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harts/chart1.xml" ContentType="application/vnd.openxmlformats-officedocument.drawingml.chart+xml"/>
  <Override PartName="/xl/drawings/drawing5.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6.xml" ContentType="application/vnd.openxmlformats-officedocument.drawing+xml"/>
  <Override PartName="/xl/charts/chart7.xml" ContentType="application/vnd.openxmlformats-officedocument.drawingml.chart+xml"/>
  <Override PartName="/xl/drawings/drawing7.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drawings/drawing8.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drawings/drawing9.xml" ContentType="application/vnd.openxmlformats-officedocument.drawing+xml"/>
  <Override PartName="/xl/charts/chart14.xml" ContentType="application/vnd.openxmlformats-officedocument.drawingml.chart+xml"/>
  <Override PartName="/xl/charts/chart15.xml" ContentType="application/vnd.openxmlformats-officedocument.drawingml.chart+xml"/>
  <Override PartName="/xl/drawings/drawing10.xml" ContentType="application/vnd.openxmlformats-officedocument.drawing+xml"/>
  <Override PartName="/xl/charts/chart16.xml" ContentType="application/vnd.openxmlformats-officedocument.drawingml.chart+xml"/>
  <Override PartName="/xl/drawings/drawing11.xml" ContentType="application/vnd.openxmlformats-officedocument.drawing+xml"/>
  <Override PartName="/xl/charts/chart17.xml" ContentType="application/vnd.openxmlformats-officedocument.drawingml.chart+xml"/>
  <Override PartName="/xl/drawings/drawing12.xml" ContentType="application/vnd.openxmlformats-officedocument.drawingml.chartshapes+xml"/>
  <Override PartName="/xl/comments5.xml" ContentType="application/vnd.openxmlformats-officedocument.spreadsheetml.comments+xml"/>
  <Override PartName="/xl/drawings/drawing13.xml" ContentType="application/vnd.openxmlformats-officedocument.drawing+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drawings/drawing14.xml" ContentType="application/vnd.openxmlformats-officedocument.drawing+xml"/>
  <Override PartName="/xl/charts/chart25.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7A2D7E96-6E34-419A-AE5F-296B3A7E7977}"/>
  <workbookPr codeName="ThisWorkbook" defaultThemeVersion="124226"/>
  <bookViews>
    <workbookView xWindow="0" yWindow="0" windowWidth="19200" windowHeight="7065" firstSheet="39" activeTab="3"/>
  </bookViews>
  <sheets>
    <sheet name="TOC" sheetId="44" r:id="rId1"/>
    <sheet name="Model Flow Diagram" sheetId="51" r:id="rId2"/>
    <sheet name="Model Flow Description" sheetId="50" r:id="rId3"/>
    <sheet name="User_Inputs" sheetId="3" r:id="rId4"/>
    <sheet name="List_Inputs" sheetId="2" state="hidden" r:id="rId5"/>
    <sheet name="Misc_Inputs" sheetId="1" r:id="rId6"/>
    <sheet name="Tech_Specs" sheetId="5" r:id="rId7"/>
    <sheet name="Perform_SSL" sheetId="11" r:id="rId8"/>
    <sheet name="Perform_Sectors" sheetId="26" r:id="rId9"/>
    <sheet name="Perform_Active" sheetId="10" r:id="rId10"/>
    <sheet name="Perform_Proj" sheetId="43" r:id="rId11"/>
    <sheet name="Electricity_Prices" sheetId="4" r:id="rId12"/>
    <sheet name="Floor_Growth" sheetId="6" r:id="rId13"/>
    <sheet name="Standards_Sectors" sheetId="32" r:id="rId14"/>
    <sheet name="Standards_Active" sheetId="7" r:id="rId15"/>
    <sheet name="Standards_Acceptance" sheetId="45" r:id="rId16"/>
    <sheet name="Lamp_Repl_Rate" sheetId="17" r:id="rId17"/>
    <sheet name="Sys_Repl_Rate" sheetId="15" r:id="rId18"/>
    <sheet name="Costs" sheetId="24" r:id="rId19"/>
    <sheet name="Tech_Diff" sheetId="8" r:id="rId20"/>
    <sheet name="Logit" sheetId="25" r:id="rId21"/>
    <sheet name="Sales_Calibration" sheetId="31" r:id="rId22"/>
    <sheet name="Lamp_Mkt_Repl" sheetId="19" r:id="rId23"/>
    <sheet name="System_Mkt_Repl" sheetId="12" r:id="rId24"/>
    <sheet name="System_Mkt_NC" sheetId="16" r:id="rId25"/>
    <sheet name="System_Total_Mkt" sheetId="14" r:id="rId26"/>
    <sheet name="Test_Plots" sheetId="20" state="hidden" r:id="rId27"/>
    <sheet name="Results" sheetId="22" r:id="rId28"/>
    <sheet name="lumenshare" sheetId="71" r:id="rId29"/>
    <sheet name="Compare" sheetId="70" r:id="rId30"/>
    <sheet name="Results_Com" sheetId="27" r:id="rId31"/>
    <sheet name="Results_Ind" sheetId="29" r:id="rId32"/>
    <sheet name="Results_Out" sheetId="30" r:id="rId33"/>
    <sheet name="Results_Res" sheetId="28" r:id="rId34"/>
    <sheet name="Results_Total" sheetId="39" r:id="rId35"/>
    <sheet name="Plot_Data" sheetId="41" r:id="rId36"/>
    <sheet name="Plot_Energy" sheetId="42" r:id="rId37"/>
    <sheet name="Plot_Sales" sheetId="46" r:id="rId38"/>
    <sheet name="Plot_Density" sheetId="47" r:id="rId39"/>
    <sheet name="Plot_Stock" sheetId="48" r:id="rId40"/>
    <sheet name="Savings_Data" sheetId="38" r:id="rId41"/>
    <sheet name="Sales Data" sheetId="53" r:id="rId42"/>
    <sheet name="Average Efficacy Data" sheetId="54" r:id="rId43"/>
    <sheet name="Cumul_Savings_Total" sheetId="34" r:id="rId44"/>
    <sheet name="First_Yr_Savings_Total" sheetId="56" r:id="rId45"/>
    <sheet name="Plot_Savings" sheetId="49" r:id="rId46"/>
    <sheet name="Case_Comparison" sheetId="40" state="hidden" r:id="rId47"/>
  </sheets>
  <externalReferences>
    <externalReference r:id="rId48"/>
    <externalReference r:id="rId49"/>
    <externalReference r:id="rId50"/>
  </externalReferences>
  <definedNames>
    <definedName name="Active_Case">User_Inputs!$D$5</definedName>
    <definedName name="AEO_Case">[1]Controls!$D$117</definedName>
    <definedName name="Baseline">List_Inputs!$A$7</definedName>
    <definedName name="Bass_Curve">Tech_Diff!$A$14:$F$79</definedName>
    <definedName name="Busbar">Misc_Inputs!$D$12</definedName>
    <definedName name="Cost_Ballast">Costs!$G$45:$AF$75</definedName>
    <definedName name="Cost_Fixture">Costs!$G$81:$AF$111</definedName>
    <definedName name="Cost_Lamp">Costs!$G$9:$AF$39</definedName>
    <definedName name="Cost_OM_NC">IF(ISNUMBER(Costs!$G$333:$AF$363),Costs!$G$333:$AF$363,"")</definedName>
    <definedName name="Cost_OM_Rpl" comment="total annunal O&amp;M costs for replacement segment ($/klm) (system only)">IF(ISNUMBER(Costs!$G$297:$AF$327),Costs!$G$297:$AF$327,"")</definedName>
    <definedName name="Cost_System_NC">Costs!$G$153:$AF$183</definedName>
    <definedName name="Cost_System_Rpl">Costs!$G$117:$AF$147</definedName>
    <definedName name="DailyOpHours">Tech_Specs!$S$9:$S$39</definedName>
    <definedName name="Eff_Ballast_Stock">Perform_Proj!$G$196:$AF$226</definedName>
    <definedName name="Eff_Case">User_Inputs!$D$4</definedName>
    <definedName name="Eff_Case_2">User_Inputs!$E$4</definedName>
    <definedName name="Eff_Lamp_Stock">Perform_Proj!$G$159:$AF$189</definedName>
    <definedName name="Energy">IF(ISNUMBER(Results!$G$46:$AF$76),Results!$G$46:$AF$76,"")</definedName>
    <definedName name="Energy_Density">IF(ISNUMBER(Results!$G$194:$AF$224),Results!$G$194:$AF$224,"")</definedName>
    <definedName name="HVAC_factor">Misc_Inputs!$B$42</definedName>
    <definedName name="Installed_Units">IF(ISNUMBER(Results!$G$157:$AF$187),Results!$G$157:$AF$187,"")</definedName>
    <definedName name="k\" localSheetId="42" hidden="1">0+(ROW(OFFSET(#REF!,0,0,100,1))-1)*0.0025252525252525</definedName>
    <definedName name="k\" localSheetId="44" hidden="1">0+(ROW(OFFSET(#REF!,0,0,100,1))-1)*0.0025252525252525</definedName>
    <definedName name="k\" localSheetId="34" hidden="1">0+(ROW(OFFSET(#REF!,0,0,100,1))-1)*0.0025252525252525</definedName>
    <definedName name="k\" localSheetId="41" hidden="1">0+(ROW(OFFSET(#REF!,0,0,100,1))-1)*0.0025252525252525</definedName>
    <definedName name="k\" localSheetId="40" hidden="1">0+(ROW(OFFSET(#REF!,0,0,100,1))-1)*0.0025252525252525</definedName>
    <definedName name="k\" localSheetId="15" hidden="1">0+(ROW(OFFSET(#REF!,0,0,100,1))-1)*0.0025252525252525</definedName>
    <definedName name="k\" localSheetId="0" hidden="1">0+(ROW(OFFSET(#REF!,0,0,100,1))-1)*0.0025252525252525</definedName>
    <definedName name="k\" hidden="1">0+(ROW(OFFSET(#REF!,0,0,100,1))-1)*0.0025252525252525</definedName>
    <definedName name="Lamps_per_Ballast_Com">Perform_Active!$H$10:$H$40</definedName>
    <definedName name="Life_Ballast">IF(ISNUMBER(Perform_Proj!$G$271:$AF$301),Perform_Proj!$G$271:$AF$301,"")</definedName>
    <definedName name="Life_Fixture">IF(ISNUMBER(Perform_Proj!$G$308:$AF$338),Perform_Proj!$G$308:$AF$338)</definedName>
    <definedName name="Life_Lamp">IF(ISNUMBER(Perform_Proj!$G$233:$AF$263),Perform_Proj!$G$233:$AF$263,"")</definedName>
    <definedName name="ListInputs">List_Inputs!$A$11:$A$12</definedName>
    <definedName name="Lumens">Perform_Active!$I$10:$I$40</definedName>
    <definedName name="Replacement_Unit">Tech_Specs!$K$9:$K$39</definedName>
    <definedName name="Retrofit_Rate" comment="Building Retrofit Rate">Misc_Inputs!$D$16</definedName>
    <definedName name="Sales">IF(ISNUMBER(System_Total_Mkt!$H$45:$AF$75),System_Total_Mkt!$H$45:$AF$75,"")</definedName>
    <definedName name="Savings_List">List_Inputs!$E$2:$E$3</definedName>
    <definedName name="Sector">User_Inputs!$D$5</definedName>
    <definedName name="Sector_List">List_Inputs!$C$2:$C$5</definedName>
    <definedName name="solver_adj" localSheetId="20" hidden="1">Logit!$D$5:$E$5</definedName>
    <definedName name="solver_adj" localSheetId="7" hidden="1">Perform_SSL!#REF!</definedName>
    <definedName name="solver_adj" localSheetId="19" hidden="1">Tech_Diff!#REF!</definedName>
    <definedName name="solver_cvg" localSheetId="20" hidden="1">0.0001</definedName>
    <definedName name="solver_cvg" localSheetId="7" hidden="1">0.0001</definedName>
    <definedName name="solver_cvg" localSheetId="19" hidden="1">0.0001</definedName>
    <definedName name="solver_drv" localSheetId="20" hidden="1">1</definedName>
    <definedName name="solver_drv" localSheetId="7" hidden="1">1</definedName>
    <definedName name="solver_drv" localSheetId="19" hidden="1">1</definedName>
    <definedName name="solver_eng" localSheetId="20" hidden="1">1</definedName>
    <definedName name="solver_eng" localSheetId="6" hidden="1">1</definedName>
    <definedName name="solver_est" localSheetId="20" hidden="1">1</definedName>
    <definedName name="solver_est" localSheetId="7" hidden="1">1</definedName>
    <definedName name="solver_est" localSheetId="19" hidden="1">1</definedName>
    <definedName name="solver_itr" localSheetId="20" hidden="1">2147483647</definedName>
    <definedName name="solver_itr" localSheetId="7" hidden="1">100</definedName>
    <definedName name="solver_itr" localSheetId="19" hidden="1">100</definedName>
    <definedName name="solver_lhs1" localSheetId="20" hidden="1">Logit!$E$5</definedName>
    <definedName name="solver_lhs1" localSheetId="19" hidden="1">Tech_Diff!#REF!</definedName>
    <definedName name="solver_lhs2" localSheetId="20" hidden="1">Logit!$E$5</definedName>
    <definedName name="solver_lin" localSheetId="7" hidden="1">2</definedName>
    <definedName name="solver_lin" localSheetId="19" hidden="1">2</definedName>
    <definedName name="solver_mip" localSheetId="20" hidden="1">2147483647</definedName>
    <definedName name="solver_mni" localSheetId="20" hidden="1">30</definedName>
    <definedName name="solver_mrt" localSheetId="20" hidden="1">0.075</definedName>
    <definedName name="solver_msl" localSheetId="20" hidden="1">2</definedName>
    <definedName name="solver_neg" localSheetId="20" hidden="1">1</definedName>
    <definedName name="solver_neg" localSheetId="7" hidden="1">2</definedName>
    <definedName name="solver_neg" localSheetId="19" hidden="1">2</definedName>
    <definedName name="solver_neg" localSheetId="6" hidden="1">1</definedName>
    <definedName name="solver_nod" localSheetId="20" hidden="1">2147483647</definedName>
    <definedName name="solver_num" localSheetId="20" hidden="1">0</definedName>
    <definedName name="solver_num" localSheetId="7" hidden="1">0</definedName>
    <definedName name="solver_num" localSheetId="19" hidden="1">1</definedName>
    <definedName name="solver_num" localSheetId="6" hidden="1">0</definedName>
    <definedName name="solver_nwt" localSheetId="20" hidden="1">1</definedName>
    <definedName name="solver_nwt" localSheetId="7" hidden="1">1</definedName>
    <definedName name="solver_nwt" localSheetId="19" hidden="1">1</definedName>
    <definedName name="solver_opt" localSheetId="20" hidden="1">Logit!$S$6</definedName>
    <definedName name="solver_opt" localSheetId="7" hidden="1">Perform_SSL!$K$57</definedName>
    <definedName name="solver_opt" localSheetId="19" hidden="1">Tech_Diff!#REF!</definedName>
    <definedName name="solver_pre" localSheetId="20" hidden="1">0.000001</definedName>
    <definedName name="solver_pre" localSheetId="7" hidden="1">0.000001</definedName>
    <definedName name="solver_pre" localSheetId="19" hidden="1">0.000001</definedName>
    <definedName name="solver_rbv" localSheetId="20" hidden="1">1</definedName>
    <definedName name="solver_rel1" localSheetId="20" hidden="1">1</definedName>
    <definedName name="solver_rel1" localSheetId="19" hidden="1">2</definedName>
    <definedName name="solver_rel2" localSheetId="20" hidden="1">1</definedName>
    <definedName name="solver_rhs1" localSheetId="20" hidden="1">-0.1</definedName>
    <definedName name="solver_rhs1" localSheetId="19" hidden="1">Tech_Diff!#REF!</definedName>
    <definedName name="solver_rhs2" localSheetId="20" hidden="1">-0.1</definedName>
    <definedName name="solver_rlx" localSheetId="20" hidden="1">2</definedName>
    <definedName name="solver_rsd" localSheetId="20" hidden="1">0</definedName>
    <definedName name="solver_scl" localSheetId="20" hidden="1">1</definedName>
    <definedName name="solver_scl" localSheetId="7" hidden="1">2</definedName>
    <definedName name="solver_scl" localSheetId="19" hidden="1">2</definedName>
    <definedName name="solver_sho" localSheetId="20" hidden="1">2</definedName>
    <definedName name="solver_sho" localSheetId="7" hidden="1">2</definedName>
    <definedName name="solver_sho" localSheetId="19" hidden="1">2</definedName>
    <definedName name="solver_ssz" localSheetId="20" hidden="1">100</definedName>
    <definedName name="solver_tim" localSheetId="20" hidden="1">2147483647</definedName>
    <definedName name="solver_tim" localSheetId="7" hidden="1">100</definedName>
    <definedName name="solver_tim" localSheetId="19" hidden="1">100</definedName>
    <definedName name="solver_tol" localSheetId="20" hidden="1">0.01</definedName>
    <definedName name="solver_tol" localSheetId="7" hidden="1">0.05</definedName>
    <definedName name="solver_tol" localSheetId="19" hidden="1">0.05</definedName>
    <definedName name="solver_typ" localSheetId="20" hidden="1">2</definedName>
    <definedName name="solver_typ" localSheetId="7" hidden="1">3</definedName>
    <definedName name="solver_typ" localSheetId="19" hidden="1">3</definedName>
    <definedName name="solver_typ" localSheetId="6" hidden="1">1</definedName>
    <definedName name="solver_val" localSheetId="20" hidden="1">0</definedName>
    <definedName name="solver_val" localSheetId="7" hidden="1">100000</definedName>
    <definedName name="solver_val" localSheetId="19" hidden="1">0.0067</definedName>
    <definedName name="solver_val" localSheetId="6" hidden="1">0</definedName>
    <definedName name="solver_ver" localSheetId="20" hidden="1">3</definedName>
    <definedName name="solver_ver" localSheetId="6" hidden="1">3</definedName>
    <definedName name="Square_Feet">Floor_Growth!$G$12:$AF$12</definedName>
    <definedName name="Standards">List_Inputs!$A$9</definedName>
    <definedName name="Standards_1">User_Inputs!$G$9:$G$15</definedName>
    <definedName name="Standards_2">User_Inputs!$H$9:$H$15</definedName>
    <definedName name="Stock">IF(ISNUMBER(System_Total_Mkt!$G$9:$AF$39),System_Total_Mkt!$G$9:$AF$39,"")</definedName>
    <definedName name="Stock_2010" comment="Tlm-hrs installed stock">IF(ISNUMBER(Tech_Specs!$AN$9:$AN$39),Tech_Specs!$AN$9:$AN$39,"")</definedName>
    <definedName name="xdata1" localSheetId="42" hidden="1">0+(ROW(OFFSET(#REF!,0,0,100,1))-1)*0.0025252525252525</definedName>
    <definedName name="xdata1" localSheetId="18" hidden="1">0+(ROW(OFFSET(#REF!,0,0,100,1))-1)*0.0025252525252525</definedName>
    <definedName name="xdata1" localSheetId="44" hidden="1">0+(ROW(OFFSET(#REF!,0,0,100,1))-1)*0.0025252525252525</definedName>
    <definedName name="xdata1" localSheetId="22" hidden="1">0+(ROW(OFFSET(#REF!,0,0,100,1))-1)*0.0025252525252525</definedName>
    <definedName name="xdata1" localSheetId="16" hidden="1">0+(ROW(OFFSET(#REF!,0,0,100,1))-1)*0.0025252525252525</definedName>
    <definedName name="xdata1" localSheetId="9" hidden="1">0+(ROW(OFFSET(#REF!,0,0,100,1))-1)*0.0025252525252525</definedName>
    <definedName name="xdata1" localSheetId="7" hidden="1">0+(ROW(OFFSET(#REF!,0,0,100,1))-1)*0.0025252525252525</definedName>
    <definedName name="xdata1" localSheetId="27" hidden="1">0+(ROW(OFFSET(#REF!,0,0,100,1))-1)*0.0025252525252525</definedName>
    <definedName name="xdata1" localSheetId="30" hidden="1">0+(ROW(OFFSET(#REF!,0,0,100,1))-1)*0.0025252525252525</definedName>
    <definedName name="xdata1" localSheetId="31" hidden="1">0+(ROW(OFFSET(#REF!,0,0,100,1))-1)*0.0025252525252525</definedName>
    <definedName name="xdata1" localSheetId="32" hidden="1">0+(ROW(OFFSET(#REF!,0,0,100,1))-1)*0.0025252525252525</definedName>
    <definedName name="xdata1" localSheetId="33" hidden="1">0+(ROW(OFFSET(#REF!,0,0,100,1))-1)*0.0025252525252525</definedName>
    <definedName name="xdata1" localSheetId="34" hidden="1">0+(ROW(OFFSET(#REF!,0,0,100,1))-1)*0.0025252525252525</definedName>
    <definedName name="xdata1" localSheetId="41" hidden="1">0+(ROW(OFFSET(#REF!,0,0,100,1))-1)*0.0025252525252525</definedName>
    <definedName name="xdata1" localSheetId="40" hidden="1">0+(ROW(OFFSET(#REF!,0,0,100,1))-1)*0.0025252525252525</definedName>
    <definedName name="xdata1" localSheetId="15" hidden="1">0+(ROW(OFFSET(#REF!,0,0,100,1))-1)*0.0025252525252525</definedName>
    <definedName name="xdata1" localSheetId="24" hidden="1">0+(ROW(OFFSET(#REF!,0,0,100,1))-1)*0.0025252525252525</definedName>
    <definedName name="xdata1" localSheetId="0" hidden="1">0+(ROW(OFFSET(#REF!,0,0,100,1))-1)*0.0025252525252525</definedName>
    <definedName name="xdata1" hidden="1">0+(ROW(OFFSET(#REF!,0,0,100,1))-1)*0.0025252525252525</definedName>
    <definedName name="ydata1" localSheetId="42" hidden="1">[2]!XLSTAT_PDFLogistic('Average Efficacy Data'!xdata1,0.0393403989422792,0.0395266561810234)</definedName>
    <definedName name="ydata1" localSheetId="18" hidden="1">[2]!XLSTAT_PDFLogistic(Costs!xdata1,0.0393403989422792,0.0395266561810234)</definedName>
    <definedName name="ydata1" localSheetId="44" hidden="1">[2]!XLSTAT_PDFLogistic(First_Yr_Savings_Total!xdata1,0.0393403989422792,0.0395266561810234)</definedName>
    <definedName name="ydata1" localSheetId="22" hidden="1">[2]!XLSTAT_PDFLogistic(Lamp_Mkt_Repl!xdata1,0.0393403989422792,0.0395266561810234)</definedName>
    <definedName name="ydata1" localSheetId="16" hidden="1">[2]!XLSTAT_PDFLogistic(Lamp_Repl_Rate!xdata1,0.0393403989422792,0.0395266561810234)</definedName>
    <definedName name="ydata1" localSheetId="9" hidden="1">[2]!XLSTAT_PDFLogistic(Perform_Active!xdata1,0.0393403989422792,0.0395266561810234)</definedName>
    <definedName name="ydata1" localSheetId="7" hidden="1">[2]!XLSTAT_PDFLogistic(Perform_SSL!xdata1,0.0393403989422792,0.0395266561810234)</definedName>
    <definedName name="ydata1" localSheetId="27" hidden="1">[2]!XLSTAT_PDFLogistic(Results!xdata1,0.0393403989422792,0.0395266561810234)</definedName>
    <definedName name="ydata1" localSheetId="30" hidden="1">[2]!XLSTAT_PDFLogistic(Results_Com!xdata1,0.0393403989422792,0.0395266561810234)</definedName>
    <definedName name="ydata1" localSheetId="31" hidden="1">[2]!XLSTAT_PDFLogistic(Results_Ind!xdata1,0.0393403989422792,0.0395266561810234)</definedName>
    <definedName name="ydata1" localSheetId="32" hidden="1">[2]!XLSTAT_PDFLogistic(Results_Out!xdata1,0.0393403989422792,0.0395266561810234)</definedName>
    <definedName name="ydata1" localSheetId="33" hidden="1">[2]!XLSTAT_PDFLogistic(Results_Res!xdata1,0.0393403989422792,0.0395266561810234)</definedName>
    <definedName name="ydata1" localSheetId="34" hidden="1">[2]!XLSTAT_PDFLogistic(Results_Total!xdata1,0.0393403989422792,0.0395266561810234)</definedName>
    <definedName name="ydata1" localSheetId="41" hidden="1">[2]!XLSTAT_PDFLogistic('Sales Data'!xdata1,0.0393403989422792,0.0395266561810234)</definedName>
    <definedName name="ydata1" localSheetId="40" hidden="1">[2]!XLSTAT_PDFLogistic(Savings_Data!xdata1,0.0393403989422792,0.0395266561810234)</definedName>
    <definedName name="ydata1" localSheetId="15" hidden="1">[2]!XLSTAT_PDFLogistic(Standards_Acceptance!xdata1,0.0393403989422792,0.0395266561810234)</definedName>
    <definedName name="ydata1" localSheetId="14" hidden="1">[2]!XLSTAT_PDFLogistic([0]!xdata1,0.0393403989422792,0.0395266561810234)</definedName>
    <definedName name="ydata1" localSheetId="24" hidden="1">[2]!XLSTAT_PDFLogistic(System_Mkt_NC!xdata1,0.0393403989422792,0.0395266561810234)</definedName>
    <definedName name="ydata1" localSheetId="19" hidden="1">[2]!XLSTAT_PDFLogistic([0]!xdata1,0.0393403989422792,0.0395266561810234)</definedName>
    <definedName name="ydata1" localSheetId="0" hidden="1">[2]!XLSTAT_PDFLogistic(TOC!xdata1,0.0393403989422792,0.0395266561810234)</definedName>
    <definedName name="ydata1" hidden="1">[2]!XLSTAT_PDFLogistic([0]!xdata1,0.0393403989422792,0.0395266561810234)</definedName>
  </definedNames>
  <calcPr calcId="145621"/>
</workbook>
</file>

<file path=xl/calcChain.xml><?xml version="1.0" encoding="utf-8"?>
<calcChain xmlns="http://schemas.openxmlformats.org/spreadsheetml/2006/main">
  <c r="AP64" i="53" l="1"/>
  <c r="AQ64" i="53"/>
  <c r="AR64" i="53"/>
  <c r="AS64" i="53"/>
  <c r="AT64" i="53"/>
  <c r="AU64" i="53"/>
  <c r="AV64" i="53"/>
  <c r="AW64" i="53"/>
  <c r="AX64" i="53"/>
  <c r="AY64" i="53"/>
  <c r="AZ64" i="53"/>
  <c r="BA64" i="53"/>
  <c r="BB64" i="53"/>
  <c r="BC64" i="53"/>
  <c r="BD64" i="53"/>
  <c r="BE64" i="53"/>
  <c r="BF64" i="53"/>
  <c r="BG64" i="53"/>
  <c r="BH64" i="53"/>
  <c r="BI64" i="53"/>
  <c r="BJ64" i="53"/>
  <c r="BK64" i="53"/>
  <c r="BL64" i="53"/>
  <c r="BM64" i="53"/>
  <c r="AP65" i="53"/>
  <c r="AQ65" i="53"/>
  <c r="AR65" i="53"/>
  <c r="AS65" i="53"/>
  <c r="AT65" i="53"/>
  <c r="AU65" i="53"/>
  <c r="AV65" i="53"/>
  <c r="AW65" i="53"/>
  <c r="AX65" i="53"/>
  <c r="AY65" i="53"/>
  <c r="AZ65" i="53"/>
  <c r="BA65" i="53"/>
  <c r="BB65" i="53"/>
  <c r="BC65" i="53"/>
  <c r="BD65" i="53"/>
  <c r="BE65" i="53"/>
  <c r="BF65" i="53"/>
  <c r="BG65" i="53"/>
  <c r="BH65" i="53"/>
  <c r="BI65" i="53"/>
  <c r="BJ65" i="53"/>
  <c r="BK65" i="53"/>
  <c r="BL65" i="53"/>
  <c r="BM65" i="53"/>
  <c r="AP66" i="53"/>
  <c r="AQ66" i="53"/>
  <c r="AR66" i="53"/>
  <c r="AS66" i="53"/>
  <c r="AT66" i="53"/>
  <c r="AU66" i="53"/>
  <c r="AV66" i="53"/>
  <c r="AW66" i="53"/>
  <c r="AX66" i="53"/>
  <c r="AY66" i="53"/>
  <c r="AZ66" i="53"/>
  <c r="BA66" i="53"/>
  <c r="BB66" i="53"/>
  <c r="BC66" i="53"/>
  <c r="BD66" i="53"/>
  <c r="BE66" i="53"/>
  <c r="BF66" i="53"/>
  <c r="BG66" i="53"/>
  <c r="BH66" i="53"/>
  <c r="BI66" i="53"/>
  <c r="BJ66" i="53"/>
  <c r="BK66" i="53"/>
  <c r="BL66" i="53"/>
  <c r="BM66" i="53"/>
  <c r="AP67" i="53"/>
  <c r="AQ67" i="53"/>
  <c r="AR67" i="53"/>
  <c r="AS67" i="53"/>
  <c r="AT67" i="53"/>
  <c r="AU67" i="53"/>
  <c r="AV67" i="53"/>
  <c r="AW67" i="53"/>
  <c r="AX67" i="53"/>
  <c r="AY67" i="53"/>
  <c r="AZ67" i="53"/>
  <c r="BA67" i="53"/>
  <c r="BB67" i="53"/>
  <c r="BC67" i="53"/>
  <c r="BD67" i="53"/>
  <c r="BE67" i="53"/>
  <c r="BF67" i="53"/>
  <c r="BG67" i="53"/>
  <c r="BH67" i="53"/>
  <c r="BI67" i="53"/>
  <c r="BJ67" i="53"/>
  <c r="BK67" i="53"/>
  <c r="BL67" i="53"/>
  <c r="BM67" i="53"/>
  <c r="AP68" i="53"/>
  <c r="AQ68" i="53"/>
  <c r="AR68" i="53"/>
  <c r="AS68" i="53"/>
  <c r="AT68" i="53"/>
  <c r="AU68" i="53"/>
  <c r="AV68" i="53"/>
  <c r="AW68" i="53"/>
  <c r="AX68" i="53"/>
  <c r="AY68" i="53"/>
  <c r="AZ68" i="53"/>
  <c r="BA68" i="53"/>
  <c r="BB68" i="53"/>
  <c r="BC68" i="53"/>
  <c r="BD68" i="53"/>
  <c r="BE68" i="53"/>
  <c r="BF68" i="53"/>
  <c r="BG68" i="53"/>
  <c r="BH68" i="53"/>
  <c r="BI68" i="53"/>
  <c r="BJ68" i="53"/>
  <c r="BK68" i="53"/>
  <c r="BL68" i="53"/>
  <c r="BM68" i="53"/>
  <c r="AO65" i="53"/>
  <c r="AO66" i="53"/>
  <c r="AO67" i="53"/>
  <c r="AO68" i="53"/>
  <c r="AO64" i="53"/>
  <c r="AX47" i="53"/>
  <c r="AX55" i="53"/>
  <c r="AO62" i="53"/>
  <c r="BM58" i="53"/>
  <c r="BM59" i="53"/>
  <c r="BM60" i="53"/>
  <c r="BM61" i="53"/>
  <c r="BM62" i="53"/>
  <c r="AP58" i="53"/>
  <c r="AQ58" i="53"/>
  <c r="AR58" i="53"/>
  <c r="AS58" i="53"/>
  <c r="AT58" i="53"/>
  <c r="AU58" i="53"/>
  <c r="AV58" i="53"/>
  <c r="AW58" i="53"/>
  <c r="AX58" i="53"/>
  <c r="AY58" i="53"/>
  <c r="AZ58" i="53"/>
  <c r="BA58" i="53"/>
  <c r="BB58" i="53"/>
  <c r="BC58" i="53"/>
  <c r="BD58" i="53"/>
  <c r="BE58" i="53"/>
  <c r="BF58" i="53"/>
  <c r="BG58" i="53"/>
  <c r="BH58" i="53"/>
  <c r="BI58" i="53"/>
  <c r="BJ58" i="53"/>
  <c r="BK58" i="53"/>
  <c r="BL58" i="53"/>
  <c r="AP59" i="53"/>
  <c r="AQ59" i="53"/>
  <c r="AR59" i="53"/>
  <c r="AS59" i="53"/>
  <c r="AT59" i="53"/>
  <c r="AU59" i="53"/>
  <c r="AV59" i="53"/>
  <c r="AW59" i="53"/>
  <c r="AX59" i="53"/>
  <c r="AY59" i="53"/>
  <c r="AZ59" i="53"/>
  <c r="BA59" i="53"/>
  <c r="BB59" i="53"/>
  <c r="BC59" i="53"/>
  <c r="BD59" i="53"/>
  <c r="BE59" i="53"/>
  <c r="BF59" i="53"/>
  <c r="BG59" i="53"/>
  <c r="BH59" i="53"/>
  <c r="BI59" i="53"/>
  <c r="BJ59" i="53"/>
  <c r="BK59" i="53"/>
  <c r="BL59" i="53"/>
  <c r="AP60" i="53"/>
  <c r="AQ60" i="53"/>
  <c r="AR60" i="53"/>
  <c r="AS60" i="53"/>
  <c r="AT60" i="53"/>
  <c r="AU60" i="53"/>
  <c r="AV60" i="53"/>
  <c r="AW60" i="53"/>
  <c r="AX60" i="53"/>
  <c r="AY60" i="53"/>
  <c r="AZ60" i="53"/>
  <c r="BA60" i="53"/>
  <c r="BB60" i="53"/>
  <c r="BC60" i="53"/>
  <c r="BD60" i="53"/>
  <c r="BE60" i="53"/>
  <c r="BF60" i="53"/>
  <c r="BG60" i="53"/>
  <c r="BH60" i="53"/>
  <c r="BI60" i="53"/>
  <c r="BJ60" i="53"/>
  <c r="BK60" i="53"/>
  <c r="BL60" i="53"/>
  <c r="AP61" i="53"/>
  <c r="AQ61" i="53"/>
  <c r="AR61" i="53"/>
  <c r="AS61" i="53"/>
  <c r="AT61" i="53"/>
  <c r="AU61" i="53"/>
  <c r="AV61" i="53"/>
  <c r="AW61" i="53"/>
  <c r="AX61" i="53"/>
  <c r="AY61" i="53"/>
  <c r="AZ61" i="53"/>
  <c r="BA61" i="53"/>
  <c r="BB61" i="53"/>
  <c r="BC61" i="53"/>
  <c r="BD61" i="53"/>
  <c r="BE61" i="53"/>
  <c r="BF61" i="53"/>
  <c r="BG61" i="53"/>
  <c r="BH61" i="53"/>
  <c r="BI61" i="53"/>
  <c r="BJ61" i="53"/>
  <c r="BK61" i="53"/>
  <c r="BL61" i="53"/>
  <c r="AP62" i="53"/>
  <c r="AQ62" i="53"/>
  <c r="AR62" i="53"/>
  <c r="AS62" i="53"/>
  <c r="AT62" i="53"/>
  <c r="AU62" i="53"/>
  <c r="AV62" i="53"/>
  <c r="AW62" i="53"/>
  <c r="AX62" i="53"/>
  <c r="AY62" i="53"/>
  <c r="AZ62" i="53"/>
  <c r="BA62" i="53"/>
  <c r="BB62" i="53"/>
  <c r="BC62" i="53"/>
  <c r="BD62" i="53"/>
  <c r="BE62" i="53"/>
  <c r="BF62" i="53"/>
  <c r="BG62" i="53"/>
  <c r="BH62" i="53"/>
  <c r="BI62" i="53"/>
  <c r="BJ62" i="53"/>
  <c r="BK62" i="53"/>
  <c r="BL62" i="53"/>
  <c r="AO58" i="53"/>
  <c r="AO61" i="53"/>
  <c r="AO60" i="53"/>
  <c r="AO59" i="53"/>
  <c r="H75" i="32" l="1"/>
  <c r="F75" i="32"/>
  <c r="H153" i="32"/>
  <c r="X117" i="32" l="1"/>
  <c r="R117" i="32"/>
  <c r="F114" i="32"/>
  <c r="X64" i="32"/>
  <c r="X142" i="32"/>
  <c r="X141" i="32"/>
  <c r="R142" i="32"/>
  <c r="R141" i="32"/>
  <c r="R140" i="32"/>
  <c r="F128" i="32"/>
  <c r="J135" i="32"/>
  <c r="H135" i="32"/>
  <c r="F135" i="32"/>
  <c r="F141" i="32"/>
  <c r="F140" i="32"/>
  <c r="C10" i="7"/>
  <c r="AX11" i="53" l="1"/>
  <c r="D23" i="26"/>
  <c r="H23" i="26" s="1"/>
  <c r="C24" i="26"/>
  <c r="D22" i="26"/>
  <c r="E22" i="26"/>
  <c r="E23" i="26"/>
  <c r="E40" i="10"/>
  <c r="E38" i="10"/>
  <c r="E37" i="10"/>
  <c r="E36" i="10"/>
  <c r="E35" i="10"/>
  <c r="E12" i="10"/>
  <c r="E11" i="10"/>
  <c r="E10" i="10"/>
  <c r="E18" i="10"/>
  <c r="E17" i="10"/>
  <c r="E16" i="10"/>
  <c r="K30" i="26"/>
  <c r="C36" i="26"/>
  <c r="D36" i="26"/>
  <c r="E36" i="26"/>
  <c r="F36" i="26"/>
  <c r="C37" i="26"/>
  <c r="D37" i="26"/>
  <c r="E37" i="26"/>
  <c r="F37" i="26"/>
  <c r="C38" i="26"/>
  <c r="D38" i="26"/>
  <c r="E38" i="26"/>
  <c r="F38" i="26"/>
  <c r="C39" i="26"/>
  <c r="D39" i="26"/>
  <c r="E39" i="26"/>
  <c r="F39" i="26"/>
  <c r="C40" i="26"/>
  <c r="D40" i="26"/>
  <c r="E40" i="26"/>
  <c r="F40" i="26"/>
  <c r="F35" i="26"/>
  <c r="E35" i="26"/>
  <c r="D35" i="26"/>
  <c r="C35" i="26"/>
  <c r="F32" i="26"/>
  <c r="E32" i="26"/>
  <c r="D32" i="26"/>
  <c r="C32" i="26"/>
  <c r="F31" i="26"/>
  <c r="E31" i="26"/>
  <c r="D31" i="26"/>
  <c r="C31" i="26"/>
  <c r="F30" i="26"/>
  <c r="E30" i="26"/>
  <c r="D30" i="26"/>
  <c r="C30" i="26"/>
  <c r="F29" i="26"/>
  <c r="E29" i="26"/>
  <c r="D29" i="26"/>
  <c r="C29" i="26"/>
  <c r="F28" i="26"/>
  <c r="E28" i="26"/>
  <c r="D28" i="26"/>
  <c r="C28" i="26"/>
  <c r="G28" i="26" s="1"/>
  <c r="F25" i="26"/>
  <c r="E25" i="26"/>
  <c r="D25" i="26"/>
  <c r="C25" i="26"/>
  <c r="F24" i="26"/>
  <c r="E24" i="26"/>
  <c r="D24" i="26"/>
  <c r="F23" i="26"/>
  <c r="C23" i="26"/>
  <c r="F22" i="26"/>
  <c r="C22" i="26"/>
  <c r="G22" i="26" s="1"/>
  <c r="F19" i="26"/>
  <c r="E19" i="26"/>
  <c r="D19" i="26"/>
  <c r="C19" i="26"/>
  <c r="F18" i="26"/>
  <c r="E18" i="26"/>
  <c r="D18" i="26"/>
  <c r="C18" i="26"/>
  <c r="F17" i="26"/>
  <c r="E17" i="26"/>
  <c r="D17" i="26"/>
  <c r="C17" i="26"/>
  <c r="F16" i="26"/>
  <c r="E16" i="26"/>
  <c r="D16" i="26"/>
  <c r="C16" i="26"/>
  <c r="D10" i="26"/>
  <c r="E10" i="26"/>
  <c r="F10" i="26"/>
  <c r="D11" i="26"/>
  <c r="E11" i="26"/>
  <c r="F11" i="26"/>
  <c r="D12" i="26"/>
  <c r="E12" i="26"/>
  <c r="F12" i="26"/>
  <c r="D13" i="26"/>
  <c r="E13" i="26"/>
  <c r="F13" i="26"/>
  <c r="C11" i="26"/>
  <c r="C12" i="26"/>
  <c r="C13" i="26"/>
  <c r="C10" i="26"/>
  <c r="K10" i="26" s="1"/>
  <c r="K16" i="26"/>
  <c r="C11" i="4" l="1"/>
  <c r="D11" i="4"/>
  <c r="E11" i="4"/>
  <c r="F11" i="4"/>
  <c r="G11" i="4"/>
  <c r="H11" i="4"/>
  <c r="I11" i="4"/>
  <c r="J11" i="4"/>
  <c r="K11" i="4"/>
  <c r="L11" i="4"/>
  <c r="M11" i="4"/>
  <c r="N11" i="4"/>
  <c r="O11" i="4"/>
  <c r="P11" i="4"/>
  <c r="Q11" i="4"/>
  <c r="R11" i="4"/>
  <c r="S11" i="4"/>
  <c r="T11" i="4"/>
  <c r="U11" i="4"/>
  <c r="V11" i="4"/>
  <c r="W11" i="4"/>
  <c r="X11" i="4"/>
  <c r="Y11" i="4"/>
  <c r="Z11" i="4"/>
  <c r="AA11" i="4"/>
  <c r="B11" i="4"/>
  <c r="AF152" i="53"/>
  <c r="BM43" i="53" s="1"/>
  <c r="AU75" i="53" s="1"/>
  <c r="AE152" i="53"/>
  <c r="BL43" i="53" s="1"/>
  <c r="AD152" i="53"/>
  <c r="BK43" i="53" s="1"/>
  <c r="AC152" i="53"/>
  <c r="BJ43" i="53" s="1"/>
  <c r="AB152" i="53"/>
  <c r="BI43" i="53" s="1"/>
  <c r="AA152" i="53"/>
  <c r="BH43" i="53" s="1"/>
  <c r="AT75" i="53" s="1"/>
  <c r="Z152" i="53"/>
  <c r="BG43" i="53" s="1"/>
  <c r="Y152" i="53"/>
  <c r="BF43" i="53" s="1"/>
  <c r="X152" i="53"/>
  <c r="BE43" i="53" s="1"/>
  <c r="W152" i="53"/>
  <c r="BD43" i="53" s="1"/>
  <c r="V152" i="53"/>
  <c r="BC43" i="53" s="1"/>
  <c r="AS75" i="53" s="1"/>
  <c r="U152" i="53"/>
  <c r="BB43" i="53" s="1"/>
  <c r="T152" i="53"/>
  <c r="BA43" i="53" s="1"/>
  <c r="S152" i="53"/>
  <c r="AZ43" i="53" s="1"/>
  <c r="R152" i="53"/>
  <c r="AY43" i="53" s="1"/>
  <c r="Q152" i="53"/>
  <c r="AX43" i="53" s="1"/>
  <c r="AR75" i="53" s="1"/>
  <c r="P152" i="53"/>
  <c r="AW43" i="53" s="1"/>
  <c r="O152" i="53"/>
  <c r="AV43" i="53" s="1"/>
  <c r="N152" i="53"/>
  <c r="AU43" i="53" s="1"/>
  <c r="M152" i="53"/>
  <c r="AT43" i="53" s="1"/>
  <c r="L152" i="53"/>
  <c r="AS43" i="53" s="1"/>
  <c r="AQ75" i="53" s="1"/>
  <c r="K152" i="53"/>
  <c r="AR43" i="53" s="1"/>
  <c r="J152" i="53"/>
  <c r="AQ43" i="53" s="1"/>
  <c r="I152" i="53"/>
  <c r="AP43" i="53" s="1"/>
  <c r="H152" i="53"/>
  <c r="AO43" i="53" s="1"/>
  <c r="AP75" i="53" s="1"/>
  <c r="AF115" i="53"/>
  <c r="BM46" i="53" s="1"/>
  <c r="AU78" i="53" s="1"/>
  <c r="AE115" i="53"/>
  <c r="BL46" i="53" s="1"/>
  <c r="AD115" i="53"/>
  <c r="BK46" i="53" s="1"/>
  <c r="AC115" i="53"/>
  <c r="BJ46" i="53" s="1"/>
  <c r="AB115" i="53"/>
  <c r="BI46" i="53" s="1"/>
  <c r="AA115" i="53"/>
  <c r="BH46" i="53" s="1"/>
  <c r="AT78" i="53" s="1"/>
  <c r="Z115" i="53"/>
  <c r="BG46" i="53" s="1"/>
  <c r="Y115" i="53"/>
  <c r="BF46" i="53" s="1"/>
  <c r="X115" i="53"/>
  <c r="BE46" i="53" s="1"/>
  <c r="W115" i="53"/>
  <c r="BD46" i="53" s="1"/>
  <c r="V115" i="53"/>
  <c r="BC46" i="53" s="1"/>
  <c r="AS78" i="53" s="1"/>
  <c r="U115" i="53"/>
  <c r="BB46" i="53" s="1"/>
  <c r="T115" i="53"/>
  <c r="BA46" i="53" s="1"/>
  <c r="S115" i="53"/>
  <c r="AZ46" i="53" s="1"/>
  <c r="R115" i="53"/>
  <c r="AY46" i="53" s="1"/>
  <c r="Q115" i="53"/>
  <c r="AX46" i="53" s="1"/>
  <c r="AR78" i="53" s="1"/>
  <c r="P115" i="53"/>
  <c r="AW46" i="53" s="1"/>
  <c r="O115" i="53"/>
  <c r="AV46" i="53" s="1"/>
  <c r="N115" i="53"/>
  <c r="AU46" i="53" s="1"/>
  <c r="M115" i="53"/>
  <c r="AT46" i="53" s="1"/>
  <c r="L115" i="53"/>
  <c r="AS46" i="53" s="1"/>
  <c r="AQ78" i="53" s="1"/>
  <c r="K115" i="53"/>
  <c r="AR46" i="53" s="1"/>
  <c r="J115" i="53"/>
  <c r="AQ46" i="53" s="1"/>
  <c r="I115" i="53"/>
  <c r="AP46" i="53" s="1"/>
  <c r="H115" i="53"/>
  <c r="AO46" i="53" s="1"/>
  <c r="AP78" i="53" s="1"/>
  <c r="AF78" i="53"/>
  <c r="BM45" i="53" s="1"/>
  <c r="AU77" i="53" s="1"/>
  <c r="AE78" i="53"/>
  <c r="BL45" i="53" s="1"/>
  <c r="AD78" i="53"/>
  <c r="BK45" i="53" s="1"/>
  <c r="AC78" i="53"/>
  <c r="BJ45" i="53" s="1"/>
  <c r="AB78" i="53"/>
  <c r="BI45" i="53" s="1"/>
  <c r="AA78" i="53"/>
  <c r="BH45" i="53" s="1"/>
  <c r="AT77" i="53" s="1"/>
  <c r="Z78" i="53"/>
  <c r="BG45" i="53" s="1"/>
  <c r="Y78" i="53"/>
  <c r="BF45" i="53" s="1"/>
  <c r="X78" i="53"/>
  <c r="BE45" i="53" s="1"/>
  <c r="W78" i="53"/>
  <c r="BD45" i="53" s="1"/>
  <c r="V78" i="53"/>
  <c r="BC45" i="53" s="1"/>
  <c r="AS77" i="53" s="1"/>
  <c r="U78" i="53"/>
  <c r="BB45" i="53" s="1"/>
  <c r="T78" i="53"/>
  <c r="BA45" i="53" s="1"/>
  <c r="S78" i="53"/>
  <c r="AZ45" i="53" s="1"/>
  <c r="R78" i="53"/>
  <c r="AY45" i="53" s="1"/>
  <c r="Q78" i="53"/>
  <c r="AX45" i="53" s="1"/>
  <c r="AR77" i="53" s="1"/>
  <c r="P78" i="53"/>
  <c r="AW45" i="53" s="1"/>
  <c r="O78" i="53"/>
  <c r="AV45" i="53" s="1"/>
  <c r="N78" i="53"/>
  <c r="AU45" i="53" s="1"/>
  <c r="M78" i="53"/>
  <c r="AT45" i="53" s="1"/>
  <c r="L78" i="53"/>
  <c r="AS45" i="53" s="1"/>
  <c r="AQ77" i="53" s="1"/>
  <c r="K78" i="53"/>
  <c r="AR45" i="53" s="1"/>
  <c r="J78" i="53"/>
  <c r="AQ45" i="53" s="1"/>
  <c r="I78" i="53"/>
  <c r="AP45" i="53" s="1"/>
  <c r="H78" i="53"/>
  <c r="AO45" i="53" s="1"/>
  <c r="AP77" i="53" s="1"/>
  <c r="AF41" i="53"/>
  <c r="BM44" i="53" s="1"/>
  <c r="AU76" i="53" s="1"/>
  <c r="AE41" i="53"/>
  <c r="BL44" i="53" s="1"/>
  <c r="AD41" i="53"/>
  <c r="BK44" i="53" s="1"/>
  <c r="AC41" i="53"/>
  <c r="BJ44" i="53" s="1"/>
  <c r="AB41" i="53"/>
  <c r="BI44" i="53" s="1"/>
  <c r="AA41" i="53"/>
  <c r="BH44" i="53" s="1"/>
  <c r="AT76" i="53" s="1"/>
  <c r="Z41" i="53"/>
  <c r="BG44" i="53" s="1"/>
  <c r="Y41" i="53"/>
  <c r="BF44" i="53" s="1"/>
  <c r="X41" i="53"/>
  <c r="BE44" i="53" s="1"/>
  <c r="W41" i="53"/>
  <c r="BD44" i="53" s="1"/>
  <c r="V41" i="53"/>
  <c r="BC44" i="53" s="1"/>
  <c r="AS76" i="53" s="1"/>
  <c r="U41" i="53"/>
  <c r="BB44" i="53" s="1"/>
  <c r="T41" i="53"/>
  <c r="BA44" i="53" s="1"/>
  <c r="S41" i="53"/>
  <c r="AZ44" i="53" s="1"/>
  <c r="R41" i="53"/>
  <c r="AY44" i="53" s="1"/>
  <c r="Q41" i="53"/>
  <c r="AX44" i="53" s="1"/>
  <c r="AR76" i="53" s="1"/>
  <c r="P41" i="53"/>
  <c r="AW44" i="53" s="1"/>
  <c r="O41" i="53"/>
  <c r="AV44" i="53" s="1"/>
  <c r="N41" i="53"/>
  <c r="AU44" i="53" s="1"/>
  <c r="M41" i="53"/>
  <c r="AT44" i="53" s="1"/>
  <c r="L41" i="53"/>
  <c r="AS44" i="53" s="1"/>
  <c r="AQ76" i="53" s="1"/>
  <c r="K41" i="53"/>
  <c r="AR44" i="53" s="1"/>
  <c r="J41" i="53"/>
  <c r="AQ44" i="53" s="1"/>
  <c r="I41" i="53"/>
  <c r="AP44" i="53" s="1"/>
  <c r="H41" i="53"/>
  <c r="AO44" i="53" s="1"/>
  <c r="AP76" i="53" s="1"/>
  <c r="BM39" i="53" l="1"/>
  <c r="BL39" i="53"/>
  <c r="BK39" i="53"/>
  <c r="BJ39" i="53"/>
  <c r="BI39" i="53"/>
  <c r="BH39" i="53"/>
  <c r="BG39" i="53"/>
  <c r="BF39" i="53"/>
  <c r="BE39" i="53"/>
  <c r="BD39" i="53"/>
  <c r="BC39" i="53"/>
  <c r="BB39" i="53"/>
  <c r="BA39" i="53"/>
  <c r="AZ39" i="53"/>
  <c r="AY39" i="53"/>
  <c r="AX39" i="53"/>
  <c r="AW39" i="53"/>
  <c r="AV39" i="53"/>
  <c r="AU39" i="53"/>
  <c r="AT39" i="53"/>
  <c r="AS39" i="53"/>
  <c r="AR39" i="53"/>
  <c r="AQ39" i="53"/>
  <c r="AP39" i="53"/>
  <c r="AO39" i="53"/>
  <c r="BM38" i="53"/>
  <c r="BL38" i="53"/>
  <c r="BK38" i="53"/>
  <c r="BJ38" i="53"/>
  <c r="BI38" i="53"/>
  <c r="BH38" i="53"/>
  <c r="BG38" i="53"/>
  <c r="BF38" i="53"/>
  <c r="BE38" i="53"/>
  <c r="BD38" i="53"/>
  <c r="BC38" i="53"/>
  <c r="BB38" i="53"/>
  <c r="BA38" i="53"/>
  <c r="AZ38" i="53"/>
  <c r="AY38" i="53"/>
  <c r="AX38" i="53"/>
  <c r="AW38" i="53"/>
  <c r="AV38" i="53"/>
  <c r="AU38" i="53"/>
  <c r="AT38" i="53"/>
  <c r="AS38" i="53"/>
  <c r="AR38" i="53"/>
  <c r="AQ38" i="53"/>
  <c r="AP38" i="53"/>
  <c r="AO38" i="53"/>
  <c r="BM37" i="53"/>
  <c r="BL37" i="53"/>
  <c r="BK37" i="53"/>
  <c r="BJ37" i="53"/>
  <c r="BI37" i="53"/>
  <c r="BH37" i="53"/>
  <c r="BG37" i="53"/>
  <c r="BF37" i="53"/>
  <c r="BE37" i="53"/>
  <c r="BD37" i="53"/>
  <c r="BC37" i="53"/>
  <c r="BB37" i="53"/>
  <c r="BA37" i="53"/>
  <c r="AZ37" i="53"/>
  <c r="AY37" i="53"/>
  <c r="AX37" i="53"/>
  <c r="AW37" i="53"/>
  <c r="AV37" i="53"/>
  <c r="AU37" i="53"/>
  <c r="AT37" i="53"/>
  <c r="AS37" i="53"/>
  <c r="AR37" i="53"/>
  <c r="AQ37" i="53"/>
  <c r="AP37" i="53"/>
  <c r="AO37" i="53"/>
  <c r="BM36" i="53"/>
  <c r="BL36" i="53"/>
  <c r="BK36" i="53"/>
  <c r="BJ36" i="53"/>
  <c r="BI36" i="53"/>
  <c r="BH36" i="53"/>
  <c r="BG36" i="53"/>
  <c r="BF36" i="53"/>
  <c r="BE36" i="53"/>
  <c r="BD36" i="53"/>
  <c r="BC36" i="53"/>
  <c r="BB36" i="53"/>
  <c r="BA36" i="53"/>
  <c r="AZ36" i="53"/>
  <c r="AY36" i="53"/>
  <c r="AX36" i="53"/>
  <c r="AW36" i="53"/>
  <c r="AV36" i="53"/>
  <c r="AU36" i="53"/>
  <c r="AT36" i="53"/>
  <c r="AS36" i="53"/>
  <c r="AR36" i="53"/>
  <c r="AQ36" i="53"/>
  <c r="AP36" i="53"/>
  <c r="AO36" i="53"/>
  <c r="BM35" i="53"/>
  <c r="BL35" i="53"/>
  <c r="BK35" i="53"/>
  <c r="BJ35" i="53"/>
  <c r="BI35" i="53"/>
  <c r="BH35" i="53"/>
  <c r="BG35" i="53"/>
  <c r="BF35" i="53"/>
  <c r="BE35" i="53"/>
  <c r="BD35" i="53"/>
  <c r="BC35" i="53"/>
  <c r="BB35" i="53"/>
  <c r="BA35" i="53"/>
  <c r="AZ35" i="53"/>
  <c r="AY35" i="53"/>
  <c r="AX35" i="53"/>
  <c r="AW35" i="53"/>
  <c r="AV35" i="53"/>
  <c r="AU35" i="53"/>
  <c r="AT35" i="53"/>
  <c r="AS35" i="53"/>
  <c r="AR35" i="53"/>
  <c r="AQ35" i="53"/>
  <c r="AP35" i="53"/>
  <c r="AO35" i="53"/>
  <c r="BM34" i="53"/>
  <c r="BL34" i="53"/>
  <c r="BK34" i="53"/>
  <c r="BJ34" i="53"/>
  <c r="BI34" i="53"/>
  <c r="BH34" i="53"/>
  <c r="BG34" i="53"/>
  <c r="BF34" i="53"/>
  <c r="BE34" i="53"/>
  <c r="BD34" i="53"/>
  <c r="BC34" i="53"/>
  <c r="BB34" i="53"/>
  <c r="BA34" i="53"/>
  <c r="AZ34" i="53"/>
  <c r="AY34" i="53"/>
  <c r="AX34" i="53"/>
  <c r="AW34" i="53"/>
  <c r="AV34" i="53"/>
  <c r="AU34" i="53"/>
  <c r="AT34" i="53"/>
  <c r="AS34" i="53"/>
  <c r="AR34" i="53"/>
  <c r="AQ34" i="53"/>
  <c r="AP34" i="53"/>
  <c r="AO34" i="53"/>
  <c r="BM31" i="53"/>
  <c r="BL31" i="53"/>
  <c r="BK31" i="53"/>
  <c r="BJ31" i="53"/>
  <c r="BI31" i="53"/>
  <c r="BH31" i="53"/>
  <c r="BG31" i="53"/>
  <c r="BF31" i="53"/>
  <c r="BE31" i="53"/>
  <c r="BD31" i="53"/>
  <c r="BC31" i="53"/>
  <c r="BB31" i="53"/>
  <c r="BA31" i="53"/>
  <c r="AZ31" i="53"/>
  <c r="AY31" i="53"/>
  <c r="AX31" i="53"/>
  <c r="AW31" i="53"/>
  <c r="AV31" i="53"/>
  <c r="AU31" i="53"/>
  <c r="AT31" i="53"/>
  <c r="AS31" i="53"/>
  <c r="AR31" i="53"/>
  <c r="AQ31" i="53"/>
  <c r="AP31" i="53"/>
  <c r="AO31" i="53"/>
  <c r="BM30" i="53"/>
  <c r="BL30" i="53"/>
  <c r="BK30" i="53"/>
  <c r="BJ30" i="53"/>
  <c r="BI30" i="53"/>
  <c r="BH30" i="53"/>
  <c r="BG30" i="53"/>
  <c r="BF30" i="53"/>
  <c r="BE30" i="53"/>
  <c r="BD30" i="53"/>
  <c r="BC30" i="53"/>
  <c r="BB30" i="53"/>
  <c r="BA30" i="53"/>
  <c r="AZ30" i="53"/>
  <c r="AY30" i="53"/>
  <c r="AX30" i="53"/>
  <c r="AW30" i="53"/>
  <c r="AV30" i="53"/>
  <c r="AU30" i="53"/>
  <c r="AT30" i="53"/>
  <c r="AS30" i="53"/>
  <c r="AR30" i="53"/>
  <c r="AQ30" i="53"/>
  <c r="AP30" i="53"/>
  <c r="AO30" i="53"/>
  <c r="BM29" i="53"/>
  <c r="BL29" i="53"/>
  <c r="BK29" i="53"/>
  <c r="BJ29" i="53"/>
  <c r="BI29" i="53"/>
  <c r="BH29" i="53"/>
  <c r="BG29" i="53"/>
  <c r="BF29" i="53"/>
  <c r="BE29" i="53"/>
  <c r="BD29" i="53"/>
  <c r="BC29" i="53"/>
  <c r="BB29" i="53"/>
  <c r="BA29" i="53"/>
  <c r="AZ29" i="53"/>
  <c r="AY29" i="53"/>
  <c r="AX29" i="53"/>
  <c r="AW29" i="53"/>
  <c r="AV29" i="53"/>
  <c r="AU29" i="53"/>
  <c r="AT29" i="53"/>
  <c r="AS29" i="53"/>
  <c r="AR29" i="53"/>
  <c r="AQ29" i="53"/>
  <c r="AP29" i="53"/>
  <c r="AO29" i="53"/>
  <c r="BM28" i="53"/>
  <c r="BL28" i="53"/>
  <c r="BK28" i="53"/>
  <c r="BJ28" i="53"/>
  <c r="BI28" i="53"/>
  <c r="BH28" i="53"/>
  <c r="BG28" i="53"/>
  <c r="BF28" i="53"/>
  <c r="BE28" i="53"/>
  <c r="BD28" i="53"/>
  <c r="BC28" i="53"/>
  <c r="BB28" i="53"/>
  <c r="BA28" i="53"/>
  <c r="AZ28" i="53"/>
  <c r="AY28" i="53"/>
  <c r="AX28" i="53"/>
  <c r="AW28" i="53"/>
  <c r="AV28" i="53"/>
  <c r="AU28" i="53"/>
  <c r="AT28" i="53"/>
  <c r="AS28" i="53"/>
  <c r="AR28" i="53"/>
  <c r="AQ28" i="53"/>
  <c r="AP28" i="53"/>
  <c r="AO28" i="53"/>
  <c r="BM27" i="53"/>
  <c r="BL27" i="53"/>
  <c r="BK27" i="53"/>
  <c r="BJ27" i="53"/>
  <c r="BI27" i="53"/>
  <c r="BH27" i="53"/>
  <c r="BG27" i="53"/>
  <c r="BF27" i="53"/>
  <c r="BE27" i="53"/>
  <c r="BD27" i="53"/>
  <c r="BC27" i="53"/>
  <c r="BB27" i="53"/>
  <c r="BA27" i="53"/>
  <c r="AZ27" i="53"/>
  <c r="AY27" i="53"/>
  <c r="AX27" i="53"/>
  <c r="AW27" i="53"/>
  <c r="AV27" i="53"/>
  <c r="AU27" i="53"/>
  <c r="AT27" i="53"/>
  <c r="AS27" i="53"/>
  <c r="AR27" i="53"/>
  <c r="AQ27" i="53"/>
  <c r="AP27" i="53"/>
  <c r="AO27" i="53"/>
  <c r="BM24" i="53"/>
  <c r="BL24" i="53"/>
  <c r="BK24" i="53"/>
  <c r="BJ24" i="53"/>
  <c r="BI24" i="53"/>
  <c r="BH24" i="53"/>
  <c r="BG24" i="53"/>
  <c r="BF24" i="53"/>
  <c r="BE24" i="53"/>
  <c r="BD24" i="53"/>
  <c r="BC24" i="53"/>
  <c r="BB24" i="53"/>
  <c r="BA24" i="53"/>
  <c r="AZ24" i="53"/>
  <c r="AY24" i="53"/>
  <c r="AX24" i="53"/>
  <c r="AW24" i="53"/>
  <c r="AV24" i="53"/>
  <c r="AU24" i="53"/>
  <c r="AT24" i="53"/>
  <c r="AS24" i="53"/>
  <c r="AR24" i="53"/>
  <c r="AQ24" i="53"/>
  <c r="AP24" i="53"/>
  <c r="AO24" i="53"/>
  <c r="BM23" i="53"/>
  <c r="BL23" i="53"/>
  <c r="BK23" i="53"/>
  <c r="BJ23" i="53"/>
  <c r="BI23" i="53"/>
  <c r="BH23" i="53"/>
  <c r="BG23" i="53"/>
  <c r="BF23" i="53"/>
  <c r="BE23" i="53"/>
  <c r="BD23" i="53"/>
  <c r="BC23" i="53"/>
  <c r="BB23" i="53"/>
  <c r="BA23" i="53"/>
  <c r="AZ23" i="53"/>
  <c r="AY23" i="53"/>
  <c r="AX23" i="53"/>
  <c r="AW23" i="53"/>
  <c r="AV23" i="53"/>
  <c r="AU23" i="53"/>
  <c r="AT23" i="53"/>
  <c r="AS23" i="53"/>
  <c r="AR23" i="53"/>
  <c r="AQ23" i="53"/>
  <c r="AP23" i="53"/>
  <c r="AO23" i="53"/>
  <c r="BM22" i="53"/>
  <c r="BL22" i="53"/>
  <c r="BK22" i="53"/>
  <c r="BJ22" i="53"/>
  <c r="BI22" i="53"/>
  <c r="BH22" i="53"/>
  <c r="BG22" i="53"/>
  <c r="BF22" i="53"/>
  <c r="BE22" i="53"/>
  <c r="BD22" i="53"/>
  <c r="BC22" i="53"/>
  <c r="BB22" i="53"/>
  <c r="BA22" i="53"/>
  <c r="AZ22" i="53"/>
  <c r="AY22" i="53"/>
  <c r="AX22" i="53"/>
  <c r="AW22" i="53"/>
  <c r="AV22" i="53"/>
  <c r="AU22" i="53"/>
  <c r="AT22" i="53"/>
  <c r="AS22" i="53"/>
  <c r="AR22" i="53"/>
  <c r="AQ22" i="53"/>
  <c r="AP22" i="53"/>
  <c r="AO22" i="53"/>
  <c r="BM21" i="53"/>
  <c r="BL21" i="53"/>
  <c r="BK21" i="53"/>
  <c r="BJ21" i="53"/>
  <c r="BI21" i="53"/>
  <c r="BH21" i="53"/>
  <c r="BG21" i="53"/>
  <c r="BF21" i="53"/>
  <c r="BE21" i="53"/>
  <c r="BD21" i="53"/>
  <c r="BC21" i="53"/>
  <c r="BB21" i="53"/>
  <c r="BA21" i="53"/>
  <c r="AZ21" i="53"/>
  <c r="AY21" i="53"/>
  <c r="AX21" i="53"/>
  <c r="AW21" i="53"/>
  <c r="AV21" i="53"/>
  <c r="AU21" i="53"/>
  <c r="AT21" i="53"/>
  <c r="AS21" i="53"/>
  <c r="AR21" i="53"/>
  <c r="AQ21" i="53"/>
  <c r="AP21" i="53"/>
  <c r="AO21" i="53"/>
  <c r="BM18" i="53"/>
  <c r="BL18" i="53"/>
  <c r="BK18" i="53"/>
  <c r="BJ18" i="53"/>
  <c r="BI18" i="53"/>
  <c r="BH18" i="53"/>
  <c r="BG18" i="53"/>
  <c r="BF18" i="53"/>
  <c r="BE18" i="53"/>
  <c r="BD18" i="53"/>
  <c r="BC18" i="53"/>
  <c r="BB18" i="53"/>
  <c r="BA18" i="53"/>
  <c r="AZ18" i="53"/>
  <c r="AY18" i="53"/>
  <c r="AX18" i="53"/>
  <c r="AW18" i="53"/>
  <c r="AV18" i="53"/>
  <c r="AU18" i="53"/>
  <c r="AT18" i="53"/>
  <c r="AS18" i="53"/>
  <c r="AR18" i="53"/>
  <c r="AQ18" i="53"/>
  <c r="AP18" i="53"/>
  <c r="AO18" i="53"/>
  <c r="BM17" i="53"/>
  <c r="BL17" i="53"/>
  <c r="BK17" i="53"/>
  <c r="BJ17" i="53"/>
  <c r="BI17" i="53"/>
  <c r="BH17" i="53"/>
  <c r="BG17" i="53"/>
  <c r="BF17" i="53"/>
  <c r="BE17" i="53"/>
  <c r="BD17" i="53"/>
  <c r="BC17" i="53"/>
  <c r="BB17" i="53"/>
  <c r="BA17" i="53"/>
  <c r="AZ17" i="53"/>
  <c r="AY17" i="53"/>
  <c r="AX17" i="53"/>
  <c r="AW17" i="53"/>
  <c r="AV17" i="53"/>
  <c r="AU17" i="53"/>
  <c r="AT17" i="53"/>
  <c r="AS17" i="53"/>
  <c r="AR17" i="53"/>
  <c r="AQ17" i="53"/>
  <c r="AP17" i="53"/>
  <c r="AO17" i="53"/>
  <c r="BM16" i="53"/>
  <c r="BL16" i="53"/>
  <c r="BK16" i="53"/>
  <c r="BJ16" i="53"/>
  <c r="BI16" i="53"/>
  <c r="BH16" i="53"/>
  <c r="BG16" i="53"/>
  <c r="BF16" i="53"/>
  <c r="BE16" i="53"/>
  <c r="BD16" i="53"/>
  <c r="BC16" i="53"/>
  <c r="BB16" i="53"/>
  <c r="BA16" i="53"/>
  <c r="AZ16" i="53"/>
  <c r="AY16" i="53"/>
  <c r="AX16" i="53"/>
  <c r="AW16" i="53"/>
  <c r="AV16" i="53"/>
  <c r="AU16" i="53"/>
  <c r="AT16" i="53"/>
  <c r="AS16" i="53"/>
  <c r="AR16" i="53"/>
  <c r="AQ16" i="53"/>
  <c r="AP16" i="53"/>
  <c r="AO16" i="53"/>
  <c r="BM15" i="53"/>
  <c r="BL15" i="53"/>
  <c r="BK15" i="53"/>
  <c r="BJ15" i="53"/>
  <c r="BI15" i="53"/>
  <c r="BH15" i="53"/>
  <c r="BG15" i="53"/>
  <c r="BF15" i="53"/>
  <c r="BE15" i="53"/>
  <c r="BD15" i="53"/>
  <c r="BC15" i="53"/>
  <c r="BB15" i="53"/>
  <c r="BA15" i="53"/>
  <c r="AZ15" i="53"/>
  <c r="AY15" i="53"/>
  <c r="AX15" i="53"/>
  <c r="AW15" i="53"/>
  <c r="AV15" i="53"/>
  <c r="AU15" i="53"/>
  <c r="AT15" i="53"/>
  <c r="AS15" i="53"/>
  <c r="AR15" i="53"/>
  <c r="AQ15" i="53"/>
  <c r="AP15" i="53"/>
  <c r="AO15" i="53"/>
  <c r="AP9" i="53"/>
  <c r="AQ9" i="53"/>
  <c r="AR9" i="53"/>
  <c r="AS9" i="53"/>
  <c r="AT9" i="53"/>
  <c r="AU9" i="53"/>
  <c r="AV9" i="53"/>
  <c r="AW9" i="53"/>
  <c r="AX9" i="53"/>
  <c r="AY9" i="53"/>
  <c r="AZ9" i="53"/>
  <c r="BA9" i="53"/>
  <c r="BB9" i="53"/>
  <c r="BC9" i="53"/>
  <c r="BD9" i="53"/>
  <c r="BE9" i="53"/>
  <c r="BF9" i="53"/>
  <c r="BG9" i="53"/>
  <c r="BH9" i="53"/>
  <c r="BI9" i="53"/>
  <c r="BJ9" i="53"/>
  <c r="BK9" i="53"/>
  <c r="BL9" i="53"/>
  <c r="BM9" i="53"/>
  <c r="AP10" i="53"/>
  <c r="AQ10" i="53"/>
  <c r="AR10" i="53"/>
  <c r="AS10" i="53"/>
  <c r="AT10" i="53"/>
  <c r="AU10" i="53"/>
  <c r="AV10" i="53"/>
  <c r="AW10" i="53"/>
  <c r="AX10" i="53"/>
  <c r="AY10" i="53"/>
  <c r="AZ10" i="53"/>
  <c r="BA10" i="53"/>
  <c r="BB10" i="53"/>
  <c r="BC10" i="53"/>
  <c r="BD10" i="53"/>
  <c r="BE10" i="53"/>
  <c r="BF10" i="53"/>
  <c r="BG10" i="53"/>
  <c r="BH10" i="53"/>
  <c r="BI10" i="53"/>
  <c r="BJ10" i="53"/>
  <c r="BK10" i="53"/>
  <c r="BL10" i="53"/>
  <c r="BM10" i="53"/>
  <c r="AP11" i="53"/>
  <c r="AQ11" i="53"/>
  <c r="AR11" i="53"/>
  <c r="AS11" i="53"/>
  <c r="AT11" i="53"/>
  <c r="AU11" i="53"/>
  <c r="AV11" i="53"/>
  <c r="AW11" i="53"/>
  <c r="AY11" i="53"/>
  <c r="AZ11" i="53"/>
  <c r="BA11" i="53"/>
  <c r="BB11" i="53"/>
  <c r="BC11" i="53"/>
  <c r="BD11" i="53"/>
  <c r="BE11" i="53"/>
  <c r="BF11" i="53"/>
  <c r="BG11" i="53"/>
  <c r="BH11" i="53"/>
  <c r="BI11" i="53"/>
  <c r="BJ11" i="53"/>
  <c r="BK11" i="53"/>
  <c r="BL11" i="53"/>
  <c r="BM11" i="53"/>
  <c r="AP12" i="53"/>
  <c r="AQ12" i="53"/>
  <c r="AR12" i="53"/>
  <c r="AS12" i="53"/>
  <c r="AT12" i="53"/>
  <c r="AU12" i="53"/>
  <c r="AV12" i="53"/>
  <c r="AW12" i="53"/>
  <c r="AX12" i="53"/>
  <c r="AY12" i="53"/>
  <c r="AZ12" i="53"/>
  <c r="BA12" i="53"/>
  <c r="BB12" i="53"/>
  <c r="BC12" i="53"/>
  <c r="BD12" i="53"/>
  <c r="BE12" i="53"/>
  <c r="BF12" i="53"/>
  <c r="BG12" i="53"/>
  <c r="BH12" i="53"/>
  <c r="BI12" i="53"/>
  <c r="BJ12" i="53"/>
  <c r="BK12" i="53"/>
  <c r="BL12" i="53"/>
  <c r="BM12" i="53"/>
  <c r="AO10" i="53"/>
  <c r="AO11" i="53"/>
  <c r="AO12" i="53"/>
  <c r="AO9" i="53"/>
  <c r="AX50" i="53" l="1"/>
  <c r="AR82" i="53" s="1"/>
  <c r="AO51" i="53"/>
  <c r="AP83" i="53" s="1"/>
  <c r="AW51" i="53"/>
  <c r="BE51" i="53"/>
  <c r="BM51" i="53"/>
  <c r="AU83" i="53" s="1"/>
  <c r="AS52" i="53"/>
  <c r="AQ84" i="53" s="1"/>
  <c r="BA52" i="53"/>
  <c r="BI52" i="53"/>
  <c r="AV53" i="53"/>
  <c r="BD53" i="53"/>
  <c r="BL53" i="53"/>
  <c r="AQ54" i="53"/>
  <c r="AY54" i="53"/>
  <c r="BG54" i="53"/>
  <c r="BJ50" i="53"/>
  <c r="BJ55" i="53"/>
  <c r="AT50" i="53"/>
  <c r="AT55" i="53"/>
  <c r="BI50" i="53"/>
  <c r="BI55" i="53"/>
  <c r="AS50" i="53"/>
  <c r="AQ82" i="53" s="1"/>
  <c r="AS55" i="53"/>
  <c r="AQ87" i="53" s="1"/>
  <c r="BF51" i="53"/>
  <c r="AW53" i="53"/>
  <c r="AO55" i="53"/>
  <c r="AP87" i="53" s="1"/>
  <c r="AO50" i="53"/>
  <c r="AP82" i="53" s="1"/>
  <c r="AQ51" i="53"/>
  <c r="BG51" i="53"/>
  <c r="BC52" i="53"/>
  <c r="AS84" i="53" s="1"/>
  <c r="BF53" i="53"/>
  <c r="BA54" i="53"/>
  <c r="BG55" i="53"/>
  <c r="BG50" i="53"/>
  <c r="AY55" i="53"/>
  <c r="AY50" i="53"/>
  <c r="AQ55" i="53"/>
  <c r="AQ50" i="53"/>
  <c r="AR51" i="53"/>
  <c r="AZ51" i="53"/>
  <c r="BH51" i="53"/>
  <c r="AT83" i="53" s="1"/>
  <c r="AV52" i="53"/>
  <c r="BD52" i="53"/>
  <c r="BL52" i="53"/>
  <c r="AQ53" i="53"/>
  <c r="AY53" i="53"/>
  <c r="BG53" i="53"/>
  <c r="AT54" i="53"/>
  <c r="BB54" i="53"/>
  <c r="BJ54" i="53"/>
  <c r="AP51" i="53"/>
  <c r="BB52" i="53"/>
  <c r="AO53" i="53"/>
  <c r="AP85" i="53" s="1"/>
  <c r="AR87" i="53"/>
  <c r="AP55" i="53"/>
  <c r="AP50" i="53"/>
  <c r="AS51" i="53"/>
  <c r="AQ83" i="53" s="1"/>
  <c r="BA51" i="53"/>
  <c r="BI51" i="53"/>
  <c r="AO52" i="53"/>
  <c r="AP84" i="53" s="1"/>
  <c r="AW52" i="53"/>
  <c r="BE52" i="53"/>
  <c r="BM52" i="53"/>
  <c r="AU84" i="53" s="1"/>
  <c r="AR53" i="53"/>
  <c r="AZ53" i="53"/>
  <c r="BH53" i="53"/>
  <c r="AT85" i="53" s="1"/>
  <c r="AU54" i="53"/>
  <c r="BC54" i="53"/>
  <c r="AS86" i="53" s="1"/>
  <c r="BK54" i="53"/>
  <c r="BB50" i="53"/>
  <c r="BB55" i="53"/>
  <c r="AZ54" i="53"/>
  <c r="AZ55" i="53"/>
  <c r="AZ50" i="53"/>
  <c r="AX53" i="53"/>
  <c r="AR85" i="53" s="1"/>
  <c r="BE55" i="53"/>
  <c r="BE50" i="53"/>
  <c r="AT51" i="53"/>
  <c r="BB51" i="53"/>
  <c r="BJ51" i="53"/>
  <c r="AP52" i="53"/>
  <c r="AX52" i="53"/>
  <c r="AR84" i="53" s="1"/>
  <c r="BF52" i="53"/>
  <c r="AS53" i="53"/>
  <c r="AQ85" i="53" s="1"/>
  <c r="BA53" i="53"/>
  <c r="BI53" i="53"/>
  <c r="AV54" i="53"/>
  <c r="BD54" i="53"/>
  <c r="BL54" i="53"/>
  <c r="BJ52" i="53"/>
  <c r="BM53" i="53"/>
  <c r="AU85" i="53" s="1"/>
  <c r="AR54" i="53"/>
  <c r="AP53" i="53"/>
  <c r="AS54" i="53"/>
  <c r="AQ86" i="53" s="1"/>
  <c r="BF50" i="53"/>
  <c r="BF55" i="53"/>
  <c r="BD55" i="53"/>
  <c r="BD50" i="53"/>
  <c r="AU51" i="53"/>
  <c r="BC51" i="53"/>
  <c r="AS83" i="53" s="1"/>
  <c r="BK51" i="53"/>
  <c r="AQ52" i="53"/>
  <c r="AY52" i="53"/>
  <c r="BG52" i="53"/>
  <c r="AT53" i="53"/>
  <c r="BB53" i="53"/>
  <c r="BJ53" i="53"/>
  <c r="AO54" i="53"/>
  <c r="AP86" i="53" s="1"/>
  <c r="AW54" i="53"/>
  <c r="BE54" i="53"/>
  <c r="BM54" i="53"/>
  <c r="AU86" i="53" s="1"/>
  <c r="BA50" i="53"/>
  <c r="BA55" i="53"/>
  <c r="AX51" i="53"/>
  <c r="AR83" i="53" s="1"/>
  <c r="AT52" i="53"/>
  <c r="BE53" i="53"/>
  <c r="BH54" i="53"/>
  <c r="AT86" i="53" s="1"/>
  <c r="BH50" i="53"/>
  <c r="AT82" i="53" s="1"/>
  <c r="BH55" i="53"/>
  <c r="AT87" i="53" s="1"/>
  <c r="AR55" i="53"/>
  <c r="AR50" i="53"/>
  <c r="AY51" i="53"/>
  <c r="AU52" i="53"/>
  <c r="BK52" i="53"/>
  <c r="BI54" i="53"/>
  <c r="BM55" i="53"/>
  <c r="AU87" i="53" s="1"/>
  <c r="BM50" i="53"/>
  <c r="AU82" i="53" s="1"/>
  <c r="AW55" i="53"/>
  <c r="AW50" i="53"/>
  <c r="BL55" i="53"/>
  <c r="BL50" i="53"/>
  <c r="AV50" i="53"/>
  <c r="AV55" i="53"/>
  <c r="BK50" i="53"/>
  <c r="BK55" i="53"/>
  <c r="BC55" i="53"/>
  <c r="AS87" i="53" s="1"/>
  <c r="BC50" i="53"/>
  <c r="AS82" i="53" s="1"/>
  <c r="AU50" i="53"/>
  <c r="AU55" i="53"/>
  <c r="AV51" i="53"/>
  <c r="BD51" i="53"/>
  <c r="BL51" i="53"/>
  <c r="AR52" i="53"/>
  <c r="AZ52" i="53"/>
  <c r="BH52" i="53"/>
  <c r="AT84" i="53" s="1"/>
  <c r="AU53" i="53"/>
  <c r="BC53" i="53"/>
  <c r="AS85" i="53" s="1"/>
  <c r="BK53" i="53"/>
  <c r="AP54" i="53"/>
  <c r="AX54" i="53"/>
  <c r="AR86" i="53" s="1"/>
  <c r="BF54" i="53"/>
  <c r="AS47" i="53"/>
  <c r="AQ79" i="53" s="1"/>
  <c r="AZ47" i="53"/>
  <c r="AV47" i="53"/>
  <c r="BD47" i="53"/>
  <c r="BK47" i="53"/>
  <c r="BG47" i="53"/>
  <c r="BB47" i="53"/>
  <c r="BF47" i="53"/>
  <c r="AR79" i="53"/>
  <c r="AP47" i="53"/>
  <c r="BI47" i="53"/>
  <c r="BH47" i="53"/>
  <c r="AT79" i="53" s="1"/>
  <c r="BC47" i="53"/>
  <c r="AS79" i="53" s="1"/>
  <c r="AQ47" i="53"/>
  <c r="AW47" i="53"/>
  <c r="BA47" i="53"/>
  <c r="AR47" i="53"/>
  <c r="AU47" i="53"/>
  <c r="AY47" i="53"/>
  <c r="AT47" i="53"/>
  <c r="BE47" i="53"/>
  <c r="AO47" i="53"/>
  <c r="AP79" i="53" s="1"/>
  <c r="BL47" i="53"/>
  <c r="BJ47" i="53"/>
  <c r="BM47" i="53"/>
  <c r="AU79" i="53" s="1"/>
  <c r="Q415" i="70" l="1"/>
  <c r="P415" i="70"/>
  <c r="O415" i="70"/>
  <c r="AM36" i="70" l="1"/>
  <c r="AN36" i="70"/>
  <c r="AO36" i="70"/>
  <c r="AP36" i="70"/>
  <c r="AQ36" i="70"/>
  <c r="AR36" i="70"/>
  <c r="AS36" i="70"/>
  <c r="AT36" i="70"/>
  <c r="AU36" i="70"/>
  <c r="AV36" i="70"/>
  <c r="AW36" i="70"/>
  <c r="AX36" i="70"/>
  <c r="AY36" i="70"/>
  <c r="AZ36" i="70"/>
  <c r="BA36" i="70"/>
  <c r="BB36" i="70"/>
  <c r="BC36" i="70"/>
  <c r="BD36" i="70"/>
  <c r="BE36" i="70"/>
  <c r="BF36" i="70"/>
  <c r="BG36" i="70"/>
  <c r="BH36" i="70"/>
  <c r="BI36" i="70"/>
  <c r="BJ36" i="70"/>
  <c r="AM37" i="70"/>
  <c r="AN37" i="70"/>
  <c r="AO37" i="70"/>
  <c r="AP37" i="70"/>
  <c r="AQ37" i="70"/>
  <c r="AR37" i="70"/>
  <c r="AS37" i="70"/>
  <c r="AT37" i="70"/>
  <c r="AU37" i="70"/>
  <c r="AV37" i="70"/>
  <c r="AW37" i="70"/>
  <c r="AX37" i="70"/>
  <c r="AY37" i="70"/>
  <c r="AZ37" i="70"/>
  <c r="BA37" i="70"/>
  <c r="BB37" i="70"/>
  <c r="BC37" i="70"/>
  <c r="BD37" i="70"/>
  <c r="BE37" i="70"/>
  <c r="BF37" i="70"/>
  <c r="BG37" i="70"/>
  <c r="BH37" i="70"/>
  <c r="BI37" i="70"/>
  <c r="BJ37" i="70"/>
  <c r="AM38" i="70"/>
  <c r="AN38" i="70"/>
  <c r="AO38" i="70"/>
  <c r="AP38" i="70"/>
  <c r="AQ38" i="70"/>
  <c r="AR38" i="70"/>
  <c r="AS38" i="70"/>
  <c r="AT38" i="70"/>
  <c r="AU38" i="70"/>
  <c r="AV38" i="70"/>
  <c r="AW38" i="70"/>
  <c r="AX38" i="70"/>
  <c r="AY38" i="70"/>
  <c r="AZ38" i="70"/>
  <c r="BA38" i="70"/>
  <c r="BB38" i="70"/>
  <c r="BC38" i="70"/>
  <c r="BD38" i="70"/>
  <c r="BE38" i="70"/>
  <c r="BF38" i="70"/>
  <c r="BG38" i="70"/>
  <c r="BH38" i="70"/>
  <c r="BI38" i="70"/>
  <c r="BJ38" i="70"/>
  <c r="AM39" i="70"/>
  <c r="AN39" i="70"/>
  <c r="AO39" i="70"/>
  <c r="AP39" i="70"/>
  <c r="AQ39" i="70"/>
  <c r="AR39" i="70"/>
  <c r="AS39" i="70"/>
  <c r="AT39" i="70"/>
  <c r="AU39" i="70"/>
  <c r="AV39" i="70"/>
  <c r="AW39" i="70"/>
  <c r="AX39" i="70"/>
  <c r="AY39" i="70"/>
  <c r="AZ39" i="70"/>
  <c r="BA39" i="70"/>
  <c r="BB39" i="70"/>
  <c r="BC39" i="70"/>
  <c r="BD39" i="70"/>
  <c r="BE39" i="70"/>
  <c r="BF39" i="70"/>
  <c r="BG39" i="70"/>
  <c r="BH39" i="70"/>
  <c r="BI39" i="70"/>
  <c r="BJ39" i="70"/>
  <c r="AM40" i="70"/>
  <c r="AN40" i="70"/>
  <c r="AO40" i="70"/>
  <c r="AP40" i="70"/>
  <c r="AQ40" i="70"/>
  <c r="AR40" i="70"/>
  <c r="AS40" i="70"/>
  <c r="AT40" i="70"/>
  <c r="AU40" i="70"/>
  <c r="AV40" i="70"/>
  <c r="AW40" i="70"/>
  <c r="AX40" i="70"/>
  <c r="AY40" i="70"/>
  <c r="AZ40" i="70"/>
  <c r="BA40" i="70"/>
  <c r="BB40" i="70"/>
  <c r="BC40" i="70"/>
  <c r="BD40" i="70"/>
  <c r="BE40" i="70"/>
  <c r="BF40" i="70"/>
  <c r="BG40" i="70"/>
  <c r="BH40" i="70"/>
  <c r="BI40" i="70"/>
  <c r="BJ40" i="70"/>
  <c r="AL37" i="70"/>
  <c r="AL38" i="70"/>
  <c r="AL39" i="70"/>
  <c r="AL40" i="70"/>
  <c r="AL36" i="70"/>
  <c r="I431" i="70" l="1"/>
  <c r="J431" i="70"/>
  <c r="K431" i="70"/>
  <c r="L431" i="70"/>
  <c r="M431" i="70"/>
  <c r="N431" i="70"/>
  <c r="O431" i="70"/>
  <c r="P431" i="70"/>
  <c r="Q431" i="70"/>
  <c r="R431" i="70"/>
  <c r="S431" i="70"/>
  <c r="T431" i="70"/>
  <c r="U431" i="70"/>
  <c r="V431" i="70"/>
  <c r="W431" i="70"/>
  <c r="X431" i="70"/>
  <c r="Y431" i="70"/>
  <c r="Z431" i="70"/>
  <c r="AA431" i="70"/>
  <c r="AB431" i="70"/>
  <c r="AC431" i="70"/>
  <c r="AD431" i="70"/>
  <c r="AE431" i="70"/>
  <c r="AF431" i="70"/>
  <c r="I432" i="70"/>
  <c r="J432" i="70"/>
  <c r="K432" i="70"/>
  <c r="L432" i="70"/>
  <c r="M432" i="70"/>
  <c r="N432" i="70"/>
  <c r="O432" i="70"/>
  <c r="P432" i="70"/>
  <c r="Q432" i="70"/>
  <c r="R432" i="70"/>
  <c r="S432" i="70"/>
  <c r="T432" i="70"/>
  <c r="U432" i="70"/>
  <c r="V432" i="70"/>
  <c r="W432" i="70"/>
  <c r="X432" i="70"/>
  <c r="Y432" i="70"/>
  <c r="Z432" i="70"/>
  <c r="AA432" i="70"/>
  <c r="AB432" i="70"/>
  <c r="AC432" i="70"/>
  <c r="AD432" i="70"/>
  <c r="AE432" i="70"/>
  <c r="AF432" i="70"/>
  <c r="I433" i="70"/>
  <c r="J433" i="70"/>
  <c r="K433" i="70"/>
  <c r="L433" i="70"/>
  <c r="M433" i="70"/>
  <c r="N433" i="70"/>
  <c r="O433" i="70"/>
  <c r="P433" i="70"/>
  <c r="Q433" i="70"/>
  <c r="R433" i="70"/>
  <c r="S433" i="70"/>
  <c r="T433" i="70"/>
  <c r="U433" i="70"/>
  <c r="V433" i="70"/>
  <c r="W433" i="70"/>
  <c r="X433" i="70"/>
  <c r="Y433" i="70"/>
  <c r="Z433" i="70"/>
  <c r="AA433" i="70"/>
  <c r="AB433" i="70"/>
  <c r="AC433" i="70"/>
  <c r="AD433" i="70"/>
  <c r="AE433" i="70"/>
  <c r="AF433" i="70"/>
  <c r="I434" i="70"/>
  <c r="J434" i="70"/>
  <c r="K434" i="70"/>
  <c r="L434" i="70"/>
  <c r="M434" i="70"/>
  <c r="N434" i="70"/>
  <c r="O434" i="70"/>
  <c r="P434" i="70"/>
  <c r="Q434" i="70"/>
  <c r="R434" i="70"/>
  <c r="S434" i="70"/>
  <c r="T434" i="70"/>
  <c r="U434" i="70"/>
  <c r="V434" i="70"/>
  <c r="W434" i="70"/>
  <c r="X434" i="70"/>
  <c r="Y434" i="70"/>
  <c r="Z434" i="70"/>
  <c r="AA434" i="70"/>
  <c r="AB434" i="70"/>
  <c r="AC434" i="70"/>
  <c r="AD434" i="70"/>
  <c r="AE434" i="70"/>
  <c r="AF434" i="70"/>
  <c r="H434" i="70"/>
  <c r="H433" i="70"/>
  <c r="H432" i="70"/>
  <c r="H431" i="70"/>
  <c r="K425" i="70"/>
  <c r="J425" i="70"/>
  <c r="I425" i="70"/>
  <c r="H425" i="70"/>
  <c r="G425" i="70"/>
  <c r="K424" i="70"/>
  <c r="J424" i="70"/>
  <c r="I424" i="70"/>
  <c r="H424" i="70"/>
  <c r="G424" i="70"/>
  <c r="K423" i="70"/>
  <c r="J423" i="70"/>
  <c r="I423" i="70"/>
  <c r="H423" i="70"/>
  <c r="G423" i="70"/>
  <c r="K422" i="70"/>
  <c r="J422" i="70"/>
  <c r="I422" i="70"/>
  <c r="H422" i="70"/>
  <c r="G422" i="70"/>
  <c r="P426" i="70"/>
  <c r="O412" i="70"/>
  <c r="P412" i="70"/>
  <c r="Q412" i="70"/>
  <c r="R412" i="70"/>
  <c r="S412" i="70"/>
  <c r="O413" i="70"/>
  <c r="P413" i="70"/>
  <c r="Q413" i="70"/>
  <c r="R413" i="70"/>
  <c r="S413" i="70"/>
  <c r="O414" i="70"/>
  <c r="P414" i="70"/>
  <c r="Q414" i="70"/>
  <c r="R414" i="70"/>
  <c r="S414" i="70"/>
  <c r="M435" i="70" l="1"/>
  <c r="M438" i="70" s="1"/>
  <c r="P435" i="70"/>
  <c r="P438" i="70" s="1"/>
  <c r="AC435" i="70"/>
  <c r="AC438" i="70" s="1"/>
  <c r="Q435" i="70"/>
  <c r="Q441" i="70" s="1"/>
  <c r="Z435" i="70"/>
  <c r="Z440" i="70" s="1"/>
  <c r="R435" i="70"/>
  <c r="R440" i="70" s="1"/>
  <c r="J435" i="70"/>
  <c r="J440" i="70" s="1"/>
  <c r="T435" i="70"/>
  <c r="T442" i="70" s="1"/>
  <c r="I435" i="70"/>
  <c r="I441" i="70" s="1"/>
  <c r="AE435" i="70"/>
  <c r="AE442" i="70" s="1"/>
  <c r="W435" i="70"/>
  <c r="W442" i="70" s="1"/>
  <c r="O435" i="70"/>
  <c r="O442" i="70" s="1"/>
  <c r="U435" i="70"/>
  <c r="U439" i="70" s="1"/>
  <c r="Y435" i="70"/>
  <c r="Y438" i="70" s="1"/>
  <c r="AD435" i="70"/>
  <c r="AD442" i="70" s="1"/>
  <c r="V435" i="70"/>
  <c r="V442" i="70" s="1"/>
  <c r="N435" i="70"/>
  <c r="N442" i="70" s="1"/>
  <c r="AF435" i="70"/>
  <c r="AF438" i="70" s="1"/>
  <c r="X435" i="70"/>
  <c r="W440" i="70"/>
  <c r="AB435" i="70"/>
  <c r="AB442" i="70" s="1"/>
  <c r="H435" i="70"/>
  <c r="H439" i="70" s="1"/>
  <c r="L435" i="70"/>
  <c r="L442" i="70" s="1"/>
  <c r="AA435" i="70"/>
  <c r="AA442" i="70" s="1"/>
  <c r="S435" i="70"/>
  <c r="S442" i="70" s="1"/>
  <c r="AC442" i="70"/>
  <c r="AC441" i="70"/>
  <c r="M441" i="70"/>
  <c r="U438" i="70"/>
  <c r="K435" i="70"/>
  <c r="K442" i="70" s="1"/>
  <c r="M440" i="70"/>
  <c r="G15" i="8"/>
  <c r="H15" i="8" s="1"/>
  <c r="G16" i="8"/>
  <c r="H16" i="8" s="1"/>
  <c r="G17" i="8"/>
  <c r="H17" i="8" s="1"/>
  <c r="G18" i="8"/>
  <c r="H18" i="8" s="1"/>
  <c r="G19" i="8"/>
  <c r="H19" i="8" s="1"/>
  <c r="G20" i="8"/>
  <c r="H20" i="8" s="1"/>
  <c r="G21" i="8"/>
  <c r="H21" i="8" s="1"/>
  <c r="G22" i="8"/>
  <c r="H22" i="8" s="1"/>
  <c r="G23" i="8"/>
  <c r="H23" i="8" s="1"/>
  <c r="G24" i="8"/>
  <c r="H24" i="8" s="1"/>
  <c r="G25" i="8"/>
  <c r="H25" i="8" s="1"/>
  <c r="G26" i="8"/>
  <c r="H26" i="8" s="1"/>
  <c r="G27" i="8"/>
  <c r="H27" i="8" s="1"/>
  <c r="G28" i="8"/>
  <c r="H28" i="8" s="1"/>
  <c r="G29" i="8"/>
  <c r="H29" i="8" s="1"/>
  <c r="G30" i="8"/>
  <c r="H30" i="8" s="1"/>
  <c r="G31" i="8"/>
  <c r="H31" i="8" s="1"/>
  <c r="G32" i="8"/>
  <c r="H32" i="8" s="1"/>
  <c r="G33" i="8"/>
  <c r="H33" i="8" s="1"/>
  <c r="G34" i="8"/>
  <c r="H34" i="8" s="1"/>
  <c r="G35" i="8"/>
  <c r="H35" i="8" s="1"/>
  <c r="G36" i="8"/>
  <c r="H36" i="8" s="1"/>
  <c r="G37" i="8"/>
  <c r="H37" i="8" s="1"/>
  <c r="G38" i="8"/>
  <c r="H38" i="8" s="1"/>
  <c r="G39" i="8"/>
  <c r="H39" i="8" s="1"/>
  <c r="G40" i="8"/>
  <c r="H40" i="8" s="1"/>
  <c r="G41" i="8"/>
  <c r="H41" i="8" s="1"/>
  <c r="G42" i="8"/>
  <c r="H42" i="8" s="1"/>
  <c r="G43" i="8"/>
  <c r="H43" i="8" s="1"/>
  <c r="G44" i="8"/>
  <c r="H44" i="8" s="1"/>
  <c r="G45" i="8"/>
  <c r="H45" i="8" s="1"/>
  <c r="G46" i="8"/>
  <c r="H46" i="8" s="1"/>
  <c r="G47" i="8"/>
  <c r="H47" i="8" s="1"/>
  <c r="G48" i="8"/>
  <c r="H48" i="8" s="1"/>
  <c r="G49" i="8"/>
  <c r="H49" i="8" s="1"/>
  <c r="G50" i="8"/>
  <c r="H50" i="8" s="1"/>
  <c r="G51" i="8"/>
  <c r="H51" i="8" s="1"/>
  <c r="G52" i="8"/>
  <c r="H52" i="8" s="1"/>
  <c r="G53" i="8"/>
  <c r="H53" i="8" s="1"/>
  <c r="G54" i="8"/>
  <c r="H54" i="8" s="1"/>
  <c r="G55" i="8"/>
  <c r="H55" i="8" s="1"/>
  <c r="G56" i="8"/>
  <c r="H56" i="8" s="1"/>
  <c r="G57" i="8"/>
  <c r="H57" i="8" s="1"/>
  <c r="G58" i="8"/>
  <c r="H58" i="8" s="1"/>
  <c r="G59" i="8"/>
  <c r="H59" i="8" s="1"/>
  <c r="G60" i="8"/>
  <c r="H60" i="8" s="1"/>
  <c r="G61" i="8"/>
  <c r="H61" i="8" s="1"/>
  <c r="G62" i="8"/>
  <c r="H62" i="8" s="1"/>
  <c r="G63" i="8"/>
  <c r="H63" i="8" s="1"/>
  <c r="G64" i="8"/>
  <c r="H64" i="8" s="1"/>
  <c r="G65" i="8"/>
  <c r="H65" i="8" s="1"/>
  <c r="G66" i="8"/>
  <c r="H66" i="8" s="1"/>
  <c r="G67" i="8"/>
  <c r="H67" i="8" s="1"/>
  <c r="G68" i="8"/>
  <c r="H68" i="8" s="1"/>
  <c r="G69" i="8"/>
  <c r="H69" i="8" s="1"/>
  <c r="G70" i="8"/>
  <c r="H70" i="8" s="1"/>
  <c r="G71" i="8"/>
  <c r="H71" i="8" s="1"/>
  <c r="G72" i="8"/>
  <c r="H72" i="8" s="1"/>
  <c r="G73" i="8"/>
  <c r="H73" i="8" s="1"/>
  <c r="G74" i="8"/>
  <c r="H74" i="8" s="1"/>
  <c r="G75" i="8"/>
  <c r="H75" i="8" s="1"/>
  <c r="G76" i="8"/>
  <c r="H76" i="8" s="1"/>
  <c r="G77" i="8"/>
  <c r="H77" i="8" s="1"/>
  <c r="G78" i="8"/>
  <c r="H78" i="8" s="1"/>
  <c r="G79" i="8"/>
  <c r="H79" i="8" s="1"/>
  <c r="G14" i="8"/>
  <c r="H14" i="8" s="1"/>
  <c r="Q442" i="70" l="1"/>
  <c r="Z439" i="70"/>
  <c r="W439" i="70"/>
  <c r="AC440" i="70"/>
  <c r="W438" i="70"/>
  <c r="AC439" i="70"/>
  <c r="K438" i="70"/>
  <c r="H438" i="70"/>
  <c r="Y439" i="70"/>
  <c r="U441" i="70"/>
  <c r="Y442" i="70"/>
  <c r="Z438" i="70"/>
  <c r="W441" i="70"/>
  <c r="P442" i="70"/>
  <c r="M442" i="70"/>
  <c r="N441" i="70"/>
  <c r="M439" i="70"/>
  <c r="P439" i="70"/>
  <c r="P440" i="70"/>
  <c r="Y441" i="70"/>
  <c r="T440" i="70"/>
  <c r="Q438" i="70"/>
  <c r="Y440" i="70"/>
  <c r="P441" i="70"/>
  <c r="T438" i="70"/>
  <c r="Q440" i="70"/>
  <c r="O441" i="70"/>
  <c r="Q439" i="70"/>
  <c r="O439" i="70"/>
  <c r="L441" i="70"/>
  <c r="N440" i="70"/>
  <c r="U440" i="70"/>
  <c r="N439" i="70"/>
  <c r="R438" i="70"/>
  <c r="I440" i="70"/>
  <c r="K440" i="70"/>
  <c r="R442" i="70"/>
  <c r="O440" i="70"/>
  <c r="I439" i="70"/>
  <c r="Z441" i="70"/>
  <c r="N438" i="70"/>
  <c r="V438" i="70"/>
  <c r="AE441" i="70"/>
  <c r="V441" i="70"/>
  <c r="AD438" i="70"/>
  <c r="R439" i="70"/>
  <c r="J442" i="70"/>
  <c r="AE440" i="70"/>
  <c r="I438" i="70"/>
  <c r="AD441" i="70"/>
  <c r="U442" i="70"/>
  <c r="AB439" i="70"/>
  <c r="J439" i="70"/>
  <c r="O438" i="70"/>
  <c r="AE439" i="70"/>
  <c r="Z442" i="70"/>
  <c r="V439" i="70"/>
  <c r="T441" i="70"/>
  <c r="J438" i="70"/>
  <c r="AE438" i="70"/>
  <c r="AD439" i="70"/>
  <c r="R441" i="70"/>
  <c r="J441" i="70"/>
  <c r="I442" i="70"/>
  <c r="V440" i="70"/>
  <c r="AD440" i="70"/>
  <c r="T439" i="70"/>
  <c r="AF441" i="70"/>
  <c r="AF439" i="70"/>
  <c r="AF442" i="70"/>
  <c r="AF440" i="70"/>
  <c r="L438" i="70"/>
  <c r="S440" i="70"/>
  <c r="L439" i="70"/>
  <c r="AA439" i="70"/>
  <c r="K441" i="70"/>
  <c r="L440" i="70"/>
  <c r="S439" i="70"/>
  <c r="X441" i="70"/>
  <c r="X442" i="70"/>
  <c r="X440" i="70"/>
  <c r="X439" i="70"/>
  <c r="AA440" i="70"/>
  <c r="AB440" i="70"/>
  <c r="X438" i="70"/>
  <c r="S438" i="70"/>
  <c r="AA438" i="70"/>
  <c r="S441" i="70"/>
  <c r="AB438" i="70"/>
  <c r="H442" i="70"/>
  <c r="H440" i="70"/>
  <c r="AB441" i="70"/>
  <c r="K439" i="70"/>
  <c r="AA441" i="70"/>
  <c r="H441" i="70"/>
  <c r="AM28" i="70"/>
  <c r="AN28" i="70"/>
  <c r="AO28" i="70"/>
  <c r="AP28" i="70"/>
  <c r="AQ28" i="70"/>
  <c r="AR28" i="70"/>
  <c r="AS28" i="70"/>
  <c r="AT28" i="70"/>
  <c r="AU28" i="70"/>
  <c r="AV28" i="70"/>
  <c r="AW28" i="70"/>
  <c r="AX28" i="70"/>
  <c r="AY28" i="70"/>
  <c r="AZ28" i="70"/>
  <c r="AZ32" i="70" s="1"/>
  <c r="BA28" i="70"/>
  <c r="BA32" i="70" s="1"/>
  <c r="BB28" i="70"/>
  <c r="BB32" i="70" s="1"/>
  <c r="BC28" i="70"/>
  <c r="BC32" i="70" s="1"/>
  <c r="BD28" i="70"/>
  <c r="BD32" i="70" s="1"/>
  <c r="BE28" i="70"/>
  <c r="BF28" i="70"/>
  <c r="BG28" i="70"/>
  <c r="BH28" i="70"/>
  <c r="BH32" i="70" s="1"/>
  <c r="BI28" i="70"/>
  <c r="BI32" i="70" s="1"/>
  <c r="BJ28" i="70"/>
  <c r="BJ32" i="70" s="1"/>
  <c r="AM29" i="70"/>
  <c r="AN29" i="70"/>
  <c r="AO29" i="70"/>
  <c r="AP29" i="70"/>
  <c r="AQ29" i="70"/>
  <c r="AR29" i="70"/>
  <c r="AS29" i="70"/>
  <c r="AT29" i="70"/>
  <c r="AU29" i="70"/>
  <c r="AV29" i="70"/>
  <c r="AW29" i="70"/>
  <c r="AX29" i="70"/>
  <c r="AY29" i="70"/>
  <c r="AZ29" i="70"/>
  <c r="BA29" i="70"/>
  <c r="BB29" i="70"/>
  <c r="BC29" i="70"/>
  <c r="BD29" i="70"/>
  <c r="BE29" i="70"/>
  <c r="BF29" i="70"/>
  <c r="BG29" i="70"/>
  <c r="BH29" i="70"/>
  <c r="BI29" i="70"/>
  <c r="BJ29" i="70"/>
  <c r="AM30" i="70"/>
  <c r="AN30" i="70"/>
  <c r="AO30" i="70"/>
  <c r="AP30" i="70"/>
  <c r="AQ30" i="70"/>
  <c r="AR30" i="70"/>
  <c r="AS30" i="70"/>
  <c r="AT30" i="70"/>
  <c r="AU30" i="70"/>
  <c r="AV30" i="70"/>
  <c r="AW30" i="70"/>
  <c r="AX30" i="70"/>
  <c r="AY30" i="70"/>
  <c r="AZ30" i="70"/>
  <c r="BA30" i="70"/>
  <c r="BB30" i="70"/>
  <c r="BC30" i="70"/>
  <c r="BD30" i="70"/>
  <c r="BE30" i="70"/>
  <c r="BF30" i="70"/>
  <c r="BG30" i="70"/>
  <c r="BH30" i="70"/>
  <c r="BI30" i="70"/>
  <c r="BJ30" i="70"/>
  <c r="AM31" i="70"/>
  <c r="AN31" i="70"/>
  <c r="AO31" i="70"/>
  <c r="AP31" i="70"/>
  <c r="AQ31" i="70"/>
  <c r="AR31" i="70"/>
  <c r="AS31" i="70"/>
  <c r="AT31" i="70"/>
  <c r="AU31" i="70"/>
  <c r="AV31" i="70"/>
  <c r="AW31" i="70"/>
  <c r="AX31" i="70"/>
  <c r="AX32" i="70" s="1"/>
  <c r="AY31" i="70"/>
  <c r="AZ31" i="70"/>
  <c r="BA31" i="70"/>
  <c r="BB31" i="70"/>
  <c r="BC31" i="70"/>
  <c r="BD31" i="70"/>
  <c r="BE31" i="70"/>
  <c r="BF31" i="70"/>
  <c r="BG31" i="70"/>
  <c r="BH31" i="70"/>
  <c r="BI31" i="70"/>
  <c r="BJ31" i="70"/>
  <c r="AM32" i="70"/>
  <c r="AN32" i="70"/>
  <c r="AO32" i="70"/>
  <c r="AP32" i="70"/>
  <c r="AQ32" i="70"/>
  <c r="AR32" i="70"/>
  <c r="AS32" i="70"/>
  <c r="AT32" i="70"/>
  <c r="AU32" i="70"/>
  <c r="AV32" i="70"/>
  <c r="AW32" i="70"/>
  <c r="AY32" i="70"/>
  <c r="BE32" i="70"/>
  <c r="BF32" i="70"/>
  <c r="BG32" i="70"/>
  <c r="AL29" i="70"/>
  <c r="AL30" i="70"/>
  <c r="AL31" i="70"/>
  <c r="AL28" i="70"/>
  <c r="AF372" i="16"/>
  <c r="AE372" i="16"/>
  <c r="AD372" i="16"/>
  <c r="AC372" i="16"/>
  <c r="AB372" i="16"/>
  <c r="AA372" i="16"/>
  <c r="Z372" i="16"/>
  <c r="Y372" i="16"/>
  <c r="X372" i="16"/>
  <c r="W372" i="16"/>
  <c r="V372" i="16"/>
  <c r="U372" i="16"/>
  <c r="T372" i="16"/>
  <c r="S372" i="16"/>
  <c r="R372" i="16"/>
  <c r="Q372" i="16"/>
  <c r="P372" i="16"/>
  <c r="O372" i="16"/>
  <c r="N372" i="16"/>
  <c r="M372" i="16"/>
  <c r="L372" i="16"/>
  <c r="K372" i="16"/>
  <c r="J372" i="16"/>
  <c r="I372" i="16"/>
  <c r="H372" i="16"/>
  <c r="AE372" i="12"/>
  <c r="AD372" i="12"/>
  <c r="AC372" i="12"/>
  <c r="AB372" i="12"/>
  <c r="AA372" i="12"/>
  <c r="Z372" i="12"/>
  <c r="Y372" i="12"/>
  <c r="X372" i="12"/>
  <c r="W372" i="12"/>
  <c r="V372" i="12"/>
  <c r="U372" i="12"/>
  <c r="T372" i="12"/>
  <c r="S372" i="12"/>
  <c r="R372" i="12"/>
  <c r="Q372" i="12"/>
  <c r="P372" i="12"/>
  <c r="O372" i="12"/>
  <c r="N372" i="12"/>
  <c r="M372" i="12"/>
  <c r="L372" i="12"/>
  <c r="K372" i="12"/>
  <c r="J372" i="12"/>
  <c r="I372" i="12"/>
  <c r="H372" i="12"/>
  <c r="G372" i="12"/>
  <c r="I82" i="19"/>
  <c r="J82" i="19"/>
  <c r="K82" i="19"/>
  <c r="L82" i="19"/>
  <c r="M82" i="19"/>
  <c r="N82" i="19"/>
  <c r="O82" i="19"/>
  <c r="P82" i="19"/>
  <c r="Q82" i="19"/>
  <c r="R82" i="19"/>
  <c r="S82" i="19"/>
  <c r="T82" i="19"/>
  <c r="U82" i="19"/>
  <c r="V82" i="19"/>
  <c r="W82" i="19"/>
  <c r="X82" i="19"/>
  <c r="Y82" i="19"/>
  <c r="Z82" i="19"/>
  <c r="AA82" i="19"/>
  <c r="AB82" i="19"/>
  <c r="AC82" i="19"/>
  <c r="AD82" i="19"/>
  <c r="AE82" i="19"/>
  <c r="AF82" i="19"/>
  <c r="H82" i="19"/>
  <c r="S415" i="70"/>
  <c r="R415" i="70"/>
  <c r="AF361" i="70"/>
  <c r="AE361" i="70"/>
  <c r="AD361" i="70"/>
  <c r="AC361" i="70"/>
  <c r="AB361" i="70"/>
  <c r="AA361" i="70"/>
  <c r="Z361" i="70"/>
  <c r="Y361" i="70"/>
  <c r="X361" i="70"/>
  <c r="W361" i="70"/>
  <c r="V361" i="70"/>
  <c r="U361" i="70"/>
  <c r="T361" i="70"/>
  <c r="S361" i="70"/>
  <c r="R361" i="70"/>
  <c r="Q361" i="70"/>
  <c r="P361" i="70"/>
  <c r="O361" i="70"/>
  <c r="N361" i="70"/>
  <c r="M361" i="70"/>
  <c r="L361" i="70"/>
  <c r="K361" i="70"/>
  <c r="J361" i="70"/>
  <c r="I361" i="70"/>
  <c r="H361" i="70"/>
  <c r="AF360" i="70"/>
  <c r="AE360" i="70"/>
  <c r="AD360" i="70"/>
  <c r="AC360" i="70"/>
  <c r="AB360" i="70"/>
  <c r="AA360" i="70"/>
  <c r="Z360" i="70"/>
  <c r="Y360" i="70"/>
  <c r="X360" i="70"/>
  <c r="W360" i="70"/>
  <c r="V360" i="70"/>
  <c r="U360" i="70"/>
  <c r="T360" i="70"/>
  <c r="S360" i="70"/>
  <c r="R360" i="70"/>
  <c r="Q360" i="70"/>
  <c r="P360" i="70"/>
  <c r="O360" i="70"/>
  <c r="N360" i="70"/>
  <c r="M360" i="70"/>
  <c r="L360" i="70"/>
  <c r="K360" i="70"/>
  <c r="J360" i="70"/>
  <c r="I360" i="70"/>
  <c r="H360" i="70"/>
  <c r="AF359" i="70"/>
  <c r="AE359" i="70"/>
  <c r="AD359" i="70"/>
  <c r="AC359" i="70"/>
  <c r="AB359" i="70"/>
  <c r="AA359" i="70"/>
  <c r="Z359" i="70"/>
  <c r="Y359" i="70"/>
  <c r="X359" i="70"/>
  <c r="W359" i="70"/>
  <c r="V359" i="70"/>
  <c r="U359" i="70"/>
  <c r="T359" i="70"/>
  <c r="S359" i="70"/>
  <c r="R359" i="70"/>
  <c r="Q359" i="70"/>
  <c r="P359" i="70"/>
  <c r="O359" i="70"/>
  <c r="N359" i="70"/>
  <c r="M359" i="70"/>
  <c r="L359" i="70"/>
  <c r="K359" i="70"/>
  <c r="J359" i="70"/>
  <c r="I359" i="70"/>
  <c r="H359" i="70"/>
  <c r="AF358" i="70"/>
  <c r="AE358" i="70"/>
  <c r="AD358" i="70"/>
  <c r="AC358" i="70"/>
  <c r="AB358" i="70"/>
  <c r="AA358" i="70"/>
  <c r="Z358" i="70"/>
  <c r="Y358" i="70"/>
  <c r="X358" i="70"/>
  <c r="W358" i="70"/>
  <c r="V358" i="70"/>
  <c r="U358" i="70"/>
  <c r="T358" i="70"/>
  <c r="S358" i="70"/>
  <c r="R358" i="70"/>
  <c r="Q358" i="70"/>
  <c r="P358" i="70"/>
  <c r="O358" i="70"/>
  <c r="N358" i="70"/>
  <c r="M358" i="70"/>
  <c r="L358" i="70"/>
  <c r="K358" i="70"/>
  <c r="J358" i="70"/>
  <c r="I358" i="70"/>
  <c r="H358" i="70"/>
  <c r="AF357" i="70"/>
  <c r="AE357" i="70"/>
  <c r="AD357" i="70"/>
  <c r="AC357" i="70"/>
  <c r="AB357" i="70"/>
  <c r="AA357" i="70"/>
  <c r="Z357" i="70"/>
  <c r="Y357" i="70"/>
  <c r="X357" i="70"/>
  <c r="W357" i="70"/>
  <c r="V357" i="70"/>
  <c r="U357" i="70"/>
  <c r="T357" i="70"/>
  <c r="S357" i="70"/>
  <c r="R357" i="70"/>
  <c r="Q357" i="70"/>
  <c r="P357" i="70"/>
  <c r="O357" i="70"/>
  <c r="N357" i="70"/>
  <c r="M357" i="70"/>
  <c r="L357" i="70"/>
  <c r="K357" i="70"/>
  <c r="J357" i="70"/>
  <c r="I357" i="70"/>
  <c r="H357" i="70"/>
  <c r="AF356" i="70"/>
  <c r="AE356" i="70"/>
  <c r="AD356" i="70"/>
  <c r="AC356" i="70"/>
  <c r="AB356" i="70"/>
  <c r="AA356" i="70"/>
  <c r="Z356" i="70"/>
  <c r="Y356" i="70"/>
  <c r="X356" i="70"/>
  <c r="W356" i="70"/>
  <c r="V356" i="70"/>
  <c r="U356" i="70"/>
  <c r="T356" i="70"/>
  <c r="S356" i="70"/>
  <c r="R356" i="70"/>
  <c r="Q356" i="70"/>
  <c r="P356" i="70"/>
  <c r="O356" i="70"/>
  <c r="N356" i="70"/>
  <c r="M356" i="70"/>
  <c r="L356" i="70"/>
  <c r="K356" i="70"/>
  <c r="J356" i="70"/>
  <c r="I356" i="70"/>
  <c r="H356" i="70"/>
  <c r="AF353" i="70"/>
  <c r="AE353" i="70"/>
  <c r="AD353" i="70"/>
  <c r="AC353" i="70"/>
  <c r="AB353" i="70"/>
  <c r="AA353" i="70"/>
  <c r="Z353" i="70"/>
  <c r="Y353" i="70"/>
  <c r="X353" i="70"/>
  <c r="W353" i="70"/>
  <c r="V353" i="70"/>
  <c r="U353" i="70"/>
  <c r="T353" i="70"/>
  <c r="S353" i="70"/>
  <c r="R353" i="70"/>
  <c r="Q353" i="70"/>
  <c r="P353" i="70"/>
  <c r="O353" i="70"/>
  <c r="N353" i="70"/>
  <c r="M353" i="70"/>
  <c r="L353" i="70"/>
  <c r="K353" i="70"/>
  <c r="J353" i="70"/>
  <c r="I353" i="70"/>
  <c r="H353" i="70"/>
  <c r="AF352" i="70"/>
  <c r="AE352" i="70"/>
  <c r="AD352" i="70"/>
  <c r="AC352" i="70"/>
  <c r="AB352" i="70"/>
  <c r="AA352" i="70"/>
  <c r="Z352" i="70"/>
  <c r="Y352" i="70"/>
  <c r="X352" i="70"/>
  <c r="W352" i="70"/>
  <c r="V352" i="70"/>
  <c r="U352" i="70"/>
  <c r="T352" i="70"/>
  <c r="S352" i="70"/>
  <c r="R352" i="70"/>
  <c r="Q352" i="70"/>
  <c r="P352" i="70"/>
  <c r="O352" i="70"/>
  <c r="N352" i="70"/>
  <c r="M352" i="70"/>
  <c r="L352" i="70"/>
  <c r="K352" i="70"/>
  <c r="J352" i="70"/>
  <c r="I352" i="70"/>
  <c r="H352" i="70"/>
  <c r="AF351" i="70"/>
  <c r="AE351" i="70"/>
  <c r="AD351" i="70"/>
  <c r="AC351" i="70"/>
  <c r="AB351" i="70"/>
  <c r="AA351" i="70"/>
  <c r="Z351" i="70"/>
  <c r="Y351" i="70"/>
  <c r="X351" i="70"/>
  <c r="W351" i="70"/>
  <c r="V351" i="70"/>
  <c r="U351" i="70"/>
  <c r="T351" i="70"/>
  <c r="S351" i="70"/>
  <c r="R351" i="70"/>
  <c r="Q351" i="70"/>
  <c r="P351" i="70"/>
  <c r="O351" i="70"/>
  <c r="N351" i="70"/>
  <c r="M351" i="70"/>
  <c r="L351" i="70"/>
  <c r="K351" i="70"/>
  <c r="J351" i="70"/>
  <c r="I351" i="70"/>
  <c r="H351" i="70"/>
  <c r="AF350" i="70"/>
  <c r="AE350" i="70"/>
  <c r="AD350" i="70"/>
  <c r="AC350" i="70"/>
  <c r="AB350" i="70"/>
  <c r="AA350" i="70"/>
  <c r="Z350" i="70"/>
  <c r="Y350" i="70"/>
  <c r="X350" i="70"/>
  <c r="W350" i="70"/>
  <c r="V350" i="70"/>
  <c r="U350" i="70"/>
  <c r="T350" i="70"/>
  <c r="S350" i="70"/>
  <c r="R350" i="70"/>
  <c r="Q350" i="70"/>
  <c r="P350" i="70"/>
  <c r="O350" i="70"/>
  <c r="N350" i="70"/>
  <c r="M350" i="70"/>
  <c r="L350" i="70"/>
  <c r="K350" i="70"/>
  <c r="J350" i="70"/>
  <c r="I350" i="70"/>
  <c r="H350" i="70"/>
  <c r="AF349" i="70"/>
  <c r="AE349" i="70"/>
  <c r="AD349" i="70"/>
  <c r="AC349" i="70"/>
  <c r="AB349" i="70"/>
  <c r="AA349" i="70"/>
  <c r="Z349" i="70"/>
  <c r="Y349" i="70"/>
  <c r="X349" i="70"/>
  <c r="W349" i="70"/>
  <c r="V349" i="70"/>
  <c r="U349" i="70"/>
  <c r="T349" i="70"/>
  <c r="S349" i="70"/>
  <c r="R349" i="70"/>
  <c r="Q349" i="70"/>
  <c r="P349" i="70"/>
  <c r="O349" i="70"/>
  <c r="N349" i="70"/>
  <c r="M349" i="70"/>
  <c r="L349" i="70"/>
  <c r="K349" i="70"/>
  <c r="J349" i="70"/>
  <c r="I349" i="70"/>
  <c r="H349" i="70"/>
  <c r="AF346" i="70"/>
  <c r="AE346" i="70"/>
  <c r="AD346" i="70"/>
  <c r="AC346" i="70"/>
  <c r="AB346" i="70"/>
  <c r="AA346" i="70"/>
  <c r="Z346" i="70"/>
  <c r="Y346" i="70"/>
  <c r="X346" i="70"/>
  <c r="W346" i="70"/>
  <c r="V346" i="70"/>
  <c r="U346" i="70"/>
  <c r="T346" i="70"/>
  <c r="S346" i="70"/>
  <c r="R346" i="70"/>
  <c r="Q346" i="70"/>
  <c r="P346" i="70"/>
  <c r="O346" i="70"/>
  <c r="N346" i="70"/>
  <c r="M346" i="70"/>
  <c r="L346" i="70"/>
  <c r="K346" i="70"/>
  <c r="J346" i="70"/>
  <c r="I346" i="70"/>
  <c r="H346" i="70"/>
  <c r="AF345" i="70"/>
  <c r="AE345" i="70"/>
  <c r="AD345" i="70"/>
  <c r="AC345" i="70"/>
  <c r="AB345" i="70"/>
  <c r="AA345" i="70"/>
  <c r="Z345" i="70"/>
  <c r="Y345" i="70"/>
  <c r="X345" i="70"/>
  <c r="W345" i="70"/>
  <c r="V345" i="70"/>
  <c r="U345" i="70"/>
  <c r="T345" i="70"/>
  <c r="S345" i="70"/>
  <c r="R345" i="70"/>
  <c r="Q345" i="70"/>
  <c r="P345" i="70"/>
  <c r="O345" i="70"/>
  <c r="N345" i="70"/>
  <c r="M345" i="70"/>
  <c r="L345" i="70"/>
  <c r="K345" i="70"/>
  <c r="J345" i="70"/>
  <c r="I345" i="70"/>
  <c r="H345" i="70"/>
  <c r="AF344" i="70"/>
  <c r="AE344" i="70"/>
  <c r="AD344" i="70"/>
  <c r="AC344" i="70"/>
  <c r="AB344" i="70"/>
  <c r="AA344" i="70"/>
  <c r="Z344" i="70"/>
  <c r="Y344" i="70"/>
  <c r="X344" i="70"/>
  <c r="W344" i="70"/>
  <c r="V344" i="70"/>
  <c r="U344" i="70"/>
  <c r="T344" i="70"/>
  <c r="S344" i="70"/>
  <c r="R344" i="70"/>
  <c r="Q344" i="70"/>
  <c r="P344" i="70"/>
  <c r="O344" i="70"/>
  <c r="N344" i="70"/>
  <c r="M344" i="70"/>
  <c r="L344" i="70"/>
  <c r="K344" i="70"/>
  <c r="J344" i="70"/>
  <c r="I344" i="70"/>
  <c r="H344" i="70"/>
  <c r="AF343" i="70"/>
  <c r="AE343" i="70"/>
  <c r="AD343" i="70"/>
  <c r="AC343" i="70"/>
  <c r="AB343" i="70"/>
  <c r="AA343" i="70"/>
  <c r="Z343" i="70"/>
  <c r="Y343" i="70"/>
  <c r="X343" i="70"/>
  <c r="W343" i="70"/>
  <c r="V343" i="70"/>
  <c r="U343" i="70"/>
  <c r="T343" i="70"/>
  <c r="S343" i="70"/>
  <c r="R343" i="70"/>
  <c r="Q343" i="70"/>
  <c r="P343" i="70"/>
  <c r="O343" i="70"/>
  <c r="N343" i="70"/>
  <c r="M343" i="70"/>
  <c r="L343" i="70"/>
  <c r="K343" i="70"/>
  <c r="J343" i="70"/>
  <c r="I343" i="70"/>
  <c r="H343" i="70"/>
  <c r="AF340" i="70"/>
  <c r="AE340" i="70"/>
  <c r="AD340" i="70"/>
  <c r="AC340" i="70"/>
  <c r="AB340" i="70"/>
  <c r="AA340" i="70"/>
  <c r="Z340" i="70"/>
  <c r="Y340" i="70"/>
  <c r="X340" i="70"/>
  <c r="W340" i="70"/>
  <c r="V340" i="70"/>
  <c r="U340" i="70"/>
  <c r="T340" i="70"/>
  <c r="S340" i="70"/>
  <c r="R340" i="70"/>
  <c r="Q340" i="70"/>
  <c r="P340" i="70"/>
  <c r="O340" i="70"/>
  <c r="N340" i="70"/>
  <c r="M340" i="70"/>
  <c r="L340" i="70"/>
  <c r="K340" i="70"/>
  <c r="J340" i="70"/>
  <c r="I340" i="70"/>
  <c r="H340" i="70"/>
  <c r="AF339" i="70"/>
  <c r="AE339" i="70"/>
  <c r="AD339" i="70"/>
  <c r="AC339" i="70"/>
  <c r="AB339" i="70"/>
  <c r="AA339" i="70"/>
  <c r="Z339" i="70"/>
  <c r="Y339" i="70"/>
  <c r="X339" i="70"/>
  <c r="W339" i="70"/>
  <c r="V339" i="70"/>
  <c r="U339" i="70"/>
  <c r="T339" i="70"/>
  <c r="S339" i="70"/>
  <c r="R339" i="70"/>
  <c r="Q339" i="70"/>
  <c r="P339" i="70"/>
  <c r="O339" i="70"/>
  <c r="N339" i="70"/>
  <c r="M339" i="70"/>
  <c r="L339" i="70"/>
  <c r="K339" i="70"/>
  <c r="J339" i="70"/>
  <c r="I339" i="70"/>
  <c r="H339" i="70"/>
  <c r="AF338" i="70"/>
  <c r="AE338" i="70"/>
  <c r="AD338" i="70"/>
  <c r="AC338" i="70"/>
  <c r="AB338" i="70"/>
  <c r="AA338" i="70"/>
  <c r="Z338" i="70"/>
  <c r="Y338" i="70"/>
  <c r="X338" i="70"/>
  <c r="W338" i="70"/>
  <c r="V338" i="70"/>
  <c r="U338" i="70"/>
  <c r="T338" i="70"/>
  <c r="S338" i="70"/>
  <c r="R338" i="70"/>
  <c r="Q338" i="70"/>
  <c r="P338" i="70"/>
  <c r="O338" i="70"/>
  <c r="N338" i="70"/>
  <c r="M338" i="70"/>
  <c r="L338" i="70"/>
  <c r="K338" i="70"/>
  <c r="J338" i="70"/>
  <c r="I338" i="70"/>
  <c r="H338" i="70"/>
  <c r="AF337" i="70"/>
  <c r="AE337" i="70"/>
  <c r="AD337" i="70"/>
  <c r="AC337" i="70"/>
  <c r="AB337" i="70"/>
  <c r="AA337" i="70"/>
  <c r="Z337" i="70"/>
  <c r="Y337" i="70"/>
  <c r="X337" i="70"/>
  <c r="W337" i="70"/>
  <c r="V337" i="70"/>
  <c r="U337" i="70"/>
  <c r="T337" i="70"/>
  <c r="S337" i="70"/>
  <c r="R337" i="70"/>
  <c r="Q337" i="70"/>
  <c r="P337" i="70"/>
  <c r="O337" i="70"/>
  <c r="N337" i="70"/>
  <c r="M337" i="70"/>
  <c r="L337" i="70"/>
  <c r="K337" i="70"/>
  <c r="J337" i="70"/>
  <c r="I337" i="70"/>
  <c r="H337" i="70"/>
  <c r="I331" i="70"/>
  <c r="J331" i="70"/>
  <c r="K331" i="70"/>
  <c r="L331" i="70"/>
  <c r="M331" i="70"/>
  <c r="N331" i="70"/>
  <c r="O331" i="70"/>
  <c r="P331" i="70"/>
  <c r="Q331" i="70"/>
  <c r="R331" i="70"/>
  <c r="S331" i="70"/>
  <c r="T331" i="70"/>
  <c r="U331" i="70"/>
  <c r="V331" i="70"/>
  <c r="W331" i="70"/>
  <c r="X331" i="70"/>
  <c r="Y331" i="70"/>
  <c r="Z331" i="70"/>
  <c r="AA331" i="70"/>
  <c r="AB331" i="70"/>
  <c r="AC331" i="70"/>
  <c r="AD331" i="70"/>
  <c r="AE331" i="70"/>
  <c r="AF331" i="70"/>
  <c r="I332" i="70"/>
  <c r="J332" i="70"/>
  <c r="K332" i="70"/>
  <c r="L332" i="70"/>
  <c r="M332" i="70"/>
  <c r="N332" i="70"/>
  <c r="O332" i="70"/>
  <c r="P332" i="70"/>
  <c r="Q332" i="70"/>
  <c r="R332" i="70"/>
  <c r="S332" i="70"/>
  <c r="T332" i="70"/>
  <c r="U332" i="70"/>
  <c r="V332" i="70"/>
  <c r="W332" i="70"/>
  <c r="X332" i="70"/>
  <c r="Y332" i="70"/>
  <c r="Z332" i="70"/>
  <c r="AA332" i="70"/>
  <c r="AB332" i="70"/>
  <c r="AC332" i="70"/>
  <c r="AD332" i="70"/>
  <c r="AE332" i="70"/>
  <c r="AF332" i="70"/>
  <c r="I333" i="70"/>
  <c r="J333" i="70"/>
  <c r="K333" i="70"/>
  <c r="L333" i="70"/>
  <c r="M333" i="70"/>
  <c r="N333" i="70"/>
  <c r="O333" i="70"/>
  <c r="P333" i="70"/>
  <c r="Q333" i="70"/>
  <c r="R333" i="70"/>
  <c r="S333" i="70"/>
  <c r="T333" i="70"/>
  <c r="U333" i="70"/>
  <c r="V333" i="70"/>
  <c r="W333" i="70"/>
  <c r="X333" i="70"/>
  <c r="Y333" i="70"/>
  <c r="Z333" i="70"/>
  <c r="AA333" i="70"/>
  <c r="AB333" i="70"/>
  <c r="AC333" i="70"/>
  <c r="AD333" i="70"/>
  <c r="AE333" i="70"/>
  <c r="AF333" i="70"/>
  <c r="I334" i="70"/>
  <c r="J334" i="70"/>
  <c r="K334" i="70"/>
  <c r="L334" i="70"/>
  <c r="M334" i="70"/>
  <c r="M371" i="70" s="1"/>
  <c r="N334" i="70"/>
  <c r="O334" i="70"/>
  <c r="P334" i="70"/>
  <c r="P371" i="70" s="1"/>
  <c r="Q334" i="70"/>
  <c r="R334" i="70"/>
  <c r="S334" i="70"/>
  <c r="T334" i="70"/>
  <c r="U334" i="70"/>
  <c r="V334" i="70"/>
  <c r="W334" i="70"/>
  <c r="W371" i="70" s="1"/>
  <c r="X334" i="70"/>
  <c r="Y334" i="70"/>
  <c r="Z334" i="70"/>
  <c r="AA334" i="70"/>
  <c r="AA371" i="70" s="1"/>
  <c r="S421" i="70" s="1"/>
  <c r="AB334" i="70"/>
  <c r="AB371" i="70" s="1"/>
  <c r="AC334" i="70"/>
  <c r="AC371" i="70" s="1"/>
  <c r="AD334" i="70"/>
  <c r="AE334" i="70"/>
  <c r="AF334" i="70"/>
  <c r="AF371" i="70" s="1"/>
  <c r="H332" i="70"/>
  <c r="H333" i="70"/>
  <c r="H334" i="70"/>
  <c r="H331" i="70"/>
  <c r="X371" i="70" l="1"/>
  <c r="O371" i="70"/>
  <c r="AF370" i="70"/>
  <c r="P369" i="70"/>
  <c r="H446" i="70"/>
  <c r="L447" i="70"/>
  <c r="T447" i="70"/>
  <c r="AB447" i="70"/>
  <c r="H448" i="70"/>
  <c r="P448" i="70"/>
  <c r="X448" i="70"/>
  <c r="AF448" i="70"/>
  <c r="L449" i="70"/>
  <c r="T449" i="70"/>
  <c r="AB449" i="70"/>
  <c r="O450" i="70"/>
  <c r="W450" i="70"/>
  <c r="AE450" i="70"/>
  <c r="J447" i="70"/>
  <c r="R447" i="70"/>
  <c r="Z447" i="70"/>
  <c r="N448" i="70"/>
  <c r="V448" i="70"/>
  <c r="AD448" i="70"/>
  <c r="J449" i="70"/>
  <c r="R449" i="70"/>
  <c r="Z449" i="70"/>
  <c r="M450" i="70"/>
  <c r="U450" i="70"/>
  <c r="AC450" i="70"/>
  <c r="K447" i="70"/>
  <c r="S447" i="70"/>
  <c r="AA447" i="70"/>
  <c r="O448" i="70"/>
  <c r="W448" i="70"/>
  <c r="AE448" i="70"/>
  <c r="K449" i="70"/>
  <c r="S449" i="70"/>
  <c r="AA449" i="70"/>
  <c r="N450" i="70"/>
  <c r="V450" i="70"/>
  <c r="AD446" i="70"/>
  <c r="N446" i="70"/>
  <c r="AC446" i="70"/>
  <c r="U446" i="70"/>
  <c r="AD450" i="70"/>
  <c r="AB370" i="70"/>
  <c r="L369" i="70"/>
  <c r="T368" i="70"/>
  <c r="T446" i="70"/>
  <c r="L446" i="70"/>
  <c r="Z398" i="70"/>
  <c r="AA446" i="70"/>
  <c r="S446" i="70"/>
  <c r="K446" i="70"/>
  <c r="M447" i="70"/>
  <c r="U447" i="70"/>
  <c r="AC447" i="70"/>
  <c r="I448" i="70"/>
  <c r="Q380" i="70"/>
  <c r="Q448" i="70"/>
  <c r="Y448" i="70"/>
  <c r="M449" i="70"/>
  <c r="U449" i="70"/>
  <c r="AC449" i="70"/>
  <c r="H450" i="70"/>
  <c r="P450" i="70"/>
  <c r="X396" i="70"/>
  <c r="X450" i="70"/>
  <c r="AF450" i="70"/>
  <c r="Z446" i="70"/>
  <c r="R446" i="70"/>
  <c r="J446" i="70"/>
  <c r="N447" i="70"/>
  <c r="V447" i="70"/>
  <c r="AD447" i="70"/>
  <c r="J448" i="70"/>
  <c r="R448" i="70"/>
  <c r="Z448" i="70"/>
  <c r="N449" i="70"/>
  <c r="V449" i="70"/>
  <c r="AD449" i="70"/>
  <c r="I450" i="70"/>
  <c r="Q450" i="70"/>
  <c r="Y450" i="70"/>
  <c r="V446" i="70"/>
  <c r="M446" i="70"/>
  <c r="AB446" i="70"/>
  <c r="Y446" i="70"/>
  <c r="Q446" i="70"/>
  <c r="I446" i="70"/>
  <c r="O447" i="70"/>
  <c r="W447" i="70"/>
  <c r="AE447" i="70"/>
  <c r="K448" i="70"/>
  <c r="S448" i="70"/>
  <c r="AA382" i="70"/>
  <c r="AA448" i="70"/>
  <c r="O449" i="70"/>
  <c r="W449" i="70"/>
  <c r="AE449" i="70"/>
  <c r="J450" i="70"/>
  <c r="R450" i="70"/>
  <c r="Z450" i="70"/>
  <c r="AF446" i="70"/>
  <c r="X446" i="70"/>
  <c r="P446" i="70"/>
  <c r="H447" i="70"/>
  <c r="P447" i="70"/>
  <c r="X447" i="70"/>
  <c r="AF447" i="70"/>
  <c r="L448" i="70"/>
  <c r="T448" i="70"/>
  <c r="AB448" i="70"/>
  <c r="H449" i="70"/>
  <c r="P449" i="70"/>
  <c r="X449" i="70"/>
  <c r="AF449" i="70"/>
  <c r="K450" i="70"/>
  <c r="S450" i="70"/>
  <c r="AA450" i="70"/>
  <c r="AE446" i="70"/>
  <c r="W446" i="70"/>
  <c r="O446" i="70"/>
  <c r="I447" i="70"/>
  <c r="Q447" i="70"/>
  <c r="Y447" i="70"/>
  <c r="M448" i="70"/>
  <c r="U448" i="70"/>
  <c r="AC448" i="70"/>
  <c r="I449" i="70"/>
  <c r="Q449" i="70"/>
  <c r="Y449" i="70"/>
  <c r="L450" i="70"/>
  <c r="T450" i="70"/>
  <c r="AB450" i="70"/>
  <c r="X369" i="70"/>
  <c r="Z383" i="70"/>
  <c r="N389" i="70"/>
  <c r="K370" i="70"/>
  <c r="T374" i="70"/>
  <c r="I387" i="70"/>
  <c r="U394" i="70"/>
  <c r="P370" i="70"/>
  <c r="P368" i="70"/>
  <c r="J382" i="70"/>
  <c r="L375" i="70"/>
  <c r="AF369" i="70"/>
  <c r="AL32" i="70"/>
  <c r="W374" i="70"/>
  <c r="AE374" i="70"/>
  <c r="R395" i="70"/>
  <c r="AB376" i="70"/>
  <c r="H401" i="70"/>
  <c r="Q369" i="70"/>
  <c r="N375" i="70"/>
  <c r="U376" i="70"/>
  <c r="K403" i="70"/>
  <c r="R381" i="70"/>
  <c r="Q382" i="70"/>
  <c r="AF383" i="70"/>
  <c r="L389" i="70"/>
  <c r="K390" i="70"/>
  <c r="H395" i="70"/>
  <c r="AF395" i="70"/>
  <c r="AE396" i="70"/>
  <c r="AD397" i="70"/>
  <c r="AF368" i="70"/>
  <c r="P382" i="70"/>
  <c r="AD375" i="70"/>
  <c r="AC376" i="70"/>
  <c r="T377" i="70"/>
  <c r="Z381" i="70"/>
  <c r="Y383" i="70"/>
  <c r="P383" i="70"/>
  <c r="AC388" i="70"/>
  <c r="AB389" i="70"/>
  <c r="AA390" i="70"/>
  <c r="S424" i="70" s="1"/>
  <c r="I394" i="70"/>
  <c r="P395" i="70"/>
  <c r="O396" i="70"/>
  <c r="N397" i="70"/>
  <c r="M398" i="70"/>
  <c r="X368" i="70"/>
  <c r="R374" i="70"/>
  <c r="Q375" i="70"/>
  <c r="Y375" i="70"/>
  <c r="P376" i="70"/>
  <c r="AF376" i="70"/>
  <c r="M381" i="70"/>
  <c r="L382" i="70"/>
  <c r="P388" i="70"/>
  <c r="AE389" i="70"/>
  <c r="Z396" i="70"/>
  <c r="P398" i="70"/>
  <c r="K374" i="70"/>
  <c r="S374" i="70"/>
  <c r="AA374" i="70"/>
  <c r="W380" i="70"/>
  <c r="AC382" i="70"/>
  <c r="L383" i="70"/>
  <c r="P423" i="70" s="1"/>
  <c r="T381" i="70"/>
  <c r="AB383" i="70"/>
  <c r="J387" i="70"/>
  <c r="R387" i="70"/>
  <c r="Z387" i="70"/>
  <c r="I388" i="70"/>
  <c r="Q388" i="70"/>
  <c r="Y388" i="70"/>
  <c r="H389" i="70"/>
  <c r="P389" i="70"/>
  <c r="X388" i="70"/>
  <c r="AF387" i="70"/>
  <c r="W390" i="70"/>
  <c r="V393" i="70"/>
  <c r="AC394" i="70"/>
  <c r="L395" i="70"/>
  <c r="T395" i="70"/>
  <c r="K396" i="70"/>
  <c r="S396" i="70"/>
  <c r="AA396" i="70"/>
  <c r="J397" i="70"/>
  <c r="S370" i="70"/>
  <c r="AA368" i="70"/>
  <c r="Z369" i="70"/>
  <c r="AC375" i="70"/>
  <c r="H382" i="70"/>
  <c r="I405" i="70"/>
  <c r="V375" i="70"/>
  <c r="M376" i="70"/>
  <c r="L377" i="70"/>
  <c r="P422" i="70" s="1"/>
  <c r="AB377" i="70"/>
  <c r="J381" i="70"/>
  <c r="I382" i="70"/>
  <c r="H383" i="70"/>
  <c r="O423" i="70" s="1"/>
  <c r="X383" i="70"/>
  <c r="M388" i="70"/>
  <c r="U390" i="70"/>
  <c r="T389" i="70"/>
  <c r="S390" i="70"/>
  <c r="X395" i="70"/>
  <c r="W396" i="70"/>
  <c r="V397" i="70"/>
  <c r="R425" i="70" s="1"/>
  <c r="U398" i="70"/>
  <c r="J374" i="70"/>
  <c r="Z374" i="70"/>
  <c r="I375" i="70"/>
  <c r="H376" i="70"/>
  <c r="X376" i="70"/>
  <c r="O377" i="70"/>
  <c r="V380" i="70"/>
  <c r="K383" i="70"/>
  <c r="AA383" i="70"/>
  <c r="S423" i="70" s="1"/>
  <c r="Q387" i="70"/>
  <c r="N390" i="70"/>
  <c r="AB394" i="70"/>
  <c r="AA394" i="70"/>
  <c r="R396" i="70"/>
  <c r="T401" i="70"/>
  <c r="N371" i="70"/>
  <c r="N405" i="70"/>
  <c r="AD369" i="70"/>
  <c r="AD368" i="70"/>
  <c r="AD401" i="70"/>
  <c r="W405" i="70"/>
  <c r="U381" i="70"/>
  <c r="U403" i="70"/>
  <c r="U405" i="70"/>
  <c r="U370" i="70"/>
  <c r="U369" i="70"/>
  <c r="U368" i="70"/>
  <c r="Z375" i="70"/>
  <c r="H377" i="70"/>
  <c r="O422" i="70" s="1"/>
  <c r="X377" i="70"/>
  <c r="O380" i="70"/>
  <c r="O403" i="70"/>
  <c r="N381" i="70"/>
  <c r="M382" i="70"/>
  <c r="AA386" i="70"/>
  <c r="O390" i="70"/>
  <c r="H371" i="70"/>
  <c r="O421" i="70" s="1"/>
  <c r="K371" i="70"/>
  <c r="K405" i="70"/>
  <c r="AA402" i="70"/>
  <c r="AA370" i="70"/>
  <c r="K402" i="70"/>
  <c r="S369" i="70"/>
  <c r="K369" i="70"/>
  <c r="S368" i="70"/>
  <c r="S401" i="70"/>
  <c r="M377" i="70"/>
  <c r="AC374" i="70"/>
  <c r="H402" i="70"/>
  <c r="Z405" i="70"/>
  <c r="Z371" i="70"/>
  <c r="R405" i="70"/>
  <c r="R371" i="70"/>
  <c r="J405" i="70"/>
  <c r="J371" i="70"/>
  <c r="Z402" i="70"/>
  <c r="Z370" i="70"/>
  <c r="R402" i="70"/>
  <c r="R370" i="70"/>
  <c r="J402" i="70"/>
  <c r="J370" i="70"/>
  <c r="R369" i="70"/>
  <c r="J369" i="70"/>
  <c r="Z401" i="70"/>
  <c r="Z368" i="70"/>
  <c r="R401" i="70"/>
  <c r="R368" i="70"/>
  <c r="J368" i="70"/>
  <c r="J401" i="70"/>
  <c r="N376" i="70"/>
  <c r="V374" i="70"/>
  <c r="V376" i="70"/>
  <c r="AD374" i="70"/>
  <c r="U375" i="70"/>
  <c r="L376" i="70"/>
  <c r="T376" i="70"/>
  <c r="K377" i="70"/>
  <c r="S377" i="70"/>
  <c r="AA377" i="70"/>
  <c r="S422" i="70" s="1"/>
  <c r="J403" i="70"/>
  <c r="J380" i="70"/>
  <c r="R403" i="70"/>
  <c r="R380" i="70"/>
  <c r="Z403" i="70"/>
  <c r="Z380" i="70"/>
  <c r="Q381" i="70"/>
  <c r="Y381" i="70"/>
  <c r="X382" i="70"/>
  <c r="AF382" i="70"/>
  <c r="O383" i="70"/>
  <c r="W383" i="70"/>
  <c r="AE383" i="70"/>
  <c r="AD404" i="70"/>
  <c r="M387" i="70"/>
  <c r="I393" i="70"/>
  <c r="Y395" i="70"/>
  <c r="H369" i="70"/>
  <c r="AC377" i="70"/>
  <c r="K381" i="70"/>
  <c r="AE393" i="70"/>
  <c r="AA397" i="70"/>
  <c r="S425" i="70" s="1"/>
  <c r="M405" i="70"/>
  <c r="U402" i="70"/>
  <c r="Q405" i="70"/>
  <c r="Q371" i="70"/>
  <c r="Q421" i="70" s="1"/>
  <c r="Y402" i="70"/>
  <c r="Y370" i="70"/>
  <c r="Q402" i="70"/>
  <c r="Q370" i="70"/>
  <c r="I402" i="70"/>
  <c r="I370" i="70"/>
  <c r="Y369" i="70"/>
  <c r="I369" i="70"/>
  <c r="Y401" i="70"/>
  <c r="Y368" i="70"/>
  <c r="Q401" i="70"/>
  <c r="I401" i="70"/>
  <c r="O374" i="70"/>
  <c r="O375" i="70"/>
  <c r="S403" i="70"/>
  <c r="S381" i="70"/>
  <c r="S380" i="70"/>
  <c r="S382" i="70"/>
  <c r="AA380" i="70"/>
  <c r="AA403" i="70"/>
  <c r="O386" i="70"/>
  <c r="O404" i="70"/>
  <c r="W386" i="70"/>
  <c r="W387" i="70"/>
  <c r="W389" i="70"/>
  <c r="AE404" i="70"/>
  <c r="AE386" i="70"/>
  <c r="AE387" i="70"/>
  <c r="N387" i="70"/>
  <c r="N404" i="70"/>
  <c r="N386" i="70"/>
  <c r="V386" i="70"/>
  <c r="V388" i="70"/>
  <c r="V389" i="70"/>
  <c r="V404" i="70"/>
  <c r="AD387" i="70"/>
  <c r="AD386" i="70"/>
  <c r="J393" i="70"/>
  <c r="J394" i="70"/>
  <c r="J395" i="70"/>
  <c r="J396" i="70"/>
  <c r="R394" i="70"/>
  <c r="R398" i="70"/>
  <c r="Z393" i="70"/>
  <c r="Z395" i="70"/>
  <c r="Q394" i="70"/>
  <c r="Q396" i="70"/>
  <c r="Q393" i="70"/>
  <c r="Y394" i="70"/>
  <c r="Y393" i="70"/>
  <c r="AC398" i="70"/>
  <c r="AF375" i="70"/>
  <c r="N374" i="70"/>
  <c r="Z382" i="70"/>
  <c r="M390" i="70"/>
  <c r="Q397" i="70"/>
  <c r="Q425" i="70" s="1"/>
  <c r="Q395" i="70"/>
  <c r="AA404" i="70"/>
  <c r="AE401" i="70"/>
  <c r="H374" i="70"/>
  <c r="P374" i="70"/>
  <c r="AF374" i="70"/>
  <c r="AE375" i="70"/>
  <c r="U377" i="70"/>
  <c r="L380" i="70"/>
  <c r="T403" i="70"/>
  <c r="AB403" i="70"/>
  <c r="AA381" i="70"/>
  <c r="R382" i="70"/>
  <c r="N388" i="70"/>
  <c r="AC389" i="70"/>
  <c r="I395" i="70"/>
  <c r="H396" i="70"/>
  <c r="W397" i="70"/>
  <c r="V398" i="70"/>
  <c r="W377" i="70"/>
  <c r="M374" i="70"/>
  <c r="Y382" i="70"/>
  <c r="I381" i="70"/>
  <c r="Y389" i="70"/>
  <c r="V387" i="70"/>
  <c r="R393" i="70"/>
  <c r="W404" i="70"/>
  <c r="U401" i="70"/>
  <c r="X375" i="70"/>
  <c r="O376" i="70"/>
  <c r="N377" i="70"/>
  <c r="AD377" i="70"/>
  <c r="L381" i="70"/>
  <c r="T380" i="70"/>
  <c r="K382" i="70"/>
  <c r="W388" i="70"/>
  <c r="W375" i="70"/>
  <c r="X380" i="70"/>
  <c r="X389" i="70"/>
  <c r="O387" i="70"/>
  <c r="AF398" i="70"/>
  <c r="AF396" i="70"/>
  <c r="Z394" i="70"/>
  <c r="L404" i="70"/>
  <c r="Y405" i="70"/>
  <c r="Y371" i="70"/>
  <c r="V405" i="70"/>
  <c r="V371" i="70"/>
  <c r="R421" i="70" s="1"/>
  <c r="V370" i="70"/>
  <c r="N370" i="70"/>
  <c r="N402" i="70"/>
  <c r="N369" i="70"/>
  <c r="N368" i="70"/>
  <c r="N401" i="70"/>
  <c r="AE377" i="70"/>
  <c r="AD376" i="70"/>
  <c r="W403" i="70"/>
  <c r="M370" i="70"/>
  <c r="M402" i="70"/>
  <c r="M369" i="70"/>
  <c r="J375" i="70"/>
  <c r="I376" i="70"/>
  <c r="Y376" i="70"/>
  <c r="AF377" i="70"/>
  <c r="AE380" i="70"/>
  <c r="AE403" i="70"/>
  <c r="AD381" i="70"/>
  <c r="K386" i="70"/>
  <c r="K404" i="70"/>
  <c r="AF389" i="70"/>
  <c r="AF386" i="70"/>
  <c r="AE390" i="70"/>
  <c r="N398" i="70"/>
  <c r="N393" i="70"/>
  <c r="AD398" i="70"/>
  <c r="AD393" i="70"/>
  <c r="M394" i="70"/>
  <c r="M395" i="70"/>
  <c r="AB395" i="70"/>
  <c r="AB396" i="70"/>
  <c r="R397" i="70"/>
  <c r="Z397" i="70"/>
  <c r="I398" i="70"/>
  <c r="Q398" i="70"/>
  <c r="Y398" i="70"/>
  <c r="U371" i="70"/>
  <c r="Q368" i="70"/>
  <c r="M375" i="70"/>
  <c r="AF381" i="70"/>
  <c r="K380" i="70"/>
  <c r="AF388" i="70"/>
  <c r="Y386" i="70"/>
  <c r="X398" i="70"/>
  <c r="P396" i="70"/>
  <c r="L394" i="70"/>
  <c r="V403" i="70"/>
  <c r="H368" i="70"/>
  <c r="T405" i="70"/>
  <c r="T371" i="70"/>
  <c r="L371" i="70"/>
  <c r="P421" i="70" s="1"/>
  <c r="L405" i="70"/>
  <c r="P416" i="70" s="1"/>
  <c r="AB402" i="70"/>
  <c r="T370" i="70"/>
  <c r="T402" i="70"/>
  <c r="L370" i="70"/>
  <c r="L402" i="70"/>
  <c r="AB369" i="70"/>
  <c r="T369" i="70"/>
  <c r="AB401" i="70"/>
  <c r="AB368" i="70"/>
  <c r="L401" i="70"/>
  <c r="L374" i="70"/>
  <c r="AB374" i="70"/>
  <c r="H403" i="70"/>
  <c r="I389" i="70"/>
  <c r="Q389" i="70"/>
  <c r="AE398" i="70"/>
  <c r="N394" i="70"/>
  <c r="U395" i="70"/>
  <c r="AC395" i="70"/>
  <c r="J398" i="70"/>
  <c r="H405" i="70"/>
  <c r="T383" i="70"/>
  <c r="AF390" i="70"/>
  <c r="AD388" i="70"/>
  <c r="Q386" i="70"/>
  <c r="O398" i="70"/>
  <c r="L396" i="70"/>
  <c r="AB405" i="70"/>
  <c r="AD371" i="70"/>
  <c r="AD405" i="70"/>
  <c r="AD370" i="70"/>
  <c r="AD402" i="70"/>
  <c r="V369" i="70"/>
  <c r="V368" i="70"/>
  <c r="V401" i="70"/>
  <c r="N380" i="70"/>
  <c r="N403" i="70"/>
  <c r="AD380" i="70"/>
  <c r="AD403" i="70"/>
  <c r="AC405" i="70"/>
  <c r="AC370" i="70"/>
  <c r="AC402" i="70"/>
  <c r="AC369" i="70"/>
  <c r="AC368" i="70"/>
  <c r="AC401" i="70"/>
  <c r="M368" i="70"/>
  <c r="M401" i="70"/>
  <c r="R375" i="70"/>
  <c r="Q376" i="70"/>
  <c r="P377" i="70"/>
  <c r="V381" i="70"/>
  <c r="U382" i="70"/>
  <c r="S386" i="70"/>
  <c r="S404" i="70"/>
  <c r="S405" i="70"/>
  <c r="S371" i="70"/>
  <c r="S402" i="70"/>
  <c r="AA369" i="70"/>
  <c r="AA401" i="70"/>
  <c r="K401" i="70"/>
  <c r="K368" i="70"/>
  <c r="U374" i="70"/>
  <c r="T375" i="70"/>
  <c r="AB375" i="70"/>
  <c r="I380" i="70"/>
  <c r="Q383" i="70"/>
  <c r="Q423" i="70" s="1"/>
  <c r="Y380" i="70"/>
  <c r="X381" i="70"/>
  <c r="M389" i="70"/>
  <c r="U387" i="70"/>
  <c r="AC390" i="70"/>
  <c r="I390" i="70"/>
  <c r="Y390" i="70"/>
  <c r="H393" i="70"/>
  <c r="P397" i="70"/>
  <c r="X397" i="70"/>
  <c r="AF397" i="70"/>
  <c r="H370" i="70"/>
  <c r="I371" i="70"/>
  <c r="I368" i="70"/>
  <c r="X374" i="70"/>
  <c r="X390" i="70"/>
  <c r="U388" i="70"/>
  <c r="P386" i="70"/>
  <c r="AE397" i="70"/>
  <c r="AA395" i="70"/>
  <c r="AA405" i="70"/>
  <c r="V402" i="70"/>
  <c r="AE405" i="70"/>
  <c r="AE370" i="70"/>
  <c r="W370" i="70"/>
  <c r="O370" i="70"/>
  <c r="O402" i="70"/>
  <c r="AE369" i="70"/>
  <c r="W369" i="70"/>
  <c r="O369" i="70"/>
  <c r="AE368" i="70"/>
  <c r="W368" i="70"/>
  <c r="W401" i="70"/>
  <c r="O401" i="70"/>
  <c r="O368" i="70"/>
  <c r="I374" i="70"/>
  <c r="Q374" i="70"/>
  <c r="Y374" i="70"/>
  <c r="H375" i="70"/>
  <c r="P375" i="70"/>
  <c r="W376" i="70"/>
  <c r="AE376" i="70"/>
  <c r="V377" i="70"/>
  <c r="R422" i="70" s="1"/>
  <c r="M380" i="70"/>
  <c r="U380" i="70"/>
  <c r="AC380" i="70"/>
  <c r="AC403" i="70"/>
  <c r="AB381" i="70"/>
  <c r="J383" i="70"/>
  <c r="R383" i="70"/>
  <c r="I404" i="70"/>
  <c r="I386" i="70"/>
  <c r="Q404" i="70"/>
  <c r="Y404" i="70"/>
  <c r="H387" i="70"/>
  <c r="H404" i="70"/>
  <c r="P387" i="70"/>
  <c r="X387" i="70"/>
  <c r="O388" i="70"/>
  <c r="AE388" i="70"/>
  <c r="AD389" i="70"/>
  <c r="S394" i="70"/>
  <c r="I396" i="70"/>
  <c r="H397" i="70"/>
  <c r="O425" i="70" s="1"/>
  <c r="W398" i="70"/>
  <c r="L368" i="70"/>
  <c r="AB380" i="70"/>
  <c r="AC387" i="70"/>
  <c r="P393" i="70"/>
  <c r="O405" i="70"/>
  <c r="M403" i="70"/>
  <c r="AC381" i="70"/>
  <c r="T382" i="70"/>
  <c r="AB382" i="70"/>
  <c r="S383" i="70"/>
  <c r="J386" i="70"/>
  <c r="J404" i="70"/>
  <c r="R386" i="70"/>
  <c r="R404" i="70"/>
  <c r="Z386" i="70"/>
  <c r="Z404" i="70"/>
  <c r="Y387" i="70"/>
  <c r="H388" i="70"/>
  <c r="O389" i="70"/>
  <c r="V390" i="70"/>
  <c r="R424" i="70" s="1"/>
  <c r="AD390" i="70"/>
  <c r="M393" i="70"/>
  <c r="U393" i="70"/>
  <c r="AC393" i="70"/>
  <c r="T394" i="70"/>
  <c r="K394" i="70"/>
  <c r="K395" i="70"/>
  <c r="S395" i="70"/>
  <c r="I397" i="70"/>
  <c r="Y397" i="70"/>
  <c r="H398" i="70"/>
  <c r="AE371" i="70"/>
  <c r="H380" i="70"/>
  <c r="H386" i="70"/>
  <c r="AF393" i="70"/>
  <c r="M404" i="70"/>
  <c r="L403" i="70"/>
  <c r="K375" i="70"/>
  <c r="S375" i="70"/>
  <c r="AA375" i="70"/>
  <c r="J376" i="70"/>
  <c r="R376" i="70"/>
  <c r="Z376" i="70"/>
  <c r="I377" i="70"/>
  <c r="Q377" i="70"/>
  <c r="Q422" i="70" s="1"/>
  <c r="Y377" i="70"/>
  <c r="P403" i="70"/>
  <c r="P380" i="70"/>
  <c r="X403" i="70"/>
  <c r="AF403" i="70"/>
  <c r="AF380" i="70"/>
  <c r="O381" i="70"/>
  <c r="W381" i="70"/>
  <c r="AE381" i="70"/>
  <c r="N382" i="70"/>
  <c r="V382" i="70"/>
  <c r="AD382" i="70"/>
  <c r="M383" i="70"/>
  <c r="U383" i="70"/>
  <c r="AC383" i="70"/>
  <c r="L386" i="70"/>
  <c r="T386" i="70"/>
  <c r="T404" i="70"/>
  <c r="AB386" i="70"/>
  <c r="K387" i="70"/>
  <c r="S387" i="70"/>
  <c r="AA387" i="70"/>
  <c r="J388" i="70"/>
  <c r="R388" i="70"/>
  <c r="Z388" i="70"/>
  <c r="H390" i="70"/>
  <c r="O424" i="70" s="1"/>
  <c r="P390" i="70"/>
  <c r="O393" i="70"/>
  <c r="W393" i="70"/>
  <c r="V394" i="70"/>
  <c r="AD394" i="70"/>
  <c r="T396" i="70"/>
  <c r="K397" i="70"/>
  <c r="S397" i="70"/>
  <c r="AE402" i="70"/>
  <c r="K376" i="70"/>
  <c r="S376" i="70"/>
  <c r="AA376" i="70"/>
  <c r="J377" i="70"/>
  <c r="R377" i="70"/>
  <c r="Z377" i="70"/>
  <c r="I403" i="70"/>
  <c r="Q403" i="70"/>
  <c r="Y403" i="70"/>
  <c r="H381" i="70"/>
  <c r="P381" i="70"/>
  <c r="O382" i="70"/>
  <c r="W382" i="70"/>
  <c r="AE382" i="70"/>
  <c r="N383" i="70"/>
  <c r="V383" i="70"/>
  <c r="R423" i="70" s="1"/>
  <c r="AD383" i="70"/>
  <c r="M386" i="70"/>
  <c r="U404" i="70"/>
  <c r="U389" i="70"/>
  <c r="AC386" i="70"/>
  <c r="AC404" i="70"/>
  <c r="L387" i="70"/>
  <c r="T387" i="70"/>
  <c r="AB387" i="70"/>
  <c r="K388" i="70"/>
  <c r="S388" i="70"/>
  <c r="AA388" i="70"/>
  <c r="J389" i="70"/>
  <c r="R389" i="70"/>
  <c r="Z389" i="70"/>
  <c r="Q390" i="70"/>
  <c r="Q424" i="70" s="1"/>
  <c r="X393" i="70"/>
  <c r="O394" i="70"/>
  <c r="W394" i="70"/>
  <c r="AE394" i="70"/>
  <c r="N395" i="70"/>
  <c r="V395" i="70"/>
  <c r="AD395" i="70"/>
  <c r="M396" i="70"/>
  <c r="U396" i="70"/>
  <c r="AC396" i="70"/>
  <c r="L397" i="70"/>
  <c r="P425" i="70" s="1"/>
  <c r="T397" i="70"/>
  <c r="AB397" i="70"/>
  <c r="K398" i="70"/>
  <c r="S398" i="70"/>
  <c r="AA398" i="70"/>
  <c r="I383" i="70"/>
  <c r="U386" i="70"/>
  <c r="O397" i="70"/>
  <c r="AB404" i="70"/>
  <c r="W402" i="70"/>
  <c r="L393" i="70"/>
  <c r="T393" i="70"/>
  <c r="AB393" i="70"/>
  <c r="L388" i="70"/>
  <c r="T388" i="70"/>
  <c r="AB388" i="70"/>
  <c r="K389" i="70"/>
  <c r="S389" i="70"/>
  <c r="AA389" i="70"/>
  <c r="J390" i="70"/>
  <c r="R390" i="70"/>
  <c r="Z390" i="70"/>
  <c r="H394" i="70"/>
  <c r="P394" i="70"/>
  <c r="X394" i="70"/>
  <c r="AF394" i="70"/>
  <c r="O395" i="70"/>
  <c r="W395" i="70"/>
  <c r="AE395" i="70"/>
  <c r="N396" i="70"/>
  <c r="V396" i="70"/>
  <c r="AD396" i="70"/>
  <c r="M397" i="70"/>
  <c r="U397" i="70"/>
  <c r="AC397" i="70"/>
  <c r="L398" i="70"/>
  <c r="T398" i="70"/>
  <c r="AB398" i="70"/>
  <c r="Y396" i="70"/>
  <c r="AF405" i="70"/>
  <c r="X405" i="70"/>
  <c r="P405" i="70"/>
  <c r="AF402" i="70"/>
  <c r="X402" i="70"/>
  <c r="P402" i="70"/>
  <c r="AF401" i="70"/>
  <c r="X401" i="70"/>
  <c r="P401" i="70"/>
  <c r="P404" i="70"/>
  <c r="X404" i="70"/>
  <c r="AF404" i="70"/>
  <c r="L390" i="70"/>
  <c r="P424" i="70" s="1"/>
  <c r="T390" i="70"/>
  <c r="AB390" i="70"/>
  <c r="K393" i="70"/>
  <c r="S393" i="70"/>
  <c r="AA393" i="70"/>
  <c r="X370" i="70"/>
  <c r="X386" i="70"/>
  <c r="B43" i="42"/>
  <c r="AA62" i="42"/>
  <c r="Z62" i="42"/>
  <c r="Y62" i="42"/>
  <c r="X62" i="42"/>
  <c r="W62" i="42"/>
  <c r="V62" i="42"/>
  <c r="U62" i="42"/>
  <c r="T62" i="42"/>
  <c r="S62" i="42"/>
  <c r="R62" i="42"/>
  <c r="Q62" i="42"/>
  <c r="P62" i="42"/>
  <c r="O62" i="42"/>
  <c r="N62" i="42"/>
  <c r="M62" i="42"/>
  <c r="L62" i="42"/>
  <c r="K62" i="42"/>
  <c r="J62" i="42"/>
  <c r="I62" i="42"/>
  <c r="H62" i="42"/>
  <c r="G62" i="42"/>
  <c r="F62" i="42"/>
  <c r="E62" i="42"/>
  <c r="D62" i="42"/>
  <c r="C62" i="42"/>
  <c r="B62" i="42"/>
  <c r="AA52" i="42"/>
  <c r="Z52" i="42"/>
  <c r="Y52" i="42"/>
  <c r="X52" i="42"/>
  <c r="W52" i="42"/>
  <c r="V52" i="42"/>
  <c r="U52" i="42"/>
  <c r="T52" i="42"/>
  <c r="S52" i="42"/>
  <c r="R52" i="42"/>
  <c r="Q52" i="42"/>
  <c r="P52" i="42"/>
  <c r="O52" i="42"/>
  <c r="N52" i="42"/>
  <c r="M52" i="42"/>
  <c r="L52" i="42"/>
  <c r="K52" i="42"/>
  <c r="J52" i="42"/>
  <c r="I52" i="42"/>
  <c r="H52" i="42"/>
  <c r="G52" i="42"/>
  <c r="F52" i="42"/>
  <c r="E52" i="42"/>
  <c r="D52" i="42"/>
  <c r="C52" i="42"/>
  <c r="B52" i="42"/>
  <c r="C43" i="42"/>
  <c r="D43" i="42"/>
  <c r="E43" i="42"/>
  <c r="F43" i="42"/>
  <c r="G43" i="42"/>
  <c r="H43" i="42"/>
  <c r="I43" i="42"/>
  <c r="J43" i="42"/>
  <c r="K43" i="42"/>
  <c r="L43" i="42"/>
  <c r="M43" i="42"/>
  <c r="N43" i="42"/>
  <c r="O43" i="42"/>
  <c r="P43" i="42"/>
  <c r="Q43" i="42"/>
  <c r="R43" i="42"/>
  <c r="S43" i="42"/>
  <c r="T43" i="42"/>
  <c r="U43" i="42"/>
  <c r="V43" i="42"/>
  <c r="W43" i="42"/>
  <c r="X43" i="42"/>
  <c r="Y43" i="42"/>
  <c r="Z43" i="42"/>
  <c r="AA43" i="42"/>
  <c r="H451" i="70" l="1"/>
  <c r="H456" i="70" s="1"/>
  <c r="L451" i="70"/>
  <c r="L458" i="70" s="1"/>
  <c r="AF451" i="70"/>
  <c r="AF456" i="70" s="1"/>
  <c r="Y451" i="70"/>
  <c r="Y458" i="70" s="1"/>
  <c r="AA451" i="70"/>
  <c r="AA454" i="70" s="1"/>
  <c r="N451" i="70"/>
  <c r="N454" i="70" s="1"/>
  <c r="AF457" i="70"/>
  <c r="M451" i="70"/>
  <c r="M454" i="70" s="1"/>
  <c r="T451" i="70"/>
  <c r="T456" i="70" s="1"/>
  <c r="AD451" i="70"/>
  <c r="AD458" i="70" s="1"/>
  <c r="AB451" i="70"/>
  <c r="AB458" i="70" s="1"/>
  <c r="U451" i="70"/>
  <c r="U456" i="70" s="1"/>
  <c r="O451" i="70"/>
  <c r="O457" i="70" s="1"/>
  <c r="W451" i="70"/>
  <c r="W454" i="70" s="1"/>
  <c r="P451" i="70"/>
  <c r="P455" i="70" s="1"/>
  <c r="I451" i="70"/>
  <c r="I458" i="70" s="1"/>
  <c r="J451" i="70"/>
  <c r="J458" i="70" s="1"/>
  <c r="AC451" i="70"/>
  <c r="AC455" i="70" s="1"/>
  <c r="U455" i="70"/>
  <c r="AE451" i="70"/>
  <c r="AE455" i="70" s="1"/>
  <c r="X451" i="70"/>
  <c r="X458" i="70" s="1"/>
  <c r="Q451" i="70"/>
  <c r="Q457" i="70" s="1"/>
  <c r="R451" i="70"/>
  <c r="R458" i="70" s="1"/>
  <c r="AF454" i="70"/>
  <c r="Z451" i="70"/>
  <c r="Z456" i="70" s="1"/>
  <c r="K451" i="70"/>
  <c r="K454" i="70" s="1"/>
  <c r="L456" i="70"/>
  <c r="V451" i="70"/>
  <c r="V454" i="70" s="1"/>
  <c r="AF458" i="70"/>
  <c r="S451" i="70"/>
  <c r="S456" i="70" s="1"/>
  <c r="R416" i="70"/>
  <c r="R426" i="70"/>
  <c r="Q416" i="70"/>
  <c r="Q426" i="70"/>
  <c r="S416" i="70"/>
  <c r="S426" i="70"/>
  <c r="O416" i="70"/>
  <c r="O426" i="70"/>
  <c r="U63" i="42"/>
  <c r="E63" i="42"/>
  <c r="P63" i="42"/>
  <c r="M63" i="42"/>
  <c r="W63" i="42"/>
  <c r="G63" i="42"/>
  <c r="O63" i="42"/>
  <c r="H63" i="42"/>
  <c r="X63" i="42"/>
  <c r="I63" i="42"/>
  <c r="Q63" i="42"/>
  <c r="Y63" i="42"/>
  <c r="J63" i="42"/>
  <c r="R63" i="42"/>
  <c r="Z63" i="42"/>
  <c r="C63" i="42"/>
  <c r="K63" i="42"/>
  <c r="S63" i="42"/>
  <c r="AA63" i="42"/>
  <c r="D63" i="42"/>
  <c r="L63" i="42"/>
  <c r="T63" i="42"/>
  <c r="F63" i="42"/>
  <c r="N63" i="42"/>
  <c r="V63" i="42"/>
  <c r="U454" i="70" l="1"/>
  <c r="AF459" i="70"/>
  <c r="M455" i="70"/>
  <c r="L459" i="70"/>
  <c r="AE457" i="70"/>
  <c r="L457" i="70"/>
  <c r="Y454" i="70"/>
  <c r="O454" i="70"/>
  <c r="L454" i="70"/>
  <c r="O455" i="70"/>
  <c r="J454" i="70"/>
  <c r="L455" i="70"/>
  <c r="Y455" i="70"/>
  <c r="AA456" i="70"/>
  <c r="Z458" i="70"/>
  <c r="AC456" i="70"/>
  <c r="W455" i="70"/>
  <c r="H458" i="70"/>
  <c r="H454" i="70"/>
  <c r="H459" i="70"/>
  <c r="AA458" i="70"/>
  <c r="AE454" i="70"/>
  <c r="H455" i="70"/>
  <c r="H457" i="70"/>
  <c r="Y456" i="70"/>
  <c r="Y459" i="70"/>
  <c r="X455" i="70"/>
  <c r="J456" i="70"/>
  <c r="N455" i="70"/>
  <c r="S454" i="70"/>
  <c r="S458" i="70"/>
  <c r="N457" i="70"/>
  <c r="Y457" i="70"/>
  <c r="Q454" i="70"/>
  <c r="AC457" i="70"/>
  <c r="AD454" i="70"/>
  <c r="AD455" i="70"/>
  <c r="R456" i="70"/>
  <c r="M457" i="70"/>
  <c r="AF455" i="70"/>
  <c r="V459" i="70"/>
  <c r="V458" i="70"/>
  <c r="V456" i="70"/>
  <c r="O459" i="70"/>
  <c r="O458" i="70"/>
  <c r="O456" i="70"/>
  <c r="AB454" i="70"/>
  <c r="AB459" i="70"/>
  <c r="AB455" i="70"/>
  <c r="AB457" i="70"/>
  <c r="AD459" i="70"/>
  <c r="AD456" i="70"/>
  <c r="AA459" i="70"/>
  <c r="AA455" i="70"/>
  <c r="AA457" i="70"/>
  <c r="R454" i="70"/>
  <c r="R459" i="70"/>
  <c r="R455" i="70"/>
  <c r="R457" i="70"/>
  <c r="I454" i="70"/>
  <c r="I459" i="70"/>
  <c r="T454" i="70"/>
  <c r="T459" i="70"/>
  <c r="T455" i="70"/>
  <c r="T457" i="70"/>
  <c r="Q455" i="70"/>
  <c r="Q459" i="70"/>
  <c r="Q456" i="70"/>
  <c r="S459" i="70"/>
  <c r="S457" i="70"/>
  <c r="S455" i="70"/>
  <c r="Z454" i="70"/>
  <c r="Z459" i="70"/>
  <c r="Z455" i="70"/>
  <c r="Z457" i="70"/>
  <c r="AC459" i="70"/>
  <c r="AC458" i="70"/>
  <c r="W459" i="70"/>
  <c r="W458" i="70"/>
  <c r="W456" i="70"/>
  <c r="AD457" i="70"/>
  <c r="U459" i="70"/>
  <c r="U458" i="70"/>
  <c r="Q458" i="70"/>
  <c r="T458" i="70"/>
  <c r="K459" i="70"/>
  <c r="K457" i="70"/>
  <c r="K455" i="70"/>
  <c r="P454" i="70"/>
  <c r="P459" i="70"/>
  <c r="P456" i="70"/>
  <c r="K458" i="70"/>
  <c r="X454" i="70"/>
  <c r="X459" i="70"/>
  <c r="X456" i="70"/>
  <c r="I456" i="70"/>
  <c r="X457" i="70"/>
  <c r="AB456" i="70"/>
  <c r="J455" i="70"/>
  <c r="J459" i="70"/>
  <c r="J457" i="70"/>
  <c r="I457" i="70"/>
  <c r="W457" i="70"/>
  <c r="P458" i="70"/>
  <c r="I455" i="70"/>
  <c r="M459" i="70"/>
  <c r="M458" i="70"/>
  <c r="N459" i="70"/>
  <c r="N456" i="70"/>
  <c r="N458" i="70"/>
  <c r="M456" i="70"/>
  <c r="U457" i="70"/>
  <c r="AE459" i="70"/>
  <c r="AE456" i="70"/>
  <c r="AE458" i="70"/>
  <c r="V457" i="70"/>
  <c r="AC454" i="70"/>
  <c r="P457" i="70"/>
  <c r="V455" i="70"/>
  <c r="K456" i="70"/>
  <c r="F65" i="42"/>
  <c r="D65" i="42"/>
  <c r="E65" i="42"/>
  <c r="G65" i="42"/>
  <c r="C65" i="42"/>
  <c r="R53" i="42" l="1"/>
  <c r="J53" i="42"/>
  <c r="Z53" i="42"/>
  <c r="O53" i="42"/>
  <c r="H53" i="42"/>
  <c r="P53" i="42"/>
  <c r="X53" i="42"/>
  <c r="I53" i="42"/>
  <c r="Q53" i="42"/>
  <c r="Y53" i="42"/>
  <c r="C53" i="42"/>
  <c r="K53" i="42"/>
  <c r="S53" i="42"/>
  <c r="AA53" i="42"/>
  <c r="D53" i="42"/>
  <c r="L53" i="42"/>
  <c r="T53" i="42"/>
  <c r="E53" i="42"/>
  <c r="M53" i="42"/>
  <c r="U53" i="42"/>
  <c r="F53" i="42"/>
  <c r="N53" i="42"/>
  <c r="V53" i="42"/>
  <c r="G53" i="42"/>
  <c r="W53" i="42"/>
  <c r="G55" i="42" l="1"/>
  <c r="F55" i="42"/>
  <c r="E55" i="42"/>
  <c r="C55" i="42"/>
  <c r="D55" i="42"/>
  <c r="N44" i="42" l="1"/>
  <c r="U44" i="42"/>
  <c r="V44" i="42"/>
  <c r="D44" i="42"/>
  <c r="E44" i="42"/>
  <c r="F44" i="42"/>
  <c r="G44" i="42"/>
  <c r="H44" i="42"/>
  <c r="I44" i="42"/>
  <c r="J44" i="42"/>
  <c r="K44" i="42"/>
  <c r="M44" i="42"/>
  <c r="O44" i="42"/>
  <c r="P44" i="42"/>
  <c r="Q44" i="42"/>
  <c r="R44" i="42"/>
  <c r="S44" i="42"/>
  <c r="W44" i="42"/>
  <c r="X44" i="42"/>
  <c r="Y44" i="42"/>
  <c r="Z44" i="42"/>
  <c r="AA44" i="42"/>
  <c r="G46" i="42" l="1"/>
  <c r="E46" i="42"/>
  <c r="C44" i="42"/>
  <c r="C46" i="42" s="1"/>
  <c r="L44" i="42"/>
  <c r="D46" i="42" s="1"/>
  <c r="T44" i="42"/>
  <c r="F46" i="42" s="1"/>
  <c r="A205" i="5"/>
  <c r="A206" i="5"/>
  <c r="A207" i="5"/>
  <c r="A204" i="5"/>
  <c r="F1" i="22" l="1"/>
  <c r="D16" i="1" l="1"/>
  <c r="AF261" i="39" l="1"/>
  <c r="AE261" i="39"/>
  <c r="AD261" i="39"/>
  <c r="AC261" i="39"/>
  <c r="AB261" i="39"/>
  <c r="AA261" i="39"/>
  <c r="Z261" i="39"/>
  <c r="Y261" i="39"/>
  <c r="X261" i="39"/>
  <c r="W261" i="39"/>
  <c r="V261" i="39"/>
  <c r="U261" i="39"/>
  <c r="T261" i="39"/>
  <c r="S261" i="39"/>
  <c r="R261" i="39"/>
  <c r="Q261" i="39"/>
  <c r="P261" i="39"/>
  <c r="O261" i="39"/>
  <c r="N261" i="39"/>
  <c r="M261" i="39"/>
  <c r="L261" i="39"/>
  <c r="K261" i="39"/>
  <c r="J261" i="39"/>
  <c r="I261" i="39"/>
  <c r="H261" i="39"/>
  <c r="G261" i="39"/>
  <c r="AF260" i="39"/>
  <c r="AE260" i="39"/>
  <c r="AD260" i="39"/>
  <c r="AC260" i="39"/>
  <c r="AB260" i="39"/>
  <c r="AA260" i="39"/>
  <c r="Z260" i="39"/>
  <c r="Y260" i="39"/>
  <c r="X260" i="39"/>
  <c r="W260" i="39"/>
  <c r="V260" i="39"/>
  <c r="U260" i="39"/>
  <c r="T260" i="39"/>
  <c r="S260" i="39"/>
  <c r="R260" i="39"/>
  <c r="Q260" i="39"/>
  <c r="P260" i="39"/>
  <c r="O260" i="39"/>
  <c r="N260" i="39"/>
  <c r="M260" i="39"/>
  <c r="L260" i="39"/>
  <c r="K260" i="39"/>
  <c r="J260" i="39"/>
  <c r="I260" i="39"/>
  <c r="H260" i="39"/>
  <c r="G260" i="39"/>
  <c r="AF259" i="39"/>
  <c r="AE259" i="39"/>
  <c r="AD259" i="39"/>
  <c r="AC259" i="39"/>
  <c r="AB259" i="39"/>
  <c r="AA259" i="39"/>
  <c r="Z259" i="39"/>
  <c r="Y259" i="39"/>
  <c r="X259" i="39"/>
  <c r="W259" i="39"/>
  <c r="V259" i="39"/>
  <c r="U259" i="39"/>
  <c r="T259" i="39"/>
  <c r="S259" i="39"/>
  <c r="R259" i="39"/>
  <c r="Q259" i="39"/>
  <c r="P259" i="39"/>
  <c r="O259" i="39"/>
  <c r="N259" i="39"/>
  <c r="M259" i="39"/>
  <c r="L259" i="39"/>
  <c r="K259" i="39"/>
  <c r="J259" i="39"/>
  <c r="I259" i="39"/>
  <c r="H259" i="39"/>
  <c r="G259" i="39"/>
  <c r="AF258" i="39"/>
  <c r="AE258" i="39"/>
  <c r="AD258" i="39"/>
  <c r="AC258" i="39"/>
  <c r="AB258" i="39"/>
  <c r="AA258" i="39"/>
  <c r="Z258" i="39"/>
  <c r="Y258" i="39"/>
  <c r="X258" i="39"/>
  <c r="W258" i="39"/>
  <c r="V258" i="39"/>
  <c r="U258" i="39"/>
  <c r="T258" i="39"/>
  <c r="S258" i="39"/>
  <c r="R258" i="39"/>
  <c r="Q258" i="39"/>
  <c r="P258" i="39"/>
  <c r="O258" i="39"/>
  <c r="N258" i="39"/>
  <c r="M258" i="39"/>
  <c r="L258" i="39"/>
  <c r="K258" i="39"/>
  <c r="J258" i="39"/>
  <c r="I258" i="39"/>
  <c r="H258" i="39"/>
  <c r="G258" i="39"/>
  <c r="AF257" i="39"/>
  <c r="AE257" i="39"/>
  <c r="AD257" i="39"/>
  <c r="AC257" i="39"/>
  <c r="AB257" i="39"/>
  <c r="AA257" i="39"/>
  <c r="Z257" i="39"/>
  <c r="Y257" i="39"/>
  <c r="X257" i="39"/>
  <c r="W257" i="39"/>
  <c r="V257" i="39"/>
  <c r="U257" i="39"/>
  <c r="T257" i="39"/>
  <c r="S257" i="39"/>
  <c r="R257" i="39"/>
  <c r="Q257" i="39"/>
  <c r="P257" i="39"/>
  <c r="O257" i="39"/>
  <c r="N257" i="39"/>
  <c r="M257" i="39"/>
  <c r="L257" i="39"/>
  <c r="K257" i="39"/>
  <c r="J257" i="39"/>
  <c r="I257" i="39"/>
  <c r="H257" i="39"/>
  <c r="G257" i="39"/>
  <c r="AF256" i="39"/>
  <c r="AE256" i="39"/>
  <c r="AD256" i="39"/>
  <c r="AC256" i="39"/>
  <c r="AB256" i="39"/>
  <c r="AA256" i="39"/>
  <c r="Z256" i="39"/>
  <c r="Y256" i="39"/>
  <c r="X256" i="39"/>
  <c r="W256" i="39"/>
  <c r="V256" i="39"/>
  <c r="U256" i="39"/>
  <c r="T256" i="39"/>
  <c r="S256" i="39"/>
  <c r="R256" i="39"/>
  <c r="Q256" i="39"/>
  <c r="P256" i="39"/>
  <c r="O256" i="39"/>
  <c r="N256" i="39"/>
  <c r="M256" i="39"/>
  <c r="L256" i="39"/>
  <c r="K256" i="39"/>
  <c r="J256" i="39"/>
  <c r="I256" i="39"/>
  <c r="H256" i="39"/>
  <c r="G256" i="39"/>
  <c r="AF253" i="39"/>
  <c r="AE253" i="39"/>
  <c r="AD253" i="39"/>
  <c r="AC253" i="39"/>
  <c r="AB253" i="39"/>
  <c r="AA253" i="39"/>
  <c r="Z253" i="39"/>
  <c r="Y253" i="39"/>
  <c r="X253" i="39"/>
  <c r="W253" i="39"/>
  <c r="V253" i="39"/>
  <c r="U253" i="39"/>
  <c r="T253" i="39"/>
  <c r="S253" i="39"/>
  <c r="R253" i="39"/>
  <c r="Q253" i="39"/>
  <c r="P253" i="39"/>
  <c r="O253" i="39"/>
  <c r="N253" i="39"/>
  <c r="M253" i="39"/>
  <c r="L253" i="39"/>
  <c r="K253" i="39"/>
  <c r="J253" i="39"/>
  <c r="I253" i="39"/>
  <c r="H253" i="39"/>
  <c r="G253" i="39"/>
  <c r="AF252" i="39"/>
  <c r="AE252" i="39"/>
  <c r="AD252" i="39"/>
  <c r="AC252" i="39"/>
  <c r="AB252" i="39"/>
  <c r="AA252" i="39"/>
  <c r="Z252" i="39"/>
  <c r="Y252" i="39"/>
  <c r="X252" i="39"/>
  <c r="W252" i="39"/>
  <c r="V252" i="39"/>
  <c r="U252" i="39"/>
  <c r="T252" i="39"/>
  <c r="S252" i="39"/>
  <c r="R252" i="39"/>
  <c r="Q252" i="39"/>
  <c r="P252" i="39"/>
  <c r="O252" i="39"/>
  <c r="N252" i="39"/>
  <c r="M252" i="39"/>
  <c r="L252" i="39"/>
  <c r="K252" i="39"/>
  <c r="J252" i="39"/>
  <c r="I252" i="39"/>
  <c r="H252" i="39"/>
  <c r="G252" i="39"/>
  <c r="AF251" i="39"/>
  <c r="AE251" i="39"/>
  <c r="AD251" i="39"/>
  <c r="AC251" i="39"/>
  <c r="AB251" i="39"/>
  <c r="AA251" i="39"/>
  <c r="Z251" i="39"/>
  <c r="Y251" i="39"/>
  <c r="X251" i="39"/>
  <c r="W251" i="39"/>
  <c r="V251" i="39"/>
  <c r="U251" i="39"/>
  <c r="T251" i="39"/>
  <c r="S251" i="39"/>
  <c r="R251" i="39"/>
  <c r="Q251" i="39"/>
  <c r="P251" i="39"/>
  <c r="O251" i="39"/>
  <c r="N251" i="39"/>
  <c r="M251" i="39"/>
  <c r="L251" i="39"/>
  <c r="K251" i="39"/>
  <c r="J251" i="39"/>
  <c r="I251" i="39"/>
  <c r="H251" i="39"/>
  <c r="G251" i="39"/>
  <c r="AF250" i="39"/>
  <c r="AE250" i="39"/>
  <c r="AD250" i="39"/>
  <c r="AC250" i="39"/>
  <c r="AB250" i="39"/>
  <c r="AA250" i="39"/>
  <c r="Z250" i="39"/>
  <c r="Y250" i="39"/>
  <c r="X250" i="39"/>
  <c r="W250" i="39"/>
  <c r="V250" i="39"/>
  <c r="U250" i="39"/>
  <c r="T250" i="39"/>
  <c r="S250" i="39"/>
  <c r="R250" i="39"/>
  <c r="Q250" i="39"/>
  <c r="P250" i="39"/>
  <c r="O250" i="39"/>
  <c r="N250" i="39"/>
  <c r="M250" i="39"/>
  <c r="L250" i="39"/>
  <c r="K250" i="39"/>
  <c r="J250" i="39"/>
  <c r="I250" i="39"/>
  <c r="H250" i="39"/>
  <c r="G250" i="39"/>
  <c r="AF249" i="39"/>
  <c r="AE249" i="39"/>
  <c r="AD249" i="39"/>
  <c r="AC249" i="39"/>
  <c r="AB249" i="39"/>
  <c r="AA249" i="39"/>
  <c r="Z249" i="39"/>
  <c r="Y249" i="39"/>
  <c r="X249" i="39"/>
  <c r="W249" i="39"/>
  <c r="V249" i="39"/>
  <c r="U249" i="39"/>
  <c r="T249" i="39"/>
  <c r="S249" i="39"/>
  <c r="R249" i="39"/>
  <c r="Q249" i="39"/>
  <c r="P249" i="39"/>
  <c r="O249" i="39"/>
  <c r="N249" i="39"/>
  <c r="M249" i="39"/>
  <c r="L249" i="39"/>
  <c r="K249" i="39"/>
  <c r="J249" i="39"/>
  <c r="I249" i="39"/>
  <c r="H249" i="39"/>
  <c r="G249" i="39"/>
  <c r="AF246" i="39"/>
  <c r="AE246" i="39"/>
  <c r="AD246" i="39"/>
  <c r="AC246" i="39"/>
  <c r="AB246" i="39"/>
  <c r="AA246" i="39"/>
  <c r="Z246" i="39"/>
  <c r="Y246" i="39"/>
  <c r="X246" i="39"/>
  <c r="W246" i="39"/>
  <c r="V246" i="39"/>
  <c r="U246" i="39"/>
  <c r="T246" i="39"/>
  <c r="S246" i="39"/>
  <c r="R246" i="39"/>
  <c r="Q246" i="39"/>
  <c r="P246" i="39"/>
  <c r="O246" i="39"/>
  <c r="N246" i="39"/>
  <c r="M246" i="39"/>
  <c r="L246" i="39"/>
  <c r="K246" i="39"/>
  <c r="J246" i="39"/>
  <c r="I246" i="39"/>
  <c r="H246" i="39"/>
  <c r="G246" i="39"/>
  <c r="AF245" i="39"/>
  <c r="AE245" i="39"/>
  <c r="AD245" i="39"/>
  <c r="AC245" i="39"/>
  <c r="AB245" i="39"/>
  <c r="AA245" i="39"/>
  <c r="Z245" i="39"/>
  <c r="Y245" i="39"/>
  <c r="X245" i="39"/>
  <c r="W245" i="39"/>
  <c r="V245" i="39"/>
  <c r="U245" i="39"/>
  <c r="T245" i="39"/>
  <c r="S245" i="39"/>
  <c r="R245" i="39"/>
  <c r="Q245" i="39"/>
  <c r="P245" i="39"/>
  <c r="O245" i="39"/>
  <c r="N245" i="39"/>
  <c r="M245" i="39"/>
  <c r="L245" i="39"/>
  <c r="K245" i="39"/>
  <c r="J245" i="39"/>
  <c r="I245" i="39"/>
  <c r="H245" i="39"/>
  <c r="G245" i="39"/>
  <c r="AF244" i="39"/>
  <c r="AE244" i="39"/>
  <c r="AD244" i="39"/>
  <c r="AC244" i="39"/>
  <c r="AB244" i="39"/>
  <c r="AA244" i="39"/>
  <c r="Z244" i="39"/>
  <c r="Y244" i="39"/>
  <c r="X244" i="39"/>
  <c r="W244" i="39"/>
  <c r="V244" i="39"/>
  <c r="U244" i="39"/>
  <c r="T244" i="39"/>
  <c r="S244" i="39"/>
  <c r="R244" i="39"/>
  <c r="Q244" i="39"/>
  <c r="P244" i="39"/>
  <c r="O244" i="39"/>
  <c r="N244" i="39"/>
  <c r="M244" i="39"/>
  <c r="L244" i="39"/>
  <c r="K244" i="39"/>
  <c r="J244" i="39"/>
  <c r="I244" i="39"/>
  <c r="H244" i="39"/>
  <c r="G244" i="39"/>
  <c r="AF243" i="39"/>
  <c r="AE243" i="39"/>
  <c r="AD243" i="39"/>
  <c r="AC243" i="39"/>
  <c r="AB243" i="39"/>
  <c r="AA243" i="39"/>
  <c r="Z243" i="39"/>
  <c r="Y243" i="39"/>
  <c r="X243" i="39"/>
  <c r="W243" i="39"/>
  <c r="V243" i="39"/>
  <c r="U243" i="39"/>
  <c r="T243" i="39"/>
  <c r="S243" i="39"/>
  <c r="R243" i="39"/>
  <c r="Q243" i="39"/>
  <c r="P243" i="39"/>
  <c r="O243" i="39"/>
  <c r="N243" i="39"/>
  <c r="M243" i="39"/>
  <c r="L243" i="39"/>
  <c r="K243" i="39"/>
  <c r="J243" i="39"/>
  <c r="I243" i="39"/>
  <c r="H243" i="39"/>
  <c r="G243" i="39"/>
  <c r="AF240" i="39"/>
  <c r="AE240" i="39"/>
  <c r="AD240" i="39"/>
  <c r="AC240" i="39"/>
  <c r="AB240" i="39"/>
  <c r="AA240" i="39"/>
  <c r="Z240" i="39"/>
  <c r="Y240" i="39"/>
  <c r="X240" i="39"/>
  <c r="W240" i="39"/>
  <c r="V240" i="39"/>
  <c r="U240" i="39"/>
  <c r="T240" i="39"/>
  <c r="S240" i="39"/>
  <c r="R240" i="39"/>
  <c r="Q240" i="39"/>
  <c r="P240" i="39"/>
  <c r="O240" i="39"/>
  <c r="N240" i="39"/>
  <c r="M240" i="39"/>
  <c r="L240" i="39"/>
  <c r="K240" i="39"/>
  <c r="J240" i="39"/>
  <c r="I240" i="39"/>
  <c r="H240" i="39"/>
  <c r="G240" i="39"/>
  <c r="AF239" i="39"/>
  <c r="AE239" i="39"/>
  <c r="AD239" i="39"/>
  <c r="AC239" i="39"/>
  <c r="AB239" i="39"/>
  <c r="AA239" i="39"/>
  <c r="Z239" i="39"/>
  <c r="Y239" i="39"/>
  <c r="X239" i="39"/>
  <c r="W239" i="39"/>
  <c r="V239" i="39"/>
  <c r="U239" i="39"/>
  <c r="T239" i="39"/>
  <c r="S239" i="39"/>
  <c r="R239" i="39"/>
  <c r="Q239" i="39"/>
  <c r="P239" i="39"/>
  <c r="O239" i="39"/>
  <c r="N239" i="39"/>
  <c r="M239" i="39"/>
  <c r="L239" i="39"/>
  <c r="K239" i="39"/>
  <c r="J239" i="39"/>
  <c r="I239" i="39"/>
  <c r="H239" i="39"/>
  <c r="G239" i="39"/>
  <c r="AF238" i="39"/>
  <c r="AE238" i="39"/>
  <c r="AD238" i="39"/>
  <c r="AC238" i="39"/>
  <c r="AB238" i="39"/>
  <c r="AA238" i="39"/>
  <c r="Z238" i="39"/>
  <c r="Y238" i="39"/>
  <c r="X238" i="39"/>
  <c r="W238" i="39"/>
  <c r="V238" i="39"/>
  <c r="U238" i="39"/>
  <c r="T238" i="39"/>
  <c r="S238" i="39"/>
  <c r="R238" i="39"/>
  <c r="Q238" i="39"/>
  <c r="P238" i="39"/>
  <c r="O238" i="39"/>
  <c r="N238" i="39"/>
  <c r="M238" i="39"/>
  <c r="L238" i="39"/>
  <c r="K238" i="39"/>
  <c r="J238" i="39"/>
  <c r="I238" i="39"/>
  <c r="H238" i="39"/>
  <c r="G238" i="39"/>
  <c r="AF237" i="39"/>
  <c r="AE237" i="39"/>
  <c r="AD237" i="39"/>
  <c r="AC237" i="39"/>
  <c r="AB237" i="39"/>
  <c r="AA237" i="39"/>
  <c r="Z237" i="39"/>
  <c r="Y237" i="39"/>
  <c r="X237" i="39"/>
  <c r="W237" i="39"/>
  <c r="V237" i="39"/>
  <c r="U237" i="39"/>
  <c r="T237" i="39"/>
  <c r="S237" i="39"/>
  <c r="R237" i="39"/>
  <c r="Q237" i="39"/>
  <c r="P237" i="39"/>
  <c r="O237" i="39"/>
  <c r="N237" i="39"/>
  <c r="M237" i="39"/>
  <c r="L237" i="39"/>
  <c r="K237" i="39"/>
  <c r="J237" i="39"/>
  <c r="I237" i="39"/>
  <c r="H237" i="39"/>
  <c r="G237" i="39"/>
  <c r="AF234" i="39"/>
  <c r="AE234" i="39"/>
  <c r="AD234" i="39"/>
  <c r="AC234" i="39"/>
  <c r="AB234" i="39"/>
  <c r="AA234" i="39"/>
  <c r="Z234" i="39"/>
  <c r="Y234" i="39"/>
  <c r="X234" i="39"/>
  <c r="W234" i="39"/>
  <c r="V234" i="39"/>
  <c r="U234" i="39"/>
  <c r="T234" i="39"/>
  <c r="S234" i="39"/>
  <c r="R234" i="39"/>
  <c r="Q234" i="39"/>
  <c r="P234" i="39"/>
  <c r="O234" i="39"/>
  <c r="N234" i="39"/>
  <c r="M234" i="39"/>
  <c r="L234" i="39"/>
  <c r="K234" i="39"/>
  <c r="J234" i="39"/>
  <c r="I234" i="39"/>
  <c r="H234" i="39"/>
  <c r="G234" i="39"/>
  <c r="AF233" i="39"/>
  <c r="AE233" i="39"/>
  <c r="AD233" i="39"/>
  <c r="AC233" i="39"/>
  <c r="AB233" i="39"/>
  <c r="AA233" i="39"/>
  <c r="Z233" i="39"/>
  <c r="Y233" i="39"/>
  <c r="X233" i="39"/>
  <c r="W233" i="39"/>
  <c r="V233" i="39"/>
  <c r="U233" i="39"/>
  <c r="T233" i="39"/>
  <c r="S233" i="39"/>
  <c r="R233" i="39"/>
  <c r="Q233" i="39"/>
  <c r="P233" i="39"/>
  <c r="O233" i="39"/>
  <c r="N233" i="39"/>
  <c r="M233" i="39"/>
  <c r="L233" i="39"/>
  <c r="K233" i="39"/>
  <c r="J233" i="39"/>
  <c r="I233" i="39"/>
  <c r="H233" i="39"/>
  <c r="G233" i="39"/>
  <c r="AF232" i="39"/>
  <c r="AE232" i="39"/>
  <c r="AD232" i="39"/>
  <c r="AC232" i="39"/>
  <c r="AB232" i="39"/>
  <c r="AA232" i="39"/>
  <c r="Z232" i="39"/>
  <c r="Y232" i="39"/>
  <c r="X232" i="39"/>
  <c r="W232" i="39"/>
  <c r="V232" i="39"/>
  <c r="U232" i="39"/>
  <c r="T232" i="39"/>
  <c r="S232" i="39"/>
  <c r="R232" i="39"/>
  <c r="Q232" i="39"/>
  <c r="P232" i="39"/>
  <c r="O232" i="39"/>
  <c r="N232" i="39"/>
  <c r="M232" i="39"/>
  <c r="L232" i="39"/>
  <c r="K232" i="39"/>
  <c r="J232" i="39"/>
  <c r="I232" i="39"/>
  <c r="H232" i="39"/>
  <c r="G232" i="39"/>
  <c r="AF231" i="39"/>
  <c r="AE231" i="39"/>
  <c r="AD231" i="39"/>
  <c r="AC231" i="39"/>
  <c r="AB231" i="39"/>
  <c r="AA231" i="39"/>
  <c r="Z231" i="39"/>
  <c r="Y231" i="39"/>
  <c r="X231" i="39"/>
  <c r="W231" i="39"/>
  <c r="V231" i="39"/>
  <c r="U231" i="39"/>
  <c r="T231" i="39"/>
  <c r="S231" i="39"/>
  <c r="R231" i="39"/>
  <c r="Q231" i="39"/>
  <c r="P231" i="39"/>
  <c r="O231" i="39"/>
  <c r="N231" i="39"/>
  <c r="M231" i="39"/>
  <c r="L231" i="39"/>
  <c r="K231" i="39"/>
  <c r="J231" i="39"/>
  <c r="I231" i="39"/>
  <c r="H231" i="39"/>
  <c r="G231" i="39"/>
  <c r="AF224" i="39"/>
  <c r="AE224" i="39"/>
  <c r="AD224" i="39"/>
  <c r="AC224" i="39"/>
  <c r="AB224" i="39"/>
  <c r="AA224" i="39"/>
  <c r="Z224" i="39"/>
  <c r="Y224" i="39"/>
  <c r="X224" i="39"/>
  <c r="W224" i="39"/>
  <c r="V224" i="39"/>
  <c r="U224" i="39"/>
  <c r="T224" i="39"/>
  <c r="S224" i="39"/>
  <c r="R224" i="39"/>
  <c r="Q224" i="39"/>
  <c r="P224" i="39"/>
  <c r="O224" i="39"/>
  <c r="N224" i="39"/>
  <c r="M224" i="39"/>
  <c r="L224" i="39"/>
  <c r="K224" i="39"/>
  <c r="J224" i="39"/>
  <c r="I224" i="39"/>
  <c r="H224" i="39"/>
  <c r="G224" i="39"/>
  <c r="AF223" i="39"/>
  <c r="AE223" i="39"/>
  <c r="AD223" i="39"/>
  <c r="AC223" i="39"/>
  <c r="AB223" i="39"/>
  <c r="AA223" i="39"/>
  <c r="Z223" i="39"/>
  <c r="Y223" i="39"/>
  <c r="X223" i="39"/>
  <c r="W223" i="39"/>
  <c r="V223" i="39"/>
  <c r="U223" i="39"/>
  <c r="T223" i="39"/>
  <c r="S223" i="39"/>
  <c r="R223" i="39"/>
  <c r="Q223" i="39"/>
  <c r="P223" i="39"/>
  <c r="O223" i="39"/>
  <c r="N223" i="39"/>
  <c r="M223" i="39"/>
  <c r="L223" i="39"/>
  <c r="K223" i="39"/>
  <c r="J223" i="39"/>
  <c r="I223" i="39"/>
  <c r="H223" i="39"/>
  <c r="G223" i="39"/>
  <c r="AF222" i="39"/>
  <c r="AE222" i="39"/>
  <c r="AD222" i="39"/>
  <c r="AC222" i="39"/>
  <c r="AB222" i="39"/>
  <c r="AA222" i="39"/>
  <c r="Z222" i="39"/>
  <c r="Y222" i="39"/>
  <c r="X222" i="39"/>
  <c r="W222" i="39"/>
  <c r="V222" i="39"/>
  <c r="U222" i="39"/>
  <c r="T222" i="39"/>
  <c r="S222" i="39"/>
  <c r="R222" i="39"/>
  <c r="Q222" i="39"/>
  <c r="P222" i="39"/>
  <c r="O222" i="39"/>
  <c r="N222" i="39"/>
  <c r="M222" i="39"/>
  <c r="L222" i="39"/>
  <c r="K222" i="39"/>
  <c r="J222" i="39"/>
  <c r="I222" i="39"/>
  <c r="H222" i="39"/>
  <c r="G222" i="39"/>
  <c r="AF221" i="39"/>
  <c r="AE221" i="39"/>
  <c r="AD221" i="39"/>
  <c r="AC221" i="39"/>
  <c r="AB221" i="39"/>
  <c r="AA221" i="39"/>
  <c r="Z221" i="39"/>
  <c r="Y221" i="39"/>
  <c r="X221" i="39"/>
  <c r="W221" i="39"/>
  <c r="V221" i="39"/>
  <c r="U221" i="39"/>
  <c r="T221" i="39"/>
  <c r="S221" i="39"/>
  <c r="R221" i="39"/>
  <c r="Q221" i="39"/>
  <c r="P221" i="39"/>
  <c r="O221" i="39"/>
  <c r="N221" i="39"/>
  <c r="M221" i="39"/>
  <c r="L221" i="39"/>
  <c r="K221" i="39"/>
  <c r="J221" i="39"/>
  <c r="I221" i="39"/>
  <c r="H221" i="39"/>
  <c r="G221" i="39"/>
  <c r="AF220" i="39"/>
  <c r="AE220" i="39"/>
  <c r="AD220" i="39"/>
  <c r="AC220" i="39"/>
  <c r="AB220" i="39"/>
  <c r="AA220" i="39"/>
  <c r="Z220" i="39"/>
  <c r="Y220" i="39"/>
  <c r="X220" i="39"/>
  <c r="W220" i="39"/>
  <c r="V220" i="39"/>
  <c r="U220" i="39"/>
  <c r="T220" i="39"/>
  <c r="S220" i="39"/>
  <c r="R220" i="39"/>
  <c r="Q220" i="39"/>
  <c r="P220" i="39"/>
  <c r="O220" i="39"/>
  <c r="N220" i="39"/>
  <c r="M220" i="39"/>
  <c r="L220" i="39"/>
  <c r="K220" i="39"/>
  <c r="J220" i="39"/>
  <c r="I220" i="39"/>
  <c r="H220" i="39"/>
  <c r="G220" i="39"/>
  <c r="AF219" i="39"/>
  <c r="AE219" i="39"/>
  <c r="AD219" i="39"/>
  <c r="AC219" i="39"/>
  <c r="AB219" i="39"/>
  <c r="AA219" i="39"/>
  <c r="Z219" i="39"/>
  <c r="Y219" i="39"/>
  <c r="X219" i="39"/>
  <c r="W219" i="39"/>
  <c r="V219" i="39"/>
  <c r="U219" i="39"/>
  <c r="T219" i="39"/>
  <c r="S219" i="39"/>
  <c r="R219" i="39"/>
  <c r="Q219" i="39"/>
  <c r="P219" i="39"/>
  <c r="O219" i="39"/>
  <c r="N219" i="39"/>
  <c r="M219" i="39"/>
  <c r="L219" i="39"/>
  <c r="K219" i="39"/>
  <c r="J219" i="39"/>
  <c r="I219" i="39"/>
  <c r="H219" i="39"/>
  <c r="G219" i="39"/>
  <c r="AF216" i="39"/>
  <c r="AE216" i="39"/>
  <c r="AD216" i="39"/>
  <c r="AC216" i="39"/>
  <c r="AB216" i="39"/>
  <c r="AA216" i="39"/>
  <c r="Z216" i="39"/>
  <c r="Y216" i="39"/>
  <c r="X216" i="39"/>
  <c r="W216" i="39"/>
  <c r="V216" i="39"/>
  <c r="U216" i="39"/>
  <c r="T216" i="39"/>
  <c r="S216" i="39"/>
  <c r="R216" i="39"/>
  <c r="Q216" i="39"/>
  <c r="P216" i="39"/>
  <c r="O216" i="39"/>
  <c r="N216" i="39"/>
  <c r="M216" i="39"/>
  <c r="L216" i="39"/>
  <c r="K216" i="39"/>
  <c r="J216" i="39"/>
  <c r="I216" i="39"/>
  <c r="H216" i="39"/>
  <c r="G216" i="39"/>
  <c r="AF215" i="39"/>
  <c r="AE215" i="39"/>
  <c r="AD215" i="39"/>
  <c r="AC215" i="39"/>
  <c r="AB215" i="39"/>
  <c r="AA215" i="39"/>
  <c r="Z215" i="39"/>
  <c r="Y215" i="39"/>
  <c r="X215" i="39"/>
  <c r="W215" i="39"/>
  <c r="V215" i="39"/>
  <c r="U215" i="39"/>
  <c r="T215" i="39"/>
  <c r="S215" i="39"/>
  <c r="R215" i="39"/>
  <c r="Q215" i="39"/>
  <c r="P215" i="39"/>
  <c r="O215" i="39"/>
  <c r="N215" i="39"/>
  <c r="M215" i="39"/>
  <c r="L215" i="39"/>
  <c r="K215" i="39"/>
  <c r="J215" i="39"/>
  <c r="I215" i="39"/>
  <c r="H215" i="39"/>
  <c r="G215" i="39"/>
  <c r="AF214" i="39"/>
  <c r="AE214" i="39"/>
  <c r="AD214" i="39"/>
  <c r="AC214" i="39"/>
  <c r="AB214" i="39"/>
  <c r="AA214" i="39"/>
  <c r="Z214" i="39"/>
  <c r="Y214" i="39"/>
  <c r="X214" i="39"/>
  <c r="W214" i="39"/>
  <c r="V214" i="39"/>
  <c r="U214" i="39"/>
  <c r="T214" i="39"/>
  <c r="S214" i="39"/>
  <c r="R214" i="39"/>
  <c r="Q214" i="39"/>
  <c r="P214" i="39"/>
  <c r="O214" i="39"/>
  <c r="N214" i="39"/>
  <c r="M214" i="39"/>
  <c r="L214" i="39"/>
  <c r="K214" i="39"/>
  <c r="J214" i="39"/>
  <c r="I214" i="39"/>
  <c r="H214" i="39"/>
  <c r="G214" i="39"/>
  <c r="AF213" i="39"/>
  <c r="AE213" i="39"/>
  <c r="AD213" i="39"/>
  <c r="AC213" i="39"/>
  <c r="AB213" i="39"/>
  <c r="AA213" i="39"/>
  <c r="Z213" i="39"/>
  <c r="Y213" i="39"/>
  <c r="X213" i="39"/>
  <c r="W213" i="39"/>
  <c r="V213" i="39"/>
  <c r="U213" i="39"/>
  <c r="T213" i="39"/>
  <c r="S213" i="39"/>
  <c r="R213" i="39"/>
  <c r="Q213" i="39"/>
  <c r="P213" i="39"/>
  <c r="O213" i="39"/>
  <c r="N213" i="39"/>
  <c r="M213" i="39"/>
  <c r="L213" i="39"/>
  <c r="K213" i="39"/>
  <c r="J213" i="39"/>
  <c r="I213" i="39"/>
  <c r="H213" i="39"/>
  <c r="G213" i="39"/>
  <c r="AF212" i="39"/>
  <c r="AE212" i="39"/>
  <c r="AD212" i="39"/>
  <c r="AC212" i="39"/>
  <c r="AB212" i="39"/>
  <c r="AA212" i="39"/>
  <c r="Z212" i="39"/>
  <c r="Y212" i="39"/>
  <c r="X212" i="39"/>
  <c r="W212" i="39"/>
  <c r="V212" i="39"/>
  <c r="U212" i="39"/>
  <c r="T212" i="39"/>
  <c r="S212" i="39"/>
  <c r="R212" i="39"/>
  <c r="Q212" i="39"/>
  <c r="P212" i="39"/>
  <c r="O212" i="39"/>
  <c r="N212" i="39"/>
  <c r="M212" i="39"/>
  <c r="L212" i="39"/>
  <c r="K212" i="39"/>
  <c r="J212" i="39"/>
  <c r="I212" i="39"/>
  <c r="H212" i="39"/>
  <c r="G212" i="39"/>
  <c r="AF209" i="39"/>
  <c r="AE209" i="39"/>
  <c r="AD209" i="39"/>
  <c r="AC209" i="39"/>
  <c r="AB209" i="39"/>
  <c r="AA209" i="39"/>
  <c r="Z209" i="39"/>
  <c r="Y209" i="39"/>
  <c r="X209" i="39"/>
  <c r="W209" i="39"/>
  <c r="V209" i="39"/>
  <c r="U209" i="39"/>
  <c r="T209" i="39"/>
  <c r="S209" i="39"/>
  <c r="R209" i="39"/>
  <c r="Q209" i="39"/>
  <c r="P209" i="39"/>
  <c r="O209" i="39"/>
  <c r="N209" i="39"/>
  <c r="M209" i="39"/>
  <c r="L209" i="39"/>
  <c r="K209" i="39"/>
  <c r="J209" i="39"/>
  <c r="I209" i="39"/>
  <c r="H209" i="39"/>
  <c r="G209" i="39"/>
  <c r="AF208" i="39"/>
  <c r="AE208" i="39"/>
  <c r="AD208" i="39"/>
  <c r="AC208" i="39"/>
  <c r="AB208" i="39"/>
  <c r="AA208" i="39"/>
  <c r="Z208" i="39"/>
  <c r="Y208" i="39"/>
  <c r="X208" i="39"/>
  <c r="W208" i="39"/>
  <c r="V208" i="39"/>
  <c r="U208" i="39"/>
  <c r="T208" i="39"/>
  <c r="S208" i="39"/>
  <c r="R208" i="39"/>
  <c r="Q208" i="39"/>
  <c r="P208" i="39"/>
  <c r="O208" i="39"/>
  <c r="N208" i="39"/>
  <c r="M208" i="39"/>
  <c r="L208" i="39"/>
  <c r="K208" i="39"/>
  <c r="J208" i="39"/>
  <c r="I208" i="39"/>
  <c r="H208" i="39"/>
  <c r="G208" i="39"/>
  <c r="AF207" i="39"/>
  <c r="AE207" i="39"/>
  <c r="AD207" i="39"/>
  <c r="AC207" i="39"/>
  <c r="AB207" i="39"/>
  <c r="AA207" i="39"/>
  <c r="Z207" i="39"/>
  <c r="Y207" i="39"/>
  <c r="X207" i="39"/>
  <c r="W207" i="39"/>
  <c r="V207" i="39"/>
  <c r="U207" i="39"/>
  <c r="T207" i="39"/>
  <c r="S207" i="39"/>
  <c r="R207" i="39"/>
  <c r="Q207" i="39"/>
  <c r="P207" i="39"/>
  <c r="O207" i="39"/>
  <c r="N207" i="39"/>
  <c r="M207" i="39"/>
  <c r="L207" i="39"/>
  <c r="K207" i="39"/>
  <c r="J207" i="39"/>
  <c r="I207" i="39"/>
  <c r="H207" i="39"/>
  <c r="G207" i="39"/>
  <c r="AF206" i="39"/>
  <c r="AE206" i="39"/>
  <c r="AD206" i="39"/>
  <c r="AC206" i="39"/>
  <c r="AB206" i="39"/>
  <c r="AA206" i="39"/>
  <c r="Z206" i="39"/>
  <c r="Y206" i="39"/>
  <c r="X206" i="39"/>
  <c r="W206" i="39"/>
  <c r="V206" i="39"/>
  <c r="U206" i="39"/>
  <c r="T206" i="39"/>
  <c r="S206" i="39"/>
  <c r="R206" i="39"/>
  <c r="Q206" i="39"/>
  <c r="P206" i="39"/>
  <c r="O206" i="39"/>
  <c r="N206" i="39"/>
  <c r="M206" i="39"/>
  <c r="L206" i="39"/>
  <c r="K206" i="39"/>
  <c r="J206" i="39"/>
  <c r="I206" i="39"/>
  <c r="H206" i="39"/>
  <c r="G206" i="39"/>
  <c r="AF203" i="39"/>
  <c r="AE203" i="39"/>
  <c r="AD203" i="39"/>
  <c r="AC203" i="39"/>
  <c r="AB203" i="39"/>
  <c r="AA203" i="39"/>
  <c r="Z203" i="39"/>
  <c r="Y203" i="39"/>
  <c r="X203" i="39"/>
  <c r="W203" i="39"/>
  <c r="V203" i="39"/>
  <c r="U203" i="39"/>
  <c r="T203" i="39"/>
  <c r="S203" i="39"/>
  <c r="R203" i="39"/>
  <c r="Q203" i="39"/>
  <c r="P203" i="39"/>
  <c r="O203" i="39"/>
  <c r="N203" i="39"/>
  <c r="M203" i="39"/>
  <c r="L203" i="39"/>
  <c r="K203" i="39"/>
  <c r="J203" i="39"/>
  <c r="I203" i="39"/>
  <c r="H203" i="39"/>
  <c r="G203" i="39"/>
  <c r="AF202" i="39"/>
  <c r="AE202" i="39"/>
  <c r="AD202" i="39"/>
  <c r="AC202" i="39"/>
  <c r="AB202" i="39"/>
  <c r="AA202" i="39"/>
  <c r="Z202" i="39"/>
  <c r="Y202" i="39"/>
  <c r="X202" i="39"/>
  <c r="W202" i="39"/>
  <c r="V202" i="39"/>
  <c r="U202" i="39"/>
  <c r="T202" i="39"/>
  <c r="S202" i="39"/>
  <c r="R202" i="39"/>
  <c r="Q202" i="39"/>
  <c r="P202" i="39"/>
  <c r="O202" i="39"/>
  <c r="N202" i="39"/>
  <c r="M202" i="39"/>
  <c r="L202" i="39"/>
  <c r="K202" i="39"/>
  <c r="J202" i="39"/>
  <c r="I202" i="39"/>
  <c r="H202" i="39"/>
  <c r="G202" i="39"/>
  <c r="AF201" i="39"/>
  <c r="AE201" i="39"/>
  <c r="AD201" i="39"/>
  <c r="AC201" i="39"/>
  <c r="AB201" i="39"/>
  <c r="AA201" i="39"/>
  <c r="Z201" i="39"/>
  <c r="Y201" i="39"/>
  <c r="X201" i="39"/>
  <c r="W201" i="39"/>
  <c r="V201" i="39"/>
  <c r="U201" i="39"/>
  <c r="T201" i="39"/>
  <c r="S201" i="39"/>
  <c r="R201" i="39"/>
  <c r="Q201" i="39"/>
  <c r="P201" i="39"/>
  <c r="O201" i="39"/>
  <c r="N201" i="39"/>
  <c r="M201" i="39"/>
  <c r="L201" i="39"/>
  <c r="K201" i="39"/>
  <c r="J201" i="39"/>
  <c r="I201" i="39"/>
  <c r="H201" i="39"/>
  <c r="G201" i="39"/>
  <c r="AF200" i="39"/>
  <c r="AE200" i="39"/>
  <c r="AD200" i="39"/>
  <c r="AC200" i="39"/>
  <c r="AB200" i="39"/>
  <c r="AA200" i="39"/>
  <c r="Z200" i="39"/>
  <c r="Y200" i="39"/>
  <c r="X200" i="39"/>
  <c r="W200" i="39"/>
  <c r="V200" i="39"/>
  <c r="U200" i="39"/>
  <c r="T200" i="39"/>
  <c r="S200" i="39"/>
  <c r="R200" i="39"/>
  <c r="Q200" i="39"/>
  <c r="P200" i="39"/>
  <c r="O200" i="39"/>
  <c r="N200" i="39"/>
  <c r="M200" i="39"/>
  <c r="L200" i="39"/>
  <c r="K200" i="39"/>
  <c r="J200" i="39"/>
  <c r="I200" i="39"/>
  <c r="H200" i="39"/>
  <c r="G200" i="39"/>
  <c r="AF197" i="39"/>
  <c r="AE197" i="39"/>
  <c r="AD197" i="39"/>
  <c r="AC197" i="39"/>
  <c r="AB197" i="39"/>
  <c r="AA197" i="39"/>
  <c r="Z197" i="39"/>
  <c r="Y197" i="39"/>
  <c r="X197" i="39"/>
  <c r="W197" i="39"/>
  <c r="V197" i="39"/>
  <c r="U197" i="39"/>
  <c r="T197" i="39"/>
  <c r="S197" i="39"/>
  <c r="R197" i="39"/>
  <c r="Q197" i="39"/>
  <c r="P197" i="39"/>
  <c r="O197" i="39"/>
  <c r="N197" i="39"/>
  <c r="M197" i="39"/>
  <c r="L197" i="39"/>
  <c r="K197" i="39"/>
  <c r="J197" i="39"/>
  <c r="I197" i="39"/>
  <c r="H197" i="39"/>
  <c r="G197" i="39"/>
  <c r="AF196" i="39"/>
  <c r="AE196" i="39"/>
  <c r="AD196" i="39"/>
  <c r="AC196" i="39"/>
  <c r="AB196" i="39"/>
  <c r="AA196" i="39"/>
  <c r="Z196" i="39"/>
  <c r="Y196" i="39"/>
  <c r="X196" i="39"/>
  <c r="W196" i="39"/>
  <c r="V196" i="39"/>
  <c r="U196" i="39"/>
  <c r="T196" i="39"/>
  <c r="S196" i="39"/>
  <c r="R196" i="39"/>
  <c r="Q196" i="39"/>
  <c r="P196" i="39"/>
  <c r="O196" i="39"/>
  <c r="N196" i="39"/>
  <c r="M196" i="39"/>
  <c r="L196" i="39"/>
  <c r="K196" i="39"/>
  <c r="J196" i="39"/>
  <c r="I196" i="39"/>
  <c r="H196" i="39"/>
  <c r="G196" i="39"/>
  <c r="AF195" i="39"/>
  <c r="AE195" i="39"/>
  <c r="AD195" i="39"/>
  <c r="AC195" i="39"/>
  <c r="AB195" i="39"/>
  <c r="AA195" i="39"/>
  <c r="Z195" i="39"/>
  <c r="Y195" i="39"/>
  <c r="X195" i="39"/>
  <c r="W195" i="39"/>
  <c r="V195" i="39"/>
  <c r="U195" i="39"/>
  <c r="T195" i="39"/>
  <c r="S195" i="39"/>
  <c r="R195" i="39"/>
  <c r="Q195" i="39"/>
  <c r="P195" i="39"/>
  <c r="O195" i="39"/>
  <c r="N195" i="39"/>
  <c r="M195" i="39"/>
  <c r="L195" i="39"/>
  <c r="K195" i="39"/>
  <c r="J195" i="39"/>
  <c r="I195" i="39"/>
  <c r="H195" i="39"/>
  <c r="G195" i="39"/>
  <c r="AF194" i="39"/>
  <c r="AE194" i="39"/>
  <c r="AD194" i="39"/>
  <c r="AC194" i="39"/>
  <c r="AB194" i="39"/>
  <c r="AA194" i="39"/>
  <c r="Z194" i="39"/>
  <c r="Y194" i="39"/>
  <c r="X194" i="39"/>
  <c r="W194" i="39"/>
  <c r="V194" i="39"/>
  <c r="U194" i="39"/>
  <c r="T194" i="39"/>
  <c r="S194" i="39"/>
  <c r="R194" i="39"/>
  <c r="Q194" i="39"/>
  <c r="P194" i="39"/>
  <c r="O194" i="39"/>
  <c r="N194" i="39"/>
  <c r="M194" i="39"/>
  <c r="L194" i="39"/>
  <c r="K194" i="39"/>
  <c r="J194" i="39"/>
  <c r="I194" i="39"/>
  <c r="H194" i="39"/>
  <c r="G194" i="39"/>
  <c r="AF187" i="39"/>
  <c r="AE187" i="39"/>
  <c r="AD187" i="39"/>
  <c r="AC187" i="39"/>
  <c r="AB187" i="39"/>
  <c r="AA187" i="39"/>
  <c r="Z187" i="39"/>
  <c r="Y187" i="39"/>
  <c r="X187" i="39"/>
  <c r="W187" i="39"/>
  <c r="V187" i="39"/>
  <c r="U187" i="39"/>
  <c r="T187" i="39"/>
  <c r="S187" i="39"/>
  <c r="R187" i="39"/>
  <c r="Q187" i="39"/>
  <c r="P187" i="39"/>
  <c r="O187" i="39"/>
  <c r="N187" i="39"/>
  <c r="M187" i="39"/>
  <c r="L187" i="39"/>
  <c r="K187" i="39"/>
  <c r="J187" i="39"/>
  <c r="I187" i="39"/>
  <c r="H187" i="39"/>
  <c r="G187" i="39"/>
  <c r="AF186" i="39"/>
  <c r="AE186" i="39"/>
  <c r="AD186" i="39"/>
  <c r="AC186" i="39"/>
  <c r="AB186" i="39"/>
  <c r="AA186" i="39"/>
  <c r="Z186" i="39"/>
  <c r="Y186" i="39"/>
  <c r="X186" i="39"/>
  <c r="W186" i="39"/>
  <c r="V186" i="39"/>
  <c r="U186" i="39"/>
  <c r="T186" i="39"/>
  <c r="S186" i="39"/>
  <c r="R186" i="39"/>
  <c r="Q186" i="39"/>
  <c r="P186" i="39"/>
  <c r="O186" i="39"/>
  <c r="N186" i="39"/>
  <c r="M186" i="39"/>
  <c r="L186" i="39"/>
  <c r="K186" i="39"/>
  <c r="J186" i="39"/>
  <c r="I186" i="39"/>
  <c r="H186" i="39"/>
  <c r="G186" i="39"/>
  <c r="AF185" i="39"/>
  <c r="AE185" i="39"/>
  <c r="AD185" i="39"/>
  <c r="AC185" i="39"/>
  <c r="AB185" i="39"/>
  <c r="AA185" i="39"/>
  <c r="Z185" i="39"/>
  <c r="Y185" i="39"/>
  <c r="X185" i="39"/>
  <c r="W185" i="39"/>
  <c r="V185" i="39"/>
  <c r="U185" i="39"/>
  <c r="T185" i="39"/>
  <c r="S185" i="39"/>
  <c r="R185" i="39"/>
  <c r="Q185" i="39"/>
  <c r="P185" i="39"/>
  <c r="O185" i="39"/>
  <c r="N185" i="39"/>
  <c r="M185" i="39"/>
  <c r="L185" i="39"/>
  <c r="K185" i="39"/>
  <c r="J185" i="39"/>
  <c r="I185" i="39"/>
  <c r="H185" i="39"/>
  <c r="G185" i="39"/>
  <c r="AF184" i="39"/>
  <c r="AE184" i="39"/>
  <c r="AD184" i="39"/>
  <c r="AC184" i="39"/>
  <c r="AB184" i="39"/>
  <c r="AA184" i="39"/>
  <c r="Z184" i="39"/>
  <c r="Y184" i="39"/>
  <c r="X184" i="39"/>
  <c r="W184" i="39"/>
  <c r="V184" i="39"/>
  <c r="U184" i="39"/>
  <c r="T184" i="39"/>
  <c r="S184" i="39"/>
  <c r="R184" i="39"/>
  <c r="Q184" i="39"/>
  <c r="P184" i="39"/>
  <c r="O184" i="39"/>
  <c r="N184" i="39"/>
  <c r="M184" i="39"/>
  <c r="L184" i="39"/>
  <c r="K184" i="39"/>
  <c r="J184" i="39"/>
  <c r="I184" i="39"/>
  <c r="H184" i="39"/>
  <c r="G184" i="39"/>
  <c r="AF183" i="39"/>
  <c r="AE183" i="39"/>
  <c r="AD183" i="39"/>
  <c r="AC183" i="39"/>
  <c r="AB183" i="39"/>
  <c r="AA183" i="39"/>
  <c r="Z183" i="39"/>
  <c r="Y183" i="39"/>
  <c r="X183" i="39"/>
  <c r="W183" i="39"/>
  <c r="V183" i="39"/>
  <c r="U183" i="39"/>
  <c r="T183" i="39"/>
  <c r="S183" i="39"/>
  <c r="R183" i="39"/>
  <c r="Q183" i="39"/>
  <c r="P183" i="39"/>
  <c r="O183" i="39"/>
  <c r="N183" i="39"/>
  <c r="M183" i="39"/>
  <c r="L183" i="39"/>
  <c r="K183" i="39"/>
  <c r="J183" i="39"/>
  <c r="I183" i="39"/>
  <c r="H183" i="39"/>
  <c r="G183" i="39"/>
  <c r="AF182" i="39"/>
  <c r="AE182" i="39"/>
  <c r="AD182" i="39"/>
  <c r="AC182" i="39"/>
  <c r="AB182" i="39"/>
  <c r="AA182" i="39"/>
  <c r="Z182" i="39"/>
  <c r="Y182" i="39"/>
  <c r="X182" i="39"/>
  <c r="W182" i="39"/>
  <c r="V182" i="39"/>
  <c r="U182" i="39"/>
  <c r="T182" i="39"/>
  <c r="S182" i="39"/>
  <c r="R182" i="39"/>
  <c r="Q182" i="39"/>
  <c r="P182" i="39"/>
  <c r="O182" i="39"/>
  <c r="N182" i="39"/>
  <c r="M182" i="39"/>
  <c r="L182" i="39"/>
  <c r="K182" i="39"/>
  <c r="J182" i="39"/>
  <c r="I182" i="39"/>
  <c r="H182" i="39"/>
  <c r="G182" i="39"/>
  <c r="AF179" i="39"/>
  <c r="AE179" i="39"/>
  <c r="AD179" i="39"/>
  <c r="AC179" i="39"/>
  <c r="AB179" i="39"/>
  <c r="AA179" i="39"/>
  <c r="Z179" i="39"/>
  <c r="Y179" i="39"/>
  <c r="X179" i="39"/>
  <c r="W179" i="39"/>
  <c r="V179" i="39"/>
  <c r="U179" i="39"/>
  <c r="T179" i="39"/>
  <c r="S179" i="39"/>
  <c r="R179" i="39"/>
  <c r="Q179" i="39"/>
  <c r="P179" i="39"/>
  <c r="O179" i="39"/>
  <c r="N179" i="39"/>
  <c r="M179" i="39"/>
  <c r="L179" i="39"/>
  <c r="K179" i="39"/>
  <c r="J179" i="39"/>
  <c r="I179" i="39"/>
  <c r="H179" i="39"/>
  <c r="G179" i="39"/>
  <c r="AF178" i="39"/>
  <c r="AE178" i="39"/>
  <c r="AD178" i="39"/>
  <c r="AC178" i="39"/>
  <c r="AB178" i="39"/>
  <c r="AA178" i="39"/>
  <c r="Z178" i="39"/>
  <c r="Y178" i="39"/>
  <c r="X178" i="39"/>
  <c r="W178" i="39"/>
  <c r="V178" i="39"/>
  <c r="U178" i="39"/>
  <c r="T178" i="39"/>
  <c r="S178" i="39"/>
  <c r="R178" i="39"/>
  <c r="Q178" i="39"/>
  <c r="P178" i="39"/>
  <c r="O178" i="39"/>
  <c r="N178" i="39"/>
  <c r="M178" i="39"/>
  <c r="L178" i="39"/>
  <c r="K178" i="39"/>
  <c r="J178" i="39"/>
  <c r="I178" i="39"/>
  <c r="H178" i="39"/>
  <c r="G178" i="39"/>
  <c r="AF177" i="39"/>
  <c r="AE177" i="39"/>
  <c r="AD177" i="39"/>
  <c r="AC177" i="39"/>
  <c r="AB177" i="39"/>
  <c r="AA177" i="39"/>
  <c r="Z177" i="39"/>
  <c r="Y177" i="39"/>
  <c r="X177" i="39"/>
  <c r="W177" i="39"/>
  <c r="V177" i="39"/>
  <c r="U177" i="39"/>
  <c r="T177" i="39"/>
  <c r="S177" i="39"/>
  <c r="R177" i="39"/>
  <c r="Q177" i="39"/>
  <c r="P177" i="39"/>
  <c r="O177" i="39"/>
  <c r="N177" i="39"/>
  <c r="M177" i="39"/>
  <c r="L177" i="39"/>
  <c r="K177" i="39"/>
  <c r="J177" i="39"/>
  <c r="I177" i="39"/>
  <c r="H177" i="39"/>
  <c r="G177" i="39"/>
  <c r="AF176" i="39"/>
  <c r="AE176" i="39"/>
  <c r="AD176" i="39"/>
  <c r="AC176" i="39"/>
  <c r="AB176" i="39"/>
  <c r="AA176" i="39"/>
  <c r="Z176" i="39"/>
  <c r="Y176" i="39"/>
  <c r="X176" i="39"/>
  <c r="W176" i="39"/>
  <c r="V176" i="39"/>
  <c r="U176" i="39"/>
  <c r="T176" i="39"/>
  <c r="S176" i="39"/>
  <c r="R176" i="39"/>
  <c r="Q176" i="39"/>
  <c r="P176" i="39"/>
  <c r="O176" i="39"/>
  <c r="N176" i="39"/>
  <c r="M176" i="39"/>
  <c r="L176" i="39"/>
  <c r="K176" i="39"/>
  <c r="J176" i="39"/>
  <c r="I176" i="39"/>
  <c r="H176" i="39"/>
  <c r="G176" i="39"/>
  <c r="AF175" i="39"/>
  <c r="AE175" i="39"/>
  <c r="AD175" i="39"/>
  <c r="AC175" i="39"/>
  <c r="AB175" i="39"/>
  <c r="AA175" i="39"/>
  <c r="Z175" i="39"/>
  <c r="Y175" i="39"/>
  <c r="X175" i="39"/>
  <c r="W175" i="39"/>
  <c r="V175" i="39"/>
  <c r="U175" i="39"/>
  <c r="T175" i="39"/>
  <c r="S175" i="39"/>
  <c r="R175" i="39"/>
  <c r="Q175" i="39"/>
  <c r="P175" i="39"/>
  <c r="O175" i="39"/>
  <c r="N175" i="39"/>
  <c r="M175" i="39"/>
  <c r="L175" i="39"/>
  <c r="K175" i="39"/>
  <c r="J175" i="39"/>
  <c r="I175" i="39"/>
  <c r="H175" i="39"/>
  <c r="G175" i="39"/>
  <c r="AF172" i="39"/>
  <c r="AE172" i="39"/>
  <c r="AD172" i="39"/>
  <c r="AC172" i="39"/>
  <c r="AB172" i="39"/>
  <c r="AA172" i="39"/>
  <c r="Z172" i="39"/>
  <c r="Y172" i="39"/>
  <c r="X172" i="39"/>
  <c r="W172" i="39"/>
  <c r="V172" i="39"/>
  <c r="U172" i="39"/>
  <c r="T172" i="39"/>
  <c r="S172" i="39"/>
  <c r="R172" i="39"/>
  <c r="Q172" i="39"/>
  <c r="P172" i="39"/>
  <c r="O172" i="39"/>
  <c r="N172" i="39"/>
  <c r="M172" i="39"/>
  <c r="L172" i="39"/>
  <c r="K172" i="39"/>
  <c r="J172" i="39"/>
  <c r="I172" i="39"/>
  <c r="H172" i="39"/>
  <c r="G172" i="39"/>
  <c r="AF171" i="39"/>
  <c r="AE171" i="39"/>
  <c r="AD171" i="39"/>
  <c r="AC171" i="39"/>
  <c r="AB171" i="39"/>
  <c r="AA171" i="39"/>
  <c r="Z171" i="39"/>
  <c r="Y171" i="39"/>
  <c r="X171" i="39"/>
  <c r="W171" i="39"/>
  <c r="V171" i="39"/>
  <c r="U171" i="39"/>
  <c r="T171" i="39"/>
  <c r="S171" i="39"/>
  <c r="R171" i="39"/>
  <c r="Q171" i="39"/>
  <c r="P171" i="39"/>
  <c r="O171" i="39"/>
  <c r="N171" i="39"/>
  <c r="M171" i="39"/>
  <c r="L171" i="39"/>
  <c r="K171" i="39"/>
  <c r="J171" i="39"/>
  <c r="I171" i="39"/>
  <c r="H171" i="39"/>
  <c r="G171" i="39"/>
  <c r="AF170" i="39"/>
  <c r="AE170" i="39"/>
  <c r="AD170" i="39"/>
  <c r="AC170" i="39"/>
  <c r="AB170" i="39"/>
  <c r="AA170" i="39"/>
  <c r="Z170" i="39"/>
  <c r="Y170" i="39"/>
  <c r="X170" i="39"/>
  <c r="W170" i="39"/>
  <c r="V170" i="39"/>
  <c r="U170" i="39"/>
  <c r="T170" i="39"/>
  <c r="S170" i="39"/>
  <c r="R170" i="39"/>
  <c r="Q170" i="39"/>
  <c r="P170" i="39"/>
  <c r="O170" i="39"/>
  <c r="N170" i="39"/>
  <c r="M170" i="39"/>
  <c r="L170" i="39"/>
  <c r="K170" i="39"/>
  <c r="J170" i="39"/>
  <c r="I170" i="39"/>
  <c r="H170" i="39"/>
  <c r="G170" i="39"/>
  <c r="AF169" i="39"/>
  <c r="AE169" i="39"/>
  <c r="AD169" i="39"/>
  <c r="AC169" i="39"/>
  <c r="AB169" i="39"/>
  <c r="AA169" i="39"/>
  <c r="Z169" i="39"/>
  <c r="Y169" i="39"/>
  <c r="X169" i="39"/>
  <c r="W169" i="39"/>
  <c r="V169" i="39"/>
  <c r="U169" i="39"/>
  <c r="T169" i="39"/>
  <c r="S169" i="39"/>
  <c r="R169" i="39"/>
  <c r="Q169" i="39"/>
  <c r="P169" i="39"/>
  <c r="O169" i="39"/>
  <c r="N169" i="39"/>
  <c r="M169" i="39"/>
  <c r="L169" i="39"/>
  <c r="K169" i="39"/>
  <c r="J169" i="39"/>
  <c r="I169" i="39"/>
  <c r="H169" i="39"/>
  <c r="G169" i="39"/>
  <c r="AF166" i="39"/>
  <c r="AE166" i="39"/>
  <c r="AD166" i="39"/>
  <c r="AC166" i="39"/>
  <c r="AB166" i="39"/>
  <c r="AA166" i="39"/>
  <c r="Z166" i="39"/>
  <c r="Y166" i="39"/>
  <c r="X166" i="39"/>
  <c r="W166" i="39"/>
  <c r="V166" i="39"/>
  <c r="U166" i="39"/>
  <c r="T166" i="39"/>
  <c r="S166" i="39"/>
  <c r="R166" i="39"/>
  <c r="Q166" i="39"/>
  <c r="P166" i="39"/>
  <c r="O166" i="39"/>
  <c r="N166" i="39"/>
  <c r="M166" i="39"/>
  <c r="L166" i="39"/>
  <c r="K166" i="39"/>
  <c r="J166" i="39"/>
  <c r="I166" i="39"/>
  <c r="H166" i="39"/>
  <c r="G166" i="39"/>
  <c r="AF165" i="39"/>
  <c r="AE165" i="39"/>
  <c r="AD165" i="39"/>
  <c r="AC165" i="39"/>
  <c r="AB165" i="39"/>
  <c r="AA165" i="39"/>
  <c r="Z165" i="39"/>
  <c r="Y165" i="39"/>
  <c r="X165" i="39"/>
  <c r="W165" i="39"/>
  <c r="V165" i="39"/>
  <c r="U165" i="39"/>
  <c r="T165" i="39"/>
  <c r="S165" i="39"/>
  <c r="R165" i="39"/>
  <c r="Q165" i="39"/>
  <c r="P165" i="39"/>
  <c r="O165" i="39"/>
  <c r="N165" i="39"/>
  <c r="M165" i="39"/>
  <c r="L165" i="39"/>
  <c r="K165" i="39"/>
  <c r="J165" i="39"/>
  <c r="I165" i="39"/>
  <c r="H165" i="39"/>
  <c r="G165" i="39"/>
  <c r="AF164" i="39"/>
  <c r="AE164" i="39"/>
  <c r="AD164" i="39"/>
  <c r="AC164" i="39"/>
  <c r="AB164" i="39"/>
  <c r="AA164" i="39"/>
  <c r="Z164" i="39"/>
  <c r="Y164" i="39"/>
  <c r="X164" i="39"/>
  <c r="W164" i="39"/>
  <c r="V164" i="39"/>
  <c r="U164" i="39"/>
  <c r="T164" i="39"/>
  <c r="S164" i="39"/>
  <c r="R164" i="39"/>
  <c r="Q164" i="39"/>
  <c r="P164" i="39"/>
  <c r="O164" i="39"/>
  <c r="N164" i="39"/>
  <c r="M164" i="39"/>
  <c r="L164" i="39"/>
  <c r="K164" i="39"/>
  <c r="J164" i="39"/>
  <c r="I164" i="39"/>
  <c r="H164" i="39"/>
  <c r="G164" i="39"/>
  <c r="AF163" i="39"/>
  <c r="AE163" i="39"/>
  <c r="AD163" i="39"/>
  <c r="AC163" i="39"/>
  <c r="AB163" i="39"/>
  <c r="AA163" i="39"/>
  <c r="Z163" i="39"/>
  <c r="Y163" i="39"/>
  <c r="X163" i="39"/>
  <c r="W163" i="39"/>
  <c r="V163" i="39"/>
  <c r="U163" i="39"/>
  <c r="T163" i="39"/>
  <c r="S163" i="39"/>
  <c r="R163" i="39"/>
  <c r="Q163" i="39"/>
  <c r="P163" i="39"/>
  <c r="O163" i="39"/>
  <c r="N163" i="39"/>
  <c r="M163" i="39"/>
  <c r="L163" i="39"/>
  <c r="K163" i="39"/>
  <c r="J163" i="39"/>
  <c r="I163" i="39"/>
  <c r="H163" i="39"/>
  <c r="G163" i="39"/>
  <c r="AF160" i="39"/>
  <c r="AE160" i="39"/>
  <c r="AD160" i="39"/>
  <c r="AC160" i="39"/>
  <c r="AB160" i="39"/>
  <c r="AA160" i="39"/>
  <c r="Z160" i="39"/>
  <c r="Y160" i="39"/>
  <c r="X160" i="39"/>
  <c r="W160" i="39"/>
  <c r="V160" i="39"/>
  <c r="U160" i="39"/>
  <c r="T160" i="39"/>
  <c r="S160" i="39"/>
  <c r="R160" i="39"/>
  <c r="Q160" i="39"/>
  <c r="P160" i="39"/>
  <c r="O160" i="39"/>
  <c r="N160" i="39"/>
  <c r="M160" i="39"/>
  <c r="L160" i="39"/>
  <c r="K160" i="39"/>
  <c r="J160" i="39"/>
  <c r="I160" i="39"/>
  <c r="H160" i="39"/>
  <c r="G160" i="39"/>
  <c r="AF159" i="39"/>
  <c r="AE159" i="39"/>
  <c r="AD159" i="39"/>
  <c r="AC159" i="39"/>
  <c r="AB159" i="39"/>
  <c r="AA159" i="39"/>
  <c r="Z159" i="39"/>
  <c r="Y159" i="39"/>
  <c r="X159" i="39"/>
  <c r="W159" i="39"/>
  <c r="V159" i="39"/>
  <c r="U159" i="39"/>
  <c r="T159" i="39"/>
  <c r="S159" i="39"/>
  <c r="R159" i="39"/>
  <c r="Q159" i="39"/>
  <c r="P159" i="39"/>
  <c r="O159" i="39"/>
  <c r="N159" i="39"/>
  <c r="M159" i="39"/>
  <c r="L159" i="39"/>
  <c r="K159" i="39"/>
  <c r="J159" i="39"/>
  <c r="I159" i="39"/>
  <c r="H159" i="39"/>
  <c r="G159" i="39"/>
  <c r="AF158" i="39"/>
  <c r="AE158" i="39"/>
  <c r="AD158" i="39"/>
  <c r="AC158" i="39"/>
  <c r="AB158" i="39"/>
  <c r="AA158" i="39"/>
  <c r="Z158" i="39"/>
  <c r="Y158" i="39"/>
  <c r="X158" i="39"/>
  <c r="W158" i="39"/>
  <c r="V158" i="39"/>
  <c r="U158" i="39"/>
  <c r="T158" i="39"/>
  <c r="S158" i="39"/>
  <c r="R158" i="39"/>
  <c r="Q158" i="39"/>
  <c r="P158" i="39"/>
  <c r="O158" i="39"/>
  <c r="N158" i="39"/>
  <c r="M158" i="39"/>
  <c r="L158" i="39"/>
  <c r="K158" i="39"/>
  <c r="J158" i="39"/>
  <c r="I158" i="39"/>
  <c r="H158" i="39"/>
  <c r="G158" i="39"/>
  <c r="AF157" i="39"/>
  <c r="AE157" i="39"/>
  <c r="AD157" i="39"/>
  <c r="AC157" i="39"/>
  <c r="AB157" i="39"/>
  <c r="AA157" i="39"/>
  <c r="Z157" i="39"/>
  <c r="Y157" i="39"/>
  <c r="X157" i="39"/>
  <c r="W157" i="39"/>
  <c r="V157" i="39"/>
  <c r="U157" i="39"/>
  <c r="T157" i="39"/>
  <c r="S157" i="39"/>
  <c r="R157" i="39"/>
  <c r="Q157" i="39"/>
  <c r="P157" i="39"/>
  <c r="O157" i="39"/>
  <c r="N157" i="39"/>
  <c r="M157" i="39"/>
  <c r="L157" i="39"/>
  <c r="K157" i="39"/>
  <c r="J157" i="39"/>
  <c r="I157" i="39"/>
  <c r="H157" i="39"/>
  <c r="G157" i="39"/>
  <c r="AF150" i="39"/>
  <c r="AE150" i="39"/>
  <c r="AD150" i="39"/>
  <c r="AC150" i="39"/>
  <c r="AB150" i="39"/>
  <c r="AA150" i="39"/>
  <c r="Z150" i="39"/>
  <c r="Y150" i="39"/>
  <c r="X150" i="39"/>
  <c r="W150" i="39"/>
  <c r="V150" i="39"/>
  <c r="U150" i="39"/>
  <c r="T150" i="39"/>
  <c r="S150" i="39"/>
  <c r="R150" i="39"/>
  <c r="Q150" i="39"/>
  <c r="P150" i="39"/>
  <c r="O150" i="39"/>
  <c r="N150" i="39"/>
  <c r="M150" i="39"/>
  <c r="L150" i="39"/>
  <c r="K150" i="39"/>
  <c r="J150" i="39"/>
  <c r="I150" i="39"/>
  <c r="H150" i="39"/>
  <c r="G150" i="39"/>
  <c r="AF149" i="39"/>
  <c r="AE149" i="39"/>
  <c r="AD149" i="39"/>
  <c r="AC149" i="39"/>
  <c r="AB149" i="39"/>
  <c r="AA149" i="39"/>
  <c r="Z149" i="39"/>
  <c r="Y149" i="39"/>
  <c r="X149" i="39"/>
  <c r="W149" i="39"/>
  <c r="V149" i="39"/>
  <c r="U149" i="39"/>
  <c r="T149" i="39"/>
  <c r="S149" i="39"/>
  <c r="R149" i="39"/>
  <c r="Q149" i="39"/>
  <c r="P149" i="39"/>
  <c r="O149" i="39"/>
  <c r="N149" i="39"/>
  <c r="M149" i="39"/>
  <c r="L149" i="39"/>
  <c r="K149" i="39"/>
  <c r="J149" i="39"/>
  <c r="I149" i="39"/>
  <c r="H149" i="39"/>
  <c r="G149" i="39"/>
  <c r="AF148" i="39"/>
  <c r="AE148" i="39"/>
  <c r="AD148" i="39"/>
  <c r="AC148" i="39"/>
  <c r="AB148" i="39"/>
  <c r="AA148" i="39"/>
  <c r="Z148" i="39"/>
  <c r="Y148" i="39"/>
  <c r="X148" i="39"/>
  <c r="W148" i="39"/>
  <c r="V148" i="39"/>
  <c r="U148" i="39"/>
  <c r="T148" i="39"/>
  <c r="S148" i="39"/>
  <c r="R148" i="39"/>
  <c r="Q148" i="39"/>
  <c r="P148" i="39"/>
  <c r="O148" i="39"/>
  <c r="N148" i="39"/>
  <c r="M148" i="39"/>
  <c r="L148" i="39"/>
  <c r="K148" i="39"/>
  <c r="J148" i="39"/>
  <c r="I148" i="39"/>
  <c r="H148" i="39"/>
  <c r="G148" i="39"/>
  <c r="AF147" i="39"/>
  <c r="AE147" i="39"/>
  <c r="AD147" i="39"/>
  <c r="AC147" i="39"/>
  <c r="AB147" i="39"/>
  <c r="AA147" i="39"/>
  <c r="Z147" i="39"/>
  <c r="Y147" i="39"/>
  <c r="X147" i="39"/>
  <c r="W147" i="39"/>
  <c r="V147" i="39"/>
  <c r="U147" i="39"/>
  <c r="T147" i="39"/>
  <c r="S147" i="39"/>
  <c r="R147" i="39"/>
  <c r="Q147" i="39"/>
  <c r="P147" i="39"/>
  <c r="O147" i="39"/>
  <c r="N147" i="39"/>
  <c r="M147" i="39"/>
  <c r="L147" i="39"/>
  <c r="K147" i="39"/>
  <c r="J147" i="39"/>
  <c r="I147" i="39"/>
  <c r="H147" i="39"/>
  <c r="G147" i="39"/>
  <c r="AF146" i="39"/>
  <c r="AE146" i="39"/>
  <c r="AD146" i="39"/>
  <c r="AC146" i="39"/>
  <c r="AB146" i="39"/>
  <c r="AA146" i="39"/>
  <c r="Z146" i="39"/>
  <c r="Y146" i="39"/>
  <c r="X146" i="39"/>
  <c r="W146" i="39"/>
  <c r="V146" i="39"/>
  <c r="U146" i="39"/>
  <c r="T146" i="39"/>
  <c r="S146" i="39"/>
  <c r="R146" i="39"/>
  <c r="Q146" i="39"/>
  <c r="P146" i="39"/>
  <c r="O146" i="39"/>
  <c r="N146" i="39"/>
  <c r="M146" i="39"/>
  <c r="L146" i="39"/>
  <c r="K146" i="39"/>
  <c r="J146" i="39"/>
  <c r="I146" i="39"/>
  <c r="H146" i="39"/>
  <c r="G146" i="39"/>
  <c r="AF145" i="39"/>
  <c r="AE145" i="39"/>
  <c r="AD145" i="39"/>
  <c r="AC145" i="39"/>
  <c r="AB145" i="39"/>
  <c r="AA145" i="39"/>
  <c r="Z145" i="39"/>
  <c r="Y145" i="39"/>
  <c r="X145" i="39"/>
  <c r="W145" i="39"/>
  <c r="V145" i="39"/>
  <c r="U145" i="39"/>
  <c r="T145" i="39"/>
  <c r="S145" i="39"/>
  <c r="R145" i="39"/>
  <c r="Q145" i="39"/>
  <c r="P145" i="39"/>
  <c r="O145" i="39"/>
  <c r="N145" i="39"/>
  <c r="M145" i="39"/>
  <c r="L145" i="39"/>
  <c r="K145" i="39"/>
  <c r="J145" i="39"/>
  <c r="I145" i="39"/>
  <c r="H145" i="39"/>
  <c r="G145" i="39"/>
  <c r="AF142" i="39"/>
  <c r="AE142" i="39"/>
  <c r="AD142" i="39"/>
  <c r="AC142" i="39"/>
  <c r="AB142" i="39"/>
  <c r="AA142" i="39"/>
  <c r="Z142" i="39"/>
  <c r="Y142" i="39"/>
  <c r="X142" i="39"/>
  <c r="W142" i="39"/>
  <c r="V142" i="39"/>
  <c r="U142" i="39"/>
  <c r="T142" i="39"/>
  <c r="S142" i="39"/>
  <c r="R142" i="39"/>
  <c r="Q142" i="39"/>
  <c r="P142" i="39"/>
  <c r="O142" i="39"/>
  <c r="N142" i="39"/>
  <c r="M142" i="39"/>
  <c r="L142" i="39"/>
  <c r="K142" i="39"/>
  <c r="J142" i="39"/>
  <c r="I142" i="39"/>
  <c r="H142" i="39"/>
  <c r="G142" i="39"/>
  <c r="AF141" i="39"/>
  <c r="AE141" i="39"/>
  <c r="AD141" i="39"/>
  <c r="AC141" i="39"/>
  <c r="AB141" i="39"/>
  <c r="AA141" i="39"/>
  <c r="Z141" i="39"/>
  <c r="Y141" i="39"/>
  <c r="X141" i="39"/>
  <c r="W141" i="39"/>
  <c r="V141" i="39"/>
  <c r="U141" i="39"/>
  <c r="T141" i="39"/>
  <c r="S141" i="39"/>
  <c r="R141" i="39"/>
  <c r="Q141" i="39"/>
  <c r="P141" i="39"/>
  <c r="O141" i="39"/>
  <c r="N141" i="39"/>
  <c r="M141" i="39"/>
  <c r="L141" i="39"/>
  <c r="K141" i="39"/>
  <c r="J141" i="39"/>
  <c r="I141" i="39"/>
  <c r="H141" i="39"/>
  <c r="G141" i="39"/>
  <c r="AF140" i="39"/>
  <c r="AE140" i="39"/>
  <c r="AD140" i="39"/>
  <c r="AC140" i="39"/>
  <c r="AB140" i="39"/>
  <c r="AA140" i="39"/>
  <c r="Z140" i="39"/>
  <c r="Y140" i="39"/>
  <c r="X140" i="39"/>
  <c r="W140" i="39"/>
  <c r="V140" i="39"/>
  <c r="U140" i="39"/>
  <c r="T140" i="39"/>
  <c r="S140" i="39"/>
  <c r="R140" i="39"/>
  <c r="Q140" i="39"/>
  <c r="P140" i="39"/>
  <c r="O140" i="39"/>
  <c r="N140" i="39"/>
  <c r="M140" i="39"/>
  <c r="L140" i="39"/>
  <c r="K140" i="39"/>
  <c r="J140" i="39"/>
  <c r="I140" i="39"/>
  <c r="H140" i="39"/>
  <c r="G140" i="39"/>
  <c r="AF139" i="39"/>
  <c r="AE139" i="39"/>
  <c r="AD139" i="39"/>
  <c r="AC139" i="39"/>
  <c r="AB139" i="39"/>
  <c r="AA139" i="39"/>
  <c r="Z139" i="39"/>
  <c r="Y139" i="39"/>
  <c r="X139" i="39"/>
  <c r="W139" i="39"/>
  <c r="V139" i="39"/>
  <c r="U139" i="39"/>
  <c r="T139" i="39"/>
  <c r="S139" i="39"/>
  <c r="R139" i="39"/>
  <c r="Q139" i="39"/>
  <c r="P139" i="39"/>
  <c r="O139" i="39"/>
  <c r="N139" i="39"/>
  <c r="M139" i="39"/>
  <c r="L139" i="39"/>
  <c r="K139" i="39"/>
  <c r="J139" i="39"/>
  <c r="I139" i="39"/>
  <c r="H139" i="39"/>
  <c r="G139" i="39"/>
  <c r="AF138" i="39"/>
  <c r="AE138" i="39"/>
  <c r="AD138" i="39"/>
  <c r="AC138" i="39"/>
  <c r="AB138" i="39"/>
  <c r="AA138" i="39"/>
  <c r="Z138" i="39"/>
  <c r="Y138" i="39"/>
  <c r="X138" i="39"/>
  <c r="W138" i="39"/>
  <c r="V138" i="39"/>
  <c r="U138" i="39"/>
  <c r="T138" i="39"/>
  <c r="S138" i="39"/>
  <c r="R138" i="39"/>
  <c r="Q138" i="39"/>
  <c r="P138" i="39"/>
  <c r="O138" i="39"/>
  <c r="N138" i="39"/>
  <c r="M138" i="39"/>
  <c r="L138" i="39"/>
  <c r="K138" i="39"/>
  <c r="J138" i="39"/>
  <c r="I138" i="39"/>
  <c r="H138" i="39"/>
  <c r="G138" i="39"/>
  <c r="AF135" i="39"/>
  <c r="AE135" i="39"/>
  <c r="AD135" i="39"/>
  <c r="AC135" i="39"/>
  <c r="AB135" i="39"/>
  <c r="AA135" i="39"/>
  <c r="Z135" i="39"/>
  <c r="Y135" i="39"/>
  <c r="X135" i="39"/>
  <c r="W135" i="39"/>
  <c r="V135" i="39"/>
  <c r="U135" i="39"/>
  <c r="T135" i="39"/>
  <c r="S135" i="39"/>
  <c r="R135" i="39"/>
  <c r="Q135" i="39"/>
  <c r="P135" i="39"/>
  <c r="O135" i="39"/>
  <c r="N135" i="39"/>
  <c r="M135" i="39"/>
  <c r="L135" i="39"/>
  <c r="K135" i="39"/>
  <c r="J135" i="39"/>
  <c r="I135" i="39"/>
  <c r="H135" i="39"/>
  <c r="G135" i="39"/>
  <c r="AF134" i="39"/>
  <c r="AE134" i="39"/>
  <c r="AD134" i="39"/>
  <c r="AC134" i="39"/>
  <c r="AB134" i="39"/>
  <c r="AA134" i="39"/>
  <c r="Z134" i="39"/>
  <c r="Y134" i="39"/>
  <c r="X134" i="39"/>
  <c r="W134" i="39"/>
  <c r="V134" i="39"/>
  <c r="U134" i="39"/>
  <c r="T134" i="39"/>
  <c r="S134" i="39"/>
  <c r="R134" i="39"/>
  <c r="Q134" i="39"/>
  <c r="P134" i="39"/>
  <c r="O134" i="39"/>
  <c r="N134" i="39"/>
  <c r="M134" i="39"/>
  <c r="L134" i="39"/>
  <c r="K134" i="39"/>
  <c r="J134" i="39"/>
  <c r="I134" i="39"/>
  <c r="H134" i="39"/>
  <c r="G134" i="39"/>
  <c r="AF133" i="39"/>
  <c r="AE133" i="39"/>
  <c r="AD133" i="39"/>
  <c r="AC133" i="39"/>
  <c r="AB133" i="39"/>
  <c r="AA133" i="39"/>
  <c r="Z133" i="39"/>
  <c r="Y133" i="39"/>
  <c r="X133" i="39"/>
  <c r="W133" i="39"/>
  <c r="V133" i="39"/>
  <c r="U133" i="39"/>
  <c r="T133" i="39"/>
  <c r="S133" i="39"/>
  <c r="R133" i="39"/>
  <c r="Q133" i="39"/>
  <c r="P133" i="39"/>
  <c r="O133" i="39"/>
  <c r="N133" i="39"/>
  <c r="M133" i="39"/>
  <c r="L133" i="39"/>
  <c r="K133" i="39"/>
  <c r="J133" i="39"/>
  <c r="I133" i="39"/>
  <c r="H133" i="39"/>
  <c r="G133" i="39"/>
  <c r="AF132" i="39"/>
  <c r="AE132" i="39"/>
  <c r="AD132" i="39"/>
  <c r="AC132" i="39"/>
  <c r="AB132" i="39"/>
  <c r="AA132" i="39"/>
  <c r="Z132" i="39"/>
  <c r="Y132" i="39"/>
  <c r="X132" i="39"/>
  <c r="W132" i="39"/>
  <c r="V132" i="39"/>
  <c r="U132" i="39"/>
  <c r="T132" i="39"/>
  <c r="S132" i="39"/>
  <c r="R132" i="39"/>
  <c r="Q132" i="39"/>
  <c r="P132" i="39"/>
  <c r="O132" i="39"/>
  <c r="N132" i="39"/>
  <c r="M132" i="39"/>
  <c r="L132" i="39"/>
  <c r="K132" i="39"/>
  <c r="J132" i="39"/>
  <c r="I132" i="39"/>
  <c r="H132" i="39"/>
  <c r="G132" i="39"/>
  <c r="AF129" i="39"/>
  <c r="AE129" i="39"/>
  <c r="AD129" i="39"/>
  <c r="AC129" i="39"/>
  <c r="AB129" i="39"/>
  <c r="AA129" i="39"/>
  <c r="Z129" i="39"/>
  <c r="Y129" i="39"/>
  <c r="X129" i="39"/>
  <c r="W129" i="39"/>
  <c r="V129" i="39"/>
  <c r="U129" i="39"/>
  <c r="T129" i="39"/>
  <c r="S129" i="39"/>
  <c r="R129" i="39"/>
  <c r="Q129" i="39"/>
  <c r="P129" i="39"/>
  <c r="O129" i="39"/>
  <c r="N129" i="39"/>
  <c r="M129" i="39"/>
  <c r="L129" i="39"/>
  <c r="K129" i="39"/>
  <c r="J129" i="39"/>
  <c r="I129" i="39"/>
  <c r="H129" i="39"/>
  <c r="G129" i="39"/>
  <c r="AF128" i="39"/>
  <c r="AE128" i="39"/>
  <c r="AD128" i="39"/>
  <c r="AC128" i="39"/>
  <c r="AB128" i="39"/>
  <c r="AA128" i="39"/>
  <c r="Z128" i="39"/>
  <c r="Y128" i="39"/>
  <c r="X128" i="39"/>
  <c r="W128" i="39"/>
  <c r="V128" i="39"/>
  <c r="U128" i="39"/>
  <c r="T128" i="39"/>
  <c r="S128" i="39"/>
  <c r="R128" i="39"/>
  <c r="Q128" i="39"/>
  <c r="P128" i="39"/>
  <c r="O128" i="39"/>
  <c r="N128" i="39"/>
  <c r="M128" i="39"/>
  <c r="L128" i="39"/>
  <c r="K128" i="39"/>
  <c r="J128" i="39"/>
  <c r="I128" i="39"/>
  <c r="H128" i="39"/>
  <c r="G128" i="39"/>
  <c r="AF127" i="39"/>
  <c r="AE127" i="39"/>
  <c r="AD127" i="39"/>
  <c r="AC127" i="39"/>
  <c r="AB127" i="39"/>
  <c r="AA127" i="39"/>
  <c r="Z127" i="39"/>
  <c r="Y127" i="39"/>
  <c r="X127" i="39"/>
  <c r="W127" i="39"/>
  <c r="V127" i="39"/>
  <c r="U127" i="39"/>
  <c r="T127" i="39"/>
  <c r="S127" i="39"/>
  <c r="R127" i="39"/>
  <c r="Q127" i="39"/>
  <c r="P127" i="39"/>
  <c r="O127" i="39"/>
  <c r="N127" i="39"/>
  <c r="M127" i="39"/>
  <c r="L127" i="39"/>
  <c r="K127" i="39"/>
  <c r="J127" i="39"/>
  <c r="I127" i="39"/>
  <c r="H127" i="39"/>
  <c r="G127" i="39"/>
  <c r="AF126" i="39"/>
  <c r="AE126" i="39"/>
  <c r="AD126" i="39"/>
  <c r="AC126" i="39"/>
  <c r="AB126" i="39"/>
  <c r="AA126" i="39"/>
  <c r="Z126" i="39"/>
  <c r="Y126" i="39"/>
  <c r="X126" i="39"/>
  <c r="W126" i="39"/>
  <c r="V126" i="39"/>
  <c r="U126" i="39"/>
  <c r="T126" i="39"/>
  <c r="S126" i="39"/>
  <c r="R126" i="39"/>
  <c r="Q126" i="39"/>
  <c r="P126" i="39"/>
  <c r="O126" i="39"/>
  <c r="N126" i="39"/>
  <c r="M126" i="39"/>
  <c r="L126" i="39"/>
  <c r="K126" i="39"/>
  <c r="J126" i="39"/>
  <c r="I126" i="39"/>
  <c r="H126" i="39"/>
  <c r="G126" i="39"/>
  <c r="AF123" i="39"/>
  <c r="AE123" i="39"/>
  <c r="AD123" i="39"/>
  <c r="AC123" i="39"/>
  <c r="AB123" i="39"/>
  <c r="AA123" i="39"/>
  <c r="Z123" i="39"/>
  <c r="Y123" i="39"/>
  <c r="X123" i="39"/>
  <c r="W123" i="39"/>
  <c r="V123" i="39"/>
  <c r="U123" i="39"/>
  <c r="T123" i="39"/>
  <c r="S123" i="39"/>
  <c r="R123" i="39"/>
  <c r="Q123" i="39"/>
  <c r="P123" i="39"/>
  <c r="O123" i="39"/>
  <c r="N123" i="39"/>
  <c r="M123" i="39"/>
  <c r="L123" i="39"/>
  <c r="K123" i="39"/>
  <c r="J123" i="39"/>
  <c r="I123" i="39"/>
  <c r="H123" i="39"/>
  <c r="G123" i="39"/>
  <c r="AF122" i="39"/>
  <c r="AE122" i="39"/>
  <c r="AD122" i="39"/>
  <c r="AC122" i="39"/>
  <c r="AB122" i="39"/>
  <c r="AA122" i="39"/>
  <c r="Z122" i="39"/>
  <c r="Y122" i="39"/>
  <c r="X122" i="39"/>
  <c r="W122" i="39"/>
  <c r="V122" i="39"/>
  <c r="U122" i="39"/>
  <c r="T122" i="39"/>
  <c r="S122" i="39"/>
  <c r="R122" i="39"/>
  <c r="Q122" i="39"/>
  <c r="P122" i="39"/>
  <c r="O122" i="39"/>
  <c r="N122" i="39"/>
  <c r="M122" i="39"/>
  <c r="L122" i="39"/>
  <c r="K122" i="39"/>
  <c r="J122" i="39"/>
  <c r="I122" i="39"/>
  <c r="H122" i="39"/>
  <c r="G122" i="39"/>
  <c r="AF121" i="39"/>
  <c r="AE121" i="39"/>
  <c r="AD121" i="39"/>
  <c r="AC121" i="39"/>
  <c r="AB121" i="39"/>
  <c r="AA121" i="39"/>
  <c r="Z121" i="39"/>
  <c r="Y121" i="39"/>
  <c r="X121" i="39"/>
  <c r="W121" i="39"/>
  <c r="V121" i="39"/>
  <c r="U121" i="39"/>
  <c r="T121" i="39"/>
  <c r="S121" i="39"/>
  <c r="R121" i="39"/>
  <c r="Q121" i="39"/>
  <c r="P121" i="39"/>
  <c r="O121" i="39"/>
  <c r="N121" i="39"/>
  <c r="M121" i="39"/>
  <c r="L121" i="39"/>
  <c r="K121" i="39"/>
  <c r="J121" i="39"/>
  <c r="I121" i="39"/>
  <c r="H121" i="39"/>
  <c r="G121" i="39"/>
  <c r="AF120" i="39"/>
  <c r="AE120" i="39"/>
  <c r="AD120" i="39"/>
  <c r="AC120" i="39"/>
  <c r="AB120" i="39"/>
  <c r="AA120" i="39"/>
  <c r="Z120" i="39"/>
  <c r="Y120" i="39"/>
  <c r="X120" i="39"/>
  <c r="W120" i="39"/>
  <c r="V120" i="39"/>
  <c r="U120" i="39"/>
  <c r="T120" i="39"/>
  <c r="S120" i="39"/>
  <c r="R120" i="39"/>
  <c r="Q120" i="39"/>
  <c r="P120" i="39"/>
  <c r="O120" i="39"/>
  <c r="N120" i="39"/>
  <c r="M120" i="39"/>
  <c r="L120" i="39"/>
  <c r="K120" i="39"/>
  <c r="J120" i="39"/>
  <c r="I120" i="39"/>
  <c r="H120" i="39"/>
  <c r="G120" i="39"/>
  <c r="G83" i="39"/>
  <c r="AD39" i="5" l="1"/>
  <c r="AD38" i="5"/>
  <c r="AD37" i="5"/>
  <c r="AD36" i="5"/>
  <c r="AD35" i="5"/>
  <c r="AD34" i="5"/>
  <c r="AD31" i="5"/>
  <c r="AD30" i="5"/>
  <c r="AD29" i="5"/>
  <c r="AD28" i="5"/>
  <c r="AD27" i="5"/>
  <c r="AD24" i="5"/>
  <c r="AD23" i="5"/>
  <c r="AD22" i="5"/>
  <c r="AD21" i="5"/>
  <c r="AD18" i="5"/>
  <c r="AD17" i="5"/>
  <c r="AD16" i="5"/>
  <c r="AD15" i="5"/>
  <c r="AD11" i="5"/>
  <c r="AD12" i="5"/>
  <c r="AD10" i="5"/>
  <c r="J241" i="5"/>
  <c r="O251" i="5"/>
  <c r="O257" i="5"/>
  <c r="O262" i="5"/>
  <c r="O263" i="5"/>
  <c r="O269" i="5"/>
  <c r="O270" i="5"/>
  <c r="E273" i="5"/>
  <c r="J237" i="5" l="1"/>
  <c r="N237" i="5" s="1"/>
  <c r="J238" i="5"/>
  <c r="N238" i="5" s="1"/>
  <c r="O237" i="5" l="1"/>
  <c r="L237" i="5"/>
  <c r="M237" i="5"/>
  <c r="N239" i="5"/>
  <c r="K237" i="5"/>
  <c r="K238" i="5"/>
  <c r="O238" i="5"/>
  <c r="L238" i="5"/>
  <c r="L239" i="5" s="1"/>
  <c r="M238" i="5"/>
  <c r="M239" i="5" s="1"/>
  <c r="J239" i="5"/>
  <c r="O239" i="5" l="1"/>
  <c r="K239" i="5"/>
  <c r="H239" i="5"/>
  <c r="F262" i="5" s="1" a="1"/>
  <c r="H262" i="5" s="1"/>
  <c r="I239" i="5"/>
  <c r="F273" i="5" s="1" a="1"/>
  <c r="G273" i="5" s="1"/>
  <c r="E239" i="5"/>
  <c r="F257" i="5" s="1" a="1"/>
  <c r="H257" i="5" s="1"/>
  <c r="F239" i="5"/>
  <c r="F247" i="5" s="1" a="1"/>
  <c r="G247" i="5" s="1"/>
  <c r="G239" i="5"/>
  <c r="F252" i="5" s="1" a="1"/>
  <c r="F273" i="5" l="1"/>
  <c r="I273" i="5" s="1" a="1"/>
  <c r="I273" i="5" s="1"/>
  <c r="G262" i="5"/>
  <c r="F262" i="5"/>
  <c r="F264" i="5" s="1"/>
  <c r="G264" i="5" s="1"/>
  <c r="H264" i="5" s="1"/>
  <c r="H273" i="5"/>
  <c r="G257" i="5"/>
  <c r="F257" i="5"/>
  <c r="I257" i="5" s="1" a="1"/>
  <c r="I257" i="5" s="1"/>
  <c r="F247" i="5"/>
  <c r="F250" i="5" s="1"/>
  <c r="G250" i="5" s="1"/>
  <c r="H247" i="5"/>
  <c r="H252" i="5"/>
  <c r="F252" i="5"/>
  <c r="G252" i="5"/>
  <c r="F265" i="5"/>
  <c r="G265" i="5" s="1"/>
  <c r="H265" i="5" s="1"/>
  <c r="F267" i="5"/>
  <c r="G267" i="5" s="1"/>
  <c r="H267" i="5" s="1"/>
  <c r="F269" i="5"/>
  <c r="F272" i="5"/>
  <c r="F270" i="5"/>
  <c r="G270" i="5" s="1"/>
  <c r="H270" i="5" s="1"/>
  <c r="F266" i="5"/>
  <c r="F268" i="5"/>
  <c r="G268" i="5" s="1"/>
  <c r="H268" i="5" s="1"/>
  <c r="F271" i="5"/>
  <c r="I262" i="5" a="1"/>
  <c r="I262" i="5" s="1"/>
  <c r="F280" i="5"/>
  <c r="F281" i="5"/>
  <c r="F275" i="5"/>
  <c r="G275" i="5" s="1"/>
  <c r="F277" i="5"/>
  <c r="G277" i="5" s="1"/>
  <c r="H277" i="5" s="1"/>
  <c r="F251" i="5"/>
  <c r="J182" i="5"/>
  <c r="L182" i="5" s="1"/>
  <c r="K182" i="5"/>
  <c r="M182" i="5" s="1"/>
  <c r="J183" i="5"/>
  <c r="K183" i="5"/>
  <c r="J185" i="5"/>
  <c r="K185" i="5"/>
  <c r="J186" i="5"/>
  <c r="K186" i="5"/>
  <c r="J187" i="5"/>
  <c r="L187" i="5" s="1"/>
  <c r="K187" i="5"/>
  <c r="M187" i="5" s="1"/>
  <c r="F260" i="5" l="1"/>
  <c r="G260" i="5" s="1"/>
  <c r="H260" i="5" s="1"/>
  <c r="F248" i="5"/>
  <c r="G248" i="5" s="1"/>
  <c r="F258" i="5"/>
  <c r="G258" i="5" s="1"/>
  <c r="H258" i="5" s="1"/>
  <c r="F259" i="5"/>
  <c r="F249" i="5"/>
  <c r="G249" i="5" s="1"/>
  <c r="H249" i="5" s="1"/>
  <c r="F276" i="5"/>
  <c r="F263" i="5"/>
  <c r="G263" i="5" s="1"/>
  <c r="H263" i="5" s="1"/>
  <c r="F261" i="5"/>
  <c r="G261" i="5" s="1"/>
  <c r="H261" i="5" s="1"/>
  <c r="H275" i="5"/>
  <c r="I275" i="5" s="1" a="1"/>
  <c r="I275" i="5" s="1"/>
  <c r="O266" i="5" s="1"/>
  <c r="G282" i="5"/>
  <c r="F282" i="5"/>
  <c r="H282" i="5"/>
  <c r="I247" i="5" a="1"/>
  <c r="I247" i="5" s="1"/>
  <c r="H250" i="5"/>
  <c r="I250" i="5" s="1" a="1"/>
  <c r="I250" i="5" s="1"/>
  <c r="O254" i="5" s="1"/>
  <c r="H248" i="5"/>
  <c r="I248" i="5" s="1" a="1"/>
  <c r="I248" i="5" s="1"/>
  <c r="O248" i="5" s="1"/>
  <c r="H132" i="5" s="1"/>
  <c r="F254" i="5"/>
  <c r="I252" i="5" a="1"/>
  <c r="I252" i="5" s="1"/>
  <c r="F256" i="5"/>
  <c r="F253" i="5"/>
  <c r="G253" i="5" s="1"/>
  <c r="H253" i="5" s="1"/>
  <c r="F255" i="5"/>
  <c r="G255" i="5" s="1"/>
  <c r="H255" i="5" s="1"/>
  <c r="I282" i="5" a="1"/>
  <c r="I282" i="5" s="1"/>
  <c r="I277" i="5" a="1"/>
  <c r="I277" i="5" s="1"/>
  <c r="O268" i="5" s="1"/>
  <c r="I264" i="5" a="1"/>
  <c r="I264" i="5" s="1"/>
  <c r="G281" i="5"/>
  <c r="H281" i="5" s="1"/>
  <c r="G269" i="5"/>
  <c r="H269" i="5" s="1"/>
  <c r="G259" i="5"/>
  <c r="H259" i="5" s="1"/>
  <c r="I270" i="5" a="1"/>
  <c r="I270" i="5" s="1"/>
  <c r="I267" i="5" a="1"/>
  <c r="I267" i="5" s="1"/>
  <c r="G276" i="5"/>
  <c r="H276" i="5" s="1"/>
  <c r="I261" i="5" a="1"/>
  <c r="I261" i="5" s="1"/>
  <c r="I258" i="5" a="1"/>
  <c r="I258" i="5" s="1"/>
  <c r="O250" i="5" s="1"/>
  <c r="I268" i="5" a="1"/>
  <c r="I268" i="5" s="1"/>
  <c r="I265" i="5" a="1"/>
  <c r="I265" i="5" s="1"/>
  <c r="G280" i="5"/>
  <c r="H280" i="5" s="1"/>
  <c r="G251" i="5"/>
  <c r="H251" i="5" s="1"/>
  <c r="G271" i="5"/>
  <c r="H271" i="5" s="1"/>
  <c r="G266" i="5"/>
  <c r="H266" i="5" s="1"/>
  <c r="G272" i="5"/>
  <c r="H272" i="5" s="1"/>
  <c r="I255" i="5" a="1"/>
  <c r="I255" i="5" s="1"/>
  <c r="L186" i="5"/>
  <c r="M183" i="5"/>
  <c r="M186" i="5"/>
  <c r="L183" i="5"/>
  <c r="AD9" i="5"/>
  <c r="E198" i="5"/>
  <c r="E199" i="5"/>
  <c r="E200" i="5"/>
  <c r="E201" i="5"/>
  <c r="E204" i="5"/>
  <c r="E205" i="5"/>
  <c r="E206" i="5"/>
  <c r="E207" i="5"/>
  <c r="E212" i="5"/>
  <c r="E213" i="5"/>
  <c r="D198" i="5"/>
  <c r="D199" i="5"/>
  <c r="D200" i="5"/>
  <c r="D201" i="5"/>
  <c r="D204" i="5"/>
  <c r="D205" i="5"/>
  <c r="D206" i="5"/>
  <c r="D207" i="5"/>
  <c r="D212" i="5"/>
  <c r="D213" i="5"/>
  <c r="E216" i="5"/>
  <c r="E219" i="5"/>
  <c r="E220" i="5"/>
  <c r="E223" i="5"/>
  <c r="E224" i="5"/>
  <c r="E225" i="5"/>
  <c r="E226" i="5"/>
  <c r="E227" i="5"/>
  <c r="G230" i="5"/>
  <c r="E228" i="5"/>
  <c r="C230" i="5"/>
  <c r="I263" i="5" l="1" a="1"/>
  <c r="I263" i="5" s="1"/>
  <c r="O278" i="5" s="1"/>
  <c r="I249" i="5" a="1"/>
  <c r="I249" i="5" s="1"/>
  <c r="G256" i="5"/>
  <c r="H256" i="5" s="1"/>
  <c r="I253" i="5" a="1"/>
  <c r="I253" i="5" s="1"/>
  <c r="O249" i="5" s="1"/>
  <c r="I269" i="5" a="1"/>
  <c r="I269" i="5" s="1"/>
  <c r="G254" i="5"/>
  <c r="H254" i="5" s="1"/>
  <c r="I280" i="5" a="1"/>
  <c r="I280" i="5" s="1"/>
  <c r="O277" i="5" s="1"/>
  <c r="I272" i="5" a="1"/>
  <c r="I272" i="5" s="1"/>
  <c r="O276" i="5" s="1"/>
  <c r="I276" i="5" a="1"/>
  <c r="I276" i="5" s="1"/>
  <c r="O267" i="5" s="1"/>
  <c r="I271" i="5" a="1"/>
  <c r="I271" i="5" s="1"/>
  <c r="I251" i="5" a="1"/>
  <c r="I251" i="5" s="1"/>
  <c r="O273" i="5" s="1"/>
  <c r="I259" i="5" a="1"/>
  <c r="I259" i="5" s="1"/>
  <c r="O275" i="5" s="1"/>
  <c r="I281" i="5" a="1"/>
  <c r="I281" i="5" s="1"/>
  <c r="I266" i="5" a="1"/>
  <c r="I266" i="5" s="1"/>
  <c r="O261" i="5" s="1"/>
  <c r="I260" i="5" a="1"/>
  <c r="I260" i="5" s="1"/>
  <c r="O256" i="5" s="1"/>
  <c r="H230" i="5"/>
  <c r="I230" i="5"/>
  <c r="J230" i="5"/>
  <c r="O260" i="5" l="1"/>
  <c r="I254" i="5" a="1"/>
  <c r="I254" i="5" s="1"/>
  <c r="O255" i="5" s="1"/>
  <c r="I256" i="5" a="1"/>
  <c r="I256" i="5" s="1"/>
  <c r="O274" i="5" s="1"/>
  <c r="F213" i="5"/>
  <c r="D226" i="5"/>
  <c r="F219" i="5"/>
  <c r="AG30" i="5" s="1"/>
  <c r="F200" i="5"/>
  <c r="D228" i="5"/>
  <c r="D220" i="5"/>
  <c r="F227" i="5"/>
  <c r="AG38" i="5" s="1"/>
  <c r="F223" i="5"/>
  <c r="AG34" i="5" s="1"/>
  <c r="F216" i="5"/>
  <c r="AG27" i="5" s="1"/>
  <c r="F207" i="5"/>
  <c r="F199" i="5"/>
  <c r="D223" i="5"/>
  <c r="D219" i="5"/>
  <c r="D227" i="5"/>
  <c r="F226" i="5"/>
  <c r="AG37" i="5" s="1"/>
  <c r="F220" i="5"/>
  <c r="AG31" i="5" s="1"/>
  <c r="F212" i="5"/>
  <c r="F206" i="5"/>
  <c r="F198" i="5"/>
  <c r="D216" i="5"/>
  <c r="D225" i="5"/>
  <c r="F225" i="5"/>
  <c r="AG36" i="5" s="1"/>
  <c r="F218" i="5"/>
  <c r="AG29" i="5" s="1"/>
  <c r="F211" i="5"/>
  <c r="F205" i="5"/>
  <c r="D224" i="5"/>
  <c r="F228" i="5"/>
  <c r="F224" i="5"/>
  <c r="AG35" i="5" s="1"/>
  <c r="F217" i="5"/>
  <c r="AG28" i="5" s="1"/>
  <c r="F210" i="5"/>
  <c r="F204" i="5"/>
  <c r="F201" i="5"/>
  <c r="F230" i="5" l="1"/>
  <c r="H303" i="38" l="1"/>
  <c r="H308" i="38" s="1"/>
  <c r="I303" i="38"/>
  <c r="I308" i="38" s="1"/>
  <c r="J303" i="38"/>
  <c r="J308" i="38" s="1"/>
  <c r="K303" i="38"/>
  <c r="K308" i="38" s="1"/>
  <c r="L303" i="38"/>
  <c r="L308" i="38" s="1"/>
  <c r="M303" i="38"/>
  <c r="M308" i="38" s="1"/>
  <c r="N303" i="38"/>
  <c r="N308" i="38" s="1"/>
  <c r="O303" i="38"/>
  <c r="O308" i="38" s="1"/>
  <c r="P303" i="38"/>
  <c r="P308" i="38" s="1"/>
  <c r="Q303" i="38"/>
  <c r="Q308" i="38" s="1"/>
  <c r="R303" i="38"/>
  <c r="R308" i="38" s="1"/>
  <c r="S303" i="38"/>
  <c r="S308" i="38" s="1"/>
  <c r="T303" i="38"/>
  <c r="T308" i="38" s="1"/>
  <c r="U303" i="38"/>
  <c r="U308" i="38" s="1"/>
  <c r="V303" i="38"/>
  <c r="V308" i="38" s="1"/>
  <c r="W303" i="38"/>
  <c r="W308" i="38" s="1"/>
  <c r="X303" i="38"/>
  <c r="X308" i="38" s="1"/>
  <c r="Y303" i="38"/>
  <c r="Y308" i="38" s="1"/>
  <c r="Z303" i="38"/>
  <c r="Z308" i="38" s="1"/>
  <c r="AA303" i="38"/>
  <c r="AA308" i="38" s="1"/>
  <c r="AB303" i="38"/>
  <c r="AB308" i="38" s="1"/>
  <c r="AC303" i="38"/>
  <c r="AC308" i="38" s="1"/>
  <c r="AD303" i="38"/>
  <c r="AD308" i="38" s="1"/>
  <c r="AE303" i="38"/>
  <c r="AE308" i="38" s="1"/>
  <c r="AF303" i="38"/>
  <c r="AF308" i="38" s="1"/>
  <c r="H304" i="38"/>
  <c r="H309" i="38" s="1"/>
  <c r="I304" i="38"/>
  <c r="I309" i="38" s="1"/>
  <c r="J304" i="38"/>
  <c r="J309" i="38" s="1"/>
  <c r="K304" i="38"/>
  <c r="K309" i="38" s="1"/>
  <c r="L304" i="38"/>
  <c r="L309" i="38" s="1"/>
  <c r="M304" i="38"/>
  <c r="M309" i="38" s="1"/>
  <c r="N304" i="38"/>
  <c r="N309" i="38" s="1"/>
  <c r="O304" i="38"/>
  <c r="O309" i="38" s="1"/>
  <c r="P304" i="38"/>
  <c r="P309" i="38" s="1"/>
  <c r="Q304" i="38"/>
  <c r="Q309" i="38" s="1"/>
  <c r="R304" i="38"/>
  <c r="R309" i="38" s="1"/>
  <c r="S304" i="38"/>
  <c r="S309" i="38" s="1"/>
  <c r="T304" i="38"/>
  <c r="T309" i="38" s="1"/>
  <c r="U304" i="38"/>
  <c r="U309" i="38" s="1"/>
  <c r="V304" i="38"/>
  <c r="V309" i="38" s="1"/>
  <c r="W304" i="38"/>
  <c r="W309" i="38" s="1"/>
  <c r="X304" i="38"/>
  <c r="X309" i="38" s="1"/>
  <c r="Y304" i="38"/>
  <c r="Y309" i="38" s="1"/>
  <c r="Z304" i="38"/>
  <c r="Z309" i="38" s="1"/>
  <c r="AA304" i="38"/>
  <c r="AA309" i="38" s="1"/>
  <c r="AB304" i="38"/>
  <c r="AB309" i="38" s="1"/>
  <c r="AC304" i="38"/>
  <c r="AC309" i="38" s="1"/>
  <c r="AD304" i="38"/>
  <c r="AD309" i="38" s="1"/>
  <c r="AE304" i="38"/>
  <c r="AE309" i="38" s="1"/>
  <c r="AF304" i="38"/>
  <c r="AF309" i="38" s="1"/>
  <c r="G304" i="38"/>
  <c r="G309" i="38" s="1"/>
  <c r="G303" i="38"/>
  <c r="G308" i="38" s="1"/>
  <c r="G75" i="56"/>
  <c r="G76" i="56"/>
  <c r="G77" i="56"/>
  <c r="G78" i="56"/>
  <c r="V32" i="10"/>
  <c r="V25" i="10"/>
  <c r="BK25" i="26"/>
  <c r="BL25" i="26"/>
  <c r="BM25" i="26"/>
  <c r="BN25" i="26"/>
  <c r="AO39" i="26"/>
  <c r="AO32" i="26"/>
  <c r="AO25" i="26"/>
  <c r="BS39" i="26"/>
  <c r="BN39" i="26"/>
  <c r="BI39" i="26"/>
  <c r="BI32" i="26"/>
  <c r="BI25" i="26"/>
  <c r="BF22" i="26"/>
  <c r="BF38" i="26" s="1"/>
  <c r="BG22" i="26"/>
  <c r="BG37" i="26" s="1"/>
  <c r="BH22" i="26"/>
  <c r="BH38" i="26" s="1"/>
  <c r="BF23" i="26"/>
  <c r="BG23" i="26"/>
  <c r="BH23" i="26"/>
  <c r="BF24" i="26"/>
  <c r="BF40" i="26" s="1"/>
  <c r="BG24" i="26"/>
  <c r="BG40" i="26" s="1"/>
  <c r="BH24" i="26"/>
  <c r="BH40" i="26" s="1"/>
  <c r="BD32" i="26"/>
  <c r="W32" i="10" s="1"/>
  <c r="BD39" i="26"/>
  <c r="AY32" i="26"/>
  <c r="AY25" i="26"/>
  <c r="AY39" i="26"/>
  <c r="K162" i="5"/>
  <c r="H162" i="5"/>
  <c r="K161" i="5"/>
  <c r="H161" i="5"/>
  <c r="K160" i="5"/>
  <c r="H160" i="5"/>
  <c r="K159" i="5"/>
  <c r="H159" i="5"/>
  <c r="K158" i="5"/>
  <c r="H158" i="5"/>
  <c r="K157" i="5"/>
  <c r="H157" i="5"/>
  <c r="K154" i="5"/>
  <c r="H154" i="5"/>
  <c r="K153" i="5"/>
  <c r="H153" i="5"/>
  <c r="K152" i="5"/>
  <c r="H152" i="5"/>
  <c r="K151" i="5"/>
  <c r="H151" i="5"/>
  <c r="K150" i="5"/>
  <c r="H150" i="5"/>
  <c r="K147" i="5"/>
  <c r="H147" i="5"/>
  <c r="K146" i="5"/>
  <c r="H146" i="5"/>
  <c r="K145" i="5"/>
  <c r="H145" i="5"/>
  <c r="K144" i="5"/>
  <c r="H144" i="5"/>
  <c r="K141" i="5"/>
  <c r="H141" i="5"/>
  <c r="K140" i="5"/>
  <c r="H140" i="5"/>
  <c r="K139" i="5"/>
  <c r="H139" i="5"/>
  <c r="K138" i="5"/>
  <c r="H138" i="5"/>
  <c r="K135" i="5"/>
  <c r="H135" i="5"/>
  <c r="K134" i="5"/>
  <c r="H134" i="5"/>
  <c r="K133" i="5"/>
  <c r="H133" i="5"/>
  <c r="K132" i="5"/>
  <c r="B52" i="5"/>
  <c r="E85" i="5" s="1"/>
  <c r="I43" i="11"/>
  <c r="J43" i="11"/>
  <c r="K43" i="11"/>
  <c r="L43" i="11"/>
  <c r="M43" i="11"/>
  <c r="N43" i="11"/>
  <c r="O43" i="11"/>
  <c r="P43" i="11"/>
  <c r="Q43" i="11"/>
  <c r="R43" i="11"/>
  <c r="S43" i="11"/>
  <c r="T43" i="11"/>
  <c r="U43" i="11"/>
  <c r="V43" i="11"/>
  <c r="W43" i="11"/>
  <c r="X43" i="11"/>
  <c r="Y43" i="11"/>
  <c r="Z43" i="11"/>
  <c r="AA43" i="11"/>
  <c r="AB43" i="11"/>
  <c r="AC43" i="11"/>
  <c r="AD43" i="11"/>
  <c r="AE43" i="11"/>
  <c r="AF43" i="11"/>
  <c r="G43" i="11"/>
  <c r="H43" i="11"/>
  <c r="G42" i="11"/>
  <c r="G80" i="56" l="1"/>
  <c r="BF37" i="26"/>
  <c r="C85" i="5"/>
  <c r="G85" i="5"/>
  <c r="BG38" i="26"/>
  <c r="BH37" i="26"/>
  <c r="E181" i="5"/>
  <c r="E176" i="5"/>
  <c r="AE17" i="5" l="1"/>
  <c r="I140" i="5" s="1"/>
  <c r="AE18" i="5"/>
  <c r="I141" i="5" s="1"/>
  <c r="AE16" i="5"/>
  <c r="I139" i="5" s="1"/>
  <c r="AE12" i="5"/>
  <c r="I135" i="5" s="1"/>
  <c r="AE15" i="5"/>
  <c r="I138" i="5" s="1"/>
  <c r="AE11" i="5"/>
  <c r="I134" i="5" s="1"/>
  <c r="AE24" i="5"/>
  <c r="I147" i="5" s="1"/>
  <c r="AE23" i="5"/>
  <c r="I146" i="5" s="1"/>
  <c r="AE10" i="5"/>
  <c r="I133" i="5" s="1"/>
  <c r="AE9" i="5"/>
  <c r="I132" i="5" s="1"/>
  <c r="AE39" i="5"/>
  <c r="I162" i="5" s="1"/>
  <c r="AE35" i="5"/>
  <c r="I158" i="5" s="1"/>
  <c r="AE27" i="5"/>
  <c r="I150" i="5" s="1"/>
  <c r="AE38" i="5"/>
  <c r="I161" i="5" s="1"/>
  <c r="AE34" i="5"/>
  <c r="I157" i="5" s="1"/>
  <c r="AE31" i="5"/>
  <c r="I154" i="5" s="1"/>
  <c r="AE30" i="5"/>
  <c r="I153" i="5" s="1"/>
  <c r="AE36" i="5"/>
  <c r="I159" i="5" s="1"/>
  <c r="AE37" i="5"/>
  <c r="I160" i="5" s="1"/>
  <c r="AF18" i="5"/>
  <c r="J141" i="5" s="1"/>
  <c r="AF15" i="5"/>
  <c r="J138" i="5" s="1"/>
  <c r="AF36" i="5"/>
  <c r="J159" i="5" s="1"/>
  <c r="AF9" i="5"/>
  <c r="J132" i="5" s="1"/>
  <c r="AF23" i="5"/>
  <c r="J146" i="5" s="1"/>
  <c r="AF10" i="5"/>
  <c r="J133" i="5" s="1"/>
  <c r="AF34" i="5"/>
  <c r="J157" i="5" s="1"/>
  <c r="AF12" i="5"/>
  <c r="J135" i="5" s="1"/>
  <c r="AF35" i="5"/>
  <c r="J158" i="5" s="1"/>
  <c r="AF17" i="5"/>
  <c r="J140" i="5" s="1"/>
  <c r="AF39" i="5"/>
  <c r="J162" i="5" s="1"/>
  <c r="AF30" i="5"/>
  <c r="J153" i="5" s="1"/>
  <c r="AF24" i="5"/>
  <c r="J147" i="5" s="1"/>
  <c r="AF27" i="5"/>
  <c r="J150" i="5" s="1"/>
  <c r="AF38" i="5"/>
  <c r="J161" i="5" s="1"/>
  <c r="AF16" i="5"/>
  <c r="J139" i="5" s="1"/>
  <c r="AF37" i="5"/>
  <c r="J160" i="5" s="1"/>
  <c r="AF31" i="5"/>
  <c r="J154" i="5" s="1"/>
  <c r="AF11" i="5"/>
  <c r="J134" i="5" s="1"/>
  <c r="I42" i="11"/>
  <c r="J42" i="11"/>
  <c r="K42" i="11"/>
  <c r="K18" i="11" s="1"/>
  <c r="L42" i="11"/>
  <c r="L18" i="11" s="1"/>
  <c r="M42" i="11"/>
  <c r="N42" i="11"/>
  <c r="O42" i="11"/>
  <c r="O18" i="11" s="1"/>
  <c r="P42" i="11"/>
  <c r="P18" i="11" s="1"/>
  <c r="Q42" i="11"/>
  <c r="R42" i="11"/>
  <c r="S42" i="11"/>
  <c r="S18" i="11" s="1"/>
  <c r="T42" i="11"/>
  <c r="T18" i="11" s="1"/>
  <c r="U42" i="11"/>
  <c r="V42" i="11"/>
  <c r="W42" i="11"/>
  <c r="W18" i="11" s="1"/>
  <c r="X42" i="11"/>
  <c r="X18" i="11" s="1"/>
  <c r="Y42" i="11"/>
  <c r="Z42" i="11"/>
  <c r="AA42" i="11"/>
  <c r="AA18" i="11" s="1"/>
  <c r="AB42" i="11"/>
  <c r="AB18" i="11" s="1"/>
  <c r="AC42" i="11"/>
  <c r="AD42" i="11"/>
  <c r="AE42" i="11"/>
  <c r="AE18" i="11" s="1"/>
  <c r="AF42" i="11"/>
  <c r="AF18" i="11" s="1"/>
  <c r="K19" i="11"/>
  <c r="L19" i="11"/>
  <c r="O19" i="11"/>
  <c r="P19" i="11"/>
  <c r="S19" i="11"/>
  <c r="T19" i="11"/>
  <c r="W19" i="11"/>
  <c r="X19" i="11"/>
  <c r="AA19" i="11"/>
  <c r="AB19" i="11"/>
  <c r="AE19" i="11"/>
  <c r="AF19" i="11"/>
  <c r="I44" i="11"/>
  <c r="J44" i="11"/>
  <c r="K44" i="11"/>
  <c r="K20" i="11" s="1"/>
  <c r="L44" i="11"/>
  <c r="L20" i="11" s="1"/>
  <c r="M44" i="11"/>
  <c r="N44" i="11"/>
  <c r="O44" i="11"/>
  <c r="O20" i="11" s="1"/>
  <c r="P44" i="11"/>
  <c r="P20" i="11" s="1"/>
  <c r="Q44" i="11"/>
  <c r="R44" i="11"/>
  <c r="S44" i="11"/>
  <c r="S20" i="11" s="1"/>
  <c r="T44" i="11"/>
  <c r="T20" i="11" s="1"/>
  <c r="U44" i="11"/>
  <c r="V44" i="11"/>
  <c r="W44" i="11"/>
  <c r="W20" i="11" s="1"/>
  <c r="X44" i="11"/>
  <c r="X20" i="11" s="1"/>
  <c r="Y44" i="11"/>
  <c r="Y20" i="11" s="1"/>
  <c r="Z44" i="11"/>
  <c r="Z20" i="11" s="1"/>
  <c r="AA44" i="11"/>
  <c r="AB44" i="11"/>
  <c r="AC44" i="11"/>
  <c r="AC20" i="11" s="1"/>
  <c r="AD44" i="11"/>
  <c r="AD20" i="11" s="1"/>
  <c r="AE44" i="11"/>
  <c r="AE20" i="11" s="1"/>
  <c r="AF44" i="11"/>
  <c r="AF20" i="11" s="1"/>
  <c r="H44" i="11"/>
  <c r="H20" i="11" s="1"/>
  <c r="H19" i="11"/>
  <c r="H42" i="11"/>
  <c r="H18" i="11" s="1"/>
  <c r="I18" i="11"/>
  <c r="J18" i="11"/>
  <c r="M18" i="11"/>
  <c r="N18" i="11"/>
  <c r="Q18" i="11"/>
  <c r="R18" i="11"/>
  <c r="U18" i="11"/>
  <c r="V18" i="11"/>
  <c r="Y18" i="11"/>
  <c r="Z18" i="11"/>
  <c r="AC18" i="11"/>
  <c r="AD18" i="11"/>
  <c r="I19" i="11"/>
  <c r="J19" i="11"/>
  <c r="M19" i="11"/>
  <c r="N19" i="11"/>
  <c r="Q19" i="11"/>
  <c r="R19" i="11"/>
  <c r="U19" i="11"/>
  <c r="V19" i="11"/>
  <c r="Y19" i="11"/>
  <c r="Z19" i="11"/>
  <c r="AC19" i="11"/>
  <c r="AD19" i="11"/>
  <c r="I20" i="11"/>
  <c r="J20" i="11"/>
  <c r="M20" i="11"/>
  <c r="N20" i="11"/>
  <c r="Q20" i="11"/>
  <c r="R20" i="11"/>
  <c r="U20" i="11"/>
  <c r="V20" i="11"/>
  <c r="AA20" i="11"/>
  <c r="AB20" i="11"/>
  <c r="G20" i="11"/>
  <c r="G19" i="11"/>
  <c r="G18" i="11"/>
  <c r="H34" i="11"/>
  <c r="R34" i="11"/>
  <c r="S34" i="11"/>
  <c r="T34" i="11"/>
  <c r="U34" i="11"/>
  <c r="V34" i="11"/>
  <c r="W34" i="11"/>
  <c r="X34" i="11"/>
  <c r="Y34" i="11"/>
  <c r="Z34" i="11"/>
  <c r="AA34" i="11"/>
  <c r="AB34" i="11"/>
  <c r="AC34" i="11"/>
  <c r="AD34" i="11"/>
  <c r="AE34" i="11"/>
  <c r="AF34" i="11"/>
  <c r="H35" i="11"/>
  <c r="R35" i="11"/>
  <c r="S35" i="11"/>
  <c r="T35" i="11"/>
  <c r="U35" i="11"/>
  <c r="V35" i="11"/>
  <c r="W35" i="11"/>
  <c r="X35" i="11"/>
  <c r="Y35" i="11"/>
  <c r="Z35" i="11"/>
  <c r="AA35" i="11"/>
  <c r="AB35" i="11"/>
  <c r="AC35" i="11"/>
  <c r="AD35" i="11"/>
  <c r="AE35" i="11"/>
  <c r="AF35" i="11"/>
  <c r="G30" i="11"/>
  <c r="G35" i="11" s="1"/>
  <c r="G11" i="11" s="1"/>
  <c r="I30" i="11"/>
  <c r="I35" i="11" s="1"/>
  <c r="I11" i="11" s="1"/>
  <c r="J30" i="11"/>
  <c r="J34" i="11" s="1"/>
  <c r="K30" i="11"/>
  <c r="K34" i="11" s="1"/>
  <c r="L30" i="11"/>
  <c r="L34" i="11" s="1"/>
  <c r="M30" i="11"/>
  <c r="M35" i="11" s="1"/>
  <c r="M11" i="11" s="1"/>
  <c r="N30" i="11"/>
  <c r="N34" i="11" s="1"/>
  <c r="O30" i="11"/>
  <c r="O35" i="11" s="1"/>
  <c r="O11" i="11" s="1"/>
  <c r="P30" i="11"/>
  <c r="P34" i="11" s="1"/>
  <c r="Q30" i="11"/>
  <c r="Q35" i="11" s="1"/>
  <c r="Q11" i="11" s="1"/>
  <c r="AF39" i="11"/>
  <c r="AE39" i="11"/>
  <c r="AD39" i="11"/>
  <c r="AC39" i="11"/>
  <c r="AB39" i="11"/>
  <c r="AA39" i="11"/>
  <c r="Z39" i="11"/>
  <c r="Y39" i="11"/>
  <c r="X39" i="11"/>
  <c r="W39" i="11"/>
  <c r="V39" i="11"/>
  <c r="U39" i="11"/>
  <c r="T39" i="11"/>
  <c r="S39" i="11"/>
  <c r="R39" i="11"/>
  <c r="Q39" i="11"/>
  <c r="P39" i="11"/>
  <c r="O39" i="11"/>
  <c r="N39" i="11"/>
  <c r="M39" i="11"/>
  <c r="L39" i="11"/>
  <c r="K39" i="11"/>
  <c r="J39" i="11"/>
  <c r="I39" i="11"/>
  <c r="H39" i="11"/>
  <c r="G39" i="11"/>
  <c r="G15" i="11" s="1"/>
  <c r="AF38" i="11"/>
  <c r="AE38" i="11"/>
  <c r="AD38" i="11"/>
  <c r="AC38" i="11"/>
  <c r="AB38" i="11"/>
  <c r="AA38" i="11"/>
  <c r="Z38" i="11"/>
  <c r="Y38" i="11"/>
  <c r="X38" i="11"/>
  <c r="W38" i="11"/>
  <c r="V38" i="11"/>
  <c r="U38" i="11"/>
  <c r="T38" i="11"/>
  <c r="S38" i="11"/>
  <c r="R38" i="11"/>
  <c r="Q38" i="11"/>
  <c r="P38" i="11"/>
  <c r="O38" i="11"/>
  <c r="N38" i="11"/>
  <c r="M38" i="11"/>
  <c r="L38" i="11"/>
  <c r="K38" i="11"/>
  <c r="J38" i="11"/>
  <c r="I38" i="11"/>
  <c r="H38" i="11"/>
  <c r="G38" i="11"/>
  <c r="O14" i="11" s="1"/>
  <c r="I9" i="56"/>
  <c r="J9" i="56"/>
  <c r="K9" i="56"/>
  <c r="L9" i="56"/>
  <c r="M9" i="56"/>
  <c r="N9" i="56"/>
  <c r="O9" i="56"/>
  <c r="P9" i="56"/>
  <c r="Q9" i="56"/>
  <c r="R9" i="56"/>
  <c r="S9" i="56"/>
  <c r="T9" i="56"/>
  <c r="U9" i="56"/>
  <c r="V9" i="56"/>
  <c r="W9" i="56"/>
  <c r="X9" i="56"/>
  <c r="Y9" i="56"/>
  <c r="Z9" i="56"/>
  <c r="AA9" i="56"/>
  <c r="AB9" i="56"/>
  <c r="AC9" i="56"/>
  <c r="AD9" i="56"/>
  <c r="AE9" i="56"/>
  <c r="AF9" i="56"/>
  <c r="I10" i="56"/>
  <c r="J10" i="56"/>
  <c r="K10" i="56"/>
  <c r="L10" i="56"/>
  <c r="M10" i="56"/>
  <c r="N10" i="56"/>
  <c r="O10" i="56"/>
  <c r="P10" i="56"/>
  <c r="Q10" i="56"/>
  <c r="R10" i="56"/>
  <c r="S10" i="56"/>
  <c r="T10" i="56"/>
  <c r="U10" i="56"/>
  <c r="V10" i="56"/>
  <c r="W10" i="56"/>
  <c r="X10" i="56"/>
  <c r="Y10" i="56"/>
  <c r="Z10" i="56"/>
  <c r="AA10" i="56"/>
  <c r="AB10" i="56"/>
  <c r="AC10" i="56"/>
  <c r="AD10" i="56"/>
  <c r="AE10" i="56"/>
  <c r="AF10" i="56"/>
  <c r="I11" i="56"/>
  <c r="J11" i="56"/>
  <c r="K11" i="56"/>
  <c r="L11" i="56"/>
  <c r="M11" i="56"/>
  <c r="N11" i="56"/>
  <c r="O11" i="56"/>
  <c r="P11" i="56"/>
  <c r="Q11" i="56"/>
  <c r="R11" i="56"/>
  <c r="S11" i="56"/>
  <c r="T11" i="56"/>
  <c r="U11" i="56"/>
  <c r="V11" i="56"/>
  <c r="W11" i="56"/>
  <c r="X11" i="56"/>
  <c r="Y11" i="56"/>
  <c r="Z11" i="56"/>
  <c r="AA11" i="56"/>
  <c r="AB11" i="56"/>
  <c r="AC11" i="56"/>
  <c r="AD11" i="56"/>
  <c r="AE11" i="56"/>
  <c r="AF11" i="56"/>
  <c r="I12" i="56"/>
  <c r="J12" i="56"/>
  <c r="K12" i="56"/>
  <c r="L12" i="56"/>
  <c r="M12" i="56"/>
  <c r="N12" i="56"/>
  <c r="O12" i="56"/>
  <c r="P12" i="56"/>
  <c r="Q12" i="56"/>
  <c r="R12" i="56"/>
  <c r="S12" i="56"/>
  <c r="T12" i="56"/>
  <c r="U12" i="56"/>
  <c r="V12" i="56"/>
  <c r="W12" i="56"/>
  <c r="X12" i="56"/>
  <c r="Y12" i="56"/>
  <c r="Z12" i="56"/>
  <c r="AA12" i="56"/>
  <c r="AB12" i="56"/>
  <c r="AC12" i="56"/>
  <c r="AD12" i="56"/>
  <c r="AE12" i="56"/>
  <c r="AF12" i="56"/>
  <c r="I13" i="56"/>
  <c r="J13" i="56"/>
  <c r="K13" i="56"/>
  <c r="L13" i="56"/>
  <c r="M13" i="56"/>
  <c r="N13" i="56"/>
  <c r="O13" i="56"/>
  <c r="P13" i="56"/>
  <c r="Q13" i="56"/>
  <c r="R13" i="56"/>
  <c r="S13" i="56"/>
  <c r="T13" i="56"/>
  <c r="U13" i="56"/>
  <c r="V13" i="56"/>
  <c r="W13" i="56"/>
  <c r="X13" i="56"/>
  <c r="Y13" i="56"/>
  <c r="Z13" i="56"/>
  <c r="AA13" i="56"/>
  <c r="AB13" i="56"/>
  <c r="AC13" i="56"/>
  <c r="AD13" i="56"/>
  <c r="AE13" i="56"/>
  <c r="AF13" i="56"/>
  <c r="I17" i="56"/>
  <c r="J17" i="56"/>
  <c r="K17" i="56"/>
  <c r="L17" i="56"/>
  <c r="M17" i="56"/>
  <c r="N17" i="56"/>
  <c r="O17" i="56"/>
  <c r="P17" i="56"/>
  <c r="Q17" i="56"/>
  <c r="R17" i="56"/>
  <c r="S17" i="56"/>
  <c r="T17" i="56"/>
  <c r="U17" i="56"/>
  <c r="V17" i="56"/>
  <c r="W17" i="56"/>
  <c r="X17" i="56"/>
  <c r="Y17" i="56"/>
  <c r="Z17" i="56"/>
  <c r="AA17" i="56"/>
  <c r="AB17" i="56"/>
  <c r="AC17" i="56"/>
  <c r="AD17" i="56"/>
  <c r="AE17" i="56"/>
  <c r="AF17" i="56"/>
  <c r="I18" i="56"/>
  <c r="J18" i="56"/>
  <c r="K18" i="56"/>
  <c r="L18" i="56"/>
  <c r="M18" i="56"/>
  <c r="N18" i="56"/>
  <c r="O18" i="56"/>
  <c r="P18" i="56"/>
  <c r="Q18" i="56"/>
  <c r="R18" i="56"/>
  <c r="S18" i="56"/>
  <c r="T18" i="56"/>
  <c r="U18" i="56"/>
  <c r="V18" i="56"/>
  <c r="W18" i="56"/>
  <c r="X18" i="56"/>
  <c r="Y18" i="56"/>
  <c r="Z18" i="56"/>
  <c r="AA18" i="56"/>
  <c r="AB18" i="56"/>
  <c r="AC18" i="56"/>
  <c r="AD18" i="56"/>
  <c r="AE18" i="56"/>
  <c r="AF18" i="56"/>
  <c r="I19" i="56"/>
  <c r="J19" i="56"/>
  <c r="K19" i="56"/>
  <c r="L19" i="56"/>
  <c r="M19" i="56"/>
  <c r="N19" i="56"/>
  <c r="O19" i="56"/>
  <c r="P19" i="56"/>
  <c r="Q19" i="56"/>
  <c r="R19" i="56"/>
  <c r="S19" i="56"/>
  <c r="T19" i="56"/>
  <c r="U19" i="56"/>
  <c r="V19" i="56"/>
  <c r="W19" i="56"/>
  <c r="X19" i="56"/>
  <c r="Y19" i="56"/>
  <c r="Z19" i="56"/>
  <c r="AA19" i="56"/>
  <c r="AB19" i="56"/>
  <c r="AC19" i="56"/>
  <c r="AD19" i="56"/>
  <c r="AE19" i="56"/>
  <c r="AF19" i="56"/>
  <c r="I20" i="56"/>
  <c r="J20" i="56"/>
  <c r="K20" i="56"/>
  <c r="L20" i="56"/>
  <c r="M20" i="56"/>
  <c r="N20" i="56"/>
  <c r="O20" i="56"/>
  <c r="P20" i="56"/>
  <c r="Q20" i="56"/>
  <c r="R20" i="56"/>
  <c r="S20" i="56"/>
  <c r="T20" i="56"/>
  <c r="U20" i="56"/>
  <c r="V20" i="56"/>
  <c r="W20" i="56"/>
  <c r="X20" i="56"/>
  <c r="Y20" i="56"/>
  <c r="Z20" i="56"/>
  <c r="AA20" i="56"/>
  <c r="AB20" i="56"/>
  <c r="AC20" i="56"/>
  <c r="AD20" i="56"/>
  <c r="AE20" i="56"/>
  <c r="AF20" i="56"/>
  <c r="I21" i="56"/>
  <c r="J21" i="56"/>
  <c r="K21" i="56"/>
  <c r="L21" i="56"/>
  <c r="M21" i="56"/>
  <c r="N21" i="56"/>
  <c r="O21" i="56"/>
  <c r="P21" i="56"/>
  <c r="Q21" i="56"/>
  <c r="R21" i="56"/>
  <c r="S21" i="56"/>
  <c r="T21" i="56"/>
  <c r="U21" i="56"/>
  <c r="V21" i="56"/>
  <c r="W21" i="56"/>
  <c r="X21" i="56"/>
  <c r="Y21" i="56"/>
  <c r="Z21" i="56"/>
  <c r="AA21" i="56"/>
  <c r="AB21" i="56"/>
  <c r="AC21" i="56"/>
  <c r="AD21" i="56"/>
  <c r="AE21" i="56"/>
  <c r="AF21" i="56"/>
  <c r="I25" i="56"/>
  <c r="J25" i="56"/>
  <c r="K25" i="56"/>
  <c r="L25" i="56"/>
  <c r="M25" i="56"/>
  <c r="N25" i="56"/>
  <c r="O25" i="56"/>
  <c r="P25" i="56"/>
  <c r="Q25" i="56"/>
  <c r="R25" i="56"/>
  <c r="S25" i="56"/>
  <c r="T25" i="56"/>
  <c r="U25" i="56"/>
  <c r="V25" i="56"/>
  <c r="W25" i="56"/>
  <c r="X25" i="56"/>
  <c r="Y25" i="56"/>
  <c r="Z25" i="56"/>
  <c r="AA25" i="56"/>
  <c r="AB25" i="56"/>
  <c r="AC25" i="56"/>
  <c r="AD25" i="56"/>
  <c r="AE25" i="56"/>
  <c r="AF25" i="56"/>
  <c r="I26" i="56"/>
  <c r="J26" i="56"/>
  <c r="K26" i="56"/>
  <c r="L26" i="56"/>
  <c r="M26" i="56"/>
  <c r="N26" i="56"/>
  <c r="O26" i="56"/>
  <c r="P26" i="56"/>
  <c r="Q26" i="56"/>
  <c r="R26" i="56"/>
  <c r="S26" i="56"/>
  <c r="T26" i="56"/>
  <c r="U26" i="56"/>
  <c r="V26" i="56"/>
  <c r="W26" i="56"/>
  <c r="X26" i="56"/>
  <c r="Y26" i="56"/>
  <c r="Z26" i="56"/>
  <c r="AA26" i="56"/>
  <c r="AB26" i="56"/>
  <c r="AC26" i="56"/>
  <c r="AD26" i="56"/>
  <c r="AE26" i="56"/>
  <c r="AF26" i="56"/>
  <c r="I27" i="56"/>
  <c r="J27" i="56"/>
  <c r="K27" i="56"/>
  <c r="L27" i="56"/>
  <c r="M27" i="56"/>
  <c r="N27" i="56"/>
  <c r="O27" i="56"/>
  <c r="P27" i="56"/>
  <c r="Q27" i="56"/>
  <c r="R27" i="56"/>
  <c r="S27" i="56"/>
  <c r="T27" i="56"/>
  <c r="U27" i="56"/>
  <c r="V27" i="56"/>
  <c r="W27" i="56"/>
  <c r="X27" i="56"/>
  <c r="Y27" i="56"/>
  <c r="Z27" i="56"/>
  <c r="AA27" i="56"/>
  <c r="AB27" i="56"/>
  <c r="AC27" i="56"/>
  <c r="AD27" i="56"/>
  <c r="AE27" i="56"/>
  <c r="AF27" i="56"/>
  <c r="I28" i="56"/>
  <c r="J28" i="56"/>
  <c r="K28" i="56"/>
  <c r="L28" i="56"/>
  <c r="M28" i="56"/>
  <c r="N28" i="56"/>
  <c r="O28" i="56"/>
  <c r="P28" i="56"/>
  <c r="Q28" i="56"/>
  <c r="R28" i="56"/>
  <c r="S28" i="56"/>
  <c r="T28" i="56"/>
  <c r="U28" i="56"/>
  <c r="V28" i="56"/>
  <c r="W28" i="56"/>
  <c r="X28" i="56"/>
  <c r="Y28" i="56"/>
  <c r="Z28" i="56"/>
  <c r="AA28" i="56"/>
  <c r="AB28" i="56"/>
  <c r="AC28" i="56"/>
  <c r="AD28" i="56"/>
  <c r="AE28" i="56"/>
  <c r="AF28" i="56"/>
  <c r="I29" i="56"/>
  <c r="J29" i="56"/>
  <c r="K29" i="56"/>
  <c r="L29" i="56"/>
  <c r="M29" i="56"/>
  <c r="N29" i="56"/>
  <c r="O29" i="56"/>
  <c r="P29" i="56"/>
  <c r="Q29" i="56"/>
  <c r="R29" i="56"/>
  <c r="S29" i="56"/>
  <c r="T29" i="56"/>
  <c r="U29" i="56"/>
  <c r="V29" i="56"/>
  <c r="W29" i="56"/>
  <c r="X29" i="56"/>
  <c r="Y29" i="56"/>
  <c r="Z29" i="56"/>
  <c r="AA29" i="56"/>
  <c r="AB29" i="56"/>
  <c r="AC29" i="56"/>
  <c r="AD29" i="56"/>
  <c r="AE29" i="56"/>
  <c r="AF29" i="56"/>
  <c r="I33" i="56"/>
  <c r="J33" i="56"/>
  <c r="K33" i="56"/>
  <c r="L33" i="56"/>
  <c r="M33" i="56"/>
  <c r="N33" i="56"/>
  <c r="O33" i="56"/>
  <c r="P33" i="56"/>
  <c r="Q33" i="56"/>
  <c r="R33" i="56"/>
  <c r="S33" i="56"/>
  <c r="T33" i="56"/>
  <c r="U33" i="56"/>
  <c r="V33" i="56"/>
  <c r="W33" i="56"/>
  <c r="X33" i="56"/>
  <c r="Y33" i="56"/>
  <c r="Z33" i="56"/>
  <c r="AA33" i="56"/>
  <c r="AB33" i="56"/>
  <c r="AC33" i="56"/>
  <c r="AD33" i="56"/>
  <c r="AE33" i="56"/>
  <c r="AF33" i="56"/>
  <c r="I34" i="56"/>
  <c r="J34" i="56"/>
  <c r="K34" i="56"/>
  <c r="L34" i="56"/>
  <c r="M34" i="56"/>
  <c r="N34" i="56"/>
  <c r="O34" i="56"/>
  <c r="P34" i="56"/>
  <c r="Q34" i="56"/>
  <c r="R34" i="56"/>
  <c r="S34" i="56"/>
  <c r="T34" i="56"/>
  <c r="U34" i="56"/>
  <c r="V34" i="56"/>
  <c r="W34" i="56"/>
  <c r="X34" i="56"/>
  <c r="Y34" i="56"/>
  <c r="Z34" i="56"/>
  <c r="AA34" i="56"/>
  <c r="AB34" i="56"/>
  <c r="AC34" i="56"/>
  <c r="AD34" i="56"/>
  <c r="AE34" i="56"/>
  <c r="AF34" i="56"/>
  <c r="I35" i="56"/>
  <c r="J35" i="56"/>
  <c r="K35" i="56"/>
  <c r="L35" i="56"/>
  <c r="M35" i="56"/>
  <c r="N35" i="56"/>
  <c r="O35" i="56"/>
  <c r="P35" i="56"/>
  <c r="Q35" i="56"/>
  <c r="R35" i="56"/>
  <c r="S35" i="56"/>
  <c r="T35" i="56"/>
  <c r="U35" i="56"/>
  <c r="V35" i="56"/>
  <c r="W35" i="56"/>
  <c r="X35" i="56"/>
  <c r="Y35" i="56"/>
  <c r="Z35" i="56"/>
  <c r="AA35" i="56"/>
  <c r="AB35" i="56"/>
  <c r="AC35" i="56"/>
  <c r="AD35" i="56"/>
  <c r="AE35" i="56"/>
  <c r="AF35" i="56"/>
  <c r="I36" i="56"/>
  <c r="J36" i="56"/>
  <c r="K36" i="56"/>
  <c r="L36" i="56"/>
  <c r="M36" i="56"/>
  <c r="N36" i="56"/>
  <c r="O36" i="56"/>
  <c r="P36" i="56"/>
  <c r="Q36" i="56"/>
  <c r="R36" i="56"/>
  <c r="S36" i="56"/>
  <c r="T36" i="56"/>
  <c r="U36" i="56"/>
  <c r="V36" i="56"/>
  <c r="W36" i="56"/>
  <c r="X36" i="56"/>
  <c r="Y36" i="56"/>
  <c r="Z36" i="56"/>
  <c r="AA36" i="56"/>
  <c r="AB36" i="56"/>
  <c r="AC36" i="56"/>
  <c r="AD36" i="56"/>
  <c r="AE36" i="56"/>
  <c r="AF36" i="56"/>
  <c r="I37" i="56"/>
  <c r="J37" i="56"/>
  <c r="K37" i="56"/>
  <c r="L37" i="56"/>
  <c r="M37" i="56"/>
  <c r="N37" i="56"/>
  <c r="O37" i="56"/>
  <c r="P37" i="56"/>
  <c r="Q37" i="56"/>
  <c r="R37" i="56"/>
  <c r="S37" i="56"/>
  <c r="T37" i="56"/>
  <c r="U37" i="56"/>
  <c r="V37" i="56"/>
  <c r="W37" i="56"/>
  <c r="X37" i="56"/>
  <c r="Y37" i="56"/>
  <c r="Z37" i="56"/>
  <c r="AA37" i="56"/>
  <c r="AB37" i="56"/>
  <c r="AC37" i="56"/>
  <c r="AD37" i="56"/>
  <c r="AE37" i="56"/>
  <c r="AF37" i="56"/>
  <c r="H27" i="56"/>
  <c r="H26" i="56"/>
  <c r="H25" i="56"/>
  <c r="H37" i="56"/>
  <c r="H36" i="56"/>
  <c r="H35" i="56"/>
  <c r="H34" i="56"/>
  <c r="H33" i="56"/>
  <c r="H29" i="56"/>
  <c r="H28" i="56"/>
  <c r="H21" i="56"/>
  <c r="H20" i="56"/>
  <c r="H19" i="56"/>
  <c r="H18" i="56"/>
  <c r="H17" i="56"/>
  <c r="H13" i="56"/>
  <c r="H12" i="56"/>
  <c r="H11" i="56"/>
  <c r="H10" i="56"/>
  <c r="H9" i="56"/>
  <c r="W2" i="56"/>
  <c r="V2" i="56"/>
  <c r="U2" i="56"/>
  <c r="T2" i="56"/>
  <c r="S2" i="56"/>
  <c r="R2" i="56"/>
  <c r="Q2" i="56"/>
  <c r="P2" i="56"/>
  <c r="N2" i="56"/>
  <c r="M2" i="56"/>
  <c r="L2" i="56"/>
  <c r="K2" i="56"/>
  <c r="J2" i="56"/>
  <c r="I2" i="56"/>
  <c r="H2" i="56"/>
  <c r="G2" i="56"/>
  <c r="H14" i="11" l="1"/>
  <c r="J14" i="11"/>
  <c r="L14" i="11"/>
  <c r="N14" i="11"/>
  <c r="P14" i="11"/>
  <c r="R14" i="11"/>
  <c r="T14" i="11"/>
  <c r="V14" i="11"/>
  <c r="X14" i="11"/>
  <c r="Z14" i="11"/>
  <c r="AB14" i="11"/>
  <c r="AD14" i="11"/>
  <c r="AF14" i="11"/>
  <c r="H15" i="11"/>
  <c r="L15" i="11"/>
  <c r="P15" i="11"/>
  <c r="T15" i="11"/>
  <c r="X15" i="11"/>
  <c r="AB15" i="11"/>
  <c r="AF15" i="11"/>
  <c r="AE11" i="11"/>
  <c r="AC11" i="11"/>
  <c r="AA11" i="11"/>
  <c r="Y11" i="11"/>
  <c r="W11" i="11"/>
  <c r="U11" i="11"/>
  <c r="S11" i="11"/>
  <c r="H11" i="11"/>
  <c r="I34" i="11"/>
  <c r="AD11" i="11"/>
  <c r="V11" i="11"/>
  <c r="Z15" i="11"/>
  <c r="R15" i="11"/>
  <c r="J15" i="11"/>
  <c r="AA14" i="11"/>
  <c r="S14" i="11"/>
  <c r="K14" i="11"/>
  <c r="I14" i="11"/>
  <c r="M14" i="11"/>
  <c r="Q14" i="11"/>
  <c r="U14" i="11"/>
  <c r="Y14" i="11"/>
  <c r="AC14" i="11"/>
  <c r="I15" i="11"/>
  <c r="K15" i="11"/>
  <c r="M15" i="11"/>
  <c r="O15" i="11"/>
  <c r="Q15" i="11"/>
  <c r="S15" i="11"/>
  <c r="U15" i="11"/>
  <c r="W15" i="11"/>
  <c r="Y15" i="11"/>
  <c r="AA15" i="11"/>
  <c r="AC15" i="11"/>
  <c r="AE15" i="11"/>
  <c r="AF11" i="11"/>
  <c r="AB11" i="11"/>
  <c r="X11" i="11"/>
  <c r="T11" i="11"/>
  <c r="Z11" i="11"/>
  <c r="R11" i="11"/>
  <c r="G14" i="11"/>
  <c r="AD15" i="11"/>
  <c r="V15" i="11"/>
  <c r="N15" i="11"/>
  <c r="AE14" i="11"/>
  <c r="W14" i="11"/>
  <c r="H43" i="56" a="1"/>
  <c r="H43" i="56" s="1"/>
  <c r="M34" i="11"/>
  <c r="Q34" i="11"/>
  <c r="P35" i="11"/>
  <c r="P11" i="11" s="1"/>
  <c r="G34" i="11"/>
  <c r="J10" i="11" s="1"/>
  <c r="K35" i="11"/>
  <c r="K11" i="11" s="1"/>
  <c r="N35" i="11"/>
  <c r="N11" i="11" s="1"/>
  <c r="J35" i="11"/>
  <c r="J11" i="11" s="1"/>
  <c r="O34" i="11"/>
  <c r="L35" i="11"/>
  <c r="L11" i="11" s="1"/>
  <c r="O10" i="11" l="1"/>
  <c r="R10" i="11"/>
  <c r="V10" i="11"/>
  <c r="Z10" i="11"/>
  <c r="AD10" i="11"/>
  <c r="I10" i="11"/>
  <c r="U10" i="11"/>
  <c r="Y10" i="11"/>
  <c r="AC10" i="11"/>
  <c r="G10" i="11"/>
  <c r="L10" i="11"/>
  <c r="K10" i="11"/>
  <c r="P10" i="11"/>
  <c r="Q10" i="11"/>
  <c r="M10" i="11"/>
  <c r="H10" i="11"/>
  <c r="T10" i="11"/>
  <c r="X10" i="11"/>
  <c r="AB10" i="11"/>
  <c r="AF10" i="11"/>
  <c r="S10" i="11"/>
  <c r="W10" i="11"/>
  <c r="AA10" i="11"/>
  <c r="AE10" i="11"/>
  <c r="N10" i="11"/>
  <c r="V49" i="56"/>
  <c r="T43" i="56"/>
  <c r="AC46" i="56"/>
  <c r="AA71" i="56"/>
  <c r="S44" i="56"/>
  <c r="Y54" i="56"/>
  <c r="W48" i="56"/>
  <c r="Q50" i="56"/>
  <c r="AF51" i="56"/>
  <c r="K68" i="56"/>
  <c r="Z58" i="56"/>
  <c r="J70" i="56"/>
  <c r="Y66" i="56"/>
  <c r="O63" i="56"/>
  <c r="K54" i="56"/>
  <c r="V65" i="56"/>
  <c r="AC70" i="56"/>
  <c r="AF43" i="56"/>
  <c r="H47" i="56"/>
  <c r="U46" i="56"/>
  <c r="L51" i="56"/>
  <c r="O44" i="56"/>
  <c r="U54" i="56"/>
  <c r="M66" i="56"/>
  <c r="S50" i="56"/>
  <c r="N69" i="56"/>
  <c r="AC65" i="56"/>
  <c r="R62" i="56"/>
  <c r="W49" i="56"/>
  <c r="AE61" i="56"/>
  <c r="H70" i="56"/>
  <c r="Z49" i="56"/>
  <c r="Z53" i="56"/>
  <c r="T64" i="56"/>
  <c r="AB71" i="56"/>
  <c r="R68" i="56"/>
  <c r="AF64" i="56"/>
  <c r="L60" i="56"/>
  <c r="W43" i="56"/>
  <c r="V51" i="56"/>
  <c r="K69" i="56"/>
  <c r="M54" i="56"/>
  <c r="K52" i="56"/>
  <c r="I46" i="56"/>
  <c r="O56" i="56"/>
  <c r="R49" i="56"/>
  <c r="I70" i="56"/>
  <c r="AB62" i="56"/>
  <c r="AF70" i="56"/>
  <c r="U67" i="56"/>
  <c r="K64" i="56"/>
  <c r="W57" i="56"/>
  <c r="AA68" i="56"/>
  <c r="Y71" i="56"/>
  <c r="O68" i="56"/>
  <c r="O57" i="56"/>
  <c r="H71" i="56"/>
  <c r="AA57" i="56"/>
  <c r="AC68" i="56"/>
  <c r="L57" i="56"/>
  <c r="T59" i="56"/>
  <c r="AC61" i="56"/>
  <c r="X44" i="56"/>
  <c r="N45" i="56"/>
  <c r="H51" i="56"/>
  <c r="K56" i="56"/>
  <c r="J45" i="56"/>
  <c r="X47" i="56"/>
  <c r="M50" i="56"/>
  <c r="AA52" i="56"/>
  <c r="P55" i="56"/>
  <c r="J49" i="56"/>
  <c r="K44" i="56"/>
  <c r="Y46" i="56"/>
  <c r="N49" i="56"/>
  <c r="AB51" i="56"/>
  <c r="Q54" i="56"/>
  <c r="W44" i="56"/>
  <c r="AE52" i="56"/>
  <c r="AE44" i="56"/>
  <c r="T47" i="56"/>
  <c r="I50" i="56"/>
  <c r="W52" i="56"/>
  <c r="L55" i="56"/>
  <c r="P71" i="56"/>
  <c r="R69" i="56"/>
  <c r="T67" i="56"/>
  <c r="AA65" i="56"/>
  <c r="J64" i="56"/>
  <c r="Q62" i="56"/>
  <c r="AB56" i="56"/>
  <c r="O49" i="56"/>
  <c r="W71" i="56"/>
  <c r="Z70" i="56"/>
  <c r="AD69" i="56"/>
  <c r="I69" i="56"/>
  <c r="L68" i="56"/>
  <c r="P67" i="56"/>
  <c r="T66" i="56"/>
  <c r="W65" i="56"/>
  <c r="AA64" i="56"/>
  <c r="AE63" i="56"/>
  <c r="I63" i="56"/>
  <c r="J62" i="56"/>
  <c r="U59" i="56"/>
  <c r="AF56" i="56"/>
  <c r="H53" i="56"/>
  <c r="R48" i="56"/>
  <c r="U71" i="56"/>
  <c r="AE67" i="56"/>
  <c r="Z64" i="56"/>
  <c r="X60" i="56"/>
  <c r="L48" i="56"/>
  <c r="T71" i="56"/>
  <c r="X70" i="56"/>
  <c r="AA69" i="56"/>
  <c r="AE68" i="56"/>
  <c r="X67" i="56"/>
  <c r="AE65" i="56"/>
  <c r="L63" i="56"/>
  <c r="U53" i="56"/>
  <c r="H66" i="56"/>
  <c r="L70" i="56"/>
  <c r="Z66" i="56"/>
  <c r="P63" i="56"/>
  <c r="R54" i="56"/>
  <c r="AA70" i="56"/>
  <c r="M68" i="56"/>
  <c r="X65" i="56"/>
  <c r="H61" i="56"/>
  <c r="W55" i="56"/>
  <c r="AC45" i="56"/>
  <c r="M58" i="56"/>
  <c r="X50" i="56"/>
  <c r="V60" i="56"/>
  <c r="AB54" i="56"/>
  <c r="Y44" i="56"/>
  <c r="AA49" i="56"/>
  <c r="Z47" i="56"/>
  <c r="V66" i="56"/>
  <c r="W67" i="56"/>
  <c r="O66" i="56"/>
  <c r="H48" i="56"/>
  <c r="L47" i="56"/>
  <c r="X51" i="56"/>
  <c r="L43" i="56"/>
  <c r="Z45" i="56"/>
  <c r="O48" i="56"/>
  <c r="AC50" i="56"/>
  <c r="R53" i="56"/>
  <c r="AF55" i="56"/>
  <c r="O52" i="56"/>
  <c r="AA44" i="56"/>
  <c r="P47" i="56"/>
  <c r="AD49" i="56"/>
  <c r="S52" i="56"/>
  <c r="H55" i="56"/>
  <c r="AD45" i="56"/>
  <c r="AC54" i="56"/>
  <c r="V45" i="56"/>
  <c r="K48" i="56"/>
  <c r="Y50" i="56"/>
  <c r="N53" i="56"/>
  <c r="AB55" i="56"/>
  <c r="AD70" i="56"/>
  <c r="AF68" i="56"/>
  <c r="I67" i="56"/>
  <c r="Q65" i="56"/>
  <c r="X63" i="56"/>
  <c r="O61" i="56"/>
  <c r="AF54" i="56"/>
  <c r="W46" i="56"/>
  <c r="Q71" i="56"/>
  <c r="U70" i="56"/>
  <c r="Y69" i="56"/>
  <c r="AB68" i="56"/>
  <c r="AF67" i="56"/>
  <c r="K67" i="56"/>
  <c r="N66" i="56"/>
  <c r="R65" i="56"/>
  <c r="V64" i="56"/>
  <c r="Y63" i="56"/>
  <c r="AC62" i="56"/>
  <c r="S61" i="56"/>
  <c r="AD58" i="56"/>
  <c r="N56" i="56"/>
  <c r="AC51" i="56"/>
  <c r="I47" i="56"/>
  <c r="Y70" i="56"/>
  <c r="O67" i="56"/>
  <c r="AC63" i="56"/>
  <c r="J58" i="56"/>
  <c r="M43" i="56"/>
  <c r="O71" i="56"/>
  <c r="R70" i="56"/>
  <c r="V69" i="56"/>
  <c r="Z68" i="56"/>
  <c r="S67" i="56"/>
  <c r="Z65" i="56"/>
  <c r="P62" i="56"/>
  <c r="H49" i="56"/>
  <c r="V62" i="56"/>
  <c r="O69" i="56"/>
  <c r="AD65" i="56"/>
  <c r="T62" i="56"/>
  <c r="AC49" i="56"/>
  <c r="K70" i="56"/>
  <c r="V67" i="56"/>
  <c r="AC64" i="56"/>
  <c r="Z59" i="56"/>
  <c r="P53" i="56"/>
  <c r="I62" i="56"/>
  <c r="AE56" i="56"/>
  <c r="Q48" i="56"/>
  <c r="O59" i="56"/>
  <c r="V52" i="56"/>
  <c r="AD54" i="56"/>
  <c r="I48" i="56"/>
  <c r="H46" i="56"/>
  <c r="H64" i="56"/>
  <c r="M69" i="56"/>
  <c r="L64" i="56"/>
  <c r="R71" i="56"/>
  <c r="O62" i="56"/>
  <c r="AB48" i="56"/>
  <c r="AD52" i="56"/>
  <c r="Z56" i="56"/>
  <c r="S51" i="56"/>
  <c r="S48" i="56"/>
  <c r="V53" i="56"/>
  <c r="AB43" i="56"/>
  <c r="Q46" i="56"/>
  <c r="AE48" i="56"/>
  <c r="T51" i="56"/>
  <c r="I54" i="56"/>
  <c r="P43" i="56"/>
  <c r="T55" i="56"/>
  <c r="R45" i="56"/>
  <c r="AF47" i="56"/>
  <c r="U50" i="56"/>
  <c r="J53" i="56"/>
  <c r="X55" i="56"/>
  <c r="AB47" i="56"/>
  <c r="X43" i="56"/>
  <c r="M46" i="56"/>
  <c r="AA48" i="56"/>
  <c r="P51" i="56"/>
  <c r="AD53" i="56"/>
  <c r="S56" i="56"/>
  <c r="N70" i="56"/>
  <c r="V68" i="56"/>
  <c r="X66" i="56"/>
  <c r="AE64" i="56"/>
  <c r="M63" i="56"/>
  <c r="Q59" i="56"/>
  <c r="Y52" i="56"/>
  <c r="AD44" i="56"/>
  <c r="L71" i="56"/>
  <c r="P70" i="56"/>
  <c r="S69" i="56"/>
  <c r="W68" i="56"/>
  <c r="AA67" i="56"/>
  <c r="AD66" i="56"/>
  <c r="I66" i="56"/>
  <c r="M65" i="56"/>
  <c r="P64" i="56"/>
  <c r="T63" i="56"/>
  <c r="X62" i="56"/>
  <c r="AB60" i="56"/>
  <c r="N58" i="56"/>
  <c r="N55" i="56"/>
  <c r="Z50" i="56"/>
  <c r="P45" i="56"/>
  <c r="W69" i="56"/>
  <c r="R66" i="56"/>
  <c r="H63" i="56"/>
  <c r="I56" i="56"/>
  <c r="AE71" i="56"/>
  <c r="I71" i="56"/>
  <c r="M70" i="56"/>
  <c r="Q69" i="56"/>
  <c r="T68" i="56"/>
  <c r="AB66" i="56"/>
  <c r="AD64" i="56"/>
  <c r="AC59" i="56"/>
  <c r="AF71" i="56"/>
  <c r="AC71" i="56"/>
  <c r="S68" i="56"/>
  <c r="I65" i="56"/>
  <c r="P60" i="56"/>
  <c r="I44" i="56"/>
  <c r="T69" i="56"/>
  <c r="AE66" i="56"/>
  <c r="V63" i="56"/>
  <c r="S58" i="56"/>
  <c r="J51" i="56"/>
  <c r="AA60" i="56"/>
  <c r="M55" i="56"/>
  <c r="M45" i="56"/>
  <c r="H58" i="56"/>
  <c r="O50" i="56"/>
  <c r="L53" i="56"/>
  <c r="P46" i="56"/>
  <c r="P44" i="56"/>
  <c r="J68" i="56"/>
  <c r="M67" i="56"/>
  <c r="Q66" i="56"/>
  <c r="U65" i="56"/>
  <c r="X64" i="56"/>
  <c r="AB63" i="56"/>
  <c r="AF62" i="56"/>
  <c r="AA61" i="56"/>
  <c r="M59" i="56"/>
  <c r="X56" i="56"/>
  <c r="R52" i="56"/>
  <c r="AD47" i="56"/>
  <c r="K71" i="56"/>
  <c r="P68" i="56"/>
  <c r="K65" i="56"/>
  <c r="H60" i="56"/>
  <c r="X71" i="56"/>
  <c r="AB70" i="56"/>
  <c r="AE69" i="56"/>
  <c r="J69" i="56"/>
  <c r="N68" i="56"/>
  <c r="Q67" i="56"/>
  <c r="U66" i="56"/>
  <c r="Y65" i="56"/>
  <c r="AB64" i="56"/>
  <c r="AF63" i="56"/>
  <c r="K63" i="56"/>
  <c r="N62" i="56"/>
  <c r="Y59" i="56"/>
  <c r="K57" i="56"/>
  <c r="O53" i="56"/>
  <c r="Z48" i="56"/>
  <c r="AD71" i="56"/>
  <c r="N71" i="56"/>
  <c r="W70" i="56"/>
  <c r="AF69" i="56"/>
  <c r="P69" i="56"/>
  <c r="Y68" i="56"/>
  <c r="I68" i="56"/>
  <c r="R67" i="56"/>
  <c r="AA66" i="56"/>
  <c r="K66" i="56"/>
  <c r="T65" i="56"/>
  <c r="Y64" i="56"/>
  <c r="R63" i="56"/>
  <c r="K62" i="56"/>
  <c r="AC60" i="56"/>
  <c r="V59" i="56"/>
  <c r="O58" i="56"/>
  <c r="H57" i="56"/>
  <c r="Q55" i="56"/>
  <c r="I53" i="56"/>
  <c r="AA50" i="56"/>
  <c r="U48" i="56"/>
  <c r="S45" i="56"/>
  <c r="AD61" i="56"/>
  <c r="W60" i="56"/>
  <c r="P59" i="56"/>
  <c r="I58" i="56"/>
  <c r="AA56" i="56"/>
  <c r="AE54" i="56"/>
  <c r="X52" i="56"/>
  <c r="P50" i="56"/>
  <c r="J48" i="56"/>
  <c r="AB44" i="56"/>
  <c r="Y61" i="56"/>
  <c r="R60" i="56"/>
  <c r="K59" i="56"/>
  <c r="AC57" i="56"/>
  <c r="V56" i="56"/>
  <c r="V54" i="56"/>
  <c r="N52" i="56"/>
  <c r="H50" i="56"/>
  <c r="Y47" i="56"/>
  <c r="N44" i="56"/>
  <c r="X54" i="56"/>
  <c r="AF52" i="56"/>
  <c r="N51" i="56"/>
  <c r="U49" i="56"/>
  <c r="AC47" i="56"/>
  <c r="K46" i="56"/>
  <c r="R44" i="56"/>
  <c r="U47" i="56"/>
  <c r="AB45" i="56"/>
  <c r="J44" i="56"/>
  <c r="AC67" i="56"/>
  <c r="H67" i="56"/>
  <c r="L66" i="56"/>
  <c r="O65" i="56"/>
  <c r="S64" i="56"/>
  <c r="W63" i="56"/>
  <c r="Z62" i="56"/>
  <c r="K61" i="56"/>
  <c r="V58" i="56"/>
  <c r="AC55" i="56"/>
  <c r="O51" i="56"/>
  <c r="L46" i="56"/>
  <c r="T70" i="56"/>
  <c r="Y67" i="56"/>
  <c r="O64" i="56"/>
  <c r="S57" i="56"/>
  <c r="S71" i="56"/>
  <c r="V70" i="56"/>
  <c r="Z69" i="56"/>
  <c r="AD68" i="56"/>
  <c r="H68" i="56"/>
  <c r="L67" i="56"/>
  <c r="P66" i="56"/>
  <c r="S65" i="56"/>
  <c r="W64" i="56"/>
  <c r="AA63" i="56"/>
  <c r="AD62" i="56"/>
  <c r="W61" i="56"/>
  <c r="I59" i="56"/>
  <c r="T56" i="56"/>
  <c r="L52" i="56"/>
  <c r="S47" i="56"/>
  <c r="Z71" i="56"/>
  <c r="J71" i="56"/>
  <c r="S70" i="56"/>
  <c r="AB69" i="56"/>
  <c r="L69" i="56"/>
  <c r="U68" i="56"/>
  <c r="AD67" i="56"/>
  <c r="N67" i="56"/>
  <c r="W66" i="56"/>
  <c r="AF65" i="56"/>
  <c r="P65" i="56"/>
  <c r="M64" i="56"/>
  <c r="AE62" i="56"/>
  <c r="X61" i="56"/>
  <c r="Q60" i="56"/>
  <c r="J59" i="56"/>
  <c r="AB57" i="56"/>
  <c r="U56" i="56"/>
  <c r="T54" i="56"/>
  <c r="M52" i="56"/>
  <c r="AE49" i="56"/>
  <c r="V47" i="56"/>
  <c r="L44" i="56"/>
  <c r="R61" i="56"/>
  <c r="K60" i="56"/>
  <c r="AC58" i="56"/>
  <c r="V57" i="56"/>
  <c r="M56" i="56"/>
  <c r="J54" i="56"/>
  <c r="AA51" i="56"/>
  <c r="T49" i="56"/>
  <c r="AE46" i="56"/>
  <c r="U43" i="56"/>
  <c r="M61" i="56"/>
  <c r="AE59" i="56"/>
  <c r="X58" i="56"/>
  <c r="Q57" i="56"/>
  <c r="AE55" i="56"/>
  <c r="Y53" i="56"/>
  <c r="R51" i="56"/>
  <c r="L49" i="56"/>
  <c r="R46" i="56"/>
  <c r="Z55" i="56"/>
  <c r="H54" i="56"/>
  <c r="P52" i="56"/>
  <c r="W50" i="56"/>
  <c r="AD48" i="56"/>
  <c r="M47" i="56"/>
  <c r="T45" i="56"/>
  <c r="AA43" i="56"/>
  <c r="AD46" i="56"/>
  <c r="L45" i="56"/>
  <c r="S43" i="56"/>
  <c r="J65" i="56"/>
  <c r="N64" i="56"/>
  <c r="Q63" i="56"/>
  <c r="U62" i="56"/>
  <c r="T60" i="56"/>
  <c r="AE57" i="56"/>
  <c r="Z54" i="56"/>
  <c r="K50" i="56"/>
  <c r="T44" i="56"/>
  <c r="AC69" i="56"/>
  <c r="AC66" i="56"/>
  <c r="S63" i="56"/>
  <c r="AC53" i="56"/>
  <c r="M71" i="56"/>
  <c r="Q70" i="56"/>
  <c r="U69" i="56"/>
  <c r="X68" i="56"/>
  <c r="AB67" i="56"/>
  <c r="AF66" i="56"/>
  <c r="J66" i="56"/>
  <c r="N65" i="56"/>
  <c r="R64" i="56"/>
  <c r="U63" i="56"/>
  <c r="Y62" i="56"/>
  <c r="AF60" i="56"/>
  <c r="R58" i="56"/>
  <c r="V55" i="56"/>
  <c r="AF50" i="56"/>
  <c r="AA45" i="56"/>
  <c r="V71" i="56"/>
  <c r="AE70" i="56"/>
  <c r="O70" i="56"/>
  <c r="X69" i="56"/>
  <c r="H69" i="56"/>
  <c r="Q68" i="56"/>
  <c r="Z67" i="56"/>
  <c r="J67" i="56"/>
  <c r="S66" i="56"/>
  <c r="AB65" i="56"/>
  <c r="H65" i="56"/>
  <c r="I64" i="56"/>
  <c r="AA62" i="56"/>
  <c r="T61" i="56"/>
  <c r="M60" i="56"/>
  <c r="AE58" i="56"/>
  <c r="X57" i="56"/>
  <c r="P56" i="56"/>
  <c r="L54" i="56"/>
  <c r="AE51" i="56"/>
  <c r="X49" i="56"/>
  <c r="K47" i="56"/>
  <c r="Z43" i="56"/>
  <c r="N61" i="56"/>
  <c r="AF59" i="56"/>
  <c r="Y58" i="56"/>
  <c r="R57" i="56"/>
  <c r="H56" i="56"/>
  <c r="AA53" i="56"/>
  <c r="U51" i="56"/>
  <c r="M49" i="56"/>
  <c r="T46" i="56"/>
  <c r="J43" i="56"/>
  <c r="I61" i="56"/>
  <c r="AA59" i="56"/>
  <c r="T58" i="56"/>
  <c r="M57" i="56"/>
  <c r="Y55" i="56"/>
  <c r="S53" i="56"/>
  <c r="K51" i="56"/>
  <c r="AC48" i="56"/>
  <c r="AF45" i="56"/>
  <c r="U55" i="56"/>
  <c r="AB53" i="56"/>
  <c r="J52" i="56"/>
  <c r="R50" i="56"/>
  <c r="Y48" i="56"/>
  <c r="AF46" i="56"/>
  <c r="O45" i="56"/>
  <c r="V43" i="56"/>
  <c r="X46" i="56"/>
  <c r="AF44" i="56"/>
  <c r="N43" i="56"/>
  <c r="L65" i="56"/>
  <c r="U64" i="56"/>
  <c r="AD63" i="56"/>
  <c r="N63" i="56"/>
  <c r="W62" i="56"/>
  <c r="AF61" i="56"/>
  <c r="P61" i="56"/>
  <c r="Y60" i="56"/>
  <c r="I60" i="56"/>
  <c r="R59" i="56"/>
  <c r="AA58" i="56"/>
  <c r="K58" i="56"/>
  <c r="T57" i="56"/>
  <c r="AC56" i="56"/>
  <c r="J56" i="56"/>
  <c r="I55" i="56"/>
  <c r="AE53" i="56"/>
  <c r="AB52" i="56"/>
  <c r="W51" i="56"/>
  <c r="T50" i="56"/>
  <c r="Q49" i="56"/>
  <c r="M48" i="56"/>
  <c r="Z46" i="56"/>
  <c r="H45" i="56"/>
  <c r="O43" i="56"/>
  <c r="Z61" i="56"/>
  <c r="J61" i="56"/>
  <c r="S60" i="56"/>
  <c r="AB59" i="56"/>
  <c r="L59" i="56"/>
  <c r="U58" i="56"/>
  <c r="AD57" i="56"/>
  <c r="N57" i="56"/>
  <c r="W56" i="56"/>
  <c r="AA55" i="56"/>
  <c r="W54" i="56"/>
  <c r="T53" i="56"/>
  <c r="Q52" i="56"/>
  <c r="M51" i="56"/>
  <c r="J50" i="56"/>
  <c r="AF48" i="56"/>
  <c r="AA47" i="56"/>
  <c r="J46" i="56"/>
  <c r="Q44" i="56"/>
  <c r="L62" i="56"/>
  <c r="U61" i="56"/>
  <c r="AD60" i="56"/>
  <c r="N60" i="56"/>
  <c r="W59" i="56"/>
  <c r="AF58" i="56"/>
  <c r="P58" i="56"/>
  <c r="Y57" i="56"/>
  <c r="I57" i="56"/>
  <c r="Q56" i="56"/>
  <c r="R55" i="56"/>
  <c r="O54" i="56"/>
  <c r="K53" i="56"/>
  <c r="H52" i="56"/>
  <c r="AD50" i="56"/>
  <c r="Y49" i="56"/>
  <c r="V48" i="56"/>
  <c r="N47" i="56"/>
  <c r="U45" i="56"/>
  <c r="AC43" i="56"/>
  <c r="O55" i="56"/>
  <c r="S54" i="56"/>
  <c r="W53" i="56"/>
  <c r="Z52" i="56"/>
  <c r="AD51" i="56"/>
  <c r="I51" i="56"/>
  <c r="L50" i="56"/>
  <c r="P49" i="56"/>
  <c r="T48" i="56"/>
  <c r="W47" i="56"/>
  <c r="AA46" i="56"/>
  <c r="AE45" i="56"/>
  <c r="I45" i="56"/>
  <c r="M44" i="56"/>
  <c r="Q43" i="56"/>
  <c r="O47" i="56"/>
  <c r="S46" i="56"/>
  <c r="W45" i="56"/>
  <c r="Z44" i="56"/>
  <c r="AD43" i="56"/>
  <c r="I43" i="56"/>
  <c r="Q64" i="56"/>
  <c r="Z63" i="56"/>
  <c r="J63" i="56"/>
  <c r="S62" i="56"/>
  <c r="AB61" i="56"/>
  <c r="L61" i="56"/>
  <c r="U60" i="56"/>
  <c r="AD59" i="56"/>
  <c r="N59" i="56"/>
  <c r="W58" i="56"/>
  <c r="AF57" i="56"/>
  <c r="P57" i="56"/>
  <c r="Y56" i="56"/>
  <c r="AD55" i="56"/>
  <c r="AA54" i="56"/>
  <c r="X53" i="56"/>
  <c r="T52" i="56"/>
  <c r="Q51" i="56"/>
  <c r="N50" i="56"/>
  <c r="I49" i="56"/>
  <c r="AE47" i="56"/>
  <c r="O46" i="56"/>
  <c r="V44" i="56"/>
  <c r="M62" i="56"/>
  <c r="V61" i="56"/>
  <c r="AE60" i="56"/>
  <c r="O60" i="56"/>
  <c r="X59" i="56"/>
  <c r="H59" i="56"/>
  <c r="Q58" i="56"/>
  <c r="Z57" i="56"/>
  <c r="J57" i="56"/>
  <c r="R56" i="56"/>
  <c r="S55" i="56"/>
  <c r="P54" i="56"/>
  <c r="M53" i="56"/>
  <c r="I52" i="56"/>
  <c r="AE50" i="56"/>
  <c r="AB49" i="56"/>
  <c r="X48" i="56"/>
  <c r="Q47" i="56"/>
  <c r="X45" i="56"/>
  <c r="AE43" i="56"/>
  <c r="H62" i="56"/>
  <c r="Q61" i="56"/>
  <c r="Z60" i="56"/>
  <c r="J60" i="56"/>
  <c r="S59" i="56"/>
  <c r="AB58" i="56"/>
  <c r="L58" i="56"/>
  <c r="U57" i="56"/>
  <c r="AD56" i="56"/>
  <c r="L56" i="56"/>
  <c r="K55" i="56"/>
  <c r="AF53" i="56"/>
  <c r="AC52" i="56"/>
  <c r="Z51" i="56"/>
  <c r="V50" i="56"/>
  <c r="S49" i="56"/>
  <c r="P48" i="56"/>
  <c r="AB46" i="56"/>
  <c r="K45" i="56"/>
  <c r="R43" i="56"/>
  <c r="J55" i="56"/>
  <c r="N54" i="56"/>
  <c r="Q53" i="56"/>
  <c r="U52" i="56"/>
  <c r="Y51" i="56"/>
  <c r="AB50" i="56"/>
  <c r="AF49" i="56"/>
  <c r="K49" i="56"/>
  <c r="N48" i="56"/>
  <c r="R47" i="56"/>
  <c r="V46" i="56"/>
  <c r="Y45" i="56"/>
  <c r="AC44" i="56"/>
  <c r="H44" i="56"/>
  <c r="K43" i="56"/>
  <c r="J47" i="56"/>
  <c r="N46" i="56"/>
  <c r="Q45" i="56"/>
  <c r="U44" i="56"/>
  <c r="Y43" i="56"/>
  <c r="G33" i="41"/>
  <c r="H33" i="41"/>
  <c r="I33" i="41"/>
  <c r="J33" i="41"/>
  <c r="K33" i="41"/>
  <c r="L33" i="41"/>
  <c r="M33" i="41"/>
  <c r="N33" i="41"/>
  <c r="O33" i="41"/>
  <c r="P33" i="41"/>
  <c r="G34" i="41"/>
  <c r="H34" i="41"/>
  <c r="I34" i="41"/>
  <c r="J34" i="41"/>
  <c r="K34" i="41"/>
  <c r="L34" i="41"/>
  <c r="M34" i="41"/>
  <c r="N34" i="41"/>
  <c r="O34" i="41"/>
  <c r="P34" i="41"/>
  <c r="G35" i="41"/>
  <c r="H35" i="41"/>
  <c r="I35" i="41"/>
  <c r="J35" i="41"/>
  <c r="K35" i="41"/>
  <c r="L35" i="41"/>
  <c r="M35" i="41"/>
  <c r="N35" i="41"/>
  <c r="O35" i="41"/>
  <c r="P35" i="41"/>
  <c r="G39" i="41"/>
  <c r="H39" i="41"/>
  <c r="I39" i="41"/>
  <c r="J39" i="41"/>
  <c r="K39" i="41"/>
  <c r="L39" i="41"/>
  <c r="M39" i="41"/>
  <c r="N39" i="41"/>
  <c r="O39" i="41"/>
  <c r="P39" i="41"/>
  <c r="G40" i="41"/>
  <c r="H40" i="41"/>
  <c r="I40" i="41"/>
  <c r="J40" i="41"/>
  <c r="K40" i="41"/>
  <c r="L40" i="41"/>
  <c r="M40" i="41"/>
  <c r="N40" i="41"/>
  <c r="O40" i="41"/>
  <c r="P40" i="41"/>
  <c r="G41" i="41"/>
  <c r="H41" i="41"/>
  <c r="I41" i="41"/>
  <c r="J41" i="41"/>
  <c r="K41" i="41"/>
  <c r="L41" i="41"/>
  <c r="M41" i="41"/>
  <c r="N41" i="41"/>
  <c r="O41" i="41"/>
  <c r="P41" i="41"/>
  <c r="R39" i="41"/>
  <c r="S39" i="41"/>
  <c r="T39" i="41"/>
  <c r="U39" i="41"/>
  <c r="V39" i="41"/>
  <c r="W39" i="41"/>
  <c r="X39" i="41"/>
  <c r="Y39" i="41"/>
  <c r="Z39" i="41"/>
  <c r="AA39" i="41"/>
  <c r="AB39" i="41"/>
  <c r="AC39" i="41"/>
  <c r="AD39" i="41"/>
  <c r="AE39" i="41"/>
  <c r="AF39" i="41"/>
  <c r="R40" i="41"/>
  <c r="S40" i="41"/>
  <c r="T40" i="41"/>
  <c r="U40" i="41"/>
  <c r="V40" i="41"/>
  <c r="W40" i="41"/>
  <c r="X40" i="41"/>
  <c r="Y40" i="41"/>
  <c r="Z40" i="41"/>
  <c r="AA40" i="41"/>
  <c r="AB40" i="41"/>
  <c r="AC40" i="41"/>
  <c r="AD40" i="41"/>
  <c r="AE40" i="41"/>
  <c r="AF40" i="41"/>
  <c r="R41" i="41"/>
  <c r="S41" i="41"/>
  <c r="T41" i="41"/>
  <c r="U41" i="41"/>
  <c r="V41" i="41"/>
  <c r="W41" i="41"/>
  <c r="X41" i="41"/>
  <c r="Y41" i="41"/>
  <c r="Z41" i="41"/>
  <c r="AA41" i="41"/>
  <c r="AB41" i="41"/>
  <c r="AC41" i="41"/>
  <c r="AD41" i="41"/>
  <c r="AE41" i="41"/>
  <c r="AF41" i="41"/>
  <c r="Q41" i="41"/>
  <c r="Q40" i="41"/>
  <c r="Q39" i="41"/>
  <c r="R33" i="41"/>
  <c r="S33" i="41"/>
  <c r="T33" i="41"/>
  <c r="U33" i="41"/>
  <c r="V33" i="41"/>
  <c r="W33" i="41"/>
  <c r="X33" i="41"/>
  <c r="Y33" i="41"/>
  <c r="Z33" i="41"/>
  <c r="AA33" i="41"/>
  <c r="AB33" i="41"/>
  <c r="AC33" i="41"/>
  <c r="AD33" i="41"/>
  <c r="AE33" i="41"/>
  <c r="AF33" i="41"/>
  <c r="R34" i="41"/>
  <c r="S34" i="41"/>
  <c r="T34" i="41"/>
  <c r="U34" i="41"/>
  <c r="V34" i="41"/>
  <c r="W34" i="41"/>
  <c r="X34" i="41"/>
  <c r="Y34" i="41"/>
  <c r="Z34" i="41"/>
  <c r="AA34" i="41"/>
  <c r="AB34" i="41"/>
  <c r="AC34" i="41"/>
  <c r="AD34" i="41"/>
  <c r="AE34" i="41"/>
  <c r="AF34" i="41"/>
  <c r="R35" i="41"/>
  <c r="S35" i="41"/>
  <c r="T35" i="41"/>
  <c r="U35" i="41"/>
  <c r="V35" i="41"/>
  <c r="W35" i="41"/>
  <c r="X35" i="41"/>
  <c r="Y35" i="41"/>
  <c r="Z35" i="41"/>
  <c r="AA35" i="41"/>
  <c r="AB35" i="41"/>
  <c r="AC35" i="41"/>
  <c r="AD35" i="41"/>
  <c r="AE35" i="41"/>
  <c r="AF35" i="41"/>
  <c r="Q35" i="41"/>
  <c r="Q34" i="41"/>
  <c r="Q33" i="41"/>
  <c r="I26" i="41"/>
  <c r="J26" i="41"/>
  <c r="K26" i="41"/>
  <c r="L26" i="41"/>
  <c r="M26" i="41"/>
  <c r="N26" i="41"/>
  <c r="O26" i="41"/>
  <c r="P26" i="41"/>
  <c r="Q26" i="41"/>
  <c r="R26" i="41"/>
  <c r="S26" i="41"/>
  <c r="T26" i="41"/>
  <c r="U26" i="41"/>
  <c r="V26" i="41"/>
  <c r="W26" i="41"/>
  <c r="X26" i="41"/>
  <c r="Y26" i="41"/>
  <c r="Z26" i="41"/>
  <c r="AA26" i="41"/>
  <c r="AB26" i="41"/>
  <c r="AC26" i="41"/>
  <c r="AD26" i="41"/>
  <c r="AE26" i="41"/>
  <c r="AF26" i="41"/>
  <c r="I27" i="41"/>
  <c r="J27" i="41"/>
  <c r="K27" i="41"/>
  <c r="L27" i="41"/>
  <c r="M27" i="41"/>
  <c r="N27" i="41"/>
  <c r="O27" i="41"/>
  <c r="P27" i="41"/>
  <c r="Q27" i="41"/>
  <c r="R27" i="41"/>
  <c r="S27" i="41"/>
  <c r="T27" i="41"/>
  <c r="U27" i="41"/>
  <c r="V27" i="41"/>
  <c r="W27" i="41"/>
  <c r="X27" i="41"/>
  <c r="Y27" i="41"/>
  <c r="Z27" i="41"/>
  <c r="AA27" i="41"/>
  <c r="AB27" i="41"/>
  <c r="AC27" i="41"/>
  <c r="AD27" i="41"/>
  <c r="AE27" i="41"/>
  <c r="AF27" i="41"/>
  <c r="I28" i="41"/>
  <c r="J28" i="41"/>
  <c r="K28" i="41"/>
  <c r="L28" i="41"/>
  <c r="M28" i="41"/>
  <c r="N28" i="41"/>
  <c r="O28" i="41"/>
  <c r="P28" i="41"/>
  <c r="Q28" i="41"/>
  <c r="R28" i="41"/>
  <c r="S28" i="41"/>
  <c r="T28" i="41"/>
  <c r="U28" i="41"/>
  <c r="V28" i="41"/>
  <c r="W28" i="41"/>
  <c r="X28" i="41"/>
  <c r="Y28" i="41"/>
  <c r="Z28" i="41"/>
  <c r="AA28" i="41"/>
  <c r="AB28" i="41"/>
  <c r="AC28" i="41"/>
  <c r="AD28" i="41"/>
  <c r="AE28" i="41"/>
  <c r="AF28" i="41"/>
  <c r="I29" i="41"/>
  <c r="J29" i="41"/>
  <c r="K29" i="41"/>
  <c r="L29" i="41"/>
  <c r="M29" i="41"/>
  <c r="N29" i="41"/>
  <c r="O29" i="41"/>
  <c r="P29" i="41"/>
  <c r="Q29" i="41"/>
  <c r="R29" i="41"/>
  <c r="S29" i="41"/>
  <c r="T29" i="41"/>
  <c r="U29" i="41"/>
  <c r="V29" i="41"/>
  <c r="W29" i="41"/>
  <c r="X29" i="41"/>
  <c r="Y29" i="41"/>
  <c r="Z29" i="41"/>
  <c r="AA29" i="41"/>
  <c r="AB29" i="41"/>
  <c r="AC29" i="41"/>
  <c r="AD29" i="41"/>
  <c r="AE29" i="41"/>
  <c r="AF29" i="41"/>
  <c r="H27" i="41"/>
  <c r="H28" i="41"/>
  <c r="H29" i="41"/>
  <c r="H26" i="41"/>
  <c r="H19" i="41"/>
  <c r="I19" i="41"/>
  <c r="J19" i="41"/>
  <c r="K19" i="41"/>
  <c r="L19" i="41"/>
  <c r="M19" i="41"/>
  <c r="N19" i="41"/>
  <c r="O19" i="41"/>
  <c r="P19" i="41"/>
  <c r="H20" i="41"/>
  <c r="I20" i="41"/>
  <c r="J20" i="41"/>
  <c r="K20" i="41"/>
  <c r="L20" i="41"/>
  <c r="M20" i="41"/>
  <c r="N20" i="41"/>
  <c r="O20" i="41"/>
  <c r="P20" i="41"/>
  <c r="H21" i="41"/>
  <c r="I21" i="41"/>
  <c r="J21" i="41"/>
  <c r="K21" i="41"/>
  <c r="L21" i="41"/>
  <c r="M21" i="41"/>
  <c r="N21" i="41"/>
  <c r="O21" i="41"/>
  <c r="P21" i="41"/>
  <c r="H22" i="41"/>
  <c r="I22" i="41"/>
  <c r="J22" i="41"/>
  <c r="K22" i="41"/>
  <c r="L22" i="41"/>
  <c r="M22" i="41"/>
  <c r="N22" i="41"/>
  <c r="O22" i="41"/>
  <c r="P22" i="41"/>
  <c r="H23" i="41"/>
  <c r="I23" i="41"/>
  <c r="J23" i="41"/>
  <c r="K23" i="41"/>
  <c r="L23" i="41"/>
  <c r="M23" i="41"/>
  <c r="N23" i="41"/>
  <c r="O23" i="41"/>
  <c r="P23" i="41"/>
  <c r="R19" i="41"/>
  <c r="S19" i="41"/>
  <c r="T19" i="41"/>
  <c r="U19" i="41"/>
  <c r="V19" i="41"/>
  <c r="W19" i="41"/>
  <c r="X19" i="41"/>
  <c r="Y19" i="41"/>
  <c r="Z19" i="41"/>
  <c r="AA19" i="41"/>
  <c r="AB19" i="41"/>
  <c r="AC19" i="41"/>
  <c r="AD19" i="41"/>
  <c r="AE19" i="41"/>
  <c r="AF19" i="41"/>
  <c r="R20" i="41"/>
  <c r="S20" i="41"/>
  <c r="T20" i="41"/>
  <c r="U20" i="41"/>
  <c r="V20" i="41"/>
  <c r="W20" i="41"/>
  <c r="X20" i="41"/>
  <c r="Y20" i="41"/>
  <c r="Z20" i="41"/>
  <c r="AA20" i="41"/>
  <c r="AB20" i="41"/>
  <c r="AC20" i="41"/>
  <c r="AD20" i="41"/>
  <c r="AE20" i="41"/>
  <c r="AF20" i="41"/>
  <c r="R21" i="41"/>
  <c r="S21" i="41"/>
  <c r="T21" i="41"/>
  <c r="U21" i="41"/>
  <c r="V21" i="41"/>
  <c r="W21" i="41"/>
  <c r="X21" i="41"/>
  <c r="Y21" i="41"/>
  <c r="Z21" i="41"/>
  <c r="AA21" i="41"/>
  <c r="AB21" i="41"/>
  <c r="AC21" i="41"/>
  <c r="AD21" i="41"/>
  <c r="AE21" i="41"/>
  <c r="AF21" i="41"/>
  <c r="R22" i="41"/>
  <c r="S22" i="41"/>
  <c r="T22" i="41"/>
  <c r="U22" i="41"/>
  <c r="V22" i="41"/>
  <c r="W22" i="41"/>
  <c r="X22" i="41"/>
  <c r="Y22" i="41"/>
  <c r="Z22" i="41"/>
  <c r="AA22" i="41"/>
  <c r="AB22" i="41"/>
  <c r="AC22" i="41"/>
  <c r="AD22" i="41"/>
  <c r="AE22" i="41"/>
  <c r="AF22" i="41"/>
  <c r="R23" i="41"/>
  <c r="S23" i="41"/>
  <c r="T23" i="41"/>
  <c r="U23" i="41"/>
  <c r="V23" i="41"/>
  <c r="W23" i="41"/>
  <c r="X23" i="41"/>
  <c r="Y23" i="41"/>
  <c r="Z23" i="41"/>
  <c r="AA23" i="41"/>
  <c r="AB23" i="41"/>
  <c r="AC23" i="41"/>
  <c r="AD23" i="41"/>
  <c r="AE23" i="41"/>
  <c r="AF23" i="41"/>
  <c r="Q20" i="41"/>
  <c r="Q21" i="41"/>
  <c r="Q22" i="41"/>
  <c r="Q23" i="41"/>
  <c r="Q19" i="41"/>
  <c r="I13" i="41"/>
  <c r="J13" i="41"/>
  <c r="K13" i="41"/>
  <c r="L13" i="41"/>
  <c r="M13" i="41"/>
  <c r="N13" i="41"/>
  <c r="O13" i="41"/>
  <c r="P13" i="41"/>
  <c r="Q13" i="41"/>
  <c r="R13" i="41"/>
  <c r="S13" i="41"/>
  <c r="T13" i="41"/>
  <c r="U13" i="41"/>
  <c r="V13" i="41"/>
  <c r="W13" i="41"/>
  <c r="X13" i="41"/>
  <c r="Y13" i="41"/>
  <c r="Z13" i="41"/>
  <c r="AA13" i="41"/>
  <c r="AB13" i="41"/>
  <c r="AC13" i="41"/>
  <c r="AD13" i="41"/>
  <c r="AE13" i="41"/>
  <c r="AF13" i="41"/>
  <c r="I14" i="41"/>
  <c r="J14" i="41"/>
  <c r="K14" i="41"/>
  <c r="L14" i="41"/>
  <c r="M14" i="41"/>
  <c r="N14" i="41"/>
  <c r="O14" i="41"/>
  <c r="P14" i="41"/>
  <c r="Q14" i="41"/>
  <c r="R14" i="41"/>
  <c r="S14" i="41"/>
  <c r="T14" i="41"/>
  <c r="U14" i="41"/>
  <c r="V14" i="41"/>
  <c r="W14" i="41"/>
  <c r="X14" i="41"/>
  <c r="Y14" i="41"/>
  <c r="Z14" i="41"/>
  <c r="AA14" i="41"/>
  <c r="AB14" i="41"/>
  <c r="AC14" i="41"/>
  <c r="AD14" i="41"/>
  <c r="AE14" i="41"/>
  <c r="AF14" i="41"/>
  <c r="I15" i="41"/>
  <c r="J15" i="41"/>
  <c r="K15" i="41"/>
  <c r="L15" i="41"/>
  <c r="M15" i="41"/>
  <c r="N15" i="41"/>
  <c r="O15" i="41"/>
  <c r="P15" i="41"/>
  <c r="Q15" i="41"/>
  <c r="R15" i="41"/>
  <c r="S15" i="41"/>
  <c r="T15" i="41"/>
  <c r="U15" i="41"/>
  <c r="V15" i="41"/>
  <c r="W15" i="41"/>
  <c r="X15" i="41"/>
  <c r="Y15" i="41"/>
  <c r="Z15" i="41"/>
  <c r="AA15" i="41"/>
  <c r="AB15" i="41"/>
  <c r="AC15" i="41"/>
  <c r="AD15" i="41"/>
  <c r="AE15" i="41"/>
  <c r="AF15" i="41"/>
  <c r="I16" i="41"/>
  <c r="J16" i="41"/>
  <c r="K16" i="41"/>
  <c r="L16" i="41"/>
  <c r="M16" i="41"/>
  <c r="N16" i="41"/>
  <c r="O16" i="41"/>
  <c r="P16" i="41"/>
  <c r="Q16" i="41"/>
  <c r="R16" i="41"/>
  <c r="S16" i="41"/>
  <c r="T16" i="41"/>
  <c r="U16" i="41"/>
  <c r="V16" i="41"/>
  <c r="W16" i="41"/>
  <c r="X16" i="41"/>
  <c r="Y16" i="41"/>
  <c r="Z16" i="41"/>
  <c r="AA16" i="41"/>
  <c r="AB16" i="41"/>
  <c r="AC16" i="41"/>
  <c r="AD16" i="41"/>
  <c r="AE16" i="41"/>
  <c r="AF16" i="41"/>
  <c r="H14" i="41"/>
  <c r="H15" i="41"/>
  <c r="H16" i="41"/>
  <c r="H13" i="41"/>
  <c r="H7" i="41"/>
  <c r="I7" i="41"/>
  <c r="J7" i="41"/>
  <c r="K7" i="41"/>
  <c r="L7" i="41"/>
  <c r="M7" i="41"/>
  <c r="N7" i="41"/>
  <c r="O7" i="41"/>
  <c r="P7" i="41"/>
  <c r="Q7" i="41"/>
  <c r="R7" i="41"/>
  <c r="S7" i="41"/>
  <c r="T7" i="41"/>
  <c r="U7" i="41"/>
  <c r="V7" i="41"/>
  <c r="W7" i="41"/>
  <c r="X7" i="41"/>
  <c r="Y7" i="41"/>
  <c r="Z7" i="41"/>
  <c r="AA7" i="41"/>
  <c r="AB7" i="41"/>
  <c r="AC7" i="41"/>
  <c r="AD7" i="41"/>
  <c r="AE7" i="41"/>
  <c r="AF7" i="41"/>
  <c r="H8" i="41"/>
  <c r="I8" i="41"/>
  <c r="J8" i="41"/>
  <c r="K8" i="41"/>
  <c r="L8" i="41"/>
  <c r="M8" i="41"/>
  <c r="N8" i="41"/>
  <c r="O8" i="41"/>
  <c r="P8" i="41"/>
  <c r="Q8" i="41"/>
  <c r="R8" i="41"/>
  <c r="S8" i="41"/>
  <c r="T8" i="41"/>
  <c r="U8" i="41"/>
  <c r="V8" i="41"/>
  <c r="W8" i="41"/>
  <c r="X8" i="41"/>
  <c r="Y8" i="41"/>
  <c r="Z8" i="41"/>
  <c r="AA8" i="41"/>
  <c r="AB8" i="41"/>
  <c r="AC8" i="41"/>
  <c r="AD8" i="41"/>
  <c r="AE8" i="41"/>
  <c r="AF8" i="41"/>
  <c r="H9" i="41"/>
  <c r="I9" i="41"/>
  <c r="J9" i="41"/>
  <c r="K9" i="41"/>
  <c r="L9" i="41"/>
  <c r="M9" i="41"/>
  <c r="N9" i="41"/>
  <c r="O9" i="41"/>
  <c r="P9" i="41"/>
  <c r="Q9" i="41"/>
  <c r="R9" i="41"/>
  <c r="S9" i="41"/>
  <c r="T9" i="41"/>
  <c r="U9" i="41"/>
  <c r="V9" i="41"/>
  <c r="W9" i="41"/>
  <c r="X9" i="41"/>
  <c r="Y9" i="41"/>
  <c r="Z9" i="41"/>
  <c r="AA9" i="41"/>
  <c r="AB9" i="41"/>
  <c r="AC9" i="41"/>
  <c r="AD9" i="41"/>
  <c r="AE9" i="41"/>
  <c r="AF9" i="41"/>
  <c r="H10" i="41"/>
  <c r="I10" i="41"/>
  <c r="J10" i="41"/>
  <c r="K10" i="41"/>
  <c r="L10" i="41"/>
  <c r="M10" i="41"/>
  <c r="N10" i="41"/>
  <c r="O10" i="41"/>
  <c r="P10" i="41"/>
  <c r="Q10" i="41"/>
  <c r="R10" i="41"/>
  <c r="S10" i="41"/>
  <c r="T10" i="41"/>
  <c r="U10" i="41"/>
  <c r="V10" i="41"/>
  <c r="W10" i="41"/>
  <c r="X10" i="41"/>
  <c r="Y10" i="41"/>
  <c r="Z10" i="41"/>
  <c r="AA10" i="41"/>
  <c r="AB10" i="41"/>
  <c r="AC10" i="41"/>
  <c r="AD10" i="41"/>
  <c r="AE10" i="41"/>
  <c r="AF10" i="41"/>
  <c r="G10" i="41"/>
  <c r="G9" i="41"/>
  <c r="G8" i="41"/>
  <c r="G7" i="41"/>
  <c r="G10" i="34" a="1"/>
  <c r="G11" i="34" s="1"/>
  <c r="AF113" i="39"/>
  <c r="AE113" i="39"/>
  <c r="AD113" i="39"/>
  <c r="AC113" i="39"/>
  <c r="AB113" i="39"/>
  <c r="AA113" i="39"/>
  <c r="Z113" i="39"/>
  <c r="Y113" i="39"/>
  <c r="X113" i="39"/>
  <c r="W113" i="39"/>
  <c r="V113" i="39"/>
  <c r="U113" i="39"/>
  <c r="T113" i="39"/>
  <c r="S113" i="39"/>
  <c r="R113" i="39"/>
  <c r="Q113" i="39"/>
  <c r="P113" i="39"/>
  <c r="O113" i="39"/>
  <c r="N113" i="39"/>
  <c r="M113" i="39"/>
  <c r="L113" i="39"/>
  <c r="K113" i="39"/>
  <c r="J113" i="39"/>
  <c r="I113" i="39"/>
  <c r="H113" i="39"/>
  <c r="G113" i="39"/>
  <c r="AF112" i="39"/>
  <c r="AE112" i="39"/>
  <c r="AD112" i="39"/>
  <c r="AC112" i="39"/>
  <c r="AB112" i="39"/>
  <c r="AA112" i="39"/>
  <c r="Z112" i="39"/>
  <c r="Y112" i="39"/>
  <c r="X112" i="39"/>
  <c r="W112" i="39"/>
  <c r="V112" i="39"/>
  <c r="U112" i="39"/>
  <c r="T112" i="39"/>
  <c r="S112" i="39"/>
  <c r="R112" i="39"/>
  <c r="Q112" i="39"/>
  <c r="P112" i="39"/>
  <c r="O112" i="39"/>
  <c r="N112" i="39"/>
  <c r="M112" i="39"/>
  <c r="L112" i="39"/>
  <c r="K112" i="39"/>
  <c r="J112" i="39"/>
  <c r="I112" i="39"/>
  <c r="H112" i="39"/>
  <c r="G112" i="39"/>
  <c r="AF111" i="39"/>
  <c r="AE111" i="39"/>
  <c r="AD111" i="39"/>
  <c r="AC111" i="39"/>
  <c r="AB111" i="39"/>
  <c r="AA111" i="39"/>
  <c r="Z111" i="39"/>
  <c r="Y111" i="39"/>
  <c r="X111" i="39"/>
  <c r="W111" i="39"/>
  <c r="V111" i="39"/>
  <c r="U111" i="39"/>
  <c r="T111" i="39"/>
  <c r="S111" i="39"/>
  <c r="R111" i="39"/>
  <c r="Q111" i="39"/>
  <c r="P111" i="39"/>
  <c r="O111" i="39"/>
  <c r="N111" i="39"/>
  <c r="M111" i="39"/>
  <c r="L111" i="39"/>
  <c r="K111" i="39"/>
  <c r="J111" i="39"/>
  <c r="I111" i="39"/>
  <c r="H111" i="39"/>
  <c r="G111" i="39"/>
  <c r="AF110" i="39"/>
  <c r="AE110" i="39"/>
  <c r="AD110" i="39"/>
  <c r="AC110" i="39"/>
  <c r="AB110" i="39"/>
  <c r="AA110" i="39"/>
  <c r="Z110" i="39"/>
  <c r="Y110" i="39"/>
  <c r="X110" i="39"/>
  <c r="W110" i="39"/>
  <c r="V110" i="39"/>
  <c r="U110" i="39"/>
  <c r="T110" i="39"/>
  <c r="S110" i="39"/>
  <c r="R110" i="39"/>
  <c r="Q110" i="39"/>
  <c r="P110" i="39"/>
  <c r="O110" i="39"/>
  <c r="N110" i="39"/>
  <c r="M110" i="39"/>
  <c r="L110" i="39"/>
  <c r="K110" i="39"/>
  <c r="J110" i="39"/>
  <c r="I110" i="39"/>
  <c r="H110" i="39"/>
  <c r="G110" i="39"/>
  <c r="AF109" i="39"/>
  <c r="AE109" i="39"/>
  <c r="AD109" i="39"/>
  <c r="AC109" i="39"/>
  <c r="AB109" i="39"/>
  <c r="AA109" i="39"/>
  <c r="Z109" i="39"/>
  <c r="Y109" i="39"/>
  <c r="X109" i="39"/>
  <c r="W109" i="39"/>
  <c r="V109" i="39"/>
  <c r="U109" i="39"/>
  <c r="T109" i="39"/>
  <c r="S109" i="39"/>
  <c r="R109" i="39"/>
  <c r="Q109" i="39"/>
  <c r="P109" i="39"/>
  <c r="O109" i="39"/>
  <c r="N109" i="39"/>
  <c r="M109" i="39"/>
  <c r="L109" i="39"/>
  <c r="K109" i="39"/>
  <c r="J109" i="39"/>
  <c r="I109" i="39"/>
  <c r="H109" i="39"/>
  <c r="G109" i="39"/>
  <c r="AF108" i="39"/>
  <c r="AE108" i="39"/>
  <c r="AD108" i="39"/>
  <c r="AC108" i="39"/>
  <c r="AB108" i="39"/>
  <c r="AA108" i="39"/>
  <c r="Z108" i="39"/>
  <c r="Y108" i="39"/>
  <c r="X108" i="39"/>
  <c r="W108" i="39"/>
  <c r="V108" i="39"/>
  <c r="U108" i="39"/>
  <c r="T108" i="39"/>
  <c r="S108" i="39"/>
  <c r="R108" i="39"/>
  <c r="Q108" i="39"/>
  <c r="P108" i="39"/>
  <c r="O108" i="39"/>
  <c r="N108" i="39"/>
  <c r="M108" i="39"/>
  <c r="L108" i="39"/>
  <c r="K108" i="39"/>
  <c r="J108" i="39"/>
  <c r="I108" i="39"/>
  <c r="H108" i="39"/>
  <c r="G108" i="39"/>
  <c r="AF105" i="39"/>
  <c r="AE105" i="39"/>
  <c r="AD105" i="39"/>
  <c r="AC105" i="39"/>
  <c r="AB105" i="39"/>
  <c r="AA105" i="39"/>
  <c r="Z105" i="39"/>
  <c r="Y105" i="39"/>
  <c r="X105" i="39"/>
  <c r="W105" i="39"/>
  <c r="V105" i="39"/>
  <c r="U105" i="39"/>
  <c r="T105" i="39"/>
  <c r="S105" i="39"/>
  <c r="R105" i="39"/>
  <c r="Q105" i="39"/>
  <c r="P105" i="39"/>
  <c r="O105" i="39"/>
  <c r="N105" i="39"/>
  <c r="M105" i="39"/>
  <c r="L105" i="39"/>
  <c r="K105" i="39"/>
  <c r="J105" i="39"/>
  <c r="I105" i="39"/>
  <c r="H105" i="39"/>
  <c r="G105" i="39"/>
  <c r="AF104" i="39"/>
  <c r="AE104" i="39"/>
  <c r="AD104" i="39"/>
  <c r="AC104" i="39"/>
  <c r="AB104" i="39"/>
  <c r="AA104" i="39"/>
  <c r="Z104" i="39"/>
  <c r="Y104" i="39"/>
  <c r="X104" i="39"/>
  <c r="W104" i="39"/>
  <c r="V104" i="39"/>
  <c r="U104" i="39"/>
  <c r="T104" i="39"/>
  <c r="S104" i="39"/>
  <c r="R104" i="39"/>
  <c r="Q104" i="39"/>
  <c r="P104" i="39"/>
  <c r="O104" i="39"/>
  <c r="N104" i="39"/>
  <c r="M104" i="39"/>
  <c r="L104" i="39"/>
  <c r="K104" i="39"/>
  <c r="J104" i="39"/>
  <c r="I104" i="39"/>
  <c r="H104" i="39"/>
  <c r="G104" i="39"/>
  <c r="AF103" i="39"/>
  <c r="AE103" i="39"/>
  <c r="AD103" i="39"/>
  <c r="AC103" i="39"/>
  <c r="AB103" i="39"/>
  <c r="AA103" i="39"/>
  <c r="Z103" i="39"/>
  <c r="Y103" i="39"/>
  <c r="X103" i="39"/>
  <c r="W103" i="39"/>
  <c r="V103" i="39"/>
  <c r="U103" i="39"/>
  <c r="T103" i="39"/>
  <c r="S103" i="39"/>
  <c r="R103" i="39"/>
  <c r="Q103" i="39"/>
  <c r="P103" i="39"/>
  <c r="O103" i="39"/>
  <c r="N103" i="39"/>
  <c r="M103" i="39"/>
  <c r="L103" i="39"/>
  <c r="K103" i="39"/>
  <c r="J103" i="39"/>
  <c r="I103" i="39"/>
  <c r="H103" i="39"/>
  <c r="G103" i="39"/>
  <c r="AF102" i="39"/>
  <c r="AE102" i="39"/>
  <c r="AD102" i="39"/>
  <c r="AC102" i="39"/>
  <c r="AB102" i="39"/>
  <c r="AA102" i="39"/>
  <c r="Z102" i="39"/>
  <c r="Y102" i="39"/>
  <c r="X102" i="39"/>
  <c r="W102" i="39"/>
  <c r="V102" i="39"/>
  <c r="U102" i="39"/>
  <c r="T102" i="39"/>
  <c r="S102" i="39"/>
  <c r="R102" i="39"/>
  <c r="Q102" i="39"/>
  <c r="P102" i="39"/>
  <c r="O102" i="39"/>
  <c r="N102" i="39"/>
  <c r="M102" i="39"/>
  <c r="L102" i="39"/>
  <c r="K102" i="39"/>
  <c r="J102" i="39"/>
  <c r="I102" i="39"/>
  <c r="H102" i="39"/>
  <c r="G102" i="39"/>
  <c r="AF101" i="39"/>
  <c r="AE101" i="39"/>
  <c r="AD101" i="39"/>
  <c r="AC101" i="39"/>
  <c r="AB101" i="39"/>
  <c r="AA101" i="39"/>
  <c r="Z101" i="39"/>
  <c r="Y101" i="39"/>
  <c r="X101" i="39"/>
  <c r="W101" i="39"/>
  <c r="V101" i="39"/>
  <c r="U101" i="39"/>
  <c r="T101" i="39"/>
  <c r="S101" i="39"/>
  <c r="R101" i="39"/>
  <c r="Q101" i="39"/>
  <c r="P101" i="39"/>
  <c r="O101" i="39"/>
  <c r="N101" i="39"/>
  <c r="M101" i="39"/>
  <c r="L101" i="39"/>
  <c r="K101" i="39"/>
  <c r="J101" i="39"/>
  <c r="I101" i="39"/>
  <c r="H101" i="39"/>
  <c r="G101" i="39"/>
  <c r="AF98" i="39"/>
  <c r="AE98" i="39"/>
  <c r="AD98" i="39"/>
  <c r="AC98" i="39"/>
  <c r="AB98" i="39"/>
  <c r="AA98" i="39"/>
  <c r="Z98" i="39"/>
  <c r="Y98" i="39"/>
  <c r="X98" i="39"/>
  <c r="W98" i="39"/>
  <c r="V98" i="39"/>
  <c r="U98" i="39"/>
  <c r="T98" i="39"/>
  <c r="S98" i="39"/>
  <c r="R98" i="39"/>
  <c r="Q98" i="39"/>
  <c r="P98" i="39"/>
  <c r="O98" i="39"/>
  <c r="N98" i="39"/>
  <c r="M98" i="39"/>
  <c r="L98" i="39"/>
  <c r="K98" i="39"/>
  <c r="J98" i="39"/>
  <c r="I98" i="39"/>
  <c r="H98" i="39"/>
  <c r="G98" i="39"/>
  <c r="AF97" i="39"/>
  <c r="AE97" i="39"/>
  <c r="AD97" i="39"/>
  <c r="AC97" i="39"/>
  <c r="AB97" i="39"/>
  <c r="AA97" i="39"/>
  <c r="Z97" i="39"/>
  <c r="Y97" i="39"/>
  <c r="X97" i="39"/>
  <c r="W97" i="39"/>
  <c r="V97" i="39"/>
  <c r="U97" i="39"/>
  <c r="T97" i="39"/>
  <c r="S97" i="39"/>
  <c r="R97" i="39"/>
  <c r="Q97" i="39"/>
  <c r="P97" i="39"/>
  <c r="O97" i="39"/>
  <c r="N97" i="39"/>
  <c r="M97" i="39"/>
  <c r="L97" i="39"/>
  <c r="K97" i="39"/>
  <c r="J97" i="39"/>
  <c r="I97" i="39"/>
  <c r="H97" i="39"/>
  <c r="G97" i="39"/>
  <c r="AF96" i="39"/>
  <c r="AE96" i="39"/>
  <c r="AD96" i="39"/>
  <c r="AC96" i="39"/>
  <c r="AB96" i="39"/>
  <c r="AA96" i="39"/>
  <c r="Z96" i="39"/>
  <c r="Y96" i="39"/>
  <c r="X96" i="39"/>
  <c r="W96" i="39"/>
  <c r="V96" i="39"/>
  <c r="U96" i="39"/>
  <c r="T96" i="39"/>
  <c r="S96" i="39"/>
  <c r="R96" i="39"/>
  <c r="Q96" i="39"/>
  <c r="P96" i="39"/>
  <c r="O96" i="39"/>
  <c r="N96" i="39"/>
  <c r="M96" i="39"/>
  <c r="L96" i="39"/>
  <c r="K96" i="39"/>
  <c r="J96" i="39"/>
  <c r="I96" i="39"/>
  <c r="H96" i="39"/>
  <c r="G96" i="39"/>
  <c r="AF95" i="39"/>
  <c r="AE95" i="39"/>
  <c r="AD95" i="39"/>
  <c r="AC95" i="39"/>
  <c r="AB95" i="39"/>
  <c r="AA95" i="39"/>
  <c r="Z95" i="39"/>
  <c r="Y95" i="39"/>
  <c r="X95" i="39"/>
  <c r="W95" i="39"/>
  <c r="V95" i="39"/>
  <c r="U95" i="39"/>
  <c r="T95" i="39"/>
  <c r="S95" i="39"/>
  <c r="R95" i="39"/>
  <c r="Q95" i="39"/>
  <c r="P95" i="39"/>
  <c r="O95" i="39"/>
  <c r="N95" i="39"/>
  <c r="M95" i="39"/>
  <c r="L95" i="39"/>
  <c r="K95" i="39"/>
  <c r="J95" i="39"/>
  <c r="I95" i="39"/>
  <c r="H95" i="39"/>
  <c r="G95" i="39"/>
  <c r="AF92" i="39"/>
  <c r="AE92" i="39"/>
  <c r="AD92" i="39"/>
  <c r="AC92" i="39"/>
  <c r="AB92" i="39"/>
  <c r="AA92" i="39"/>
  <c r="Z92" i="39"/>
  <c r="Y92" i="39"/>
  <c r="X92" i="39"/>
  <c r="W92" i="39"/>
  <c r="V92" i="39"/>
  <c r="U92" i="39"/>
  <c r="T92" i="39"/>
  <c r="S92" i="39"/>
  <c r="R92" i="39"/>
  <c r="Q92" i="39"/>
  <c r="P92" i="39"/>
  <c r="O92" i="39"/>
  <c r="N92" i="39"/>
  <c r="M92" i="39"/>
  <c r="L92" i="39"/>
  <c r="K92" i="39"/>
  <c r="J92" i="39"/>
  <c r="I92" i="39"/>
  <c r="H92" i="39"/>
  <c r="G92" i="39"/>
  <c r="AF91" i="39"/>
  <c r="AE91" i="39"/>
  <c r="AD91" i="39"/>
  <c r="AC91" i="39"/>
  <c r="AB91" i="39"/>
  <c r="AA91" i="39"/>
  <c r="Z91" i="39"/>
  <c r="Y91" i="39"/>
  <c r="X91" i="39"/>
  <c r="W91" i="39"/>
  <c r="V91" i="39"/>
  <c r="U91" i="39"/>
  <c r="T91" i="39"/>
  <c r="S91" i="39"/>
  <c r="R91" i="39"/>
  <c r="Q91" i="39"/>
  <c r="P91" i="39"/>
  <c r="O91" i="39"/>
  <c r="N91" i="39"/>
  <c r="M91" i="39"/>
  <c r="L91" i="39"/>
  <c r="K91" i="39"/>
  <c r="J91" i="39"/>
  <c r="I91" i="39"/>
  <c r="H91" i="39"/>
  <c r="G91" i="39"/>
  <c r="AF90" i="39"/>
  <c r="AE90" i="39"/>
  <c r="AD90" i="39"/>
  <c r="AC90" i="39"/>
  <c r="AB90" i="39"/>
  <c r="AA90" i="39"/>
  <c r="Z90" i="39"/>
  <c r="Y90" i="39"/>
  <c r="X90" i="39"/>
  <c r="W90" i="39"/>
  <c r="V90" i="39"/>
  <c r="U90" i="39"/>
  <c r="T90" i="39"/>
  <c r="S90" i="39"/>
  <c r="R90" i="39"/>
  <c r="Q90" i="39"/>
  <c r="P90" i="39"/>
  <c r="O90" i="39"/>
  <c r="N90" i="39"/>
  <c r="M90" i="39"/>
  <c r="L90" i="39"/>
  <c r="K90" i="39"/>
  <c r="J90" i="39"/>
  <c r="I90" i="39"/>
  <c r="H90" i="39"/>
  <c r="G90" i="39"/>
  <c r="AF89" i="39"/>
  <c r="AE89" i="39"/>
  <c r="AD89" i="39"/>
  <c r="AC89" i="39"/>
  <c r="AB89" i="39"/>
  <c r="AA89" i="39"/>
  <c r="Z89" i="39"/>
  <c r="Y89" i="39"/>
  <c r="X89" i="39"/>
  <c r="W89" i="39"/>
  <c r="V89" i="39"/>
  <c r="U89" i="39"/>
  <c r="T89" i="39"/>
  <c r="S89" i="39"/>
  <c r="R89" i="39"/>
  <c r="Q89" i="39"/>
  <c r="P89" i="39"/>
  <c r="O89" i="39"/>
  <c r="N89" i="39"/>
  <c r="M89" i="39"/>
  <c r="L89" i="39"/>
  <c r="K89" i="39"/>
  <c r="J89" i="39"/>
  <c r="I89" i="39"/>
  <c r="H89" i="39"/>
  <c r="G89" i="39"/>
  <c r="AF86" i="39"/>
  <c r="AE86" i="39"/>
  <c r="AD86" i="39"/>
  <c r="AC86" i="39"/>
  <c r="AB86" i="39"/>
  <c r="AA86" i="39"/>
  <c r="Z86" i="39"/>
  <c r="Y86" i="39"/>
  <c r="X86" i="39"/>
  <c r="W86" i="39"/>
  <c r="V86" i="39"/>
  <c r="U86" i="39"/>
  <c r="T86" i="39"/>
  <c r="S86" i="39"/>
  <c r="R86" i="39"/>
  <c r="Q86" i="39"/>
  <c r="P86" i="39"/>
  <c r="O86" i="39"/>
  <c r="N86" i="39"/>
  <c r="M86" i="39"/>
  <c r="L86" i="39"/>
  <c r="K86" i="39"/>
  <c r="J86" i="39"/>
  <c r="I86" i="39"/>
  <c r="H86" i="39"/>
  <c r="G86" i="39"/>
  <c r="AF85" i="39"/>
  <c r="AE85" i="39"/>
  <c r="AD85" i="39"/>
  <c r="AC85" i="39"/>
  <c r="AB85" i="39"/>
  <c r="AA85" i="39"/>
  <c r="Z85" i="39"/>
  <c r="Y85" i="39"/>
  <c r="X85" i="39"/>
  <c r="W85" i="39"/>
  <c r="V85" i="39"/>
  <c r="U85" i="39"/>
  <c r="T85" i="39"/>
  <c r="S85" i="39"/>
  <c r="R85" i="39"/>
  <c r="Q85" i="39"/>
  <c r="P85" i="39"/>
  <c r="O85" i="39"/>
  <c r="N85" i="39"/>
  <c r="M85" i="39"/>
  <c r="L85" i="39"/>
  <c r="K85" i="39"/>
  <c r="J85" i="39"/>
  <c r="I85" i="39"/>
  <c r="H85" i="39"/>
  <c r="G85" i="39"/>
  <c r="AF84" i="39"/>
  <c r="AE84" i="39"/>
  <c r="AD84" i="39"/>
  <c r="AC84" i="39"/>
  <c r="AB84" i="39"/>
  <c r="AA84" i="39"/>
  <c r="Z84" i="39"/>
  <c r="Y84" i="39"/>
  <c r="X84" i="39"/>
  <c r="W84" i="39"/>
  <c r="V84" i="39"/>
  <c r="U84" i="39"/>
  <c r="T84" i="39"/>
  <c r="S84" i="39"/>
  <c r="R84" i="39"/>
  <c r="Q84" i="39"/>
  <c r="P84" i="39"/>
  <c r="O84" i="39"/>
  <c r="N84" i="39"/>
  <c r="M84" i="39"/>
  <c r="L84" i="39"/>
  <c r="K84" i="39"/>
  <c r="J84" i="39"/>
  <c r="I84" i="39"/>
  <c r="H84" i="39"/>
  <c r="G84" i="39"/>
  <c r="AF83" i="39"/>
  <c r="AE83" i="39"/>
  <c r="AD83" i="39"/>
  <c r="AC83" i="39"/>
  <c r="AB83" i="39"/>
  <c r="AA83" i="39"/>
  <c r="Z83" i="39"/>
  <c r="Y83" i="39"/>
  <c r="X83" i="39"/>
  <c r="W83" i="39"/>
  <c r="V83" i="39"/>
  <c r="U83" i="39"/>
  <c r="T83" i="39"/>
  <c r="S83" i="39"/>
  <c r="R83" i="39"/>
  <c r="Q83" i="39"/>
  <c r="P83" i="39"/>
  <c r="O83" i="39"/>
  <c r="N83" i="39"/>
  <c r="M83" i="39"/>
  <c r="L83" i="39"/>
  <c r="K83" i="39"/>
  <c r="J83" i="39"/>
  <c r="I83" i="39"/>
  <c r="H83" i="39"/>
  <c r="Z69" i="32"/>
  <c r="P38" i="26"/>
  <c r="H38" i="26"/>
  <c r="K38" i="26" l="1"/>
  <c r="G38" i="26"/>
  <c r="G5" i="41"/>
  <c r="Y5" i="41"/>
  <c r="Q5" i="41"/>
  <c r="I5" i="41"/>
  <c r="AF5" i="41"/>
  <c r="X5" i="41"/>
  <c r="AE5" i="41"/>
  <c r="V5" i="41"/>
  <c r="U5" i="41"/>
  <c r="AB5" i="41"/>
  <c r="T5" i="41"/>
  <c r="L5" i="41"/>
  <c r="H5" i="41"/>
  <c r="W5" i="41"/>
  <c r="AD5" i="41"/>
  <c r="M5" i="41"/>
  <c r="AA5" i="41"/>
  <c r="S5" i="41"/>
  <c r="K5" i="41"/>
  <c r="P5" i="41"/>
  <c r="O5" i="41"/>
  <c r="N5" i="41"/>
  <c r="AC5" i="41"/>
  <c r="Z5" i="41"/>
  <c r="R5" i="41"/>
  <c r="J5" i="41"/>
  <c r="K75" i="56"/>
  <c r="AF75" i="56"/>
  <c r="AC77" i="56"/>
  <c r="AF78" i="56"/>
  <c r="T77" i="56"/>
  <c r="Y78" i="56"/>
  <c r="W78" i="56"/>
  <c r="M78" i="56"/>
  <c r="U78" i="56"/>
  <c r="L78" i="56"/>
  <c r="AE78" i="56"/>
  <c r="P78" i="56"/>
  <c r="K78" i="56"/>
  <c r="AA77" i="56"/>
  <c r="H78" i="56"/>
  <c r="P75" i="56"/>
  <c r="L76" i="56"/>
  <c r="Z78" i="56"/>
  <c r="S78" i="56"/>
  <c r="Y75" i="56"/>
  <c r="J78" i="56"/>
  <c r="V76" i="56"/>
  <c r="K77" i="56"/>
  <c r="AD75" i="56"/>
  <c r="L75" i="56"/>
  <c r="Q78" i="56"/>
  <c r="O77" i="56"/>
  <c r="AF76" i="56"/>
  <c r="AA78" i="56"/>
  <c r="AD78" i="56"/>
  <c r="T78" i="56"/>
  <c r="AB78" i="56"/>
  <c r="Y76" i="56"/>
  <c r="V75" i="56"/>
  <c r="Y77" i="56"/>
  <c r="J76" i="56"/>
  <c r="X76" i="56"/>
  <c r="AC75" i="56"/>
  <c r="X78" i="56"/>
  <c r="Z76" i="56"/>
  <c r="AE75" i="56"/>
  <c r="U77" i="56"/>
  <c r="AC78" i="56"/>
  <c r="AA76" i="56"/>
  <c r="R76" i="56"/>
  <c r="Z75" i="56"/>
  <c r="X75" i="56"/>
  <c r="S77" i="56"/>
  <c r="X77" i="56"/>
  <c r="I75" i="56"/>
  <c r="AD76" i="56"/>
  <c r="N75" i="56"/>
  <c r="W75" i="56"/>
  <c r="T75" i="56"/>
  <c r="W77" i="56"/>
  <c r="AC76" i="56"/>
  <c r="M77" i="56"/>
  <c r="S75" i="56"/>
  <c r="O76" i="56"/>
  <c r="V78" i="56"/>
  <c r="R78" i="56"/>
  <c r="I78" i="56"/>
  <c r="U75" i="56"/>
  <c r="AE77" i="56"/>
  <c r="O75" i="56"/>
  <c r="AD77" i="56"/>
  <c r="J75" i="56"/>
  <c r="J77" i="56"/>
  <c r="P77" i="56"/>
  <c r="N78" i="56"/>
  <c r="Q75" i="56"/>
  <c r="H75" i="56"/>
  <c r="R75" i="56"/>
  <c r="N76" i="56"/>
  <c r="AB75" i="56"/>
  <c r="Q77" i="56"/>
  <c r="H77" i="56"/>
  <c r="V77" i="56"/>
  <c r="T76" i="56"/>
  <c r="N77" i="56"/>
  <c r="AB77" i="56"/>
  <c r="M75" i="56"/>
  <c r="S76" i="56"/>
  <c r="H76" i="56"/>
  <c r="AA75" i="56"/>
  <c r="Q76" i="56"/>
  <c r="L77" i="56"/>
  <c r="Z77" i="56"/>
  <c r="AB76" i="56"/>
  <c r="R77" i="56"/>
  <c r="AF77" i="56"/>
  <c r="O78" i="56"/>
  <c r="AE76" i="56"/>
  <c r="I77" i="56"/>
  <c r="U76" i="56"/>
  <c r="P76" i="56"/>
  <c r="K76" i="56"/>
  <c r="I76" i="56"/>
  <c r="M76" i="56"/>
  <c r="W76" i="56"/>
  <c r="AC151" i="34"/>
  <c r="U151" i="34"/>
  <c r="M151" i="34"/>
  <c r="AE150" i="34"/>
  <c r="W150" i="34"/>
  <c r="O150" i="34"/>
  <c r="G150" i="34"/>
  <c r="Y149" i="34"/>
  <c r="Q149" i="34"/>
  <c r="I149" i="34"/>
  <c r="AA148" i="34"/>
  <c r="S148" i="34"/>
  <c r="G148" i="34"/>
  <c r="Q147" i="34"/>
  <c r="AA146" i="34"/>
  <c r="K146" i="34"/>
  <c r="U145" i="34"/>
  <c r="AC144" i="34"/>
  <c r="H144" i="34"/>
  <c r="M143" i="34"/>
  <c r="Q142" i="34"/>
  <c r="V141" i="34"/>
  <c r="AA140" i="34"/>
  <c r="AE139" i="34"/>
  <c r="O138" i="34"/>
  <c r="X136" i="34"/>
  <c r="O134" i="34"/>
  <c r="AC127" i="34"/>
  <c r="AB151" i="34"/>
  <c r="T151" i="34"/>
  <c r="L151" i="34"/>
  <c r="AD150" i="34"/>
  <c r="V150" i="34"/>
  <c r="N150" i="34"/>
  <c r="AF149" i="34"/>
  <c r="X149" i="34"/>
  <c r="P149" i="34"/>
  <c r="H149" i="34"/>
  <c r="Z148" i="34"/>
  <c r="R148" i="34"/>
  <c r="AD147" i="34"/>
  <c r="N147" i="34"/>
  <c r="X146" i="34"/>
  <c r="H146" i="34"/>
  <c r="R145" i="34"/>
  <c r="Y144" i="34"/>
  <c r="AD143" i="34"/>
  <c r="I143" i="34"/>
  <c r="M142" i="34"/>
  <c r="R141" i="34"/>
  <c r="W140" i="34"/>
  <c r="U139" i="34"/>
  <c r="AD137" i="34"/>
  <c r="M136" i="34"/>
  <c r="AA132" i="34"/>
  <c r="K126" i="34"/>
  <c r="Y151" i="34"/>
  <c r="Q151" i="34"/>
  <c r="I151" i="34"/>
  <c r="AA150" i="34"/>
  <c r="S150" i="34"/>
  <c r="K150" i="34"/>
  <c r="AC149" i="34"/>
  <c r="U149" i="34"/>
  <c r="M149" i="34"/>
  <c r="AE148" i="34"/>
  <c r="W148" i="34"/>
  <c r="O148" i="34"/>
  <c r="Y147" i="34"/>
  <c r="I147" i="34"/>
  <c r="S146" i="34"/>
  <c r="AC145" i="34"/>
  <c r="M145" i="34"/>
  <c r="S144" i="34"/>
  <c r="W143" i="34"/>
  <c r="AB142" i="34"/>
  <c r="G142" i="34"/>
  <c r="K141" i="34"/>
  <c r="P140" i="34"/>
  <c r="J139" i="34"/>
  <c r="S137" i="34"/>
  <c r="AC135" i="34"/>
  <c r="I131" i="34"/>
  <c r="N121" i="34"/>
  <c r="AF151" i="34"/>
  <c r="X151" i="34"/>
  <c r="P151" i="34"/>
  <c r="H151" i="34"/>
  <c r="Z150" i="34"/>
  <c r="R150" i="34"/>
  <c r="J150" i="34"/>
  <c r="AB149" i="34"/>
  <c r="T149" i="34"/>
  <c r="L149" i="34"/>
  <c r="AD148" i="34"/>
  <c r="V148" i="34"/>
  <c r="L148" i="34"/>
  <c r="V147" i="34"/>
  <c r="AF146" i="34"/>
  <c r="P146" i="34"/>
  <c r="Z145" i="34"/>
  <c r="J145" i="34"/>
  <c r="O144" i="34"/>
  <c r="S143" i="34"/>
  <c r="X142" i="34"/>
  <c r="AC141" i="34"/>
  <c r="G141" i="34"/>
  <c r="L140" i="34"/>
  <c r="Y138" i="34"/>
  <c r="I137" i="34"/>
  <c r="R135" i="34"/>
  <c r="Q129" i="34"/>
  <c r="R109" i="34"/>
  <c r="AA139" i="34"/>
  <c r="Q139" i="34"/>
  <c r="AF138" i="34"/>
  <c r="U138" i="34"/>
  <c r="K138" i="34"/>
  <c r="Z137" i="34"/>
  <c r="O137" i="34"/>
  <c r="AE136" i="34"/>
  <c r="T136" i="34"/>
  <c r="I136" i="34"/>
  <c r="Y135" i="34"/>
  <c r="M135" i="34"/>
  <c r="Y133" i="34"/>
  <c r="K132" i="34"/>
  <c r="S130" i="34"/>
  <c r="AA128" i="34"/>
  <c r="M127" i="34"/>
  <c r="R125" i="34"/>
  <c r="R118" i="34"/>
  <c r="AE151" i="34"/>
  <c r="AA151" i="34"/>
  <c r="W151" i="34"/>
  <c r="S151" i="34"/>
  <c r="O151" i="34"/>
  <c r="K151" i="34"/>
  <c r="G151" i="34"/>
  <c r="AC150" i="34"/>
  <c r="Y150" i="34"/>
  <c r="U150" i="34"/>
  <c r="Q150" i="34"/>
  <c r="M150" i="34"/>
  <c r="I150" i="34"/>
  <c r="AE149" i="34"/>
  <c r="AA149" i="34"/>
  <c r="W149" i="34"/>
  <c r="S149" i="34"/>
  <c r="O149" i="34"/>
  <c r="K149" i="34"/>
  <c r="G149" i="34"/>
  <c r="AC148" i="34"/>
  <c r="Y148" i="34"/>
  <c r="U148" i="34"/>
  <c r="Q148" i="34"/>
  <c r="K148" i="34"/>
  <c r="AC147" i="34"/>
  <c r="U147" i="34"/>
  <c r="M147" i="34"/>
  <c r="AE146" i="34"/>
  <c r="W146" i="34"/>
  <c r="O146" i="34"/>
  <c r="G146" i="34"/>
  <c r="Y145" i="34"/>
  <c r="Q145" i="34"/>
  <c r="I145" i="34"/>
  <c r="X144" i="34"/>
  <c r="M144" i="34"/>
  <c r="AC143" i="34"/>
  <c r="R143" i="34"/>
  <c r="G143" i="34"/>
  <c r="W142" i="34"/>
  <c r="L142" i="34"/>
  <c r="AA141" i="34"/>
  <c r="Q141" i="34"/>
  <c r="AF140" i="34"/>
  <c r="U140" i="34"/>
  <c r="K140" i="34"/>
  <c r="Z139" i="34"/>
  <c r="O139" i="34"/>
  <c r="AE138" i="34"/>
  <c r="T138" i="34"/>
  <c r="I138" i="34"/>
  <c r="Y137" i="34"/>
  <c r="N137" i="34"/>
  <c r="AC136" i="34"/>
  <c r="S136" i="34"/>
  <c r="H136" i="34"/>
  <c r="W135" i="34"/>
  <c r="K135" i="34"/>
  <c r="U133" i="34"/>
  <c r="AC131" i="34"/>
  <c r="O130" i="34"/>
  <c r="W128" i="34"/>
  <c r="AE126" i="34"/>
  <c r="AF124" i="34"/>
  <c r="L117" i="34"/>
  <c r="AD151" i="34"/>
  <c r="Z151" i="34"/>
  <c r="V151" i="34"/>
  <c r="R151" i="34"/>
  <c r="N151" i="34"/>
  <c r="J151" i="34"/>
  <c r="AF150" i="34"/>
  <c r="AB150" i="34"/>
  <c r="X150" i="34"/>
  <c r="T150" i="34"/>
  <c r="P150" i="34"/>
  <c r="L150" i="34"/>
  <c r="H150" i="34"/>
  <c r="AD149" i="34"/>
  <c r="Z149" i="34"/>
  <c r="V149" i="34"/>
  <c r="R149" i="34"/>
  <c r="N149" i="34"/>
  <c r="J149" i="34"/>
  <c r="AF148" i="34"/>
  <c r="AB148" i="34"/>
  <c r="X148" i="34"/>
  <c r="T148" i="34"/>
  <c r="P148" i="34"/>
  <c r="H148" i="34"/>
  <c r="Z147" i="34"/>
  <c r="R147" i="34"/>
  <c r="J147" i="34"/>
  <c r="AB146" i="34"/>
  <c r="T146" i="34"/>
  <c r="L146" i="34"/>
  <c r="AD145" i="34"/>
  <c r="V145" i="34"/>
  <c r="N145" i="34"/>
  <c r="AE144" i="34"/>
  <c r="T144" i="34"/>
  <c r="I144" i="34"/>
  <c r="Y143" i="34"/>
  <c r="N143" i="34"/>
  <c r="AC142" i="34"/>
  <c r="S142" i="34"/>
  <c r="H142" i="34"/>
  <c r="W141" i="34"/>
  <c r="M141" i="34"/>
  <c r="AB140" i="34"/>
  <c r="Q140" i="34"/>
  <c r="G140" i="34"/>
  <c r="V139" i="34"/>
  <c r="K139" i="34"/>
  <c r="AA138" i="34"/>
  <c r="P138" i="34"/>
  <c r="AE137" i="34"/>
  <c r="U137" i="34"/>
  <c r="J137" i="34"/>
  <c r="Y136" i="34"/>
  <c r="O136" i="34"/>
  <c r="AD135" i="34"/>
  <c r="S135" i="34"/>
  <c r="W134" i="34"/>
  <c r="AE132" i="34"/>
  <c r="M131" i="34"/>
  <c r="Y129" i="34"/>
  <c r="G128" i="34"/>
  <c r="O126" i="34"/>
  <c r="T122" i="34"/>
  <c r="AD111" i="34"/>
  <c r="N148" i="34"/>
  <c r="J148" i="34"/>
  <c r="AF147" i="34"/>
  <c r="AB147" i="34"/>
  <c r="X147" i="34"/>
  <c r="T147" i="34"/>
  <c r="P147" i="34"/>
  <c r="L147" i="34"/>
  <c r="H147" i="34"/>
  <c r="AD146" i="34"/>
  <c r="Z146" i="34"/>
  <c r="V146" i="34"/>
  <c r="R146" i="34"/>
  <c r="N146" i="34"/>
  <c r="J146" i="34"/>
  <c r="AF145" i="34"/>
  <c r="AB145" i="34"/>
  <c r="X145" i="34"/>
  <c r="T145" i="34"/>
  <c r="P145" i="34"/>
  <c r="L145" i="34"/>
  <c r="G145" i="34"/>
  <c r="AB144" i="34"/>
  <c r="W144" i="34"/>
  <c r="Q144" i="34"/>
  <c r="L144" i="34"/>
  <c r="G144" i="34"/>
  <c r="AA143" i="34"/>
  <c r="V143" i="34"/>
  <c r="Q143" i="34"/>
  <c r="K143" i="34"/>
  <c r="AF142" i="34"/>
  <c r="AA142" i="34"/>
  <c r="U142" i="34"/>
  <c r="P142" i="34"/>
  <c r="K142" i="34"/>
  <c r="AE141" i="34"/>
  <c r="Z141" i="34"/>
  <c r="U141" i="34"/>
  <c r="O141" i="34"/>
  <c r="J141" i="34"/>
  <c r="AE140" i="34"/>
  <c r="Y140" i="34"/>
  <c r="T140" i="34"/>
  <c r="O140" i="34"/>
  <c r="I140" i="34"/>
  <c r="AD139" i="34"/>
  <c r="Y139" i="34"/>
  <c r="S139" i="34"/>
  <c r="N139" i="34"/>
  <c r="I139" i="34"/>
  <c r="AC138" i="34"/>
  <c r="X138" i="34"/>
  <c r="S138" i="34"/>
  <c r="M138" i="34"/>
  <c r="H138" i="34"/>
  <c r="AC137" i="34"/>
  <c r="W137" i="34"/>
  <c r="R137" i="34"/>
  <c r="M137" i="34"/>
  <c r="G137" i="34"/>
  <c r="AB136" i="34"/>
  <c r="W136" i="34"/>
  <c r="Q136" i="34"/>
  <c r="L136" i="34"/>
  <c r="G136" i="34"/>
  <c r="AA135" i="34"/>
  <c r="V135" i="34"/>
  <c r="Q135" i="34"/>
  <c r="AE134" i="34"/>
  <c r="K134" i="34"/>
  <c r="Q133" i="34"/>
  <c r="S132" i="34"/>
  <c r="Y131" i="34"/>
  <c r="AE130" i="34"/>
  <c r="G130" i="34"/>
  <c r="M129" i="34"/>
  <c r="S128" i="34"/>
  <c r="U127" i="34"/>
  <c r="AA126" i="34"/>
  <c r="G126" i="34"/>
  <c r="Z123" i="34"/>
  <c r="X120" i="34"/>
  <c r="AF115" i="34"/>
  <c r="T104" i="34"/>
  <c r="M148" i="34"/>
  <c r="I148" i="34"/>
  <c r="AE147" i="34"/>
  <c r="AA147" i="34"/>
  <c r="W147" i="34"/>
  <c r="S147" i="34"/>
  <c r="O147" i="34"/>
  <c r="K147" i="34"/>
  <c r="G147" i="34"/>
  <c r="AC146" i="34"/>
  <c r="Y146" i="34"/>
  <c r="U146" i="34"/>
  <c r="Q146" i="34"/>
  <c r="M146" i="34"/>
  <c r="I146" i="34"/>
  <c r="AE145" i="34"/>
  <c r="AA145" i="34"/>
  <c r="W145" i="34"/>
  <c r="S145" i="34"/>
  <c r="O145" i="34"/>
  <c r="K145" i="34"/>
  <c r="AF144" i="34"/>
  <c r="AA144" i="34"/>
  <c r="U144" i="34"/>
  <c r="P144" i="34"/>
  <c r="K144" i="34"/>
  <c r="AE143" i="34"/>
  <c r="Z143" i="34"/>
  <c r="U143" i="34"/>
  <c r="O143" i="34"/>
  <c r="J143" i="34"/>
  <c r="AE142" i="34"/>
  <c r="Y142" i="34"/>
  <c r="T142" i="34"/>
  <c r="O142" i="34"/>
  <c r="I142" i="34"/>
  <c r="AD141" i="34"/>
  <c r="Y141" i="34"/>
  <c r="S141" i="34"/>
  <c r="N141" i="34"/>
  <c r="I141" i="34"/>
  <c r="AC140" i="34"/>
  <c r="X140" i="34"/>
  <c r="S140" i="34"/>
  <c r="M140" i="34"/>
  <c r="H140" i="34"/>
  <c r="AC139" i="34"/>
  <c r="W139" i="34"/>
  <c r="R139" i="34"/>
  <c r="M139" i="34"/>
  <c r="G139" i="34"/>
  <c r="AB138" i="34"/>
  <c r="W138" i="34"/>
  <c r="Q138" i="34"/>
  <c r="L138" i="34"/>
  <c r="G138" i="34"/>
  <c r="AA137" i="34"/>
  <c r="V137" i="34"/>
  <c r="Q137" i="34"/>
  <c r="K137" i="34"/>
  <c r="AF136" i="34"/>
  <c r="AA136" i="34"/>
  <c r="U136" i="34"/>
  <c r="P136" i="34"/>
  <c r="K136" i="34"/>
  <c r="AE135" i="34"/>
  <c r="Z135" i="34"/>
  <c r="U135" i="34"/>
  <c r="O135" i="34"/>
  <c r="AA134" i="34"/>
  <c r="G134" i="34"/>
  <c r="I133" i="34"/>
  <c r="O132" i="34"/>
  <c r="U131" i="34"/>
  <c r="W130" i="34"/>
  <c r="AC129" i="34"/>
  <c r="I129" i="34"/>
  <c r="K128" i="34"/>
  <c r="Q127" i="34"/>
  <c r="W126" i="34"/>
  <c r="Y125" i="34"/>
  <c r="J123" i="34"/>
  <c r="H120" i="34"/>
  <c r="T113" i="34"/>
  <c r="AE99" i="34"/>
  <c r="H145" i="34"/>
  <c r="AD144" i="34"/>
  <c r="Z144" i="34"/>
  <c r="V144" i="34"/>
  <c r="R144" i="34"/>
  <c r="N144" i="34"/>
  <c r="J144" i="34"/>
  <c r="AF143" i="34"/>
  <c r="AB143" i="34"/>
  <c r="X143" i="34"/>
  <c r="T143" i="34"/>
  <c r="P143" i="34"/>
  <c r="L143" i="34"/>
  <c r="H143" i="34"/>
  <c r="AD142" i="34"/>
  <c r="Z142" i="34"/>
  <c r="V142" i="34"/>
  <c r="R142" i="34"/>
  <c r="N142" i="34"/>
  <c r="J142" i="34"/>
  <c r="AF141" i="34"/>
  <c r="AB141" i="34"/>
  <c r="X141" i="34"/>
  <c r="T141" i="34"/>
  <c r="P141" i="34"/>
  <c r="L141" i="34"/>
  <c r="H141" i="34"/>
  <c r="AD140" i="34"/>
  <c r="Z140" i="34"/>
  <c r="V140" i="34"/>
  <c r="R140" i="34"/>
  <c r="N140" i="34"/>
  <c r="J140" i="34"/>
  <c r="AF139" i="34"/>
  <c r="AB139" i="34"/>
  <c r="X139" i="34"/>
  <c r="T139" i="34"/>
  <c r="P139" i="34"/>
  <c r="L139" i="34"/>
  <c r="H139" i="34"/>
  <c r="AD138" i="34"/>
  <c r="Z138" i="34"/>
  <c r="V138" i="34"/>
  <c r="R138" i="34"/>
  <c r="N138" i="34"/>
  <c r="J138" i="34"/>
  <c r="AF137" i="34"/>
  <c r="AB137" i="34"/>
  <c r="X137" i="34"/>
  <c r="T137" i="34"/>
  <c r="P137" i="34"/>
  <c r="L137" i="34"/>
  <c r="H137" i="34"/>
  <c r="AD136" i="34"/>
  <c r="Z136" i="34"/>
  <c r="V136" i="34"/>
  <c r="R136" i="34"/>
  <c r="N136" i="34"/>
  <c r="J136" i="34"/>
  <c r="AF135" i="34"/>
  <c r="AB135" i="34"/>
  <c r="X135" i="34"/>
  <c r="T135" i="34"/>
  <c r="P135" i="34"/>
  <c r="I135" i="34"/>
  <c r="S134" i="34"/>
  <c r="AC133" i="34"/>
  <c r="M133" i="34"/>
  <c r="W132" i="34"/>
  <c r="G132" i="34"/>
  <c r="Q131" i="34"/>
  <c r="AA130" i="34"/>
  <c r="K130" i="34"/>
  <c r="U129" i="34"/>
  <c r="AE128" i="34"/>
  <c r="O128" i="34"/>
  <c r="Y127" i="34"/>
  <c r="I127" i="34"/>
  <c r="S126" i="34"/>
  <c r="AC125" i="34"/>
  <c r="P124" i="34"/>
  <c r="AD121" i="34"/>
  <c r="R119" i="34"/>
  <c r="Z114" i="34"/>
  <c r="AF106" i="34"/>
  <c r="L135" i="34"/>
  <c r="H135" i="34"/>
  <c r="AD134" i="34"/>
  <c r="Z134" i="34"/>
  <c r="V134" i="34"/>
  <c r="R134" i="34"/>
  <c r="N134" i="34"/>
  <c r="J134" i="34"/>
  <c r="AF133" i="34"/>
  <c r="AB133" i="34"/>
  <c r="X133" i="34"/>
  <c r="T133" i="34"/>
  <c r="P133" i="34"/>
  <c r="L133" i="34"/>
  <c r="H133" i="34"/>
  <c r="AD132" i="34"/>
  <c r="Z132" i="34"/>
  <c r="V132" i="34"/>
  <c r="R132" i="34"/>
  <c r="N132" i="34"/>
  <c r="J132" i="34"/>
  <c r="AF131" i="34"/>
  <c r="AB131" i="34"/>
  <c r="X131" i="34"/>
  <c r="T131" i="34"/>
  <c r="P131" i="34"/>
  <c r="L131" i="34"/>
  <c r="H131" i="34"/>
  <c r="AD130" i="34"/>
  <c r="Z130" i="34"/>
  <c r="V130" i="34"/>
  <c r="R130" i="34"/>
  <c r="N130" i="34"/>
  <c r="J130" i="34"/>
  <c r="AF129" i="34"/>
  <c r="AB129" i="34"/>
  <c r="X129" i="34"/>
  <c r="T129" i="34"/>
  <c r="P129" i="34"/>
  <c r="L129" i="34"/>
  <c r="H129" i="34"/>
  <c r="AD128" i="34"/>
  <c r="Z128" i="34"/>
  <c r="V128" i="34"/>
  <c r="R128" i="34"/>
  <c r="N128" i="34"/>
  <c r="J128" i="34"/>
  <c r="AF127" i="34"/>
  <c r="AB127" i="34"/>
  <c r="X127" i="34"/>
  <c r="T127" i="34"/>
  <c r="P127" i="34"/>
  <c r="L127" i="34"/>
  <c r="H127" i="34"/>
  <c r="AD126" i="34"/>
  <c r="Z126" i="34"/>
  <c r="V126" i="34"/>
  <c r="R126" i="34"/>
  <c r="N126" i="34"/>
  <c r="J126" i="34"/>
  <c r="AF125" i="34"/>
  <c r="AB125" i="34"/>
  <c r="X125" i="34"/>
  <c r="P125" i="34"/>
  <c r="AB124" i="34"/>
  <c r="L124" i="34"/>
  <c r="V123" i="34"/>
  <c r="AF122" i="34"/>
  <c r="P122" i="34"/>
  <c r="Z121" i="34"/>
  <c r="J121" i="34"/>
  <c r="T120" i="34"/>
  <c r="AD119" i="34"/>
  <c r="N119" i="34"/>
  <c r="J118" i="34"/>
  <c r="AD116" i="34"/>
  <c r="X115" i="34"/>
  <c r="R114" i="34"/>
  <c r="L113" i="34"/>
  <c r="N111" i="34"/>
  <c r="AB108" i="34"/>
  <c r="P106" i="34"/>
  <c r="AD103" i="34"/>
  <c r="S97" i="34"/>
  <c r="G135" i="34"/>
  <c r="AC134" i="34"/>
  <c r="Y134" i="34"/>
  <c r="U134" i="34"/>
  <c r="Q134" i="34"/>
  <c r="M134" i="34"/>
  <c r="I134" i="34"/>
  <c r="AE133" i="34"/>
  <c r="AA133" i="34"/>
  <c r="W133" i="34"/>
  <c r="S133" i="34"/>
  <c r="O133" i="34"/>
  <c r="K133" i="34"/>
  <c r="G133" i="34"/>
  <c r="AC132" i="34"/>
  <c r="Y132" i="34"/>
  <c r="U132" i="34"/>
  <c r="Q132" i="34"/>
  <c r="M132" i="34"/>
  <c r="I132" i="34"/>
  <c r="AE131" i="34"/>
  <c r="AA131" i="34"/>
  <c r="W131" i="34"/>
  <c r="S131" i="34"/>
  <c r="O131" i="34"/>
  <c r="K131" i="34"/>
  <c r="G131" i="34"/>
  <c r="AC130" i="34"/>
  <c r="Y130" i="34"/>
  <c r="U130" i="34"/>
  <c r="Q130" i="34"/>
  <c r="M130" i="34"/>
  <c r="I130" i="34"/>
  <c r="AE129" i="34"/>
  <c r="AA129" i="34"/>
  <c r="W129" i="34"/>
  <c r="S129" i="34"/>
  <c r="O129" i="34"/>
  <c r="K129" i="34"/>
  <c r="G129" i="34"/>
  <c r="AC128" i="34"/>
  <c r="Y128" i="34"/>
  <c r="U128" i="34"/>
  <c r="Q128" i="34"/>
  <c r="M128" i="34"/>
  <c r="I128" i="34"/>
  <c r="AE127" i="34"/>
  <c r="AA127" i="34"/>
  <c r="W127" i="34"/>
  <c r="S127" i="34"/>
  <c r="O127" i="34"/>
  <c r="K127" i="34"/>
  <c r="G127" i="34"/>
  <c r="AC126" i="34"/>
  <c r="Y126" i="34"/>
  <c r="U126" i="34"/>
  <c r="Q126" i="34"/>
  <c r="M126" i="34"/>
  <c r="I126" i="34"/>
  <c r="AE125" i="34"/>
  <c r="AA125" i="34"/>
  <c r="V125" i="34"/>
  <c r="N125" i="34"/>
  <c r="X124" i="34"/>
  <c r="H124" i="34"/>
  <c r="R123" i="34"/>
  <c r="AB122" i="34"/>
  <c r="L122" i="34"/>
  <c r="V121" i="34"/>
  <c r="AF120" i="34"/>
  <c r="P120" i="34"/>
  <c r="Z119" i="34"/>
  <c r="H119" i="34"/>
  <c r="AB117" i="34"/>
  <c r="V116" i="34"/>
  <c r="P115" i="34"/>
  <c r="J114" i="34"/>
  <c r="AD112" i="34"/>
  <c r="X110" i="34"/>
  <c r="L108" i="34"/>
  <c r="Z105" i="34"/>
  <c r="N103" i="34"/>
  <c r="G95" i="34"/>
  <c r="N135" i="34"/>
  <c r="J135" i="34"/>
  <c r="AF134" i="34"/>
  <c r="AB134" i="34"/>
  <c r="X134" i="34"/>
  <c r="T134" i="34"/>
  <c r="P134" i="34"/>
  <c r="L134" i="34"/>
  <c r="H134" i="34"/>
  <c r="AD133" i="34"/>
  <c r="Z133" i="34"/>
  <c r="V133" i="34"/>
  <c r="R133" i="34"/>
  <c r="N133" i="34"/>
  <c r="J133" i="34"/>
  <c r="AF132" i="34"/>
  <c r="AB132" i="34"/>
  <c r="X132" i="34"/>
  <c r="T132" i="34"/>
  <c r="P132" i="34"/>
  <c r="L132" i="34"/>
  <c r="H132" i="34"/>
  <c r="AD131" i="34"/>
  <c r="Z131" i="34"/>
  <c r="V131" i="34"/>
  <c r="R131" i="34"/>
  <c r="N131" i="34"/>
  <c r="J131" i="34"/>
  <c r="AF130" i="34"/>
  <c r="AB130" i="34"/>
  <c r="X130" i="34"/>
  <c r="T130" i="34"/>
  <c r="P130" i="34"/>
  <c r="L130" i="34"/>
  <c r="H130" i="34"/>
  <c r="AD129" i="34"/>
  <c r="Z129" i="34"/>
  <c r="V129" i="34"/>
  <c r="R129" i="34"/>
  <c r="N129" i="34"/>
  <c r="J129" i="34"/>
  <c r="AF128" i="34"/>
  <c r="AB128" i="34"/>
  <c r="X128" i="34"/>
  <c r="T128" i="34"/>
  <c r="P128" i="34"/>
  <c r="L128" i="34"/>
  <c r="H128" i="34"/>
  <c r="AD127" i="34"/>
  <c r="Z127" i="34"/>
  <c r="V127" i="34"/>
  <c r="R127" i="34"/>
  <c r="N127" i="34"/>
  <c r="J127" i="34"/>
  <c r="AF126" i="34"/>
  <c r="AB126" i="34"/>
  <c r="X126" i="34"/>
  <c r="T126" i="34"/>
  <c r="P126" i="34"/>
  <c r="L126" i="34"/>
  <c r="H126" i="34"/>
  <c r="AD125" i="34"/>
  <c r="Z125" i="34"/>
  <c r="T125" i="34"/>
  <c r="J125" i="34"/>
  <c r="T124" i="34"/>
  <c r="AD123" i="34"/>
  <c r="N123" i="34"/>
  <c r="X122" i="34"/>
  <c r="H122" i="34"/>
  <c r="R121" i="34"/>
  <c r="AB120" i="34"/>
  <c r="L120" i="34"/>
  <c r="V119" i="34"/>
  <c r="Z118" i="34"/>
  <c r="T117" i="34"/>
  <c r="N116" i="34"/>
  <c r="H115" i="34"/>
  <c r="AB113" i="34"/>
  <c r="T112" i="34"/>
  <c r="H110" i="34"/>
  <c r="V107" i="34"/>
  <c r="J105" i="34"/>
  <c r="Q102" i="34"/>
  <c r="J90" i="34"/>
  <c r="U125" i="34"/>
  <c r="Q125" i="34"/>
  <c r="M125" i="34"/>
  <c r="I125" i="34"/>
  <c r="AE124" i="34"/>
  <c r="AA124" i="34"/>
  <c r="W124" i="34"/>
  <c r="S124" i="34"/>
  <c r="O124" i="34"/>
  <c r="K124" i="34"/>
  <c r="G124" i="34"/>
  <c r="AC123" i="34"/>
  <c r="Y123" i="34"/>
  <c r="U123" i="34"/>
  <c r="Q123" i="34"/>
  <c r="M123" i="34"/>
  <c r="I123" i="34"/>
  <c r="AE122" i="34"/>
  <c r="AA122" i="34"/>
  <c r="W122" i="34"/>
  <c r="S122" i="34"/>
  <c r="O122" i="34"/>
  <c r="K122" i="34"/>
  <c r="G122" i="34"/>
  <c r="AC121" i="34"/>
  <c r="Y121" i="34"/>
  <c r="U121" i="34"/>
  <c r="Q121" i="34"/>
  <c r="M121" i="34"/>
  <c r="I121" i="34"/>
  <c r="AE120" i="34"/>
  <c r="AA120" i="34"/>
  <c r="W120" i="34"/>
  <c r="S120" i="34"/>
  <c r="O120" i="34"/>
  <c r="K120" i="34"/>
  <c r="G120" i="34"/>
  <c r="AC119" i="34"/>
  <c r="Y119" i="34"/>
  <c r="U119" i="34"/>
  <c r="Q119" i="34"/>
  <c r="M119" i="34"/>
  <c r="G119" i="34"/>
  <c r="Y118" i="34"/>
  <c r="Q118" i="34"/>
  <c r="I118" i="34"/>
  <c r="AA117" i="34"/>
  <c r="S117" i="34"/>
  <c r="K117" i="34"/>
  <c r="AC116" i="34"/>
  <c r="U116" i="34"/>
  <c r="M116" i="34"/>
  <c r="AE115" i="34"/>
  <c r="W115" i="34"/>
  <c r="O115" i="34"/>
  <c r="G115" i="34"/>
  <c r="Y114" i="34"/>
  <c r="Q114" i="34"/>
  <c r="I114" i="34"/>
  <c r="AA113" i="34"/>
  <c r="S113" i="34"/>
  <c r="K113" i="34"/>
  <c r="AC112" i="34"/>
  <c r="Q112" i="34"/>
  <c r="AA111" i="34"/>
  <c r="K111" i="34"/>
  <c r="U110" i="34"/>
  <c r="AE109" i="34"/>
  <c r="O109" i="34"/>
  <c r="Y108" i="34"/>
  <c r="I108" i="34"/>
  <c r="S107" i="34"/>
  <c r="AC106" i="34"/>
  <c r="M106" i="34"/>
  <c r="W105" i="34"/>
  <c r="G105" i="34"/>
  <c r="Q104" i="34"/>
  <c r="AA103" i="34"/>
  <c r="K103" i="34"/>
  <c r="AE101" i="34"/>
  <c r="S99" i="34"/>
  <c r="G97" i="34"/>
  <c r="U94" i="34"/>
  <c r="N88" i="34"/>
  <c r="L125" i="34"/>
  <c r="H125" i="34"/>
  <c r="AD124" i="34"/>
  <c r="Z124" i="34"/>
  <c r="V124" i="34"/>
  <c r="R124" i="34"/>
  <c r="N124" i="34"/>
  <c r="J124" i="34"/>
  <c r="AF123" i="34"/>
  <c r="AB123" i="34"/>
  <c r="X123" i="34"/>
  <c r="T123" i="34"/>
  <c r="P123" i="34"/>
  <c r="L123" i="34"/>
  <c r="H123" i="34"/>
  <c r="AD122" i="34"/>
  <c r="Z122" i="34"/>
  <c r="V122" i="34"/>
  <c r="R122" i="34"/>
  <c r="N122" i="34"/>
  <c r="J122" i="34"/>
  <c r="AF121" i="34"/>
  <c r="AB121" i="34"/>
  <c r="X121" i="34"/>
  <c r="T121" i="34"/>
  <c r="P121" i="34"/>
  <c r="L121" i="34"/>
  <c r="H121" i="34"/>
  <c r="AD120" i="34"/>
  <c r="Z120" i="34"/>
  <c r="V120" i="34"/>
  <c r="R120" i="34"/>
  <c r="N120" i="34"/>
  <c r="J120" i="34"/>
  <c r="AF119" i="34"/>
  <c r="AB119" i="34"/>
  <c r="X119" i="34"/>
  <c r="T119" i="34"/>
  <c r="P119" i="34"/>
  <c r="L119" i="34"/>
  <c r="AD118" i="34"/>
  <c r="V118" i="34"/>
  <c r="N118" i="34"/>
  <c r="AF117" i="34"/>
  <c r="X117" i="34"/>
  <c r="P117" i="34"/>
  <c r="H117" i="34"/>
  <c r="Z116" i="34"/>
  <c r="R116" i="34"/>
  <c r="J116" i="34"/>
  <c r="AB115" i="34"/>
  <c r="T115" i="34"/>
  <c r="L115" i="34"/>
  <c r="AD114" i="34"/>
  <c r="V114" i="34"/>
  <c r="N114" i="34"/>
  <c r="AF113" i="34"/>
  <c r="X113" i="34"/>
  <c r="P113" i="34"/>
  <c r="H113" i="34"/>
  <c r="Z112" i="34"/>
  <c r="L112" i="34"/>
  <c r="V111" i="34"/>
  <c r="AF110" i="34"/>
  <c r="P110" i="34"/>
  <c r="Z109" i="34"/>
  <c r="J109" i="34"/>
  <c r="T108" i="34"/>
  <c r="AD107" i="34"/>
  <c r="N107" i="34"/>
  <c r="X106" i="34"/>
  <c r="H106" i="34"/>
  <c r="R105" i="34"/>
  <c r="AB104" i="34"/>
  <c r="L104" i="34"/>
  <c r="V103" i="34"/>
  <c r="AE102" i="34"/>
  <c r="K101" i="34"/>
  <c r="Y98" i="34"/>
  <c r="M96" i="34"/>
  <c r="AA93" i="34"/>
  <c r="V83" i="34"/>
  <c r="W125" i="34"/>
  <c r="S125" i="34"/>
  <c r="O125" i="34"/>
  <c r="K125" i="34"/>
  <c r="G125" i="34"/>
  <c r="AC124" i="34"/>
  <c r="Y124" i="34"/>
  <c r="U124" i="34"/>
  <c r="Q124" i="34"/>
  <c r="M124" i="34"/>
  <c r="I124" i="34"/>
  <c r="AE123" i="34"/>
  <c r="AA123" i="34"/>
  <c r="W123" i="34"/>
  <c r="S123" i="34"/>
  <c r="O123" i="34"/>
  <c r="K123" i="34"/>
  <c r="G123" i="34"/>
  <c r="AC122" i="34"/>
  <c r="Y122" i="34"/>
  <c r="U122" i="34"/>
  <c r="Q122" i="34"/>
  <c r="M122" i="34"/>
  <c r="I122" i="34"/>
  <c r="AE121" i="34"/>
  <c r="AA121" i="34"/>
  <c r="W121" i="34"/>
  <c r="S121" i="34"/>
  <c r="O121" i="34"/>
  <c r="K121" i="34"/>
  <c r="G121" i="34"/>
  <c r="AC120" i="34"/>
  <c r="Y120" i="34"/>
  <c r="U120" i="34"/>
  <c r="Q120" i="34"/>
  <c r="M120" i="34"/>
  <c r="I120" i="34"/>
  <c r="AE119" i="34"/>
  <c r="AA119" i="34"/>
  <c r="W119" i="34"/>
  <c r="S119" i="34"/>
  <c r="O119" i="34"/>
  <c r="K119" i="34"/>
  <c r="AC118" i="34"/>
  <c r="U118" i="34"/>
  <c r="M118" i="34"/>
  <c r="AE117" i="34"/>
  <c r="W117" i="34"/>
  <c r="O117" i="34"/>
  <c r="G117" i="34"/>
  <c r="Y116" i="34"/>
  <c r="Q116" i="34"/>
  <c r="I116" i="34"/>
  <c r="AA115" i="34"/>
  <c r="S115" i="34"/>
  <c r="K115" i="34"/>
  <c r="AC114" i="34"/>
  <c r="U114" i="34"/>
  <c r="M114" i="34"/>
  <c r="AE113" i="34"/>
  <c r="W113" i="34"/>
  <c r="O113" i="34"/>
  <c r="G113" i="34"/>
  <c r="Y112" i="34"/>
  <c r="I112" i="34"/>
  <c r="S111" i="34"/>
  <c r="AC110" i="34"/>
  <c r="M110" i="34"/>
  <c r="W109" i="34"/>
  <c r="G109" i="34"/>
  <c r="Q108" i="34"/>
  <c r="AA107" i="34"/>
  <c r="K107" i="34"/>
  <c r="U106" i="34"/>
  <c r="AE105" i="34"/>
  <c r="O105" i="34"/>
  <c r="Y104" i="34"/>
  <c r="I104" i="34"/>
  <c r="S103" i="34"/>
  <c r="AA102" i="34"/>
  <c r="Y100" i="34"/>
  <c r="M98" i="34"/>
  <c r="AA95" i="34"/>
  <c r="L93" i="34"/>
  <c r="AD79" i="34"/>
  <c r="J119" i="34"/>
  <c r="AF118" i="34"/>
  <c r="AB118" i="34"/>
  <c r="X118" i="34"/>
  <c r="T118" i="34"/>
  <c r="P118" i="34"/>
  <c r="L118" i="34"/>
  <c r="H118" i="34"/>
  <c r="AD117" i="34"/>
  <c r="Z117" i="34"/>
  <c r="V117" i="34"/>
  <c r="R117" i="34"/>
  <c r="N117" i="34"/>
  <c r="J117" i="34"/>
  <c r="AF116" i="34"/>
  <c r="AB116" i="34"/>
  <c r="X116" i="34"/>
  <c r="T116" i="34"/>
  <c r="P116" i="34"/>
  <c r="L116" i="34"/>
  <c r="H116" i="34"/>
  <c r="AD115" i="34"/>
  <c r="Z115" i="34"/>
  <c r="V115" i="34"/>
  <c r="R115" i="34"/>
  <c r="N115" i="34"/>
  <c r="J115" i="34"/>
  <c r="AF114" i="34"/>
  <c r="AB114" i="34"/>
  <c r="X114" i="34"/>
  <c r="T114" i="34"/>
  <c r="P114" i="34"/>
  <c r="L114" i="34"/>
  <c r="H114" i="34"/>
  <c r="AD113" i="34"/>
  <c r="Z113" i="34"/>
  <c r="V113" i="34"/>
  <c r="R113" i="34"/>
  <c r="N113" i="34"/>
  <c r="J113" i="34"/>
  <c r="AF112" i="34"/>
  <c r="AB112" i="34"/>
  <c r="X112" i="34"/>
  <c r="P112" i="34"/>
  <c r="H112" i="34"/>
  <c r="Z111" i="34"/>
  <c r="R111" i="34"/>
  <c r="J111" i="34"/>
  <c r="AB110" i="34"/>
  <c r="T110" i="34"/>
  <c r="L110" i="34"/>
  <c r="AD109" i="34"/>
  <c r="V109" i="34"/>
  <c r="N109" i="34"/>
  <c r="AF108" i="34"/>
  <c r="X108" i="34"/>
  <c r="P108" i="34"/>
  <c r="H108" i="34"/>
  <c r="Z107" i="34"/>
  <c r="R107" i="34"/>
  <c r="J107" i="34"/>
  <c r="AB106" i="34"/>
  <c r="T106" i="34"/>
  <c r="L106" i="34"/>
  <c r="AD105" i="34"/>
  <c r="V105" i="34"/>
  <c r="N105" i="34"/>
  <c r="AF104" i="34"/>
  <c r="X104" i="34"/>
  <c r="P104" i="34"/>
  <c r="H104" i="34"/>
  <c r="Z103" i="34"/>
  <c r="R103" i="34"/>
  <c r="J103" i="34"/>
  <c r="Y102" i="34"/>
  <c r="AA101" i="34"/>
  <c r="U100" i="34"/>
  <c r="O99" i="34"/>
  <c r="I98" i="34"/>
  <c r="AC96" i="34"/>
  <c r="W95" i="34"/>
  <c r="Q94" i="34"/>
  <c r="V92" i="34"/>
  <c r="X87" i="34"/>
  <c r="X78" i="34"/>
  <c r="I119" i="34"/>
  <c r="AE118" i="34"/>
  <c r="AA118" i="34"/>
  <c r="W118" i="34"/>
  <c r="S118" i="34"/>
  <c r="O118" i="34"/>
  <c r="K118" i="34"/>
  <c r="G118" i="34"/>
  <c r="AC117" i="34"/>
  <c r="Y117" i="34"/>
  <c r="U117" i="34"/>
  <c r="Q117" i="34"/>
  <c r="M117" i="34"/>
  <c r="I117" i="34"/>
  <c r="AE116" i="34"/>
  <c r="AA116" i="34"/>
  <c r="W116" i="34"/>
  <c r="S116" i="34"/>
  <c r="O116" i="34"/>
  <c r="K116" i="34"/>
  <c r="G116" i="34"/>
  <c r="AC115" i="34"/>
  <c r="Y115" i="34"/>
  <c r="U115" i="34"/>
  <c r="Q115" i="34"/>
  <c r="M115" i="34"/>
  <c r="I115" i="34"/>
  <c r="AE114" i="34"/>
  <c r="AA114" i="34"/>
  <c r="W114" i="34"/>
  <c r="S114" i="34"/>
  <c r="O114" i="34"/>
  <c r="K114" i="34"/>
  <c r="G114" i="34"/>
  <c r="AC113" i="34"/>
  <c r="Y113" i="34"/>
  <c r="U113" i="34"/>
  <c r="Q113" i="34"/>
  <c r="M113" i="34"/>
  <c r="I113" i="34"/>
  <c r="AE112" i="34"/>
  <c r="AA112" i="34"/>
  <c r="U112" i="34"/>
  <c r="M112" i="34"/>
  <c r="AE111" i="34"/>
  <c r="W111" i="34"/>
  <c r="O111" i="34"/>
  <c r="G111" i="34"/>
  <c r="Y110" i="34"/>
  <c r="Q110" i="34"/>
  <c r="I110" i="34"/>
  <c r="AA109" i="34"/>
  <c r="S109" i="34"/>
  <c r="K109" i="34"/>
  <c r="AC108" i="34"/>
  <c r="U108" i="34"/>
  <c r="M108" i="34"/>
  <c r="AE107" i="34"/>
  <c r="W107" i="34"/>
  <c r="O107" i="34"/>
  <c r="G107" i="34"/>
  <c r="Y106" i="34"/>
  <c r="Q106" i="34"/>
  <c r="I106" i="34"/>
  <c r="AA105" i="34"/>
  <c r="S105" i="34"/>
  <c r="K105" i="34"/>
  <c r="AC104" i="34"/>
  <c r="U104" i="34"/>
  <c r="M104" i="34"/>
  <c r="AE103" i="34"/>
  <c r="W103" i="34"/>
  <c r="O103" i="34"/>
  <c r="AF102" i="34"/>
  <c r="T102" i="34"/>
  <c r="O101" i="34"/>
  <c r="I100" i="34"/>
  <c r="AC98" i="34"/>
  <c r="W97" i="34"/>
  <c r="Q96" i="34"/>
  <c r="K95" i="34"/>
  <c r="AE93" i="34"/>
  <c r="Z90" i="34"/>
  <c r="AB84" i="34"/>
  <c r="AC68" i="34"/>
  <c r="W112" i="34"/>
  <c r="S112" i="34"/>
  <c r="O112" i="34"/>
  <c r="K112" i="34"/>
  <c r="G112" i="34"/>
  <c r="AC111" i="34"/>
  <c r="Y111" i="34"/>
  <c r="U111" i="34"/>
  <c r="Q111" i="34"/>
  <c r="M111" i="34"/>
  <c r="I111" i="34"/>
  <c r="AE110" i="34"/>
  <c r="AA110" i="34"/>
  <c r="W110" i="34"/>
  <c r="S110" i="34"/>
  <c r="O110" i="34"/>
  <c r="K110" i="34"/>
  <c r="G110" i="34"/>
  <c r="AC109" i="34"/>
  <c r="Y109" i="34"/>
  <c r="U109" i="34"/>
  <c r="Q109" i="34"/>
  <c r="M109" i="34"/>
  <c r="I109" i="34"/>
  <c r="AE108" i="34"/>
  <c r="AA108" i="34"/>
  <c r="W108" i="34"/>
  <c r="S108" i="34"/>
  <c r="O108" i="34"/>
  <c r="K108" i="34"/>
  <c r="G108" i="34"/>
  <c r="AC107" i="34"/>
  <c r="Y107" i="34"/>
  <c r="U107" i="34"/>
  <c r="Q107" i="34"/>
  <c r="M107" i="34"/>
  <c r="I107" i="34"/>
  <c r="AE106" i="34"/>
  <c r="AA106" i="34"/>
  <c r="W106" i="34"/>
  <c r="S106" i="34"/>
  <c r="O106" i="34"/>
  <c r="K106" i="34"/>
  <c r="G106" i="34"/>
  <c r="AC105" i="34"/>
  <c r="Y105" i="34"/>
  <c r="U105" i="34"/>
  <c r="Q105" i="34"/>
  <c r="M105" i="34"/>
  <c r="I105" i="34"/>
  <c r="AE104" i="34"/>
  <c r="AA104" i="34"/>
  <c r="W104" i="34"/>
  <c r="S104" i="34"/>
  <c r="O104" i="34"/>
  <c r="K104" i="34"/>
  <c r="G104" i="34"/>
  <c r="AC103" i="34"/>
  <c r="Y103" i="34"/>
  <c r="U103" i="34"/>
  <c r="Q103" i="34"/>
  <c r="M103" i="34"/>
  <c r="I103" i="34"/>
  <c r="AC102" i="34"/>
  <c r="X102" i="34"/>
  <c r="M102" i="34"/>
  <c r="W101" i="34"/>
  <c r="G101" i="34"/>
  <c r="Q100" i="34"/>
  <c r="AA99" i="34"/>
  <c r="K99" i="34"/>
  <c r="U98" i="34"/>
  <c r="AE97" i="34"/>
  <c r="O97" i="34"/>
  <c r="Y96" i="34"/>
  <c r="I96" i="34"/>
  <c r="S95" i="34"/>
  <c r="AC94" i="34"/>
  <c r="M94" i="34"/>
  <c r="W93" i="34"/>
  <c r="AF91" i="34"/>
  <c r="T89" i="34"/>
  <c r="H87" i="34"/>
  <c r="P82" i="34"/>
  <c r="R77" i="34"/>
  <c r="V112" i="34"/>
  <c r="R112" i="34"/>
  <c r="N112" i="34"/>
  <c r="J112" i="34"/>
  <c r="AF111" i="34"/>
  <c r="AB111" i="34"/>
  <c r="X111" i="34"/>
  <c r="T111" i="34"/>
  <c r="P111" i="34"/>
  <c r="L111" i="34"/>
  <c r="H111" i="34"/>
  <c r="AD110" i="34"/>
  <c r="Z110" i="34"/>
  <c r="V110" i="34"/>
  <c r="R110" i="34"/>
  <c r="N110" i="34"/>
  <c r="J110" i="34"/>
  <c r="AF109" i="34"/>
  <c r="AB109" i="34"/>
  <c r="X109" i="34"/>
  <c r="T109" i="34"/>
  <c r="P109" i="34"/>
  <c r="L109" i="34"/>
  <c r="H109" i="34"/>
  <c r="AD108" i="34"/>
  <c r="Z108" i="34"/>
  <c r="V108" i="34"/>
  <c r="R108" i="34"/>
  <c r="N108" i="34"/>
  <c r="J108" i="34"/>
  <c r="AF107" i="34"/>
  <c r="AB107" i="34"/>
  <c r="X107" i="34"/>
  <c r="T107" i="34"/>
  <c r="P107" i="34"/>
  <c r="L107" i="34"/>
  <c r="H107" i="34"/>
  <c r="AD106" i="34"/>
  <c r="Z106" i="34"/>
  <c r="V106" i="34"/>
  <c r="R106" i="34"/>
  <c r="N106" i="34"/>
  <c r="J106" i="34"/>
  <c r="AF105" i="34"/>
  <c r="AB105" i="34"/>
  <c r="X105" i="34"/>
  <c r="T105" i="34"/>
  <c r="P105" i="34"/>
  <c r="L105" i="34"/>
  <c r="H105" i="34"/>
  <c r="AD104" i="34"/>
  <c r="Z104" i="34"/>
  <c r="V104" i="34"/>
  <c r="R104" i="34"/>
  <c r="N104" i="34"/>
  <c r="J104" i="34"/>
  <c r="AF103" i="34"/>
  <c r="AB103" i="34"/>
  <c r="X103" i="34"/>
  <c r="T103" i="34"/>
  <c r="P103" i="34"/>
  <c r="L103" i="34"/>
  <c r="G103" i="34"/>
  <c r="AB102" i="34"/>
  <c r="U102" i="34"/>
  <c r="I102" i="34"/>
  <c r="S101" i="34"/>
  <c r="AC100" i="34"/>
  <c r="M100" i="34"/>
  <c r="W99" i="34"/>
  <c r="G99" i="34"/>
  <c r="Q98" i="34"/>
  <c r="AA97" i="34"/>
  <c r="K97" i="34"/>
  <c r="U96" i="34"/>
  <c r="AE95" i="34"/>
  <c r="O95" i="34"/>
  <c r="Y94" i="34"/>
  <c r="I94" i="34"/>
  <c r="S93" i="34"/>
  <c r="P91" i="34"/>
  <c r="AD88" i="34"/>
  <c r="H86" i="34"/>
  <c r="J81" i="34"/>
  <c r="AA73" i="34"/>
  <c r="P102" i="34"/>
  <c r="L102" i="34"/>
  <c r="H102" i="34"/>
  <c r="AD101" i="34"/>
  <c r="Z101" i="34"/>
  <c r="V101" i="34"/>
  <c r="R101" i="34"/>
  <c r="N101" i="34"/>
  <c r="J101" i="34"/>
  <c r="AF100" i="34"/>
  <c r="AB100" i="34"/>
  <c r="X100" i="34"/>
  <c r="T100" i="34"/>
  <c r="P100" i="34"/>
  <c r="L100" i="34"/>
  <c r="H100" i="34"/>
  <c r="AD99" i="34"/>
  <c r="Z99" i="34"/>
  <c r="V99" i="34"/>
  <c r="R99" i="34"/>
  <c r="N99" i="34"/>
  <c r="J99" i="34"/>
  <c r="AF98" i="34"/>
  <c r="AB98" i="34"/>
  <c r="X98" i="34"/>
  <c r="T98" i="34"/>
  <c r="P98" i="34"/>
  <c r="L98" i="34"/>
  <c r="H98" i="34"/>
  <c r="AD97" i="34"/>
  <c r="Z97" i="34"/>
  <c r="V97" i="34"/>
  <c r="R97" i="34"/>
  <c r="N97" i="34"/>
  <c r="J97" i="34"/>
  <c r="AF96" i="34"/>
  <c r="AB96" i="34"/>
  <c r="X96" i="34"/>
  <c r="T96" i="34"/>
  <c r="P96" i="34"/>
  <c r="L96" i="34"/>
  <c r="H96" i="34"/>
  <c r="AD95" i="34"/>
  <c r="Z95" i="34"/>
  <c r="V95" i="34"/>
  <c r="R95" i="34"/>
  <c r="N95" i="34"/>
  <c r="J95" i="34"/>
  <c r="AF94" i="34"/>
  <c r="AB94" i="34"/>
  <c r="X94" i="34"/>
  <c r="T94" i="34"/>
  <c r="P94" i="34"/>
  <c r="L94" i="34"/>
  <c r="H94" i="34"/>
  <c r="AD93" i="34"/>
  <c r="Z93" i="34"/>
  <c r="V93" i="34"/>
  <c r="R93" i="34"/>
  <c r="H93" i="34"/>
  <c r="R92" i="34"/>
  <c r="AB91" i="34"/>
  <c r="L91" i="34"/>
  <c r="V90" i="34"/>
  <c r="AF89" i="34"/>
  <c r="P89" i="34"/>
  <c r="Z88" i="34"/>
  <c r="J88" i="34"/>
  <c r="T87" i="34"/>
  <c r="AD86" i="34"/>
  <c r="Z85" i="34"/>
  <c r="T84" i="34"/>
  <c r="N83" i="34"/>
  <c r="H82" i="34"/>
  <c r="AB80" i="34"/>
  <c r="V79" i="34"/>
  <c r="P78" i="34"/>
  <c r="J77" i="34"/>
  <c r="U72" i="34"/>
  <c r="Q67" i="34"/>
  <c r="W102" i="34"/>
  <c r="S102" i="34"/>
  <c r="O102" i="34"/>
  <c r="K102" i="34"/>
  <c r="G102" i="34"/>
  <c r="AC101" i="34"/>
  <c r="Y101" i="34"/>
  <c r="U101" i="34"/>
  <c r="Q101" i="34"/>
  <c r="M101" i="34"/>
  <c r="I101" i="34"/>
  <c r="AE100" i="34"/>
  <c r="AA100" i="34"/>
  <c r="W100" i="34"/>
  <c r="S100" i="34"/>
  <c r="O100" i="34"/>
  <c r="K100" i="34"/>
  <c r="G100" i="34"/>
  <c r="AC99" i="34"/>
  <c r="Y99" i="34"/>
  <c r="U99" i="34"/>
  <c r="Q99" i="34"/>
  <c r="M99" i="34"/>
  <c r="I99" i="34"/>
  <c r="AE98" i="34"/>
  <c r="AA98" i="34"/>
  <c r="W98" i="34"/>
  <c r="S98" i="34"/>
  <c r="O98" i="34"/>
  <c r="K98" i="34"/>
  <c r="G98" i="34"/>
  <c r="AC97" i="34"/>
  <c r="Y97" i="34"/>
  <c r="U97" i="34"/>
  <c r="Q97" i="34"/>
  <c r="M97" i="34"/>
  <c r="I97" i="34"/>
  <c r="AE96" i="34"/>
  <c r="AA96" i="34"/>
  <c r="W96" i="34"/>
  <c r="S96" i="34"/>
  <c r="O96" i="34"/>
  <c r="K96" i="34"/>
  <c r="G96" i="34"/>
  <c r="AC95" i="34"/>
  <c r="Y95" i="34"/>
  <c r="U95" i="34"/>
  <c r="Q95" i="34"/>
  <c r="M95" i="34"/>
  <c r="I95" i="34"/>
  <c r="AE94" i="34"/>
  <c r="AA94" i="34"/>
  <c r="W94" i="34"/>
  <c r="S94" i="34"/>
  <c r="O94" i="34"/>
  <c r="K94" i="34"/>
  <c r="G94" i="34"/>
  <c r="AC93" i="34"/>
  <c r="Y93" i="34"/>
  <c r="U93" i="34"/>
  <c r="Q93" i="34"/>
  <c r="AD92" i="34"/>
  <c r="N92" i="34"/>
  <c r="X91" i="34"/>
  <c r="H91" i="34"/>
  <c r="R90" i="34"/>
  <c r="AB89" i="34"/>
  <c r="L89" i="34"/>
  <c r="V88" i="34"/>
  <c r="AF87" i="34"/>
  <c r="P87" i="34"/>
  <c r="X86" i="34"/>
  <c r="R85" i="34"/>
  <c r="L84" i="34"/>
  <c r="AF82" i="34"/>
  <c r="Z81" i="34"/>
  <c r="T80" i="34"/>
  <c r="N79" i="34"/>
  <c r="H78" i="34"/>
  <c r="M76" i="34"/>
  <c r="O71" i="34"/>
  <c r="W64" i="34"/>
  <c r="H103" i="34"/>
  <c r="AD102" i="34"/>
  <c r="Z102" i="34"/>
  <c r="V102" i="34"/>
  <c r="R102" i="34"/>
  <c r="N102" i="34"/>
  <c r="J102" i="34"/>
  <c r="AF101" i="34"/>
  <c r="AB101" i="34"/>
  <c r="X101" i="34"/>
  <c r="T101" i="34"/>
  <c r="P101" i="34"/>
  <c r="L101" i="34"/>
  <c r="H101" i="34"/>
  <c r="AD100" i="34"/>
  <c r="Z100" i="34"/>
  <c r="V100" i="34"/>
  <c r="R100" i="34"/>
  <c r="N100" i="34"/>
  <c r="J100" i="34"/>
  <c r="AF99" i="34"/>
  <c r="AB99" i="34"/>
  <c r="X99" i="34"/>
  <c r="T99" i="34"/>
  <c r="P99" i="34"/>
  <c r="L99" i="34"/>
  <c r="H99" i="34"/>
  <c r="AD98" i="34"/>
  <c r="Z98" i="34"/>
  <c r="V98" i="34"/>
  <c r="R98" i="34"/>
  <c r="N98" i="34"/>
  <c r="J98" i="34"/>
  <c r="AF97" i="34"/>
  <c r="AB97" i="34"/>
  <c r="X97" i="34"/>
  <c r="T97" i="34"/>
  <c r="P97" i="34"/>
  <c r="L97" i="34"/>
  <c r="H97" i="34"/>
  <c r="AD96" i="34"/>
  <c r="Z96" i="34"/>
  <c r="V96" i="34"/>
  <c r="R96" i="34"/>
  <c r="N96" i="34"/>
  <c r="J96" i="34"/>
  <c r="AF95" i="34"/>
  <c r="AB95" i="34"/>
  <c r="X95" i="34"/>
  <c r="T95" i="34"/>
  <c r="P95" i="34"/>
  <c r="L95" i="34"/>
  <c r="H95" i="34"/>
  <c r="AD94" i="34"/>
  <c r="Z94" i="34"/>
  <c r="V94" i="34"/>
  <c r="R94" i="34"/>
  <c r="N94" i="34"/>
  <c r="J94" i="34"/>
  <c r="AF93" i="34"/>
  <c r="AB93" i="34"/>
  <c r="X93" i="34"/>
  <c r="T93" i="34"/>
  <c r="P93" i="34"/>
  <c r="Z92" i="34"/>
  <c r="J92" i="34"/>
  <c r="T91" i="34"/>
  <c r="AD90" i="34"/>
  <c r="N90" i="34"/>
  <c r="X89" i="34"/>
  <c r="H89" i="34"/>
  <c r="R88" i="34"/>
  <c r="AB87" i="34"/>
  <c r="L87" i="34"/>
  <c r="P86" i="34"/>
  <c r="J85" i="34"/>
  <c r="AD83" i="34"/>
  <c r="X82" i="34"/>
  <c r="R81" i="34"/>
  <c r="L80" i="34"/>
  <c r="AF78" i="34"/>
  <c r="Z77" i="34"/>
  <c r="G75" i="34"/>
  <c r="I70" i="34"/>
  <c r="Y59" i="34"/>
  <c r="O93" i="34"/>
  <c r="K93" i="34"/>
  <c r="G93" i="34"/>
  <c r="AC92" i="34"/>
  <c r="Y92" i="34"/>
  <c r="U92" i="34"/>
  <c r="Q92" i="34"/>
  <c r="M92" i="34"/>
  <c r="I92" i="34"/>
  <c r="AE91" i="34"/>
  <c r="AA91" i="34"/>
  <c r="W91" i="34"/>
  <c r="S91" i="34"/>
  <c r="O91" i="34"/>
  <c r="K91" i="34"/>
  <c r="G91" i="34"/>
  <c r="AC90" i="34"/>
  <c r="Y90" i="34"/>
  <c r="U90" i="34"/>
  <c r="Q90" i="34"/>
  <c r="M90" i="34"/>
  <c r="I90" i="34"/>
  <c r="AE89" i="34"/>
  <c r="AA89" i="34"/>
  <c r="W89" i="34"/>
  <c r="S89" i="34"/>
  <c r="O89" i="34"/>
  <c r="K89" i="34"/>
  <c r="G89" i="34"/>
  <c r="AC88" i="34"/>
  <c r="Y88" i="34"/>
  <c r="U88" i="34"/>
  <c r="Q88" i="34"/>
  <c r="M88" i="34"/>
  <c r="I88" i="34"/>
  <c r="AE87" i="34"/>
  <c r="AA87" i="34"/>
  <c r="W87" i="34"/>
  <c r="S87" i="34"/>
  <c r="O87" i="34"/>
  <c r="K87" i="34"/>
  <c r="G87" i="34"/>
  <c r="AC86" i="34"/>
  <c r="W86" i="34"/>
  <c r="O86" i="34"/>
  <c r="G86" i="34"/>
  <c r="Y85" i="34"/>
  <c r="Q85" i="34"/>
  <c r="I85" i="34"/>
  <c r="AA84" i="34"/>
  <c r="S84" i="34"/>
  <c r="K84" i="34"/>
  <c r="AC83" i="34"/>
  <c r="U83" i="34"/>
  <c r="M83" i="34"/>
  <c r="AE82" i="34"/>
  <c r="W82" i="34"/>
  <c r="O82" i="34"/>
  <c r="G82" i="34"/>
  <c r="Y81" i="34"/>
  <c r="Q81" i="34"/>
  <c r="I81" i="34"/>
  <c r="AA80" i="34"/>
  <c r="S80" i="34"/>
  <c r="K80" i="34"/>
  <c r="AC79" i="34"/>
  <c r="U79" i="34"/>
  <c r="M79" i="34"/>
  <c r="AE78" i="34"/>
  <c r="W78" i="34"/>
  <c r="O78" i="34"/>
  <c r="G78" i="34"/>
  <c r="Y77" i="34"/>
  <c r="Q77" i="34"/>
  <c r="I77" i="34"/>
  <c r="I76" i="34"/>
  <c r="AC74" i="34"/>
  <c r="W73" i="34"/>
  <c r="Q72" i="34"/>
  <c r="K71" i="34"/>
  <c r="AE69" i="34"/>
  <c r="Y68" i="34"/>
  <c r="I67" i="34"/>
  <c r="G64" i="34"/>
  <c r="I59" i="34"/>
  <c r="N93" i="34"/>
  <c r="J93" i="34"/>
  <c r="AF92" i="34"/>
  <c r="AB92" i="34"/>
  <c r="X92" i="34"/>
  <c r="T92" i="34"/>
  <c r="P92" i="34"/>
  <c r="L92" i="34"/>
  <c r="H92" i="34"/>
  <c r="AD91" i="34"/>
  <c r="Z91" i="34"/>
  <c r="V91" i="34"/>
  <c r="R91" i="34"/>
  <c r="N91" i="34"/>
  <c r="J91" i="34"/>
  <c r="AF90" i="34"/>
  <c r="AB90" i="34"/>
  <c r="X90" i="34"/>
  <c r="T90" i="34"/>
  <c r="P90" i="34"/>
  <c r="L90" i="34"/>
  <c r="H90" i="34"/>
  <c r="AD89" i="34"/>
  <c r="Z89" i="34"/>
  <c r="V89" i="34"/>
  <c r="R89" i="34"/>
  <c r="N89" i="34"/>
  <c r="J89" i="34"/>
  <c r="AF88" i="34"/>
  <c r="AB88" i="34"/>
  <c r="X88" i="34"/>
  <c r="T88" i="34"/>
  <c r="P88" i="34"/>
  <c r="L88" i="34"/>
  <c r="H88" i="34"/>
  <c r="AD87" i="34"/>
  <c r="Z87" i="34"/>
  <c r="V87" i="34"/>
  <c r="R87" i="34"/>
  <c r="N87" i="34"/>
  <c r="J87" i="34"/>
  <c r="AF86" i="34"/>
  <c r="AB86" i="34"/>
  <c r="T86" i="34"/>
  <c r="L86" i="34"/>
  <c r="AD85" i="34"/>
  <c r="V85" i="34"/>
  <c r="N85" i="34"/>
  <c r="AF84" i="34"/>
  <c r="X84" i="34"/>
  <c r="P84" i="34"/>
  <c r="H84" i="34"/>
  <c r="Z83" i="34"/>
  <c r="R83" i="34"/>
  <c r="J83" i="34"/>
  <c r="AB82" i="34"/>
  <c r="T82" i="34"/>
  <c r="L82" i="34"/>
  <c r="AD81" i="34"/>
  <c r="V81" i="34"/>
  <c r="N81" i="34"/>
  <c r="AF80" i="34"/>
  <c r="X80" i="34"/>
  <c r="P80" i="34"/>
  <c r="H80" i="34"/>
  <c r="Z79" i="34"/>
  <c r="R79" i="34"/>
  <c r="J79" i="34"/>
  <c r="AB78" i="34"/>
  <c r="T78" i="34"/>
  <c r="L78" i="34"/>
  <c r="AD77" i="34"/>
  <c r="V77" i="34"/>
  <c r="N77" i="34"/>
  <c r="AC76" i="34"/>
  <c r="W75" i="34"/>
  <c r="Q74" i="34"/>
  <c r="K73" i="34"/>
  <c r="AE71" i="34"/>
  <c r="Y70" i="34"/>
  <c r="S69" i="34"/>
  <c r="M68" i="34"/>
  <c r="K66" i="34"/>
  <c r="K62" i="34"/>
  <c r="AE54" i="34"/>
  <c r="M93" i="34"/>
  <c r="I93" i="34"/>
  <c r="AE92" i="34"/>
  <c r="AA92" i="34"/>
  <c r="W92" i="34"/>
  <c r="S92" i="34"/>
  <c r="O92" i="34"/>
  <c r="K92" i="34"/>
  <c r="G92" i="34"/>
  <c r="AC91" i="34"/>
  <c r="Y91" i="34"/>
  <c r="U91" i="34"/>
  <c r="Q91" i="34"/>
  <c r="M91" i="34"/>
  <c r="I91" i="34"/>
  <c r="AE90" i="34"/>
  <c r="AA90" i="34"/>
  <c r="W90" i="34"/>
  <c r="S90" i="34"/>
  <c r="O90" i="34"/>
  <c r="K90" i="34"/>
  <c r="G90" i="34"/>
  <c r="AC89" i="34"/>
  <c r="Y89" i="34"/>
  <c r="U89" i="34"/>
  <c r="Q89" i="34"/>
  <c r="M89" i="34"/>
  <c r="I89" i="34"/>
  <c r="AE88" i="34"/>
  <c r="AA88" i="34"/>
  <c r="W88" i="34"/>
  <c r="S88" i="34"/>
  <c r="O88" i="34"/>
  <c r="K88" i="34"/>
  <c r="G88" i="34"/>
  <c r="AC87" i="34"/>
  <c r="Y87" i="34"/>
  <c r="U87" i="34"/>
  <c r="Q87" i="34"/>
  <c r="M87" i="34"/>
  <c r="I87" i="34"/>
  <c r="AE86" i="34"/>
  <c r="AA86" i="34"/>
  <c r="S86" i="34"/>
  <c r="K86" i="34"/>
  <c r="AC85" i="34"/>
  <c r="U85" i="34"/>
  <c r="M85" i="34"/>
  <c r="AE84" i="34"/>
  <c r="W84" i="34"/>
  <c r="O84" i="34"/>
  <c r="G84" i="34"/>
  <c r="Y83" i="34"/>
  <c r="Q83" i="34"/>
  <c r="I83" i="34"/>
  <c r="AA82" i="34"/>
  <c r="S82" i="34"/>
  <c r="K82" i="34"/>
  <c r="AC81" i="34"/>
  <c r="U81" i="34"/>
  <c r="M81" i="34"/>
  <c r="AE80" i="34"/>
  <c r="W80" i="34"/>
  <c r="O80" i="34"/>
  <c r="G80" i="34"/>
  <c r="Y79" i="34"/>
  <c r="Q79" i="34"/>
  <c r="I79" i="34"/>
  <c r="AA78" i="34"/>
  <c r="S78" i="34"/>
  <c r="K78" i="34"/>
  <c r="AC77" i="34"/>
  <c r="U77" i="34"/>
  <c r="M77" i="34"/>
  <c r="Y76" i="34"/>
  <c r="S75" i="34"/>
  <c r="M74" i="34"/>
  <c r="G73" i="34"/>
  <c r="AA71" i="34"/>
  <c r="U70" i="34"/>
  <c r="O69" i="34"/>
  <c r="I68" i="34"/>
  <c r="AC65" i="34"/>
  <c r="U61" i="34"/>
  <c r="Y51" i="34"/>
  <c r="Z86" i="34"/>
  <c r="V86" i="34"/>
  <c r="R86" i="34"/>
  <c r="N86" i="34"/>
  <c r="J86" i="34"/>
  <c r="AF85" i="34"/>
  <c r="AB85" i="34"/>
  <c r="X85" i="34"/>
  <c r="T85" i="34"/>
  <c r="P85" i="34"/>
  <c r="L85" i="34"/>
  <c r="H85" i="34"/>
  <c r="AD84" i="34"/>
  <c r="Z84" i="34"/>
  <c r="V84" i="34"/>
  <c r="R84" i="34"/>
  <c r="N84" i="34"/>
  <c r="J84" i="34"/>
  <c r="AF83" i="34"/>
  <c r="AB83" i="34"/>
  <c r="X83" i="34"/>
  <c r="T83" i="34"/>
  <c r="P83" i="34"/>
  <c r="L83" i="34"/>
  <c r="H83" i="34"/>
  <c r="AD82" i="34"/>
  <c r="Z82" i="34"/>
  <c r="V82" i="34"/>
  <c r="R82" i="34"/>
  <c r="N82" i="34"/>
  <c r="J82" i="34"/>
  <c r="AF81" i="34"/>
  <c r="AB81" i="34"/>
  <c r="X81" i="34"/>
  <c r="T81" i="34"/>
  <c r="P81" i="34"/>
  <c r="L81" i="34"/>
  <c r="H81" i="34"/>
  <c r="AD80" i="34"/>
  <c r="Z80" i="34"/>
  <c r="V80" i="34"/>
  <c r="R80" i="34"/>
  <c r="N80" i="34"/>
  <c r="J80" i="34"/>
  <c r="AF79" i="34"/>
  <c r="AB79" i="34"/>
  <c r="X79" i="34"/>
  <c r="T79" i="34"/>
  <c r="P79" i="34"/>
  <c r="L79" i="34"/>
  <c r="H79" i="34"/>
  <c r="AD78" i="34"/>
  <c r="Z78" i="34"/>
  <c r="V78" i="34"/>
  <c r="R78" i="34"/>
  <c r="N78" i="34"/>
  <c r="J78" i="34"/>
  <c r="AF77" i="34"/>
  <c r="AB77" i="34"/>
  <c r="X77" i="34"/>
  <c r="T77" i="34"/>
  <c r="P77" i="34"/>
  <c r="L77" i="34"/>
  <c r="H77" i="34"/>
  <c r="U76" i="34"/>
  <c r="AE75" i="34"/>
  <c r="O75" i="34"/>
  <c r="Y74" i="34"/>
  <c r="I74" i="34"/>
  <c r="S73" i="34"/>
  <c r="AC72" i="34"/>
  <c r="M72" i="34"/>
  <c r="W71" i="34"/>
  <c r="G71" i="34"/>
  <c r="Q70" i="34"/>
  <c r="AA69" i="34"/>
  <c r="K69" i="34"/>
  <c r="U68" i="34"/>
  <c r="AE67" i="34"/>
  <c r="AA66" i="34"/>
  <c r="U65" i="34"/>
  <c r="Q63" i="34"/>
  <c r="AE60" i="34"/>
  <c r="S58" i="34"/>
  <c r="R48" i="34"/>
  <c r="Y86" i="34"/>
  <c r="U86" i="34"/>
  <c r="Q86" i="34"/>
  <c r="M86" i="34"/>
  <c r="I86" i="34"/>
  <c r="AE85" i="34"/>
  <c r="AA85" i="34"/>
  <c r="W85" i="34"/>
  <c r="S85" i="34"/>
  <c r="O85" i="34"/>
  <c r="K85" i="34"/>
  <c r="G85" i="34"/>
  <c r="AC84" i="34"/>
  <c r="Y84" i="34"/>
  <c r="U84" i="34"/>
  <c r="Q84" i="34"/>
  <c r="M84" i="34"/>
  <c r="I84" i="34"/>
  <c r="AE83" i="34"/>
  <c r="AA83" i="34"/>
  <c r="W83" i="34"/>
  <c r="S83" i="34"/>
  <c r="O83" i="34"/>
  <c r="K83" i="34"/>
  <c r="G83" i="34"/>
  <c r="AC82" i="34"/>
  <c r="Y82" i="34"/>
  <c r="U82" i="34"/>
  <c r="Q82" i="34"/>
  <c r="M82" i="34"/>
  <c r="I82" i="34"/>
  <c r="AE81" i="34"/>
  <c r="AA81" i="34"/>
  <c r="W81" i="34"/>
  <c r="S81" i="34"/>
  <c r="O81" i="34"/>
  <c r="K81" i="34"/>
  <c r="G81" i="34"/>
  <c r="AC80" i="34"/>
  <c r="Y80" i="34"/>
  <c r="U80" i="34"/>
  <c r="Q80" i="34"/>
  <c r="M80" i="34"/>
  <c r="I80" i="34"/>
  <c r="AE79" i="34"/>
  <c r="AA79" i="34"/>
  <c r="W79" i="34"/>
  <c r="S79" i="34"/>
  <c r="O79" i="34"/>
  <c r="K79" i="34"/>
  <c r="G79" i="34"/>
  <c r="AC78" i="34"/>
  <c r="Y78" i="34"/>
  <c r="U78" i="34"/>
  <c r="Q78" i="34"/>
  <c r="M78" i="34"/>
  <c r="I78" i="34"/>
  <c r="AE77" i="34"/>
  <c r="AA77" i="34"/>
  <c r="W77" i="34"/>
  <c r="S77" i="34"/>
  <c r="O77" i="34"/>
  <c r="K77" i="34"/>
  <c r="G77" i="34"/>
  <c r="Q76" i="34"/>
  <c r="AA75" i="34"/>
  <c r="K75" i="34"/>
  <c r="U74" i="34"/>
  <c r="AE73" i="34"/>
  <c r="O73" i="34"/>
  <c r="Y72" i="34"/>
  <c r="I72" i="34"/>
  <c r="S71" i="34"/>
  <c r="AC70" i="34"/>
  <c r="M70" i="34"/>
  <c r="W69" i="34"/>
  <c r="G69" i="34"/>
  <c r="Q68" i="34"/>
  <c r="Y67" i="34"/>
  <c r="S66" i="34"/>
  <c r="M65" i="34"/>
  <c r="AA62" i="34"/>
  <c r="O60" i="34"/>
  <c r="Q57" i="34"/>
  <c r="AE42" i="34"/>
  <c r="AF76" i="34"/>
  <c r="AB76" i="34"/>
  <c r="X76" i="34"/>
  <c r="T76" i="34"/>
  <c r="P76" i="34"/>
  <c r="L76" i="34"/>
  <c r="H76" i="34"/>
  <c r="AD75" i="34"/>
  <c r="Z75" i="34"/>
  <c r="V75" i="34"/>
  <c r="R75" i="34"/>
  <c r="N75" i="34"/>
  <c r="J75" i="34"/>
  <c r="AF74" i="34"/>
  <c r="AB74" i="34"/>
  <c r="X74" i="34"/>
  <c r="T74" i="34"/>
  <c r="P74" i="34"/>
  <c r="L74" i="34"/>
  <c r="H74" i="34"/>
  <c r="AD73" i="34"/>
  <c r="Z73" i="34"/>
  <c r="V73" i="34"/>
  <c r="R73" i="34"/>
  <c r="N73" i="34"/>
  <c r="J73" i="34"/>
  <c r="AF72" i="34"/>
  <c r="AB72" i="34"/>
  <c r="X72" i="34"/>
  <c r="T72" i="34"/>
  <c r="P72" i="34"/>
  <c r="L72" i="34"/>
  <c r="H72" i="34"/>
  <c r="AD71" i="34"/>
  <c r="Z71" i="34"/>
  <c r="V71" i="34"/>
  <c r="R71" i="34"/>
  <c r="N71" i="34"/>
  <c r="J71" i="34"/>
  <c r="AF70" i="34"/>
  <c r="AB70" i="34"/>
  <c r="X70" i="34"/>
  <c r="T70" i="34"/>
  <c r="P70" i="34"/>
  <c r="L70" i="34"/>
  <c r="H70" i="34"/>
  <c r="AD69" i="34"/>
  <c r="Z69" i="34"/>
  <c r="V69" i="34"/>
  <c r="R69" i="34"/>
  <c r="N69" i="34"/>
  <c r="J69" i="34"/>
  <c r="AF68" i="34"/>
  <c r="AB68" i="34"/>
  <c r="X68" i="34"/>
  <c r="T68" i="34"/>
  <c r="P68" i="34"/>
  <c r="L68" i="34"/>
  <c r="H68" i="34"/>
  <c r="AD67" i="34"/>
  <c r="V67" i="34"/>
  <c r="N67" i="34"/>
  <c r="AF66" i="34"/>
  <c r="X66" i="34"/>
  <c r="P66" i="34"/>
  <c r="H66" i="34"/>
  <c r="Z65" i="34"/>
  <c r="R65" i="34"/>
  <c r="I65" i="34"/>
  <c r="S64" i="34"/>
  <c r="AC63" i="34"/>
  <c r="M63" i="34"/>
  <c r="W62" i="34"/>
  <c r="G62" i="34"/>
  <c r="Q61" i="34"/>
  <c r="AA60" i="34"/>
  <c r="K60" i="34"/>
  <c r="U59" i="34"/>
  <c r="AE58" i="34"/>
  <c r="O58" i="34"/>
  <c r="AA56" i="34"/>
  <c r="K54" i="34"/>
  <c r="AD50" i="34"/>
  <c r="V47" i="34"/>
  <c r="X39" i="34"/>
  <c r="AE76" i="34"/>
  <c r="AA76" i="34"/>
  <c r="W76" i="34"/>
  <c r="S76" i="34"/>
  <c r="O76" i="34"/>
  <c r="K76" i="34"/>
  <c r="G76" i="34"/>
  <c r="AC75" i="34"/>
  <c r="Y75" i="34"/>
  <c r="U75" i="34"/>
  <c r="Q75" i="34"/>
  <c r="M75" i="34"/>
  <c r="I75" i="34"/>
  <c r="AE74" i="34"/>
  <c r="AA74" i="34"/>
  <c r="W74" i="34"/>
  <c r="S74" i="34"/>
  <c r="O74" i="34"/>
  <c r="K74" i="34"/>
  <c r="G74" i="34"/>
  <c r="AC73" i="34"/>
  <c r="Y73" i="34"/>
  <c r="U73" i="34"/>
  <c r="Q73" i="34"/>
  <c r="M73" i="34"/>
  <c r="I73" i="34"/>
  <c r="AE72" i="34"/>
  <c r="AA72" i="34"/>
  <c r="W72" i="34"/>
  <c r="S72" i="34"/>
  <c r="O72" i="34"/>
  <c r="K72" i="34"/>
  <c r="G72" i="34"/>
  <c r="AC71" i="34"/>
  <c r="Y71" i="34"/>
  <c r="U71" i="34"/>
  <c r="Q71" i="34"/>
  <c r="M71" i="34"/>
  <c r="I71" i="34"/>
  <c r="AE70" i="34"/>
  <c r="AA70" i="34"/>
  <c r="W70" i="34"/>
  <c r="S70" i="34"/>
  <c r="O70" i="34"/>
  <c r="K70" i="34"/>
  <c r="G70" i="34"/>
  <c r="AC69" i="34"/>
  <c r="Y69" i="34"/>
  <c r="U69" i="34"/>
  <c r="Q69" i="34"/>
  <c r="M69" i="34"/>
  <c r="I69" i="34"/>
  <c r="AE68" i="34"/>
  <c r="AA68" i="34"/>
  <c r="W68" i="34"/>
  <c r="S68" i="34"/>
  <c r="O68" i="34"/>
  <c r="K68" i="34"/>
  <c r="G68" i="34"/>
  <c r="AC67" i="34"/>
  <c r="U67" i="34"/>
  <c r="M67" i="34"/>
  <c r="AE66" i="34"/>
  <c r="W66" i="34"/>
  <c r="O66" i="34"/>
  <c r="G66" i="34"/>
  <c r="Y65" i="34"/>
  <c r="Q65" i="34"/>
  <c r="AE64" i="34"/>
  <c r="O64" i="34"/>
  <c r="Y63" i="34"/>
  <c r="I63" i="34"/>
  <c r="S62" i="34"/>
  <c r="AC61" i="34"/>
  <c r="M61" i="34"/>
  <c r="W60" i="34"/>
  <c r="G60" i="34"/>
  <c r="Q59" i="34"/>
  <c r="AA58" i="34"/>
  <c r="K58" i="34"/>
  <c r="K56" i="34"/>
  <c r="P53" i="34"/>
  <c r="H50" i="34"/>
  <c r="X46" i="34"/>
  <c r="P35" i="34"/>
  <c r="AD76" i="34"/>
  <c r="Z76" i="34"/>
  <c r="V76" i="34"/>
  <c r="R76" i="34"/>
  <c r="N76" i="34"/>
  <c r="J76" i="34"/>
  <c r="AF75" i="34"/>
  <c r="AB75" i="34"/>
  <c r="X75" i="34"/>
  <c r="T75" i="34"/>
  <c r="P75" i="34"/>
  <c r="L75" i="34"/>
  <c r="H75" i="34"/>
  <c r="AD74" i="34"/>
  <c r="Z74" i="34"/>
  <c r="V74" i="34"/>
  <c r="R74" i="34"/>
  <c r="N74" i="34"/>
  <c r="J74" i="34"/>
  <c r="AF73" i="34"/>
  <c r="AB73" i="34"/>
  <c r="X73" i="34"/>
  <c r="T73" i="34"/>
  <c r="P73" i="34"/>
  <c r="L73" i="34"/>
  <c r="H73" i="34"/>
  <c r="AD72" i="34"/>
  <c r="Z72" i="34"/>
  <c r="V72" i="34"/>
  <c r="R72" i="34"/>
  <c r="N72" i="34"/>
  <c r="J72" i="34"/>
  <c r="AF71" i="34"/>
  <c r="AB71" i="34"/>
  <c r="X71" i="34"/>
  <c r="T71" i="34"/>
  <c r="P71" i="34"/>
  <c r="L71" i="34"/>
  <c r="H71" i="34"/>
  <c r="AD70" i="34"/>
  <c r="Z70" i="34"/>
  <c r="V70" i="34"/>
  <c r="R70" i="34"/>
  <c r="N70" i="34"/>
  <c r="J70" i="34"/>
  <c r="AF69" i="34"/>
  <c r="AB69" i="34"/>
  <c r="X69" i="34"/>
  <c r="T69" i="34"/>
  <c r="P69" i="34"/>
  <c r="L69" i="34"/>
  <c r="H69" i="34"/>
  <c r="AD68" i="34"/>
  <c r="Z68" i="34"/>
  <c r="V68" i="34"/>
  <c r="R68" i="34"/>
  <c r="N68" i="34"/>
  <c r="J68" i="34"/>
  <c r="AF67" i="34"/>
  <c r="Z67" i="34"/>
  <c r="R67" i="34"/>
  <c r="J67" i="34"/>
  <c r="AB66" i="34"/>
  <c r="T66" i="34"/>
  <c r="L66" i="34"/>
  <c r="AD65" i="34"/>
  <c r="V65" i="34"/>
  <c r="N65" i="34"/>
  <c r="AA64" i="34"/>
  <c r="K64" i="34"/>
  <c r="U63" i="34"/>
  <c r="AE62" i="34"/>
  <c r="O62" i="34"/>
  <c r="Y61" i="34"/>
  <c r="I61" i="34"/>
  <c r="S60" i="34"/>
  <c r="AC59" i="34"/>
  <c r="M59" i="34"/>
  <c r="W58" i="34"/>
  <c r="AC57" i="34"/>
  <c r="U55" i="34"/>
  <c r="T52" i="34"/>
  <c r="M49" i="34"/>
  <c r="V45" i="34"/>
  <c r="AF27" i="34"/>
  <c r="AB67" i="34"/>
  <c r="X67" i="34"/>
  <c r="T67" i="34"/>
  <c r="P67" i="34"/>
  <c r="L67" i="34"/>
  <c r="H67" i="34"/>
  <c r="AD66" i="34"/>
  <c r="Z66" i="34"/>
  <c r="V66" i="34"/>
  <c r="R66" i="34"/>
  <c r="N66" i="34"/>
  <c r="J66" i="34"/>
  <c r="AF65" i="34"/>
  <c r="AB65" i="34"/>
  <c r="X65" i="34"/>
  <c r="T65" i="34"/>
  <c r="P65" i="34"/>
  <c r="L65" i="34"/>
  <c r="H65" i="34"/>
  <c r="AD64" i="34"/>
  <c r="Z64" i="34"/>
  <c r="V64" i="34"/>
  <c r="R64" i="34"/>
  <c r="N64" i="34"/>
  <c r="J64" i="34"/>
  <c r="AF63" i="34"/>
  <c r="AB63" i="34"/>
  <c r="X63" i="34"/>
  <c r="T63" i="34"/>
  <c r="P63" i="34"/>
  <c r="L63" i="34"/>
  <c r="H63" i="34"/>
  <c r="AD62" i="34"/>
  <c r="Z62" i="34"/>
  <c r="V62" i="34"/>
  <c r="R62" i="34"/>
  <c r="N62" i="34"/>
  <c r="J62" i="34"/>
  <c r="AF61" i="34"/>
  <c r="AB61" i="34"/>
  <c r="X61" i="34"/>
  <c r="T61" i="34"/>
  <c r="P61" i="34"/>
  <c r="L61" i="34"/>
  <c r="H61" i="34"/>
  <c r="AD60" i="34"/>
  <c r="Z60" i="34"/>
  <c r="V60" i="34"/>
  <c r="R60" i="34"/>
  <c r="N60" i="34"/>
  <c r="J60" i="34"/>
  <c r="AF59" i="34"/>
  <c r="AB59" i="34"/>
  <c r="X59" i="34"/>
  <c r="T59" i="34"/>
  <c r="P59" i="34"/>
  <c r="L59" i="34"/>
  <c r="H59" i="34"/>
  <c r="AD58" i="34"/>
  <c r="Z58" i="34"/>
  <c r="V58" i="34"/>
  <c r="R58" i="34"/>
  <c r="N58" i="34"/>
  <c r="H58" i="34"/>
  <c r="Z57" i="34"/>
  <c r="M57" i="34"/>
  <c r="W56" i="34"/>
  <c r="G56" i="34"/>
  <c r="Q55" i="34"/>
  <c r="AA54" i="34"/>
  <c r="AF53" i="34"/>
  <c r="J53" i="34"/>
  <c r="O52" i="34"/>
  <c r="T51" i="34"/>
  <c r="X50" i="34"/>
  <c r="AC49" i="34"/>
  <c r="H49" i="34"/>
  <c r="L48" i="34"/>
  <c r="Q47" i="34"/>
  <c r="R46" i="34"/>
  <c r="M45" i="34"/>
  <c r="J42" i="34"/>
  <c r="W38" i="34"/>
  <c r="N34" i="34"/>
  <c r="AE24" i="34"/>
  <c r="AA67" i="34"/>
  <c r="W67" i="34"/>
  <c r="S67" i="34"/>
  <c r="O67" i="34"/>
  <c r="K67" i="34"/>
  <c r="G67" i="34"/>
  <c r="AC66" i="34"/>
  <c r="Y66" i="34"/>
  <c r="U66" i="34"/>
  <c r="Q66" i="34"/>
  <c r="M66" i="34"/>
  <c r="I66" i="34"/>
  <c r="AE65" i="34"/>
  <c r="AA65" i="34"/>
  <c r="W65" i="34"/>
  <c r="S65" i="34"/>
  <c r="O65" i="34"/>
  <c r="K65" i="34"/>
  <c r="G65" i="34"/>
  <c r="AC64" i="34"/>
  <c r="Y64" i="34"/>
  <c r="U64" i="34"/>
  <c r="Q64" i="34"/>
  <c r="M64" i="34"/>
  <c r="I64" i="34"/>
  <c r="AE63" i="34"/>
  <c r="AA63" i="34"/>
  <c r="W63" i="34"/>
  <c r="S63" i="34"/>
  <c r="O63" i="34"/>
  <c r="K63" i="34"/>
  <c r="G63" i="34"/>
  <c r="AC62" i="34"/>
  <c r="Y62" i="34"/>
  <c r="U62" i="34"/>
  <c r="Q62" i="34"/>
  <c r="M62" i="34"/>
  <c r="I62" i="34"/>
  <c r="AE61" i="34"/>
  <c r="AA61" i="34"/>
  <c r="W61" i="34"/>
  <c r="S61" i="34"/>
  <c r="O61" i="34"/>
  <c r="K61" i="34"/>
  <c r="G61" i="34"/>
  <c r="AC60" i="34"/>
  <c r="Y60" i="34"/>
  <c r="U60" i="34"/>
  <c r="Q60" i="34"/>
  <c r="M60" i="34"/>
  <c r="I60" i="34"/>
  <c r="AE59" i="34"/>
  <c r="AA59" i="34"/>
  <c r="W59" i="34"/>
  <c r="S59" i="34"/>
  <c r="O59" i="34"/>
  <c r="K59" i="34"/>
  <c r="G59" i="34"/>
  <c r="AC58" i="34"/>
  <c r="Y58" i="34"/>
  <c r="U58" i="34"/>
  <c r="Q58" i="34"/>
  <c r="M58" i="34"/>
  <c r="G58" i="34"/>
  <c r="Y57" i="34"/>
  <c r="I57" i="34"/>
  <c r="S56" i="34"/>
  <c r="AC55" i="34"/>
  <c r="M55" i="34"/>
  <c r="V54" i="34"/>
  <c r="Z53" i="34"/>
  <c r="AE52" i="34"/>
  <c r="J52" i="34"/>
  <c r="N51" i="34"/>
  <c r="S50" i="34"/>
  <c r="X49" i="34"/>
  <c r="AB48" i="34"/>
  <c r="G48" i="34"/>
  <c r="L47" i="34"/>
  <c r="J46" i="34"/>
  <c r="V44" i="34"/>
  <c r="N41" i="34"/>
  <c r="U37" i="34"/>
  <c r="AA32" i="34"/>
  <c r="M20" i="34"/>
  <c r="J65" i="34"/>
  <c r="AF64" i="34"/>
  <c r="AB64" i="34"/>
  <c r="X64" i="34"/>
  <c r="T64" i="34"/>
  <c r="P64" i="34"/>
  <c r="L64" i="34"/>
  <c r="H64" i="34"/>
  <c r="AD63" i="34"/>
  <c r="Z63" i="34"/>
  <c r="V63" i="34"/>
  <c r="R63" i="34"/>
  <c r="N63" i="34"/>
  <c r="J63" i="34"/>
  <c r="AF62" i="34"/>
  <c r="AB62" i="34"/>
  <c r="X62" i="34"/>
  <c r="T62" i="34"/>
  <c r="P62" i="34"/>
  <c r="L62" i="34"/>
  <c r="H62" i="34"/>
  <c r="AD61" i="34"/>
  <c r="Z61" i="34"/>
  <c r="V61" i="34"/>
  <c r="R61" i="34"/>
  <c r="N61" i="34"/>
  <c r="J61" i="34"/>
  <c r="AF60" i="34"/>
  <c r="AB60" i="34"/>
  <c r="X60" i="34"/>
  <c r="T60" i="34"/>
  <c r="P60" i="34"/>
  <c r="L60" i="34"/>
  <c r="H60" i="34"/>
  <c r="AD59" i="34"/>
  <c r="Z59" i="34"/>
  <c r="V59" i="34"/>
  <c r="R59" i="34"/>
  <c r="N59" i="34"/>
  <c r="J59" i="34"/>
  <c r="AF58" i="34"/>
  <c r="AB58" i="34"/>
  <c r="X58" i="34"/>
  <c r="T58" i="34"/>
  <c r="P58" i="34"/>
  <c r="L58" i="34"/>
  <c r="AD57" i="34"/>
  <c r="U57" i="34"/>
  <c r="AE56" i="34"/>
  <c r="O56" i="34"/>
  <c r="Y55" i="34"/>
  <c r="I55" i="34"/>
  <c r="P54" i="34"/>
  <c r="U53" i="34"/>
  <c r="Z52" i="34"/>
  <c r="AD51" i="34"/>
  <c r="I51" i="34"/>
  <c r="N50" i="34"/>
  <c r="R49" i="34"/>
  <c r="W48" i="34"/>
  <c r="AB47" i="34"/>
  <c r="AE46" i="34"/>
  <c r="AC45" i="34"/>
  <c r="Z43" i="34"/>
  <c r="S40" i="34"/>
  <c r="S36" i="34"/>
  <c r="T30" i="34"/>
  <c r="O15" i="34"/>
  <c r="J58" i="34"/>
  <c r="AF57" i="34"/>
  <c r="AB57" i="34"/>
  <c r="X57" i="34"/>
  <c r="T57" i="34"/>
  <c r="P57" i="34"/>
  <c r="L57" i="34"/>
  <c r="H57" i="34"/>
  <c r="AD56" i="34"/>
  <c r="Z56" i="34"/>
  <c r="V56" i="34"/>
  <c r="R56" i="34"/>
  <c r="N56" i="34"/>
  <c r="J56" i="34"/>
  <c r="AF55" i="34"/>
  <c r="AB55" i="34"/>
  <c r="X55" i="34"/>
  <c r="T55" i="34"/>
  <c r="P55" i="34"/>
  <c r="L55" i="34"/>
  <c r="H55" i="34"/>
  <c r="AD54" i="34"/>
  <c r="Z54" i="34"/>
  <c r="T54" i="34"/>
  <c r="O54" i="34"/>
  <c r="J54" i="34"/>
  <c r="AD53" i="34"/>
  <c r="Y53" i="34"/>
  <c r="T53" i="34"/>
  <c r="N53" i="34"/>
  <c r="I53" i="34"/>
  <c r="AD52" i="34"/>
  <c r="X52" i="34"/>
  <c r="S52" i="34"/>
  <c r="N52" i="34"/>
  <c r="H52" i="34"/>
  <c r="AC51" i="34"/>
  <c r="X51" i="34"/>
  <c r="R51" i="34"/>
  <c r="M51" i="34"/>
  <c r="H51" i="34"/>
  <c r="AB50" i="34"/>
  <c r="W50" i="34"/>
  <c r="R50" i="34"/>
  <c r="L50" i="34"/>
  <c r="G50" i="34"/>
  <c r="AB49" i="34"/>
  <c r="V49" i="34"/>
  <c r="Q49" i="34"/>
  <c r="L49" i="34"/>
  <c r="AF48" i="34"/>
  <c r="AA48" i="34"/>
  <c r="V48" i="34"/>
  <c r="P48" i="34"/>
  <c r="K48" i="34"/>
  <c r="AF47" i="34"/>
  <c r="Z47" i="34"/>
  <c r="U47" i="34"/>
  <c r="P47" i="34"/>
  <c r="J47" i="34"/>
  <c r="AD46" i="34"/>
  <c r="W46" i="34"/>
  <c r="O46" i="34"/>
  <c r="H46" i="34"/>
  <c r="AB45" i="34"/>
  <c r="T45" i="34"/>
  <c r="L45" i="34"/>
  <c r="P44" i="34"/>
  <c r="U43" i="34"/>
  <c r="Z42" i="34"/>
  <c r="AD41" i="34"/>
  <c r="I41" i="34"/>
  <c r="N40" i="34"/>
  <c r="R39" i="34"/>
  <c r="P38" i="34"/>
  <c r="N37" i="34"/>
  <c r="K36" i="34"/>
  <c r="I35" i="34"/>
  <c r="G34" i="34"/>
  <c r="K32" i="34"/>
  <c r="H30" i="34"/>
  <c r="M27" i="34"/>
  <c r="AC23" i="34"/>
  <c r="K19" i="34"/>
  <c r="AE13" i="34"/>
  <c r="I58" i="34"/>
  <c r="AE57" i="34"/>
  <c r="AA57" i="34"/>
  <c r="W57" i="34"/>
  <c r="S57" i="34"/>
  <c r="O57" i="34"/>
  <c r="K57" i="34"/>
  <c r="G57" i="34"/>
  <c r="AC56" i="34"/>
  <c r="Y56" i="34"/>
  <c r="U56" i="34"/>
  <c r="Q56" i="34"/>
  <c r="M56" i="34"/>
  <c r="I56" i="34"/>
  <c r="AE55" i="34"/>
  <c r="AA55" i="34"/>
  <c r="W55" i="34"/>
  <c r="S55" i="34"/>
  <c r="O55" i="34"/>
  <c r="K55" i="34"/>
  <c r="G55" i="34"/>
  <c r="AC54" i="34"/>
  <c r="X54" i="34"/>
  <c r="S54" i="34"/>
  <c r="N54" i="34"/>
  <c r="H54" i="34"/>
  <c r="AC53" i="34"/>
  <c r="X53" i="34"/>
  <c r="R53" i="34"/>
  <c r="M53" i="34"/>
  <c r="H53" i="34"/>
  <c r="AB52" i="34"/>
  <c r="W52" i="34"/>
  <c r="R52" i="34"/>
  <c r="L52" i="34"/>
  <c r="G52" i="34"/>
  <c r="AB51" i="34"/>
  <c r="V51" i="34"/>
  <c r="Q51" i="34"/>
  <c r="L51" i="34"/>
  <c r="AF50" i="34"/>
  <c r="AA50" i="34"/>
  <c r="V50" i="34"/>
  <c r="P50" i="34"/>
  <c r="K50" i="34"/>
  <c r="AF49" i="34"/>
  <c r="Z49" i="34"/>
  <c r="U49" i="34"/>
  <c r="P49" i="34"/>
  <c r="J49" i="34"/>
  <c r="AE48" i="34"/>
  <c r="Z48" i="34"/>
  <c r="T48" i="34"/>
  <c r="O48" i="34"/>
  <c r="J48" i="34"/>
  <c r="AD47" i="34"/>
  <c r="Y47" i="34"/>
  <c r="T47" i="34"/>
  <c r="N47" i="34"/>
  <c r="I47" i="34"/>
  <c r="AB46" i="34"/>
  <c r="T46" i="34"/>
  <c r="N46" i="34"/>
  <c r="G46" i="34"/>
  <c r="Y45" i="34"/>
  <c r="R45" i="34"/>
  <c r="AF44" i="34"/>
  <c r="K44" i="34"/>
  <c r="P43" i="34"/>
  <c r="T42" i="34"/>
  <c r="Y41" i="34"/>
  <c r="AD40" i="34"/>
  <c r="H40" i="34"/>
  <c r="L39" i="34"/>
  <c r="J38" i="34"/>
  <c r="AF36" i="34"/>
  <c r="AD35" i="34"/>
  <c r="AB34" i="34"/>
  <c r="V33" i="34"/>
  <c r="Y31" i="34"/>
  <c r="Q29" i="34"/>
  <c r="R26" i="34"/>
  <c r="H23" i="34"/>
  <c r="AB17" i="34"/>
  <c r="R12" i="34"/>
  <c r="V57" i="34"/>
  <c r="R57" i="34"/>
  <c r="N57" i="34"/>
  <c r="J57" i="34"/>
  <c r="AF56" i="34"/>
  <c r="AB56" i="34"/>
  <c r="X56" i="34"/>
  <c r="T56" i="34"/>
  <c r="P56" i="34"/>
  <c r="L56" i="34"/>
  <c r="H56" i="34"/>
  <c r="AD55" i="34"/>
  <c r="Z55" i="34"/>
  <c r="V55" i="34"/>
  <c r="R55" i="34"/>
  <c r="N55" i="34"/>
  <c r="J55" i="34"/>
  <c r="AF54" i="34"/>
  <c r="AB54" i="34"/>
  <c r="W54" i="34"/>
  <c r="R54" i="34"/>
  <c r="L54" i="34"/>
  <c r="G54" i="34"/>
  <c r="AB53" i="34"/>
  <c r="V53" i="34"/>
  <c r="Q53" i="34"/>
  <c r="L53" i="34"/>
  <c r="AF52" i="34"/>
  <c r="AA52" i="34"/>
  <c r="V52" i="34"/>
  <c r="P52" i="34"/>
  <c r="K52" i="34"/>
  <c r="AF51" i="34"/>
  <c r="Z51" i="34"/>
  <c r="U51" i="34"/>
  <c r="P51" i="34"/>
  <c r="J51" i="34"/>
  <c r="AE50" i="34"/>
  <c r="Z50" i="34"/>
  <c r="T50" i="34"/>
  <c r="O50" i="34"/>
  <c r="J50" i="34"/>
  <c r="AD49" i="34"/>
  <c r="Y49" i="34"/>
  <c r="T49" i="34"/>
  <c r="N49" i="34"/>
  <c r="I49" i="34"/>
  <c r="AD48" i="34"/>
  <c r="X48" i="34"/>
  <c r="S48" i="34"/>
  <c r="N48" i="34"/>
  <c r="H48" i="34"/>
  <c r="AC47" i="34"/>
  <c r="X47" i="34"/>
  <c r="R47" i="34"/>
  <c r="M47" i="34"/>
  <c r="H47" i="34"/>
  <c r="Z46" i="34"/>
  <c r="S46" i="34"/>
  <c r="L46" i="34"/>
  <c r="AD45" i="34"/>
  <c r="X45" i="34"/>
  <c r="Q45" i="34"/>
  <c r="AA44" i="34"/>
  <c r="AF43" i="34"/>
  <c r="J43" i="34"/>
  <c r="O42" i="34"/>
  <c r="T41" i="34"/>
  <c r="X40" i="34"/>
  <c r="AC39" i="34"/>
  <c r="AE38" i="34"/>
  <c r="AB37" i="34"/>
  <c r="Z36" i="34"/>
  <c r="X35" i="34"/>
  <c r="T34" i="34"/>
  <c r="N33" i="34"/>
  <c r="J31" i="34"/>
  <c r="V28" i="34"/>
  <c r="AB25" i="34"/>
  <c r="X21" i="34"/>
  <c r="Q16" i="34"/>
  <c r="P11" i="34"/>
  <c r="N45" i="34"/>
  <c r="I45" i="34"/>
  <c r="AD44" i="34"/>
  <c r="X44" i="34"/>
  <c r="S44" i="34"/>
  <c r="N44" i="34"/>
  <c r="H44" i="34"/>
  <c r="AC43" i="34"/>
  <c r="X43" i="34"/>
  <c r="R43" i="34"/>
  <c r="M43" i="34"/>
  <c r="H43" i="34"/>
  <c r="AB42" i="34"/>
  <c r="W42" i="34"/>
  <c r="R42" i="34"/>
  <c r="L42" i="34"/>
  <c r="G42" i="34"/>
  <c r="AB41" i="34"/>
  <c r="V41" i="34"/>
  <c r="Q41" i="34"/>
  <c r="L41" i="34"/>
  <c r="AF40" i="34"/>
  <c r="AA40" i="34"/>
  <c r="V40" i="34"/>
  <c r="P40" i="34"/>
  <c r="K40" i="34"/>
  <c r="AF39" i="34"/>
  <c r="Z39" i="34"/>
  <c r="U39" i="34"/>
  <c r="P39" i="34"/>
  <c r="H39" i="34"/>
  <c r="AA38" i="34"/>
  <c r="T38" i="34"/>
  <c r="L38" i="34"/>
  <c r="AF37" i="34"/>
  <c r="Y37" i="34"/>
  <c r="Q37" i="34"/>
  <c r="J37" i="34"/>
  <c r="AD36" i="34"/>
  <c r="V36" i="34"/>
  <c r="O36" i="34"/>
  <c r="H36" i="34"/>
  <c r="Z35" i="34"/>
  <c r="T35" i="34"/>
  <c r="M35" i="34"/>
  <c r="AE34" i="34"/>
  <c r="X34" i="34"/>
  <c r="R34" i="34"/>
  <c r="J34" i="34"/>
  <c r="AB33" i="34"/>
  <c r="T33" i="34"/>
  <c r="AF32" i="34"/>
  <c r="T32" i="34"/>
  <c r="AF31" i="34"/>
  <c r="P31" i="34"/>
  <c r="AD30" i="34"/>
  <c r="O30" i="34"/>
  <c r="Y29" i="34"/>
  <c r="I29" i="34"/>
  <c r="O28" i="34"/>
  <c r="T27" i="34"/>
  <c r="AD26" i="34"/>
  <c r="J26" i="34"/>
  <c r="N25" i="34"/>
  <c r="S24" i="34"/>
  <c r="T23" i="34"/>
  <c r="M22" i="34"/>
  <c r="I21" i="34"/>
  <c r="AA19" i="34"/>
  <c r="O18" i="34"/>
  <c r="L17" i="34"/>
  <c r="AC15" i="34"/>
  <c r="O14" i="34"/>
  <c r="M13" i="34"/>
  <c r="G12" i="34"/>
  <c r="U10" i="34"/>
  <c r="H45" i="34"/>
  <c r="AB44" i="34"/>
  <c r="W44" i="34"/>
  <c r="R44" i="34"/>
  <c r="L44" i="34"/>
  <c r="G44" i="34"/>
  <c r="AB43" i="34"/>
  <c r="V43" i="34"/>
  <c r="Q43" i="34"/>
  <c r="L43" i="34"/>
  <c r="AF42" i="34"/>
  <c r="AA42" i="34"/>
  <c r="V42" i="34"/>
  <c r="P42" i="34"/>
  <c r="K42" i="34"/>
  <c r="AF41" i="34"/>
  <c r="Z41" i="34"/>
  <c r="U41" i="34"/>
  <c r="P41" i="34"/>
  <c r="J41" i="34"/>
  <c r="AE40" i="34"/>
  <c r="Z40" i="34"/>
  <c r="T40" i="34"/>
  <c r="O40" i="34"/>
  <c r="J40" i="34"/>
  <c r="AD39" i="34"/>
  <c r="Y39" i="34"/>
  <c r="T39" i="34"/>
  <c r="M39" i="34"/>
  <c r="AF38" i="34"/>
  <c r="Z38" i="34"/>
  <c r="R38" i="34"/>
  <c r="K38" i="34"/>
  <c r="AD37" i="34"/>
  <c r="V37" i="34"/>
  <c r="P37" i="34"/>
  <c r="I37" i="34"/>
  <c r="AA36" i="34"/>
  <c r="T36" i="34"/>
  <c r="N36" i="34"/>
  <c r="AF35" i="34"/>
  <c r="Y35" i="34"/>
  <c r="R35" i="34"/>
  <c r="J35" i="34"/>
  <c r="AD34" i="34"/>
  <c r="W34" i="34"/>
  <c r="O34" i="34"/>
  <c r="H34" i="34"/>
  <c r="Z33" i="34"/>
  <c r="P33" i="34"/>
  <c r="AE32" i="34"/>
  <c r="P32" i="34"/>
  <c r="Z31" i="34"/>
  <c r="N31" i="34"/>
  <c r="Z30" i="34"/>
  <c r="J30" i="34"/>
  <c r="V29" i="34"/>
  <c r="AD28" i="34"/>
  <c r="H28" i="34"/>
  <c r="R27" i="34"/>
  <c r="X26" i="34"/>
  <c r="AC25" i="34"/>
  <c r="M25" i="34"/>
  <c r="L24" i="34"/>
  <c r="I23" i="34"/>
  <c r="G22" i="34"/>
  <c r="AA20" i="34"/>
  <c r="M19" i="34"/>
  <c r="K18" i="34"/>
  <c r="AA16" i="34"/>
  <c r="P15" i="34"/>
  <c r="N14" i="34"/>
  <c r="AD12" i="34"/>
  <c r="S11" i="34"/>
  <c r="Q10" i="34"/>
  <c r="AF46" i="34"/>
  <c r="AA46" i="34"/>
  <c r="V46" i="34"/>
  <c r="P46" i="34"/>
  <c r="K46" i="34"/>
  <c r="AF45" i="34"/>
  <c r="Z45" i="34"/>
  <c r="U45" i="34"/>
  <c r="P45" i="34"/>
  <c r="J45" i="34"/>
  <c r="AE44" i="34"/>
  <c r="Z44" i="34"/>
  <c r="T44" i="34"/>
  <c r="O44" i="34"/>
  <c r="J44" i="34"/>
  <c r="AD43" i="34"/>
  <c r="Y43" i="34"/>
  <c r="T43" i="34"/>
  <c r="N43" i="34"/>
  <c r="I43" i="34"/>
  <c r="AD42" i="34"/>
  <c r="X42" i="34"/>
  <c r="S42" i="34"/>
  <c r="N42" i="34"/>
  <c r="H42" i="34"/>
  <c r="AC41" i="34"/>
  <c r="X41" i="34"/>
  <c r="R41" i="34"/>
  <c r="M41" i="34"/>
  <c r="H41" i="34"/>
  <c r="AB40" i="34"/>
  <c r="W40" i="34"/>
  <c r="R40" i="34"/>
  <c r="L40" i="34"/>
  <c r="G40" i="34"/>
  <c r="AB39" i="34"/>
  <c r="V39" i="34"/>
  <c r="Q39" i="34"/>
  <c r="J39" i="34"/>
  <c r="AB38" i="34"/>
  <c r="V38" i="34"/>
  <c r="O38" i="34"/>
  <c r="G38" i="34"/>
  <c r="Z37" i="34"/>
  <c r="T37" i="34"/>
  <c r="L37" i="34"/>
  <c r="AE36" i="34"/>
  <c r="X36" i="34"/>
  <c r="P36" i="34"/>
  <c r="J36" i="34"/>
  <c r="AC35" i="34"/>
  <c r="U35" i="34"/>
  <c r="N35" i="34"/>
  <c r="H35" i="34"/>
  <c r="Z34" i="34"/>
  <c r="S34" i="34"/>
  <c r="L34" i="34"/>
  <c r="AD33" i="34"/>
  <c r="U33" i="34"/>
  <c r="L33" i="34"/>
  <c r="V32" i="34"/>
  <c r="J32" i="34"/>
  <c r="U31" i="34"/>
  <c r="AE30" i="34"/>
  <c r="S30" i="34"/>
  <c r="AD29" i="34"/>
  <c r="J29" i="34"/>
  <c r="T28" i="34"/>
  <c r="Z27" i="34"/>
  <c r="AE26" i="34"/>
  <c r="O26" i="34"/>
  <c r="V25" i="34"/>
  <c r="W24" i="34"/>
  <c r="AB23" i="34"/>
  <c r="Y22" i="34"/>
  <c r="L21" i="34"/>
  <c r="I20" i="34"/>
  <c r="Z18" i="34"/>
  <c r="O17" i="34"/>
  <c r="K16" i="34"/>
  <c r="AD14" i="34"/>
  <c r="S13" i="34"/>
  <c r="Q12" i="34"/>
  <c r="I10" i="34"/>
  <c r="G10" i="34"/>
  <c r="O10" i="34"/>
  <c r="V10" i="34"/>
  <c r="AC10" i="34"/>
  <c r="K11" i="34"/>
  <c r="Q11" i="34"/>
  <c r="X11" i="34"/>
  <c r="AF11" i="34"/>
  <c r="M12" i="34"/>
  <c r="S12" i="34"/>
  <c r="AA12" i="34"/>
  <c r="H13" i="34"/>
  <c r="O13" i="34"/>
  <c r="W13" i="34"/>
  <c r="AC13" i="34"/>
  <c r="J14" i="34"/>
  <c r="R14" i="34"/>
  <c r="Y14" i="34"/>
  <c r="AE14" i="34"/>
  <c r="M15" i="34"/>
  <c r="T15" i="34"/>
  <c r="AA15" i="34"/>
  <c r="I16" i="34"/>
  <c r="O16" i="34"/>
  <c r="V16" i="34"/>
  <c r="AD16" i="34"/>
  <c r="K17" i="34"/>
  <c r="Q17" i="34"/>
  <c r="Y17" i="34"/>
  <c r="AF17" i="34"/>
  <c r="M18" i="34"/>
  <c r="U18" i="34"/>
  <c r="AA18" i="34"/>
  <c r="H19" i="34"/>
  <c r="P19" i="34"/>
  <c r="W19" i="34"/>
  <c r="AC19" i="34"/>
  <c r="K20" i="34"/>
  <c r="R20" i="34"/>
  <c r="Y20" i="34"/>
  <c r="G21" i="34"/>
  <c r="M21" i="34"/>
  <c r="T21" i="34"/>
  <c r="AB21" i="34"/>
  <c r="I22" i="34"/>
  <c r="O22" i="34"/>
  <c r="W22" i="34"/>
  <c r="AD22" i="34"/>
  <c r="J23" i="34"/>
  <c r="P23" i="34"/>
  <c r="U23" i="34"/>
  <c r="Z23" i="34"/>
  <c r="AF23" i="34"/>
  <c r="K24" i="34"/>
  <c r="P24" i="34"/>
  <c r="V24" i="34"/>
  <c r="AA24" i="34"/>
  <c r="AF24" i="34"/>
  <c r="L25" i="34"/>
  <c r="J10" i="34"/>
  <c r="R10" i="34"/>
  <c r="AA10" i="34"/>
  <c r="L11" i="34"/>
  <c r="U11" i="34"/>
  <c r="AC11" i="34"/>
  <c r="N12" i="34"/>
  <c r="W12" i="34"/>
  <c r="G13" i="34"/>
  <c r="Q13" i="34"/>
  <c r="Y13" i="34"/>
  <c r="I14" i="34"/>
  <c r="S14" i="34"/>
  <c r="AC14" i="34"/>
  <c r="K15" i="34"/>
  <c r="U15" i="34"/>
  <c r="AE15" i="34"/>
  <c r="N16" i="34"/>
  <c r="Y16" i="34"/>
  <c r="G17" i="34"/>
  <c r="P17" i="34"/>
  <c r="AA17" i="34"/>
  <c r="J18" i="34"/>
  <c r="R18" i="34"/>
  <c r="AC18" i="34"/>
  <c r="L19" i="34"/>
  <c r="U19" i="34"/>
  <c r="AF19" i="34"/>
  <c r="N20" i="34"/>
  <c r="W20" i="34"/>
  <c r="H21" i="34"/>
  <c r="Q21" i="34"/>
  <c r="Y21" i="34"/>
  <c r="J22" i="34"/>
  <c r="S22" i="34"/>
  <c r="AC22" i="34"/>
  <c r="L23" i="34"/>
  <c r="R23" i="34"/>
  <c r="Y23" i="34"/>
  <c r="G24" i="34"/>
  <c r="N24" i="34"/>
  <c r="T24" i="34"/>
  <c r="AB24" i="34"/>
  <c r="I25" i="34"/>
  <c r="P25" i="34"/>
  <c r="U25" i="34"/>
  <c r="Z25" i="34"/>
  <c r="AF25" i="34"/>
  <c r="K26" i="34"/>
  <c r="P26" i="34"/>
  <c r="V26" i="34"/>
  <c r="AA26" i="34"/>
  <c r="AF26" i="34"/>
  <c r="L27" i="34"/>
  <c r="Q27" i="34"/>
  <c r="V27" i="34"/>
  <c r="AB27" i="34"/>
  <c r="G28" i="34"/>
  <c r="L28" i="34"/>
  <c r="R28" i="34"/>
  <c r="W28" i="34"/>
  <c r="AB28" i="34"/>
  <c r="H29" i="34"/>
  <c r="M29" i="34"/>
  <c r="R29" i="34"/>
  <c r="X29" i="34"/>
  <c r="K10" i="34"/>
  <c r="W10" i="34"/>
  <c r="H11" i="34"/>
  <c r="W11" i="34"/>
  <c r="I12" i="34"/>
  <c r="V12" i="34"/>
  <c r="I13" i="34"/>
  <c r="T13" i="34"/>
  <c r="G14" i="34"/>
  <c r="U14" i="34"/>
  <c r="H15" i="34"/>
  <c r="S15" i="34"/>
  <c r="AF15" i="34"/>
  <c r="S16" i="34"/>
  <c r="AE16" i="34"/>
  <c r="T17" i="34"/>
  <c r="AE17" i="34"/>
  <c r="Q18" i="34"/>
  <c r="AE18" i="34"/>
  <c r="Q19" i="34"/>
  <c r="AB19" i="34"/>
  <c r="Q20" i="34"/>
  <c r="AC20" i="34"/>
  <c r="O21" i="34"/>
  <c r="AC21" i="34"/>
  <c r="N22" i="34"/>
  <c r="Z22" i="34"/>
  <c r="M23" i="34"/>
  <c r="V23" i="34"/>
  <c r="AD23" i="34"/>
  <c r="O24" i="34"/>
  <c r="X24" i="34"/>
  <c r="H25" i="34"/>
  <c r="Q25" i="34"/>
  <c r="X25" i="34"/>
  <c r="AD25" i="34"/>
  <c r="L26" i="34"/>
  <c r="S26" i="34"/>
  <c r="Z26" i="34"/>
  <c r="H27" i="34"/>
  <c r="N27" i="34"/>
  <c r="U27" i="34"/>
  <c r="AC27" i="34"/>
  <c r="J28" i="34"/>
  <c r="P28" i="34"/>
  <c r="X28" i="34"/>
  <c r="AE28" i="34"/>
  <c r="L29" i="34"/>
  <c r="T29" i="34"/>
  <c r="Z29" i="34"/>
  <c r="AF29" i="34"/>
  <c r="K30" i="34"/>
  <c r="P30" i="34"/>
  <c r="V30" i="34"/>
  <c r="AA30" i="34"/>
  <c r="AF30" i="34"/>
  <c r="L31" i="34"/>
  <c r="Q31" i="34"/>
  <c r="V31" i="34"/>
  <c r="AB31" i="34"/>
  <c r="G32" i="34"/>
  <c r="L32" i="34"/>
  <c r="R32" i="34"/>
  <c r="W32" i="34"/>
  <c r="AB32" i="34"/>
  <c r="H33" i="34"/>
  <c r="M33" i="34"/>
  <c r="R33" i="34"/>
  <c r="X33" i="34"/>
  <c r="AC33" i="34"/>
  <c r="M10" i="34"/>
  <c r="Z10" i="34"/>
  <c r="M11" i="34"/>
  <c r="AA11" i="34"/>
  <c r="K12" i="34"/>
  <c r="Y12" i="34"/>
  <c r="L13" i="34"/>
  <c r="X13" i="34"/>
  <c r="M14" i="34"/>
  <c r="W14" i="34"/>
  <c r="I15" i="34"/>
  <c r="X15" i="34"/>
  <c r="J16" i="34"/>
  <c r="U16" i="34"/>
  <c r="I17" i="34"/>
  <c r="U17" i="34"/>
  <c r="G18" i="34"/>
  <c r="V18" i="34"/>
  <c r="G19" i="34"/>
  <c r="S19" i="34"/>
  <c r="G20" i="34"/>
  <c r="S20" i="34"/>
  <c r="AD20" i="34"/>
  <c r="S21" i="34"/>
  <c r="AE21" i="34"/>
  <c r="R22" i="34"/>
  <c r="AE22" i="34"/>
  <c r="N23" i="34"/>
  <c r="X23" i="34"/>
  <c r="H24" i="34"/>
  <c r="R24" i="34"/>
  <c r="Z24" i="34"/>
  <c r="J25" i="34"/>
  <c r="R25" i="34"/>
  <c r="Y25" i="34"/>
  <c r="G26" i="34"/>
  <c r="N26" i="34"/>
  <c r="T26" i="34"/>
  <c r="AB26" i="34"/>
  <c r="I27" i="34"/>
  <c r="P27" i="34"/>
  <c r="X27" i="34"/>
  <c r="AD27" i="34"/>
  <c r="K28" i="34"/>
  <c r="S28" i="34"/>
  <c r="Z28" i="34"/>
  <c r="AF28" i="34"/>
  <c r="N29" i="34"/>
  <c r="U29" i="34"/>
  <c r="AB29" i="34"/>
  <c r="G30" i="34"/>
  <c r="L30" i="34"/>
  <c r="R30" i="34"/>
  <c r="W30" i="34"/>
  <c r="AB30" i="34"/>
  <c r="H31" i="34"/>
  <c r="M31" i="34"/>
  <c r="R31" i="34"/>
  <c r="X31" i="34"/>
  <c r="AC31" i="34"/>
  <c r="H32" i="34"/>
  <c r="N32" i="34"/>
  <c r="S32" i="34"/>
  <c r="X32" i="34"/>
  <c r="AD32" i="34"/>
  <c r="I33" i="34"/>
  <c r="Y54" i="34"/>
  <c r="U54" i="34"/>
  <c r="Q54" i="34"/>
  <c r="M54" i="34"/>
  <c r="I54" i="34"/>
  <c r="AE53" i="34"/>
  <c r="AA53" i="34"/>
  <c r="W53" i="34"/>
  <c r="S53" i="34"/>
  <c r="O53" i="34"/>
  <c r="K53" i="34"/>
  <c r="G53" i="34"/>
  <c r="AC52" i="34"/>
  <c r="Y52" i="34"/>
  <c r="U52" i="34"/>
  <c r="Q52" i="34"/>
  <c r="M52" i="34"/>
  <c r="I52" i="34"/>
  <c r="AE51" i="34"/>
  <c r="AA51" i="34"/>
  <c r="W51" i="34"/>
  <c r="S51" i="34"/>
  <c r="O51" i="34"/>
  <c r="K51" i="34"/>
  <c r="G51" i="34"/>
  <c r="AC50" i="34"/>
  <c r="Y50" i="34"/>
  <c r="U50" i="34"/>
  <c r="Q50" i="34"/>
  <c r="M50" i="34"/>
  <c r="I50" i="34"/>
  <c r="AE49" i="34"/>
  <c r="AA49" i="34"/>
  <c r="W49" i="34"/>
  <c r="S49" i="34"/>
  <c r="O49" i="34"/>
  <c r="K49" i="34"/>
  <c r="G49" i="34"/>
  <c r="AC48" i="34"/>
  <c r="Y48" i="34"/>
  <c r="U48" i="34"/>
  <c r="Q48" i="34"/>
  <c r="M48" i="34"/>
  <c r="I48" i="34"/>
  <c r="AE47" i="34"/>
  <c r="AA47" i="34"/>
  <c r="W47" i="34"/>
  <c r="S47" i="34"/>
  <c r="O47" i="34"/>
  <c r="K47" i="34"/>
  <c r="G47" i="34"/>
  <c r="AC46" i="34"/>
  <c r="Y46" i="34"/>
  <c r="U46" i="34"/>
  <c r="Q46" i="34"/>
  <c r="M46" i="34"/>
  <c r="I46" i="34"/>
  <c r="AE45" i="34"/>
  <c r="AA45" i="34"/>
  <c r="W45" i="34"/>
  <c r="S45" i="34"/>
  <c r="O45" i="34"/>
  <c r="K45" i="34"/>
  <c r="G45" i="34"/>
  <c r="AC44" i="34"/>
  <c r="Y44" i="34"/>
  <c r="U44" i="34"/>
  <c r="Q44" i="34"/>
  <c r="M44" i="34"/>
  <c r="I44" i="34"/>
  <c r="AE43" i="34"/>
  <c r="AA43" i="34"/>
  <c r="W43" i="34"/>
  <c r="S43" i="34"/>
  <c r="O43" i="34"/>
  <c r="K43" i="34"/>
  <c r="G43" i="34"/>
  <c r="AC42" i="34"/>
  <c r="Y42" i="34"/>
  <c r="U42" i="34"/>
  <c r="Q42" i="34"/>
  <c r="M42" i="34"/>
  <c r="I42" i="34"/>
  <c r="AE41" i="34"/>
  <c r="AA41" i="34"/>
  <c r="W41" i="34"/>
  <c r="S41" i="34"/>
  <c r="O41" i="34"/>
  <c r="K41" i="34"/>
  <c r="G41" i="34"/>
  <c r="AC40" i="34"/>
  <c r="Y40" i="34"/>
  <c r="U40" i="34"/>
  <c r="Q40" i="34"/>
  <c r="M40" i="34"/>
  <c r="I40" i="34"/>
  <c r="AE39" i="34"/>
  <c r="AA39" i="34"/>
  <c r="W39" i="34"/>
  <c r="S39" i="34"/>
  <c r="N39" i="34"/>
  <c r="I39" i="34"/>
  <c r="AD38" i="34"/>
  <c r="X38" i="34"/>
  <c r="S38" i="34"/>
  <c r="N38" i="34"/>
  <c r="H38" i="34"/>
  <c r="AC37" i="34"/>
  <c r="X37" i="34"/>
  <c r="R37" i="34"/>
  <c r="M37" i="34"/>
  <c r="H37" i="34"/>
  <c r="AB36" i="34"/>
  <c r="W36" i="34"/>
  <c r="R36" i="34"/>
  <c r="L36" i="34"/>
  <c r="G36" i="34"/>
  <c r="AB35" i="34"/>
  <c r="V35" i="34"/>
  <c r="Q35" i="34"/>
  <c r="L35" i="34"/>
  <c r="AF34" i="34"/>
  <c r="AA34" i="34"/>
  <c r="V34" i="34"/>
  <c r="P34" i="34"/>
  <c r="K34" i="34"/>
  <c r="AF33" i="34"/>
  <c r="Y33" i="34"/>
  <c r="Q33" i="34"/>
  <c r="J33" i="34"/>
  <c r="Z32" i="34"/>
  <c r="O32" i="34"/>
  <c r="AD31" i="34"/>
  <c r="T31" i="34"/>
  <c r="I31" i="34"/>
  <c r="X30" i="34"/>
  <c r="N30" i="34"/>
  <c r="AC29" i="34"/>
  <c r="P29" i="34"/>
  <c r="AA28" i="34"/>
  <c r="N28" i="34"/>
  <c r="Y27" i="34"/>
  <c r="J27" i="34"/>
  <c r="W26" i="34"/>
  <c r="H26" i="34"/>
  <c r="T25" i="34"/>
  <c r="AD24" i="34"/>
  <c r="J24" i="34"/>
  <c r="Q23" i="34"/>
  <c r="U22" i="34"/>
  <c r="W21" i="34"/>
  <c r="V20" i="34"/>
  <c r="X19" i="34"/>
  <c r="W18" i="34"/>
  <c r="W17" i="34"/>
  <c r="Z16" i="34"/>
  <c r="Y15" i="34"/>
  <c r="Z14" i="34"/>
  <c r="AB13" i="34"/>
  <c r="AC12" i="34"/>
  <c r="AB11" i="34"/>
  <c r="AE10" i="34"/>
  <c r="O39" i="34"/>
  <c r="K39" i="34"/>
  <c r="G39" i="34"/>
  <c r="AC38" i="34"/>
  <c r="Y38" i="34"/>
  <c r="U38" i="34"/>
  <c r="Q38" i="34"/>
  <c r="M38" i="34"/>
  <c r="I38" i="34"/>
  <c r="AE37" i="34"/>
  <c r="AA37" i="34"/>
  <c r="W37" i="34"/>
  <c r="S37" i="34"/>
  <c r="O37" i="34"/>
  <c r="K37" i="34"/>
  <c r="G37" i="34"/>
  <c r="AC36" i="34"/>
  <c r="Y36" i="34"/>
  <c r="U36" i="34"/>
  <c r="Q36" i="34"/>
  <c r="M36" i="34"/>
  <c r="I36" i="34"/>
  <c r="AE35" i="34"/>
  <c r="AA35" i="34"/>
  <c r="W35" i="34"/>
  <c r="S35" i="34"/>
  <c r="O35" i="34"/>
  <c r="K35" i="34"/>
  <c r="G35" i="34"/>
  <c r="AC34" i="34"/>
  <c r="Y34" i="34"/>
  <c r="U34" i="34"/>
  <c r="Q34" i="34"/>
  <c r="M34" i="34"/>
  <c r="I34" i="34"/>
  <c r="AE33" i="34"/>
  <c r="AA33" i="34"/>
  <c r="W33" i="34"/>
  <c r="S33" i="34"/>
  <c r="O33" i="34"/>
  <c r="K33" i="34"/>
  <c r="G33" i="34"/>
  <c r="AC32" i="34"/>
  <c r="Y32" i="34"/>
  <c r="U32" i="34"/>
  <c r="Q32" i="34"/>
  <c r="M32" i="34"/>
  <c r="I32" i="34"/>
  <c r="AE31" i="34"/>
  <c r="AA31" i="34"/>
  <c r="W31" i="34"/>
  <c r="S31" i="34"/>
  <c r="O31" i="34"/>
  <c r="K31" i="34"/>
  <c r="G31" i="34"/>
  <c r="AC30" i="34"/>
  <c r="Y30" i="34"/>
  <c r="U30" i="34"/>
  <c r="Q30" i="34"/>
  <c r="M30" i="34"/>
  <c r="I30" i="34"/>
  <c r="AE29" i="34"/>
  <c r="AA29" i="34"/>
  <c r="W29" i="34"/>
  <c r="S29" i="34"/>
  <c r="O29" i="34"/>
  <c r="K29" i="34"/>
  <c r="G29" i="34"/>
  <c r="AC28" i="34"/>
  <c r="Y28" i="34"/>
  <c r="U28" i="34"/>
  <c r="Q28" i="34"/>
  <c r="M28" i="34"/>
  <c r="I28" i="34"/>
  <c r="AE27" i="34"/>
  <c r="AA27" i="34"/>
  <c r="W27" i="34"/>
  <c r="S27" i="34"/>
  <c r="O27" i="34"/>
  <c r="K27" i="34"/>
  <c r="G27" i="34"/>
  <c r="AC26" i="34"/>
  <c r="Y26" i="34"/>
  <c r="U26" i="34"/>
  <c r="Q26" i="34"/>
  <c r="M26" i="34"/>
  <c r="I26" i="34"/>
  <c r="AE25" i="34"/>
  <c r="AA25" i="34"/>
  <c r="W25" i="34"/>
  <c r="S25" i="34"/>
  <c r="O25" i="34"/>
  <c r="K25" i="34"/>
  <c r="G25" i="34"/>
  <c r="AC24" i="34"/>
  <c r="Y24" i="34"/>
  <c r="U24" i="34"/>
  <c r="Q24" i="34"/>
  <c r="M24" i="34"/>
  <c r="I24" i="34"/>
  <c r="AE23" i="34"/>
  <c r="AA23" i="34"/>
  <c r="W23" i="34"/>
  <c r="S23" i="34"/>
  <c r="O23" i="34"/>
  <c r="K23" i="34"/>
  <c r="G23" i="34"/>
  <c r="AA22" i="34"/>
  <c r="V22" i="34"/>
  <c r="Q22" i="34"/>
  <c r="K22" i="34"/>
  <c r="AF21" i="34"/>
  <c r="AA21" i="34"/>
  <c r="U21" i="34"/>
  <c r="P21" i="34"/>
  <c r="K21" i="34"/>
  <c r="AE20" i="34"/>
  <c r="Z20" i="34"/>
  <c r="U20" i="34"/>
  <c r="O20" i="34"/>
  <c r="J20" i="34"/>
  <c r="AE19" i="34"/>
  <c r="Y19" i="34"/>
  <c r="T19" i="34"/>
  <c r="O19" i="34"/>
  <c r="I19" i="34"/>
  <c r="AD18" i="34"/>
  <c r="Y18" i="34"/>
  <c r="S18" i="34"/>
  <c r="N18" i="34"/>
  <c r="I18" i="34"/>
  <c r="AC17" i="34"/>
  <c r="X17" i="34"/>
  <c r="S17" i="34"/>
  <c r="M17" i="34"/>
  <c r="H17" i="34"/>
  <c r="AC16" i="34"/>
  <c r="W16" i="34"/>
  <c r="R16" i="34"/>
  <c r="M16" i="34"/>
  <c r="G16" i="34"/>
  <c r="AB15" i="34"/>
  <c r="W15" i="34"/>
  <c r="Q15" i="34"/>
  <c r="L15" i="34"/>
  <c r="G15" i="34"/>
  <c r="AA14" i="34"/>
  <c r="V14" i="34"/>
  <c r="Q14" i="34"/>
  <c r="K14" i="34"/>
  <c r="AF13" i="34"/>
  <c r="AA13" i="34"/>
  <c r="U13" i="34"/>
  <c r="P13" i="34"/>
  <c r="K13" i="34"/>
  <c r="AE12" i="34"/>
  <c r="Z12" i="34"/>
  <c r="U12" i="34"/>
  <c r="O12" i="34"/>
  <c r="J12" i="34"/>
  <c r="AE11" i="34"/>
  <c r="Y11" i="34"/>
  <c r="T11" i="34"/>
  <c r="O11" i="34"/>
  <c r="I11" i="34"/>
  <c r="AD10" i="34"/>
  <c r="Y10" i="34"/>
  <c r="S10" i="34"/>
  <c r="N10" i="34"/>
  <c r="H10" i="34"/>
  <c r="L10" i="34"/>
  <c r="P10" i="34"/>
  <c r="T10" i="34"/>
  <c r="X10" i="34"/>
  <c r="AB10" i="34"/>
  <c r="AF10" i="34"/>
  <c r="J11" i="34"/>
  <c r="N11" i="34"/>
  <c r="R11" i="34"/>
  <c r="V11" i="34"/>
  <c r="Z11" i="34"/>
  <c r="AD11" i="34"/>
  <c r="H12" i="34"/>
  <c r="L12" i="34"/>
  <c r="P12" i="34"/>
  <c r="T12" i="34"/>
  <c r="X12" i="34"/>
  <c r="AB12" i="34"/>
  <c r="AF12" i="34"/>
  <c r="J13" i="34"/>
  <c r="N13" i="34"/>
  <c r="R13" i="34"/>
  <c r="V13" i="34"/>
  <c r="Z13" i="34"/>
  <c r="AD13" i="34"/>
  <c r="H14" i="34"/>
  <c r="L14" i="34"/>
  <c r="P14" i="34"/>
  <c r="T14" i="34"/>
  <c r="X14" i="34"/>
  <c r="AB14" i="34"/>
  <c r="AF14" i="34"/>
  <c r="J15" i="34"/>
  <c r="N15" i="34"/>
  <c r="R15" i="34"/>
  <c r="V15" i="34"/>
  <c r="Z15" i="34"/>
  <c r="AD15" i="34"/>
  <c r="H16" i="34"/>
  <c r="L16" i="34"/>
  <c r="P16" i="34"/>
  <c r="T16" i="34"/>
  <c r="X16" i="34"/>
  <c r="AB16" i="34"/>
  <c r="AF16" i="34"/>
  <c r="J17" i="34"/>
  <c r="N17" i="34"/>
  <c r="R17" i="34"/>
  <c r="V17" i="34"/>
  <c r="Z17" i="34"/>
  <c r="AD17" i="34"/>
  <c r="H18" i="34"/>
  <c r="L18" i="34"/>
  <c r="P18" i="34"/>
  <c r="T18" i="34"/>
  <c r="X18" i="34"/>
  <c r="AB18" i="34"/>
  <c r="AF18" i="34"/>
  <c r="J19" i="34"/>
  <c r="N19" i="34"/>
  <c r="R19" i="34"/>
  <c r="V19" i="34"/>
  <c r="Z19" i="34"/>
  <c r="AD19" i="34"/>
  <c r="H20" i="34"/>
  <c r="L20" i="34"/>
  <c r="P20" i="34"/>
  <c r="T20" i="34"/>
  <c r="X20" i="34"/>
  <c r="AB20" i="34"/>
  <c r="AF20" i="34"/>
  <c r="J21" i="34"/>
  <c r="N21" i="34"/>
  <c r="R21" i="34"/>
  <c r="V21" i="34"/>
  <c r="Z21" i="34"/>
  <c r="AD21" i="34"/>
  <c r="H22" i="34"/>
  <c r="L22" i="34"/>
  <c r="P22" i="34"/>
  <c r="T22" i="34"/>
  <c r="X22" i="34"/>
  <c r="AB22" i="34"/>
  <c r="AF22" i="34"/>
  <c r="O80" i="56" l="1"/>
  <c r="W80" i="56"/>
  <c r="AA80" i="56"/>
  <c r="R80" i="56"/>
  <c r="L80" i="56"/>
  <c r="S80" i="56"/>
  <c r="Z80" i="56"/>
  <c r="AC80" i="56"/>
  <c r="AF80" i="56"/>
  <c r="AB80" i="56"/>
  <c r="Q80" i="56"/>
  <c r="J80" i="56"/>
  <c r="U80" i="56"/>
  <c r="X80" i="56"/>
  <c r="AE80" i="56"/>
  <c r="K80" i="56"/>
  <c r="M80" i="56"/>
  <c r="T80" i="56"/>
  <c r="I80" i="56"/>
  <c r="V80" i="56"/>
  <c r="H80" i="56"/>
  <c r="N80" i="56"/>
  <c r="AD80" i="56"/>
  <c r="Y80" i="56"/>
  <c r="P80" i="56"/>
  <c r="L186" i="34"/>
  <c r="M186" i="34"/>
  <c r="J186" i="34"/>
  <c r="I186" i="34"/>
  <c r="K186" i="34"/>
  <c r="W183" i="34"/>
  <c r="Y156" i="34"/>
  <c r="AE164" i="34"/>
  <c r="L165" i="34"/>
  <c r="G166" i="34"/>
  <c r="W166" i="34"/>
  <c r="K173" i="34"/>
  <c r="AA173" i="34"/>
  <c r="T180" i="34"/>
  <c r="W181" i="34"/>
  <c r="AA182" i="34"/>
  <c r="W182" i="34"/>
  <c r="Z182" i="34"/>
  <c r="U184" i="34"/>
  <c r="R184" i="34"/>
  <c r="AB158" i="34"/>
  <c r="V158" i="34"/>
  <c r="V160" i="34"/>
  <c r="K165" i="34"/>
  <c r="AA165" i="34"/>
  <c r="V182" i="34"/>
  <c r="S182" i="34"/>
  <c r="H157" i="34"/>
  <c r="AC157" i="34"/>
  <c r="G164" i="34"/>
  <c r="AE160" i="34"/>
  <c r="L160" i="34"/>
  <c r="O164" i="34"/>
  <c r="S165" i="34"/>
  <c r="R164" i="34"/>
  <c r="J168" i="34"/>
  <c r="Z168" i="34"/>
  <c r="H173" i="34"/>
  <c r="X173" i="34"/>
  <c r="U173" i="34"/>
  <c r="R174" i="34"/>
  <c r="O174" i="34"/>
  <c r="L175" i="34"/>
  <c r="AB176" i="34"/>
  <c r="I176" i="34"/>
  <c r="G180" i="34"/>
  <c r="W180" i="34"/>
  <c r="N182" i="34"/>
  <c r="AD182" i="34"/>
  <c r="G181" i="34"/>
  <c r="K182" i="34"/>
  <c r="P183" i="34"/>
  <c r="AC183" i="34"/>
  <c r="L158" i="34"/>
  <c r="G157" i="34"/>
  <c r="W160" i="34"/>
  <c r="W164" i="34"/>
  <c r="Q184" i="34"/>
  <c r="AD184" i="34"/>
  <c r="X158" i="34"/>
  <c r="H158" i="34"/>
  <c r="S156" i="34"/>
  <c r="M157" i="34"/>
  <c r="Q159" i="34"/>
  <c r="K160" i="34"/>
  <c r="AA160" i="34"/>
  <c r="AB160" i="34"/>
  <c r="K164" i="34"/>
  <c r="AA164" i="34"/>
  <c r="O165" i="34"/>
  <c r="AE165" i="34"/>
  <c r="K159" i="34"/>
  <c r="W156" i="34"/>
  <c r="AC158" i="34"/>
  <c r="W158" i="34"/>
  <c r="AA157" i="34"/>
  <c r="AB165" i="34"/>
  <c r="R165" i="34"/>
  <c r="R166" i="34"/>
  <c r="S166" i="34"/>
  <c r="G167" i="34"/>
  <c r="W167" i="34"/>
  <c r="P166" i="34"/>
  <c r="AF166" i="34"/>
  <c r="T167" i="34"/>
  <c r="AC166" i="34"/>
  <c r="V168" i="34"/>
  <c r="Q166" i="34"/>
  <c r="S168" i="34"/>
  <c r="P168" i="34"/>
  <c r="AF168" i="34"/>
  <c r="Q172" i="34"/>
  <c r="U167" i="34"/>
  <c r="N172" i="34"/>
  <c r="AD172" i="34"/>
  <c r="G173" i="34"/>
  <c r="W173" i="34"/>
  <c r="P172" i="34"/>
  <c r="T173" i="34"/>
  <c r="K172" i="34"/>
  <c r="Q173" i="34"/>
  <c r="N173" i="34"/>
  <c r="N174" i="34"/>
  <c r="AD174" i="34"/>
  <c r="R175" i="34"/>
  <c r="K174" i="34"/>
  <c r="AA174" i="34"/>
  <c r="O175" i="34"/>
  <c r="AB175" i="34"/>
  <c r="H176" i="34"/>
  <c r="X176" i="34"/>
  <c r="X175" i="34"/>
  <c r="U176" i="34"/>
  <c r="AA175" i="34"/>
  <c r="S180" i="34"/>
  <c r="P180" i="34"/>
  <c r="AF180" i="34"/>
  <c r="V181" i="34"/>
  <c r="J182" i="34"/>
  <c r="S181" i="34"/>
  <c r="G182" i="34"/>
  <c r="Z180" i="34"/>
  <c r="L182" i="34"/>
  <c r="AB182" i="34"/>
  <c r="L183" i="34"/>
  <c r="AB183" i="34"/>
  <c r="I182" i="34"/>
  <c r="L184" i="34"/>
  <c r="AE184" i="34"/>
  <c r="N156" i="34"/>
  <c r="AC159" i="34"/>
  <c r="G160" i="34"/>
  <c r="M156" i="34"/>
  <c r="V165" i="34"/>
  <c r="N175" i="34"/>
  <c r="AD175" i="34"/>
  <c r="K175" i="34"/>
  <c r="U175" i="34"/>
  <c r="X182" i="34"/>
  <c r="X157" i="34"/>
  <c r="T156" i="34"/>
  <c r="M159" i="34"/>
  <c r="T157" i="34"/>
  <c r="AF156" i="34"/>
  <c r="R159" i="34"/>
  <c r="T158" i="34"/>
  <c r="P157" i="34"/>
  <c r="L156" i="34"/>
  <c r="R157" i="34"/>
  <c r="O160" i="34"/>
  <c r="N159" i="34"/>
  <c r="AF159" i="34"/>
  <c r="AF158" i="34"/>
  <c r="P158" i="34"/>
  <c r="AB157" i="34"/>
  <c r="L157" i="34"/>
  <c r="X156" i="34"/>
  <c r="H156" i="34"/>
  <c r="AD156" i="34"/>
  <c r="W157" i="34"/>
  <c r="Q158" i="34"/>
  <c r="S159" i="34"/>
  <c r="J157" i="34"/>
  <c r="AE159" i="34"/>
  <c r="Z158" i="34"/>
  <c r="AE157" i="34"/>
  <c r="W159" i="34"/>
  <c r="J156" i="34"/>
  <c r="AD158" i="34"/>
  <c r="O157" i="34"/>
  <c r="AC156" i="34"/>
  <c r="I156" i="34"/>
  <c r="K157" i="34"/>
  <c r="T159" i="34"/>
  <c r="U160" i="34"/>
  <c r="Q156" i="34"/>
  <c r="H159" i="34"/>
  <c r="R160" i="34"/>
  <c r="M158" i="34"/>
  <c r="Z160" i="34"/>
  <c r="P156" i="34"/>
  <c r="N158" i="34"/>
  <c r="S157" i="34"/>
  <c r="I157" i="34"/>
  <c r="V156" i="34"/>
  <c r="Y158" i="34"/>
  <c r="AC160" i="34"/>
  <c r="G158" i="34"/>
  <c r="AD159" i="34"/>
  <c r="Y160" i="34"/>
  <c r="M164" i="34"/>
  <c r="AA158" i="34"/>
  <c r="AE156" i="34"/>
  <c r="U158" i="34"/>
  <c r="X159" i="34"/>
  <c r="AF157" i="34"/>
  <c r="AB156" i="34"/>
  <c r="K158" i="34"/>
  <c r="U159" i="34"/>
  <c r="AE158" i="34"/>
  <c r="P159" i="34"/>
  <c r="K156" i="34"/>
  <c r="L159" i="34"/>
  <c r="S158" i="34"/>
  <c r="Y157" i="34"/>
  <c r="AA156" i="34"/>
  <c r="O158" i="34"/>
  <c r="AD157" i="34"/>
  <c r="I159" i="34"/>
  <c r="Y159" i="34"/>
  <c r="S160" i="34"/>
  <c r="Z157" i="34"/>
  <c r="AA159" i="34"/>
  <c r="Q160" i="34"/>
  <c r="S164" i="34"/>
  <c r="G165" i="34"/>
  <c r="W165" i="34"/>
  <c r="Z159" i="34"/>
  <c r="R158" i="34"/>
  <c r="U157" i="34"/>
  <c r="Z156" i="34"/>
  <c r="J159" i="34"/>
  <c r="AB159" i="34"/>
  <c r="G159" i="34"/>
  <c r="J158" i="34"/>
  <c r="N157" i="34"/>
  <c r="R156" i="34"/>
  <c r="I158" i="34"/>
  <c r="V157" i="34"/>
  <c r="G156" i="34"/>
  <c r="N160" i="34"/>
  <c r="J160" i="34"/>
  <c r="U156" i="34"/>
  <c r="O159" i="34"/>
  <c r="T160" i="34"/>
  <c r="V159" i="34"/>
  <c r="X160" i="34"/>
  <c r="X164" i="34"/>
  <c r="Q165" i="34"/>
  <c r="N164" i="34"/>
  <c r="H165" i="34"/>
  <c r="AC165" i="34"/>
  <c r="J164" i="34"/>
  <c r="AF164" i="34"/>
  <c r="Y165" i="34"/>
  <c r="J166" i="34"/>
  <c r="Z166" i="34"/>
  <c r="K166" i="34"/>
  <c r="AA166" i="34"/>
  <c r="O167" i="34"/>
  <c r="AE167" i="34"/>
  <c r="H166" i="34"/>
  <c r="X166" i="34"/>
  <c r="L167" i="34"/>
  <c r="AB167" i="34"/>
  <c r="V167" i="34"/>
  <c r="N168" i="34"/>
  <c r="AD168" i="34"/>
  <c r="Q167" i="34"/>
  <c r="K168" i="34"/>
  <c r="AA168" i="34"/>
  <c r="I167" i="34"/>
  <c r="H168" i="34"/>
  <c r="X168" i="34"/>
  <c r="I172" i="34"/>
  <c r="Y172" i="34"/>
  <c r="AC168" i="34"/>
  <c r="V172" i="34"/>
  <c r="G172" i="34"/>
  <c r="O173" i="34"/>
  <c r="AE173" i="34"/>
  <c r="AF172" i="34"/>
  <c r="L173" i="34"/>
  <c r="AB173" i="34"/>
  <c r="AA172" i="34"/>
  <c r="I173" i="34"/>
  <c r="Y173" i="34"/>
  <c r="V174" i="34"/>
  <c r="J175" i="34"/>
  <c r="Z175" i="34"/>
  <c r="S174" i="34"/>
  <c r="G175" i="34"/>
  <c r="W175" i="34"/>
  <c r="L174" i="34"/>
  <c r="AB174" i="34"/>
  <c r="P175" i="34"/>
  <c r="I175" i="34"/>
  <c r="P176" i="34"/>
  <c r="AF176" i="34"/>
  <c r="Y174" i="34"/>
  <c r="M176" i="34"/>
  <c r="AC176" i="34"/>
  <c r="AB172" i="34"/>
  <c r="Q174" i="34"/>
  <c r="AA176" i="34"/>
  <c r="V176" i="34"/>
  <c r="G176" i="34"/>
  <c r="K180" i="34"/>
  <c r="AA180" i="34"/>
  <c r="M174" i="34"/>
  <c r="H180" i="34"/>
  <c r="X180" i="34"/>
  <c r="AE176" i="34"/>
  <c r="Q180" i="34"/>
  <c r="J173" i="34"/>
  <c r="N181" i="34"/>
  <c r="AD181" i="34"/>
  <c r="R182" i="34"/>
  <c r="K181" i="34"/>
  <c r="AA181" i="34"/>
  <c r="O182" i="34"/>
  <c r="AE182" i="34"/>
  <c r="P181" i="34"/>
  <c r="AF181" i="34"/>
  <c r="T182" i="34"/>
  <c r="Y181" i="34"/>
  <c r="T183" i="34"/>
  <c r="M183" i="34"/>
  <c r="M184" i="34"/>
  <c r="AC184" i="34"/>
  <c r="U181" i="34"/>
  <c r="I183" i="34"/>
  <c r="AD183" i="34"/>
  <c r="J184" i="34"/>
  <c r="Z184" i="34"/>
  <c r="K183" i="34"/>
  <c r="AB184" i="34"/>
  <c r="O184" i="34"/>
  <c r="Q183" i="34"/>
  <c r="AF184" i="34"/>
  <c r="S184" i="34"/>
  <c r="X184" i="34"/>
  <c r="AA184" i="34"/>
  <c r="Q157" i="34"/>
  <c r="H164" i="34"/>
  <c r="AC164" i="34"/>
  <c r="T164" i="34"/>
  <c r="M165" i="34"/>
  <c r="P164" i="34"/>
  <c r="I165" i="34"/>
  <c r="AD165" i="34"/>
  <c r="N166" i="34"/>
  <c r="AD166" i="34"/>
  <c r="O166" i="34"/>
  <c r="AE166" i="34"/>
  <c r="S167" i="34"/>
  <c r="L166" i="34"/>
  <c r="AB166" i="34"/>
  <c r="P167" i="34"/>
  <c r="AF167" i="34"/>
  <c r="M166" i="34"/>
  <c r="AD167" i="34"/>
  <c r="R168" i="34"/>
  <c r="Y167" i="34"/>
  <c r="O168" i="34"/>
  <c r="AE168" i="34"/>
  <c r="V164" i="34"/>
  <c r="R167" i="34"/>
  <c r="L168" i="34"/>
  <c r="AB168" i="34"/>
  <c r="M167" i="34"/>
  <c r="M172" i="34"/>
  <c r="AC172" i="34"/>
  <c r="J172" i="34"/>
  <c r="Z172" i="34"/>
  <c r="AC167" i="34"/>
  <c r="O172" i="34"/>
  <c r="S173" i="34"/>
  <c r="H172" i="34"/>
  <c r="P173" i="34"/>
  <c r="AF173" i="34"/>
  <c r="I166" i="34"/>
  <c r="M173" i="34"/>
  <c r="AC173" i="34"/>
  <c r="J174" i="34"/>
  <c r="Z174" i="34"/>
  <c r="G174" i="34"/>
  <c r="W174" i="34"/>
  <c r="T172" i="34"/>
  <c r="V173" i="34"/>
  <c r="P174" i="34"/>
  <c r="AF174" i="34"/>
  <c r="T176" i="34"/>
  <c r="M175" i="34"/>
  <c r="Q176" i="34"/>
  <c r="Z173" i="34"/>
  <c r="T175" i="34"/>
  <c r="AC174" i="34"/>
  <c r="AD176" i="34"/>
  <c r="W176" i="34"/>
  <c r="O180" i="34"/>
  <c r="AE180" i="34"/>
  <c r="J176" i="34"/>
  <c r="L180" i="34"/>
  <c r="AB180" i="34"/>
  <c r="U180" i="34"/>
  <c r="Q175" i="34"/>
  <c r="R181" i="34"/>
  <c r="O181" i="34"/>
  <c r="AE181" i="34"/>
  <c r="J180" i="34"/>
  <c r="T181" i="34"/>
  <c r="H182" i="34"/>
  <c r="M182" i="34"/>
  <c r="H183" i="34"/>
  <c r="X183" i="34"/>
  <c r="R183" i="34"/>
  <c r="N183" i="34"/>
  <c r="N184" i="34"/>
  <c r="V183" i="34"/>
  <c r="W184" i="34"/>
  <c r="M181" i="34"/>
  <c r="Y182" i="34"/>
  <c r="AA183" i="34"/>
  <c r="AD160" i="34"/>
  <c r="Y164" i="34"/>
  <c r="I160" i="34"/>
  <c r="U164" i="34"/>
  <c r="N165" i="34"/>
  <c r="U165" i="34"/>
  <c r="L164" i="34"/>
  <c r="Z165" i="34"/>
  <c r="J165" i="34"/>
  <c r="P165" i="34"/>
  <c r="Z167" i="34"/>
  <c r="I168" i="34"/>
  <c r="W172" i="34"/>
  <c r="Y166" i="34"/>
  <c r="U168" i="34"/>
  <c r="T174" i="34"/>
  <c r="H175" i="34"/>
  <c r="AF175" i="34"/>
  <c r="K176" i="34"/>
  <c r="Y175" i="34"/>
  <c r="Z176" i="34"/>
  <c r="I180" i="34"/>
  <c r="Y180" i="34"/>
  <c r="R180" i="34"/>
  <c r="H181" i="34"/>
  <c r="X181" i="34"/>
  <c r="AC182" i="34"/>
  <c r="S183" i="34"/>
  <c r="O183" i="34"/>
  <c r="R176" i="34"/>
  <c r="O156" i="34"/>
  <c r="H160" i="34"/>
  <c r="AF160" i="34"/>
  <c r="M160" i="34"/>
  <c r="I164" i="34"/>
  <c r="AD164" i="34"/>
  <c r="X165" i="34"/>
  <c r="Z164" i="34"/>
  <c r="T165" i="34"/>
  <c r="AB164" i="34"/>
  <c r="V166" i="34"/>
  <c r="J167" i="34"/>
  <c r="K167" i="34"/>
  <c r="AA167" i="34"/>
  <c r="Q164" i="34"/>
  <c r="AF165" i="34"/>
  <c r="T166" i="34"/>
  <c r="H167" i="34"/>
  <c r="X167" i="34"/>
  <c r="N167" i="34"/>
  <c r="P160" i="34"/>
  <c r="G168" i="34"/>
  <c r="W168" i="34"/>
  <c r="U166" i="34"/>
  <c r="T168" i="34"/>
  <c r="Y168" i="34"/>
  <c r="U172" i="34"/>
  <c r="M168" i="34"/>
  <c r="R172" i="34"/>
  <c r="AE172" i="34"/>
  <c r="X172" i="34"/>
  <c r="Q168" i="34"/>
  <c r="S172" i="34"/>
  <c r="AD173" i="34"/>
  <c r="V175" i="34"/>
  <c r="L172" i="34"/>
  <c r="R173" i="34"/>
  <c r="AE174" i="34"/>
  <c r="S175" i="34"/>
  <c r="H174" i="34"/>
  <c r="X174" i="34"/>
  <c r="U174" i="34"/>
  <c r="L176" i="34"/>
  <c r="I174" i="34"/>
  <c r="AC175" i="34"/>
  <c r="Y176" i="34"/>
  <c r="S176" i="34"/>
  <c r="N176" i="34"/>
  <c r="AE175" i="34"/>
  <c r="O176" i="34"/>
  <c r="M180" i="34"/>
  <c r="AC180" i="34"/>
  <c r="J181" i="34"/>
  <c r="Z181" i="34"/>
  <c r="V180" i="34"/>
  <c r="L181" i="34"/>
  <c r="AB181" i="34"/>
  <c r="P182" i="34"/>
  <c r="AF182" i="34"/>
  <c r="AD180" i="34"/>
  <c r="I181" i="34"/>
  <c r="AF183" i="34"/>
  <c r="Q181" i="34"/>
  <c r="G183" i="34"/>
  <c r="I184" i="34"/>
  <c r="Y184" i="34"/>
  <c r="Q182" i="34"/>
  <c r="Y183" i="34"/>
  <c r="V184" i="34"/>
  <c r="T184" i="34"/>
  <c r="U182" i="34"/>
  <c r="Z183" i="34"/>
  <c r="G184" i="34"/>
  <c r="P184" i="34"/>
  <c r="N180" i="34"/>
  <c r="J183" i="34"/>
  <c r="U183" i="34"/>
  <c r="H184" i="34"/>
  <c r="AC181" i="34"/>
  <c r="AE183" i="34"/>
  <c r="K184" i="34"/>
  <c r="H82" i="56" l="1"/>
  <c r="W200" i="34"/>
  <c r="W193" i="34"/>
  <c r="AB202" i="34"/>
  <c r="R191" i="34"/>
  <c r="Q200" i="34"/>
  <c r="X198" i="34"/>
  <c r="AF200" i="34"/>
  <c r="W190" i="34"/>
  <c r="R199" i="34"/>
  <c r="Z193" i="34"/>
  <c r="AD192" i="34"/>
  <c r="AC201" i="34"/>
  <c r="N192" i="34"/>
  <c r="Y198" i="34"/>
  <c r="AE202" i="34"/>
  <c r="AB200" i="34"/>
  <c r="V202" i="34"/>
  <c r="K202" i="34"/>
  <c r="H200" i="34"/>
  <c r="N198" i="34"/>
  <c r="S193" i="34"/>
  <c r="X200" i="34"/>
  <c r="G202" i="34"/>
  <c r="W202" i="34"/>
  <c r="V200" i="34"/>
  <c r="AF202" i="34"/>
  <c r="H199" i="34"/>
  <c r="P193" i="34"/>
  <c r="K191" i="34"/>
  <c r="X192" i="34"/>
  <c r="X199" i="34"/>
  <c r="K192" i="34"/>
  <c r="M201" i="34"/>
  <c r="AA202" i="34"/>
  <c r="W191" i="34"/>
  <c r="L192" i="34"/>
  <c r="Z191" i="34"/>
  <c r="AC200" i="34"/>
  <c r="M199" i="34"/>
  <c r="AA199" i="34"/>
  <c r="AC199" i="34"/>
  <c r="K201" i="34"/>
  <c r="W192" i="34"/>
  <c r="AD202" i="34"/>
  <c r="T198" i="34"/>
  <c r="L202" i="34"/>
  <c r="L200" i="34"/>
  <c r="T193" i="34"/>
  <c r="Q201" i="34"/>
  <c r="R200" i="34"/>
  <c r="S198" i="34"/>
  <c r="L201" i="34"/>
  <c r="U201" i="34"/>
  <c r="X201" i="34"/>
  <c r="M198" i="34"/>
  <c r="Z202" i="34"/>
  <c r="Q198" i="34"/>
  <c r="N202" i="34"/>
  <c r="AB201" i="34"/>
  <c r="O200" i="34"/>
  <c r="AC202" i="34"/>
  <c r="J198" i="34"/>
  <c r="G193" i="34"/>
  <c r="AB191" i="34"/>
  <c r="P202" i="34"/>
  <c r="H202" i="34"/>
  <c r="R193" i="34"/>
  <c r="V201" i="34"/>
  <c r="J202" i="34"/>
  <c r="I200" i="34"/>
  <c r="G201" i="34"/>
  <c r="U199" i="34"/>
  <c r="G191" i="34"/>
  <c r="Z199" i="34"/>
  <c r="AD199" i="34"/>
  <c r="S200" i="34"/>
  <c r="AE200" i="34"/>
  <c r="AF199" i="34"/>
  <c r="AA200" i="34"/>
  <c r="G200" i="34"/>
  <c r="I199" i="34"/>
  <c r="P198" i="34"/>
  <c r="H201" i="34"/>
  <c r="K199" i="34"/>
  <c r="AD200" i="34"/>
  <c r="Z200" i="34"/>
  <c r="H198" i="34"/>
  <c r="P200" i="34"/>
  <c r="O202" i="34"/>
  <c r="T200" i="34"/>
  <c r="T199" i="34"/>
  <c r="AE201" i="34"/>
  <c r="W198" i="34"/>
  <c r="M202" i="34"/>
  <c r="L193" i="34"/>
  <c r="P192" i="34"/>
  <c r="M192" i="34"/>
  <c r="Q199" i="34"/>
  <c r="AF193" i="34"/>
  <c r="Q192" i="34"/>
  <c r="O191" i="34"/>
  <c r="X191" i="34"/>
  <c r="O201" i="34"/>
  <c r="J201" i="34"/>
  <c r="Z201" i="34"/>
  <c r="Q202" i="34"/>
  <c r="Y201" i="34"/>
  <c r="K200" i="34"/>
  <c r="U200" i="34"/>
  <c r="Y202" i="34"/>
  <c r="U202" i="34"/>
  <c r="AC198" i="34"/>
  <c r="W201" i="34"/>
  <c r="J199" i="34"/>
  <c r="W199" i="34"/>
  <c r="L199" i="34"/>
  <c r="AF201" i="34"/>
  <c r="S202" i="34"/>
  <c r="R201" i="34"/>
  <c r="AD193" i="34"/>
  <c r="I202" i="34"/>
  <c r="AE191" i="34"/>
  <c r="AA191" i="34"/>
  <c r="X202" i="34"/>
  <c r="U198" i="34"/>
  <c r="V199" i="34"/>
  <c r="J200" i="34"/>
  <c r="Z198" i="34"/>
  <c r="AA201" i="34"/>
  <c r="I201" i="34"/>
  <c r="Y199" i="34"/>
  <c r="P201" i="34"/>
  <c r="AB198" i="34"/>
  <c r="AE198" i="34"/>
  <c r="AD201" i="34"/>
  <c r="V198" i="34"/>
  <c r="N200" i="34"/>
  <c r="R202" i="34"/>
  <c r="T201" i="34"/>
  <c r="O199" i="34"/>
  <c r="AE199" i="34"/>
  <c r="S201" i="34"/>
  <c r="AB199" i="34"/>
  <c r="N201" i="34"/>
  <c r="P199" i="34"/>
  <c r="AF198" i="34"/>
  <c r="G199" i="34"/>
  <c r="O190" i="34"/>
  <c r="O198" i="34"/>
  <c r="T190" i="34"/>
  <c r="T202" i="34"/>
  <c r="G190" i="34"/>
  <c r="G198" i="34"/>
  <c r="R190" i="34"/>
  <c r="R198" i="34"/>
  <c r="N190" i="34"/>
  <c r="N199" i="34"/>
  <c r="AA190" i="34"/>
  <c r="AA198" i="34"/>
  <c r="K190" i="34"/>
  <c r="K198" i="34"/>
  <c r="Y190" i="34"/>
  <c r="Y200" i="34"/>
  <c r="S190" i="34"/>
  <c r="S199" i="34"/>
  <c r="M190" i="34"/>
  <c r="M200" i="34"/>
  <c r="I190" i="34"/>
  <c r="I198" i="34"/>
  <c r="AD190" i="34"/>
  <c r="AD198" i="34"/>
  <c r="L190" i="34"/>
  <c r="L198" i="34"/>
  <c r="J190" i="34"/>
  <c r="AC193" i="34"/>
  <c r="U192" i="34"/>
  <c r="Q191" i="34"/>
  <c r="Y193" i="34"/>
  <c r="L191" i="34"/>
  <c r="J193" i="34"/>
  <c r="H192" i="34"/>
  <c r="Z192" i="34"/>
  <c r="V191" i="34"/>
  <c r="T191" i="34"/>
  <c r="H193" i="34"/>
  <c r="AB192" i="34"/>
  <c r="G192" i="34"/>
  <c r="I192" i="34"/>
  <c r="U190" i="34"/>
  <c r="Z190" i="34"/>
  <c r="V190" i="34"/>
  <c r="AC190" i="34"/>
  <c r="H190" i="34"/>
  <c r="AF190" i="34"/>
  <c r="K193" i="34"/>
  <c r="N193" i="34"/>
  <c r="V193" i="34"/>
  <c r="M193" i="34"/>
  <c r="AE192" i="34"/>
  <c r="AD191" i="34"/>
  <c r="I193" i="34"/>
  <c r="Y191" i="34"/>
  <c r="U193" i="34"/>
  <c r="AE193" i="34"/>
  <c r="J192" i="34"/>
  <c r="AC191" i="34"/>
  <c r="Q193" i="34"/>
  <c r="AF192" i="34"/>
  <c r="V192" i="34"/>
  <c r="AF191" i="34"/>
  <c r="N191" i="34"/>
  <c r="X190" i="34"/>
  <c r="U191" i="34"/>
  <c r="X193" i="34"/>
  <c r="Y192" i="34"/>
  <c r="Q190" i="34"/>
  <c r="S192" i="34"/>
  <c r="R192" i="34"/>
  <c r="I191" i="34"/>
  <c r="AB193" i="34"/>
  <c r="O193" i="34"/>
  <c r="T192" i="34"/>
  <c r="O192" i="34"/>
  <c r="AC192" i="34"/>
  <c r="P191" i="34"/>
  <c r="H191" i="34"/>
  <c r="AA193" i="34"/>
  <c r="AA192" i="34"/>
  <c r="J191" i="34"/>
  <c r="S191" i="34"/>
  <c r="AB190" i="34"/>
  <c r="AE190" i="34"/>
  <c r="M191" i="34"/>
  <c r="P190" i="34"/>
  <c r="R147" i="32" l="1"/>
  <c r="R108" i="32"/>
  <c r="R69" i="32"/>
  <c r="H36" i="32" l="1"/>
  <c r="H35" i="6" l="1"/>
  <c r="I35" i="6" s="1"/>
  <c r="J35" i="6" s="1"/>
  <c r="K35" i="6" s="1"/>
  <c r="L35" i="6" s="1"/>
  <c r="M35" i="6" s="1"/>
  <c r="N35" i="6" s="1"/>
  <c r="O35" i="6" s="1"/>
  <c r="P35" i="6" s="1"/>
  <c r="Q35" i="6" s="1"/>
  <c r="R35" i="6" s="1"/>
  <c r="S35" i="6" s="1"/>
  <c r="T35" i="6" s="1"/>
  <c r="U35" i="6" s="1"/>
  <c r="V35" i="6" s="1"/>
  <c r="W35" i="6" s="1"/>
  <c r="X35" i="6" s="1"/>
  <c r="Y35" i="6" s="1"/>
  <c r="Z35" i="6" s="1"/>
  <c r="AA35" i="6" s="1"/>
  <c r="AB35" i="6" s="1"/>
  <c r="AC35" i="6" s="1"/>
  <c r="AD35" i="6" s="1"/>
  <c r="AE35" i="6" s="1"/>
  <c r="P158" i="5"/>
  <c r="R35" i="5" s="1"/>
  <c r="P159" i="5"/>
  <c r="R36" i="5" s="1"/>
  <c r="P160" i="5"/>
  <c r="R37" i="5" s="1"/>
  <c r="P161" i="5"/>
  <c r="R38" i="5" s="1"/>
  <c r="P162" i="5"/>
  <c r="R39" i="5" s="1"/>
  <c r="P157" i="5"/>
  <c r="R34" i="5" s="1"/>
  <c r="O158" i="5"/>
  <c r="Q35" i="5" s="1"/>
  <c r="O159" i="5"/>
  <c r="Q36" i="5" s="1"/>
  <c r="O160" i="5"/>
  <c r="Q37" i="5" s="1"/>
  <c r="O161" i="5"/>
  <c r="Q38" i="5" s="1"/>
  <c r="O162" i="5"/>
  <c r="Q39" i="5" s="1"/>
  <c r="O157" i="5"/>
  <c r="Q34" i="5" s="1"/>
  <c r="N158" i="5"/>
  <c r="P35" i="5" s="1"/>
  <c r="N159" i="5"/>
  <c r="N160" i="5"/>
  <c r="P37" i="5" s="1"/>
  <c r="N161" i="5"/>
  <c r="P38" i="5" s="1"/>
  <c r="N162" i="5"/>
  <c r="P39" i="5" s="1"/>
  <c r="N157" i="5"/>
  <c r="P34" i="5" s="1"/>
  <c r="M158" i="5"/>
  <c r="O35" i="5" s="1"/>
  <c r="M159" i="5"/>
  <c r="O36" i="5" s="1"/>
  <c r="M160" i="5"/>
  <c r="O37" i="5" s="1"/>
  <c r="M161" i="5"/>
  <c r="O38" i="5" s="1"/>
  <c r="M162" i="5"/>
  <c r="O39" i="5" s="1"/>
  <c r="M157" i="5"/>
  <c r="O34" i="5" s="1"/>
  <c r="P151" i="5"/>
  <c r="R28" i="5" s="1"/>
  <c r="P152" i="5"/>
  <c r="R29" i="5" s="1"/>
  <c r="P153" i="5"/>
  <c r="R30" i="5" s="1"/>
  <c r="P154" i="5"/>
  <c r="R31" i="5" s="1"/>
  <c r="P150" i="5"/>
  <c r="R27" i="5" s="1"/>
  <c r="M151" i="5"/>
  <c r="O28" i="5" s="1"/>
  <c r="M152" i="5"/>
  <c r="O29" i="5" s="1"/>
  <c r="M153" i="5"/>
  <c r="O30" i="5" s="1"/>
  <c r="M154" i="5"/>
  <c r="O31" i="5" s="1"/>
  <c r="M150" i="5"/>
  <c r="O27" i="5" s="1"/>
  <c r="P145" i="5"/>
  <c r="R22" i="5" s="1"/>
  <c r="P146" i="5"/>
  <c r="R23" i="5" s="1"/>
  <c r="P147" i="5"/>
  <c r="R24" i="5" s="1"/>
  <c r="P144" i="5"/>
  <c r="R21" i="5" s="1"/>
  <c r="M145" i="5"/>
  <c r="O22" i="5" s="1"/>
  <c r="M146" i="5"/>
  <c r="O23" i="5" s="1"/>
  <c r="M147" i="5"/>
  <c r="O24" i="5" s="1"/>
  <c r="M144" i="5"/>
  <c r="O21" i="5" s="1"/>
  <c r="P139" i="5"/>
  <c r="R16" i="5" s="1"/>
  <c r="P140" i="5"/>
  <c r="R17" i="5" s="1"/>
  <c r="P141" i="5"/>
  <c r="R18" i="5" s="1"/>
  <c r="P138" i="5"/>
  <c r="R15" i="5" s="1"/>
  <c r="O139" i="5"/>
  <c r="Q16" i="5" s="1"/>
  <c r="O140" i="5"/>
  <c r="Q17" i="5" s="1"/>
  <c r="O141" i="5"/>
  <c r="Q18" i="5" s="1"/>
  <c r="O138" i="5"/>
  <c r="Q15" i="5" s="1"/>
  <c r="N139" i="5"/>
  <c r="P16" i="5" s="1"/>
  <c r="N140" i="5"/>
  <c r="P17" i="5" s="1"/>
  <c r="N141" i="5"/>
  <c r="P18" i="5" s="1"/>
  <c r="N138" i="5"/>
  <c r="P15" i="5" s="1"/>
  <c r="M139" i="5"/>
  <c r="O16" i="5" s="1"/>
  <c r="M140" i="5"/>
  <c r="O17" i="5" s="1"/>
  <c r="M141" i="5"/>
  <c r="O18" i="5" s="1"/>
  <c r="M138" i="5"/>
  <c r="O15" i="5" s="1"/>
  <c r="O133" i="5"/>
  <c r="Q10" i="5" s="1"/>
  <c r="O134" i="5"/>
  <c r="Q11" i="5" s="1"/>
  <c r="O135" i="5"/>
  <c r="Q12" i="5" s="1"/>
  <c r="O132" i="5"/>
  <c r="Q9" i="5" s="1"/>
  <c r="N133" i="5"/>
  <c r="P10" i="5" s="1"/>
  <c r="N134" i="5"/>
  <c r="N135" i="5"/>
  <c r="P12" i="5" s="1"/>
  <c r="N132" i="5"/>
  <c r="M133" i="5"/>
  <c r="O10" i="5" s="1"/>
  <c r="M134" i="5"/>
  <c r="O11" i="5" s="1"/>
  <c r="M135" i="5"/>
  <c r="O12" i="5" s="1"/>
  <c r="M132" i="5"/>
  <c r="O9" i="5" s="1"/>
  <c r="P133" i="5"/>
  <c r="R10" i="5" s="1"/>
  <c r="P134" i="5"/>
  <c r="R11" i="5" s="1"/>
  <c r="P135" i="5"/>
  <c r="R12" i="5" s="1"/>
  <c r="P132" i="5"/>
  <c r="R9" i="5" s="1"/>
  <c r="L162" i="5"/>
  <c r="G162" i="5"/>
  <c r="L161" i="5"/>
  <c r="G161" i="5"/>
  <c r="L160" i="5"/>
  <c r="G160" i="5"/>
  <c r="L159" i="5"/>
  <c r="G159" i="5"/>
  <c r="L158" i="5"/>
  <c r="G158" i="5"/>
  <c r="L157" i="5"/>
  <c r="G157" i="5"/>
  <c r="L154" i="5"/>
  <c r="G154" i="5"/>
  <c r="L153" i="5"/>
  <c r="G153" i="5"/>
  <c r="G152" i="5"/>
  <c r="G151" i="5"/>
  <c r="L150" i="5"/>
  <c r="G150" i="5"/>
  <c r="L147" i="5"/>
  <c r="G147" i="5"/>
  <c r="L146" i="5"/>
  <c r="G146" i="5"/>
  <c r="G145" i="5"/>
  <c r="G144" i="5"/>
  <c r="L141" i="5"/>
  <c r="G141" i="5"/>
  <c r="L140" i="5"/>
  <c r="G140" i="5"/>
  <c r="L139" i="5"/>
  <c r="G139" i="5"/>
  <c r="L138" i="5"/>
  <c r="G138" i="5"/>
  <c r="L135" i="5"/>
  <c r="G135" i="5"/>
  <c r="L134" i="5"/>
  <c r="G134" i="5"/>
  <c r="L133" i="5"/>
  <c r="G133" i="5"/>
  <c r="L132" i="5"/>
  <c r="G132" i="5"/>
  <c r="D115" i="5"/>
  <c r="E115" i="5" s="1"/>
  <c r="D114" i="5"/>
  <c r="E114" i="5" s="1"/>
  <c r="D113" i="5"/>
  <c r="E113" i="5" s="1"/>
  <c r="D112" i="5"/>
  <c r="E112" i="5" s="1"/>
  <c r="D111" i="5"/>
  <c r="E111" i="5" s="1"/>
  <c r="D110" i="5"/>
  <c r="E110" i="5" s="1"/>
  <c r="D109" i="5"/>
  <c r="E109" i="5" s="1"/>
  <c r="D108" i="5"/>
  <c r="E108" i="5" s="1"/>
  <c r="D107" i="5"/>
  <c r="E107" i="5" s="1"/>
  <c r="D106" i="5"/>
  <c r="E106" i="5" s="1"/>
  <c r="D105" i="5"/>
  <c r="E105" i="5" s="1"/>
  <c r="D104" i="5"/>
  <c r="E104" i="5" s="1"/>
  <c r="D103" i="5"/>
  <c r="E103" i="5" s="1"/>
  <c r="D102" i="5"/>
  <c r="E102" i="5" s="1"/>
  <c r="D101" i="5"/>
  <c r="E101" i="5" s="1"/>
  <c r="D100" i="5"/>
  <c r="E100" i="5" s="1"/>
  <c r="D99" i="5"/>
  <c r="E99" i="5" s="1"/>
  <c r="D98" i="5"/>
  <c r="E98" i="5" s="1"/>
  <c r="Q160" i="5" l="1"/>
  <c r="Q135" i="5"/>
  <c r="Q139" i="5"/>
  <c r="Q157" i="5"/>
  <c r="Q141" i="5"/>
  <c r="Q161" i="5"/>
  <c r="Q133" i="5"/>
  <c r="Q134" i="5"/>
  <c r="Q162" i="5"/>
  <c r="Q159" i="5"/>
  <c r="Q140" i="5"/>
  <c r="Q158" i="5"/>
  <c r="Q132" i="5"/>
  <c r="Q138" i="5"/>
  <c r="P11" i="5"/>
  <c r="P36" i="5"/>
  <c r="P9" i="5"/>
  <c r="E116" i="5"/>
  <c r="E117" i="5" s="1"/>
  <c r="A94" i="5" s="1"/>
  <c r="E94" i="5" s="1"/>
  <c r="D121" i="5" s="1"/>
  <c r="E38" i="5" l="1"/>
  <c r="E31" i="5"/>
  <c r="E24" i="5"/>
  <c r="E18" i="5"/>
  <c r="E12" i="5"/>
  <c r="K39" i="5"/>
  <c r="K38" i="5"/>
  <c r="K37" i="5"/>
  <c r="K36" i="5"/>
  <c r="K35" i="5"/>
  <c r="K34" i="5"/>
  <c r="K31" i="5"/>
  <c r="K30" i="5"/>
  <c r="K29" i="5"/>
  <c r="K28" i="5"/>
  <c r="K27" i="5"/>
  <c r="K24" i="5"/>
  <c r="K23" i="5"/>
  <c r="K22" i="5"/>
  <c r="K21" i="5"/>
  <c r="K18" i="5"/>
  <c r="K17" i="5"/>
  <c r="K16" i="5"/>
  <c r="K15" i="5"/>
  <c r="K12" i="5"/>
  <c r="K11" i="5"/>
  <c r="K10" i="5"/>
  <c r="K9" i="5"/>
  <c r="G39" i="39"/>
  <c r="H39" i="39"/>
  <c r="I39" i="39"/>
  <c r="J39" i="39"/>
  <c r="K39" i="39"/>
  <c r="L39" i="39"/>
  <c r="M39" i="39"/>
  <c r="N39" i="39"/>
  <c r="O39" i="39"/>
  <c r="P39" i="39"/>
  <c r="Q39" i="39"/>
  <c r="R39" i="39"/>
  <c r="S39" i="39"/>
  <c r="T39" i="39"/>
  <c r="U39" i="39"/>
  <c r="V39" i="39"/>
  <c r="W39" i="39"/>
  <c r="X39" i="39"/>
  <c r="Y39" i="39"/>
  <c r="Z39" i="39"/>
  <c r="AA39" i="39"/>
  <c r="AB39" i="39"/>
  <c r="AC39" i="39"/>
  <c r="AD39" i="39"/>
  <c r="AE39" i="39"/>
  <c r="AF39" i="39"/>
  <c r="AF38" i="39"/>
  <c r="AE38" i="39"/>
  <c r="AD38" i="39"/>
  <c r="AC38" i="39"/>
  <c r="AB38" i="39"/>
  <c r="AA38" i="39"/>
  <c r="Z38" i="39"/>
  <c r="Y38" i="39"/>
  <c r="X38" i="39"/>
  <c r="W38" i="39"/>
  <c r="V38" i="39"/>
  <c r="U38" i="39"/>
  <c r="T38" i="39"/>
  <c r="S38" i="39"/>
  <c r="R38" i="39"/>
  <c r="Q38" i="39"/>
  <c r="P38" i="39"/>
  <c r="O38" i="39"/>
  <c r="N38" i="39"/>
  <c r="M38" i="39"/>
  <c r="L38" i="39"/>
  <c r="K38" i="39"/>
  <c r="J38" i="39"/>
  <c r="I38" i="39"/>
  <c r="H38" i="39"/>
  <c r="G38" i="39"/>
  <c r="AF37" i="39"/>
  <c r="AE37" i="39"/>
  <c r="AD37" i="39"/>
  <c r="AC37" i="39"/>
  <c r="AB37" i="39"/>
  <c r="AA37" i="39"/>
  <c r="Z37" i="39"/>
  <c r="Y37" i="39"/>
  <c r="X37" i="39"/>
  <c r="W37" i="39"/>
  <c r="V37" i="39"/>
  <c r="U37" i="39"/>
  <c r="T37" i="39"/>
  <c r="S37" i="39"/>
  <c r="R37" i="39"/>
  <c r="Q37" i="39"/>
  <c r="P37" i="39"/>
  <c r="O37" i="39"/>
  <c r="N37" i="39"/>
  <c r="M37" i="39"/>
  <c r="L37" i="39"/>
  <c r="K37" i="39"/>
  <c r="J37" i="39"/>
  <c r="I37" i="39"/>
  <c r="H37" i="39"/>
  <c r="G37" i="39"/>
  <c r="AF36" i="39"/>
  <c r="AE36" i="39"/>
  <c r="AD36" i="39"/>
  <c r="AC36" i="39"/>
  <c r="AB36" i="39"/>
  <c r="AA36" i="39"/>
  <c r="Z36" i="39"/>
  <c r="Y36" i="39"/>
  <c r="X36" i="39"/>
  <c r="W36" i="39"/>
  <c r="V36" i="39"/>
  <c r="U36" i="39"/>
  <c r="T36" i="39"/>
  <c r="S36" i="39"/>
  <c r="R36" i="39"/>
  <c r="Q36" i="39"/>
  <c r="P36" i="39"/>
  <c r="O36" i="39"/>
  <c r="N36" i="39"/>
  <c r="M36" i="39"/>
  <c r="L36" i="39"/>
  <c r="K36" i="39"/>
  <c r="J36" i="39"/>
  <c r="I36" i="39"/>
  <c r="H36" i="39"/>
  <c r="G36" i="39"/>
  <c r="AF35" i="39"/>
  <c r="AE35" i="39"/>
  <c r="AD35" i="39"/>
  <c r="AC35" i="39"/>
  <c r="AB35" i="39"/>
  <c r="AA35" i="39"/>
  <c r="Z35" i="39"/>
  <c r="Y35" i="39"/>
  <c r="X35" i="39"/>
  <c r="W35" i="39"/>
  <c r="V35" i="39"/>
  <c r="U35" i="39"/>
  <c r="T35" i="39"/>
  <c r="S35" i="39"/>
  <c r="R35" i="39"/>
  <c r="Q35" i="39"/>
  <c r="P35" i="39"/>
  <c r="O35" i="39"/>
  <c r="N35" i="39"/>
  <c r="M35" i="39"/>
  <c r="L35" i="39"/>
  <c r="K35" i="39"/>
  <c r="J35" i="39"/>
  <c r="I35" i="39"/>
  <c r="H35" i="39"/>
  <c r="G35" i="39"/>
  <c r="AF34" i="39"/>
  <c r="AE34" i="39"/>
  <c r="AD34" i="39"/>
  <c r="AC34" i="39"/>
  <c r="AB34" i="39"/>
  <c r="AA34" i="39"/>
  <c r="Z34" i="39"/>
  <c r="Y34" i="39"/>
  <c r="X34" i="39"/>
  <c r="W34" i="39"/>
  <c r="V34" i="39"/>
  <c r="U34" i="39"/>
  <c r="T34" i="39"/>
  <c r="S34" i="39"/>
  <c r="R34" i="39"/>
  <c r="Q34" i="39"/>
  <c r="P34" i="39"/>
  <c r="O34" i="39"/>
  <c r="N34" i="39"/>
  <c r="M34" i="39"/>
  <c r="L34" i="39"/>
  <c r="K34" i="39"/>
  <c r="J34" i="39"/>
  <c r="I34" i="39"/>
  <c r="H34" i="39"/>
  <c r="G34" i="39"/>
  <c r="G31" i="39"/>
  <c r="H31" i="39"/>
  <c r="I31" i="39"/>
  <c r="J31" i="39"/>
  <c r="K31" i="39"/>
  <c r="L31" i="39"/>
  <c r="M31" i="39"/>
  <c r="N31" i="39"/>
  <c r="O31" i="39"/>
  <c r="P31" i="39"/>
  <c r="Q31" i="39"/>
  <c r="R31" i="39"/>
  <c r="S31" i="39"/>
  <c r="T31" i="39"/>
  <c r="U31" i="39"/>
  <c r="V31" i="39"/>
  <c r="W31" i="39"/>
  <c r="X31" i="39"/>
  <c r="Y31" i="39"/>
  <c r="Z31" i="39"/>
  <c r="AA31" i="39"/>
  <c r="AB31" i="39"/>
  <c r="AC31" i="39"/>
  <c r="AD31" i="39"/>
  <c r="AE31" i="39"/>
  <c r="AF31" i="39"/>
  <c r="AF30" i="39"/>
  <c r="AE30" i="39"/>
  <c r="AD30" i="39"/>
  <c r="AC30" i="39"/>
  <c r="AB30" i="39"/>
  <c r="AA30" i="39"/>
  <c r="Z30" i="39"/>
  <c r="Y30" i="39"/>
  <c r="X30" i="39"/>
  <c r="W30" i="39"/>
  <c r="V30" i="39"/>
  <c r="U30" i="39"/>
  <c r="T30" i="39"/>
  <c r="S30" i="39"/>
  <c r="R30" i="39"/>
  <c r="Q30" i="39"/>
  <c r="P30" i="39"/>
  <c r="O30" i="39"/>
  <c r="N30" i="39"/>
  <c r="M30" i="39"/>
  <c r="L30" i="39"/>
  <c r="K30" i="39"/>
  <c r="J30" i="39"/>
  <c r="I30" i="39"/>
  <c r="H30" i="39"/>
  <c r="G30" i="39"/>
  <c r="AF29" i="39"/>
  <c r="AE29" i="39"/>
  <c r="AD29" i="39"/>
  <c r="AC29" i="39"/>
  <c r="AB29" i="39"/>
  <c r="AA29" i="39"/>
  <c r="Z29" i="39"/>
  <c r="Y29" i="39"/>
  <c r="X29" i="39"/>
  <c r="W29" i="39"/>
  <c r="V29" i="39"/>
  <c r="U29" i="39"/>
  <c r="T29" i="39"/>
  <c r="S29" i="39"/>
  <c r="R29" i="39"/>
  <c r="Q29" i="39"/>
  <c r="P29" i="39"/>
  <c r="O29" i="39"/>
  <c r="N29" i="39"/>
  <c r="M29" i="39"/>
  <c r="L29" i="39"/>
  <c r="K29" i="39"/>
  <c r="J29" i="39"/>
  <c r="I29" i="39"/>
  <c r="H29" i="39"/>
  <c r="G29" i="39"/>
  <c r="AF28" i="39"/>
  <c r="AE28" i="39"/>
  <c r="AD28" i="39"/>
  <c r="AC28" i="39"/>
  <c r="AB28" i="39"/>
  <c r="AA28" i="39"/>
  <c r="Z28" i="39"/>
  <c r="Y28" i="39"/>
  <c r="X28" i="39"/>
  <c r="W28" i="39"/>
  <c r="V28" i="39"/>
  <c r="U28" i="39"/>
  <c r="T28" i="39"/>
  <c r="S28" i="39"/>
  <c r="R28" i="39"/>
  <c r="Q28" i="39"/>
  <c r="P28" i="39"/>
  <c r="O28" i="39"/>
  <c r="N28" i="39"/>
  <c r="M28" i="39"/>
  <c r="L28" i="39"/>
  <c r="K28" i="39"/>
  <c r="J28" i="39"/>
  <c r="I28" i="39"/>
  <c r="H28" i="39"/>
  <c r="G28" i="39"/>
  <c r="AF27" i="39"/>
  <c r="AE27" i="39"/>
  <c r="AD27" i="39"/>
  <c r="AC27" i="39"/>
  <c r="AB27" i="39"/>
  <c r="AA27" i="39"/>
  <c r="Z27" i="39"/>
  <c r="Y27" i="39"/>
  <c r="X27" i="39"/>
  <c r="W27" i="39"/>
  <c r="V27" i="39"/>
  <c r="U27" i="39"/>
  <c r="T27" i="39"/>
  <c r="S27" i="39"/>
  <c r="R27" i="39"/>
  <c r="Q27" i="39"/>
  <c r="P27" i="39"/>
  <c r="O27" i="39"/>
  <c r="N27" i="39"/>
  <c r="M27" i="39"/>
  <c r="L27" i="39"/>
  <c r="K27" i="39"/>
  <c r="J27" i="39"/>
  <c r="I27" i="39"/>
  <c r="H27" i="39"/>
  <c r="G27" i="39"/>
  <c r="AF24" i="39"/>
  <c r="AE24" i="39"/>
  <c r="AD24" i="39"/>
  <c r="AC24" i="39"/>
  <c r="AB24" i="39"/>
  <c r="AA24" i="39"/>
  <c r="Z24" i="39"/>
  <c r="Y24" i="39"/>
  <c r="X24" i="39"/>
  <c r="W24" i="39"/>
  <c r="V24" i="39"/>
  <c r="U24" i="39"/>
  <c r="T24" i="39"/>
  <c r="S24" i="39"/>
  <c r="R24" i="39"/>
  <c r="Q24" i="39"/>
  <c r="P24" i="39"/>
  <c r="O24" i="39"/>
  <c r="N24" i="39"/>
  <c r="M24" i="39"/>
  <c r="L24" i="39"/>
  <c r="K24" i="39"/>
  <c r="J24" i="39"/>
  <c r="I24" i="39"/>
  <c r="H24" i="39"/>
  <c r="G24" i="39"/>
  <c r="AF23" i="39"/>
  <c r="AE23" i="39"/>
  <c r="AD23" i="39"/>
  <c r="AC23" i="39"/>
  <c r="AB23" i="39"/>
  <c r="AA23" i="39"/>
  <c r="Z23" i="39"/>
  <c r="Y23" i="39"/>
  <c r="X23" i="39"/>
  <c r="W23" i="39"/>
  <c r="V23" i="39"/>
  <c r="U23" i="39"/>
  <c r="T23" i="39"/>
  <c r="S23" i="39"/>
  <c r="R23" i="39"/>
  <c r="Q23" i="39"/>
  <c r="P23" i="39"/>
  <c r="O23" i="39"/>
  <c r="N23" i="39"/>
  <c r="M23" i="39"/>
  <c r="L23" i="39"/>
  <c r="K23" i="39"/>
  <c r="J23" i="39"/>
  <c r="I23" i="39"/>
  <c r="H23" i="39"/>
  <c r="G23" i="39"/>
  <c r="AF22" i="39"/>
  <c r="AE22" i="39"/>
  <c r="AD22" i="39"/>
  <c r="AC22" i="39"/>
  <c r="AB22" i="39"/>
  <c r="AA22" i="39"/>
  <c r="Z22" i="39"/>
  <c r="Y22" i="39"/>
  <c r="X22" i="39"/>
  <c r="W22" i="39"/>
  <c r="V22" i="39"/>
  <c r="U22" i="39"/>
  <c r="T22" i="39"/>
  <c r="S22" i="39"/>
  <c r="R22" i="39"/>
  <c r="Q22" i="39"/>
  <c r="P22" i="39"/>
  <c r="O22" i="39"/>
  <c r="N22" i="39"/>
  <c r="M22" i="39"/>
  <c r="L22" i="39"/>
  <c r="K22" i="39"/>
  <c r="J22" i="39"/>
  <c r="I22" i="39"/>
  <c r="H22" i="39"/>
  <c r="G22" i="39"/>
  <c r="AF21" i="39"/>
  <c r="AE21" i="39"/>
  <c r="AD21" i="39"/>
  <c r="AC21" i="39"/>
  <c r="AB21" i="39"/>
  <c r="AA21" i="39"/>
  <c r="Z21" i="39"/>
  <c r="Y21" i="39"/>
  <c r="X21" i="39"/>
  <c r="W21" i="39"/>
  <c r="V21" i="39"/>
  <c r="U21" i="39"/>
  <c r="T21" i="39"/>
  <c r="S21" i="39"/>
  <c r="R21" i="39"/>
  <c r="Q21" i="39"/>
  <c r="P21" i="39"/>
  <c r="O21" i="39"/>
  <c r="N21" i="39"/>
  <c r="M21" i="39"/>
  <c r="L21" i="39"/>
  <c r="K21" i="39"/>
  <c r="J21" i="39"/>
  <c r="I21" i="39"/>
  <c r="H21" i="39"/>
  <c r="G21" i="39"/>
  <c r="AF18" i="39"/>
  <c r="AE18" i="39"/>
  <c r="AD18" i="39"/>
  <c r="AC18" i="39"/>
  <c r="AB18" i="39"/>
  <c r="AA18" i="39"/>
  <c r="Z18" i="39"/>
  <c r="Y18" i="39"/>
  <c r="X18" i="39"/>
  <c r="W18" i="39"/>
  <c r="V18" i="39"/>
  <c r="U18" i="39"/>
  <c r="T18" i="39"/>
  <c r="S18" i="39"/>
  <c r="R18" i="39"/>
  <c r="Q18" i="39"/>
  <c r="P18" i="39"/>
  <c r="O18" i="39"/>
  <c r="N18" i="39"/>
  <c r="M18" i="39"/>
  <c r="L18" i="39"/>
  <c r="K18" i="39"/>
  <c r="J18" i="39"/>
  <c r="I18" i="39"/>
  <c r="H18" i="39"/>
  <c r="G18" i="39"/>
  <c r="AF17" i="39"/>
  <c r="AE17" i="39"/>
  <c r="AD17" i="39"/>
  <c r="AC17" i="39"/>
  <c r="AB17" i="39"/>
  <c r="AA17" i="39"/>
  <c r="Z17" i="39"/>
  <c r="Y17" i="39"/>
  <c r="X17" i="39"/>
  <c r="W17" i="39"/>
  <c r="V17" i="39"/>
  <c r="U17" i="39"/>
  <c r="T17" i="39"/>
  <c r="S17" i="39"/>
  <c r="R17" i="39"/>
  <c r="Q17" i="39"/>
  <c r="P17" i="39"/>
  <c r="O17" i="39"/>
  <c r="N17" i="39"/>
  <c r="M17" i="39"/>
  <c r="L17" i="39"/>
  <c r="K17" i="39"/>
  <c r="J17" i="39"/>
  <c r="I17" i="39"/>
  <c r="H17" i="39"/>
  <c r="G17" i="39"/>
  <c r="AF16" i="39"/>
  <c r="AE16" i="39"/>
  <c r="AD16" i="39"/>
  <c r="AC16" i="39"/>
  <c r="AB16" i="39"/>
  <c r="AA16" i="39"/>
  <c r="Z16" i="39"/>
  <c r="Y16" i="39"/>
  <c r="X16" i="39"/>
  <c r="W16" i="39"/>
  <c r="V16" i="39"/>
  <c r="U16" i="39"/>
  <c r="T16" i="39"/>
  <c r="S16" i="39"/>
  <c r="R16" i="39"/>
  <c r="Q16" i="39"/>
  <c r="P16" i="39"/>
  <c r="O16" i="39"/>
  <c r="N16" i="39"/>
  <c r="M16" i="39"/>
  <c r="L16" i="39"/>
  <c r="K16" i="39"/>
  <c r="J16" i="39"/>
  <c r="I16" i="39"/>
  <c r="H16" i="39"/>
  <c r="G16" i="39"/>
  <c r="AF15" i="39"/>
  <c r="AE15" i="39"/>
  <c r="AD15" i="39"/>
  <c r="AC15" i="39"/>
  <c r="AB15" i="39"/>
  <c r="AA15" i="39"/>
  <c r="Z15" i="39"/>
  <c r="Y15" i="39"/>
  <c r="X15" i="39"/>
  <c r="W15" i="39"/>
  <c r="V15" i="39"/>
  <c r="U15" i="39"/>
  <c r="T15" i="39"/>
  <c r="S15" i="39"/>
  <c r="R15" i="39"/>
  <c r="Q15" i="39"/>
  <c r="P15" i="39"/>
  <c r="O15" i="39"/>
  <c r="N15" i="39"/>
  <c r="M15" i="39"/>
  <c r="L15" i="39"/>
  <c r="K15" i="39"/>
  <c r="J15" i="39"/>
  <c r="I15" i="39"/>
  <c r="H15" i="39"/>
  <c r="G15" i="39"/>
  <c r="H9" i="39"/>
  <c r="I9" i="39"/>
  <c r="J9" i="39"/>
  <c r="K9" i="39"/>
  <c r="L9" i="39"/>
  <c r="M9" i="39"/>
  <c r="N9" i="39"/>
  <c r="O9" i="39"/>
  <c r="P9" i="39"/>
  <c r="Q9" i="39"/>
  <c r="R9" i="39"/>
  <c r="S9" i="39"/>
  <c r="T9" i="39"/>
  <c r="U9" i="39"/>
  <c r="V9" i="39"/>
  <c r="W9" i="39"/>
  <c r="X9" i="39"/>
  <c r="Y9" i="39"/>
  <c r="Z9" i="39"/>
  <c r="AA9" i="39"/>
  <c r="AB9" i="39"/>
  <c r="AC9" i="39"/>
  <c r="AD9" i="39"/>
  <c r="AE9" i="39"/>
  <c r="AF9" i="39"/>
  <c r="H10" i="39"/>
  <c r="I10" i="39"/>
  <c r="J10" i="39"/>
  <c r="K10" i="39"/>
  <c r="L10" i="39"/>
  <c r="M10" i="39"/>
  <c r="N10" i="39"/>
  <c r="O10" i="39"/>
  <c r="P10" i="39"/>
  <c r="Q10" i="39"/>
  <c r="R10" i="39"/>
  <c r="S10" i="39"/>
  <c r="T10" i="39"/>
  <c r="U10" i="39"/>
  <c r="V10" i="39"/>
  <c r="W10" i="39"/>
  <c r="X10" i="39"/>
  <c r="Y10" i="39"/>
  <c r="Z10" i="39"/>
  <c r="AA10" i="39"/>
  <c r="AB10" i="39"/>
  <c r="AC10" i="39"/>
  <c r="AD10" i="39"/>
  <c r="AE10" i="39"/>
  <c r="AF10" i="39"/>
  <c r="H11" i="39"/>
  <c r="I11" i="39"/>
  <c r="J11" i="39"/>
  <c r="K11" i="39"/>
  <c r="L11" i="39"/>
  <c r="M11" i="39"/>
  <c r="N11" i="39"/>
  <c r="O11" i="39"/>
  <c r="P11" i="39"/>
  <c r="Q11" i="39"/>
  <c r="R11" i="39"/>
  <c r="S11" i="39"/>
  <c r="T11" i="39"/>
  <c r="U11" i="39"/>
  <c r="V11" i="39"/>
  <c r="W11" i="39"/>
  <c r="X11" i="39"/>
  <c r="Y11" i="39"/>
  <c r="Z11" i="39"/>
  <c r="AA11" i="39"/>
  <c r="AB11" i="39"/>
  <c r="AC11" i="39"/>
  <c r="AD11" i="39"/>
  <c r="AE11" i="39"/>
  <c r="AF11" i="39"/>
  <c r="H12" i="39"/>
  <c r="I12" i="39"/>
  <c r="J12" i="39"/>
  <c r="K12" i="39"/>
  <c r="L12" i="39"/>
  <c r="M12" i="39"/>
  <c r="N12" i="39"/>
  <c r="O12" i="39"/>
  <c r="P12" i="39"/>
  <c r="Q12" i="39"/>
  <c r="R12" i="39"/>
  <c r="S12" i="39"/>
  <c r="T12" i="39"/>
  <c r="U12" i="39"/>
  <c r="V12" i="39"/>
  <c r="W12" i="39"/>
  <c r="X12" i="39"/>
  <c r="Y12" i="39"/>
  <c r="Z12" i="39"/>
  <c r="AA12" i="39"/>
  <c r="AB12" i="39"/>
  <c r="AC12" i="39"/>
  <c r="AD12" i="39"/>
  <c r="AE12" i="39"/>
  <c r="AF12" i="39"/>
  <c r="G10" i="39"/>
  <c r="G11" i="39"/>
  <c r="G12" i="39"/>
  <c r="G9" i="39"/>
  <c r="K5" i="25"/>
  <c r="J5" i="25"/>
  <c r="AC40" i="7"/>
  <c r="AB40" i="7"/>
  <c r="AA40" i="7"/>
  <c r="Z40" i="7"/>
  <c r="Y40" i="7"/>
  <c r="X40" i="7"/>
  <c r="W40" i="7"/>
  <c r="T40" i="7"/>
  <c r="S40" i="7"/>
  <c r="R40" i="7"/>
  <c r="Q40" i="7"/>
  <c r="P40" i="7"/>
  <c r="O40" i="7"/>
  <c r="N40" i="7"/>
  <c r="M40" i="7"/>
  <c r="L40" i="7"/>
  <c r="K40" i="7"/>
  <c r="J40" i="7"/>
  <c r="I40" i="7"/>
  <c r="F40" i="7"/>
  <c r="E40" i="7"/>
  <c r="D40" i="7"/>
  <c r="C40" i="7"/>
  <c r="AD39" i="7"/>
  <c r="AC39" i="7"/>
  <c r="AB39" i="7"/>
  <c r="AA39" i="7"/>
  <c r="Z39" i="7"/>
  <c r="Y39" i="7"/>
  <c r="X39" i="7"/>
  <c r="W39" i="7"/>
  <c r="T39" i="7"/>
  <c r="S39" i="7"/>
  <c r="R39" i="7"/>
  <c r="Q39" i="7"/>
  <c r="P39" i="7"/>
  <c r="O39" i="7"/>
  <c r="N39" i="7"/>
  <c r="M39" i="7"/>
  <c r="L39" i="7"/>
  <c r="K39" i="7"/>
  <c r="J39" i="7"/>
  <c r="I39" i="7"/>
  <c r="F39" i="7"/>
  <c r="E39" i="7"/>
  <c r="D39" i="7"/>
  <c r="C39" i="7"/>
  <c r="AD38" i="7"/>
  <c r="AB38" i="7"/>
  <c r="AA38" i="7"/>
  <c r="Z38" i="7"/>
  <c r="Y38" i="7"/>
  <c r="X38" i="7"/>
  <c r="W38" i="7"/>
  <c r="T38" i="7"/>
  <c r="R38" i="7"/>
  <c r="Q38" i="7"/>
  <c r="P38" i="7"/>
  <c r="O38" i="7"/>
  <c r="N38" i="7"/>
  <c r="M38" i="7"/>
  <c r="L38" i="7"/>
  <c r="K38" i="7"/>
  <c r="J38" i="7"/>
  <c r="I38" i="7"/>
  <c r="F38" i="7"/>
  <c r="E38" i="7"/>
  <c r="D38" i="7"/>
  <c r="C38" i="7"/>
  <c r="AD37" i="7"/>
  <c r="AC37" i="7"/>
  <c r="AB37" i="7"/>
  <c r="AA37" i="7"/>
  <c r="Z37" i="7"/>
  <c r="Y37" i="7"/>
  <c r="X37" i="7"/>
  <c r="W37" i="7"/>
  <c r="T37" i="7"/>
  <c r="S37" i="7"/>
  <c r="R37" i="7"/>
  <c r="Q37" i="7"/>
  <c r="P37" i="7"/>
  <c r="O37" i="7"/>
  <c r="N37" i="7"/>
  <c r="M37" i="7"/>
  <c r="L37" i="7"/>
  <c r="K37" i="7"/>
  <c r="J37" i="7"/>
  <c r="I37" i="7"/>
  <c r="F37" i="7"/>
  <c r="E37" i="7"/>
  <c r="D37" i="7"/>
  <c r="C37" i="7"/>
  <c r="AD36" i="7"/>
  <c r="AC36" i="7"/>
  <c r="AB36" i="7"/>
  <c r="AA36" i="7"/>
  <c r="Z36" i="7"/>
  <c r="Y36" i="7"/>
  <c r="X36" i="7"/>
  <c r="W36" i="7"/>
  <c r="T36" i="7"/>
  <c r="S36" i="7"/>
  <c r="R36" i="7"/>
  <c r="Q36" i="7"/>
  <c r="P36" i="7"/>
  <c r="O36" i="7"/>
  <c r="N36" i="7"/>
  <c r="M36" i="7"/>
  <c r="L36" i="7"/>
  <c r="K36" i="7"/>
  <c r="J36" i="7"/>
  <c r="I36" i="7"/>
  <c r="F36" i="7"/>
  <c r="E36" i="7"/>
  <c r="D36" i="7"/>
  <c r="C36" i="7"/>
  <c r="AD35" i="7"/>
  <c r="AC35" i="7"/>
  <c r="AB35" i="7"/>
  <c r="AA35" i="7"/>
  <c r="Z35" i="7"/>
  <c r="Y35" i="7"/>
  <c r="X35" i="7"/>
  <c r="W35" i="7"/>
  <c r="T35" i="7"/>
  <c r="S35" i="7"/>
  <c r="R35" i="7"/>
  <c r="Q35" i="7"/>
  <c r="P35" i="7"/>
  <c r="M35" i="7"/>
  <c r="L35" i="7"/>
  <c r="K35" i="7"/>
  <c r="J35" i="7"/>
  <c r="I35" i="7"/>
  <c r="F35" i="7"/>
  <c r="D35" i="7"/>
  <c r="C35" i="7"/>
  <c r="AD32" i="7"/>
  <c r="AC32" i="7"/>
  <c r="AB32" i="7"/>
  <c r="AA32" i="7"/>
  <c r="Z32" i="7"/>
  <c r="Y32" i="7"/>
  <c r="X32" i="7"/>
  <c r="W32" i="7"/>
  <c r="T32" i="7"/>
  <c r="S32" i="7"/>
  <c r="R32" i="7"/>
  <c r="Q32" i="7"/>
  <c r="P32" i="7"/>
  <c r="O32" i="7"/>
  <c r="N32" i="7"/>
  <c r="M32" i="7"/>
  <c r="L32" i="7"/>
  <c r="K32" i="7"/>
  <c r="J32" i="7"/>
  <c r="I32" i="7"/>
  <c r="F32" i="7"/>
  <c r="E32" i="7"/>
  <c r="D32" i="7"/>
  <c r="C32" i="7"/>
  <c r="AD31" i="7"/>
  <c r="AC31" i="7"/>
  <c r="AB31" i="7"/>
  <c r="AA31" i="7"/>
  <c r="Z31" i="7"/>
  <c r="Y31" i="7"/>
  <c r="X31" i="7"/>
  <c r="W31" i="7"/>
  <c r="T31" i="7"/>
  <c r="S31" i="7"/>
  <c r="R31" i="7"/>
  <c r="Q31" i="7"/>
  <c r="P31" i="7"/>
  <c r="O31" i="7"/>
  <c r="N31" i="7"/>
  <c r="M31" i="7"/>
  <c r="L31" i="7"/>
  <c r="K31" i="7"/>
  <c r="J31" i="7"/>
  <c r="I31" i="7"/>
  <c r="F31" i="7"/>
  <c r="E31" i="7"/>
  <c r="D31" i="7"/>
  <c r="C31" i="7"/>
  <c r="AD30" i="7"/>
  <c r="AC30" i="7"/>
  <c r="AB30" i="7"/>
  <c r="AA30" i="7"/>
  <c r="Z30" i="7"/>
  <c r="Y30" i="7"/>
  <c r="X30" i="7"/>
  <c r="W30" i="7"/>
  <c r="T30" i="7"/>
  <c r="S30" i="7"/>
  <c r="R30" i="7"/>
  <c r="Q30" i="7"/>
  <c r="P30" i="7"/>
  <c r="O30" i="7"/>
  <c r="N30" i="7"/>
  <c r="M30" i="7"/>
  <c r="L30" i="7"/>
  <c r="K30" i="7"/>
  <c r="J30" i="7"/>
  <c r="I30" i="7"/>
  <c r="F30" i="7"/>
  <c r="E30" i="7"/>
  <c r="D30" i="7"/>
  <c r="C30" i="7"/>
  <c r="AD29" i="7"/>
  <c r="AC29" i="7"/>
  <c r="AB29" i="7"/>
  <c r="AA29" i="7"/>
  <c r="Z29" i="7"/>
  <c r="Y29" i="7"/>
  <c r="X29" i="7"/>
  <c r="W29" i="7"/>
  <c r="T29" i="7"/>
  <c r="S29" i="7"/>
  <c r="R29" i="7"/>
  <c r="Q29" i="7"/>
  <c r="P29" i="7"/>
  <c r="O29" i="7"/>
  <c r="N29" i="7"/>
  <c r="M29" i="7"/>
  <c r="L29" i="7"/>
  <c r="K29" i="7"/>
  <c r="J29" i="7"/>
  <c r="I29" i="7"/>
  <c r="F29" i="7"/>
  <c r="E29" i="7"/>
  <c r="D29" i="7"/>
  <c r="C29" i="7"/>
  <c r="AD28" i="7"/>
  <c r="AA28" i="7"/>
  <c r="Z28" i="7"/>
  <c r="Y28" i="7"/>
  <c r="X28" i="7"/>
  <c r="W28" i="7"/>
  <c r="T28" i="7"/>
  <c r="R28" i="7"/>
  <c r="Q28" i="7"/>
  <c r="P28" i="7"/>
  <c r="O28" i="7"/>
  <c r="N28" i="7"/>
  <c r="M28" i="7"/>
  <c r="L28" i="7"/>
  <c r="K28" i="7"/>
  <c r="J28" i="7"/>
  <c r="I28" i="7"/>
  <c r="F28" i="7"/>
  <c r="E28" i="7"/>
  <c r="D28" i="7"/>
  <c r="C28" i="7"/>
  <c r="AD25" i="7"/>
  <c r="AC25" i="7"/>
  <c r="AB25" i="7"/>
  <c r="AA25" i="7"/>
  <c r="Z25" i="7"/>
  <c r="Y25" i="7"/>
  <c r="X25" i="7"/>
  <c r="W25" i="7"/>
  <c r="T25" i="7"/>
  <c r="S25" i="7"/>
  <c r="R25" i="7"/>
  <c r="Q25" i="7"/>
  <c r="P25" i="7"/>
  <c r="O25" i="7"/>
  <c r="N25" i="7"/>
  <c r="M25" i="7"/>
  <c r="L25" i="7"/>
  <c r="K25" i="7"/>
  <c r="J25" i="7"/>
  <c r="I25" i="7"/>
  <c r="F25" i="7"/>
  <c r="E25" i="7"/>
  <c r="D25" i="7"/>
  <c r="C25" i="7"/>
  <c r="AD24" i="7"/>
  <c r="AB24" i="7"/>
  <c r="Z24" i="7"/>
  <c r="Y24" i="7"/>
  <c r="X24" i="7"/>
  <c r="W24" i="7"/>
  <c r="T24" i="7"/>
  <c r="R24" i="7"/>
  <c r="Q24" i="7"/>
  <c r="P24" i="7"/>
  <c r="O24" i="7"/>
  <c r="N24" i="7"/>
  <c r="M24" i="7"/>
  <c r="L24" i="7"/>
  <c r="K24" i="7"/>
  <c r="J24" i="7"/>
  <c r="I24" i="7"/>
  <c r="F24" i="7"/>
  <c r="E24" i="7"/>
  <c r="D24" i="7"/>
  <c r="C24" i="7"/>
  <c r="AD23" i="7"/>
  <c r="AB23" i="7"/>
  <c r="Z23" i="7"/>
  <c r="Y23" i="7"/>
  <c r="X23" i="7"/>
  <c r="W23" i="7"/>
  <c r="T23" i="7"/>
  <c r="R23" i="7"/>
  <c r="Q23" i="7"/>
  <c r="P23" i="7"/>
  <c r="M23" i="7"/>
  <c r="L23" i="7"/>
  <c r="K23" i="7"/>
  <c r="J23" i="7"/>
  <c r="I23" i="7"/>
  <c r="F23" i="7"/>
  <c r="D23" i="7"/>
  <c r="C23" i="7"/>
  <c r="AD22" i="7"/>
  <c r="AA22" i="7"/>
  <c r="Z22" i="7"/>
  <c r="Y22" i="7"/>
  <c r="X22" i="7"/>
  <c r="W22" i="7"/>
  <c r="T22" i="7"/>
  <c r="R22" i="7"/>
  <c r="Q22" i="7"/>
  <c r="P22" i="7"/>
  <c r="O22" i="7"/>
  <c r="N22" i="7"/>
  <c r="M22" i="7"/>
  <c r="L22" i="7"/>
  <c r="K22" i="7"/>
  <c r="J22" i="7"/>
  <c r="I22" i="7"/>
  <c r="F22" i="7"/>
  <c r="D22" i="7"/>
  <c r="C22" i="7"/>
  <c r="AD19" i="7"/>
  <c r="AC19" i="7"/>
  <c r="AB19" i="7"/>
  <c r="AA19" i="7"/>
  <c r="Z19" i="7"/>
  <c r="Y19" i="7"/>
  <c r="X19" i="7"/>
  <c r="W19" i="7"/>
  <c r="T19" i="7"/>
  <c r="S19" i="7"/>
  <c r="R19" i="7"/>
  <c r="Q19" i="7"/>
  <c r="P19" i="7"/>
  <c r="O19" i="7"/>
  <c r="N19" i="7"/>
  <c r="M19" i="7"/>
  <c r="L19" i="7"/>
  <c r="K19" i="7"/>
  <c r="J19" i="7"/>
  <c r="I19" i="7"/>
  <c r="F19" i="7"/>
  <c r="E19" i="7"/>
  <c r="D19" i="7"/>
  <c r="C19" i="7"/>
  <c r="AD18" i="7"/>
  <c r="AC18" i="7"/>
  <c r="AB18" i="7"/>
  <c r="AA18" i="7"/>
  <c r="Z18" i="7"/>
  <c r="Y18" i="7"/>
  <c r="X18" i="7"/>
  <c r="W18" i="7"/>
  <c r="T18" i="7"/>
  <c r="S18" i="7"/>
  <c r="R18" i="7"/>
  <c r="Q18" i="7"/>
  <c r="P18" i="7"/>
  <c r="O18" i="7"/>
  <c r="N18" i="7"/>
  <c r="M18" i="7"/>
  <c r="L18" i="7"/>
  <c r="K18" i="7"/>
  <c r="J18" i="7"/>
  <c r="I18" i="7"/>
  <c r="F18" i="7"/>
  <c r="E18" i="7"/>
  <c r="D18" i="7"/>
  <c r="C18" i="7"/>
  <c r="AD17" i="7"/>
  <c r="AC17" i="7"/>
  <c r="AB17" i="7"/>
  <c r="AA17" i="7"/>
  <c r="Z17" i="7"/>
  <c r="Y17" i="7"/>
  <c r="X17" i="7"/>
  <c r="W17" i="7"/>
  <c r="T17" i="7"/>
  <c r="S17" i="7"/>
  <c r="R17" i="7"/>
  <c r="Q17" i="7"/>
  <c r="P17" i="7"/>
  <c r="M17" i="7"/>
  <c r="L17" i="7"/>
  <c r="J17" i="7"/>
  <c r="F17" i="7"/>
  <c r="D17" i="7"/>
  <c r="C17" i="7"/>
  <c r="AD16" i="7"/>
  <c r="AC16" i="7"/>
  <c r="AB16" i="7"/>
  <c r="AA16" i="7"/>
  <c r="Z16" i="7"/>
  <c r="Y16" i="7"/>
  <c r="X16" i="7"/>
  <c r="W16" i="7"/>
  <c r="T16" i="7"/>
  <c r="S16" i="7"/>
  <c r="R16" i="7"/>
  <c r="Q16" i="7"/>
  <c r="P16" i="7"/>
  <c r="O16" i="7"/>
  <c r="N16" i="7"/>
  <c r="M16" i="7"/>
  <c r="L16" i="7"/>
  <c r="K16" i="7"/>
  <c r="J16" i="7"/>
  <c r="I16" i="7"/>
  <c r="F16" i="7"/>
  <c r="E16" i="7"/>
  <c r="D16" i="7"/>
  <c r="C16" i="7"/>
  <c r="AD13" i="7"/>
  <c r="AC13" i="7"/>
  <c r="AB13" i="7"/>
  <c r="AA13" i="7"/>
  <c r="Z13" i="7"/>
  <c r="Y13" i="7"/>
  <c r="X13" i="7"/>
  <c r="W13" i="7"/>
  <c r="T13" i="7"/>
  <c r="S13" i="7"/>
  <c r="R13" i="7"/>
  <c r="Q13" i="7"/>
  <c r="P13" i="7"/>
  <c r="O13" i="7"/>
  <c r="N13" i="7"/>
  <c r="M13" i="7"/>
  <c r="L13" i="7"/>
  <c r="K13" i="7"/>
  <c r="J13" i="7"/>
  <c r="I13" i="7"/>
  <c r="F13" i="7"/>
  <c r="E13" i="7"/>
  <c r="D13" i="7"/>
  <c r="C13" i="7"/>
  <c r="AD12" i="7"/>
  <c r="AC12" i="7"/>
  <c r="AB12" i="7"/>
  <c r="AA12" i="7"/>
  <c r="Z12" i="7"/>
  <c r="Y12" i="7"/>
  <c r="X12" i="7"/>
  <c r="W12" i="7"/>
  <c r="T12" i="7"/>
  <c r="S12" i="7"/>
  <c r="R12" i="7"/>
  <c r="Q12" i="7"/>
  <c r="P12" i="7"/>
  <c r="O12" i="7"/>
  <c r="N12" i="7"/>
  <c r="M12" i="7"/>
  <c r="L12" i="7"/>
  <c r="K12" i="7"/>
  <c r="J12" i="7"/>
  <c r="I12" i="7"/>
  <c r="F12" i="7"/>
  <c r="E12" i="7"/>
  <c r="D12" i="7"/>
  <c r="C12" i="7"/>
  <c r="AD11" i="7"/>
  <c r="AC11" i="7"/>
  <c r="AB11" i="7"/>
  <c r="AA11" i="7"/>
  <c r="Z11" i="7"/>
  <c r="Y11" i="7"/>
  <c r="X11" i="7"/>
  <c r="W11" i="7"/>
  <c r="T11" i="7"/>
  <c r="S11" i="7"/>
  <c r="R11" i="7"/>
  <c r="Q11" i="7"/>
  <c r="P11" i="7"/>
  <c r="O11" i="7"/>
  <c r="N11" i="7"/>
  <c r="M11" i="7"/>
  <c r="L11" i="7"/>
  <c r="K11" i="7"/>
  <c r="J11" i="7"/>
  <c r="I11" i="7"/>
  <c r="F11" i="7"/>
  <c r="E11" i="7"/>
  <c r="D11" i="7"/>
  <c r="C11" i="7"/>
  <c r="AD10" i="7"/>
  <c r="AC10" i="7"/>
  <c r="AB10" i="7"/>
  <c r="AA10" i="7"/>
  <c r="Z10" i="7"/>
  <c r="Y10" i="7"/>
  <c r="X10" i="7"/>
  <c r="W10" i="7"/>
  <c r="T10" i="7"/>
  <c r="S10" i="7"/>
  <c r="R10" i="7"/>
  <c r="Q10" i="7"/>
  <c r="P10" i="7"/>
  <c r="O10" i="7"/>
  <c r="N10" i="7"/>
  <c r="M10" i="7"/>
  <c r="L10" i="7"/>
  <c r="K10" i="7"/>
  <c r="J10" i="7"/>
  <c r="I10" i="7"/>
  <c r="F10" i="7"/>
  <c r="D10" i="7"/>
  <c r="BD40" i="26"/>
  <c r="AY40" i="26"/>
  <c r="AT40" i="26"/>
  <c r="AO40" i="26"/>
  <c r="AJ40" i="26"/>
  <c r="AI40" i="26"/>
  <c r="Z40" i="26"/>
  <c r="P40" i="26"/>
  <c r="AT39" i="26"/>
  <c r="AJ39" i="26"/>
  <c r="AI39" i="26"/>
  <c r="Z39" i="26"/>
  <c r="P39" i="26"/>
  <c r="BD38" i="26"/>
  <c r="AY38" i="26"/>
  <c r="AT38" i="26"/>
  <c r="AO38" i="26"/>
  <c r="AJ38" i="26"/>
  <c r="AI38" i="26"/>
  <c r="Z38" i="26"/>
  <c r="BD37" i="26"/>
  <c r="AY37" i="26"/>
  <c r="AT37" i="26"/>
  <c r="AO37" i="26"/>
  <c r="AJ37" i="26"/>
  <c r="AI37" i="26"/>
  <c r="Z37" i="26"/>
  <c r="P37" i="26"/>
  <c r="BD36" i="26"/>
  <c r="AY36" i="26"/>
  <c r="AT36" i="26"/>
  <c r="AO36" i="26"/>
  <c r="AJ36" i="26"/>
  <c r="AI36" i="26"/>
  <c r="Z36" i="26"/>
  <c r="P36" i="26"/>
  <c r="BD35" i="26"/>
  <c r="AY35" i="26"/>
  <c r="AT35" i="26"/>
  <c r="AO35" i="26"/>
  <c r="AJ35" i="26"/>
  <c r="AI35" i="26"/>
  <c r="Z35" i="26"/>
  <c r="P35" i="26"/>
  <c r="AT32" i="26"/>
  <c r="AJ32" i="26"/>
  <c r="AI32" i="26"/>
  <c r="Z32" i="26"/>
  <c r="P32" i="26"/>
  <c r="BD31" i="26"/>
  <c r="AY31" i="26"/>
  <c r="AT31" i="26"/>
  <c r="AO31" i="26"/>
  <c r="AJ31" i="26"/>
  <c r="AI31" i="26"/>
  <c r="Z31" i="26"/>
  <c r="P31" i="26"/>
  <c r="BD30" i="26"/>
  <c r="AY30" i="26"/>
  <c r="AT30" i="26"/>
  <c r="AO30" i="26"/>
  <c r="AJ30" i="26"/>
  <c r="AI30" i="26"/>
  <c r="Z30" i="26"/>
  <c r="P30" i="26"/>
  <c r="BD29" i="26"/>
  <c r="AY29" i="26"/>
  <c r="AT29" i="26"/>
  <c r="AO29" i="26"/>
  <c r="AJ29" i="26"/>
  <c r="AI29" i="26"/>
  <c r="Z29" i="26"/>
  <c r="P29" i="26"/>
  <c r="BD28" i="26"/>
  <c r="AY28" i="26"/>
  <c r="AT28" i="26"/>
  <c r="AO28" i="26"/>
  <c r="AJ28" i="26"/>
  <c r="AI28" i="26"/>
  <c r="Z28" i="26"/>
  <c r="P28" i="26"/>
  <c r="AT25" i="26"/>
  <c r="AJ25" i="26"/>
  <c r="AI25" i="26"/>
  <c r="Z25" i="26"/>
  <c r="P25" i="26"/>
  <c r="BD24" i="26"/>
  <c r="AY24" i="26"/>
  <c r="AT24" i="26"/>
  <c r="AO24" i="26"/>
  <c r="AJ24" i="26"/>
  <c r="AI24" i="26"/>
  <c r="Z24" i="26"/>
  <c r="P24" i="26"/>
  <c r="BD23" i="26"/>
  <c r="AY23" i="26"/>
  <c r="AT23" i="26"/>
  <c r="AO23" i="26"/>
  <c r="AJ23" i="26"/>
  <c r="AI23" i="26"/>
  <c r="Z23" i="26"/>
  <c r="P23" i="26"/>
  <c r="BD22" i="26"/>
  <c r="AY22" i="26"/>
  <c r="AT22" i="26"/>
  <c r="AO22" i="26"/>
  <c r="AJ22" i="26"/>
  <c r="AI22" i="26"/>
  <c r="Z22" i="26"/>
  <c r="P22" i="26"/>
  <c r="BN19" i="26"/>
  <c r="BD19" i="26"/>
  <c r="AY19" i="26"/>
  <c r="AT19" i="26"/>
  <c r="AO19" i="26"/>
  <c r="AJ19" i="26"/>
  <c r="AI19" i="26"/>
  <c r="Z19" i="26"/>
  <c r="P19" i="26"/>
  <c r="BN18" i="26"/>
  <c r="BD18" i="26"/>
  <c r="AY18" i="26"/>
  <c r="AT18" i="26"/>
  <c r="AO18" i="26"/>
  <c r="AJ18" i="26"/>
  <c r="AI18" i="26"/>
  <c r="Z18" i="26"/>
  <c r="P18" i="26"/>
  <c r="BN17" i="26"/>
  <c r="BD17" i="26"/>
  <c r="AY17" i="26"/>
  <c r="AT17" i="26"/>
  <c r="AO17" i="26"/>
  <c r="AJ17" i="26"/>
  <c r="AI17" i="26"/>
  <c r="Z17" i="26"/>
  <c r="P17" i="26"/>
  <c r="BN16" i="26"/>
  <c r="BD16" i="26"/>
  <c r="AY16" i="26"/>
  <c r="AT16" i="26"/>
  <c r="AO16" i="26"/>
  <c r="AJ16" i="26"/>
  <c r="AI16" i="26"/>
  <c r="Z16" i="26"/>
  <c r="P16" i="26"/>
  <c r="BN13" i="26"/>
  <c r="BD13" i="26"/>
  <c r="AY13" i="26"/>
  <c r="AT13" i="26"/>
  <c r="AO13" i="26"/>
  <c r="AJ13" i="26"/>
  <c r="AI13" i="26"/>
  <c r="Z13" i="26"/>
  <c r="P13" i="26"/>
  <c r="BN12" i="26"/>
  <c r="BD12" i="26"/>
  <c r="AY12" i="26"/>
  <c r="AT12" i="26"/>
  <c r="AO12" i="26"/>
  <c r="AJ12" i="26"/>
  <c r="AI12" i="26"/>
  <c r="Z12" i="26"/>
  <c r="P12" i="26"/>
  <c r="BN11" i="26"/>
  <c r="BD11" i="26"/>
  <c r="AY11" i="26"/>
  <c r="AT11" i="26"/>
  <c r="AO11" i="26"/>
  <c r="AJ11" i="26"/>
  <c r="AI11" i="26"/>
  <c r="Z11" i="26"/>
  <c r="P11" i="26"/>
  <c r="BN10" i="26"/>
  <c r="BD10" i="26"/>
  <c r="AY10" i="26"/>
  <c r="AT10" i="26"/>
  <c r="AO10" i="26"/>
  <c r="AJ10" i="26"/>
  <c r="AI10" i="26"/>
  <c r="Z10" i="26"/>
  <c r="P10" i="26"/>
  <c r="AH39" i="5"/>
  <c r="AC39" i="5"/>
  <c r="X39" i="5"/>
  <c r="S39" i="5"/>
  <c r="AH38" i="5"/>
  <c r="AC38" i="5"/>
  <c r="X38" i="5"/>
  <c r="S38" i="5"/>
  <c r="AH37" i="5"/>
  <c r="AC37" i="5"/>
  <c r="X37" i="5"/>
  <c r="S37" i="5"/>
  <c r="AH36" i="5"/>
  <c r="AC36" i="5"/>
  <c r="X36" i="5"/>
  <c r="S36" i="5"/>
  <c r="AH35" i="5"/>
  <c r="AC35" i="5"/>
  <c r="X35" i="5"/>
  <c r="S35" i="5"/>
  <c r="AH34" i="5"/>
  <c r="AC34" i="5"/>
  <c r="X34" i="5"/>
  <c r="S34" i="5"/>
  <c r="AH31" i="5"/>
  <c r="AC31" i="5"/>
  <c r="X31" i="5"/>
  <c r="AH30" i="5"/>
  <c r="AC30" i="5"/>
  <c r="X30" i="5"/>
  <c r="AC29" i="5"/>
  <c r="X29" i="5"/>
  <c r="AC28" i="5"/>
  <c r="X28" i="5"/>
  <c r="AH27" i="5"/>
  <c r="AC27" i="5"/>
  <c r="X27" i="5"/>
  <c r="AH24" i="5"/>
  <c r="AC24" i="5"/>
  <c r="X24" i="5"/>
  <c r="AH23" i="5"/>
  <c r="AC23" i="5"/>
  <c r="X23" i="5"/>
  <c r="AC22" i="5"/>
  <c r="X22" i="5"/>
  <c r="AC21" i="5"/>
  <c r="X21" i="5"/>
  <c r="AH18" i="5"/>
  <c r="AC18" i="5"/>
  <c r="X18" i="5"/>
  <c r="S18" i="5"/>
  <c r="AH17" i="5"/>
  <c r="AC17" i="5"/>
  <c r="X17" i="5"/>
  <c r="S17" i="5"/>
  <c r="AH16" i="5"/>
  <c r="AC16" i="5"/>
  <c r="X16" i="5"/>
  <c r="S16" i="5"/>
  <c r="AH15" i="5"/>
  <c r="AC15" i="5"/>
  <c r="X15" i="5"/>
  <c r="S15" i="5"/>
  <c r="AH12" i="5"/>
  <c r="AC12" i="5"/>
  <c r="X12" i="5"/>
  <c r="S12" i="5"/>
  <c r="AH11" i="5"/>
  <c r="AC11" i="5"/>
  <c r="X11" i="5"/>
  <c r="S11" i="5"/>
  <c r="AH10" i="5"/>
  <c r="AC10" i="5"/>
  <c r="X10" i="5"/>
  <c r="S10" i="5"/>
  <c r="AH9" i="5"/>
  <c r="X9" i="5"/>
  <c r="S9" i="5"/>
  <c r="AR9" i="45" l="1"/>
  <c r="CM119" i="43"/>
  <c r="D10" i="10"/>
  <c r="G47" i="41"/>
  <c r="AE47" i="41"/>
  <c r="AA47" i="41"/>
  <c r="W47" i="41"/>
  <c r="S47" i="41"/>
  <c r="O47" i="41"/>
  <c r="K47" i="41"/>
  <c r="AD46" i="41"/>
  <c r="Z46" i="41"/>
  <c r="V46" i="41"/>
  <c r="R46" i="41"/>
  <c r="N46" i="41"/>
  <c r="J46" i="41"/>
  <c r="AC47" i="41"/>
  <c r="Y47" i="41"/>
  <c r="U47" i="41"/>
  <c r="Q47" i="41"/>
  <c r="M47" i="41"/>
  <c r="I47" i="41"/>
  <c r="AC45" i="41"/>
  <c r="G46" i="41"/>
  <c r="AE46" i="41"/>
  <c r="AA46" i="41"/>
  <c r="W46" i="41"/>
  <c r="S46" i="41"/>
  <c r="O46" i="41"/>
  <c r="K46" i="41"/>
  <c r="AC44" i="41"/>
  <c r="Y44" i="41"/>
  <c r="U44" i="41"/>
  <c r="Q44" i="41"/>
  <c r="M44" i="41"/>
  <c r="I44" i="41"/>
  <c r="AC46" i="41"/>
  <c r="Y46" i="41"/>
  <c r="U46" i="41"/>
  <c r="Q46" i="41"/>
  <c r="M46" i="41"/>
  <c r="I46" i="41"/>
  <c r="AF46" i="41"/>
  <c r="AB46" i="41"/>
  <c r="X46" i="41"/>
  <c r="T46" i="41"/>
  <c r="P46" i="41"/>
  <c r="L46" i="41"/>
  <c r="H46" i="41"/>
  <c r="Y45" i="41"/>
  <c r="U45" i="41"/>
  <c r="Q45" i="41"/>
  <c r="M45" i="41"/>
  <c r="I45" i="41"/>
  <c r="I49" i="41"/>
  <c r="M49" i="41"/>
  <c r="Q49" i="41"/>
  <c r="U49" i="41"/>
  <c r="Y49" i="41"/>
  <c r="AC49" i="41"/>
  <c r="I48" i="41"/>
  <c r="M48" i="41"/>
  <c r="Q48" i="41"/>
  <c r="U48" i="41"/>
  <c r="Y48" i="41"/>
  <c r="AC48" i="41"/>
  <c r="AD44" i="41"/>
  <c r="Z44" i="41"/>
  <c r="R44" i="41"/>
  <c r="N44" i="41"/>
  <c r="J44" i="41"/>
  <c r="H49" i="41"/>
  <c r="L49" i="41"/>
  <c r="P49" i="41"/>
  <c r="T49" i="41"/>
  <c r="X49" i="41"/>
  <c r="AB49" i="41"/>
  <c r="AF49" i="41"/>
  <c r="H48" i="41"/>
  <c r="L48" i="41"/>
  <c r="P48" i="41"/>
  <c r="T48" i="41"/>
  <c r="X48" i="41"/>
  <c r="AB48" i="41"/>
  <c r="AF48" i="41"/>
  <c r="V44" i="41"/>
  <c r="AD47" i="41"/>
  <c r="Z47" i="41"/>
  <c r="V47" i="41"/>
  <c r="R47" i="41"/>
  <c r="N47" i="41"/>
  <c r="J47" i="41"/>
  <c r="AF45" i="41"/>
  <c r="AB45" i="41"/>
  <c r="X45" i="41"/>
  <c r="T45" i="41"/>
  <c r="P45" i="41"/>
  <c r="L45" i="41"/>
  <c r="H45" i="41"/>
  <c r="G45" i="41"/>
  <c r="AE45" i="41"/>
  <c r="AA45" i="41"/>
  <c r="W45" i="41"/>
  <c r="S45" i="41"/>
  <c r="O45" i="41"/>
  <c r="K45" i="41"/>
  <c r="AF44" i="41"/>
  <c r="AB44" i="41"/>
  <c r="X44" i="41"/>
  <c r="T44" i="41"/>
  <c r="P44" i="41"/>
  <c r="L44" i="41"/>
  <c r="H44" i="41"/>
  <c r="J49" i="41"/>
  <c r="N49" i="41"/>
  <c r="R49" i="41"/>
  <c r="V49" i="41"/>
  <c r="Z49" i="41"/>
  <c r="AD49" i="41"/>
  <c r="J48" i="41"/>
  <c r="N48" i="41"/>
  <c r="R48" i="41"/>
  <c r="V48" i="41"/>
  <c r="Z48" i="41"/>
  <c r="AD48" i="41"/>
  <c r="G44" i="41"/>
  <c r="AF47" i="41"/>
  <c r="AB47" i="41"/>
  <c r="X47" i="41"/>
  <c r="T47" i="41"/>
  <c r="P47" i="41"/>
  <c r="L47" i="41"/>
  <c r="H47" i="41"/>
  <c r="AD45" i="41"/>
  <c r="Z45" i="41"/>
  <c r="V45" i="41"/>
  <c r="R45" i="41"/>
  <c r="N45" i="41"/>
  <c r="J45" i="41"/>
  <c r="AE44" i="41"/>
  <c r="AA44" i="41"/>
  <c r="W44" i="41"/>
  <c r="S44" i="41"/>
  <c r="O44" i="41"/>
  <c r="K44" i="41"/>
  <c r="G49" i="41"/>
  <c r="K49" i="41"/>
  <c r="O49" i="41"/>
  <c r="S49" i="41"/>
  <c r="W49" i="41"/>
  <c r="AA49" i="41"/>
  <c r="AE49" i="41"/>
  <c r="G48" i="41"/>
  <c r="K48" i="41"/>
  <c r="O48" i="41"/>
  <c r="S48" i="41"/>
  <c r="W48" i="41"/>
  <c r="AA48" i="41"/>
  <c r="AE48" i="41"/>
  <c r="AE46" i="45"/>
  <c r="AA46" i="45"/>
  <c r="W46" i="45"/>
  <c r="S46" i="45"/>
  <c r="O46" i="45"/>
  <c r="K46" i="45"/>
  <c r="G46" i="45"/>
  <c r="AB46" i="45"/>
  <c r="V46" i="45"/>
  <c r="Q46" i="45"/>
  <c r="L46" i="45"/>
  <c r="AD46" i="45"/>
  <c r="X46" i="45"/>
  <c r="P46" i="45"/>
  <c r="I46" i="45"/>
  <c r="AC46" i="45"/>
  <c r="U46" i="45"/>
  <c r="N46" i="45"/>
  <c r="H46" i="45"/>
  <c r="Z46" i="45"/>
  <c r="T46" i="45"/>
  <c r="M46" i="45"/>
  <c r="J46" i="45"/>
  <c r="AF46" i="45"/>
  <c r="Y46" i="45"/>
  <c r="R46" i="45"/>
  <c r="AE48" i="45"/>
  <c r="AA48" i="45"/>
  <c r="W48" i="45"/>
  <c r="S48" i="45"/>
  <c r="O48" i="45"/>
  <c r="K48" i="45"/>
  <c r="G48" i="45"/>
  <c r="AD48" i="45"/>
  <c r="Y48" i="45"/>
  <c r="T48" i="45"/>
  <c r="N48" i="45"/>
  <c r="I48" i="45"/>
  <c r="Z48" i="45"/>
  <c r="R48" i="45"/>
  <c r="L48" i="45"/>
  <c r="AF48" i="45"/>
  <c r="X48" i="45"/>
  <c r="Q48" i="45"/>
  <c r="J48" i="45"/>
  <c r="AC48" i="45"/>
  <c r="V48" i="45"/>
  <c r="P48" i="45"/>
  <c r="H48" i="45"/>
  <c r="U48" i="45"/>
  <c r="M48" i="45"/>
  <c r="AB48" i="45"/>
  <c r="BO53" i="45"/>
  <c r="BK53" i="45"/>
  <c r="BG53" i="45"/>
  <c r="BC53" i="45"/>
  <c r="AY53" i="45"/>
  <c r="AU53" i="45"/>
  <c r="AQ53" i="45"/>
  <c r="BN53" i="45"/>
  <c r="BJ53" i="45"/>
  <c r="BF53" i="45"/>
  <c r="BB53" i="45"/>
  <c r="AX53" i="45"/>
  <c r="AT53" i="45"/>
  <c r="BM53" i="45"/>
  <c r="BI53" i="45"/>
  <c r="BE53" i="45"/>
  <c r="BA53" i="45"/>
  <c r="AW53" i="45"/>
  <c r="AS53" i="45"/>
  <c r="BP53" i="45"/>
  <c r="AZ53" i="45"/>
  <c r="BH53" i="45"/>
  <c r="BD53" i="45"/>
  <c r="AV53" i="45"/>
  <c r="AR53" i="45"/>
  <c r="BL53" i="45"/>
  <c r="BN17" i="45"/>
  <c r="BJ17" i="45"/>
  <c r="BF17" i="45"/>
  <c r="BB17" i="45"/>
  <c r="AX17" i="45"/>
  <c r="AT17" i="45"/>
  <c r="BL17" i="45"/>
  <c r="BG17" i="45"/>
  <c r="BA17" i="45"/>
  <c r="AV17" i="45"/>
  <c r="AQ17" i="45"/>
  <c r="BP17" i="45"/>
  <c r="BK17" i="45"/>
  <c r="BE17" i="45"/>
  <c r="AZ17" i="45"/>
  <c r="AU17" i="45"/>
  <c r="BM17" i="45"/>
  <c r="BC17" i="45"/>
  <c r="AR17" i="45"/>
  <c r="BI17" i="45"/>
  <c r="AY17" i="45"/>
  <c r="BH17" i="45"/>
  <c r="AW17" i="45"/>
  <c r="BO17" i="45"/>
  <c r="BD17" i="45"/>
  <c r="AS17" i="45"/>
  <c r="BN22" i="45"/>
  <c r="BJ22" i="45"/>
  <c r="BF22" i="45"/>
  <c r="BB22" i="45"/>
  <c r="AX22" i="45"/>
  <c r="AT22" i="45"/>
  <c r="BP22" i="45"/>
  <c r="BK22" i="45"/>
  <c r="BE22" i="45"/>
  <c r="AZ22" i="45"/>
  <c r="AU22" i="45"/>
  <c r="BO22" i="45"/>
  <c r="BI22" i="45"/>
  <c r="BD22" i="45"/>
  <c r="AY22" i="45"/>
  <c r="AS22" i="45"/>
  <c r="BG22" i="45"/>
  <c r="AV22" i="45"/>
  <c r="BM22" i="45"/>
  <c r="BC22" i="45"/>
  <c r="AR22" i="45"/>
  <c r="BL22" i="45"/>
  <c r="BA22" i="45"/>
  <c r="AQ22" i="45"/>
  <c r="BH22" i="45"/>
  <c r="AW22" i="45"/>
  <c r="BM28" i="45"/>
  <c r="BO28" i="45"/>
  <c r="BJ28" i="45"/>
  <c r="BF28" i="45"/>
  <c r="BB28" i="45"/>
  <c r="AX28" i="45"/>
  <c r="AT28" i="45"/>
  <c r="BK28" i="45"/>
  <c r="BE28" i="45"/>
  <c r="AZ28" i="45"/>
  <c r="AU28" i="45"/>
  <c r="BP28" i="45"/>
  <c r="BI28" i="45"/>
  <c r="BD28" i="45"/>
  <c r="AY28" i="45"/>
  <c r="AS28" i="45"/>
  <c r="BN28" i="45"/>
  <c r="BH28" i="45"/>
  <c r="BC28" i="45"/>
  <c r="AW28" i="45"/>
  <c r="AR28" i="45"/>
  <c r="BG28" i="45"/>
  <c r="BA28" i="45"/>
  <c r="AV28" i="45"/>
  <c r="BL28" i="45"/>
  <c r="AQ28" i="45"/>
  <c r="BM31" i="45"/>
  <c r="BI31" i="45"/>
  <c r="BE31" i="45"/>
  <c r="BA31" i="45"/>
  <c r="AW31" i="45"/>
  <c r="AS31" i="45"/>
  <c r="BN31" i="45"/>
  <c r="BH31" i="45"/>
  <c r="BC31" i="45"/>
  <c r="AX31" i="45"/>
  <c r="AR31" i="45"/>
  <c r="BK31" i="45"/>
  <c r="BD31" i="45"/>
  <c r="AV31" i="45"/>
  <c r="BP31" i="45"/>
  <c r="BJ31" i="45"/>
  <c r="BB31" i="45"/>
  <c r="AU31" i="45"/>
  <c r="BO31" i="45"/>
  <c r="BG31" i="45"/>
  <c r="AZ31" i="45"/>
  <c r="AT31" i="45"/>
  <c r="AQ31" i="45"/>
  <c r="BL31" i="45"/>
  <c r="BF31" i="45"/>
  <c r="AY31" i="45"/>
  <c r="BN68" i="45"/>
  <c r="BJ68" i="45"/>
  <c r="BF68" i="45"/>
  <c r="BB68" i="45"/>
  <c r="AX68" i="45"/>
  <c r="AT68" i="45"/>
  <c r="BP68" i="45"/>
  <c r="BK68" i="45"/>
  <c r="BE68" i="45"/>
  <c r="AZ68" i="45"/>
  <c r="AU68" i="45"/>
  <c r="BO68" i="45"/>
  <c r="BI68" i="45"/>
  <c r="BD68" i="45"/>
  <c r="AY68" i="45"/>
  <c r="AS68" i="45"/>
  <c r="BM68" i="45"/>
  <c r="BC68" i="45"/>
  <c r="AR68" i="45"/>
  <c r="BL68" i="45"/>
  <c r="BA68" i="45"/>
  <c r="AQ68" i="45"/>
  <c r="BH68" i="45"/>
  <c r="AW68" i="45"/>
  <c r="BG68" i="45"/>
  <c r="AV68" i="45"/>
  <c r="BM34" i="45"/>
  <c r="BI34" i="45"/>
  <c r="BE34" i="45"/>
  <c r="BA34" i="45"/>
  <c r="AW34" i="45"/>
  <c r="AS34" i="45"/>
  <c r="BO34" i="45"/>
  <c r="BJ34" i="45"/>
  <c r="BD34" i="45"/>
  <c r="AY34" i="45"/>
  <c r="AT34" i="45"/>
  <c r="BP34" i="45"/>
  <c r="BH34" i="45"/>
  <c r="BB34" i="45"/>
  <c r="AU34" i="45"/>
  <c r="BN34" i="45"/>
  <c r="BG34" i="45"/>
  <c r="AZ34" i="45"/>
  <c r="AR34" i="45"/>
  <c r="BL34" i="45"/>
  <c r="BF34" i="45"/>
  <c r="AX34" i="45"/>
  <c r="AQ34" i="45"/>
  <c r="AV34" i="45"/>
  <c r="BK34" i="45"/>
  <c r="BC34" i="45"/>
  <c r="BN73" i="45"/>
  <c r="BJ73" i="45"/>
  <c r="BF73" i="45"/>
  <c r="BB73" i="45"/>
  <c r="AX73" i="45"/>
  <c r="AT73" i="45"/>
  <c r="BP73" i="45"/>
  <c r="BK73" i="45"/>
  <c r="BE73" i="45"/>
  <c r="AZ73" i="45"/>
  <c r="AU73" i="45"/>
  <c r="BO73" i="45"/>
  <c r="BI73" i="45"/>
  <c r="BD73" i="45"/>
  <c r="AY73" i="45"/>
  <c r="AS73" i="45"/>
  <c r="BM73" i="45"/>
  <c r="BH73" i="45"/>
  <c r="BC73" i="45"/>
  <c r="AW73" i="45"/>
  <c r="AR73" i="45"/>
  <c r="AV73" i="45"/>
  <c r="BL73" i="45"/>
  <c r="AQ73" i="45"/>
  <c r="BG73" i="45"/>
  <c r="BA73" i="45"/>
  <c r="BM37" i="45"/>
  <c r="BI37" i="45"/>
  <c r="BE37" i="45"/>
  <c r="BA37" i="45"/>
  <c r="AW37" i="45"/>
  <c r="AS37" i="45"/>
  <c r="BN37" i="45"/>
  <c r="BH37" i="45"/>
  <c r="BC37" i="45"/>
  <c r="AX37" i="45"/>
  <c r="AR37" i="45"/>
  <c r="BP37" i="45"/>
  <c r="BJ37" i="45"/>
  <c r="BB37" i="45"/>
  <c r="AU37" i="45"/>
  <c r="BO37" i="45"/>
  <c r="BG37" i="45"/>
  <c r="AZ37" i="45"/>
  <c r="AT37" i="45"/>
  <c r="BL37" i="45"/>
  <c r="BF37" i="45"/>
  <c r="AY37" i="45"/>
  <c r="AQ37" i="45"/>
  <c r="BK37" i="45"/>
  <c r="BD37" i="45"/>
  <c r="AV37" i="45"/>
  <c r="BM39" i="45"/>
  <c r="BI39" i="45"/>
  <c r="BE39" i="45"/>
  <c r="BA39" i="45"/>
  <c r="AW39" i="45"/>
  <c r="AS39" i="45"/>
  <c r="BP39" i="45"/>
  <c r="BK39" i="45"/>
  <c r="BF39" i="45"/>
  <c r="AZ39" i="45"/>
  <c r="AU39" i="45"/>
  <c r="BL39" i="45"/>
  <c r="BD39" i="45"/>
  <c r="AX39" i="45"/>
  <c r="AQ39" i="45"/>
  <c r="BJ39" i="45"/>
  <c r="BC39" i="45"/>
  <c r="AV39" i="45"/>
  <c r="BO39" i="45"/>
  <c r="BH39" i="45"/>
  <c r="BB39" i="45"/>
  <c r="AT39" i="45"/>
  <c r="AR39" i="45"/>
  <c r="BN39" i="45"/>
  <c r="BG39" i="45"/>
  <c r="AY39" i="45"/>
  <c r="BN76" i="45"/>
  <c r="BJ76" i="45"/>
  <c r="BF76" i="45"/>
  <c r="BB76" i="45"/>
  <c r="AX76" i="45"/>
  <c r="AT76" i="45"/>
  <c r="BO76" i="45"/>
  <c r="BI76" i="45"/>
  <c r="BD76" i="45"/>
  <c r="AY76" i="45"/>
  <c r="AS76" i="45"/>
  <c r="BM76" i="45"/>
  <c r="BH76" i="45"/>
  <c r="BC76" i="45"/>
  <c r="AW76" i="45"/>
  <c r="AR76" i="45"/>
  <c r="BL76" i="45"/>
  <c r="BG76" i="45"/>
  <c r="BA76" i="45"/>
  <c r="AV76" i="45"/>
  <c r="AQ76" i="45"/>
  <c r="BK76" i="45"/>
  <c r="BE76" i="45"/>
  <c r="AZ76" i="45"/>
  <c r="AU76" i="45"/>
  <c r="BP76" i="45"/>
  <c r="BM47" i="45"/>
  <c r="BI47" i="45"/>
  <c r="BE47" i="45"/>
  <c r="BA47" i="45"/>
  <c r="AW47" i="45"/>
  <c r="AS47" i="45"/>
  <c r="BN47" i="45"/>
  <c r="BH47" i="45"/>
  <c r="BC47" i="45"/>
  <c r="AX47" i="45"/>
  <c r="AR47" i="45"/>
  <c r="BO47" i="45"/>
  <c r="BG47" i="45"/>
  <c r="AZ47" i="45"/>
  <c r="AT47" i="45"/>
  <c r="BL47" i="45"/>
  <c r="BF47" i="45"/>
  <c r="AY47" i="45"/>
  <c r="AQ47" i="45"/>
  <c r="BK47" i="45"/>
  <c r="BD47" i="45"/>
  <c r="AV47" i="45"/>
  <c r="BB47" i="45"/>
  <c r="AU47" i="45"/>
  <c r="BP47" i="45"/>
  <c r="BJ47" i="45"/>
  <c r="AC49" i="45"/>
  <c r="Y49" i="45"/>
  <c r="AE49" i="45"/>
  <c r="AA49" i="45"/>
  <c r="W49" i="45"/>
  <c r="S49" i="45"/>
  <c r="O49" i="45"/>
  <c r="K49" i="45"/>
  <c r="G49" i="45"/>
  <c r="AB49" i="45"/>
  <c r="U49" i="45"/>
  <c r="P49" i="45"/>
  <c r="J49" i="45"/>
  <c r="X49" i="45"/>
  <c r="Q49" i="45"/>
  <c r="I49" i="45"/>
  <c r="AF49" i="45"/>
  <c r="V49" i="45"/>
  <c r="N49" i="45"/>
  <c r="H49" i="45"/>
  <c r="AD49" i="45"/>
  <c r="T49" i="45"/>
  <c r="M49" i="45"/>
  <c r="Z49" i="45"/>
  <c r="R49" i="45"/>
  <c r="L49" i="45"/>
  <c r="AF15" i="45"/>
  <c r="AB15" i="45"/>
  <c r="X15" i="45"/>
  <c r="T15" i="45"/>
  <c r="P15" i="45"/>
  <c r="L15" i="45"/>
  <c r="H15" i="45"/>
  <c r="AD15" i="45"/>
  <c r="Y15" i="45"/>
  <c r="S15" i="45"/>
  <c r="N15" i="45"/>
  <c r="I15" i="45"/>
  <c r="AC15" i="45"/>
  <c r="W15" i="45"/>
  <c r="R15" i="45"/>
  <c r="M15" i="45"/>
  <c r="G15" i="45"/>
  <c r="AE15" i="45"/>
  <c r="U15" i="45"/>
  <c r="J15" i="45"/>
  <c r="AA15" i="45"/>
  <c r="Q15" i="45"/>
  <c r="Z15" i="45"/>
  <c r="O15" i="45"/>
  <c r="V15" i="45"/>
  <c r="K15" i="45"/>
  <c r="BO55" i="45"/>
  <c r="BK55" i="45"/>
  <c r="BG55" i="45"/>
  <c r="BC55" i="45"/>
  <c r="AY55" i="45"/>
  <c r="AU55" i="45"/>
  <c r="AQ55" i="45"/>
  <c r="BN55" i="45"/>
  <c r="BJ55" i="45"/>
  <c r="BF55" i="45"/>
  <c r="BB55" i="45"/>
  <c r="AX55" i="45"/>
  <c r="AT55" i="45"/>
  <c r="BM55" i="45"/>
  <c r="BI55" i="45"/>
  <c r="BE55" i="45"/>
  <c r="BA55" i="45"/>
  <c r="AW55" i="45"/>
  <c r="AS55" i="45"/>
  <c r="BH55" i="45"/>
  <c r="AR55" i="45"/>
  <c r="BL55" i="45"/>
  <c r="BD55" i="45"/>
  <c r="AZ55" i="45"/>
  <c r="BP55" i="45"/>
  <c r="AV55" i="45"/>
  <c r="BN23" i="45"/>
  <c r="BJ23" i="45"/>
  <c r="BF23" i="45"/>
  <c r="BB23" i="45"/>
  <c r="AX23" i="45"/>
  <c r="AT23" i="45"/>
  <c r="BL23" i="45"/>
  <c r="BG23" i="45"/>
  <c r="BA23" i="45"/>
  <c r="AV23" i="45"/>
  <c r="AQ23" i="45"/>
  <c r="BP23" i="45"/>
  <c r="BK23" i="45"/>
  <c r="BE23" i="45"/>
  <c r="AZ23" i="45"/>
  <c r="AU23" i="45"/>
  <c r="BO23" i="45"/>
  <c r="BI23" i="45"/>
  <c r="BD23" i="45"/>
  <c r="BM23" i="45"/>
  <c r="AW23" i="45"/>
  <c r="BH23" i="45"/>
  <c r="AS23" i="45"/>
  <c r="BC23" i="45"/>
  <c r="AR23" i="45"/>
  <c r="AY23" i="45"/>
  <c r="AQ9" i="45"/>
  <c r="BM46" i="45"/>
  <c r="BI46" i="45"/>
  <c r="BE46" i="45"/>
  <c r="BA46" i="45"/>
  <c r="AW46" i="45"/>
  <c r="AS46" i="45"/>
  <c r="BL46" i="45"/>
  <c r="BG46" i="45"/>
  <c r="BB46" i="45"/>
  <c r="AV46" i="45"/>
  <c r="AQ46" i="45"/>
  <c r="BP46" i="45"/>
  <c r="BJ46" i="45"/>
  <c r="BC46" i="45"/>
  <c r="AU46" i="45"/>
  <c r="BO46" i="45"/>
  <c r="BH46" i="45"/>
  <c r="AZ46" i="45"/>
  <c r="AT46" i="45"/>
  <c r="BN46" i="45"/>
  <c r="BF46" i="45"/>
  <c r="AY46" i="45"/>
  <c r="AR46" i="45"/>
  <c r="AX46" i="45"/>
  <c r="BK46" i="45"/>
  <c r="BD46" i="45"/>
  <c r="BN10" i="45"/>
  <c r="BJ10" i="45"/>
  <c r="BF10" i="45"/>
  <c r="BB10" i="45"/>
  <c r="AX10" i="45"/>
  <c r="AT10" i="45"/>
  <c r="BP10" i="45"/>
  <c r="BK10" i="45"/>
  <c r="BE10" i="45"/>
  <c r="AZ10" i="45"/>
  <c r="AU10" i="45"/>
  <c r="BO10" i="45"/>
  <c r="BI10" i="45"/>
  <c r="BD10" i="45"/>
  <c r="AY10" i="45"/>
  <c r="AS10" i="45"/>
  <c r="BG10" i="45"/>
  <c r="AV10" i="45"/>
  <c r="BM10" i="45"/>
  <c r="BC10" i="45"/>
  <c r="AR10" i="45"/>
  <c r="BL10" i="45"/>
  <c r="BA10" i="45"/>
  <c r="AQ10" i="45"/>
  <c r="BH10" i="45"/>
  <c r="AW10" i="45"/>
  <c r="BN11" i="45"/>
  <c r="BJ11" i="45"/>
  <c r="BF11" i="45"/>
  <c r="BB11" i="45"/>
  <c r="AX11" i="45"/>
  <c r="AT11" i="45"/>
  <c r="BL11" i="45"/>
  <c r="BG11" i="45"/>
  <c r="BA11" i="45"/>
  <c r="AV11" i="45"/>
  <c r="AQ11" i="45"/>
  <c r="BP11" i="45"/>
  <c r="BK11" i="45"/>
  <c r="BE11" i="45"/>
  <c r="AZ11" i="45"/>
  <c r="AU11" i="45"/>
  <c r="BH11" i="45"/>
  <c r="AW11" i="45"/>
  <c r="BO11" i="45"/>
  <c r="BD11" i="45"/>
  <c r="AS11" i="45"/>
  <c r="BM11" i="45"/>
  <c r="BC11" i="45"/>
  <c r="AR11" i="45"/>
  <c r="BI11" i="45"/>
  <c r="AY11" i="45"/>
  <c r="BM48" i="45"/>
  <c r="BI48" i="45"/>
  <c r="BE48" i="45"/>
  <c r="BA48" i="45"/>
  <c r="AW48" i="45"/>
  <c r="AS48" i="45"/>
  <c r="BO48" i="45"/>
  <c r="BJ48" i="45"/>
  <c r="BD48" i="45"/>
  <c r="AY48" i="45"/>
  <c r="AT48" i="45"/>
  <c r="BL48" i="45"/>
  <c r="BF48" i="45"/>
  <c r="AX48" i="45"/>
  <c r="AQ48" i="45"/>
  <c r="BK48" i="45"/>
  <c r="BC48" i="45"/>
  <c r="AV48" i="45"/>
  <c r="BP48" i="45"/>
  <c r="BH48" i="45"/>
  <c r="BB48" i="45"/>
  <c r="AU48" i="45"/>
  <c r="BG48" i="45"/>
  <c r="AZ48" i="45"/>
  <c r="AR48" i="45"/>
  <c r="BN48" i="45"/>
  <c r="BN12" i="45"/>
  <c r="BJ12" i="45"/>
  <c r="BF12" i="45"/>
  <c r="BB12" i="45"/>
  <c r="AX12" i="45"/>
  <c r="AT12" i="45"/>
  <c r="BM12" i="45"/>
  <c r="BH12" i="45"/>
  <c r="BC12" i="45"/>
  <c r="AW12" i="45"/>
  <c r="AR12" i="45"/>
  <c r="BL12" i="45"/>
  <c r="BG12" i="45"/>
  <c r="BA12" i="45"/>
  <c r="AV12" i="45"/>
  <c r="AQ12" i="45"/>
  <c r="BI12" i="45"/>
  <c r="AY12" i="45"/>
  <c r="BP12" i="45"/>
  <c r="BE12" i="45"/>
  <c r="AU12" i="45"/>
  <c r="BO12" i="45"/>
  <c r="BD12" i="45"/>
  <c r="AS12" i="45"/>
  <c r="BK12" i="45"/>
  <c r="AZ12" i="45"/>
  <c r="BO59" i="45"/>
  <c r="BK59" i="45"/>
  <c r="BG59" i="45"/>
  <c r="BC59" i="45"/>
  <c r="AY59" i="45"/>
  <c r="AU59" i="45"/>
  <c r="AQ59" i="45"/>
  <c r="BN59" i="45"/>
  <c r="BJ59" i="45"/>
  <c r="BF59" i="45"/>
  <c r="BB59" i="45"/>
  <c r="AX59" i="45"/>
  <c r="AT59" i="45"/>
  <c r="BM59" i="45"/>
  <c r="BI59" i="45"/>
  <c r="BE59" i="45"/>
  <c r="BA59" i="45"/>
  <c r="AW59" i="45"/>
  <c r="AS59" i="45"/>
  <c r="BP59" i="45"/>
  <c r="AZ59" i="45"/>
  <c r="BL59" i="45"/>
  <c r="AR59" i="45"/>
  <c r="BH59" i="45"/>
  <c r="BD59" i="45"/>
  <c r="AV59" i="45"/>
  <c r="AF24" i="45"/>
  <c r="AB24" i="45"/>
  <c r="X24" i="45"/>
  <c r="T24" i="45"/>
  <c r="P24" i="45"/>
  <c r="L24" i="45"/>
  <c r="H24" i="45"/>
  <c r="AC24" i="45"/>
  <c r="W24" i="45"/>
  <c r="R24" i="45"/>
  <c r="M24" i="45"/>
  <c r="G24" i="45"/>
  <c r="AA24" i="45"/>
  <c r="V24" i="45"/>
  <c r="Q24" i="45"/>
  <c r="K24" i="45"/>
  <c r="AE24" i="45"/>
  <c r="Z24" i="45"/>
  <c r="U24" i="45"/>
  <c r="O24" i="45"/>
  <c r="J24" i="45"/>
  <c r="Y24" i="45"/>
  <c r="S24" i="45"/>
  <c r="N24" i="45"/>
  <c r="AD24" i="45"/>
  <c r="I24" i="45"/>
  <c r="AC61" i="45"/>
  <c r="Y61" i="45"/>
  <c r="U61" i="45"/>
  <c r="Q61" i="45"/>
  <c r="M61" i="45"/>
  <c r="I61" i="45"/>
  <c r="AF61" i="45"/>
  <c r="AB61" i="45"/>
  <c r="X61" i="45"/>
  <c r="T61" i="45"/>
  <c r="P61" i="45"/>
  <c r="L61" i="45"/>
  <c r="H61" i="45"/>
  <c r="AE61" i="45"/>
  <c r="AA61" i="45"/>
  <c r="W61" i="45"/>
  <c r="S61" i="45"/>
  <c r="O61" i="45"/>
  <c r="K61" i="45"/>
  <c r="G61" i="45"/>
  <c r="R61" i="45"/>
  <c r="N61" i="45"/>
  <c r="AD61" i="45"/>
  <c r="J61" i="45"/>
  <c r="Z61" i="45"/>
  <c r="V61" i="45"/>
  <c r="AF27" i="45"/>
  <c r="AB27" i="45"/>
  <c r="X27" i="45"/>
  <c r="T27" i="45"/>
  <c r="P27" i="45"/>
  <c r="L27" i="45"/>
  <c r="H27" i="45"/>
  <c r="AD27" i="45"/>
  <c r="Y27" i="45"/>
  <c r="S27" i="45"/>
  <c r="N27" i="45"/>
  <c r="I27" i="45"/>
  <c r="AC27" i="45"/>
  <c r="W27" i="45"/>
  <c r="R27" i="45"/>
  <c r="M27" i="45"/>
  <c r="G27" i="45"/>
  <c r="AA27" i="45"/>
  <c r="V27" i="45"/>
  <c r="Q27" i="45"/>
  <c r="K27" i="45"/>
  <c r="O27" i="45"/>
  <c r="AE27" i="45"/>
  <c r="J27" i="45"/>
  <c r="Z27" i="45"/>
  <c r="U27" i="45"/>
  <c r="AU58" i="45"/>
  <c r="AQ58" i="45"/>
  <c r="AT58" i="45"/>
  <c r="AS58" i="45"/>
  <c r="AR58" i="45"/>
  <c r="BN24" i="45"/>
  <c r="BJ24" i="45"/>
  <c r="BF24" i="45"/>
  <c r="BB24" i="45"/>
  <c r="AX24" i="45"/>
  <c r="AT24" i="45"/>
  <c r="BM24" i="45"/>
  <c r="BH24" i="45"/>
  <c r="BC24" i="45"/>
  <c r="AW24" i="45"/>
  <c r="AR24" i="45"/>
  <c r="BL24" i="45"/>
  <c r="BG24" i="45"/>
  <c r="BA24" i="45"/>
  <c r="AV24" i="45"/>
  <c r="AQ24" i="45"/>
  <c r="BP24" i="45"/>
  <c r="BK24" i="45"/>
  <c r="BE24" i="45"/>
  <c r="AZ24" i="45"/>
  <c r="AU24" i="45"/>
  <c r="BD24" i="45"/>
  <c r="AY24" i="45"/>
  <c r="BO24" i="45"/>
  <c r="AS24" i="45"/>
  <c r="BI24" i="45"/>
  <c r="BO61" i="45"/>
  <c r="BK61" i="45"/>
  <c r="BG61" i="45"/>
  <c r="BC61" i="45"/>
  <c r="AY61" i="45"/>
  <c r="AU61" i="45"/>
  <c r="AQ61" i="45"/>
  <c r="BN61" i="45"/>
  <c r="BJ61" i="45"/>
  <c r="BF61" i="45"/>
  <c r="BB61" i="45"/>
  <c r="AX61" i="45"/>
  <c r="AT61" i="45"/>
  <c r="BM61" i="45"/>
  <c r="BI61" i="45"/>
  <c r="BE61" i="45"/>
  <c r="BA61" i="45"/>
  <c r="AW61" i="45"/>
  <c r="AS61" i="45"/>
  <c r="BH61" i="45"/>
  <c r="AR61" i="45"/>
  <c r="BP61" i="45"/>
  <c r="AV61" i="45"/>
  <c r="BL61" i="45"/>
  <c r="BD61" i="45"/>
  <c r="AZ61" i="45"/>
  <c r="BN27" i="45"/>
  <c r="BJ27" i="45"/>
  <c r="BF27" i="45"/>
  <c r="BB27" i="45"/>
  <c r="AX27" i="45"/>
  <c r="AT27" i="45"/>
  <c r="BO27" i="45"/>
  <c r="BI27" i="45"/>
  <c r="BD27" i="45"/>
  <c r="AY27" i="45"/>
  <c r="AS27" i="45"/>
  <c r="BM27" i="45"/>
  <c r="BH27" i="45"/>
  <c r="BC27" i="45"/>
  <c r="AW27" i="45"/>
  <c r="AR27" i="45"/>
  <c r="BL27" i="45"/>
  <c r="BG27" i="45"/>
  <c r="BA27" i="45"/>
  <c r="AV27" i="45"/>
  <c r="AQ27" i="45"/>
  <c r="BP27" i="45"/>
  <c r="AU27" i="45"/>
  <c r="BK27" i="45"/>
  <c r="BE27" i="45"/>
  <c r="AZ27" i="45"/>
  <c r="AF10" i="45"/>
  <c r="AB10" i="45"/>
  <c r="X10" i="45"/>
  <c r="T10" i="45"/>
  <c r="P10" i="45"/>
  <c r="L10" i="45"/>
  <c r="H10" i="45"/>
  <c r="AE10" i="45"/>
  <c r="Z10" i="45"/>
  <c r="U10" i="45"/>
  <c r="O10" i="45"/>
  <c r="J10" i="45"/>
  <c r="AD10" i="45"/>
  <c r="Y10" i="45"/>
  <c r="S10" i="45"/>
  <c r="N10" i="45"/>
  <c r="I10" i="45"/>
  <c r="AA10" i="45"/>
  <c r="Q10" i="45"/>
  <c r="W10" i="45"/>
  <c r="M10" i="45"/>
  <c r="V10" i="45"/>
  <c r="K10" i="45"/>
  <c r="AC10" i="45"/>
  <c r="R10" i="45"/>
  <c r="G10" i="45"/>
  <c r="AE47" i="45"/>
  <c r="AA47" i="45"/>
  <c r="W47" i="45"/>
  <c r="S47" i="45"/>
  <c r="O47" i="45"/>
  <c r="K47" i="45"/>
  <c r="G47" i="45"/>
  <c r="AC47" i="45"/>
  <c r="X47" i="45"/>
  <c r="R47" i="45"/>
  <c r="M47" i="45"/>
  <c r="H47" i="45"/>
  <c r="AB47" i="45"/>
  <c r="U47" i="45"/>
  <c r="N47" i="45"/>
  <c r="Z47" i="45"/>
  <c r="T47" i="45"/>
  <c r="L47" i="45"/>
  <c r="AF47" i="45"/>
  <c r="Y47" i="45"/>
  <c r="Q47" i="45"/>
  <c r="J47" i="45"/>
  <c r="P47" i="45"/>
  <c r="I47" i="45"/>
  <c r="AD47" i="45"/>
  <c r="V47" i="45"/>
  <c r="AF11" i="45"/>
  <c r="AB11" i="45"/>
  <c r="X11" i="45"/>
  <c r="T11" i="45"/>
  <c r="P11" i="45"/>
  <c r="L11" i="45"/>
  <c r="H11" i="45"/>
  <c r="AA11" i="45"/>
  <c r="V11" i="45"/>
  <c r="Q11" i="45"/>
  <c r="K11" i="45"/>
  <c r="AE11" i="45"/>
  <c r="Z11" i="45"/>
  <c r="U11" i="45"/>
  <c r="O11" i="45"/>
  <c r="J11" i="45"/>
  <c r="AC11" i="45"/>
  <c r="R11" i="45"/>
  <c r="G11" i="45"/>
  <c r="Y11" i="45"/>
  <c r="N11" i="45"/>
  <c r="W11" i="45"/>
  <c r="M11" i="45"/>
  <c r="AD11" i="45"/>
  <c r="S11" i="45"/>
  <c r="I11" i="45"/>
  <c r="AF12" i="45"/>
  <c r="AB12" i="45"/>
  <c r="X12" i="45"/>
  <c r="T12" i="45"/>
  <c r="P12" i="45"/>
  <c r="L12" i="45"/>
  <c r="H12" i="45"/>
  <c r="AC12" i="45"/>
  <c r="W12" i="45"/>
  <c r="R12" i="45"/>
  <c r="M12" i="45"/>
  <c r="G12" i="45"/>
  <c r="AA12" i="45"/>
  <c r="V12" i="45"/>
  <c r="Q12" i="45"/>
  <c r="K12" i="45"/>
  <c r="AD12" i="45"/>
  <c r="S12" i="45"/>
  <c r="I12" i="45"/>
  <c r="Z12" i="45"/>
  <c r="O12" i="45"/>
  <c r="Y12" i="45"/>
  <c r="N12" i="45"/>
  <c r="AE12" i="45"/>
  <c r="U12" i="45"/>
  <c r="J12" i="45"/>
  <c r="AC52" i="45"/>
  <c r="Y52" i="45"/>
  <c r="U52" i="45"/>
  <c r="Q52" i="45"/>
  <c r="M52" i="45"/>
  <c r="I52" i="45"/>
  <c r="AE52" i="45"/>
  <c r="AA52" i="45"/>
  <c r="W52" i="45"/>
  <c r="S52" i="45"/>
  <c r="O52" i="45"/>
  <c r="K52" i="45"/>
  <c r="G52" i="45"/>
  <c r="AF52" i="45"/>
  <c r="X52" i="45"/>
  <c r="P52" i="45"/>
  <c r="H52" i="45"/>
  <c r="Z52" i="45"/>
  <c r="N52" i="45"/>
  <c r="V52" i="45"/>
  <c r="L52" i="45"/>
  <c r="AD52" i="45"/>
  <c r="T52" i="45"/>
  <c r="J52" i="45"/>
  <c r="R52" i="45"/>
  <c r="AB52" i="45"/>
  <c r="BN16" i="45"/>
  <c r="BJ16" i="45"/>
  <c r="BF16" i="45"/>
  <c r="BB16" i="45"/>
  <c r="AX16" i="45"/>
  <c r="AT16" i="45"/>
  <c r="BP16" i="45"/>
  <c r="BK16" i="45"/>
  <c r="BE16" i="45"/>
  <c r="AZ16" i="45"/>
  <c r="AU16" i="45"/>
  <c r="BO16" i="45"/>
  <c r="BI16" i="45"/>
  <c r="BD16" i="45"/>
  <c r="AY16" i="45"/>
  <c r="AS16" i="45"/>
  <c r="BL16" i="45"/>
  <c r="BA16" i="45"/>
  <c r="AQ16" i="45"/>
  <c r="BH16" i="45"/>
  <c r="AW16" i="45"/>
  <c r="BG16" i="45"/>
  <c r="AV16" i="45"/>
  <c r="BM16" i="45"/>
  <c r="BC16" i="45"/>
  <c r="AR16" i="45"/>
  <c r="BO54" i="45"/>
  <c r="BK54" i="45"/>
  <c r="BG54" i="45"/>
  <c r="BC54" i="45"/>
  <c r="AY54" i="45"/>
  <c r="AU54" i="45"/>
  <c r="AQ54" i="45"/>
  <c r="BN54" i="45"/>
  <c r="BJ54" i="45"/>
  <c r="BF54" i="45"/>
  <c r="BB54" i="45"/>
  <c r="AX54" i="45"/>
  <c r="AT54" i="45"/>
  <c r="BM54" i="45"/>
  <c r="BI54" i="45"/>
  <c r="BE54" i="45"/>
  <c r="BA54" i="45"/>
  <c r="AW54" i="45"/>
  <c r="AS54" i="45"/>
  <c r="BL54" i="45"/>
  <c r="AV54" i="45"/>
  <c r="AZ54" i="45"/>
  <c r="BP54" i="45"/>
  <c r="AR54" i="45"/>
  <c r="BH54" i="45"/>
  <c r="BD54" i="45"/>
  <c r="BN18" i="45"/>
  <c r="BJ18" i="45"/>
  <c r="BF18" i="45"/>
  <c r="BB18" i="45"/>
  <c r="AX18" i="45"/>
  <c r="AT18" i="45"/>
  <c r="BM18" i="45"/>
  <c r="BH18" i="45"/>
  <c r="BC18" i="45"/>
  <c r="AW18" i="45"/>
  <c r="AR18" i="45"/>
  <c r="BL18" i="45"/>
  <c r="BG18" i="45"/>
  <c r="BA18" i="45"/>
  <c r="AV18" i="45"/>
  <c r="AQ18" i="45"/>
  <c r="BO18" i="45"/>
  <c r="BD18" i="45"/>
  <c r="AS18" i="45"/>
  <c r="BK18" i="45"/>
  <c r="AZ18" i="45"/>
  <c r="BI18" i="45"/>
  <c r="AY18" i="45"/>
  <c r="BP18" i="45"/>
  <c r="BE18" i="45"/>
  <c r="AU18" i="45"/>
  <c r="BO65" i="45"/>
  <c r="AE65" i="45" s="1"/>
  <c r="BK65" i="45"/>
  <c r="AA65" i="45" s="1"/>
  <c r="BG65" i="45"/>
  <c r="W65" i="45" s="1"/>
  <c r="BC65" i="45"/>
  <c r="S65" i="45" s="1"/>
  <c r="AY65" i="45"/>
  <c r="O65" i="45" s="1"/>
  <c r="AU65" i="45"/>
  <c r="K65" i="45" s="1"/>
  <c r="AQ65" i="45"/>
  <c r="G65" i="45" s="1"/>
  <c r="BN65" i="45"/>
  <c r="AD65" i="45" s="1"/>
  <c r="BJ65" i="45"/>
  <c r="Z65" i="45" s="1"/>
  <c r="BF65" i="45"/>
  <c r="V65" i="45" s="1"/>
  <c r="BB65" i="45"/>
  <c r="R65" i="45" s="1"/>
  <c r="AX65" i="45"/>
  <c r="N65" i="45" s="1"/>
  <c r="AT65" i="45"/>
  <c r="J65" i="45" s="1"/>
  <c r="BM65" i="45"/>
  <c r="AC65" i="45" s="1"/>
  <c r="BE65" i="45"/>
  <c r="U65" i="45" s="1"/>
  <c r="AW65" i="45"/>
  <c r="M65" i="45" s="1"/>
  <c r="BL65" i="45"/>
  <c r="AB65" i="45" s="1"/>
  <c r="BD65" i="45"/>
  <c r="T65" i="45" s="1"/>
  <c r="AV65" i="45"/>
  <c r="L65" i="45" s="1"/>
  <c r="BI65" i="45"/>
  <c r="Y65" i="45" s="1"/>
  <c r="BA65" i="45"/>
  <c r="Q65" i="45" s="1"/>
  <c r="AS65" i="45"/>
  <c r="I65" i="45" s="1"/>
  <c r="AZ65" i="45"/>
  <c r="P65" i="45" s="1"/>
  <c r="BP65" i="45"/>
  <c r="AF65" i="45" s="1"/>
  <c r="BH65" i="45"/>
  <c r="AR65" i="45"/>
  <c r="H65" i="45" s="1"/>
  <c r="BM29" i="45"/>
  <c r="BI29" i="45"/>
  <c r="BE29" i="45"/>
  <c r="BA29" i="45"/>
  <c r="AW29" i="45"/>
  <c r="AS29" i="45"/>
  <c r="BP29" i="45"/>
  <c r="BK29" i="45"/>
  <c r="BF29" i="45"/>
  <c r="AZ29" i="45"/>
  <c r="AU29" i="45"/>
  <c r="BO29" i="45"/>
  <c r="BH29" i="45"/>
  <c r="BB29" i="45"/>
  <c r="AT29" i="45"/>
  <c r="BN29" i="45"/>
  <c r="BG29" i="45"/>
  <c r="AY29" i="45"/>
  <c r="AR29" i="45"/>
  <c r="BL29" i="45"/>
  <c r="BD29" i="45"/>
  <c r="AX29" i="45"/>
  <c r="AQ29" i="45"/>
  <c r="BJ29" i="45"/>
  <c r="BC29" i="45"/>
  <c r="AV29" i="45"/>
  <c r="BO66" i="45"/>
  <c r="BK66" i="45"/>
  <c r="BG66" i="45"/>
  <c r="BC66" i="45"/>
  <c r="AY66" i="45"/>
  <c r="AU66" i="45"/>
  <c r="AQ66" i="45"/>
  <c r="BN66" i="45"/>
  <c r="BJ66" i="45"/>
  <c r="BF66" i="45"/>
  <c r="BB66" i="45"/>
  <c r="AX66" i="45"/>
  <c r="AT66" i="45"/>
  <c r="BI66" i="45"/>
  <c r="BA66" i="45"/>
  <c r="AS66" i="45"/>
  <c r="BP66" i="45"/>
  <c r="BH66" i="45"/>
  <c r="AZ66" i="45"/>
  <c r="AR66" i="45"/>
  <c r="BM66" i="45"/>
  <c r="BE66" i="45"/>
  <c r="AW66" i="45"/>
  <c r="BL66" i="45"/>
  <c r="BD66" i="45"/>
  <c r="AV66" i="45"/>
  <c r="BM30" i="45"/>
  <c r="BI30" i="45"/>
  <c r="BE30" i="45"/>
  <c r="BA30" i="45"/>
  <c r="AW30" i="45"/>
  <c r="AS30" i="45"/>
  <c r="BL30" i="45"/>
  <c r="BG30" i="45"/>
  <c r="BB30" i="45"/>
  <c r="AV30" i="45"/>
  <c r="AQ30" i="45"/>
  <c r="BN30" i="45"/>
  <c r="BF30" i="45"/>
  <c r="AY30" i="45"/>
  <c r="AR30" i="45"/>
  <c r="BK30" i="45"/>
  <c r="BD30" i="45"/>
  <c r="AX30" i="45"/>
  <c r="BP30" i="45"/>
  <c r="BJ30" i="45"/>
  <c r="BC30" i="45"/>
  <c r="AU30" i="45"/>
  <c r="BO30" i="45"/>
  <c r="BH30" i="45"/>
  <c r="AZ30" i="45"/>
  <c r="AT30" i="45"/>
  <c r="BN67" i="45"/>
  <c r="BJ67" i="45"/>
  <c r="BF67" i="45"/>
  <c r="BB67" i="45"/>
  <c r="AX67" i="45"/>
  <c r="AT67" i="45"/>
  <c r="BO67" i="45"/>
  <c r="BI67" i="45"/>
  <c r="BD67" i="45"/>
  <c r="AY67" i="45"/>
  <c r="AS67" i="45"/>
  <c r="BM67" i="45"/>
  <c r="BH67" i="45"/>
  <c r="BC67" i="45"/>
  <c r="AW67" i="45"/>
  <c r="AR67" i="45"/>
  <c r="BL67" i="45"/>
  <c r="BA67" i="45"/>
  <c r="AQ67" i="45"/>
  <c r="BK67" i="45"/>
  <c r="AZ67" i="45"/>
  <c r="BG67" i="45"/>
  <c r="AV67" i="45"/>
  <c r="AU67" i="45"/>
  <c r="BE67" i="45"/>
  <c r="BP67" i="45"/>
  <c r="BN71" i="45"/>
  <c r="BJ71" i="45"/>
  <c r="BF71" i="45"/>
  <c r="BB71" i="45"/>
  <c r="AX71" i="45"/>
  <c r="AT71" i="45"/>
  <c r="BM71" i="45"/>
  <c r="BH71" i="45"/>
  <c r="BC71" i="45"/>
  <c r="AW71" i="45"/>
  <c r="BL71" i="45"/>
  <c r="BG71" i="45"/>
  <c r="BA71" i="45"/>
  <c r="AV71" i="45"/>
  <c r="AQ71" i="45"/>
  <c r="BP71" i="45"/>
  <c r="BK71" i="45"/>
  <c r="BE71" i="45"/>
  <c r="AZ71" i="45"/>
  <c r="AU71" i="45"/>
  <c r="BO71" i="45"/>
  <c r="AS71" i="45"/>
  <c r="BI71" i="45"/>
  <c r="AR71" i="45"/>
  <c r="BD71" i="45"/>
  <c r="AY71" i="45"/>
  <c r="BM35" i="45"/>
  <c r="BI35" i="45"/>
  <c r="BE35" i="45"/>
  <c r="BA35" i="45"/>
  <c r="AW35" i="45"/>
  <c r="AS35" i="45"/>
  <c r="BP35" i="45"/>
  <c r="BK35" i="45"/>
  <c r="BF35" i="45"/>
  <c r="AZ35" i="45"/>
  <c r="AU35" i="45"/>
  <c r="BN35" i="45"/>
  <c r="BG35" i="45"/>
  <c r="AY35" i="45"/>
  <c r="AR35" i="45"/>
  <c r="BL35" i="45"/>
  <c r="BD35" i="45"/>
  <c r="AX35" i="45"/>
  <c r="AQ35" i="45"/>
  <c r="BJ35" i="45"/>
  <c r="BC35" i="45"/>
  <c r="AV35" i="45"/>
  <c r="BB35" i="45"/>
  <c r="AT35" i="45"/>
  <c r="BO35" i="45"/>
  <c r="BH35" i="45"/>
  <c r="BN72" i="45"/>
  <c r="BJ72" i="45"/>
  <c r="BF72" i="45"/>
  <c r="BB72" i="45"/>
  <c r="AX72" i="45"/>
  <c r="AT72" i="45"/>
  <c r="BO72" i="45"/>
  <c r="BI72" i="45"/>
  <c r="BD72" i="45"/>
  <c r="AY72" i="45"/>
  <c r="AS72" i="45"/>
  <c r="BM72" i="45"/>
  <c r="BH72" i="45"/>
  <c r="BC72" i="45"/>
  <c r="AW72" i="45"/>
  <c r="AR72" i="45"/>
  <c r="BL72" i="45"/>
  <c r="BG72" i="45"/>
  <c r="BA72" i="45"/>
  <c r="AV72" i="45"/>
  <c r="AQ72" i="45"/>
  <c r="BE72" i="45"/>
  <c r="AZ72" i="45"/>
  <c r="BP72" i="45"/>
  <c r="AU72" i="45"/>
  <c r="BK72" i="45"/>
  <c r="BM36" i="45"/>
  <c r="BI36" i="45"/>
  <c r="BE36" i="45"/>
  <c r="BA36" i="45"/>
  <c r="AW36" i="45"/>
  <c r="AS36" i="45"/>
  <c r="BL36" i="45"/>
  <c r="BG36" i="45"/>
  <c r="BB36" i="45"/>
  <c r="AV36" i="45"/>
  <c r="AQ36" i="45"/>
  <c r="BK36" i="45"/>
  <c r="BD36" i="45"/>
  <c r="AX36" i="45"/>
  <c r="BP36" i="45"/>
  <c r="BJ36" i="45"/>
  <c r="BC36" i="45"/>
  <c r="AU36" i="45"/>
  <c r="BO36" i="45"/>
  <c r="BH36" i="45"/>
  <c r="AZ36" i="45"/>
  <c r="AT36" i="45"/>
  <c r="BF36" i="45"/>
  <c r="AY36" i="45"/>
  <c r="AR36" i="45"/>
  <c r="BN36" i="45"/>
  <c r="BN74" i="45"/>
  <c r="BJ74" i="45"/>
  <c r="BF74" i="45"/>
  <c r="BB74" i="45"/>
  <c r="AX74" i="45"/>
  <c r="AT74" i="45"/>
  <c r="BL74" i="45"/>
  <c r="BG74" i="45"/>
  <c r="BA74" i="45"/>
  <c r="AV74" i="45"/>
  <c r="AQ74" i="45"/>
  <c r="BP74" i="45"/>
  <c r="BK74" i="45"/>
  <c r="BE74" i="45"/>
  <c r="AZ74" i="45"/>
  <c r="AU74" i="45"/>
  <c r="BO74" i="45"/>
  <c r="BI74" i="45"/>
  <c r="BD74" i="45"/>
  <c r="AY74" i="45"/>
  <c r="AS74" i="45"/>
  <c r="BH74" i="45"/>
  <c r="BC74" i="45"/>
  <c r="AW74" i="45"/>
  <c r="AR74" i="45"/>
  <c r="BM74" i="45"/>
  <c r="BM38" i="45"/>
  <c r="BI38" i="45"/>
  <c r="BE38" i="45"/>
  <c r="BA38" i="45"/>
  <c r="AW38" i="45"/>
  <c r="AS38" i="45"/>
  <c r="BO38" i="45"/>
  <c r="BJ38" i="45"/>
  <c r="BD38" i="45"/>
  <c r="AY38" i="45"/>
  <c r="AT38" i="45"/>
  <c r="BN38" i="45"/>
  <c r="BG38" i="45"/>
  <c r="AZ38" i="45"/>
  <c r="AR38" i="45"/>
  <c r="BL38" i="45"/>
  <c r="BF38" i="45"/>
  <c r="AX38" i="45"/>
  <c r="AQ38" i="45"/>
  <c r="BK38" i="45"/>
  <c r="BC38" i="45"/>
  <c r="AV38" i="45"/>
  <c r="BP38" i="45"/>
  <c r="BH38" i="45"/>
  <c r="BB38" i="45"/>
  <c r="AU38" i="45"/>
  <c r="BN75" i="45"/>
  <c r="BJ75" i="45"/>
  <c r="BF75" i="45"/>
  <c r="BB75" i="45"/>
  <c r="AX75" i="45"/>
  <c r="AT75" i="45"/>
  <c r="BM75" i="45"/>
  <c r="BH75" i="45"/>
  <c r="BC75" i="45"/>
  <c r="AW75" i="45"/>
  <c r="AR75" i="45"/>
  <c r="BL75" i="45"/>
  <c r="BG75" i="45"/>
  <c r="BA75" i="45"/>
  <c r="AV75" i="45"/>
  <c r="AQ75" i="45"/>
  <c r="BP75" i="45"/>
  <c r="BK75" i="45"/>
  <c r="BE75" i="45"/>
  <c r="AZ75" i="45"/>
  <c r="AU75" i="45"/>
  <c r="AY75" i="45"/>
  <c r="BO75" i="45"/>
  <c r="AS75" i="45"/>
  <c r="BI75" i="45"/>
  <c r="BD75" i="45"/>
  <c r="BO49" i="45"/>
  <c r="BK49" i="45"/>
  <c r="BG49" i="45"/>
  <c r="BC49" i="45"/>
  <c r="AY49" i="45"/>
  <c r="AU49" i="45"/>
  <c r="AQ49" i="45"/>
  <c r="BM49" i="45"/>
  <c r="BI49" i="45"/>
  <c r="BE49" i="45"/>
  <c r="BA49" i="45"/>
  <c r="AW49" i="45"/>
  <c r="AS49" i="45"/>
  <c r="BJ49" i="45"/>
  <c r="BB49" i="45"/>
  <c r="AT49" i="45"/>
  <c r="BN49" i="45"/>
  <c r="BD49" i="45"/>
  <c r="AR49" i="45"/>
  <c r="BL49" i="45"/>
  <c r="AZ49" i="45"/>
  <c r="BH49" i="45"/>
  <c r="AX49" i="45"/>
  <c r="BP49" i="45"/>
  <c r="BF49" i="45"/>
  <c r="AV49" i="45"/>
  <c r="BN15" i="45"/>
  <c r="BJ15" i="45"/>
  <c r="BF15" i="45"/>
  <c r="BB15" i="45"/>
  <c r="AX15" i="45"/>
  <c r="AT15" i="45"/>
  <c r="BO15" i="45"/>
  <c r="BI15" i="45"/>
  <c r="BD15" i="45"/>
  <c r="AY15" i="45"/>
  <c r="AS15" i="45"/>
  <c r="BM15" i="45"/>
  <c r="BH15" i="45"/>
  <c r="BC15" i="45"/>
  <c r="AW15" i="45"/>
  <c r="AR15" i="45"/>
  <c r="BK15" i="45"/>
  <c r="AZ15" i="45"/>
  <c r="BG15" i="45"/>
  <c r="AV15" i="45"/>
  <c r="BP15" i="45"/>
  <c r="BE15" i="45"/>
  <c r="AU15" i="45"/>
  <c r="BL15" i="45"/>
  <c r="BA15" i="45"/>
  <c r="AQ15" i="45"/>
  <c r="BO52" i="45"/>
  <c r="BK52" i="45"/>
  <c r="BG52" i="45"/>
  <c r="BC52" i="45"/>
  <c r="AY52" i="45"/>
  <c r="AU52" i="45"/>
  <c r="AQ52" i="45"/>
  <c r="BN52" i="45"/>
  <c r="BJ52" i="45"/>
  <c r="BF52" i="45"/>
  <c r="BB52" i="45"/>
  <c r="AX52" i="45"/>
  <c r="AT52" i="45"/>
  <c r="BM52" i="45"/>
  <c r="BI52" i="45"/>
  <c r="BE52" i="45"/>
  <c r="BA52" i="45"/>
  <c r="AW52" i="45"/>
  <c r="AS52" i="45"/>
  <c r="BD52" i="45"/>
  <c r="BP52" i="45"/>
  <c r="AV52" i="45"/>
  <c r="BL52" i="45"/>
  <c r="AR52" i="45"/>
  <c r="BH52" i="45"/>
  <c r="AZ52" i="45"/>
  <c r="AC53" i="45"/>
  <c r="Y53" i="45"/>
  <c r="U53" i="45"/>
  <c r="Q53" i="45"/>
  <c r="M53" i="45"/>
  <c r="I53" i="45"/>
  <c r="AF53" i="45"/>
  <c r="AB53" i="45"/>
  <c r="X53" i="45"/>
  <c r="T53" i="45"/>
  <c r="P53" i="45"/>
  <c r="L53" i="45"/>
  <c r="H53" i="45"/>
  <c r="AE53" i="45"/>
  <c r="AA53" i="45"/>
  <c r="W53" i="45"/>
  <c r="S53" i="45"/>
  <c r="O53" i="45"/>
  <c r="K53" i="45"/>
  <c r="G53" i="45"/>
  <c r="Z53" i="45"/>
  <c r="J53" i="45"/>
  <c r="AD53" i="45"/>
  <c r="V53" i="45"/>
  <c r="R53" i="45"/>
  <c r="N53" i="45"/>
  <c r="AF17" i="45"/>
  <c r="AB17" i="45"/>
  <c r="X17" i="45"/>
  <c r="T17" i="45"/>
  <c r="P17" i="45"/>
  <c r="L17" i="45"/>
  <c r="H17" i="45"/>
  <c r="AA17" i="45"/>
  <c r="V17" i="45"/>
  <c r="Q17" i="45"/>
  <c r="K17" i="45"/>
  <c r="AE17" i="45"/>
  <c r="Z17" i="45"/>
  <c r="U17" i="45"/>
  <c r="O17" i="45"/>
  <c r="J17" i="45"/>
  <c r="W17" i="45"/>
  <c r="M17" i="45"/>
  <c r="AD17" i="45"/>
  <c r="S17" i="45"/>
  <c r="I17" i="45"/>
  <c r="AC17" i="45"/>
  <c r="R17" i="45"/>
  <c r="G17" i="45"/>
  <c r="Y17" i="45"/>
  <c r="N17" i="45"/>
  <c r="AC54" i="45"/>
  <c r="Y54" i="45"/>
  <c r="U54" i="45"/>
  <c r="Q54" i="45"/>
  <c r="M54" i="45"/>
  <c r="I54" i="45"/>
  <c r="AF54" i="45"/>
  <c r="AB54" i="45"/>
  <c r="X54" i="45"/>
  <c r="T54" i="45"/>
  <c r="P54" i="45"/>
  <c r="L54" i="45"/>
  <c r="H54" i="45"/>
  <c r="AE54" i="45"/>
  <c r="AA54" i="45"/>
  <c r="W54" i="45"/>
  <c r="S54" i="45"/>
  <c r="O54" i="45"/>
  <c r="K54" i="45"/>
  <c r="G54" i="45"/>
  <c r="V54" i="45"/>
  <c r="R54" i="45"/>
  <c r="N54" i="45"/>
  <c r="AD54" i="45"/>
  <c r="J54" i="45"/>
  <c r="Z54" i="45"/>
  <c r="AF18" i="45"/>
  <c r="AB18" i="45"/>
  <c r="X18" i="45"/>
  <c r="T18" i="45"/>
  <c r="P18" i="45"/>
  <c r="L18" i="45"/>
  <c r="H18" i="45"/>
  <c r="AC18" i="45"/>
  <c r="W18" i="45"/>
  <c r="R18" i="45"/>
  <c r="M18" i="45"/>
  <c r="G18" i="45"/>
  <c r="AA18" i="45"/>
  <c r="V18" i="45"/>
  <c r="Q18" i="45"/>
  <c r="K18" i="45"/>
  <c r="Y18" i="45"/>
  <c r="N18" i="45"/>
  <c r="AE18" i="45"/>
  <c r="U18" i="45"/>
  <c r="J18" i="45"/>
  <c r="AD18" i="45"/>
  <c r="S18" i="45"/>
  <c r="I18" i="45"/>
  <c r="Z18" i="45"/>
  <c r="O18" i="45"/>
  <c r="AC55" i="45"/>
  <c r="Y55" i="45"/>
  <c r="U55" i="45"/>
  <c r="Q55" i="45"/>
  <c r="M55" i="45"/>
  <c r="I55" i="45"/>
  <c r="AF55" i="45"/>
  <c r="AB55" i="45"/>
  <c r="X55" i="45"/>
  <c r="T55" i="45"/>
  <c r="P55" i="45"/>
  <c r="L55" i="45"/>
  <c r="H55" i="45"/>
  <c r="AE55" i="45"/>
  <c r="AA55" i="45"/>
  <c r="W55" i="45"/>
  <c r="S55" i="45"/>
  <c r="O55" i="45"/>
  <c r="K55" i="45"/>
  <c r="G55" i="45"/>
  <c r="R55" i="45"/>
  <c r="AD55" i="45"/>
  <c r="J55" i="45"/>
  <c r="Z55" i="45"/>
  <c r="V55" i="45"/>
  <c r="N55" i="45"/>
  <c r="AR21" i="45"/>
  <c r="AQ21" i="45"/>
  <c r="AF23" i="45"/>
  <c r="AB23" i="45"/>
  <c r="X23" i="45"/>
  <c r="T23" i="45"/>
  <c r="P23" i="45"/>
  <c r="L23" i="45"/>
  <c r="H23" i="45"/>
  <c r="AA23" i="45"/>
  <c r="V23" i="45"/>
  <c r="Q23" i="45"/>
  <c r="K23" i="45"/>
  <c r="AE23" i="45"/>
  <c r="Z23" i="45"/>
  <c r="U23" i="45"/>
  <c r="O23" i="45"/>
  <c r="J23" i="45"/>
  <c r="AC23" i="45"/>
  <c r="R23" i="45"/>
  <c r="G23" i="45"/>
  <c r="Y23" i="45"/>
  <c r="N23" i="45"/>
  <c r="W23" i="45"/>
  <c r="M23" i="45"/>
  <c r="AD23" i="45"/>
  <c r="S23" i="45"/>
  <c r="I23" i="45"/>
  <c r="BO60" i="45"/>
  <c r="BK60" i="45"/>
  <c r="BG60" i="45"/>
  <c r="BC60" i="45"/>
  <c r="AY60" i="45"/>
  <c r="AU60" i="45"/>
  <c r="AQ60" i="45"/>
  <c r="BN60" i="45"/>
  <c r="BJ60" i="45"/>
  <c r="BF60" i="45"/>
  <c r="BB60" i="45"/>
  <c r="AX60" i="45"/>
  <c r="AT60" i="45"/>
  <c r="BM60" i="45"/>
  <c r="BI60" i="45"/>
  <c r="BE60" i="45"/>
  <c r="BA60" i="45"/>
  <c r="AW60" i="45"/>
  <c r="AS60" i="45"/>
  <c r="BL60" i="45"/>
  <c r="AV60" i="45"/>
  <c r="BD60" i="45"/>
  <c r="AZ60" i="45"/>
  <c r="BP60" i="45"/>
  <c r="AR60" i="45"/>
  <c r="BH60" i="45"/>
  <c r="AF28" i="45"/>
  <c r="AB28" i="45"/>
  <c r="X28" i="45"/>
  <c r="T28" i="45"/>
  <c r="P28" i="45"/>
  <c r="L28" i="45"/>
  <c r="H28" i="45"/>
  <c r="AE28" i="45"/>
  <c r="Z28" i="45"/>
  <c r="U28" i="45"/>
  <c r="O28" i="45"/>
  <c r="J28" i="45"/>
  <c r="AD28" i="45"/>
  <c r="Y28" i="45"/>
  <c r="S28" i="45"/>
  <c r="N28" i="45"/>
  <c r="I28" i="45"/>
  <c r="AC28" i="45"/>
  <c r="W28" i="45"/>
  <c r="R28" i="45"/>
  <c r="M28" i="45"/>
  <c r="G28" i="45"/>
  <c r="AA28" i="45"/>
  <c r="V28" i="45"/>
  <c r="Q28" i="45"/>
  <c r="K28" i="45"/>
  <c r="X65" i="45"/>
  <c r="AE29" i="45"/>
  <c r="AA29" i="45"/>
  <c r="W29" i="45"/>
  <c r="S29" i="45"/>
  <c r="O29" i="45"/>
  <c r="K29" i="45"/>
  <c r="G29" i="45"/>
  <c r="AF29" i="45"/>
  <c r="Z29" i="45"/>
  <c r="U29" i="45"/>
  <c r="P29" i="45"/>
  <c r="J29" i="45"/>
  <c r="AC29" i="45"/>
  <c r="V29" i="45"/>
  <c r="N29" i="45"/>
  <c r="H29" i="45"/>
  <c r="AB29" i="45"/>
  <c r="T29" i="45"/>
  <c r="M29" i="45"/>
  <c r="Y29" i="45"/>
  <c r="R29" i="45"/>
  <c r="L29" i="45"/>
  <c r="X29" i="45"/>
  <c r="Q29" i="45"/>
  <c r="I29" i="45"/>
  <c r="AD29" i="45"/>
  <c r="AC66" i="45"/>
  <c r="Y66" i="45"/>
  <c r="U66" i="45"/>
  <c r="Q66" i="45"/>
  <c r="M66" i="45"/>
  <c r="I66" i="45"/>
  <c r="AF66" i="45"/>
  <c r="AB66" i="45"/>
  <c r="X66" i="45"/>
  <c r="T66" i="45"/>
  <c r="P66" i="45"/>
  <c r="L66" i="45"/>
  <c r="H66" i="45"/>
  <c r="AA66" i="45"/>
  <c r="S66" i="45"/>
  <c r="K66" i="45"/>
  <c r="Z66" i="45"/>
  <c r="R66" i="45"/>
  <c r="J66" i="45"/>
  <c r="AE66" i="45"/>
  <c r="W66" i="45"/>
  <c r="O66" i="45"/>
  <c r="G66" i="45"/>
  <c r="V66" i="45"/>
  <c r="AD66" i="45"/>
  <c r="N66" i="45"/>
  <c r="AE30" i="45"/>
  <c r="AA30" i="45"/>
  <c r="W30" i="45"/>
  <c r="S30" i="45"/>
  <c r="O30" i="45"/>
  <c r="K30" i="45"/>
  <c r="G30" i="45"/>
  <c r="AB30" i="45"/>
  <c r="V30" i="45"/>
  <c r="Q30" i="45"/>
  <c r="L30" i="45"/>
  <c r="Z30" i="45"/>
  <c r="T30" i="45"/>
  <c r="M30" i="45"/>
  <c r="AF30" i="45"/>
  <c r="Y30" i="45"/>
  <c r="R30" i="45"/>
  <c r="J30" i="45"/>
  <c r="AD30" i="45"/>
  <c r="X30" i="45"/>
  <c r="P30" i="45"/>
  <c r="I30" i="45"/>
  <c r="AC30" i="45"/>
  <c r="U30" i="45"/>
  <c r="N30" i="45"/>
  <c r="H30" i="45"/>
  <c r="AF67" i="45"/>
  <c r="AB67" i="45"/>
  <c r="AD67" i="45"/>
  <c r="Y67" i="45"/>
  <c r="U67" i="45"/>
  <c r="Q67" i="45"/>
  <c r="M67" i="45"/>
  <c r="I67" i="45"/>
  <c r="AC67" i="45"/>
  <c r="X67" i="45"/>
  <c r="T67" i="45"/>
  <c r="P67" i="45"/>
  <c r="L67" i="45"/>
  <c r="H67" i="45"/>
  <c r="W67" i="45"/>
  <c r="O67" i="45"/>
  <c r="G67" i="45"/>
  <c r="AE67" i="45"/>
  <c r="V67" i="45"/>
  <c r="N67" i="45"/>
  <c r="AA67" i="45"/>
  <c r="S67" i="45"/>
  <c r="K67" i="45"/>
  <c r="Z67" i="45"/>
  <c r="R67" i="45"/>
  <c r="J67" i="45"/>
  <c r="AE31" i="45"/>
  <c r="AA31" i="45"/>
  <c r="W31" i="45"/>
  <c r="S31" i="45"/>
  <c r="O31" i="45"/>
  <c r="K31" i="45"/>
  <c r="G31" i="45"/>
  <c r="AC31" i="45"/>
  <c r="X31" i="45"/>
  <c r="R31" i="45"/>
  <c r="M31" i="45"/>
  <c r="H31" i="45"/>
  <c r="AF31" i="45"/>
  <c r="Y31" i="45"/>
  <c r="Q31" i="45"/>
  <c r="J31" i="45"/>
  <c r="AD31" i="45"/>
  <c r="V31" i="45"/>
  <c r="P31" i="45"/>
  <c r="I31" i="45"/>
  <c r="AB31" i="45"/>
  <c r="U31" i="45"/>
  <c r="N31" i="45"/>
  <c r="Z31" i="45"/>
  <c r="T31" i="45"/>
  <c r="L31" i="45"/>
  <c r="AF68" i="45"/>
  <c r="AB68" i="45"/>
  <c r="X68" i="45"/>
  <c r="T68" i="45"/>
  <c r="P68" i="45"/>
  <c r="L68" i="45"/>
  <c r="H68" i="45"/>
  <c r="AE68" i="45"/>
  <c r="Z68" i="45"/>
  <c r="U68" i="45"/>
  <c r="O68" i="45"/>
  <c r="J68" i="45"/>
  <c r="AD68" i="45"/>
  <c r="Y68" i="45"/>
  <c r="S68" i="45"/>
  <c r="N68" i="45"/>
  <c r="I68" i="45"/>
  <c r="W68" i="45"/>
  <c r="M68" i="45"/>
  <c r="V68" i="45"/>
  <c r="K68" i="45"/>
  <c r="AC68" i="45"/>
  <c r="R68" i="45"/>
  <c r="G68" i="45"/>
  <c r="AA68" i="45"/>
  <c r="Q68" i="45"/>
  <c r="AF71" i="45"/>
  <c r="AB71" i="45"/>
  <c r="X71" i="45"/>
  <c r="T71" i="45"/>
  <c r="P71" i="45"/>
  <c r="L71" i="45"/>
  <c r="H71" i="45"/>
  <c r="AA71" i="45"/>
  <c r="V71" i="45"/>
  <c r="Q71" i="45"/>
  <c r="K71" i="45"/>
  <c r="AE71" i="45"/>
  <c r="Z71" i="45"/>
  <c r="U71" i="45"/>
  <c r="O71" i="45"/>
  <c r="J71" i="45"/>
  <c r="Y71" i="45"/>
  <c r="N71" i="45"/>
  <c r="W71" i="45"/>
  <c r="M71" i="45"/>
  <c r="AD71" i="45"/>
  <c r="S71" i="45"/>
  <c r="I71" i="45"/>
  <c r="R71" i="45"/>
  <c r="AC71" i="45"/>
  <c r="G71" i="45"/>
  <c r="AE35" i="45"/>
  <c r="AA35" i="45"/>
  <c r="W35" i="45"/>
  <c r="S35" i="45"/>
  <c r="O35" i="45"/>
  <c r="K35" i="45"/>
  <c r="G35" i="45"/>
  <c r="AF35" i="45"/>
  <c r="Z35" i="45"/>
  <c r="U35" i="45"/>
  <c r="P35" i="45"/>
  <c r="J35" i="45"/>
  <c r="AB35" i="45"/>
  <c r="T35" i="45"/>
  <c r="M35" i="45"/>
  <c r="Y35" i="45"/>
  <c r="R35" i="45"/>
  <c r="L35" i="45"/>
  <c r="AD35" i="45"/>
  <c r="X35" i="45"/>
  <c r="Q35" i="45"/>
  <c r="I35" i="45"/>
  <c r="N35" i="45"/>
  <c r="H35" i="45"/>
  <c r="AC35" i="45"/>
  <c r="V35" i="45"/>
  <c r="AF72" i="45"/>
  <c r="AB72" i="45"/>
  <c r="X72" i="45"/>
  <c r="T72" i="45"/>
  <c r="P72" i="45"/>
  <c r="L72" i="45"/>
  <c r="H72" i="45"/>
  <c r="AD72" i="45"/>
  <c r="Y72" i="45"/>
  <c r="S72" i="45"/>
  <c r="N72" i="45"/>
  <c r="I72" i="45"/>
  <c r="AC72" i="45"/>
  <c r="W72" i="45"/>
  <c r="R72" i="45"/>
  <c r="M72" i="45"/>
  <c r="G72" i="45"/>
  <c r="AA72" i="45"/>
  <c r="V72" i="45"/>
  <c r="Q72" i="45"/>
  <c r="K72" i="45"/>
  <c r="Z72" i="45"/>
  <c r="U72" i="45"/>
  <c r="O72" i="45"/>
  <c r="AE72" i="45"/>
  <c r="J72" i="45"/>
  <c r="AE36" i="45"/>
  <c r="AA36" i="45"/>
  <c r="W36" i="45"/>
  <c r="S36" i="45"/>
  <c r="O36" i="45"/>
  <c r="K36" i="45"/>
  <c r="G36" i="45"/>
  <c r="AB36" i="45"/>
  <c r="V36" i="45"/>
  <c r="Q36" i="45"/>
  <c r="L36" i="45"/>
  <c r="AF36" i="45"/>
  <c r="Y36" i="45"/>
  <c r="R36" i="45"/>
  <c r="J36" i="45"/>
  <c r="AD36" i="45"/>
  <c r="X36" i="45"/>
  <c r="P36" i="45"/>
  <c r="I36" i="45"/>
  <c r="AC36" i="45"/>
  <c r="U36" i="45"/>
  <c r="N36" i="45"/>
  <c r="H36" i="45"/>
  <c r="T36" i="45"/>
  <c r="M36" i="45"/>
  <c r="Z36" i="45"/>
  <c r="AF73" i="45"/>
  <c r="AB73" i="45"/>
  <c r="X73" i="45"/>
  <c r="T73" i="45"/>
  <c r="P73" i="45"/>
  <c r="L73" i="45"/>
  <c r="H73" i="45"/>
  <c r="AE73" i="45"/>
  <c r="Z73" i="45"/>
  <c r="U73" i="45"/>
  <c r="O73" i="45"/>
  <c r="J73" i="45"/>
  <c r="AD73" i="45"/>
  <c r="Y73" i="45"/>
  <c r="S73" i="45"/>
  <c r="N73" i="45"/>
  <c r="I73" i="45"/>
  <c r="AC73" i="45"/>
  <c r="W73" i="45"/>
  <c r="R73" i="45"/>
  <c r="M73" i="45"/>
  <c r="G73" i="45"/>
  <c r="Q73" i="45"/>
  <c r="K73" i="45"/>
  <c r="AA73" i="45"/>
  <c r="V73" i="45"/>
  <c r="AE37" i="45"/>
  <c r="AA37" i="45"/>
  <c r="W37" i="45"/>
  <c r="S37" i="45"/>
  <c r="O37" i="45"/>
  <c r="K37" i="45"/>
  <c r="G37" i="45"/>
  <c r="AC37" i="45"/>
  <c r="X37" i="45"/>
  <c r="R37" i="45"/>
  <c r="M37" i="45"/>
  <c r="H37" i="45"/>
  <c r="AD37" i="45"/>
  <c r="V37" i="45"/>
  <c r="P37" i="45"/>
  <c r="I37" i="45"/>
  <c r="AB37" i="45"/>
  <c r="U37" i="45"/>
  <c r="N37" i="45"/>
  <c r="Z37" i="45"/>
  <c r="T37" i="45"/>
  <c r="L37" i="45"/>
  <c r="Y37" i="45"/>
  <c r="Q37" i="45"/>
  <c r="J37" i="45"/>
  <c r="AF37" i="45"/>
  <c r="AE38" i="45"/>
  <c r="AA38" i="45"/>
  <c r="W38" i="45"/>
  <c r="S38" i="45"/>
  <c r="O38" i="45"/>
  <c r="K38" i="45"/>
  <c r="G38" i="45"/>
  <c r="AD38" i="45"/>
  <c r="Y38" i="45"/>
  <c r="T38" i="45"/>
  <c r="N38" i="45"/>
  <c r="I38" i="45"/>
  <c r="AB38" i="45"/>
  <c r="U38" i="45"/>
  <c r="M38" i="45"/>
  <c r="Z38" i="45"/>
  <c r="R38" i="45"/>
  <c r="L38" i="45"/>
  <c r="AF38" i="45"/>
  <c r="X38" i="45"/>
  <c r="Q38" i="45"/>
  <c r="J38" i="45"/>
  <c r="AC38" i="45"/>
  <c r="V38" i="45"/>
  <c r="P38" i="45"/>
  <c r="H38" i="45"/>
  <c r="AF75" i="45"/>
  <c r="AB75" i="45"/>
  <c r="X75" i="45"/>
  <c r="T75" i="45"/>
  <c r="P75" i="45"/>
  <c r="L75" i="45"/>
  <c r="H75" i="45"/>
  <c r="AC75" i="45"/>
  <c r="W75" i="45"/>
  <c r="R75" i="45"/>
  <c r="M75" i="45"/>
  <c r="G75" i="45"/>
  <c r="AA75" i="45"/>
  <c r="V75" i="45"/>
  <c r="Q75" i="45"/>
  <c r="K75" i="45"/>
  <c r="AE75" i="45"/>
  <c r="Z75" i="45"/>
  <c r="U75" i="45"/>
  <c r="O75" i="45"/>
  <c r="J75" i="45"/>
  <c r="S75" i="45"/>
  <c r="N75" i="45"/>
  <c r="AD75" i="45"/>
  <c r="I75" i="45"/>
  <c r="Y75" i="45"/>
  <c r="AE39" i="45"/>
  <c r="AA39" i="45"/>
  <c r="W39" i="45"/>
  <c r="S39" i="45"/>
  <c r="O39" i="45"/>
  <c r="K39" i="45"/>
  <c r="G39" i="45"/>
  <c r="AF39" i="45"/>
  <c r="Z39" i="45"/>
  <c r="U39" i="45"/>
  <c r="P39" i="45"/>
  <c r="J39" i="45"/>
  <c r="Y39" i="45"/>
  <c r="R39" i="45"/>
  <c r="L39" i="45"/>
  <c r="AD39" i="45"/>
  <c r="X39" i="45"/>
  <c r="Q39" i="45"/>
  <c r="I39" i="45"/>
  <c r="AC39" i="45"/>
  <c r="V39" i="45"/>
  <c r="N39" i="45"/>
  <c r="H39" i="45"/>
  <c r="AB39" i="45"/>
  <c r="T39" i="45"/>
  <c r="M39" i="45"/>
  <c r="AF76" i="45"/>
  <c r="AB76" i="45"/>
  <c r="X76" i="45"/>
  <c r="T76" i="45"/>
  <c r="P76" i="45"/>
  <c r="L76" i="45"/>
  <c r="H76" i="45"/>
  <c r="AD76" i="45"/>
  <c r="Y76" i="45"/>
  <c r="S76" i="45"/>
  <c r="N76" i="45"/>
  <c r="I76" i="45"/>
  <c r="AC76" i="45"/>
  <c r="W76" i="45"/>
  <c r="R76" i="45"/>
  <c r="M76" i="45"/>
  <c r="G76" i="45"/>
  <c r="AA76" i="45"/>
  <c r="V76" i="45"/>
  <c r="Q76" i="45"/>
  <c r="K76" i="45"/>
  <c r="AE76" i="45"/>
  <c r="J76" i="45"/>
  <c r="Z76" i="45"/>
  <c r="U76" i="45"/>
  <c r="O76" i="45"/>
  <c r="E10" i="5"/>
  <c r="DF346" i="43" s="1"/>
  <c r="E11" i="5"/>
  <c r="DD347" i="43" s="1"/>
  <c r="E15" i="5"/>
  <c r="CX351" i="43" s="1"/>
  <c r="E27" i="5"/>
  <c r="DC101" i="43" s="1"/>
  <c r="F16" i="5"/>
  <c r="CZ389" i="43" s="1"/>
  <c r="E17" i="5"/>
  <c r="CV353" i="43" s="1"/>
  <c r="E23" i="5"/>
  <c r="DH359" i="43" s="1"/>
  <c r="E28" i="5"/>
  <c r="CM364" i="43" s="1"/>
  <c r="E29" i="5"/>
  <c r="DE365" i="43" s="1"/>
  <c r="E30" i="5"/>
  <c r="CU366" i="43" s="1"/>
  <c r="E35" i="5"/>
  <c r="BV109" i="43" s="1"/>
  <c r="E36" i="5"/>
  <c r="DI372" i="43" s="1"/>
  <c r="E37" i="5"/>
  <c r="CU373" i="43" s="1"/>
  <c r="E39" i="5"/>
  <c r="CX375" i="43" s="1"/>
  <c r="DG360" i="43"/>
  <c r="DC360" i="43"/>
  <c r="CY360" i="43"/>
  <c r="CU360" i="43"/>
  <c r="CQ360" i="43"/>
  <c r="CM360" i="43"/>
  <c r="BG360" i="43"/>
  <c r="BC360" i="43"/>
  <c r="AY360" i="43"/>
  <c r="AU360" i="43"/>
  <c r="DF360" i="43"/>
  <c r="DB360" i="43"/>
  <c r="CX360" i="43"/>
  <c r="CT360" i="43"/>
  <c r="CP360" i="43"/>
  <c r="CL360" i="43"/>
  <c r="BF360" i="43"/>
  <c r="BB360" i="43"/>
  <c r="AX360" i="43"/>
  <c r="AT360" i="43"/>
  <c r="AP360" i="43"/>
  <c r="AL360" i="43"/>
  <c r="AH360" i="43"/>
  <c r="DH360" i="43"/>
  <c r="CZ360" i="43"/>
  <c r="CR360" i="43"/>
  <c r="CJ360" i="43"/>
  <c r="AZ360" i="43"/>
  <c r="AR360" i="43"/>
  <c r="AM360" i="43"/>
  <c r="DE360" i="43"/>
  <c r="CW360" i="43"/>
  <c r="CO360" i="43"/>
  <c r="BE360" i="43"/>
  <c r="AW360" i="43"/>
  <c r="AQ360" i="43"/>
  <c r="AK360" i="43"/>
  <c r="DA360" i="43"/>
  <c r="CK360" i="43"/>
  <c r="AS360" i="43"/>
  <c r="AI360" i="43"/>
  <c r="DF98" i="43"/>
  <c r="DB98" i="43"/>
  <c r="CX98" i="43"/>
  <c r="CT98" i="43"/>
  <c r="CP98" i="43"/>
  <c r="CL98" i="43"/>
  <c r="BD98" i="43"/>
  <c r="AZ98" i="43"/>
  <c r="AV98" i="43"/>
  <c r="AR98" i="43"/>
  <c r="AN98" i="43"/>
  <c r="AJ98" i="43"/>
  <c r="CV360" i="43"/>
  <c r="BD360" i="43"/>
  <c r="AO360" i="43"/>
  <c r="DI98" i="43"/>
  <c r="DE98" i="43"/>
  <c r="DA98" i="43"/>
  <c r="CW98" i="43"/>
  <c r="CS98" i="43"/>
  <c r="CO98" i="43"/>
  <c r="CK98" i="43"/>
  <c r="BG98" i="43"/>
  <c r="BC98" i="43"/>
  <c r="AY98" i="43"/>
  <c r="AU98" i="43"/>
  <c r="AQ98" i="43"/>
  <c r="AM98" i="43"/>
  <c r="AI98" i="43"/>
  <c r="CN360" i="43"/>
  <c r="AJ360" i="43"/>
  <c r="DC98" i="43"/>
  <c r="CU98" i="43"/>
  <c r="CM98" i="43"/>
  <c r="BE98" i="43"/>
  <c r="AW98" i="43"/>
  <c r="AO98" i="43"/>
  <c r="DG98" i="43"/>
  <c r="CQ98" i="43"/>
  <c r="BA98" i="43"/>
  <c r="AK98" i="43"/>
  <c r="AN360" i="43"/>
  <c r="CV98" i="43"/>
  <c r="AX98" i="43"/>
  <c r="AP98" i="43"/>
  <c r="DI360" i="43"/>
  <c r="BA360" i="43"/>
  <c r="DH98" i="43"/>
  <c r="CZ98" i="43"/>
  <c r="CR98" i="43"/>
  <c r="CJ98" i="43"/>
  <c r="BB98" i="43"/>
  <c r="AT98" i="43"/>
  <c r="AL98" i="43"/>
  <c r="DD360" i="43"/>
  <c r="AV360" i="43"/>
  <c r="CY98" i="43"/>
  <c r="AS98" i="43"/>
  <c r="CS360" i="43"/>
  <c r="DD98" i="43"/>
  <c r="CN98" i="43"/>
  <c r="BF98" i="43"/>
  <c r="AH98" i="43"/>
  <c r="G255" i="43"/>
  <c r="DH348" i="43"/>
  <c r="DD348" i="43"/>
  <c r="CZ348" i="43"/>
  <c r="CV348" i="43"/>
  <c r="CR348" i="43"/>
  <c r="CN348" i="43"/>
  <c r="CJ348" i="43"/>
  <c r="BD348" i="43"/>
  <c r="AZ348" i="43"/>
  <c r="AV348" i="43"/>
  <c r="AR348" i="43"/>
  <c r="AN348" i="43"/>
  <c r="AJ348" i="43"/>
  <c r="DI348" i="43"/>
  <c r="DC348" i="43"/>
  <c r="CX348" i="43"/>
  <c r="CS348" i="43"/>
  <c r="CM348" i="43"/>
  <c r="BF348" i="43"/>
  <c r="BA348" i="43"/>
  <c r="AU348" i="43"/>
  <c r="AP348" i="43"/>
  <c r="AK348" i="43"/>
  <c r="DG348" i="43"/>
  <c r="DB348" i="43"/>
  <c r="CW348" i="43"/>
  <c r="CQ348" i="43"/>
  <c r="CL348" i="43"/>
  <c r="BE348" i="43"/>
  <c r="AY348" i="43"/>
  <c r="AT348" i="43"/>
  <c r="AO348" i="43"/>
  <c r="AI348" i="43"/>
  <c r="DE348" i="43"/>
  <c r="CT348" i="43"/>
  <c r="BG348" i="43"/>
  <c r="AW348" i="43"/>
  <c r="AL348" i="43"/>
  <c r="DI86" i="43"/>
  <c r="DE86" i="43"/>
  <c r="DA86" i="43"/>
  <c r="CW86" i="43"/>
  <c r="CS86" i="43"/>
  <c r="CO86" i="43"/>
  <c r="CK86" i="43"/>
  <c r="BG86" i="43"/>
  <c r="BC86" i="43"/>
  <c r="AY86" i="43"/>
  <c r="AU86" i="43"/>
  <c r="AQ86" i="43"/>
  <c r="AM86" i="43"/>
  <c r="AI86" i="43"/>
  <c r="DA348" i="43"/>
  <c r="CP348" i="43"/>
  <c r="BC348" i="43"/>
  <c r="AS348" i="43"/>
  <c r="AH348" i="43"/>
  <c r="DH86" i="43"/>
  <c r="DD86" i="43"/>
  <c r="CZ86" i="43"/>
  <c r="CV86" i="43"/>
  <c r="CR86" i="43"/>
  <c r="CN86" i="43"/>
  <c r="CJ86" i="43"/>
  <c r="BF86" i="43"/>
  <c r="BB86" i="43"/>
  <c r="AX86" i="43"/>
  <c r="AT86" i="43"/>
  <c r="AP86" i="43"/>
  <c r="AL86" i="43"/>
  <c r="AH86" i="43"/>
  <c r="DF348" i="43"/>
  <c r="CK348" i="43"/>
  <c r="AM348" i="43"/>
  <c r="DB86" i="43"/>
  <c r="CT86" i="43"/>
  <c r="CL86" i="43"/>
  <c r="BD86" i="43"/>
  <c r="AV86" i="43"/>
  <c r="AN86" i="43"/>
  <c r="CP86" i="43"/>
  <c r="AR86" i="43"/>
  <c r="AQ348" i="43"/>
  <c r="DC86" i="43"/>
  <c r="CM86" i="43"/>
  <c r="BE86" i="43"/>
  <c r="AO86" i="43"/>
  <c r="CY348" i="43"/>
  <c r="BB348" i="43"/>
  <c r="DG86" i="43"/>
  <c r="CY86" i="43"/>
  <c r="CQ86" i="43"/>
  <c r="BA86" i="43"/>
  <c r="AS86" i="43"/>
  <c r="AK86" i="43"/>
  <c r="CU348" i="43"/>
  <c r="AX348" i="43"/>
  <c r="DF86" i="43"/>
  <c r="CX86" i="43"/>
  <c r="AZ86" i="43"/>
  <c r="AJ86" i="43"/>
  <c r="CO348" i="43"/>
  <c r="CU86" i="43"/>
  <c r="AW86" i="43"/>
  <c r="DG374" i="43"/>
  <c r="DC374" i="43"/>
  <c r="CY374" i="43"/>
  <c r="CU374" i="43"/>
  <c r="CQ374" i="43"/>
  <c r="CM374" i="43"/>
  <c r="BG374" i="43"/>
  <c r="BC374" i="43"/>
  <c r="AY374" i="43"/>
  <c r="AU374" i="43"/>
  <c r="AQ374" i="43"/>
  <c r="AM374" i="43"/>
  <c r="AI374" i="43"/>
  <c r="DF374" i="43"/>
  <c r="DB374" i="43"/>
  <c r="CX374" i="43"/>
  <c r="CT374" i="43"/>
  <c r="CP374" i="43"/>
  <c r="CL374" i="43"/>
  <c r="BF374" i="43"/>
  <c r="BB374" i="43"/>
  <c r="AX374" i="43"/>
  <c r="AT374" i="43"/>
  <c r="AP374" i="43"/>
  <c r="AL374" i="43"/>
  <c r="AH374" i="43"/>
  <c r="DH374" i="43"/>
  <c r="CZ374" i="43"/>
  <c r="CR374" i="43"/>
  <c r="CJ374" i="43"/>
  <c r="AZ374" i="43"/>
  <c r="AR374" i="43"/>
  <c r="AJ374" i="43"/>
  <c r="DE374" i="43"/>
  <c r="CW374" i="43"/>
  <c r="CO374" i="43"/>
  <c r="BE374" i="43"/>
  <c r="AW374" i="43"/>
  <c r="AO374" i="43"/>
  <c r="DI374" i="43"/>
  <c r="CS374" i="43"/>
  <c r="BA374" i="43"/>
  <c r="AK374" i="43"/>
  <c r="DH112" i="43"/>
  <c r="DD112" i="43"/>
  <c r="CZ112" i="43"/>
  <c r="CV112" i="43"/>
  <c r="CR112" i="43"/>
  <c r="CN112" i="43"/>
  <c r="CJ112" i="43"/>
  <c r="BF112" i="43"/>
  <c r="BB112" i="43"/>
  <c r="AX112" i="43"/>
  <c r="AT112" i="43"/>
  <c r="AP112" i="43"/>
  <c r="AL112" i="43"/>
  <c r="AH112" i="43"/>
  <c r="DD374" i="43"/>
  <c r="CN374" i="43"/>
  <c r="AV374" i="43"/>
  <c r="DG112" i="43"/>
  <c r="DC112" i="43"/>
  <c r="CY112" i="43"/>
  <c r="CU112" i="43"/>
  <c r="CQ112" i="43"/>
  <c r="CM112" i="43"/>
  <c r="BE112" i="43"/>
  <c r="BA112" i="43"/>
  <c r="AW112" i="43"/>
  <c r="AS112" i="43"/>
  <c r="AO112" i="43"/>
  <c r="AK112" i="43"/>
  <c r="CV374" i="43"/>
  <c r="AN374" i="43"/>
  <c r="DE112" i="43"/>
  <c r="CW112" i="43"/>
  <c r="CO112" i="43"/>
  <c r="BG112" i="43"/>
  <c r="AY112" i="43"/>
  <c r="AQ112" i="43"/>
  <c r="AI112" i="43"/>
  <c r="DA112" i="43"/>
  <c r="CK112" i="43"/>
  <c r="AU112" i="43"/>
  <c r="AS374" i="43"/>
  <c r="CX112" i="43"/>
  <c r="AR112" i="43"/>
  <c r="CK374" i="43"/>
  <c r="DB112" i="43"/>
  <c r="CT112" i="43"/>
  <c r="CL112" i="43"/>
  <c r="BD112" i="43"/>
  <c r="AV112" i="43"/>
  <c r="AN112" i="43"/>
  <c r="BD374" i="43"/>
  <c r="DI112" i="43"/>
  <c r="CS112" i="43"/>
  <c r="BC112" i="43"/>
  <c r="AM112" i="43"/>
  <c r="DA374" i="43"/>
  <c r="DF112" i="43"/>
  <c r="CP112" i="43"/>
  <c r="AZ112" i="43"/>
  <c r="AJ112" i="43"/>
  <c r="G262" i="43"/>
  <c r="DH354" i="43"/>
  <c r="DD354" i="43"/>
  <c r="CZ354" i="43"/>
  <c r="CV354" i="43"/>
  <c r="CR354" i="43"/>
  <c r="CN354" i="43"/>
  <c r="CJ354" i="43"/>
  <c r="BD354" i="43"/>
  <c r="AZ354" i="43"/>
  <c r="AV354" i="43"/>
  <c r="AR354" i="43"/>
  <c r="AN354" i="43"/>
  <c r="AJ354" i="43"/>
  <c r="DF354" i="43"/>
  <c r="DA354" i="43"/>
  <c r="CU354" i="43"/>
  <c r="CP354" i="43"/>
  <c r="CK354" i="43"/>
  <c r="BC354" i="43"/>
  <c r="AX354" i="43"/>
  <c r="AS354" i="43"/>
  <c r="AM354" i="43"/>
  <c r="AH354" i="43"/>
  <c r="DE354" i="43"/>
  <c r="CY354" i="43"/>
  <c r="CT354" i="43"/>
  <c r="CO354" i="43"/>
  <c r="BG354" i="43"/>
  <c r="BB354" i="43"/>
  <c r="AW354" i="43"/>
  <c r="AQ354" i="43"/>
  <c r="AL354" i="43"/>
  <c r="DB354" i="43"/>
  <c r="CQ354" i="43"/>
  <c r="BE354" i="43"/>
  <c r="AT354" i="43"/>
  <c r="AI354" i="43"/>
  <c r="DH92" i="43"/>
  <c r="DD92" i="43"/>
  <c r="CZ92" i="43"/>
  <c r="CV92" i="43"/>
  <c r="CR92" i="43"/>
  <c r="CN92" i="43"/>
  <c r="CJ92" i="43"/>
  <c r="BF92" i="43"/>
  <c r="BB92" i="43"/>
  <c r="AX92" i="43"/>
  <c r="AT92" i="43"/>
  <c r="AP92" i="43"/>
  <c r="AL92" i="43"/>
  <c r="AH92" i="43"/>
  <c r="DI354" i="43"/>
  <c r="CX354" i="43"/>
  <c r="CM354" i="43"/>
  <c r="BA354" i="43"/>
  <c r="AP354" i="43"/>
  <c r="DG92" i="43"/>
  <c r="DC92" i="43"/>
  <c r="CY92" i="43"/>
  <c r="CU92" i="43"/>
  <c r="CQ92" i="43"/>
  <c r="CM92" i="43"/>
  <c r="BE92" i="43"/>
  <c r="BA92" i="43"/>
  <c r="AW92" i="43"/>
  <c r="AS92" i="43"/>
  <c r="AO92" i="43"/>
  <c r="AK92" i="43"/>
  <c r="DC354" i="43"/>
  <c r="BF354" i="43"/>
  <c r="AK354" i="43"/>
  <c r="DI92" i="43"/>
  <c r="DA92" i="43"/>
  <c r="CS92" i="43"/>
  <c r="CK92" i="43"/>
  <c r="BC92" i="43"/>
  <c r="AU92" i="43"/>
  <c r="AM92" i="43"/>
  <c r="DE92" i="43"/>
  <c r="CO92" i="43"/>
  <c r="AY92" i="43"/>
  <c r="AI92" i="43"/>
  <c r="CL354" i="43"/>
  <c r="CT92" i="43"/>
  <c r="AV92" i="43"/>
  <c r="CW354" i="43"/>
  <c r="AY354" i="43"/>
  <c r="DF92" i="43"/>
  <c r="CX92" i="43"/>
  <c r="CP92" i="43"/>
  <c r="AZ92" i="43"/>
  <c r="AR92" i="43"/>
  <c r="AJ92" i="43"/>
  <c r="CS354" i="43"/>
  <c r="AU354" i="43"/>
  <c r="CW92" i="43"/>
  <c r="BG92" i="43"/>
  <c r="AQ92" i="43"/>
  <c r="DG354" i="43"/>
  <c r="AO354" i="43"/>
  <c r="DB92" i="43"/>
  <c r="CL92" i="43"/>
  <c r="BD92" i="43"/>
  <c r="AN92" i="43"/>
  <c r="F12" i="5"/>
  <c r="G236" i="43"/>
  <c r="G242" i="43"/>
  <c r="F24" i="5"/>
  <c r="G248" i="43"/>
  <c r="DG367" i="43"/>
  <c r="DC367" i="43"/>
  <c r="CY367" i="43"/>
  <c r="CU367" i="43"/>
  <c r="CQ367" i="43"/>
  <c r="CM367" i="43"/>
  <c r="BG367" i="43"/>
  <c r="BC367" i="43"/>
  <c r="AY367" i="43"/>
  <c r="AU367" i="43"/>
  <c r="AQ367" i="43"/>
  <c r="AM367" i="43"/>
  <c r="AI367" i="43"/>
  <c r="DF367" i="43"/>
  <c r="DB367" i="43"/>
  <c r="CX367" i="43"/>
  <c r="CT367" i="43"/>
  <c r="CP367" i="43"/>
  <c r="CL367" i="43"/>
  <c r="BF367" i="43"/>
  <c r="BB367" i="43"/>
  <c r="AX367" i="43"/>
  <c r="AT367" i="43"/>
  <c r="AP367" i="43"/>
  <c r="AL367" i="43"/>
  <c r="AH367" i="43"/>
  <c r="DD367" i="43"/>
  <c r="CV367" i="43"/>
  <c r="CN367" i="43"/>
  <c r="BD367" i="43"/>
  <c r="AV367" i="43"/>
  <c r="AN367" i="43"/>
  <c r="DI367" i="43"/>
  <c r="DA367" i="43"/>
  <c r="CS367" i="43"/>
  <c r="CK367" i="43"/>
  <c r="BA367" i="43"/>
  <c r="AS367" i="43"/>
  <c r="AK367" i="43"/>
  <c r="DE367" i="43"/>
  <c r="CO367" i="43"/>
  <c r="AW367" i="43"/>
  <c r="DG105" i="43"/>
  <c r="DC105" i="43"/>
  <c r="CY105" i="43"/>
  <c r="CU105" i="43"/>
  <c r="CQ105" i="43"/>
  <c r="CM105" i="43"/>
  <c r="BE105" i="43"/>
  <c r="BA105" i="43"/>
  <c r="AW105" i="43"/>
  <c r="AS105" i="43"/>
  <c r="AO105" i="43"/>
  <c r="AK105" i="43"/>
  <c r="CZ367" i="43"/>
  <c r="CJ367" i="43"/>
  <c r="AR367" i="43"/>
  <c r="DF105" i="43"/>
  <c r="DB105" i="43"/>
  <c r="CX105" i="43"/>
  <c r="CT105" i="43"/>
  <c r="CP105" i="43"/>
  <c r="CL105" i="43"/>
  <c r="BD105" i="43"/>
  <c r="AZ105" i="43"/>
  <c r="AV105" i="43"/>
  <c r="AR105" i="43"/>
  <c r="AN105" i="43"/>
  <c r="AJ105" i="43"/>
  <c r="CR367" i="43"/>
  <c r="AJ367" i="43"/>
  <c r="DD105" i="43"/>
  <c r="CV105" i="43"/>
  <c r="CN105" i="43"/>
  <c r="BF105" i="43"/>
  <c r="AX105" i="43"/>
  <c r="AP105" i="43"/>
  <c r="AH105" i="43"/>
  <c r="DH105" i="43"/>
  <c r="CR105" i="43"/>
  <c r="BB105" i="43"/>
  <c r="AT105" i="43"/>
  <c r="CW367" i="43"/>
  <c r="DE105" i="43"/>
  <c r="CO105" i="43"/>
  <c r="BG105" i="43"/>
  <c r="AQ105" i="43"/>
  <c r="BE367" i="43"/>
  <c r="DI105" i="43"/>
  <c r="DA105" i="43"/>
  <c r="CS105" i="43"/>
  <c r="CK105" i="43"/>
  <c r="BC105" i="43"/>
  <c r="AU105" i="43"/>
  <c r="AM105" i="43"/>
  <c r="DH367" i="43"/>
  <c r="AZ367" i="43"/>
  <c r="CZ105" i="43"/>
  <c r="CJ105" i="43"/>
  <c r="AL105" i="43"/>
  <c r="AO367" i="43"/>
  <c r="CW105" i="43"/>
  <c r="AY105" i="43"/>
  <c r="AI105" i="43"/>
  <c r="F17" i="5"/>
  <c r="F29" i="5"/>
  <c r="F35" i="5"/>
  <c r="F39" i="5"/>
  <c r="F9" i="5"/>
  <c r="F15" i="5"/>
  <c r="F18" i="5"/>
  <c r="F30" i="5"/>
  <c r="F36" i="5"/>
  <c r="F10" i="5"/>
  <c r="F31" i="5"/>
  <c r="F11" i="5"/>
  <c r="F28" i="5"/>
  <c r="CK141" i="43" s="1"/>
  <c r="F34" i="5"/>
  <c r="F38" i="5"/>
  <c r="E55" i="5"/>
  <c r="G56" i="5"/>
  <c r="E61" i="5"/>
  <c r="G62" i="5"/>
  <c r="E67" i="5"/>
  <c r="G68" i="5"/>
  <c r="E73" i="5"/>
  <c r="G74" i="5"/>
  <c r="C76" i="5"/>
  <c r="G80" i="5"/>
  <c r="C82" i="5"/>
  <c r="E83" i="5"/>
  <c r="G55" i="5"/>
  <c r="C57" i="5"/>
  <c r="G61" i="5"/>
  <c r="C63" i="5"/>
  <c r="G67" i="5"/>
  <c r="C69" i="5"/>
  <c r="G73" i="5"/>
  <c r="C75" i="5"/>
  <c r="E76" i="5"/>
  <c r="C81" i="5"/>
  <c r="E82" i="5"/>
  <c r="G83" i="5"/>
  <c r="C56" i="5"/>
  <c r="E57" i="5"/>
  <c r="C62" i="5"/>
  <c r="E63" i="5"/>
  <c r="C68" i="5"/>
  <c r="E69" i="5"/>
  <c r="C74" i="5"/>
  <c r="E75" i="5"/>
  <c r="G76" i="5"/>
  <c r="C80" i="5"/>
  <c r="E81" i="5"/>
  <c r="G82" i="5"/>
  <c r="C55" i="5"/>
  <c r="E56" i="5"/>
  <c r="G57" i="5"/>
  <c r="C61" i="5"/>
  <c r="E62" i="5"/>
  <c r="G63" i="5"/>
  <c r="C67" i="5"/>
  <c r="E68" i="5"/>
  <c r="G69" i="5"/>
  <c r="C73" i="5"/>
  <c r="E74" i="5"/>
  <c r="G75" i="5"/>
  <c r="E80" i="5"/>
  <c r="G81" i="5"/>
  <c r="C83" i="5"/>
  <c r="G87" i="45" l="1"/>
  <c r="W86" i="45"/>
  <c r="Y86" i="45"/>
  <c r="AE86" i="45"/>
  <c r="AC87" i="45"/>
  <c r="L86" i="45"/>
  <c r="Y87" i="45"/>
  <c r="S87" i="45"/>
  <c r="V87" i="45"/>
  <c r="L87" i="45"/>
  <c r="AB87" i="45"/>
  <c r="AD86" i="45"/>
  <c r="J87" i="45"/>
  <c r="R87" i="45"/>
  <c r="J86" i="45"/>
  <c r="DA102" i="43"/>
  <c r="T87" i="45"/>
  <c r="I86" i="45"/>
  <c r="U86" i="45"/>
  <c r="X87" i="45"/>
  <c r="S86" i="45"/>
  <c r="AC86" i="45"/>
  <c r="AF86" i="45"/>
  <c r="CS371" i="43"/>
  <c r="CO101" i="43"/>
  <c r="BR85" i="43"/>
  <c r="AE87" i="45"/>
  <c r="DF104" i="43"/>
  <c r="CM111" i="43"/>
  <c r="BV102" i="43"/>
  <c r="CP101" i="43"/>
  <c r="AD87" i="45"/>
  <c r="W87" i="45"/>
  <c r="AF87" i="45"/>
  <c r="M86" i="45"/>
  <c r="G86" i="45"/>
  <c r="O86" i="45"/>
  <c r="H86" i="45"/>
  <c r="X86" i="45"/>
  <c r="CR371" i="43"/>
  <c r="BR91" i="43"/>
  <c r="N87" i="45"/>
  <c r="Q87" i="45"/>
  <c r="M87" i="45"/>
  <c r="N86" i="45"/>
  <c r="Z86" i="45"/>
  <c r="V86" i="45"/>
  <c r="CW91" i="43"/>
  <c r="BW85" i="43"/>
  <c r="CA111" i="43"/>
  <c r="BV104" i="43"/>
  <c r="DB353" i="43"/>
  <c r="CN353" i="43"/>
  <c r="CT85" i="43"/>
  <c r="H114" i="45"/>
  <c r="I114" i="45"/>
  <c r="AC113" i="45"/>
  <c r="M113" i="45"/>
  <c r="N113" i="45"/>
  <c r="G113" i="45"/>
  <c r="H111" i="45"/>
  <c r="J111" i="45"/>
  <c r="W111" i="45"/>
  <c r="N110" i="45"/>
  <c r="AD110" i="45"/>
  <c r="M110" i="45"/>
  <c r="N106" i="45"/>
  <c r="M106" i="45"/>
  <c r="G106" i="45"/>
  <c r="AD105" i="45"/>
  <c r="W105" i="45"/>
  <c r="P104" i="45"/>
  <c r="G104" i="45"/>
  <c r="W103" i="45"/>
  <c r="O103" i="45"/>
  <c r="Y93" i="45"/>
  <c r="Y92" i="45"/>
  <c r="I92" i="45"/>
  <c r="Z92" i="45"/>
  <c r="V92" i="45"/>
  <c r="R85" i="45"/>
  <c r="AD85" i="45"/>
  <c r="I99" i="45"/>
  <c r="Y99" i="45"/>
  <c r="Z99" i="45"/>
  <c r="V99" i="45"/>
  <c r="R99" i="45"/>
  <c r="K90" i="45"/>
  <c r="Q90" i="45"/>
  <c r="AE90" i="45"/>
  <c r="CT91" i="43"/>
  <c r="CL85" i="43"/>
  <c r="DF347" i="43"/>
  <c r="AD114" i="45"/>
  <c r="J114" i="45"/>
  <c r="X113" i="45"/>
  <c r="AD113" i="45"/>
  <c r="T111" i="45"/>
  <c r="S111" i="45"/>
  <c r="H110" i="45"/>
  <c r="X110" i="45"/>
  <c r="J106" i="45"/>
  <c r="H106" i="45"/>
  <c r="S106" i="45"/>
  <c r="Y105" i="45"/>
  <c r="Z105" i="45"/>
  <c r="Q104" i="45"/>
  <c r="J104" i="45"/>
  <c r="AF104" i="45"/>
  <c r="S104" i="45"/>
  <c r="V103" i="45"/>
  <c r="N103" i="45"/>
  <c r="J103" i="45"/>
  <c r="O93" i="45"/>
  <c r="AD93" i="45"/>
  <c r="N93" i="45"/>
  <c r="AC92" i="45"/>
  <c r="M92" i="45"/>
  <c r="V85" i="45"/>
  <c r="AA85" i="45"/>
  <c r="U85" i="45"/>
  <c r="L85" i="45"/>
  <c r="BL104" i="43"/>
  <c r="DE366" i="43"/>
  <c r="CE91" i="43"/>
  <c r="DI91" i="43"/>
  <c r="CZ353" i="43"/>
  <c r="DE85" i="43"/>
  <c r="CJ111" i="43"/>
  <c r="CL111" i="43"/>
  <c r="CX373" i="43"/>
  <c r="CZ104" i="43"/>
  <c r="BM104" i="43"/>
  <c r="DG366" i="43"/>
  <c r="DH91" i="43"/>
  <c r="CZ91" i="43"/>
  <c r="CB91" i="43"/>
  <c r="BY91" i="43"/>
  <c r="CO353" i="43"/>
  <c r="DI347" i="43"/>
  <c r="CT347" i="43"/>
  <c r="BK85" i="43"/>
  <c r="CP347" i="43"/>
  <c r="CR111" i="43"/>
  <c r="CQ111" i="43"/>
  <c r="CQ91" i="43"/>
  <c r="DF91" i="43"/>
  <c r="BI85" i="43"/>
  <c r="CM85" i="43"/>
  <c r="CR85" i="43"/>
  <c r="DG347" i="43"/>
  <c r="BS111" i="43"/>
  <c r="CG111" i="43"/>
  <c r="CT373" i="43"/>
  <c r="BK104" i="43"/>
  <c r="DE104" i="43"/>
  <c r="CM366" i="43"/>
  <c r="BK91" i="43"/>
  <c r="DF353" i="43"/>
  <c r="BP91" i="43"/>
  <c r="BM91" i="43"/>
  <c r="CX353" i="43"/>
  <c r="CG85" i="43"/>
  <c r="CB85" i="43"/>
  <c r="CY85" i="43"/>
  <c r="DD85" i="43"/>
  <c r="CR347" i="43"/>
  <c r="CS111" i="43"/>
  <c r="DD111" i="43"/>
  <c r="DH373" i="43"/>
  <c r="CS373" i="43"/>
  <c r="DC373" i="43"/>
  <c r="BO104" i="43"/>
  <c r="CE104" i="43"/>
  <c r="BX104" i="43"/>
  <c r="BY104" i="43"/>
  <c r="CZ366" i="43"/>
  <c r="BN91" i="43"/>
  <c r="CN91" i="43"/>
  <c r="CU353" i="43"/>
  <c r="CY91" i="43"/>
  <c r="CF91" i="43"/>
  <c r="CL353" i="43"/>
  <c r="CC91" i="43"/>
  <c r="CP353" i="43"/>
  <c r="CT353" i="43"/>
  <c r="DD353" i="43"/>
  <c r="BP85" i="43"/>
  <c r="CP85" i="43"/>
  <c r="DB85" i="43"/>
  <c r="CK85" i="43"/>
  <c r="BV85" i="43"/>
  <c r="DC85" i="43"/>
  <c r="CA85" i="43"/>
  <c r="DH85" i="43"/>
  <c r="CL347" i="43"/>
  <c r="CV347" i="43"/>
  <c r="DA111" i="43"/>
  <c r="CJ373" i="43"/>
  <c r="BJ111" i="43"/>
  <c r="DA373" i="43"/>
  <c r="DG373" i="43"/>
  <c r="CH104" i="43"/>
  <c r="CQ104" i="43"/>
  <c r="CS104" i="43"/>
  <c r="CT104" i="43"/>
  <c r="CX366" i="43"/>
  <c r="DC91" i="43"/>
  <c r="CK353" i="43"/>
  <c r="BJ91" i="43"/>
  <c r="BL91" i="43"/>
  <c r="CS91" i="43"/>
  <c r="BI91" i="43"/>
  <c r="CP91" i="43"/>
  <c r="CS353" i="43"/>
  <c r="CJ353" i="43"/>
  <c r="DE347" i="43"/>
  <c r="CM347" i="43"/>
  <c r="CO85" i="43"/>
  <c r="DI85" i="43"/>
  <c r="CH85" i="43"/>
  <c r="CY347" i="43"/>
  <c r="CN85" i="43"/>
  <c r="CK347" i="43"/>
  <c r="DB347" i="43"/>
  <c r="DH347" i="43"/>
  <c r="BX84" i="43"/>
  <c r="CE103" i="43"/>
  <c r="DE346" i="43"/>
  <c r="CS110" i="43"/>
  <c r="DD346" i="43"/>
  <c r="BT84" i="43"/>
  <c r="AQ129" i="43"/>
  <c r="BZ84" i="43"/>
  <c r="BD129" i="43"/>
  <c r="CD110" i="43"/>
  <c r="DI103" i="43"/>
  <c r="CR346" i="43"/>
  <c r="CZ84" i="43"/>
  <c r="DI389" i="43"/>
  <c r="BO89" i="43"/>
  <c r="BY110" i="43"/>
  <c r="CY365" i="43"/>
  <c r="BU84" i="43"/>
  <c r="CY346" i="43"/>
  <c r="CA84" i="43"/>
  <c r="CT346" i="43"/>
  <c r="CC389" i="43"/>
  <c r="BT110" i="43"/>
  <c r="CJ372" i="43"/>
  <c r="CQ103" i="43"/>
  <c r="CJ346" i="43"/>
  <c r="CY84" i="43"/>
  <c r="DH346" i="43"/>
  <c r="CJ129" i="43"/>
  <c r="AP389" i="43"/>
  <c r="CT359" i="43"/>
  <c r="CW351" i="43"/>
  <c r="BX110" i="43"/>
  <c r="DF110" i="43"/>
  <c r="CO372" i="43"/>
  <c r="CA103" i="43"/>
  <c r="CB103" i="43"/>
  <c r="DH365" i="43"/>
  <c r="CO346" i="43"/>
  <c r="CP84" i="43"/>
  <c r="CO84" i="43"/>
  <c r="CM84" i="43"/>
  <c r="BS84" i="43"/>
  <c r="DH84" i="43"/>
  <c r="CV346" i="43"/>
  <c r="DE129" i="43"/>
  <c r="DG129" i="43"/>
  <c r="BZ389" i="43"/>
  <c r="BJ89" i="43"/>
  <c r="CJ110" i="43"/>
  <c r="CQ372" i="43"/>
  <c r="DH103" i="43"/>
  <c r="CG103" i="43"/>
  <c r="CX84" i="43"/>
  <c r="CL84" i="43"/>
  <c r="CS84" i="43"/>
  <c r="BR84" i="43"/>
  <c r="DG84" i="43"/>
  <c r="CN84" i="43"/>
  <c r="CU346" i="43"/>
  <c r="DB346" i="43"/>
  <c r="BF129" i="43"/>
  <c r="DF389" i="43"/>
  <c r="CE389" i="43"/>
  <c r="BP89" i="43"/>
  <c r="BS113" i="43"/>
  <c r="DE110" i="43"/>
  <c r="BI110" i="43"/>
  <c r="BN110" i="43"/>
  <c r="DC372" i="43"/>
  <c r="DE372" i="43"/>
  <c r="CU365" i="43"/>
  <c r="BL103" i="43"/>
  <c r="BQ103" i="43"/>
  <c r="CN365" i="43"/>
  <c r="BQ84" i="43"/>
  <c r="DA84" i="43"/>
  <c r="CC84" i="43"/>
  <c r="BI84" i="43"/>
  <c r="CB84" i="43"/>
  <c r="CF84" i="43"/>
  <c r="BJ84" i="43"/>
  <c r="CH84" i="43"/>
  <c r="DC84" i="43"/>
  <c r="BK84" i="43"/>
  <c r="CJ84" i="43"/>
  <c r="DD84" i="43"/>
  <c r="CL346" i="43"/>
  <c r="CQ346" i="43"/>
  <c r="CX346" i="43"/>
  <c r="DB389" i="43"/>
  <c r="AL129" i="43"/>
  <c r="CM129" i="43"/>
  <c r="BI389" i="43"/>
  <c r="BE389" i="43"/>
  <c r="BK389" i="43"/>
  <c r="DC89" i="43"/>
  <c r="CN110" i="43"/>
  <c r="CV110" i="43"/>
  <c r="CP110" i="43"/>
  <c r="CU110" i="43"/>
  <c r="CZ372" i="43"/>
  <c r="DC103" i="43"/>
  <c r="BJ103" i="43"/>
  <c r="CS103" i="43"/>
  <c r="DB103" i="43"/>
  <c r="DA365" i="43"/>
  <c r="DC346" i="43"/>
  <c r="DI346" i="43"/>
  <c r="DB84" i="43"/>
  <c r="DF84" i="43"/>
  <c r="DI84" i="43"/>
  <c r="DE84" i="43"/>
  <c r="BV84" i="43"/>
  <c r="CQ84" i="43"/>
  <c r="CS346" i="43"/>
  <c r="BW84" i="43"/>
  <c r="CR84" i="43"/>
  <c r="CW346" i="43"/>
  <c r="CZ346" i="43"/>
  <c r="DA346" i="43"/>
  <c r="AS129" i="43"/>
  <c r="CS129" i="43"/>
  <c r="DB129" i="43"/>
  <c r="BX389" i="43"/>
  <c r="BT389" i="43"/>
  <c r="CU389" i="43"/>
  <c r="DD389" i="43"/>
  <c r="CY89" i="43"/>
  <c r="CS351" i="43"/>
  <c r="BY97" i="43"/>
  <c r="CT89" i="43"/>
  <c r="BQ89" i="43"/>
  <c r="CV89" i="43"/>
  <c r="CW89" i="43"/>
  <c r="CL351" i="43"/>
  <c r="CO113" i="43"/>
  <c r="BX111" i="43"/>
  <c r="BL111" i="43"/>
  <c r="BP111" i="43"/>
  <c r="BW111" i="43"/>
  <c r="BQ111" i="43"/>
  <c r="CX111" i="43"/>
  <c r="BV111" i="43"/>
  <c r="DC111" i="43"/>
  <c r="CV373" i="43"/>
  <c r="CM373" i="43"/>
  <c r="BW104" i="43"/>
  <c r="BS104" i="43"/>
  <c r="CN104" i="43"/>
  <c r="CD104" i="43"/>
  <c r="CB104" i="43"/>
  <c r="DI104" i="43"/>
  <c r="CC104" i="43"/>
  <c r="CS366" i="43"/>
  <c r="DH366" i="43"/>
  <c r="CQ366" i="43"/>
  <c r="CQ359" i="43"/>
  <c r="CA91" i="43"/>
  <c r="CD91" i="43"/>
  <c r="BO91" i="43"/>
  <c r="CV91" i="43"/>
  <c r="BS91" i="43"/>
  <c r="BV91" i="43"/>
  <c r="BZ91" i="43"/>
  <c r="DG91" i="43"/>
  <c r="BT91" i="43"/>
  <c r="CK91" i="43"/>
  <c r="DA91" i="43"/>
  <c r="CW353" i="43"/>
  <c r="BQ91" i="43"/>
  <c r="CG91" i="43"/>
  <c r="CX91" i="43"/>
  <c r="DA353" i="43"/>
  <c r="DC353" i="43"/>
  <c r="CY353" i="43"/>
  <c r="CR353" i="43"/>
  <c r="DH353" i="43"/>
  <c r="CF85" i="43"/>
  <c r="BQ85" i="43"/>
  <c r="CX85" i="43"/>
  <c r="BU85" i="43"/>
  <c r="CX347" i="43"/>
  <c r="BL85" i="43"/>
  <c r="CS85" i="43"/>
  <c r="BJ85" i="43"/>
  <c r="BZ85" i="43"/>
  <c r="CQ85" i="43"/>
  <c r="DG85" i="43"/>
  <c r="BO85" i="43"/>
  <c r="CE85" i="43"/>
  <c r="CV85" i="43"/>
  <c r="CS347" i="43"/>
  <c r="CU347" i="43"/>
  <c r="CQ347" i="43"/>
  <c r="CJ347" i="43"/>
  <c r="CZ347" i="43"/>
  <c r="DE351" i="43"/>
  <c r="CE89" i="43"/>
  <c r="CF89" i="43"/>
  <c r="DI375" i="43"/>
  <c r="BV89" i="43"/>
  <c r="CX89" i="43"/>
  <c r="CK351" i="43"/>
  <c r="CO351" i="43"/>
  <c r="DB351" i="43"/>
  <c r="CS113" i="43"/>
  <c r="CO111" i="43"/>
  <c r="BT111" i="43"/>
  <c r="CF111" i="43"/>
  <c r="CE111" i="43"/>
  <c r="BU111" i="43"/>
  <c r="DB111" i="43"/>
  <c r="BZ111" i="43"/>
  <c r="DG111" i="43"/>
  <c r="DD373" i="43"/>
  <c r="CQ373" i="43"/>
  <c r="BR104" i="43"/>
  <c r="CR104" i="43"/>
  <c r="BZ104" i="43"/>
  <c r="DC104" i="43"/>
  <c r="CO104" i="43"/>
  <c r="BI104" i="43"/>
  <c r="CP104" i="43"/>
  <c r="CW366" i="43"/>
  <c r="CT366" i="43"/>
  <c r="DC366" i="43"/>
  <c r="CN97" i="43"/>
  <c r="CR91" i="43"/>
  <c r="CM91" i="43"/>
  <c r="BW91" i="43"/>
  <c r="DD91" i="43"/>
  <c r="CJ91" i="43"/>
  <c r="CU91" i="43"/>
  <c r="CH91" i="43"/>
  <c r="CQ353" i="43"/>
  <c r="BX91" i="43"/>
  <c r="CO91" i="43"/>
  <c r="DE91" i="43"/>
  <c r="DG353" i="43"/>
  <c r="BU91" i="43"/>
  <c r="CL91" i="43"/>
  <c r="DB91" i="43"/>
  <c r="CM353" i="43"/>
  <c r="DI353" i="43"/>
  <c r="DE353" i="43"/>
  <c r="BM85" i="43"/>
  <c r="CW85" i="43"/>
  <c r="BY85" i="43"/>
  <c r="DF85" i="43"/>
  <c r="CC85" i="43"/>
  <c r="BX85" i="43"/>
  <c r="BT85" i="43"/>
  <c r="DA85" i="43"/>
  <c r="BN85" i="43"/>
  <c r="CD85" i="43"/>
  <c r="CU85" i="43"/>
  <c r="CO347" i="43"/>
  <c r="BS85" i="43"/>
  <c r="CJ85" i="43"/>
  <c r="CZ85" i="43"/>
  <c r="DC347" i="43"/>
  <c r="DA347" i="43"/>
  <c r="CW347" i="43"/>
  <c r="CN347" i="43"/>
  <c r="BZ89" i="43"/>
  <c r="BU89" i="43"/>
  <c r="DB89" i="43"/>
  <c r="CD89" i="43"/>
  <c r="CU351" i="43"/>
  <c r="CJ351" i="43"/>
  <c r="BY89" i="43"/>
  <c r="DF89" i="43"/>
  <c r="BS89" i="43"/>
  <c r="CJ89" i="43"/>
  <c r="CZ89" i="43"/>
  <c r="CV351" i="43"/>
  <c r="BT89" i="43"/>
  <c r="CK89" i="43"/>
  <c r="DA89" i="43"/>
  <c r="CZ351" i="43"/>
  <c r="DC351" i="43"/>
  <c r="CY351" i="43"/>
  <c r="CP351" i="43"/>
  <c r="DF351" i="43"/>
  <c r="BQ113" i="43"/>
  <c r="BJ113" i="43"/>
  <c r="CZ113" i="43"/>
  <c r="CW375" i="43"/>
  <c r="DF97" i="43"/>
  <c r="CM97" i="43"/>
  <c r="DD97" i="43"/>
  <c r="CQ89" i="43"/>
  <c r="CC89" i="43"/>
  <c r="CQ351" i="43"/>
  <c r="CM89" i="43"/>
  <c r="BR89" i="43"/>
  <c r="BM89" i="43"/>
  <c r="CG89" i="43"/>
  <c r="DA351" i="43"/>
  <c r="BW89" i="43"/>
  <c r="CN89" i="43"/>
  <c r="DD89" i="43"/>
  <c r="DG351" i="43"/>
  <c r="BX89" i="43"/>
  <c r="CO89" i="43"/>
  <c r="DE89" i="43"/>
  <c r="CM351" i="43"/>
  <c r="DH351" i="43"/>
  <c r="DD351" i="43"/>
  <c r="CT351" i="43"/>
  <c r="CX113" i="43"/>
  <c r="CQ113" i="43"/>
  <c r="CM375" i="43"/>
  <c r="CW97" i="43"/>
  <c r="DC97" i="43"/>
  <c r="CM359" i="43"/>
  <c r="DG89" i="43"/>
  <c r="CL89" i="43"/>
  <c r="BN89" i="43"/>
  <c r="CU89" i="43"/>
  <c r="CH89" i="43"/>
  <c r="BI89" i="43"/>
  <c r="CP89" i="43"/>
  <c r="BK89" i="43"/>
  <c r="CA89" i="43"/>
  <c r="CR89" i="43"/>
  <c r="DH89" i="43"/>
  <c r="BL89" i="43"/>
  <c r="CB89" i="43"/>
  <c r="CS89" i="43"/>
  <c r="DI89" i="43"/>
  <c r="CR351" i="43"/>
  <c r="CN351" i="43"/>
  <c r="DI351" i="43"/>
  <c r="BL113" i="43"/>
  <c r="DG113" i="43"/>
  <c r="DE97" i="43"/>
  <c r="CK97" i="43"/>
  <c r="DG359" i="43"/>
  <c r="DD359" i="43"/>
  <c r="DA110" i="43"/>
  <c r="CT372" i="43"/>
  <c r="CO110" i="43"/>
  <c r="BL110" i="43"/>
  <c r="BO110" i="43"/>
  <c r="BS110" i="43"/>
  <c r="CZ110" i="43"/>
  <c r="BQ110" i="43"/>
  <c r="CG110" i="43"/>
  <c r="CX110" i="43"/>
  <c r="DB372" i="43"/>
  <c r="BV110" i="43"/>
  <c r="CM110" i="43"/>
  <c r="DC110" i="43"/>
  <c r="CM372" i="43"/>
  <c r="CX372" i="43"/>
  <c r="CR372" i="43"/>
  <c r="DH372" i="43"/>
  <c r="CW372" i="43"/>
  <c r="BV103" i="43"/>
  <c r="BO103" i="43"/>
  <c r="CV103" i="43"/>
  <c r="CJ103" i="43"/>
  <c r="CD103" i="43"/>
  <c r="BZ103" i="43"/>
  <c r="DG103" i="43"/>
  <c r="BT103" i="43"/>
  <c r="CK103" i="43"/>
  <c r="DA103" i="43"/>
  <c r="BI103" i="43"/>
  <c r="BY103" i="43"/>
  <c r="CP103" i="43"/>
  <c r="DC365" i="43"/>
  <c r="CT365" i="43"/>
  <c r="CV365" i="43"/>
  <c r="CS365" i="43"/>
  <c r="CF389" i="43"/>
  <c r="DD129" i="43"/>
  <c r="BE129" i="43"/>
  <c r="AK129" i="43"/>
  <c r="AR129" i="43"/>
  <c r="DH129" i="43"/>
  <c r="AT129" i="43"/>
  <c r="CT129" i="43"/>
  <c r="CL389" i="43"/>
  <c r="AY129" i="43"/>
  <c r="CY129" i="43"/>
  <c r="CW389" i="43"/>
  <c r="DE389" i="43"/>
  <c r="AR389" i="43"/>
  <c r="CG389" i="43"/>
  <c r="AU389" i="43"/>
  <c r="CS389" i="43"/>
  <c r="AS389" i="43"/>
  <c r="BN389" i="43"/>
  <c r="CM389" i="43"/>
  <c r="DG389" i="43"/>
  <c r="AX389" i="43"/>
  <c r="BW389" i="43"/>
  <c r="CR389" i="43"/>
  <c r="BW110" i="43"/>
  <c r="BP110" i="43"/>
  <c r="CW110" i="43"/>
  <c r="CB110" i="43"/>
  <c r="CE110" i="43"/>
  <c r="CA110" i="43"/>
  <c r="DH110" i="43"/>
  <c r="BU110" i="43"/>
  <c r="CL110" i="43"/>
  <c r="DB110" i="43"/>
  <c r="BJ110" i="43"/>
  <c r="BZ110" i="43"/>
  <c r="CQ110" i="43"/>
  <c r="DG110" i="43"/>
  <c r="CU372" i="43"/>
  <c r="DF372" i="43"/>
  <c r="CV372" i="43"/>
  <c r="CK372" i="43"/>
  <c r="DA372" i="43"/>
  <c r="BK103" i="43"/>
  <c r="CM103" i="43"/>
  <c r="BW103" i="43"/>
  <c r="DD103" i="43"/>
  <c r="CZ103" i="43"/>
  <c r="CU103" i="43"/>
  <c r="CH103" i="43"/>
  <c r="DF365" i="43"/>
  <c r="BX103" i="43"/>
  <c r="CO103" i="43"/>
  <c r="DE103" i="43"/>
  <c r="BM103" i="43"/>
  <c r="CC103" i="43"/>
  <c r="CX103" i="43"/>
  <c r="CQ365" i="43"/>
  <c r="DB365" i="43"/>
  <c r="DD365" i="43"/>
  <c r="CW365" i="43"/>
  <c r="AV129" i="43"/>
  <c r="AN389" i="43"/>
  <c r="CO129" i="43"/>
  <c r="CK129" i="43"/>
  <c r="AZ129" i="43"/>
  <c r="BU389" i="43"/>
  <c r="BB129" i="43"/>
  <c r="CX129" i="43"/>
  <c r="AI129" i="43"/>
  <c r="BG129" i="43"/>
  <c r="DC129" i="43"/>
  <c r="AQ389" i="43"/>
  <c r="BM389" i="43"/>
  <c r="AZ389" i="43"/>
  <c r="CP389" i="43"/>
  <c r="BL389" i="43"/>
  <c r="DA389" i="43"/>
  <c r="AW389" i="43"/>
  <c r="BV389" i="43"/>
  <c r="CQ389" i="43"/>
  <c r="AH389" i="43"/>
  <c r="BF389" i="43"/>
  <c r="CA389" i="43"/>
  <c r="CV389" i="43"/>
  <c r="CK110" i="43"/>
  <c r="DD110" i="43"/>
  <c r="CF110" i="43"/>
  <c r="CY372" i="43"/>
  <c r="DI110" i="43"/>
  <c r="BK110" i="43"/>
  <c r="CR110" i="43"/>
  <c r="BM110" i="43"/>
  <c r="CC110" i="43"/>
  <c r="CT110" i="43"/>
  <c r="CL372" i="43"/>
  <c r="BR110" i="43"/>
  <c r="CH110" i="43"/>
  <c r="CY110" i="43"/>
  <c r="DG372" i="43"/>
  <c r="CP372" i="43"/>
  <c r="CN372" i="43"/>
  <c r="DD372" i="43"/>
  <c r="CS372" i="43"/>
  <c r="CR103" i="43"/>
  <c r="CP365" i="43"/>
  <c r="CN103" i="43"/>
  <c r="BS103" i="43"/>
  <c r="BN103" i="43"/>
  <c r="BR103" i="43"/>
  <c r="CY103" i="43"/>
  <c r="BP103" i="43"/>
  <c r="CF103" i="43"/>
  <c r="CW103" i="43"/>
  <c r="CX365" i="43"/>
  <c r="BU103" i="43"/>
  <c r="CL103" i="43"/>
  <c r="DF103" i="43"/>
  <c r="CL365" i="43"/>
  <c r="CR365" i="43"/>
  <c r="CK365" i="43"/>
  <c r="DI365" i="43"/>
  <c r="DA129" i="43"/>
  <c r="CN129" i="43"/>
  <c r="AW129" i="43"/>
  <c r="AY389" i="43"/>
  <c r="DI129" i="43"/>
  <c r="CZ129" i="43"/>
  <c r="AP129" i="43"/>
  <c r="CL129" i="43"/>
  <c r="BD389" i="43"/>
  <c r="AU129" i="43"/>
  <c r="CQ129" i="43"/>
  <c r="BP389" i="43"/>
  <c r="CO389" i="43"/>
  <c r="CT389" i="43"/>
  <c r="BY389" i="43"/>
  <c r="AM389" i="43"/>
  <c r="CB389" i="43"/>
  <c r="AO389" i="43"/>
  <c r="BJ389" i="43"/>
  <c r="CD389" i="43"/>
  <c r="DC389" i="43"/>
  <c r="AT389" i="43"/>
  <c r="BO389" i="43"/>
  <c r="CN389" i="43"/>
  <c r="DH389" i="43"/>
  <c r="W90" i="45"/>
  <c r="L90" i="45"/>
  <c r="AE99" i="45"/>
  <c r="V90" i="45"/>
  <c r="AA90" i="45"/>
  <c r="P90" i="45"/>
  <c r="AC114" i="45"/>
  <c r="AF114" i="45"/>
  <c r="I113" i="45"/>
  <c r="AD111" i="45"/>
  <c r="AF111" i="45"/>
  <c r="Y110" i="45"/>
  <c r="AF110" i="45"/>
  <c r="Z106" i="45"/>
  <c r="I106" i="45"/>
  <c r="U105" i="45"/>
  <c r="H104" i="45"/>
  <c r="R103" i="45"/>
  <c r="V93" i="45"/>
  <c r="R93" i="45"/>
  <c r="N92" i="45"/>
  <c r="U92" i="45"/>
  <c r="Z87" i="45"/>
  <c r="K87" i="45"/>
  <c r="R86" i="45"/>
  <c r="Q86" i="45"/>
  <c r="AB86" i="45"/>
  <c r="G85" i="45"/>
  <c r="AB85" i="45"/>
  <c r="BM109" i="43"/>
  <c r="DB102" i="43"/>
  <c r="BN101" i="43"/>
  <c r="CV363" i="43"/>
  <c r="CJ364" i="43"/>
  <c r="CU371" i="43"/>
  <c r="CY371" i="43"/>
  <c r="CO371" i="43"/>
  <c r="CV371" i="43"/>
  <c r="CV109" i="43"/>
  <c r="CK109" i="43"/>
  <c r="DF371" i="43"/>
  <c r="DC109" i="43"/>
  <c r="CT109" i="43"/>
  <c r="BO109" i="43"/>
  <c r="CN371" i="43"/>
  <c r="CP371" i="43"/>
  <c r="CM109" i="43"/>
  <c r="CC109" i="43"/>
  <c r="DI371" i="43"/>
  <c r="BS109" i="43"/>
  <c r="CY364" i="43"/>
  <c r="CT364" i="43"/>
  <c r="CL102" i="43"/>
  <c r="CK102" i="43"/>
  <c r="BR102" i="43"/>
  <c r="BJ102" i="43"/>
  <c r="CV364" i="43"/>
  <c r="BU102" i="43"/>
  <c r="BT102" i="43"/>
  <c r="CO364" i="43"/>
  <c r="BO102" i="43"/>
  <c r="DC364" i="43"/>
  <c r="CS364" i="43"/>
  <c r="DH364" i="43"/>
  <c r="DC102" i="43"/>
  <c r="CJ102" i="43"/>
  <c r="CW363" i="43"/>
  <c r="DF363" i="43"/>
  <c r="BY101" i="43"/>
  <c r="BX101" i="43"/>
  <c r="DH101" i="43"/>
  <c r="DA363" i="43"/>
  <c r="CU363" i="43"/>
  <c r="BI101" i="43"/>
  <c r="CT363" i="43"/>
  <c r="DD101" i="43"/>
  <c r="CK363" i="43"/>
  <c r="DF101" i="43"/>
  <c r="DE101" i="43"/>
  <c r="CH101" i="43"/>
  <c r="BW101" i="43"/>
  <c r="AB114" i="45"/>
  <c r="S114" i="45"/>
  <c r="V113" i="45"/>
  <c r="Z113" i="45"/>
  <c r="S113" i="45"/>
  <c r="AC111" i="45"/>
  <c r="AB111" i="45"/>
  <c r="X105" i="45"/>
  <c r="S105" i="45"/>
  <c r="T103" i="45"/>
  <c r="AB93" i="45"/>
  <c r="L92" i="45"/>
  <c r="Y85" i="45"/>
  <c r="AB99" i="45"/>
  <c r="AB90" i="45"/>
  <c r="L114" i="45"/>
  <c r="P114" i="45"/>
  <c r="G114" i="45"/>
  <c r="W114" i="45"/>
  <c r="AF113" i="45"/>
  <c r="W113" i="45"/>
  <c r="I111" i="45"/>
  <c r="L111" i="45"/>
  <c r="G111" i="45"/>
  <c r="P110" i="45"/>
  <c r="G110" i="45"/>
  <c r="W110" i="45"/>
  <c r="P106" i="45"/>
  <c r="Q106" i="45"/>
  <c r="W106" i="45"/>
  <c r="AC105" i="45"/>
  <c r="AF105" i="45"/>
  <c r="L105" i="45"/>
  <c r="G105" i="45"/>
  <c r="X104" i="45"/>
  <c r="M104" i="45"/>
  <c r="N104" i="45"/>
  <c r="W104" i="45"/>
  <c r="AA103" i="45"/>
  <c r="S103" i="45"/>
  <c r="H103" i="45"/>
  <c r="X103" i="45"/>
  <c r="Z93" i="45"/>
  <c r="J93" i="45"/>
  <c r="AA93" i="45"/>
  <c r="W93" i="45"/>
  <c r="P93" i="45"/>
  <c r="AF93" i="45"/>
  <c r="W92" i="45"/>
  <c r="P92" i="45"/>
  <c r="AF92" i="45"/>
  <c r="I87" i="45"/>
  <c r="H87" i="45"/>
  <c r="P86" i="45"/>
  <c r="M85" i="45"/>
  <c r="I85" i="45"/>
  <c r="Z85" i="45"/>
  <c r="P85" i="45"/>
  <c r="AF85" i="45"/>
  <c r="AD99" i="45"/>
  <c r="J99" i="45"/>
  <c r="AA99" i="45"/>
  <c r="W99" i="45"/>
  <c r="P99" i="45"/>
  <c r="AF99" i="45"/>
  <c r="G90" i="45"/>
  <c r="AC90" i="45"/>
  <c r="Y90" i="45"/>
  <c r="AF90" i="45"/>
  <c r="S110" i="45"/>
  <c r="AC106" i="45"/>
  <c r="AB105" i="45"/>
  <c r="AB92" i="45"/>
  <c r="L99" i="45"/>
  <c r="M114" i="45"/>
  <c r="N114" i="45"/>
  <c r="Q114" i="45"/>
  <c r="R114" i="45"/>
  <c r="U114" i="45"/>
  <c r="K114" i="45"/>
  <c r="AA114" i="45"/>
  <c r="H113" i="45"/>
  <c r="J113" i="45"/>
  <c r="L113" i="45"/>
  <c r="U113" i="45"/>
  <c r="T113" i="45"/>
  <c r="K113" i="45"/>
  <c r="AA113" i="45"/>
  <c r="Z111" i="45"/>
  <c r="N111" i="45"/>
  <c r="P111" i="45"/>
  <c r="R111" i="45"/>
  <c r="Q111" i="45"/>
  <c r="K111" i="45"/>
  <c r="AA111" i="45"/>
  <c r="V110" i="45"/>
  <c r="I110" i="45"/>
  <c r="L110" i="45"/>
  <c r="T110" i="45"/>
  <c r="U110" i="45"/>
  <c r="K110" i="45"/>
  <c r="AA110" i="45"/>
  <c r="L106" i="45"/>
  <c r="U106" i="45"/>
  <c r="V106" i="45"/>
  <c r="Y106" i="45"/>
  <c r="R106" i="45"/>
  <c r="K106" i="45"/>
  <c r="AA106" i="45"/>
  <c r="H105" i="45"/>
  <c r="I105" i="45"/>
  <c r="J105" i="45"/>
  <c r="M105" i="45"/>
  <c r="Q105" i="45"/>
  <c r="K105" i="45"/>
  <c r="AA105" i="45"/>
  <c r="AD104" i="45"/>
  <c r="L104" i="45"/>
  <c r="T104" i="45"/>
  <c r="V104" i="45"/>
  <c r="U104" i="45"/>
  <c r="K104" i="45"/>
  <c r="AA104" i="45"/>
  <c r="K103" i="45"/>
  <c r="G103" i="45"/>
  <c r="AC103" i="45"/>
  <c r="Y103" i="45"/>
  <c r="U103" i="45"/>
  <c r="L103" i="45"/>
  <c r="AB103" i="45"/>
  <c r="I93" i="45"/>
  <c r="U93" i="45"/>
  <c r="K93" i="45"/>
  <c r="G93" i="45"/>
  <c r="AC93" i="45"/>
  <c r="T93" i="45"/>
  <c r="G92" i="45"/>
  <c r="S92" i="45"/>
  <c r="J92" i="45"/>
  <c r="AE92" i="45"/>
  <c r="AA92" i="45"/>
  <c r="T92" i="45"/>
  <c r="AA86" i="45"/>
  <c r="T86" i="45"/>
  <c r="AC85" i="45"/>
  <c r="W85" i="45"/>
  <c r="N85" i="45"/>
  <c r="J85" i="45"/>
  <c r="AE85" i="45"/>
  <c r="T85" i="45"/>
  <c r="N99" i="45"/>
  <c r="O99" i="45"/>
  <c r="K99" i="45"/>
  <c r="G99" i="45"/>
  <c r="AC99" i="45"/>
  <c r="T99" i="45"/>
  <c r="O90" i="45"/>
  <c r="J90" i="45"/>
  <c r="M90" i="45"/>
  <c r="I90" i="45"/>
  <c r="AD90" i="45"/>
  <c r="T90" i="45"/>
  <c r="J110" i="45"/>
  <c r="Y104" i="45"/>
  <c r="AE103" i="45"/>
  <c r="L93" i="45"/>
  <c r="Q92" i="45"/>
  <c r="S90" i="45"/>
  <c r="T114" i="45"/>
  <c r="V114" i="45"/>
  <c r="X114" i="45"/>
  <c r="Y114" i="45"/>
  <c r="Z114" i="45"/>
  <c r="O114" i="45"/>
  <c r="AE114" i="45"/>
  <c r="P113" i="45"/>
  <c r="Q113" i="45"/>
  <c r="R113" i="45"/>
  <c r="AB113" i="45"/>
  <c r="Y113" i="45"/>
  <c r="O113" i="45"/>
  <c r="AE113" i="45"/>
  <c r="M111" i="45"/>
  <c r="U111" i="45"/>
  <c r="X111" i="45"/>
  <c r="Y111" i="45"/>
  <c r="V111" i="45"/>
  <c r="O111" i="45"/>
  <c r="AE111" i="45"/>
  <c r="AC110" i="45"/>
  <c r="Q110" i="45"/>
  <c r="R110" i="45"/>
  <c r="AB110" i="45"/>
  <c r="Z110" i="45"/>
  <c r="O110" i="45"/>
  <c r="AE110" i="45"/>
  <c r="T106" i="45"/>
  <c r="AB106" i="45"/>
  <c r="AD106" i="45"/>
  <c r="AF106" i="45"/>
  <c r="X106" i="45"/>
  <c r="O106" i="45"/>
  <c r="AE106" i="45"/>
  <c r="N105" i="45"/>
  <c r="P105" i="45"/>
  <c r="R105" i="45"/>
  <c r="T105" i="45"/>
  <c r="V105" i="45"/>
  <c r="O105" i="45"/>
  <c r="AE105" i="45"/>
  <c r="I104" i="45"/>
  <c r="R104" i="45"/>
  <c r="AB104" i="45"/>
  <c r="AC104" i="45"/>
  <c r="Z104" i="45"/>
  <c r="O104" i="45"/>
  <c r="AE104" i="45"/>
  <c r="Q103" i="45"/>
  <c r="M103" i="45"/>
  <c r="I103" i="45"/>
  <c r="AD103" i="45"/>
  <c r="Z103" i="45"/>
  <c r="P103" i="45"/>
  <c r="AF103" i="45"/>
  <c r="S93" i="45"/>
  <c r="AE93" i="45"/>
  <c r="Q93" i="45"/>
  <c r="M93" i="45"/>
  <c r="H93" i="45"/>
  <c r="X93" i="45"/>
  <c r="R92" i="45"/>
  <c r="AD92" i="45"/>
  <c r="O92" i="45"/>
  <c r="K92" i="45"/>
  <c r="H92" i="45"/>
  <c r="X92" i="45"/>
  <c r="U87" i="45"/>
  <c r="O87" i="45"/>
  <c r="AA87" i="45"/>
  <c r="P87" i="45"/>
  <c r="K86" i="45"/>
  <c r="K85" i="45"/>
  <c r="Q85" i="45"/>
  <c r="S85" i="45"/>
  <c r="O85" i="45"/>
  <c r="H85" i="45"/>
  <c r="X85" i="45"/>
  <c r="S99" i="45"/>
  <c r="U99" i="45"/>
  <c r="Q99" i="45"/>
  <c r="M99" i="45"/>
  <c r="H99" i="45"/>
  <c r="X99" i="45"/>
  <c r="Z90" i="45"/>
  <c r="U90" i="45"/>
  <c r="R90" i="45"/>
  <c r="N90" i="45"/>
  <c r="H90" i="45"/>
  <c r="X90" i="45"/>
  <c r="BX109" i="43"/>
  <c r="CA109" i="43"/>
  <c r="BL109" i="43"/>
  <c r="CS109" i="43"/>
  <c r="BP109" i="43"/>
  <c r="BK109" i="43"/>
  <c r="BW109" i="43"/>
  <c r="DD109" i="43"/>
  <c r="BQ109" i="43"/>
  <c r="CX109" i="43"/>
  <c r="BJ109" i="43"/>
  <c r="BZ109" i="43"/>
  <c r="CQ109" i="43"/>
  <c r="DG109" i="43"/>
  <c r="CW371" i="43"/>
  <c r="CZ371" i="43"/>
  <c r="CT371" i="43"/>
  <c r="CM371" i="43"/>
  <c r="DC371" i="43"/>
  <c r="CE102" i="43"/>
  <c r="BZ102" i="43"/>
  <c r="BK102" i="43"/>
  <c r="CR102" i="43"/>
  <c r="BW102" i="43"/>
  <c r="CH102" i="43"/>
  <c r="CD102" i="43"/>
  <c r="CZ364" i="43"/>
  <c r="BX102" i="43"/>
  <c r="CO102" i="43"/>
  <c r="DE102" i="43"/>
  <c r="BI102" i="43"/>
  <c r="BY102" i="43"/>
  <c r="CP102" i="43"/>
  <c r="DF102" i="43"/>
  <c r="DA364" i="43"/>
  <c r="DD364" i="43"/>
  <c r="CX364" i="43"/>
  <c r="CQ364" i="43"/>
  <c r="DG364" i="43"/>
  <c r="BS101" i="43"/>
  <c r="CD101" i="43"/>
  <c r="CE101" i="43"/>
  <c r="BK101" i="43"/>
  <c r="CY363" i="43"/>
  <c r="BJ101" i="43"/>
  <c r="CQ101" i="43"/>
  <c r="BL101" i="43"/>
  <c r="CB101" i="43"/>
  <c r="CS101" i="43"/>
  <c r="DI101" i="43"/>
  <c r="BM101" i="43"/>
  <c r="CC101" i="43"/>
  <c r="CT101" i="43"/>
  <c r="CQ363" i="43"/>
  <c r="DC363" i="43"/>
  <c r="CJ363" i="43"/>
  <c r="CZ363" i="43"/>
  <c r="CO363" i="43"/>
  <c r="DE363" i="43"/>
  <c r="CG109" i="43"/>
  <c r="CO109" i="43"/>
  <c r="CR109" i="43"/>
  <c r="BT109" i="43"/>
  <c r="DA109" i="43"/>
  <c r="CF109" i="43"/>
  <c r="CJ109" i="43"/>
  <c r="CE109" i="43"/>
  <c r="DD371" i="43"/>
  <c r="BU109" i="43"/>
  <c r="CL109" i="43"/>
  <c r="DB109" i="43"/>
  <c r="BN109" i="43"/>
  <c r="CD109" i="43"/>
  <c r="CU109" i="43"/>
  <c r="CK371" i="43"/>
  <c r="DE371" i="43"/>
  <c r="DH371" i="43"/>
  <c r="CX371" i="43"/>
  <c r="CQ371" i="43"/>
  <c r="DG371" i="43"/>
  <c r="CT103" i="43"/>
  <c r="CM365" i="43"/>
  <c r="DG365" i="43"/>
  <c r="CJ365" i="43"/>
  <c r="CZ365" i="43"/>
  <c r="CO365" i="43"/>
  <c r="CV102" i="43"/>
  <c r="CQ102" i="43"/>
  <c r="BS102" i="43"/>
  <c r="CZ102" i="43"/>
  <c r="CN102" i="43"/>
  <c r="CY102" i="43"/>
  <c r="CM102" i="43"/>
  <c r="BL102" i="43"/>
  <c r="CB102" i="43"/>
  <c r="CS102" i="43"/>
  <c r="DI102" i="43"/>
  <c r="BM102" i="43"/>
  <c r="CC102" i="43"/>
  <c r="CT102" i="43"/>
  <c r="CW364" i="43"/>
  <c r="DI364" i="43"/>
  <c r="CL364" i="43"/>
  <c r="DB364" i="43"/>
  <c r="CU364" i="43"/>
  <c r="CT97" i="43"/>
  <c r="CL97" i="43"/>
  <c r="BV97" i="43"/>
  <c r="BW97" i="43"/>
  <c r="CJ101" i="43"/>
  <c r="CU101" i="43"/>
  <c r="CN101" i="43"/>
  <c r="CA101" i="43"/>
  <c r="BV101" i="43"/>
  <c r="BR101" i="43"/>
  <c r="CY101" i="43"/>
  <c r="BP101" i="43"/>
  <c r="CF101" i="43"/>
  <c r="CW101" i="43"/>
  <c r="CL363" i="43"/>
  <c r="BQ101" i="43"/>
  <c r="CG101" i="43"/>
  <c r="CX101" i="43"/>
  <c r="DG363" i="43"/>
  <c r="CP363" i="43"/>
  <c r="CN363" i="43"/>
  <c r="DD363" i="43"/>
  <c r="CS363" i="43"/>
  <c r="DI363" i="43"/>
  <c r="CG84" i="43"/>
  <c r="CK84" i="43"/>
  <c r="BM84" i="43"/>
  <c r="CT84" i="43"/>
  <c r="BY84" i="43"/>
  <c r="BL84" i="43"/>
  <c r="BP84" i="43"/>
  <c r="CW84" i="43"/>
  <c r="BN84" i="43"/>
  <c r="CD84" i="43"/>
  <c r="CU84" i="43"/>
  <c r="CK346" i="43"/>
  <c r="BO84" i="43"/>
  <c r="CE84" i="43"/>
  <c r="CV84" i="43"/>
  <c r="CN346" i="43"/>
  <c r="CP346" i="43"/>
  <c r="CM346" i="43"/>
  <c r="DG346" i="43"/>
  <c r="AN129" i="43"/>
  <c r="CV129" i="43"/>
  <c r="AO129" i="43"/>
  <c r="CW129" i="43"/>
  <c r="BA129" i="43"/>
  <c r="AJ129" i="43"/>
  <c r="CR129" i="43"/>
  <c r="AH129" i="43"/>
  <c r="AX129" i="43"/>
  <c r="CP129" i="43"/>
  <c r="DF129" i="43"/>
  <c r="AM129" i="43"/>
  <c r="BC129" i="43"/>
  <c r="CU129" i="43"/>
  <c r="AI389" i="43"/>
  <c r="BG389" i="43"/>
  <c r="AV389" i="43"/>
  <c r="AJ389" i="43"/>
  <c r="BQ389" i="43"/>
  <c r="CX389" i="43"/>
  <c r="BC389" i="43"/>
  <c r="CK389" i="43"/>
  <c r="AK389" i="43"/>
  <c r="BA389" i="43"/>
  <c r="BR389" i="43"/>
  <c r="CH389" i="43"/>
  <c r="CY389" i="43"/>
  <c r="AL389" i="43"/>
  <c r="BB389" i="43"/>
  <c r="BS389" i="43"/>
  <c r="CJ389" i="43"/>
  <c r="DE109" i="43"/>
  <c r="DH109" i="43"/>
  <c r="CB109" i="43"/>
  <c r="DI109" i="43"/>
  <c r="CW109" i="43"/>
  <c r="CZ109" i="43"/>
  <c r="CN109" i="43"/>
  <c r="BI109" i="43"/>
  <c r="BY109" i="43"/>
  <c r="CP109" i="43"/>
  <c r="DF109" i="43"/>
  <c r="BR109" i="43"/>
  <c r="CH109" i="43"/>
  <c r="CY109" i="43"/>
  <c r="DA371" i="43"/>
  <c r="CJ371" i="43"/>
  <c r="CL371" i="43"/>
  <c r="DB371" i="43"/>
  <c r="DE364" i="43"/>
  <c r="DG102" i="43"/>
  <c r="CA102" i="43"/>
  <c r="DH102" i="43"/>
  <c r="DD102" i="43"/>
  <c r="BN102" i="43"/>
  <c r="CU102" i="43"/>
  <c r="BP102" i="43"/>
  <c r="CF102" i="43"/>
  <c r="CW102" i="43"/>
  <c r="CR364" i="43"/>
  <c r="BQ102" i="43"/>
  <c r="CG102" i="43"/>
  <c r="CX102" i="43"/>
  <c r="CK364" i="43"/>
  <c r="CN364" i="43"/>
  <c r="CP364" i="43"/>
  <c r="DF364" i="43"/>
  <c r="CZ101" i="43"/>
  <c r="BO101" i="43"/>
  <c r="CV101" i="43"/>
  <c r="CR101" i="43"/>
  <c r="CM101" i="43"/>
  <c r="BZ101" i="43"/>
  <c r="DG101" i="43"/>
  <c r="BT101" i="43"/>
  <c r="CK101" i="43"/>
  <c r="DA101" i="43"/>
  <c r="DB363" i="43"/>
  <c r="BU101" i="43"/>
  <c r="CL101" i="43"/>
  <c r="DB101" i="43"/>
  <c r="CM363" i="43"/>
  <c r="CX363" i="43"/>
  <c r="CR363" i="43"/>
  <c r="DH363" i="43"/>
  <c r="DE375" i="43"/>
  <c r="CO375" i="43"/>
  <c r="CZ375" i="43"/>
  <c r="CJ375" i="43"/>
  <c r="DC375" i="43"/>
  <c r="DH113" i="43"/>
  <c r="CR113" i="43"/>
  <c r="CA113" i="43"/>
  <c r="BK113" i="43"/>
  <c r="CY113" i="43"/>
  <c r="CH113" i="43"/>
  <c r="BR113" i="43"/>
  <c r="DI113" i="43"/>
  <c r="CB113" i="43"/>
  <c r="CF113" i="43"/>
  <c r="CQ375" i="43"/>
  <c r="CG113" i="43"/>
  <c r="CL375" i="43"/>
  <c r="DB113" i="43"/>
  <c r="BU113" i="43"/>
  <c r="CV375" i="43"/>
  <c r="DD113" i="43"/>
  <c r="CT375" i="43"/>
  <c r="CD113" i="43"/>
  <c r="BN113" i="43"/>
  <c r="BT113" i="43"/>
  <c r="DF113" i="43"/>
  <c r="CT113" i="43"/>
  <c r="DF375" i="43"/>
  <c r="CS375" i="43"/>
  <c r="DD375" i="43"/>
  <c r="CN375" i="43"/>
  <c r="CP375" i="43"/>
  <c r="CY375" i="43"/>
  <c r="CV113" i="43"/>
  <c r="CE113" i="43"/>
  <c r="BO113" i="43"/>
  <c r="DC113" i="43"/>
  <c r="CM113" i="43"/>
  <c r="BV113" i="43"/>
  <c r="DB375" i="43"/>
  <c r="CK113" i="43"/>
  <c r="CW113" i="43"/>
  <c r="BM113" i="43"/>
  <c r="CP113" i="43"/>
  <c r="BI113" i="43"/>
  <c r="BX113" i="43"/>
  <c r="CC113" i="43"/>
  <c r="DA375" i="43"/>
  <c r="CK375" i="43"/>
  <c r="DG375" i="43"/>
  <c r="CU375" i="43"/>
  <c r="CN113" i="43"/>
  <c r="BW113" i="43"/>
  <c r="CU113" i="43"/>
  <c r="DA113" i="43"/>
  <c r="BP113" i="43"/>
  <c r="BY113" i="43"/>
  <c r="DE113" i="43"/>
  <c r="DB359" i="43"/>
  <c r="CL359" i="43"/>
  <c r="CS359" i="43"/>
  <c r="CW359" i="43"/>
  <c r="CO359" i="43"/>
  <c r="CV97" i="43"/>
  <c r="CE97" i="43"/>
  <c r="BO97" i="43"/>
  <c r="CK359" i="43"/>
  <c r="CU97" i="43"/>
  <c r="CD97" i="43"/>
  <c r="BN97" i="43"/>
  <c r="DA97" i="43"/>
  <c r="BT97" i="43"/>
  <c r="BP97" i="43"/>
  <c r="DE359" i="43"/>
  <c r="CP97" i="43"/>
  <c r="BI97" i="43"/>
  <c r="BX97" i="43"/>
  <c r="BM97" i="43"/>
  <c r="DI359" i="43"/>
  <c r="CR359" i="43"/>
  <c r="CR97" i="43"/>
  <c r="BK97" i="43"/>
  <c r="CQ97" i="43"/>
  <c r="BJ97" i="43"/>
  <c r="BL97" i="43"/>
  <c r="CJ359" i="43"/>
  <c r="DA359" i="43"/>
  <c r="DF359" i="43"/>
  <c r="CP359" i="43"/>
  <c r="CY359" i="43"/>
  <c r="DC359" i="43"/>
  <c r="CZ359" i="43"/>
  <c r="CZ97" i="43"/>
  <c r="CJ97" i="43"/>
  <c r="BS97" i="43"/>
  <c r="CV359" i="43"/>
  <c r="CY97" i="43"/>
  <c r="CH97" i="43"/>
  <c r="BR97" i="43"/>
  <c r="DI97" i="43"/>
  <c r="CB97" i="43"/>
  <c r="CF97" i="43"/>
  <c r="BU97" i="43"/>
  <c r="CX97" i="43"/>
  <c r="BQ97" i="43"/>
  <c r="CO97" i="43"/>
  <c r="CC97" i="43"/>
  <c r="CX359" i="43"/>
  <c r="CN359" i="43"/>
  <c r="DH97" i="43"/>
  <c r="CA97" i="43"/>
  <c r="DG97" i="43"/>
  <c r="BZ97" i="43"/>
  <c r="CS97" i="43"/>
  <c r="DB97" i="43"/>
  <c r="CG97" i="43"/>
  <c r="CU359" i="43"/>
  <c r="CL113" i="43"/>
  <c r="DH375" i="43"/>
  <c r="BZ113" i="43"/>
  <c r="CJ113" i="43"/>
  <c r="CR375" i="43"/>
  <c r="CO373" i="43"/>
  <c r="CZ373" i="43"/>
  <c r="CK111" i="43"/>
  <c r="DE373" i="43"/>
  <c r="BK111" i="43"/>
  <c r="BO111" i="43"/>
  <c r="CV111" i="43"/>
  <c r="BM111" i="43"/>
  <c r="CC111" i="43"/>
  <c r="CT111" i="43"/>
  <c r="CR373" i="43"/>
  <c r="BR111" i="43"/>
  <c r="CH111" i="43"/>
  <c r="CY111" i="43"/>
  <c r="CK373" i="43"/>
  <c r="CN373" i="43"/>
  <c r="CP373" i="43"/>
  <c r="DF373" i="43"/>
  <c r="CY373" i="43"/>
  <c r="DD104" i="43"/>
  <c r="CV366" i="43"/>
  <c r="CJ104" i="43"/>
  <c r="DA366" i="43"/>
  <c r="BJ104" i="43"/>
  <c r="BN104" i="43"/>
  <c r="CU104" i="43"/>
  <c r="BT104" i="43"/>
  <c r="CK104" i="43"/>
  <c r="DA104" i="43"/>
  <c r="DD366" i="43"/>
  <c r="BU104" i="43"/>
  <c r="CL104" i="43"/>
  <c r="DB104" i="43"/>
  <c r="CO366" i="43"/>
  <c r="CR366" i="43"/>
  <c r="CP366" i="43"/>
  <c r="DF366" i="43"/>
  <c r="CY366" i="43"/>
  <c r="DE111" i="43"/>
  <c r="CZ111" i="43"/>
  <c r="CB111" i="43"/>
  <c r="DI111" i="43"/>
  <c r="CW111" i="43"/>
  <c r="DH111" i="43"/>
  <c r="CN111" i="43"/>
  <c r="BI111" i="43"/>
  <c r="BY111" i="43"/>
  <c r="CP111" i="43"/>
  <c r="DF111" i="43"/>
  <c r="BN111" i="43"/>
  <c r="CD111" i="43"/>
  <c r="CU111" i="43"/>
  <c r="CW373" i="43"/>
  <c r="DI373" i="43"/>
  <c r="CL373" i="43"/>
  <c r="DB373" i="43"/>
  <c r="CV104" i="43"/>
  <c r="CY104" i="43"/>
  <c r="CA104" i="43"/>
  <c r="DH104" i="43"/>
  <c r="CK366" i="43"/>
  <c r="DG104" i="43"/>
  <c r="CM104" i="43"/>
  <c r="BP104" i="43"/>
  <c r="CF104" i="43"/>
  <c r="CW104" i="43"/>
  <c r="CN366" i="43"/>
  <c r="BQ104" i="43"/>
  <c r="CG104" i="43"/>
  <c r="CX104" i="43"/>
  <c r="DI366" i="43"/>
  <c r="CJ366" i="43"/>
  <c r="CL366" i="43"/>
  <c r="DB366" i="43"/>
  <c r="DF404" i="43"/>
  <c r="DB404" i="43"/>
  <c r="CX404" i="43"/>
  <c r="CT404" i="43"/>
  <c r="CP404" i="43"/>
  <c r="CL404" i="43"/>
  <c r="CG404" i="43"/>
  <c r="CC404" i="43"/>
  <c r="BY404" i="43"/>
  <c r="BU404" i="43"/>
  <c r="BQ404" i="43"/>
  <c r="BM404" i="43"/>
  <c r="BI404" i="43"/>
  <c r="BD404" i="43"/>
  <c r="AZ404" i="43"/>
  <c r="AV404" i="43"/>
  <c r="AR404" i="43"/>
  <c r="AN404" i="43"/>
  <c r="AJ404" i="43"/>
  <c r="DE404" i="43"/>
  <c r="CZ404" i="43"/>
  <c r="CU404" i="43"/>
  <c r="CO404" i="43"/>
  <c r="CJ404" i="43"/>
  <c r="CD404" i="43"/>
  <c r="BX404" i="43"/>
  <c r="BS404" i="43"/>
  <c r="BN404" i="43"/>
  <c r="BG404" i="43"/>
  <c r="BB404" i="43"/>
  <c r="AW404" i="43"/>
  <c r="AQ404" i="43"/>
  <c r="AL404" i="43"/>
  <c r="DI404" i="43"/>
  <c r="DD404" i="43"/>
  <c r="CY404" i="43"/>
  <c r="CS404" i="43"/>
  <c r="CN404" i="43"/>
  <c r="CH404" i="43"/>
  <c r="CB404" i="43"/>
  <c r="BW404" i="43"/>
  <c r="BR404" i="43"/>
  <c r="BL404" i="43"/>
  <c r="BF404" i="43"/>
  <c r="BA404" i="43"/>
  <c r="AU404" i="43"/>
  <c r="AP404" i="43"/>
  <c r="AK404" i="43"/>
  <c r="DG404" i="43"/>
  <c r="CV404" i="43"/>
  <c r="CK404" i="43"/>
  <c r="BZ404" i="43"/>
  <c r="BO404" i="43"/>
  <c r="BC404" i="43"/>
  <c r="AS404" i="43"/>
  <c r="AH404" i="43"/>
  <c r="DC404" i="43"/>
  <c r="CR404" i="43"/>
  <c r="CF404" i="43"/>
  <c r="BV404" i="43"/>
  <c r="BK404" i="43"/>
  <c r="AY404" i="43"/>
  <c r="AO404" i="43"/>
  <c r="DH404" i="43"/>
  <c r="CM404" i="43"/>
  <c r="BP404" i="43"/>
  <c r="AT404" i="43"/>
  <c r="DA404" i="43"/>
  <c r="CE404" i="43"/>
  <c r="BJ404" i="43"/>
  <c r="AM404" i="43"/>
  <c r="BT404" i="43"/>
  <c r="DF144" i="43"/>
  <c r="DB144" i="43"/>
  <c r="CX144" i="43"/>
  <c r="CT144" i="43"/>
  <c r="CP144" i="43"/>
  <c r="CL144" i="43"/>
  <c r="BF144" i="43"/>
  <c r="BB144" i="43"/>
  <c r="AX144" i="43"/>
  <c r="AT144" i="43"/>
  <c r="AP144" i="43"/>
  <c r="AL144" i="43"/>
  <c r="AH144" i="43"/>
  <c r="CW404" i="43"/>
  <c r="BE404" i="43"/>
  <c r="DI144" i="43"/>
  <c r="DE144" i="43"/>
  <c r="DA144" i="43"/>
  <c r="CW144" i="43"/>
  <c r="CS144" i="43"/>
  <c r="CO144" i="43"/>
  <c r="CK144" i="43"/>
  <c r="BE144" i="43"/>
  <c r="BA144" i="43"/>
  <c r="AW144" i="43"/>
  <c r="AS144" i="43"/>
  <c r="AO144" i="43"/>
  <c r="AK144" i="43"/>
  <c r="AI404" i="43"/>
  <c r="DC144" i="43"/>
  <c r="CU144" i="43"/>
  <c r="CM144" i="43"/>
  <c r="BC144" i="43"/>
  <c r="AU144" i="43"/>
  <c r="AM144" i="43"/>
  <c r="CQ404" i="43"/>
  <c r="DH144" i="43"/>
  <c r="CZ144" i="43"/>
  <c r="CR144" i="43"/>
  <c r="CJ144" i="43"/>
  <c r="AZ144" i="43"/>
  <c r="AR144" i="43"/>
  <c r="AJ144" i="43"/>
  <c r="CV144" i="43"/>
  <c r="BD144" i="43"/>
  <c r="AN144" i="43"/>
  <c r="CY144" i="43"/>
  <c r="AQ144" i="43"/>
  <c r="CA404" i="43"/>
  <c r="DG144" i="43"/>
  <c r="CQ144" i="43"/>
  <c r="AY144" i="43"/>
  <c r="AI144" i="43"/>
  <c r="AX404" i="43"/>
  <c r="DD144" i="43"/>
  <c r="CN144" i="43"/>
  <c r="AV144" i="43"/>
  <c r="BG144" i="43"/>
  <c r="DH408" i="43"/>
  <c r="DD408" i="43"/>
  <c r="CZ408" i="43"/>
  <c r="CV408" i="43"/>
  <c r="CR408" i="43"/>
  <c r="CN408" i="43"/>
  <c r="CJ408" i="43"/>
  <c r="CE408" i="43"/>
  <c r="CA408" i="43"/>
  <c r="BW408" i="43"/>
  <c r="BS408" i="43"/>
  <c r="BO408" i="43"/>
  <c r="BK408" i="43"/>
  <c r="BF408" i="43"/>
  <c r="BB408" i="43"/>
  <c r="AX408" i="43"/>
  <c r="AT408" i="43"/>
  <c r="AP408" i="43"/>
  <c r="AL408" i="43"/>
  <c r="DE408" i="43"/>
  <c r="CY408" i="43"/>
  <c r="CT408" i="43"/>
  <c r="CO408" i="43"/>
  <c r="CH408" i="43"/>
  <c r="CC408" i="43"/>
  <c r="BX408" i="43"/>
  <c r="BR408" i="43"/>
  <c r="BM408" i="43"/>
  <c r="BG408" i="43"/>
  <c r="BA408" i="43"/>
  <c r="AV408" i="43"/>
  <c r="AQ408" i="43"/>
  <c r="AK408" i="43"/>
  <c r="DI408" i="43"/>
  <c r="DB408" i="43"/>
  <c r="CU408" i="43"/>
  <c r="CM408" i="43"/>
  <c r="CF408" i="43"/>
  <c r="BY408" i="43"/>
  <c r="BQ408" i="43"/>
  <c r="BJ408" i="43"/>
  <c r="BC408" i="43"/>
  <c r="AU408" i="43"/>
  <c r="AN408" i="43"/>
  <c r="AH408" i="43"/>
  <c r="DG408" i="43"/>
  <c r="DA408" i="43"/>
  <c r="CS408" i="43"/>
  <c r="CL408" i="43"/>
  <c r="CD408" i="43"/>
  <c r="BV408" i="43"/>
  <c r="BP408" i="43"/>
  <c r="BI408" i="43"/>
  <c r="AZ408" i="43"/>
  <c r="AS408" i="43"/>
  <c r="AM408" i="43"/>
  <c r="DC408" i="43"/>
  <c r="CP408" i="43"/>
  <c r="BZ408" i="43"/>
  <c r="BL408" i="43"/>
  <c r="AW408" i="43"/>
  <c r="AI408" i="43"/>
  <c r="CX408" i="43"/>
  <c r="CK408" i="43"/>
  <c r="BU408" i="43"/>
  <c r="BE408" i="43"/>
  <c r="AR408" i="43"/>
  <c r="CQ408" i="43"/>
  <c r="BN408" i="43"/>
  <c r="AJ408" i="43"/>
  <c r="CG408" i="43"/>
  <c r="BD408" i="43"/>
  <c r="CW408" i="43"/>
  <c r="AO408" i="43"/>
  <c r="DF148" i="43"/>
  <c r="DB148" i="43"/>
  <c r="CX148" i="43"/>
  <c r="CT148" i="43"/>
  <c r="CP148" i="43"/>
  <c r="CL148" i="43"/>
  <c r="BF148" i="43"/>
  <c r="BB148" i="43"/>
  <c r="AX148" i="43"/>
  <c r="AT148" i="43"/>
  <c r="AP148" i="43"/>
  <c r="AL148" i="43"/>
  <c r="AH148" i="43"/>
  <c r="CB408" i="43"/>
  <c r="DI148" i="43"/>
  <c r="DE148" i="43"/>
  <c r="DA148" i="43"/>
  <c r="CW148" i="43"/>
  <c r="CS148" i="43"/>
  <c r="CO148" i="43"/>
  <c r="CK148" i="43"/>
  <c r="BE148" i="43"/>
  <c r="BA148" i="43"/>
  <c r="AW148" i="43"/>
  <c r="AS148" i="43"/>
  <c r="AO148" i="43"/>
  <c r="AK148" i="43"/>
  <c r="AY408" i="43"/>
  <c r="DC148" i="43"/>
  <c r="CU148" i="43"/>
  <c r="CM148" i="43"/>
  <c r="BC148" i="43"/>
  <c r="AU148" i="43"/>
  <c r="AM148" i="43"/>
  <c r="DH148" i="43"/>
  <c r="CZ148" i="43"/>
  <c r="CR148" i="43"/>
  <c r="CJ148" i="43"/>
  <c r="AZ148" i="43"/>
  <c r="AR148" i="43"/>
  <c r="AJ148" i="43"/>
  <c r="DD148" i="43"/>
  <c r="CN148" i="43"/>
  <c r="AV148" i="43"/>
  <c r="DG148" i="43"/>
  <c r="AY148" i="43"/>
  <c r="DF408" i="43"/>
  <c r="CY148" i="43"/>
  <c r="BG148" i="43"/>
  <c r="AQ148" i="43"/>
  <c r="BT408" i="43"/>
  <c r="CV148" i="43"/>
  <c r="BD148" i="43"/>
  <c r="AN148" i="43"/>
  <c r="CQ148" i="43"/>
  <c r="AI148" i="43"/>
  <c r="DI385" i="43"/>
  <c r="DE385" i="43"/>
  <c r="DA385" i="43"/>
  <c r="CW385" i="43"/>
  <c r="CS385" i="43"/>
  <c r="CO385" i="43"/>
  <c r="CK385" i="43"/>
  <c r="CF385" i="43"/>
  <c r="CB385" i="43"/>
  <c r="BX385" i="43"/>
  <c r="BT385" i="43"/>
  <c r="BP385" i="43"/>
  <c r="BL385" i="43"/>
  <c r="BG385" i="43"/>
  <c r="BC385" i="43"/>
  <c r="AY385" i="43"/>
  <c r="AU385" i="43"/>
  <c r="AQ385" i="43"/>
  <c r="AM385" i="43"/>
  <c r="AI385" i="43"/>
  <c r="DH385" i="43"/>
  <c r="DC385" i="43"/>
  <c r="CX385" i="43"/>
  <c r="CR385" i="43"/>
  <c r="CM385" i="43"/>
  <c r="CG385" i="43"/>
  <c r="CA385" i="43"/>
  <c r="BV385" i="43"/>
  <c r="BQ385" i="43"/>
  <c r="BK385" i="43"/>
  <c r="BE385" i="43"/>
  <c r="AZ385" i="43"/>
  <c r="AT385" i="43"/>
  <c r="AO385" i="43"/>
  <c r="AJ385" i="43"/>
  <c r="DG385" i="43"/>
  <c r="DB385" i="43"/>
  <c r="CV385" i="43"/>
  <c r="CQ385" i="43"/>
  <c r="CL385" i="43"/>
  <c r="CE385" i="43"/>
  <c r="BZ385" i="43"/>
  <c r="BU385" i="43"/>
  <c r="BO385" i="43"/>
  <c r="BJ385" i="43"/>
  <c r="BD385" i="43"/>
  <c r="AX385" i="43"/>
  <c r="AS385" i="43"/>
  <c r="AN385" i="43"/>
  <c r="AH385" i="43"/>
  <c r="CY385" i="43"/>
  <c r="CN385" i="43"/>
  <c r="CC385" i="43"/>
  <c r="BR385" i="43"/>
  <c r="BF385" i="43"/>
  <c r="AV385" i="43"/>
  <c r="AK385" i="43"/>
  <c r="DF385" i="43"/>
  <c r="CU385" i="43"/>
  <c r="CJ385" i="43"/>
  <c r="BY385" i="43"/>
  <c r="BN385" i="43"/>
  <c r="BB385" i="43"/>
  <c r="AR385" i="43"/>
  <c r="CZ385" i="43"/>
  <c r="CD385" i="43"/>
  <c r="BI385" i="43"/>
  <c r="AL385" i="43"/>
  <c r="DG125" i="43"/>
  <c r="DC125" i="43"/>
  <c r="CY125" i="43"/>
  <c r="CU125" i="43"/>
  <c r="CQ125" i="43"/>
  <c r="CM125" i="43"/>
  <c r="BG125" i="43"/>
  <c r="BC125" i="43"/>
  <c r="AY125" i="43"/>
  <c r="AU125" i="43"/>
  <c r="AQ125" i="43"/>
  <c r="AM125" i="43"/>
  <c r="AI125" i="43"/>
  <c r="CT385" i="43"/>
  <c r="BW385" i="43"/>
  <c r="BA385" i="43"/>
  <c r="DF125" i="43"/>
  <c r="DB125" i="43"/>
  <c r="CX125" i="43"/>
  <c r="CT125" i="43"/>
  <c r="CP125" i="43"/>
  <c r="CL125" i="43"/>
  <c r="BF125" i="43"/>
  <c r="BB125" i="43"/>
  <c r="AX125" i="43"/>
  <c r="AT125" i="43"/>
  <c r="AP125" i="43"/>
  <c r="AL125" i="43"/>
  <c r="AH125" i="43"/>
  <c r="CH385" i="43"/>
  <c r="AP385" i="43"/>
  <c r="DH125" i="43"/>
  <c r="CZ125" i="43"/>
  <c r="CR125" i="43"/>
  <c r="CJ125" i="43"/>
  <c r="AZ125" i="43"/>
  <c r="AR125" i="43"/>
  <c r="AJ125" i="43"/>
  <c r="AW385" i="43"/>
  <c r="DI125" i="43"/>
  <c r="CS125" i="43"/>
  <c r="BA125" i="43"/>
  <c r="AK125" i="43"/>
  <c r="BS385" i="43"/>
  <c r="DE125" i="43"/>
  <c r="CW125" i="43"/>
  <c r="CO125" i="43"/>
  <c r="BE125" i="43"/>
  <c r="AW125" i="43"/>
  <c r="AO125" i="43"/>
  <c r="DD385" i="43"/>
  <c r="BM385" i="43"/>
  <c r="DD125" i="43"/>
  <c r="CV125" i="43"/>
  <c r="CN125" i="43"/>
  <c r="BD125" i="43"/>
  <c r="AV125" i="43"/>
  <c r="AN125" i="43"/>
  <c r="CP385" i="43"/>
  <c r="DA125" i="43"/>
  <c r="CK125" i="43"/>
  <c r="AS125" i="43"/>
  <c r="CE401" i="43"/>
  <c r="CA401" i="43"/>
  <c r="BW401" i="43"/>
  <c r="BS401" i="43"/>
  <c r="BO401" i="43"/>
  <c r="BK401" i="43"/>
  <c r="CH401" i="43"/>
  <c r="CC401" i="43"/>
  <c r="BX401" i="43"/>
  <c r="BR401" i="43"/>
  <c r="BM401" i="43"/>
  <c r="CD401" i="43"/>
  <c r="BV401" i="43"/>
  <c r="BP401" i="43"/>
  <c r="BI401" i="43"/>
  <c r="CB401" i="43"/>
  <c r="BU401" i="43"/>
  <c r="BN401" i="43"/>
  <c r="CF401" i="43"/>
  <c r="BQ401" i="43"/>
  <c r="BZ401" i="43"/>
  <c r="BL401" i="43"/>
  <c r="CG401" i="43"/>
  <c r="BY401" i="43"/>
  <c r="DI141" i="43"/>
  <c r="DE141" i="43"/>
  <c r="DA141" i="43"/>
  <c r="CW141" i="43"/>
  <c r="CS141" i="43"/>
  <c r="CF141" i="43"/>
  <c r="CB141" i="43"/>
  <c r="BX141" i="43"/>
  <c r="BT141" i="43"/>
  <c r="BP141" i="43"/>
  <c r="BL141" i="43"/>
  <c r="DD141" i="43"/>
  <c r="CY141" i="43"/>
  <c r="CT141" i="43"/>
  <c r="CH141" i="43"/>
  <c r="CC141" i="43"/>
  <c r="BW141" i="43"/>
  <c r="BR141" i="43"/>
  <c r="BM141" i="43"/>
  <c r="BT401" i="43"/>
  <c r="DH141" i="43"/>
  <c r="DC141" i="43"/>
  <c r="CX141" i="43"/>
  <c r="CR141" i="43"/>
  <c r="CG141" i="43"/>
  <c r="CA141" i="43"/>
  <c r="BV141" i="43"/>
  <c r="BQ141" i="43"/>
  <c r="BK141" i="43"/>
  <c r="CZ141" i="43"/>
  <c r="CP141" i="43"/>
  <c r="CD141" i="43"/>
  <c r="BS141" i="43"/>
  <c r="BI141" i="43"/>
  <c r="CQ141" i="43"/>
  <c r="BU141" i="43"/>
  <c r="DG141" i="43"/>
  <c r="CV141" i="43"/>
  <c r="BZ141" i="43"/>
  <c r="BO141" i="43"/>
  <c r="DF141" i="43"/>
  <c r="CU141" i="43"/>
  <c r="BY141" i="43"/>
  <c r="BN141" i="43"/>
  <c r="BJ401" i="43"/>
  <c r="DB141" i="43"/>
  <c r="CE141" i="43"/>
  <c r="BJ141" i="43"/>
  <c r="DF383" i="43"/>
  <c r="DB383" i="43"/>
  <c r="CX383" i="43"/>
  <c r="CT383" i="43"/>
  <c r="CP383" i="43"/>
  <c r="CL383" i="43"/>
  <c r="CG383" i="43"/>
  <c r="CC383" i="43"/>
  <c r="BY383" i="43"/>
  <c r="BU383" i="43"/>
  <c r="BQ383" i="43"/>
  <c r="BM383" i="43"/>
  <c r="BI383" i="43"/>
  <c r="BD383" i="43"/>
  <c r="AZ383" i="43"/>
  <c r="AV383" i="43"/>
  <c r="AR383" i="43"/>
  <c r="AN383" i="43"/>
  <c r="AJ383" i="43"/>
  <c r="DE383" i="43"/>
  <c r="CZ383" i="43"/>
  <c r="CU383" i="43"/>
  <c r="CO383" i="43"/>
  <c r="CJ383" i="43"/>
  <c r="CD383" i="43"/>
  <c r="BX383" i="43"/>
  <c r="BS383" i="43"/>
  <c r="BN383" i="43"/>
  <c r="BG383" i="43"/>
  <c r="BB383" i="43"/>
  <c r="AW383" i="43"/>
  <c r="AQ383" i="43"/>
  <c r="AL383" i="43"/>
  <c r="DI383" i="43"/>
  <c r="DD383" i="43"/>
  <c r="CY383" i="43"/>
  <c r="CS383" i="43"/>
  <c r="CN383" i="43"/>
  <c r="CH383" i="43"/>
  <c r="CB383" i="43"/>
  <c r="BW383" i="43"/>
  <c r="BR383" i="43"/>
  <c r="BL383" i="43"/>
  <c r="BF383" i="43"/>
  <c r="BA383" i="43"/>
  <c r="AU383" i="43"/>
  <c r="AP383" i="43"/>
  <c r="AK383" i="43"/>
  <c r="DG383" i="43"/>
  <c r="CV383" i="43"/>
  <c r="CK383" i="43"/>
  <c r="BZ383" i="43"/>
  <c r="BO383" i="43"/>
  <c r="BC383" i="43"/>
  <c r="AS383" i="43"/>
  <c r="AH383" i="43"/>
  <c r="DC383" i="43"/>
  <c r="CR383" i="43"/>
  <c r="CF383" i="43"/>
  <c r="BV383" i="43"/>
  <c r="BK383" i="43"/>
  <c r="AY383" i="43"/>
  <c r="AO383" i="43"/>
  <c r="DH383" i="43"/>
  <c r="CM383" i="43"/>
  <c r="BP383" i="43"/>
  <c r="AT383" i="43"/>
  <c r="DG123" i="43"/>
  <c r="DC123" i="43"/>
  <c r="CY123" i="43"/>
  <c r="CU123" i="43"/>
  <c r="CQ123" i="43"/>
  <c r="CM123" i="43"/>
  <c r="BG123" i="43"/>
  <c r="BC123" i="43"/>
  <c r="AY123" i="43"/>
  <c r="AU123" i="43"/>
  <c r="AQ123" i="43"/>
  <c r="AM123" i="43"/>
  <c r="AI123" i="43"/>
  <c r="DA383" i="43"/>
  <c r="CE383" i="43"/>
  <c r="BJ383" i="43"/>
  <c r="AM383" i="43"/>
  <c r="DF123" i="43"/>
  <c r="DB123" i="43"/>
  <c r="CX123" i="43"/>
  <c r="CT123" i="43"/>
  <c r="CP123" i="43"/>
  <c r="CL123" i="43"/>
  <c r="BF123" i="43"/>
  <c r="BB123" i="43"/>
  <c r="AX123" i="43"/>
  <c r="AT123" i="43"/>
  <c r="AP123" i="43"/>
  <c r="AL123" i="43"/>
  <c r="AH123" i="43"/>
  <c r="BT383" i="43"/>
  <c r="DH123" i="43"/>
  <c r="CZ123" i="43"/>
  <c r="CR123" i="43"/>
  <c r="CJ123" i="43"/>
  <c r="AZ123" i="43"/>
  <c r="AR123" i="43"/>
  <c r="AJ123" i="43"/>
  <c r="CV123" i="43"/>
  <c r="BD123" i="43"/>
  <c r="AN123" i="43"/>
  <c r="AI383" i="43"/>
  <c r="DA123" i="43"/>
  <c r="CK123" i="43"/>
  <c r="AS123" i="43"/>
  <c r="CW383" i="43"/>
  <c r="BE383" i="43"/>
  <c r="DE123" i="43"/>
  <c r="CW123" i="43"/>
  <c r="CO123" i="43"/>
  <c r="BE123" i="43"/>
  <c r="AW123" i="43"/>
  <c r="AO123" i="43"/>
  <c r="CQ383" i="43"/>
  <c r="AX383" i="43"/>
  <c r="DD123" i="43"/>
  <c r="CN123" i="43"/>
  <c r="AV123" i="43"/>
  <c r="CA383" i="43"/>
  <c r="DI123" i="43"/>
  <c r="CS123" i="43"/>
  <c r="BA123" i="43"/>
  <c r="AK123" i="43"/>
  <c r="DG388" i="43"/>
  <c r="DC388" i="43"/>
  <c r="CY388" i="43"/>
  <c r="DF388" i="43"/>
  <c r="DB388" i="43"/>
  <c r="CX388" i="43"/>
  <c r="CT388" i="43"/>
  <c r="CP388" i="43"/>
  <c r="CL388" i="43"/>
  <c r="CG388" i="43"/>
  <c r="CC388" i="43"/>
  <c r="BY388" i="43"/>
  <c r="BU388" i="43"/>
  <c r="BQ388" i="43"/>
  <c r="BM388" i="43"/>
  <c r="BI388" i="43"/>
  <c r="BD388" i="43"/>
  <c r="AZ388" i="43"/>
  <c r="AV388" i="43"/>
  <c r="AR388" i="43"/>
  <c r="AN388" i="43"/>
  <c r="AJ388" i="43"/>
  <c r="DH388" i="43"/>
  <c r="CZ388" i="43"/>
  <c r="CS388" i="43"/>
  <c r="CN388" i="43"/>
  <c r="CH388" i="43"/>
  <c r="CB388" i="43"/>
  <c r="BW388" i="43"/>
  <c r="BR388" i="43"/>
  <c r="BL388" i="43"/>
  <c r="BF388" i="43"/>
  <c r="BA388" i="43"/>
  <c r="AU388" i="43"/>
  <c r="AP388" i="43"/>
  <c r="AK388" i="43"/>
  <c r="DE388" i="43"/>
  <c r="CW388" i="43"/>
  <c r="CR388" i="43"/>
  <c r="CM388" i="43"/>
  <c r="CF388" i="43"/>
  <c r="CA388" i="43"/>
  <c r="BV388" i="43"/>
  <c r="BP388" i="43"/>
  <c r="BK388" i="43"/>
  <c r="BE388" i="43"/>
  <c r="AY388" i="43"/>
  <c r="AT388" i="43"/>
  <c r="AO388" i="43"/>
  <c r="AI388" i="43"/>
  <c r="DI388" i="43"/>
  <c r="CU388" i="43"/>
  <c r="CJ388" i="43"/>
  <c r="BX388" i="43"/>
  <c r="BN388" i="43"/>
  <c r="BB388" i="43"/>
  <c r="AQ388" i="43"/>
  <c r="DD388" i="43"/>
  <c r="CQ388" i="43"/>
  <c r="CE388" i="43"/>
  <c r="BT388" i="43"/>
  <c r="BJ388" i="43"/>
  <c r="AX388" i="43"/>
  <c r="AM388" i="43"/>
  <c r="CK388" i="43"/>
  <c r="BO388" i="43"/>
  <c r="AS388" i="43"/>
  <c r="DG128" i="43"/>
  <c r="DC128" i="43"/>
  <c r="CY128" i="43"/>
  <c r="CU128" i="43"/>
  <c r="CQ128" i="43"/>
  <c r="CM128" i="43"/>
  <c r="BG128" i="43"/>
  <c r="BC128" i="43"/>
  <c r="AY128" i="43"/>
  <c r="AU128" i="43"/>
  <c r="AQ128" i="43"/>
  <c r="AM128" i="43"/>
  <c r="AI128" i="43"/>
  <c r="DA388" i="43"/>
  <c r="CD388" i="43"/>
  <c r="BG388" i="43"/>
  <c r="AL388" i="43"/>
  <c r="DF128" i="43"/>
  <c r="DB128" i="43"/>
  <c r="CX128" i="43"/>
  <c r="CT128" i="43"/>
  <c r="CP128" i="43"/>
  <c r="CL128" i="43"/>
  <c r="BF128" i="43"/>
  <c r="BB128" i="43"/>
  <c r="AX128" i="43"/>
  <c r="AT128" i="43"/>
  <c r="AP128" i="43"/>
  <c r="AL128" i="43"/>
  <c r="AH128" i="43"/>
  <c r="CO388" i="43"/>
  <c r="AW388" i="43"/>
  <c r="DD128" i="43"/>
  <c r="CV128" i="43"/>
  <c r="CN128" i="43"/>
  <c r="BD128" i="43"/>
  <c r="AV128" i="43"/>
  <c r="AN128" i="43"/>
  <c r="AR128" i="43"/>
  <c r="BC388" i="43"/>
  <c r="CW128" i="43"/>
  <c r="BE128" i="43"/>
  <c r="AW128" i="43"/>
  <c r="BZ388" i="43"/>
  <c r="AH388" i="43"/>
  <c r="DI128" i="43"/>
  <c r="DA128" i="43"/>
  <c r="CS128" i="43"/>
  <c r="CK128" i="43"/>
  <c r="BA128" i="43"/>
  <c r="AS128" i="43"/>
  <c r="AK128" i="43"/>
  <c r="BS388" i="43"/>
  <c r="DH128" i="43"/>
  <c r="CZ128" i="43"/>
  <c r="CR128" i="43"/>
  <c r="CJ128" i="43"/>
  <c r="AZ128" i="43"/>
  <c r="AJ128" i="43"/>
  <c r="CV388" i="43"/>
  <c r="DE128" i="43"/>
  <c r="CO128" i="43"/>
  <c r="AO128" i="43"/>
  <c r="DH402" i="43"/>
  <c r="DD402" i="43"/>
  <c r="CZ402" i="43"/>
  <c r="CV402" i="43"/>
  <c r="CR402" i="43"/>
  <c r="CN402" i="43"/>
  <c r="CJ402" i="43"/>
  <c r="CE402" i="43"/>
  <c r="CA402" i="43"/>
  <c r="BW402" i="43"/>
  <c r="BS402" i="43"/>
  <c r="BO402" i="43"/>
  <c r="BK402" i="43"/>
  <c r="DF402" i="43"/>
  <c r="DA402" i="43"/>
  <c r="CU402" i="43"/>
  <c r="CP402" i="43"/>
  <c r="CK402" i="43"/>
  <c r="CD402" i="43"/>
  <c r="BY402" i="43"/>
  <c r="BT402" i="43"/>
  <c r="BN402" i="43"/>
  <c r="BI402" i="43"/>
  <c r="DE402" i="43"/>
  <c r="CX402" i="43"/>
  <c r="CQ402" i="43"/>
  <c r="CH402" i="43"/>
  <c r="CB402" i="43"/>
  <c r="BU402" i="43"/>
  <c r="BM402" i="43"/>
  <c r="DC402" i="43"/>
  <c r="CW402" i="43"/>
  <c r="CO402" i="43"/>
  <c r="CG402" i="43"/>
  <c r="BZ402" i="43"/>
  <c r="BR402" i="43"/>
  <c r="BL402" i="43"/>
  <c r="CY402" i="43"/>
  <c r="CL402" i="43"/>
  <c r="BV402" i="43"/>
  <c r="DI402" i="43"/>
  <c r="CT402" i="43"/>
  <c r="CF402" i="43"/>
  <c r="BQ402" i="43"/>
  <c r="CM402" i="43"/>
  <c r="BJ402" i="43"/>
  <c r="DF142" i="43"/>
  <c r="DB142" i="43"/>
  <c r="CX142" i="43"/>
  <c r="DG402" i="43"/>
  <c r="CC402" i="43"/>
  <c r="DI142" i="43"/>
  <c r="DE142" i="43"/>
  <c r="DA142" i="43"/>
  <c r="CW142" i="43"/>
  <c r="CS142" i="43"/>
  <c r="CO142" i="43"/>
  <c r="CK142" i="43"/>
  <c r="CF142" i="43"/>
  <c r="CB142" i="43"/>
  <c r="BX142" i="43"/>
  <c r="BT142" i="43"/>
  <c r="BP142" i="43"/>
  <c r="BL142" i="43"/>
  <c r="CS402" i="43"/>
  <c r="DC142" i="43"/>
  <c r="CU142" i="43"/>
  <c r="CP142" i="43"/>
  <c r="CJ142" i="43"/>
  <c r="CD142" i="43"/>
  <c r="BY142" i="43"/>
  <c r="BS142" i="43"/>
  <c r="BN142" i="43"/>
  <c r="BI142" i="43"/>
  <c r="BX402" i="43"/>
  <c r="DH142" i="43"/>
  <c r="CZ142" i="43"/>
  <c r="CT142" i="43"/>
  <c r="CN142" i="43"/>
  <c r="CH142" i="43"/>
  <c r="CC142" i="43"/>
  <c r="BW142" i="43"/>
  <c r="BR142" i="43"/>
  <c r="BM142" i="43"/>
  <c r="DB402" i="43"/>
  <c r="DD142" i="43"/>
  <c r="CQ142" i="43"/>
  <c r="CE142" i="43"/>
  <c r="BU142" i="43"/>
  <c r="BJ142" i="43"/>
  <c r="DG142" i="43"/>
  <c r="CG142" i="43"/>
  <c r="BK142" i="43"/>
  <c r="BP402" i="43"/>
  <c r="CY142" i="43"/>
  <c r="CM142" i="43"/>
  <c r="CA142" i="43"/>
  <c r="BQ142" i="43"/>
  <c r="CV142" i="43"/>
  <c r="CL142" i="43"/>
  <c r="BZ142" i="43"/>
  <c r="BO142" i="43"/>
  <c r="CR142" i="43"/>
  <c r="BV142" i="43"/>
  <c r="DG407" i="43"/>
  <c r="DC407" i="43"/>
  <c r="CY407" i="43"/>
  <c r="CU407" i="43"/>
  <c r="CQ407" i="43"/>
  <c r="CM407" i="43"/>
  <c r="CH407" i="43"/>
  <c r="CD407" i="43"/>
  <c r="BZ407" i="43"/>
  <c r="BV407" i="43"/>
  <c r="BR407" i="43"/>
  <c r="BN407" i="43"/>
  <c r="BJ407" i="43"/>
  <c r="BE407" i="43"/>
  <c r="BA407" i="43"/>
  <c r="AW407" i="43"/>
  <c r="AS407" i="43"/>
  <c r="AO407" i="43"/>
  <c r="AK407" i="43"/>
  <c r="DF407" i="43"/>
  <c r="DA407" i="43"/>
  <c r="CV407" i="43"/>
  <c r="CP407" i="43"/>
  <c r="CK407" i="43"/>
  <c r="CE407" i="43"/>
  <c r="BY407" i="43"/>
  <c r="BT407" i="43"/>
  <c r="BO407" i="43"/>
  <c r="BI407" i="43"/>
  <c r="BC407" i="43"/>
  <c r="AX407" i="43"/>
  <c r="AR407" i="43"/>
  <c r="AM407" i="43"/>
  <c r="AH407" i="43"/>
  <c r="DE407" i="43"/>
  <c r="CZ407" i="43"/>
  <c r="CT407" i="43"/>
  <c r="CO407" i="43"/>
  <c r="CJ407" i="43"/>
  <c r="CC407" i="43"/>
  <c r="BX407" i="43"/>
  <c r="BS407" i="43"/>
  <c r="BM407" i="43"/>
  <c r="BG407" i="43"/>
  <c r="BB407" i="43"/>
  <c r="AV407" i="43"/>
  <c r="AQ407" i="43"/>
  <c r="AL407" i="43"/>
  <c r="DB407" i="43"/>
  <c r="CR407" i="43"/>
  <c r="CF407" i="43"/>
  <c r="BU407" i="43"/>
  <c r="BK407" i="43"/>
  <c r="AY407" i="43"/>
  <c r="AN407" i="43"/>
  <c r="DI407" i="43"/>
  <c r="CX407" i="43"/>
  <c r="CN407" i="43"/>
  <c r="CB407" i="43"/>
  <c r="BQ407" i="43"/>
  <c r="BF407" i="43"/>
  <c r="AU407" i="43"/>
  <c r="AJ407" i="43"/>
  <c r="CS407" i="43"/>
  <c r="BW407" i="43"/>
  <c r="AZ407" i="43"/>
  <c r="DH407" i="43"/>
  <c r="CL407" i="43"/>
  <c r="BP407" i="43"/>
  <c r="AT407" i="43"/>
  <c r="CA407" i="43"/>
  <c r="AI407" i="43"/>
  <c r="DF147" i="43"/>
  <c r="DB147" i="43"/>
  <c r="CX147" i="43"/>
  <c r="CT147" i="43"/>
  <c r="CP147" i="43"/>
  <c r="CL147" i="43"/>
  <c r="BF147" i="43"/>
  <c r="BB147" i="43"/>
  <c r="AX147" i="43"/>
  <c r="AT147" i="43"/>
  <c r="AP147" i="43"/>
  <c r="AL147" i="43"/>
  <c r="AH147" i="43"/>
  <c r="DD407" i="43"/>
  <c r="BL407" i="43"/>
  <c r="DI147" i="43"/>
  <c r="DE147" i="43"/>
  <c r="DA147" i="43"/>
  <c r="CW147" i="43"/>
  <c r="CS147" i="43"/>
  <c r="CO147" i="43"/>
  <c r="CK147" i="43"/>
  <c r="BE147" i="43"/>
  <c r="BA147" i="43"/>
  <c r="AW147" i="43"/>
  <c r="AS147" i="43"/>
  <c r="AO147" i="43"/>
  <c r="AK147" i="43"/>
  <c r="AP407" i="43"/>
  <c r="DG147" i="43"/>
  <c r="CY147" i="43"/>
  <c r="CQ147" i="43"/>
  <c r="BG147" i="43"/>
  <c r="AY147" i="43"/>
  <c r="AQ147" i="43"/>
  <c r="AI147" i="43"/>
  <c r="CW407" i="43"/>
  <c r="DD147" i="43"/>
  <c r="CV147" i="43"/>
  <c r="CN147" i="43"/>
  <c r="BD147" i="43"/>
  <c r="AV147" i="43"/>
  <c r="AN147" i="43"/>
  <c r="BD407" i="43"/>
  <c r="DH147" i="43"/>
  <c r="CR147" i="43"/>
  <c r="AZ147" i="43"/>
  <c r="AJ147" i="43"/>
  <c r="CG407" i="43"/>
  <c r="CU147" i="43"/>
  <c r="DC147" i="43"/>
  <c r="CM147" i="43"/>
  <c r="AU147" i="43"/>
  <c r="CZ147" i="43"/>
  <c r="CJ147" i="43"/>
  <c r="AR147" i="43"/>
  <c r="BC147" i="43"/>
  <c r="AM147" i="43"/>
  <c r="DG391" i="43"/>
  <c r="DC391" i="43"/>
  <c r="CY391" i="43"/>
  <c r="CU391" i="43"/>
  <c r="CQ391" i="43"/>
  <c r="CM391" i="43"/>
  <c r="CH391" i="43"/>
  <c r="CD391" i="43"/>
  <c r="BZ391" i="43"/>
  <c r="BV391" i="43"/>
  <c r="BR391" i="43"/>
  <c r="BN391" i="43"/>
  <c r="BJ391" i="43"/>
  <c r="BE391" i="43"/>
  <c r="BA391" i="43"/>
  <c r="AW391" i="43"/>
  <c r="AS391" i="43"/>
  <c r="AO391" i="43"/>
  <c r="AK391" i="43"/>
  <c r="DI391" i="43"/>
  <c r="DD391" i="43"/>
  <c r="CX391" i="43"/>
  <c r="CS391" i="43"/>
  <c r="CN391" i="43"/>
  <c r="CG391" i="43"/>
  <c r="CB391" i="43"/>
  <c r="BW391" i="43"/>
  <c r="BQ391" i="43"/>
  <c r="BL391" i="43"/>
  <c r="BF391" i="43"/>
  <c r="AZ391" i="43"/>
  <c r="AU391" i="43"/>
  <c r="AP391" i="43"/>
  <c r="AJ391" i="43"/>
  <c r="DH391" i="43"/>
  <c r="DB391" i="43"/>
  <c r="CW391" i="43"/>
  <c r="CR391" i="43"/>
  <c r="CL391" i="43"/>
  <c r="CF391" i="43"/>
  <c r="CA391" i="43"/>
  <c r="BU391" i="43"/>
  <c r="BP391" i="43"/>
  <c r="BK391" i="43"/>
  <c r="BD391" i="43"/>
  <c r="AY391" i="43"/>
  <c r="AT391" i="43"/>
  <c r="AN391" i="43"/>
  <c r="AI391" i="43"/>
  <c r="DE391" i="43"/>
  <c r="CT391" i="43"/>
  <c r="CJ391" i="43"/>
  <c r="BX391" i="43"/>
  <c r="BM391" i="43"/>
  <c r="BB391" i="43"/>
  <c r="AQ391" i="43"/>
  <c r="DA391" i="43"/>
  <c r="CP391" i="43"/>
  <c r="CE391" i="43"/>
  <c r="BT391" i="43"/>
  <c r="BI391" i="43"/>
  <c r="AX391" i="43"/>
  <c r="AM391" i="43"/>
  <c r="DF391" i="43"/>
  <c r="CK391" i="43"/>
  <c r="BO391" i="43"/>
  <c r="AR391" i="43"/>
  <c r="CZ391" i="43"/>
  <c r="CC391" i="43"/>
  <c r="BG391" i="43"/>
  <c r="AL391" i="43"/>
  <c r="CO391" i="43"/>
  <c r="AV391" i="43"/>
  <c r="DG131" i="43"/>
  <c r="DC131" i="43"/>
  <c r="CY131" i="43"/>
  <c r="CU131" i="43"/>
  <c r="CQ131" i="43"/>
  <c r="CM131" i="43"/>
  <c r="BG131" i="43"/>
  <c r="BC131" i="43"/>
  <c r="AY131" i="43"/>
  <c r="AU131" i="43"/>
  <c r="AQ131" i="43"/>
  <c r="AM131" i="43"/>
  <c r="AI131" i="43"/>
  <c r="BY391" i="43"/>
  <c r="AH391" i="43"/>
  <c r="DF131" i="43"/>
  <c r="DB131" i="43"/>
  <c r="CX131" i="43"/>
  <c r="CT131" i="43"/>
  <c r="CP131" i="43"/>
  <c r="CL131" i="43"/>
  <c r="BF131" i="43"/>
  <c r="BB131" i="43"/>
  <c r="AX131" i="43"/>
  <c r="AT131" i="43"/>
  <c r="AP131" i="43"/>
  <c r="AL131" i="43"/>
  <c r="AH131" i="43"/>
  <c r="BC391" i="43"/>
  <c r="DH131" i="43"/>
  <c r="CZ131" i="43"/>
  <c r="CR131" i="43"/>
  <c r="CJ131" i="43"/>
  <c r="AZ131" i="43"/>
  <c r="AR131" i="43"/>
  <c r="AJ131" i="43"/>
  <c r="DI131" i="43"/>
  <c r="CS131" i="43"/>
  <c r="BA131" i="43"/>
  <c r="AK131" i="43"/>
  <c r="DE131" i="43"/>
  <c r="CW131" i="43"/>
  <c r="CO131" i="43"/>
  <c r="BE131" i="43"/>
  <c r="AW131" i="43"/>
  <c r="AO131" i="43"/>
  <c r="CV391" i="43"/>
  <c r="DD131" i="43"/>
  <c r="CV131" i="43"/>
  <c r="CN131" i="43"/>
  <c r="BD131" i="43"/>
  <c r="AV131" i="43"/>
  <c r="AN131" i="43"/>
  <c r="BS391" i="43"/>
  <c r="DA131" i="43"/>
  <c r="CK131" i="43"/>
  <c r="AS131" i="43"/>
  <c r="DH384" i="43"/>
  <c r="DD384" i="43"/>
  <c r="CZ384" i="43"/>
  <c r="CV384" i="43"/>
  <c r="CR384" i="43"/>
  <c r="CN384" i="43"/>
  <c r="CJ384" i="43"/>
  <c r="CE384" i="43"/>
  <c r="CA384" i="43"/>
  <c r="BW384" i="43"/>
  <c r="BS384" i="43"/>
  <c r="BO384" i="43"/>
  <c r="BK384" i="43"/>
  <c r="BF384" i="43"/>
  <c r="BB384" i="43"/>
  <c r="AX384" i="43"/>
  <c r="AT384" i="43"/>
  <c r="AP384" i="43"/>
  <c r="AL384" i="43"/>
  <c r="AH384" i="43"/>
  <c r="DG384" i="43"/>
  <c r="DB384" i="43"/>
  <c r="CW384" i="43"/>
  <c r="CQ384" i="43"/>
  <c r="CL384" i="43"/>
  <c r="CF384" i="43"/>
  <c r="BZ384" i="43"/>
  <c r="BU384" i="43"/>
  <c r="BP384" i="43"/>
  <c r="BJ384" i="43"/>
  <c r="BD384" i="43"/>
  <c r="AY384" i="43"/>
  <c r="AS384" i="43"/>
  <c r="AN384" i="43"/>
  <c r="AI384" i="43"/>
  <c r="DF384" i="43"/>
  <c r="DA384" i="43"/>
  <c r="CU384" i="43"/>
  <c r="CP384" i="43"/>
  <c r="CK384" i="43"/>
  <c r="CD384" i="43"/>
  <c r="BY384" i="43"/>
  <c r="BT384" i="43"/>
  <c r="BN384" i="43"/>
  <c r="BI384" i="43"/>
  <c r="BC384" i="43"/>
  <c r="AW384" i="43"/>
  <c r="AR384" i="43"/>
  <c r="AM384" i="43"/>
  <c r="DC384" i="43"/>
  <c r="CS384" i="43"/>
  <c r="CG384" i="43"/>
  <c r="BV384" i="43"/>
  <c r="BL384" i="43"/>
  <c r="AZ384" i="43"/>
  <c r="AO384" i="43"/>
  <c r="CY384" i="43"/>
  <c r="CO384" i="43"/>
  <c r="CC384" i="43"/>
  <c r="BR384" i="43"/>
  <c r="BG384" i="43"/>
  <c r="AV384" i="43"/>
  <c r="AK384" i="43"/>
  <c r="CT384" i="43"/>
  <c r="BX384" i="43"/>
  <c r="BA384" i="43"/>
  <c r="DG124" i="43"/>
  <c r="DC124" i="43"/>
  <c r="CY124" i="43"/>
  <c r="CU124" i="43"/>
  <c r="CQ124" i="43"/>
  <c r="CM124" i="43"/>
  <c r="BG124" i="43"/>
  <c r="BC124" i="43"/>
  <c r="AY124" i="43"/>
  <c r="AU124" i="43"/>
  <c r="AQ124" i="43"/>
  <c r="AM124" i="43"/>
  <c r="AI124" i="43"/>
  <c r="DI384" i="43"/>
  <c r="CM384" i="43"/>
  <c r="BQ384" i="43"/>
  <c r="AU384" i="43"/>
  <c r="DF124" i="43"/>
  <c r="DB124" i="43"/>
  <c r="CX124" i="43"/>
  <c r="CT124" i="43"/>
  <c r="CP124" i="43"/>
  <c r="CL124" i="43"/>
  <c r="BF124" i="43"/>
  <c r="BB124" i="43"/>
  <c r="AX124" i="43"/>
  <c r="AT124" i="43"/>
  <c r="AP124" i="43"/>
  <c r="AL124" i="43"/>
  <c r="AH124" i="43"/>
  <c r="CB384" i="43"/>
  <c r="AJ384" i="43"/>
  <c r="DD124" i="43"/>
  <c r="CV124" i="43"/>
  <c r="CN124" i="43"/>
  <c r="BD124" i="43"/>
  <c r="AV124" i="43"/>
  <c r="AN124" i="43"/>
  <c r="CZ124" i="43"/>
  <c r="AZ124" i="43"/>
  <c r="AJ124" i="43"/>
  <c r="AQ384" i="43"/>
  <c r="CW124" i="43"/>
  <c r="BE124" i="43"/>
  <c r="AO124" i="43"/>
  <c r="DE384" i="43"/>
  <c r="BM384" i="43"/>
  <c r="DI124" i="43"/>
  <c r="DA124" i="43"/>
  <c r="CS124" i="43"/>
  <c r="CK124" i="43"/>
  <c r="BA124" i="43"/>
  <c r="AS124" i="43"/>
  <c r="AK124" i="43"/>
  <c r="CX384" i="43"/>
  <c r="BE384" i="43"/>
  <c r="DH124" i="43"/>
  <c r="CR124" i="43"/>
  <c r="CJ124" i="43"/>
  <c r="AR124" i="43"/>
  <c r="CH384" i="43"/>
  <c r="DE124" i="43"/>
  <c r="CO124" i="43"/>
  <c r="AW124" i="43"/>
  <c r="DH409" i="43"/>
  <c r="DD409" i="43"/>
  <c r="CZ409" i="43"/>
  <c r="CV409" i="43"/>
  <c r="CR409" i="43"/>
  <c r="CN409" i="43"/>
  <c r="CJ409" i="43"/>
  <c r="CE409" i="43"/>
  <c r="CA409" i="43"/>
  <c r="BW409" i="43"/>
  <c r="BS409" i="43"/>
  <c r="BO409" i="43"/>
  <c r="BK409" i="43"/>
  <c r="BF409" i="43"/>
  <c r="BB409" i="43"/>
  <c r="AX409" i="43"/>
  <c r="AT409" i="43"/>
  <c r="AP409" i="43"/>
  <c r="AL409" i="43"/>
  <c r="AH409" i="43"/>
  <c r="DE409" i="43"/>
  <c r="CY409" i="43"/>
  <c r="CT409" i="43"/>
  <c r="CO409" i="43"/>
  <c r="CH409" i="43"/>
  <c r="CC409" i="43"/>
  <c r="BX409" i="43"/>
  <c r="BR409" i="43"/>
  <c r="BM409" i="43"/>
  <c r="BG409" i="43"/>
  <c r="BA409" i="43"/>
  <c r="AV409" i="43"/>
  <c r="AQ409" i="43"/>
  <c r="AK409" i="43"/>
  <c r="DG409" i="43"/>
  <c r="DA409" i="43"/>
  <c r="CS409" i="43"/>
  <c r="CL409" i="43"/>
  <c r="CD409" i="43"/>
  <c r="BV409" i="43"/>
  <c r="BP409" i="43"/>
  <c r="BI409" i="43"/>
  <c r="AZ409" i="43"/>
  <c r="AS409" i="43"/>
  <c r="AM409" i="43"/>
  <c r="DF409" i="43"/>
  <c r="CX409" i="43"/>
  <c r="CQ409" i="43"/>
  <c r="CK409" i="43"/>
  <c r="CB409" i="43"/>
  <c r="BU409" i="43"/>
  <c r="BN409" i="43"/>
  <c r="BE409" i="43"/>
  <c r="AY409" i="43"/>
  <c r="AR409" i="43"/>
  <c r="AJ409" i="43"/>
  <c r="DI409" i="43"/>
  <c r="CU409" i="43"/>
  <c r="CF409" i="43"/>
  <c r="BQ409" i="43"/>
  <c r="BC409" i="43"/>
  <c r="AN409" i="43"/>
  <c r="DC409" i="43"/>
  <c r="CP409" i="43"/>
  <c r="BZ409" i="43"/>
  <c r="BL409" i="43"/>
  <c r="AW409" i="43"/>
  <c r="AI409" i="43"/>
  <c r="CW409" i="43"/>
  <c r="BT409" i="43"/>
  <c r="AO409" i="43"/>
  <c r="CM409" i="43"/>
  <c r="BJ409" i="43"/>
  <c r="BY409" i="43"/>
  <c r="DF149" i="43"/>
  <c r="DB149" i="43"/>
  <c r="CX149" i="43"/>
  <c r="CT149" i="43"/>
  <c r="CP149" i="43"/>
  <c r="CL149" i="43"/>
  <c r="BF149" i="43"/>
  <c r="BB149" i="43"/>
  <c r="AX149" i="43"/>
  <c r="AT149" i="43"/>
  <c r="AP149" i="43"/>
  <c r="AL149" i="43"/>
  <c r="AH149" i="43"/>
  <c r="BD409" i="43"/>
  <c r="DI149" i="43"/>
  <c r="DE149" i="43"/>
  <c r="DA149" i="43"/>
  <c r="CW149" i="43"/>
  <c r="CS149" i="43"/>
  <c r="CO149" i="43"/>
  <c r="CK149" i="43"/>
  <c r="BE149" i="43"/>
  <c r="BA149" i="43"/>
  <c r="AW149" i="43"/>
  <c r="AS149" i="43"/>
  <c r="AO149" i="43"/>
  <c r="AK149" i="43"/>
  <c r="CG409" i="43"/>
  <c r="DG149" i="43"/>
  <c r="CY149" i="43"/>
  <c r="CQ149" i="43"/>
  <c r="BG149" i="43"/>
  <c r="AY149" i="43"/>
  <c r="AQ149" i="43"/>
  <c r="AI149" i="43"/>
  <c r="AU409" i="43"/>
  <c r="DD149" i="43"/>
  <c r="CV149" i="43"/>
  <c r="CN149" i="43"/>
  <c r="BD149" i="43"/>
  <c r="AV149" i="43"/>
  <c r="AN149" i="43"/>
  <c r="DB409" i="43"/>
  <c r="CZ149" i="43"/>
  <c r="CJ149" i="43"/>
  <c r="AR149" i="43"/>
  <c r="DC149" i="43"/>
  <c r="AU149" i="43"/>
  <c r="CU149" i="43"/>
  <c r="BC149" i="43"/>
  <c r="AM149" i="43"/>
  <c r="DH149" i="43"/>
  <c r="CR149" i="43"/>
  <c r="AZ149" i="43"/>
  <c r="AJ149" i="43"/>
  <c r="CM149" i="43"/>
  <c r="DI382" i="43"/>
  <c r="DE382" i="43"/>
  <c r="DA382" i="43"/>
  <c r="CW382" i="43"/>
  <c r="CS382" i="43"/>
  <c r="CO382" i="43"/>
  <c r="CK382" i="43"/>
  <c r="CF382" i="43"/>
  <c r="CB382" i="43"/>
  <c r="BX382" i="43"/>
  <c r="BT382" i="43"/>
  <c r="BP382" i="43"/>
  <c r="BL382" i="43"/>
  <c r="BG382" i="43"/>
  <c r="BC382" i="43"/>
  <c r="AY382" i="43"/>
  <c r="AU382" i="43"/>
  <c r="AQ382" i="43"/>
  <c r="AM382" i="43"/>
  <c r="AI382" i="43"/>
  <c r="DD382" i="43"/>
  <c r="CY382" i="43"/>
  <c r="CT382" i="43"/>
  <c r="CN382" i="43"/>
  <c r="CH382" i="43"/>
  <c r="CC382" i="43"/>
  <c r="BW382" i="43"/>
  <c r="BR382" i="43"/>
  <c r="BM382" i="43"/>
  <c r="BF382" i="43"/>
  <c r="BA382" i="43"/>
  <c r="AV382" i="43"/>
  <c r="AP382" i="43"/>
  <c r="AK382" i="43"/>
  <c r="DH382" i="43"/>
  <c r="DC382" i="43"/>
  <c r="CX382" i="43"/>
  <c r="CR382" i="43"/>
  <c r="CM382" i="43"/>
  <c r="CG382" i="43"/>
  <c r="CA382" i="43"/>
  <c r="BV382" i="43"/>
  <c r="BQ382" i="43"/>
  <c r="BK382" i="43"/>
  <c r="BE382" i="43"/>
  <c r="AZ382" i="43"/>
  <c r="AT382" i="43"/>
  <c r="AO382" i="43"/>
  <c r="AJ382" i="43"/>
  <c r="CZ382" i="43"/>
  <c r="CP382" i="43"/>
  <c r="CD382" i="43"/>
  <c r="BS382" i="43"/>
  <c r="BI382" i="43"/>
  <c r="AW382" i="43"/>
  <c r="AL382" i="43"/>
  <c r="DG382" i="43"/>
  <c r="CV382" i="43"/>
  <c r="CL382" i="43"/>
  <c r="BZ382" i="43"/>
  <c r="BO382" i="43"/>
  <c r="BD382" i="43"/>
  <c r="AS382" i="43"/>
  <c r="AH382" i="43"/>
  <c r="DB382" i="43"/>
  <c r="CE382" i="43"/>
  <c r="BJ382" i="43"/>
  <c r="AN382" i="43"/>
  <c r="DG122" i="43"/>
  <c r="DC122" i="43"/>
  <c r="CY122" i="43"/>
  <c r="CU122" i="43"/>
  <c r="CQ122" i="43"/>
  <c r="CM122" i="43"/>
  <c r="BG122" i="43"/>
  <c r="BC122" i="43"/>
  <c r="AY122" i="43"/>
  <c r="AU122" i="43"/>
  <c r="AQ122" i="43"/>
  <c r="AM122" i="43"/>
  <c r="AI122" i="43"/>
  <c r="CU382" i="43"/>
  <c r="BY382" i="43"/>
  <c r="BB382" i="43"/>
  <c r="DF122" i="43"/>
  <c r="DB122" i="43"/>
  <c r="CX122" i="43"/>
  <c r="CT122" i="43"/>
  <c r="CP122" i="43"/>
  <c r="CL122" i="43"/>
  <c r="BF122" i="43"/>
  <c r="BB122" i="43"/>
  <c r="AX122" i="43"/>
  <c r="AT122" i="43"/>
  <c r="AP122" i="43"/>
  <c r="AL122" i="43"/>
  <c r="AH122" i="43"/>
  <c r="DF382" i="43"/>
  <c r="BN382" i="43"/>
  <c r="DD122" i="43"/>
  <c r="CV122" i="43"/>
  <c r="CN122" i="43"/>
  <c r="BD122" i="43"/>
  <c r="AV122" i="43"/>
  <c r="AN122" i="43"/>
  <c r="CZ122" i="43"/>
  <c r="AZ122" i="43"/>
  <c r="AJ122" i="43"/>
  <c r="DE122" i="43"/>
  <c r="CO122" i="43"/>
  <c r="AW122" i="43"/>
  <c r="CQ382" i="43"/>
  <c r="AX382" i="43"/>
  <c r="DI122" i="43"/>
  <c r="DA122" i="43"/>
  <c r="CS122" i="43"/>
  <c r="CK122" i="43"/>
  <c r="BA122" i="43"/>
  <c r="AS122" i="43"/>
  <c r="AK122" i="43"/>
  <c r="CJ382" i="43"/>
  <c r="AR382" i="43"/>
  <c r="DH122" i="43"/>
  <c r="CR122" i="43"/>
  <c r="CJ122" i="43"/>
  <c r="AR122" i="43"/>
  <c r="BU382" i="43"/>
  <c r="CW122" i="43"/>
  <c r="BE122" i="43"/>
  <c r="AO122" i="43"/>
  <c r="DI390" i="43"/>
  <c r="DE390" i="43"/>
  <c r="DA390" i="43"/>
  <c r="CW390" i="43"/>
  <c r="CS390" i="43"/>
  <c r="CO390" i="43"/>
  <c r="DG390" i="43"/>
  <c r="DB390" i="43"/>
  <c r="CV390" i="43"/>
  <c r="CQ390" i="43"/>
  <c r="CL390" i="43"/>
  <c r="CG390" i="43"/>
  <c r="CC390" i="43"/>
  <c r="BY390" i="43"/>
  <c r="BU390" i="43"/>
  <c r="BQ390" i="43"/>
  <c r="BM390" i="43"/>
  <c r="BI390" i="43"/>
  <c r="BD390" i="43"/>
  <c r="AZ390" i="43"/>
  <c r="AV390" i="43"/>
  <c r="AR390" i="43"/>
  <c r="AN390" i="43"/>
  <c r="AJ390" i="43"/>
  <c r="DF390" i="43"/>
  <c r="CZ390" i="43"/>
  <c r="CU390" i="43"/>
  <c r="CP390" i="43"/>
  <c r="CK390" i="43"/>
  <c r="CF390" i="43"/>
  <c r="CB390" i="43"/>
  <c r="BX390" i="43"/>
  <c r="BT390" i="43"/>
  <c r="BP390" i="43"/>
  <c r="BL390" i="43"/>
  <c r="BG390" i="43"/>
  <c r="BC390" i="43"/>
  <c r="AY390" i="43"/>
  <c r="AU390" i="43"/>
  <c r="AQ390" i="43"/>
  <c r="AM390" i="43"/>
  <c r="AI390" i="43"/>
  <c r="DH390" i="43"/>
  <c r="CX390" i="43"/>
  <c r="CM390" i="43"/>
  <c r="CD390" i="43"/>
  <c r="BV390" i="43"/>
  <c r="BN390" i="43"/>
  <c r="BE390" i="43"/>
  <c r="AW390" i="43"/>
  <c r="AO390" i="43"/>
  <c r="DD390" i="43"/>
  <c r="CT390" i="43"/>
  <c r="CJ390" i="43"/>
  <c r="CA390" i="43"/>
  <c r="BS390" i="43"/>
  <c r="BK390" i="43"/>
  <c r="BB390" i="43"/>
  <c r="AT390" i="43"/>
  <c r="AL390" i="43"/>
  <c r="CY390" i="43"/>
  <c r="CE390" i="43"/>
  <c r="BO390" i="43"/>
  <c r="AX390" i="43"/>
  <c r="AH390" i="43"/>
  <c r="CR390" i="43"/>
  <c r="BZ390" i="43"/>
  <c r="BJ390" i="43"/>
  <c r="AS390" i="43"/>
  <c r="CH390" i="43"/>
  <c r="BA390" i="43"/>
  <c r="DG130" i="43"/>
  <c r="DC130" i="43"/>
  <c r="CY130" i="43"/>
  <c r="CU130" i="43"/>
  <c r="CQ130" i="43"/>
  <c r="CM130" i="43"/>
  <c r="BG130" i="43"/>
  <c r="BC130" i="43"/>
  <c r="AY130" i="43"/>
  <c r="AU130" i="43"/>
  <c r="AQ130" i="43"/>
  <c r="AM130" i="43"/>
  <c r="AI130" i="43"/>
  <c r="BW390" i="43"/>
  <c r="AP390" i="43"/>
  <c r="DF130" i="43"/>
  <c r="DB130" i="43"/>
  <c r="CX130" i="43"/>
  <c r="CT130" i="43"/>
  <c r="CP130" i="43"/>
  <c r="CL130" i="43"/>
  <c r="BF130" i="43"/>
  <c r="BB130" i="43"/>
  <c r="AX130" i="43"/>
  <c r="AT130" i="43"/>
  <c r="AP130" i="43"/>
  <c r="AL130" i="43"/>
  <c r="AH130" i="43"/>
  <c r="BF390" i="43"/>
  <c r="DD130" i="43"/>
  <c r="CV130" i="43"/>
  <c r="CN130" i="43"/>
  <c r="BD130" i="43"/>
  <c r="AV130" i="43"/>
  <c r="AN130" i="43"/>
  <c r="CN390" i="43"/>
  <c r="BR390" i="43"/>
  <c r="CW130" i="43"/>
  <c r="AW130" i="43"/>
  <c r="DC390" i="43"/>
  <c r="AK390" i="43"/>
  <c r="DI130" i="43"/>
  <c r="DA130" i="43"/>
  <c r="CS130" i="43"/>
  <c r="CK130" i="43"/>
  <c r="BA130" i="43"/>
  <c r="AS130" i="43"/>
  <c r="AK130" i="43"/>
  <c r="DH130" i="43"/>
  <c r="CZ130" i="43"/>
  <c r="CR130" i="43"/>
  <c r="CJ130" i="43"/>
  <c r="AZ130" i="43"/>
  <c r="AR130" i="43"/>
  <c r="AJ130" i="43"/>
  <c r="DE130" i="43"/>
  <c r="CO130" i="43"/>
  <c r="BE130" i="43"/>
  <c r="AO130" i="43"/>
  <c r="DI411" i="43"/>
  <c r="DE411" i="43"/>
  <c r="DA411" i="43"/>
  <c r="CW411" i="43"/>
  <c r="CS411" i="43"/>
  <c r="CO411" i="43"/>
  <c r="CK411" i="43"/>
  <c r="CF411" i="43"/>
  <c r="CB411" i="43"/>
  <c r="BX411" i="43"/>
  <c r="BT411" i="43"/>
  <c r="BP411" i="43"/>
  <c r="BL411" i="43"/>
  <c r="BG411" i="43"/>
  <c r="BC411" i="43"/>
  <c r="AY411" i="43"/>
  <c r="AU411" i="43"/>
  <c r="AQ411" i="43"/>
  <c r="AM411" i="43"/>
  <c r="AI411" i="43"/>
  <c r="DG411" i="43"/>
  <c r="DB411" i="43"/>
  <c r="CV411" i="43"/>
  <c r="CQ411" i="43"/>
  <c r="CL411" i="43"/>
  <c r="CE411" i="43"/>
  <c r="BZ411" i="43"/>
  <c r="BU411" i="43"/>
  <c r="BO411" i="43"/>
  <c r="BJ411" i="43"/>
  <c r="BD411" i="43"/>
  <c r="AX411" i="43"/>
  <c r="AS411" i="43"/>
  <c r="AN411" i="43"/>
  <c r="AH411" i="43"/>
  <c r="DD411" i="43"/>
  <c r="CX411" i="43"/>
  <c r="CP411" i="43"/>
  <c r="CH411" i="43"/>
  <c r="CA411" i="43"/>
  <c r="BS411" i="43"/>
  <c r="BM411" i="43"/>
  <c r="BE411" i="43"/>
  <c r="AW411" i="43"/>
  <c r="AP411" i="43"/>
  <c r="AJ411" i="43"/>
  <c r="DC411" i="43"/>
  <c r="CU411" i="43"/>
  <c r="CN411" i="43"/>
  <c r="CG411" i="43"/>
  <c r="BY411" i="43"/>
  <c r="BR411" i="43"/>
  <c r="BK411" i="43"/>
  <c r="BB411" i="43"/>
  <c r="AV411" i="43"/>
  <c r="AO411" i="43"/>
  <c r="DF411" i="43"/>
  <c r="CR411" i="43"/>
  <c r="CC411" i="43"/>
  <c r="BN411" i="43"/>
  <c r="AZ411" i="43"/>
  <c r="AK411" i="43"/>
  <c r="CZ411" i="43"/>
  <c r="CM411" i="43"/>
  <c r="BW411" i="43"/>
  <c r="BI411" i="43"/>
  <c r="AT411" i="43"/>
  <c r="DH411" i="43"/>
  <c r="CD411" i="43"/>
  <c r="BA411" i="43"/>
  <c r="CY411" i="43"/>
  <c r="BV411" i="43"/>
  <c r="AR411" i="43"/>
  <c r="BF411" i="43"/>
  <c r="DF151" i="43"/>
  <c r="DB151" i="43"/>
  <c r="CX151" i="43"/>
  <c r="CT151" i="43"/>
  <c r="CP151" i="43"/>
  <c r="CL151" i="43"/>
  <c r="BF151" i="43"/>
  <c r="BB151" i="43"/>
  <c r="AX151" i="43"/>
  <c r="AT151" i="43"/>
  <c r="AP151" i="43"/>
  <c r="AL151" i="43"/>
  <c r="AH151" i="43"/>
  <c r="CT411" i="43"/>
  <c r="AL411" i="43"/>
  <c r="DI151" i="43"/>
  <c r="DE151" i="43"/>
  <c r="DA151" i="43"/>
  <c r="CW151" i="43"/>
  <c r="CS151" i="43"/>
  <c r="CO151" i="43"/>
  <c r="CK151" i="43"/>
  <c r="BE151" i="43"/>
  <c r="BA151" i="43"/>
  <c r="AW151" i="43"/>
  <c r="AS151" i="43"/>
  <c r="AO151" i="43"/>
  <c r="AK151" i="43"/>
  <c r="BQ411" i="43"/>
  <c r="DG151" i="43"/>
  <c r="CY151" i="43"/>
  <c r="CQ151" i="43"/>
  <c r="BG151" i="43"/>
  <c r="AY151" i="43"/>
  <c r="AQ151" i="43"/>
  <c r="AI151" i="43"/>
  <c r="DD151" i="43"/>
  <c r="CV151" i="43"/>
  <c r="CN151" i="43"/>
  <c r="BD151" i="43"/>
  <c r="AV151" i="43"/>
  <c r="AN151" i="43"/>
  <c r="DH151" i="43"/>
  <c r="CR151" i="43"/>
  <c r="AZ151" i="43"/>
  <c r="AJ151" i="43"/>
  <c r="BC151" i="43"/>
  <c r="DC151" i="43"/>
  <c r="CM151" i="43"/>
  <c r="AU151" i="43"/>
  <c r="CJ411" i="43"/>
  <c r="CZ151" i="43"/>
  <c r="CJ151" i="43"/>
  <c r="AR151" i="43"/>
  <c r="CU151" i="43"/>
  <c r="AM151" i="43"/>
  <c r="DH403" i="43"/>
  <c r="DD403" i="43"/>
  <c r="CZ403" i="43"/>
  <c r="CV403" i="43"/>
  <c r="CR403" i="43"/>
  <c r="CN403" i="43"/>
  <c r="CJ403" i="43"/>
  <c r="CE403" i="43"/>
  <c r="CA403" i="43"/>
  <c r="BW403" i="43"/>
  <c r="BS403" i="43"/>
  <c r="BO403" i="43"/>
  <c r="BK403" i="43"/>
  <c r="DI403" i="43"/>
  <c r="DC403" i="43"/>
  <c r="CX403" i="43"/>
  <c r="CS403" i="43"/>
  <c r="CM403" i="43"/>
  <c r="CG403" i="43"/>
  <c r="CB403" i="43"/>
  <c r="BV403" i="43"/>
  <c r="DG403" i="43"/>
  <c r="DB403" i="43"/>
  <c r="CW403" i="43"/>
  <c r="CQ403" i="43"/>
  <c r="CL403" i="43"/>
  <c r="CF403" i="43"/>
  <c r="BZ403" i="43"/>
  <c r="BU403" i="43"/>
  <c r="BP403" i="43"/>
  <c r="BJ403" i="43"/>
  <c r="CY403" i="43"/>
  <c r="CO403" i="43"/>
  <c r="CC403" i="43"/>
  <c r="BR403" i="43"/>
  <c r="BL403" i="43"/>
  <c r="DF403" i="43"/>
  <c r="CU403" i="43"/>
  <c r="CK403" i="43"/>
  <c r="BY403" i="43"/>
  <c r="BQ403" i="43"/>
  <c r="BI403" i="43"/>
  <c r="DA403" i="43"/>
  <c r="CD403" i="43"/>
  <c r="BM403" i="43"/>
  <c r="CT403" i="43"/>
  <c r="BX403" i="43"/>
  <c r="DE403" i="43"/>
  <c r="BN403" i="43"/>
  <c r="DF143" i="43"/>
  <c r="DB143" i="43"/>
  <c r="CX143" i="43"/>
  <c r="CT143" i="43"/>
  <c r="CP143" i="43"/>
  <c r="CL143" i="43"/>
  <c r="CG143" i="43"/>
  <c r="CC143" i="43"/>
  <c r="BY143" i="43"/>
  <c r="BU143" i="43"/>
  <c r="BQ143" i="43"/>
  <c r="BM143" i="43"/>
  <c r="BI143" i="43"/>
  <c r="CP403" i="43"/>
  <c r="DI143" i="43"/>
  <c r="DE143" i="43"/>
  <c r="DA143" i="43"/>
  <c r="CW143" i="43"/>
  <c r="CS143" i="43"/>
  <c r="CO143" i="43"/>
  <c r="CK143" i="43"/>
  <c r="CF143" i="43"/>
  <c r="CB143" i="43"/>
  <c r="BX143" i="43"/>
  <c r="BT143" i="43"/>
  <c r="BP143" i="43"/>
  <c r="BL143" i="43"/>
  <c r="DG143" i="43"/>
  <c r="CY143" i="43"/>
  <c r="CQ143" i="43"/>
  <c r="CH143" i="43"/>
  <c r="BZ143" i="43"/>
  <c r="BR143" i="43"/>
  <c r="BJ143" i="43"/>
  <c r="CH403" i="43"/>
  <c r="DD143" i="43"/>
  <c r="CV143" i="43"/>
  <c r="CN143" i="43"/>
  <c r="CE143" i="43"/>
  <c r="BW143" i="43"/>
  <c r="BO143" i="43"/>
  <c r="CZ143" i="43"/>
  <c r="CJ143" i="43"/>
  <c r="BS143" i="43"/>
  <c r="CM143" i="43"/>
  <c r="CU143" i="43"/>
  <c r="CD143" i="43"/>
  <c r="BN143" i="43"/>
  <c r="DH143" i="43"/>
  <c r="CR143" i="43"/>
  <c r="CA143" i="43"/>
  <c r="BK143" i="43"/>
  <c r="BT403" i="43"/>
  <c r="DC143" i="43"/>
  <c r="BV143" i="43"/>
  <c r="DI412" i="43"/>
  <c r="DE412" i="43"/>
  <c r="DA412" i="43"/>
  <c r="CW412" i="43"/>
  <c r="CS412" i="43"/>
  <c r="CO412" i="43"/>
  <c r="CK412" i="43"/>
  <c r="CF412" i="43"/>
  <c r="CB412" i="43"/>
  <c r="BX412" i="43"/>
  <c r="BT412" i="43"/>
  <c r="BP412" i="43"/>
  <c r="BL412" i="43"/>
  <c r="DH412" i="43"/>
  <c r="DC412" i="43"/>
  <c r="CX412" i="43"/>
  <c r="CR412" i="43"/>
  <c r="CM412" i="43"/>
  <c r="CG412" i="43"/>
  <c r="CA412" i="43"/>
  <c r="BV412" i="43"/>
  <c r="BQ412" i="43"/>
  <c r="BK412" i="43"/>
  <c r="DB412" i="43"/>
  <c r="CU412" i="43"/>
  <c r="CN412" i="43"/>
  <c r="CE412" i="43"/>
  <c r="BY412" i="43"/>
  <c r="BR412" i="43"/>
  <c r="BJ412" i="43"/>
  <c r="DG412" i="43"/>
  <c r="CZ412" i="43"/>
  <c r="CT412" i="43"/>
  <c r="CL412" i="43"/>
  <c r="CD412" i="43"/>
  <c r="BW412" i="43"/>
  <c r="BO412" i="43"/>
  <c r="BI412" i="43"/>
  <c r="CV412" i="43"/>
  <c r="CH412" i="43"/>
  <c r="BS412" i="43"/>
  <c r="DF412" i="43"/>
  <c r="CQ412" i="43"/>
  <c r="CC412" i="43"/>
  <c r="BN412" i="43"/>
  <c r="CJ412" i="43"/>
  <c r="DD412" i="43"/>
  <c r="BZ412" i="43"/>
  <c r="BM412" i="43"/>
  <c r="DF152" i="43"/>
  <c r="DB152" i="43"/>
  <c r="CX152" i="43"/>
  <c r="CT152" i="43"/>
  <c r="CP152" i="43"/>
  <c r="CL152" i="43"/>
  <c r="CG152" i="43"/>
  <c r="CC152" i="43"/>
  <c r="BY152" i="43"/>
  <c r="BU152" i="43"/>
  <c r="BQ152" i="43"/>
  <c r="BM152" i="43"/>
  <c r="BI152" i="43"/>
  <c r="CY412" i="43"/>
  <c r="DI152" i="43"/>
  <c r="DE152" i="43"/>
  <c r="DA152" i="43"/>
  <c r="CW152" i="43"/>
  <c r="CS152" i="43"/>
  <c r="CO152" i="43"/>
  <c r="CK152" i="43"/>
  <c r="CF152" i="43"/>
  <c r="CB152" i="43"/>
  <c r="BX152" i="43"/>
  <c r="BT152" i="43"/>
  <c r="BP152" i="43"/>
  <c r="BL152" i="43"/>
  <c r="DC152" i="43"/>
  <c r="CU152" i="43"/>
  <c r="CM152" i="43"/>
  <c r="CD152" i="43"/>
  <c r="BV152" i="43"/>
  <c r="BN152" i="43"/>
  <c r="CP412" i="43"/>
  <c r="DH152" i="43"/>
  <c r="CZ152" i="43"/>
  <c r="CR152" i="43"/>
  <c r="CJ152" i="43"/>
  <c r="CA152" i="43"/>
  <c r="BS152" i="43"/>
  <c r="BK152" i="43"/>
  <c r="DD152" i="43"/>
  <c r="CN152" i="43"/>
  <c r="BW152" i="43"/>
  <c r="BZ152" i="43"/>
  <c r="BJ152" i="43"/>
  <c r="BU412" i="43"/>
  <c r="CY152" i="43"/>
  <c r="CH152" i="43"/>
  <c r="BR152" i="43"/>
  <c r="CV152" i="43"/>
  <c r="CE152" i="43"/>
  <c r="BO152" i="43"/>
  <c r="DG152" i="43"/>
  <c r="CQ152" i="43"/>
  <c r="DH397" i="43"/>
  <c r="DD397" i="43"/>
  <c r="CZ397" i="43"/>
  <c r="CV397" i="43"/>
  <c r="CR397" i="43"/>
  <c r="CN397" i="43"/>
  <c r="CJ397" i="43"/>
  <c r="CE397" i="43"/>
  <c r="CA397" i="43"/>
  <c r="BW397" i="43"/>
  <c r="BS397" i="43"/>
  <c r="BO397" i="43"/>
  <c r="BK397" i="43"/>
  <c r="BF397" i="43"/>
  <c r="DG397" i="43"/>
  <c r="DB397" i="43"/>
  <c r="CW397" i="43"/>
  <c r="CQ397" i="43"/>
  <c r="CL397" i="43"/>
  <c r="CF397" i="43"/>
  <c r="BZ397" i="43"/>
  <c r="BU397" i="43"/>
  <c r="BP397" i="43"/>
  <c r="BJ397" i="43"/>
  <c r="BD397" i="43"/>
  <c r="AZ397" i="43"/>
  <c r="AV397" i="43"/>
  <c r="AR397" i="43"/>
  <c r="AN397" i="43"/>
  <c r="AJ397" i="43"/>
  <c r="DE397" i="43"/>
  <c r="CX397" i="43"/>
  <c r="CP397" i="43"/>
  <c r="CH397" i="43"/>
  <c r="CB397" i="43"/>
  <c r="BT397" i="43"/>
  <c r="BM397" i="43"/>
  <c r="BE397" i="43"/>
  <c r="AY397" i="43"/>
  <c r="AT397" i="43"/>
  <c r="AO397" i="43"/>
  <c r="AI397" i="43"/>
  <c r="DC397" i="43"/>
  <c r="CU397" i="43"/>
  <c r="CO397" i="43"/>
  <c r="CG397" i="43"/>
  <c r="BY397" i="43"/>
  <c r="BR397" i="43"/>
  <c r="BL397" i="43"/>
  <c r="BC397" i="43"/>
  <c r="AX397" i="43"/>
  <c r="AS397" i="43"/>
  <c r="AM397" i="43"/>
  <c r="AH397" i="43"/>
  <c r="CY397" i="43"/>
  <c r="CK397" i="43"/>
  <c r="BV397" i="43"/>
  <c r="BG397" i="43"/>
  <c r="AU397" i="43"/>
  <c r="AK397" i="43"/>
  <c r="DI397" i="43"/>
  <c r="CT397" i="43"/>
  <c r="CD397" i="43"/>
  <c r="BQ397" i="43"/>
  <c r="BB397" i="43"/>
  <c r="AQ397" i="43"/>
  <c r="DA397" i="43"/>
  <c r="BX397" i="43"/>
  <c r="AW397" i="43"/>
  <c r="CS397" i="43"/>
  <c r="BN397" i="43"/>
  <c r="AP397" i="43"/>
  <c r="DI137" i="43"/>
  <c r="DE137" i="43"/>
  <c r="DA137" i="43"/>
  <c r="CW137" i="43"/>
  <c r="CS137" i="43"/>
  <c r="CO137" i="43"/>
  <c r="CK137" i="43"/>
  <c r="BE137" i="43"/>
  <c r="BA137" i="43"/>
  <c r="AW137" i="43"/>
  <c r="AS137" i="43"/>
  <c r="AO137" i="43"/>
  <c r="AK137" i="43"/>
  <c r="CC397" i="43"/>
  <c r="DG137" i="43"/>
  <c r="DB137" i="43"/>
  <c r="CV137" i="43"/>
  <c r="CQ137" i="43"/>
  <c r="CL137" i="43"/>
  <c r="BD137" i="43"/>
  <c r="AY137" i="43"/>
  <c r="AT137" i="43"/>
  <c r="AN137" i="43"/>
  <c r="AI137" i="43"/>
  <c r="BI397" i="43"/>
  <c r="DF137" i="43"/>
  <c r="CZ137" i="43"/>
  <c r="CU137" i="43"/>
  <c r="CP137" i="43"/>
  <c r="CJ137" i="43"/>
  <c r="BC137" i="43"/>
  <c r="AX137" i="43"/>
  <c r="AR137" i="43"/>
  <c r="AM137" i="43"/>
  <c r="AH137" i="43"/>
  <c r="AL397" i="43"/>
  <c r="DH137" i="43"/>
  <c r="CX137" i="43"/>
  <c r="CM137" i="43"/>
  <c r="AZ137" i="43"/>
  <c r="AP137" i="43"/>
  <c r="CN137" i="43"/>
  <c r="AQ137" i="43"/>
  <c r="DF397" i="43"/>
  <c r="DD137" i="43"/>
  <c r="CT137" i="43"/>
  <c r="BG137" i="43"/>
  <c r="AV137" i="43"/>
  <c r="AL137" i="43"/>
  <c r="CM397" i="43"/>
  <c r="DC137" i="43"/>
  <c r="CR137" i="43"/>
  <c r="BF137" i="43"/>
  <c r="AU137" i="43"/>
  <c r="AJ137" i="43"/>
  <c r="BA397" i="43"/>
  <c r="CY137" i="43"/>
  <c r="BB137" i="43"/>
  <c r="Q409" i="43" l="1"/>
  <c r="J385" i="43"/>
  <c r="W397" i="43"/>
  <c r="R397" i="43"/>
  <c r="AF388" i="43"/>
  <c r="N411" i="43"/>
  <c r="AD408" i="43"/>
  <c r="AE389" i="43"/>
  <c r="N389" i="43"/>
  <c r="Z389" i="43"/>
  <c r="AA389" i="43"/>
  <c r="Z397" i="43"/>
  <c r="T385" i="43"/>
  <c r="X408" i="43"/>
  <c r="AC389" i="43"/>
  <c r="Q389" i="43"/>
  <c r="M389" i="43"/>
  <c r="Y389" i="43"/>
  <c r="R389" i="43"/>
  <c r="AE390" i="43"/>
  <c r="K390" i="43"/>
  <c r="I390" i="43"/>
  <c r="Y390" i="43"/>
  <c r="Q382" i="43"/>
  <c r="Y382" i="43"/>
  <c r="J382" i="43"/>
  <c r="AF382" i="43"/>
  <c r="H409" i="43"/>
  <c r="L409" i="43"/>
  <c r="AD384" i="43"/>
  <c r="I384" i="43"/>
  <c r="O384" i="43"/>
  <c r="Z384" i="43"/>
  <c r="U384" i="43"/>
  <c r="G391" i="43"/>
  <c r="P391" i="43"/>
  <c r="V391" i="43"/>
  <c r="Y407" i="43"/>
  <c r="T407" i="43"/>
  <c r="X407" i="43"/>
  <c r="U407" i="43"/>
  <c r="G407" i="43"/>
  <c r="AD407" i="43"/>
  <c r="W388" i="43"/>
  <c r="G389" i="43"/>
  <c r="V389" i="43"/>
  <c r="O389" i="43"/>
  <c r="AB389" i="43"/>
  <c r="L389" i="43"/>
  <c r="X389" i="43"/>
  <c r="S389" i="43"/>
  <c r="I389" i="43"/>
  <c r="O397" i="43"/>
  <c r="S411" i="43"/>
  <c r="AD389" i="43"/>
  <c r="X411" i="43"/>
  <c r="AF389" i="43"/>
  <c r="W389" i="43"/>
  <c r="J389" i="43"/>
  <c r="T389" i="43"/>
  <c r="P389" i="43"/>
  <c r="K389" i="43"/>
  <c r="V388" i="43"/>
  <c r="K383" i="43"/>
  <c r="U385" i="43"/>
  <c r="R385" i="43"/>
  <c r="Y385" i="43"/>
  <c r="I408" i="43"/>
  <c r="Y408" i="43"/>
  <c r="AE408" i="43"/>
  <c r="U389" i="43"/>
  <c r="T397" i="43"/>
  <c r="X397" i="43"/>
  <c r="AD409" i="43"/>
  <c r="T384" i="43"/>
  <c r="V384" i="43"/>
  <c r="H389" i="43"/>
  <c r="AD411" i="43"/>
  <c r="W390" i="43"/>
  <c r="N407" i="43"/>
  <c r="AB388" i="43"/>
  <c r="Z385" i="43"/>
  <c r="K397" i="43"/>
  <c r="G408" i="43"/>
  <c r="AF397" i="43"/>
  <c r="G397" i="43"/>
  <c r="AD397" i="43"/>
  <c r="I397" i="43"/>
  <c r="Y397" i="43"/>
  <c r="K411" i="43"/>
  <c r="Q411" i="43"/>
  <c r="AB411" i="43"/>
  <c r="Y411" i="43"/>
  <c r="R411" i="43"/>
  <c r="O390" i="43"/>
  <c r="AA390" i="43"/>
  <c r="X390" i="43"/>
  <c r="N390" i="43"/>
  <c r="AD390" i="43"/>
  <c r="M382" i="43"/>
  <c r="AE382" i="43"/>
  <c r="U382" i="43"/>
  <c r="H382" i="43"/>
  <c r="M409" i="43"/>
  <c r="X409" i="43"/>
  <c r="AF409" i="43"/>
  <c r="O409" i="43"/>
  <c r="P384" i="43"/>
  <c r="N384" i="43"/>
  <c r="X384" i="43"/>
  <c r="S384" i="43"/>
  <c r="AB391" i="43"/>
  <c r="AF391" i="43"/>
  <c r="W391" i="43"/>
  <c r="X391" i="43"/>
  <c r="I391" i="43"/>
  <c r="AE391" i="43"/>
  <c r="N391" i="43"/>
  <c r="AD391" i="43"/>
  <c r="AC407" i="43"/>
  <c r="H407" i="43"/>
  <c r="O407" i="43"/>
  <c r="S407" i="43"/>
  <c r="Q407" i="43"/>
  <c r="V407" i="43"/>
  <c r="P388" i="43"/>
  <c r="N388" i="43"/>
  <c r="Z388" i="43"/>
  <c r="M388" i="43"/>
  <c r="AC388" i="43"/>
  <c r="S383" i="43"/>
  <c r="R383" i="43"/>
  <c r="O383" i="43"/>
  <c r="V383" i="43"/>
  <c r="I383" i="43"/>
  <c r="Y383" i="43"/>
  <c r="AB385" i="43"/>
  <c r="L385" i="43"/>
  <c r="P385" i="43"/>
  <c r="G385" i="43"/>
  <c r="X385" i="43"/>
  <c r="N385" i="43"/>
  <c r="AC408" i="43"/>
  <c r="L408" i="43"/>
  <c r="M408" i="43"/>
  <c r="O408" i="43"/>
  <c r="K408" i="43"/>
  <c r="W408" i="43"/>
  <c r="J397" i="43"/>
  <c r="P397" i="43"/>
  <c r="S397" i="43"/>
  <c r="Q397" i="43"/>
  <c r="H397" i="43"/>
  <c r="U411" i="43"/>
  <c r="G411" i="43"/>
  <c r="AC411" i="43"/>
  <c r="P390" i="43"/>
  <c r="AF390" i="43"/>
  <c r="V390" i="43"/>
  <c r="AC382" i="43"/>
  <c r="G382" i="43"/>
  <c r="AA382" i="43"/>
  <c r="P382" i="43"/>
  <c r="AC409" i="43"/>
  <c r="I409" i="43"/>
  <c r="R409" i="43"/>
  <c r="T409" i="43"/>
  <c r="U409" i="43"/>
  <c r="G409" i="43"/>
  <c r="W409" i="43"/>
  <c r="AB384" i="43"/>
  <c r="W384" i="43"/>
  <c r="M384" i="43"/>
  <c r="AE384" i="43"/>
  <c r="M391" i="43"/>
  <c r="T391" i="43"/>
  <c r="AB407" i="43"/>
  <c r="R388" i="43"/>
  <c r="X388" i="43"/>
  <c r="O388" i="43"/>
  <c r="U388" i="43"/>
  <c r="H383" i="43"/>
  <c r="Z383" i="43"/>
  <c r="AF383" i="43"/>
  <c r="Q383" i="43"/>
  <c r="K385" i="43"/>
  <c r="Q385" i="43"/>
  <c r="N408" i="43"/>
  <c r="H408" i="43"/>
  <c r="AB408" i="43"/>
  <c r="Z408" i="43"/>
  <c r="L397" i="43"/>
  <c r="AB397" i="43"/>
  <c r="U397" i="43"/>
  <c r="AE411" i="43"/>
  <c r="Z411" i="43"/>
  <c r="J411" i="43"/>
  <c r="AA411" i="43"/>
  <c r="I411" i="43"/>
  <c r="M411" i="43"/>
  <c r="H411" i="43"/>
  <c r="AF411" i="43"/>
  <c r="S390" i="43"/>
  <c r="T390" i="43"/>
  <c r="J390" i="43"/>
  <c r="Z390" i="43"/>
  <c r="M390" i="43"/>
  <c r="AC390" i="43"/>
  <c r="I382" i="43"/>
  <c r="AD382" i="43"/>
  <c r="O382" i="43"/>
  <c r="K382" i="43"/>
  <c r="T382" i="43"/>
  <c r="N409" i="43"/>
  <c r="V409" i="43"/>
  <c r="Y409" i="43"/>
  <c r="AB409" i="43"/>
  <c r="Z409" i="43"/>
  <c r="K409" i="43"/>
  <c r="AA409" i="43"/>
  <c r="K384" i="43"/>
  <c r="AF384" i="43"/>
  <c r="L384" i="43"/>
  <c r="G384" i="43"/>
  <c r="R384" i="43"/>
  <c r="K391" i="43"/>
  <c r="Q391" i="43"/>
  <c r="L391" i="43"/>
  <c r="AA391" i="43"/>
  <c r="S391" i="43"/>
  <c r="Y391" i="43"/>
  <c r="J391" i="43"/>
  <c r="Z391" i="43"/>
  <c r="AE407" i="43"/>
  <c r="L407" i="43"/>
  <c r="R407" i="43"/>
  <c r="H388" i="43"/>
  <c r="AD388" i="43"/>
  <c r="T388" i="43"/>
  <c r="I388" i="43"/>
  <c r="Y388" i="43"/>
  <c r="L383" i="43"/>
  <c r="G383" i="43"/>
  <c r="J383" i="43"/>
  <c r="AE383" i="43"/>
  <c r="P383" i="43"/>
  <c r="U383" i="43"/>
  <c r="V385" i="43"/>
  <c r="O385" i="43"/>
  <c r="AA385" i="43"/>
  <c r="AE385" i="43"/>
  <c r="W385" i="43"/>
  <c r="I385" i="43"/>
  <c r="AD385" i="43"/>
  <c r="S408" i="43"/>
  <c r="V408" i="43"/>
  <c r="J408" i="43"/>
  <c r="AF408" i="43"/>
  <c r="AA408" i="43"/>
  <c r="AE397" i="43"/>
  <c r="O411" i="43"/>
  <c r="H390" i="43"/>
  <c r="Q390" i="43"/>
  <c r="N382" i="43"/>
  <c r="X382" i="43"/>
  <c r="J409" i="43"/>
  <c r="AE409" i="43"/>
  <c r="Q384" i="43"/>
  <c r="AF407" i="43"/>
  <c r="AA407" i="43"/>
  <c r="N383" i="43"/>
  <c r="AC385" i="43"/>
  <c r="AF385" i="43"/>
  <c r="P408" i="43"/>
  <c r="V397" i="43"/>
  <c r="AA397" i="43"/>
  <c r="N397" i="43"/>
  <c r="M397" i="43"/>
  <c r="AC397" i="43"/>
  <c r="T411" i="43"/>
  <c r="L411" i="43"/>
  <c r="P411" i="43"/>
  <c r="V411" i="43"/>
  <c r="W411" i="43"/>
  <c r="G390" i="43"/>
  <c r="L390" i="43"/>
  <c r="AB390" i="43"/>
  <c r="R390" i="43"/>
  <c r="U390" i="43"/>
  <c r="S382" i="43"/>
  <c r="W382" i="43"/>
  <c r="R382" i="43"/>
  <c r="V382" i="43"/>
  <c r="Z382" i="43"/>
  <c r="L382" i="43"/>
  <c r="AB382" i="43"/>
  <c r="P409" i="43"/>
  <c r="S409" i="43"/>
  <c r="J384" i="43"/>
  <c r="AA384" i="43"/>
  <c r="Y384" i="43"/>
  <c r="H384" i="43"/>
  <c r="AC384" i="43"/>
  <c r="U391" i="43"/>
  <c r="H391" i="43"/>
  <c r="AC391" i="43"/>
  <c r="O391" i="43"/>
  <c r="R391" i="43"/>
  <c r="I407" i="43"/>
  <c r="M407" i="43"/>
  <c r="P407" i="43"/>
  <c r="K407" i="43"/>
  <c r="W407" i="43"/>
  <c r="J407" i="43"/>
  <c r="Z407" i="43"/>
  <c r="G388" i="43"/>
  <c r="K388" i="43"/>
  <c r="L388" i="43"/>
  <c r="AA388" i="43"/>
  <c r="S388" i="43"/>
  <c r="J388" i="43"/>
  <c r="AE388" i="43"/>
  <c r="Q388" i="43"/>
  <c r="W383" i="43"/>
  <c r="AD383" i="43"/>
  <c r="X383" i="43"/>
  <c r="AB383" i="43"/>
  <c r="T383" i="43"/>
  <c r="AA383" i="43"/>
  <c r="M383" i="43"/>
  <c r="AC383" i="43"/>
  <c r="M385" i="43"/>
  <c r="H385" i="43"/>
  <c r="S385" i="43"/>
  <c r="Q408" i="43"/>
  <c r="R408" i="43"/>
  <c r="T408" i="43"/>
  <c r="U408" i="43"/>
  <c r="Y19" i="10"/>
  <c r="Y18" i="10"/>
  <c r="Y17" i="10"/>
  <c r="Y16" i="10"/>
  <c r="Y12" i="10"/>
  <c r="Y11" i="10"/>
  <c r="Y10" i="10"/>
  <c r="W40" i="10"/>
  <c r="W38" i="10"/>
  <c r="W37" i="10"/>
  <c r="W36" i="10"/>
  <c r="W35" i="10"/>
  <c r="W31" i="10"/>
  <c r="W30" i="10"/>
  <c r="W29" i="10"/>
  <c r="W28" i="10"/>
  <c r="W24" i="10"/>
  <c r="W22" i="10"/>
  <c r="W19" i="10"/>
  <c r="W18" i="10"/>
  <c r="W17" i="10"/>
  <c r="W16" i="10"/>
  <c r="W13" i="10"/>
  <c r="W12" i="10"/>
  <c r="W11" i="10"/>
  <c r="W10" i="10"/>
  <c r="U40" i="10"/>
  <c r="U38" i="10"/>
  <c r="U37" i="10"/>
  <c r="U36" i="10"/>
  <c r="U35" i="10"/>
  <c r="U31" i="10"/>
  <c r="U30" i="10"/>
  <c r="U29" i="10"/>
  <c r="U28" i="10"/>
  <c r="U24" i="10"/>
  <c r="U23" i="10"/>
  <c r="U22" i="10"/>
  <c r="U19" i="10"/>
  <c r="U18" i="10"/>
  <c r="U17" i="10"/>
  <c r="U16" i="10"/>
  <c r="U13" i="10"/>
  <c r="U12" i="10"/>
  <c r="U10" i="10"/>
  <c r="Z39" i="10"/>
  <c r="Y39" i="10"/>
  <c r="Y25" i="10"/>
  <c r="Y13" i="10"/>
  <c r="X39" i="10"/>
  <c r="X32" i="10"/>
  <c r="X25" i="10"/>
  <c r="W39" i="10"/>
  <c r="W25" i="10"/>
  <c r="W23" i="10"/>
  <c r="U39" i="10"/>
  <c r="U32" i="10"/>
  <c r="U25" i="10"/>
  <c r="U11" i="10"/>
  <c r="S40" i="10"/>
  <c r="S39" i="10"/>
  <c r="S38" i="10"/>
  <c r="S37" i="10"/>
  <c r="S36" i="10"/>
  <c r="S35" i="10"/>
  <c r="S32" i="10"/>
  <c r="S31" i="10"/>
  <c r="S30" i="10"/>
  <c r="S29" i="10"/>
  <c r="S28" i="10"/>
  <c r="S25" i="10"/>
  <c r="S24" i="10"/>
  <c r="S23" i="10"/>
  <c r="S22" i="10"/>
  <c r="S19" i="10"/>
  <c r="S18" i="10"/>
  <c r="S17" i="10"/>
  <c r="S16" i="10"/>
  <c r="S11" i="10"/>
  <c r="S12" i="10"/>
  <c r="S13" i="10"/>
  <c r="S10" i="10"/>
  <c r="R40" i="10"/>
  <c r="R38" i="10"/>
  <c r="R37" i="10"/>
  <c r="R36" i="10"/>
  <c r="R35" i="10"/>
  <c r="R31" i="10"/>
  <c r="R30" i="10"/>
  <c r="R29" i="10"/>
  <c r="R28" i="10"/>
  <c r="R24" i="10"/>
  <c r="R23" i="10"/>
  <c r="R22" i="10"/>
  <c r="R19" i="10"/>
  <c r="R18" i="10"/>
  <c r="R17" i="10"/>
  <c r="R16" i="10"/>
  <c r="R11" i="10"/>
  <c r="R12" i="10"/>
  <c r="R13" i="10"/>
  <c r="R10" i="10"/>
  <c r="Q10" i="10"/>
  <c r="Q11" i="10"/>
  <c r="Q12" i="10"/>
  <c r="Q13" i="10"/>
  <c r="Q16" i="10"/>
  <c r="Q17" i="10"/>
  <c r="Q18" i="10"/>
  <c r="Q19" i="10"/>
  <c r="Q22" i="10"/>
  <c r="Q23" i="10"/>
  <c r="Q24" i="10"/>
  <c r="Q25" i="10"/>
  <c r="Q28" i="10"/>
  <c r="Q29" i="10"/>
  <c r="Q30" i="10"/>
  <c r="Q31" i="10"/>
  <c r="Q32" i="10"/>
  <c r="Q35" i="10"/>
  <c r="Q36" i="10"/>
  <c r="Q37" i="10"/>
  <c r="Q38" i="10"/>
  <c r="Q39" i="10"/>
  <c r="P40" i="10"/>
  <c r="Q40" i="10"/>
  <c r="P39" i="10"/>
  <c r="P38" i="10"/>
  <c r="P37" i="10"/>
  <c r="P36" i="10"/>
  <c r="P35" i="10"/>
  <c r="P32" i="10"/>
  <c r="P31" i="10"/>
  <c r="P30" i="10"/>
  <c r="P29" i="10"/>
  <c r="P28" i="10"/>
  <c r="P25" i="10"/>
  <c r="P24" i="10"/>
  <c r="P23" i="10"/>
  <c r="P22" i="10"/>
  <c r="P19" i="10"/>
  <c r="P18" i="10"/>
  <c r="P17" i="10"/>
  <c r="P16" i="10"/>
  <c r="P11" i="10"/>
  <c r="P12" i="10"/>
  <c r="P13" i="10"/>
  <c r="P10" i="10"/>
  <c r="N40" i="10"/>
  <c r="N39" i="10"/>
  <c r="O39" i="10" s="1"/>
  <c r="N38" i="10"/>
  <c r="N37" i="10"/>
  <c r="N36" i="10"/>
  <c r="N35" i="10"/>
  <c r="N32" i="10"/>
  <c r="O32" i="10" s="1"/>
  <c r="N31" i="10"/>
  <c r="N30" i="10"/>
  <c r="N29" i="10"/>
  <c r="N28" i="10"/>
  <c r="N25" i="10"/>
  <c r="O25" i="10" s="1"/>
  <c r="N24" i="10"/>
  <c r="N23" i="10"/>
  <c r="N22" i="10"/>
  <c r="N19" i="10"/>
  <c r="O19" i="10" s="1"/>
  <c r="N18" i="10"/>
  <c r="N17" i="10"/>
  <c r="N16" i="10"/>
  <c r="N11" i="10"/>
  <c r="N12" i="10"/>
  <c r="N13" i="10"/>
  <c r="O13" i="10" s="1"/>
  <c r="N10" i="10"/>
  <c r="K40" i="10"/>
  <c r="K39" i="10"/>
  <c r="K38" i="10"/>
  <c r="K37" i="10"/>
  <c r="K36" i="10"/>
  <c r="K35" i="10"/>
  <c r="K32" i="10"/>
  <c r="K31" i="10"/>
  <c r="K30" i="10"/>
  <c r="K29" i="10"/>
  <c r="CJ141" i="43" s="1"/>
  <c r="K28" i="10"/>
  <c r="K25" i="10"/>
  <c r="K24" i="10"/>
  <c r="K23" i="10"/>
  <c r="K22" i="10"/>
  <c r="K19" i="10"/>
  <c r="K18" i="10"/>
  <c r="K17" i="10"/>
  <c r="K16" i="10"/>
  <c r="K11" i="10"/>
  <c r="K12" i="10"/>
  <c r="K13" i="10"/>
  <c r="K10" i="10"/>
  <c r="J40" i="26"/>
  <c r="J39" i="26"/>
  <c r="J38" i="26"/>
  <c r="J37" i="26"/>
  <c r="J36" i="26"/>
  <c r="J35" i="26"/>
  <c r="J32" i="26"/>
  <c r="J31" i="26"/>
  <c r="E31" i="10" s="1"/>
  <c r="J30" i="26"/>
  <c r="E30" i="10" s="1"/>
  <c r="J29" i="26"/>
  <c r="E29" i="10" s="1"/>
  <c r="J28" i="26"/>
  <c r="E28" i="10" s="1"/>
  <c r="J25" i="26"/>
  <c r="J24" i="26"/>
  <c r="J23" i="26"/>
  <c r="J22" i="26"/>
  <c r="J19" i="26"/>
  <c r="J18" i="26"/>
  <c r="J17" i="26"/>
  <c r="J16" i="26"/>
  <c r="J13" i="26"/>
  <c r="J12" i="26"/>
  <c r="J11" i="26"/>
  <c r="J10" i="26"/>
  <c r="I40" i="26"/>
  <c r="I39" i="26"/>
  <c r="I38" i="26"/>
  <c r="I37" i="26"/>
  <c r="I36" i="26"/>
  <c r="I35" i="26"/>
  <c r="I32" i="26"/>
  <c r="I31" i="26"/>
  <c r="I30" i="26"/>
  <c r="I29" i="26"/>
  <c r="I28" i="26"/>
  <c r="I25" i="26"/>
  <c r="I24" i="26"/>
  <c r="I23" i="26"/>
  <c r="I22" i="26"/>
  <c r="I19" i="26"/>
  <c r="I18" i="26"/>
  <c r="I17" i="26"/>
  <c r="I16" i="26"/>
  <c r="I13" i="26"/>
  <c r="I12" i="26"/>
  <c r="I11" i="26"/>
  <c r="I10" i="26"/>
  <c r="H40" i="26"/>
  <c r="H39" i="26"/>
  <c r="H37" i="26"/>
  <c r="H36" i="26"/>
  <c r="H35" i="26"/>
  <c r="H32" i="26"/>
  <c r="H31" i="26"/>
  <c r="H30" i="26"/>
  <c r="H29" i="26"/>
  <c r="H28" i="26"/>
  <c r="H25" i="26"/>
  <c r="H24" i="26"/>
  <c r="H22" i="26"/>
  <c r="E22" i="10" s="1"/>
  <c r="H19" i="26"/>
  <c r="H18" i="26"/>
  <c r="H17" i="26"/>
  <c r="H16" i="26"/>
  <c r="H13" i="26"/>
  <c r="H12" i="26"/>
  <c r="H11" i="26"/>
  <c r="H10" i="26"/>
  <c r="G19" i="26" l="1"/>
  <c r="K19" i="26"/>
  <c r="K22" i="26"/>
  <c r="K13" i="26"/>
  <c r="G13" i="26"/>
  <c r="K23" i="26"/>
  <c r="G23" i="26"/>
  <c r="E23" i="10" s="1"/>
  <c r="K35" i="26"/>
  <c r="G35" i="26"/>
  <c r="K18" i="26"/>
  <c r="G18" i="26"/>
  <c r="G10" i="26"/>
  <c r="K32" i="26"/>
  <c r="G32" i="26"/>
  <c r="K12" i="26"/>
  <c r="G12" i="26"/>
  <c r="K24" i="26"/>
  <c r="G24" i="26"/>
  <c r="E24" i="10" s="1"/>
  <c r="K36" i="26"/>
  <c r="G36" i="26"/>
  <c r="K11" i="26"/>
  <c r="G11" i="26"/>
  <c r="K25" i="26"/>
  <c r="G25" i="26"/>
  <c r="G37" i="26"/>
  <c r="K37" i="26"/>
  <c r="G30" i="26"/>
  <c r="G31" i="26"/>
  <c r="K31" i="26"/>
  <c r="G16" i="26"/>
  <c r="K28" i="26"/>
  <c r="K39" i="26"/>
  <c r="G39" i="26"/>
  <c r="G17" i="26"/>
  <c r="K17" i="26"/>
  <c r="K29" i="26"/>
  <c r="G29" i="26"/>
  <c r="K40" i="26"/>
  <c r="G40" i="26"/>
  <c r="U13" i="26"/>
  <c r="M13" i="10" s="1"/>
  <c r="U11" i="26"/>
  <c r="M11" i="10" s="1"/>
  <c r="U19" i="26"/>
  <c r="M19" i="10" s="1"/>
  <c r="U25" i="26"/>
  <c r="M25" i="10" s="1"/>
  <c r="U31" i="26"/>
  <c r="M31" i="10" s="1"/>
  <c r="U37" i="26"/>
  <c r="M37" i="10" s="1"/>
  <c r="CL141" i="43"/>
  <c r="CM141" i="43"/>
  <c r="CN141" i="43" s="1"/>
  <c r="CO141" i="43" s="1"/>
  <c r="U10" i="26"/>
  <c r="M10" i="10" s="1"/>
  <c r="U16" i="26"/>
  <c r="M16" i="10" s="1"/>
  <c r="U22" i="26"/>
  <c r="M22" i="10" s="1"/>
  <c r="U28" i="26"/>
  <c r="M28" i="10" s="1"/>
  <c r="U32" i="26"/>
  <c r="M32" i="10" s="1"/>
  <c r="U38" i="26"/>
  <c r="M38" i="10" s="1"/>
  <c r="U17" i="26"/>
  <c r="M17" i="10" s="1"/>
  <c r="U23" i="26"/>
  <c r="M23" i="10" s="1"/>
  <c r="U29" i="26"/>
  <c r="M29" i="10" s="1"/>
  <c r="U35" i="26"/>
  <c r="M35" i="10" s="1"/>
  <c r="U39" i="26"/>
  <c r="M39" i="10" s="1"/>
  <c r="U12" i="26"/>
  <c r="M12" i="10" s="1"/>
  <c r="U18" i="26"/>
  <c r="M18" i="10" s="1"/>
  <c r="U24" i="26"/>
  <c r="M24" i="10" s="1"/>
  <c r="U30" i="26"/>
  <c r="M30" i="10" s="1"/>
  <c r="U36" i="26"/>
  <c r="M36" i="10" s="1"/>
  <c r="U40" i="26"/>
  <c r="M40" i="10" s="1"/>
  <c r="G308" i="43" a="1"/>
  <c r="K327" i="43" s="1"/>
  <c r="CG123" i="43"/>
  <c r="AE123" i="43" s="1"/>
  <c r="CC123" i="43"/>
  <c r="AA123" i="43" s="1"/>
  <c r="BY123" i="43"/>
  <c r="W123" i="43" s="1"/>
  <c r="BU123" i="43"/>
  <c r="S123" i="43" s="1"/>
  <c r="BQ123" i="43"/>
  <c r="O123" i="43" s="1"/>
  <c r="BM123" i="43"/>
  <c r="K123" i="43" s="1"/>
  <c r="BI123" i="43"/>
  <c r="G123" i="43" s="1"/>
  <c r="CF123" i="43"/>
  <c r="AD123" i="43" s="1"/>
  <c r="CA123" i="43"/>
  <c r="Y123" i="43" s="1"/>
  <c r="BV123" i="43"/>
  <c r="T123" i="43" s="1"/>
  <c r="BP123" i="43"/>
  <c r="N123" i="43" s="1"/>
  <c r="BK123" i="43"/>
  <c r="I123" i="43" s="1"/>
  <c r="BS123" i="43"/>
  <c r="Q123" i="43" s="1"/>
  <c r="CE123" i="43"/>
  <c r="AC123" i="43" s="1"/>
  <c r="BZ123" i="43"/>
  <c r="X123" i="43" s="1"/>
  <c r="BT123" i="43"/>
  <c r="R123" i="43" s="1"/>
  <c r="BO123" i="43"/>
  <c r="M123" i="43" s="1"/>
  <c r="BJ123" i="43"/>
  <c r="H123" i="43" s="1"/>
  <c r="CD123" i="43"/>
  <c r="AB123" i="43" s="1"/>
  <c r="BX123" i="43"/>
  <c r="V123" i="43" s="1"/>
  <c r="BN123" i="43"/>
  <c r="L123" i="43" s="1"/>
  <c r="CH123" i="43"/>
  <c r="AF123" i="43" s="1"/>
  <c r="BL123" i="43"/>
  <c r="J123" i="43" s="1"/>
  <c r="CB123" i="43"/>
  <c r="Z123" i="43" s="1"/>
  <c r="BW123" i="43"/>
  <c r="U123" i="43" s="1"/>
  <c r="BR123" i="43"/>
  <c r="P123" i="43" s="1"/>
  <c r="CG137" i="43"/>
  <c r="AE137" i="43" s="1"/>
  <c r="CC137" i="43"/>
  <c r="AA137" i="43" s="1"/>
  <c r="BY137" i="43"/>
  <c r="W137" i="43" s="1"/>
  <c r="BU137" i="43"/>
  <c r="S137" i="43" s="1"/>
  <c r="BQ137" i="43"/>
  <c r="O137" i="43" s="1"/>
  <c r="BM137" i="43"/>
  <c r="K137" i="43" s="1"/>
  <c r="BI137" i="43"/>
  <c r="G137" i="43" s="1"/>
  <c r="CH137" i="43"/>
  <c r="AF137" i="43" s="1"/>
  <c r="CB137" i="43"/>
  <c r="Z137" i="43" s="1"/>
  <c r="BW137" i="43"/>
  <c r="U137" i="43" s="1"/>
  <c r="BR137" i="43"/>
  <c r="P137" i="43" s="1"/>
  <c r="BL137" i="43"/>
  <c r="J137" i="43" s="1"/>
  <c r="CE137" i="43"/>
  <c r="AC137" i="43" s="1"/>
  <c r="BT137" i="43"/>
  <c r="R137" i="43" s="1"/>
  <c r="BO137" i="43"/>
  <c r="M137" i="43" s="1"/>
  <c r="CF137" i="43"/>
  <c r="AD137" i="43" s="1"/>
  <c r="CA137" i="43"/>
  <c r="Y137" i="43" s="1"/>
  <c r="BV137" i="43"/>
  <c r="T137" i="43" s="1"/>
  <c r="BP137" i="43"/>
  <c r="N137" i="43" s="1"/>
  <c r="BK137" i="43"/>
  <c r="I137" i="43" s="1"/>
  <c r="BZ137" i="43"/>
  <c r="X137" i="43" s="1"/>
  <c r="BJ137" i="43"/>
  <c r="H137" i="43" s="1"/>
  <c r="BX137" i="43"/>
  <c r="V137" i="43" s="1"/>
  <c r="BS137" i="43"/>
  <c r="Q137" i="43" s="1"/>
  <c r="BN137" i="43"/>
  <c r="L137" i="43" s="1"/>
  <c r="CD137" i="43"/>
  <c r="AB137" i="43" s="1"/>
  <c r="CG149" i="43"/>
  <c r="AE149" i="43" s="1"/>
  <c r="CC149" i="43"/>
  <c r="AA149" i="43" s="1"/>
  <c r="BY149" i="43"/>
  <c r="W149" i="43" s="1"/>
  <c r="BU149" i="43"/>
  <c r="S149" i="43" s="1"/>
  <c r="BQ149" i="43"/>
  <c r="O149" i="43" s="1"/>
  <c r="BM149" i="43"/>
  <c r="K149" i="43" s="1"/>
  <c r="BI149" i="43"/>
  <c r="G149" i="43" s="1"/>
  <c r="CH149" i="43"/>
  <c r="AF149" i="43" s="1"/>
  <c r="CB149" i="43"/>
  <c r="Z149" i="43" s="1"/>
  <c r="BW149" i="43"/>
  <c r="U149" i="43" s="1"/>
  <c r="BR149" i="43"/>
  <c r="P149" i="43" s="1"/>
  <c r="BL149" i="43"/>
  <c r="J149" i="43" s="1"/>
  <c r="CE149" i="43"/>
  <c r="AC149" i="43" s="1"/>
  <c r="CF149" i="43"/>
  <c r="AD149" i="43" s="1"/>
  <c r="CA149" i="43"/>
  <c r="Y149" i="43" s="1"/>
  <c r="BV149" i="43"/>
  <c r="T149" i="43" s="1"/>
  <c r="BP149" i="43"/>
  <c r="N149" i="43" s="1"/>
  <c r="BK149" i="43"/>
  <c r="I149" i="43" s="1"/>
  <c r="BZ149" i="43"/>
  <c r="X149" i="43" s="1"/>
  <c r="BT149" i="43"/>
  <c r="R149" i="43" s="1"/>
  <c r="BO149" i="43"/>
  <c r="M149" i="43" s="1"/>
  <c r="BJ149" i="43"/>
  <c r="H149" i="43" s="1"/>
  <c r="BS149" i="43"/>
  <c r="Q149" i="43" s="1"/>
  <c r="BN149" i="43"/>
  <c r="L149" i="43" s="1"/>
  <c r="CD149" i="43"/>
  <c r="AB149" i="43" s="1"/>
  <c r="BX149" i="43"/>
  <c r="V149" i="43" s="1"/>
  <c r="AD278" i="43"/>
  <c r="Z278" i="43"/>
  <c r="V278" i="43"/>
  <c r="R278" i="43"/>
  <c r="N278" i="43"/>
  <c r="J278" i="43"/>
  <c r="AC278" i="43"/>
  <c r="Y278" i="43"/>
  <c r="U278" i="43"/>
  <c r="Q278" i="43"/>
  <c r="M278" i="43"/>
  <c r="I278" i="43"/>
  <c r="AF278" i="43"/>
  <c r="X278" i="43"/>
  <c r="P278" i="43"/>
  <c r="H278" i="43"/>
  <c r="AE278" i="43"/>
  <c r="T278" i="43"/>
  <c r="K278" i="43"/>
  <c r="AA278" i="43"/>
  <c r="O278" i="43"/>
  <c r="L278" i="43"/>
  <c r="W278" i="43"/>
  <c r="G278" i="43"/>
  <c r="AB278" i="43"/>
  <c r="S278" i="43"/>
  <c r="AD290" i="43"/>
  <c r="Z290" i="43"/>
  <c r="V290" i="43"/>
  <c r="R290" i="43"/>
  <c r="N290" i="43"/>
  <c r="J290" i="43"/>
  <c r="AC290" i="43"/>
  <c r="Y290" i="43"/>
  <c r="U290" i="43"/>
  <c r="Q290" i="43"/>
  <c r="M290" i="43"/>
  <c r="I290" i="43"/>
  <c r="AF290" i="43"/>
  <c r="X290" i="43"/>
  <c r="P290" i="43"/>
  <c r="H290" i="43"/>
  <c r="AA290" i="43"/>
  <c r="O290" i="43"/>
  <c r="AE290" i="43"/>
  <c r="T290" i="43"/>
  <c r="K290" i="43"/>
  <c r="S290" i="43"/>
  <c r="AB290" i="43"/>
  <c r="G290" i="43"/>
  <c r="L290" i="43"/>
  <c r="W290" i="43"/>
  <c r="AD300" i="43"/>
  <c r="Z300" i="43"/>
  <c r="V300" i="43"/>
  <c r="R300" i="43"/>
  <c r="N300" i="43"/>
  <c r="J300" i="43"/>
  <c r="AC300" i="43"/>
  <c r="Y300" i="43"/>
  <c r="U300" i="43"/>
  <c r="Q300" i="43"/>
  <c r="M300" i="43"/>
  <c r="I300" i="43"/>
  <c r="AF300" i="43"/>
  <c r="X300" i="43"/>
  <c r="P300" i="43"/>
  <c r="H300" i="43"/>
  <c r="AE300" i="43"/>
  <c r="T300" i="43"/>
  <c r="K300" i="43"/>
  <c r="AA300" i="43"/>
  <c r="O300" i="43"/>
  <c r="W300" i="43"/>
  <c r="L300" i="43"/>
  <c r="G300" i="43"/>
  <c r="AB300" i="43"/>
  <c r="S300" i="43"/>
  <c r="CG144" i="43"/>
  <c r="AE144" i="43" s="1"/>
  <c r="CC144" i="43"/>
  <c r="AA144" i="43" s="1"/>
  <c r="BY144" i="43"/>
  <c r="W144" i="43" s="1"/>
  <c r="BU144" i="43"/>
  <c r="S144" i="43" s="1"/>
  <c r="BQ144" i="43"/>
  <c r="O144" i="43" s="1"/>
  <c r="BM144" i="43"/>
  <c r="K144" i="43" s="1"/>
  <c r="BI144" i="43"/>
  <c r="G144" i="43" s="1"/>
  <c r="CE144" i="43"/>
  <c r="AC144" i="43" s="1"/>
  <c r="BZ144" i="43"/>
  <c r="X144" i="43" s="1"/>
  <c r="BT144" i="43"/>
  <c r="R144" i="43" s="1"/>
  <c r="BO144" i="43"/>
  <c r="M144" i="43" s="1"/>
  <c r="BJ144" i="43"/>
  <c r="H144" i="43" s="1"/>
  <c r="CH144" i="43"/>
  <c r="AF144" i="43" s="1"/>
  <c r="CB144" i="43"/>
  <c r="Z144" i="43" s="1"/>
  <c r="BW144" i="43"/>
  <c r="U144" i="43" s="1"/>
  <c r="BR144" i="43"/>
  <c r="P144" i="43" s="1"/>
  <c r="BL144" i="43"/>
  <c r="J144" i="43" s="1"/>
  <c r="CD144" i="43"/>
  <c r="AB144" i="43" s="1"/>
  <c r="BX144" i="43"/>
  <c r="V144" i="43" s="1"/>
  <c r="BS144" i="43"/>
  <c r="Q144" i="43" s="1"/>
  <c r="BN144" i="43"/>
  <c r="L144" i="43" s="1"/>
  <c r="BV144" i="43"/>
  <c r="T144" i="43" s="1"/>
  <c r="BP144" i="43"/>
  <c r="N144" i="43" s="1"/>
  <c r="CF144" i="43"/>
  <c r="AD144" i="43" s="1"/>
  <c r="BK144" i="43"/>
  <c r="I144" i="43" s="1"/>
  <c r="CA144" i="43"/>
  <c r="Y144" i="43" s="1"/>
  <c r="AF279" i="43"/>
  <c r="AB279" i="43"/>
  <c r="X279" i="43"/>
  <c r="T279" i="43"/>
  <c r="P279" i="43"/>
  <c r="L279" i="43"/>
  <c r="H279" i="43"/>
  <c r="AE279" i="43"/>
  <c r="AA279" i="43"/>
  <c r="W279" i="43"/>
  <c r="S279" i="43"/>
  <c r="O279" i="43"/>
  <c r="K279" i="43"/>
  <c r="G279" i="43"/>
  <c r="AD279" i="43"/>
  <c r="V279" i="43"/>
  <c r="N279" i="43"/>
  <c r="Z279" i="43"/>
  <c r="Q279" i="43"/>
  <c r="U279" i="43"/>
  <c r="J279" i="43"/>
  <c r="AC279" i="43"/>
  <c r="I279" i="43"/>
  <c r="R279" i="43"/>
  <c r="M279" i="43"/>
  <c r="Y279" i="43"/>
  <c r="AF297" i="43"/>
  <c r="AB297" i="43"/>
  <c r="X297" i="43"/>
  <c r="T297" i="43"/>
  <c r="P297" i="43"/>
  <c r="L297" i="43"/>
  <c r="H297" i="43"/>
  <c r="AE297" i="43"/>
  <c r="AA297" i="43"/>
  <c r="W297" i="43"/>
  <c r="S297" i="43"/>
  <c r="O297" i="43"/>
  <c r="K297" i="43"/>
  <c r="G297" i="43"/>
  <c r="AD297" i="43"/>
  <c r="V297" i="43"/>
  <c r="N297" i="43"/>
  <c r="Y297" i="43"/>
  <c r="M297" i="43"/>
  <c r="AC297" i="43"/>
  <c r="R297" i="43"/>
  <c r="I297" i="43"/>
  <c r="Q297" i="43"/>
  <c r="Z297" i="43"/>
  <c r="U297" i="43"/>
  <c r="J297" i="43"/>
  <c r="CG125" i="43"/>
  <c r="AE125" i="43" s="1"/>
  <c r="CC125" i="43"/>
  <c r="AA125" i="43" s="1"/>
  <c r="BY125" i="43"/>
  <c r="W125" i="43" s="1"/>
  <c r="BU125" i="43"/>
  <c r="S125" i="43" s="1"/>
  <c r="BQ125" i="43"/>
  <c r="O125" i="43" s="1"/>
  <c r="BM125" i="43"/>
  <c r="K125" i="43" s="1"/>
  <c r="BI125" i="43"/>
  <c r="G125" i="43" s="1"/>
  <c r="CF125" i="43"/>
  <c r="AD125" i="43" s="1"/>
  <c r="CA125" i="43"/>
  <c r="Y125" i="43" s="1"/>
  <c r="BV125" i="43"/>
  <c r="T125" i="43" s="1"/>
  <c r="BP125" i="43"/>
  <c r="N125" i="43" s="1"/>
  <c r="BK125" i="43"/>
  <c r="I125" i="43" s="1"/>
  <c r="BX125" i="43"/>
  <c r="V125" i="43" s="1"/>
  <c r="BN125" i="43"/>
  <c r="L125" i="43" s="1"/>
  <c r="CE125" i="43"/>
  <c r="AC125" i="43" s="1"/>
  <c r="BZ125" i="43"/>
  <c r="X125" i="43" s="1"/>
  <c r="BT125" i="43"/>
  <c r="R125" i="43" s="1"/>
  <c r="BO125" i="43"/>
  <c r="M125" i="43" s="1"/>
  <c r="BJ125" i="43"/>
  <c r="H125" i="43" s="1"/>
  <c r="CD125" i="43"/>
  <c r="AB125" i="43" s="1"/>
  <c r="BS125" i="43"/>
  <c r="Q125" i="43" s="1"/>
  <c r="BR125" i="43"/>
  <c r="P125" i="43" s="1"/>
  <c r="CH125" i="43"/>
  <c r="AF125" i="43" s="1"/>
  <c r="BL125" i="43"/>
  <c r="J125" i="43" s="1"/>
  <c r="CB125" i="43"/>
  <c r="Z125" i="43" s="1"/>
  <c r="BW125" i="43"/>
  <c r="U125" i="43" s="1"/>
  <c r="CG129" i="43"/>
  <c r="AE129" i="43" s="1"/>
  <c r="CC129" i="43"/>
  <c r="AA129" i="43" s="1"/>
  <c r="BY129" i="43"/>
  <c r="W129" i="43" s="1"/>
  <c r="BU129" i="43"/>
  <c r="S129" i="43" s="1"/>
  <c r="BQ129" i="43"/>
  <c r="O129" i="43" s="1"/>
  <c r="BM129" i="43"/>
  <c r="K129" i="43" s="1"/>
  <c r="BI129" i="43"/>
  <c r="G129" i="43" s="1"/>
  <c r="CF129" i="43"/>
  <c r="AD129" i="43" s="1"/>
  <c r="CA129" i="43"/>
  <c r="Y129" i="43" s="1"/>
  <c r="BV129" i="43"/>
  <c r="T129" i="43" s="1"/>
  <c r="BP129" i="43"/>
  <c r="N129" i="43" s="1"/>
  <c r="BK129" i="43"/>
  <c r="I129" i="43" s="1"/>
  <c r="CD129" i="43"/>
  <c r="AB129" i="43" s="1"/>
  <c r="BS129" i="43"/>
  <c r="Q129" i="43" s="1"/>
  <c r="CE129" i="43"/>
  <c r="AC129" i="43" s="1"/>
  <c r="BZ129" i="43"/>
  <c r="X129" i="43" s="1"/>
  <c r="BT129" i="43"/>
  <c r="R129" i="43" s="1"/>
  <c r="BO129" i="43"/>
  <c r="M129" i="43" s="1"/>
  <c r="BJ129" i="43"/>
  <c r="H129" i="43" s="1"/>
  <c r="BX129" i="43"/>
  <c r="V129" i="43" s="1"/>
  <c r="BN129" i="43"/>
  <c r="L129" i="43" s="1"/>
  <c r="BW129" i="43"/>
  <c r="U129" i="43" s="1"/>
  <c r="BR129" i="43"/>
  <c r="P129" i="43" s="1"/>
  <c r="CH129" i="43"/>
  <c r="AF129" i="43" s="1"/>
  <c r="BL129" i="43"/>
  <c r="J129" i="43" s="1"/>
  <c r="CB129" i="43"/>
  <c r="Z129" i="43" s="1"/>
  <c r="CG147" i="43"/>
  <c r="AE147" i="43" s="1"/>
  <c r="CC147" i="43"/>
  <c r="AA147" i="43" s="1"/>
  <c r="BY147" i="43"/>
  <c r="W147" i="43" s="1"/>
  <c r="BU147" i="43"/>
  <c r="S147" i="43" s="1"/>
  <c r="BQ147" i="43"/>
  <c r="O147" i="43" s="1"/>
  <c r="BM147" i="43"/>
  <c r="K147" i="43" s="1"/>
  <c r="BI147" i="43"/>
  <c r="G147" i="43" s="1"/>
  <c r="CH147" i="43"/>
  <c r="AF147" i="43" s="1"/>
  <c r="CB147" i="43"/>
  <c r="Z147" i="43" s="1"/>
  <c r="BW147" i="43"/>
  <c r="U147" i="43" s="1"/>
  <c r="BR147" i="43"/>
  <c r="P147" i="43" s="1"/>
  <c r="BL147" i="43"/>
  <c r="J147" i="43" s="1"/>
  <c r="CF147" i="43"/>
  <c r="AD147" i="43" s="1"/>
  <c r="CA147" i="43"/>
  <c r="Y147" i="43" s="1"/>
  <c r="BV147" i="43"/>
  <c r="T147" i="43" s="1"/>
  <c r="BP147" i="43"/>
  <c r="N147" i="43" s="1"/>
  <c r="BK147" i="43"/>
  <c r="I147" i="43" s="1"/>
  <c r="CE147" i="43"/>
  <c r="AC147" i="43" s="1"/>
  <c r="BZ147" i="43"/>
  <c r="X147" i="43" s="1"/>
  <c r="BT147" i="43"/>
  <c r="R147" i="43" s="1"/>
  <c r="BO147" i="43"/>
  <c r="M147" i="43" s="1"/>
  <c r="BJ147" i="43"/>
  <c r="H147" i="43" s="1"/>
  <c r="BN147" i="43"/>
  <c r="L147" i="43" s="1"/>
  <c r="CD147" i="43"/>
  <c r="AB147" i="43" s="1"/>
  <c r="BX147" i="43"/>
  <c r="V147" i="43" s="1"/>
  <c r="BS147" i="43"/>
  <c r="Q147" i="43" s="1"/>
  <c r="CG151" i="43"/>
  <c r="AE151" i="43" s="1"/>
  <c r="CC151" i="43"/>
  <c r="AA151" i="43" s="1"/>
  <c r="BY151" i="43"/>
  <c r="W151" i="43" s="1"/>
  <c r="BU151" i="43"/>
  <c r="S151" i="43" s="1"/>
  <c r="BQ151" i="43"/>
  <c r="O151" i="43" s="1"/>
  <c r="BM151" i="43"/>
  <c r="K151" i="43" s="1"/>
  <c r="BI151" i="43"/>
  <c r="G151" i="43" s="1"/>
  <c r="CF151" i="43"/>
  <c r="AD151" i="43" s="1"/>
  <c r="CA151" i="43"/>
  <c r="Y151" i="43" s="1"/>
  <c r="BV151" i="43"/>
  <c r="T151" i="43" s="1"/>
  <c r="BP151" i="43"/>
  <c r="N151" i="43" s="1"/>
  <c r="BK151" i="43"/>
  <c r="I151" i="43" s="1"/>
  <c r="BS151" i="43"/>
  <c r="Q151" i="43" s="1"/>
  <c r="CE151" i="43"/>
  <c r="AC151" i="43" s="1"/>
  <c r="BZ151" i="43"/>
  <c r="X151" i="43" s="1"/>
  <c r="BT151" i="43"/>
  <c r="R151" i="43" s="1"/>
  <c r="BO151" i="43"/>
  <c r="M151" i="43" s="1"/>
  <c r="BJ151" i="43"/>
  <c r="H151" i="43" s="1"/>
  <c r="CD151" i="43"/>
  <c r="AB151" i="43" s="1"/>
  <c r="BX151" i="43"/>
  <c r="V151" i="43" s="1"/>
  <c r="BN151" i="43"/>
  <c r="L151" i="43" s="1"/>
  <c r="CB151" i="43"/>
  <c r="Z151" i="43" s="1"/>
  <c r="BW151" i="43"/>
  <c r="U151" i="43" s="1"/>
  <c r="BR151" i="43"/>
  <c r="P151" i="43" s="1"/>
  <c r="CH151" i="43"/>
  <c r="AF151" i="43" s="1"/>
  <c r="BL151" i="43"/>
  <c r="J151" i="43" s="1"/>
  <c r="AD272" i="43"/>
  <c r="Z272" i="43"/>
  <c r="V272" i="43"/>
  <c r="R272" i="43"/>
  <c r="N272" i="43"/>
  <c r="J272" i="43"/>
  <c r="AC272" i="43"/>
  <c r="Y272" i="43"/>
  <c r="U272" i="43"/>
  <c r="Q272" i="43"/>
  <c r="M272" i="43"/>
  <c r="I272" i="43"/>
  <c r="AF272" i="43"/>
  <c r="X272" i="43"/>
  <c r="P272" i="43"/>
  <c r="H272" i="43"/>
  <c r="AB272" i="43"/>
  <c r="S272" i="43"/>
  <c r="G272" i="43"/>
  <c r="W272" i="43"/>
  <c r="L272" i="43"/>
  <c r="AE272" i="43"/>
  <c r="K272" i="43"/>
  <c r="T272" i="43"/>
  <c r="O272" i="43"/>
  <c r="AA272" i="43"/>
  <c r="AD280" i="43"/>
  <c r="Z280" i="43"/>
  <c r="V280" i="43"/>
  <c r="R280" i="43"/>
  <c r="N280" i="43"/>
  <c r="J280" i="43"/>
  <c r="AC280" i="43"/>
  <c r="Y280" i="43"/>
  <c r="U280" i="43"/>
  <c r="Q280" i="43"/>
  <c r="M280" i="43"/>
  <c r="I280" i="43"/>
  <c r="AB280" i="43"/>
  <c r="T280" i="43"/>
  <c r="L280" i="43"/>
  <c r="AF280" i="43"/>
  <c r="W280" i="43"/>
  <c r="K280" i="43"/>
  <c r="AA280" i="43"/>
  <c r="P280" i="43"/>
  <c r="G280" i="43"/>
  <c r="X280" i="43"/>
  <c r="O280" i="43"/>
  <c r="AE280" i="43"/>
  <c r="S280" i="43"/>
  <c r="H280" i="43"/>
  <c r="AD286" i="43"/>
  <c r="Z286" i="43"/>
  <c r="V286" i="43"/>
  <c r="R286" i="43"/>
  <c r="N286" i="43"/>
  <c r="J286" i="43"/>
  <c r="AC286" i="43"/>
  <c r="Y286" i="43"/>
  <c r="U286" i="43"/>
  <c r="Q286" i="43"/>
  <c r="M286" i="43"/>
  <c r="I286" i="43"/>
  <c r="AB286" i="43"/>
  <c r="T286" i="43"/>
  <c r="L286" i="43"/>
  <c r="X286" i="43"/>
  <c r="O286" i="43"/>
  <c r="AE286" i="43"/>
  <c r="S286" i="43"/>
  <c r="H286" i="43"/>
  <c r="AA286" i="43"/>
  <c r="G286" i="43"/>
  <c r="P286" i="43"/>
  <c r="K286" i="43"/>
  <c r="W286" i="43"/>
  <c r="AF286" i="43"/>
  <c r="AD292" i="43"/>
  <c r="Z292" i="43"/>
  <c r="V292" i="43"/>
  <c r="R292" i="43"/>
  <c r="N292" i="43"/>
  <c r="J292" i="43"/>
  <c r="AC292" i="43"/>
  <c r="Y292" i="43"/>
  <c r="U292" i="43"/>
  <c r="Q292" i="43"/>
  <c r="M292" i="43"/>
  <c r="I292" i="43"/>
  <c r="AB292" i="43"/>
  <c r="T292" i="43"/>
  <c r="L292" i="43"/>
  <c r="AA292" i="43"/>
  <c r="P292" i="43"/>
  <c r="G292" i="43"/>
  <c r="AF292" i="43"/>
  <c r="W292" i="43"/>
  <c r="K292" i="43"/>
  <c r="AE292" i="43"/>
  <c r="H292" i="43"/>
  <c r="S292" i="43"/>
  <c r="O292" i="43"/>
  <c r="X292" i="43"/>
  <c r="AD298" i="43"/>
  <c r="Z298" i="43"/>
  <c r="V298" i="43"/>
  <c r="R298" i="43"/>
  <c r="N298" i="43"/>
  <c r="J298" i="43"/>
  <c r="AC298" i="43"/>
  <c r="Y298" i="43"/>
  <c r="U298" i="43"/>
  <c r="Q298" i="43"/>
  <c r="M298" i="43"/>
  <c r="I298" i="43"/>
  <c r="AB298" i="43"/>
  <c r="T298" i="43"/>
  <c r="L298" i="43"/>
  <c r="AE298" i="43"/>
  <c r="S298" i="43"/>
  <c r="H298" i="43"/>
  <c r="X298" i="43"/>
  <c r="O298" i="43"/>
  <c r="AF298" i="43"/>
  <c r="K298" i="43"/>
  <c r="W298" i="43"/>
  <c r="P298" i="43"/>
  <c r="AA298" i="43"/>
  <c r="G298" i="43"/>
  <c r="AF301" i="43"/>
  <c r="AB301" i="43"/>
  <c r="X301" i="43"/>
  <c r="T301" i="43"/>
  <c r="P301" i="43"/>
  <c r="L301" i="43"/>
  <c r="H301" i="43"/>
  <c r="AE301" i="43"/>
  <c r="AA301" i="43"/>
  <c r="W301" i="43"/>
  <c r="S301" i="43"/>
  <c r="O301" i="43"/>
  <c r="K301" i="43"/>
  <c r="G301" i="43"/>
  <c r="AD301" i="43"/>
  <c r="V301" i="43"/>
  <c r="N301" i="43"/>
  <c r="Z301" i="43"/>
  <c r="Q301" i="43"/>
  <c r="U301" i="43"/>
  <c r="J301" i="43"/>
  <c r="R301" i="43"/>
  <c r="AC301" i="43"/>
  <c r="I301" i="43"/>
  <c r="Y301" i="43"/>
  <c r="M301" i="43"/>
  <c r="CG131" i="43"/>
  <c r="AE131" i="43" s="1"/>
  <c r="CC131" i="43"/>
  <c r="AA131" i="43" s="1"/>
  <c r="BY131" i="43"/>
  <c r="W131" i="43" s="1"/>
  <c r="BU131" i="43"/>
  <c r="S131" i="43" s="1"/>
  <c r="BQ131" i="43"/>
  <c r="O131" i="43" s="1"/>
  <c r="BM131" i="43"/>
  <c r="K131" i="43" s="1"/>
  <c r="BI131" i="43"/>
  <c r="G131" i="43" s="1"/>
  <c r="CF131" i="43"/>
  <c r="AD131" i="43" s="1"/>
  <c r="CA131" i="43"/>
  <c r="Y131" i="43" s="1"/>
  <c r="BV131" i="43"/>
  <c r="T131" i="43" s="1"/>
  <c r="BP131" i="43"/>
  <c r="N131" i="43" s="1"/>
  <c r="BK131" i="43"/>
  <c r="I131" i="43" s="1"/>
  <c r="CD131" i="43"/>
  <c r="AB131" i="43" s="1"/>
  <c r="BX131" i="43"/>
  <c r="V131" i="43" s="1"/>
  <c r="BN131" i="43"/>
  <c r="L131" i="43" s="1"/>
  <c r="CE131" i="43"/>
  <c r="AC131" i="43" s="1"/>
  <c r="BZ131" i="43"/>
  <c r="X131" i="43" s="1"/>
  <c r="BT131" i="43"/>
  <c r="R131" i="43" s="1"/>
  <c r="BO131" i="43"/>
  <c r="M131" i="43" s="1"/>
  <c r="BJ131" i="43"/>
  <c r="H131" i="43" s="1"/>
  <c r="BS131" i="43"/>
  <c r="Q131" i="43" s="1"/>
  <c r="CB131" i="43"/>
  <c r="Z131" i="43" s="1"/>
  <c r="BW131" i="43"/>
  <c r="U131" i="43" s="1"/>
  <c r="BR131" i="43"/>
  <c r="P131" i="43" s="1"/>
  <c r="CH131" i="43"/>
  <c r="AF131" i="43" s="1"/>
  <c r="BL131" i="43"/>
  <c r="J131" i="43" s="1"/>
  <c r="AD274" i="43"/>
  <c r="Z274" i="43"/>
  <c r="V274" i="43"/>
  <c r="R274" i="43"/>
  <c r="N274" i="43"/>
  <c r="J274" i="43"/>
  <c r="AC274" i="43"/>
  <c r="Y274" i="43"/>
  <c r="U274" i="43"/>
  <c r="Q274" i="43"/>
  <c r="M274" i="43"/>
  <c r="I274" i="43"/>
  <c r="AB274" i="43"/>
  <c r="T274" i="43"/>
  <c r="L274" i="43"/>
  <c r="AE274" i="43"/>
  <c r="S274" i="43"/>
  <c r="H274" i="43"/>
  <c r="X274" i="43"/>
  <c r="O274" i="43"/>
  <c r="W274" i="43"/>
  <c r="AF274" i="43"/>
  <c r="K274" i="43"/>
  <c r="G274" i="43"/>
  <c r="P274" i="43"/>
  <c r="AA274" i="43"/>
  <c r="AD284" i="43"/>
  <c r="Z284" i="43"/>
  <c r="V284" i="43"/>
  <c r="R284" i="43"/>
  <c r="N284" i="43"/>
  <c r="J284" i="43"/>
  <c r="AC284" i="43"/>
  <c r="Y284" i="43"/>
  <c r="U284" i="43"/>
  <c r="Q284" i="43"/>
  <c r="M284" i="43"/>
  <c r="I284" i="43"/>
  <c r="AF284" i="43"/>
  <c r="X284" i="43"/>
  <c r="P284" i="43"/>
  <c r="H284" i="43"/>
  <c r="W284" i="43"/>
  <c r="L284" i="43"/>
  <c r="AB284" i="43"/>
  <c r="S284" i="43"/>
  <c r="G284" i="43"/>
  <c r="O284" i="43"/>
  <c r="AA284" i="43"/>
  <c r="T284" i="43"/>
  <c r="AE284" i="43"/>
  <c r="K284" i="43"/>
  <c r="AD296" i="43"/>
  <c r="Z296" i="43"/>
  <c r="V296" i="43"/>
  <c r="R296" i="43"/>
  <c r="N296" i="43"/>
  <c r="J296" i="43"/>
  <c r="AC296" i="43"/>
  <c r="Y296" i="43"/>
  <c r="U296" i="43"/>
  <c r="Q296" i="43"/>
  <c r="M296" i="43"/>
  <c r="I296" i="43"/>
  <c r="AF296" i="43"/>
  <c r="X296" i="43"/>
  <c r="P296" i="43"/>
  <c r="H296" i="43"/>
  <c r="AB296" i="43"/>
  <c r="S296" i="43"/>
  <c r="G296" i="43"/>
  <c r="W296" i="43"/>
  <c r="L296" i="43"/>
  <c r="T296" i="43"/>
  <c r="AE296" i="43"/>
  <c r="K296" i="43"/>
  <c r="AA296" i="43"/>
  <c r="O296" i="43"/>
  <c r="CG122" i="43"/>
  <c r="AE122" i="43" s="1"/>
  <c r="CC122" i="43"/>
  <c r="AA122" i="43" s="1"/>
  <c r="BY122" i="43"/>
  <c r="W122" i="43" s="1"/>
  <c r="BU122" i="43"/>
  <c r="S122" i="43" s="1"/>
  <c r="BQ122" i="43"/>
  <c r="O122" i="43" s="1"/>
  <c r="BM122" i="43"/>
  <c r="K122" i="43" s="1"/>
  <c r="BI122" i="43"/>
  <c r="G122" i="43" s="1"/>
  <c r="CD122" i="43"/>
  <c r="AB122" i="43" s="1"/>
  <c r="BX122" i="43"/>
  <c r="V122" i="43" s="1"/>
  <c r="BS122" i="43"/>
  <c r="Q122" i="43" s="1"/>
  <c r="BN122" i="43"/>
  <c r="L122" i="43" s="1"/>
  <c r="CA122" i="43"/>
  <c r="Y122" i="43" s="1"/>
  <c r="BV122" i="43"/>
  <c r="T122" i="43" s="1"/>
  <c r="BK122" i="43"/>
  <c r="I122" i="43" s="1"/>
  <c r="CH122" i="43"/>
  <c r="AF122" i="43" s="1"/>
  <c r="CB122" i="43"/>
  <c r="Z122" i="43" s="1"/>
  <c r="BW122" i="43"/>
  <c r="U122" i="43" s="1"/>
  <c r="BR122" i="43"/>
  <c r="P122" i="43" s="1"/>
  <c r="BL122" i="43"/>
  <c r="J122" i="43" s="1"/>
  <c r="CF122" i="43"/>
  <c r="AD122" i="43" s="1"/>
  <c r="BP122" i="43"/>
  <c r="N122" i="43" s="1"/>
  <c r="BO122" i="43"/>
  <c r="M122" i="43" s="1"/>
  <c r="CE122" i="43"/>
  <c r="AC122" i="43" s="1"/>
  <c r="BJ122" i="43"/>
  <c r="H122" i="43" s="1"/>
  <c r="BZ122" i="43"/>
  <c r="X122" i="43" s="1"/>
  <c r="BT122" i="43"/>
  <c r="R122" i="43" s="1"/>
  <c r="CG128" i="43"/>
  <c r="AE128" i="43" s="1"/>
  <c r="CC128" i="43"/>
  <c r="AA128" i="43" s="1"/>
  <c r="BY128" i="43"/>
  <c r="W128" i="43" s="1"/>
  <c r="BU128" i="43"/>
  <c r="S128" i="43" s="1"/>
  <c r="BQ128" i="43"/>
  <c r="O128" i="43" s="1"/>
  <c r="BM128" i="43"/>
  <c r="K128" i="43" s="1"/>
  <c r="BI128" i="43"/>
  <c r="G128" i="43" s="1"/>
  <c r="CD128" i="43"/>
  <c r="AB128" i="43" s="1"/>
  <c r="BX128" i="43"/>
  <c r="V128" i="43" s="1"/>
  <c r="BS128" i="43"/>
  <c r="Q128" i="43" s="1"/>
  <c r="BN128" i="43"/>
  <c r="L128" i="43" s="1"/>
  <c r="CF128" i="43"/>
  <c r="AD128" i="43" s="1"/>
  <c r="BV128" i="43"/>
  <c r="T128" i="43" s="1"/>
  <c r="BK128" i="43"/>
  <c r="I128" i="43" s="1"/>
  <c r="CH128" i="43"/>
  <c r="AF128" i="43" s="1"/>
  <c r="CB128" i="43"/>
  <c r="Z128" i="43" s="1"/>
  <c r="BW128" i="43"/>
  <c r="U128" i="43" s="1"/>
  <c r="BR128" i="43"/>
  <c r="P128" i="43" s="1"/>
  <c r="BL128" i="43"/>
  <c r="J128" i="43" s="1"/>
  <c r="CA128" i="43"/>
  <c r="Y128" i="43" s="1"/>
  <c r="BP128" i="43"/>
  <c r="N128" i="43" s="1"/>
  <c r="BZ128" i="43"/>
  <c r="X128" i="43" s="1"/>
  <c r="BT128" i="43"/>
  <c r="R128" i="43" s="1"/>
  <c r="BO128" i="43"/>
  <c r="M128" i="43" s="1"/>
  <c r="CE128" i="43"/>
  <c r="AC128" i="43" s="1"/>
  <c r="BJ128" i="43"/>
  <c r="H128" i="43" s="1"/>
  <c r="AF273" i="43"/>
  <c r="AB273" i="43"/>
  <c r="X273" i="43"/>
  <c r="T273" i="43"/>
  <c r="P273" i="43"/>
  <c r="L273" i="43"/>
  <c r="H273" i="43"/>
  <c r="AE273" i="43"/>
  <c r="AA273" i="43"/>
  <c r="W273" i="43"/>
  <c r="S273" i="43"/>
  <c r="O273" i="43"/>
  <c r="K273" i="43"/>
  <c r="G273" i="43"/>
  <c r="AD273" i="43"/>
  <c r="V273" i="43"/>
  <c r="N273" i="43"/>
  <c r="Y273" i="43"/>
  <c r="M273" i="43"/>
  <c r="AC273" i="43"/>
  <c r="R273" i="43"/>
  <c r="I273" i="43"/>
  <c r="Z273" i="43"/>
  <c r="Q273" i="43"/>
  <c r="U273" i="43"/>
  <c r="J273" i="43"/>
  <c r="AF285" i="43"/>
  <c r="AB285" i="43"/>
  <c r="X285" i="43"/>
  <c r="T285" i="43"/>
  <c r="P285" i="43"/>
  <c r="L285" i="43"/>
  <c r="H285" i="43"/>
  <c r="AE285" i="43"/>
  <c r="AA285" i="43"/>
  <c r="W285" i="43"/>
  <c r="S285" i="43"/>
  <c r="O285" i="43"/>
  <c r="K285" i="43"/>
  <c r="G285" i="43"/>
  <c r="AD285" i="43"/>
  <c r="V285" i="43"/>
  <c r="N285" i="43"/>
  <c r="AC285" i="43"/>
  <c r="R285" i="43"/>
  <c r="I285" i="43"/>
  <c r="Y285" i="43"/>
  <c r="M285" i="43"/>
  <c r="J285" i="43"/>
  <c r="U285" i="43"/>
  <c r="Z285" i="43"/>
  <c r="Q285" i="43"/>
  <c r="AF291" i="43"/>
  <c r="AB291" i="43"/>
  <c r="X291" i="43"/>
  <c r="T291" i="43"/>
  <c r="P291" i="43"/>
  <c r="L291" i="43"/>
  <c r="H291" i="43"/>
  <c r="AE291" i="43"/>
  <c r="AA291" i="43"/>
  <c r="W291" i="43"/>
  <c r="S291" i="43"/>
  <c r="O291" i="43"/>
  <c r="K291" i="43"/>
  <c r="G291" i="43"/>
  <c r="AD291" i="43"/>
  <c r="V291" i="43"/>
  <c r="N291" i="43"/>
  <c r="U291" i="43"/>
  <c r="J291" i="43"/>
  <c r="Z291" i="43"/>
  <c r="Q291" i="43"/>
  <c r="M291" i="43"/>
  <c r="Y291" i="43"/>
  <c r="R291" i="43"/>
  <c r="AC291" i="43"/>
  <c r="I291" i="43"/>
  <c r="CG124" i="43"/>
  <c r="AE124" i="43" s="1"/>
  <c r="CC124" i="43"/>
  <c r="AA124" i="43" s="1"/>
  <c r="BY124" i="43"/>
  <c r="W124" i="43" s="1"/>
  <c r="BU124" i="43"/>
  <c r="S124" i="43" s="1"/>
  <c r="BQ124" i="43"/>
  <c r="O124" i="43" s="1"/>
  <c r="BM124" i="43"/>
  <c r="K124" i="43" s="1"/>
  <c r="BI124" i="43"/>
  <c r="G124" i="43" s="1"/>
  <c r="CD124" i="43"/>
  <c r="AB124" i="43" s="1"/>
  <c r="BX124" i="43"/>
  <c r="V124" i="43" s="1"/>
  <c r="BS124" i="43"/>
  <c r="Q124" i="43" s="1"/>
  <c r="BN124" i="43"/>
  <c r="L124" i="43" s="1"/>
  <c r="CF124" i="43"/>
  <c r="AD124" i="43" s="1"/>
  <c r="BV124" i="43"/>
  <c r="T124" i="43" s="1"/>
  <c r="BK124" i="43"/>
  <c r="I124" i="43" s="1"/>
  <c r="CH124" i="43"/>
  <c r="AF124" i="43" s="1"/>
  <c r="CB124" i="43"/>
  <c r="Z124" i="43" s="1"/>
  <c r="BW124" i="43"/>
  <c r="U124" i="43" s="1"/>
  <c r="BR124" i="43"/>
  <c r="P124" i="43" s="1"/>
  <c r="BL124" i="43"/>
  <c r="J124" i="43" s="1"/>
  <c r="CA124" i="43"/>
  <c r="Y124" i="43" s="1"/>
  <c r="BP124" i="43"/>
  <c r="N124" i="43" s="1"/>
  <c r="BT124" i="43"/>
  <c r="R124" i="43" s="1"/>
  <c r="BO124" i="43"/>
  <c r="M124" i="43" s="1"/>
  <c r="CE124" i="43"/>
  <c r="AC124" i="43" s="1"/>
  <c r="BJ124" i="43"/>
  <c r="H124" i="43" s="1"/>
  <c r="BZ124" i="43"/>
  <c r="X124" i="43" s="1"/>
  <c r="CG130" i="43"/>
  <c r="AE130" i="43" s="1"/>
  <c r="CC130" i="43"/>
  <c r="AA130" i="43" s="1"/>
  <c r="BY130" i="43"/>
  <c r="W130" i="43" s="1"/>
  <c r="BU130" i="43"/>
  <c r="S130" i="43" s="1"/>
  <c r="BQ130" i="43"/>
  <c r="O130" i="43" s="1"/>
  <c r="BM130" i="43"/>
  <c r="K130" i="43" s="1"/>
  <c r="BI130" i="43"/>
  <c r="G130" i="43" s="1"/>
  <c r="CD130" i="43"/>
  <c r="AB130" i="43" s="1"/>
  <c r="BX130" i="43"/>
  <c r="V130" i="43" s="1"/>
  <c r="BS130" i="43"/>
  <c r="Q130" i="43" s="1"/>
  <c r="BN130" i="43"/>
  <c r="L130" i="43" s="1"/>
  <c r="CA130" i="43"/>
  <c r="Y130" i="43" s="1"/>
  <c r="BP130" i="43"/>
  <c r="N130" i="43" s="1"/>
  <c r="CH130" i="43"/>
  <c r="AF130" i="43" s="1"/>
  <c r="CB130" i="43"/>
  <c r="Z130" i="43" s="1"/>
  <c r="BW130" i="43"/>
  <c r="U130" i="43" s="1"/>
  <c r="BR130" i="43"/>
  <c r="P130" i="43" s="1"/>
  <c r="BL130" i="43"/>
  <c r="J130" i="43" s="1"/>
  <c r="CF130" i="43"/>
  <c r="AD130" i="43" s="1"/>
  <c r="BV130" i="43"/>
  <c r="T130" i="43" s="1"/>
  <c r="BK130" i="43"/>
  <c r="I130" i="43" s="1"/>
  <c r="CE130" i="43"/>
  <c r="AC130" i="43" s="1"/>
  <c r="BJ130" i="43"/>
  <c r="H130" i="43" s="1"/>
  <c r="BZ130" i="43"/>
  <c r="X130" i="43" s="1"/>
  <c r="BT130" i="43"/>
  <c r="R130" i="43" s="1"/>
  <c r="BO130" i="43"/>
  <c r="M130" i="43" s="1"/>
  <c r="CG148" i="43"/>
  <c r="AE148" i="43" s="1"/>
  <c r="CC148" i="43"/>
  <c r="AA148" i="43" s="1"/>
  <c r="BY148" i="43"/>
  <c r="W148" i="43" s="1"/>
  <c r="BU148" i="43"/>
  <c r="S148" i="43" s="1"/>
  <c r="BQ148" i="43"/>
  <c r="O148" i="43" s="1"/>
  <c r="BM148" i="43"/>
  <c r="K148" i="43" s="1"/>
  <c r="BI148" i="43"/>
  <c r="G148" i="43" s="1"/>
  <c r="CE148" i="43"/>
  <c r="AC148" i="43" s="1"/>
  <c r="BZ148" i="43"/>
  <c r="X148" i="43" s="1"/>
  <c r="BT148" i="43"/>
  <c r="R148" i="43" s="1"/>
  <c r="BO148" i="43"/>
  <c r="M148" i="43" s="1"/>
  <c r="BJ148" i="43"/>
  <c r="H148" i="43" s="1"/>
  <c r="CD148" i="43"/>
  <c r="AB148" i="43" s="1"/>
  <c r="BX148" i="43"/>
  <c r="V148" i="43" s="1"/>
  <c r="BS148" i="43"/>
  <c r="Q148" i="43" s="1"/>
  <c r="BN148" i="43"/>
  <c r="L148" i="43" s="1"/>
  <c r="CH148" i="43"/>
  <c r="AF148" i="43" s="1"/>
  <c r="CB148" i="43"/>
  <c r="Z148" i="43" s="1"/>
  <c r="BW148" i="43"/>
  <c r="U148" i="43" s="1"/>
  <c r="BR148" i="43"/>
  <c r="P148" i="43" s="1"/>
  <c r="BL148" i="43"/>
  <c r="J148" i="43" s="1"/>
  <c r="CA148" i="43"/>
  <c r="Y148" i="43" s="1"/>
  <c r="BV148" i="43"/>
  <c r="T148" i="43" s="1"/>
  <c r="BP148" i="43"/>
  <c r="N148" i="43" s="1"/>
  <c r="CF148" i="43"/>
  <c r="AD148" i="43" s="1"/>
  <c r="BK148" i="43"/>
  <c r="I148" i="43" s="1"/>
  <c r="AF271" i="43"/>
  <c r="AB271" i="43"/>
  <c r="X271" i="43"/>
  <c r="T271" i="43"/>
  <c r="P271" i="43"/>
  <c r="L271" i="43"/>
  <c r="H271" i="43"/>
  <c r="AE271" i="43"/>
  <c r="AA271" i="43"/>
  <c r="W271" i="43"/>
  <c r="S271" i="43"/>
  <c r="O271" i="43"/>
  <c r="K271" i="43"/>
  <c r="G271" i="43"/>
  <c r="Z271" i="43"/>
  <c r="R271" i="43"/>
  <c r="J271" i="43"/>
  <c r="V271" i="43"/>
  <c r="M271" i="43"/>
  <c r="AC271" i="43"/>
  <c r="Q271" i="43"/>
  <c r="N271" i="43"/>
  <c r="Y271" i="43"/>
  <c r="I271" i="43"/>
  <c r="AD271" i="43"/>
  <c r="U271" i="43"/>
  <c r="AF277" i="43"/>
  <c r="AB277" i="43"/>
  <c r="X277" i="43"/>
  <c r="T277" i="43"/>
  <c r="P277" i="43"/>
  <c r="L277" i="43"/>
  <c r="H277" i="43"/>
  <c r="AE277" i="43"/>
  <c r="AA277" i="43"/>
  <c r="W277" i="43"/>
  <c r="S277" i="43"/>
  <c r="O277" i="43"/>
  <c r="K277" i="43"/>
  <c r="G277" i="43"/>
  <c r="Z277" i="43"/>
  <c r="R277" i="43"/>
  <c r="J277" i="43"/>
  <c r="Y277" i="43"/>
  <c r="N277" i="43"/>
  <c r="AD277" i="43"/>
  <c r="U277" i="43"/>
  <c r="I277" i="43"/>
  <c r="Q277" i="43"/>
  <c r="AC277" i="43"/>
  <c r="V277" i="43"/>
  <c r="M277" i="43"/>
  <c r="AF283" i="43"/>
  <c r="AB283" i="43"/>
  <c r="X283" i="43"/>
  <c r="T283" i="43"/>
  <c r="P283" i="43"/>
  <c r="L283" i="43"/>
  <c r="H283" i="43"/>
  <c r="AE283" i="43"/>
  <c r="AA283" i="43"/>
  <c r="W283" i="43"/>
  <c r="S283" i="43"/>
  <c r="O283" i="43"/>
  <c r="K283" i="43"/>
  <c r="G283" i="43"/>
  <c r="Z283" i="43"/>
  <c r="R283" i="43"/>
  <c r="J283" i="43"/>
  <c r="AC283" i="43"/>
  <c r="Q283" i="43"/>
  <c r="V283" i="43"/>
  <c r="M283" i="43"/>
  <c r="U283" i="43"/>
  <c r="AD283" i="43"/>
  <c r="I283" i="43"/>
  <c r="N283" i="43"/>
  <c r="Y283" i="43"/>
  <c r="AF289" i="43"/>
  <c r="AB289" i="43"/>
  <c r="X289" i="43"/>
  <c r="T289" i="43"/>
  <c r="P289" i="43"/>
  <c r="L289" i="43"/>
  <c r="H289" i="43"/>
  <c r="AE289" i="43"/>
  <c r="AA289" i="43"/>
  <c r="W289" i="43"/>
  <c r="S289" i="43"/>
  <c r="O289" i="43"/>
  <c r="K289" i="43"/>
  <c r="G289" i="43"/>
  <c r="Z289" i="43"/>
  <c r="R289" i="43"/>
  <c r="J289" i="43"/>
  <c r="AD289" i="43"/>
  <c r="U289" i="43"/>
  <c r="I289" i="43"/>
  <c r="Y289" i="43"/>
  <c r="N289" i="43"/>
  <c r="V289" i="43"/>
  <c r="M289" i="43"/>
  <c r="AC289" i="43"/>
  <c r="Q289" i="43"/>
  <c r="AF293" i="43"/>
  <c r="AB293" i="43"/>
  <c r="X293" i="43"/>
  <c r="T293" i="43"/>
  <c r="P293" i="43"/>
  <c r="L293" i="43"/>
  <c r="H293" i="43"/>
  <c r="AE293" i="43"/>
  <c r="AA293" i="43"/>
  <c r="W293" i="43"/>
  <c r="S293" i="43"/>
  <c r="O293" i="43"/>
  <c r="K293" i="43"/>
  <c r="G293" i="43"/>
  <c r="Z293" i="43"/>
  <c r="R293" i="43"/>
  <c r="J293" i="43"/>
  <c r="V293" i="43"/>
  <c r="M293" i="43"/>
  <c r="AC293" i="43"/>
  <c r="Q293" i="43"/>
  <c r="Y293" i="43"/>
  <c r="N293" i="43"/>
  <c r="I293" i="43"/>
  <c r="U293" i="43"/>
  <c r="AD293" i="43"/>
  <c r="AF299" i="43"/>
  <c r="AB299" i="43"/>
  <c r="X299" i="43"/>
  <c r="T299" i="43"/>
  <c r="P299" i="43"/>
  <c r="L299" i="43"/>
  <c r="H299" i="43"/>
  <c r="AE299" i="43"/>
  <c r="AA299" i="43"/>
  <c r="W299" i="43"/>
  <c r="S299" i="43"/>
  <c r="O299" i="43"/>
  <c r="K299" i="43"/>
  <c r="G299" i="43"/>
  <c r="Z299" i="43"/>
  <c r="R299" i="43"/>
  <c r="J299" i="43"/>
  <c r="Y299" i="43"/>
  <c r="N299" i="43"/>
  <c r="AD299" i="43"/>
  <c r="U299" i="43"/>
  <c r="I299" i="43"/>
  <c r="AC299" i="43"/>
  <c r="Q299" i="43"/>
  <c r="V299" i="43"/>
  <c r="M299" i="43"/>
  <c r="AF76" i="39"/>
  <c r="AE76" i="39"/>
  <c r="AD76" i="39"/>
  <c r="AC76" i="39"/>
  <c r="AB76" i="39"/>
  <c r="AA76" i="39"/>
  <c r="Z76" i="39"/>
  <c r="Y76" i="39"/>
  <c r="X76" i="39"/>
  <c r="W76" i="39"/>
  <c r="V76" i="39"/>
  <c r="U76" i="39"/>
  <c r="T76" i="39"/>
  <c r="S76" i="39"/>
  <c r="R76" i="39"/>
  <c r="Q76" i="39"/>
  <c r="P76" i="39"/>
  <c r="O76" i="39"/>
  <c r="N76" i="39"/>
  <c r="M76" i="39"/>
  <c r="L76" i="39"/>
  <c r="K76" i="39"/>
  <c r="J76" i="39"/>
  <c r="I76" i="39"/>
  <c r="H76" i="39"/>
  <c r="G76" i="39"/>
  <c r="AF75" i="39"/>
  <c r="AE75" i="39"/>
  <c r="AD75" i="39"/>
  <c r="AC75" i="39"/>
  <c r="AB75" i="39"/>
  <c r="AA75" i="39"/>
  <c r="Z75" i="39"/>
  <c r="Y75" i="39"/>
  <c r="X75" i="39"/>
  <c r="W75" i="39"/>
  <c r="V75" i="39"/>
  <c r="U75" i="39"/>
  <c r="T75" i="39"/>
  <c r="S75" i="39"/>
  <c r="R75" i="39"/>
  <c r="Q75" i="39"/>
  <c r="P75" i="39"/>
  <c r="O75" i="39"/>
  <c r="N75" i="39"/>
  <c r="M75" i="39"/>
  <c r="L75" i="39"/>
  <c r="K75" i="39"/>
  <c r="J75" i="39"/>
  <c r="I75" i="39"/>
  <c r="H75" i="39"/>
  <c r="G75" i="39"/>
  <c r="AF74" i="39"/>
  <c r="AE74" i="39"/>
  <c r="AD74" i="39"/>
  <c r="AC74" i="39"/>
  <c r="AB74" i="39"/>
  <c r="AA74" i="39"/>
  <c r="Z74" i="39"/>
  <c r="Y74" i="39"/>
  <c r="X74" i="39"/>
  <c r="W74" i="39"/>
  <c r="V74" i="39"/>
  <c r="U74" i="39"/>
  <c r="T74" i="39"/>
  <c r="S74" i="39"/>
  <c r="R74" i="39"/>
  <c r="Q74" i="39"/>
  <c r="P74" i="39"/>
  <c r="O74" i="39"/>
  <c r="N74" i="39"/>
  <c r="M74" i="39"/>
  <c r="L74" i="39"/>
  <c r="K74" i="39"/>
  <c r="J74" i="39"/>
  <c r="I74" i="39"/>
  <c r="H74" i="39"/>
  <c r="G74" i="39"/>
  <c r="AF73" i="39"/>
  <c r="AE73" i="39"/>
  <c r="AD73" i="39"/>
  <c r="AC73" i="39"/>
  <c r="AB73" i="39"/>
  <c r="AA73" i="39"/>
  <c r="Z73" i="39"/>
  <c r="Y73" i="39"/>
  <c r="X73" i="39"/>
  <c r="W73" i="39"/>
  <c r="V73" i="39"/>
  <c r="U73" i="39"/>
  <c r="T73" i="39"/>
  <c r="S73" i="39"/>
  <c r="R73" i="39"/>
  <c r="Q73" i="39"/>
  <c r="P73" i="39"/>
  <c r="O73" i="39"/>
  <c r="N73" i="39"/>
  <c r="M73" i="39"/>
  <c r="L73" i="39"/>
  <c r="K73" i="39"/>
  <c r="J73" i="39"/>
  <c r="I73" i="39"/>
  <c r="H73" i="39"/>
  <c r="G73" i="39"/>
  <c r="AF72" i="39"/>
  <c r="AE72" i="39"/>
  <c r="AD72" i="39"/>
  <c r="AC72" i="39"/>
  <c r="AB72" i="39"/>
  <c r="AA72" i="39"/>
  <c r="Z72" i="39"/>
  <c r="Y72" i="39"/>
  <c r="X72" i="39"/>
  <c r="W72" i="39"/>
  <c r="V72" i="39"/>
  <c r="U72" i="39"/>
  <c r="T72" i="39"/>
  <c r="S72" i="39"/>
  <c r="R72" i="39"/>
  <c r="Q72" i="39"/>
  <c r="P72" i="39"/>
  <c r="O72" i="39"/>
  <c r="N72" i="39"/>
  <c r="M72" i="39"/>
  <c r="L72" i="39"/>
  <c r="K72" i="39"/>
  <c r="J72" i="39"/>
  <c r="I72" i="39"/>
  <c r="H72" i="39"/>
  <c r="G72" i="39"/>
  <c r="AF71" i="39"/>
  <c r="AE71" i="39"/>
  <c r="AD71" i="39"/>
  <c r="AC71" i="39"/>
  <c r="AB71" i="39"/>
  <c r="AA71" i="39"/>
  <c r="Z71" i="39"/>
  <c r="Y71" i="39"/>
  <c r="X71" i="39"/>
  <c r="W71" i="39"/>
  <c r="V71" i="39"/>
  <c r="U71" i="39"/>
  <c r="T71" i="39"/>
  <c r="S71" i="39"/>
  <c r="R71" i="39"/>
  <c r="Q71" i="39"/>
  <c r="P71" i="39"/>
  <c r="O71" i="39"/>
  <c r="N71" i="39"/>
  <c r="M71" i="39"/>
  <c r="L71" i="39"/>
  <c r="K71" i="39"/>
  <c r="J71" i="39"/>
  <c r="I71" i="39"/>
  <c r="H71" i="39"/>
  <c r="G71" i="39"/>
  <c r="AF68" i="39"/>
  <c r="AE68" i="39"/>
  <c r="AD68" i="39"/>
  <c r="AC68" i="39"/>
  <c r="AB68" i="39"/>
  <c r="AA68" i="39"/>
  <c r="Z68" i="39"/>
  <c r="Y68" i="39"/>
  <c r="X68" i="39"/>
  <c r="W68" i="39"/>
  <c r="V68" i="39"/>
  <c r="U68" i="39"/>
  <c r="T68" i="39"/>
  <c r="S68" i="39"/>
  <c r="R68" i="39"/>
  <c r="Q68" i="39"/>
  <c r="P68" i="39"/>
  <c r="O68" i="39"/>
  <c r="N68" i="39"/>
  <c r="M68" i="39"/>
  <c r="L68" i="39"/>
  <c r="K68" i="39"/>
  <c r="J68" i="39"/>
  <c r="I68" i="39"/>
  <c r="H68" i="39"/>
  <c r="G68" i="39"/>
  <c r="AF67" i="39"/>
  <c r="AE67" i="39"/>
  <c r="AD67" i="39"/>
  <c r="AC67" i="39"/>
  <c r="AB67" i="39"/>
  <c r="AA67" i="39"/>
  <c r="Z67" i="39"/>
  <c r="Y67" i="39"/>
  <c r="X67" i="39"/>
  <c r="W67" i="39"/>
  <c r="V67" i="39"/>
  <c r="U67" i="39"/>
  <c r="T67" i="39"/>
  <c r="S67" i="39"/>
  <c r="R67" i="39"/>
  <c r="Q67" i="39"/>
  <c r="P67" i="39"/>
  <c r="O67" i="39"/>
  <c r="N67" i="39"/>
  <c r="M67" i="39"/>
  <c r="L67" i="39"/>
  <c r="K67" i="39"/>
  <c r="J67" i="39"/>
  <c r="I67" i="39"/>
  <c r="H67" i="39"/>
  <c r="G67" i="39"/>
  <c r="AF66" i="39"/>
  <c r="AE66" i="39"/>
  <c r="AD66" i="39"/>
  <c r="AC66" i="39"/>
  <c r="AB66" i="39"/>
  <c r="AA66" i="39"/>
  <c r="Z66" i="39"/>
  <c r="Y66" i="39"/>
  <c r="X66" i="39"/>
  <c r="W66" i="39"/>
  <c r="V66" i="39"/>
  <c r="U66" i="39"/>
  <c r="T66" i="39"/>
  <c r="S66" i="39"/>
  <c r="R66" i="39"/>
  <c r="Q66" i="39"/>
  <c r="P66" i="39"/>
  <c r="O66" i="39"/>
  <c r="N66" i="39"/>
  <c r="M66" i="39"/>
  <c r="L66" i="39"/>
  <c r="K66" i="39"/>
  <c r="J66" i="39"/>
  <c r="I66" i="39"/>
  <c r="H66" i="39"/>
  <c r="G66" i="39"/>
  <c r="AF65" i="39"/>
  <c r="AE65" i="39"/>
  <c r="AD65" i="39"/>
  <c r="AC65" i="39"/>
  <c r="AB65" i="39"/>
  <c r="AA65" i="39"/>
  <c r="Z65" i="39"/>
  <c r="Y65" i="39"/>
  <c r="X65" i="39"/>
  <c r="W65" i="39"/>
  <c r="V65" i="39"/>
  <c r="U65" i="39"/>
  <c r="T65" i="39"/>
  <c r="S65" i="39"/>
  <c r="R65" i="39"/>
  <c r="Q65" i="39"/>
  <c r="P65" i="39"/>
  <c r="O65" i="39"/>
  <c r="N65" i="39"/>
  <c r="M65" i="39"/>
  <c r="L65" i="39"/>
  <c r="K65" i="39"/>
  <c r="J65" i="39"/>
  <c r="I65" i="39"/>
  <c r="H65" i="39"/>
  <c r="G65" i="39"/>
  <c r="AF64" i="39"/>
  <c r="AE64" i="39"/>
  <c r="AD64" i="39"/>
  <c r="AC64" i="39"/>
  <c r="AB64" i="39"/>
  <c r="AA64" i="39"/>
  <c r="Z64" i="39"/>
  <c r="Y64" i="39"/>
  <c r="X64" i="39"/>
  <c r="W64" i="39"/>
  <c r="V64" i="39"/>
  <c r="U64" i="39"/>
  <c r="T64" i="39"/>
  <c r="S64" i="39"/>
  <c r="R64" i="39"/>
  <c r="Q64" i="39"/>
  <c r="P64" i="39"/>
  <c r="O64" i="39"/>
  <c r="N64" i="39"/>
  <c r="M64" i="39"/>
  <c r="L64" i="39"/>
  <c r="K64" i="39"/>
  <c r="J64" i="39"/>
  <c r="I64" i="39"/>
  <c r="H64" i="39"/>
  <c r="G64" i="39"/>
  <c r="AF61" i="39"/>
  <c r="AE61" i="39"/>
  <c r="AD61" i="39"/>
  <c r="AC61" i="39"/>
  <c r="AB61" i="39"/>
  <c r="AA61" i="39"/>
  <c r="Z61" i="39"/>
  <c r="Y61" i="39"/>
  <c r="X61" i="39"/>
  <c r="W61" i="39"/>
  <c r="V61" i="39"/>
  <c r="U61" i="39"/>
  <c r="T61" i="39"/>
  <c r="S61" i="39"/>
  <c r="R61" i="39"/>
  <c r="Q61" i="39"/>
  <c r="P61" i="39"/>
  <c r="O61" i="39"/>
  <c r="N61" i="39"/>
  <c r="M61" i="39"/>
  <c r="L61" i="39"/>
  <c r="K61" i="39"/>
  <c r="J61" i="39"/>
  <c r="I61" i="39"/>
  <c r="H61" i="39"/>
  <c r="G61" i="39"/>
  <c r="AF60" i="39"/>
  <c r="AE60" i="39"/>
  <c r="AD60" i="39"/>
  <c r="AC60" i="39"/>
  <c r="AB60" i="39"/>
  <c r="AA60" i="39"/>
  <c r="Z60" i="39"/>
  <c r="Y60" i="39"/>
  <c r="X60" i="39"/>
  <c r="W60" i="39"/>
  <c r="V60" i="39"/>
  <c r="U60" i="39"/>
  <c r="T60" i="39"/>
  <c r="S60" i="39"/>
  <c r="R60" i="39"/>
  <c r="Q60" i="39"/>
  <c r="P60" i="39"/>
  <c r="O60" i="39"/>
  <c r="N60" i="39"/>
  <c r="M60" i="39"/>
  <c r="L60" i="39"/>
  <c r="K60" i="39"/>
  <c r="J60" i="39"/>
  <c r="I60" i="39"/>
  <c r="H60" i="39"/>
  <c r="G60" i="39"/>
  <c r="AF59" i="39"/>
  <c r="AE59" i="39"/>
  <c r="AD59" i="39"/>
  <c r="AC59" i="39"/>
  <c r="AB59" i="39"/>
  <c r="AA59" i="39"/>
  <c r="Z59" i="39"/>
  <c r="Y59" i="39"/>
  <c r="X59" i="39"/>
  <c r="W59" i="39"/>
  <c r="V59" i="39"/>
  <c r="U59" i="39"/>
  <c r="T59" i="39"/>
  <c r="S59" i="39"/>
  <c r="R59" i="39"/>
  <c r="Q59" i="39"/>
  <c r="P59" i="39"/>
  <c r="O59" i="39"/>
  <c r="N59" i="39"/>
  <c r="M59" i="39"/>
  <c r="L59" i="39"/>
  <c r="K59" i="39"/>
  <c r="J59" i="39"/>
  <c r="I59" i="39"/>
  <c r="H59" i="39"/>
  <c r="G59" i="39"/>
  <c r="AF58" i="39"/>
  <c r="AE58" i="39"/>
  <c r="AD58" i="39"/>
  <c r="AC58" i="39"/>
  <c r="AB58" i="39"/>
  <c r="AA58" i="39"/>
  <c r="Z58" i="39"/>
  <c r="Y58" i="39"/>
  <c r="X58" i="39"/>
  <c r="W58" i="39"/>
  <c r="V58" i="39"/>
  <c r="U58" i="39"/>
  <c r="T58" i="39"/>
  <c r="S58" i="39"/>
  <c r="R58" i="39"/>
  <c r="Q58" i="39"/>
  <c r="P58" i="39"/>
  <c r="O58" i="39"/>
  <c r="N58" i="39"/>
  <c r="M58" i="39"/>
  <c r="L58" i="39"/>
  <c r="K58" i="39"/>
  <c r="J58" i="39"/>
  <c r="I58" i="39"/>
  <c r="H58" i="39"/>
  <c r="G58" i="39"/>
  <c r="AF55" i="39"/>
  <c r="AE55" i="39"/>
  <c r="AD55" i="39"/>
  <c r="AC55" i="39"/>
  <c r="AB55" i="39"/>
  <c r="AA55" i="39"/>
  <c r="Z55" i="39"/>
  <c r="Y55" i="39"/>
  <c r="X55" i="39"/>
  <c r="W55" i="39"/>
  <c r="V55" i="39"/>
  <c r="U55" i="39"/>
  <c r="T55" i="39"/>
  <c r="S55" i="39"/>
  <c r="R55" i="39"/>
  <c r="Q55" i="39"/>
  <c r="P55" i="39"/>
  <c r="O55" i="39"/>
  <c r="N55" i="39"/>
  <c r="M55" i="39"/>
  <c r="L55" i="39"/>
  <c r="K55" i="39"/>
  <c r="J55" i="39"/>
  <c r="I55" i="39"/>
  <c r="H55" i="39"/>
  <c r="G55" i="39"/>
  <c r="AF54" i="39"/>
  <c r="AE54" i="39"/>
  <c r="AD54" i="39"/>
  <c r="AC54" i="39"/>
  <c r="AB54" i="39"/>
  <c r="AA54" i="39"/>
  <c r="Z54" i="39"/>
  <c r="Y54" i="39"/>
  <c r="X54" i="39"/>
  <c r="W54" i="39"/>
  <c r="V54" i="39"/>
  <c r="U54" i="39"/>
  <c r="T54" i="39"/>
  <c r="S54" i="39"/>
  <c r="R54" i="39"/>
  <c r="Q54" i="39"/>
  <c r="P54" i="39"/>
  <c r="O54" i="39"/>
  <c r="N54" i="39"/>
  <c r="M54" i="39"/>
  <c r="L54" i="39"/>
  <c r="K54" i="39"/>
  <c r="J54" i="39"/>
  <c r="I54" i="39"/>
  <c r="H54" i="39"/>
  <c r="G54" i="39"/>
  <c r="AF53" i="39"/>
  <c r="AE53" i="39"/>
  <c r="AD53" i="39"/>
  <c r="AC53" i="39"/>
  <c r="AB53" i="39"/>
  <c r="AA53" i="39"/>
  <c r="Z53" i="39"/>
  <c r="Y53" i="39"/>
  <c r="X53" i="39"/>
  <c r="W53" i="39"/>
  <c r="V53" i="39"/>
  <c r="U53" i="39"/>
  <c r="T53" i="39"/>
  <c r="S53" i="39"/>
  <c r="R53" i="39"/>
  <c r="Q53" i="39"/>
  <c r="P53" i="39"/>
  <c r="O53" i="39"/>
  <c r="N53" i="39"/>
  <c r="M53" i="39"/>
  <c r="L53" i="39"/>
  <c r="K53" i="39"/>
  <c r="J53" i="39"/>
  <c r="I53" i="39"/>
  <c r="H53" i="39"/>
  <c r="G53" i="39"/>
  <c r="AF52" i="39"/>
  <c r="AE52" i="39"/>
  <c r="AD52" i="39"/>
  <c r="AC52" i="39"/>
  <c r="AB52" i="39"/>
  <c r="AA52" i="39"/>
  <c r="Z52" i="39"/>
  <c r="Y52" i="39"/>
  <c r="X52" i="39"/>
  <c r="W52" i="39"/>
  <c r="V52" i="39"/>
  <c r="U52" i="39"/>
  <c r="T52" i="39"/>
  <c r="S52" i="39"/>
  <c r="R52" i="39"/>
  <c r="Q52" i="39"/>
  <c r="P52" i="39"/>
  <c r="O52" i="39"/>
  <c r="N52" i="39"/>
  <c r="M52" i="39"/>
  <c r="L52" i="39"/>
  <c r="K52" i="39"/>
  <c r="J52" i="39"/>
  <c r="I52" i="39"/>
  <c r="H52" i="39"/>
  <c r="G52" i="39"/>
  <c r="AF49" i="39"/>
  <c r="AE49" i="39"/>
  <c r="AD49" i="39"/>
  <c r="AC49" i="39"/>
  <c r="AB49" i="39"/>
  <c r="AA49" i="39"/>
  <c r="Z49" i="39"/>
  <c r="Y49" i="39"/>
  <c r="X49" i="39"/>
  <c r="W49" i="39"/>
  <c r="V49" i="39"/>
  <c r="U49" i="39"/>
  <c r="T49" i="39"/>
  <c r="S49" i="39"/>
  <c r="R49" i="39"/>
  <c r="Q49" i="39"/>
  <c r="P49" i="39"/>
  <c r="O49" i="39"/>
  <c r="N49" i="39"/>
  <c r="M49" i="39"/>
  <c r="L49" i="39"/>
  <c r="K49" i="39"/>
  <c r="J49" i="39"/>
  <c r="I49" i="39"/>
  <c r="H49" i="39"/>
  <c r="G49" i="39"/>
  <c r="AF48" i="39"/>
  <c r="AE48" i="39"/>
  <c r="AD48" i="39"/>
  <c r="AC48" i="39"/>
  <c r="AB48" i="39"/>
  <c r="AA48" i="39"/>
  <c r="Z48" i="39"/>
  <c r="Y48" i="39"/>
  <c r="X48" i="39"/>
  <c r="W48" i="39"/>
  <c r="V48" i="39"/>
  <c r="U48" i="39"/>
  <c r="T48" i="39"/>
  <c r="S48" i="39"/>
  <c r="R48" i="39"/>
  <c r="Q48" i="39"/>
  <c r="P48" i="39"/>
  <c r="O48" i="39"/>
  <c r="N48" i="39"/>
  <c r="M48" i="39"/>
  <c r="L48" i="39"/>
  <c r="K48" i="39"/>
  <c r="J48" i="39"/>
  <c r="I48" i="39"/>
  <c r="H48" i="39"/>
  <c r="G48" i="39"/>
  <c r="AF47" i="39"/>
  <c r="AE47" i="39"/>
  <c r="AD47" i="39"/>
  <c r="AC47" i="39"/>
  <c r="AB47" i="39"/>
  <c r="AA47" i="39"/>
  <c r="Z47" i="39"/>
  <c r="Y47" i="39"/>
  <c r="X47" i="39"/>
  <c r="W47" i="39"/>
  <c r="V47" i="39"/>
  <c r="U47" i="39"/>
  <c r="T47" i="39"/>
  <c r="S47" i="39"/>
  <c r="R47" i="39"/>
  <c r="Q47" i="39"/>
  <c r="P47" i="39"/>
  <c r="O47" i="39"/>
  <c r="N47" i="39"/>
  <c r="M47" i="39"/>
  <c r="L47" i="39"/>
  <c r="K47" i="39"/>
  <c r="J47" i="39"/>
  <c r="I47" i="39"/>
  <c r="H47" i="39"/>
  <c r="G47" i="39"/>
  <c r="AF46" i="39"/>
  <c r="AE46" i="39"/>
  <c r="AD46" i="39"/>
  <c r="AC46" i="39"/>
  <c r="AB46" i="39"/>
  <c r="AA46" i="39"/>
  <c r="Z46" i="39"/>
  <c r="Y46" i="39"/>
  <c r="X46" i="39"/>
  <c r="W46" i="39"/>
  <c r="V46" i="39"/>
  <c r="U46" i="39"/>
  <c r="T46" i="39"/>
  <c r="S46" i="39"/>
  <c r="R46" i="39"/>
  <c r="Q46" i="39"/>
  <c r="P46" i="39"/>
  <c r="O46" i="39"/>
  <c r="N46" i="39"/>
  <c r="M46" i="39"/>
  <c r="L46" i="39"/>
  <c r="K46" i="39"/>
  <c r="J46" i="39"/>
  <c r="I46" i="39"/>
  <c r="H46" i="39"/>
  <c r="G46" i="39"/>
  <c r="AE321" i="43" l="1"/>
  <c r="G329" i="43"/>
  <c r="AD335" i="43"/>
  <c r="I335" i="43"/>
  <c r="AC315" i="43"/>
  <c r="AC320" i="43"/>
  <c r="P335" i="43"/>
  <c r="Y328" i="43"/>
  <c r="T315" i="43"/>
  <c r="N335" i="43"/>
  <c r="AC328" i="43"/>
  <c r="M311" i="43"/>
  <c r="X335" i="43"/>
  <c r="S328" i="43"/>
  <c r="I321" i="43"/>
  <c r="S315" i="43"/>
  <c r="AC317" i="43"/>
  <c r="AF335" i="43"/>
  <c r="V335" i="43"/>
  <c r="M328" i="43"/>
  <c r="AF321" i="43"/>
  <c r="N311" i="43"/>
  <c r="AE309" i="43"/>
  <c r="AC334" i="43"/>
  <c r="O335" i="43"/>
  <c r="Z328" i="43"/>
  <c r="M321" i="43"/>
  <c r="H321" i="43"/>
  <c r="O315" i="43"/>
  <c r="V333" i="43"/>
  <c r="W329" i="43"/>
  <c r="M336" i="43"/>
  <c r="J310" i="43"/>
  <c r="O310" i="43"/>
  <c r="I310" i="43"/>
  <c r="W310" i="43"/>
  <c r="AC310" i="43"/>
  <c r="G310" i="43"/>
  <c r="H310" i="43"/>
  <c r="L323" i="43"/>
  <c r="J317" i="43"/>
  <c r="S317" i="43"/>
  <c r="AE317" i="43"/>
  <c r="H317" i="43"/>
  <c r="Q317" i="43"/>
  <c r="O317" i="43"/>
  <c r="U308" i="43"/>
  <c r="N308" i="43"/>
  <c r="I308" i="43"/>
  <c r="Q308" i="43"/>
  <c r="V308" i="43"/>
  <c r="AB308" i="43"/>
  <c r="X308" i="43"/>
  <c r="H314" i="43"/>
  <c r="W314" i="43"/>
  <c r="O314" i="43"/>
  <c r="AE314" i="43"/>
  <c r="AF314" i="43"/>
  <c r="AC314" i="43"/>
  <c r="M320" i="43"/>
  <c r="R320" i="43"/>
  <c r="O320" i="43"/>
  <c r="Y320" i="43"/>
  <c r="G320" i="43"/>
  <c r="AE320" i="43"/>
  <c r="J320" i="43"/>
  <c r="U327" i="43"/>
  <c r="N327" i="43"/>
  <c r="S327" i="43"/>
  <c r="Y327" i="43"/>
  <c r="T327" i="43"/>
  <c r="J327" i="43"/>
  <c r="AF334" i="43"/>
  <c r="Y334" i="43"/>
  <c r="U334" i="43"/>
  <c r="M334" i="43"/>
  <c r="AA334" i="43"/>
  <c r="I334" i="43"/>
  <c r="T334" i="43"/>
  <c r="AE316" i="43"/>
  <c r="O316" i="43"/>
  <c r="AA316" i="43"/>
  <c r="P316" i="43"/>
  <c r="AC316" i="43"/>
  <c r="W316" i="43"/>
  <c r="R329" i="43"/>
  <c r="Q329" i="43"/>
  <c r="I329" i="43"/>
  <c r="O329" i="43"/>
  <c r="AC329" i="43"/>
  <c r="J329" i="43"/>
  <c r="V329" i="43"/>
  <c r="K309" i="43"/>
  <c r="T309" i="43"/>
  <c r="O309" i="43"/>
  <c r="G309" i="43"/>
  <c r="U309" i="43"/>
  <c r="AD309" i="43"/>
  <c r="M309" i="43"/>
  <c r="O326" i="43"/>
  <c r="H326" i="43"/>
  <c r="AD326" i="43"/>
  <c r="AC326" i="43"/>
  <c r="G326" i="43"/>
  <c r="Y326" i="43"/>
  <c r="AA333" i="43"/>
  <c r="Y333" i="43"/>
  <c r="R333" i="43"/>
  <c r="AB333" i="43"/>
  <c r="Q333" i="43"/>
  <c r="T333" i="43"/>
  <c r="M333" i="43"/>
  <c r="G311" i="43"/>
  <c r="Y311" i="43"/>
  <c r="I311" i="43"/>
  <c r="S311" i="43"/>
  <c r="X311" i="43"/>
  <c r="Q310" i="43"/>
  <c r="V310" i="43"/>
  <c r="X310" i="43"/>
  <c r="AA310" i="43"/>
  <c r="M310" i="43"/>
  <c r="K310" i="43"/>
  <c r="AE310" i="43"/>
  <c r="AA317" i="43"/>
  <c r="Y317" i="43"/>
  <c r="I317" i="43"/>
  <c r="AD317" i="43"/>
  <c r="W317" i="43"/>
  <c r="M317" i="43"/>
  <c r="N317" i="43"/>
  <c r="T308" i="43"/>
  <c r="AC308" i="43"/>
  <c r="H308" i="43"/>
  <c r="AF308" i="43"/>
  <c r="O308" i="43"/>
  <c r="S308" i="43"/>
  <c r="Y314" i="43"/>
  <c r="G314" i="43"/>
  <c r="S314" i="43"/>
  <c r="J314" i="43"/>
  <c r="AD314" i="43"/>
  <c r="Z314" i="43"/>
  <c r="AB314" i="43"/>
  <c r="AB320" i="43"/>
  <c r="N320" i="43"/>
  <c r="Q320" i="43"/>
  <c r="I320" i="43"/>
  <c r="V320" i="43"/>
  <c r="AF320" i="43"/>
  <c r="W327" i="43"/>
  <c r="H327" i="43"/>
  <c r="X327" i="43"/>
  <c r="R327" i="43"/>
  <c r="AE327" i="43"/>
  <c r="P327" i="43"/>
  <c r="AC327" i="43"/>
  <c r="P334" i="43"/>
  <c r="X334" i="43"/>
  <c r="G334" i="43"/>
  <c r="AB334" i="43"/>
  <c r="V334" i="43"/>
  <c r="H334" i="43"/>
  <c r="U316" i="43"/>
  <c r="G316" i="43"/>
  <c r="N316" i="43"/>
  <c r="AD316" i="43"/>
  <c r="K316" i="43"/>
  <c r="L316" i="43"/>
  <c r="I316" i="43"/>
  <c r="L329" i="43"/>
  <c r="T329" i="43"/>
  <c r="H329" i="43"/>
  <c r="AD329" i="43"/>
  <c r="X329" i="43"/>
  <c r="M329" i="43"/>
  <c r="Z309" i="43"/>
  <c r="R309" i="43"/>
  <c r="N309" i="43"/>
  <c r="V309" i="43"/>
  <c r="AC309" i="43"/>
  <c r="Q309" i="43"/>
  <c r="Q326" i="43"/>
  <c r="AA326" i="43"/>
  <c r="AE326" i="43"/>
  <c r="U326" i="43"/>
  <c r="M326" i="43"/>
  <c r="V326" i="43"/>
  <c r="X326" i="43"/>
  <c r="K333" i="43"/>
  <c r="U333" i="43"/>
  <c r="AC333" i="43"/>
  <c r="W333" i="43"/>
  <c r="L333" i="43"/>
  <c r="AE333" i="43"/>
  <c r="AF310" i="43"/>
  <c r="R310" i="43"/>
  <c r="U310" i="43"/>
  <c r="N310" i="43"/>
  <c r="AB310" i="43"/>
  <c r="Z310" i="43"/>
  <c r="K317" i="43"/>
  <c r="L317" i="43"/>
  <c r="AB317" i="43"/>
  <c r="P317" i="43"/>
  <c r="G317" i="43"/>
  <c r="R317" i="43"/>
  <c r="U317" i="43"/>
  <c r="AE308" i="43"/>
  <c r="L308" i="43"/>
  <c r="K308" i="43"/>
  <c r="P308" i="43"/>
  <c r="W308" i="43"/>
  <c r="J308" i="43"/>
  <c r="I314" i="43"/>
  <c r="AA314" i="43"/>
  <c r="M314" i="43"/>
  <c r="U314" i="43"/>
  <c r="V314" i="43"/>
  <c r="R314" i="43"/>
  <c r="N314" i="43"/>
  <c r="L320" i="43"/>
  <c r="T320" i="43"/>
  <c r="P320" i="43"/>
  <c r="X320" i="43"/>
  <c r="U320" i="43"/>
  <c r="S320" i="43"/>
  <c r="G327" i="43"/>
  <c r="AF327" i="43"/>
  <c r="Z327" i="43"/>
  <c r="M327" i="43"/>
  <c r="AD327" i="43"/>
  <c r="AA327" i="43"/>
  <c r="Q327" i="43"/>
  <c r="AE334" i="43"/>
  <c r="O334" i="43"/>
  <c r="Z334" i="43"/>
  <c r="L334" i="43"/>
  <c r="AD334" i="43"/>
  <c r="R334" i="43"/>
  <c r="T316" i="43"/>
  <c r="M316" i="43"/>
  <c r="Y316" i="43"/>
  <c r="Q316" i="43"/>
  <c r="Z316" i="43"/>
  <c r="J316" i="43"/>
  <c r="H316" i="43"/>
  <c r="AA329" i="43"/>
  <c r="P329" i="43"/>
  <c r="AF329" i="43"/>
  <c r="N329" i="43"/>
  <c r="AB329" i="43"/>
  <c r="U329" i="43"/>
  <c r="J309" i="43"/>
  <c r="Y309" i="43"/>
  <c r="P309" i="43"/>
  <c r="AF309" i="43"/>
  <c r="X309" i="43"/>
  <c r="L309" i="43"/>
  <c r="AF326" i="43"/>
  <c r="J326" i="43"/>
  <c r="K326" i="43"/>
  <c r="T326" i="43"/>
  <c r="AB326" i="43"/>
  <c r="R326" i="43"/>
  <c r="Z326" i="43"/>
  <c r="Z333" i="43"/>
  <c r="P333" i="43"/>
  <c r="O333" i="43"/>
  <c r="G333" i="43"/>
  <c r="X333" i="43"/>
  <c r="N333" i="43"/>
  <c r="P310" i="43"/>
  <c r="L310" i="43"/>
  <c r="Z317" i="43"/>
  <c r="V317" i="43"/>
  <c r="G308" i="43"/>
  <c r="Y308" i="43"/>
  <c r="T314" i="43"/>
  <c r="K320" i="43"/>
  <c r="AA320" i="43"/>
  <c r="L327" i="43"/>
  <c r="Q334" i="43"/>
  <c r="W334" i="43"/>
  <c r="AB316" i="43"/>
  <c r="R316" i="43"/>
  <c r="AE329" i="43"/>
  <c r="AB309" i="43"/>
  <c r="H309" i="43"/>
  <c r="W326" i="43"/>
  <c r="J333" i="43"/>
  <c r="I333" i="43"/>
  <c r="W311" i="43"/>
  <c r="O311" i="43"/>
  <c r="Z311" i="43"/>
  <c r="AB311" i="43"/>
  <c r="Q311" i="43"/>
  <c r="P311" i="43"/>
  <c r="AD315" i="43"/>
  <c r="P315" i="43"/>
  <c r="R315" i="43"/>
  <c r="K315" i="43"/>
  <c r="L315" i="43"/>
  <c r="U315" i="43"/>
  <c r="S321" i="43"/>
  <c r="P321" i="43"/>
  <c r="W321" i="43"/>
  <c r="O321" i="43"/>
  <c r="X321" i="43"/>
  <c r="U321" i="43"/>
  <c r="G321" i="43"/>
  <c r="AB328" i="43"/>
  <c r="R328" i="43"/>
  <c r="AF328" i="43"/>
  <c r="I328" i="43"/>
  <c r="N328" i="43"/>
  <c r="P328" i="43"/>
  <c r="W335" i="43"/>
  <c r="H335" i="43"/>
  <c r="AA335" i="43"/>
  <c r="R335" i="43"/>
  <c r="U335" i="43"/>
  <c r="Z335" i="43"/>
  <c r="T335" i="43"/>
  <c r="AD310" i="43"/>
  <c r="Y310" i="43"/>
  <c r="T317" i="43"/>
  <c r="AF317" i="43"/>
  <c r="R308" i="43"/>
  <c r="X314" i="43"/>
  <c r="Q314" i="43"/>
  <c r="Z320" i="43"/>
  <c r="AD320" i="43"/>
  <c r="I327" i="43"/>
  <c r="S334" i="43"/>
  <c r="N334" i="43"/>
  <c r="X316" i="43"/>
  <c r="S329" i="43"/>
  <c r="Y329" i="43"/>
  <c r="W309" i="43"/>
  <c r="P326" i="43"/>
  <c r="L326" i="43"/>
  <c r="S333" i="43"/>
  <c r="AF333" i="43"/>
  <c r="V311" i="43"/>
  <c r="AD311" i="43"/>
  <c r="AC311" i="43"/>
  <c r="AF311" i="43"/>
  <c r="K311" i="43"/>
  <c r="Q315" i="43"/>
  <c r="N315" i="43"/>
  <c r="G315" i="43"/>
  <c r="AF315" i="43"/>
  <c r="Z315" i="43"/>
  <c r="H315" i="43"/>
  <c r="Y315" i="43"/>
  <c r="R321" i="43"/>
  <c r="K321" i="43"/>
  <c r="V321" i="43"/>
  <c r="AD321" i="43"/>
  <c r="T321" i="43"/>
  <c r="AA321" i="43"/>
  <c r="V328" i="43"/>
  <c r="L328" i="43"/>
  <c r="U328" i="43"/>
  <c r="AE328" i="43"/>
  <c r="X328" i="43"/>
  <c r="G328" i="43"/>
  <c r="AD328" i="43"/>
  <c r="G335" i="43"/>
  <c r="Y335" i="43"/>
  <c r="J335" i="43"/>
  <c r="AC335" i="43"/>
  <c r="AB335" i="43"/>
  <c r="M335" i="43"/>
  <c r="AD308" i="43"/>
  <c r="AA308" i="43"/>
  <c r="P314" i="43"/>
  <c r="K314" i="43"/>
  <c r="W320" i="43"/>
  <c r="V327" i="43"/>
  <c r="AB327" i="43"/>
  <c r="K334" i="43"/>
  <c r="AF316" i="43"/>
  <c r="Z329" i="43"/>
  <c r="K329" i="43"/>
  <c r="U311" i="43"/>
  <c r="L311" i="43"/>
  <c r="R311" i="43"/>
  <c r="AE311" i="43"/>
  <c r="J311" i="43"/>
  <c r="AE315" i="43"/>
  <c r="M315" i="43"/>
  <c r="V315" i="43"/>
  <c r="AB315" i="43"/>
  <c r="J315" i="43"/>
  <c r="W315" i="43"/>
  <c r="X315" i="43"/>
  <c r="Q321" i="43"/>
  <c r="Z321" i="43"/>
  <c r="Y321" i="43"/>
  <c r="N321" i="43"/>
  <c r="AB321" i="43"/>
  <c r="J321" i="43"/>
  <c r="AA328" i="43"/>
  <c r="T328" i="43"/>
  <c r="J328" i="43"/>
  <c r="H328" i="43"/>
  <c r="O328" i="43"/>
  <c r="T310" i="43"/>
  <c r="X317" i="43"/>
  <c r="J334" i="43"/>
  <c r="AA309" i="43"/>
  <c r="S309" i="43"/>
  <c r="I326" i="43"/>
  <c r="S326" i="43"/>
  <c r="AD333" i="43"/>
  <c r="Q335" i="43"/>
  <c r="AE335" i="43"/>
  <c r="Q328" i="43"/>
  <c r="I315" i="43"/>
  <c r="AA311" i="43"/>
  <c r="I309" i="43"/>
  <c r="L314" i="43"/>
  <c r="K335" i="43"/>
  <c r="S335" i="43"/>
  <c r="L335" i="43"/>
  <c r="K328" i="43"/>
  <c r="W328" i="43"/>
  <c r="L321" i="43"/>
  <c r="AC321" i="43"/>
  <c r="AA315" i="43"/>
  <c r="H311" i="43"/>
  <c r="T311" i="43"/>
  <c r="H333" i="43"/>
  <c r="V316" i="43"/>
  <c r="O327" i="43"/>
  <c r="M308" i="43"/>
  <c r="N326" i="43"/>
  <c r="S316" i="43"/>
  <c r="H320" i="43"/>
  <c r="Z308" i="43"/>
  <c r="S310" i="43"/>
  <c r="N323" i="43"/>
  <c r="J323" i="43"/>
  <c r="Z323" i="43"/>
  <c r="W323" i="43"/>
  <c r="H323" i="43"/>
  <c r="T323" i="43"/>
  <c r="AA338" i="43"/>
  <c r="Z322" i="43"/>
  <c r="AD322" i="43"/>
  <c r="AB323" i="43"/>
  <c r="X323" i="43"/>
  <c r="G336" i="43"/>
  <c r="X322" i="43"/>
  <c r="I323" i="43"/>
  <c r="Q323" i="43"/>
  <c r="AD323" i="43"/>
  <c r="V336" i="43"/>
  <c r="AE338" i="43"/>
  <c r="AC336" i="43"/>
  <c r="M338" i="43"/>
  <c r="S338" i="43"/>
  <c r="AC338" i="43"/>
  <c r="X336" i="43"/>
  <c r="K336" i="43"/>
  <c r="L322" i="43"/>
  <c r="S322" i="43"/>
  <c r="J322" i="43"/>
  <c r="L338" i="43"/>
  <c r="T338" i="43"/>
  <c r="U336" i="43"/>
  <c r="S336" i="43"/>
  <c r="R322" i="43"/>
  <c r="P322" i="43"/>
  <c r="G322" i="43"/>
  <c r="I322" i="43"/>
  <c r="Y338" i="43"/>
  <c r="H338" i="43"/>
  <c r="H336" i="43"/>
  <c r="W336" i="43"/>
  <c r="AE322" i="43"/>
  <c r="U322" i="43"/>
  <c r="V322" i="43"/>
  <c r="K338" i="43"/>
  <c r="J338" i="43"/>
  <c r="Z338" i="43"/>
  <c r="P338" i="43"/>
  <c r="I338" i="43"/>
  <c r="R323" i="43"/>
  <c r="M323" i="43"/>
  <c r="P323" i="43"/>
  <c r="K323" i="43"/>
  <c r="AF323" i="43"/>
  <c r="Y323" i="43"/>
  <c r="O323" i="43"/>
  <c r="Q336" i="43"/>
  <c r="AE336" i="43"/>
  <c r="I336" i="43"/>
  <c r="AA336" i="43"/>
  <c r="L336" i="43"/>
  <c r="K322" i="43"/>
  <c r="M322" i="43"/>
  <c r="O322" i="43"/>
  <c r="AB322" i="43"/>
  <c r="AF322" i="43"/>
  <c r="W322" i="43"/>
  <c r="Y322" i="43"/>
  <c r="G338" i="43"/>
  <c r="X338" i="43"/>
  <c r="N338" i="43"/>
  <c r="V338" i="43"/>
  <c r="W338" i="43"/>
  <c r="S323" i="43"/>
  <c r="G323" i="43"/>
  <c r="U323" i="43"/>
  <c r="AA323" i="43"/>
  <c r="V323" i="43"/>
  <c r="AC323" i="43"/>
  <c r="AE323" i="43"/>
  <c r="J336" i="43"/>
  <c r="N336" i="43"/>
  <c r="Z336" i="43"/>
  <c r="O336" i="43"/>
  <c r="AB336" i="43"/>
  <c r="N322" i="43"/>
  <c r="AA322" i="43"/>
  <c r="T322" i="43"/>
  <c r="AC322" i="43"/>
  <c r="Q322" i="43"/>
  <c r="H322" i="43"/>
  <c r="AF338" i="43"/>
  <c r="O338" i="43"/>
  <c r="Q338" i="43"/>
  <c r="U338" i="43"/>
  <c r="R338" i="43"/>
  <c r="AB338" i="43"/>
  <c r="AD338" i="43"/>
  <c r="AF336" i="43"/>
  <c r="T336" i="43"/>
  <c r="R336" i="43"/>
  <c r="Y336" i="43"/>
  <c r="P336" i="43"/>
  <c r="AD336" i="43"/>
  <c r="AF319" i="43"/>
  <c r="J312" i="43"/>
  <c r="K330" i="43"/>
  <c r="W337" i="43"/>
  <c r="G337" i="43"/>
  <c r="Q332" i="43"/>
  <c r="AA331" i="43"/>
  <c r="K331" i="43"/>
  <c r="U330" i="43"/>
  <c r="AE325" i="43"/>
  <c r="O325" i="43"/>
  <c r="Y324" i="43"/>
  <c r="I324" i="43"/>
  <c r="S319" i="43"/>
  <c r="AC318" i="43"/>
  <c r="M318" i="43"/>
  <c r="W313" i="43"/>
  <c r="G313" i="43"/>
  <c r="Q312" i="43"/>
  <c r="Z337" i="43"/>
  <c r="J337" i="43"/>
  <c r="T332" i="43"/>
  <c r="AD331" i="43"/>
  <c r="N331" i="43"/>
  <c r="X330" i="43"/>
  <c r="H330" i="43"/>
  <c r="R325" i="43"/>
  <c r="AB324" i="43"/>
  <c r="L324" i="43"/>
  <c r="V319" i="43"/>
  <c r="AF318" i="43"/>
  <c r="P318" i="43"/>
  <c r="Z313" i="43"/>
  <c r="J313" i="43"/>
  <c r="T312" i="43"/>
  <c r="Y337" i="43"/>
  <c r="S332" i="43"/>
  <c r="M331" i="43"/>
  <c r="G330" i="43"/>
  <c r="AA324" i="43"/>
  <c r="U319" i="43"/>
  <c r="O318" i="43"/>
  <c r="I313" i="43"/>
  <c r="X337" i="43"/>
  <c r="AF331" i="43"/>
  <c r="N330" i="43"/>
  <c r="V324" i="43"/>
  <c r="AA318" i="43"/>
  <c r="H313" i="43"/>
  <c r="T337" i="43"/>
  <c r="J332" i="43"/>
  <c r="S330" i="43"/>
  <c r="L325" i="43"/>
  <c r="Q319" i="43"/>
  <c r="X313" i="43"/>
  <c r="G312" i="43"/>
  <c r="L331" i="43"/>
  <c r="Y319" i="43"/>
  <c r="L313" i="43"/>
  <c r="X331" i="43"/>
  <c r="N324" i="43"/>
  <c r="Z312" i="43"/>
  <c r="H331" i="43"/>
  <c r="AD324" i="43"/>
  <c r="AB313" i="43"/>
  <c r="AB331" i="43"/>
  <c r="S337" i="43"/>
  <c r="AC332" i="43"/>
  <c r="M332" i="43"/>
  <c r="W331" i="43"/>
  <c r="G331" i="43"/>
  <c r="Q330" i="43"/>
  <c r="AA325" i="43"/>
  <c r="K325" i="43"/>
  <c r="U324" i="43"/>
  <c r="AE319" i="43"/>
  <c r="O319" i="43"/>
  <c r="Y318" i="43"/>
  <c r="I318" i="43"/>
  <c r="S313" i="43"/>
  <c r="AC312" i="43"/>
  <c r="M312" i="43"/>
  <c r="V337" i="43"/>
  <c r="AF332" i="43"/>
  <c r="P332" i="43"/>
  <c r="Z331" i="43"/>
  <c r="J331" i="43"/>
  <c r="T330" i="43"/>
  <c r="AD325" i="43"/>
  <c r="N325" i="43"/>
  <c r="X324" i="43"/>
  <c r="H324" i="43"/>
  <c r="R319" i="43"/>
  <c r="AB318" i="43"/>
  <c r="L318" i="43"/>
  <c r="V313" i="43"/>
  <c r="AF312" i="43"/>
  <c r="P312" i="43"/>
  <c r="Q337" i="43"/>
  <c r="K332" i="43"/>
  <c r="AE330" i="43"/>
  <c r="Y325" i="43"/>
  <c r="S324" i="43"/>
  <c r="M319" i="43"/>
  <c r="G318" i="43"/>
  <c r="AA312" i="43"/>
  <c r="M337" i="43"/>
  <c r="T331" i="43"/>
  <c r="AB325" i="43"/>
  <c r="J324" i="43"/>
  <c r="R318" i="43"/>
  <c r="W312" i="43"/>
  <c r="H337" i="43"/>
  <c r="Y331" i="43"/>
  <c r="J330" i="43"/>
  <c r="Z324" i="43"/>
  <c r="H319" i="43"/>
  <c r="M313" i="43"/>
  <c r="AB337" i="43"/>
  <c r="R330" i="43"/>
  <c r="AD318" i="43"/>
  <c r="O312" i="43"/>
  <c r="AA330" i="43"/>
  <c r="P319" i="43"/>
  <c r="AE312" i="43"/>
  <c r="W332" i="43"/>
  <c r="G324" i="43"/>
  <c r="L337" i="43"/>
  <c r="Q331" i="43"/>
  <c r="AE337" i="43"/>
  <c r="Y332" i="43"/>
  <c r="S331" i="43"/>
  <c r="M330" i="43"/>
  <c r="G325" i="43"/>
  <c r="AA319" i="43"/>
  <c r="U318" i="43"/>
  <c r="O313" i="43"/>
  <c r="I312" i="43"/>
  <c r="AB332" i="43"/>
  <c r="V331" i="43"/>
  <c r="P330" i="43"/>
  <c r="J325" i="43"/>
  <c r="AD319" i="43"/>
  <c r="X318" i="43"/>
  <c r="R313" i="43"/>
  <c r="L312" i="43"/>
  <c r="AC331" i="43"/>
  <c r="Q325" i="43"/>
  <c r="AE318" i="43"/>
  <c r="S312" i="43"/>
  <c r="I331" i="43"/>
  <c r="X319" i="43"/>
  <c r="N312" i="43"/>
  <c r="P331" i="43"/>
  <c r="O324" i="43"/>
  <c r="AD312" i="43"/>
  <c r="T325" i="43"/>
  <c r="P337" i="43"/>
  <c r="S318" i="43"/>
  <c r="U337" i="43"/>
  <c r="V330" i="43"/>
  <c r="AF337" i="43"/>
  <c r="AA337" i="43"/>
  <c r="U332" i="43"/>
  <c r="O331" i="43"/>
  <c r="I330" i="43"/>
  <c r="AC324" i="43"/>
  <c r="W319" i="43"/>
  <c r="Q318" i="43"/>
  <c r="K313" i="43"/>
  <c r="AD337" i="43"/>
  <c r="X332" i="43"/>
  <c r="R331" i="43"/>
  <c r="L330" i="43"/>
  <c r="AF324" i="43"/>
  <c r="Z319" i="43"/>
  <c r="T318" i="43"/>
  <c r="N313" i="43"/>
  <c r="H312" i="43"/>
  <c r="U331" i="43"/>
  <c r="I325" i="43"/>
  <c r="W318" i="43"/>
  <c r="K312" i="43"/>
  <c r="Z330" i="43"/>
  <c r="L319" i="43"/>
  <c r="AC337" i="43"/>
  <c r="AD330" i="43"/>
  <c r="AB319" i="43"/>
  <c r="R312" i="43"/>
  <c r="W324" i="43"/>
  <c r="R332" i="43"/>
  <c r="U313" i="43"/>
  <c r="V312" i="43"/>
  <c r="N332" i="43"/>
  <c r="P313" i="43"/>
  <c r="Z318" i="43"/>
  <c r="O337" i="43"/>
  <c r="I332" i="43"/>
  <c r="AC330" i="43"/>
  <c r="W325" i="43"/>
  <c r="Q324" i="43"/>
  <c r="K319" i="43"/>
  <c r="AE313" i="43"/>
  <c r="Y312" i="43"/>
  <c r="R337" i="43"/>
  <c r="L332" i="43"/>
  <c r="AF330" i="43"/>
  <c r="Z325" i="43"/>
  <c r="T324" i="43"/>
  <c r="N319" i="43"/>
  <c r="H318" i="43"/>
  <c r="AB312" i="43"/>
  <c r="I337" i="43"/>
  <c r="W330" i="43"/>
  <c r="K324" i="43"/>
  <c r="Y313" i="43"/>
  <c r="Z332" i="43"/>
  <c r="P325" i="43"/>
  <c r="AC313" i="43"/>
  <c r="AE332" i="43"/>
  <c r="AF325" i="43"/>
  <c r="V318" i="43"/>
  <c r="AD332" i="43"/>
  <c r="J318" i="43"/>
  <c r="AC325" i="43"/>
  <c r="T319" i="43"/>
  <c r="I319" i="43"/>
  <c r="N318" i="43"/>
  <c r="M325" i="43"/>
  <c r="K337" i="43"/>
  <c r="AE331" i="43"/>
  <c r="Y330" i="43"/>
  <c r="S325" i="43"/>
  <c r="M324" i="43"/>
  <c r="G319" i="43"/>
  <c r="AA313" i="43"/>
  <c r="U312" i="43"/>
  <c r="N337" i="43"/>
  <c r="H332" i="43"/>
  <c r="AB330" i="43"/>
  <c r="V325" i="43"/>
  <c r="P324" i="43"/>
  <c r="J319" i="43"/>
  <c r="AD313" i="43"/>
  <c r="X312" i="43"/>
  <c r="AA332" i="43"/>
  <c r="O330" i="43"/>
  <c r="AC319" i="43"/>
  <c r="Q313" i="43"/>
  <c r="O332" i="43"/>
  <c r="AE324" i="43"/>
  <c r="T313" i="43"/>
  <c r="V332" i="43"/>
  <c r="U325" i="43"/>
  <c r="K318" i="43"/>
  <c r="G332" i="43"/>
  <c r="AF313" i="43"/>
  <c r="H325" i="43"/>
  <c r="R324" i="43"/>
  <c r="X325" i="43"/>
  <c r="G198" i="43" a="1"/>
  <c r="G198" i="43" s="1"/>
  <c r="G202" i="43" a="1"/>
  <c r="G202" i="43" s="1"/>
  <c r="G199" i="43" a="1"/>
  <c r="G199" i="43" s="1"/>
  <c r="G218" i="43" a="1"/>
  <c r="G218" i="43" s="1"/>
  <c r="G223" i="43" a="1"/>
  <c r="G223" i="43" s="1"/>
  <c r="G197" i="43" a="1"/>
  <c r="G197" i="43" s="1"/>
  <c r="G205" i="43" a="1"/>
  <c r="G205" i="43" s="1"/>
  <c r="G225" i="43" a="1"/>
  <c r="G225" i="43" s="1"/>
  <c r="G222" i="43" a="1"/>
  <c r="G222" i="43" s="1"/>
  <c r="G221" i="43" a="1"/>
  <c r="G221" i="43" s="1"/>
  <c r="G204" i="43" a="1"/>
  <c r="G204" i="43" s="1"/>
  <c r="G196" i="43" a="1"/>
  <c r="G196" i="43" s="1"/>
  <c r="G203" i="43" a="1"/>
  <c r="G203" i="43" s="1"/>
  <c r="G211" i="43" a="1"/>
  <c r="G211" i="43" s="1"/>
  <c r="J96" i="32"/>
  <c r="J18" i="32"/>
  <c r="J57" i="32" l="1"/>
  <c r="K17" i="7" s="1"/>
  <c r="V31" i="7" l="1"/>
  <c r="V40" i="7" l="1"/>
  <c r="V37" i="7"/>
  <c r="U37" i="7"/>
  <c r="U40" i="7"/>
  <c r="V36" i="7"/>
  <c r="V39" i="7"/>
  <c r="U39" i="7"/>
  <c r="U29" i="7"/>
  <c r="V29" i="7"/>
  <c r="V35" i="7"/>
  <c r="U35" i="7"/>
  <c r="U30" i="7"/>
  <c r="V30" i="7"/>
  <c r="U38" i="7"/>
  <c r="V38" i="7"/>
  <c r="U32" i="7"/>
  <c r="V32" i="7"/>
  <c r="U36" i="7"/>
  <c r="U31" i="7"/>
  <c r="C40" i="10" l="1"/>
  <c r="C39" i="10"/>
  <c r="C32" i="10"/>
  <c r="C25" i="10"/>
  <c r="C19" i="10"/>
  <c r="C13" i="10"/>
  <c r="C28" i="10" l="1"/>
  <c r="C36" i="10"/>
  <c r="C12" i="10"/>
  <c r="C18" i="10"/>
  <c r="C30" i="10"/>
  <c r="C24" i="10"/>
  <c r="C29" i="10"/>
  <c r="C31" i="10"/>
  <c r="C38" i="10"/>
  <c r="C11" i="10"/>
  <c r="C16" i="10"/>
  <c r="C37" i="10"/>
  <c r="V12" i="7"/>
  <c r="U12" i="7"/>
  <c r="V16" i="7"/>
  <c r="U16" i="7"/>
  <c r="V25" i="7"/>
  <c r="U25" i="7"/>
  <c r="V28" i="7"/>
  <c r="U28" i="7"/>
  <c r="G39" i="7"/>
  <c r="G35" i="7"/>
  <c r="G23" i="7"/>
  <c r="G17" i="7"/>
  <c r="G11" i="7"/>
  <c r="V19" i="7"/>
  <c r="U19" i="7"/>
  <c r="V24" i="7"/>
  <c r="U24" i="7"/>
  <c r="G38" i="7"/>
  <c r="G32" i="7"/>
  <c r="G28" i="7"/>
  <c r="G16" i="7"/>
  <c r="V10" i="7"/>
  <c r="U10" i="7"/>
  <c r="V13" i="7"/>
  <c r="U13" i="7"/>
  <c r="V11" i="7"/>
  <c r="U11" i="7"/>
  <c r="V18" i="7"/>
  <c r="U18" i="7"/>
  <c r="V23" i="7"/>
  <c r="U23" i="7"/>
  <c r="G10" i="7"/>
  <c r="AS9" i="45" s="1"/>
  <c r="AT9" i="45" s="1"/>
  <c r="AU9" i="45" s="1"/>
  <c r="AV9" i="45" s="1"/>
  <c r="G37" i="7"/>
  <c r="G31" i="7"/>
  <c r="G25" i="7"/>
  <c r="G19" i="7"/>
  <c r="G13" i="7"/>
  <c r="V17" i="7"/>
  <c r="U17" i="7"/>
  <c r="V22" i="7"/>
  <c r="G40" i="7"/>
  <c r="G36" i="7"/>
  <c r="G30" i="7"/>
  <c r="G24" i="7"/>
  <c r="G18" i="7"/>
  <c r="G12" i="7"/>
  <c r="G29" i="7"/>
  <c r="H19" i="7"/>
  <c r="H17" i="7"/>
  <c r="H24" i="7"/>
  <c r="H28" i="7"/>
  <c r="H30" i="7"/>
  <c r="H36" i="7"/>
  <c r="H38" i="7"/>
  <c r="H23" i="7"/>
  <c r="H35" i="7"/>
  <c r="H13" i="7"/>
  <c r="H11" i="7"/>
  <c r="H32" i="7"/>
  <c r="H25" i="7"/>
  <c r="H37" i="7"/>
  <c r="H16" i="7"/>
  <c r="H29" i="7"/>
  <c r="H39" i="7"/>
  <c r="H12" i="7"/>
  <c r="H18" i="7"/>
  <c r="H31" i="7"/>
  <c r="H40" i="7"/>
  <c r="BO64" i="45" l="1"/>
  <c r="AY64" i="45"/>
  <c r="BJ64" i="45"/>
  <c r="AT64" i="45"/>
  <c r="BP64" i="45"/>
  <c r="BM64" i="45"/>
  <c r="BD64" i="45"/>
  <c r="AX64" i="45"/>
  <c r="BL64" i="45"/>
  <c r="BK64" i="45"/>
  <c r="AU64" i="45"/>
  <c r="BF64" i="45"/>
  <c r="BI64" i="45"/>
  <c r="BH64" i="45"/>
  <c r="BE64" i="45"/>
  <c r="AV64" i="45"/>
  <c r="BC64" i="45"/>
  <c r="AR64" i="45"/>
  <c r="BG64" i="45"/>
  <c r="AQ64" i="45"/>
  <c r="BB64" i="45"/>
  <c r="BA64" i="45"/>
  <c r="AZ64" i="45"/>
  <c r="AW64" i="45"/>
  <c r="BN64" i="45"/>
  <c r="AS64" i="45"/>
  <c r="BG58" i="45"/>
  <c r="BB58" i="45"/>
  <c r="BI58" i="45"/>
  <c r="BM58" i="45"/>
  <c r="BP58" i="45"/>
  <c r="BC58" i="45"/>
  <c r="BN58" i="45"/>
  <c r="AX58" i="45"/>
  <c r="BE58" i="45"/>
  <c r="BD58" i="45"/>
  <c r="BL58" i="45"/>
  <c r="BF58" i="45"/>
  <c r="BO58" i="45"/>
  <c r="AY58" i="45"/>
  <c r="BJ58" i="45"/>
  <c r="BA58" i="45"/>
  <c r="AZ58" i="45"/>
  <c r="BK58" i="45"/>
  <c r="BH58" i="45"/>
  <c r="U22" i="7"/>
  <c r="AV58" i="45" s="1"/>
  <c r="AW58" i="45" s="1"/>
  <c r="H22" i="7"/>
  <c r="G22" i="7"/>
  <c r="AS21" i="45" s="1"/>
  <c r="AT21" i="45" s="1"/>
  <c r="H10" i="7"/>
  <c r="BF21" i="45" l="1"/>
  <c r="BO21" i="45"/>
  <c r="AW21" i="45"/>
  <c r="AU21" i="45"/>
  <c r="BK21" i="45"/>
  <c r="BJ21" i="45"/>
  <c r="BB21" i="45"/>
  <c r="BI21" i="45"/>
  <c r="BM21" i="45"/>
  <c r="BL21" i="45"/>
  <c r="AZ21" i="45"/>
  <c r="BE21" i="45"/>
  <c r="BN21" i="45"/>
  <c r="AX21" i="45"/>
  <c r="BD21" i="45"/>
  <c r="BH21" i="45"/>
  <c r="BP21" i="45"/>
  <c r="BA21" i="45"/>
  <c r="BG21" i="45"/>
  <c r="AY21" i="45"/>
  <c r="BC21" i="45"/>
  <c r="AV21" i="45"/>
  <c r="BN9" i="45"/>
  <c r="AX9" i="45"/>
  <c r="BD9" i="45"/>
  <c r="BH9" i="45"/>
  <c r="BP9" i="45"/>
  <c r="BA9" i="45"/>
  <c r="BG9" i="45"/>
  <c r="BM9" i="45"/>
  <c r="BL9" i="45"/>
  <c r="BJ9" i="45"/>
  <c r="AY9" i="45"/>
  <c r="BC9" i="45"/>
  <c r="BE9" i="45"/>
  <c r="BI9" i="45"/>
  <c r="AZ9" i="45"/>
  <c r="BF9" i="45"/>
  <c r="BO9" i="45"/>
  <c r="AW9" i="45"/>
  <c r="BK9" i="45"/>
  <c r="BB9" i="45"/>
  <c r="F89" i="32"/>
  <c r="F50" i="32"/>
  <c r="R29" i="32"/>
  <c r="R146" i="32"/>
  <c r="R107" i="32"/>
  <c r="R68" i="32"/>
  <c r="R156" i="32"/>
  <c r="S38" i="7" s="1"/>
  <c r="R103" i="32"/>
  <c r="R102" i="32"/>
  <c r="R101" i="32"/>
  <c r="R64" i="32"/>
  <c r="S24" i="7" s="1"/>
  <c r="R63" i="32"/>
  <c r="S23" i="7" s="1"/>
  <c r="R62" i="32"/>
  <c r="F153" i="32"/>
  <c r="F102" i="32"/>
  <c r="F101" i="32"/>
  <c r="F96" i="32"/>
  <c r="F63" i="32"/>
  <c r="F62" i="32"/>
  <c r="F57" i="32"/>
  <c r="F36" i="32"/>
  <c r="E35" i="7" s="1"/>
  <c r="R23" i="32"/>
  <c r="F24" i="32"/>
  <c r="F23" i="32"/>
  <c r="F18" i="32"/>
  <c r="F11" i="32"/>
  <c r="E10" i="7" s="1"/>
  <c r="E9" i="5" s="1"/>
  <c r="AA24" i="7"/>
  <c r="X103" i="32"/>
  <c r="X156" i="32"/>
  <c r="X102" i="32"/>
  <c r="X63" i="32"/>
  <c r="AA23" i="7" s="1"/>
  <c r="T156" i="32"/>
  <c r="H96" i="32"/>
  <c r="H57" i="32"/>
  <c r="F37" i="5" l="1"/>
  <c r="AA74" i="45"/>
  <c r="AA112" i="45" s="1"/>
  <c r="N74" i="45"/>
  <c r="N112" i="45" s="1"/>
  <c r="AD74" i="45"/>
  <c r="AD112" i="45" s="1"/>
  <c r="U74" i="45"/>
  <c r="U112" i="45" s="1"/>
  <c r="H74" i="45"/>
  <c r="H112" i="45" s="1"/>
  <c r="X74" i="45"/>
  <c r="X112" i="45" s="1"/>
  <c r="O74" i="45"/>
  <c r="O112" i="45" s="1"/>
  <c r="AC74" i="45"/>
  <c r="AC112" i="45" s="1"/>
  <c r="M74" i="45"/>
  <c r="M112" i="45" s="1"/>
  <c r="J74" i="45"/>
  <c r="J112" i="45" s="1"/>
  <c r="P74" i="45"/>
  <c r="P112" i="45" s="1"/>
  <c r="AE74" i="45"/>
  <c r="AE112" i="45" s="1"/>
  <c r="AF74" i="45"/>
  <c r="AF112" i="45" s="1"/>
  <c r="Y74" i="45"/>
  <c r="Y112" i="45" s="1"/>
  <c r="W74" i="45"/>
  <c r="W112" i="45" s="1"/>
  <c r="Z74" i="45"/>
  <c r="Z112" i="45" s="1"/>
  <c r="AB74" i="45"/>
  <c r="AB112" i="45" s="1"/>
  <c r="K74" i="45"/>
  <c r="K112" i="45" s="1"/>
  <c r="Q74" i="45"/>
  <c r="Q112" i="45" s="1"/>
  <c r="R74" i="45"/>
  <c r="R112" i="45" s="1"/>
  <c r="L74" i="45"/>
  <c r="L112" i="45" s="1"/>
  <c r="S74" i="45"/>
  <c r="S112" i="45" s="1"/>
  <c r="T74" i="45"/>
  <c r="T112" i="45" s="1"/>
  <c r="G74" i="45"/>
  <c r="G112" i="45" s="1"/>
  <c r="V74" i="45"/>
  <c r="V112" i="45" s="1"/>
  <c r="I74" i="45"/>
  <c r="I112" i="45" s="1"/>
  <c r="S28" i="7"/>
  <c r="AF64" i="45" s="1"/>
  <c r="AF102" i="45" s="1"/>
  <c r="E23" i="7"/>
  <c r="T22" i="45" s="1"/>
  <c r="AE9" i="45"/>
  <c r="AE84" i="45" s="1"/>
  <c r="S22" i="7"/>
  <c r="U58" i="45" s="1"/>
  <c r="E17" i="7"/>
  <c r="AB16" i="45" s="1"/>
  <c r="AB91" i="45" s="1"/>
  <c r="S34" i="45"/>
  <c r="S109" i="45" s="1"/>
  <c r="Y34" i="45"/>
  <c r="Y109" i="45" s="1"/>
  <c r="AC34" i="45"/>
  <c r="AC109" i="45" s="1"/>
  <c r="U34" i="45"/>
  <c r="U109" i="45" s="1"/>
  <c r="L34" i="45"/>
  <c r="L109" i="45" s="1"/>
  <c r="AD34" i="45"/>
  <c r="AD109" i="45" s="1"/>
  <c r="R34" i="45"/>
  <c r="R109" i="45" s="1"/>
  <c r="O34" i="45"/>
  <c r="O109" i="45" s="1"/>
  <c r="T34" i="45"/>
  <c r="T109" i="45" s="1"/>
  <c r="V34" i="45"/>
  <c r="V109" i="45" s="1"/>
  <c r="M34" i="45"/>
  <c r="M109" i="45" s="1"/>
  <c r="AF34" i="45"/>
  <c r="AF109" i="45" s="1"/>
  <c r="W34" i="45"/>
  <c r="W109" i="45" s="1"/>
  <c r="AA34" i="45"/>
  <c r="AA109" i="45" s="1"/>
  <c r="K34" i="45"/>
  <c r="K109" i="45" s="1"/>
  <c r="N34" i="45"/>
  <c r="N109" i="45" s="1"/>
  <c r="P34" i="45"/>
  <c r="P109" i="45" s="1"/>
  <c r="Z34" i="45"/>
  <c r="Z109" i="45" s="1"/>
  <c r="X34" i="45"/>
  <c r="X109" i="45" s="1"/>
  <c r="E34" i="5"/>
  <c r="I34" i="45"/>
  <c r="I109" i="45" s="1"/>
  <c r="AB34" i="45"/>
  <c r="AB109" i="45" s="1"/>
  <c r="Q34" i="45"/>
  <c r="Q109" i="45" s="1"/>
  <c r="G34" i="45"/>
  <c r="G109" i="45" s="1"/>
  <c r="H34" i="45"/>
  <c r="H109" i="45" s="1"/>
  <c r="J34" i="45"/>
  <c r="J109" i="45" s="1"/>
  <c r="AE34" i="45"/>
  <c r="AE109" i="45" s="1"/>
  <c r="E22" i="7"/>
  <c r="AB21" i="45" s="1"/>
  <c r="AC59" i="45"/>
  <c r="Y59" i="45"/>
  <c r="U59" i="45"/>
  <c r="Q59" i="45"/>
  <c r="M59" i="45"/>
  <c r="I59" i="45"/>
  <c r="AF59" i="45"/>
  <c r="AB59" i="45"/>
  <c r="X59" i="45"/>
  <c r="T59" i="45"/>
  <c r="P59" i="45"/>
  <c r="L59" i="45"/>
  <c r="H59" i="45"/>
  <c r="AE59" i="45"/>
  <c r="AA59" i="45"/>
  <c r="W59" i="45"/>
  <c r="S59" i="45"/>
  <c r="O59" i="45"/>
  <c r="K59" i="45"/>
  <c r="G59" i="45"/>
  <c r="Z59" i="45"/>
  <c r="J59" i="45"/>
  <c r="N59" i="45"/>
  <c r="AD59" i="45"/>
  <c r="V59" i="45"/>
  <c r="R59" i="45"/>
  <c r="AC60" i="45"/>
  <c r="AC98" i="45" s="1"/>
  <c r="Y60" i="45"/>
  <c r="Y98" i="45" s="1"/>
  <c r="U60" i="45"/>
  <c r="U98" i="45" s="1"/>
  <c r="Q60" i="45"/>
  <c r="Q98" i="45" s="1"/>
  <c r="M60" i="45"/>
  <c r="M98" i="45" s="1"/>
  <c r="I60" i="45"/>
  <c r="I98" i="45" s="1"/>
  <c r="AF60" i="45"/>
  <c r="AF98" i="45" s="1"/>
  <c r="AB60" i="45"/>
  <c r="AB98" i="45" s="1"/>
  <c r="X60" i="45"/>
  <c r="X98" i="45" s="1"/>
  <c r="T60" i="45"/>
  <c r="T98" i="45" s="1"/>
  <c r="P60" i="45"/>
  <c r="P98" i="45" s="1"/>
  <c r="L60" i="45"/>
  <c r="L98" i="45" s="1"/>
  <c r="H60" i="45"/>
  <c r="H98" i="45" s="1"/>
  <c r="AE60" i="45"/>
  <c r="AE98" i="45" s="1"/>
  <c r="AA60" i="45"/>
  <c r="AA98" i="45" s="1"/>
  <c r="W60" i="45"/>
  <c r="W98" i="45" s="1"/>
  <c r="S60" i="45"/>
  <c r="S98" i="45" s="1"/>
  <c r="O60" i="45"/>
  <c r="O98" i="45" s="1"/>
  <c r="K60" i="45"/>
  <c r="K98" i="45" s="1"/>
  <c r="G60" i="45"/>
  <c r="G98" i="45" s="1"/>
  <c r="V60" i="45"/>
  <c r="V98" i="45" s="1"/>
  <c r="Z60" i="45"/>
  <c r="Z98" i="45" s="1"/>
  <c r="R60" i="45"/>
  <c r="R98" i="45" s="1"/>
  <c r="N60" i="45"/>
  <c r="N98" i="45" s="1"/>
  <c r="AD60" i="45"/>
  <c r="AD98" i="45" s="1"/>
  <c r="J60" i="45"/>
  <c r="J98" i="45" s="1"/>
  <c r="F22" i="5"/>
  <c r="BX395" i="43" s="1"/>
  <c r="F23" i="5"/>
  <c r="CG396" i="43" s="1"/>
  <c r="H18" i="32"/>
  <c r="I17" i="7" s="1"/>
  <c r="BO410" i="43" l="1"/>
  <c r="CB410" i="43"/>
  <c r="CF410" i="43"/>
  <c r="CT150" i="43"/>
  <c r="BJ410" i="43"/>
  <c r="BX150" i="43"/>
  <c r="BN150" i="43"/>
  <c r="CE150" i="43"/>
  <c r="BW150" i="43"/>
  <c r="CA150" i="43"/>
  <c r="BS150" i="43"/>
  <c r="BK150" i="43"/>
  <c r="BS410" i="43"/>
  <c r="BK410" i="43"/>
  <c r="BU410" i="43"/>
  <c r="BQ410" i="43"/>
  <c r="CG150" i="43"/>
  <c r="DI150" i="43"/>
  <c r="BT150" i="43"/>
  <c r="DH150" i="43"/>
  <c r="BO150" i="43"/>
  <c r="CH150" i="43"/>
  <c r="BZ410" i="43"/>
  <c r="CD150" i="43"/>
  <c r="BV410" i="43"/>
  <c r="CD410" i="43"/>
  <c r="BM410" i="43"/>
  <c r="BX410" i="43"/>
  <c r="CC150" i="43"/>
  <c r="DE150" i="43"/>
  <c r="BP150" i="43"/>
  <c r="CZ150" i="43"/>
  <c r="CY150" i="43"/>
  <c r="BR150" i="43"/>
  <c r="BT410" i="43"/>
  <c r="DF150" i="43"/>
  <c r="BI410" i="43"/>
  <c r="BI150" i="43"/>
  <c r="BY410" i="43"/>
  <c r="CG410" i="43"/>
  <c r="BP410" i="43"/>
  <c r="BY150" i="43"/>
  <c r="DA150" i="43"/>
  <c r="BL150" i="43"/>
  <c r="CR150" i="43"/>
  <c r="DG150" i="43"/>
  <c r="CE410" i="43"/>
  <c r="CC410" i="43"/>
  <c r="BU150" i="43"/>
  <c r="CW150" i="43"/>
  <c r="DC150" i="43"/>
  <c r="CQ150" i="43"/>
  <c r="CA410" i="43"/>
  <c r="BN410" i="43"/>
  <c r="BR410" i="43"/>
  <c r="BQ150" i="43"/>
  <c r="CS150" i="43"/>
  <c r="CU150" i="43"/>
  <c r="BZ150" i="43"/>
  <c r="BW410" i="43"/>
  <c r="BL410" i="43"/>
  <c r="DB150" i="43"/>
  <c r="BM150" i="43"/>
  <c r="CF150" i="43"/>
  <c r="BJ150" i="43"/>
  <c r="CH410" i="43"/>
  <c r="CX150" i="43"/>
  <c r="CB150" i="43"/>
  <c r="BV150" i="43"/>
  <c r="CV150" i="43"/>
  <c r="DD150" i="43"/>
  <c r="CL150" i="43"/>
  <c r="CK150" i="43"/>
  <c r="CM150" i="43"/>
  <c r="CN150" i="43"/>
  <c r="CO150" i="43" s="1"/>
  <c r="CP150" i="43" s="1"/>
  <c r="CJ150" i="43"/>
  <c r="AF22" i="45"/>
  <c r="AF97" i="45" s="1"/>
  <c r="N64" i="45"/>
  <c r="N102" i="45" s="1"/>
  <c r="AE64" i="45"/>
  <c r="AE102" i="45" s="1"/>
  <c r="M64" i="45"/>
  <c r="M102" i="45" s="1"/>
  <c r="J64" i="45"/>
  <c r="J102" i="45" s="1"/>
  <c r="T64" i="45"/>
  <c r="T102" i="45" s="1"/>
  <c r="O64" i="45"/>
  <c r="O102" i="45" s="1"/>
  <c r="R64" i="45"/>
  <c r="R102" i="45" s="1"/>
  <c r="S64" i="45"/>
  <c r="S102" i="45" s="1"/>
  <c r="X64" i="45"/>
  <c r="X102" i="45" s="1"/>
  <c r="U64" i="45"/>
  <c r="U102" i="45" s="1"/>
  <c r="F27" i="5"/>
  <c r="CC400" i="43" s="1"/>
  <c r="V64" i="45"/>
  <c r="V102" i="45" s="1"/>
  <c r="G64" i="45"/>
  <c r="G102" i="45" s="1"/>
  <c r="W64" i="45"/>
  <c r="W102" i="45" s="1"/>
  <c r="L64" i="45"/>
  <c r="L102" i="45" s="1"/>
  <c r="AB64" i="45"/>
  <c r="AB102" i="45" s="1"/>
  <c r="Y64" i="45"/>
  <c r="Y102" i="45" s="1"/>
  <c r="AD64" i="45"/>
  <c r="AD102" i="45" s="1"/>
  <c r="H64" i="45"/>
  <c r="H102" i="45" s="1"/>
  <c r="Z64" i="45"/>
  <c r="Z102" i="45" s="1"/>
  <c r="K64" i="45"/>
  <c r="K102" i="45" s="1"/>
  <c r="AA64" i="45"/>
  <c r="AA102" i="45" s="1"/>
  <c r="P64" i="45"/>
  <c r="P102" i="45" s="1"/>
  <c r="I64" i="45"/>
  <c r="I102" i="45" s="1"/>
  <c r="AF58" i="45"/>
  <c r="AD22" i="45"/>
  <c r="AD97" i="45" s="1"/>
  <c r="O22" i="45"/>
  <c r="O97" i="45" s="1"/>
  <c r="V22" i="45"/>
  <c r="V97" i="45" s="1"/>
  <c r="AC64" i="45"/>
  <c r="AC102" i="45" s="1"/>
  <c r="M22" i="45"/>
  <c r="M97" i="45" s="1"/>
  <c r="H22" i="45"/>
  <c r="H97" i="45" s="1"/>
  <c r="Q64" i="45"/>
  <c r="Q102" i="45" s="1"/>
  <c r="AA22" i="45"/>
  <c r="AA97" i="45" s="1"/>
  <c r="P22" i="45"/>
  <c r="P97" i="45" s="1"/>
  <c r="G22" i="45"/>
  <c r="G97" i="45" s="1"/>
  <c r="S22" i="45"/>
  <c r="S97" i="45" s="1"/>
  <c r="L22" i="45"/>
  <c r="L97" i="45" s="1"/>
  <c r="K22" i="45"/>
  <c r="K97" i="45" s="1"/>
  <c r="I22" i="45"/>
  <c r="I97" i="45" s="1"/>
  <c r="U22" i="45"/>
  <c r="U97" i="45" s="1"/>
  <c r="AB22" i="45"/>
  <c r="AB97" i="45" s="1"/>
  <c r="V58" i="45"/>
  <c r="Y58" i="45"/>
  <c r="F21" i="5"/>
  <c r="CB394" i="43" s="1"/>
  <c r="P58" i="45"/>
  <c r="AA9" i="45"/>
  <c r="AA84" i="45" s="1"/>
  <c r="K58" i="45"/>
  <c r="AA58" i="45"/>
  <c r="Q9" i="45"/>
  <c r="Q84" i="45" s="1"/>
  <c r="R58" i="45"/>
  <c r="G58" i="45"/>
  <c r="W58" i="45"/>
  <c r="L58" i="45"/>
  <c r="AB58" i="45"/>
  <c r="AB96" i="45" s="1"/>
  <c r="Q58" i="45"/>
  <c r="Z58" i="45"/>
  <c r="N58" i="45"/>
  <c r="O58" i="45"/>
  <c r="AE58" i="45"/>
  <c r="T58" i="45"/>
  <c r="I58" i="45"/>
  <c r="AC58" i="45"/>
  <c r="J58" i="45"/>
  <c r="AD58" i="45"/>
  <c r="S58" i="45"/>
  <c r="H58" i="45"/>
  <c r="X58" i="45"/>
  <c r="M58" i="45"/>
  <c r="M9" i="45"/>
  <c r="M84" i="45" s="1"/>
  <c r="V9" i="45"/>
  <c r="V84" i="45" s="1"/>
  <c r="AB9" i="45"/>
  <c r="AB84" i="45" s="1"/>
  <c r="P9" i="45"/>
  <c r="P84" i="45" s="1"/>
  <c r="K9" i="45"/>
  <c r="K84" i="45" s="1"/>
  <c r="AC9" i="45"/>
  <c r="AC84" i="45" s="1"/>
  <c r="L9" i="45"/>
  <c r="L84" i="45" s="1"/>
  <c r="AD9" i="45"/>
  <c r="AD84" i="45" s="1"/>
  <c r="AF9" i="45"/>
  <c r="AF84" i="45" s="1"/>
  <c r="N9" i="45"/>
  <c r="N84" i="45" s="1"/>
  <c r="S9" i="45"/>
  <c r="S84" i="45" s="1"/>
  <c r="R22" i="45"/>
  <c r="R97" i="45" s="1"/>
  <c r="Q22" i="45"/>
  <c r="Q97" i="45" s="1"/>
  <c r="Y22" i="45"/>
  <c r="Y97" i="45" s="1"/>
  <c r="Z22" i="45"/>
  <c r="Z97" i="45" s="1"/>
  <c r="X22" i="45"/>
  <c r="X97" i="45" s="1"/>
  <c r="AC16" i="45"/>
  <c r="AC91" i="45" s="1"/>
  <c r="M21" i="45"/>
  <c r="J16" i="45"/>
  <c r="J91" i="45" s="1"/>
  <c r="T16" i="45"/>
  <c r="T91" i="45" s="1"/>
  <c r="Q16" i="45"/>
  <c r="Q91" i="45" s="1"/>
  <c r="AE16" i="45"/>
  <c r="AE91" i="45" s="1"/>
  <c r="H9" i="45"/>
  <c r="H84" i="45" s="1"/>
  <c r="I9" i="45"/>
  <c r="I84" i="45" s="1"/>
  <c r="T9" i="45"/>
  <c r="T84" i="45" s="1"/>
  <c r="R9" i="45"/>
  <c r="R84" i="45" s="1"/>
  <c r="G9" i="45"/>
  <c r="G84" i="45" s="1"/>
  <c r="W9" i="45"/>
  <c r="W84" i="45" s="1"/>
  <c r="N16" i="45"/>
  <c r="N91" i="45" s="1"/>
  <c r="U9" i="45"/>
  <c r="U84" i="45" s="1"/>
  <c r="X9" i="45"/>
  <c r="X84" i="45" s="1"/>
  <c r="Y9" i="45"/>
  <c r="Y84" i="45" s="1"/>
  <c r="J9" i="45"/>
  <c r="J84" i="45" s="1"/>
  <c r="Z9" i="45"/>
  <c r="Z84" i="45" s="1"/>
  <c r="O9" i="45"/>
  <c r="O84" i="45" s="1"/>
  <c r="E22" i="5"/>
  <c r="BK96" i="43" s="1"/>
  <c r="AC22" i="45"/>
  <c r="AC97" i="45" s="1"/>
  <c r="W22" i="45"/>
  <c r="W97" i="45" s="1"/>
  <c r="N22" i="45"/>
  <c r="N97" i="45" s="1"/>
  <c r="J22" i="45"/>
  <c r="J97" i="45" s="1"/>
  <c r="AE22" i="45"/>
  <c r="AE97" i="45" s="1"/>
  <c r="V21" i="45"/>
  <c r="T21" i="45"/>
  <c r="I21" i="45"/>
  <c r="J21" i="45"/>
  <c r="AD21" i="45"/>
  <c r="CC108" i="43"/>
  <c r="BS108" i="43"/>
  <c r="BP108" i="43"/>
  <c r="CD108" i="43"/>
  <c r="BK108" i="43"/>
  <c r="BV108" i="43"/>
  <c r="BT108" i="43"/>
  <c r="CE108" i="43"/>
  <c r="BZ108" i="43"/>
  <c r="BL108" i="43"/>
  <c r="BN108" i="43"/>
  <c r="BX108" i="43"/>
  <c r="BQ108" i="43"/>
  <c r="BR108" i="43"/>
  <c r="BI108" i="43"/>
  <c r="BO108" i="43"/>
  <c r="CF108" i="43"/>
  <c r="BM108" i="43"/>
  <c r="BJ108" i="43"/>
  <c r="CG108" i="43"/>
  <c r="BY108" i="43"/>
  <c r="BW108" i="43"/>
  <c r="CA108" i="43"/>
  <c r="CH108" i="43"/>
  <c r="BU108" i="43"/>
  <c r="CB108" i="43"/>
  <c r="AA21" i="45"/>
  <c r="K21" i="45"/>
  <c r="G21" i="45"/>
  <c r="AC21" i="45"/>
  <c r="Y21" i="45"/>
  <c r="P21" i="45"/>
  <c r="AF21" i="45"/>
  <c r="W16" i="45"/>
  <c r="W91" i="45" s="1"/>
  <c r="R16" i="45"/>
  <c r="R91" i="45" s="1"/>
  <c r="I16" i="45"/>
  <c r="I91" i="45" s="1"/>
  <c r="AD16" i="45"/>
  <c r="AD91" i="45" s="1"/>
  <c r="Z16" i="45"/>
  <c r="Z91" i="45" s="1"/>
  <c r="P16" i="45"/>
  <c r="P91" i="45" s="1"/>
  <c r="AF16" i="45"/>
  <c r="AF91" i="45" s="1"/>
  <c r="E21" i="5"/>
  <c r="BQ95" i="43" s="1"/>
  <c r="E16" i="5"/>
  <c r="CF90" i="43" s="1"/>
  <c r="U21" i="45"/>
  <c r="U96" i="45" s="1"/>
  <c r="O21" i="45"/>
  <c r="R21" i="45"/>
  <c r="N21" i="45"/>
  <c r="H21" i="45"/>
  <c r="X21" i="45"/>
  <c r="AA16" i="45"/>
  <c r="AA91" i="45" s="1"/>
  <c r="K16" i="45"/>
  <c r="K91" i="45" s="1"/>
  <c r="S16" i="45"/>
  <c r="S91" i="45" s="1"/>
  <c r="O16" i="45"/>
  <c r="O91" i="45" s="1"/>
  <c r="H16" i="45"/>
  <c r="H91" i="45" s="1"/>
  <c r="X16" i="45"/>
  <c r="X91" i="45" s="1"/>
  <c r="Q21" i="45"/>
  <c r="AE21" i="45"/>
  <c r="Z21" i="45"/>
  <c r="W21" i="45"/>
  <c r="S21" i="45"/>
  <c r="L21" i="45"/>
  <c r="M16" i="45"/>
  <c r="M91" i="45" s="1"/>
  <c r="G16" i="45"/>
  <c r="G91" i="45" s="1"/>
  <c r="V16" i="45"/>
  <c r="V91" i="45" s="1"/>
  <c r="Y16" i="45"/>
  <c r="Y91" i="45" s="1"/>
  <c r="U16" i="45"/>
  <c r="U91" i="45" s="1"/>
  <c r="L16" i="45"/>
  <c r="L91" i="45" s="1"/>
  <c r="BO396" i="43"/>
  <c r="CG395" i="43"/>
  <c r="CC396" i="43"/>
  <c r="CF395" i="43"/>
  <c r="CT135" i="43"/>
  <c r="BJ396" i="43"/>
  <c r="T97" i="45"/>
  <c r="BJ136" i="43"/>
  <c r="BM136" i="43"/>
  <c r="BR396" i="43"/>
  <c r="BR135" i="43"/>
  <c r="BS135" i="43"/>
  <c r="BU135" i="43"/>
  <c r="BY395" i="43"/>
  <c r="CQ136" i="43"/>
  <c r="CY136" i="43"/>
  <c r="DA136" i="43"/>
  <c r="DI135" i="43"/>
  <c r="BO395" i="43"/>
  <c r="CR136" i="43"/>
  <c r="BL136" i="43"/>
  <c r="BZ135" i="43"/>
  <c r="CJ136" i="43"/>
  <c r="CV136" i="43"/>
  <c r="BP136" i="43"/>
  <c r="CB136" i="43"/>
  <c r="BY136" i="43"/>
  <c r="BV396" i="43"/>
  <c r="CH396" i="43"/>
  <c r="BX396" i="43"/>
  <c r="BI396" i="43"/>
  <c r="CK135" i="43"/>
  <c r="CU135" i="43"/>
  <c r="CB135" i="43"/>
  <c r="DD135" i="43"/>
  <c r="BX135" i="43"/>
  <c r="CE135" i="43"/>
  <c r="BY135" i="43"/>
  <c r="CD395" i="43"/>
  <c r="BU395" i="43"/>
  <c r="CL136" i="43"/>
  <c r="BT136" i="43"/>
  <c r="DG136" i="43"/>
  <c r="BV136" i="43"/>
  <c r="CH136" i="43"/>
  <c r="CC136" i="43"/>
  <c r="BT396" i="43"/>
  <c r="CF396" i="43"/>
  <c r="CD396" i="43"/>
  <c r="BM396" i="43"/>
  <c r="CJ135" i="43"/>
  <c r="BK135" i="43"/>
  <c r="BW135" i="43"/>
  <c r="CV135" i="43"/>
  <c r="DC135" i="43"/>
  <c r="CS135" i="43"/>
  <c r="BP395" i="43"/>
  <c r="BX136" i="43"/>
  <c r="BZ136" i="43"/>
  <c r="CT136" i="43"/>
  <c r="DF136" i="43"/>
  <c r="BI136" i="43"/>
  <c r="CW136" i="43"/>
  <c r="CA396" i="43"/>
  <c r="BL396" i="43"/>
  <c r="BY396" i="43"/>
  <c r="CL135" i="43"/>
  <c r="BV135" i="43"/>
  <c r="CH135" i="43"/>
  <c r="DB135" i="43"/>
  <c r="BJ135" i="43"/>
  <c r="DH135" i="43"/>
  <c r="BI135" i="43"/>
  <c r="CW135" i="43"/>
  <c r="BM395" i="43"/>
  <c r="BI395" i="43"/>
  <c r="BT395" i="43"/>
  <c r="CN136" i="43"/>
  <c r="CK136" i="43"/>
  <c r="DH136" i="43"/>
  <c r="BN136" i="43"/>
  <c r="BP396" i="43"/>
  <c r="BO136" i="43"/>
  <c r="CE396" i="43"/>
  <c r="CD136" i="43"/>
  <c r="BK136" i="43"/>
  <c r="CF136" i="43"/>
  <c r="BW136" i="43"/>
  <c r="CZ136" i="43"/>
  <c r="BU136" i="43"/>
  <c r="CS136" i="43"/>
  <c r="DI136" i="43"/>
  <c r="BK396" i="43"/>
  <c r="CB396" i="43"/>
  <c r="BS396" i="43"/>
  <c r="BU396" i="43"/>
  <c r="CM135" i="43"/>
  <c r="CY135" i="43"/>
  <c r="BL135" i="43"/>
  <c r="BQ395" i="43"/>
  <c r="CA135" i="43"/>
  <c r="BN135" i="43"/>
  <c r="CQ135" i="43"/>
  <c r="BW395" i="43"/>
  <c r="BT135" i="43"/>
  <c r="CX135" i="43"/>
  <c r="BQ135" i="43"/>
  <c r="CG135" i="43"/>
  <c r="DE135" i="43"/>
  <c r="CA395" i="43"/>
  <c r="CC395" i="43"/>
  <c r="BV395" i="43"/>
  <c r="BS395" i="43"/>
  <c r="BJ395" i="43"/>
  <c r="CE395" i="43"/>
  <c r="BL395" i="43"/>
  <c r="CB395" i="43"/>
  <c r="CM136" i="43"/>
  <c r="CE136" i="43"/>
  <c r="DB136" i="43"/>
  <c r="DC136" i="43"/>
  <c r="CX136" i="43"/>
  <c r="BS136" i="43"/>
  <c r="CA136" i="43"/>
  <c r="DD136" i="43"/>
  <c r="BR136" i="43"/>
  <c r="CU136" i="43"/>
  <c r="BQ136" i="43"/>
  <c r="CG136" i="43"/>
  <c r="DE136" i="43"/>
  <c r="BZ396" i="43"/>
  <c r="BW396" i="43"/>
  <c r="BN396" i="43"/>
  <c r="BQ396" i="43"/>
  <c r="CN135" i="43"/>
  <c r="CO135" i="43" s="1"/>
  <c r="CF135" i="43"/>
  <c r="CZ135" i="43"/>
  <c r="DF135" i="43"/>
  <c r="BP135" i="43"/>
  <c r="CD135" i="43"/>
  <c r="DG135" i="43"/>
  <c r="BO135" i="43"/>
  <c r="CR135" i="43"/>
  <c r="BM135" i="43"/>
  <c r="CC135" i="43"/>
  <c r="DA135" i="43"/>
  <c r="CH395" i="43"/>
  <c r="BR395" i="43"/>
  <c r="BK395" i="43"/>
  <c r="BN395" i="43"/>
  <c r="BZ395" i="43"/>
  <c r="C17" i="10"/>
  <c r="C10" i="10"/>
  <c r="C22" i="10"/>
  <c r="C23" i="10"/>
  <c r="C35" i="10"/>
  <c r="BM83" i="43" l="1"/>
  <c r="I96" i="45"/>
  <c r="T96" i="45"/>
  <c r="CJ140" i="43"/>
  <c r="DB140" i="43"/>
  <c r="CH400" i="43"/>
  <c r="BP400" i="43"/>
  <c r="CB140" i="43"/>
  <c r="BP140" i="43"/>
  <c r="CA140" i="43"/>
  <c r="CN140" i="43"/>
  <c r="BO400" i="43"/>
  <c r="BZ140" i="43"/>
  <c r="CE400" i="43"/>
  <c r="BU140" i="43"/>
  <c r="CF400" i="43"/>
  <c r="BR400" i="43"/>
  <c r="BV140" i="43"/>
  <c r="Q96" i="45"/>
  <c r="CC140" i="43"/>
  <c r="CB400" i="43"/>
  <c r="CK140" i="43"/>
  <c r="BJ400" i="43"/>
  <c r="Y96" i="45"/>
  <c r="AF96" i="45"/>
  <c r="AC96" i="45"/>
  <c r="CH140" i="43"/>
  <c r="CP140" i="43"/>
  <c r="DG140" i="43"/>
  <c r="CD140" i="43"/>
  <c r="CE140" i="43"/>
  <c r="BX400" i="43"/>
  <c r="CD400" i="43"/>
  <c r="CZ140" i="43"/>
  <c r="CU140" i="43"/>
  <c r="BN140" i="43"/>
  <c r="DA140" i="43"/>
  <c r="DI140" i="43"/>
  <c r="BN400" i="43"/>
  <c r="BR140" i="43"/>
  <c r="BY140" i="43"/>
  <c r="CO140" i="43"/>
  <c r="DC140" i="43"/>
  <c r="BY400" i="43"/>
  <c r="BJ140" i="43"/>
  <c r="BS140" i="43"/>
  <c r="CT140" i="43"/>
  <c r="CG140" i="43"/>
  <c r="CL140" i="43"/>
  <c r="BV400" i="43"/>
  <c r="DF140" i="43"/>
  <c r="BU400" i="43"/>
  <c r="DD140" i="43"/>
  <c r="CF140" i="43"/>
  <c r="BQ400" i="43"/>
  <c r="CM140" i="43"/>
  <c r="BS400" i="43"/>
  <c r="G96" i="45"/>
  <c r="BL400" i="43"/>
  <c r="BX140" i="43"/>
  <c r="DH140" i="43"/>
  <c r="CW140" i="43"/>
  <c r="BM140" i="43"/>
  <c r="CX140" i="43"/>
  <c r="BM400" i="43"/>
  <c r="BK400" i="43"/>
  <c r="BW140" i="43"/>
  <c r="BT140" i="43"/>
  <c r="CR140" i="43"/>
  <c r="CS140" i="43"/>
  <c r="CA400" i="43"/>
  <c r="BQ140" i="43"/>
  <c r="CV140" i="43"/>
  <c r="BI400" i="43"/>
  <c r="BK140" i="43"/>
  <c r="CG400" i="43"/>
  <c r="BL140" i="43"/>
  <c r="CQ140" i="43"/>
  <c r="BZ400" i="43"/>
  <c r="CY140" i="43"/>
  <c r="BI140" i="43"/>
  <c r="BT400" i="43"/>
  <c r="BW400" i="43"/>
  <c r="BO140" i="43"/>
  <c r="DE140" i="43"/>
  <c r="CU134" i="43"/>
  <c r="AE96" i="45"/>
  <c r="X96" i="45"/>
  <c r="K96" i="45"/>
  <c r="J96" i="45"/>
  <c r="BN394" i="43"/>
  <c r="V96" i="45"/>
  <c r="BX134" i="43"/>
  <c r="BL134" i="43"/>
  <c r="CG134" i="43"/>
  <c r="BP134" i="43"/>
  <c r="DD134" i="43"/>
  <c r="DA134" i="43"/>
  <c r="DH134" i="43"/>
  <c r="BS83" i="43"/>
  <c r="BI394" i="43"/>
  <c r="CM134" i="43"/>
  <c r="CD134" i="43"/>
  <c r="DI134" i="43"/>
  <c r="BM394" i="43"/>
  <c r="BM134" i="43"/>
  <c r="BI134" i="43"/>
  <c r="BT394" i="43"/>
  <c r="CJ134" i="43"/>
  <c r="BW134" i="43"/>
  <c r="BO134" i="43"/>
  <c r="BL394" i="43"/>
  <c r="BU134" i="43"/>
  <c r="CN134" i="43"/>
  <c r="CC394" i="43"/>
  <c r="BY134" i="43"/>
  <c r="BP394" i="43"/>
  <c r="CL134" i="43"/>
  <c r="BQ134" i="43"/>
  <c r="BJ134" i="43"/>
  <c r="CY134" i="43"/>
  <c r="CH394" i="43"/>
  <c r="BU394" i="43"/>
  <c r="DG134" i="43"/>
  <c r="BK134" i="43"/>
  <c r="CS134" i="43"/>
  <c r="CC134" i="43"/>
  <c r="CE394" i="43"/>
  <c r="DC134" i="43"/>
  <c r="BJ394" i="43"/>
  <c r="BQ394" i="43"/>
  <c r="P96" i="45"/>
  <c r="CD96" i="43"/>
  <c r="CF83" i="43"/>
  <c r="CC83" i="43"/>
  <c r="O96" i="45"/>
  <c r="BR394" i="43"/>
  <c r="BS134" i="43"/>
  <c r="BV134" i="43"/>
  <c r="CP134" i="43"/>
  <c r="CF134" i="43"/>
  <c r="BK394" i="43"/>
  <c r="CZ134" i="43"/>
  <c r="DB134" i="43"/>
  <c r="BO394" i="43"/>
  <c r="BN134" i="43"/>
  <c r="CF394" i="43"/>
  <c r="CB134" i="43"/>
  <c r="CX134" i="43"/>
  <c r="CK134" i="43"/>
  <c r="BT134" i="43"/>
  <c r="CE134" i="43"/>
  <c r="BY394" i="43"/>
  <c r="CV134" i="43"/>
  <c r="R96" i="45"/>
  <c r="CD394" i="43"/>
  <c r="CA394" i="43"/>
  <c r="BR134" i="43"/>
  <c r="CW134" i="43"/>
  <c r="CQ134" i="43"/>
  <c r="BS394" i="43"/>
  <c r="CA134" i="43"/>
  <c r="CH134" i="43"/>
  <c r="CR134" i="43"/>
  <c r="CG394" i="43"/>
  <c r="DF134" i="43"/>
  <c r="BW394" i="43"/>
  <c r="BZ134" i="43"/>
  <c r="CO134" i="43"/>
  <c r="BV394" i="43"/>
  <c r="BX394" i="43"/>
  <c r="BZ394" i="43"/>
  <c r="DE134" i="43"/>
  <c r="CT134" i="43"/>
  <c r="H96" i="45"/>
  <c r="AA96" i="45"/>
  <c r="CA96" i="43"/>
  <c r="BQ83" i="43"/>
  <c r="BW83" i="43"/>
  <c r="BR83" i="43"/>
  <c r="CA83" i="43"/>
  <c r="CF96" i="43"/>
  <c r="L96" i="45"/>
  <c r="CG96" i="43"/>
  <c r="BY96" i="43"/>
  <c r="CB83" i="43"/>
  <c r="BR96" i="43"/>
  <c r="BP96" i="43"/>
  <c r="S96" i="45"/>
  <c r="CB96" i="43"/>
  <c r="CH96" i="43"/>
  <c r="BJ83" i="43"/>
  <c r="BY83" i="43"/>
  <c r="BU83" i="43"/>
  <c r="BK83" i="43"/>
  <c r="N96" i="45"/>
  <c r="Z96" i="45"/>
  <c r="AD96" i="45"/>
  <c r="W96" i="45"/>
  <c r="M96" i="45"/>
  <c r="BW90" i="43"/>
  <c r="BQ96" i="43"/>
  <c r="CE96" i="43"/>
  <c r="BT96" i="43"/>
  <c r="CH83" i="43"/>
  <c r="BL83" i="43"/>
  <c r="BT83" i="43"/>
  <c r="CG83" i="43"/>
  <c r="BO83" i="43"/>
  <c r="BP83" i="43"/>
  <c r="CE83" i="43"/>
  <c r="BX83" i="43"/>
  <c r="BO96" i="43"/>
  <c r="BM96" i="43"/>
  <c r="CC96" i="43"/>
  <c r="BJ96" i="43"/>
  <c r="BW96" i="43"/>
  <c r="BN83" i="43"/>
  <c r="BI83" i="43"/>
  <c r="BV83" i="43"/>
  <c r="BZ83" i="43"/>
  <c r="CD83" i="43"/>
  <c r="BU96" i="43"/>
  <c r="BS95" i="43"/>
  <c r="BR95" i="43"/>
  <c r="BL95" i="43"/>
  <c r="BM95" i="43"/>
  <c r="BN95" i="43"/>
  <c r="BY95" i="43"/>
  <c r="BU95" i="43"/>
  <c r="CG95" i="43"/>
  <c r="BV95" i="43"/>
  <c r="CC95" i="43"/>
  <c r="CH95" i="43"/>
  <c r="BZ95" i="43"/>
  <c r="CF95" i="43"/>
  <c r="BK95" i="43"/>
  <c r="CE95" i="43"/>
  <c r="BI95" i="43"/>
  <c r="BJ95" i="43"/>
  <c r="CA95" i="43"/>
  <c r="BP95" i="43"/>
  <c r="BW95" i="43"/>
  <c r="BT95" i="43"/>
  <c r="CB95" i="43"/>
  <c r="BL96" i="43"/>
  <c r="BV96" i="43"/>
  <c r="BO95" i="43"/>
  <c r="BS96" i="43"/>
  <c r="BX95" i="43"/>
  <c r="BX96" i="43"/>
  <c r="BZ96" i="43"/>
  <c r="BI96" i="43"/>
  <c r="CD95" i="43"/>
  <c r="BN96" i="43"/>
  <c r="BP90" i="43"/>
  <c r="BR90" i="43"/>
  <c r="BN90" i="43"/>
  <c r="CC90" i="43"/>
  <c r="BL90" i="43"/>
  <c r="BI90" i="43"/>
  <c r="BM90" i="43"/>
  <c r="CE90" i="43"/>
  <c r="BK90" i="43"/>
  <c r="BO90" i="43"/>
  <c r="CB90" i="43"/>
  <c r="BS90" i="43"/>
  <c r="BU90" i="43"/>
  <c r="BX90" i="43"/>
  <c r="CG90" i="43"/>
  <c r="CA90" i="43"/>
  <c r="CD90" i="43"/>
  <c r="BJ90" i="43"/>
  <c r="BT90" i="43"/>
  <c r="CH90" i="43"/>
  <c r="BY90" i="43"/>
  <c r="BQ90" i="43"/>
  <c r="BV90" i="43"/>
  <c r="BZ90" i="43"/>
  <c r="CO136" i="43"/>
  <c r="CP136" i="43" s="1"/>
  <c r="CP135" i="43"/>
  <c r="G5" i="25"/>
  <c r="F5" i="25"/>
  <c r="N209" i="31" l="1"/>
  <c r="O209" i="31"/>
  <c r="N210" i="31"/>
  <c r="O210" i="31"/>
  <c r="N211" i="31"/>
  <c r="O211" i="31"/>
  <c r="N212" i="31"/>
  <c r="O212" i="31"/>
  <c r="N213" i="31"/>
  <c r="O213" i="31"/>
  <c r="M210" i="31"/>
  <c r="M211" i="31"/>
  <c r="M212" i="31"/>
  <c r="M213" i="31"/>
  <c r="M209" i="31"/>
  <c r="AL466" i="31" l="1"/>
  <c r="AK466" i="31"/>
  <c r="AJ466" i="31"/>
  <c r="AI466" i="31"/>
  <c r="AH466" i="31"/>
  <c r="AG466" i="31"/>
  <c r="AF466" i="31"/>
  <c r="AE466" i="31"/>
  <c r="AD466" i="31"/>
  <c r="AC466" i="31"/>
  <c r="AB466" i="31"/>
  <c r="AA466" i="31"/>
  <c r="Z466" i="31"/>
  <c r="Y466" i="31"/>
  <c r="X466" i="31"/>
  <c r="W466" i="31"/>
  <c r="V466" i="31"/>
  <c r="U466" i="31"/>
  <c r="T466" i="31"/>
  <c r="S466" i="31"/>
  <c r="R466" i="31"/>
  <c r="Q466" i="31"/>
  <c r="P466" i="31"/>
  <c r="O466" i="31"/>
  <c r="AL465" i="31"/>
  <c r="AK465" i="31"/>
  <c r="AJ465" i="31"/>
  <c r="AI465" i="31"/>
  <c r="AH465" i="31"/>
  <c r="AG465" i="31"/>
  <c r="AF465" i="31"/>
  <c r="AE465" i="31"/>
  <c r="AD465" i="31"/>
  <c r="AC465" i="31"/>
  <c r="AB465" i="31"/>
  <c r="AA465" i="31"/>
  <c r="Z465" i="31"/>
  <c r="Y465" i="31"/>
  <c r="X465" i="31"/>
  <c r="W465" i="31"/>
  <c r="V465" i="31"/>
  <c r="U465" i="31"/>
  <c r="T465" i="31"/>
  <c r="S465" i="31"/>
  <c r="R465" i="31"/>
  <c r="Q465" i="31"/>
  <c r="P465" i="31"/>
  <c r="O465" i="31"/>
  <c r="AL464" i="31"/>
  <c r="AK464" i="31"/>
  <c r="AJ464" i="31"/>
  <c r="AI464" i="31"/>
  <c r="AH464" i="31"/>
  <c r="AG464" i="31"/>
  <c r="AF464" i="31"/>
  <c r="AE464" i="31"/>
  <c r="AD464" i="31"/>
  <c r="AC464" i="31"/>
  <c r="AB464" i="31"/>
  <c r="AA464" i="31"/>
  <c r="Z464" i="31"/>
  <c r="Y464" i="31"/>
  <c r="X464" i="31"/>
  <c r="W464" i="31"/>
  <c r="V464" i="31"/>
  <c r="U464" i="31"/>
  <c r="T464" i="31"/>
  <c r="S464" i="31"/>
  <c r="R464" i="31"/>
  <c r="Q464" i="31"/>
  <c r="P464" i="31"/>
  <c r="O464" i="31"/>
  <c r="AL463" i="31"/>
  <c r="AK463" i="31"/>
  <c r="AJ463" i="31"/>
  <c r="AI463" i="31"/>
  <c r="AH463" i="31"/>
  <c r="AG463" i="31"/>
  <c r="AF463" i="31"/>
  <c r="AE463" i="31"/>
  <c r="AD463" i="31"/>
  <c r="AC463" i="31"/>
  <c r="AB463" i="31"/>
  <c r="AA463" i="31"/>
  <c r="Z463" i="31"/>
  <c r="Y463" i="31"/>
  <c r="X463" i="31"/>
  <c r="W463" i="31"/>
  <c r="V463" i="31"/>
  <c r="U463" i="31"/>
  <c r="T463" i="31"/>
  <c r="S463" i="31"/>
  <c r="R463" i="31"/>
  <c r="Q463" i="31"/>
  <c r="P463" i="31"/>
  <c r="O463" i="31"/>
  <c r="AL462" i="31"/>
  <c r="AK462" i="31"/>
  <c r="AJ462" i="31"/>
  <c r="AI462" i="31"/>
  <c r="AH462" i="31"/>
  <c r="AG462" i="31"/>
  <c r="AF462" i="31"/>
  <c r="AE462" i="31"/>
  <c r="AD462" i="31"/>
  <c r="AC462" i="31"/>
  <c r="AB462" i="31"/>
  <c r="AA462" i="31"/>
  <c r="Z462" i="31"/>
  <c r="Y462" i="31"/>
  <c r="X462" i="31"/>
  <c r="W462" i="31"/>
  <c r="V462" i="31"/>
  <c r="U462" i="31"/>
  <c r="T462" i="31"/>
  <c r="S462" i="31"/>
  <c r="R462" i="31"/>
  <c r="Q462" i="31"/>
  <c r="P462" i="31"/>
  <c r="O462" i="31"/>
  <c r="N466" i="31"/>
  <c r="N465" i="31"/>
  <c r="N464" i="31"/>
  <c r="N463" i="31"/>
  <c r="N462" i="31"/>
  <c r="N324" i="31" l="1"/>
  <c r="O324" i="31"/>
  <c r="P324" i="31"/>
  <c r="Q324" i="31"/>
  <c r="R324" i="31"/>
  <c r="S324" i="31"/>
  <c r="T324" i="31"/>
  <c r="U324" i="31"/>
  <c r="V324" i="31"/>
  <c r="W324" i="31"/>
  <c r="X324" i="31"/>
  <c r="Y324" i="31"/>
  <c r="Z324" i="31"/>
  <c r="AA324" i="31"/>
  <c r="AB324" i="31"/>
  <c r="AC324" i="31"/>
  <c r="AD324" i="31"/>
  <c r="AE324" i="31"/>
  <c r="AF324" i="31"/>
  <c r="AG324" i="31"/>
  <c r="AH324" i="31"/>
  <c r="AI324" i="31"/>
  <c r="AJ324" i="31"/>
  <c r="AK324" i="31"/>
  <c r="AL324" i="31"/>
  <c r="N325" i="31"/>
  <c r="O325" i="31"/>
  <c r="P325" i="31"/>
  <c r="Q325" i="31"/>
  <c r="R325" i="31"/>
  <c r="S325" i="31"/>
  <c r="T325" i="31"/>
  <c r="U325" i="31"/>
  <c r="V325" i="31"/>
  <c r="W325" i="31"/>
  <c r="X325" i="31"/>
  <c r="Y325" i="31"/>
  <c r="Z325" i="31"/>
  <c r="AA325" i="31"/>
  <c r="AB325" i="31"/>
  <c r="AC325" i="31"/>
  <c r="AD325" i="31"/>
  <c r="AE325" i="31"/>
  <c r="AF325" i="31"/>
  <c r="AG325" i="31"/>
  <c r="AH325" i="31"/>
  <c r="AI325" i="31"/>
  <c r="AJ325" i="31"/>
  <c r="AK325" i="31"/>
  <c r="AL325" i="31"/>
  <c r="N326" i="31"/>
  <c r="O326" i="31"/>
  <c r="P326" i="31"/>
  <c r="Q326" i="31"/>
  <c r="R326" i="31"/>
  <c r="S326" i="31"/>
  <c r="T326" i="31"/>
  <c r="U326" i="31"/>
  <c r="V326" i="31"/>
  <c r="W326" i="31"/>
  <c r="X326" i="31"/>
  <c r="Y326" i="31"/>
  <c r="Z326" i="31"/>
  <c r="AA326" i="31"/>
  <c r="AB326" i="31"/>
  <c r="AC326" i="31"/>
  <c r="AD326" i="31"/>
  <c r="AE326" i="31"/>
  <c r="AF326" i="31"/>
  <c r="AG326" i="31"/>
  <c r="AH326" i="31"/>
  <c r="AI326" i="31"/>
  <c r="AJ326" i="31"/>
  <c r="AK326" i="31"/>
  <c r="AL326" i="31"/>
  <c r="N327" i="31"/>
  <c r="O327" i="31"/>
  <c r="P327" i="31"/>
  <c r="Q327" i="31"/>
  <c r="R327" i="31"/>
  <c r="S327" i="31"/>
  <c r="T327" i="31"/>
  <c r="U327" i="31"/>
  <c r="V327" i="31"/>
  <c r="W327" i="31"/>
  <c r="X327" i="31"/>
  <c r="Y327" i="31"/>
  <c r="Z327" i="31"/>
  <c r="AA327" i="31"/>
  <c r="AB327" i="31"/>
  <c r="AC327" i="31"/>
  <c r="AD327" i="31"/>
  <c r="AE327" i="31"/>
  <c r="AF327" i="31"/>
  <c r="AG327" i="31"/>
  <c r="AH327" i="31"/>
  <c r="AI327" i="31"/>
  <c r="AJ327" i="31"/>
  <c r="AK327" i="31"/>
  <c r="AL327" i="31"/>
  <c r="N328" i="31"/>
  <c r="O328" i="31"/>
  <c r="P328" i="31"/>
  <c r="Q328" i="31"/>
  <c r="R328" i="31"/>
  <c r="S328" i="31"/>
  <c r="T328" i="31"/>
  <c r="U328" i="31"/>
  <c r="V328" i="31"/>
  <c r="W328" i="31"/>
  <c r="X328" i="31"/>
  <c r="Y328" i="31"/>
  <c r="Z328" i="31"/>
  <c r="AA328" i="31"/>
  <c r="AB328" i="31"/>
  <c r="AC328" i="31"/>
  <c r="AD328" i="31"/>
  <c r="AE328" i="31"/>
  <c r="AF328" i="31"/>
  <c r="AG328" i="31"/>
  <c r="AH328" i="31"/>
  <c r="AI328" i="31"/>
  <c r="AJ328" i="31"/>
  <c r="AK328" i="31"/>
  <c r="AL328" i="31"/>
  <c r="N329" i="31"/>
  <c r="O329" i="31"/>
  <c r="P329" i="31"/>
  <c r="Q329" i="31"/>
  <c r="R329" i="31"/>
  <c r="S329" i="31"/>
  <c r="T329" i="31"/>
  <c r="U329" i="31"/>
  <c r="V329" i="31"/>
  <c r="W329" i="31"/>
  <c r="X329" i="31"/>
  <c r="Y329" i="31"/>
  <c r="Z329" i="31"/>
  <c r="AA329" i="31"/>
  <c r="AB329" i="31"/>
  <c r="AC329" i="31"/>
  <c r="AD329" i="31"/>
  <c r="AE329" i="31"/>
  <c r="AF329" i="31"/>
  <c r="AG329" i="31"/>
  <c r="AH329" i="31"/>
  <c r="AI329" i="31"/>
  <c r="AJ329" i="31"/>
  <c r="AK329" i="31"/>
  <c r="AL329" i="31"/>
  <c r="O317" i="31"/>
  <c r="P317" i="31"/>
  <c r="Q317" i="31"/>
  <c r="R317" i="31"/>
  <c r="S317" i="31"/>
  <c r="T317" i="31"/>
  <c r="U317" i="31"/>
  <c r="V317" i="31"/>
  <c r="W317" i="31"/>
  <c r="X317" i="31"/>
  <c r="Y317" i="31"/>
  <c r="Z317" i="31"/>
  <c r="AA317" i="31"/>
  <c r="AB317" i="31"/>
  <c r="AC317" i="31"/>
  <c r="AD317" i="31"/>
  <c r="AE317" i="31"/>
  <c r="AF317" i="31"/>
  <c r="AG317" i="31"/>
  <c r="AH317" i="31"/>
  <c r="AI317" i="31"/>
  <c r="AJ317" i="31"/>
  <c r="AK317" i="31"/>
  <c r="AL317" i="31"/>
  <c r="O318" i="31"/>
  <c r="P318" i="31"/>
  <c r="Q318" i="31"/>
  <c r="R318" i="31"/>
  <c r="S318" i="31"/>
  <c r="T318" i="31"/>
  <c r="U318" i="31"/>
  <c r="V318" i="31"/>
  <c r="W318" i="31"/>
  <c r="X318" i="31"/>
  <c r="Y318" i="31"/>
  <c r="Z318" i="31"/>
  <c r="AA318" i="31"/>
  <c r="AB318" i="31"/>
  <c r="AC318" i="31"/>
  <c r="AD318" i="31"/>
  <c r="AE318" i="31"/>
  <c r="AF318" i="31"/>
  <c r="AG318" i="31"/>
  <c r="AH318" i="31"/>
  <c r="AI318" i="31"/>
  <c r="AJ318" i="31"/>
  <c r="AK318" i="31"/>
  <c r="AL318" i="31"/>
  <c r="O319" i="31"/>
  <c r="P319" i="31"/>
  <c r="Q319" i="31"/>
  <c r="R319" i="31"/>
  <c r="S319" i="31"/>
  <c r="T319" i="31"/>
  <c r="U319" i="31"/>
  <c r="V319" i="31"/>
  <c r="W319" i="31"/>
  <c r="X319" i="31"/>
  <c r="Y319" i="31"/>
  <c r="Z319" i="31"/>
  <c r="AA319" i="31"/>
  <c r="AB319" i="31"/>
  <c r="AC319" i="31"/>
  <c r="AD319" i="31"/>
  <c r="AE319" i="31"/>
  <c r="AF319" i="31"/>
  <c r="AG319" i="31"/>
  <c r="AH319" i="31"/>
  <c r="AI319" i="31"/>
  <c r="AJ319" i="31"/>
  <c r="AK319" i="31"/>
  <c r="AL319" i="31"/>
  <c r="O320" i="31"/>
  <c r="P320" i="31"/>
  <c r="Q320" i="31"/>
  <c r="R320" i="31"/>
  <c r="S320" i="31"/>
  <c r="T320" i="31"/>
  <c r="U320" i="31"/>
  <c r="V320" i="31"/>
  <c r="W320" i="31"/>
  <c r="X320" i="31"/>
  <c r="Y320" i="31"/>
  <c r="Z320" i="31"/>
  <c r="AA320" i="31"/>
  <c r="AB320" i="31"/>
  <c r="AC320" i="31"/>
  <c r="AD320" i="31"/>
  <c r="AE320" i="31"/>
  <c r="AF320" i="31"/>
  <c r="AG320" i="31"/>
  <c r="AH320" i="31"/>
  <c r="AI320" i="31"/>
  <c r="AJ320" i="31"/>
  <c r="AK320" i="31"/>
  <c r="AL320" i="31"/>
  <c r="O321" i="31"/>
  <c r="P321" i="31"/>
  <c r="Q321" i="31"/>
  <c r="R321" i="31"/>
  <c r="S321" i="31"/>
  <c r="T321" i="31"/>
  <c r="U321" i="31"/>
  <c r="V321" i="31"/>
  <c r="W321" i="31"/>
  <c r="X321" i="31"/>
  <c r="Y321" i="31"/>
  <c r="Z321" i="31"/>
  <c r="AA321" i="31"/>
  <c r="AB321" i="31"/>
  <c r="AC321" i="31"/>
  <c r="AD321" i="31"/>
  <c r="AE321" i="31"/>
  <c r="AF321" i="31"/>
  <c r="AG321" i="31"/>
  <c r="AH321" i="31"/>
  <c r="AI321" i="31"/>
  <c r="AJ321" i="31"/>
  <c r="AK321" i="31"/>
  <c r="AL321" i="31"/>
  <c r="N318" i="31"/>
  <c r="N319" i="31"/>
  <c r="N320" i="31"/>
  <c r="N321" i="31"/>
  <c r="N317" i="31"/>
  <c r="O311" i="31"/>
  <c r="P311" i="31"/>
  <c r="Q311" i="31"/>
  <c r="R311" i="31"/>
  <c r="S311" i="31"/>
  <c r="T311" i="31"/>
  <c r="U311" i="31"/>
  <c r="V311" i="31"/>
  <c r="W311" i="31"/>
  <c r="X311" i="31"/>
  <c r="Y311" i="31"/>
  <c r="Z311" i="31"/>
  <c r="AA311" i="31"/>
  <c r="AB311" i="31"/>
  <c r="AC311" i="31"/>
  <c r="AD311" i="31"/>
  <c r="AE311" i="31"/>
  <c r="AF311" i="31"/>
  <c r="AG311" i="31"/>
  <c r="AH311" i="31"/>
  <c r="AI311" i="31"/>
  <c r="AJ311" i="31"/>
  <c r="AK311" i="31"/>
  <c r="AL311" i="31"/>
  <c r="O312" i="31"/>
  <c r="P312" i="31"/>
  <c r="Q312" i="31"/>
  <c r="R312" i="31"/>
  <c r="S312" i="31"/>
  <c r="T312" i="31"/>
  <c r="U312" i="31"/>
  <c r="V312" i="31"/>
  <c r="W312" i="31"/>
  <c r="X312" i="31"/>
  <c r="Y312" i="31"/>
  <c r="Z312" i="31"/>
  <c r="AA312" i="31"/>
  <c r="AB312" i="31"/>
  <c r="AC312" i="31"/>
  <c r="AD312" i="31"/>
  <c r="AE312" i="31"/>
  <c r="AF312" i="31"/>
  <c r="AG312" i="31"/>
  <c r="AH312" i="31"/>
  <c r="AI312" i="31"/>
  <c r="AJ312" i="31"/>
  <c r="AK312" i="31"/>
  <c r="AL312" i="31"/>
  <c r="O313" i="31"/>
  <c r="P313" i="31"/>
  <c r="Q313" i="31"/>
  <c r="R313" i="31"/>
  <c r="S313" i="31"/>
  <c r="T313" i="31"/>
  <c r="U313" i="31"/>
  <c r="V313" i="31"/>
  <c r="W313" i="31"/>
  <c r="X313" i="31"/>
  <c r="Y313" i="31"/>
  <c r="Z313" i="31"/>
  <c r="AA313" i="31"/>
  <c r="AB313" i="31"/>
  <c r="AC313" i="31"/>
  <c r="AD313" i="31"/>
  <c r="AE313" i="31"/>
  <c r="AF313" i="31"/>
  <c r="AG313" i="31"/>
  <c r="AH313" i="31"/>
  <c r="AI313" i="31"/>
  <c r="AJ313" i="31"/>
  <c r="AK313" i="31"/>
  <c r="AL313" i="31"/>
  <c r="O314" i="31"/>
  <c r="P314" i="31"/>
  <c r="Q314" i="31"/>
  <c r="R314" i="31"/>
  <c r="S314" i="31"/>
  <c r="T314" i="31"/>
  <c r="U314" i="31"/>
  <c r="V314" i="31"/>
  <c r="W314" i="31"/>
  <c r="X314" i="31"/>
  <c r="Y314" i="31"/>
  <c r="Z314" i="31"/>
  <c r="AA314" i="31"/>
  <c r="AB314" i="31"/>
  <c r="AC314" i="31"/>
  <c r="AD314" i="31"/>
  <c r="AE314" i="31"/>
  <c r="AF314" i="31"/>
  <c r="AG314" i="31"/>
  <c r="AH314" i="31"/>
  <c r="AI314" i="31"/>
  <c r="AJ314" i="31"/>
  <c r="AK314" i="31"/>
  <c r="AL314" i="31"/>
  <c r="N312" i="31"/>
  <c r="N313" i="31"/>
  <c r="N314" i="31"/>
  <c r="N311" i="31"/>
  <c r="O305" i="31"/>
  <c r="P305" i="31"/>
  <c r="Q305" i="31"/>
  <c r="R305" i="31"/>
  <c r="S305" i="31"/>
  <c r="T305" i="31"/>
  <c r="U305" i="31"/>
  <c r="V305" i="31"/>
  <c r="W305" i="31"/>
  <c r="X305" i="31"/>
  <c r="Y305" i="31"/>
  <c r="Z305" i="31"/>
  <c r="AA305" i="31"/>
  <c r="AB305" i="31"/>
  <c r="AC305" i="31"/>
  <c r="AD305" i="31"/>
  <c r="AE305" i="31"/>
  <c r="AF305" i="31"/>
  <c r="AG305" i="31"/>
  <c r="AH305" i="31"/>
  <c r="AI305" i="31"/>
  <c r="AJ305" i="31"/>
  <c r="AK305" i="31"/>
  <c r="AL305" i="31"/>
  <c r="O306" i="31"/>
  <c r="P306" i="31"/>
  <c r="Q306" i="31"/>
  <c r="R306" i="31"/>
  <c r="S306" i="31"/>
  <c r="T306" i="31"/>
  <c r="U306" i="31"/>
  <c r="V306" i="31"/>
  <c r="W306" i="31"/>
  <c r="X306" i="31"/>
  <c r="Y306" i="31"/>
  <c r="Z306" i="31"/>
  <c r="AA306" i="31"/>
  <c r="AB306" i="31"/>
  <c r="AC306" i="31"/>
  <c r="AD306" i="31"/>
  <c r="AE306" i="31"/>
  <c r="AF306" i="31"/>
  <c r="AG306" i="31"/>
  <c r="AH306" i="31"/>
  <c r="AI306" i="31"/>
  <c r="AJ306" i="31"/>
  <c r="AK306" i="31"/>
  <c r="AL306" i="31"/>
  <c r="O307" i="31"/>
  <c r="P307" i="31"/>
  <c r="Q307" i="31"/>
  <c r="R307" i="31"/>
  <c r="S307" i="31"/>
  <c r="T307" i="31"/>
  <c r="U307" i="31"/>
  <c r="V307" i="31"/>
  <c r="W307" i="31"/>
  <c r="X307" i="31"/>
  <c r="Y307" i="31"/>
  <c r="Z307" i="31"/>
  <c r="AA307" i="31"/>
  <c r="AB307" i="31"/>
  <c r="AC307" i="31"/>
  <c r="AD307" i="31"/>
  <c r="AE307" i="31"/>
  <c r="AF307" i="31"/>
  <c r="AG307" i="31"/>
  <c r="AH307" i="31"/>
  <c r="AI307" i="31"/>
  <c r="AJ307" i="31"/>
  <c r="AK307" i="31"/>
  <c r="AL307" i="31"/>
  <c r="O308" i="31"/>
  <c r="P308" i="31"/>
  <c r="Q308" i="31"/>
  <c r="R308" i="31"/>
  <c r="S308" i="31"/>
  <c r="T308" i="31"/>
  <c r="U308" i="31"/>
  <c r="V308" i="31"/>
  <c r="W308" i="31"/>
  <c r="X308" i="31"/>
  <c r="Y308" i="31"/>
  <c r="Z308" i="31"/>
  <c r="AA308" i="31"/>
  <c r="AB308" i="31"/>
  <c r="AC308" i="31"/>
  <c r="AD308" i="31"/>
  <c r="AE308" i="31"/>
  <c r="AF308" i="31"/>
  <c r="AG308" i="31"/>
  <c r="AH308" i="31"/>
  <c r="AI308" i="31"/>
  <c r="AJ308" i="31"/>
  <c r="AK308" i="31"/>
  <c r="AL308" i="31"/>
  <c r="N306" i="31"/>
  <c r="N307" i="31"/>
  <c r="N308" i="31"/>
  <c r="N305" i="31"/>
  <c r="O299" i="31"/>
  <c r="P299" i="31"/>
  <c r="Q299" i="31"/>
  <c r="R299" i="31"/>
  <c r="S299" i="31"/>
  <c r="T299" i="31"/>
  <c r="U299" i="31"/>
  <c r="V299" i="31"/>
  <c r="W299" i="31"/>
  <c r="X299" i="31"/>
  <c r="Y299" i="31"/>
  <c r="Z299" i="31"/>
  <c r="AA299" i="31"/>
  <c r="AB299" i="31"/>
  <c r="AC299" i="31"/>
  <c r="AD299" i="31"/>
  <c r="AE299" i="31"/>
  <c r="AF299" i="31"/>
  <c r="AG299" i="31"/>
  <c r="AH299" i="31"/>
  <c r="AI299" i="31"/>
  <c r="AJ299" i="31"/>
  <c r="AK299" i="31"/>
  <c r="AL299" i="31"/>
  <c r="O300" i="31"/>
  <c r="P300" i="31"/>
  <c r="Q300" i="31"/>
  <c r="R300" i="31"/>
  <c r="S300" i="31"/>
  <c r="T300" i="31"/>
  <c r="U300" i="31"/>
  <c r="V300" i="31"/>
  <c r="W300" i="31"/>
  <c r="X300" i="31"/>
  <c r="Y300" i="31"/>
  <c r="Z300" i="31"/>
  <c r="AA300" i="31"/>
  <c r="AB300" i="31"/>
  <c r="AC300" i="31"/>
  <c r="AD300" i="31"/>
  <c r="AE300" i="31"/>
  <c r="AF300" i="31"/>
  <c r="AG300" i="31"/>
  <c r="AH300" i="31"/>
  <c r="AI300" i="31"/>
  <c r="AJ300" i="31"/>
  <c r="AK300" i="31"/>
  <c r="AL300" i="31"/>
  <c r="O301" i="31"/>
  <c r="P301" i="31"/>
  <c r="Q301" i="31"/>
  <c r="R301" i="31"/>
  <c r="S301" i="31"/>
  <c r="T301" i="31"/>
  <c r="U301" i="31"/>
  <c r="V301" i="31"/>
  <c r="W301" i="31"/>
  <c r="X301" i="31"/>
  <c r="Y301" i="31"/>
  <c r="Z301" i="31"/>
  <c r="AA301" i="31"/>
  <c r="AB301" i="31"/>
  <c r="AC301" i="31"/>
  <c r="AD301" i="31"/>
  <c r="AE301" i="31"/>
  <c r="AF301" i="31"/>
  <c r="AG301" i="31"/>
  <c r="AH301" i="31"/>
  <c r="AI301" i="31"/>
  <c r="AJ301" i="31"/>
  <c r="AK301" i="31"/>
  <c r="AL301" i="31"/>
  <c r="O302" i="31"/>
  <c r="P302" i="31"/>
  <c r="Q302" i="31"/>
  <c r="R302" i="31"/>
  <c r="S302" i="31"/>
  <c r="T302" i="31"/>
  <c r="U302" i="31"/>
  <c r="V302" i="31"/>
  <c r="W302" i="31"/>
  <c r="X302" i="31"/>
  <c r="Y302" i="31"/>
  <c r="Z302" i="31"/>
  <c r="AA302" i="31"/>
  <c r="AB302" i="31"/>
  <c r="AC302" i="31"/>
  <c r="AD302" i="31"/>
  <c r="AE302" i="31"/>
  <c r="AF302" i="31"/>
  <c r="AG302" i="31"/>
  <c r="AH302" i="31"/>
  <c r="AI302" i="31"/>
  <c r="AJ302" i="31"/>
  <c r="AK302" i="31"/>
  <c r="AL302" i="31"/>
  <c r="N300" i="31"/>
  <c r="N301" i="31"/>
  <c r="N302" i="31"/>
  <c r="N299" i="31"/>
  <c r="O136" i="31"/>
  <c r="P136" i="31"/>
  <c r="Q136" i="31"/>
  <c r="R136" i="31"/>
  <c r="S136" i="31"/>
  <c r="T136" i="31"/>
  <c r="U136" i="31"/>
  <c r="V136" i="31"/>
  <c r="W136" i="31"/>
  <c r="X136" i="31"/>
  <c r="Y136" i="31"/>
  <c r="Z136" i="31"/>
  <c r="AA136" i="31"/>
  <c r="AB136" i="31"/>
  <c r="AC136" i="31"/>
  <c r="AD136" i="31"/>
  <c r="AE136" i="31"/>
  <c r="AF136" i="31"/>
  <c r="AG136" i="31"/>
  <c r="AH136" i="31"/>
  <c r="AI136" i="31"/>
  <c r="AJ136" i="31"/>
  <c r="AK136" i="31"/>
  <c r="AL136" i="31"/>
  <c r="O137" i="31"/>
  <c r="P137" i="31"/>
  <c r="Q137" i="31"/>
  <c r="R137" i="31"/>
  <c r="S137" i="31"/>
  <c r="T137" i="31"/>
  <c r="U137" i="31"/>
  <c r="V137" i="31"/>
  <c r="W137" i="31"/>
  <c r="X137" i="31"/>
  <c r="Y137" i="31"/>
  <c r="Z137" i="31"/>
  <c r="AA137" i="31"/>
  <c r="AB137" i="31"/>
  <c r="AC137" i="31"/>
  <c r="AD137" i="31"/>
  <c r="AE137" i="31"/>
  <c r="AF137" i="31"/>
  <c r="AG137" i="31"/>
  <c r="AH137" i="31"/>
  <c r="AI137" i="31"/>
  <c r="AJ137" i="31"/>
  <c r="AK137" i="31"/>
  <c r="AL137" i="31"/>
  <c r="O138" i="31"/>
  <c r="P138" i="31"/>
  <c r="Q138" i="31"/>
  <c r="R138" i="31"/>
  <c r="S138" i="31"/>
  <c r="T138" i="31"/>
  <c r="U138" i="31"/>
  <c r="V138" i="31"/>
  <c r="W138" i="31"/>
  <c r="X138" i="31"/>
  <c r="Y138" i="31"/>
  <c r="Z138" i="31"/>
  <c r="AA138" i="31"/>
  <c r="AB138" i="31"/>
  <c r="AC138" i="31"/>
  <c r="AD138" i="31"/>
  <c r="AE138" i="31"/>
  <c r="AF138" i="31"/>
  <c r="AG138" i="31"/>
  <c r="AH138" i="31"/>
  <c r="AI138" i="31"/>
  <c r="AJ138" i="31"/>
  <c r="AK138" i="31"/>
  <c r="AL138" i="31"/>
  <c r="O139" i="31"/>
  <c r="P139" i="31"/>
  <c r="Q139" i="31"/>
  <c r="R139" i="31"/>
  <c r="S139" i="31"/>
  <c r="T139" i="31"/>
  <c r="U139" i="31"/>
  <c r="V139" i="31"/>
  <c r="W139" i="31"/>
  <c r="X139" i="31"/>
  <c r="Y139" i="31"/>
  <c r="Z139" i="31"/>
  <c r="AA139" i="31"/>
  <c r="AB139" i="31"/>
  <c r="AC139" i="31"/>
  <c r="AD139" i="31"/>
  <c r="AE139" i="31"/>
  <c r="AF139" i="31"/>
  <c r="AG139" i="31"/>
  <c r="AH139" i="31"/>
  <c r="AI139" i="31"/>
  <c r="AJ139" i="31"/>
  <c r="AK139" i="31"/>
  <c r="AL139" i="31"/>
  <c r="O140" i="31"/>
  <c r="P140" i="31"/>
  <c r="Q140" i="31"/>
  <c r="R140" i="31"/>
  <c r="S140" i="31"/>
  <c r="T140" i="31"/>
  <c r="U140" i="31"/>
  <c r="V140" i="31"/>
  <c r="W140" i="31"/>
  <c r="X140" i="31"/>
  <c r="Y140" i="31"/>
  <c r="Z140" i="31"/>
  <c r="AA140" i="31"/>
  <c r="AB140" i="31"/>
  <c r="AC140" i="31"/>
  <c r="AD140" i="31"/>
  <c r="AE140" i="31"/>
  <c r="AF140" i="31"/>
  <c r="AG140" i="31"/>
  <c r="AH140" i="31"/>
  <c r="AI140" i="31"/>
  <c r="AJ140" i="31"/>
  <c r="AK140" i="31"/>
  <c r="AL140" i="31"/>
  <c r="N137" i="31"/>
  <c r="N138" i="31"/>
  <c r="N139" i="31"/>
  <c r="N140" i="31"/>
  <c r="N136" i="31"/>
  <c r="O130" i="31"/>
  <c r="P130" i="31"/>
  <c r="Q130" i="31"/>
  <c r="R130" i="31"/>
  <c r="S130" i="31"/>
  <c r="T130" i="31"/>
  <c r="U130" i="31"/>
  <c r="V130" i="31"/>
  <c r="W130" i="31"/>
  <c r="X130" i="31"/>
  <c r="Y130" i="31"/>
  <c r="Z130" i="31"/>
  <c r="AA130" i="31"/>
  <c r="AB130" i="31"/>
  <c r="AC130" i="31"/>
  <c r="AD130" i="31"/>
  <c r="AE130" i="31"/>
  <c r="AF130" i="31"/>
  <c r="AG130" i="31"/>
  <c r="AH130" i="31"/>
  <c r="AI130" i="31"/>
  <c r="AJ130" i="31"/>
  <c r="AK130" i="31"/>
  <c r="AL130" i="31"/>
  <c r="O131" i="31"/>
  <c r="P131" i="31"/>
  <c r="Q131" i="31"/>
  <c r="R131" i="31"/>
  <c r="S131" i="31"/>
  <c r="T131" i="31"/>
  <c r="U131" i="31"/>
  <c r="V131" i="31"/>
  <c r="W131" i="31"/>
  <c r="X131" i="31"/>
  <c r="Y131" i="31"/>
  <c r="Z131" i="31"/>
  <c r="AA131" i="31"/>
  <c r="AB131" i="31"/>
  <c r="AC131" i="31"/>
  <c r="AD131" i="31"/>
  <c r="AE131" i="31"/>
  <c r="AF131" i="31"/>
  <c r="AG131" i="31"/>
  <c r="AH131" i="31"/>
  <c r="AI131" i="31"/>
  <c r="AJ131" i="31"/>
  <c r="AK131" i="31"/>
  <c r="AL131" i="31"/>
  <c r="O132" i="31"/>
  <c r="P132" i="31"/>
  <c r="Q132" i="31"/>
  <c r="R132" i="31"/>
  <c r="S132" i="31"/>
  <c r="T132" i="31"/>
  <c r="U132" i="31"/>
  <c r="V132" i="31"/>
  <c r="W132" i="31"/>
  <c r="X132" i="31"/>
  <c r="Y132" i="31"/>
  <c r="Z132" i="31"/>
  <c r="AA132" i="31"/>
  <c r="AB132" i="31"/>
  <c r="AC132" i="31"/>
  <c r="AD132" i="31"/>
  <c r="AE132" i="31"/>
  <c r="AF132" i="31"/>
  <c r="AG132" i="31"/>
  <c r="AH132" i="31"/>
  <c r="AI132" i="31"/>
  <c r="AJ132" i="31"/>
  <c r="AK132" i="31"/>
  <c r="AL132" i="31"/>
  <c r="O133" i="31"/>
  <c r="P133" i="31"/>
  <c r="Q133" i="31"/>
  <c r="R133" i="31"/>
  <c r="S133" i="31"/>
  <c r="T133" i="31"/>
  <c r="U133" i="31"/>
  <c r="V133" i="31"/>
  <c r="W133" i="31"/>
  <c r="X133" i="31"/>
  <c r="Y133" i="31"/>
  <c r="Z133" i="31"/>
  <c r="AA133" i="31"/>
  <c r="AB133" i="31"/>
  <c r="AC133" i="31"/>
  <c r="AD133" i="31"/>
  <c r="AE133" i="31"/>
  <c r="AF133" i="31"/>
  <c r="AG133" i="31"/>
  <c r="AH133" i="31"/>
  <c r="AI133" i="31"/>
  <c r="AJ133" i="31"/>
  <c r="AK133" i="31"/>
  <c r="AL133" i="31"/>
  <c r="N131" i="31"/>
  <c r="N132" i="31"/>
  <c r="N133" i="31"/>
  <c r="N130" i="31"/>
  <c r="O124" i="31"/>
  <c r="P124" i="31"/>
  <c r="Q124" i="31"/>
  <c r="R124" i="31"/>
  <c r="S124" i="31"/>
  <c r="T124" i="31"/>
  <c r="U124" i="31"/>
  <c r="V124" i="31"/>
  <c r="W124" i="31"/>
  <c r="X124" i="31"/>
  <c r="Y124" i="31"/>
  <c r="Z124" i="31"/>
  <c r="AA124" i="31"/>
  <c r="AB124" i="31"/>
  <c r="AC124" i="31"/>
  <c r="AD124" i="31"/>
  <c r="AE124" i="31"/>
  <c r="AF124" i="31"/>
  <c r="AG124" i="31"/>
  <c r="AH124" i="31"/>
  <c r="AI124" i="31"/>
  <c r="AJ124" i="31"/>
  <c r="AK124" i="31"/>
  <c r="AL124" i="31"/>
  <c r="O125" i="31"/>
  <c r="P125" i="31"/>
  <c r="Q125" i="31"/>
  <c r="R125" i="31"/>
  <c r="S125" i="31"/>
  <c r="T125" i="31"/>
  <c r="U125" i="31"/>
  <c r="V125" i="31"/>
  <c r="W125" i="31"/>
  <c r="X125" i="31"/>
  <c r="Y125" i="31"/>
  <c r="Z125" i="31"/>
  <c r="AA125" i="31"/>
  <c r="AB125" i="31"/>
  <c r="AC125" i="31"/>
  <c r="AD125" i="31"/>
  <c r="AE125" i="31"/>
  <c r="AF125" i="31"/>
  <c r="AG125" i="31"/>
  <c r="AH125" i="31"/>
  <c r="AI125" i="31"/>
  <c r="AJ125" i="31"/>
  <c r="AK125" i="31"/>
  <c r="AL125" i="31"/>
  <c r="O126" i="31"/>
  <c r="P126" i="31"/>
  <c r="Q126" i="31"/>
  <c r="R126" i="31"/>
  <c r="S126" i="31"/>
  <c r="T126" i="31"/>
  <c r="U126" i="31"/>
  <c r="V126" i="31"/>
  <c r="W126" i="31"/>
  <c r="X126" i="31"/>
  <c r="Y126" i="31"/>
  <c r="Z126" i="31"/>
  <c r="AA126" i="31"/>
  <c r="AB126" i="31"/>
  <c r="AC126" i="31"/>
  <c r="AD126" i="31"/>
  <c r="AE126" i="31"/>
  <c r="AF126" i="31"/>
  <c r="AG126" i="31"/>
  <c r="AH126" i="31"/>
  <c r="AI126" i="31"/>
  <c r="AJ126" i="31"/>
  <c r="AK126" i="31"/>
  <c r="AL126" i="31"/>
  <c r="O127" i="31"/>
  <c r="P127" i="31"/>
  <c r="Q127" i="31"/>
  <c r="R127" i="31"/>
  <c r="S127" i="31"/>
  <c r="T127" i="31"/>
  <c r="U127" i="31"/>
  <c r="V127" i="31"/>
  <c r="W127" i="31"/>
  <c r="X127" i="31"/>
  <c r="Y127" i="31"/>
  <c r="Z127" i="31"/>
  <c r="AA127" i="31"/>
  <c r="AB127" i="31"/>
  <c r="AC127" i="31"/>
  <c r="AD127" i="31"/>
  <c r="AE127" i="31"/>
  <c r="AF127" i="31"/>
  <c r="AG127" i="31"/>
  <c r="AH127" i="31"/>
  <c r="AI127" i="31"/>
  <c r="AJ127" i="31"/>
  <c r="AK127" i="31"/>
  <c r="AL127" i="31"/>
  <c r="N125" i="31"/>
  <c r="N126" i="31"/>
  <c r="N127" i="31"/>
  <c r="N124" i="31"/>
  <c r="O118" i="31"/>
  <c r="P118" i="31"/>
  <c r="Q118" i="31"/>
  <c r="R118" i="31"/>
  <c r="S118" i="31"/>
  <c r="T118" i="31"/>
  <c r="U118" i="31"/>
  <c r="V118" i="31"/>
  <c r="W118" i="31"/>
  <c r="X118" i="31"/>
  <c r="Y118" i="31"/>
  <c r="Z118" i="31"/>
  <c r="AA118" i="31"/>
  <c r="AB118" i="31"/>
  <c r="AC118" i="31"/>
  <c r="AD118" i="31"/>
  <c r="AE118" i="31"/>
  <c r="AF118" i="31"/>
  <c r="AG118" i="31"/>
  <c r="AH118" i="31"/>
  <c r="AI118" i="31"/>
  <c r="AJ118" i="31"/>
  <c r="AK118" i="31"/>
  <c r="AL118" i="31"/>
  <c r="O119" i="31"/>
  <c r="P119" i="31"/>
  <c r="Q119" i="31"/>
  <c r="R119" i="31"/>
  <c r="S119" i="31"/>
  <c r="T119" i="31"/>
  <c r="U119" i="31"/>
  <c r="V119" i="31"/>
  <c r="W119" i="31"/>
  <c r="X119" i="31"/>
  <c r="Y119" i="31"/>
  <c r="Z119" i="31"/>
  <c r="AA119" i="31"/>
  <c r="AB119" i="31"/>
  <c r="AC119" i="31"/>
  <c r="AD119" i="31"/>
  <c r="AE119" i="31"/>
  <c r="AF119" i="31"/>
  <c r="AG119" i="31"/>
  <c r="AH119" i="31"/>
  <c r="AI119" i="31"/>
  <c r="AJ119" i="31"/>
  <c r="AK119" i="31"/>
  <c r="AL119" i="31"/>
  <c r="O120" i="31"/>
  <c r="P120" i="31"/>
  <c r="Q120" i="31"/>
  <c r="R120" i="31"/>
  <c r="S120" i="31"/>
  <c r="T120" i="31"/>
  <c r="U120" i="31"/>
  <c r="V120" i="31"/>
  <c r="W120" i="31"/>
  <c r="X120" i="31"/>
  <c r="Y120" i="31"/>
  <c r="Z120" i="31"/>
  <c r="AA120" i="31"/>
  <c r="AB120" i="31"/>
  <c r="AC120" i="31"/>
  <c r="AD120" i="31"/>
  <c r="AE120" i="31"/>
  <c r="AF120" i="31"/>
  <c r="AG120" i="31"/>
  <c r="AH120" i="31"/>
  <c r="AI120" i="31"/>
  <c r="AJ120" i="31"/>
  <c r="AK120" i="31"/>
  <c r="AL120" i="31"/>
  <c r="O121" i="31"/>
  <c r="P121" i="31"/>
  <c r="Q121" i="31"/>
  <c r="R121" i="31"/>
  <c r="S121" i="31"/>
  <c r="T121" i="31"/>
  <c r="U121" i="31"/>
  <c r="V121" i="31"/>
  <c r="W121" i="31"/>
  <c r="X121" i="31"/>
  <c r="Y121" i="31"/>
  <c r="Z121" i="31"/>
  <c r="AA121" i="31"/>
  <c r="AB121" i="31"/>
  <c r="AC121" i="31"/>
  <c r="AD121" i="31"/>
  <c r="AE121" i="31"/>
  <c r="AF121" i="31"/>
  <c r="AG121" i="31"/>
  <c r="AH121" i="31"/>
  <c r="AI121" i="31"/>
  <c r="AJ121" i="31"/>
  <c r="AK121" i="31"/>
  <c r="AL121" i="31"/>
  <c r="N119" i="31"/>
  <c r="N120" i="31"/>
  <c r="N121" i="31"/>
  <c r="N118" i="31"/>
  <c r="O204" i="31"/>
  <c r="O205" i="31"/>
  <c r="O206" i="31"/>
  <c r="O203" i="31"/>
  <c r="N204" i="31"/>
  <c r="N205" i="31"/>
  <c r="N206" i="31"/>
  <c r="N203" i="31"/>
  <c r="M204" i="31"/>
  <c r="M205" i="31"/>
  <c r="M206" i="31"/>
  <c r="M203" i="31"/>
  <c r="E64" i="31"/>
  <c r="F64" i="31"/>
  <c r="G64" i="31"/>
  <c r="H64" i="31"/>
  <c r="I64" i="31"/>
  <c r="J64" i="31"/>
  <c r="K64" i="31"/>
  <c r="L64" i="31"/>
  <c r="M64" i="31"/>
  <c r="E65" i="31"/>
  <c r="F65" i="31"/>
  <c r="G65" i="31"/>
  <c r="H65" i="31"/>
  <c r="I65" i="31"/>
  <c r="J65" i="31"/>
  <c r="K65" i="31"/>
  <c r="L65" i="31"/>
  <c r="M65" i="31"/>
  <c r="E66" i="31"/>
  <c r="F66" i="31"/>
  <c r="G66" i="31"/>
  <c r="H66" i="31"/>
  <c r="I66" i="31"/>
  <c r="J66" i="31"/>
  <c r="K66" i="31"/>
  <c r="L66" i="31"/>
  <c r="M66" i="31"/>
  <c r="E67" i="31"/>
  <c r="F67" i="31"/>
  <c r="G67" i="31"/>
  <c r="H67" i="31"/>
  <c r="I67" i="31"/>
  <c r="J67" i="31"/>
  <c r="K67" i="31"/>
  <c r="L67" i="31"/>
  <c r="M67" i="31"/>
  <c r="E68" i="31"/>
  <c r="F68" i="31"/>
  <c r="G68" i="31"/>
  <c r="H68" i="31"/>
  <c r="I68" i="31"/>
  <c r="J68" i="31"/>
  <c r="K68" i="31"/>
  <c r="L68" i="31"/>
  <c r="M68" i="31"/>
  <c r="D65" i="31"/>
  <c r="D66" i="31"/>
  <c r="D67" i="31"/>
  <c r="D68" i="31"/>
  <c r="D64" i="31"/>
  <c r="E58" i="31"/>
  <c r="F58" i="31"/>
  <c r="G58" i="31"/>
  <c r="H58" i="31"/>
  <c r="I58" i="31"/>
  <c r="J58" i="31"/>
  <c r="K58" i="31"/>
  <c r="L58" i="31"/>
  <c r="M58" i="31"/>
  <c r="E59" i="31"/>
  <c r="F59" i="31"/>
  <c r="G59" i="31"/>
  <c r="H59" i="31"/>
  <c r="I59" i="31"/>
  <c r="J59" i="31"/>
  <c r="K59" i="31"/>
  <c r="L59" i="31"/>
  <c r="M59" i="31"/>
  <c r="E60" i="31"/>
  <c r="F60" i="31"/>
  <c r="G60" i="31"/>
  <c r="H60" i="31"/>
  <c r="I60" i="31"/>
  <c r="J60" i="31"/>
  <c r="K60" i="31"/>
  <c r="L60" i="31"/>
  <c r="M60" i="31"/>
  <c r="E61" i="31"/>
  <c r="F61" i="31"/>
  <c r="G61" i="31"/>
  <c r="H61" i="31"/>
  <c r="I61" i="31"/>
  <c r="J61" i="31"/>
  <c r="K61" i="31"/>
  <c r="L61" i="31"/>
  <c r="M61" i="31"/>
  <c r="D59" i="31"/>
  <c r="D60" i="31"/>
  <c r="D61" i="31"/>
  <c r="E52" i="31"/>
  <c r="F52" i="31"/>
  <c r="G52" i="31"/>
  <c r="H52" i="31"/>
  <c r="I52" i="31"/>
  <c r="J52" i="31"/>
  <c r="K52" i="31"/>
  <c r="L52" i="31"/>
  <c r="M52" i="31"/>
  <c r="E53" i="31"/>
  <c r="F53" i="31"/>
  <c r="G53" i="31"/>
  <c r="H53" i="31"/>
  <c r="I53" i="31"/>
  <c r="J53" i="31"/>
  <c r="K53" i="31"/>
  <c r="L53" i="31"/>
  <c r="M53" i="31"/>
  <c r="E54" i="31"/>
  <c r="F54" i="31"/>
  <c r="G54" i="31"/>
  <c r="H54" i="31"/>
  <c r="I54" i="31"/>
  <c r="J54" i="31"/>
  <c r="K54" i="31"/>
  <c r="L54" i="31"/>
  <c r="M54" i="31"/>
  <c r="E55" i="31"/>
  <c r="F55" i="31"/>
  <c r="G55" i="31"/>
  <c r="H55" i="31"/>
  <c r="I55" i="31"/>
  <c r="J55" i="31"/>
  <c r="K55" i="31"/>
  <c r="L55" i="31"/>
  <c r="M55" i="31"/>
  <c r="D53" i="31"/>
  <c r="D54" i="31"/>
  <c r="D55" i="31"/>
  <c r="E46" i="31"/>
  <c r="F46" i="31"/>
  <c r="G46" i="31"/>
  <c r="H46" i="31"/>
  <c r="I46" i="31"/>
  <c r="J46" i="31"/>
  <c r="K46" i="31"/>
  <c r="L46" i="31"/>
  <c r="M46" i="31"/>
  <c r="E47" i="31"/>
  <c r="F47" i="31"/>
  <c r="G47" i="31"/>
  <c r="H47" i="31"/>
  <c r="I47" i="31"/>
  <c r="J47" i="31"/>
  <c r="K47" i="31"/>
  <c r="L47" i="31"/>
  <c r="M47" i="31"/>
  <c r="E48" i="31"/>
  <c r="F48" i="31"/>
  <c r="G48" i="31"/>
  <c r="H48" i="31"/>
  <c r="I48" i="31"/>
  <c r="J48" i="31"/>
  <c r="K48" i="31"/>
  <c r="L48" i="31"/>
  <c r="M48" i="31"/>
  <c r="E49" i="31"/>
  <c r="F49" i="31"/>
  <c r="G49" i="31"/>
  <c r="H49" i="31"/>
  <c r="I49" i="31"/>
  <c r="J49" i="31"/>
  <c r="K49" i="31"/>
  <c r="L49" i="31"/>
  <c r="M49" i="31"/>
  <c r="D47" i="31"/>
  <c r="D48" i="31"/>
  <c r="D49" i="31"/>
  <c r="D58" i="31"/>
  <c r="D52" i="31"/>
  <c r="D46" i="31"/>
  <c r="O391" i="31"/>
  <c r="O392" i="31"/>
  <c r="O393" i="31"/>
  <c r="O394" i="31"/>
  <c r="O390" i="31"/>
  <c r="N391" i="31"/>
  <c r="N392" i="31"/>
  <c r="N393" i="31"/>
  <c r="N394" i="31"/>
  <c r="N390" i="31"/>
  <c r="M391" i="31"/>
  <c r="M392" i="31"/>
  <c r="M393" i="31"/>
  <c r="M394" i="31"/>
  <c r="M390" i="31"/>
  <c r="AF36" i="6" l="1"/>
  <c r="AF35" i="6" s="1"/>
  <c r="F17" i="6"/>
  <c r="F20" i="6" s="1"/>
  <c r="G17" i="6"/>
  <c r="G20" i="6" s="1"/>
  <c r="H17" i="6"/>
  <c r="H20" i="6" s="1"/>
  <c r="I17" i="6"/>
  <c r="I20" i="6" s="1"/>
  <c r="J17" i="6"/>
  <c r="J20" i="6" s="1"/>
  <c r="K17" i="6"/>
  <c r="K20" i="6" s="1"/>
  <c r="L17" i="6"/>
  <c r="L20" i="6" s="1"/>
  <c r="M17" i="6"/>
  <c r="M20" i="6" s="1"/>
  <c r="N17" i="6"/>
  <c r="N20" i="6" s="1"/>
  <c r="O17" i="6"/>
  <c r="O20" i="6" s="1"/>
  <c r="P17" i="6"/>
  <c r="P20" i="6" s="1"/>
  <c r="Q17" i="6"/>
  <c r="Q20" i="6" s="1"/>
  <c r="R17" i="6"/>
  <c r="R20" i="6" s="1"/>
  <c r="S17" i="6"/>
  <c r="S20" i="6" s="1"/>
  <c r="T17" i="6"/>
  <c r="T20" i="6" s="1"/>
  <c r="U17" i="6"/>
  <c r="U20" i="6" s="1"/>
  <c r="V17" i="6"/>
  <c r="V20" i="6" s="1"/>
  <c r="W17" i="6"/>
  <c r="W20" i="6" s="1"/>
  <c r="X17" i="6"/>
  <c r="X20" i="6" s="1"/>
  <c r="Y17" i="6"/>
  <c r="Y20" i="6" s="1"/>
  <c r="Z17" i="6"/>
  <c r="Z20" i="6" s="1"/>
  <c r="AA17" i="6"/>
  <c r="AA20" i="6" s="1"/>
  <c r="E17" i="6"/>
  <c r="AA21" i="6" l="1"/>
  <c r="AA12" i="6"/>
  <c r="Y21" i="6"/>
  <c r="Y12" i="6"/>
  <c r="W21" i="6"/>
  <c r="W12" i="6"/>
  <c r="U21" i="6"/>
  <c r="U12" i="6"/>
  <c r="S21" i="6"/>
  <c r="S12" i="6"/>
  <c r="Q21" i="6"/>
  <c r="Q12" i="6"/>
  <c r="O21" i="6"/>
  <c r="O12" i="6"/>
  <c r="M21" i="6"/>
  <c r="M12" i="6"/>
  <c r="K21" i="6"/>
  <c r="K12" i="6"/>
  <c r="I21" i="6"/>
  <c r="I12" i="6"/>
  <c r="G21" i="6"/>
  <c r="G12" i="6"/>
  <c r="Z21" i="6"/>
  <c r="Z12" i="6"/>
  <c r="X21" i="6"/>
  <c r="X12" i="6"/>
  <c r="V21" i="6"/>
  <c r="V12" i="6"/>
  <c r="T21" i="6"/>
  <c r="T12" i="6"/>
  <c r="R21" i="6"/>
  <c r="R12" i="6"/>
  <c r="P21" i="6"/>
  <c r="P12" i="6"/>
  <c r="N21" i="6"/>
  <c r="N12" i="6"/>
  <c r="L21" i="6"/>
  <c r="L12" i="6"/>
  <c r="J21" i="6"/>
  <c r="J12" i="6"/>
  <c r="H21" i="6"/>
  <c r="H12" i="6"/>
  <c r="L38" i="10"/>
  <c r="L40" i="10"/>
  <c r="L39" i="10"/>
  <c r="L36" i="10"/>
  <c r="L37" i="10"/>
  <c r="L35" i="10"/>
  <c r="L32" i="10"/>
  <c r="L31" i="10"/>
  <c r="L30" i="10"/>
  <c r="L29" i="10"/>
  <c r="L25" i="10"/>
  <c r="L24" i="10"/>
  <c r="L23" i="10"/>
  <c r="L22" i="10"/>
  <c r="L19" i="10"/>
  <c r="L18" i="10"/>
  <c r="L17" i="10"/>
  <c r="L16" i="10"/>
  <c r="L11" i="10"/>
  <c r="L12" i="10"/>
  <c r="L13" i="10"/>
  <c r="BQ22" i="26"/>
  <c r="BQ38" i="26" s="1"/>
  <c r="BR22" i="26"/>
  <c r="BR38" i="26" s="1"/>
  <c r="BQ23" i="26"/>
  <c r="BR23" i="26"/>
  <c r="BQ24" i="26"/>
  <c r="BQ40" i="26" s="1"/>
  <c r="BR24" i="26"/>
  <c r="BR40" i="26" s="1"/>
  <c r="BQ25" i="26"/>
  <c r="BR25" i="26"/>
  <c r="BO25" i="26"/>
  <c r="BO24" i="26"/>
  <c r="BO40" i="26" s="1"/>
  <c r="BO23" i="26"/>
  <c r="BO22" i="26"/>
  <c r="BO37" i="26" s="1"/>
  <c r="BP25" i="26"/>
  <c r="BP24" i="26"/>
  <c r="BP23" i="26"/>
  <c r="BP22" i="26"/>
  <c r="BL22" i="26"/>
  <c r="BL37" i="26" s="1"/>
  <c r="BM22" i="26"/>
  <c r="BM38" i="26" s="1"/>
  <c r="BL23" i="26"/>
  <c r="BM23" i="26"/>
  <c r="BL24" i="26"/>
  <c r="BL40" i="26" s="1"/>
  <c r="BM24" i="26"/>
  <c r="BM40" i="26" s="1"/>
  <c r="BK24" i="26"/>
  <c r="BK23" i="26"/>
  <c r="BK22" i="26"/>
  <c r="BS23" i="26" l="1"/>
  <c r="Z23" i="10" s="1"/>
  <c r="AE21" i="6"/>
  <c r="AD21" i="6"/>
  <c r="AC21" i="6"/>
  <c r="AB21" i="6"/>
  <c r="AF21" i="6"/>
  <c r="BS25" i="26"/>
  <c r="Z25" i="10" s="1"/>
  <c r="BN23" i="26"/>
  <c r="Y23" i="10" s="1"/>
  <c r="BI23" i="26"/>
  <c r="X23" i="10" s="1"/>
  <c r="BG136" i="43"/>
  <c r="AF136" i="43" s="1"/>
  <c r="AR136" i="43"/>
  <c r="Q136" i="43" s="1"/>
  <c r="AV136" i="43"/>
  <c r="U136" i="43" s="1"/>
  <c r="AM136" i="43"/>
  <c r="L136" i="43" s="1"/>
  <c r="AT136" i="43"/>
  <c r="S136" i="43" s="1"/>
  <c r="AN136" i="43"/>
  <c r="M136" i="43" s="1"/>
  <c r="BB136" i="43"/>
  <c r="AA136" i="43" s="1"/>
  <c r="AY136" i="43"/>
  <c r="X136" i="43" s="1"/>
  <c r="AH136" i="43"/>
  <c r="G136" i="43" s="1"/>
  <c r="AK136" i="43"/>
  <c r="J136" i="43" s="1"/>
  <c r="AS136" i="43"/>
  <c r="R136" i="43" s="1"/>
  <c r="AP136" i="43"/>
  <c r="O136" i="43" s="1"/>
  <c r="BF136" i="43"/>
  <c r="AE136" i="43" s="1"/>
  <c r="BC136" i="43"/>
  <c r="AB136" i="43" s="1"/>
  <c r="AI136" i="43"/>
  <c r="H136" i="43" s="1"/>
  <c r="AU136" i="43"/>
  <c r="T136" i="43" s="1"/>
  <c r="AZ136" i="43"/>
  <c r="Y136" i="43" s="1"/>
  <c r="AL136" i="43"/>
  <c r="K136" i="43" s="1"/>
  <c r="BD136" i="43"/>
  <c r="AC136" i="43" s="1"/>
  <c r="BE136" i="43"/>
  <c r="AD136" i="43" s="1"/>
  <c r="BA136" i="43"/>
  <c r="Z136" i="43" s="1"/>
  <c r="AJ136" i="43"/>
  <c r="I136" i="43" s="1"/>
  <c r="AX136" i="43"/>
  <c r="W136" i="43" s="1"/>
  <c r="AW136" i="43"/>
  <c r="V136" i="43" s="1"/>
  <c r="AO136" i="43"/>
  <c r="N136" i="43" s="1"/>
  <c r="AQ136" i="43"/>
  <c r="P136" i="43" s="1"/>
  <c r="AX134" i="43"/>
  <c r="W134" i="43" s="1"/>
  <c r="AH134" i="43"/>
  <c r="G134" i="43" s="1"/>
  <c r="BA134" i="43"/>
  <c r="Z134" i="43" s="1"/>
  <c r="AI134" i="43"/>
  <c r="H134" i="43" s="1"/>
  <c r="AL134" i="43"/>
  <c r="K134" i="43" s="1"/>
  <c r="AQ134" i="43"/>
  <c r="P134" i="43" s="1"/>
  <c r="BE134" i="43"/>
  <c r="AD134" i="43" s="1"/>
  <c r="AM134" i="43"/>
  <c r="L134" i="43" s="1"/>
  <c r="AU134" i="43"/>
  <c r="T134" i="43" s="1"/>
  <c r="AJ134" i="43"/>
  <c r="I134" i="43" s="1"/>
  <c r="BF134" i="43"/>
  <c r="AE134" i="43" s="1"/>
  <c r="AO134" i="43"/>
  <c r="N134" i="43" s="1"/>
  <c r="AT134" i="43"/>
  <c r="S134" i="43" s="1"/>
  <c r="AY134" i="43"/>
  <c r="X134" i="43" s="1"/>
  <c r="AZ134" i="43"/>
  <c r="Y134" i="43" s="1"/>
  <c r="AV134" i="43"/>
  <c r="U134" i="43" s="1"/>
  <c r="AS134" i="43"/>
  <c r="R134" i="43" s="1"/>
  <c r="AR134" i="43"/>
  <c r="Q134" i="43" s="1"/>
  <c r="AN134" i="43"/>
  <c r="M134" i="43" s="1"/>
  <c r="BC134" i="43"/>
  <c r="AB134" i="43" s="1"/>
  <c r="AK134" i="43"/>
  <c r="J134" i="43" s="1"/>
  <c r="BB134" i="43"/>
  <c r="AA134" i="43" s="1"/>
  <c r="BD134" i="43"/>
  <c r="AC134" i="43" s="1"/>
  <c r="BG134" i="43"/>
  <c r="AF134" i="43" s="1"/>
  <c r="AW134" i="43"/>
  <c r="V134" i="43" s="1"/>
  <c r="AP134" i="43"/>
  <c r="O134" i="43" s="1"/>
  <c r="AR135" i="43"/>
  <c r="Q135" i="43" s="1"/>
  <c r="AW135" i="43"/>
  <c r="V135" i="43" s="1"/>
  <c r="BD135" i="43"/>
  <c r="AC135" i="43" s="1"/>
  <c r="BB135" i="43"/>
  <c r="AA135" i="43" s="1"/>
  <c r="AQ135" i="43"/>
  <c r="P135" i="43" s="1"/>
  <c r="AX135" i="43"/>
  <c r="W135" i="43" s="1"/>
  <c r="AZ135" i="43"/>
  <c r="Y135" i="43" s="1"/>
  <c r="AH135" i="43"/>
  <c r="G135" i="43" s="1"/>
  <c r="AP135" i="43"/>
  <c r="O135" i="43" s="1"/>
  <c r="AM135" i="43"/>
  <c r="L135" i="43" s="1"/>
  <c r="BC135" i="43"/>
  <c r="AB135" i="43" s="1"/>
  <c r="AY135" i="43"/>
  <c r="X135" i="43" s="1"/>
  <c r="AI135" i="43"/>
  <c r="H135" i="43" s="1"/>
  <c r="AJ135" i="43"/>
  <c r="I135" i="43" s="1"/>
  <c r="AO135" i="43"/>
  <c r="N135" i="43" s="1"/>
  <c r="BE135" i="43"/>
  <c r="AD135" i="43" s="1"/>
  <c r="AU135" i="43"/>
  <c r="T135" i="43" s="1"/>
  <c r="AT135" i="43"/>
  <c r="S135" i="43" s="1"/>
  <c r="AN135" i="43"/>
  <c r="M135" i="43" s="1"/>
  <c r="BF135" i="43"/>
  <c r="AE135" i="43" s="1"/>
  <c r="BA135" i="43"/>
  <c r="Z135" i="43" s="1"/>
  <c r="AL135" i="43"/>
  <c r="K135" i="43" s="1"/>
  <c r="AS135" i="43"/>
  <c r="R135" i="43" s="1"/>
  <c r="AV135" i="43"/>
  <c r="U135" i="43" s="1"/>
  <c r="AK135" i="43"/>
  <c r="J135" i="43" s="1"/>
  <c r="BG135" i="43"/>
  <c r="AF135" i="43" s="1"/>
  <c r="AZ143" i="43"/>
  <c r="Y143" i="43" s="1"/>
  <c r="AJ143" i="43"/>
  <c r="I143" i="43" s="1"/>
  <c r="AO143" i="43"/>
  <c r="N143" i="43" s="1"/>
  <c r="AW143" i="43"/>
  <c r="V143" i="43" s="1"/>
  <c r="AX143" i="43"/>
  <c r="W143" i="43" s="1"/>
  <c r="AU143" i="43"/>
  <c r="T143" i="43" s="1"/>
  <c r="BA143" i="43"/>
  <c r="Z143" i="43" s="1"/>
  <c r="AN143" i="43"/>
  <c r="M143" i="43" s="1"/>
  <c r="AT143" i="43"/>
  <c r="S143" i="43" s="1"/>
  <c r="AH143" i="43"/>
  <c r="G143" i="43" s="1"/>
  <c r="AV143" i="43"/>
  <c r="U143" i="43" s="1"/>
  <c r="BE143" i="43"/>
  <c r="AD143" i="43" s="1"/>
  <c r="AI143" i="43"/>
  <c r="H143" i="43" s="1"/>
  <c r="AQ143" i="43"/>
  <c r="P143" i="43" s="1"/>
  <c r="AS143" i="43"/>
  <c r="R143" i="43" s="1"/>
  <c r="AP143" i="43"/>
  <c r="O143" i="43" s="1"/>
  <c r="BB143" i="43"/>
  <c r="AA143" i="43" s="1"/>
  <c r="AK143" i="43"/>
  <c r="J143" i="43" s="1"/>
  <c r="AR143" i="43"/>
  <c r="Q143" i="43" s="1"/>
  <c r="AY143" i="43"/>
  <c r="X143" i="43" s="1"/>
  <c r="BG143" i="43"/>
  <c r="AF143" i="43" s="1"/>
  <c r="AL143" i="43"/>
  <c r="K143" i="43" s="1"/>
  <c r="AM143" i="43"/>
  <c r="L143" i="43" s="1"/>
  <c r="BF143" i="43"/>
  <c r="AE143" i="43" s="1"/>
  <c r="BD143" i="43"/>
  <c r="AC143" i="43" s="1"/>
  <c r="BC143" i="43"/>
  <c r="AB143" i="43" s="1"/>
  <c r="AZ141" i="43"/>
  <c r="Y141" i="43" s="1"/>
  <c r="AJ141" i="43"/>
  <c r="I141" i="43" s="1"/>
  <c r="AQ141" i="43"/>
  <c r="P141" i="43" s="1"/>
  <c r="AI141" i="43"/>
  <c r="H141" i="43" s="1"/>
  <c r="AP141" i="43"/>
  <c r="O141" i="43" s="1"/>
  <c r="AS141" i="43"/>
  <c r="R141" i="43" s="1"/>
  <c r="AX141" i="43"/>
  <c r="W141" i="43" s="1"/>
  <c r="AN141" i="43"/>
  <c r="M141" i="43" s="1"/>
  <c r="AT141" i="43"/>
  <c r="S141" i="43" s="1"/>
  <c r="AU141" i="43"/>
  <c r="T141" i="43" s="1"/>
  <c r="AH141" i="43"/>
  <c r="G141" i="43" s="1"/>
  <c r="AV141" i="43"/>
  <c r="U141" i="43" s="1"/>
  <c r="BG141" i="43"/>
  <c r="AF141" i="43" s="1"/>
  <c r="AL141" i="43"/>
  <c r="K141" i="43" s="1"/>
  <c r="BF141" i="43"/>
  <c r="AE141" i="43" s="1"/>
  <c r="AK141" i="43"/>
  <c r="J141" i="43" s="1"/>
  <c r="AM141" i="43"/>
  <c r="L141" i="43" s="1"/>
  <c r="AR141" i="43"/>
  <c r="Q141" i="43" s="1"/>
  <c r="BB141" i="43"/>
  <c r="AA141" i="43" s="1"/>
  <c r="BE141" i="43"/>
  <c r="AD141" i="43" s="1"/>
  <c r="BA141" i="43"/>
  <c r="Z141" i="43" s="1"/>
  <c r="AY141" i="43"/>
  <c r="X141" i="43" s="1"/>
  <c r="BC141" i="43"/>
  <c r="AB141" i="43" s="1"/>
  <c r="BD141" i="43"/>
  <c r="AC141" i="43" s="1"/>
  <c r="AW141" i="43"/>
  <c r="V141" i="43" s="1"/>
  <c r="AO141" i="43"/>
  <c r="N141" i="43" s="1"/>
  <c r="AZ152" i="43"/>
  <c r="Y152" i="43" s="1"/>
  <c r="AJ152" i="43"/>
  <c r="I152" i="43" s="1"/>
  <c r="AO152" i="43"/>
  <c r="N152" i="43" s="1"/>
  <c r="BC152" i="43"/>
  <c r="AB152" i="43" s="1"/>
  <c r="AH152" i="43"/>
  <c r="G152" i="43" s="1"/>
  <c r="BA152" i="43"/>
  <c r="Z152" i="43" s="1"/>
  <c r="AK152" i="43"/>
  <c r="J152" i="43" s="1"/>
  <c r="AV152" i="43"/>
  <c r="U152" i="43" s="1"/>
  <c r="AI152" i="43"/>
  <c r="H152" i="43" s="1"/>
  <c r="AX152" i="43"/>
  <c r="W152" i="43" s="1"/>
  <c r="AU152" i="43"/>
  <c r="T152" i="43" s="1"/>
  <c r="AN152" i="43"/>
  <c r="M152" i="43" s="1"/>
  <c r="AT152" i="43"/>
  <c r="S152" i="43" s="1"/>
  <c r="AL152" i="43"/>
  <c r="K152" i="43" s="1"/>
  <c r="BE152" i="43"/>
  <c r="AD152" i="43" s="1"/>
  <c r="BG152" i="43"/>
  <c r="AF152" i="43" s="1"/>
  <c r="BD152" i="43"/>
  <c r="AC152" i="43" s="1"/>
  <c r="AM152" i="43"/>
  <c r="L152" i="43" s="1"/>
  <c r="BF152" i="43"/>
  <c r="AE152" i="43" s="1"/>
  <c r="AR152" i="43"/>
  <c r="Q152" i="43" s="1"/>
  <c r="AY152" i="43"/>
  <c r="X152" i="43" s="1"/>
  <c r="BB152" i="43"/>
  <c r="AA152" i="43" s="1"/>
  <c r="AS152" i="43"/>
  <c r="R152" i="43" s="1"/>
  <c r="AW152" i="43"/>
  <c r="V152" i="43" s="1"/>
  <c r="AP152" i="43"/>
  <c r="O152" i="43" s="1"/>
  <c r="AQ152" i="43"/>
  <c r="P152" i="43" s="1"/>
  <c r="AZ142" i="43"/>
  <c r="Y142" i="43" s="1"/>
  <c r="AJ142" i="43"/>
  <c r="I142" i="43" s="1"/>
  <c r="AM142" i="43"/>
  <c r="L142" i="43" s="1"/>
  <c r="AU142" i="43"/>
  <c r="T142" i="43" s="1"/>
  <c r="AW142" i="43"/>
  <c r="V142" i="43" s="1"/>
  <c r="BE142" i="43"/>
  <c r="AD142" i="43" s="1"/>
  <c r="AO142" i="43"/>
  <c r="N142" i="43" s="1"/>
  <c r="AV142" i="43"/>
  <c r="U142" i="43" s="1"/>
  <c r="BC142" i="43"/>
  <c r="AB142" i="43" s="1"/>
  <c r="AH142" i="43"/>
  <c r="G142" i="43" s="1"/>
  <c r="AQ142" i="43"/>
  <c r="P142" i="43" s="1"/>
  <c r="AI142" i="43"/>
  <c r="H142" i="43" s="1"/>
  <c r="BB142" i="43"/>
  <c r="AA142" i="43" s="1"/>
  <c r="AP142" i="43"/>
  <c r="O142" i="43" s="1"/>
  <c r="AK142" i="43"/>
  <c r="J142" i="43" s="1"/>
  <c r="BD142" i="43"/>
  <c r="AC142" i="43" s="1"/>
  <c r="BA142" i="43"/>
  <c r="Z142" i="43" s="1"/>
  <c r="AR142" i="43"/>
  <c r="Q142" i="43" s="1"/>
  <c r="AX142" i="43"/>
  <c r="W142" i="43" s="1"/>
  <c r="BF142" i="43"/>
  <c r="AE142" i="43" s="1"/>
  <c r="BG142" i="43"/>
  <c r="AF142" i="43" s="1"/>
  <c r="AL142" i="43"/>
  <c r="K142" i="43" s="1"/>
  <c r="AY142" i="43"/>
  <c r="X142" i="43" s="1"/>
  <c r="AN142" i="43"/>
  <c r="M142" i="43" s="1"/>
  <c r="AS142" i="43"/>
  <c r="R142" i="43" s="1"/>
  <c r="AT142" i="43"/>
  <c r="S142" i="43" s="1"/>
  <c r="BD150" i="43"/>
  <c r="AC150" i="43" s="1"/>
  <c r="AN150" i="43"/>
  <c r="M150" i="43" s="1"/>
  <c r="AU150" i="43"/>
  <c r="T150" i="43" s="1"/>
  <c r="AS150" i="43"/>
  <c r="R150" i="43" s="1"/>
  <c r="AT150" i="43"/>
  <c r="S150" i="43" s="1"/>
  <c r="AM150" i="43"/>
  <c r="L150" i="43" s="1"/>
  <c r="AL150" i="43"/>
  <c r="K150" i="43" s="1"/>
  <c r="BA150" i="43"/>
  <c r="Z150" i="43" s="1"/>
  <c r="AY150" i="43"/>
  <c r="X150" i="43" s="1"/>
  <c r="AZ150" i="43"/>
  <c r="Y150" i="43" s="1"/>
  <c r="AJ150" i="43"/>
  <c r="I150" i="43" s="1"/>
  <c r="AP150" i="43"/>
  <c r="O150" i="43" s="1"/>
  <c r="AH150" i="43"/>
  <c r="G150" i="43" s="1"/>
  <c r="AO150" i="43"/>
  <c r="N150" i="43" s="1"/>
  <c r="AW150" i="43"/>
  <c r="V150" i="43" s="1"/>
  <c r="BB150" i="43"/>
  <c r="AA150" i="43" s="1"/>
  <c r="AR150" i="43"/>
  <c r="Q150" i="43" s="1"/>
  <c r="BC150" i="43"/>
  <c r="AB150" i="43" s="1"/>
  <c r="AV150" i="43"/>
  <c r="U150" i="43" s="1"/>
  <c r="BF150" i="43"/>
  <c r="AE150" i="43" s="1"/>
  <c r="AK150" i="43"/>
  <c r="J150" i="43" s="1"/>
  <c r="BE150" i="43"/>
  <c r="AD150" i="43" s="1"/>
  <c r="AI150" i="43"/>
  <c r="H150" i="43" s="1"/>
  <c r="AQ150" i="43"/>
  <c r="P150" i="43" s="1"/>
  <c r="AX150" i="43"/>
  <c r="W150" i="43" s="1"/>
  <c r="BG150" i="43"/>
  <c r="AF150" i="43" s="1"/>
  <c r="BI40" i="26"/>
  <c r="X40" i="10" s="1"/>
  <c r="BI24" i="26"/>
  <c r="X24" i="10" s="1"/>
  <c r="BK40" i="26"/>
  <c r="BN40" i="26" s="1"/>
  <c r="Y40" i="10" s="1"/>
  <c r="BN24" i="26"/>
  <c r="Y24" i="10" s="1"/>
  <c r="BI37" i="26"/>
  <c r="X37" i="10" s="1"/>
  <c r="BI22" i="26"/>
  <c r="X22" i="10" s="1"/>
  <c r="BK38" i="26"/>
  <c r="BN22" i="26"/>
  <c r="Y22" i="10" s="1"/>
  <c r="BP38" i="26"/>
  <c r="BS22" i="26"/>
  <c r="Z22" i="10" s="1"/>
  <c r="BP40" i="26"/>
  <c r="BS40" i="26" s="1"/>
  <c r="Z40" i="10" s="1"/>
  <c r="BS24" i="26"/>
  <c r="Z24" i="10" s="1"/>
  <c r="BR37" i="26"/>
  <c r="L10" i="10"/>
  <c r="L28" i="10"/>
  <c r="BO38" i="26"/>
  <c r="BL38" i="26"/>
  <c r="BQ37" i="26"/>
  <c r="BM37" i="26"/>
  <c r="BP37" i="26"/>
  <c r="BK37" i="26"/>
  <c r="BN37" i="26" s="1"/>
  <c r="Y37" i="10" s="1"/>
  <c r="AK39" i="5"/>
  <c r="AK38" i="5"/>
  <c r="AK37" i="5"/>
  <c r="AK36" i="5"/>
  <c r="AK35" i="5"/>
  <c r="AK34" i="5"/>
  <c r="AK18" i="5"/>
  <c r="AK17" i="5"/>
  <c r="AK16" i="5"/>
  <c r="AK15" i="5"/>
  <c r="AK12" i="5"/>
  <c r="AK11" i="5"/>
  <c r="AK10" i="5"/>
  <c r="AK9" i="5"/>
  <c r="G209" i="43" l="1" a="1"/>
  <c r="G209" i="43" s="1"/>
  <c r="G208" i="43" a="1"/>
  <c r="G208" i="43" s="1"/>
  <c r="G210" i="43" a="1"/>
  <c r="G210" i="43" s="1"/>
  <c r="BI38" i="26"/>
  <c r="X38" i="10" s="1"/>
  <c r="BS37" i="26"/>
  <c r="Z37" i="10" s="1"/>
  <c r="BN38" i="26"/>
  <c r="Y38" i="10" s="1"/>
  <c r="AV140" i="43"/>
  <c r="U140" i="43" s="1"/>
  <c r="BD140" i="43"/>
  <c r="AC140" i="43" s="1"/>
  <c r="BE140" i="43"/>
  <c r="AD140" i="43" s="1"/>
  <c r="AR140" i="43"/>
  <c r="Q140" i="43" s="1"/>
  <c r="AN140" i="43"/>
  <c r="M140" i="43" s="1"/>
  <c r="AO140" i="43"/>
  <c r="N140" i="43" s="1"/>
  <c r="AL140" i="43"/>
  <c r="K140" i="43" s="1"/>
  <c r="AZ140" i="43"/>
  <c r="Y140" i="43" s="1"/>
  <c r="BC140" i="43"/>
  <c r="AB140" i="43" s="1"/>
  <c r="AY140" i="43"/>
  <c r="X140" i="43" s="1"/>
  <c r="BF140" i="43"/>
  <c r="AE140" i="43" s="1"/>
  <c r="AT140" i="43"/>
  <c r="S140" i="43" s="1"/>
  <c r="AI140" i="43"/>
  <c r="H140" i="43" s="1"/>
  <c r="AM140" i="43"/>
  <c r="L140" i="43" s="1"/>
  <c r="AS140" i="43"/>
  <c r="R140" i="43" s="1"/>
  <c r="BG140" i="43"/>
  <c r="AF140" i="43" s="1"/>
  <c r="AU140" i="43"/>
  <c r="T140" i="43" s="1"/>
  <c r="AP140" i="43"/>
  <c r="O140" i="43" s="1"/>
  <c r="AK140" i="43"/>
  <c r="J140" i="43" s="1"/>
  <c r="AJ140" i="43"/>
  <c r="I140" i="43" s="1"/>
  <c r="AQ140" i="43"/>
  <c r="P140" i="43" s="1"/>
  <c r="AX140" i="43"/>
  <c r="W140" i="43" s="1"/>
  <c r="AW140" i="43"/>
  <c r="V140" i="43" s="1"/>
  <c r="AH140" i="43"/>
  <c r="G140" i="43" s="1"/>
  <c r="BB140" i="43"/>
  <c r="AA140" i="43" s="1"/>
  <c r="BA140" i="43"/>
  <c r="Z140" i="43" s="1"/>
  <c r="BS38" i="26"/>
  <c r="Z38" i="10" s="1"/>
  <c r="G216" i="43" a="1"/>
  <c r="G216" i="43" s="1"/>
  <c r="G217" i="43" a="1"/>
  <c r="G217" i="43" s="1"/>
  <c r="G224" i="43" a="1"/>
  <c r="G224" i="43" s="1"/>
  <c r="G226" i="43" a="1"/>
  <c r="G226" i="43" s="1"/>
  <c r="G215" i="43" a="1"/>
  <c r="G215" i="43" s="1"/>
  <c r="BL35" i="26"/>
  <c r="BM35" i="26"/>
  <c r="BK35" i="26"/>
  <c r="BL36" i="26"/>
  <c r="BM36" i="26"/>
  <c r="BK36" i="26"/>
  <c r="E57" i="11"/>
  <c r="F57" i="11"/>
  <c r="H57" i="11"/>
  <c r="I57" i="11"/>
  <c r="J57" i="11"/>
  <c r="E59" i="11"/>
  <c r="F59" i="11"/>
  <c r="E60" i="11"/>
  <c r="F60" i="11"/>
  <c r="G214" i="43" l="1" a="1"/>
  <c r="G214" i="43" s="1"/>
  <c r="BN35" i="26"/>
  <c r="Y35" i="10" s="1"/>
  <c r="BN36" i="26"/>
  <c r="Y36" i="10" s="1"/>
  <c r="B12" i="4"/>
  <c r="AJ38" i="5"/>
  <c r="AN38" i="5"/>
  <c r="AL38" i="5"/>
  <c r="AM38" i="5"/>
  <c r="AJ39" i="5"/>
  <c r="AN39" i="5"/>
  <c r="AL39" i="5"/>
  <c r="AM39" i="5"/>
  <c r="AM37" i="5"/>
  <c r="AL37" i="5"/>
  <c r="AN37" i="5"/>
  <c r="AJ37" i="5"/>
  <c r="AM36" i="5"/>
  <c r="AL36" i="5"/>
  <c r="AN36" i="5"/>
  <c r="AJ36" i="5"/>
  <c r="AM35" i="5"/>
  <c r="AL35" i="5"/>
  <c r="AN35" i="5"/>
  <c r="AJ35" i="5"/>
  <c r="AM34" i="5"/>
  <c r="AL34" i="5"/>
  <c r="AN34" i="5"/>
  <c r="AJ34" i="5"/>
  <c r="AM30" i="5"/>
  <c r="AJ30" i="5"/>
  <c r="AM29" i="5"/>
  <c r="AJ29" i="5"/>
  <c r="AM28" i="5"/>
  <c r="AJ28" i="5"/>
  <c r="AM27" i="5"/>
  <c r="AJ27" i="5"/>
  <c r="AM24" i="5"/>
  <c r="AJ24" i="5"/>
  <c r="AM23" i="5"/>
  <c r="AJ23" i="5"/>
  <c r="AM22" i="5"/>
  <c r="AJ22" i="5"/>
  <c r="AM21" i="5"/>
  <c r="AJ21" i="5"/>
  <c r="AM18" i="5"/>
  <c r="AL18" i="5"/>
  <c r="AN18" i="5"/>
  <c r="AJ18" i="5"/>
  <c r="AM17" i="5"/>
  <c r="AL17" i="5"/>
  <c r="AN17" i="5"/>
  <c r="AJ17" i="5"/>
  <c r="AM16" i="5"/>
  <c r="AL16" i="5"/>
  <c r="AN16" i="5"/>
  <c r="AJ16" i="5"/>
  <c r="AM15" i="5"/>
  <c r="AL15" i="5"/>
  <c r="AN15" i="5"/>
  <c r="AJ15" i="5"/>
  <c r="AL9" i="5"/>
  <c r="AM9" i="5"/>
  <c r="AN10" i="5"/>
  <c r="AL10" i="5"/>
  <c r="AM10" i="5"/>
  <c r="AN11" i="5"/>
  <c r="AL11" i="5"/>
  <c r="AM11" i="5"/>
  <c r="AN12" i="5"/>
  <c r="AL12" i="5"/>
  <c r="AM12" i="5"/>
  <c r="AJ10" i="5"/>
  <c r="AJ11" i="5"/>
  <c r="AJ12" i="5"/>
  <c r="AJ31" i="5"/>
  <c r="AM31" i="5"/>
  <c r="M12" i="4" l="1"/>
  <c r="Q12" i="4"/>
  <c r="U12" i="4"/>
  <c r="Y12" i="4"/>
  <c r="E12" i="4"/>
  <c r="I12" i="4"/>
  <c r="C12" i="4"/>
  <c r="N12" i="4"/>
  <c r="R12" i="4"/>
  <c r="V12" i="4"/>
  <c r="Z12" i="4"/>
  <c r="F12" i="4"/>
  <c r="J12" i="4"/>
  <c r="O12" i="4"/>
  <c r="S12" i="4"/>
  <c r="W12" i="4"/>
  <c r="AA12" i="4"/>
  <c r="G12" i="4"/>
  <c r="K12" i="4"/>
  <c r="P12" i="4"/>
  <c r="T12" i="4"/>
  <c r="X12" i="4"/>
  <c r="D12" i="4"/>
  <c r="H12" i="4"/>
  <c r="L12" i="4"/>
  <c r="K159" i="12"/>
  <c r="L159" i="16" s="1"/>
  <c r="D16" i="10"/>
  <c r="D28" i="10"/>
  <c r="N172" i="12"/>
  <c r="O172" i="16" s="1"/>
  <c r="D29" i="10"/>
  <c r="D35" i="10"/>
  <c r="P153" i="12"/>
  <c r="Q153" i="16" s="1"/>
  <c r="M153" i="12"/>
  <c r="N153" i="16" s="1"/>
  <c r="J153" i="12"/>
  <c r="K153" i="16" s="1"/>
  <c r="X171" i="12"/>
  <c r="Y171" i="16" s="1"/>
  <c r="Y171" i="12"/>
  <c r="Z171" i="16" s="1"/>
  <c r="O172" i="12"/>
  <c r="P172" i="16" s="1"/>
  <c r="N166" i="12"/>
  <c r="O166" i="16" s="1"/>
  <c r="U165" i="12"/>
  <c r="V165" i="16" s="1"/>
  <c r="G165" i="12"/>
  <c r="H165" i="16" s="1"/>
  <c r="Z154" i="12"/>
  <c r="AA154" i="16" s="1"/>
  <c r="H155" i="12"/>
  <c r="I155" i="16" s="1"/>
  <c r="R156" i="12"/>
  <c r="S156" i="16" s="1"/>
  <c r="Z156" i="12"/>
  <c r="AA156" i="16" s="1"/>
  <c r="F154" i="12"/>
  <c r="G154" i="16" s="1"/>
  <c r="V154" i="12"/>
  <c r="W154" i="16" s="1"/>
  <c r="T155" i="12"/>
  <c r="U155" i="16" s="1"/>
  <c r="F156" i="12"/>
  <c r="G156" i="16" s="1"/>
  <c r="V156" i="12"/>
  <c r="W156" i="16" s="1"/>
  <c r="AD156" i="12"/>
  <c r="AE156" i="16" s="1"/>
  <c r="O181" i="12"/>
  <c r="P181" i="16" s="1"/>
  <c r="W156" i="12"/>
  <c r="X156" i="16" s="1"/>
  <c r="F174" i="12"/>
  <c r="G174" i="16" s="1"/>
  <c r="J174" i="12"/>
  <c r="K174" i="16" s="1"/>
  <c r="Z174" i="12"/>
  <c r="AA174" i="16" s="1"/>
  <c r="N180" i="12"/>
  <c r="O180" i="16" s="1"/>
  <c r="R180" i="12"/>
  <c r="S180" i="16" s="1"/>
  <c r="AD180" i="12"/>
  <c r="AE180" i="16" s="1"/>
  <c r="U154" i="12"/>
  <c r="V154" i="16" s="1"/>
  <c r="AC154" i="12"/>
  <c r="AD154" i="16" s="1"/>
  <c r="AE174" i="12"/>
  <c r="AF174" i="16" s="1"/>
  <c r="Y179" i="12"/>
  <c r="Z179" i="16" s="1"/>
  <c r="Q173" i="12"/>
  <c r="R173" i="16" s="1"/>
  <c r="U173" i="12"/>
  <c r="V173" i="16" s="1"/>
  <c r="Y173" i="12"/>
  <c r="Z173" i="16" s="1"/>
  <c r="AC173" i="12"/>
  <c r="AD173" i="16" s="1"/>
  <c r="I174" i="12"/>
  <c r="J174" i="16" s="1"/>
  <c r="Q174" i="12"/>
  <c r="R174" i="16" s="1"/>
  <c r="Y174" i="12"/>
  <c r="Z174" i="16" s="1"/>
  <c r="AA174" i="12"/>
  <c r="AB174" i="16" s="1"/>
  <c r="I175" i="12"/>
  <c r="J175" i="16" s="1"/>
  <c r="M175" i="12"/>
  <c r="N175" i="16" s="1"/>
  <c r="U175" i="12"/>
  <c r="V175" i="16" s="1"/>
  <c r="AC175" i="12"/>
  <c r="AD175" i="16" s="1"/>
  <c r="M179" i="12"/>
  <c r="N179" i="16" s="1"/>
  <c r="Q179" i="12"/>
  <c r="R179" i="16" s="1"/>
  <c r="U179" i="12"/>
  <c r="V179" i="16" s="1"/>
  <c r="AC179" i="12"/>
  <c r="AD179" i="16" s="1"/>
  <c r="I180" i="12"/>
  <c r="J180" i="16" s="1"/>
  <c r="U180" i="12"/>
  <c r="V180" i="16" s="1"/>
  <c r="Y180" i="12"/>
  <c r="Z180" i="16" s="1"/>
  <c r="S180" i="12"/>
  <c r="T180" i="16" s="1"/>
  <c r="W180" i="12"/>
  <c r="X180" i="16" s="1"/>
  <c r="I181" i="12"/>
  <c r="J181" i="16" s="1"/>
  <c r="M181" i="12"/>
  <c r="N181" i="16" s="1"/>
  <c r="Q181" i="12"/>
  <c r="R181" i="16" s="1"/>
  <c r="U181" i="12"/>
  <c r="V181" i="16" s="1"/>
  <c r="Y181" i="12"/>
  <c r="Z181" i="16" s="1"/>
  <c r="AC181" i="12"/>
  <c r="AD181" i="16" s="1"/>
  <c r="M182" i="12"/>
  <c r="N182" i="16" s="1"/>
  <c r="AC182" i="12"/>
  <c r="AD182" i="16" s="1"/>
  <c r="U183" i="12"/>
  <c r="V183" i="16" s="1"/>
  <c r="AC183" i="12"/>
  <c r="AD183" i="16" s="1"/>
  <c r="O156" i="12"/>
  <c r="P156" i="16" s="1"/>
  <c r="H154" i="12"/>
  <c r="I154" i="16" s="1"/>
  <c r="P154" i="12"/>
  <c r="Q154" i="16" s="1"/>
  <c r="T154" i="12"/>
  <c r="U154" i="16" s="1"/>
  <c r="X154" i="12"/>
  <c r="Y154" i="16" s="1"/>
  <c r="F155" i="12"/>
  <c r="G155" i="16" s="1"/>
  <c r="N155" i="12"/>
  <c r="O155" i="16" s="1"/>
  <c r="R155" i="12"/>
  <c r="S155" i="16" s="1"/>
  <c r="V155" i="12"/>
  <c r="W155" i="16" s="1"/>
  <c r="AD155" i="12"/>
  <c r="AE155" i="16" s="1"/>
  <c r="L156" i="12"/>
  <c r="M156" i="16" s="1"/>
  <c r="P156" i="12"/>
  <c r="Q156" i="16" s="1"/>
  <c r="T156" i="12"/>
  <c r="U156" i="16" s="1"/>
  <c r="AB156" i="12"/>
  <c r="AC156" i="16" s="1"/>
  <c r="G160" i="12"/>
  <c r="H160" i="16" s="1"/>
  <c r="O160" i="12"/>
  <c r="P160" i="16" s="1"/>
  <c r="S160" i="12"/>
  <c r="T160" i="16" s="1"/>
  <c r="W160" i="12"/>
  <c r="X160" i="16" s="1"/>
  <c r="S161" i="12"/>
  <c r="T161" i="16" s="1"/>
  <c r="I161" i="12"/>
  <c r="J161" i="16" s="1"/>
  <c r="G162" i="12"/>
  <c r="H162" i="16" s="1"/>
  <c r="O162" i="12"/>
  <c r="P162" i="16" s="1"/>
  <c r="S162" i="12"/>
  <c r="T162" i="16" s="1"/>
  <c r="W162" i="12"/>
  <c r="X162" i="16" s="1"/>
  <c r="AA162" i="12"/>
  <c r="AB162" i="16" s="1"/>
  <c r="AE162" i="12"/>
  <c r="AF162" i="16" s="1"/>
  <c r="W175" i="12"/>
  <c r="X175" i="16" s="1"/>
  <c r="AA175" i="12"/>
  <c r="AB175" i="16" s="1"/>
  <c r="M154" i="12"/>
  <c r="N154" i="16" s="1"/>
  <c r="P160" i="12"/>
  <c r="Q160" i="16" s="1"/>
  <c r="T160" i="12"/>
  <c r="U160" i="16" s="1"/>
  <c r="AB160" i="12"/>
  <c r="AC160" i="16" s="1"/>
  <c r="P161" i="12"/>
  <c r="Q161" i="16" s="1"/>
  <c r="L162" i="12"/>
  <c r="M162" i="16" s="1"/>
  <c r="T162" i="12"/>
  <c r="U162" i="16" s="1"/>
  <c r="X162" i="12"/>
  <c r="Y162" i="16" s="1"/>
  <c r="AB162" i="12"/>
  <c r="AC162" i="16" s="1"/>
  <c r="F162" i="12"/>
  <c r="G162" i="16" s="1"/>
  <c r="H167" i="12"/>
  <c r="I167" i="16" s="1"/>
  <c r="L167" i="12"/>
  <c r="M167" i="16" s="1"/>
  <c r="P183" i="12"/>
  <c r="Q183" i="16" s="1"/>
  <c r="G167" i="12"/>
  <c r="H167" i="16" s="1"/>
  <c r="K167" i="12"/>
  <c r="L167" i="16" s="1"/>
  <c r="O167" i="12"/>
  <c r="P167" i="16" s="1"/>
  <c r="S167" i="12"/>
  <c r="T167" i="16" s="1"/>
  <c r="W167" i="12"/>
  <c r="X167" i="16" s="1"/>
  <c r="AA167" i="12"/>
  <c r="AB167" i="16" s="1"/>
  <c r="AE167" i="12"/>
  <c r="AF167" i="16" s="1"/>
  <c r="G168" i="12"/>
  <c r="H168" i="16" s="1"/>
  <c r="O168" i="12"/>
  <c r="P168" i="16" s="1"/>
  <c r="S168" i="12"/>
  <c r="T168" i="16" s="1"/>
  <c r="W168" i="12"/>
  <c r="X168" i="16" s="1"/>
  <c r="AE168" i="12"/>
  <c r="AF168" i="16" s="1"/>
  <c r="I168" i="12"/>
  <c r="J168" i="16" s="1"/>
  <c r="Y168" i="12"/>
  <c r="Z168" i="16" s="1"/>
  <c r="AC168" i="12"/>
  <c r="AD168" i="16" s="1"/>
  <c r="K174" i="12"/>
  <c r="L174" i="16" s="1"/>
  <c r="O174" i="12"/>
  <c r="P174" i="16" s="1"/>
  <c r="K175" i="12"/>
  <c r="L175" i="16" s="1"/>
  <c r="G180" i="12"/>
  <c r="H180" i="16" s="1"/>
  <c r="O182" i="12"/>
  <c r="P182" i="16" s="1"/>
  <c r="S182" i="12"/>
  <c r="T182" i="16" s="1"/>
  <c r="T167" i="12"/>
  <c r="U167" i="16" s="1"/>
  <c r="X167" i="12"/>
  <c r="Y167" i="16" s="1"/>
  <c r="AB167" i="12"/>
  <c r="AC167" i="16" s="1"/>
  <c r="F168" i="12"/>
  <c r="G168" i="16" s="1"/>
  <c r="N168" i="12"/>
  <c r="O168" i="16" s="1"/>
  <c r="R168" i="12"/>
  <c r="S168" i="16" s="1"/>
  <c r="H173" i="12"/>
  <c r="I173" i="16" s="1"/>
  <c r="L173" i="12"/>
  <c r="M173" i="16" s="1"/>
  <c r="X173" i="12"/>
  <c r="Y173" i="16" s="1"/>
  <c r="H175" i="12"/>
  <c r="I175" i="16" s="1"/>
  <c r="L175" i="12"/>
  <c r="M175" i="16" s="1"/>
  <c r="P175" i="12"/>
  <c r="Q175" i="16" s="1"/>
  <c r="T175" i="12"/>
  <c r="U175" i="16" s="1"/>
  <c r="X175" i="12"/>
  <c r="Y175" i="16" s="1"/>
  <c r="AB175" i="12"/>
  <c r="AC175" i="16" s="1"/>
  <c r="H179" i="12"/>
  <c r="I179" i="16" s="1"/>
  <c r="H180" i="12"/>
  <c r="I180" i="16" s="1"/>
  <c r="P180" i="12"/>
  <c r="Q180" i="16" s="1"/>
  <c r="T180" i="12"/>
  <c r="U180" i="16" s="1"/>
  <c r="AB180" i="12"/>
  <c r="AC180" i="16" s="1"/>
  <c r="T181" i="12"/>
  <c r="U181" i="16" s="1"/>
  <c r="H182" i="12"/>
  <c r="I182" i="16" s="1"/>
  <c r="L182" i="12"/>
  <c r="M182" i="16" s="1"/>
  <c r="T182" i="12"/>
  <c r="U182" i="16" s="1"/>
  <c r="X182" i="12"/>
  <c r="Y182" i="16" s="1"/>
  <c r="L183" i="12"/>
  <c r="M183" i="16" s="1"/>
  <c r="Q161" i="12"/>
  <c r="R161" i="16" s="1"/>
  <c r="Y161" i="12"/>
  <c r="Z161" i="16" s="1"/>
  <c r="K161" i="12"/>
  <c r="L161" i="16" s="1"/>
  <c r="AA161" i="12"/>
  <c r="AB161" i="16" s="1"/>
  <c r="M174" i="12"/>
  <c r="N174" i="16" s="1"/>
  <c r="AC174" i="12"/>
  <c r="AD174" i="16" s="1"/>
  <c r="Q182" i="12"/>
  <c r="R182" i="16" s="1"/>
  <c r="M161" i="12"/>
  <c r="N161" i="16" s="1"/>
  <c r="AC161" i="12"/>
  <c r="AD161" i="16" s="1"/>
  <c r="R160" i="12"/>
  <c r="S160" i="16" s="1"/>
  <c r="N162" i="12"/>
  <c r="O162" i="16" s="1"/>
  <c r="AD182" i="12"/>
  <c r="AE182" i="16" s="1"/>
  <c r="S154" i="12"/>
  <c r="T154" i="16" s="1"/>
  <c r="AC155" i="12"/>
  <c r="AD155" i="16" s="1"/>
  <c r="AD159" i="12"/>
  <c r="AE159" i="16" s="1"/>
  <c r="V160" i="12"/>
  <c r="W160" i="16" s="1"/>
  <c r="F161" i="12"/>
  <c r="G161" i="16" s="1"/>
  <c r="N161" i="12"/>
  <c r="O161" i="16" s="1"/>
  <c r="R161" i="12"/>
  <c r="S161" i="16" s="1"/>
  <c r="V161" i="12"/>
  <c r="W161" i="16" s="1"/>
  <c r="AD168" i="12"/>
  <c r="AE168" i="16" s="1"/>
  <c r="AA183" i="12"/>
  <c r="AB183" i="16" s="1"/>
  <c r="Q154" i="12"/>
  <c r="R154" i="16" s="1"/>
  <c r="Q167" i="12"/>
  <c r="R167" i="16" s="1"/>
  <c r="U167" i="12"/>
  <c r="V167" i="16" s="1"/>
  <c r="M168" i="12"/>
  <c r="N168" i="16" s="1"/>
  <c r="Q168" i="12"/>
  <c r="R168" i="16" s="1"/>
  <c r="I173" i="12"/>
  <c r="J173" i="16" s="1"/>
  <c r="M173" i="12"/>
  <c r="N173" i="16" s="1"/>
  <c r="Z168" i="12"/>
  <c r="AA168" i="16" s="1"/>
  <c r="R174" i="12"/>
  <c r="S174" i="16" s="1"/>
  <c r="AD174" i="12"/>
  <c r="AE174" i="16" s="1"/>
  <c r="F175" i="12"/>
  <c r="G175" i="16" s="1"/>
  <c r="N175" i="12"/>
  <c r="O175" i="16" s="1"/>
  <c r="AD175" i="12"/>
  <c r="AE175" i="16" s="1"/>
  <c r="F179" i="12"/>
  <c r="G179" i="16" s="1"/>
  <c r="N179" i="12"/>
  <c r="O179" i="16" s="1"/>
  <c r="R179" i="12"/>
  <c r="S179" i="16" s="1"/>
  <c r="V179" i="12"/>
  <c r="W179" i="16" s="1"/>
  <c r="AD179" i="12"/>
  <c r="AE179" i="16" s="1"/>
  <c r="J181" i="12"/>
  <c r="K181" i="16" s="1"/>
  <c r="N181" i="12"/>
  <c r="O181" i="16" s="1"/>
  <c r="R181" i="12"/>
  <c r="S181" i="16" s="1"/>
  <c r="V181" i="12"/>
  <c r="W181" i="16" s="1"/>
  <c r="Z181" i="12"/>
  <c r="AA181" i="16" s="1"/>
  <c r="F183" i="12"/>
  <c r="G183" i="16" s="1"/>
  <c r="N183" i="12"/>
  <c r="O183" i="16" s="1"/>
  <c r="R183" i="12"/>
  <c r="S183" i="16" s="1"/>
  <c r="V183" i="12"/>
  <c r="W183" i="16" s="1"/>
  <c r="Z183" i="12"/>
  <c r="AA183" i="16" s="1"/>
  <c r="AD183" i="12"/>
  <c r="AE183" i="16" s="1"/>
  <c r="G174" i="12"/>
  <c r="H174" i="16" s="1"/>
  <c r="W174" i="12"/>
  <c r="X174" i="16" s="1"/>
  <c r="O175" i="12"/>
  <c r="P175" i="16" s="1"/>
  <c r="S175" i="12"/>
  <c r="T175" i="16" s="1"/>
  <c r="AE175" i="12"/>
  <c r="AF175" i="16" s="1"/>
  <c r="K180" i="12"/>
  <c r="L180" i="16" s="1"/>
  <c r="AA180" i="12"/>
  <c r="AB180" i="16" s="1"/>
  <c r="AE180" i="12"/>
  <c r="AF180" i="16" s="1"/>
  <c r="W182" i="12"/>
  <c r="X182" i="16" s="1"/>
  <c r="AA182" i="12"/>
  <c r="AB182" i="16" s="1"/>
  <c r="G182" i="12"/>
  <c r="H182" i="16" s="1"/>
  <c r="AE182" i="12"/>
  <c r="AF182" i="16" s="1"/>
  <c r="Y183" i="12"/>
  <c r="Z183" i="16" s="1"/>
  <c r="AB183" i="12"/>
  <c r="AC183" i="16" s="1"/>
  <c r="AB155" i="12"/>
  <c r="AC155" i="16" s="1"/>
  <c r="AD154" i="12"/>
  <c r="AE154" i="16" s="1"/>
  <c r="J154" i="12"/>
  <c r="K154" i="16" s="1"/>
  <c r="AA166" i="12" l="1"/>
  <c r="AB166" i="16" s="1"/>
  <c r="F166" i="12"/>
  <c r="G166" i="16" s="1"/>
  <c r="M171" i="12"/>
  <c r="N171" i="16" s="1"/>
  <c r="X153" i="12"/>
  <c r="Y153" i="16" s="1"/>
  <c r="AD178" i="12"/>
  <c r="AE178" i="16" s="1"/>
  <c r="AA178" i="12"/>
  <c r="AB178" i="16" s="1"/>
  <c r="K178" i="12"/>
  <c r="L178" i="16" s="1"/>
  <c r="N159" i="12"/>
  <c r="O159" i="16" s="1"/>
  <c r="W159" i="12"/>
  <c r="X159" i="16" s="1"/>
  <c r="G159" i="12"/>
  <c r="H159" i="16" s="1"/>
  <c r="H153" i="12"/>
  <c r="I153" i="16" s="1"/>
  <c r="AB153" i="12"/>
  <c r="AC153" i="16" s="1"/>
  <c r="W153" i="12"/>
  <c r="X153" i="16" s="1"/>
  <c r="AD153" i="12"/>
  <c r="AE153" i="16" s="1"/>
  <c r="AD172" i="12"/>
  <c r="AE172" i="16" s="1"/>
  <c r="Q171" i="12"/>
  <c r="R171" i="16" s="1"/>
  <c r="AE153" i="12"/>
  <c r="AF153" i="16" s="1"/>
  <c r="I178" i="12"/>
  <c r="J178" i="16" s="1"/>
  <c r="AC166" i="12"/>
  <c r="AD166" i="16" s="1"/>
  <c r="L171" i="12"/>
  <c r="M171" i="16" s="1"/>
  <c r="X178" i="12"/>
  <c r="Y178" i="16" s="1"/>
  <c r="Q153" i="12"/>
  <c r="R153" i="16" s="1"/>
  <c r="AE172" i="12"/>
  <c r="AF172" i="16" s="1"/>
  <c r="I171" i="12"/>
  <c r="J171" i="16" s="1"/>
  <c r="U159" i="12"/>
  <c r="V159" i="16" s="1"/>
  <c r="N153" i="12"/>
  <c r="O153" i="16" s="1"/>
  <c r="Z172" i="12"/>
  <c r="AA172" i="16" s="1"/>
  <c r="AA159" i="12"/>
  <c r="AB159" i="16" s="1"/>
  <c r="T153" i="12"/>
  <c r="U153" i="16" s="1"/>
  <c r="O153" i="12"/>
  <c r="P153" i="16" s="1"/>
  <c r="I153" i="12"/>
  <c r="J153" i="16" s="1"/>
  <c r="S153" i="12"/>
  <c r="T153" i="16" s="1"/>
  <c r="J172" i="12"/>
  <c r="K172" i="16" s="1"/>
  <c r="K153" i="12"/>
  <c r="L153" i="16" s="1"/>
  <c r="T178" i="12"/>
  <c r="U178" i="16" s="1"/>
  <c r="R159" i="12"/>
  <c r="S159" i="16" s="1"/>
  <c r="F178" i="12"/>
  <c r="G178" i="16" s="1"/>
  <c r="AE178" i="12"/>
  <c r="AF178" i="16" s="1"/>
  <c r="K172" i="12"/>
  <c r="L172" i="16" s="1"/>
  <c r="Q159" i="12"/>
  <c r="R159" i="16" s="1"/>
  <c r="R153" i="12"/>
  <c r="S153" i="16" s="1"/>
  <c r="AA153" i="12"/>
  <c r="AB153" i="16" s="1"/>
  <c r="F153" i="12"/>
  <c r="G153" i="16" s="1"/>
  <c r="V172" i="12"/>
  <c r="W172" i="16" s="1"/>
  <c r="V153" i="12"/>
  <c r="W153" i="16" s="1"/>
  <c r="U153" i="12"/>
  <c r="V153" i="16" s="1"/>
  <c r="R172" i="12"/>
  <c r="S172" i="16" s="1"/>
  <c r="L165" i="12"/>
  <c r="M165" i="16" s="1"/>
  <c r="L178" i="12"/>
  <c r="M178" i="16" s="1"/>
  <c r="Z159" i="12"/>
  <c r="AA159" i="16" s="1"/>
  <c r="J159" i="12"/>
  <c r="K159" i="16" s="1"/>
  <c r="AC153" i="12"/>
  <c r="AD153" i="16" s="1"/>
  <c r="R178" i="12"/>
  <c r="S178" i="16" s="1"/>
  <c r="W178" i="12"/>
  <c r="X178" i="16" s="1"/>
  <c r="G178" i="12"/>
  <c r="H178" i="16" s="1"/>
  <c r="S172" i="12"/>
  <c r="T172" i="16" s="1"/>
  <c r="AC171" i="12"/>
  <c r="AD171" i="16" s="1"/>
  <c r="I159" i="12"/>
  <c r="J159" i="16" s="1"/>
  <c r="Z153" i="12"/>
  <c r="AA153" i="16" s="1"/>
  <c r="F172" i="12"/>
  <c r="G172" i="16" s="1"/>
  <c r="U178" i="12"/>
  <c r="V178" i="16" s="1"/>
  <c r="L153" i="12"/>
  <c r="M153" i="16" s="1"/>
  <c r="G153" i="12"/>
  <c r="H153" i="16" s="1"/>
  <c r="Y178" i="12"/>
  <c r="Z178" i="16" s="1"/>
  <c r="V178" i="12"/>
  <c r="W178" i="16" s="1"/>
  <c r="P178" i="12"/>
  <c r="Q178" i="16" s="1"/>
  <c r="Y153" i="12"/>
  <c r="Z153" i="16" s="1"/>
  <c r="AC159" i="12"/>
  <c r="AD159" i="16" s="1"/>
  <c r="M159" i="12"/>
  <c r="N159" i="16" s="1"/>
  <c r="H165" i="12"/>
  <c r="I165" i="16" s="1"/>
  <c r="T165" i="12"/>
  <c r="U165" i="16" s="1"/>
  <c r="K166" i="12"/>
  <c r="L166" i="16" s="1"/>
  <c r="W165" i="12"/>
  <c r="X165" i="16" s="1"/>
  <c r="I165" i="12"/>
  <c r="J165" i="16" s="1"/>
  <c r="V166" i="12"/>
  <c r="W166" i="16" s="1"/>
  <c r="M166" i="12"/>
  <c r="N166" i="16" s="1"/>
  <c r="J166" i="12"/>
  <c r="K166" i="16" s="1"/>
  <c r="AD166" i="12"/>
  <c r="AE166" i="16" s="1"/>
  <c r="Y165" i="12"/>
  <c r="Z165" i="16" s="1"/>
  <c r="P165" i="12"/>
  <c r="Q165" i="16" s="1"/>
  <c r="AE166" i="12"/>
  <c r="AF166" i="16" s="1"/>
  <c r="O166" i="12"/>
  <c r="P166" i="16" s="1"/>
  <c r="Q166" i="12"/>
  <c r="R166" i="16" s="1"/>
  <c r="Z166" i="12"/>
  <c r="AA166" i="16" s="1"/>
  <c r="X165" i="12"/>
  <c r="Y165" i="16" s="1"/>
  <c r="G166" i="12"/>
  <c r="H166" i="16" s="1"/>
  <c r="AA165" i="12"/>
  <c r="AB165" i="16" s="1"/>
  <c r="K165" i="12"/>
  <c r="L165" i="16" s="1"/>
  <c r="Y166" i="12"/>
  <c r="Z166" i="16" s="1"/>
  <c r="U166" i="12"/>
  <c r="V166" i="16" s="1"/>
  <c r="X155" i="12"/>
  <c r="Y155" i="16" s="1"/>
  <c r="S178" i="12"/>
  <c r="T178" i="16" s="1"/>
  <c r="V168" i="12"/>
  <c r="W168" i="16" s="1"/>
  <c r="Z182" i="12"/>
  <c r="AA182" i="16" s="1"/>
  <c r="AA172" i="12"/>
  <c r="AB172" i="16" s="1"/>
  <c r="J168" i="12"/>
  <c r="K168" i="16" s="1"/>
  <c r="R154" i="12"/>
  <c r="S154" i="16" s="1"/>
  <c r="P155" i="12"/>
  <c r="Q155" i="16" s="1"/>
  <c r="N156" i="12"/>
  <c r="O156" i="16" s="1"/>
  <c r="S174" i="12"/>
  <c r="T174" i="16" s="1"/>
  <c r="AD181" i="12"/>
  <c r="AE181" i="16" s="1"/>
  <c r="Z179" i="12"/>
  <c r="AA179" i="16" s="1"/>
  <c r="J179" i="12"/>
  <c r="K179" i="16" s="1"/>
  <c r="V175" i="12"/>
  <c r="W175" i="16" s="1"/>
  <c r="U168" i="12"/>
  <c r="V168" i="16" s="1"/>
  <c r="Y167" i="12"/>
  <c r="Z167" i="16" s="1"/>
  <c r="I167" i="12"/>
  <c r="J167" i="16" s="1"/>
  <c r="AC165" i="12"/>
  <c r="AD165" i="16" s="1"/>
  <c r="M165" i="12"/>
  <c r="N165" i="16" s="1"/>
  <c r="U156" i="12"/>
  <c r="V156" i="16" s="1"/>
  <c r="AA155" i="12"/>
  <c r="AB155" i="16" s="1"/>
  <c r="Y154" i="12"/>
  <c r="Z154" i="16" s="1"/>
  <c r="AB172" i="12"/>
  <c r="AC172" i="16" s="1"/>
  <c r="L172" i="12"/>
  <c r="M172" i="16" s="1"/>
  <c r="P168" i="12"/>
  <c r="Q168" i="16" s="1"/>
  <c r="T166" i="12"/>
  <c r="U166" i="16" s="1"/>
  <c r="G156" i="12"/>
  <c r="H156" i="16" s="1"/>
  <c r="AD161" i="12"/>
  <c r="AE161" i="16" s="1"/>
  <c r="AB181" i="12"/>
  <c r="AC181" i="16" s="1"/>
  <c r="L181" i="12"/>
  <c r="M181" i="16" s="1"/>
  <c r="AD162" i="12"/>
  <c r="AE162" i="16" s="1"/>
  <c r="AB159" i="12"/>
  <c r="AC159" i="16" s="1"/>
  <c r="L159" i="12"/>
  <c r="M159" i="16" s="1"/>
  <c r="U174" i="12"/>
  <c r="V174" i="16" s="1"/>
  <c r="AE173" i="12"/>
  <c r="AF173" i="16" s="1"/>
  <c r="O173" i="12"/>
  <c r="P173" i="16" s="1"/>
  <c r="W161" i="12"/>
  <c r="X161" i="16" s="1"/>
  <c r="G161" i="12"/>
  <c r="H161" i="16" s="1"/>
  <c r="AB182" i="12"/>
  <c r="AC182" i="16" s="1"/>
  <c r="X180" i="12"/>
  <c r="Y180" i="16" s="1"/>
  <c r="H178" i="12"/>
  <c r="I178" i="16" s="1"/>
  <c r="P173" i="12"/>
  <c r="Q173" i="16" s="1"/>
  <c r="T171" i="12"/>
  <c r="U171" i="16" s="1"/>
  <c r="T183" i="12"/>
  <c r="U183" i="16" s="1"/>
  <c r="X160" i="12"/>
  <c r="Y160" i="16" s="1"/>
  <c r="S166" i="12"/>
  <c r="T166" i="16" s="1"/>
  <c r="AE165" i="12"/>
  <c r="AF165" i="16" s="1"/>
  <c r="O165" i="12"/>
  <c r="P165" i="16" s="1"/>
  <c r="K162" i="12"/>
  <c r="L162" i="16" s="1"/>
  <c r="V174" i="12"/>
  <c r="W174" i="16" s="1"/>
  <c r="F181" i="12"/>
  <c r="G181" i="16" s="1"/>
  <c r="U171" i="12"/>
  <c r="V171" i="16" s="1"/>
  <c r="AE183" i="12"/>
  <c r="AF183" i="16" s="1"/>
  <c r="Y175" i="12"/>
  <c r="Z175" i="16" s="1"/>
  <c r="H162" i="12"/>
  <c r="I162" i="16" s="1"/>
  <c r="AE160" i="12"/>
  <c r="AF160" i="16" s="1"/>
  <c r="N154" i="12"/>
  <c r="O154" i="16" s="1"/>
  <c r="L155" i="12"/>
  <c r="M155" i="16" s="1"/>
  <c r="J156" i="12"/>
  <c r="K156" i="16" s="1"/>
  <c r="K182" i="12"/>
  <c r="L182" i="16" s="1"/>
  <c r="O180" i="12"/>
  <c r="P180" i="16" s="1"/>
  <c r="O178" i="12"/>
  <c r="P178" i="16" s="1"/>
  <c r="J183" i="12"/>
  <c r="K183" i="16" s="1"/>
  <c r="AC167" i="12"/>
  <c r="AD167" i="16" s="1"/>
  <c r="M167" i="12"/>
  <c r="N167" i="16" s="1"/>
  <c r="I166" i="12"/>
  <c r="J166" i="16" s="1"/>
  <c r="Q165" i="12"/>
  <c r="R165" i="16" s="1"/>
  <c r="I156" i="12"/>
  <c r="J156" i="16" s="1"/>
  <c r="R166" i="12"/>
  <c r="S166" i="16" s="1"/>
  <c r="U161" i="12"/>
  <c r="V161" i="16" s="1"/>
  <c r="Y159" i="12"/>
  <c r="Z159" i="16" s="1"/>
  <c r="Y182" i="12"/>
  <c r="Z182" i="16" s="1"/>
  <c r="I182" i="12"/>
  <c r="J182" i="16" s="1"/>
  <c r="W179" i="12"/>
  <c r="X179" i="16" s="1"/>
  <c r="G179" i="12"/>
  <c r="H179" i="16" s="1"/>
  <c r="Q178" i="12"/>
  <c r="R178" i="16" s="1"/>
  <c r="W171" i="12"/>
  <c r="X171" i="16" s="1"/>
  <c r="G171" i="12"/>
  <c r="H171" i="16" s="1"/>
  <c r="X183" i="12"/>
  <c r="Y183" i="16" s="1"/>
  <c r="J182" i="12"/>
  <c r="K182" i="16" s="1"/>
  <c r="P182" i="12"/>
  <c r="Q182" i="16" s="1"/>
  <c r="L180" i="12"/>
  <c r="M180" i="16" s="1"/>
  <c r="T179" i="12"/>
  <c r="U179" i="16" s="1"/>
  <c r="AB178" i="12"/>
  <c r="AC178" i="16" s="1"/>
  <c r="T173" i="12"/>
  <c r="U173" i="16" s="1"/>
  <c r="AB171" i="12"/>
  <c r="AC171" i="16" s="1"/>
  <c r="H171" i="12"/>
  <c r="I171" i="16" s="1"/>
  <c r="G175" i="12"/>
  <c r="H175" i="16" s="1"/>
  <c r="W172" i="12"/>
  <c r="X172" i="16" s="1"/>
  <c r="G172" i="12"/>
  <c r="H172" i="16" s="1"/>
  <c r="AA168" i="12"/>
  <c r="AB168" i="16" s="1"/>
  <c r="K168" i="12"/>
  <c r="L168" i="16" s="1"/>
  <c r="P167" i="12"/>
  <c r="Q167" i="16" s="1"/>
  <c r="V162" i="12"/>
  <c r="W162" i="16" s="1"/>
  <c r="L160" i="12"/>
  <c r="M160" i="16" s="1"/>
  <c r="T159" i="12"/>
  <c r="U159" i="16" s="1"/>
  <c r="AE155" i="12"/>
  <c r="AF155" i="16" s="1"/>
  <c r="M156" i="12"/>
  <c r="N156" i="16" s="1"/>
  <c r="AC156" i="12"/>
  <c r="AD156" i="16" s="1"/>
  <c r="W166" i="12"/>
  <c r="X166" i="16" s="1"/>
  <c r="S165" i="12"/>
  <c r="T165" i="16" s="1"/>
  <c r="AA160" i="12"/>
  <c r="AB160" i="16" s="1"/>
  <c r="K160" i="12"/>
  <c r="L160" i="16" s="1"/>
  <c r="X156" i="12"/>
  <c r="Y156" i="16" s="1"/>
  <c r="H156" i="12"/>
  <c r="I156" i="16" s="1"/>
  <c r="Z155" i="12"/>
  <c r="AA155" i="16" s="1"/>
  <c r="J155" i="12"/>
  <c r="K155" i="16" s="1"/>
  <c r="AB154" i="12"/>
  <c r="AC154" i="16" s="1"/>
  <c r="L154" i="12"/>
  <c r="M154" i="16" s="1"/>
  <c r="Q183" i="12"/>
  <c r="R183" i="16" s="1"/>
  <c r="H160" i="12"/>
  <c r="I160" i="16" s="1"/>
  <c r="I183" i="12"/>
  <c r="J183" i="16" s="1"/>
  <c r="I179" i="12"/>
  <c r="J179" i="16" s="1"/>
  <c r="N174" i="12"/>
  <c r="O174" i="16" s="1"/>
  <c r="S159" i="12"/>
  <c r="T159" i="16" s="1"/>
  <c r="M183" i="12"/>
  <c r="N183" i="16" s="1"/>
  <c r="W154" i="12"/>
  <c r="X154" i="16" s="1"/>
  <c r="O155" i="12"/>
  <c r="P155" i="16" s="1"/>
  <c r="P172" i="12"/>
  <c r="Q172" i="16" s="1"/>
  <c r="N167" i="12"/>
  <c r="O167" i="16" s="1"/>
  <c r="X166" i="12"/>
  <c r="Y166" i="16" s="1"/>
  <c r="H166" i="12"/>
  <c r="I166" i="16" s="1"/>
  <c r="F182" i="12"/>
  <c r="G182" i="16" s="1"/>
  <c r="Z180" i="12"/>
  <c r="AA180" i="16" s="1"/>
  <c r="N178" i="12"/>
  <c r="O178" i="16" s="1"/>
  <c r="R162" i="12"/>
  <c r="S162" i="16" s="1"/>
  <c r="F160" i="12"/>
  <c r="G160" i="16" s="1"/>
  <c r="P159" i="12"/>
  <c r="Q159" i="16" s="1"/>
  <c r="S181" i="12"/>
  <c r="T181" i="16" s="1"/>
  <c r="AC180" i="12"/>
  <c r="AD180" i="16" s="1"/>
  <c r="M180" i="12"/>
  <c r="N180" i="16" s="1"/>
  <c r="AC172" i="12"/>
  <c r="AD172" i="16" s="1"/>
  <c r="M172" i="12"/>
  <c r="N172" i="16" s="1"/>
  <c r="AE159" i="12"/>
  <c r="AF159" i="16" s="1"/>
  <c r="O159" i="12"/>
  <c r="P159" i="16" s="1"/>
  <c r="AB173" i="12"/>
  <c r="AC173" i="16" s="1"/>
  <c r="P171" i="12"/>
  <c r="Q171" i="16" s="1"/>
  <c r="AB165" i="12"/>
  <c r="AC165" i="16" s="1"/>
  <c r="Q180" i="12"/>
  <c r="R180" i="16" s="1"/>
  <c r="P162" i="12"/>
  <c r="Q162" i="16" s="1"/>
  <c r="AA156" i="12"/>
  <c r="AB156" i="16" s="1"/>
  <c r="G183" i="12"/>
  <c r="H183" i="16" s="1"/>
  <c r="X174" i="12"/>
  <c r="Y174" i="16" s="1"/>
  <c r="H174" i="12"/>
  <c r="I174" i="16" s="1"/>
  <c r="R173" i="12"/>
  <c r="S173" i="16" s="1"/>
  <c r="V171" i="12"/>
  <c r="W171" i="16" s="1"/>
  <c r="F171" i="12"/>
  <c r="G171" i="16" s="1"/>
  <c r="AD165" i="12"/>
  <c r="AE165" i="16" s="1"/>
  <c r="N165" i="12"/>
  <c r="O165" i="16" s="1"/>
  <c r="V180" i="12"/>
  <c r="W180" i="16" s="1"/>
  <c r="P179" i="12"/>
  <c r="Q179" i="16" s="1"/>
  <c r="Z178" i="12"/>
  <c r="AA178" i="16" s="1"/>
  <c r="Q175" i="12"/>
  <c r="R175" i="16" s="1"/>
  <c r="X161" i="12"/>
  <c r="Y161" i="16" s="1"/>
  <c r="H161" i="12"/>
  <c r="I161" i="16" s="1"/>
  <c r="U182" i="12"/>
  <c r="V182" i="16" s="1"/>
  <c r="AE181" i="12"/>
  <c r="AF181" i="16" s="1"/>
  <c r="AC178" i="12"/>
  <c r="AD178" i="16" s="1"/>
  <c r="M178" i="12"/>
  <c r="N178" i="16" s="1"/>
  <c r="I172" i="12"/>
  <c r="J172" i="16" s="1"/>
  <c r="AB174" i="12"/>
  <c r="AC174" i="16" s="1"/>
  <c r="L174" i="12"/>
  <c r="M174" i="16" s="1"/>
  <c r="AB161" i="12"/>
  <c r="AC161" i="16" s="1"/>
  <c r="L161" i="12"/>
  <c r="M161" i="16" s="1"/>
  <c r="K155" i="12"/>
  <c r="L155" i="16" s="1"/>
  <c r="Z167" i="12"/>
  <c r="AA167" i="16" s="1"/>
  <c r="J167" i="12"/>
  <c r="K167" i="16" s="1"/>
  <c r="Q156" i="12"/>
  <c r="R156" i="16" s="1"/>
  <c r="AD173" i="12"/>
  <c r="AE173" i="16" s="1"/>
  <c r="N173" i="12"/>
  <c r="O173" i="16" s="1"/>
  <c r="AB168" i="12"/>
  <c r="AC168" i="16" s="1"/>
  <c r="L168" i="12"/>
  <c r="M168" i="16" s="1"/>
  <c r="Z161" i="12"/>
  <c r="AA161" i="16" s="1"/>
  <c r="J161" i="12"/>
  <c r="K161" i="16" s="1"/>
  <c r="V159" i="12"/>
  <c r="W159" i="16" s="1"/>
  <c r="F159" i="12"/>
  <c r="G159" i="16" s="1"/>
  <c r="X181" i="12"/>
  <c r="Y181" i="16" s="1"/>
  <c r="AA173" i="12"/>
  <c r="AB173" i="16" s="1"/>
  <c r="K173" i="12"/>
  <c r="L173" i="16" s="1"/>
  <c r="AE171" i="12"/>
  <c r="AF171" i="16" s="1"/>
  <c r="O171" i="12"/>
  <c r="P171" i="16" s="1"/>
  <c r="H183" i="12"/>
  <c r="I183" i="16" s="1"/>
  <c r="Z160" i="12"/>
  <c r="AA160" i="16" s="1"/>
  <c r="M155" i="12"/>
  <c r="N155" i="16" s="1"/>
  <c r="J178" i="12"/>
  <c r="K178" i="16" s="1"/>
  <c r="S179" i="12"/>
  <c r="T179" i="16" s="1"/>
  <c r="S171" i="12"/>
  <c r="T171" i="16" s="1"/>
  <c r="I155" i="12"/>
  <c r="J155" i="16" s="1"/>
  <c r="S156" i="12"/>
  <c r="T156" i="16" s="1"/>
  <c r="S155" i="12"/>
  <c r="T155" i="16" s="1"/>
  <c r="I154" i="12"/>
  <c r="J154" i="16" s="1"/>
  <c r="O183" i="12"/>
  <c r="P183" i="16" s="1"/>
  <c r="X168" i="12"/>
  <c r="Y168" i="16" s="1"/>
  <c r="H168" i="12"/>
  <c r="I168" i="16" s="1"/>
  <c r="W173" i="12"/>
  <c r="X173" i="16" s="1"/>
  <c r="G173" i="12"/>
  <c r="H173" i="16" s="1"/>
  <c r="AE161" i="12"/>
  <c r="AF161" i="16" s="1"/>
  <c r="O161" i="12"/>
  <c r="P161" i="16" s="1"/>
  <c r="X179" i="12"/>
  <c r="Y179" i="16" s="1"/>
  <c r="J160" i="12"/>
  <c r="K160" i="16" s="1"/>
  <c r="T168" i="12"/>
  <c r="U168" i="16" s="1"/>
  <c r="V182" i="12"/>
  <c r="W182" i="16" s="1"/>
  <c r="P181" i="12"/>
  <c r="Q181" i="16" s="1"/>
  <c r="J180" i="12"/>
  <c r="K180" i="16" s="1"/>
  <c r="S173" i="12"/>
  <c r="T173" i="16" s="1"/>
  <c r="Y156" i="12"/>
  <c r="Z156" i="16" s="1"/>
  <c r="R182" i="12"/>
  <c r="S182" i="16" s="1"/>
  <c r="F180" i="12"/>
  <c r="G180" i="16" s="1"/>
  <c r="Y172" i="12"/>
  <c r="Z172" i="16" s="1"/>
  <c r="U155" i="12"/>
  <c r="V155" i="16" s="1"/>
  <c r="AE156" i="12"/>
  <c r="AF156" i="16" s="1"/>
  <c r="W155" i="12"/>
  <c r="X155" i="16" s="1"/>
  <c r="G155" i="12"/>
  <c r="H155" i="16" s="1"/>
  <c r="K183" i="12"/>
  <c r="L183" i="16" s="1"/>
  <c r="T174" i="12"/>
  <c r="U174" i="16" s="1"/>
  <c r="X172" i="12"/>
  <c r="Y172" i="16" s="1"/>
  <c r="H172" i="12"/>
  <c r="I172" i="16" s="1"/>
  <c r="R171" i="12"/>
  <c r="S171" i="16" s="1"/>
  <c r="P166" i="12"/>
  <c r="Q166" i="16" s="1"/>
  <c r="Z165" i="12"/>
  <c r="AA165" i="16" s="1"/>
  <c r="J165" i="12"/>
  <c r="K165" i="16" s="1"/>
  <c r="O154" i="12"/>
  <c r="P154" i="16" s="1"/>
  <c r="N182" i="12"/>
  <c r="O182" i="16" s="1"/>
  <c r="H181" i="12"/>
  <c r="I181" i="16" s="1"/>
  <c r="AB179" i="12"/>
  <c r="AC179" i="16" s="1"/>
  <c r="L179" i="12"/>
  <c r="M179" i="16" s="1"/>
  <c r="Z162" i="12"/>
  <c r="AA162" i="16" s="1"/>
  <c r="J162" i="12"/>
  <c r="K162" i="16" s="1"/>
  <c r="T161" i="12"/>
  <c r="U161" i="16" s="1"/>
  <c r="AD160" i="12"/>
  <c r="AE160" i="16" s="1"/>
  <c r="N160" i="12"/>
  <c r="O160" i="16" s="1"/>
  <c r="X159" i="12"/>
  <c r="Y159" i="16" s="1"/>
  <c r="H159" i="12"/>
  <c r="I159" i="16" s="1"/>
  <c r="Y155" i="12"/>
  <c r="Z155" i="16" s="1"/>
  <c r="P174" i="12"/>
  <c r="Q174" i="16" s="1"/>
  <c r="T172" i="12"/>
  <c r="U172" i="16" s="1"/>
  <c r="AB166" i="12"/>
  <c r="AC166" i="16" s="1"/>
  <c r="L166" i="12"/>
  <c r="M166" i="16" s="1"/>
  <c r="AE154" i="12"/>
  <c r="AF154" i="16" s="1"/>
  <c r="AA171" i="12"/>
  <c r="AB171" i="16" s="1"/>
  <c r="K171" i="12"/>
  <c r="L171" i="16" s="1"/>
  <c r="Z175" i="12"/>
  <c r="AA175" i="16" s="1"/>
  <c r="Q162" i="12"/>
  <c r="R162" i="16" s="1"/>
  <c r="F167" i="12"/>
  <c r="G167" i="16" s="1"/>
  <c r="Q160" i="12"/>
  <c r="R160" i="16" s="1"/>
  <c r="G154" i="12"/>
  <c r="H154" i="16" s="1"/>
  <c r="AA154" i="12"/>
  <c r="AB154" i="16" s="1"/>
  <c r="Q155" i="12"/>
  <c r="R155" i="16" s="1"/>
  <c r="Z173" i="12"/>
  <c r="AA173" i="16" s="1"/>
  <c r="J173" i="12"/>
  <c r="K173" i="16" s="1"/>
  <c r="AD171" i="12"/>
  <c r="AE171" i="16" s="1"/>
  <c r="N171" i="12"/>
  <c r="O171" i="16" s="1"/>
  <c r="R167" i="12"/>
  <c r="S167" i="16" s="1"/>
  <c r="V165" i="12"/>
  <c r="W165" i="16" s="1"/>
  <c r="F165" i="12"/>
  <c r="G165" i="16" s="1"/>
  <c r="AA181" i="12"/>
  <c r="AB181" i="16" s="1"/>
  <c r="K181" i="12"/>
  <c r="L181" i="16" s="1"/>
  <c r="AE179" i="12"/>
  <c r="AF179" i="16" s="1"/>
  <c r="O179" i="12"/>
  <c r="P179" i="16" s="1"/>
  <c r="U172" i="12"/>
  <c r="V172" i="16" s="1"/>
  <c r="Y162" i="12"/>
  <c r="Z162" i="16" s="1"/>
  <c r="I162" i="12"/>
  <c r="J162" i="16" s="1"/>
  <c r="AC160" i="12"/>
  <c r="AD160" i="16" s="1"/>
  <c r="M160" i="12"/>
  <c r="N160" i="16" s="1"/>
  <c r="J175" i="12"/>
  <c r="K175" i="16" s="1"/>
  <c r="W183" i="12"/>
  <c r="X183" i="16" s="1"/>
  <c r="U160" i="12"/>
  <c r="V160" i="16" s="1"/>
  <c r="V167" i="12"/>
  <c r="W167" i="16" s="1"/>
  <c r="AC162" i="12"/>
  <c r="AD162" i="16" s="1"/>
  <c r="M162" i="12"/>
  <c r="N162" i="16" s="1"/>
  <c r="K154" i="12"/>
  <c r="L154" i="16" s="1"/>
  <c r="K156" i="12"/>
  <c r="L156" i="16" s="1"/>
  <c r="S183" i="12"/>
  <c r="T183" i="16" s="1"/>
  <c r="V173" i="12"/>
  <c r="W173" i="16" s="1"/>
  <c r="F173" i="12"/>
  <c r="G173" i="16" s="1"/>
  <c r="Z171" i="12"/>
  <c r="AA171" i="16" s="1"/>
  <c r="J171" i="12"/>
  <c r="K171" i="16" s="1"/>
  <c r="AD167" i="12"/>
  <c r="AE167" i="16" s="1"/>
  <c r="R165" i="12"/>
  <c r="S165" i="16" s="1"/>
  <c r="W181" i="12"/>
  <c r="X181" i="16" s="1"/>
  <c r="G181" i="12"/>
  <c r="H181" i="16" s="1"/>
  <c r="AA179" i="12"/>
  <c r="AB179" i="16" s="1"/>
  <c r="K179" i="12"/>
  <c r="L179" i="16" s="1"/>
  <c r="Q172" i="12"/>
  <c r="R172" i="16" s="1"/>
  <c r="U162" i="12"/>
  <c r="V162" i="16" s="1"/>
  <c r="Y160" i="12"/>
  <c r="Z160" i="16" s="1"/>
  <c r="I160" i="12"/>
  <c r="J160" i="16" s="1"/>
  <c r="R175" i="12"/>
  <c r="S175" i="16" s="1"/>
  <c r="G40" i="10" l="1"/>
  <c r="I40" i="10" s="1"/>
  <c r="G39" i="10"/>
  <c r="G38" i="10"/>
  <c r="I38" i="10" s="1"/>
  <c r="G37" i="10"/>
  <c r="I37" i="10" s="1"/>
  <c r="G36" i="10"/>
  <c r="I36" i="10" s="1"/>
  <c r="G35" i="10"/>
  <c r="I35" i="10" s="1"/>
  <c r="G32" i="10"/>
  <c r="G31" i="10"/>
  <c r="I31" i="10" s="1"/>
  <c r="G30" i="10"/>
  <c r="I30" i="10" s="1"/>
  <c r="G29" i="10"/>
  <c r="I29" i="10" s="1"/>
  <c r="G28" i="10"/>
  <c r="I28" i="10" s="1"/>
  <c r="G25" i="10"/>
  <c r="G24" i="10"/>
  <c r="I24" i="10" s="1"/>
  <c r="G23" i="10"/>
  <c r="I23" i="10" s="1"/>
  <c r="G22" i="10"/>
  <c r="I22" i="10" s="1"/>
  <c r="G19" i="10"/>
  <c r="G18" i="10"/>
  <c r="I18" i="10" s="1"/>
  <c r="G17" i="10"/>
  <c r="I17" i="10" s="1"/>
  <c r="G16" i="10"/>
  <c r="I16" i="10" s="1"/>
  <c r="G11" i="10"/>
  <c r="I11" i="10" s="1"/>
  <c r="G12" i="10"/>
  <c r="I12" i="10" s="1"/>
  <c r="G13" i="10"/>
  <c r="G10" i="10"/>
  <c r="I10" i="10" s="1"/>
  <c r="I39" i="10" l="1"/>
  <c r="I13" i="10"/>
  <c r="I19" i="10"/>
  <c r="BH31" i="26"/>
  <c r="BR31" i="26"/>
  <c r="BM31" i="26"/>
  <c r="AF38" i="19"/>
  <c r="AE38" i="19"/>
  <c r="AE74" i="19" s="1"/>
  <c r="AD38" i="19"/>
  <c r="AC38" i="19"/>
  <c r="AB38" i="19"/>
  <c r="AA38" i="19"/>
  <c r="AA74" i="19" s="1"/>
  <c r="Z38" i="19"/>
  <c r="Y38" i="19"/>
  <c r="X38" i="19"/>
  <c r="W38" i="19"/>
  <c r="W74" i="19" s="1"/>
  <c r="V38" i="19"/>
  <c r="U38" i="19"/>
  <c r="T38" i="19"/>
  <c r="S38" i="19"/>
  <c r="S74" i="19" s="1"/>
  <c r="R38" i="19"/>
  <c r="Q38" i="19"/>
  <c r="P38" i="19"/>
  <c r="O38" i="19"/>
  <c r="O74" i="19" s="1"/>
  <c r="N38" i="19"/>
  <c r="M38" i="19"/>
  <c r="L38" i="19"/>
  <c r="K38" i="19"/>
  <c r="K74" i="19" s="1"/>
  <c r="J38" i="19"/>
  <c r="I38" i="19"/>
  <c r="H38" i="19"/>
  <c r="H74" i="19" s="1"/>
  <c r="AF36" i="19"/>
  <c r="AF72" i="19" s="1"/>
  <c r="AE36" i="19"/>
  <c r="AD36" i="19"/>
  <c r="AC36" i="19"/>
  <c r="AC72" i="19" s="1"/>
  <c r="AB36" i="19"/>
  <c r="AB72" i="19" s="1"/>
  <c r="AA36" i="19"/>
  <c r="Z36" i="19"/>
  <c r="Y36" i="19"/>
  <c r="Y72" i="19" s="1"/>
  <c r="X36" i="19"/>
  <c r="X72" i="19" s="1"/>
  <c r="W36" i="19"/>
  <c r="V36" i="19"/>
  <c r="U36" i="19"/>
  <c r="U72" i="19" s="1"/>
  <c r="T36" i="19"/>
  <c r="T72" i="19" s="1"/>
  <c r="S36" i="19"/>
  <c r="R36" i="19"/>
  <c r="Q36" i="19"/>
  <c r="Q72" i="19" s="1"/>
  <c r="P36" i="19"/>
  <c r="P72" i="19" s="1"/>
  <c r="O36" i="19"/>
  <c r="N36" i="19"/>
  <c r="M36" i="19"/>
  <c r="M72" i="19" s="1"/>
  <c r="L36" i="19"/>
  <c r="L72" i="19" s="1"/>
  <c r="K36" i="19"/>
  <c r="J36" i="19"/>
  <c r="I36" i="19"/>
  <c r="H36" i="19"/>
  <c r="H72" i="19" s="1"/>
  <c r="AF35" i="19"/>
  <c r="AE35" i="19"/>
  <c r="AD35" i="19"/>
  <c r="AC35" i="19"/>
  <c r="AB35" i="19"/>
  <c r="AA35" i="19"/>
  <c r="Z35" i="19"/>
  <c r="Y35" i="19"/>
  <c r="X35" i="19"/>
  <c r="W35" i="19"/>
  <c r="V35" i="19"/>
  <c r="U35" i="19"/>
  <c r="T35" i="19"/>
  <c r="S35" i="19"/>
  <c r="R35" i="19"/>
  <c r="Q35" i="19"/>
  <c r="P35" i="19"/>
  <c r="O35" i="19"/>
  <c r="N35" i="19"/>
  <c r="M35" i="19"/>
  <c r="L35" i="19"/>
  <c r="K35" i="19"/>
  <c r="J35" i="19"/>
  <c r="I35" i="19"/>
  <c r="H35" i="19"/>
  <c r="H71" i="19" s="1"/>
  <c r="AF34" i="19"/>
  <c r="AF70" i="19" s="1"/>
  <c r="AE34" i="19"/>
  <c r="AD34" i="19"/>
  <c r="AC34" i="19"/>
  <c r="AB34" i="19"/>
  <c r="AA34" i="19"/>
  <c r="Z34" i="19"/>
  <c r="Y34" i="19"/>
  <c r="X34" i="19"/>
  <c r="W34" i="19"/>
  <c r="V34" i="19"/>
  <c r="U34" i="19"/>
  <c r="T34" i="19"/>
  <c r="S34" i="19"/>
  <c r="R34" i="19"/>
  <c r="Q34" i="19"/>
  <c r="P34" i="19"/>
  <c r="O34" i="19"/>
  <c r="N34" i="19"/>
  <c r="M34" i="19"/>
  <c r="L34" i="19"/>
  <c r="K34" i="19"/>
  <c r="J34" i="19"/>
  <c r="I34" i="19"/>
  <c r="H34" i="19"/>
  <c r="H70" i="19" s="1"/>
  <c r="H31" i="19"/>
  <c r="H67" i="19" s="1"/>
  <c r="I31" i="19"/>
  <c r="I67" i="19" s="1"/>
  <c r="J31" i="19"/>
  <c r="J67" i="19" s="1"/>
  <c r="K31" i="19"/>
  <c r="K67" i="19" s="1"/>
  <c r="L31" i="19"/>
  <c r="L67" i="19" s="1"/>
  <c r="M31" i="19"/>
  <c r="M67" i="19" s="1"/>
  <c r="N31" i="19"/>
  <c r="N67" i="19" s="1"/>
  <c r="O31" i="19"/>
  <c r="O67" i="19" s="1"/>
  <c r="P31" i="19"/>
  <c r="P67" i="19" s="1"/>
  <c r="Q31" i="19"/>
  <c r="Q67" i="19" s="1"/>
  <c r="R31" i="19"/>
  <c r="R67" i="19" s="1"/>
  <c r="S31" i="19"/>
  <c r="S67" i="19" s="1"/>
  <c r="T31" i="19"/>
  <c r="T67" i="19" s="1"/>
  <c r="U31" i="19"/>
  <c r="U67" i="19" s="1"/>
  <c r="V31" i="19"/>
  <c r="V67" i="19" s="1"/>
  <c r="W31" i="19"/>
  <c r="W67" i="19" s="1"/>
  <c r="X31" i="19"/>
  <c r="X67" i="19" s="1"/>
  <c r="Y31" i="19"/>
  <c r="Y67" i="19" s="1"/>
  <c r="Z31" i="19"/>
  <c r="Z67" i="19" s="1"/>
  <c r="AA31" i="19"/>
  <c r="AA67" i="19" s="1"/>
  <c r="AB31" i="19"/>
  <c r="AB67" i="19" s="1"/>
  <c r="AC31" i="19"/>
  <c r="AC67" i="19" s="1"/>
  <c r="AD31" i="19"/>
  <c r="AD67" i="19" s="1"/>
  <c r="AE31" i="19"/>
  <c r="AE67" i="19" s="1"/>
  <c r="AF31" i="19"/>
  <c r="AF67" i="19" s="1"/>
  <c r="AF24" i="19"/>
  <c r="AF60" i="19" s="1"/>
  <c r="AE24" i="19"/>
  <c r="AD24" i="19"/>
  <c r="AC24" i="19"/>
  <c r="AC60" i="19" s="1"/>
  <c r="AB24" i="19"/>
  <c r="AA24" i="19"/>
  <c r="Z24" i="19"/>
  <c r="Y24" i="19"/>
  <c r="Y60" i="19" s="1"/>
  <c r="X24" i="19"/>
  <c r="X60" i="19" s="1"/>
  <c r="W24" i="19"/>
  <c r="V24" i="19"/>
  <c r="U24" i="19"/>
  <c r="U60" i="19" s="1"/>
  <c r="T24" i="19"/>
  <c r="T60" i="19" s="1"/>
  <c r="S24" i="19"/>
  <c r="R24" i="19"/>
  <c r="Q24" i="19"/>
  <c r="Q60" i="19" s="1"/>
  <c r="P24" i="19"/>
  <c r="P60" i="19" s="1"/>
  <c r="O24" i="19"/>
  <c r="N24" i="19"/>
  <c r="M24" i="19"/>
  <c r="M60" i="19" s="1"/>
  <c r="L24" i="19"/>
  <c r="L60" i="19" s="1"/>
  <c r="K24" i="19"/>
  <c r="J24" i="19"/>
  <c r="I24" i="19"/>
  <c r="I60" i="19" s="1"/>
  <c r="H24" i="19"/>
  <c r="H60" i="19" s="1"/>
  <c r="AF18" i="19"/>
  <c r="AF54" i="19" s="1"/>
  <c r="AE18" i="19"/>
  <c r="AE54" i="19" s="1"/>
  <c r="AD18" i="19"/>
  <c r="AC18" i="19"/>
  <c r="AC54" i="19" s="1"/>
  <c r="AB18" i="19"/>
  <c r="AB54" i="19" s="1"/>
  <c r="AA18" i="19"/>
  <c r="AA54" i="19" s="1"/>
  <c r="Z18" i="19"/>
  <c r="Y18" i="19"/>
  <c r="Y54" i="19" s="1"/>
  <c r="X18" i="19"/>
  <c r="X54" i="19" s="1"/>
  <c r="W18" i="19"/>
  <c r="W54" i="19" s="1"/>
  <c r="V18" i="19"/>
  <c r="U18" i="19"/>
  <c r="U54" i="19" s="1"/>
  <c r="T18" i="19"/>
  <c r="T54" i="19" s="1"/>
  <c r="S18" i="19"/>
  <c r="S54" i="19" s="1"/>
  <c r="R18" i="19"/>
  <c r="Q18" i="19"/>
  <c r="Q54" i="19" s="1"/>
  <c r="P18" i="19"/>
  <c r="P54" i="19" s="1"/>
  <c r="O18" i="19"/>
  <c r="O54" i="19" s="1"/>
  <c r="N18" i="19"/>
  <c r="M18" i="19"/>
  <c r="M54" i="19" s="1"/>
  <c r="L18" i="19"/>
  <c r="L54" i="19" s="1"/>
  <c r="K18" i="19"/>
  <c r="K54" i="19" s="1"/>
  <c r="J18" i="19"/>
  <c r="I18" i="19"/>
  <c r="I54" i="19" s="1"/>
  <c r="H18" i="19"/>
  <c r="H54" i="19" s="1"/>
  <c r="AF17" i="19"/>
  <c r="AF53" i="19" s="1"/>
  <c r="AE17" i="19"/>
  <c r="AD17" i="19"/>
  <c r="AD53" i="19" s="1"/>
  <c r="AC17" i="19"/>
  <c r="AC53" i="19" s="1"/>
  <c r="AB17" i="19"/>
  <c r="AB53" i="19" s="1"/>
  <c r="AA17" i="19"/>
  <c r="Z17" i="19"/>
  <c r="Z53" i="19" s="1"/>
  <c r="Y17" i="19"/>
  <c r="Y53" i="19" s="1"/>
  <c r="X17" i="19"/>
  <c r="X53" i="19" s="1"/>
  <c r="W17" i="19"/>
  <c r="V17" i="19"/>
  <c r="V53" i="19" s="1"/>
  <c r="U17" i="19"/>
  <c r="U53" i="19" s="1"/>
  <c r="T17" i="19"/>
  <c r="T53" i="19" s="1"/>
  <c r="S17" i="19"/>
  <c r="R17" i="19"/>
  <c r="R53" i="19" s="1"/>
  <c r="Q17" i="19"/>
  <c r="Q53" i="19" s="1"/>
  <c r="P17" i="19"/>
  <c r="P53" i="19" s="1"/>
  <c r="O17" i="19"/>
  <c r="N17" i="19"/>
  <c r="N53" i="19" s="1"/>
  <c r="M17" i="19"/>
  <c r="M53" i="19" s="1"/>
  <c r="L17" i="19"/>
  <c r="L53" i="19" s="1"/>
  <c r="K17" i="19"/>
  <c r="J17" i="19"/>
  <c r="J53" i="19" s="1"/>
  <c r="I17" i="19"/>
  <c r="I53" i="19" s="1"/>
  <c r="H17" i="19"/>
  <c r="H53" i="19" s="1"/>
  <c r="AF16" i="19"/>
  <c r="AE16" i="19"/>
  <c r="AE52" i="19" s="1"/>
  <c r="AD16" i="19"/>
  <c r="AD52" i="19" s="1"/>
  <c r="AC16" i="19"/>
  <c r="AB16" i="19"/>
  <c r="AA16" i="19"/>
  <c r="AA52" i="19" s="1"/>
  <c r="Z16" i="19"/>
  <c r="Z52" i="19" s="1"/>
  <c r="Y16" i="19"/>
  <c r="X16" i="19"/>
  <c r="W16" i="19"/>
  <c r="W52" i="19" s="1"/>
  <c r="V16" i="19"/>
  <c r="V52" i="19" s="1"/>
  <c r="U16" i="19"/>
  <c r="T16" i="19"/>
  <c r="S16" i="19"/>
  <c r="S52" i="19" s="1"/>
  <c r="R16" i="19"/>
  <c r="R52" i="19" s="1"/>
  <c r="Q16" i="19"/>
  <c r="P16" i="19"/>
  <c r="O16" i="19"/>
  <c r="O52" i="19" s="1"/>
  <c r="N16" i="19"/>
  <c r="N52" i="19" s="1"/>
  <c r="M16" i="19"/>
  <c r="L16" i="19"/>
  <c r="K16" i="19"/>
  <c r="K52" i="19" s="1"/>
  <c r="J16" i="19"/>
  <c r="J52" i="19" s="1"/>
  <c r="I16" i="19"/>
  <c r="H16" i="19"/>
  <c r="H52" i="19" s="1"/>
  <c r="AF15" i="19"/>
  <c r="AF51" i="19" s="1"/>
  <c r="AE15" i="19"/>
  <c r="AD15" i="19"/>
  <c r="AC15" i="19"/>
  <c r="AB15" i="19"/>
  <c r="AB51" i="19" s="1"/>
  <c r="AA15" i="19"/>
  <c r="Z15" i="19"/>
  <c r="Y15" i="19"/>
  <c r="X15" i="19"/>
  <c r="X51" i="19" s="1"/>
  <c r="W15" i="19"/>
  <c r="V15" i="19"/>
  <c r="U15" i="19"/>
  <c r="T15" i="19"/>
  <c r="T51" i="19" s="1"/>
  <c r="S15" i="19"/>
  <c r="R15" i="19"/>
  <c r="Q15" i="19"/>
  <c r="P15" i="19"/>
  <c r="P51" i="19" s="1"/>
  <c r="O15" i="19"/>
  <c r="N15" i="19"/>
  <c r="M15" i="19"/>
  <c r="L15" i="19"/>
  <c r="L51" i="19" s="1"/>
  <c r="K15" i="19"/>
  <c r="J15" i="19"/>
  <c r="I15" i="19"/>
  <c r="H15" i="19"/>
  <c r="H51" i="19" s="1"/>
  <c r="I9" i="19"/>
  <c r="I45" i="19" s="1"/>
  <c r="J9" i="19"/>
  <c r="K9" i="19"/>
  <c r="K45" i="19" s="1"/>
  <c r="L9" i="19"/>
  <c r="L45" i="19" s="1"/>
  <c r="M9" i="19"/>
  <c r="N9" i="19"/>
  <c r="O9" i="19"/>
  <c r="O45" i="19" s="1"/>
  <c r="P9" i="19"/>
  <c r="P45" i="19" s="1"/>
  <c r="Q9" i="19"/>
  <c r="R9" i="19"/>
  <c r="S9" i="19"/>
  <c r="S45" i="19" s="1"/>
  <c r="T9" i="19"/>
  <c r="T45" i="19" s="1"/>
  <c r="U9" i="19"/>
  <c r="V9" i="19"/>
  <c r="W9" i="19"/>
  <c r="W45" i="19" s="1"/>
  <c r="X9" i="19"/>
  <c r="X45" i="19" s="1"/>
  <c r="Y9" i="19"/>
  <c r="Z9" i="19"/>
  <c r="AA9" i="19"/>
  <c r="AA45" i="19" s="1"/>
  <c r="AB9" i="19"/>
  <c r="AB45" i="19" s="1"/>
  <c r="AC9" i="19"/>
  <c r="AD9" i="19"/>
  <c r="AE9" i="19"/>
  <c r="AE45" i="19" s="1"/>
  <c r="AF9" i="19"/>
  <c r="AF45" i="19" s="1"/>
  <c r="I10" i="19"/>
  <c r="I46" i="19" s="1"/>
  <c r="J10" i="19"/>
  <c r="K10" i="19"/>
  <c r="K46" i="19" s="1"/>
  <c r="L10" i="19"/>
  <c r="L46" i="19" s="1"/>
  <c r="M10" i="19"/>
  <c r="M46" i="19" s="1"/>
  <c r="N10" i="19"/>
  <c r="O10" i="19"/>
  <c r="O46" i="19" s="1"/>
  <c r="P10" i="19"/>
  <c r="P46" i="19" s="1"/>
  <c r="Q10" i="19"/>
  <c r="Q46" i="19" s="1"/>
  <c r="R10" i="19"/>
  <c r="S10" i="19"/>
  <c r="S46" i="19" s="1"/>
  <c r="T10" i="19"/>
  <c r="T46" i="19" s="1"/>
  <c r="U10" i="19"/>
  <c r="U46" i="19" s="1"/>
  <c r="V10" i="19"/>
  <c r="W10" i="19"/>
  <c r="W46" i="19" s="1"/>
  <c r="X10" i="19"/>
  <c r="X46" i="19" s="1"/>
  <c r="Y10" i="19"/>
  <c r="Y46" i="19" s="1"/>
  <c r="Z10" i="19"/>
  <c r="Z46" i="19" s="1"/>
  <c r="AA10" i="19"/>
  <c r="AA46" i="19" s="1"/>
  <c r="AB10" i="19"/>
  <c r="AB46" i="19" s="1"/>
  <c r="AC10" i="19"/>
  <c r="AC46" i="19" s="1"/>
  <c r="AD10" i="19"/>
  <c r="AD46" i="19" s="1"/>
  <c r="AE10" i="19"/>
  <c r="AE46" i="19" s="1"/>
  <c r="AF10" i="19"/>
  <c r="AF46" i="19" s="1"/>
  <c r="I11" i="19"/>
  <c r="I47" i="19" s="1"/>
  <c r="J11" i="19"/>
  <c r="J47" i="19" s="1"/>
  <c r="K11" i="19"/>
  <c r="K47" i="19" s="1"/>
  <c r="L11" i="19"/>
  <c r="L47" i="19" s="1"/>
  <c r="M11" i="19"/>
  <c r="M47" i="19" s="1"/>
  <c r="N11" i="19"/>
  <c r="N47" i="19" s="1"/>
  <c r="O11" i="19"/>
  <c r="O47" i="19" s="1"/>
  <c r="P11" i="19"/>
  <c r="P47" i="19" s="1"/>
  <c r="Q11" i="19"/>
  <c r="Q47" i="19" s="1"/>
  <c r="R11" i="19"/>
  <c r="R47" i="19" s="1"/>
  <c r="S11" i="19"/>
  <c r="S47" i="19" s="1"/>
  <c r="T11" i="19"/>
  <c r="T47" i="19" s="1"/>
  <c r="U11" i="19"/>
  <c r="U47" i="19" s="1"/>
  <c r="V11" i="19"/>
  <c r="V47" i="19" s="1"/>
  <c r="W11" i="19"/>
  <c r="W47" i="19" s="1"/>
  <c r="X11" i="19"/>
  <c r="X47" i="19" s="1"/>
  <c r="Y11" i="19"/>
  <c r="Y47" i="19" s="1"/>
  <c r="Z11" i="19"/>
  <c r="Z47" i="19" s="1"/>
  <c r="AA11" i="19"/>
  <c r="AA47" i="19" s="1"/>
  <c r="AB11" i="19"/>
  <c r="AB47" i="19" s="1"/>
  <c r="AC11" i="19"/>
  <c r="AC47" i="19" s="1"/>
  <c r="AD11" i="19"/>
  <c r="AD47" i="19" s="1"/>
  <c r="AE11" i="19"/>
  <c r="AE47" i="19" s="1"/>
  <c r="AF11" i="19"/>
  <c r="AF47" i="19" s="1"/>
  <c r="I12" i="19"/>
  <c r="I48" i="19" s="1"/>
  <c r="J12" i="19"/>
  <c r="J48" i="19" s="1"/>
  <c r="K12" i="19"/>
  <c r="K48" i="19" s="1"/>
  <c r="L12" i="19"/>
  <c r="L48" i="19" s="1"/>
  <c r="M12" i="19"/>
  <c r="M48" i="19" s="1"/>
  <c r="N12" i="19"/>
  <c r="N48" i="19" s="1"/>
  <c r="O12" i="19"/>
  <c r="O48" i="19" s="1"/>
  <c r="P12" i="19"/>
  <c r="P48" i="19" s="1"/>
  <c r="Q12" i="19"/>
  <c r="Q48" i="19" s="1"/>
  <c r="R12" i="19"/>
  <c r="R48" i="19" s="1"/>
  <c r="S12" i="19"/>
  <c r="S48" i="19" s="1"/>
  <c r="T12" i="19"/>
  <c r="T48" i="19" s="1"/>
  <c r="U12" i="19"/>
  <c r="U48" i="19" s="1"/>
  <c r="V12" i="19"/>
  <c r="V48" i="19" s="1"/>
  <c r="W12" i="19"/>
  <c r="W48" i="19" s="1"/>
  <c r="X12" i="19"/>
  <c r="X48" i="19" s="1"/>
  <c r="Y12" i="19"/>
  <c r="Y48" i="19" s="1"/>
  <c r="Z12" i="19"/>
  <c r="Z48" i="19" s="1"/>
  <c r="AA12" i="19"/>
  <c r="AA48" i="19" s="1"/>
  <c r="AB12" i="19"/>
  <c r="AB48" i="19" s="1"/>
  <c r="AC12" i="19"/>
  <c r="AC48" i="19" s="1"/>
  <c r="AD12" i="19"/>
  <c r="AD48" i="19" s="1"/>
  <c r="AE12" i="19"/>
  <c r="AE48" i="19" s="1"/>
  <c r="AF12" i="19"/>
  <c r="AF48" i="19" s="1"/>
  <c r="H10" i="19"/>
  <c r="H46" i="19" s="1"/>
  <c r="H11" i="19"/>
  <c r="H47" i="19" s="1"/>
  <c r="H12" i="19"/>
  <c r="H48" i="19" s="1"/>
  <c r="H9" i="19"/>
  <c r="H45" i="19" s="1"/>
  <c r="N70" i="19" l="1"/>
  <c r="V70" i="19"/>
  <c r="AD70" i="19"/>
  <c r="I71" i="19"/>
  <c r="M71" i="19"/>
  <c r="Q71" i="19"/>
  <c r="U71" i="19"/>
  <c r="Y71" i="19"/>
  <c r="AC71" i="19"/>
  <c r="K70" i="19"/>
  <c r="S70" i="19"/>
  <c r="AA70" i="19"/>
  <c r="J71" i="19"/>
  <c r="N71" i="19"/>
  <c r="R71" i="19"/>
  <c r="V71" i="19"/>
  <c r="Z71" i="19"/>
  <c r="AD71" i="19"/>
  <c r="I72" i="19"/>
  <c r="V46" i="19"/>
  <c r="R46" i="19"/>
  <c r="N46" i="19"/>
  <c r="J46" i="19"/>
  <c r="I52" i="19"/>
  <c r="M52" i="19"/>
  <c r="Q52" i="19"/>
  <c r="U52" i="19"/>
  <c r="Y52" i="19"/>
  <c r="AC52" i="19"/>
  <c r="Y45" i="19"/>
  <c r="Q45" i="19"/>
  <c r="K51" i="19"/>
  <c r="S51" i="19"/>
  <c r="AA51" i="19"/>
  <c r="R70" i="19"/>
  <c r="O70" i="19"/>
  <c r="W70" i="19"/>
  <c r="AE70" i="19"/>
  <c r="AC45" i="19"/>
  <c r="U45" i="19"/>
  <c r="M45" i="19"/>
  <c r="O51" i="19"/>
  <c r="W51" i="19"/>
  <c r="AE51" i="19"/>
  <c r="J70" i="19"/>
  <c r="Z70" i="19"/>
  <c r="AD45" i="19"/>
  <c r="Z45" i="19"/>
  <c r="V45" i="19"/>
  <c r="R45" i="19"/>
  <c r="N45" i="19"/>
  <c r="J45" i="19"/>
  <c r="J51" i="19"/>
  <c r="N51" i="19"/>
  <c r="R51" i="19"/>
  <c r="V51" i="19"/>
  <c r="Z51" i="19"/>
  <c r="AD51" i="19"/>
  <c r="Y70" i="19"/>
  <c r="I51" i="19"/>
  <c r="M51" i="19"/>
  <c r="Q51" i="19"/>
  <c r="U51" i="19"/>
  <c r="Y51" i="19"/>
  <c r="AC51" i="19"/>
  <c r="L52" i="19"/>
  <c r="P52" i="19"/>
  <c r="T52" i="19"/>
  <c r="X52" i="19"/>
  <c r="AB52" i="19"/>
  <c r="AF52" i="19"/>
  <c r="K53" i="19"/>
  <c r="O53" i="19"/>
  <c r="S53" i="19"/>
  <c r="W53" i="19"/>
  <c r="AA53" i="19"/>
  <c r="AE53" i="19"/>
  <c r="J54" i="19"/>
  <c r="N54" i="19"/>
  <c r="R54" i="19"/>
  <c r="V54" i="19"/>
  <c r="Z54" i="19"/>
  <c r="AD54" i="19"/>
  <c r="J60" i="19"/>
  <c r="N60" i="19"/>
  <c r="R60" i="19"/>
  <c r="V60" i="19"/>
  <c r="Z60" i="19"/>
  <c r="AD60" i="19"/>
  <c r="L70" i="19"/>
  <c r="P70" i="19"/>
  <c r="T70" i="19"/>
  <c r="X70" i="19"/>
  <c r="AB70" i="19"/>
  <c r="K71" i="19"/>
  <c r="O71" i="19"/>
  <c r="S71" i="19"/>
  <c r="W71" i="19"/>
  <c r="AA71" i="19"/>
  <c r="AE71" i="19"/>
  <c r="J72" i="19"/>
  <c r="N72" i="19"/>
  <c r="R72" i="19"/>
  <c r="V72" i="19"/>
  <c r="Z72" i="19"/>
  <c r="AD72" i="19"/>
  <c r="I74" i="19"/>
  <c r="M74" i="19"/>
  <c r="Q74" i="19"/>
  <c r="U74" i="19"/>
  <c r="Y74" i="19"/>
  <c r="AC74" i="19"/>
  <c r="O60" i="19"/>
  <c r="S60" i="19"/>
  <c r="W60" i="19"/>
  <c r="AA60" i="19"/>
  <c r="AE60" i="19"/>
  <c r="I70" i="19"/>
  <c r="M70" i="19"/>
  <c r="Q70" i="19"/>
  <c r="U70" i="19"/>
  <c r="AC70" i="19"/>
  <c r="L71" i="19"/>
  <c r="P71" i="19"/>
  <c r="T71" i="19"/>
  <c r="X71" i="19"/>
  <c r="AB71" i="19"/>
  <c r="AF71" i="19"/>
  <c r="K72" i="19"/>
  <c r="O72" i="19"/>
  <c r="S72" i="19"/>
  <c r="W72" i="19"/>
  <c r="AA72" i="19"/>
  <c r="AE72" i="19"/>
  <c r="J74" i="19"/>
  <c r="N74" i="19"/>
  <c r="R74" i="19"/>
  <c r="V74" i="19"/>
  <c r="Z74" i="19"/>
  <c r="AD74" i="19"/>
  <c r="K60" i="19"/>
  <c r="AB60" i="19"/>
  <c r="L74" i="19"/>
  <c r="P74" i="19"/>
  <c r="T74" i="19"/>
  <c r="X74" i="19"/>
  <c r="AB74" i="19"/>
  <c r="AF74" i="19"/>
  <c r="BJ86" i="43" l="1"/>
  <c r="H86" i="43" s="1"/>
  <c r="H12" i="43" s="1"/>
  <c r="H49" i="43" s="1"/>
  <c r="BJ92" i="43"/>
  <c r="H92" i="43" s="1"/>
  <c r="H18" i="43" s="1"/>
  <c r="H55" i="43" s="1"/>
  <c r="BW86" i="43"/>
  <c r="U86" i="43" s="1"/>
  <c r="U12" i="43" s="1"/>
  <c r="U49" i="43" s="1"/>
  <c r="BW92" i="43"/>
  <c r="U92" i="43" s="1"/>
  <c r="U18" i="43" s="1"/>
  <c r="U55" i="43" s="1"/>
  <c r="BJ105" i="43"/>
  <c r="H105" i="43" s="1"/>
  <c r="H31" i="43" s="1"/>
  <c r="H68" i="43" s="1"/>
  <c r="BJ112" i="43"/>
  <c r="H112" i="43" s="1"/>
  <c r="H38" i="43" s="1"/>
  <c r="H75" i="43" s="1"/>
  <c r="BJ98" i="43"/>
  <c r="H98" i="43" s="1"/>
  <c r="H24" i="43" s="1"/>
  <c r="H61" i="43" s="1"/>
  <c r="CE112" i="43"/>
  <c r="AC112" i="43" s="1"/>
  <c r="AC38" i="43" s="1"/>
  <c r="AC75" i="43" s="1"/>
  <c r="CE105" i="43"/>
  <c r="AC105" i="43" s="1"/>
  <c r="AC31" i="43" s="1"/>
  <c r="AC68" i="43" s="1"/>
  <c r="CE98" i="43"/>
  <c r="AC98" i="43" s="1"/>
  <c r="AC24" i="43" s="1"/>
  <c r="AC61" i="43" s="1"/>
  <c r="H236" i="43"/>
  <c r="H242" i="43"/>
  <c r="T236" i="43"/>
  <c r="T242" i="43"/>
  <c r="AF236" i="43"/>
  <c r="AF242" i="43"/>
  <c r="K248" i="43"/>
  <c r="K255" i="43"/>
  <c r="K262" i="43"/>
  <c r="W255" i="43"/>
  <c r="W262" i="43"/>
  <c r="W248" i="43"/>
  <c r="BM86" i="43"/>
  <c r="K86" i="43" s="1"/>
  <c r="K12" i="43" s="1"/>
  <c r="K49" i="43" s="1"/>
  <c r="BM92" i="43"/>
  <c r="K92" i="43" s="1"/>
  <c r="K18" i="43" s="1"/>
  <c r="K55" i="43" s="1"/>
  <c r="BQ86" i="43"/>
  <c r="O86" i="43" s="1"/>
  <c r="O12" i="43" s="1"/>
  <c r="O49" i="43" s="1"/>
  <c r="BQ92" i="43"/>
  <c r="O92" i="43" s="1"/>
  <c r="O18" i="43" s="1"/>
  <c r="O55" i="43" s="1"/>
  <c r="BT86" i="43"/>
  <c r="R86" i="43" s="1"/>
  <c r="R12" i="43" s="1"/>
  <c r="R49" i="43" s="1"/>
  <c r="BT92" i="43"/>
  <c r="R92" i="43" s="1"/>
  <c r="R18" i="43" s="1"/>
  <c r="R55" i="43" s="1"/>
  <c r="BX86" i="43"/>
  <c r="V86" i="43" s="1"/>
  <c r="V12" i="43" s="1"/>
  <c r="V49" i="43" s="1"/>
  <c r="BX92" i="43"/>
  <c r="V92" i="43" s="1"/>
  <c r="V18" i="43" s="1"/>
  <c r="V55" i="43" s="1"/>
  <c r="CB92" i="43"/>
  <c r="Z92" i="43" s="1"/>
  <c r="Z18" i="43" s="1"/>
  <c r="Z55" i="43" s="1"/>
  <c r="CB86" i="43"/>
  <c r="Z86" i="43" s="1"/>
  <c r="Z12" i="43" s="1"/>
  <c r="Z49" i="43" s="1"/>
  <c r="CF92" i="43"/>
  <c r="AD92" i="43" s="1"/>
  <c r="AD18" i="43" s="1"/>
  <c r="AD55" i="43" s="1"/>
  <c r="CF86" i="43"/>
  <c r="AD86" i="43" s="1"/>
  <c r="AD12" i="43" s="1"/>
  <c r="AD49" i="43" s="1"/>
  <c r="BT105" i="43"/>
  <c r="R105" i="43" s="1"/>
  <c r="R31" i="43" s="1"/>
  <c r="R68" i="43" s="1"/>
  <c r="BT112" i="43"/>
  <c r="R112" i="43" s="1"/>
  <c r="R38" i="43" s="1"/>
  <c r="R75" i="43" s="1"/>
  <c r="BT98" i="43"/>
  <c r="R98" i="43" s="1"/>
  <c r="R24" i="43" s="1"/>
  <c r="R61" i="43" s="1"/>
  <c r="BX98" i="43"/>
  <c r="V98" i="43" s="1"/>
  <c r="V24" i="43" s="1"/>
  <c r="V61" i="43" s="1"/>
  <c r="BX105" i="43"/>
  <c r="V105" i="43" s="1"/>
  <c r="V31" i="43" s="1"/>
  <c r="V68" i="43" s="1"/>
  <c r="BX112" i="43"/>
  <c r="V112" i="43" s="1"/>
  <c r="V38" i="43" s="1"/>
  <c r="V75" i="43" s="1"/>
  <c r="CB98" i="43"/>
  <c r="Z98" i="43" s="1"/>
  <c r="Z24" i="43" s="1"/>
  <c r="Z61" i="43" s="1"/>
  <c r="CB105" i="43"/>
  <c r="Z105" i="43" s="1"/>
  <c r="Z31" i="43" s="1"/>
  <c r="Z68" i="43" s="1"/>
  <c r="CB112" i="43"/>
  <c r="Z112" i="43" s="1"/>
  <c r="Z38" i="43" s="1"/>
  <c r="Z75" i="43" s="1"/>
  <c r="CF105" i="43"/>
  <c r="AD105" i="43" s="1"/>
  <c r="AD31" i="43" s="1"/>
  <c r="AD68" i="43" s="1"/>
  <c r="CF112" i="43"/>
  <c r="AD112" i="43" s="1"/>
  <c r="AD38" i="43" s="1"/>
  <c r="AD75" i="43" s="1"/>
  <c r="CF98" i="43"/>
  <c r="AD98" i="43" s="1"/>
  <c r="AD24" i="43" s="1"/>
  <c r="AD61" i="43" s="1"/>
  <c r="I236" i="43"/>
  <c r="I242" i="43"/>
  <c r="M242" i="43"/>
  <c r="M236" i="43"/>
  <c r="Q242" i="43"/>
  <c r="Q236" i="43"/>
  <c r="U242" i="43"/>
  <c r="U236" i="43"/>
  <c r="Y242" i="43"/>
  <c r="Y236" i="43"/>
  <c r="AC236" i="43"/>
  <c r="AC242" i="43"/>
  <c r="H255" i="43"/>
  <c r="H262" i="43"/>
  <c r="H248" i="43"/>
  <c r="L262" i="43"/>
  <c r="L255" i="43"/>
  <c r="L248" i="43"/>
  <c r="P255" i="43"/>
  <c r="P262" i="43"/>
  <c r="P248" i="43"/>
  <c r="T255" i="43"/>
  <c r="T262" i="43"/>
  <c r="T248" i="43"/>
  <c r="X262" i="43"/>
  <c r="X248" i="43"/>
  <c r="X255" i="43"/>
  <c r="AB262" i="43"/>
  <c r="AB248" i="43"/>
  <c r="AB255" i="43"/>
  <c r="AF255" i="43"/>
  <c r="AF248" i="43"/>
  <c r="AF262" i="43"/>
  <c r="BP98" i="43"/>
  <c r="N98" i="43" s="1"/>
  <c r="N24" i="43" s="1"/>
  <c r="N61" i="43" s="1"/>
  <c r="BP105" i="43"/>
  <c r="N105" i="43" s="1"/>
  <c r="N31" i="43" s="1"/>
  <c r="N68" i="43" s="1"/>
  <c r="CE92" i="43"/>
  <c r="AC92" i="43" s="1"/>
  <c r="AC18" i="43" s="1"/>
  <c r="AC55" i="43" s="1"/>
  <c r="CE86" i="43"/>
  <c r="AC86" i="43" s="1"/>
  <c r="AC12" i="43" s="1"/>
  <c r="AC49" i="43" s="1"/>
  <c r="BW98" i="43"/>
  <c r="U98" i="43" s="1"/>
  <c r="U24" i="43" s="1"/>
  <c r="U61" i="43" s="1"/>
  <c r="BW112" i="43"/>
  <c r="U112" i="43" s="1"/>
  <c r="U38" i="43" s="1"/>
  <c r="U75" i="43" s="1"/>
  <c r="BW105" i="43"/>
  <c r="U105" i="43" s="1"/>
  <c r="U31" i="43" s="1"/>
  <c r="U68" i="43" s="1"/>
  <c r="P236" i="43"/>
  <c r="P242" i="43"/>
  <c r="AB242" i="43"/>
  <c r="AB236" i="43"/>
  <c r="S262" i="43"/>
  <c r="S255" i="43"/>
  <c r="S248" i="43"/>
  <c r="AA262" i="43"/>
  <c r="AA248" i="43"/>
  <c r="AA255" i="43"/>
  <c r="BI98" i="43"/>
  <c r="G98" i="43" s="1"/>
  <c r="G24" i="43" s="1"/>
  <c r="G61" i="43" s="1"/>
  <c r="BI105" i="43"/>
  <c r="G105" i="43" s="1"/>
  <c r="G31" i="43" s="1"/>
  <c r="G68" i="43" s="1"/>
  <c r="BI112" i="43"/>
  <c r="G112" i="43" s="1"/>
  <c r="G38" i="43" s="1"/>
  <c r="G75" i="43" s="1"/>
  <c r="BN98" i="43"/>
  <c r="L98" i="43" s="1"/>
  <c r="L24" i="43" s="1"/>
  <c r="L61" i="43" s="1"/>
  <c r="BN105" i="43"/>
  <c r="L105" i="43" s="1"/>
  <c r="L31" i="43" s="1"/>
  <c r="L68" i="43" s="1"/>
  <c r="BR98" i="43"/>
  <c r="P98" i="43" s="1"/>
  <c r="P24" i="43" s="1"/>
  <c r="P61" i="43" s="1"/>
  <c r="BR105" i="43"/>
  <c r="P105" i="43" s="1"/>
  <c r="P31" i="43" s="1"/>
  <c r="P68" i="43" s="1"/>
  <c r="BU86" i="43"/>
  <c r="S86" i="43" s="1"/>
  <c r="S12" i="43" s="1"/>
  <c r="S49" i="43" s="1"/>
  <c r="BU92" i="43"/>
  <c r="S92" i="43" s="1"/>
  <c r="S18" i="43" s="1"/>
  <c r="S55" i="43" s="1"/>
  <c r="BY86" i="43"/>
  <c r="W86" i="43" s="1"/>
  <c r="W12" i="43" s="1"/>
  <c r="W49" i="43" s="1"/>
  <c r="BY92" i="43"/>
  <c r="W92" i="43" s="1"/>
  <c r="W18" i="43" s="1"/>
  <c r="W55" i="43" s="1"/>
  <c r="CC92" i="43"/>
  <c r="AA92" i="43" s="1"/>
  <c r="AA18" i="43" s="1"/>
  <c r="AA55" i="43" s="1"/>
  <c r="CC86" i="43"/>
  <c r="AA86" i="43" s="1"/>
  <c r="AA12" i="43" s="1"/>
  <c r="AA49" i="43" s="1"/>
  <c r="CG92" i="43"/>
  <c r="AE92" i="43" s="1"/>
  <c r="AE18" i="43" s="1"/>
  <c r="AE55" i="43" s="1"/>
  <c r="CG86" i="43"/>
  <c r="AE86" i="43" s="1"/>
  <c r="AE12" i="43" s="1"/>
  <c r="AE49" i="43" s="1"/>
  <c r="BU112" i="43"/>
  <c r="S112" i="43" s="1"/>
  <c r="S38" i="43" s="1"/>
  <c r="S75" i="43" s="1"/>
  <c r="BU98" i="43"/>
  <c r="S98" i="43" s="1"/>
  <c r="S24" i="43" s="1"/>
  <c r="S61" i="43" s="1"/>
  <c r="BU105" i="43"/>
  <c r="S105" i="43" s="1"/>
  <c r="S31" i="43" s="1"/>
  <c r="S68" i="43" s="1"/>
  <c r="BY98" i="43"/>
  <c r="W98" i="43" s="1"/>
  <c r="W24" i="43" s="1"/>
  <c r="W61" i="43" s="1"/>
  <c r="BY112" i="43"/>
  <c r="W112" i="43" s="1"/>
  <c r="W38" i="43" s="1"/>
  <c r="W75" i="43" s="1"/>
  <c r="BY105" i="43"/>
  <c r="W105" i="43" s="1"/>
  <c r="W31" i="43" s="1"/>
  <c r="W68" i="43" s="1"/>
  <c r="CC98" i="43"/>
  <c r="AA98" i="43" s="1"/>
  <c r="AA24" i="43" s="1"/>
  <c r="AA61" i="43" s="1"/>
  <c r="CC112" i="43"/>
  <c r="AA112" i="43" s="1"/>
  <c r="AA38" i="43" s="1"/>
  <c r="AA75" i="43" s="1"/>
  <c r="CC105" i="43"/>
  <c r="AA105" i="43" s="1"/>
  <c r="AA31" i="43" s="1"/>
  <c r="AA68" i="43" s="1"/>
  <c r="CG98" i="43"/>
  <c r="AE98" i="43" s="1"/>
  <c r="AE24" i="43" s="1"/>
  <c r="AE61" i="43" s="1"/>
  <c r="CG105" i="43"/>
  <c r="AE105" i="43" s="1"/>
  <c r="AE31" i="43" s="1"/>
  <c r="AE68" i="43" s="1"/>
  <c r="CG112" i="43"/>
  <c r="AE112" i="43" s="1"/>
  <c r="AE38" i="43" s="1"/>
  <c r="AE75" i="43" s="1"/>
  <c r="J242" i="43"/>
  <c r="J236" i="43"/>
  <c r="N242" i="43"/>
  <c r="N236" i="43"/>
  <c r="R236" i="43"/>
  <c r="R242" i="43"/>
  <c r="V236" i="43"/>
  <c r="V242" i="43"/>
  <c r="Z236" i="43"/>
  <c r="Z242" i="43"/>
  <c r="AD236" i="43"/>
  <c r="AD242" i="43"/>
  <c r="I255" i="43"/>
  <c r="I248" i="43"/>
  <c r="I262" i="43"/>
  <c r="M248" i="43"/>
  <c r="M262" i="43"/>
  <c r="M255" i="43"/>
  <c r="Q248" i="43"/>
  <c r="Q255" i="43"/>
  <c r="Q262" i="43"/>
  <c r="U262" i="43"/>
  <c r="U248" i="43"/>
  <c r="U255" i="43"/>
  <c r="Y255" i="43"/>
  <c r="Y248" i="43"/>
  <c r="Y262" i="43"/>
  <c r="AC255" i="43"/>
  <c r="AC262" i="43"/>
  <c r="AC248" i="43"/>
  <c r="BL98" i="43"/>
  <c r="J98" i="43" s="1"/>
  <c r="J24" i="43" s="1"/>
  <c r="J61" i="43" s="1"/>
  <c r="BL105" i="43"/>
  <c r="J105" i="43" s="1"/>
  <c r="J31" i="43" s="1"/>
  <c r="J68" i="43" s="1"/>
  <c r="CA86" i="43"/>
  <c r="Y86" i="43" s="1"/>
  <c r="Y12" i="43" s="1"/>
  <c r="Y49" i="43" s="1"/>
  <c r="CA92" i="43"/>
  <c r="Y92" i="43" s="1"/>
  <c r="Y18" i="43" s="1"/>
  <c r="Y55" i="43" s="1"/>
  <c r="CA98" i="43"/>
  <c r="Y98" i="43" s="1"/>
  <c r="Y24" i="43" s="1"/>
  <c r="Y61" i="43" s="1"/>
  <c r="CA112" i="43"/>
  <c r="Y112" i="43" s="1"/>
  <c r="Y38" i="43" s="1"/>
  <c r="Y75" i="43" s="1"/>
  <c r="CA105" i="43"/>
  <c r="Y105" i="43" s="1"/>
  <c r="Y31" i="43" s="1"/>
  <c r="Y68" i="43" s="1"/>
  <c r="L242" i="43"/>
  <c r="L236" i="43"/>
  <c r="X236" i="43"/>
  <c r="X242" i="43"/>
  <c r="O248" i="43"/>
  <c r="O255" i="43"/>
  <c r="O262" i="43"/>
  <c r="AE248" i="43"/>
  <c r="AE255" i="43"/>
  <c r="AE262" i="43"/>
  <c r="BK105" i="43"/>
  <c r="I105" i="43" s="1"/>
  <c r="I31" i="43" s="1"/>
  <c r="I68" i="43" s="1"/>
  <c r="BK98" i="43"/>
  <c r="I98" i="43" s="1"/>
  <c r="I24" i="43" s="1"/>
  <c r="I61" i="43" s="1"/>
  <c r="BO98" i="43"/>
  <c r="M98" i="43" s="1"/>
  <c r="M24" i="43" s="1"/>
  <c r="M61" i="43" s="1"/>
  <c r="BO105" i="43"/>
  <c r="M105" i="43" s="1"/>
  <c r="M31" i="43" s="1"/>
  <c r="M68" i="43" s="1"/>
  <c r="BS98" i="43"/>
  <c r="Q98" i="43" s="1"/>
  <c r="Q24" i="43" s="1"/>
  <c r="Q61" i="43" s="1"/>
  <c r="BS105" i="43"/>
  <c r="Q105" i="43" s="1"/>
  <c r="Q31" i="43" s="1"/>
  <c r="Q68" i="43" s="1"/>
  <c r="BV86" i="43"/>
  <c r="T86" i="43" s="1"/>
  <c r="T12" i="43" s="1"/>
  <c r="T49" i="43" s="1"/>
  <c r="BV92" i="43"/>
  <c r="T92" i="43" s="1"/>
  <c r="T18" i="43" s="1"/>
  <c r="T55" i="43" s="1"/>
  <c r="BZ86" i="43"/>
  <c r="X86" i="43" s="1"/>
  <c r="X12" i="43" s="1"/>
  <c r="X49" i="43" s="1"/>
  <c r="BZ92" i="43"/>
  <c r="X92" i="43" s="1"/>
  <c r="X18" i="43" s="1"/>
  <c r="X55" i="43" s="1"/>
  <c r="CD86" i="43"/>
  <c r="AB86" i="43" s="1"/>
  <c r="AB12" i="43" s="1"/>
  <c r="AB49" i="43" s="1"/>
  <c r="CD92" i="43"/>
  <c r="AB92" i="43" s="1"/>
  <c r="AB18" i="43" s="1"/>
  <c r="AB55" i="43" s="1"/>
  <c r="CH92" i="43"/>
  <c r="AF92" i="43" s="1"/>
  <c r="AF18" i="43" s="1"/>
  <c r="AF55" i="43" s="1"/>
  <c r="CH86" i="43"/>
  <c r="AF86" i="43" s="1"/>
  <c r="AF12" i="43" s="1"/>
  <c r="AF49" i="43" s="1"/>
  <c r="BV105" i="43"/>
  <c r="T105" i="43" s="1"/>
  <c r="T31" i="43" s="1"/>
  <c r="T68" i="43" s="1"/>
  <c r="BV98" i="43"/>
  <c r="T98" i="43" s="1"/>
  <c r="T24" i="43" s="1"/>
  <c r="T61" i="43" s="1"/>
  <c r="BV112" i="43"/>
  <c r="T112" i="43" s="1"/>
  <c r="T38" i="43" s="1"/>
  <c r="T75" i="43" s="1"/>
  <c r="BZ105" i="43"/>
  <c r="X105" i="43" s="1"/>
  <c r="X31" i="43" s="1"/>
  <c r="X68" i="43" s="1"/>
  <c r="BZ112" i="43"/>
  <c r="X112" i="43" s="1"/>
  <c r="X38" i="43" s="1"/>
  <c r="X75" i="43" s="1"/>
  <c r="BZ98" i="43"/>
  <c r="X98" i="43" s="1"/>
  <c r="X24" i="43" s="1"/>
  <c r="X61" i="43" s="1"/>
  <c r="CD112" i="43"/>
  <c r="AB112" i="43" s="1"/>
  <c r="AB38" i="43" s="1"/>
  <c r="AB75" i="43" s="1"/>
  <c r="CD98" i="43"/>
  <c r="AB98" i="43" s="1"/>
  <c r="AB24" i="43" s="1"/>
  <c r="AB61" i="43" s="1"/>
  <c r="CD105" i="43"/>
  <c r="AB105" i="43" s="1"/>
  <c r="AB31" i="43" s="1"/>
  <c r="AB68" i="43" s="1"/>
  <c r="CH98" i="43"/>
  <c r="AF98" i="43" s="1"/>
  <c r="AF24" i="43" s="1"/>
  <c r="AF61" i="43" s="1"/>
  <c r="CH105" i="43"/>
  <c r="AF105" i="43" s="1"/>
  <c r="AF31" i="43" s="1"/>
  <c r="AF68" i="43" s="1"/>
  <c r="CH112" i="43"/>
  <c r="AF112" i="43" s="1"/>
  <c r="AF38" i="43" s="1"/>
  <c r="AF75" i="43" s="1"/>
  <c r="K236" i="43"/>
  <c r="K242" i="43"/>
  <c r="O236" i="43"/>
  <c r="O242" i="43"/>
  <c r="S236" i="43"/>
  <c r="S242" i="43"/>
  <c r="W242" i="43"/>
  <c r="W236" i="43"/>
  <c r="AA236" i="43"/>
  <c r="AA242" i="43"/>
  <c r="AE242" i="43"/>
  <c r="AE236" i="43"/>
  <c r="J248" i="43"/>
  <c r="J255" i="43"/>
  <c r="J262" i="43"/>
  <c r="N255" i="43"/>
  <c r="N262" i="43"/>
  <c r="N248" i="43"/>
  <c r="R262" i="43"/>
  <c r="R255" i="43"/>
  <c r="R248" i="43"/>
  <c r="V255" i="43"/>
  <c r="V248" i="43"/>
  <c r="V262" i="43"/>
  <c r="Z255" i="43"/>
  <c r="Z248" i="43"/>
  <c r="Z262" i="43"/>
  <c r="AD255" i="43"/>
  <c r="AD262" i="43"/>
  <c r="AD248" i="43"/>
  <c r="BR112" i="43"/>
  <c r="P112" i="43" s="1"/>
  <c r="P38" i="43" s="1"/>
  <c r="P75" i="43" s="1"/>
  <c r="BN112" i="43"/>
  <c r="L112" i="43" s="1"/>
  <c r="L38" i="43" s="1"/>
  <c r="L75" i="43" s="1"/>
  <c r="BK112" i="43"/>
  <c r="I112" i="43" s="1"/>
  <c r="I38" i="43" s="1"/>
  <c r="I75" i="43" s="1"/>
  <c r="BO112" i="43"/>
  <c r="M112" i="43" s="1"/>
  <c r="M38" i="43" s="1"/>
  <c r="M75" i="43" s="1"/>
  <c r="BS112" i="43"/>
  <c r="Q112" i="43" s="1"/>
  <c r="Q38" i="43" s="1"/>
  <c r="Q75" i="43" s="1"/>
  <c r="BL112" i="43"/>
  <c r="J112" i="43" s="1"/>
  <c r="J38" i="43" s="1"/>
  <c r="J75" i="43" s="1"/>
  <c r="BP112" i="43"/>
  <c r="N112" i="43" s="1"/>
  <c r="N38" i="43" s="1"/>
  <c r="N75" i="43" s="1"/>
  <c r="E65" i="11" l="1"/>
  <c r="BI92" i="43"/>
  <c r="G92" i="43" s="1"/>
  <c r="G18" i="43" s="1"/>
  <c r="G55" i="43" s="1"/>
  <c r="BI86" i="43"/>
  <c r="G86" i="43" s="1"/>
  <c r="G12" i="43" s="1"/>
  <c r="G49" i="43" s="1"/>
  <c r="G181" i="43" a="1"/>
  <c r="G181" i="43" s="1"/>
  <c r="BS92" i="43"/>
  <c r="Q92" i="43" s="1"/>
  <c r="Q18" i="43" s="1"/>
  <c r="Q55" i="43" s="1"/>
  <c r="BS86" i="43"/>
  <c r="Q86" i="43" s="1"/>
  <c r="Q12" i="43" s="1"/>
  <c r="Q49" i="43" s="1"/>
  <c r="BL92" i="43"/>
  <c r="J92" i="43" s="1"/>
  <c r="J18" i="43" s="1"/>
  <c r="J55" i="43" s="1"/>
  <c r="BL86" i="43"/>
  <c r="J86" i="43" s="1"/>
  <c r="J12" i="43" s="1"/>
  <c r="J49" i="43" s="1"/>
  <c r="BK86" i="43"/>
  <c r="I86" i="43" s="1"/>
  <c r="I12" i="43" s="1"/>
  <c r="I49" i="43" s="1"/>
  <c r="BK92" i="43"/>
  <c r="I92" i="43" s="1"/>
  <c r="I18" i="43" s="1"/>
  <c r="I55" i="43" s="1"/>
  <c r="G174" i="43" a="1"/>
  <c r="G174" i="43" s="1"/>
  <c r="BP92" i="43"/>
  <c r="N92" i="43" s="1"/>
  <c r="N18" i="43" s="1"/>
  <c r="N55" i="43" s="1"/>
  <c r="BP86" i="43"/>
  <c r="N86" i="43" s="1"/>
  <c r="N12" i="43" s="1"/>
  <c r="N49" i="43" s="1"/>
  <c r="G188" i="43" a="1"/>
  <c r="G188" i="43" s="1"/>
  <c r="BO92" i="43"/>
  <c r="M92" i="43" s="1"/>
  <c r="M18" i="43" s="1"/>
  <c r="M55" i="43" s="1"/>
  <c r="BO86" i="43"/>
  <c r="M86" i="43" s="1"/>
  <c r="M12" i="43" s="1"/>
  <c r="M49" i="43" s="1"/>
  <c r="BQ98" i="43"/>
  <c r="O98" i="43" s="1"/>
  <c r="O24" i="43" s="1"/>
  <c r="O61" i="43" s="1"/>
  <c r="BQ105" i="43"/>
  <c r="O105" i="43" s="1"/>
  <c r="O31" i="43" s="1"/>
  <c r="O68" i="43" s="1"/>
  <c r="BQ112" i="43"/>
  <c r="O112" i="43" s="1"/>
  <c r="O38" i="43" s="1"/>
  <c r="O75" i="43" s="1"/>
  <c r="BR92" i="43"/>
  <c r="P92" i="43" s="1"/>
  <c r="P18" i="43" s="1"/>
  <c r="P55" i="43" s="1"/>
  <c r="BR86" i="43"/>
  <c r="P86" i="43" s="1"/>
  <c r="P12" i="43" s="1"/>
  <c r="P49" i="43" s="1"/>
  <c r="BM112" i="43"/>
  <c r="K112" i="43" s="1"/>
  <c r="K38" i="43" s="1"/>
  <c r="K75" i="43" s="1"/>
  <c r="BM98" i="43"/>
  <c r="K98" i="43" s="1"/>
  <c r="K24" i="43" s="1"/>
  <c r="K61" i="43" s="1"/>
  <c r="BM105" i="43"/>
  <c r="K105" i="43" s="1"/>
  <c r="K31" i="43" s="1"/>
  <c r="K68" i="43" s="1"/>
  <c r="BN86" i="43"/>
  <c r="L86" i="43" s="1"/>
  <c r="L12" i="43" s="1"/>
  <c r="L49" i="43" s="1"/>
  <c r="BN92" i="43"/>
  <c r="L92" i="43" s="1"/>
  <c r="L18" i="43" s="1"/>
  <c r="L55" i="43" s="1"/>
  <c r="D40" i="10"/>
  <c r="D39" i="10"/>
  <c r="D38" i="10"/>
  <c r="D37" i="10"/>
  <c r="D36" i="10"/>
  <c r="D32" i="10"/>
  <c r="D31" i="10"/>
  <c r="D30" i="10"/>
  <c r="D25" i="10"/>
  <c r="D24" i="10"/>
  <c r="D23" i="10"/>
  <c r="D22" i="10"/>
  <c r="D19" i="10"/>
  <c r="D18" i="10"/>
  <c r="D17" i="10"/>
  <c r="D13" i="10"/>
  <c r="D12" i="10"/>
  <c r="D11" i="10"/>
  <c r="F79" i="8"/>
  <c r="D79" i="8"/>
  <c r="F78" i="8"/>
  <c r="D78" i="8"/>
  <c r="F77" i="8"/>
  <c r="D77" i="8"/>
  <c r="F76" i="8"/>
  <c r="D76" i="8"/>
  <c r="F75" i="8"/>
  <c r="D75" i="8"/>
  <c r="F74" i="8"/>
  <c r="D74" i="8"/>
  <c r="F73" i="8"/>
  <c r="D73" i="8"/>
  <c r="F72" i="8"/>
  <c r="D72" i="8"/>
  <c r="F71" i="8"/>
  <c r="D71" i="8"/>
  <c r="F70" i="8"/>
  <c r="D70" i="8"/>
  <c r="F69" i="8"/>
  <c r="D69" i="8"/>
  <c r="F68" i="8"/>
  <c r="D68" i="8"/>
  <c r="F67" i="8"/>
  <c r="D67" i="8"/>
  <c r="F66" i="8"/>
  <c r="D66" i="8"/>
  <c r="F65" i="8"/>
  <c r="D65" i="8"/>
  <c r="F64" i="8"/>
  <c r="D64" i="8"/>
  <c r="F63" i="8"/>
  <c r="D63" i="8"/>
  <c r="F62" i="8"/>
  <c r="D62" i="8"/>
  <c r="F61" i="8"/>
  <c r="D61" i="8"/>
  <c r="F60" i="8"/>
  <c r="D60" i="8"/>
  <c r="F59" i="8"/>
  <c r="D59" i="8"/>
  <c r="F58" i="8"/>
  <c r="D58" i="8"/>
  <c r="F57" i="8"/>
  <c r="D57" i="8"/>
  <c r="F56" i="8"/>
  <c r="D56" i="8"/>
  <c r="F55" i="8"/>
  <c r="D55" i="8"/>
  <c r="F54" i="8"/>
  <c r="D54" i="8"/>
  <c r="F53" i="8"/>
  <c r="D53" i="8"/>
  <c r="F52" i="8"/>
  <c r="D52" i="8"/>
  <c r="F51" i="8"/>
  <c r="D51" i="8"/>
  <c r="F50" i="8"/>
  <c r="D50" i="8"/>
  <c r="F49" i="8"/>
  <c r="D49" i="8"/>
  <c r="F48" i="8"/>
  <c r="D48" i="8"/>
  <c r="F47" i="8"/>
  <c r="D47" i="8"/>
  <c r="F46" i="8"/>
  <c r="D46" i="8"/>
  <c r="F45" i="8"/>
  <c r="D45" i="8"/>
  <c r="F44" i="8"/>
  <c r="D44" i="8"/>
  <c r="F43" i="8"/>
  <c r="D43" i="8"/>
  <c r="F42" i="8"/>
  <c r="D42" i="8"/>
  <c r="F41" i="8"/>
  <c r="D41" i="8"/>
  <c r="F40" i="8"/>
  <c r="D40" i="8"/>
  <c r="F39" i="8"/>
  <c r="D39" i="8"/>
  <c r="F38" i="8"/>
  <c r="D38" i="8"/>
  <c r="F37" i="8"/>
  <c r="D37" i="8"/>
  <c r="F36" i="8"/>
  <c r="D36" i="8"/>
  <c r="F35" i="8"/>
  <c r="D35" i="8"/>
  <c r="F34" i="8"/>
  <c r="D34" i="8"/>
  <c r="F33" i="8"/>
  <c r="D33" i="8"/>
  <c r="F32" i="8"/>
  <c r="D32" i="8"/>
  <c r="F31" i="8"/>
  <c r="D31" i="8"/>
  <c r="F30" i="8"/>
  <c r="D30" i="8"/>
  <c r="F29" i="8"/>
  <c r="D29" i="8"/>
  <c r="F28" i="8"/>
  <c r="D28" i="8"/>
  <c r="F27" i="8"/>
  <c r="D27" i="8"/>
  <c r="F26" i="8"/>
  <c r="D26" i="8"/>
  <c r="F25" i="8"/>
  <c r="D25" i="8"/>
  <c r="F24" i="8"/>
  <c r="D24" i="8"/>
  <c r="F23" i="8"/>
  <c r="D23" i="8"/>
  <c r="F22" i="8"/>
  <c r="D22" i="8"/>
  <c r="F21" i="8"/>
  <c r="D21" i="8"/>
  <c r="F20" i="8"/>
  <c r="D20" i="8"/>
  <c r="F19" i="8"/>
  <c r="D19" i="8"/>
  <c r="F18" i="8"/>
  <c r="D18" i="8"/>
  <c r="F17" i="8"/>
  <c r="D17" i="8"/>
  <c r="F16" i="8"/>
  <c r="D16" i="8"/>
  <c r="F15" i="8"/>
  <c r="D15" i="8"/>
  <c r="F14" i="8"/>
  <c r="D14" i="8"/>
  <c r="B16" i="8" l="1"/>
  <c r="C24" i="8"/>
  <c r="C28" i="8"/>
  <c r="B32" i="8"/>
  <c r="C40" i="8"/>
  <c r="C44" i="8"/>
  <c r="B48" i="8"/>
  <c r="C56" i="8"/>
  <c r="B70" i="8"/>
  <c r="B72" i="8"/>
  <c r="BQ31" i="26"/>
  <c r="BL31" i="26"/>
  <c r="BO31" i="26"/>
  <c r="BG31" i="26"/>
  <c r="BF31" i="26"/>
  <c r="BP31" i="26"/>
  <c r="BK31" i="26"/>
  <c r="C16" i="8"/>
  <c r="C20" i="8"/>
  <c r="B20" i="8"/>
  <c r="B28" i="8"/>
  <c r="C32" i="8"/>
  <c r="C36" i="8"/>
  <c r="B36" i="8"/>
  <c r="B44" i="8"/>
  <c r="C48" i="8"/>
  <c r="C52" i="8"/>
  <c r="B52" i="8"/>
  <c r="C60" i="8"/>
  <c r="B60" i="8"/>
  <c r="C64" i="8"/>
  <c r="B64" i="8"/>
  <c r="C68" i="8"/>
  <c r="B68" i="8"/>
  <c r="C76" i="8"/>
  <c r="B76" i="8"/>
  <c r="C15" i="8"/>
  <c r="B15" i="8"/>
  <c r="C19" i="8"/>
  <c r="B19" i="8"/>
  <c r="C23" i="8"/>
  <c r="B23" i="8"/>
  <c r="C27" i="8"/>
  <c r="B27" i="8"/>
  <c r="C31" i="8"/>
  <c r="B31" i="8"/>
  <c r="C35" i="8"/>
  <c r="B35" i="8"/>
  <c r="C39" i="8"/>
  <c r="B39" i="8"/>
  <c r="C43" i="8"/>
  <c r="B43" i="8"/>
  <c r="C47" i="8"/>
  <c r="B47" i="8"/>
  <c r="C51" i="8"/>
  <c r="B51" i="8"/>
  <c r="C55" i="8"/>
  <c r="B55" i="8"/>
  <c r="C59" i="8"/>
  <c r="B59" i="8"/>
  <c r="C63" i="8"/>
  <c r="B63" i="8"/>
  <c r="C67" i="8"/>
  <c r="B67" i="8"/>
  <c r="C71" i="8"/>
  <c r="B71" i="8"/>
  <c r="C75" i="8"/>
  <c r="B75" i="8"/>
  <c r="C38" i="8"/>
  <c r="C42" i="8"/>
  <c r="C54" i="8"/>
  <c r="C58" i="8"/>
  <c r="G162" i="43" a="1"/>
  <c r="G162" i="43" s="1"/>
  <c r="G168" i="43" a="1"/>
  <c r="G168" i="43" s="1"/>
  <c r="CE366" i="43"/>
  <c r="CA366" i="43"/>
  <c r="BW366" i="43"/>
  <c r="BS366" i="43"/>
  <c r="BO366" i="43"/>
  <c r="BK366" i="43"/>
  <c r="CH366" i="43"/>
  <c r="CC366" i="43"/>
  <c r="BX366" i="43"/>
  <c r="BR366" i="43"/>
  <c r="BM366" i="43"/>
  <c r="CG366" i="43"/>
  <c r="CB366" i="43"/>
  <c r="BV366" i="43"/>
  <c r="BQ366" i="43"/>
  <c r="BL366" i="43"/>
  <c r="BZ366" i="43"/>
  <c r="BP366" i="43"/>
  <c r="BY366" i="43"/>
  <c r="BN366" i="43"/>
  <c r="CF366" i="43"/>
  <c r="BJ366" i="43"/>
  <c r="BT366" i="43"/>
  <c r="CD366" i="43"/>
  <c r="BI366" i="43"/>
  <c r="BU366" i="43"/>
  <c r="C17" i="8"/>
  <c r="B17" i="8"/>
  <c r="C22" i="8"/>
  <c r="B22" i="8"/>
  <c r="C33" i="8"/>
  <c r="B33" i="8"/>
  <c r="C49" i="8"/>
  <c r="B49" i="8"/>
  <c r="C18" i="8"/>
  <c r="B18" i="8"/>
  <c r="C29" i="8"/>
  <c r="B29" i="8"/>
  <c r="C34" i="8"/>
  <c r="B34" i="8"/>
  <c r="C45" i="8"/>
  <c r="B45" i="8"/>
  <c r="C50" i="8"/>
  <c r="B50" i="8"/>
  <c r="C61" i="8"/>
  <c r="B61" i="8"/>
  <c r="C65" i="8"/>
  <c r="B65" i="8"/>
  <c r="C69" i="8"/>
  <c r="B69" i="8"/>
  <c r="C73" i="8"/>
  <c r="B73" i="8"/>
  <c r="C77" i="8"/>
  <c r="B77" i="8"/>
  <c r="C79" i="8"/>
  <c r="B79" i="8"/>
  <c r="C14" i="8"/>
  <c r="B14" i="8"/>
  <c r="C25" i="8"/>
  <c r="B25" i="8"/>
  <c r="C30" i="8"/>
  <c r="B30" i="8"/>
  <c r="C41" i="8"/>
  <c r="B41" i="8"/>
  <c r="C46" i="8"/>
  <c r="B46" i="8"/>
  <c r="C57" i="8"/>
  <c r="B57" i="8"/>
  <c r="C62" i="8"/>
  <c r="B62" i="8"/>
  <c r="C66" i="8"/>
  <c r="B66" i="8"/>
  <c r="C74" i="8"/>
  <c r="B74" i="8"/>
  <c r="C78" i="8"/>
  <c r="B78" i="8"/>
  <c r="C21" i="8"/>
  <c r="B21" i="8"/>
  <c r="C26" i="8"/>
  <c r="B26" i="8"/>
  <c r="C37" i="8"/>
  <c r="B37" i="8"/>
  <c r="C53" i="8"/>
  <c r="B53" i="8"/>
  <c r="H41" i="6"/>
  <c r="I41" i="6"/>
  <c r="J41" i="6"/>
  <c r="K41" i="6"/>
  <c r="L41" i="6"/>
  <c r="M41" i="6"/>
  <c r="N41" i="6"/>
  <c r="O41" i="6"/>
  <c r="P41" i="6"/>
  <c r="Q41" i="6"/>
  <c r="R41" i="6"/>
  <c r="S41" i="6"/>
  <c r="T41" i="6"/>
  <c r="U41" i="6"/>
  <c r="V41" i="6"/>
  <c r="W41" i="6"/>
  <c r="X41" i="6"/>
  <c r="Y41" i="6"/>
  <c r="Z41" i="6"/>
  <c r="AA41" i="6"/>
  <c r="G41" i="6"/>
  <c r="J9" i="6"/>
  <c r="K9" i="6"/>
  <c r="L9" i="6"/>
  <c r="M9" i="6"/>
  <c r="N9" i="6"/>
  <c r="O9" i="6"/>
  <c r="P9" i="6"/>
  <c r="Q9" i="6"/>
  <c r="R9" i="6"/>
  <c r="S9" i="6"/>
  <c r="T9" i="6"/>
  <c r="U9" i="6"/>
  <c r="V9" i="6"/>
  <c r="W9" i="6"/>
  <c r="X9" i="6"/>
  <c r="Y9" i="6"/>
  <c r="Z9" i="6"/>
  <c r="AA9" i="6"/>
  <c r="AB9" i="6"/>
  <c r="AC9" i="6"/>
  <c r="AD9" i="6"/>
  <c r="AE9" i="6"/>
  <c r="AF9" i="6"/>
  <c r="I9" i="6"/>
  <c r="I30" i="6"/>
  <c r="J30" i="6"/>
  <c r="K30" i="6"/>
  <c r="L30" i="6"/>
  <c r="M30" i="6"/>
  <c r="N30" i="6"/>
  <c r="O30" i="6"/>
  <c r="P30" i="6"/>
  <c r="Q30" i="6"/>
  <c r="R30" i="6"/>
  <c r="S30" i="6"/>
  <c r="T30" i="6"/>
  <c r="U30" i="6"/>
  <c r="V30" i="6"/>
  <c r="W30" i="6"/>
  <c r="X30" i="6"/>
  <c r="Y30" i="6"/>
  <c r="Z30" i="6"/>
  <c r="AA30" i="6"/>
  <c r="I29" i="6"/>
  <c r="J29" i="6"/>
  <c r="K29" i="6"/>
  <c r="L29" i="6"/>
  <c r="M29" i="6"/>
  <c r="N29" i="6"/>
  <c r="O29" i="6"/>
  <c r="P29" i="6"/>
  <c r="Q29" i="6"/>
  <c r="R29" i="6"/>
  <c r="S29" i="6"/>
  <c r="T29" i="6"/>
  <c r="U29" i="6"/>
  <c r="V29" i="6"/>
  <c r="W29" i="6"/>
  <c r="X29" i="6"/>
  <c r="Y29" i="6"/>
  <c r="Z29" i="6"/>
  <c r="AA29" i="6"/>
  <c r="H30" i="6"/>
  <c r="H29" i="6"/>
  <c r="H42" i="6" s="1"/>
  <c r="H22" i="6"/>
  <c r="I22" i="6"/>
  <c r="J22" i="6"/>
  <c r="K22" i="6"/>
  <c r="L22" i="6"/>
  <c r="M22" i="6"/>
  <c r="N22" i="6"/>
  <c r="O22" i="6"/>
  <c r="P22" i="6"/>
  <c r="Q22" i="6"/>
  <c r="R22" i="6"/>
  <c r="S22" i="6"/>
  <c r="T22" i="6"/>
  <c r="U22" i="6"/>
  <c r="V22" i="6"/>
  <c r="W22" i="6"/>
  <c r="X22" i="6"/>
  <c r="Y22" i="6"/>
  <c r="Z22" i="6"/>
  <c r="AA22" i="6"/>
  <c r="H7" i="6"/>
  <c r="H11" i="6" s="1"/>
  <c r="I7" i="6"/>
  <c r="I11" i="6" s="1"/>
  <c r="J7" i="6"/>
  <c r="J11" i="6" s="1"/>
  <c r="K7" i="6"/>
  <c r="K11" i="6" s="1"/>
  <c r="L7" i="6"/>
  <c r="L11" i="6" s="1"/>
  <c r="M7" i="6"/>
  <c r="M11" i="6" s="1"/>
  <c r="N7" i="6"/>
  <c r="N11" i="6" s="1"/>
  <c r="O7" i="6"/>
  <c r="O11" i="6" s="1"/>
  <c r="P7" i="6"/>
  <c r="P11" i="6" s="1"/>
  <c r="Q7" i="6"/>
  <c r="Q11" i="6" s="1"/>
  <c r="R7" i="6"/>
  <c r="R11" i="6" s="1"/>
  <c r="S7" i="6"/>
  <c r="S11" i="6" s="1"/>
  <c r="T7" i="6"/>
  <c r="T11" i="6" s="1"/>
  <c r="U7" i="6"/>
  <c r="U11" i="6" s="1"/>
  <c r="V7" i="6"/>
  <c r="V11" i="6" s="1"/>
  <c r="W7" i="6"/>
  <c r="W11" i="6" s="1"/>
  <c r="X7" i="6"/>
  <c r="X11" i="6" s="1"/>
  <c r="Y7" i="6"/>
  <c r="Y11" i="6" s="1"/>
  <c r="Z7" i="6"/>
  <c r="Z11" i="6" s="1"/>
  <c r="AA7" i="6"/>
  <c r="AA11" i="6" s="1"/>
  <c r="G22" i="6"/>
  <c r="BH29" i="26" l="1"/>
  <c r="BR29" i="26"/>
  <c r="BM29" i="26"/>
  <c r="BH30" i="26"/>
  <c r="BR30" i="26"/>
  <c r="BM30" i="26"/>
  <c r="BH28" i="26"/>
  <c r="BR28" i="26"/>
  <c r="BM28" i="26"/>
  <c r="C70" i="8"/>
  <c r="C72" i="8"/>
  <c r="B38" i="8"/>
  <c r="B56" i="8"/>
  <c r="B40" i="8"/>
  <c r="B24" i="8"/>
  <c r="G144" i="16" s="1"/>
  <c r="AE144" i="16" s="1"/>
  <c r="B54" i="8"/>
  <c r="G124" i="16" s="1"/>
  <c r="AC124" i="16" s="1"/>
  <c r="BQ30" i="26"/>
  <c r="BK30" i="26"/>
  <c r="BG30" i="26"/>
  <c r="BL30" i="26"/>
  <c r="BP30" i="26"/>
  <c r="BO30" i="26"/>
  <c r="BF30" i="26"/>
  <c r="BQ28" i="26"/>
  <c r="BP28" i="26"/>
  <c r="BF28" i="26"/>
  <c r="BO28" i="26"/>
  <c r="BL28" i="26"/>
  <c r="BK28" i="26"/>
  <c r="BG28" i="26"/>
  <c r="BQ29" i="26"/>
  <c r="BF29" i="26"/>
  <c r="BK29" i="26"/>
  <c r="BP29" i="26"/>
  <c r="BG29" i="26"/>
  <c r="BO29" i="26"/>
  <c r="BL29" i="26"/>
  <c r="B58" i="8"/>
  <c r="B42" i="8"/>
  <c r="F129" i="12"/>
  <c r="F237" i="12" s="1"/>
  <c r="G129" i="16"/>
  <c r="I129" i="16" s="1"/>
  <c r="I237" i="16" s="1"/>
  <c r="G119" i="16"/>
  <c r="N119" i="16" s="1"/>
  <c r="F119" i="12"/>
  <c r="W119" i="12" s="1"/>
  <c r="F139" i="12"/>
  <c r="AB139" i="12" s="1"/>
  <c r="G139" i="16"/>
  <c r="AC139" i="16" s="1"/>
  <c r="G137" i="16"/>
  <c r="M137" i="16" s="1"/>
  <c r="F137" i="12"/>
  <c r="W137" i="12" s="1"/>
  <c r="F136" i="12"/>
  <c r="K136" i="12" s="1"/>
  <c r="G136" i="16"/>
  <c r="AD136" i="16" s="1"/>
  <c r="G131" i="16"/>
  <c r="Q131" i="16" s="1"/>
  <c r="F131" i="12"/>
  <c r="S131" i="12" s="1"/>
  <c r="F138" i="12"/>
  <c r="L138" i="12" s="1"/>
  <c r="G138" i="16"/>
  <c r="K138" i="16" s="1"/>
  <c r="F142" i="12"/>
  <c r="AA142" i="12" s="1"/>
  <c r="G142" i="16"/>
  <c r="P142" i="16" s="1"/>
  <c r="P250" i="16" s="1"/>
  <c r="F135" i="12"/>
  <c r="T135" i="12" s="1"/>
  <c r="T243" i="12" s="1"/>
  <c r="F123" i="12"/>
  <c r="F231" i="12" s="1"/>
  <c r="F117" i="12"/>
  <c r="F225" i="12" s="1"/>
  <c r="G135" i="16"/>
  <c r="M135" i="16" s="1"/>
  <c r="M243" i="16" s="1"/>
  <c r="G123" i="16"/>
  <c r="O123" i="16" s="1"/>
  <c r="O231" i="16" s="1"/>
  <c r="G117" i="16"/>
  <c r="G225" i="16" s="1"/>
  <c r="G125" i="16"/>
  <c r="F125" i="12"/>
  <c r="F146" i="12"/>
  <c r="T146" i="12" s="1"/>
  <c r="F120" i="12"/>
  <c r="AD120" i="12" s="1"/>
  <c r="G146" i="16"/>
  <c r="G120" i="16"/>
  <c r="N120" i="16" s="1"/>
  <c r="F132" i="12"/>
  <c r="X132" i="12" s="1"/>
  <c r="F126" i="12"/>
  <c r="W126" i="12" s="1"/>
  <c r="G132" i="16"/>
  <c r="AA132" i="16" s="1"/>
  <c r="G126" i="16"/>
  <c r="I126" i="16" s="1"/>
  <c r="BG16" i="26"/>
  <c r="BH16" i="26"/>
  <c r="BF11" i="26"/>
  <c r="BG11" i="26"/>
  <c r="BH11" i="26"/>
  <c r="BG12" i="26"/>
  <c r="BH12" i="26"/>
  <c r="BF12" i="26"/>
  <c r="BF18" i="26"/>
  <c r="BG18" i="26"/>
  <c r="BH18" i="26"/>
  <c r="BG17" i="26"/>
  <c r="BH17" i="26"/>
  <c r="BF17" i="26"/>
  <c r="BN31" i="26"/>
  <c r="Y31" i="10" s="1"/>
  <c r="BI31" i="26"/>
  <c r="X31" i="10" s="1"/>
  <c r="BS31" i="26"/>
  <c r="Z31" i="10" s="1"/>
  <c r="CE365" i="43"/>
  <c r="CA365" i="43"/>
  <c r="BW365" i="43"/>
  <c r="BS365" i="43"/>
  <c r="BO365" i="43"/>
  <c r="BK365" i="43"/>
  <c r="CD365" i="43"/>
  <c r="BY365" i="43"/>
  <c r="BT365" i="43"/>
  <c r="BN365" i="43"/>
  <c r="BI365" i="43"/>
  <c r="CH365" i="43"/>
  <c r="CC365" i="43"/>
  <c r="BX365" i="43"/>
  <c r="BR365" i="43"/>
  <c r="BM365" i="43"/>
  <c r="BZ365" i="43"/>
  <c r="BP365" i="43"/>
  <c r="CG365" i="43"/>
  <c r="BV365" i="43"/>
  <c r="BL365" i="43"/>
  <c r="BQ365" i="43"/>
  <c r="CB365" i="43"/>
  <c r="BJ365" i="43"/>
  <c r="CF365" i="43"/>
  <c r="BU365" i="43"/>
  <c r="CF370" i="43"/>
  <c r="CB370" i="43"/>
  <c r="BX370" i="43"/>
  <c r="BT370" i="43"/>
  <c r="BP370" i="43"/>
  <c r="BL370" i="43"/>
  <c r="CE370" i="43"/>
  <c r="CA370" i="43"/>
  <c r="BW370" i="43"/>
  <c r="BS370" i="43"/>
  <c r="BO370" i="43"/>
  <c r="BK370" i="43"/>
  <c r="CD370" i="43"/>
  <c r="BV370" i="43"/>
  <c r="BN370" i="43"/>
  <c r="CC370" i="43"/>
  <c r="BU370" i="43"/>
  <c r="BM370" i="43"/>
  <c r="CH370" i="43"/>
  <c r="BR370" i="43"/>
  <c r="CG370" i="43"/>
  <c r="BQ370" i="43"/>
  <c r="BZ370" i="43"/>
  <c r="BJ370" i="43"/>
  <c r="BI370" i="43"/>
  <c r="BY370" i="43"/>
  <c r="CH375" i="43"/>
  <c r="CD375" i="43"/>
  <c r="BZ375" i="43"/>
  <c r="BV375" i="43"/>
  <c r="CE375" i="43"/>
  <c r="BY375" i="43"/>
  <c r="BT375" i="43"/>
  <c r="BP375" i="43"/>
  <c r="BL375" i="43"/>
  <c r="CC375" i="43"/>
  <c r="BX375" i="43"/>
  <c r="BS375" i="43"/>
  <c r="BO375" i="43"/>
  <c r="BK375" i="43"/>
  <c r="CG375" i="43"/>
  <c r="BW375" i="43"/>
  <c r="BN375" i="43"/>
  <c r="CF375" i="43"/>
  <c r="BU375" i="43"/>
  <c r="BM375" i="43"/>
  <c r="BR375" i="43"/>
  <c r="BQ375" i="43"/>
  <c r="CB375" i="43"/>
  <c r="BJ375" i="43"/>
  <c r="CA375" i="43"/>
  <c r="BI375" i="43"/>
  <c r="CE359" i="43"/>
  <c r="CA359" i="43"/>
  <c r="BW359" i="43"/>
  <c r="BS359" i="43"/>
  <c r="BO359" i="43"/>
  <c r="BK359" i="43"/>
  <c r="CH359" i="43"/>
  <c r="CC359" i="43"/>
  <c r="BX359" i="43"/>
  <c r="BR359" i="43"/>
  <c r="BM359" i="43"/>
  <c r="CG359" i="43"/>
  <c r="CB359" i="43"/>
  <c r="BV359" i="43"/>
  <c r="BQ359" i="43"/>
  <c r="BL359" i="43"/>
  <c r="CF359" i="43"/>
  <c r="BU359" i="43"/>
  <c r="BJ359" i="43"/>
  <c r="CD359" i="43"/>
  <c r="BT359" i="43"/>
  <c r="BI359" i="43"/>
  <c r="BY359" i="43"/>
  <c r="BZ359" i="43"/>
  <c r="BN359" i="43"/>
  <c r="BP359" i="43"/>
  <c r="CE358" i="43"/>
  <c r="CA358" i="43"/>
  <c r="BW358" i="43"/>
  <c r="BS358" i="43"/>
  <c r="BO358" i="43"/>
  <c r="BK358" i="43"/>
  <c r="CG358" i="43"/>
  <c r="CB358" i="43"/>
  <c r="BV358" i="43"/>
  <c r="BQ358" i="43"/>
  <c r="BL358" i="43"/>
  <c r="CF358" i="43"/>
  <c r="BZ358" i="43"/>
  <c r="BU358" i="43"/>
  <c r="BP358" i="43"/>
  <c r="BJ358" i="43"/>
  <c r="CD358" i="43"/>
  <c r="BT358" i="43"/>
  <c r="BI358" i="43"/>
  <c r="CC358" i="43"/>
  <c r="BR358" i="43"/>
  <c r="BX358" i="43"/>
  <c r="BY358" i="43"/>
  <c r="BM358" i="43"/>
  <c r="BN358" i="43"/>
  <c r="CH358" i="43"/>
  <c r="CE357" i="43"/>
  <c r="CA357" i="43"/>
  <c r="CH357" i="43"/>
  <c r="CC357" i="43"/>
  <c r="BX357" i="43"/>
  <c r="BT357" i="43"/>
  <c r="BP357" i="43"/>
  <c r="BL357" i="43"/>
  <c r="CG357" i="43"/>
  <c r="CB357" i="43"/>
  <c r="BW357" i="43"/>
  <c r="BS357" i="43"/>
  <c r="BO357" i="43"/>
  <c r="BK357" i="43"/>
  <c r="CD357" i="43"/>
  <c r="BU357" i="43"/>
  <c r="BM357" i="43"/>
  <c r="BZ357" i="43"/>
  <c r="BR357" i="43"/>
  <c r="BJ357" i="43"/>
  <c r="BY357" i="43"/>
  <c r="BI357" i="43"/>
  <c r="BN357" i="43"/>
  <c r="BV357" i="43"/>
  <c r="BQ357" i="43"/>
  <c r="CF357" i="43"/>
  <c r="CE363" i="43"/>
  <c r="CA363" i="43"/>
  <c r="BW363" i="43"/>
  <c r="BS363" i="43"/>
  <c r="BO363" i="43"/>
  <c r="BK363" i="43"/>
  <c r="CG363" i="43"/>
  <c r="CB363" i="43"/>
  <c r="BV363" i="43"/>
  <c r="BQ363" i="43"/>
  <c r="BL363" i="43"/>
  <c r="CF363" i="43"/>
  <c r="BZ363" i="43"/>
  <c r="BU363" i="43"/>
  <c r="BP363" i="43"/>
  <c r="BJ363" i="43"/>
  <c r="BY363" i="43"/>
  <c r="BN363" i="43"/>
  <c r="CH363" i="43"/>
  <c r="BX363" i="43"/>
  <c r="BM363" i="43"/>
  <c r="CC363" i="43"/>
  <c r="BR363" i="43"/>
  <c r="CD363" i="43"/>
  <c r="BT363" i="43"/>
  <c r="BI363" i="43"/>
  <c r="CF353" i="43"/>
  <c r="CB353" i="43"/>
  <c r="BX353" i="43"/>
  <c r="BT353" i="43"/>
  <c r="BP353" i="43"/>
  <c r="BL353" i="43"/>
  <c r="CE353" i="43"/>
  <c r="CA353" i="43"/>
  <c r="BW353" i="43"/>
  <c r="BS353" i="43"/>
  <c r="BO353" i="43"/>
  <c r="BK353" i="43"/>
  <c r="CC353" i="43"/>
  <c r="BU353" i="43"/>
  <c r="BM353" i="43"/>
  <c r="CH353" i="43"/>
  <c r="BZ353" i="43"/>
  <c r="BR353" i="43"/>
  <c r="BJ353" i="43"/>
  <c r="BY353" i="43"/>
  <c r="BI353" i="43"/>
  <c r="BQ353" i="43"/>
  <c r="CD353" i="43"/>
  <c r="BV353" i="43"/>
  <c r="BN353" i="43"/>
  <c r="CG353" i="43"/>
  <c r="CF351" i="43"/>
  <c r="CB351" i="43"/>
  <c r="BX351" i="43"/>
  <c r="BT351" i="43"/>
  <c r="BP351" i="43"/>
  <c r="BL351" i="43"/>
  <c r="CE351" i="43"/>
  <c r="CA351" i="43"/>
  <c r="BW351" i="43"/>
  <c r="BS351" i="43"/>
  <c r="BO351" i="43"/>
  <c r="BK351" i="43"/>
  <c r="CC351" i="43"/>
  <c r="BU351" i="43"/>
  <c r="BM351" i="43"/>
  <c r="CH351" i="43"/>
  <c r="BZ351" i="43"/>
  <c r="BR351" i="43"/>
  <c r="BJ351" i="43"/>
  <c r="CD351" i="43"/>
  <c r="BN351" i="43"/>
  <c r="BQ351" i="43"/>
  <c r="BY351" i="43"/>
  <c r="CG351" i="43"/>
  <c r="BI351" i="43"/>
  <c r="BV351" i="43"/>
  <c r="CF346" i="43"/>
  <c r="CB346" i="43"/>
  <c r="BX346" i="43"/>
  <c r="BT346" i="43"/>
  <c r="BP346" i="43"/>
  <c r="BL346" i="43"/>
  <c r="CE346" i="43"/>
  <c r="CA346" i="43"/>
  <c r="BW346" i="43"/>
  <c r="BS346" i="43"/>
  <c r="BO346" i="43"/>
  <c r="BK346" i="43"/>
  <c r="CC346" i="43"/>
  <c r="BU346" i="43"/>
  <c r="BM346" i="43"/>
  <c r="CH346" i="43"/>
  <c r="BZ346" i="43"/>
  <c r="BR346" i="43"/>
  <c r="BJ346" i="43"/>
  <c r="BV346" i="43"/>
  <c r="BY346" i="43"/>
  <c r="CG346" i="43"/>
  <c r="BN346" i="43"/>
  <c r="BQ346" i="43"/>
  <c r="CD346" i="43"/>
  <c r="BI346" i="43"/>
  <c r="CF347" i="43"/>
  <c r="CB347" i="43"/>
  <c r="BX347" i="43"/>
  <c r="BT347" i="43"/>
  <c r="BP347" i="43"/>
  <c r="BL347" i="43"/>
  <c r="CE347" i="43"/>
  <c r="CA347" i="43"/>
  <c r="BW347" i="43"/>
  <c r="BS347" i="43"/>
  <c r="BO347" i="43"/>
  <c r="BK347" i="43"/>
  <c r="CG347" i="43"/>
  <c r="BY347" i="43"/>
  <c r="BQ347" i="43"/>
  <c r="BI347" i="43"/>
  <c r="CD347" i="43"/>
  <c r="BV347" i="43"/>
  <c r="BN347" i="43"/>
  <c r="CC347" i="43"/>
  <c r="BM347" i="43"/>
  <c r="BR347" i="43"/>
  <c r="BZ347" i="43"/>
  <c r="BU347" i="43"/>
  <c r="CH347" i="43"/>
  <c r="BJ347" i="43"/>
  <c r="CF371" i="43"/>
  <c r="CB371" i="43"/>
  <c r="BX371" i="43"/>
  <c r="BT371" i="43"/>
  <c r="BP371" i="43"/>
  <c r="BL371" i="43"/>
  <c r="CE371" i="43"/>
  <c r="CA371" i="43"/>
  <c r="BW371" i="43"/>
  <c r="BS371" i="43"/>
  <c r="BO371" i="43"/>
  <c r="BK371" i="43"/>
  <c r="CH371" i="43"/>
  <c r="BZ371" i="43"/>
  <c r="BR371" i="43"/>
  <c r="BJ371" i="43"/>
  <c r="CG371" i="43"/>
  <c r="BY371" i="43"/>
  <c r="BQ371" i="43"/>
  <c r="BI371" i="43"/>
  <c r="BV371" i="43"/>
  <c r="BU371" i="43"/>
  <c r="CD371" i="43"/>
  <c r="CC371" i="43"/>
  <c r="BM371" i="43"/>
  <c r="BN371" i="43"/>
  <c r="CE364" i="43"/>
  <c r="CA364" i="43"/>
  <c r="BW364" i="43"/>
  <c r="BS364" i="43"/>
  <c r="BO364" i="43"/>
  <c r="BK364" i="43"/>
  <c r="CF364" i="43"/>
  <c r="BZ364" i="43"/>
  <c r="BU364" i="43"/>
  <c r="BP364" i="43"/>
  <c r="BJ364" i="43"/>
  <c r="CD364" i="43"/>
  <c r="BY364" i="43"/>
  <c r="BT364" i="43"/>
  <c r="BN364" i="43"/>
  <c r="BI364" i="43"/>
  <c r="CB364" i="43"/>
  <c r="BQ364" i="43"/>
  <c r="CH364" i="43"/>
  <c r="BX364" i="43"/>
  <c r="BM364" i="43"/>
  <c r="BV364" i="43"/>
  <c r="BL364" i="43"/>
  <c r="CC364" i="43"/>
  <c r="CG364" i="43"/>
  <c r="BR364" i="43"/>
  <c r="CF372" i="43"/>
  <c r="CB372" i="43"/>
  <c r="BX372" i="43"/>
  <c r="BT372" i="43"/>
  <c r="BP372" i="43"/>
  <c r="BL372" i="43"/>
  <c r="CE372" i="43"/>
  <c r="CA372" i="43"/>
  <c r="BW372" i="43"/>
  <c r="BS372" i="43"/>
  <c r="BO372" i="43"/>
  <c r="BK372" i="43"/>
  <c r="CD372" i="43"/>
  <c r="BV372" i="43"/>
  <c r="BN372" i="43"/>
  <c r="CC372" i="43"/>
  <c r="BU372" i="43"/>
  <c r="BM372" i="43"/>
  <c r="CH372" i="43"/>
  <c r="BR372" i="43"/>
  <c r="CG372" i="43"/>
  <c r="BQ372" i="43"/>
  <c r="BZ372" i="43"/>
  <c r="BJ372" i="43"/>
  <c r="BY372" i="43"/>
  <c r="BI372" i="43"/>
  <c r="CF352" i="43"/>
  <c r="CB352" i="43"/>
  <c r="BX352" i="43"/>
  <c r="BT352" i="43"/>
  <c r="BP352" i="43"/>
  <c r="BL352" i="43"/>
  <c r="CE352" i="43"/>
  <c r="CA352" i="43"/>
  <c r="BW352" i="43"/>
  <c r="BS352" i="43"/>
  <c r="BO352" i="43"/>
  <c r="BK352" i="43"/>
  <c r="CC352" i="43"/>
  <c r="BU352" i="43"/>
  <c r="BM352" i="43"/>
  <c r="CH352" i="43"/>
  <c r="BZ352" i="43"/>
  <c r="BR352" i="43"/>
  <c r="BJ352" i="43"/>
  <c r="BV352" i="43"/>
  <c r="BY352" i="43"/>
  <c r="CG352" i="43"/>
  <c r="BN352" i="43"/>
  <c r="BQ352" i="43"/>
  <c r="BI352" i="43"/>
  <c r="CD352" i="43"/>
  <c r="CF373" i="43"/>
  <c r="CB373" i="43"/>
  <c r="BX373" i="43"/>
  <c r="BT373" i="43"/>
  <c r="BP373" i="43"/>
  <c r="BL373" i="43"/>
  <c r="CE373" i="43"/>
  <c r="CA373" i="43"/>
  <c r="BW373" i="43"/>
  <c r="BS373" i="43"/>
  <c r="BO373" i="43"/>
  <c r="BK373" i="43"/>
  <c r="CH373" i="43"/>
  <c r="BZ373" i="43"/>
  <c r="BR373" i="43"/>
  <c r="BJ373" i="43"/>
  <c r="CG373" i="43"/>
  <c r="BY373" i="43"/>
  <c r="BQ373" i="43"/>
  <c r="BI373" i="43"/>
  <c r="BV373" i="43"/>
  <c r="BU373" i="43"/>
  <c r="CD373" i="43"/>
  <c r="BM373" i="43"/>
  <c r="CC373" i="43"/>
  <c r="BN373" i="43"/>
  <c r="W8" i="6"/>
  <c r="W42" i="6"/>
  <c r="W10" i="6" s="1"/>
  <c r="O8" i="6"/>
  <c r="O42" i="6"/>
  <c r="O10" i="6" s="1"/>
  <c r="V8" i="6"/>
  <c r="V42" i="6"/>
  <c r="V10" i="6" s="1"/>
  <c r="N8" i="6"/>
  <c r="N42" i="6"/>
  <c r="N10" i="6" s="1"/>
  <c r="Y8" i="6"/>
  <c r="Y42" i="6"/>
  <c r="Y10" i="6" s="1"/>
  <c r="U8" i="6"/>
  <c r="U42" i="6"/>
  <c r="U10" i="6" s="1"/>
  <c r="Q8" i="6"/>
  <c r="Q42" i="6"/>
  <c r="Q10" i="6" s="1"/>
  <c r="M8" i="6"/>
  <c r="M42" i="6"/>
  <c r="M10" i="6" s="1"/>
  <c r="I8" i="6"/>
  <c r="I42" i="6"/>
  <c r="I10" i="6" s="1"/>
  <c r="AA8" i="6"/>
  <c r="AA42" i="6"/>
  <c r="AA10" i="6" s="1"/>
  <c r="S8" i="6"/>
  <c r="S42" i="6"/>
  <c r="S10" i="6" s="1"/>
  <c r="K8" i="6"/>
  <c r="K42" i="6"/>
  <c r="K10" i="6" s="1"/>
  <c r="Z8" i="6"/>
  <c r="Z42" i="6"/>
  <c r="Z10" i="6" s="1"/>
  <c r="R8" i="6"/>
  <c r="R42" i="6"/>
  <c r="R10" i="6" s="1"/>
  <c r="J8" i="6"/>
  <c r="J42" i="6"/>
  <c r="J10" i="6" s="1"/>
  <c r="X8" i="6"/>
  <c r="X42" i="6"/>
  <c r="X10" i="6" s="1"/>
  <c r="T8" i="6"/>
  <c r="T42" i="6"/>
  <c r="T10" i="6" s="1"/>
  <c r="P8" i="6"/>
  <c r="P42" i="6"/>
  <c r="P10" i="6" s="1"/>
  <c r="L8" i="6"/>
  <c r="L42" i="6"/>
  <c r="L10" i="6" s="1"/>
  <c r="H8" i="6"/>
  <c r="AF29" i="6"/>
  <c r="AC29" i="6"/>
  <c r="AC42" i="6" s="1"/>
  <c r="AC10" i="6" s="1"/>
  <c r="AD29" i="6"/>
  <c r="AB29" i="6"/>
  <c r="AB28" i="6" s="1"/>
  <c r="AE29" i="6"/>
  <c r="H10" i="6"/>
  <c r="H9" i="6"/>
  <c r="U43" i="6"/>
  <c r="M43" i="6"/>
  <c r="AC7" i="6"/>
  <c r="AC11" i="6" s="1"/>
  <c r="AE7" i="6"/>
  <c r="AE11" i="6" s="1"/>
  <c r="AF7" i="6"/>
  <c r="AF11" i="6" s="1"/>
  <c r="AD7" i="6"/>
  <c r="AD11" i="6" s="1"/>
  <c r="Z43" i="6"/>
  <c r="V43" i="6"/>
  <c r="R43" i="6"/>
  <c r="N43" i="6"/>
  <c r="J43" i="6"/>
  <c r="Q43" i="6"/>
  <c r="I43" i="6"/>
  <c r="AA43" i="6"/>
  <c r="W43" i="6"/>
  <c r="S43" i="6"/>
  <c r="O43" i="6"/>
  <c r="K43" i="6"/>
  <c r="H43" i="6"/>
  <c r="Y43" i="6"/>
  <c r="X43" i="6"/>
  <c r="T43" i="6"/>
  <c r="P43" i="6"/>
  <c r="L43" i="6"/>
  <c r="BP18" i="26"/>
  <c r="BR18" i="26"/>
  <c r="BO18" i="26"/>
  <c r="BQ18" i="26"/>
  <c r="BQ17" i="26"/>
  <c r="BO17" i="26"/>
  <c r="BR17" i="26"/>
  <c r="BP17" i="26"/>
  <c r="BP16" i="26"/>
  <c r="BQ16" i="26"/>
  <c r="BR16" i="26"/>
  <c r="BO16" i="26"/>
  <c r="BQ12" i="26"/>
  <c r="BP12" i="26"/>
  <c r="BR12" i="26"/>
  <c r="BO12" i="26"/>
  <c r="BO11" i="26"/>
  <c r="BQ11" i="26"/>
  <c r="BR11" i="26"/>
  <c r="BP11" i="26"/>
  <c r="G143" i="16" l="1"/>
  <c r="O143" i="16" s="1"/>
  <c r="F147" i="12"/>
  <c r="H147" i="12" s="1"/>
  <c r="F124" i="12"/>
  <c r="Y124" i="12" s="1"/>
  <c r="F143" i="12"/>
  <c r="R143" i="12" s="1"/>
  <c r="G118" i="16"/>
  <c r="S118" i="16" s="1"/>
  <c r="AB125" i="12"/>
  <c r="F118" i="12"/>
  <c r="AE118" i="12" s="1"/>
  <c r="F144" i="12"/>
  <c r="K144" i="12" s="1"/>
  <c r="G147" i="16"/>
  <c r="V147" i="16" s="1"/>
  <c r="Q139" i="12"/>
  <c r="AE138" i="12"/>
  <c r="N136" i="16"/>
  <c r="R139" i="16"/>
  <c r="V129" i="16"/>
  <c r="V237" i="16" s="1"/>
  <c r="L139" i="16"/>
  <c r="R129" i="16"/>
  <c r="R237" i="16" s="1"/>
  <c r="L142" i="16"/>
  <c r="L250" i="16" s="1"/>
  <c r="AD137" i="12"/>
  <c r="AF144" i="16"/>
  <c r="J117" i="16"/>
  <c r="J225" i="16" s="1"/>
  <c r="AF142" i="16"/>
  <c r="AF250" i="16" s="1"/>
  <c r="AA139" i="16"/>
  <c r="AA137" i="12"/>
  <c r="T144" i="16"/>
  <c r="X139" i="16"/>
  <c r="Q129" i="16"/>
  <c r="Q237" i="16" s="1"/>
  <c r="J129" i="16"/>
  <c r="J237" i="16" s="1"/>
  <c r="AC129" i="16"/>
  <c r="AC237" i="16" s="1"/>
  <c r="X144" i="16"/>
  <c r="S129" i="16"/>
  <c r="S237" i="16" s="1"/>
  <c r="AE139" i="16"/>
  <c r="H129" i="16"/>
  <c r="H237" i="16" s="1"/>
  <c r="AB139" i="16"/>
  <c r="Z129" i="16"/>
  <c r="Z237" i="16" s="1"/>
  <c r="K129" i="16"/>
  <c r="K237" i="16" s="1"/>
  <c r="H139" i="16"/>
  <c r="U129" i="16"/>
  <c r="U237" i="16" s="1"/>
  <c r="AD123" i="12"/>
  <c r="AD231" i="12" s="1"/>
  <c r="AC142" i="16"/>
  <c r="AC250" i="16" s="1"/>
  <c r="H142" i="16"/>
  <c r="H250" i="16" s="1"/>
  <c r="Z143" i="16"/>
  <c r="J131" i="16"/>
  <c r="Z136" i="12"/>
  <c r="X117" i="12"/>
  <c r="X225" i="12" s="1"/>
  <c r="H142" i="12"/>
  <c r="Q117" i="12"/>
  <c r="Q225" i="12" s="1"/>
  <c r="U136" i="12"/>
  <c r="K119" i="12"/>
  <c r="AE136" i="16"/>
  <c r="L123" i="12"/>
  <c r="L231" i="12" s="1"/>
  <c r="V123" i="12"/>
  <c r="V231" i="12" s="1"/>
  <c r="AB117" i="16"/>
  <c r="AB225" i="16" s="1"/>
  <c r="O119" i="12"/>
  <c r="R131" i="16"/>
  <c r="S131" i="16"/>
  <c r="J119" i="12"/>
  <c r="AC136" i="16"/>
  <c r="T136" i="12"/>
  <c r="AD136" i="12"/>
  <c r="L119" i="16"/>
  <c r="Z131" i="16"/>
  <c r="AC144" i="16"/>
  <c r="AB123" i="12"/>
  <c r="AB231" i="12" s="1"/>
  <c r="N123" i="12"/>
  <c r="N231" i="12" s="1"/>
  <c r="AA123" i="12"/>
  <c r="AA231" i="12" s="1"/>
  <c r="Q117" i="16"/>
  <c r="Q225" i="16" s="1"/>
  <c r="Z117" i="16"/>
  <c r="Z225" i="16" s="1"/>
  <c r="H117" i="16"/>
  <c r="H225" i="16" s="1"/>
  <c r="P117" i="16"/>
  <c r="P225" i="16" s="1"/>
  <c r="I144" i="16"/>
  <c r="M123" i="12"/>
  <c r="M231" i="12" s="1"/>
  <c r="H123" i="12"/>
  <c r="H231" i="12" s="1"/>
  <c r="X123" i="12"/>
  <c r="X231" i="12" s="1"/>
  <c r="I117" i="16"/>
  <c r="I225" i="16" s="1"/>
  <c r="AA119" i="16"/>
  <c r="J123" i="12"/>
  <c r="J231" i="12" s="1"/>
  <c r="Z123" i="12"/>
  <c r="Z231" i="12" s="1"/>
  <c r="L117" i="16"/>
  <c r="L225" i="16" s="1"/>
  <c r="G123" i="12"/>
  <c r="G231" i="12" s="1"/>
  <c r="S117" i="16"/>
  <c r="S225" i="16" s="1"/>
  <c r="AD117" i="16"/>
  <c r="AD225" i="16" s="1"/>
  <c r="T117" i="16"/>
  <c r="T225" i="16" s="1"/>
  <c r="M136" i="12"/>
  <c r="H119" i="16"/>
  <c r="AF139" i="16"/>
  <c r="AF131" i="16"/>
  <c r="R139" i="12"/>
  <c r="Y137" i="12"/>
  <c r="P117" i="12"/>
  <c r="P225" i="12" s="1"/>
  <c r="AE129" i="12"/>
  <c r="AE237" i="12" s="1"/>
  <c r="T142" i="12"/>
  <c r="X129" i="12"/>
  <c r="X237" i="12" s="1"/>
  <c r="AD142" i="12"/>
  <c r="N138" i="16"/>
  <c r="M139" i="12"/>
  <c r="AD139" i="12"/>
  <c r="P129" i="12"/>
  <c r="P237" i="12" s="1"/>
  <c r="S139" i="12"/>
  <c r="Z139" i="12"/>
  <c r="R131" i="12"/>
  <c r="W142" i="12"/>
  <c r="O142" i="12"/>
  <c r="X138" i="16"/>
  <c r="O123" i="12"/>
  <c r="O231" i="12" s="1"/>
  <c r="V117" i="16"/>
  <c r="V225" i="16" s="1"/>
  <c r="W117" i="16"/>
  <c r="W225" i="16" s="1"/>
  <c r="V131" i="16"/>
  <c r="U129" i="12"/>
  <c r="U237" i="12" s="1"/>
  <c r="T139" i="12"/>
  <c r="K139" i="12"/>
  <c r="Q131" i="12"/>
  <c r="AC129" i="12"/>
  <c r="AC237" i="12" s="1"/>
  <c r="Z142" i="12"/>
  <c r="Q138" i="16"/>
  <c r="N139" i="12"/>
  <c r="V120" i="16"/>
  <c r="Y129" i="12"/>
  <c r="Y237" i="12" s="1"/>
  <c r="G136" i="12"/>
  <c r="N126" i="16"/>
  <c r="S139" i="16"/>
  <c r="L136" i="12"/>
  <c r="AE136" i="12"/>
  <c r="Z129" i="12"/>
  <c r="Z237" i="12" s="1"/>
  <c r="S123" i="16"/>
  <c r="S231" i="16" s="1"/>
  <c r="AB136" i="12"/>
  <c r="AA129" i="12"/>
  <c r="AA237" i="12" s="1"/>
  <c r="W129" i="12"/>
  <c r="W237" i="12" s="1"/>
  <c r="O135" i="16"/>
  <c r="O243" i="16" s="1"/>
  <c r="Z142" i="16"/>
  <c r="Z250" i="16" s="1"/>
  <c r="U142" i="16"/>
  <c r="U250" i="16" s="1"/>
  <c r="Y135" i="16"/>
  <c r="Y243" i="16" s="1"/>
  <c r="S124" i="16"/>
  <c r="I138" i="12"/>
  <c r="O131" i="16"/>
  <c r="AE119" i="12"/>
  <c r="T129" i="12"/>
  <c r="T237" i="12" s="1"/>
  <c r="S129" i="12"/>
  <c r="S237" i="12" s="1"/>
  <c r="O129" i="12"/>
  <c r="O237" i="12" s="1"/>
  <c r="M129" i="12"/>
  <c r="M237" i="12" s="1"/>
  <c r="AA136" i="12"/>
  <c r="J129" i="12"/>
  <c r="J237" i="12" s="1"/>
  <c r="H129" i="12"/>
  <c r="H237" i="12" s="1"/>
  <c r="S136" i="12"/>
  <c r="AD139" i="16"/>
  <c r="T139" i="16"/>
  <c r="K139" i="16"/>
  <c r="I129" i="12"/>
  <c r="I237" i="12" s="1"/>
  <c r="Q129" i="12"/>
  <c r="Q237" i="12" s="1"/>
  <c r="AB129" i="12"/>
  <c r="AB237" i="12" s="1"/>
  <c r="AB138" i="12"/>
  <c r="U135" i="16"/>
  <c r="U243" i="16" s="1"/>
  <c r="H135" i="16"/>
  <c r="H243" i="16" s="1"/>
  <c r="AC136" i="12"/>
  <c r="AD129" i="12"/>
  <c r="AD237" i="12" s="1"/>
  <c r="S135" i="16"/>
  <c r="S243" i="16" s="1"/>
  <c r="R129" i="12"/>
  <c r="R237" i="12" s="1"/>
  <c r="N139" i="16"/>
  <c r="O139" i="16"/>
  <c r="H136" i="12"/>
  <c r="X136" i="12"/>
  <c r="N129" i="12"/>
  <c r="N237" i="12" s="1"/>
  <c r="W136" i="12"/>
  <c r="Y131" i="16"/>
  <c r="R136" i="12"/>
  <c r="Z126" i="16"/>
  <c r="L119" i="12"/>
  <c r="T117" i="12"/>
  <c r="T225" i="12" s="1"/>
  <c r="V142" i="12"/>
  <c r="U142" i="12"/>
  <c r="AB117" i="12"/>
  <c r="AB225" i="12" s="1"/>
  <c r="G117" i="12"/>
  <c r="G225" i="12" s="1"/>
  <c r="AB142" i="12"/>
  <c r="AC117" i="12"/>
  <c r="AC225" i="12" s="1"/>
  <c r="R142" i="12"/>
  <c r="P142" i="12"/>
  <c r="U126" i="16"/>
  <c r="Q146" i="12"/>
  <c r="W120" i="16"/>
  <c r="M146" i="12"/>
  <c r="AD120" i="16"/>
  <c r="G137" i="12"/>
  <c r="R124" i="16"/>
  <c r="O137" i="12"/>
  <c r="H117" i="12"/>
  <c r="H225" i="12" s="1"/>
  <c r="S142" i="12"/>
  <c r="T123" i="12"/>
  <c r="T231" i="12" s="1"/>
  <c r="W123" i="12"/>
  <c r="W231" i="12" s="1"/>
  <c r="V117" i="12"/>
  <c r="V225" i="12" s="1"/>
  <c r="AC123" i="12"/>
  <c r="AC231" i="12" s="1"/>
  <c r="AF129" i="16"/>
  <c r="AF237" i="16" s="1"/>
  <c r="I123" i="12"/>
  <c r="I231" i="12" s="1"/>
  <c r="AE142" i="12"/>
  <c r="L142" i="12"/>
  <c r="L117" i="12"/>
  <c r="L225" i="12" s="1"/>
  <c r="G142" i="12"/>
  <c r="Y142" i="12"/>
  <c r="N117" i="16"/>
  <c r="N225" i="16" s="1"/>
  <c r="R117" i="12"/>
  <c r="R225" i="12" s="1"/>
  <c r="AC137" i="12"/>
  <c r="K117" i="12"/>
  <c r="K225" i="12" s="1"/>
  <c r="Q142" i="12"/>
  <c r="X142" i="12"/>
  <c r="O117" i="12"/>
  <c r="O225" i="12" s="1"/>
  <c r="J117" i="12"/>
  <c r="J225" i="12" s="1"/>
  <c r="S123" i="12"/>
  <c r="S231" i="12" s="1"/>
  <c r="I142" i="12"/>
  <c r="M142" i="12"/>
  <c r="Q123" i="12"/>
  <c r="Q231" i="12" s="1"/>
  <c r="R123" i="12"/>
  <c r="R231" i="12" s="1"/>
  <c r="N142" i="12"/>
  <c r="AA129" i="16"/>
  <c r="AA237" i="16" s="1"/>
  <c r="M117" i="16"/>
  <c r="M225" i="16" s="1"/>
  <c r="X129" i="16"/>
  <c r="X237" i="16" s="1"/>
  <c r="O117" i="16"/>
  <c r="O225" i="16" s="1"/>
  <c r="K117" i="16"/>
  <c r="K225" i="16" s="1"/>
  <c r="AC117" i="16"/>
  <c r="AC225" i="16" s="1"/>
  <c r="AF117" i="16"/>
  <c r="AF225" i="16" s="1"/>
  <c r="P137" i="12"/>
  <c r="U131" i="12"/>
  <c r="Q126" i="16"/>
  <c r="Z132" i="12"/>
  <c r="AD131" i="12"/>
  <c r="O129" i="16"/>
  <c r="O237" i="16" s="1"/>
  <c r="AC131" i="16"/>
  <c r="Y119" i="12"/>
  <c r="G129" i="12"/>
  <c r="G237" i="12" s="1"/>
  <c r="J139" i="16"/>
  <c r="V129" i="12"/>
  <c r="V237" i="12" s="1"/>
  <c r="M129" i="16"/>
  <c r="M237" i="16" s="1"/>
  <c r="J132" i="12"/>
  <c r="S146" i="12"/>
  <c r="O126" i="16"/>
  <c r="W126" i="16"/>
  <c r="AE126" i="16"/>
  <c r="AC142" i="12"/>
  <c r="AD117" i="12"/>
  <c r="AD225" i="12" s="1"/>
  <c r="P132" i="12"/>
  <c r="L124" i="16"/>
  <c r="U132" i="12"/>
  <c r="V126" i="16"/>
  <c r="AD126" i="16"/>
  <c r="Z124" i="16"/>
  <c r="AE129" i="16"/>
  <c r="AE237" i="16" s="1"/>
  <c r="X117" i="16"/>
  <c r="X225" i="16" s="1"/>
  <c r="AA117" i="12"/>
  <c r="AA225" i="12" s="1"/>
  <c r="K142" i="12"/>
  <c r="P123" i="12"/>
  <c r="P231" i="12" s="1"/>
  <c r="V137" i="12"/>
  <c r="Y123" i="12"/>
  <c r="Y231" i="12" s="1"/>
  <c r="W117" i="12"/>
  <c r="W225" i="12" s="1"/>
  <c r="Z137" i="12"/>
  <c r="Y117" i="12"/>
  <c r="Y225" i="12" s="1"/>
  <c r="M117" i="12"/>
  <c r="M225" i="12" s="1"/>
  <c r="K123" i="12"/>
  <c r="K231" i="12" s="1"/>
  <c r="J142" i="12"/>
  <c r="U123" i="12"/>
  <c r="U231" i="12" s="1"/>
  <c r="U117" i="12"/>
  <c r="U225" i="12" s="1"/>
  <c r="AE117" i="12"/>
  <c r="AE225" i="12" s="1"/>
  <c r="Z117" i="12"/>
  <c r="Z225" i="12" s="1"/>
  <c r="I117" i="12"/>
  <c r="I225" i="12" s="1"/>
  <c r="AB129" i="16"/>
  <c r="AB237" i="16" s="1"/>
  <c r="S117" i="12"/>
  <c r="S225" i="12" s="1"/>
  <c r="N117" i="12"/>
  <c r="N225" i="12" s="1"/>
  <c r="AE123" i="12"/>
  <c r="AE231" i="12" s="1"/>
  <c r="AD129" i="16"/>
  <c r="AD237" i="16" s="1"/>
  <c r="AE117" i="16"/>
  <c r="AE225" i="16" s="1"/>
  <c r="U117" i="16"/>
  <c r="U225" i="16" s="1"/>
  <c r="Y129" i="16"/>
  <c r="Y237" i="16" s="1"/>
  <c r="R117" i="16"/>
  <c r="R225" i="16" s="1"/>
  <c r="AA117" i="16"/>
  <c r="AA225" i="16" s="1"/>
  <c r="AF124" i="16"/>
  <c r="Y117" i="16"/>
  <c r="Y225" i="16" s="1"/>
  <c r="Z126" i="12"/>
  <c r="AB131" i="12"/>
  <c r="AA131" i="12"/>
  <c r="T129" i="16"/>
  <c r="T237" i="16" s="1"/>
  <c r="AC119" i="12"/>
  <c r="H137" i="16"/>
  <c r="AE137" i="16"/>
  <c r="AB137" i="16"/>
  <c r="G231" i="16"/>
  <c r="AC123" i="16"/>
  <c r="AC231" i="16" s="1"/>
  <c r="R123" i="16"/>
  <c r="R231" i="16" s="1"/>
  <c r="AC125" i="12"/>
  <c r="J138" i="12"/>
  <c r="G138" i="12"/>
  <c r="H138" i="12"/>
  <c r="S138" i="12"/>
  <c r="Y138" i="12"/>
  <c r="R138" i="12"/>
  <c r="K138" i="12"/>
  <c r="P138" i="12"/>
  <c r="O138" i="12"/>
  <c r="AC138" i="12"/>
  <c r="J120" i="12"/>
  <c r="H120" i="12"/>
  <c r="O120" i="12"/>
  <c r="P120" i="12"/>
  <c r="V126" i="12"/>
  <c r="P137" i="16"/>
  <c r="U138" i="12"/>
  <c r="X138" i="12"/>
  <c r="T123" i="16"/>
  <c r="T231" i="16" s="1"/>
  <c r="T138" i="12"/>
  <c r="X137" i="16"/>
  <c r="AD135" i="16"/>
  <c r="AD243" i="16" s="1"/>
  <c r="AD137" i="16"/>
  <c r="AA124" i="16"/>
  <c r="AD124" i="16"/>
  <c r="L144" i="16"/>
  <c r="V144" i="16"/>
  <c r="Z144" i="16"/>
  <c r="H144" i="16"/>
  <c r="Q144" i="16"/>
  <c r="P144" i="16"/>
  <c r="Q137" i="12"/>
  <c r="T137" i="12"/>
  <c r="N137" i="12"/>
  <c r="X137" i="12"/>
  <c r="U137" i="12"/>
  <c r="AB137" i="12"/>
  <c r="K137" i="12"/>
  <c r="AE137" i="12"/>
  <c r="Y139" i="12"/>
  <c r="H139" i="12"/>
  <c r="I139" i="12"/>
  <c r="W139" i="12"/>
  <c r="G139" i="12"/>
  <c r="J139" i="12"/>
  <c r="AA139" i="12"/>
  <c r="O139" i="12"/>
  <c r="Q137" i="16"/>
  <c r="V137" i="16"/>
  <c r="W137" i="16"/>
  <c r="Z137" i="16"/>
  <c r="J137" i="16"/>
  <c r="Y137" i="16"/>
  <c r="AC137" i="16"/>
  <c r="AA137" i="16"/>
  <c r="L137" i="16"/>
  <c r="J125" i="12"/>
  <c r="T125" i="12"/>
  <c r="M125" i="12"/>
  <c r="V125" i="12"/>
  <c r="U125" i="12"/>
  <c r="F243" i="12"/>
  <c r="AC135" i="12"/>
  <c r="AC243" i="12" s="1"/>
  <c r="S135" i="12"/>
  <c r="S243" i="12" s="1"/>
  <c r="M135" i="12"/>
  <c r="M243" i="12" s="1"/>
  <c r="Z135" i="12"/>
  <c r="Z243" i="12" s="1"/>
  <c r="AE135" i="12"/>
  <c r="AE243" i="12" s="1"/>
  <c r="R135" i="12"/>
  <c r="R243" i="12" s="1"/>
  <c r="AA135" i="12"/>
  <c r="AA243" i="12" s="1"/>
  <c r="I137" i="16"/>
  <c r="O125" i="12"/>
  <c r="AF137" i="16"/>
  <c r="AD138" i="12"/>
  <c r="G243" i="16"/>
  <c r="X135" i="16"/>
  <c r="X243" i="16" s="1"/>
  <c r="W135" i="16"/>
  <c r="W243" i="16" s="1"/>
  <c r="V135" i="16"/>
  <c r="V243" i="16" s="1"/>
  <c r="L135" i="16"/>
  <c r="L243" i="16" s="1"/>
  <c r="AA135" i="16"/>
  <c r="AA243" i="16" s="1"/>
  <c r="AE135" i="16"/>
  <c r="AE243" i="16" s="1"/>
  <c r="N135" i="16"/>
  <c r="N243" i="16" s="1"/>
  <c r="P135" i="16"/>
  <c r="P243" i="16" s="1"/>
  <c r="K135" i="16"/>
  <c r="K243" i="16" s="1"/>
  <c r="T135" i="16"/>
  <c r="T243" i="16" s="1"/>
  <c r="AC135" i="16"/>
  <c r="AC243" i="16" s="1"/>
  <c r="Z135" i="16"/>
  <c r="Z243" i="16" s="1"/>
  <c r="G250" i="16"/>
  <c r="X142" i="16"/>
  <c r="X250" i="16" s="1"/>
  <c r="W142" i="16"/>
  <c r="W250" i="16" s="1"/>
  <c r="AD142" i="16"/>
  <c r="AD250" i="16" s="1"/>
  <c r="AB142" i="16"/>
  <c r="AB250" i="16" s="1"/>
  <c r="S142" i="16"/>
  <c r="S250" i="16" s="1"/>
  <c r="T142" i="16"/>
  <c r="T250" i="16" s="1"/>
  <c r="AA142" i="16"/>
  <c r="AA250" i="16" s="1"/>
  <c r="N142" i="16"/>
  <c r="N250" i="16" s="1"/>
  <c r="W124" i="16"/>
  <c r="N124" i="16"/>
  <c r="Y124" i="16"/>
  <c r="AB124" i="16"/>
  <c r="J124" i="16"/>
  <c r="Z136" i="16"/>
  <c r="H136" i="16"/>
  <c r="V136" i="16"/>
  <c r="AA136" i="16"/>
  <c r="U136" i="16"/>
  <c r="T136" i="16"/>
  <c r="AF136" i="16"/>
  <c r="AB136" i="16"/>
  <c r="M136" i="16"/>
  <c r="L126" i="12"/>
  <c r="N132" i="12"/>
  <c r="O120" i="16"/>
  <c r="AD146" i="12"/>
  <c r="M132" i="12"/>
  <c r="AC132" i="12"/>
  <c r="Z119" i="12"/>
  <c r="I131" i="12"/>
  <c r="R119" i="12"/>
  <c r="N119" i="12"/>
  <c r="V119" i="12"/>
  <c r="G119" i="12"/>
  <c r="Q136" i="12"/>
  <c r="K131" i="16"/>
  <c r="U119" i="12"/>
  <c r="V136" i="12"/>
  <c r="X119" i="12"/>
  <c r="AA132" i="12"/>
  <c r="AC146" i="12"/>
  <c r="AA119" i="12"/>
  <c r="P146" i="12"/>
  <c r="Q132" i="12"/>
  <c r="K131" i="12"/>
  <c r="T119" i="12"/>
  <c r="I119" i="12"/>
  <c r="Q119" i="12"/>
  <c r="H119" i="12"/>
  <c r="P119" i="12"/>
  <c r="M119" i="12"/>
  <c r="AB119" i="12"/>
  <c r="Y146" i="16"/>
  <c r="I146" i="16"/>
  <c r="M146" i="16"/>
  <c r="AF146" i="16"/>
  <c r="P146" i="16"/>
  <c r="Z146" i="16"/>
  <c r="AC146" i="16"/>
  <c r="S146" i="16"/>
  <c r="AB146" i="16"/>
  <c r="Q146" i="16"/>
  <c r="O146" i="16"/>
  <c r="Y125" i="16"/>
  <c r="L125" i="16"/>
  <c r="H125" i="16"/>
  <c r="K125" i="16"/>
  <c r="AB125" i="16"/>
  <c r="Q125" i="16"/>
  <c r="R125" i="16"/>
  <c r="T125" i="16"/>
  <c r="M125" i="16"/>
  <c r="AF125" i="16"/>
  <c r="S125" i="16"/>
  <c r="I118" i="16"/>
  <c r="AD143" i="16"/>
  <c r="S132" i="16"/>
  <c r="AA126" i="12"/>
  <c r="Y126" i="12"/>
  <c r="I126" i="12"/>
  <c r="R126" i="12"/>
  <c r="S126" i="12"/>
  <c r="K126" i="12"/>
  <c r="G126" i="12"/>
  <c r="AE126" i="12"/>
  <c r="H126" i="12"/>
  <c r="Q126" i="12"/>
  <c r="N120" i="12"/>
  <c r="AD126" i="12"/>
  <c r="M120" i="12"/>
  <c r="V146" i="16"/>
  <c r="U135" i="12"/>
  <c r="U243" i="12" s="1"/>
  <c r="Y138" i="16"/>
  <c r="Q135" i="12"/>
  <c r="Q243" i="12" s="1"/>
  <c r="AE123" i="16"/>
  <c r="AE231" i="16" s="1"/>
  <c r="P138" i="16"/>
  <c r="AD125" i="16"/>
  <c r="Z125" i="16"/>
  <c r="T126" i="12"/>
  <c r="Q132" i="16"/>
  <c r="Z120" i="12"/>
  <c r="H138" i="16"/>
  <c r="K120" i="12"/>
  <c r="AC126" i="16"/>
  <c r="AB126" i="16"/>
  <c r="AF126" i="16"/>
  <c r="X126" i="16"/>
  <c r="S126" i="16"/>
  <c r="P126" i="16"/>
  <c r="T126" i="16"/>
  <c r="L126" i="16"/>
  <c r="Y126" i="16"/>
  <c r="H126" i="16"/>
  <c r="J126" i="16"/>
  <c r="M126" i="16"/>
  <c r="R126" i="16"/>
  <c r="AA126" i="16"/>
  <c r="L120" i="16"/>
  <c r="AF120" i="16"/>
  <c r="I120" i="16"/>
  <c r="T120" i="16"/>
  <c r="M120" i="16"/>
  <c r="AC120" i="16"/>
  <c r="Y120" i="16"/>
  <c r="J120" i="16"/>
  <c r="AB120" i="16"/>
  <c r="P120" i="16"/>
  <c r="H120" i="16"/>
  <c r="AA120" i="16"/>
  <c r="U120" i="16"/>
  <c r="O132" i="16"/>
  <c r="N126" i="12"/>
  <c r="V132" i="12"/>
  <c r="W132" i="16"/>
  <c r="AE146" i="16"/>
  <c r="AE132" i="16"/>
  <c r="AE120" i="16"/>
  <c r="N132" i="16"/>
  <c r="U120" i="12"/>
  <c r="U126" i="12"/>
  <c r="AC126" i="12"/>
  <c r="K119" i="16"/>
  <c r="X125" i="12"/>
  <c r="G125" i="12"/>
  <c r="Q125" i="12"/>
  <c r="AA125" i="12"/>
  <c r="L125" i="12"/>
  <c r="AE125" i="12"/>
  <c r="P125" i="12"/>
  <c r="H125" i="12"/>
  <c r="R125" i="12"/>
  <c r="K125" i="12"/>
  <c r="Y125" i="12"/>
  <c r="I125" i="12"/>
  <c r="R118" i="16"/>
  <c r="Q138" i="12"/>
  <c r="P135" i="12"/>
  <c r="P243" i="12" s="1"/>
  <c r="X135" i="12"/>
  <c r="X243" i="12" s="1"/>
  <c r="G135" i="12"/>
  <c r="G243" i="12" s="1"/>
  <c r="L135" i="12"/>
  <c r="L243" i="12" s="1"/>
  <c r="O142" i="16"/>
  <c r="O250" i="16" s="1"/>
  <c r="I135" i="12"/>
  <c r="I243" i="12" s="1"/>
  <c r="Z138" i="12"/>
  <c r="AD123" i="16"/>
  <c r="AD231" i="16" s="1"/>
  <c r="Y142" i="16"/>
  <c r="Y250" i="16" s="1"/>
  <c r="Q142" i="16"/>
  <c r="Q250" i="16" s="1"/>
  <c r="AB135" i="12"/>
  <c r="AB243" i="12" s="1"/>
  <c r="AA138" i="16"/>
  <c r="W135" i="12"/>
  <c r="W243" i="12" s="1"/>
  <c r="O138" i="16"/>
  <c r="W138" i="16"/>
  <c r="AA123" i="16"/>
  <c r="AA231" i="16" s="1"/>
  <c r="O135" i="12"/>
  <c r="O243" i="12" s="1"/>
  <c r="N138" i="12"/>
  <c r="X123" i="16"/>
  <c r="X231" i="16" s="1"/>
  <c r="Q123" i="16"/>
  <c r="Q231" i="16" s="1"/>
  <c r="I123" i="16"/>
  <c r="I231" i="16" s="1"/>
  <c r="AB135" i="16"/>
  <c r="AB243" i="16" s="1"/>
  <c r="P123" i="16"/>
  <c r="P231" i="16" s="1"/>
  <c r="N123" i="16"/>
  <c r="N231" i="16" s="1"/>
  <c r="R138" i="16"/>
  <c r="AE138" i="16"/>
  <c r="AE142" i="16"/>
  <c r="AE250" i="16" s="1"/>
  <c r="L123" i="16"/>
  <c r="L231" i="16" s="1"/>
  <c r="AF143" i="16"/>
  <c r="M142" i="16"/>
  <c r="M250" i="16" s="1"/>
  <c r="V138" i="16"/>
  <c r="S138" i="16"/>
  <c r="T138" i="16"/>
  <c r="Z123" i="16"/>
  <c r="Z231" i="16" s="1"/>
  <c r="I135" i="16"/>
  <c r="I243" i="16" s="1"/>
  <c r="AB119" i="16"/>
  <c r="AA143" i="16"/>
  <c r="O119" i="16"/>
  <c r="U132" i="16"/>
  <c r="P126" i="12"/>
  <c r="Q120" i="16"/>
  <c r="K120" i="16"/>
  <c r="R146" i="16"/>
  <c r="L131" i="12"/>
  <c r="V131" i="12"/>
  <c r="AC131" i="12"/>
  <c r="AE131" i="12"/>
  <c r="W131" i="12"/>
  <c r="O131" i="12"/>
  <c r="M131" i="12"/>
  <c r="G131" i="12"/>
  <c r="X131" i="12"/>
  <c r="H131" i="12"/>
  <c r="N131" i="12"/>
  <c r="J131" i="12"/>
  <c r="Y131" i="12"/>
  <c r="W119" i="16"/>
  <c r="T131" i="12"/>
  <c r="S144" i="16"/>
  <c r="V119" i="16"/>
  <c r="R137" i="12"/>
  <c r="P125" i="16"/>
  <c r="N137" i="16"/>
  <c r="U137" i="16"/>
  <c r="O137" i="16"/>
  <c r="S137" i="16"/>
  <c r="T137" i="16"/>
  <c r="R137" i="16"/>
  <c r="S125" i="12"/>
  <c r="S132" i="12"/>
  <c r="S120" i="16"/>
  <c r="I132" i="12"/>
  <c r="Z120" i="16"/>
  <c r="X125" i="16"/>
  <c r="H146" i="16"/>
  <c r="X146" i="16"/>
  <c r="L146" i="16"/>
  <c r="AB126" i="12"/>
  <c r="AC132" i="16"/>
  <c r="X132" i="16"/>
  <c r="J132" i="16"/>
  <c r="I132" i="16"/>
  <c r="H132" i="16"/>
  <c r="M132" i="16"/>
  <c r="P132" i="16"/>
  <c r="L132" i="16"/>
  <c r="AF132" i="16"/>
  <c r="Y132" i="16"/>
  <c r="T132" i="16"/>
  <c r="K132" i="16"/>
  <c r="W125" i="16"/>
  <c r="AA146" i="16"/>
  <c r="T143" i="16"/>
  <c r="AE143" i="16"/>
  <c r="U143" i="16"/>
  <c r="I143" i="16"/>
  <c r="W143" i="16"/>
  <c r="V143" i="16"/>
  <c r="P143" i="16"/>
  <c r="H143" i="16"/>
  <c r="Y143" i="16"/>
  <c r="Q143" i="16"/>
  <c r="L143" i="16"/>
  <c r="AC143" i="16"/>
  <c r="AB143" i="16"/>
  <c r="M119" i="16"/>
  <c r="AD119" i="16"/>
  <c r="AE119" i="16"/>
  <c r="Y119" i="16"/>
  <c r="Q119" i="16"/>
  <c r="J119" i="16"/>
  <c r="I119" i="16"/>
  <c r="P119" i="16"/>
  <c r="X119" i="16"/>
  <c r="AB132" i="16"/>
  <c r="X120" i="12"/>
  <c r="G120" i="12"/>
  <c r="AA120" i="12"/>
  <c r="AE120" i="12"/>
  <c r="W120" i="12"/>
  <c r="R120" i="12"/>
  <c r="Y120" i="12"/>
  <c r="S120" i="12"/>
  <c r="I120" i="12"/>
  <c r="L120" i="12"/>
  <c r="V120" i="12"/>
  <c r="W146" i="16"/>
  <c r="AD146" i="16"/>
  <c r="R143" i="16"/>
  <c r="H135" i="12"/>
  <c r="H243" i="12" s="1"/>
  <c r="Y135" i="12"/>
  <c r="Y243" i="12" s="1"/>
  <c r="AB123" i="16"/>
  <c r="AB231" i="16" s="1"/>
  <c r="N135" i="12"/>
  <c r="N243" i="12" s="1"/>
  <c r="J123" i="16"/>
  <c r="J231" i="16" s="1"/>
  <c r="K123" i="16"/>
  <c r="K231" i="16" s="1"/>
  <c r="AB138" i="16"/>
  <c r="J125" i="16"/>
  <c r="U146" i="16"/>
  <c r="K146" i="16"/>
  <c r="R132" i="16"/>
  <c r="N143" i="16"/>
  <c r="J138" i="16"/>
  <c r="AF119" i="16"/>
  <c r="U119" i="16"/>
  <c r="U125" i="16"/>
  <c r="Z119" i="16"/>
  <c r="T146" i="16"/>
  <c r="AC119" i="16"/>
  <c r="O126" i="12"/>
  <c r="O132" i="12"/>
  <c r="G132" i="12"/>
  <c r="K132" i="12"/>
  <c r="W132" i="12"/>
  <c r="R132" i="12"/>
  <c r="L132" i="12"/>
  <c r="AB132" i="12"/>
  <c r="H132" i="12"/>
  <c r="Y132" i="12"/>
  <c r="T132" i="12"/>
  <c r="K146" i="12"/>
  <c r="L146" i="12"/>
  <c r="AB146" i="12"/>
  <c r="AE146" i="12"/>
  <c r="X146" i="12"/>
  <c r="H146" i="12"/>
  <c r="Y146" i="12"/>
  <c r="I146" i="12"/>
  <c r="AA146" i="12"/>
  <c r="O146" i="12"/>
  <c r="W146" i="12"/>
  <c r="R146" i="12"/>
  <c r="J146" i="12"/>
  <c r="N146" i="12"/>
  <c r="V146" i="12"/>
  <c r="AD132" i="12"/>
  <c r="M126" i="12"/>
  <c r="N146" i="16"/>
  <c r="U146" i="12"/>
  <c r="V132" i="16"/>
  <c r="AC120" i="12"/>
  <c r="AD132" i="16"/>
  <c r="V125" i="16"/>
  <c r="K135" i="12"/>
  <c r="K243" i="12" s="1"/>
  <c r="M138" i="12"/>
  <c r="J135" i="12"/>
  <c r="J243" i="12" s="1"/>
  <c r="R142" i="16"/>
  <c r="R250" i="16" s="1"/>
  <c r="R135" i="16"/>
  <c r="R243" i="16" s="1"/>
  <c r="AC138" i="16"/>
  <c r="J135" i="16"/>
  <c r="J243" i="16" s="1"/>
  <c r="V135" i="12"/>
  <c r="V243" i="12" s="1"/>
  <c r="V138" i="12"/>
  <c r="AF123" i="16"/>
  <c r="AF231" i="16" s="1"/>
  <c r="AA138" i="12"/>
  <c r="V123" i="16"/>
  <c r="V231" i="16" s="1"/>
  <c r="U123" i="16"/>
  <c r="U231" i="16" s="1"/>
  <c r="H123" i="16"/>
  <c r="H231" i="16" s="1"/>
  <c r="AF138" i="16"/>
  <c r="Z138" i="16"/>
  <c r="W138" i="12"/>
  <c r="AD135" i="12"/>
  <c r="AD243" i="12" s="1"/>
  <c r="M123" i="16"/>
  <c r="M231" i="16" s="1"/>
  <c r="J142" i="16"/>
  <c r="J250" i="16" s="1"/>
  <c r="I142" i="16"/>
  <c r="I250" i="16" s="1"/>
  <c r="Q135" i="16"/>
  <c r="Q243" i="16" s="1"/>
  <c r="Y123" i="16"/>
  <c r="Y231" i="16" s="1"/>
  <c r="W123" i="16"/>
  <c r="W231" i="16" s="1"/>
  <c r="AF135" i="16"/>
  <c r="AF243" i="16" s="1"/>
  <c r="K142" i="16"/>
  <c r="K250" i="16" s="1"/>
  <c r="V142" i="16"/>
  <c r="V250" i="16" s="1"/>
  <c r="AD138" i="16"/>
  <c r="M138" i="16"/>
  <c r="L138" i="16"/>
  <c r="U138" i="16"/>
  <c r="N125" i="16"/>
  <c r="S119" i="16"/>
  <c r="J143" i="16"/>
  <c r="S143" i="16"/>
  <c r="T120" i="12"/>
  <c r="J126" i="12"/>
  <c r="K126" i="16"/>
  <c r="Z146" i="12"/>
  <c r="Q120" i="12"/>
  <c r="R120" i="16"/>
  <c r="Z125" i="12"/>
  <c r="AA125" i="16"/>
  <c r="I125" i="16"/>
  <c r="M143" i="16"/>
  <c r="I138" i="16"/>
  <c r="AB144" i="16"/>
  <c r="U144" i="16"/>
  <c r="N144" i="16"/>
  <c r="AD144" i="16"/>
  <c r="O144" i="16"/>
  <c r="R144" i="16"/>
  <c r="K144" i="16"/>
  <c r="W144" i="16"/>
  <c r="J144" i="16"/>
  <c r="AA144" i="16"/>
  <c r="M144" i="16"/>
  <c r="P131" i="12"/>
  <c r="AC125" i="16"/>
  <c r="R119" i="16"/>
  <c r="M137" i="12"/>
  <c r="J137" i="12"/>
  <c r="L137" i="12"/>
  <c r="S137" i="12"/>
  <c r="H137" i="12"/>
  <c r="X143" i="16"/>
  <c r="J146" i="16"/>
  <c r="Z132" i="16"/>
  <c r="K137" i="16"/>
  <c r="W125" i="12"/>
  <c r="I137" i="12"/>
  <c r="G146" i="12"/>
  <c r="X120" i="16"/>
  <c r="X126" i="12"/>
  <c r="AE132" i="12"/>
  <c r="AB120" i="12"/>
  <c r="N131" i="16"/>
  <c r="T131" i="16"/>
  <c r="M131" i="16"/>
  <c r="AD131" i="16"/>
  <c r="W131" i="16"/>
  <c r="T124" i="16"/>
  <c r="U124" i="16"/>
  <c r="AE124" i="16"/>
  <c r="H124" i="16"/>
  <c r="I136" i="16"/>
  <c r="Y136" i="16"/>
  <c r="AE131" i="16"/>
  <c r="R136" i="16"/>
  <c r="U131" i="16"/>
  <c r="M124" i="16"/>
  <c r="X136" i="16"/>
  <c r="AB131" i="16"/>
  <c r="N136" i="12"/>
  <c r="O136" i="12"/>
  <c r="P136" i="12"/>
  <c r="Y136" i="12"/>
  <c r="I136" i="12"/>
  <c r="J136" i="12"/>
  <c r="I131" i="16"/>
  <c r="I124" i="16"/>
  <c r="Q124" i="16"/>
  <c r="L136" i="16"/>
  <c r="H131" i="16"/>
  <c r="P131" i="16"/>
  <c r="P124" i="16"/>
  <c r="I139" i="16"/>
  <c r="M139" i="16"/>
  <c r="U139" i="16"/>
  <c r="W139" i="16"/>
  <c r="P139" i="16"/>
  <c r="Y139" i="16"/>
  <c r="Q139" i="16"/>
  <c r="G237" i="16"/>
  <c r="N129" i="16"/>
  <c r="N237" i="16" s="1"/>
  <c r="L129" i="16"/>
  <c r="L237" i="16" s="1"/>
  <c r="P129" i="16"/>
  <c r="P237" i="16" s="1"/>
  <c r="W129" i="16"/>
  <c r="W237" i="16" s="1"/>
  <c r="Z139" i="16"/>
  <c r="L131" i="16"/>
  <c r="Q136" i="16"/>
  <c r="P136" i="16"/>
  <c r="J136" i="16"/>
  <c r="W136" i="16"/>
  <c r="X131" i="16"/>
  <c r="K136" i="16"/>
  <c r="X124" i="16"/>
  <c r="S136" i="16"/>
  <c r="V124" i="16"/>
  <c r="O124" i="16"/>
  <c r="O136" i="16"/>
  <c r="V139" i="16"/>
  <c r="P139" i="12"/>
  <c r="AE139" i="12"/>
  <c r="V139" i="12"/>
  <c r="AD119" i="12"/>
  <c r="U139" i="12"/>
  <c r="X139" i="12"/>
  <c r="AC139" i="12"/>
  <c r="L129" i="12"/>
  <c r="L237" i="12" s="1"/>
  <c r="K129" i="12"/>
  <c r="K237" i="12" s="1"/>
  <c r="L139" i="12"/>
  <c r="T119" i="16"/>
  <c r="AE125" i="16"/>
  <c r="K143" i="16"/>
  <c r="K124" i="16"/>
  <c r="AD125" i="12"/>
  <c r="S119" i="12"/>
  <c r="F130" i="12"/>
  <c r="V130" i="12" s="1"/>
  <c r="G130" i="16"/>
  <c r="F145" i="12"/>
  <c r="G145" i="16"/>
  <c r="W145" i="16" s="1"/>
  <c r="Y144" i="16"/>
  <c r="Z131" i="12"/>
  <c r="N125" i="12"/>
  <c r="AA131" i="16"/>
  <c r="O125" i="16"/>
  <c r="BF36" i="26"/>
  <c r="BH36" i="26"/>
  <c r="BF19" i="26"/>
  <c r="BG19" i="26"/>
  <c r="BH19" i="26"/>
  <c r="BG36" i="26"/>
  <c r="AB7" i="6"/>
  <c r="AB11" i="6" s="1"/>
  <c r="AB20" i="6"/>
  <c r="AB12" i="6" s="1"/>
  <c r="AB41" i="6"/>
  <c r="AC28" i="6"/>
  <c r="BI11" i="26"/>
  <c r="X11" i="10" s="1"/>
  <c r="BN29" i="26"/>
  <c r="Y29" i="10" s="1"/>
  <c r="BN30" i="26"/>
  <c r="Y30" i="10" s="1"/>
  <c r="BN28" i="26"/>
  <c r="Y28" i="10" s="1"/>
  <c r="BI30" i="26"/>
  <c r="X30" i="10" s="1"/>
  <c r="BS18" i="26"/>
  <c r="Z18" i="10" s="1"/>
  <c r="BI29" i="26"/>
  <c r="X29" i="10" s="1"/>
  <c r="BI18" i="26"/>
  <c r="X18" i="10" s="1"/>
  <c r="BI12" i="26"/>
  <c r="X12" i="10" s="1"/>
  <c r="BI17" i="26"/>
  <c r="X17" i="10" s="1"/>
  <c r="BI28" i="26"/>
  <c r="X28" i="10" s="1"/>
  <c r="CF374" i="43"/>
  <c r="AD374" i="43" s="1"/>
  <c r="CB374" i="43"/>
  <c r="Z374" i="43" s="1"/>
  <c r="BX374" i="43"/>
  <c r="V374" i="43" s="1"/>
  <c r="BT374" i="43"/>
  <c r="R374" i="43" s="1"/>
  <c r="BP374" i="43"/>
  <c r="N374" i="43" s="1"/>
  <c r="BL374" i="43"/>
  <c r="J374" i="43" s="1"/>
  <c r="CE374" i="43"/>
  <c r="AC374" i="43" s="1"/>
  <c r="CA374" i="43"/>
  <c r="Y374" i="43" s="1"/>
  <c r="BW374" i="43"/>
  <c r="U374" i="43" s="1"/>
  <c r="BS374" i="43"/>
  <c r="Q374" i="43" s="1"/>
  <c r="BO374" i="43"/>
  <c r="M374" i="43" s="1"/>
  <c r="BK374" i="43"/>
  <c r="I374" i="43" s="1"/>
  <c r="CH374" i="43"/>
  <c r="AF374" i="43" s="1"/>
  <c r="BZ374" i="43"/>
  <c r="X374" i="43" s="1"/>
  <c r="BR374" i="43"/>
  <c r="P374" i="43" s="1"/>
  <c r="BJ374" i="43"/>
  <c r="H374" i="43" s="1"/>
  <c r="CG374" i="43"/>
  <c r="AE374" i="43" s="1"/>
  <c r="BY374" i="43"/>
  <c r="W374" i="43" s="1"/>
  <c r="BQ374" i="43"/>
  <c r="O374" i="43" s="1"/>
  <c r="BI374" i="43"/>
  <c r="G374" i="43" s="1"/>
  <c r="BV374" i="43"/>
  <c r="T374" i="43" s="1"/>
  <c r="BU374" i="43"/>
  <c r="S374" i="43" s="1"/>
  <c r="CD374" i="43"/>
  <c r="AB374" i="43" s="1"/>
  <c r="CC374" i="43"/>
  <c r="AA374" i="43" s="1"/>
  <c r="BM374" i="43"/>
  <c r="K374" i="43" s="1"/>
  <c r="BN374" i="43"/>
  <c r="L374" i="43" s="1"/>
  <c r="CF354" i="43"/>
  <c r="AD354" i="43" s="1"/>
  <c r="CB354" i="43"/>
  <c r="Z354" i="43" s="1"/>
  <c r="BX354" i="43"/>
  <c r="V354" i="43" s="1"/>
  <c r="BT354" i="43"/>
  <c r="R354" i="43" s="1"/>
  <c r="BP354" i="43"/>
  <c r="N354" i="43" s="1"/>
  <c r="BL354" i="43"/>
  <c r="J354" i="43" s="1"/>
  <c r="CE354" i="43"/>
  <c r="AC354" i="43" s="1"/>
  <c r="CA354" i="43"/>
  <c r="Y354" i="43" s="1"/>
  <c r="BW354" i="43"/>
  <c r="U354" i="43" s="1"/>
  <c r="BS354" i="43"/>
  <c r="Q354" i="43" s="1"/>
  <c r="BO354" i="43"/>
  <c r="M354" i="43" s="1"/>
  <c r="BK354" i="43"/>
  <c r="I354" i="43" s="1"/>
  <c r="CC354" i="43"/>
  <c r="AA354" i="43" s="1"/>
  <c r="BU354" i="43"/>
  <c r="S354" i="43" s="1"/>
  <c r="BM354" i="43"/>
  <c r="K354" i="43" s="1"/>
  <c r="CH354" i="43"/>
  <c r="AF354" i="43" s="1"/>
  <c r="BZ354" i="43"/>
  <c r="X354" i="43" s="1"/>
  <c r="BR354" i="43"/>
  <c r="P354" i="43" s="1"/>
  <c r="BJ354" i="43"/>
  <c r="H354" i="43" s="1"/>
  <c r="CG354" i="43"/>
  <c r="AE354" i="43" s="1"/>
  <c r="BQ354" i="43"/>
  <c r="O354" i="43" s="1"/>
  <c r="BV354" i="43"/>
  <c r="T354" i="43" s="1"/>
  <c r="CD354" i="43"/>
  <c r="AB354" i="43" s="1"/>
  <c r="BI354" i="43"/>
  <c r="G354" i="43" s="1"/>
  <c r="BY354" i="43"/>
  <c r="W354" i="43" s="1"/>
  <c r="BN354" i="43"/>
  <c r="L354" i="43" s="1"/>
  <c r="BS12" i="26"/>
  <c r="Z12" i="10" s="1"/>
  <c r="BS16" i="26"/>
  <c r="Z16" i="10" s="1"/>
  <c r="BS29" i="26"/>
  <c r="Z29" i="10" s="1"/>
  <c r="BS30" i="26"/>
  <c r="Z30" i="10" s="1"/>
  <c r="BS28" i="26"/>
  <c r="Z28" i="10" s="1"/>
  <c r="BS11" i="26"/>
  <c r="Z11" i="10" s="1"/>
  <c r="BS17" i="26"/>
  <c r="Z17" i="10" s="1"/>
  <c r="BO36" i="26"/>
  <c r="AE8" i="6"/>
  <c r="AE42" i="6"/>
  <c r="AE10" i="6" s="1"/>
  <c r="AF8" i="6"/>
  <c r="AF42" i="6"/>
  <c r="AF10" i="6" s="1"/>
  <c r="AD8" i="6"/>
  <c r="AD42" i="6"/>
  <c r="AD10" i="6" s="1"/>
  <c r="AB8" i="6"/>
  <c r="AB42" i="6"/>
  <c r="AB10" i="6" s="1"/>
  <c r="AC8" i="6"/>
  <c r="BQ36" i="26"/>
  <c r="BP36" i="26"/>
  <c r="BQ19" i="26"/>
  <c r="BR19" i="26"/>
  <c r="BP19" i="26"/>
  <c r="BO19" i="26"/>
  <c r="BR36" i="26"/>
  <c r="L37" i="5"/>
  <c r="M39" i="5"/>
  <c r="O40" i="10" s="1"/>
  <c r="M35" i="5"/>
  <c r="O36" i="10" s="1"/>
  <c r="N28" i="5"/>
  <c r="M30" i="5"/>
  <c r="O31" i="10" s="1"/>
  <c r="L28" i="5"/>
  <c r="N23" i="5"/>
  <c r="Z142" i="32" s="1"/>
  <c r="L21" i="5"/>
  <c r="L16" i="5"/>
  <c r="M135" i="32" s="1"/>
  <c r="M17" i="5"/>
  <c r="O18" i="10" s="1"/>
  <c r="N9" i="5"/>
  <c r="M10" i="5"/>
  <c r="O11" i="10" s="1"/>
  <c r="L35" i="5"/>
  <c r="M37" i="5"/>
  <c r="O38" i="10" s="1"/>
  <c r="N35" i="5"/>
  <c r="N30" i="5"/>
  <c r="M28" i="5"/>
  <c r="O29" i="10" s="1"/>
  <c r="M22" i="5"/>
  <c r="O23" i="10" s="1"/>
  <c r="L23" i="5"/>
  <c r="N16" i="5"/>
  <c r="N135" i="32" s="1"/>
  <c r="L10" i="5"/>
  <c r="L34" i="5"/>
  <c r="N29" i="5"/>
  <c r="L29" i="5"/>
  <c r="L22" i="5"/>
  <c r="M141" i="32" s="1"/>
  <c r="N10" i="5"/>
  <c r="L36" i="5"/>
  <c r="M34" i="5"/>
  <c r="N36" i="5"/>
  <c r="N27" i="5"/>
  <c r="Z146" i="32" s="1"/>
  <c r="M29" i="5"/>
  <c r="O30" i="10" s="1"/>
  <c r="L27" i="5"/>
  <c r="N22" i="5"/>
  <c r="M23" i="5"/>
  <c r="O24" i="10" s="1"/>
  <c r="L15" i="5"/>
  <c r="M16" i="5"/>
  <c r="O17" i="10" s="1"/>
  <c r="N17" i="5"/>
  <c r="M9" i="5"/>
  <c r="O10" i="10" s="1"/>
  <c r="L39" i="5"/>
  <c r="N39" i="5"/>
  <c r="L30" i="5"/>
  <c r="N21" i="5"/>
  <c r="Z140" i="32" s="1"/>
  <c r="M15" i="5"/>
  <c r="O16" i="10" s="1"/>
  <c r="N11" i="5"/>
  <c r="L9" i="5"/>
  <c r="M36" i="5"/>
  <c r="O37" i="10" s="1"/>
  <c r="N34" i="5"/>
  <c r="M27" i="5"/>
  <c r="M21" i="5"/>
  <c r="L17" i="5"/>
  <c r="N15" i="5"/>
  <c r="M11" i="5"/>
  <c r="O12" i="10" s="1"/>
  <c r="L11" i="5"/>
  <c r="O35" i="10" l="1"/>
  <c r="N114" i="32"/>
  <c r="N36" i="32"/>
  <c r="O35" i="7" s="1"/>
  <c r="N153" i="32"/>
  <c r="N75" i="32"/>
  <c r="M36" i="32"/>
  <c r="M114" i="32"/>
  <c r="M153" i="32"/>
  <c r="M75" i="32"/>
  <c r="N141" i="32"/>
  <c r="Z141" i="32"/>
  <c r="U118" i="16"/>
  <c r="L118" i="16"/>
  <c r="K118" i="16"/>
  <c r="AD118" i="16"/>
  <c r="Y118" i="16"/>
  <c r="AB147" i="16"/>
  <c r="U147" i="16"/>
  <c r="L147" i="16"/>
  <c r="X147" i="16"/>
  <c r="R147" i="16"/>
  <c r="P147" i="16"/>
  <c r="Y147" i="16"/>
  <c r="AE147" i="16"/>
  <c r="AF147" i="16"/>
  <c r="AD147" i="16"/>
  <c r="T147" i="16"/>
  <c r="M147" i="16"/>
  <c r="AC147" i="16"/>
  <c r="H147" i="16"/>
  <c r="K147" i="16"/>
  <c r="I147" i="16"/>
  <c r="Z147" i="16"/>
  <c r="W147" i="16"/>
  <c r="J147" i="16"/>
  <c r="N147" i="16"/>
  <c r="O147" i="16"/>
  <c r="AA147" i="16"/>
  <c r="AB118" i="16"/>
  <c r="Z118" i="16"/>
  <c r="M118" i="16"/>
  <c r="X118" i="16"/>
  <c r="H118" i="16"/>
  <c r="O118" i="16"/>
  <c r="P118" i="16"/>
  <c r="AC118" i="16"/>
  <c r="N118" i="16"/>
  <c r="T118" i="16"/>
  <c r="AF118" i="16"/>
  <c r="J118" i="16"/>
  <c r="Q118" i="16"/>
  <c r="AA118" i="16"/>
  <c r="V118" i="16"/>
  <c r="W118" i="16"/>
  <c r="AE118" i="16"/>
  <c r="S147" i="16"/>
  <c r="Q147" i="16"/>
  <c r="AC144" i="12"/>
  <c r="W143" i="12"/>
  <c r="U143" i="12"/>
  <c r="M124" i="12"/>
  <c r="S118" i="12"/>
  <c r="W118" i="12"/>
  <c r="R124" i="12"/>
  <c r="K118" i="12"/>
  <c r="W124" i="12"/>
  <c r="N118" i="12"/>
  <c r="O124" i="12"/>
  <c r="AB124" i="12"/>
  <c r="L118" i="12"/>
  <c r="AD118" i="12"/>
  <c r="Z124" i="12"/>
  <c r="AC118" i="12"/>
  <c r="I118" i="12"/>
  <c r="U124" i="12"/>
  <c r="V124" i="12"/>
  <c r="G124" i="12"/>
  <c r="Y118" i="12"/>
  <c r="Z118" i="12"/>
  <c r="G118" i="12"/>
  <c r="Q124" i="12"/>
  <c r="J124" i="12"/>
  <c r="H124" i="12"/>
  <c r="R118" i="12"/>
  <c r="X118" i="12"/>
  <c r="K124" i="12"/>
  <c r="J118" i="12"/>
  <c r="X124" i="12"/>
  <c r="O118" i="12"/>
  <c r="P118" i="12"/>
  <c r="M118" i="12"/>
  <c r="L124" i="12"/>
  <c r="S124" i="12"/>
  <c r="AA118" i="12"/>
  <c r="H118" i="12"/>
  <c r="T118" i="12"/>
  <c r="T124" i="12"/>
  <c r="AA124" i="12"/>
  <c r="AE124" i="12"/>
  <c r="Q118" i="12"/>
  <c r="AC124" i="12"/>
  <c r="AD124" i="12"/>
  <c r="N124" i="12"/>
  <c r="V118" i="12"/>
  <c r="AB118" i="12"/>
  <c r="U118" i="12"/>
  <c r="P124" i="12"/>
  <c r="S144" i="12"/>
  <c r="O143" i="12"/>
  <c r="P144" i="12"/>
  <c r="H144" i="12"/>
  <c r="Y144" i="12"/>
  <c r="AC143" i="12"/>
  <c r="U144" i="12"/>
  <c r="Q147" i="12"/>
  <c r="AD147" i="12"/>
  <c r="N147" i="12"/>
  <c r="H143" i="12"/>
  <c r="P143" i="12"/>
  <c r="S143" i="12"/>
  <c r="Q144" i="12"/>
  <c r="Q143" i="12"/>
  <c r="K143" i="12"/>
  <c r="M144" i="12"/>
  <c r="M143" i="12"/>
  <c r="J144" i="12"/>
  <c r="AA144" i="12"/>
  <c r="AD144" i="12"/>
  <c r="X144" i="12"/>
  <c r="J143" i="12"/>
  <c r="AA143" i="12"/>
  <c r="N143" i="12"/>
  <c r="T143" i="12"/>
  <c r="V144" i="12"/>
  <c r="AD143" i="12"/>
  <c r="AB143" i="12"/>
  <c r="L143" i="12"/>
  <c r="O144" i="12"/>
  <c r="V143" i="12"/>
  <c r="AB144" i="12"/>
  <c r="Z143" i="12"/>
  <c r="L144" i="12"/>
  <c r="AE144" i="12"/>
  <c r="AE143" i="12"/>
  <c r="T144" i="12"/>
  <c r="N144" i="12"/>
  <c r="X143" i="12"/>
  <c r="G143" i="12"/>
  <c r="Y143" i="12"/>
  <c r="I143" i="12"/>
  <c r="W144" i="12"/>
  <c r="R144" i="12"/>
  <c r="G144" i="12"/>
  <c r="I144" i="12"/>
  <c r="Z144" i="12"/>
  <c r="I124" i="12"/>
  <c r="X147" i="12"/>
  <c r="U147" i="12"/>
  <c r="V147" i="12"/>
  <c r="I147" i="12"/>
  <c r="T147" i="12"/>
  <c r="S147" i="12"/>
  <c r="W147" i="12"/>
  <c r="O147" i="12"/>
  <c r="Z147" i="12"/>
  <c r="J147" i="12"/>
  <c r="L147" i="12"/>
  <c r="AA147" i="12"/>
  <c r="P147" i="12"/>
  <c r="R147" i="12"/>
  <c r="AE147" i="12"/>
  <c r="AC147" i="12"/>
  <c r="Y147" i="12"/>
  <c r="K147" i="12"/>
  <c r="G147" i="12"/>
  <c r="AB147" i="12"/>
  <c r="M147" i="12"/>
  <c r="AB22" i="7"/>
  <c r="O22" i="10"/>
  <c r="O145" i="12"/>
  <c r="P145" i="12"/>
  <c r="Z145" i="12"/>
  <c r="K145" i="12"/>
  <c r="G145" i="12"/>
  <c r="Y145" i="12"/>
  <c r="AE145" i="12"/>
  <c r="AA145" i="12"/>
  <c r="S145" i="12"/>
  <c r="L145" i="12"/>
  <c r="H145" i="12"/>
  <c r="R145" i="12"/>
  <c r="U145" i="12"/>
  <c r="AB145" i="12"/>
  <c r="W145" i="12"/>
  <c r="X145" i="12"/>
  <c r="AC145" i="12"/>
  <c r="N145" i="12"/>
  <c r="AD145" i="12"/>
  <c r="T145" i="12"/>
  <c r="J145" i="12"/>
  <c r="M145" i="12"/>
  <c r="I145" i="12"/>
  <c r="Q145" i="12"/>
  <c r="Z130" i="12"/>
  <c r="I130" i="12"/>
  <c r="AE130" i="12"/>
  <c r="O130" i="12"/>
  <c r="K130" i="12"/>
  <c r="AA130" i="12"/>
  <c r="W130" i="12"/>
  <c r="Y130" i="12"/>
  <c r="T130" i="12"/>
  <c r="X130" i="12"/>
  <c r="H130" i="12"/>
  <c r="AD130" i="12"/>
  <c r="AB130" i="12"/>
  <c r="Q130" i="12"/>
  <c r="N130" i="12"/>
  <c r="S130" i="12"/>
  <c r="L130" i="12"/>
  <c r="G130" i="12"/>
  <c r="J130" i="12"/>
  <c r="R130" i="12"/>
  <c r="P130" i="12"/>
  <c r="AC130" i="12"/>
  <c r="U130" i="12"/>
  <c r="M130" i="12"/>
  <c r="V145" i="12"/>
  <c r="AB28" i="7"/>
  <c r="O28" i="10"/>
  <c r="Q130" i="16"/>
  <c r="J130" i="16"/>
  <c r="AF130" i="16"/>
  <c r="AB130" i="16"/>
  <c r="P130" i="16"/>
  <c r="X130" i="16"/>
  <c r="H130" i="16"/>
  <c r="U130" i="16"/>
  <c r="Y130" i="16"/>
  <c r="Z130" i="16"/>
  <c r="M130" i="16"/>
  <c r="I130" i="16"/>
  <c r="O130" i="16"/>
  <c r="AC130" i="16"/>
  <c r="S130" i="16"/>
  <c r="L130" i="16"/>
  <c r="AE130" i="16"/>
  <c r="V130" i="16"/>
  <c r="AD130" i="16"/>
  <c r="K130" i="16"/>
  <c r="R130" i="16"/>
  <c r="N130" i="16"/>
  <c r="AA130" i="16"/>
  <c r="T130" i="16"/>
  <c r="P145" i="16"/>
  <c r="AB145" i="16"/>
  <c r="AA145" i="16"/>
  <c r="L145" i="16"/>
  <c r="AF145" i="16"/>
  <c r="Q145" i="16"/>
  <c r="X145" i="16"/>
  <c r="K145" i="16"/>
  <c r="V145" i="16"/>
  <c r="J145" i="16"/>
  <c r="Z145" i="16"/>
  <c r="R145" i="16"/>
  <c r="AE145" i="16"/>
  <c r="N145" i="16"/>
  <c r="U145" i="16"/>
  <c r="T145" i="16"/>
  <c r="AC145" i="16"/>
  <c r="H145" i="16"/>
  <c r="Y145" i="16"/>
  <c r="S145" i="16"/>
  <c r="M145" i="16"/>
  <c r="I145" i="16"/>
  <c r="AD145" i="16"/>
  <c r="O145" i="16"/>
  <c r="W130" i="16"/>
  <c r="V404" i="43"/>
  <c r="AC404" i="43"/>
  <c r="M404" i="43"/>
  <c r="P404" i="43"/>
  <c r="O404" i="43"/>
  <c r="T404" i="43"/>
  <c r="U404" i="43"/>
  <c r="AE404" i="43"/>
  <c r="L404" i="43"/>
  <c r="Z404" i="43"/>
  <c r="X404" i="43"/>
  <c r="AB404" i="43"/>
  <c r="R404" i="43"/>
  <c r="Y404" i="43"/>
  <c r="I404" i="43"/>
  <c r="H404" i="43"/>
  <c r="G404" i="43"/>
  <c r="S404" i="43"/>
  <c r="N404" i="43"/>
  <c r="AF404" i="43"/>
  <c r="AA404" i="43"/>
  <c r="Q404" i="43"/>
  <c r="W404" i="43"/>
  <c r="AD404" i="43"/>
  <c r="J404" i="43"/>
  <c r="K404" i="43"/>
  <c r="AC20" i="6"/>
  <c r="AC12" i="6" s="1"/>
  <c r="AC41" i="6"/>
  <c r="AD28" i="6"/>
  <c r="BI36" i="26"/>
  <c r="X36" i="10" s="1"/>
  <c r="BI19" i="26"/>
  <c r="X19" i="10" s="1"/>
  <c r="BS36" i="26"/>
  <c r="Z36" i="10" s="1"/>
  <c r="BS19" i="26"/>
  <c r="Z19" i="10" s="1"/>
  <c r="N37" i="5"/>
  <c r="T25" i="10"/>
  <c r="V40" i="10"/>
  <c r="N18" i="32"/>
  <c r="N96" i="32"/>
  <c r="N57" i="32"/>
  <c r="Z64" i="32"/>
  <c r="Z103" i="32"/>
  <c r="Z107" i="32"/>
  <c r="Z68" i="32"/>
  <c r="Z29" i="32"/>
  <c r="F18" i="10"/>
  <c r="Z62" i="32"/>
  <c r="Z101" i="32"/>
  <c r="Z23" i="32"/>
  <c r="F28" i="10"/>
  <c r="F37" i="10"/>
  <c r="F12" i="10"/>
  <c r="T35" i="10"/>
  <c r="T12" i="10"/>
  <c r="F31" i="10"/>
  <c r="T13" i="10"/>
  <c r="T11" i="10"/>
  <c r="F36" i="10"/>
  <c r="T19" i="10"/>
  <c r="F38" i="10"/>
  <c r="T18" i="10"/>
  <c r="T39" i="10"/>
  <c r="N102" i="32"/>
  <c r="Z63" i="32"/>
  <c r="N24" i="32"/>
  <c r="Z102" i="32"/>
  <c r="N63" i="32"/>
  <c r="F35" i="10"/>
  <c r="F24" i="10"/>
  <c r="T36" i="10"/>
  <c r="M96" i="32"/>
  <c r="M18" i="32"/>
  <c r="M57" i="32"/>
  <c r="F29" i="10"/>
  <c r="F40" i="10"/>
  <c r="M24" i="32"/>
  <c r="M63" i="32"/>
  <c r="M102" i="32"/>
  <c r="T32" i="10"/>
  <c r="F30" i="10"/>
  <c r="T17" i="10"/>
  <c r="V31" i="10"/>
  <c r="T31" i="10"/>
  <c r="V24" i="10"/>
  <c r="T24" i="10"/>
  <c r="T22" i="10"/>
  <c r="V22" i="10"/>
  <c r="T10" i="10"/>
  <c r="T16" i="10"/>
  <c r="V23" i="10"/>
  <c r="T23" i="10"/>
  <c r="T28" i="10"/>
  <c r="V28" i="10"/>
  <c r="V37" i="10"/>
  <c r="T37" i="10"/>
  <c r="T30" i="10"/>
  <c r="V30" i="10"/>
  <c r="T29" i="10"/>
  <c r="V29" i="10"/>
  <c r="F16" i="10"/>
  <c r="F11" i="10"/>
  <c r="F22" i="10"/>
  <c r="F23" i="10"/>
  <c r="F17" i="10"/>
  <c r="N35" i="7" l="1"/>
  <c r="Z156" i="32"/>
  <c r="AC38" i="7" s="1"/>
  <c r="DH410" i="43" s="1"/>
  <c r="Z117" i="32"/>
  <c r="AC23" i="7"/>
  <c r="AC24" i="7"/>
  <c r="CW396" i="43" s="1"/>
  <c r="O23" i="7"/>
  <c r="CX358" i="43" s="1"/>
  <c r="O17" i="7"/>
  <c r="CP352" i="43" s="1"/>
  <c r="DG401" i="43"/>
  <c r="DB401" i="43"/>
  <c r="CX401" i="43"/>
  <c r="CS401" i="43"/>
  <c r="CN401" i="43"/>
  <c r="DI401" i="43"/>
  <c r="CP401" i="43"/>
  <c r="CO401" i="43"/>
  <c r="CK401" i="43"/>
  <c r="CZ401" i="43"/>
  <c r="DF401" i="43"/>
  <c r="CV401" i="43"/>
  <c r="DH401" i="43"/>
  <c r="CQ401" i="43"/>
  <c r="DE401" i="43"/>
  <c r="DC401" i="43"/>
  <c r="CY401" i="43"/>
  <c r="DA401" i="43"/>
  <c r="DD401" i="43"/>
  <c r="CJ401" i="43"/>
  <c r="CU401" i="43"/>
  <c r="CT401" i="43"/>
  <c r="CR401" i="43"/>
  <c r="CM401" i="43"/>
  <c r="CL401" i="43"/>
  <c r="CW401" i="43"/>
  <c r="N23" i="7"/>
  <c r="CY96" i="43" s="1"/>
  <c r="AC28" i="7"/>
  <c r="AC22" i="7"/>
  <c r="N17" i="7"/>
  <c r="DB90" i="43" s="1"/>
  <c r="AD20" i="6"/>
  <c r="AD12" i="6" s="1"/>
  <c r="AE28" i="6"/>
  <c r="AD41" i="6"/>
  <c r="BE400" i="43"/>
  <c r="BB400" i="43"/>
  <c r="AK400" i="43"/>
  <c r="AR400" i="43"/>
  <c r="AX400" i="43"/>
  <c r="BC400" i="43"/>
  <c r="AJ400" i="43"/>
  <c r="AM400" i="43"/>
  <c r="AI400" i="43"/>
  <c r="AZ400" i="43"/>
  <c r="BG400" i="43"/>
  <c r="AN400" i="43"/>
  <c r="AS400" i="43"/>
  <c r="AU400" i="43"/>
  <c r="AQ400" i="43"/>
  <c r="BD400" i="43"/>
  <c r="AL400" i="43"/>
  <c r="AV400" i="43"/>
  <c r="AO400" i="43"/>
  <c r="AY400" i="43"/>
  <c r="AT400" i="43"/>
  <c r="AH400" i="43"/>
  <c r="AP400" i="43"/>
  <c r="BA400" i="43"/>
  <c r="AW400" i="43"/>
  <c r="BF400" i="43"/>
  <c r="AQ95" i="43"/>
  <c r="AR95" i="43"/>
  <c r="AT95" i="43"/>
  <c r="AO95" i="43"/>
  <c r="AS95" i="43"/>
  <c r="BC95" i="43"/>
  <c r="BG95" i="43"/>
  <c r="AM95" i="43"/>
  <c r="AL95" i="43"/>
  <c r="AU95" i="43"/>
  <c r="AP95" i="43"/>
  <c r="BB95" i="43"/>
  <c r="BF95" i="43"/>
  <c r="BE95" i="43"/>
  <c r="AZ95" i="43"/>
  <c r="AJ95" i="43"/>
  <c r="AK95" i="43"/>
  <c r="AI95" i="43"/>
  <c r="AW95" i="43"/>
  <c r="AX95" i="43"/>
  <c r="AH95" i="43"/>
  <c r="BA95" i="43"/>
  <c r="AY95" i="43"/>
  <c r="AV95" i="43"/>
  <c r="AN95" i="43"/>
  <c r="BD95" i="43"/>
  <c r="AP394" i="43"/>
  <c r="AQ394" i="43"/>
  <c r="AI394" i="43"/>
  <c r="AZ394" i="43"/>
  <c r="BF394" i="43"/>
  <c r="AM394" i="43"/>
  <c r="AJ394" i="43"/>
  <c r="AU394" i="43"/>
  <c r="BD394" i="43"/>
  <c r="AN394" i="43"/>
  <c r="BE394" i="43"/>
  <c r="BC394" i="43"/>
  <c r="AH394" i="43"/>
  <c r="BG394" i="43"/>
  <c r="BA394" i="43"/>
  <c r="AX394" i="43"/>
  <c r="AW394" i="43"/>
  <c r="AV394" i="43"/>
  <c r="AS394" i="43"/>
  <c r="AR394" i="43"/>
  <c r="AT394" i="43"/>
  <c r="AY394" i="43"/>
  <c r="AO394" i="43"/>
  <c r="AL394" i="43"/>
  <c r="BB394" i="43"/>
  <c r="AK394" i="43"/>
  <c r="CK108" i="43"/>
  <c r="CL108" i="43" s="1"/>
  <c r="CM108" i="43" s="1"/>
  <c r="CN108" i="43" s="1"/>
  <c r="CO108" i="43" s="1"/>
  <c r="CP108" i="43" s="1"/>
  <c r="CJ108" i="43"/>
  <c r="AY395" i="43"/>
  <c r="AL395" i="43"/>
  <c r="BB395" i="43"/>
  <c r="AW395" i="43"/>
  <c r="AJ395" i="43"/>
  <c r="AP395" i="43"/>
  <c r="AI395" i="43"/>
  <c r="AM395" i="43"/>
  <c r="AN395" i="43"/>
  <c r="AX395" i="43"/>
  <c r="AH395" i="43"/>
  <c r="BG395" i="43"/>
  <c r="AQ395" i="43"/>
  <c r="BC395" i="43"/>
  <c r="AO395" i="43"/>
  <c r="AK395" i="43"/>
  <c r="AT395" i="43"/>
  <c r="BD395" i="43"/>
  <c r="AV395" i="43"/>
  <c r="AU395" i="43"/>
  <c r="BF395" i="43"/>
  <c r="AS395" i="43"/>
  <c r="AZ395" i="43"/>
  <c r="BE395" i="43"/>
  <c r="AR395" i="43"/>
  <c r="BA395" i="43"/>
  <c r="AV357" i="43"/>
  <c r="BF357" i="43"/>
  <c r="AN357" i="43"/>
  <c r="BB357" i="43"/>
  <c r="AL357" i="43"/>
  <c r="AW357" i="43"/>
  <c r="AS357" i="43"/>
  <c r="BD357" i="43"/>
  <c r="AX357" i="43"/>
  <c r="AY357" i="43"/>
  <c r="AJ357" i="43"/>
  <c r="AR357" i="43"/>
  <c r="BG357" i="43"/>
  <c r="AZ357" i="43"/>
  <c r="AI357" i="43"/>
  <c r="AO357" i="43"/>
  <c r="AM357" i="43"/>
  <c r="AT357" i="43"/>
  <c r="AH357" i="43"/>
  <c r="BC357" i="43"/>
  <c r="BA357" i="43"/>
  <c r="BE357" i="43"/>
  <c r="AP357" i="43"/>
  <c r="AU357" i="43"/>
  <c r="AK357" i="43"/>
  <c r="AQ357" i="43"/>
  <c r="BB358" i="43"/>
  <c r="AM358" i="43"/>
  <c r="BG358" i="43"/>
  <c r="AY358" i="43"/>
  <c r="BC358" i="43"/>
  <c r="AQ358" i="43"/>
  <c r="AV358" i="43"/>
  <c r="AW358" i="43"/>
  <c r="AO358" i="43"/>
  <c r="AL358" i="43"/>
  <c r="BA358" i="43"/>
  <c r="BD358" i="43"/>
  <c r="AU358" i="43"/>
  <c r="AS358" i="43"/>
  <c r="AJ358" i="43"/>
  <c r="AT358" i="43"/>
  <c r="AR358" i="43"/>
  <c r="AK358" i="43"/>
  <c r="AX358" i="43"/>
  <c r="AH358" i="43"/>
  <c r="AP358" i="43"/>
  <c r="AI358" i="43"/>
  <c r="BF358" i="43"/>
  <c r="AN358" i="43"/>
  <c r="AZ358" i="43"/>
  <c r="BE358" i="43"/>
  <c r="AO90" i="43"/>
  <c r="AN90" i="43"/>
  <c r="AL90" i="43"/>
  <c r="AQ90" i="43"/>
  <c r="AK90" i="43"/>
  <c r="BE90" i="43"/>
  <c r="AJ90" i="43"/>
  <c r="AH90" i="43"/>
  <c r="AP90" i="43"/>
  <c r="BB90" i="43"/>
  <c r="AS90" i="43"/>
  <c r="AU90" i="43"/>
  <c r="AI90" i="43"/>
  <c r="BC90" i="43"/>
  <c r="AV90" i="43"/>
  <c r="BG90" i="43"/>
  <c r="AX90" i="43"/>
  <c r="AR90" i="43"/>
  <c r="AZ90" i="43"/>
  <c r="BD90" i="43"/>
  <c r="AM90" i="43"/>
  <c r="BA90" i="43"/>
  <c r="AT90" i="43"/>
  <c r="AY90" i="43"/>
  <c r="BF90" i="43"/>
  <c r="AW90" i="43"/>
  <c r="AY352" i="43"/>
  <c r="BG352" i="43"/>
  <c r="AO352" i="43"/>
  <c r="AR352" i="43"/>
  <c r="BF352" i="43"/>
  <c r="AN352" i="43"/>
  <c r="AI352" i="43"/>
  <c r="BE352" i="43"/>
  <c r="AH352" i="43"/>
  <c r="AS352" i="43"/>
  <c r="AT352" i="43"/>
  <c r="AQ352" i="43"/>
  <c r="AM352" i="43"/>
  <c r="AX352" i="43"/>
  <c r="AL352" i="43"/>
  <c r="AU352" i="43"/>
  <c r="AV352" i="43"/>
  <c r="AZ352" i="43"/>
  <c r="BD352" i="43"/>
  <c r="AJ352" i="43"/>
  <c r="BB352" i="43"/>
  <c r="BA352" i="43"/>
  <c r="BC352" i="43"/>
  <c r="AP352" i="43"/>
  <c r="AK352" i="43"/>
  <c r="AW352" i="43"/>
  <c r="BC96" i="43"/>
  <c r="BA96" i="43"/>
  <c r="AX96" i="43"/>
  <c r="AL96" i="43"/>
  <c r="AY96" i="43"/>
  <c r="AK96" i="43"/>
  <c r="AH96" i="43"/>
  <c r="BG96" i="43"/>
  <c r="AS96" i="43"/>
  <c r="AZ96" i="43"/>
  <c r="AN96" i="43"/>
  <c r="AV96" i="43"/>
  <c r="AW96" i="43"/>
  <c r="AO96" i="43"/>
  <c r="BF96" i="43"/>
  <c r="BB96" i="43"/>
  <c r="AT96" i="43"/>
  <c r="AJ96" i="43"/>
  <c r="AP96" i="43"/>
  <c r="AI96" i="43"/>
  <c r="AR96" i="43"/>
  <c r="AM96" i="43"/>
  <c r="BE96" i="43"/>
  <c r="AU96" i="43"/>
  <c r="BD96" i="43"/>
  <c r="AQ96" i="43"/>
  <c r="BD345" i="43"/>
  <c r="AL345" i="43"/>
  <c r="AM345" i="43"/>
  <c r="BA345" i="43"/>
  <c r="AP345" i="43"/>
  <c r="AX345" i="43"/>
  <c r="AQ345" i="43"/>
  <c r="BC345" i="43"/>
  <c r="AU345" i="43"/>
  <c r="AZ345" i="43"/>
  <c r="AI345" i="43"/>
  <c r="AJ345" i="43"/>
  <c r="AN345" i="43"/>
  <c r="BB345" i="43"/>
  <c r="AS345" i="43"/>
  <c r="BE345" i="43"/>
  <c r="AW345" i="43"/>
  <c r="AT345" i="43"/>
  <c r="AH345" i="43"/>
  <c r="AV345" i="43"/>
  <c r="AK345" i="43"/>
  <c r="AO345" i="43"/>
  <c r="BG345" i="43"/>
  <c r="AY345" i="43"/>
  <c r="BF345" i="43"/>
  <c r="AR345" i="43"/>
  <c r="BG396" i="43"/>
  <c r="AV396" i="43"/>
  <c r="AP396" i="43"/>
  <c r="AU396" i="43"/>
  <c r="AT396" i="43"/>
  <c r="AK396" i="43"/>
  <c r="AH396" i="43"/>
  <c r="AQ396" i="43"/>
  <c r="AX396" i="43"/>
  <c r="AR396" i="43"/>
  <c r="BD396" i="43"/>
  <c r="AI396" i="43"/>
  <c r="BA396" i="43"/>
  <c r="AJ396" i="43"/>
  <c r="AO396" i="43"/>
  <c r="BC396" i="43"/>
  <c r="BE396" i="43"/>
  <c r="AM396" i="43"/>
  <c r="AW396" i="43"/>
  <c r="AY396" i="43"/>
  <c r="AZ396" i="43"/>
  <c r="AL396" i="43"/>
  <c r="AN396" i="43"/>
  <c r="BB396" i="43"/>
  <c r="AS396" i="43"/>
  <c r="BF396" i="43"/>
  <c r="CT370" i="43"/>
  <c r="CN370" i="43"/>
  <c r="CM370" i="43"/>
  <c r="CK370" i="43"/>
  <c r="CY370" i="43"/>
  <c r="CU370" i="43"/>
  <c r="CZ370" i="43"/>
  <c r="DF370" i="43"/>
  <c r="CX370" i="43"/>
  <c r="DA370" i="43"/>
  <c r="CS370" i="43"/>
  <c r="CP370" i="43"/>
  <c r="CQ370" i="43"/>
  <c r="DC370" i="43"/>
  <c r="DE370" i="43"/>
  <c r="DI370" i="43"/>
  <c r="CO370" i="43"/>
  <c r="CV370" i="43"/>
  <c r="DD370" i="43"/>
  <c r="CW370" i="43"/>
  <c r="CJ370" i="43"/>
  <c r="CR370" i="43"/>
  <c r="DG370" i="43"/>
  <c r="CL370" i="43"/>
  <c r="DB370" i="43"/>
  <c r="DH370" i="43"/>
  <c r="AS84" i="43"/>
  <c r="R84" i="43" s="1"/>
  <c r="R10" i="43" s="1"/>
  <c r="R47" i="43" s="1"/>
  <c r="AX84" i="43"/>
  <c r="W84" i="43" s="1"/>
  <c r="W10" i="43" s="1"/>
  <c r="W47" i="43" s="1"/>
  <c r="BG84" i="43"/>
  <c r="AF84" i="43" s="1"/>
  <c r="AF10" i="43" s="1"/>
  <c r="AF47" i="43" s="1"/>
  <c r="AU84" i="43"/>
  <c r="T84" i="43" s="1"/>
  <c r="T10" i="43" s="1"/>
  <c r="T47" i="43" s="1"/>
  <c r="AZ84" i="43"/>
  <c r="Y84" i="43" s="1"/>
  <c r="Y10" i="43" s="1"/>
  <c r="Y47" i="43" s="1"/>
  <c r="AT84" i="43"/>
  <c r="S84" i="43" s="1"/>
  <c r="S10" i="43" s="1"/>
  <c r="S47" i="43" s="1"/>
  <c r="AO84" i="43"/>
  <c r="N84" i="43" s="1"/>
  <c r="N10" i="43" s="1"/>
  <c r="N47" i="43" s="1"/>
  <c r="AR84" i="43"/>
  <c r="Q84" i="43" s="1"/>
  <c r="Q10" i="43" s="1"/>
  <c r="Q47" i="43" s="1"/>
  <c r="AJ84" i="43"/>
  <c r="I84" i="43" s="1"/>
  <c r="I10" i="43" s="1"/>
  <c r="I47" i="43" s="1"/>
  <c r="AP84" i="43"/>
  <c r="O84" i="43" s="1"/>
  <c r="O10" i="43" s="1"/>
  <c r="O47" i="43" s="1"/>
  <c r="AW84" i="43"/>
  <c r="V84" i="43" s="1"/>
  <c r="V10" i="43" s="1"/>
  <c r="V47" i="43" s="1"/>
  <c r="BF84" i="43"/>
  <c r="AE84" i="43" s="1"/>
  <c r="AE10" i="43" s="1"/>
  <c r="AE47" i="43" s="1"/>
  <c r="AI84" i="43"/>
  <c r="H84" i="43" s="1"/>
  <c r="H10" i="43" s="1"/>
  <c r="H47" i="43" s="1"/>
  <c r="BE84" i="43"/>
  <c r="AD84" i="43" s="1"/>
  <c r="AD10" i="43" s="1"/>
  <c r="AD47" i="43" s="1"/>
  <c r="AV84" i="43"/>
  <c r="U84" i="43" s="1"/>
  <c r="U10" i="43" s="1"/>
  <c r="U47" i="43" s="1"/>
  <c r="AN84" i="43"/>
  <c r="M84" i="43" s="1"/>
  <c r="M10" i="43" s="1"/>
  <c r="M47" i="43" s="1"/>
  <c r="AH84" i="43"/>
  <c r="G84" i="43" s="1"/>
  <c r="BA84" i="43"/>
  <c r="Z84" i="43" s="1"/>
  <c r="Z10" i="43" s="1"/>
  <c r="Z47" i="43" s="1"/>
  <c r="AK84" i="43"/>
  <c r="J84" i="43" s="1"/>
  <c r="J10" i="43" s="1"/>
  <c r="J47" i="43" s="1"/>
  <c r="AM84" i="43"/>
  <c r="L84" i="43" s="1"/>
  <c r="L10" i="43" s="1"/>
  <c r="L47" i="43" s="1"/>
  <c r="AL84" i="43"/>
  <c r="K84" i="43" s="1"/>
  <c r="K10" i="43" s="1"/>
  <c r="K47" i="43" s="1"/>
  <c r="BB84" i="43"/>
  <c r="AA84" i="43" s="1"/>
  <c r="AA10" i="43" s="1"/>
  <c r="AA47" i="43" s="1"/>
  <c r="BD84" i="43"/>
  <c r="AC84" i="43" s="1"/>
  <c r="AC10" i="43" s="1"/>
  <c r="AC47" i="43" s="1"/>
  <c r="AY84" i="43"/>
  <c r="X84" i="43" s="1"/>
  <c r="X10" i="43" s="1"/>
  <c r="X47" i="43" s="1"/>
  <c r="BC84" i="43"/>
  <c r="AB84" i="43" s="1"/>
  <c r="AB10" i="43" s="1"/>
  <c r="AB47" i="43" s="1"/>
  <c r="AQ84" i="43"/>
  <c r="P84" i="43" s="1"/>
  <c r="P10" i="43" s="1"/>
  <c r="P47" i="43" s="1"/>
  <c r="BB364" i="43"/>
  <c r="AA364" i="43" s="1"/>
  <c r="AL364" i="43"/>
  <c r="K364" i="43" s="1"/>
  <c r="AS364" i="43"/>
  <c r="R364" i="43" s="1"/>
  <c r="AW364" i="43"/>
  <c r="V364" i="43" s="1"/>
  <c r="AU364" i="43"/>
  <c r="T364" i="43" s="1"/>
  <c r="AZ364" i="43"/>
  <c r="Y364" i="43" s="1"/>
  <c r="AO364" i="43"/>
  <c r="N364" i="43" s="1"/>
  <c r="AX364" i="43"/>
  <c r="W364" i="43" s="1"/>
  <c r="AH364" i="43"/>
  <c r="G364" i="43" s="1"/>
  <c r="AR364" i="43"/>
  <c r="Q364" i="43" s="1"/>
  <c r="AK364" i="43"/>
  <c r="J364" i="43" s="1"/>
  <c r="BD364" i="43"/>
  <c r="AC364" i="43" s="1"/>
  <c r="AM364" i="43"/>
  <c r="L364" i="43" s="1"/>
  <c r="AY364" i="43"/>
  <c r="X364" i="43" s="1"/>
  <c r="BC364" i="43"/>
  <c r="AB364" i="43" s="1"/>
  <c r="BG364" i="43"/>
  <c r="AF364" i="43" s="1"/>
  <c r="AN364" i="43"/>
  <c r="M364" i="43" s="1"/>
  <c r="AJ364" i="43"/>
  <c r="I364" i="43" s="1"/>
  <c r="BA364" i="43"/>
  <c r="Z364" i="43" s="1"/>
  <c r="AP364" i="43"/>
  <c r="O364" i="43" s="1"/>
  <c r="AQ364" i="43"/>
  <c r="P364" i="43" s="1"/>
  <c r="AT364" i="43"/>
  <c r="S364" i="43" s="1"/>
  <c r="AI364" i="43"/>
  <c r="H364" i="43" s="1"/>
  <c r="AV364" i="43"/>
  <c r="U364" i="43" s="1"/>
  <c r="BF364" i="43"/>
  <c r="AE364" i="43" s="1"/>
  <c r="BE364" i="43"/>
  <c r="AD364" i="43" s="1"/>
  <c r="CM395" i="43"/>
  <c r="CK395" i="43"/>
  <c r="CL395" i="43"/>
  <c r="CN395" i="43"/>
  <c r="CJ395" i="43"/>
  <c r="DD357" i="43"/>
  <c r="CN357" i="43"/>
  <c r="CT357" i="43"/>
  <c r="CX357" i="43"/>
  <c r="CP357" i="43"/>
  <c r="CU357" i="43"/>
  <c r="DF357" i="43"/>
  <c r="CR357" i="43"/>
  <c r="DC357" i="43"/>
  <c r="CL357" i="43"/>
  <c r="CZ357" i="43"/>
  <c r="CJ357" i="43"/>
  <c r="CO357" i="43"/>
  <c r="CS357" i="43"/>
  <c r="DG357" i="43"/>
  <c r="CK357" i="43"/>
  <c r="CY357" i="43"/>
  <c r="CQ357" i="43"/>
  <c r="CV357" i="43"/>
  <c r="DE357" i="43"/>
  <c r="DI357" i="43"/>
  <c r="CM357" i="43"/>
  <c r="CW357" i="43"/>
  <c r="DB357" i="43"/>
  <c r="DH357" i="43"/>
  <c r="DA357" i="43"/>
  <c r="BG403" i="43"/>
  <c r="AF403" i="43" s="1"/>
  <c r="AQ403" i="43"/>
  <c r="P403" i="43" s="1"/>
  <c r="BB403" i="43"/>
  <c r="AA403" i="43" s="1"/>
  <c r="AL403" i="43"/>
  <c r="K403" i="43" s="1"/>
  <c r="AK403" i="43"/>
  <c r="J403" i="43" s="1"/>
  <c r="AV403" i="43"/>
  <c r="U403" i="43" s="1"/>
  <c r="AW403" i="43"/>
  <c r="V403" i="43" s="1"/>
  <c r="BF403" i="43"/>
  <c r="AE403" i="43" s="1"/>
  <c r="AS403" i="43"/>
  <c r="R403" i="43" s="1"/>
  <c r="BC403" i="43"/>
  <c r="AB403" i="43" s="1"/>
  <c r="AM403" i="43"/>
  <c r="L403" i="43" s="1"/>
  <c r="AX403" i="43"/>
  <c r="W403" i="43" s="1"/>
  <c r="AH403" i="43"/>
  <c r="G403" i="43" s="1"/>
  <c r="AZ403" i="43"/>
  <c r="Y403" i="43" s="1"/>
  <c r="BE403" i="43"/>
  <c r="AD403" i="43" s="1"/>
  <c r="BD403" i="43"/>
  <c r="AC403" i="43" s="1"/>
  <c r="AP403" i="43"/>
  <c r="O403" i="43" s="1"/>
  <c r="AN403" i="43"/>
  <c r="M403" i="43" s="1"/>
  <c r="AY403" i="43"/>
  <c r="X403" i="43" s="1"/>
  <c r="AI403" i="43"/>
  <c r="H403" i="43" s="1"/>
  <c r="AT403" i="43"/>
  <c r="S403" i="43" s="1"/>
  <c r="BA403" i="43"/>
  <c r="Z403" i="43" s="1"/>
  <c r="AR403" i="43"/>
  <c r="Q403" i="43" s="1"/>
  <c r="AO403" i="43"/>
  <c r="N403" i="43" s="1"/>
  <c r="AU403" i="43"/>
  <c r="T403" i="43" s="1"/>
  <c r="AJ403" i="43"/>
  <c r="I403" i="43" s="1"/>
  <c r="AS102" i="43"/>
  <c r="R102" i="43" s="1"/>
  <c r="R28" i="43" s="1"/>
  <c r="R65" i="43" s="1"/>
  <c r="AX102" i="43"/>
  <c r="W102" i="43" s="1"/>
  <c r="W28" i="43" s="1"/>
  <c r="W65" i="43" s="1"/>
  <c r="BF102" i="43"/>
  <c r="AE102" i="43" s="1"/>
  <c r="AE28" i="43" s="1"/>
  <c r="AE65" i="43" s="1"/>
  <c r="BB102" i="43"/>
  <c r="AA102" i="43" s="1"/>
  <c r="AA28" i="43" s="1"/>
  <c r="AA65" i="43" s="1"/>
  <c r="AZ102" i="43"/>
  <c r="Y102" i="43" s="1"/>
  <c r="Y28" i="43" s="1"/>
  <c r="Y65" i="43" s="1"/>
  <c r="BD102" i="43"/>
  <c r="AC102" i="43" s="1"/>
  <c r="AC28" i="43" s="1"/>
  <c r="AC65" i="43" s="1"/>
  <c r="AR102" i="43"/>
  <c r="Q102" i="43" s="1"/>
  <c r="Q28" i="43" s="1"/>
  <c r="Q65" i="43" s="1"/>
  <c r="AV102" i="43"/>
  <c r="U102" i="43" s="1"/>
  <c r="U28" i="43" s="1"/>
  <c r="U65" i="43" s="1"/>
  <c r="AP102" i="43"/>
  <c r="O102" i="43" s="1"/>
  <c r="O28" i="43" s="1"/>
  <c r="O65" i="43" s="1"/>
  <c r="AK102" i="43"/>
  <c r="J102" i="43" s="1"/>
  <c r="J28" i="43" s="1"/>
  <c r="J65" i="43" s="1"/>
  <c r="AJ102" i="43"/>
  <c r="I102" i="43" s="1"/>
  <c r="I28" i="43" s="1"/>
  <c r="I65" i="43" s="1"/>
  <c r="AY102" i="43"/>
  <c r="X102" i="43" s="1"/>
  <c r="X28" i="43" s="1"/>
  <c r="X65" i="43" s="1"/>
  <c r="AH102" i="43"/>
  <c r="G102" i="43" s="1"/>
  <c r="G28" i="43" s="1"/>
  <c r="G65" i="43" s="1"/>
  <c r="AL102" i="43"/>
  <c r="K102" i="43" s="1"/>
  <c r="K28" i="43" s="1"/>
  <c r="K65" i="43" s="1"/>
  <c r="BE102" i="43"/>
  <c r="AD102" i="43" s="1"/>
  <c r="AD28" i="43" s="1"/>
  <c r="AD65" i="43" s="1"/>
  <c r="AO102" i="43"/>
  <c r="N102" i="43" s="1"/>
  <c r="N28" i="43" s="1"/>
  <c r="N65" i="43" s="1"/>
  <c r="AU102" i="43"/>
  <c r="T102" i="43" s="1"/>
  <c r="T28" i="43" s="1"/>
  <c r="T65" i="43" s="1"/>
  <c r="AI102" i="43"/>
  <c r="H102" i="43" s="1"/>
  <c r="H28" i="43" s="1"/>
  <c r="H65" i="43" s="1"/>
  <c r="AQ102" i="43"/>
  <c r="P102" i="43" s="1"/>
  <c r="P28" i="43" s="1"/>
  <c r="P65" i="43" s="1"/>
  <c r="AW102" i="43"/>
  <c r="V102" i="43" s="1"/>
  <c r="V28" i="43" s="1"/>
  <c r="V65" i="43" s="1"/>
  <c r="BG102" i="43"/>
  <c r="AF102" i="43" s="1"/>
  <c r="AF28" i="43" s="1"/>
  <c r="AF65" i="43" s="1"/>
  <c r="BA102" i="43"/>
  <c r="Z102" i="43" s="1"/>
  <c r="Z28" i="43" s="1"/>
  <c r="Z65" i="43" s="1"/>
  <c r="AM102" i="43"/>
  <c r="L102" i="43" s="1"/>
  <c r="L28" i="43" s="1"/>
  <c r="L65" i="43" s="1"/>
  <c r="AT102" i="43"/>
  <c r="S102" i="43" s="1"/>
  <c r="S28" i="43" s="1"/>
  <c r="S65" i="43" s="1"/>
  <c r="BC102" i="43"/>
  <c r="AB102" i="43" s="1"/>
  <c r="AB28" i="43" s="1"/>
  <c r="AB65" i="43" s="1"/>
  <c r="AN102" i="43"/>
  <c r="M102" i="43" s="1"/>
  <c r="M28" i="43" s="1"/>
  <c r="M65" i="43" s="1"/>
  <c r="S234" i="43"/>
  <c r="AB234" i="43"/>
  <c r="AC234" i="43"/>
  <c r="AF234" i="43"/>
  <c r="T234" i="43"/>
  <c r="AD234" i="43"/>
  <c r="AE234" i="43"/>
  <c r="V234" i="43"/>
  <c r="Y234" i="43"/>
  <c r="Z234" i="43"/>
  <c r="W234" i="43"/>
  <c r="L234" i="43"/>
  <c r="P234" i="43"/>
  <c r="O234" i="43"/>
  <c r="U234" i="43"/>
  <c r="X234" i="43"/>
  <c r="H234" i="43"/>
  <c r="AA234" i="43"/>
  <c r="K234" i="43"/>
  <c r="Q234" i="43"/>
  <c r="N234" i="43"/>
  <c r="R234" i="43"/>
  <c r="M234" i="43"/>
  <c r="I234" i="43"/>
  <c r="G234" i="43"/>
  <c r="J234" i="43"/>
  <c r="AF258" i="43"/>
  <c r="P258" i="43"/>
  <c r="AA258" i="43"/>
  <c r="K258" i="43"/>
  <c r="J258" i="43"/>
  <c r="Q258" i="43"/>
  <c r="Y258" i="43"/>
  <c r="T258" i="43"/>
  <c r="O258" i="43"/>
  <c r="U258" i="43"/>
  <c r="AB258" i="43"/>
  <c r="L258" i="43"/>
  <c r="W258" i="43"/>
  <c r="G258" i="43"/>
  <c r="V258" i="43"/>
  <c r="AD258" i="43"/>
  <c r="N258" i="43"/>
  <c r="AE258" i="43"/>
  <c r="AC258" i="43"/>
  <c r="X258" i="43"/>
  <c r="H258" i="43"/>
  <c r="S258" i="43"/>
  <c r="Z258" i="43"/>
  <c r="M258" i="43"/>
  <c r="I258" i="43"/>
  <c r="R258" i="43"/>
  <c r="AW111" i="43"/>
  <c r="V111" i="43" s="1"/>
  <c r="V37" i="43" s="1"/>
  <c r="V74" i="43" s="1"/>
  <c r="BD111" i="43"/>
  <c r="AC111" i="43" s="1"/>
  <c r="AC37" i="43" s="1"/>
  <c r="AC74" i="43" s="1"/>
  <c r="AI111" i="43"/>
  <c r="H111" i="43" s="1"/>
  <c r="H37" i="43" s="1"/>
  <c r="H74" i="43" s="1"/>
  <c r="BC111" i="43"/>
  <c r="AB111" i="43" s="1"/>
  <c r="AB37" i="43" s="1"/>
  <c r="AB74" i="43" s="1"/>
  <c r="AH111" i="43"/>
  <c r="G111" i="43" s="1"/>
  <c r="G37" i="43" s="1"/>
  <c r="G74" i="43" s="1"/>
  <c r="AJ111" i="43"/>
  <c r="I111" i="43" s="1"/>
  <c r="I37" i="43" s="1"/>
  <c r="I74" i="43" s="1"/>
  <c r="BA111" i="43"/>
  <c r="Z111" i="43" s="1"/>
  <c r="Z37" i="43" s="1"/>
  <c r="Z74" i="43" s="1"/>
  <c r="AN111" i="43"/>
  <c r="M111" i="43" s="1"/>
  <c r="M37" i="43" s="1"/>
  <c r="M74" i="43" s="1"/>
  <c r="AM111" i="43"/>
  <c r="L111" i="43" s="1"/>
  <c r="L37" i="43" s="1"/>
  <c r="L74" i="43" s="1"/>
  <c r="AS111" i="43"/>
  <c r="R111" i="43" s="1"/>
  <c r="R37" i="43" s="1"/>
  <c r="R74" i="43" s="1"/>
  <c r="AY111" i="43"/>
  <c r="X111" i="43" s="1"/>
  <c r="X37" i="43" s="1"/>
  <c r="X74" i="43" s="1"/>
  <c r="BG111" i="43"/>
  <c r="AF111" i="43" s="1"/>
  <c r="AF37" i="43" s="1"/>
  <c r="AF74" i="43" s="1"/>
  <c r="AX111" i="43"/>
  <c r="W111" i="43" s="1"/>
  <c r="W37" i="43" s="1"/>
  <c r="W74" i="43" s="1"/>
  <c r="BB111" i="43"/>
  <c r="AA111" i="43" s="1"/>
  <c r="AA37" i="43" s="1"/>
  <c r="AA74" i="43" s="1"/>
  <c r="AZ111" i="43"/>
  <c r="Y111" i="43" s="1"/>
  <c r="Y37" i="43" s="1"/>
  <c r="Y74" i="43" s="1"/>
  <c r="AL111" i="43"/>
  <c r="K111" i="43" s="1"/>
  <c r="K37" i="43" s="1"/>
  <c r="K74" i="43" s="1"/>
  <c r="AP111" i="43"/>
  <c r="O111" i="43" s="1"/>
  <c r="O37" i="43" s="1"/>
  <c r="O74" i="43" s="1"/>
  <c r="BE111" i="43"/>
  <c r="AD111" i="43" s="1"/>
  <c r="AD37" i="43" s="1"/>
  <c r="AD74" i="43" s="1"/>
  <c r="AO111" i="43"/>
  <c r="N111" i="43" s="1"/>
  <c r="N37" i="43" s="1"/>
  <c r="N74" i="43" s="1"/>
  <c r="AT111" i="43"/>
  <c r="S111" i="43" s="1"/>
  <c r="S37" i="43" s="1"/>
  <c r="S74" i="43" s="1"/>
  <c r="AV111" i="43"/>
  <c r="U111" i="43" s="1"/>
  <c r="U37" i="43" s="1"/>
  <c r="U74" i="43" s="1"/>
  <c r="AR111" i="43"/>
  <c r="Q111" i="43" s="1"/>
  <c r="Q37" i="43" s="1"/>
  <c r="Q74" i="43" s="1"/>
  <c r="AQ111" i="43"/>
  <c r="P111" i="43" s="1"/>
  <c r="P37" i="43" s="1"/>
  <c r="P74" i="43" s="1"/>
  <c r="AU111" i="43"/>
  <c r="T111" i="43" s="1"/>
  <c r="T37" i="43" s="1"/>
  <c r="T74" i="43" s="1"/>
  <c r="AK111" i="43"/>
  <c r="J111" i="43" s="1"/>
  <c r="J37" i="43" s="1"/>
  <c r="J74" i="43" s="1"/>
  <c r="BF111" i="43"/>
  <c r="AE111" i="43" s="1"/>
  <c r="AE37" i="43" s="1"/>
  <c r="AE74" i="43" s="1"/>
  <c r="AE252" i="43"/>
  <c r="O252" i="43"/>
  <c r="X252" i="43"/>
  <c r="AF252" i="43"/>
  <c r="AB252" i="43"/>
  <c r="Z252" i="43"/>
  <c r="AD252" i="43"/>
  <c r="S252" i="43"/>
  <c r="H252" i="43"/>
  <c r="I252" i="43"/>
  <c r="AA252" i="43"/>
  <c r="K252" i="43"/>
  <c r="R252" i="43"/>
  <c r="Y252" i="43"/>
  <c r="U252" i="43"/>
  <c r="L252" i="43"/>
  <c r="P252" i="43"/>
  <c r="J252" i="43"/>
  <c r="W252" i="43"/>
  <c r="G252" i="43"/>
  <c r="M252" i="43"/>
  <c r="Q252" i="43"/>
  <c r="N252" i="43"/>
  <c r="V252" i="43"/>
  <c r="AC252" i="43"/>
  <c r="T252" i="43"/>
  <c r="BE104" i="43"/>
  <c r="AD104" i="43" s="1"/>
  <c r="AD30" i="43" s="1"/>
  <c r="AD67" i="43" s="1"/>
  <c r="AO104" i="43"/>
  <c r="N104" i="43" s="1"/>
  <c r="N30" i="43" s="1"/>
  <c r="N67" i="43" s="1"/>
  <c r="AU104" i="43"/>
  <c r="T104" i="43" s="1"/>
  <c r="T30" i="43" s="1"/>
  <c r="T67" i="43" s="1"/>
  <c r="AM104" i="43"/>
  <c r="L104" i="43" s="1"/>
  <c r="L30" i="43" s="1"/>
  <c r="L67" i="43" s="1"/>
  <c r="AN104" i="43"/>
  <c r="M104" i="43" s="1"/>
  <c r="M30" i="43" s="1"/>
  <c r="M67" i="43" s="1"/>
  <c r="AH104" i="43"/>
  <c r="G104" i="43" s="1"/>
  <c r="G30" i="43" s="1"/>
  <c r="G67" i="43" s="1"/>
  <c r="AL104" i="43"/>
  <c r="K104" i="43" s="1"/>
  <c r="K30" i="43" s="1"/>
  <c r="K67" i="43" s="1"/>
  <c r="AX104" i="43"/>
  <c r="W104" i="43" s="1"/>
  <c r="W30" i="43" s="1"/>
  <c r="W67" i="43" s="1"/>
  <c r="AR104" i="43"/>
  <c r="Q104" i="43" s="1"/>
  <c r="Q30" i="43" s="1"/>
  <c r="Q67" i="43" s="1"/>
  <c r="BA104" i="43"/>
  <c r="Z104" i="43" s="1"/>
  <c r="Z30" i="43" s="1"/>
  <c r="Z67" i="43" s="1"/>
  <c r="AK104" i="43"/>
  <c r="J104" i="43" s="1"/>
  <c r="J30" i="43" s="1"/>
  <c r="J67" i="43" s="1"/>
  <c r="AP104" i="43"/>
  <c r="O104" i="43" s="1"/>
  <c r="O30" i="43" s="1"/>
  <c r="O67" i="43" s="1"/>
  <c r="BD104" i="43"/>
  <c r="AC104" i="43" s="1"/>
  <c r="AC30" i="43" s="1"/>
  <c r="AC67" i="43" s="1"/>
  <c r="AI104" i="43"/>
  <c r="H104" i="43" s="1"/>
  <c r="H30" i="43" s="1"/>
  <c r="H67" i="43" s="1"/>
  <c r="AV104" i="43"/>
  <c r="U104" i="43" s="1"/>
  <c r="U30" i="43" s="1"/>
  <c r="U67" i="43" s="1"/>
  <c r="BB104" i="43"/>
  <c r="AA104" i="43" s="1"/>
  <c r="AA30" i="43" s="1"/>
  <c r="AA67" i="43" s="1"/>
  <c r="AZ104" i="43"/>
  <c r="Y104" i="43" s="1"/>
  <c r="Y30" i="43" s="1"/>
  <c r="Y67" i="43" s="1"/>
  <c r="BG104" i="43"/>
  <c r="AF104" i="43" s="1"/>
  <c r="AF30" i="43" s="1"/>
  <c r="AF67" i="43" s="1"/>
  <c r="AW104" i="43"/>
  <c r="V104" i="43" s="1"/>
  <c r="V30" i="43" s="1"/>
  <c r="V67" i="43" s="1"/>
  <c r="BF104" i="43"/>
  <c r="AE104" i="43" s="1"/>
  <c r="AE30" i="43" s="1"/>
  <c r="AE67" i="43" s="1"/>
  <c r="AJ104" i="43"/>
  <c r="I104" i="43" s="1"/>
  <c r="I30" i="43" s="1"/>
  <c r="I67" i="43" s="1"/>
  <c r="AY104" i="43"/>
  <c r="X104" i="43" s="1"/>
  <c r="X30" i="43" s="1"/>
  <c r="X67" i="43" s="1"/>
  <c r="BC104" i="43"/>
  <c r="AB104" i="43" s="1"/>
  <c r="AB30" i="43" s="1"/>
  <c r="AB67" i="43" s="1"/>
  <c r="AQ104" i="43"/>
  <c r="P104" i="43" s="1"/>
  <c r="P30" i="43" s="1"/>
  <c r="P67" i="43" s="1"/>
  <c r="AS104" i="43"/>
  <c r="R104" i="43" s="1"/>
  <c r="R30" i="43" s="1"/>
  <c r="R67" i="43" s="1"/>
  <c r="AT104" i="43"/>
  <c r="S104" i="43" s="1"/>
  <c r="S30" i="43" s="1"/>
  <c r="S67" i="43" s="1"/>
  <c r="BE85" i="43"/>
  <c r="AD85" i="43" s="1"/>
  <c r="AD11" i="43" s="1"/>
  <c r="AD48" i="43" s="1"/>
  <c r="AO85" i="43"/>
  <c r="N85" i="43" s="1"/>
  <c r="N11" i="43" s="1"/>
  <c r="N48" i="43" s="1"/>
  <c r="AT85" i="43"/>
  <c r="S85" i="43" s="1"/>
  <c r="S11" i="43" s="1"/>
  <c r="S48" i="43" s="1"/>
  <c r="AM85" i="43"/>
  <c r="L85" i="43" s="1"/>
  <c r="L11" i="43" s="1"/>
  <c r="L48" i="43" s="1"/>
  <c r="AR85" i="43"/>
  <c r="Q85" i="43" s="1"/>
  <c r="Q11" i="43" s="1"/>
  <c r="Q48" i="43" s="1"/>
  <c r="AL85" i="43"/>
  <c r="K85" i="43" s="1"/>
  <c r="K11" i="43" s="1"/>
  <c r="K48" i="43" s="1"/>
  <c r="AZ85" i="43"/>
  <c r="Y85" i="43" s="1"/>
  <c r="Y11" i="43" s="1"/>
  <c r="Y48" i="43" s="1"/>
  <c r="AY85" i="43"/>
  <c r="X85" i="43" s="1"/>
  <c r="X11" i="43" s="1"/>
  <c r="X48" i="43" s="1"/>
  <c r="BC85" i="43"/>
  <c r="AB85" i="43" s="1"/>
  <c r="AB11" i="43" s="1"/>
  <c r="AB48" i="43" s="1"/>
  <c r="AJ85" i="43"/>
  <c r="I85" i="43" s="1"/>
  <c r="I11" i="43" s="1"/>
  <c r="I48" i="43" s="1"/>
  <c r="BA85" i="43"/>
  <c r="Z85" i="43" s="1"/>
  <c r="Z11" i="43" s="1"/>
  <c r="Z48" i="43" s="1"/>
  <c r="AK85" i="43"/>
  <c r="J85" i="43" s="1"/>
  <c r="J11" i="43" s="1"/>
  <c r="J48" i="43" s="1"/>
  <c r="AN85" i="43"/>
  <c r="M85" i="43" s="1"/>
  <c r="M11" i="43" s="1"/>
  <c r="M48" i="43" s="1"/>
  <c r="BB85" i="43"/>
  <c r="AA85" i="43" s="1"/>
  <c r="AA11" i="43" s="1"/>
  <c r="AA48" i="43" s="1"/>
  <c r="AH85" i="43"/>
  <c r="G85" i="43" s="1"/>
  <c r="G11" i="43" s="1"/>
  <c r="G48" i="43" s="1"/>
  <c r="AU85" i="43"/>
  <c r="T85" i="43" s="1"/>
  <c r="T11" i="43" s="1"/>
  <c r="T48" i="43" s="1"/>
  <c r="AP85" i="43"/>
  <c r="O85" i="43" s="1"/>
  <c r="O11" i="43" s="1"/>
  <c r="O48" i="43" s="1"/>
  <c r="AS85" i="43"/>
  <c r="R85" i="43" s="1"/>
  <c r="R11" i="43" s="1"/>
  <c r="R48" i="43" s="1"/>
  <c r="AV85" i="43"/>
  <c r="U85" i="43" s="1"/>
  <c r="U11" i="43" s="1"/>
  <c r="U48" i="43" s="1"/>
  <c r="AW85" i="43"/>
  <c r="V85" i="43" s="1"/>
  <c r="V11" i="43" s="1"/>
  <c r="V48" i="43" s="1"/>
  <c r="BD85" i="43"/>
  <c r="AC85" i="43" s="1"/>
  <c r="AC11" i="43" s="1"/>
  <c r="AC48" i="43" s="1"/>
  <c r="AI85" i="43"/>
  <c r="H85" i="43" s="1"/>
  <c r="H11" i="43" s="1"/>
  <c r="H48" i="43" s="1"/>
  <c r="AQ85" i="43"/>
  <c r="P85" i="43" s="1"/>
  <c r="P11" i="43" s="1"/>
  <c r="P48" i="43" s="1"/>
  <c r="BG85" i="43"/>
  <c r="AF85" i="43" s="1"/>
  <c r="AF11" i="43" s="1"/>
  <c r="AF48" i="43" s="1"/>
  <c r="BF85" i="43"/>
  <c r="AE85" i="43" s="1"/>
  <c r="AE11" i="43" s="1"/>
  <c r="AE48" i="43" s="1"/>
  <c r="AX85" i="43"/>
  <c r="W85" i="43" s="1"/>
  <c r="W11" i="43" s="1"/>
  <c r="W48" i="43" s="1"/>
  <c r="AW101" i="43"/>
  <c r="V101" i="43" s="1"/>
  <c r="V27" i="43" s="1"/>
  <c r="V64" i="43" s="1"/>
  <c r="BG101" i="43"/>
  <c r="AF101" i="43" s="1"/>
  <c r="AF27" i="43" s="1"/>
  <c r="AF64" i="43" s="1"/>
  <c r="AL101" i="43"/>
  <c r="K101" i="43" s="1"/>
  <c r="K27" i="43" s="1"/>
  <c r="K64" i="43" s="1"/>
  <c r="BF101" i="43"/>
  <c r="AE101" i="43" s="1"/>
  <c r="AE27" i="43" s="1"/>
  <c r="AE64" i="43" s="1"/>
  <c r="AJ101" i="43"/>
  <c r="I101" i="43" s="1"/>
  <c r="I27" i="43" s="1"/>
  <c r="I64" i="43" s="1"/>
  <c r="AH101" i="43"/>
  <c r="G101" i="43" s="1"/>
  <c r="G27" i="43" s="1"/>
  <c r="G64" i="43" s="1"/>
  <c r="AK101" i="43"/>
  <c r="J101" i="43" s="1"/>
  <c r="J27" i="43" s="1"/>
  <c r="J64" i="43" s="1"/>
  <c r="AP101" i="43"/>
  <c r="O101" i="43" s="1"/>
  <c r="O27" i="43" s="1"/>
  <c r="O64" i="43" s="1"/>
  <c r="AM101" i="43"/>
  <c r="L101" i="43" s="1"/>
  <c r="L27" i="43" s="1"/>
  <c r="L64" i="43" s="1"/>
  <c r="AS101" i="43"/>
  <c r="R101" i="43" s="1"/>
  <c r="R27" i="43" s="1"/>
  <c r="R64" i="43" s="1"/>
  <c r="BB101" i="43"/>
  <c r="AA101" i="43" s="1"/>
  <c r="AA27" i="43" s="1"/>
  <c r="AA64" i="43" s="1"/>
  <c r="BD101" i="43"/>
  <c r="AC101" i="43" s="1"/>
  <c r="AC27" i="43" s="1"/>
  <c r="AC64" i="43" s="1"/>
  <c r="AZ101" i="43"/>
  <c r="Y101" i="43" s="1"/>
  <c r="Y27" i="43" s="1"/>
  <c r="Y64" i="43" s="1"/>
  <c r="AY101" i="43"/>
  <c r="X101" i="43" s="1"/>
  <c r="X27" i="43" s="1"/>
  <c r="X64" i="43" s="1"/>
  <c r="AX101" i="43"/>
  <c r="W101" i="43" s="1"/>
  <c r="W27" i="43" s="1"/>
  <c r="W64" i="43" s="1"/>
  <c r="AQ101" i="43"/>
  <c r="P101" i="43" s="1"/>
  <c r="P27" i="43" s="1"/>
  <c r="P64" i="43" s="1"/>
  <c r="BC101" i="43"/>
  <c r="AB101" i="43" s="1"/>
  <c r="AB27" i="43" s="1"/>
  <c r="AB64" i="43" s="1"/>
  <c r="BE101" i="43"/>
  <c r="AD101" i="43" s="1"/>
  <c r="AD27" i="43" s="1"/>
  <c r="AD64" i="43" s="1"/>
  <c r="AO101" i="43"/>
  <c r="N101" i="43" s="1"/>
  <c r="N27" i="43" s="1"/>
  <c r="N64" i="43" s="1"/>
  <c r="AV101" i="43"/>
  <c r="U101" i="43" s="1"/>
  <c r="U27" i="43" s="1"/>
  <c r="U64" i="43" s="1"/>
  <c r="AT101" i="43"/>
  <c r="S101" i="43" s="1"/>
  <c r="S27" i="43" s="1"/>
  <c r="S64" i="43" s="1"/>
  <c r="AU101" i="43"/>
  <c r="T101" i="43" s="1"/>
  <c r="T27" i="43" s="1"/>
  <c r="T64" i="43" s="1"/>
  <c r="AN101" i="43"/>
  <c r="M101" i="43" s="1"/>
  <c r="M27" i="43" s="1"/>
  <c r="M64" i="43" s="1"/>
  <c r="AR101" i="43"/>
  <c r="Q101" i="43" s="1"/>
  <c r="Q27" i="43" s="1"/>
  <c r="Q64" i="43" s="1"/>
  <c r="BA101" i="43"/>
  <c r="Z101" i="43" s="1"/>
  <c r="Z27" i="43" s="1"/>
  <c r="Z64" i="43" s="1"/>
  <c r="AI101" i="43"/>
  <c r="H101" i="43" s="1"/>
  <c r="H27" i="43" s="1"/>
  <c r="H64" i="43" s="1"/>
  <c r="T260" i="43"/>
  <c r="AE260" i="43"/>
  <c r="O260" i="43"/>
  <c r="V260" i="43"/>
  <c r="AC260" i="43"/>
  <c r="J260" i="43"/>
  <c r="P260" i="43"/>
  <c r="AA260" i="43"/>
  <c r="N260" i="43"/>
  <c r="R260" i="43"/>
  <c r="X260" i="43"/>
  <c r="AD260" i="43"/>
  <c r="U260" i="43"/>
  <c r="AF260" i="43"/>
  <c r="K260" i="43"/>
  <c r="Q260" i="43"/>
  <c r="H260" i="43"/>
  <c r="M260" i="43"/>
  <c r="AB260" i="43"/>
  <c r="L260" i="43"/>
  <c r="W260" i="43"/>
  <c r="G260" i="43"/>
  <c r="Y260" i="43"/>
  <c r="I260" i="43"/>
  <c r="Z260" i="43"/>
  <c r="S260" i="43"/>
  <c r="CJ90" i="43"/>
  <c r="CK90" i="43"/>
  <c r="BE89" i="43"/>
  <c r="AD89" i="43" s="1"/>
  <c r="AD15" i="43" s="1"/>
  <c r="AD52" i="43" s="1"/>
  <c r="AO89" i="43"/>
  <c r="N89" i="43" s="1"/>
  <c r="N15" i="43" s="1"/>
  <c r="N52" i="43" s="1"/>
  <c r="AT89" i="43"/>
  <c r="S89" i="43" s="1"/>
  <c r="S15" i="43" s="1"/>
  <c r="S52" i="43" s="1"/>
  <c r="AQ89" i="43"/>
  <c r="P89" i="43" s="1"/>
  <c r="P15" i="43" s="1"/>
  <c r="P52" i="43" s="1"/>
  <c r="AM89" i="43"/>
  <c r="L89" i="43" s="1"/>
  <c r="L15" i="43" s="1"/>
  <c r="L52" i="43" s="1"/>
  <c r="AL89" i="43"/>
  <c r="K89" i="43" s="1"/>
  <c r="K15" i="43" s="1"/>
  <c r="K52" i="43" s="1"/>
  <c r="AP89" i="43"/>
  <c r="O89" i="43" s="1"/>
  <c r="O15" i="43" s="1"/>
  <c r="O52" i="43" s="1"/>
  <c r="AS89" i="43"/>
  <c r="R89" i="43" s="1"/>
  <c r="R15" i="43" s="1"/>
  <c r="R52" i="43" s="1"/>
  <c r="BB89" i="43"/>
  <c r="AA89" i="43" s="1"/>
  <c r="AA15" i="43" s="1"/>
  <c r="AA52" i="43" s="1"/>
  <c r="BA89" i="43"/>
  <c r="Z89" i="43" s="1"/>
  <c r="Z15" i="43" s="1"/>
  <c r="Z52" i="43" s="1"/>
  <c r="AK89" i="43"/>
  <c r="J89" i="43" s="1"/>
  <c r="J15" i="43" s="1"/>
  <c r="J52" i="43" s="1"/>
  <c r="AN89" i="43"/>
  <c r="M89" i="43" s="1"/>
  <c r="M15" i="43" s="1"/>
  <c r="M52" i="43" s="1"/>
  <c r="BC89" i="43"/>
  <c r="AB89" i="43" s="1"/>
  <c r="AB15" i="43" s="1"/>
  <c r="AB52" i="43" s="1"/>
  <c r="AH89" i="43"/>
  <c r="G89" i="43" s="1"/>
  <c r="G15" i="43" s="1"/>
  <c r="G52" i="43" s="1"/>
  <c r="BF89" i="43"/>
  <c r="AE89" i="43" s="1"/>
  <c r="AE15" i="43" s="1"/>
  <c r="AE52" i="43" s="1"/>
  <c r="AZ89" i="43"/>
  <c r="Y89" i="43" s="1"/>
  <c r="Y15" i="43" s="1"/>
  <c r="Y52" i="43" s="1"/>
  <c r="AY89" i="43"/>
  <c r="X89" i="43" s="1"/>
  <c r="X15" i="43" s="1"/>
  <c r="X52" i="43" s="1"/>
  <c r="AV89" i="43"/>
  <c r="U89" i="43" s="1"/>
  <c r="U15" i="43" s="1"/>
  <c r="U52" i="43" s="1"/>
  <c r="AW89" i="43"/>
  <c r="V89" i="43" s="1"/>
  <c r="V15" i="43" s="1"/>
  <c r="V52" i="43" s="1"/>
  <c r="BD89" i="43"/>
  <c r="AC89" i="43" s="1"/>
  <c r="AC15" i="43" s="1"/>
  <c r="AC52" i="43" s="1"/>
  <c r="AI89" i="43"/>
  <c r="H89" i="43" s="1"/>
  <c r="H15" i="43" s="1"/>
  <c r="H52" i="43" s="1"/>
  <c r="AX89" i="43"/>
  <c r="W89" i="43" s="1"/>
  <c r="W15" i="43" s="1"/>
  <c r="W52" i="43" s="1"/>
  <c r="BG89" i="43"/>
  <c r="AF89" i="43" s="1"/>
  <c r="AF15" i="43" s="1"/>
  <c r="AF52" i="43" s="1"/>
  <c r="AJ89" i="43"/>
  <c r="I89" i="43" s="1"/>
  <c r="I15" i="43" s="1"/>
  <c r="I52" i="43" s="1"/>
  <c r="AR89" i="43"/>
  <c r="Q89" i="43" s="1"/>
  <c r="Q15" i="43" s="1"/>
  <c r="Q52" i="43" s="1"/>
  <c r="AU89" i="43"/>
  <c r="T89" i="43" s="1"/>
  <c r="T15" i="43" s="1"/>
  <c r="T52" i="43" s="1"/>
  <c r="AY402" i="43"/>
  <c r="X402" i="43" s="1"/>
  <c r="AI402" i="43"/>
  <c r="H402" i="43" s="1"/>
  <c r="AT402" i="43"/>
  <c r="S402" i="43" s="1"/>
  <c r="BE402" i="43"/>
  <c r="AD402" i="43" s="1"/>
  <c r="AV402" i="43"/>
  <c r="U402" i="43" s="1"/>
  <c r="AS402" i="43"/>
  <c r="R402" i="43" s="1"/>
  <c r="BF402" i="43"/>
  <c r="AE402" i="43" s="1"/>
  <c r="AW402" i="43"/>
  <c r="V402" i="43" s="1"/>
  <c r="AN402" i="43"/>
  <c r="M402" i="43" s="1"/>
  <c r="BB402" i="43"/>
  <c r="AA402" i="43" s="1"/>
  <c r="AZ402" i="43"/>
  <c r="Y402" i="43" s="1"/>
  <c r="AK402" i="43"/>
  <c r="J402" i="43" s="1"/>
  <c r="BC402" i="43"/>
  <c r="AB402" i="43" s="1"/>
  <c r="AM402" i="43"/>
  <c r="L402" i="43" s="1"/>
  <c r="AH402" i="43"/>
  <c r="G402" i="43" s="1"/>
  <c r="AJ402" i="43"/>
  <c r="I402" i="43" s="1"/>
  <c r="AU402" i="43"/>
  <c r="T402" i="43" s="1"/>
  <c r="AP402" i="43"/>
  <c r="O402" i="43" s="1"/>
  <c r="BA402" i="43"/>
  <c r="Z402" i="43" s="1"/>
  <c r="BG402" i="43"/>
  <c r="AF402" i="43" s="1"/>
  <c r="AL402" i="43"/>
  <c r="K402" i="43" s="1"/>
  <c r="AX402" i="43"/>
  <c r="W402" i="43" s="1"/>
  <c r="AR402" i="43"/>
  <c r="Q402" i="43" s="1"/>
  <c r="AQ402" i="43"/>
  <c r="P402" i="43" s="1"/>
  <c r="AO402" i="43"/>
  <c r="N402" i="43" s="1"/>
  <c r="BD402" i="43"/>
  <c r="AC402" i="43" s="1"/>
  <c r="DA400" i="43"/>
  <c r="CK400" i="43"/>
  <c r="CV400" i="43"/>
  <c r="DG400" i="43"/>
  <c r="CX400" i="43"/>
  <c r="CM400" i="43"/>
  <c r="DE400" i="43"/>
  <c r="CJ400" i="43"/>
  <c r="DC400" i="43"/>
  <c r="CW400" i="43"/>
  <c r="DH400" i="43"/>
  <c r="CR400" i="43"/>
  <c r="CY400" i="43"/>
  <c r="CP400" i="43"/>
  <c r="CL400" i="43"/>
  <c r="CO400" i="43"/>
  <c r="DF400" i="43"/>
  <c r="DI400" i="43"/>
  <c r="CS400" i="43"/>
  <c r="DD400" i="43"/>
  <c r="CN400" i="43"/>
  <c r="CQ400" i="43"/>
  <c r="CT400" i="43"/>
  <c r="DB400" i="43"/>
  <c r="CZ400" i="43"/>
  <c r="CU400" i="43"/>
  <c r="AU351" i="43"/>
  <c r="T351" i="43" s="1"/>
  <c r="BF351" i="43"/>
  <c r="AE351" i="43" s="1"/>
  <c r="AP351" i="43"/>
  <c r="O351" i="43" s="1"/>
  <c r="AV351" i="43"/>
  <c r="U351" i="43" s="1"/>
  <c r="AK351" i="43"/>
  <c r="J351" i="43" s="1"/>
  <c r="AJ351" i="43"/>
  <c r="I351" i="43" s="1"/>
  <c r="AY351" i="43"/>
  <c r="X351" i="43" s="1"/>
  <c r="AI351" i="43"/>
  <c r="H351" i="43" s="1"/>
  <c r="AS351" i="43"/>
  <c r="R351" i="43" s="1"/>
  <c r="BG351" i="43"/>
  <c r="AF351" i="43" s="1"/>
  <c r="AQ351" i="43"/>
  <c r="P351" i="43" s="1"/>
  <c r="BB351" i="43"/>
  <c r="AA351" i="43" s="1"/>
  <c r="AL351" i="43"/>
  <c r="K351" i="43" s="1"/>
  <c r="AN351" i="43"/>
  <c r="M351" i="43" s="1"/>
  <c r="AW351" i="43"/>
  <c r="V351" i="43" s="1"/>
  <c r="AO351" i="43"/>
  <c r="N351" i="43" s="1"/>
  <c r="AT351" i="43"/>
  <c r="S351" i="43" s="1"/>
  <c r="BE351" i="43"/>
  <c r="AD351" i="43" s="1"/>
  <c r="BC351" i="43"/>
  <c r="AB351" i="43" s="1"/>
  <c r="AM351" i="43"/>
  <c r="L351" i="43" s="1"/>
  <c r="AX351" i="43"/>
  <c r="W351" i="43" s="1"/>
  <c r="AH351" i="43"/>
  <c r="G351" i="43" s="1"/>
  <c r="BA351" i="43"/>
  <c r="Z351" i="43" s="1"/>
  <c r="AR351" i="43"/>
  <c r="Q351" i="43" s="1"/>
  <c r="AZ351" i="43"/>
  <c r="Y351" i="43" s="1"/>
  <c r="BD351" i="43"/>
  <c r="AC351" i="43" s="1"/>
  <c r="BF359" i="43"/>
  <c r="AE359" i="43" s="1"/>
  <c r="AP359" i="43"/>
  <c r="O359" i="43" s="1"/>
  <c r="BA359" i="43"/>
  <c r="Z359" i="43" s="1"/>
  <c r="BE359" i="43"/>
  <c r="AD359" i="43" s="1"/>
  <c r="AJ359" i="43"/>
  <c r="I359" i="43" s="1"/>
  <c r="AM359" i="43"/>
  <c r="L359" i="43" s="1"/>
  <c r="AR359" i="43"/>
  <c r="Q359" i="43" s="1"/>
  <c r="AT359" i="43"/>
  <c r="S359" i="43" s="1"/>
  <c r="AK359" i="43"/>
  <c r="J359" i="43" s="1"/>
  <c r="AW359" i="43"/>
  <c r="V359" i="43" s="1"/>
  <c r="BB359" i="43"/>
  <c r="AA359" i="43" s="1"/>
  <c r="AL359" i="43"/>
  <c r="K359" i="43" s="1"/>
  <c r="AV359" i="43"/>
  <c r="U359" i="43" s="1"/>
  <c r="AZ359" i="43"/>
  <c r="Y359" i="43" s="1"/>
  <c r="AY359" i="43"/>
  <c r="X359" i="43" s="1"/>
  <c r="BC359" i="43"/>
  <c r="AB359" i="43" s="1"/>
  <c r="BD359" i="43"/>
  <c r="AC359" i="43" s="1"/>
  <c r="BG359" i="43"/>
  <c r="AF359" i="43" s="1"/>
  <c r="AI359" i="43"/>
  <c r="H359" i="43" s="1"/>
  <c r="AX359" i="43"/>
  <c r="W359" i="43" s="1"/>
  <c r="AH359" i="43"/>
  <c r="G359" i="43" s="1"/>
  <c r="AQ359" i="43"/>
  <c r="P359" i="43" s="1"/>
  <c r="AU359" i="43"/>
  <c r="T359" i="43" s="1"/>
  <c r="AN359" i="43"/>
  <c r="M359" i="43" s="1"/>
  <c r="AS359" i="43"/>
  <c r="R359" i="43" s="1"/>
  <c r="AO359" i="43"/>
  <c r="N359" i="43" s="1"/>
  <c r="CJ352" i="43"/>
  <c r="CK352" i="43"/>
  <c r="Z263" i="43"/>
  <c r="J263" i="43"/>
  <c r="Q263" i="43"/>
  <c r="T263" i="43"/>
  <c r="G263" i="43"/>
  <c r="S263" i="43"/>
  <c r="O263" i="43"/>
  <c r="N263" i="43"/>
  <c r="P263" i="43"/>
  <c r="K263" i="43"/>
  <c r="V263" i="43"/>
  <c r="AC263" i="43"/>
  <c r="M263" i="43"/>
  <c r="L263" i="43"/>
  <c r="AF263" i="43"/>
  <c r="AE263" i="43"/>
  <c r="U263" i="43"/>
  <c r="R263" i="43"/>
  <c r="Y263" i="43"/>
  <c r="I263" i="43"/>
  <c r="AA263" i="43"/>
  <c r="W263" i="43"/>
  <c r="H263" i="43"/>
  <c r="AD263" i="43"/>
  <c r="AB263" i="43"/>
  <c r="X263" i="43"/>
  <c r="BE113" i="43"/>
  <c r="AD113" i="43" s="1"/>
  <c r="AD39" i="43" s="1"/>
  <c r="AD76" i="43" s="1"/>
  <c r="AO113" i="43"/>
  <c r="N113" i="43" s="1"/>
  <c r="N39" i="43" s="1"/>
  <c r="N76" i="43" s="1"/>
  <c r="AT113" i="43"/>
  <c r="S113" i="43" s="1"/>
  <c r="S39" i="43" s="1"/>
  <c r="S76" i="43" s="1"/>
  <c r="AV113" i="43"/>
  <c r="U113" i="43" s="1"/>
  <c r="U39" i="43" s="1"/>
  <c r="U76" i="43" s="1"/>
  <c r="AM113" i="43"/>
  <c r="L113" i="43" s="1"/>
  <c r="L39" i="43" s="1"/>
  <c r="L76" i="43" s="1"/>
  <c r="AL113" i="43"/>
  <c r="K113" i="43" s="1"/>
  <c r="K39" i="43" s="1"/>
  <c r="K76" i="43" s="1"/>
  <c r="AJ113" i="43"/>
  <c r="I113" i="43" s="1"/>
  <c r="I39" i="43" s="1"/>
  <c r="I76" i="43" s="1"/>
  <c r="AY113" i="43"/>
  <c r="X113" i="43" s="1"/>
  <c r="X39" i="43" s="1"/>
  <c r="X76" i="43" s="1"/>
  <c r="AR113" i="43"/>
  <c r="Q113" i="43" s="1"/>
  <c r="Q39" i="43" s="1"/>
  <c r="Q76" i="43" s="1"/>
  <c r="BF113" i="43"/>
  <c r="AE113" i="43" s="1"/>
  <c r="AE39" i="43" s="1"/>
  <c r="AE76" i="43" s="1"/>
  <c r="BA113" i="43"/>
  <c r="Z113" i="43" s="1"/>
  <c r="Z39" i="43" s="1"/>
  <c r="Z76" i="43" s="1"/>
  <c r="AK113" i="43"/>
  <c r="J113" i="43" s="1"/>
  <c r="J39" i="43" s="1"/>
  <c r="J76" i="43" s="1"/>
  <c r="AN113" i="43"/>
  <c r="M113" i="43" s="1"/>
  <c r="M39" i="43" s="1"/>
  <c r="M76" i="43" s="1"/>
  <c r="BC113" i="43"/>
  <c r="AB113" i="43" s="1"/>
  <c r="AB39" i="43" s="1"/>
  <c r="AB76" i="43" s="1"/>
  <c r="AH113" i="43"/>
  <c r="G113" i="43" s="1"/>
  <c r="G39" i="43" s="1"/>
  <c r="G76" i="43" s="1"/>
  <c r="AU113" i="43"/>
  <c r="T113" i="43" s="1"/>
  <c r="T39" i="43" s="1"/>
  <c r="T76" i="43" s="1"/>
  <c r="AZ113" i="43"/>
  <c r="Y113" i="43" s="1"/>
  <c r="Y39" i="43" s="1"/>
  <c r="Y76" i="43" s="1"/>
  <c r="AQ113" i="43"/>
  <c r="P113" i="43" s="1"/>
  <c r="P39" i="43" s="1"/>
  <c r="P76" i="43" s="1"/>
  <c r="AW113" i="43"/>
  <c r="V113" i="43" s="1"/>
  <c r="V39" i="43" s="1"/>
  <c r="V76" i="43" s="1"/>
  <c r="BD113" i="43"/>
  <c r="AC113" i="43" s="1"/>
  <c r="AC39" i="43" s="1"/>
  <c r="AC76" i="43" s="1"/>
  <c r="AI113" i="43"/>
  <c r="H113" i="43" s="1"/>
  <c r="H39" i="43" s="1"/>
  <c r="H76" i="43" s="1"/>
  <c r="AX113" i="43"/>
  <c r="W113" i="43" s="1"/>
  <c r="W39" i="43" s="1"/>
  <c r="W76" i="43" s="1"/>
  <c r="BB113" i="43"/>
  <c r="AA113" i="43" s="1"/>
  <c r="AA39" i="43" s="1"/>
  <c r="AA76" i="43" s="1"/>
  <c r="AP113" i="43"/>
  <c r="O113" i="43" s="1"/>
  <c r="O39" i="43" s="1"/>
  <c r="O76" i="43" s="1"/>
  <c r="AS113" i="43"/>
  <c r="R113" i="43" s="1"/>
  <c r="R39" i="43" s="1"/>
  <c r="R76" i="43" s="1"/>
  <c r="BG113" i="43"/>
  <c r="AF113" i="43" s="1"/>
  <c r="AF39" i="43" s="1"/>
  <c r="AF76" i="43" s="1"/>
  <c r="AY371" i="43"/>
  <c r="X371" i="43" s="1"/>
  <c r="AI371" i="43"/>
  <c r="H371" i="43" s="1"/>
  <c r="AT371" i="43"/>
  <c r="S371" i="43" s="1"/>
  <c r="BA371" i="43"/>
  <c r="Z371" i="43" s="1"/>
  <c r="AR371" i="43"/>
  <c r="Q371" i="43" s="1"/>
  <c r="BD371" i="43"/>
  <c r="AC371" i="43" s="1"/>
  <c r="BC371" i="43"/>
  <c r="AB371" i="43" s="1"/>
  <c r="AX371" i="43"/>
  <c r="W371" i="43" s="1"/>
  <c r="AZ371" i="43"/>
  <c r="Y371" i="43" s="1"/>
  <c r="AV371" i="43"/>
  <c r="U371" i="43" s="1"/>
  <c r="AU371" i="43"/>
  <c r="T371" i="43" s="1"/>
  <c r="BF371" i="43"/>
  <c r="AE371" i="43" s="1"/>
  <c r="AP371" i="43"/>
  <c r="O371" i="43" s="1"/>
  <c r="AS371" i="43"/>
  <c r="R371" i="43" s="1"/>
  <c r="AJ371" i="43"/>
  <c r="I371" i="43" s="1"/>
  <c r="AN371" i="43"/>
  <c r="M371" i="43" s="1"/>
  <c r="AM371" i="43"/>
  <c r="L371" i="43" s="1"/>
  <c r="AO371" i="43"/>
  <c r="N371" i="43" s="1"/>
  <c r="BG371" i="43"/>
  <c r="AF371" i="43" s="1"/>
  <c r="AQ371" i="43"/>
  <c r="P371" i="43" s="1"/>
  <c r="BB371" i="43"/>
  <c r="AA371" i="43" s="1"/>
  <c r="AL371" i="43"/>
  <c r="K371" i="43" s="1"/>
  <c r="AK371" i="43"/>
  <c r="J371" i="43" s="1"/>
  <c r="BE371" i="43"/>
  <c r="AD371" i="43" s="1"/>
  <c r="AW371" i="43"/>
  <c r="V371" i="43" s="1"/>
  <c r="AH371" i="43"/>
  <c r="G371" i="43" s="1"/>
  <c r="AY353" i="43"/>
  <c r="X353" i="43" s="1"/>
  <c r="AI353" i="43"/>
  <c r="H353" i="43" s="1"/>
  <c r="AT353" i="43"/>
  <c r="S353" i="43" s="1"/>
  <c r="BD353" i="43"/>
  <c r="AC353" i="43" s="1"/>
  <c r="AS353" i="43"/>
  <c r="R353" i="43" s="1"/>
  <c r="BE353" i="43"/>
  <c r="AD353" i="43" s="1"/>
  <c r="BC353" i="43"/>
  <c r="AB353" i="43" s="1"/>
  <c r="AX353" i="43"/>
  <c r="W353" i="43" s="1"/>
  <c r="BA353" i="43"/>
  <c r="Z353" i="43" s="1"/>
  <c r="AW353" i="43"/>
  <c r="V353" i="43" s="1"/>
  <c r="AU353" i="43"/>
  <c r="T353" i="43" s="1"/>
  <c r="BF353" i="43"/>
  <c r="AE353" i="43" s="1"/>
  <c r="AP353" i="43"/>
  <c r="O353" i="43" s="1"/>
  <c r="AV353" i="43"/>
  <c r="U353" i="43" s="1"/>
  <c r="AK353" i="43"/>
  <c r="J353" i="43" s="1"/>
  <c r="AJ353" i="43"/>
  <c r="I353" i="43" s="1"/>
  <c r="AM353" i="43"/>
  <c r="L353" i="43" s="1"/>
  <c r="AH353" i="43"/>
  <c r="G353" i="43" s="1"/>
  <c r="AO353" i="43"/>
  <c r="N353" i="43" s="1"/>
  <c r="BG353" i="43"/>
  <c r="AF353" i="43" s="1"/>
  <c r="AQ353" i="43"/>
  <c r="P353" i="43" s="1"/>
  <c r="BB353" i="43"/>
  <c r="AA353" i="43" s="1"/>
  <c r="AL353" i="43"/>
  <c r="K353" i="43" s="1"/>
  <c r="AN353" i="43"/>
  <c r="M353" i="43" s="1"/>
  <c r="AR353" i="43"/>
  <c r="Q353" i="43" s="1"/>
  <c r="AZ353" i="43"/>
  <c r="Y353" i="43" s="1"/>
  <c r="AU347" i="43"/>
  <c r="T347" i="43" s="1"/>
  <c r="BF347" i="43"/>
  <c r="AE347" i="43" s="1"/>
  <c r="AP347" i="43"/>
  <c r="O347" i="43" s="1"/>
  <c r="AR347" i="43"/>
  <c r="Q347" i="43" s="1"/>
  <c r="AO347" i="43"/>
  <c r="N347" i="43" s="1"/>
  <c r="AK347" i="43"/>
  <c r="J347" i="43" s="1"/>
  <c r="AY347" i="43"/>
  <c r="X347" i="43" s="1"/>
  <c r="AI347" i="43"/>
  <c r="H347" i="43" s="1"/>
  <c r="AT347" i="43"/>
  <c r="S347" i="43" s="1"/>
  <c r="AZ347" i="43"/>
  <c r="Y347" i="43" s="1"/>
  <c r="AW347" i="43"/>
  <c r="V347" i="43" s="1"/>
  <c r="BD347" i="43"/>
  <c r="AC347" i="43" s="1"/>
  <c r="BG347" i="43"/>
  <c r="AF347" i="43" s="1"/>
  <c r="AQ347" i="43"/>
  <c r="P347" i="43" s="1"/>
  <c r="BB347" i="43"/>
  <c r="AA347" i="43" s="1"/>
  <c r="AL347" i="43"/>
  <c r="K347" i="43" s="1"/>
  <c r="AJ347" i="43"/>
  <c r="I347" i="43" s="1"/>
  <c r="AV347" i="43"/>
  <c r="U347" i="43" s="1"/>
  <c r="BA347" i="43"/>
  <c r="Z347" i="43" s="1"/>
  <c r="BC347" i="43"/>
  <c r="AB347" i="43" s="1"/>
  <c r="AM347" i="43"/>
  <c r="L347" i="43" s="1"/>
  <c r="AX347" i="43"/>
  <c r="W347" i="43" s="1"/>
  <c r="AH347" i="43"/>
  <c r="G347" i="43" s="1"/>
  <c r="BE347" i="43"/>
  <c r="AD347" i="43" s="1"/>
  <c r="AS347" i="43"/>
  <c r="R347" i="43" s="1"/>
  <c r="AN347" i="43"/>
  <c r="M347" i="43" s="1"/>
  <c r="R261" i="43"/>
  <c r="Y261" i="43"/>
  <c r="I261" i="43"/>
  <c r="AE261" i="43"/>
  <c r="O261" i="43"/>
  <c r="AF261" i="43"/>
  <c r="V261" i="43"/>
  <c r="L261" i="43"/>
  <c r="G261" i="43"/>
  <c r="AD261" i="43"/>
  <c r="N261" i="43"/>
  <c r="U261" i="43"/>
  <c r="AB261" i="43"/>
  <c r="S261" i="43"/>
  <c r="P261" i="43"/>
  <c r="W261" i="43"/>
  <c r="AC261" i="43"/>
  <c r="X261" i="43"/>
  <c r="Z261" i="43"/>
  <c r="J261" i="43"/>
  <c r="Q261" i="43"/>
  <c r="T261" i="43"/>
  <c r="H261" i="43"/>
  <c r="AA261" i="43"/>
  <c r="K261" i="43"/>
  <c r="M261" i="43"/>
  <c r="Q233" i="43"/>
  <c r="V233" i="43"/>
  <c r="Z233" i="43"/>
  <c r="W233" i="43"/>
  <c r="R233" i="43"/>
  <c r="T233" i="43"/>
  <c r="U233" i="43"/>
  <c r="AD233" i="43"/>
  <c r="N233" i="43"/>
  <c r="AC233" i="43"/>
  <c r="M233" i="43"/>
  <c r="P233" i="43"/>
  <c r="S233" i="43"/>
  <c r="O233" i="43"/>
  <c r="X233" i="43"/>
  <c r="H233" i="43"/>
  <c r="G233" i="43"/>
  <c r="Y233" i="43"/>
  <c r="AF233" i="43"/>
  <c r="K233" i="43"/>
  <c r="L233" i="43"/>
  <c r="I233" i="43"/>
  <c r="J233" i="43"/>
  <c r="AB233" i="43"/>
  <c r="AA233" i="43"/>
  <c r="AE233" i="43"/>
  <c r="BA91" i="43"/>
  <c r="Z91" i="43" s="1"/>
  <c r="Z17" i="43" s="1"/>
  <c r="Z54" i="43" s="1"/>
  <c r="AK91" i="43"/>
  <c r="J91" i="43" s="1"/>
  <c r="J17" i="43" s="1"/>
  <c r="J54" i="43" s="1"/>
  <c r="AP91" i="43"/>
  <c r="O91" i="43" s="1"/>
  <c r="O17" i="43" s="1"/>
  <c r="O54" i="43" s="1"/>
  <c r="BD91" i="43"/>
  <c r="AC91" i="43" s="1"/>
  <c r="AC17" i="43" s="1"/>
  <c r="AC54" i="43" s="1"/>
  <c r="AI91" i="43"/>
  <c r="H91" i="43" s="1"/>
  <c r="H17" i="43" s="1"/>
  <c r="H54" i="43" s="1"/>
  <c r="BG91" i="43"/>
  <c r="AF91" i="43" s="1"/>
  <c r="AF17" i="43" s="1"/>
  <c r="AF54" i="43" s="1"/>
  <c r="AQ91" i="43"/>
  <c r="P91" i="43" s="1"/>
  <c r="P17" i="43" s="1"/>
  <c r="P54" i="43" s="1"/>
  <c r="BE91" i="43"/>
  <c r="AD91" i="43" s="1"/>
  <c r="AD17" i="43" s="1"/>
  <c r="AD54" i="43" s="1"/>
  <c r="AM91" i="43"/>
  <c r="L91" i="43" s="1"/>
  <c r="L17" i="43" s="1"/>
  <c r="L54" i="43" s="1"/>
  <c r="AH91" i="43"/>
  <c r="G91" i="43" s="1"/>
  <c r="G17" i="43" s="1"/>
  <c r="G54" i="43" s="1"/>
  <c r="AW91" i="43"/>
  <c r="V91" i="43" s="1"/>
  <c r="V17" i="43" s="1"/>
  <c r="V54" i="43" s="1"/>
  <c r="BF91" i="43"/>
  <c r="AE91" i="43" s="1"/>
  <c r="AE17" i="43" s="1"/>
  <c r="AE54" i="43" s="1"/>
  <c r="AJ91" i="43"/>
  <c r="I91" i="43" s="1"/>
  <c r="I17" i="43" s="1"/>
  <c r="I54" i="43" s="1"/>
  <c r="AY91" i="43"/>
  <c r="X91" i="43" s="1"/>
  <c r="X17" i="43" s="1"/>
  <c r="X54" i="43" s="1"/>
  <c r="BC91" i="43"/>
  <c r="AB91" i="43" s="1"/>
  <c r="AB17" i="43" s="1"/>
  <c r="AB54" i="43" s="1"/>
  <c r="AL91" i="43"/>
  <c r="K91" i="43" s="1"/>
  <c r="K17" i="43" s="1"/>
  <c r="K54" i="43" s="1"/>
  <c r="AO91" i="43"/>
  <c r="N91" i="43" s="1"/>
  <c r="N17" i="43" s="1"/>
  <c r="N54" i="43" s="1"/>
  <c r="AN91" i="43"/>
  <c r="M91" i="43" s="1"/>
  <c r="M17" i="43" s="1"/>
  <c r="M54" i="43" s="1"/>
  <c r="AS91" i="43"/>
  <c r="R91" i="43" s="1"/>
  <c r="R17" i="43" s="1"/>
  <c r="R54" i="43" s="1"/>
  <c r="AZ91" i="43"/>
  <c r="Y91" i="43" s="1"/>
  <c r="Y17" i="43" s="1"/>
  <c r="Y54" i="43" s="1"/>
  <c r="AX91" i="43"/>
  <c r="W91" i="43" s="1"/>
  <c r="W17" i="43" s="1"/>
  <c r="W54" i="43" s="1"/>
  <c r="AT91" i="43"/>
  <c r="S91" i="43" s="1"/>
  <c r="S17" i="43" s="1"/>
  <c r="S54" i="43" s="1"/>
  <c r="AR91" i="43"/>
  <c r="Q91" i="43" s="1"/>
  <c r="Q17" i="43" s="1"/>
  <c r="Q54" i="43" s="1"/>
  <c r="BB91" i="43"/>
  <c r="AA91" i="43" s="1"/>
  <c r="AA17" i="43" s="1"/>
  <c r="AA54" i="43" s="1"/>
  <c r="AU91" i="43"/>
  <c r="T91" i="43" s="1"/>
  <c r="T17" i="43" s="1"/>
  <c r="T54" i="43" s="1"/>
  <c r="AV91" i="43"/>
  <c r="U91" i="43" s="1"/>
  <c r="U17" i="43" s="1"/>
  <c r="U54" i="43" s="1"/>
  <c r="Y253" i="43"/>
  <c r="I253" i="43"/>
  <c r="N253" i="43"/>
  <c r="L253" i="43"/>
  <c r="J253" i="43"/>
  <c r="O253" i="43"/>
  <c r="K253" i="43"/>
  <c r="S253" i="43"/>
  <c r="T253" i="43"/>
  <c r="R253" i="43"/>
  <c r="U253" i="43"/>
  <c r="AD253" i="43"/>
  <c r="H253" i="43"/>
  <c r="AE253" i="43"/>
  <c r="V253" i="43"/>
  <c r="Z253" i="43"/>
  <c r="M253" i="43"/>
  <c r="AB253" i="43"/>
  <c r="Q253" i="43"/>
  <c r="X253" i="43"/>
  <c r="AA253" i="43"/>
  <c r="W253" i="43"/>
  <c r="G253" i="43"/>
  <c r="AF253" i="43"/>
  <c r="AC253" i="43"/>
  <c r="P253" i="43"/>
  <c r="CK96" i="43"/>
  <c r="CJ96" i="43"/>
  <c r="CL96" i="43"/>
  <c r="CM96" i="43"/>
  <c r="BB365" i="43"/>
  <c r="AA365" i="43" s="1"/>
  <c r="AL365" i="43"/>
  <c r="K365" i="43" s="1"/>
  <c r="AR365" i="43"/>
  <c r="Q365" i="43" s="1"/>
  <c r="AV365" i="43"/>
  <c r="U365" i="43" s="1"/>
  <c r="AS365" i="43"/>
  <c r="R365" i="43" s="1"/>
  <c r="AU365" i="43"/>
  <c r="T365" i="43" s="1"/>
  <c r="AN365" i="43"/>
  <c r="M365" i="43" s="1"/>
  <c r="AW365" i="43"/>
  <c r="V365" i="43" s="1"/>
  <c r="BA365" i="43"/>
  <c r="Z365" i="43" s="1"/>
  <c r="BE365" i="43"/>
  <c r="AD365" i="43" s="1"/>
  <c r="AX365" i="43"/>
  <c r="W365" i="43" s="1"/>
  <c r="AH365" i="43"/>
  <c r="G365" i="43" s="1"/>
  <c r="AM365" i="43"/>
  <c r="L365" i="43" s="1"/>
  <c r="AQ365" i="43"/>
  <c r="P365" i="43" s="1"/>
  <c r="AI365" i="43"/>
  <c r="H365" i="43" s="1"/>
  <c r="AY365" i="43"/>
  <c r="X365" i="43" s="1"/>
  <c r="AP365" i="43"/>
  <c r="O365" i="43" s="1"/>
  <c r="BD365" i="43"/>
  <c r="AC365" i="43" s="1"/>
  <c r="AT365" i="43"/>
  <c r="S365" i="43" s="1"/>
  <c r="BC365" i="43"/>
  <c r="AB365" i="43" s="1"/>
  <c r="BG365" i="43"/>
  <c r="AF365" i="43" s="1"/>
  <c r="AK365" i="43"/>
  <c r="J365" i="43" s="1"/>
  <c r="AZ365" i="43"/>
  <c r="Y365" i="43" s="1"/>
  <c r="AJ365" i="43"/>
  <c r="I365" i="43" s="1"/>
  <c r="BF365" i="43"/>
  <c r="AE365" i="43" s="1"/>
  <c r="AO365" i="43"/>
  <c r="N365" i="43" s="1"/>
  <c r="AT363" i="43"/>
  <c r="S363" i="43" s="1"/>
  <c r="BE363" i="43"/>
  <c r="AD363" i="43" s="1"/>
  <c r="AJ363" i="43"/>
  <c r="I363" i="43" s="1"/>
  <c r="AN363" i="43"/>
  <c r="M363" i="43" s="1"/>
  <c r="BA363" i="43"/>
  <c r="Z363" i="43" s="1"/>
  <c r="AM363" i="43"/>
  <c r="L363" i="43" s="1"/>
  <c r="AX363" i="43"/>
  <c r="W363" i="43" s="1"/>
  <c r="AO363" i="43"/>
  <c r="N363" i="43" s="1"/>
  <c r="AK363" i="43"/>
  <c r="J363" i="43" s="1"/>
  <c r="BF363" i="43"/>
  <c r="AE363" i="43" s="1"/>
  <c r="AP363" i="43"/>
  <c r="O363" i="43" s="1"/>
  <c r="AZ363" i="43"/>
  <c r="Y363" i="43" s="1"/>
  <c r="BD363" i="43"/>
  <c r="AC363" i="43" s="1"/>
  <c r="AI363" i="43"/>
  <c r="H363" i="43" s="1"/>
  <c r="AQ363" i="43"/>
  <c r="P363" i="43" s="1"/>
  <c r="AW363" i="43"/>
  <c r="V363" i="43" s="1"/>
  <c r="AS363" i="43"/>
  <c r="R363" i="43" s="1"/>
  <c r="BB363" i="43"/>
  <c r="AA363" i="43" s="1"/>
  <c r="AL363" i="43"/>
  <c r="K363" i="43" s="1"/>
  <c r="AU363" i="43"/>
  <c r="T363" i="43" s="1"/>
  <c r="AY363" i="43"/>
  <c r="X363" i="43" s="1"/>
  <c r="BC363" i="43"/>
  <c r="AB363" i="43" s="1"/>
  <c r="BG363" i="43"/>
  <c r="AF363" i="43" s="1"/>
  <c r="AV363" i="43"/>
  <c r="U363" i="43" s="1"/>
  <c r="AH363" i="43"/>
  <c r="G363" i="43" s="1"/>
  <c r="AR363" i="43"/>
  <c r="Q363" i="43" s="1"/>
  <c r="DE345" i="43"/>
  <c r="CO345" i="43"/>
  <c r="CZ345" i="43"/>
  <c r="CJ345" i="43"/>
  <c r="DG345" i="43"/>
  <c r="CP345" i="43"/>
  <c r="CX345" i="43"/>
  <c r="DI345" i="43"/>
  <c r="CN345" i="43"/>
  <c r="CL345" i="43"/>
  <c r="DA345" i="43"/>
  <c r="CK345" i="43"/>
  <c r="CV345" i="43"/>
  <c r="DB345" i="43"/>
  <c r="CY345" i="43"/>
  <c r="DC345" i="43"/>
  <c r="DD345" i="43"/>
  <c r="CM345" i="43"/>
  <c r="CW345" i="43"/>
  <c r="DH345" i="43"/>
  <c r="CR345" i="43"/>
  <c r="CT345" i="43"/>
  <c r="CQ345" i="43"/>
  <c r="DF345" i="43"/>
  <c r="CS345" i="43"/>
  <c r="CU345" i="43"/>
  <c r="CN396" i="43"/>
  <c r="CL396" i="43"/>
  <c r="CJ396" i="43"/>
  <c r="CK396" i="43"/>
  <c r="CM396" i="43"/>
  <c r="AE254" i="43"/>
  <c r="O254" i="43"/>
  <c r="Y254" i="43"/>
  <c r="AC254" i="43"/>
  <c r="Z254" i="43"/>
  <c r="J254" i="43"/>
  <c r="M254" i="43"/>
  <c r="AA254" i="43"/>
  <c r="K254" i="43"/>
  <c r="V254" i="43"/>
  <c r="Q254" i="43"/>
  <c r="S254" i="43"/>
  <c r="I254" i="43"/>
  <c r="U254" i="43"/>
  <c r="T254" i="43"/>
  <c r="R254" i="43"/>
  <c r="AF254" i="43"/>
  <c r="H254" i="43"/>
  <c r="W254" i="43"/>
  <c r="G254" i="43"/>
  <c r="N254" i="43"/>
  <c r="P254" i="43"/>
  <c r="L254" i="43"/>
  <c r="AB254" i="43"/>
  <c r="AD254" i="43"/>
  <c r="X254" i="43"/>
  <c r="AC251" i="43"/>
  <c r="M251" i="43"/>
  <c r="R251" i="43"/>
  <c r="V251" i="43"/>
  <c r="Z251" i="43"/>
  <c r="P251" i="43"/>
  <c r="AA251" i="43"/>
  <c r="Q251" i="43"/>
  <c r="W251" i="43"/>
  <c r="AE251" i="43"/>
  <c r="T251" i="43"/>
  <c r="Y251" i="43"/>
  <c r="I251" i="43"/>
  <c r="L251" i="43"/>
  <c r="O251" i="43"/>
  <c r="S251" i="43"/>
  <c r="X251" i="43"/>
  <c r="N251" i="43"/>
  <c r="AF251" i="43"/>
  <c r="U251" i="43"/>
  <c r="AB251" i="43"/>
  <c r="G251" i="43"/>
  <c r="H251" i="43"/>
  <c r="K251" i="43"/>
  <c r="J251" i="43"/>
  <c r="AD251" i="43"/>
  <c r="AW97" i="43"/>
  <c r="V97" i="43" s="1"/>
  <c r="V23" i="43" s="1"/>
  <c r="V60" i="43" s="1"/>
  <c r="BG97" i="43"/>
  <c r="AF97" i="43" s="1"/>
  <c r="AF23" i="43" s="1"/>
  <c r="AF60" i="43" s="1"/>
  <c r="AL97" i="43"/>
  <c r="K97" i="43" s="1"/>
  <c r="K23" i="43" s="1"/>
  <c r="K60" i="43" s="1"/>
  <c r="BF97" i="43"/>
  <c r="AE97" i="43" s="1"/>
  <c r="AE23" i="43" s="1"/>
  <c r="AE60" i="43" s="1"/>
  <c r="AJ97" i="43"/>
  <c r="I97" i="43" s="1"/>
  <c r="I23" i="43" s="1"/>
  <c r="I60" i="43" s="1"/>
  <c r="AR97" i="43"/>
  <c r="Q97" i="43" s="1"/>
  <c r="Q23" i="43" s="1"/>
  <c r="Q60" i="43" s="1"/>
  <c r="BA97" i="43"/>
  <c r="Z97" i="43" s="1"/>
  <c r="Z23" i="43" s="1"/>
  <c r="Z60" i="43" s="1"/>
  <c r="AQ97" i="43"/>
  <c r="P97" i="43" s="1"/>
  <c r="P23" i="43" s="1"/>
  <c r="P60" i="43" s="1"/>
  <c r="AP97" i="43"/>
  <c r="O97" i="43" s="1"/>
  <c r="O23" i="43" s="1"/>
  <c r="O60" i="43" s="1"/>
  <c r="AH97" i="43"/>
  <c r="G97" i="43" s="1"/>
  <c r="G23" i="43" s="1"/>
  <c r="G60" i="43" s="1"/>
  <c r="AS97" i="43"/>
  <c r="R97" i="43" s="1"/>
  <c r="R23" i="43" s="1"/>
  <c r="R60" i="43" s="1"/>
  <c r="BB97" i="43"/>
  <c r="AA97" i="43" s="1"/>
  <c r="AA23" i="43" s="1"/>
  <c r="AA60" i="43" s="1"/>
  <c r="BD97" i="43"/>
  <c r="AC97" i="43" s="1"/>
  <c r="AC23" i="43" s="1"/>
  <c r="AC60" i="43" s="1"/>
  <c r="AZ97" i="43"/>
  <c r="Y97" i="43" s="1"/>
  <c r="Y23" i="43" s="1"/>
  <c r="Y60" i="43" s="1"/>
  <c r="AY97" i="43"/>
  <c r="X97" i="43" s="1"/>
  <c r="X23" i="43" s="1"/>
  <c r="X60" i="43" s="1"/>
  <c r="AM97" i="43"/>
  <c r="L97" i="43" s="1"/>
  <c r="L23" i="43" s="1"/>
  <c r="L60" i="43" s="1"/>
  <c r="AX97" i="43"/>
  <c r="W97" i="43" s="1"/>
  <c r="W23" i="43" s="1"/>
  <c r="W60" i="43" s="1"/>
  <c r="BE97" i="43"/>
  <c r="AD97" i="43" s="1"/>
  <c r="AD23" i="43" s="1"/>
  <c r="AD60" i="43" s="1"/>
  <c r="AO97" i="43"/>
  <c r="N97" i="43" s="1"/>
  <c r="N23" i="43" s="1"/>
  <c r="N60" i="43" s="1"/>
  <c r="AV97" i="43"/>
  <c r="U97" i="43" s="1"/>
  <c r="U23" i="43" s="1"/>
  <c r="U60" i="43" s="1"/>
  <c r="AT97" i="43"/>
  <c r="S97" i="43" s="1"/>
  <c r="S23" i="43" s="1"/>
  <c r="S60" i="43" s="1"/>
  <c r="AU97" i="43"/>
  <c r="T97" i="43" s="1"/>
  <c r="T23" i="43" s="1"/>
  <c r="T60" i="43" s="1"/>
  <c r="AN97" i="43"/>
  <c r="M97" i="43" s="1"/>
  <c r="M23" i="43" s="1"/>
  <c r="M60" i="43" s="1"/>
  <c r="BC97" i="43"/>
  <c r="AB97" i="43" s="1"/>
  <c r="AB23" i="43" s="1"/>
  <c r="AB60" i="43" s="1"/>
  <c r="AK97" i="43"/>
  <c r="J97" i="43" s="1"/>
  <c r="J23" i="43" s="1"/>
  <c r="J60" i="43" s="1"/>
  <c r="AI97" i="43"/>
  <c r="H97" i="43" s="1"/>
  <c r="H23" i="43" s="1"/>
  <c r="H60" i="43" s="1"/>
  <c r="Y241" i="43"/>
  <c r="I241" i="43"/>
  <c r="P241" i="43"/>
  <c r="L241" i="43"/>
  <c r="H241" i="43"/>
  <c r="N241" i="43"/>
  <c r="X241" i="43"/>
  <c r="M241" i="43"/>
  <c r="O241" i="43"/>
  <c r="AB241" i="43"/>
  <c r="U241" i="43"/>
  <c r="AF241" i="43"/>
  <c r="K241" i="43"/>
  <c r="AD241" i="43"/>
  <c r="T241" i="43"/>
  <c r="J241" i="43"/>
  <c r="AC241" i="43"/>
  <c r="S241" i="43"/>
  <c r="AE241" i="43"/>
  <c r="Q241" i="43"/>
  <c r="AA241" i="43"/>
  <c r="Z241" i="43"/>
  <c r="W241" i="43"/>
  <c r="G241" i="43"/>
  <c r="R241" i="43"/>
  <c r="V241" i="43"/>
  <c r="U239" i="43"/>
  <c r="AE239" i="43"/>
  <c r="J239" i="43"/>
  <c r="G239" i="43"/>
  <c r="K239" i="43"/>
  <c r="H239" i="43"/>
  <c r="Y239" i="43"/>
  <c r="N239" i="43"/>
  <c r="R239" i="43"/>
  <c r="Q239" i="43"/>
  <c r="Z239" i="43"/>
  <c r="AB239" i="43"/>
  <c r="AF239" i="43"/>
  <c r="AD239" i="43"/>
  <c r="L239" i="43"/>
  <c r="I239" i="43"/>
  <c r="W239" i="43"/>
  <c r="AC239" i="43"/>
  <c r="M239" i="43"/>
  <c r="T239" i="43"/>
  <c r="V239" i="43"/>
  <c r="X239" i="43"/>
  <c r="P239" i="43"/>
  <c r="AA239" i="43"/>
  <c r="O239" i="43"/>
  <c r="S239" i="43"/>
  <c r="AY346" i="43"/>
  <c r="X346" i="43" s="1"/>
  <c r="AI346" i="43"/>
  <c r="H346" i="43" s="1"/>
  <c r="AT346" i="43"/>
  <c r="S346" i="43" s="1"/>
  <c r="BD346" i="43"/>
  <c r="AC346" i="43" s="1"/>
  <c r="AS346" i="43"/>
  <c r="R346" i="43" s="1"/>
  <c r="AZ346" i="43"/>
  <c r="Y346" i="43" s="1"/>
  <c r="AU346" i="43"/>
  <c r="T346" i="43" s="1"/>
  <c r="BF346" i="43"/>
  <c r="AE346" i="43" s="1"/>
  <c r="AP346" i="43"/>
  <c r="O346" i="43" s="1"/>
  <c r="AK346" i="43"/>
  <c r="J346" i="43" s="1"/>
  <c r="AR346" i="43"/>
  <c r="Q346" i="43" s="1"/>
  <c r="BA346" i="43"/>
  <c r="Z346" i="43" s="1"/>
  <c r="AO346" i="43"/>
  <c r="N346" i="43" s="1"/>
  <c r="AV346" i="43"/>
  <c r="U346" i="43" s="1"/>
  <c r="BC346" i="43"/>
  <c r="AB346" i="43" s="1"/>
  <c r="AX346" i="43"/>
  <c r="W346" i="43" s="1"/>
  <c r="AJ346" i="43"/>
  <c r="I346" i="43" s="1"/>
  <c r="BG346" i="43"/>
  <c r="AF346" i="43" s="1"/>
  <c r="AQ346" i="43"/>
  <c r="P346" i="43" s="1"/>
  <c r="BB346" i="43"/>
  <c r="AA346" i="43" s="1"/>
  <c r="AL346" i="43"/>
  <c r="K346" i="43" s="1"/>
  <c r="AN346" i="43"/>
  <c r="M346" i="43" s="1"/>
  <c r="BE346" i="43"/>
  <c r="AD346" i="43" s="1"/>
  <c r="AW346" i="43"/>
  <c r="V346" i="43" s="1"/>
  <c r="AM346" i="43"/>
  <c r="L346" i="43" s="1"/>
  <c r="AH346" i="43"/>
  <c r="G346" i="43" s="1"/>
  <c r="AU370" i="43"/>
  <c r="BF370" i="43"/>
  <c r="AP370" i="43"/>
  <c r="AW370" i="43"/>
  <c r="AN370" i="43"/>
  <c r="AJ370" i="43"/>
  <c r="BG370" i="43"/>
  <c r="BB370" i="43"/>
  <c r="AL370" i="43"/>
  <c r="BA370" i="43"/>
  <c r="AS370" i="43"/>
  <c r="BC370" i="43"/>
  <c r="AX370" i="43"/>
  <c r="BD370" i="43"/>
  <c r="AR370" i="43"/>
  <c r="AY370" i="43"/>
  <c r="BE370" i="43"/>
  <c r="AV370" i="43"/>
  <c r="AQ370" i="43"/>
  <c r="AO370" i="43"/>
  <c r="AM370" i="43"/>
  <c r="AK370" i="43"/>
  <c r="AI370" i="43"/>
  <c r="AZ370" i="43"/>
  <c r="AH370" i="43"/>
  <c r="AT370" i="43"/>
  <c r="W246" i="43"/>
  <c r="G246" i="43"/>
  <c r="N246" i="43"/>
  <c r="M246" i="43"/>
  <c r="J246" i="43"/>
  <c r="AC246" i="43"/>
  <c r="K246" i="43"/>
  <c r="U246" i="43"/>
  <c r="L246" i="43"/>
  <c r="S246" i="43"/>
  <c r="AD246" i="43"/>
  <c r="I246" i="43"/>
  <c r="AF246" i="43"/>
  <c r="R246" i="43"/>
  <c r="H246" i="43"/>
  <c r="T246" i="43"/>
  <c r="P246" i="43"/>
  <c r="AE246" i="43"/>
  <c r="O246" i="43"/>
  <c r="Y246" i="43"/>
  <c r="AB246" i="43"/>
  <c r="X246" i="43"/>
  <c r="Z246" i="43"/>
  <c r="V246" i="43"/>
  <c r="AA246" i="43"/>
  <c r="Q246" i="43"/>
  <c r="W240" i="43"/>
  <c r="G240" i="43"/>
  <c r="P240" i="43"/>
  <c r="Q240" i="43"/>
  <c r="M240" i="43"/>
  <c r="H240" i="43"/>
  <c r="AA240" i="43"/>
  <c r="X240" i="43"/>
  <c r="T240" i="43"/>
  <c r="S240" i="43"/>
  <c r="AF240" i="43"/>
  <c r="J240" i="43"/>
  <c r="I240" i="43"/>
  <c r="R240" i="43"/>
  <c r="V240" i="43"/>
  <c r="K240" i="43"/>
  <c r="AC240" i="43"/>
  <c r="AE240" i="43"/>
  <c r="O240" i="43"/>
  <c r="Z240" i="43"/>
  <c r="AD240" i="43"/>
  <c r="AB240" i="43"/>
  <c r="Y240" i="43"/>
  <c r="N240" i="43"/>
  <c r="U240" i="43"/>
  <c r="L240" i="43"/>
  <c r="Q247" i="43"/>
  <c r="Z247" i="43"/>
  <c r="AD247" i="43"/>
  <c r="AA247" i="43"/>
  <c r="G247" i="43"/>
  <c r="R247" i="43"/>
  <c r="AE247" i="43"/>
  <c r="J247" i="43"/>
  <c r="AF247" i="43"/>
  <c r="AC247" i="43"/>
  <c r="M247" i="43"/>
  <c r="T247" i="43"/>
  <c r="W247" i="43"/>
  <c r="S247" i="43"/>
  <c r="AB247" i="43"/>
  <c r="K247" i="43"/>
  <c r="V247" i="43"/>
  <c r="Y247" i="43"/>
  <c r="I247" i="43"/>
  <c r="O247" i="43"/>
  <c r="P247" i="43"/>
  <c r="L247" i="43"/>
  <c r="N247" i="43"/>
  <c r="X247" i="43"/>
  <c r="U247" i="43"/>
  <c r="H247" i="43"/>
  <c r="DC95" i="43"/>
  <c r="CM95" i="43"/>
  <c r="CR95" i="43"/>
  <c r="DF95" i="43"/>
  <c r="CK95" i="43"/>
  <c r="DD95" i="43"/>
  <c r="CX95" i="43"/>
  <c r="CY95" i="43"/>
  <c r="CL95" i="43"/>
  <c r="DA95" i="43"/>
  <c r="CS95" i="43"/>
  <c r="CT95" i="43"/>
  <c r="CQ95" i="43"/>
  <c r="CP95" i="43"/>
  <c r="CN95" i="43"/>
  <c r="DH95" i="43"/>
  <c r="DE95" i="43"/>
  <c r="DI95" i="43"/>
  <c r="DG95" i="43"/>
  <c r="CO95" i="43"/>
  <c r="CU95" i="43"/>
  <c r="DB95" i="43"/>
  <c r="CZ95" i="43"/>
  <c r="CV95" i="43"/>
  <c r="CW95" i="43"/>
  <c r="CJ95" i="43"/>
  <c r="BC401" i="43"/>
  <c r="AM401" i="43"/>
  <c r="AX401" i="43"/>
  <c r="AH401" i="43"/>
  <c r="AZ401" i="43"/>
  <c r="AN401" i="43"/>
  <c r="BE401" i="43"/>
  <c r="BG401" i="43"/>
  <c r="AQ401" i="43"/>
  <c r="BB401" i="43"/>
  <c r="BD401" i="43"/>
  <c r="AO401" i="43"/>
  <c r="AY401" i="43"/>
  <c r="AI401" i="43"/>
  <c r="AT401" i="43"/>
  <c r="BA401" i="43"/>
  <c r="AR401" i="43"/>
  <c r="AW401" i="43"/>
  <c r="AK401" i="43"/>
  <c r="AU401" i="43"/>
  <c r="BF401" i="43"/>
  <c r="AP401" i="43"/>
  <c r="AS401" i="43"/>
  <c r="AJ401" i="43"/>
  <c r="AV401" i="43"/>
  <c r="AL401" i="43"/>
  <c r="BG372" i="43"/>
  <c r="AF372" i="43" s="1"/>
  <c r="AQ372" i="43"/>
  <c r="P372" i="43" s="1"/>
  <c r="BB372" i="43"/>
  <c r="AA372" i="43" s="1"/>
  <c r="AL372" i="43"/>
  <c r="K372" i="43" s="1"/>
  <c r="AO372" i="43"/>
  <c r="N372" i="43" s="1"/>
  <c r="BA372" i="43"/>
  <c r="Z372" i="43" s="1"/>
  <c r="AS372" i="43"/>
  <c r="R372" i="43" s="1"/>
  <c r="AU372" i="43"/>
  <c r="T372" i="43" s="1"/>
  <c r="BF372" i="43"/>
  <c r="AE372" i="43" s="1"/>
  <c r="AP372" i="43"/>
  <c r="O372" i="43" s="1"/>
  <c r="AW372" i="43"/>
  <c r="V372" i="43" s="1"/>
  <c r="AN372" i="43"/>
  <c r="M372" i="43" s="1"/>
  <c r="BC372" i="43"/>
  <c r="AB372" i="43" s="1"/>
  <c r="AM372" i="43"/>
  <c r="L372" i="43" s="1"/>
  <c r="AX372" i="43"/>
  <c r="W372" i="43" s="1"/>
  <c r="AH372" i="43"/>
  <c r="G372" i="43" s="1"/>
  <c r="BD372" i="43"/>
  <c r="AC372" i="43" s="1"/>
  <c r="AK372" i="43"/>
  <c r="J372" i="43" s="1"/>
  <c r="AR372" i="43"/>
  <c r="Q372" i="43" s="1"/>
  <c r="AY372" i="43"/>
  <c r="X372" i="43" s="1"/>
  <c r="AI372" i="43"/>
  <c r="H372" i="43" s="1"/>
  <c r="AT372" i="43"/>
  <c r="S372" i="43" s="1"/>
  <c r="BE372" i="43"/>
  <c r="AD372" i="43" s="1"/>
  <c r="AV372" i="43"/>
  <c r="U372" i="43" s="1"/>
  <c r="AZ372" i="43"/>
  <c r="Y372" i="43" s="1"/>
  <c r="AJ372" i="43"/>
  <c r="I372" i="43" s="1"/>
  <c r="CM358" i="43"/>
  <c r="CL358" i="43"/>
  <c r="CJ358" i="43"/>
  <c r="CK358" i="43"/>
  <c r="CW394" i="43"/>
  <c r="DH394" i="43"/>
  <c r="CR394" i="43"/>
  <c r="CT394" i="43"/>
  <c r="CQ394" i="43"/>
  <c r="DF394" i="43"/>
  <c r="DA394" i="43"/>
  <c r="DB394" i="43"/>
  <c r="DI394" i="43"/>
  <c r="CS394" i="43"/>
  <c r="DD394" i="43"/>
  <c r="CN394" i="43"/>
  <c r="CL394" i="43"/>
  <c r="DC394" i="43"/>
  <c r="CP394" i="43"/>
  <c r="CV394" i="43"/>
  <c r="CX394" i="43"/>
  <c r="DE394" i="43"/>
  <c r="CO394" i="43"/>
  <c r="CZ394" i="43"/>
  <c r="CJ394" i="43"/>
  <c r="DG394" i="43"/>
  <c r="CM394" i="43"/>
  <c r="CU394" i="43"/>
  <c r="CK394" i="43"/>
  <c r="CY394" i="43"/>
  <c r="BF366" i="43"/>
  <c r="AE366" i="43" s="1"/>
  <c r="AP366" i="43"/>
  <c r="O366" i="43" s="1"/>
  <c r="BA366" i="43"/>
  <c r="Z366" i="43" s="1"/>
  <c r="BE366" i="43"/>
  <c r="AD366" i="43" s="1"/>
  <c r="AJ366" i="43"/>
  <c r="I366" i="43" s="1"/>
  <c r="BC366" i="43"/>
  <c r="AB366" i="43" s="1"/>
  <c r="AY366" i="43"/>
  <c r="X366" i="43" s="1"/>
  <c r="AL366" i="43"/>
  <c r="K366" i="43" s="1"/>
  <c r="AV366" i="43"/>
  <c r="U366" i="43" s="1"/>
  <c r="BD366" i="43"/>
  <c r="AC366" i="43" s="1"/>
  <c r="AR366" i="43"/>
  <c r="Q366" i="43" s="1"/>
  <c r="BG366" i="43"/>
  <c r="AF366" i="43" s="1"/>
  <c r="AI366" i="43"/>
  <c r="H366" i="43" s="1"/>
  <c r="AM366" i="43"/>
  <c r="L366" i="43" s="1"/>
  <c r="BB366" i="43"/>
  <c r="AA366" i="43" s="1"/>
  <c r="AZ366" i="43"/>
  <c r="Y366" i="43" s="1"/>
  <c r="AW366" i="43"/>
  <c r="V366" i="43" s="1"/>
  <c r="AK366" i="43"/>
  <c r="J366" i="43" s="1"/>
  <c r="AX366" i="43"/>
  <c r="W366" i="43" s="1"/>
  <c r="AH366" i="43"/>
  <c r="G366" i="43" s="1"/>
  <c r="AQ366" i="43"/>
  <c r="P366" i="43" s="1"/>
  <c r="AU366" i="43"/>
  <c r="T366" i="43" s="1"/>
  <c r="AS366" i="43"/>
  <c r="R366" i="43" s="1"/>
  <c r="AN366" i="43"/>
  <c r="M366" i="43" s="1"/>
  <c r="AT366" i="43"/>
  <c r="S366" i="43" s="1"/>
  <c r="AO366" i="43"/>
  <c r="N366" i="43" s="1"/>
  <c r="AW103" i="43"/>
  <c r="V103" i="43" s="1"/>
  <c r="V29" i="43" s="1"/>
  <c r="V66" i="43" s="1"/>
  <c r="BD103" i="43"/>
  <c r="AC103" i="43" s="1"/>
  <c r="AC29" i="43" s="1"/>
  <c r="AC66" i="43" s="1"/>
  <c r="AI103" i="43"/>
  <c r="H103" i="43" s="1"/>
  <c r="H29" i="43" s="1"/>
  <c r="H66" i="43" s="1"/>
  <c r="AX103" i="43"/>
  <c r="W103" i="43" s="1"/>
  <c r="W29" i="43" s="1"/>
  <c r="W66" i="43" s="1"/>
  <c r="BG103" i="43"/>
  <c r="AF103" i="43" s="1"/>
  <c r="AF29" i="43" s="1"/>
  <c r="AF66" i="43" s="1"/>
  <c r="AJ103" i="43"/>
  <c r="I103" i="43" s="1"/>
  <c r="I29" i="43" s="1"/>
  <c r="I66" i="43" s="1"/>
  <c r="BA103" i="43"/>
  <c r="Z103" i="43" s="1"/>
  <c r="Z29" i="43" s="1"/>
  <c r="Z66" i="43" s="1"/>
  <c r="AK103" i="43"/>
  <c r="J103" i="43" s="1"/>
  <c r="J29" i="43" s="1"/>
  <c r="J66" i="43" s="1"/>
  <c r="BC103" i="43"/>
  <c r="AB103" i="43" s="1"/>
  <c r="AB29" i="43" s="1"/>
  <c r="AB66" i="43" s="1"/>
  <c r="BF103" i="43"/>
  <c r="AE103" i="43" s="1"/>
  <c r="AE29" i="43" s="1"/>
  <c r="AE66" i="43" s="1"/>
  <c r="AS103" i="43"/>
  <c r="R103" i="43" s="1"/>
  <c r="R29" i="43" s="1"/>
  <c r="R66" i="43" s="1"/>
  <c r="AY103" i="43"/>
  <c r="X103" i="43" s="1"/>
  <c r="X29" i="43" s="1"/>
  <c r="X66" i="43" s="1"/>
  <c r="BB103" i="43"/>
  <c r="AA103" i="43" s="1"/>
  <c r="AA29" i="43" s="1"/>
  <c r="AA66" i="43" s="1"/>
  <c r="AR103" i="43"/>
  <c r="Q103" i="43" s="1"/>
  <c r="Q29" i="43" s="1"/>
  <c r="Q66" i="43" s="1"/>
  <c r="AV103" i="43"/>
  <c r="U103" i="43" s="1"/>
  <c r="U29" i="43" s="1"/>
  <c r="U66" i="43" s="1"/>
  <c r="AZ103" i="43"/>
  <c r="Y103" i="43" s="1"/>
  <c r="Y29" i="43" s="1"/>
  <c r="Y66" i="43" s="1"/>
  <c r="AH103" i="43"/>
  <c r="G103" i="43" s="1"/>
  <c r="G29" i="43" s="1"/>
  <c r="G66" i="43" s="1"/>
  <c r="BE103" i="43"/>
  <c r="AD103" i="43" s="1"/>
  <c r="AD29" i="43" s="1"/>
  <c r="AD66" i="43" s="1"/>
  <c r="AO103" i="43"/>
  <c r="N103" i="43" s="1"/>
  <c r="N29" i="43" s="1"/>
  <c r="N66" i="43" s="1"/>
  <c r="AT103" i="43"/>
  <c r="S103" i="43" s="1"/>
  <c r="S29" i="43" s="1"/>
  <c r="S66" i="43" s="1"/>
  <c r="AQ103" i="43"/>
  <c r="P103" i="43" s="1"/>
  <c r="P29" i="43" s="1"/>
  <c r="P66" i="43" s="1"/>
  <c r="AM103" i="43"/>
  <c r="L103" i="43" s="1"/>
  <c r="L29" i="43" s="1"/>
  <c r="L66" i="43" s="1"/>
  <c r="AL103" i="43"/>
  <c r="K103" i="43" s="1"/>
  <c r="K29" i="43" s="1"/>
  <c r="K66" i="43" s="1"/>
  <c r="AU103" i="43"/>
  <c r="T103" i="43" s="1"/>
  <c r="T29" i="43" s="1"/>
  <c r="T66" i="43" s="1"/>
  <c r="AN103" i="43"/>
  <c r="M103" i="43" s="1"/>
  <c r="M29" i="43" s="1"/>
  <c r="M66" i="43" s="1"/>
  <c r="AP103" i="43"/>
  <c r="O103" i="43" s="1"/>
  <c r="O29" i="43" s="1"/>
  <c r="O66" i="43" s="1"/>
  <c r="R259" i="43"/>
  <c r="Y259" i="43"/>
  <c r="I259" i="43"/>
  <c r="H259" i="43"/>
  <c r="W259" i="43"/>
  <c r="T259" i="43"/>
  <c r="V259" i="43"/>
  <c r="P259" i="43"/>
  <c r="G259" i="43"/>
  <c r="AD259" i="43"/>
  <c r="N259" i="43"/>
  <c r="U259" i="43"/>
  <c r="AF259" i="43"/>
  <c r="AB259" i="43"/>
  <c r="L259" i="43"/>
  <c r="K259" i="43"/>
  <c r="M259" i="43"/>
  <c r="O259" i="43"/>
  <c r="Z259" i="43"/>
  <c r="J259" i="43"/>
  <c r="Q259" i="43"/>
  <c r="X259" i="43"/>
  <c r="S259" i="43"/>
  <c r="AA259" i="43"/>
  <c r="AE259" i="43"/>
  <c r="AC259" i="43"/>
  <c r="AS108" i="43"/>
  <c r="AZ108" i="43"/>
  <c r="BC108" i="43"/>
  <c r="AY108" i="43"/>
  <c r="AX108" i="43"/>
  <c r="AL108" i="43"/>
  <c r="AT108" i="43"/>
  <c r="BB108" i="43"/>
  <c r="AW108" i="43"/>
  <c r="BD108" i="43"/>
  <c r="AI108" i="43"/>
  <c r="BE108" i="43"/>
  <c r="AO108" i="43"/>
  <c r="AU108" i="43"/>
  <c r="AR108" i="43"/>
  <c r="AM108" i="43"/>
  <c r="BF108" i="43"/>
  <c r="BG108" i="43"/>
  <c r="BA108" i="43"/>
  <c r="AK108" i="43"/>
  <c r="AP108" i="43"/>
  <c r="AH108" i="43"/>
  <c r="AN108" i="43"/>
  <c r="AQ108" i="43"/>
  <c r="AV108" i="43"/>
  <c r="AJ108" i="43"/>
  <c r="Q235" i="43"/>
  <c r="W235" i="43"/>
  <c r="AE235" i="43"/>
  <c r="AA235" i="43"/>
  <c r="H235" i="43"/>
  <c r="Z235" i="43"/>
  <c r="U235" i="43"/>
  <c r="J235" i="43"/>
  <c r="V235" i="43"/>
  <c r="AC235" i="43"/>
  <c r="M235" i="43"/>
  <c r="R235" i="43"/>
  <c r="X235" i="43"/>
  <c r="T235" i="43"/>
  <c r="AD235" i="43"/>
  <c r="K235" i="43"/>
  <c r="AB235" i="43"/>
  <c r="Y235" i="43"/>
  <c r="I235" i="43"/>
  <c r="L235" i="43"/>
  <c r="P235" i="43"/>
  <c r="N235" i="43"/>
  <c r="O235" i="43"/>
  <c r="AF235" i="43"/>
  <c r="G235" i="43"/>
  <c r="S235" i="43"/>
  <c r="BA109" i="43"/>
  <c r="Z109" i="43" s="1"/>
  <c r="Z35" i="43" s="1"/>
  <c r="Z72" i="43" s="1"/>
  <c r="AK109" i="43"/>
  <c r="J109" i="43" s="1"/>
  <c r="J35" i="43" s="1"/>
  <c r="J72" i="43" s="1"/>
  <c r="AQ109" i="43"/>
  <c r="P109" i="43" s="1"/>
  <c r="P35" i="43" s="1"/>
  <c r="P72" i="43" s="1"/>
  <c r="AI109" i="43"/>
  <c r="H109" i="43" s="1"/>
  <c r="H35" i="43" s="1"/>
  <c r="H72" i="43" s="1"/>
  <c r="AP109" i="43"/>
  <c r="O109" i="43" s="1"/>
  <c r="O35" i="43" s="1"/>
  <c r="O72" i="43" s="1"/>
  <c r="BC109" i="43"/>
  <c r="AB109" i="43" s="1"/>
  <c r="AB35" i="43" s="1"/>
  <c r="AB72" i="43" s="1"/>
  <c r="AM109" i="43"/>
  <c r="L109" i="43" s="1"/>
  <c r="L35" i="43" s="1"/>
  <c r="L72" i="43" s="1"/>
  <c r="AW109" i="43"/>
  <c r="V109" i="43" s="1"/>
  <c r="V35" i="43" s="1"/>
  <c r="V72" i="43" s="1"/>
  <c r="BG109" i="43"/>
  <c r="AF109" i="43" s="1"/>
  <c r="AF35" i="43" s="1"/>
  <c r="AF72" i="43" s="1"/>
  <c r="BF109" i="43"/>
  <c r="AE109" i="43" s="1"/>
  <c r="AE35" i="43" s="1"/>
  <c r="AE72" i="43" s="1"/>
  <c r="AJ109" i="43"/>
  <c r="I109" i="43" s="1"/>
  <c r="I35" i="43" s="1"/>
  <c r="I72" i="43" s="1"/>
  <c r="AS109" i="43"/>
  <c r="R109" i="43" s="1"/>
  <c r="R35" i="43" s="1"/>
  <c r="R72" i="43" s="1"/>
  <c r="AZ109" i="43"/>
  <c r="Y109" i="43" s="1"/>
  <c r="Y35" i="43" s="1"/>
  <c r="Y72" i="43" s="1"/>
  <c r="BE109" i="43"/>
  <c r="AD109" i="43" s="1"/>
  <c r="AD35" i="43" s="1"/>
  <c r="AD72" i="43" s="1"/>
  <c r="AT109" i="43"/>
  <c r="S109" i="43" s="1"/>
  <c r="S35" i="43" s="1"/>
  <c r="S72" i="43" s="1"/>
  <c r="AU109" i="43"/>
  <c r="T109" i="43" s="1"/>
  <c r="T35" i="43" s="1"/>
  <c r="T72" i="43" s="1"/>
  <c r="AL109" i="43"/>
  <c r="K109" i="43" s="1"/>
  <c r="K35" i="43" s="1"/>
  <c r="K72" i="43" s="1"/>
  <c r="AH109" i="43"/>
  <c r="G109" i="43" s="1"/>
  <c r="G35" i="43" s="1"/>
  <c r="G72" i="43" s="1"/>
  <c r="BB109" i="43"/>
  <c r="AA109" i="43" s="1"/>
  <c r="AA35" i="43" s="1"/>
  <c r="AA72" i="43" s="1"/>
  <c r="AY109" i="43"/>
  <c r="X109" i="43" s="1"/>
  <c r="X35" i="43" s="1"/>
  <c r="X72" i="43" s="1"/>
  <c r="AO109" i="43"/>
  <c r="N109" i="43" s="1"/>
  <c r="N35" i="43" s="1"/>
  <c r="N72" i="43" s="1"/>
  <c r="AN109" i="43"/>
  <c r="M109" i="43" s="1"/>
  <c r="M35" i="43" s="1"/>
  <c r="M72" i="43" s="1"/>
  <c r="BD109" i="43"/>
  <c r="AC109" i="43" s="1"/>
  <c r="AC35" i="43" s="1"/>
  <c r="AC72" i="43" s="1"/>
  <c r="AX109" i="43"/>
  <c r="W109" i="43" s="1"/>
  <c r="W35" i="43" s="1"/>
  <c r="W72" i="43" s="1"/>
  <c r="AV109" i="43"/>
  <c r="U109" i="43" s="1"/>
  <c r="U35" i="43" s="1"/>
  <c r="U72" i="43" s="1"/>
  <c r="AR109" i="43"/>
  <c r="Q109" i="43" s="1"/>
  <c r="Q35" i="43" s="1"/>
  <c r="Q72" i="43" s="1"/>
  <c r="Y245" i="43"/>
  <c r="I245" i="43"/>
  <c r="N245" i="43"/>
  <c r="R245" i="43"/>
  <c r="O245" i="43"/>
  <c r="W245" i="43"/>
  <c r="T245" i="43"/>
  <c r="M245" i="43"/>
  <c r="Z245" i="43"/>
  <c r="P245" i="43"/>
  <c r="U245" i="43"/>
  <c r="AD245" i="43"/>
  <c r="H245" i="43"/>
  <c r="K245" i="43"/>
  <c r="G245" i="43"/>
  <c r="J245" i="43"/>
  <c r="AC245" i="43"/>
  <c r="V245" i="43"/>
  <c r="Q245" i="43"/>
  <c r="X245" i="43"/>
  <c r="AF245" i="43"/>
  <c r="AB245" i="43"/>
  <c r="AE245" i="43"/>
  <c r="AA245" i="43"/>
  <c r="S245" i="43"/>
  <c r="L245" i="43"/>
  <c r="AW110" i="43"/>
  <c r="V110" i="43" s="1"/>
  <c r="V36" i="43" s="1"/>
  <c r="V73" i="43" s="1"/>
  <c r="BC110" i="43"/>
  <c r="AB110" i="43" s="1"/>
  <c r="AB36" i="43" s="1"/>
  <c r="AB73" i="43" s="1"/>
  <c r="AH110" i="43"/>
  <c r="G110" i="43" s="1"/>
  <c r="G36" i="43" s="1"/>
  <c r="G73" i="43" s="1"/>
  <c r="BG110" i="43"/>
  <c r="AF110" i="43" s="1"/>
  <c r="AF36" i="43" s="1"/>
  <c r="AF73" i="43" s="1"/>
  <c r="AL110" i="43"/>
  <c r="K110" i="43" s="1"/>
  <c r="K36" i="43" s="1"/>
  <c r="K73" i="43" s="1"/>
  <c r="AN110" i="43"/>
  <c r="M110" i="43" s="1"/>
  <c r="M36" i="43" s="1"/>
  <c r="M73" i="43" s="1"/>
  <c r="BA110" i="43"/>
  <c r="Z110" i="43" s="1"/>
  <c r="Z36" i="43" s="1"/>
  <c r="Z73" i="43" s="1"/>
  <c r="AJ110" i="43"/>
  <c r="I110" i="43" s="1"/>
  <c r="I36" i="43" s="1"/>
  <c r="I73" i="43" s="1"/>
  <c r="AT110" i="43"/>
  <c r="S110" i="43" s="1"/>
  <c r="S36" i="43" s="1"/>
  <c r="S73" i="43" s="1"/>
  <c r="AS110" i="43"/>
  <c r="R110" i="43" s="1"/>
  <c r="R36" i="43" s="1"/>
  <c r="R73" i="43" s="1"/>
  <c r="AX110" i="43"/>
  <c r="W110" i="43" s="1"/>
  <c r="W36" i="43" s="1"/>
  <c r="W73" i="43" s="1"/>
  <c r="AZ110" i="43"/>
  <c r="Y110" i="43" s="1"/>
  <c r="Y36" i="43" s="1"/>
  <c r="Y73" i="43" s="1"/>
  <c r="BB110" i="43"/>
  <c r="AA110" i="43" s="1"/>
  <c r="AA36" i="43" s="1"/>
  <c r="AA73" i="43" s="1"/>
  <c r="BF110" i="43"/>
  <c r="AE110" i="43" s="1"/>
  <c r="AE36" i="43" s="1"/>
  <c r="AE73" i="43" s="1"/>
  <c r="BD110" i="43"/>
  <c r="AC110" i="43" s="1"/>
  <c r="AC36" i="43" s="1"/>
  <c r="AC73" i="43" s="1"/>
  <c r="AK110" i="43"/>
  <c r="J110" i="43" s="1"/>
  <c r="J36" i="43" s="1"/>
  <c r="J73" i="43" s="1"/>
  <c r="AQ110" i="43"/>
  <c r="P110" i="43" s="1"/>
  <c r="P36" i="43" s="1"/>
  <c r="P73" i="43" s="1"/>
  <c r="BE110" i="43"/>
  <c r="AD110" i="43" s="1"/>
  <c r="AD36" i="43" s="1"/>
  <c r="AD73" i="43" s="1"/>
  <c r="AO110" i="43"/>
  <c r="N110" i="43" s="1"/>
  <c r="N36" i="43" s="1"/>
  <c r="N73" i="43" s="1"/>
  <c r="AR110" i="43"/>
  <c r="Q110" i="43" s="1"/>
  <c r="Q36" i="43" s="1"/>
  <c r="Q73" i="43" s="1"/>
  <c r="AP110" i="43"/>
  <c r="O110" i="43" s="1"/>
  <c r="O36" i="43" s="1"/>
  <c r="O73" i="43" s="1"/>
  <c r="AV110" i="43"/>
  <c r="U110" i="43" s="1"/>
  <c r="U36" i="43" s="1"/>
  <c r="U73" i="43" s="1"/>
  <c r="AU110" i="43"/>
  <c r="T110" i="43" s="1"/>
  <c r="T36" i="43" s="1"/>
  <c r="T73" i="43" s="1"/>
  <c r="AI110" i="43"/>
  <c r="H110" i="43" s="1"/>
  <c r="H36" i="43" s="1"/>
  <c r="H73" i="43" s="1"/>
  <c r="AM110" i="43"/>
  <c r="L110" i="43" s="1"/>
  <c r="L36" i="43" s="1"/>
  <c r="L73" i="43" s="1"/>
  <c r="AY110" i="43"/>
  <c r="X110" i="43" s="1"/>
  <c r="X36" i="43" s="1"/>
  <c r="X73" i="43" s="1"/>
  <c r="AY412" i="43"/>
  <c r="X412" i="43" s="1"/>
  <c r="AI412" i="43"/>
  <c r="H412" i="43" s="1"/>
  <c r="AT412" i="43"/>
  <c r="S412" i="43" s="1"/>
  <c r="BA412" i="43"/>
  <c r="Z412" i="43" s="1"/>
  <c r="AR412" i="43"/>
  <c r="Q412" i="43" s="1"/>
  <c r="AO412" i="43"/>
  <c r="N412" i="43" s="1"/>
  <c r="AU412" i="43"/>
  <c r="T412" i="43" s="1"/>
  <c r="AP412" i="43"/>
  <c r="O412" i="43" s="1"/>
  <c r="AS412" i="43"/>
  <c r="R412" i="43" s="1"/>
  <c r="BD412" i="43"/>
  <c r="AC412" i="43" s="1"/>
  <c r="AX412" i="43"/>
  <c r="W412" i="43" s="1"/>
  <c r="AH412" i="43"/>
  <c r="G412" i="43" s="1"/>
  <c r="AN412" i="43"/>
  <c r="M412" i="43" s="1"/>
  <c r="BF412" i="43"/>
  <c r="AE412" i="43" s="1"/>
  <c r="AJ412" i="43"/>
  <c r="I412" i="43" s="1"/>
  <c r="AM412" i="43"/>
  <c r="L412" i="43" s="1"/>
  <c r="BE412" i="43"/>
  <c r="AD412" i="43" s="1"/>
  <c r="BG412" i="43"/>
  <c r="AF412" i="43" s="1"/>
  <c r="AQ412" i="43"/>
  <c r="P412" i="43" s="1"/>
  <c r="BB412" i="43"/>
  <c r="AA412" i="43" s="1"/>
  <c r="AL412" i="43"/>
  <c r="K412" i="43" s="1"/>
  <c r="AK412" i="43"/>
  <c r="J412" i="43" s="1"/>
  <c r="AV412" i="43"/>
  <c r="U412" i="43" s="1"/>
  <c r="AW412" i="43"/>
  <c r="V412" i="43" s="1"/>
  <c r="BC412" i="43"/>
  <c r="AB412" i="43" s="1"/>
  <c r="AZ412" i="43"/>
  <c r="Y412" i="43" s="1"/>
  <c r="V38" i="10"/>
  <c r="T38" i="10"/>
  <c r="T40" i="10"/>
  <c r="DG410" i="43" l="1"/>
  <c r="CT410" i="43"/>
  <c r="DF410" i="43"/>
  <c r="DC410" i="43"/>
  <c r="DD410" i="43"/>
  <c r="CS410" i="43"/>
  <c r="CY410" i="43"/>
  <c r="CW410" i="43"/>
  <c r="CX410" i="43"/>
  <c r="DE410" i="43"/>
  <c r="CV410" i="43"/>
  <c r="CZ410" i="43"/>
  <c r="CU410" i="43"/>
  <c r="DB410" i="43"/>
  <c r="CR410" i="43"/>
  <c r="DI410" i="43"/>
  <c r="DA410" i="43"/>
  <c r="CQ410" i="43"/>
  <c r="G10" i="43"/>
  <c r="G47" i="43" s="1"/>
  <c r="G160" i="43"/>
  <c r="DH396" i="43"/>
  <c r="AE396" i="43" s="1"/>
  <c r="DF396" i="43"/>
  <c r="AC396" i="43" s="1"/>
  <c r="CQ396" i="43"/>
  <c r="N396" i="43" s="1"/>
  <c r="CQ395" i="43"/>
  <c r="N395" i="43" s="1"/>
  <c r="DE395" i="43"/>
  <c r="AB395" i="43" s="1"/>
  <c r="DI395" i="43"/>
  <c r="AF395" i="43" s="1"/>
  <c r="DD395" i="43"/>
  <c r="AA395" i="43" s="1"/>
  <c r="CR395" i="43"/>
  <c r="O395" i="43" s="1"/>
  <c r="CY395" i="43"/>
  <c r="V395" i="43" s="1"/>
  <c r="CU395" i="43"/>
  <c r="R395" i="43" s="1"/>
  <c r="DH395" i="43"/>
  <c r="AE395" i="43" s="1"/>
  <c r="DC395" i="43"/>
  <c r="Z395" i="43" s="1"/>
  <c r="CZ395" i="43"/>
  <c r="W395" i="43" s="1"/>
  <c r="DB395" i="43"/>
  <c r="Y395" i="43" s="1"/>
  <c r="DG395" i="43"/>
  <c r="AD395" i="43" s="1"/>
  <c r="CT395" i="43"/>
  <c r="Q395" i="43" s="1"/>
  <c r="CV395" i="43"/>
  <c r="S395" i="43" s="1"/>
  <c r="DA395" i="43"/>
  <c r="X395" i="43" s="1"/>
  <c r="CS395" i="43"/>
  <c r="P395" i="43" s="1"/>
  <c r="CX395" i="43"/>
  <c r="U395" i="43" s="1"/>
  <c r="DF395" i="43"/>
  <c r="AC395" i="43" s="1"/>
  <c r="CW395" i="43"/>
  <c r="T395" i="43" s="1"/>
  <c r="CX396" i="43"/>
  <c r="U396" i="43" s="1"/>
  <c r="CV396" i="43"/>
  <c r="S396" i="43" s="1"/>
  <c r="DD396" i="43"/>
  <c r="AA396" i="43" s="1"/>
  <c r="CS396" i="43"/>
  <c r="P396" i="43" s="1"/>
  <c r="DG396" i="43"/>
  <c r="AD396" i="43" s="1"/>
  <c r="DE396" i="43"/>
  <c r="AB396" i="43" s="1"/>
  <c r="DB396" i="43"/>
  <c r="Y396" i="43" s="1"/>
  <c r="DB96" i="43"/>
  <c r="Y96" i="43" s="1"/>
  <c r="Y22" i="43" s="1"/>
  <c r="Y59" i="43" s="1"/>
  <c r="DD358" i="43"/>
  <c r="AA358" i="43" s="1"/>
  <c r="CT96" i="43"/>
  <c r="Q96" i="43" s="1"/>
  <c r="Q22" i="43" s="1"/>
  <c r="Q59" i="43" s="1"/>
  <c r="CY358" i="43"/>
  <c r="V358" i="43" s="1"/>
  <c r="DE358" i="43"/>
  <c r="AB358" i="43" s="1"/>
  <c r="CV96" i="43"/>
  <c r="S96" i="43" s="1"/>
  <c r="S22" i="43" s="1"/>
  <c r="S59" i="43" s="1"/>
  <c r="CR358" i="43"/>
  <c r="O358" i="43" s="1"/>
  <c r="CZ96" i="43"/>
  <c r="W96" i="43" s="1"/>
  <c r="W22" i="43" s="1"/>
  <c r="W59" i="43" s="1"/>
  <c r="CS358" i="43"/>
  <c r="P358" i="43" s="1"/>
  <c r="DA96" i="43"/>
  <c r="X96" i="43" s="1"/>
  <c r="X22" i="43" s="1"/>
  <c r="X59" i="43" s="1"/>
  <c r="CP96" i="43"/>
  <c r="M96" i="43" s="1"/>
  <c r="M22" i="43" s="1"/>
  <c r="M59" i="43" s="1"/>
  <c r="CP358" i="43"/>
  <c r="M358" i="43" s="1"/>
  <c r="DH358" i="43"/>
  <c r="AE358" i="43" s="1"/>
  <c r="DB358" i="43"/>
  <c r="Y358" i="43" s="1"/>
  <c r="CS96" i="43"/>
  <c r="P96" i="43" s="1"/>
  <c r="P22" i="43" s="1"/>
  <c r="P59" i="43" s="1"/>
  <c r="DC96" i="43"/>
  <c r="Z96" i="43" s="1"/>
  <c r="Z22" i="43" s="1"/>
  <c r="Z59" i="43" s="1"/>
  <c r="CQ96" i="43"/>
  <c r="N96" i="43" s="1"/>
  <c r="N22" i="43" s="1"/>
  <c r="N59" i="43" s="1"/>
  <c r="CX96" i="43"/>
  <c r="U96" i="43" s="1"/>
  <c r="U22" i="43" s="1"/>
  <c r="U59" i="43" s="1"/>
  <c r="DH96" i="43"/>
  <c r="AE96" i="43" s="1"/>
  <c r="AE22" i="43" s="1"/>
  <c r="AE59" i="43" s="1"/>
  <c r="CT396" i="43"/>
  <c r="Q396" i="43" s="1"/>
  <c r="CU396" i="43"/>
  <c r="R396" i="43" s="1"/>
  <c r="CZ396" i="43"/>
  <c r="W396" i="43" s="1"/>
  <c r="CY396" i="43"/>
  <c r="V396" i="43" s="1"/>
  <c r="DC358" i="43"/>
  <c r="Z358" i="43" s="1"/>
  <c r="DI358" i="43"/>
  <c r="AF358" i="43" s="1"/>
  <c r="CW358" i="43"/>
  <c r="T358" i="43" s="1"/>
  <c r="CU358" i="43"/>
  <c r="R358" i="43" s="1"/>
  <c r="CZ358" i="43"/>
  <c r="W358" i="43" s="1"/>
  <c r="DI96" i="43"/>
  <c r="AF96" i="43" s="1"/>
  <c r="AF22" i="43" s="1"/>
  <c r="AF59" i="43" s="1"/>
  <c r="DF96" i="43"/>
  <c r="AC96" i="43" s="1"/>
  <c r="AC22" i="43" s="1"/>
  <c r="AC59" i="43" s="1"/>
  <c r="DA358" i="43"/>
  <c r="X358" i="43" s="1"/>
  <c r="CV358" i="43"/>
  <c r="S358" i="43" s="1"/>
  <c r="CW96" i="43"/>
  <c r="T96" i="43" s="1"/>
  <c r="T22" i="43" s="1"/>
  <c r="T59" i="43" s="1"/>
  <c r="DE96" i="43"/>
  <c r="AB96" i="43" s="1"/>
  <c r="AB22" i="43" s="1"/>
  <c r="AB59" i="43" s="1"/>
  <c r="CU96" i="43"/>
  <c r="R96" i="43" s="1"/>
  <c r="R22" i="43" s="1"/>
  <c r="R59" i="43" s="1"/>
  <c r="CR96" i="43"/>
  <c r="O96" i="43" s="1"/>
  <c r="O22" i="43" s="1"/>
  <c r="O59" i="43" s="1"/>
  <c r="DA396" i="43"/>
  <c r="X396" i="43" s="1"/>
  <c r="CR396" i="43"/>
  <c r="O396" i="43" s="1"/>
  <c r="DC396" i="43"/>
  <c r="Z396" i="43" s="1"/>
  <c r="DI396" i="43"/>
  <c r="AF396" i="43" s="1"/>
  <c r="DG358" i="43"/>
  <c r="AD358" i="43" s="1"/>
  <c r="CQ358" i="43"/>
  <c r="N358" i="43" s="1"/>
  <c r="CT358" i="43"/>
  <c r="Q358" i="43" s="1"/>
  <c r="DF358" i="43"/>
  <c r="AC358" i="43" s="1"/>
  <c r="I401" i="43"/>
  <c r="AE401" i="43"/>
  <c r="R401" i="43"/>
  <c r="AD401" i="43"/>
  <c r="K401" i="43"/>
  <c r="V401" i="43"/>
  <c r="H401" i="43"/>
  <c r="CZ352" i="43"/>
  <c r="W352" i="43" s="1"/>
  <c r="DI352" i="43"/>
  <c r="AF352" i="43" s="1"/>
  <c r="CT352" i="43"/>
  <c r="Q352" i="43" s="1"/>
  <c r="W401" i="43"/>
  <c r="DG96" i="43"/>
  <c r="AD96" i="43" s="1"/>
  <c r="AD22" i="43" s="1"/>
  <c r="AD59" i="43" s="1"/>
  <c r="DD96" i="43"/>
  <c r="AA96" i="43" s="1"/>
  <c r="AA22" i="43" s="1"/>
  <c r="AA59" i="43" s="1"/>
  <c r="DE352" i="43"/>
  <c r="AB352" i="43" s="1"/>
  <c r="CR90" i="43"/>
  <c r="O90" i="43" s="1"/>
  <c r="O16" i="43" s="1"/>
  <c r="O53" i="43" s="1"/>
  <c r="DB352" i="43"/>
  <c r="Y352" i="43" s="1"/>
  <c r="DD90" i="43"/>
  <c r="AA90" i="43" s="1"/>
  <c r="AA16" i="43" s="1"/>
  <c r="AA53" i="43" s="1"/>
  <c r="CW352" i="43"/>
  <c r="T352" i="43" s="1"/>
  <c r="CO352" i="43"/>
  <c r="L352" i="43" s="1"/>
  <c r="CY352" i="43"/>
  <c r="V352" i="43" s="1"/>
  <c r="DH352" i="43"/>
  <c r="AE352" i="43" s="1"/>
  <c r="CR352" i="43"/>
  <c r="O352" i="43" s="1"/>
  <c r="DF352" i="43"/>
  <c r="AC352" i="43" s="1"/>
  <c r="CS352" i="43"/>
  <c r="P352" i="43" s="1"/>
  <c r="CQ352" i="43"/>
  <c r="N352" i="43" s="1"/>
  <c r="CX352" i="43"/>
  <c r="U352" i="43" s="1"/>
  <c r="DD352" i="43"/>
  <c r="AA352" i="43" s="1"/>
  <c r="CN352" i="43"/>
  <c r="K352" i="43" s="1"/>
  <c r="DA90" i="43"/>
  <c r="X90" i="43" s="1"/>
  <c r="X16" i="43" s="1"/>
  <c r="X53" i="43" s="1"/>
  <c r="DH90" i="43"/>
  <c r="AE90" i="43" s="1"/>
  <c r="AE16" i="43" s="1"/>
  <c r="AE53" i="43" s="1"/>
  <c r="CU352" i="43"/>
  <c r="R352" i="43" s="1"/>
  <c r="DG352" i="43"/>
  <c r="AD352" i="43" s="1"/>
  <c r="DC352" i="43"/>
  <c r="Z352" i="43" s="1"/>
  <c r="DA352" i="43"/>
  <c r="X352" i="43" s="1"/>
  <c r="CV352" i="43"/>
  <c r="S352" i="43" s="1"/>
  <c r="DE90" i="43"/>
  <c r="AB90" i="43" s="1"/>
  <c r="AB16" i="43" s="1"/>
  <c r="AB53" i="43" s="1"/>
  <c r="Q401" i="43"/>
  <c r="Y401" i="43"/>
  <c r="X401" i="43"/>
  <c r="T401" i="43"/>
  <c r="N401" i="43"/>
  <c r="AF401" i="43"/>
  <c r="U401" i="43"/>
  <c r="AB401" i="43"/>
  <c r="AD400" i="43"/>
  <c r="AA394" i="43"/>
  <c r="O394" i="43"/>
  <c r="AC401" i="43"/>
  <c r="O401" i="43"/>
  <c r="AA401" i="43"/>
  <c r="M401" i="43"/>
  <c r="I108" i="43"/>
  <c r="I34" i="43" s="1"/>
  <c r="I71" i="43" s="1"/>
  <c r="Z401" i="43"/>
  <c r="G401" i="43"/>
  <c r="J401" i="43"/>
  <c r="S401" i="43"/>
  <c r="L401" i="43"/>
  <c r="P401" i="43"/>
  <c r="G96" i="43"/>
  <c r="H357" i="43"/>
  <c r="G357" i="43"/>
  <c r="O357" i="43"/>
  <c r="AD370" i="43"/>
  <c r="W370" i="43"/>
  <c r="H108" i="43"/>
  <c r="H34" i="43" s="1"/>
  <c r="H71" i="43" s="1"/>
  <c r="CQ108" i="43"/>
  <c r="CR108" i="43" s="1"/>
  <c r="CS108" i="43" s="1"/>
  <c r="CT108" i="43" s="1"/>
  <c r="CU108" i="43" s="1"/>
  <c r="CV108" i="43" s="1"/>
  <c r="CW108" i="43" s="1"/>
  <c r="CX108" i="43" s="1"/>
  <c r="CY108" i="43" s="1"/>
  <c r="CZ108" i="43" s="1"/>
  <c r="DA108" i="43" s="1"/>
  <c r="DB108" i="43" s="1"/>
  <c r="DC108" i="43" s="1"/>
  <c r="DD108" i="43" s="1"/>
  <c r="DE108" i="43" s="1"/>
  <c r="DF108" i="43" s="1"/>
  <c r="H394" i="43"/>
  <c r="I394" i="43"/>
  <c r="N394" i="43"/>
  <c r="K95" i="43"/>
  <c r="K21" i="43" s="1"/>
  <c r="K58" i="43" s="1"/>
  <c r="P95" i="43"/>
  <c r="P21" i="43" s="1"/>
  <c r="P58" i="43" s="1"/>
  <c r="Q370" i="43"/>
  <c r="N400" i="43"/>
  <c r="AF400" i="43"/>
  <c r="J400" i="43"/>
  <c r="J357" i="43"/>
  <c r="K357" i="43"/>
  <c r="V96" i="43"/>
  <c r="V22" i="43" s="1"/>
  <c r="V59" i="43" s="1"/>
  <c r="G108" i="43"/>
  <c r="G34" i="43" s="1"/>
  <c r="G71" i="43" s="1"/>
  <c r="K108" i="43"/>
  <c r="K34" i="43" s="1"/>
  <c r="K71" i="43" s="1"/>
  <c r="AB394" i="43"/>
  <c r="Q95" i="43"/>
  <c r="Q21" i="43" s="1"/>
  <c r="Q58" i="43" s="1"/>
  <c r="AC95" i="43"/>
  <c r="AC21" i="43" s="1"/>
  <c r="AC58" i="43" s="1"/>
  <c r="X370" i="43"/>
  <c r="Q400" i="43"/>
  <c r="S357" i="43"/>
  <c r="AD357" i="43"/>
  <c r="H358" i="43"/>
  <c r="AA95" i="43"/>
  <c r="AA21" i="43" s="1"/>
  <c r="AA58" i="43" s="1"/>
  <c r="AC370" i="43"/>
  <c r="I370" i="43"/>
  <c r="U400" i="43"/>
  <c r="AA357" i="43"/>
  <c r="Y90" i="43"/>
  <c r="Y16" i="43" s="1"/>
  <c r="Y53" i="43" s="1"/>
  <c r="CP90" i="43"/>
  <c r="M90" i="43" s="1"/>
  <c r="M16" i="43" s="1"/>
  <c r="M53" i="43" s="1"/>
  <c r="CN90" i="43"/>
  <c r="K90" i="43" s="1"/>
  <c r="K16" i="43" s="1"/>
  <c r="K53" i="43" s="1"/>
  <c r="CT90" i="43"/>
  <c r="Q90" i="43" s="1"/>
  <c r="Q16" i="43" s="1"/>
  <c r="Q53" i="43" s="1"/>
  <c r="CS90" i="43"/>
  <c r="P90" i="43" s="1"/>
  <c r="P16" i="43" s="1"/>
  <c r="P53" i="43" s="1"/>
  <c r="CQ90" i="43"/>
  <c r="N90" i="43" s="1"/>
  <c r="N16" i="43" s="1"/>
  <c r="N53" i="43" s="1"/>
  <c r="DG90" i="43"/>
  <c r="AD90" i="43" s="1"/>
  <c r="AD16" i="43" s="1"/>
  <c r="AD53" i="43" s="1"/>
  <c r="DF90" i="43"/>
  <c r="AC90" i="43" s="1"/>
  <c r="AC16" i="43" s="1"/>
  <c r="AC53" i="43" s="1"/>
  <c r="DC90" i="43"/>
  <c r="Z90" i="43" s="1"/>
  <c r="Z16" i="43" s="1"/>
  <c r="Z53" i="43" s="1"/>
  <c r="CY90" i="43"/>
  <c r="V90" i="43" s="1"/>
  <c r="V16" i="43" s="1"/>
  <c r="V53" i="43" s="1"/>
  <c r="DI90" i="43"/>
  <c r="AF90" i="43" s="1"/>
  <c r="AF16" i="43" s="1"/>
  <c r="AF53" i="43" s="1"/>
  <c r="CW90" i="43"/>
  <c r="T90" i="43" s="1"/>
  <c r="T16" i="43" s="1"/>
  <c r="T53" i="43" s="1"/>
  <c r="CU90" i="43"/>
  <c r="R90" i="43" s="1"/>
  <c r="R16" i="43" s="1"/>
  <c r="R53" i="43" s="1"/>
  <c r="CV90" i="43"/>
  <c r="S90" i="43" s="1"/>
  <c r="S16" i="43" s="1"/>
  <c r="S53" i="43" s="1"/>
  <c r="CO90" i="43"/>
  <c r="L90" i="43" s="1"/>
  <c r="L16" i="43" s="1"/>
  <c r="L53" i="43" s="1"/>
  <c r="CZ90" i="43"/>
  <c r="W90" i="43" s="1"/>
  <c r="W16" i="43" s="1"/>
  <c r="W53" i="43" s="1"/>
  <c r="CX90" i="43"/>
  <c r="U90" i="43" s="1"/>
  <c r="U16" i="43" s="1"/>
  <c r="U53" i="43" s="1"/>
  <c r="AD394" i="43"/>
  <c r="Z394" i="43"/>
  <c r="I358" i="43"/>
  <c r="AE95" i="43"/>
  <c r="AE21" i="43" s="1"/>
  <c r="AE58" i="43" s="1"/>
  <c r="P400" i="43"/>
  <c r="I400" i="43"/>
  <c r="W357" i="43"/>
  <c r="S400" i="43"/>
  <c r="R400" i="43"/>
  <c r="H400" i="43"/>
  <c r="J108" i="43"/>
  <c r="J34" i="43" s="1"/>
  <c r="J71" i="43" s="1"/>
  <c r="S394" i="43"/>
  <c r="J370" i="43"/>
  <c r="W400" i="43"/>
  <c r="K400" i="43"/>
  <c r="V400" i="43"/>
  <c r="AE20" i="6"/>
  <c r="AE12" i="6" s="1"/>
  <c r="AF28" i="6"/>
  <c r="AF41" i="6" s="1"/>
  <c r="AE41" i="6"/>
  <c r="L108" i="43"/>
  <c r="L34" i="43" s="1"/>
  <c r="L71" i="43" s="1"/>
  <c r="R394" i="43"/>
  <c r="G95" i="43"/>
  <c r="G21" i="43" s="1"/>
  <c r="G58" i="43" s="1"/>
  <c r="M95" i="43"/>
  <c r="M21" i="43" s="1"/>
  <c r="M58" i="43" s="1"/>
  <c r="J95" i="43"/>
  <c r="J21" i="43" s="1"/>
  <c r="J58" i="43" s="1"/>
  <c r="AF357" i="43"/>
  <c r="L357" i="43"/>
  <c r="Z357" i="43"/>
  <c r="H395" i="43"/>
  <c r="R95" i="43"/>
  <c r="R21" i="43" s="1"/>
  <c r="R58" i="43" s="1"/>
  <c r="O400" i="43"/>
  <c r="U357" i="43"/>
  <c r="G395" i="43"/>
  <c r="AE400" i="43"/>
  <c r="AB400" i="43"/>
  <c r="Y394" i="43"/>
  <c r="Q394" i="43"/>
  <c r="S370" i="43"/>
  <c r="Z370" i="43"/>
  <c r="AE370" i="43"/>
  <c r="AC400" i="43"/>
  <c r="Z400" i="43"/>
  <c r="X400" i="43"/>
  <c r="T396" i="43"/>
  <c r="W394" i="43"/>
  <c r="K394" i="43"/>
  <c r="M400" i="43"/>
  <c r="T400" i="43"/>
  <c r="Y400" i="43"/>
  <c r="AA400" i="43"/>
  <c r="L400" i="43"/>
  <c r="G400" i="43"/>
  <c r="Y95" i="43"/>
  <c r="Y21" i="43" s="1"/>
  <c r="Y58" i="43" s="1"/>
  <c r="AF95" i="43"/>
  <c r="AF21" i="43" s="1"/>
  <c r="AF58" i="43" s="1"/>
  <c r="X95" i="43"/>
  <c r="X21" i="43" s="1"/>
  <c r="X58" i="43" s="1"/>
  <c r="I96" i="43"/>
  <c r="I22" i="43" s="1"/>
  <c r="I59" i="43" s="1"/>
  <c r="AE357" i="43"/>
  <c r="V357" i="43"/>
  <c r="M357" i="43"/>
  <c r="V394" i="43"/>
  <c r="AC394" i="43"/>
  <c r="AE394" i="43"/>
  <c r="S95" i="43"/>
  <c r="S21" i="43" s="1"/>
  <c r="S58" i="43" s="1"/>
  <c r="V95" i="43"/>
  <c r="V21" i="43" s="1"/>
  <c r="V58" i="43" s="1"/>
  <c r="AB370" i="43"/>
  <c r="AA370" i="43"/>
  <c r="G352" i="43"/>
  <c r="G394" i="43"/>
  <c r="O95" i="43"/>
  <c r="O21" i="43" s="1"/>
  <c r="O58" i="43" s="1"/>
  <c r="P370" i="43"/>
  <c r="I357" i="43"/>
  <c r="R357" i="43"/>
  <c r="I395" i="43"/>
  <c r="U370" i="43"/>
  <c r="G396" i="43"/>
  <c r="G370" i="43"/>
  <c r="L370" i="43"/>
  <c r="Y370" i="43"/>
  <c r="N370" i="43"/>
  <c r="V370" i="43"/>
  <c r="U358" i="43"/>
  <c r="M108" i="43"/>
  <c r="M34" i="43" s="1"/>
  <c r="M71" i="43" s="1"/>
  <c r="G358" i="43"/>
  <c r="T95" i="43"/>
  <c r="T21" i="43" s="1"/>
  <c r="T58" i="43" s="1"/>
  <c r="AB95" i="43"/>
  <c r="AB21" i="43" s="1"/>
  <c r="AB58" i="43" s="1"/>
  <c r="H95" i="43"/>
  <c r="H21" i="43" s="1"/>
  <c r="H58" i="43" s="1"/>
  <c r="Z95" i="43"/>
  <c r="Z21" i="43" s="1"/>
  <c r="Z58" i="43" s="1"/>
  <c r="K370" i="43"/>
  <c r="Y357" i="43"/>
  <c r="J395" i="43"/>
  <c r="T394" i="43"/>
  <c r="AD95" i="43"/>
  <c r="AD21" i="43" s="1"/>
  <c r="AD58" i="43" s="1"/>
  <c r="R370" i="43"/>
  <c r="O370" i="43"/>
  <c r="H396" i="43"/>
  <c r="X357" i="43"/>
  <c r="P357" i="43"/>
  <c r="M394" i="43"/>
  <c r="M370" i="43"/>
  <c r="T370" i="43"/>
  <c r="I396" i="43"/>
  <c r="AB357" i="43"/>
  <c r="L394" i="43"/>
  <c r="N95" i="43"/>
  <c r="N21" i="43" s="1"/>
  <c r="N58" i="43" s="1"/>
  <c r="J396" i="43"/>
  <c r="H96" i="43"/>
  <c r="H22" i="43" s="1"/>
  <c r="H59" i="43" s="1"/>
  <c r="G90" i="43"/>
  <c r="T357" i="43"/>
  <c r="AC357" i="43"/>
  <c r="Q357" i="43"/>
  <c r="M352" i="43"/>
  <c r="J394" i="43"/>
  <c r="X394" i="43"/>
  <c r="I95" i="43"/>
  <c r="I21" i="43" s="1"/>
  <c r="I58" i="43" s="1"/>
  <c r="P394" i="43"/>
  <c r="L95" i="43"/>
  <c r="L21" i="43" s="1"/>
  <c r="L58" i="43" s="1"/>
  <c r="CN410" i="43"/>
  <c r="CL410" i="43"/>
  <c r="CK410" i="43"/>
  <c r="CJ410" i="43"/>
  <c r="CM410" i="43"/>
  <c r="U394" i="43"/>
  <c r="AF394" i="43"/>
  <c r="W95" i="43"/>
  <c r="W21" i="43" s="1"/>
  <c r="W58" i="43" s="1"/>
  <c r="U95" i="43"/>
  <c r="U21" i="43" s="1"/>
  <c r="U58" i="43" s="1"/>
  <c r="H370" i="43"/>
  <c r="AF370" i="43"/>
  <c r="N357" i="43"/>
  <c r="BC373" i="43"/>
  <c r="AB373" i="43" s="1"/>
  <c r="AM373" i="43"/>
  <c r="L373" i="43" s="1"/>
  <c r="AX373" i="43"/>
  <c r="W373" i="43" s="1"/>
  <c r="AH373" i="43"/>
  <c r="G373" i="43" s="1"/>
  <c r="AZ373" i="43"/>
  <c r="Y373" i="43" s="1"/>
  <c r="AO373" i="43"/>
  <c r="N373" i="43" s="1"/>
  <c r="AV373" i="43"/>
  <c r="U373" i="43" s="1"/>
  <c r="BG373" i="43"/>
  <c r="AF373" i="43" s="1"/>
  <c r="AL373" i="43"/>
  <c r="K373" i="43" s="1"/>
  <c r="AW373" i="43"/>
  <c r="V373" i="43" s="1"/>
  <c r="AY373" i="43"/>
  <c r="X373" i="43" s="1"/>
  <c r="AI373" i="43"/>
  <c r="H373" i="43" s="1"/>
  <c r="AT373" i="43"/>
  <c r="S373" i="43" s="1"/>
  <c r="BA373" i="43"/>
  <c r="Z373" i="43" s="1"/>
  <c r="AR373" i="43"/>
  <c r="Q373" i="43" s="1"/>
  <c r="BD373" i="43"/>
  <c r="AC373" i="43" s="1"/>
  <c r="AQ373" i="43"/>
  <c r="P373" i="43" s="1"/>
  <c r="BE373" i="43"/>
  <c r="AD373" i="43" s="1"/>
  <c r="AU373" i="43"/>
  <c r="T373" i="43" s="1"/>
  <c r="BF373" i="43"/>
  <c r="AE373" i="43" s="1"/>
  <c r="AP373" i="43"/>
  <c r="O373" i="43" s="1"/>
  <c r="AS373" i="43"/>
  <c r="R373" i="43" s="1"/>
  <c r="AJ373" i="43"/>
  <c r="I373" i="43" s="1"/>
  <c r="AN373" i="43"/>
  <c r="M373" i="43" s="1"/>
  <c r="BB373" i="43"/>
  <c r="AA373" i="43" s="1"/>
  <c r="AK373" i="43"/>
  <c r="J373" i="43" s="1"/>
  <c r="G185" i="43" a="1"/>
  <c r="G185" i="43" s="1"/>
  <c r="CO396" i="43"/>
  <c r="L396" i="43" s="1"/>
  <c r="K396" i="43"/>
  <c r="G161" i="43" a="1"/>
  <c r="G161" i="43" s="1"/>
  <c r="G187" i="43" a="1"/>
  <c r="G187" i="43" s="1"/>
  <c r="CO395" i="43"/>
  <c r="L395" i="43" s="1"/>
  <c r="K395" i="43"/>
  <c r="BG410" i="43"/>
  <c r="AQ410" i="43"/>
  <c r="BB410" i="43"/>
  <c r="AA410" i="43" s="1"/>
  <c r="AL410" i="43"/>
  <c r="AO410" i="43"/>
  <c r="AR410" i="43"/>
  <c r="AJ410" i="43"/>
  <c r="AP410" i="43"/>
  <c r="AN410" i="43"/>
  <c r="BC410" i="43"/>
  <c r="AM410" i="43"/>
  <c r="AX410" i="43"/>
  <c r="AH410" i="43"/>
  <c r="BD410" i="43"/>
  <c r="BA410" i="43"/>
  <c r="AZ410" i="43"/>
  <c r="BF410" i="43"/>
  <c r="AE410" i="43" s="1"/>
  <c r="AS410" i="43"/>
  <c r="R410" i="43" s="1"/>
  <c r="AY410" i="43"/>
  <c r="AI410" i="43"/>
  <c r="AT410" i="43"/>
  <c r="BE410" i="43"/>
  <c r="AD410" i="43" s="1"/>
  <c r="AV410" i="43"/>
  <c r="AK410" i="43"/>
  <c r="AU410" i="43"/>
  <c r="AW410" i="43"/>
  <c r="G179" i="43" a="1"/>
  <c r="G179" i="43" s="1"/>
  <c r="CN358" i="43"/>
  <c r="K358" i="43" s="1"/>
  <c r="J358" i="43"/>
  <c r="CN96" i="43"/>
  <c r="K96" i="43" s="1"/>
  <c r="K22" i="43" s="1"/>
  <c r="K59" i="43" s="1"/>
  <c r="J96" i="43"/>
  <c r="J22" i="43" s="1"/>
  <c r="J59" i="43" s="1"/>
  <c r="G165" i="43" a="1"/>
  <c r="G165" i="43" s="1"/>
  <c r="G173" i="43" a="1"/>
  <c r="G173" i="43" s="1"/>
  <c r="G189" i="43" a="1"/>
  <c r="G189" i="43" s="1"/>
  <c r="G178" i="43" a="1"/>
  <c r="G178" i="43" s="1"/>
  <c r="AU375" i="43"/>
  <c r="T375" i="43" s="1"/>
  <c r="BF375" i="43"/>
  <c r="AE375" i="43" s="1"/>
  <c r="AP375" i="43"/>
  <c r="O375" i="43" s="1"/>
  <c r="AW375" i="43"/>
  <c r="V375" i="43" s="1"/>
  <c r="AN375" i="43"/>
  <c r="M375" i="43" s="1"/>
  <c r="AJ375" i="43"/>
  <c r="I375" i="43" s="1"/>
  <c r="AY375" i="43"/>
  <c r="X375" i="43" s="1"/>
  <c r="BE375" i="43"/>
  <c r="AD375" i="43" s="1"/>
  <c r="AV375" i="43"/>
  <c r="U375" i="43" s="1"/>
  <c r="BG375" i="43"/>
  <c r="AF375" i="43" s="1"/>
  <c r="AQ375" i="43"/>
  <c r="P375" i="43" s="1"/>
  <c r="BB375" i="43"/>
  <c r="AA375" i="43" s="1"/>
  <c r="AL375" i="43"/>
  <c r="K375" i="43" s="1"/>
  <c r="AO375" i="43"/>
  <c r="N375" i="43" s="1"/>
  <c r="BA375" i="43"/>
  <c r="Z375" i="43" s="1"/>
  <c r="AS375" i="43"/>
  <c r="R375" i="43" s="1"/>
  <c r="AI375" i="43"/>
  <c r="H375" i="43" s="1"/>
  <c r="BC375" i="43"/>
  <c r="AB375" i="43" s="1"/>
  <c r="AM375" i="43"/>
  <c r="L375" i="43" s="1"/>
  <c r="AX375" i="43"/>
  <c r="W375" i="43" s="1"/>
  <c r="AH375" i="43"/>
  <c r="G375" i="43" s="1"/>
  <c r="BD375" i="43"/>
  <c r="AC375" i="43" s="1"/>
  <c r="AK375" i="43"/>
  <c r="J375" i="43" s="1"/>
  <c r="AR375" i="43"/>
  <c r="Q375" i="43" s="1"/>
  <c r="AT375" i="43"/>
  <c r="S375" i="43" s="1"/>
  <c r="AZ375" i="43"/>
  <c r="Y375" i="43" s="1"/>
  <c r="G186" i="43" a="1"/>
  <c r="G186" i="43" s="1"/>
  <c r="G167" i="43" a="1"/>
  <c r="G167" i="43" s="1"/>
  <c r="CL352" i="43"/>
  <c r="I352" i="43" s="1"/>
  <c r="H352" i="43"/>
  <c r="CL90" i="43"/>
  <c r="I90" i="43" s="1"/>
  <c r="I16" i="43" s="1"/>
  <c r="I53" i="43" s="1"/>
  <c r="H90" i="43"/>
  <c r="H16" i="43" s="1"/>
  <c r="H53" i="43" s="1"/>
  <c r="G177" i="43" a="1"/>
  <c r="G177" i="43" s="1"/>
  <c r="G180" i="43" a="1"/>
  <c r="G180" i="43" s="1"/>
  <c r="AC410" i="43" l="1"/>
  <c r="Q410" i="43"/>
  <c r="Z410" i="43"/>
  <c r="P410" i="43"/>
  <c r="U410" i="43"/>
  <c r="V410" i="43"/>
  <c r="T410" i="43"/>
  <c r="AB410" i="43"/>
  <c r="S410" i="43"/>
  <c r="W410" i="43"/>
  <c r="Y410" i="43"/>
  <c r="AF410" i="43"/>
  <c r="O410" i="43"/>
  <c r="X410" i="43"/>
  <c r="N410" i="43"/>
  <c r="G172" i="43" a="1"/>
  <c r="G172" i="43" s="1"/>
  <c r="G22" i="43"/>
  <c r="G59" i="43" s="1"/>
  <c r="G166" i="43" a="1"/>
  <c r="G166" i="43" s="1"/>
  <c r="G16" i="43"/>
  <c r="G53" i="43" s="1"/>
  <c r="G184" i="43" a="1"/>
  <c r="G184" i="43" s="1"/>
  <c r="W108" i="43"/>
  <c r="W34" i="43" s="1"/>
  <c r="W71" i="43" s="1"/>
  <c r="T108" i="43"/>
  <c r="T34" i="43" s="1"/>
  <c r="T71" i="43" s="1"/>
  <c r="U108" i="43"/>
  <c r="U34" i="43" s="1"/>
  <c r="U71" i="43" s="1"/>
  <c r="X108" i="43"/>
  <c r="X34" i="43" s="1"/>
  <c r="X71" i="43" s="1"/>
  <c r="AB108" i="43"/>
  <c r="AB34" i="43" s="1"/>
  <c r="AB71" i="43" s="1"/>
  <c r="Z108" i="43"/>
  <c r="Z34" i="43" s="1"/>
  <c r="Z71" i="43" s="1"/>
  <c r="R108" i="43"/>
  <c r="R34" i="43" s="1"/>
  <c r="R71" i="43" s="1"/>
  <c r="O108" i="43"/>
  <c r="O34" i="43" s="1"/>
  <c r="O71" i="43" s="1"/>
  <c r="N108" i="43"/>
  <c r="N34" i="43" s="1"/>
  <c r="N71" i="43" s="1"/>
  <c r="P108" i="43"/>
  <c r="P34" i="43" s="1"/>
  <c r="P71" i="43" s="1"/>
  <c r="G171" i="43" a="1"/>
  <c r="G171" i="43" s="1"/>
  <c r="V108" i="43"/>
  <c r="V34" i="43" s="1"/>
  <c r="V71" i="43" s="1"/>
  <c r="AC108" i="43"/>
  <c r="AC34" i="43" s="1"/>
  <c r="AC71" i="43" s="1"/>
  <c r="DG108" i="43"/>
  <c r="AA108" i="43"/>
  <c r="AA34" i="43" s="1"/>
  <c r="AA71" i="43" s="1"/>
  <c r="S108" i="43"/>
  <c r="S34" i="43" s="1"/>
  <c r="S71" i="43" s="1"/>
  <c r="Y108" i="43"/>
  <c r="Y34" i="43" s="1"/>
  <c r="Y71" i="43" s="1"/>
  <c r="Q108" i="43"/>
  <c r="Q34" i="43" s="1"/>
  <c r="Q71" i="43" s="1"/>
  <c r="AF20" i="6"/>
  <c r="AF12" i="6" s="1"/>
  <c r="I410" i="43"/>
  <c r="G410" i="43"/>
  <c r="H410" i="43"/>
  <c r="CO410" i="43"/>
  <c r="CP410" i="43" s="1"/>
  <c r="M410" i="43" s="1"/>
  <c r="J410" i="43"/>
  <c r="K410" i="43"/>
  <c r="CO358" i="43"/>
  <c r="L358" i="43" s="1"/>
  <c r="CP395" i="43"/>
  <c r="M395" i="43" s="1"/>
  <c r="CP396" i="43"/>
  <c r="M396" i="43" s="1"/>
  <c r="CM90" i="43"/>
  <c r="J90" i="43" s="1"/>
  <c r="J16" i="43" s="1"/>
  <c r="J53" i="43" s="1"/>
  <c r="CM352" i="43"/>
  <c r="J352" i="43" s="1"/>
  <c r="CO96" i="43"/>
  <c r="L96" i="43" s="1"/>
  <c r="L22" i="43" s="1"/>
  <c r="L59" i="43" s="1"/>
  <c r="DH108" i="43" l="1"/>
  <c r="AD108" i="43"/>
  <c r="AD34" i="43" s="1"/>
  <c r="AD71" i="43" s="1"/>
  <c r="L410" i="43"/>
  <c r="AE108" i="43" l="1"/>
  <c r="AE34" i="43" s="1"/>
  <c r="AE71" i="43" s="1"/>
  <c r="DI108" i="43"/>
  <c r="AF108" i="43" s="1"/>
  <c r="AF34" i="43" s="1"/>
  <c r="AF71" i="43" s="1"/>
  <c r="AJ9" i="5" l="1"/>
  <c r="AC9" i="5"/>
  <c r="AN9" i="5" s="1"/>
  <c r="BF10" i="26" l="1"/>
  <c r="F10" i="10"/>
  <c r="BF83" i="43" s="1"/>
  <c r="CQ83" i="43" l="1"/>
  <c r="CJ83" i="43"/>
  <c r="BG10" i="26"/>
  <c r="BG35" i="26" s="1"/>
  <c r="BH10" i="26"/>
  <c r="BH35" i="26" s="1"/>
  <c r="BF16" i="26"/>
  <c r="AZ83" i="43"/>
  <c r="AQ83" i="43"/>
  <c r="AN83" i="43"/>
  <c r="AT83" i="43"/>
  <c r="AX83" i="43"/>
  <c r="AK83" i="43"/>
  <c r="DB83" i="43"/>
  <c r="DG83" i="43"/>
  <c r="CV83" i="43"/>
  <c r="DH83" i="43"/>
  <c r="AE83" i="43" s="1"/>
  <c r="AE9" i="43" s="1"/>
  <c r="AE46" i="43" s="1"/>
  <c r="CK83" i="43"/>
  <c r="CW83" i="43"/>
  <c r="CM83" i="43"/>
  <c r="DC83" i="43"/>
  <c r="CT83" i="43"/>
  <c r="DA83" i="43"/>
  <c r="CU83" i="43"/>
  <c r="CN83" i="43"/>
  <c r="CR83" i="43"/>
  <c r="DF83" i="43"/>
  <c r="CX83" i="43"/>
  <c r="CP83" i="43"/>
  <c r="CO83" i="43"/>
  <c r="DE83" i="43"/>
  <c r="CZ83" i="43"/>
  <c r="CY83" i="43"/>
  <c r="CS83" i="43"/>
  <c r="CL83" i="43"/>
  <c r="DI83" i="43"/>
  <c r="DD83" i="43"/>
  <c r="AU83" i="43"/>
  <c r="AV83" i="43"/>
  <c r="BC83" i="43"/>
  <c r="AO83" i="43"/>
  <c r="BG83" i="43"/>
  <c r="AJ83" i="43"/>
  <c r="AW83" i="43"/>
  <c r="AR83" i="43"/>
  <c r="BE83" i="43"/>
  <c r="AI83" i="43"/>
  <c r="BB83" i="43"/>
  <c r="BD83" i="43"/>
  <c r="AP83" i="43"/>
  <c r="AY83" i="43"/>
  <c r="BA83" i="43"/>
  <c r="AH83" i="43"/>
  <c r="AL83" i="43"/>
  <c r="AS83" i="43"/>
  <c r="AM83" i="43"/>
  <c r="BP10" i="26"/>
  <c r="BP35" i="26" s="1"/>
  <c r="BR10" i="26"/>
  <c r="BR35" i="26" s="1"/>
  <c r="BW345" i="43"/>
  <c r="U345" i="43" s="1"/>
  <c r="BQ10" i="26"/>
  <c r="BQ35" i="26" s="1"/>
  <c r="CH345" i="43"/>
  <c r="AF345" i="43" s="1"/>
  <c r="BJ345" i="43"/>
  <c r="H345" i="43" s="1"/>
  <c r="BL345" i="43"/>
  <c r="J345" i="43" s="1"/>
  <c r="CF345" i="43"/>
  <c r="AD345" i="43" s="1"/>
  <c r="BR345" i="43"/>
  <c r="P345" i="43" s="1"/>
  <c r="BP345" i="43"/>
  <c r="N345" i="43" s="1"/>
  <c r="BS345" i="43"/>
  <c r="Q345" i="43" s="1"/>
  <c r="CA345" i="43"/>
  <c r="Y345" i="43" s="1"/>
  <c r="BO345" i="43"/>
  <c r="M345" i="43" s="1"/>
  <c r="BK345" i="43"/>
  <c r="I345" i="43" s="1"/>
  <c r="BX345" i="43"/>
  <c r="V345" i="43" s="1"/>
  <c r="BZ345" i="43"/>
  <c r="X345" i="43" s="1"/>
  <c r="BN345" i="43"/>
  <c r="L345" i="43" s="1"/>
  <c r="BV345" i="43"/>
  <c r="T345" i="43" s="1"/>
  <c r="BM345" i="43"/>
  <c r="K345" i="43" s="1"/>
  <c r="CG345" i="43"/>
  <c r="AE345" i="43" s="1"/>
  <c r="CC345" i="43"/>
  <c r="AA345" i="43" s="1"/>
  <c r="CB345" i="43"/>
  <c r="Z345" i="43" s="1"/>
  <c r="CE345" i="43"/>
  <c r="AC345" i="43" s="1"/>
  <c r="BU345" i="43"/>
  <c r="S345" i="43" s="1"/>
  <c r="BY345" i="43"/>
  <c r="W345" i="43" s="1"/>
  <c r="CD345" i="43"/>
  <c r="AB345" i="43" s="1"/>
  <c r="BT345" i="43"/>
  <c r="R345" i="43" s="1"/>
  <c r="BQ345" i="43"/>
  <c r="O345" i="43" s="1"/>
  <c r="BO10" i="26"/>
  <c r="BI345" i="43"/>
  <c r="G345" i="43" s="1"/>
  <c r="X83" i="43" l="1"/>
  <c r="X9" i="43" s="1"/>
  <c r="X46" i="43" s="1"/>
  <c r="W83" i="43"/>
  <c r="W9" i="43" s="1"/>
  <c r="W46" i="43" s="1"/>
  <c r="AB83" i="43"/>
  <c r="AB9" i="43" s="1"/>
  <c r="AB46" i="43" s="1"/>
  <c r="Q83" i="43"/>
  <c r="Q9" i="43" s="1"/>
  <c r="Q46" i="43" s="1"/>
  <c r="N83" i="43"/>
  <c r="N9" i="43" s="1"/>
  <c r="N46" i="43" s="1"/>
  <c r="BF35" i="26"/>
  <c r="BI35" i="26" s="1"/>
  <c r="X35" i="10" s="1"/>
  <c r="BI16" i="26"/>
  <c r="X16" i="10" s="1"/>
  <c r="BH13" i="26"/>
  <c r="BF13" i="26"/>
  <c r="BG13" i="26"/>
  <c r="P83" i="43"/>
  <c r="P9" i="43" s="1"/>
  <c r="P46" i="43" s="1"/>
  <c r="Y83" i="43"/>
  <c r="Y9" i="43" s="1"/>
  <c r="Y46" i="43" s="1"/>
  <c r="M83" i="43"/>
  <c r="M9" i="43" s="1"/>
  <c r="M46" i="43" s="1"/>
  <c r="J83" i="43"/>
  <c r="J9" i="43" s="1"/>
  <c r="J46" i="43" s="1"/>
  <c r="S83" i="43"/>
  <c r="S9" i="43" s="1"/>
  <c r="S46" i="43" s="1"/>
  <c r="H83" i="43"/>
  <c r="H9" i="43" s="1"/>
  <c r="H46" i="43" s="1"/>
  <c r="V83" i="43"/>
  <c r="V9" i="43" s="1"/>
  <c r="V46" i="43" s="1"/>
  <c r="AA83" i="43"/>
  <c r="AA9" i="43" s="1"/>
  <c r="AA46" i="43" s="1"/>
  <c r="AC83" i="43"/>
  <c r="AC9" i="43" s="1"/>
  <c r="AC46" i="43" s="1"/>
  <c r="AD83" i="43"/>
  <c r="AD9" i="43" s="1"/>
  <c r="AD46" i="43" s="1"/>
  <c r="U83" i="43"/>
  <c r="U9" i="43" s="1"/>
  <c r="U46" i="43" s="1"/>
  <c r="O83" i="43"/>
  <c r="O9" i="43" s="1"/>
  <c r="O46" i="43" s="1"/>
  <c r="T83" i="43"/>
  <c r="T9" i="43" s="1"/>
  <c r="T46" i="43" s="1"/>
  <c r="G83" i="43"/>
  <c r="G9" i="43" s="1"/>
  <c r="G46" i="43" s="1"/>
  <c r="K83" i="43"/>
  <c r="K9" i="43" s="1"/>
  <c r="K46" i="43" s="1"/>
  <c r="AF83" i="43"/>
  <c r="AF9" i="43" s="1"/>
  <c r="AF46" i="43" s="1"/>
  <c r="I83" i="43"/>
  <c r="I9" i="43" s="1"/>
  <c r="I46" i="43" s="1"/>
  <c r="L83" i="43"/>
  <c r="L9" i="43" s="1"/>
  <c r="L46" i="43" s="1"/>
  <c r="Z83" i="43"/>
  <c r="Z9" i="43" s="1"/>
  <c r="Z46" i="43" s="1"/>
  <c r="BI10" i="26"/>
  <c r="X10" i="10" s="1"/>
  <c r="R83" i="43"/>
  <c r="R9" i="43" s="1"/>
  <c r="R46" i="43" s="1"/>
  <c r="BS10" i="26"/>
  <c r="Z10" i="10" s="1"/>
  <c r="BO35" i="26"/>
  <c r="BS35" i="26" s="1"/>
  <c r="Z35" i="10" s="1"/>
  <c r="BP13" i="26"/>
  <c r="BR13" i="26"/>
  <c r="BQ13" i="26"/>
  <c r="BO13" i="26"/>
  <c r="CG348" i="43"/>
  <c r="AE348" i="43" s="1"/>
  <c r="BK348" i="43"/>
  <c r="I348" i="43" s="1"/>
  <c r="BM348" i="43"/>
  <c r="K348" i="43" s="1"/>
  <c r="CA348" i="43"/>
  <c r="Y348" i="43" s="1"/>
  <c r="BI348" i="43"/>
  <c r="G348" i="43" s="1"/>
  <c r="CD348" i="43"/>
  <c r="AB348" i="43" s="1"/>
  <c r="BO348" i="43"/>
  <c r="M348" i="43" s="1"/>
  <c r="BV348" i="43"/>
  <c r="T348" i="43" s="1"/>
  <c r="CF348" i="43"/>
  <c r="AD348" i="43" s="1"/>
  <c r="BU348" i="43"/>
  <c r="S348" i="43" s="1"/>
  <c r="BQ348" i="43"/>
  <c r="O348" i="43" s="1"/>
  <c r="BN348" i="43"/>
  <c r="L348" i="43" s="1"/>
  <c r="BT348" i="43"/>
  <c r="R348" i="43" s="1"/>
  <c r="BY348" i="43"/>
  <c r="W348" i="43" s="1"/>
  <c r="CB348" i="43"/>
  <c r="Z348" i="43" s="1"/>
  <c r="BS348" i="43"/>
  <c r="Q348" i="43" s="1"/>
  <c r="BZ348" i="43"/>
  <c r="X348" i="43" s="1"/>
  <c r="CE348" i="43"/>
  <c r="AC348" i="43" s="1"/>
  <c r="BJ348" i="43"/>
  <c r="H348" i="43" s="1"/>
  <c r="BX348" i="43"/>
  <c r="V348" i="43" s="1"/>
  <c r="BP348" i="43"/>
  <c r="N348" i="43" s="1"/>
  <c r="CH348" i="43"/>
  <c r="AF348" i="43" s="1"/>
  <c r="CC348" i="43"/>
  <c r="AA348" i="43" s="1"/>
  <c r="BL348" i="43"/>
  <c r="J348" i="43" s="1"/>
  <c r="BW348" i="43"/>
  <c r="U348" i="43" s="1"/>
  <c r="BR348" i="43"/>
  <c r="P348" i="43" s="1"/>
  <c r="G159" i="43" l="1" a="1"/>
  <c r="G159" i="43" s="1"/>
  <c r="BI13" i="26"/>
  <c r="X13" i="10" s="1"/>
  <c r="BS13" i="26"/>
  <c r="Z13" i="10" s="1"/>
  <c r="D210" i="5" l="1"/>
  <c r="E210" i="5"/>
  <c r="D218" i="5"/>
  <c r="AE29" i="5" s="1"/>
  <c r="AH29" i="5" s="1"/>
  <c r="E218" i="5"/>
  <c r="AF29" i="5" s="1"/>
  <c r="AF21" i="5" l="1"/>
  <c r="AE21" i="5"/>
  <c r="AH21" i="5" s="1"/>
  <c r="J152" i="5"/>
  <c r="I152" i="5"/>
  <c r="L152" i="5" s="1"/>
  <c r="D211" i="5"/>
  <c r="AE22" i="5" s="1"/>
  <c r="AH22" i="5" s="1"/>
  <c r="E211" i="5"/>
  <c r="AF22" i="5" s="1"/>
  <c r="D217" i="5"/>
  <c r="AE28" i="5" s="1"/>
  <c r="AH28" i="5" s="1"/>
  <c r="I32" i="10" s="1"/>
  <c r="E217" i="5"/>
  <c r="AF28" i="5" s="1"/>
  <c r="I25" i="10" l="1"/>
  <c r="BR32" i="26"/>
  <c r="J145" i="5"/>
  <c r="D230" i="5"/>
  <c r="J151" i="5"/>
  <c r="I151" i="5"/>
  <c r="L151" i="5" s="1"/>
  <c r="I145" i="5"/>
  <c r="L145" i="5" s="1"/>
  <c r="I144" i="5"/>
  <c r="L144" i="5" s="1"/>
  <c r="E230" i="5"/>
  <c r="J144" i="5"/>
  <c r="CE367" i="43" l="1"/>
  <c r="AC367" i="43" s="1"/>
  <c r="BO367" i="43"/>
  <c r="M367" i="43" s="1"/>
  <c r="BX367" i="43"/>
  <c r="V367" i="43" s="1"/>
  <c r="CB367" i="43"/>
  <c r="Z367" i="43" s="1"/>
  <c r="BZ367" i="43"/>
  <c r="X367" i="43" s="1"/>
  <c r="CF367" i="43"/>
  <c r="AD367" i="43" s="1"/>
  <c r="BI367" i="43"/>
  <c r="G367" i="43" s="1"/>
  <c r="BQ32" i="26"/>
  <c r="BO32" i="26"/>
  <c r="BS367" i="43"/>
  <c r="Q367" i="43" s="1"/>
  <c r="CC367" i="43"/>
  <c r="AA367" i="43" s="1"/>
  <c r="CG367" i="43"/>
  <c r="AE367" i="43" s="1"/>
  <c r="BL367" i="43"/>
  <c r="J367" i="43" s="1"/>
  <c r="BN367" i="43"/>
  <c r="L367" i="43" s="1"/>
  <c r="CD367" i="43"/>
  <c r="AB367" i="43" s="1"/>
  <c r="BW367" i="43"/>
  <c r="U367" i="43" s="1"/>
  <c r="CH367" i="43"/>
  <c r="AF367" i="43" s="1"/>
  <c r="BM367" i="43"/>
  <c r="K367" i="43" s="1"/>
  <c r="BQ367" i="43"/>
  <c r="O367" i="43" s="1"/>
  <c r="BY367" i="43"/>
  <c r="W367" i="43" s="1"/>
  <c r="BT367" i="43"/>
  <c r="R367" i="43" s="1"/>
  <c r="BP32" i="26"/>
  <c r="CA367" i="43"/>
  <c r="Y367" i="43" s="1"/>
  <c r="BK367" i="43"/>
  <c r="I367" i="43" s="1"/>
  <c r="BR367" i="43"/>
  <c r="P367" i="43" s="1"/>
  <c r="BV367" i="43"/>
  <c r="T367" i="43" s="1"/>
  <c r="BP367" i="43"/>
  <c r="N367" i="43" s="1"/>
  <c r="BJ367" i="43"/>
  <c r="H367" i="43" s="1"/>
  <c r="BU367" i="43"/>
  <c r="S367" i="43" s="1"/>
  <c r="CA360" i="43"/>
  <c r="Y360" i="43" s="1"/>
  <c r="BK360" i="43"/>
  <c r="I360" i="43" s="1"/>
  <c r="BR360" i="43"/>
  <c r="P360" i="43" s="1"/>
  <c r="BV360" i="43"/>
  <c r="T360" i="43" s="1"/>
  <c r="BU360" i="43"/>
  <c r="S360" i="43" s="1"/>
  <c r="BI360" i="43"/>
  <c r="G360" i="43" s="1"/>
  <c r="BP360" i="43"/>
  <c r="N360" i="43" s="1"/>
  <c r="CE360" i="43"/>
  <c r="AC360" i="43" s="1"/>
  <c r="BO360" i="43"/>
  <c r="M360" i="43" s="1"/>
  <c r="BX360" i="43"/>
  <c r="V360" i="43" s="1"/>
  <c r="CB360" i="43"/>
  <c r="Z360" i="43" s="1"/>
  <c r="CF360" i="43"/>
  <c r="AD360" i="43" s="1"/>
  <c r="BT360" i="43"/>
  <c r="R360" i="43" s="1"/>
  <c r="BZ360" i="43"/>
  <c r="X360" i="43" s="1"/>
  <c r="BS360" i="43"/>
  <c r="Q360" i="43" s="1"/>
  <c r="CC360" i="43"/>
  <c r="AA360" i="43" s="1"/>
  <c r="CG360" i="43"/>
  <c r="AE360" i="43" s="1"/>
  <c r="BL360" i="43"/>
  <c r="J360" i="43" s="1"/>
  <c r="CD360" i="43"/>
  <c r="AB360" i="43" s="1"/>
  <c r="BN360" i="43"/>
  <c r="L360" i="43" s="1"/>
  <c r="BW360" i="43"/>
  <c r="U360" i="43" s="1"/>
  <c r="CH360" i="43"/>
  <c r="AF360" i="43" s="1"/>
  <c r="BM360" i="43"/>
  <c r="K360" i="43" s="1"/>
  <c r="BQ360" i="43"/>
  <c r="O360" i="43" s="1"/>
  <c r="BJ360" i="43"/>
  <c r="H360" i="43" s="1"/>
  <c r="BY360" i="43"/>
  <c r="W360" i="43" s="1"/>
  <c r="O153" i="5"/>
  <c r="Q30" i="5" s="1"/>
  <c r="AL30" i="5" s="1"/>
  <c r="O151" i="5"/>
  <c r="Q28" i="5" s="1"/>
  <c r="AL28" i="5" s="1"/>
  <c r="O154" i="5"/>
  <c r="Q31" i="5" s="1"/>
  <c r="AL31" i="5" s="1"/>
  <c r="O152" i="5"/>
  <c r="Q29" i="5" s="1"/>
  <c r="AL29" i="5" s="1"/>
  <c r="O150" i="5"/>
  <c r="Q27" i="5" s="1"/>
  <c r="AL27" i="5" s="1"/>
  <c r="N144" i="5"/>
  <c r="N146" i="5"/>
  <c r="N147" i="5"/>
  <c r="N145" i="5"/>
  <c r="N152" i="5"/>
  <c r="N153" i="5"/>
  <c r="N150" i="5"/>
  <c r="N151" i="5"/>
  <c r="N154" i="5"/>
  <c r="O144" i="5"/>
  <c r="Q21" i="5" s="1"/>
  <c r="AL21" i="5" s="1"/>
  <c r="O145" i="5"/>
  <c r="Q22" i="5" s="1"/>
  <c r="AL22" i="5" s="1"/>
  <c r="O146" i="5"/>
  <c r="Q23" i="5" s="1"/>
  <c r="AL23" i="5" s="1"/>
  <c r="O147" i="5"/>
  <c r="Q24" i="5" s="1"/>
  <c r="AL24" i="5" s="1"/>
  <c r="BS32" i="26" l="1"/>
  <c r="Z32" i="10" s="1"/>
  <c r="G81" i="24" s="1" a="1"/>
  <c r="BN32" i="26"/>
  <c r="Y32" i="10" s="1"/>
  <c r="G45" i="24" s="1" a="1"/>
  <c r="Y67" i="24" s="1"/>
  <c r="G419" i="43" a="1"/>
  <c r="S441" i="43" s="1"/>
  <c r="G9" i="24" a="1"/>
  <c r="AC24" i="24" s="1"/>
  <c r="P31" i="5"/>
  <c r="Q154" i="5"/>
  <c r="P29" i="5"/>
  <c r="Q152" i="5"/>
  <c r="P21" i="5"/>
  <c r="Q144" i="5"/>
  <c r="P27" i="5"/>
  <c r="Q150" i="5"/>
  <c r="P24" i="5"/>
  <c r="Q147" i="5"/>
  <c r="P30" i="5"/>
  <c r="Q153" i="5"/>
  <c r="P23" i="5"/>
  <c r="Q146" i="5"/>
  <c r="P28" i="5"/>
  <c r="Q151" i="5"/>
  <c r="P22" i="5"/>
  <c r="Q145" i="5"/>
  <c r="K103" i="24" l="1"/>
  <c r="W96" i="24"/>
  <c r="I96" i="24"/>
  <c r="AC96" i="24"/>
  <c r="U96" i="24"/>
  <c r="Z103" i="24"/>
  <c r="H92" i="24"/>
  <c r="S91" i="24"/>
  <c r="AB91" i="24"/>
  <c r="L98" i="24"/>
  <c r="X105" i="24"/>
  <c r="S86" i="24"/>
  <c r="AA104" i="24"/>
  <c r="N91" i="24"/>
  <c r="Y108" i="24"/>
  <c r="Z93" i="24"/>
  <c r="M85" i="24"/>
  <c r="G111" i="24"/>
  <c r="L93" i="24"/>
  <c r="AE102" i="24"/>
  <c r="AC101" i="24"/>
  <c r="K98" i="24"/>
  <c r="Z111" i="24"/>
  <c r="L100" i="24"/>
  <c r="J99" i="24"/>
  <c r="X83" i="24"/>
  <c r="Y107" i="24"/>
  <c r="AA89" i="24"/>
  <c r="W82" i="24"/>
  <c r="W98" i="24"/>
  <c r="AF109" i="24"/>
  <c r="J101" i="24"/>
  <c r="H88" i="24"/>
  <c r="AF107" i="24"/>
  <c r="Q109" i="24"/>
  <c r="R88" i="24"/>
  <c r="AF90" i="24"/>
  <c r="L105" i="24"/>
  <c r="I93" i="24"/>
  <c r="R87" i="24"/>
  <c r="Q90" i="24"/>
  <c r="V102" i="24"/>
  <c r="W110" i="24"/>
  <c r="AD93" i="24"/>
  <c r="X82" i="24"/>
  <c r="O83" i="24"/>
  <c r="Z91" i="24"/>
  <c r="S99" i="24"/>
  <c r="AF106" i="24"/>
  <c r="M106" i="24"/>
  <c r="H81" i="24"/>
  <c r="N81" i="24"/>
  <c r="G86" i="24"/>
  <c r="AB92" i="24"/>
  <c r="H86" i="24"/>
  <c r="AA95" i="24"/>
  <c r="AD91" i="24"/>
  <c r="AC104" i="24"/>
  <c r="X92" i="24"/>
  <c r="L108" i="24"/>
  <c r="O93" i="24"/>
  <c r="Q104" i="24"/>
  <c r="AD104" i="24"/>
  <c r="AF95" i="24"/>
  <c r="Y95" i="24"/>
  <c r="AA88" i="24"/>
  <c r="AE85" i="24"/>
  <c r="AC111" i="24"/>
  <c r="AA111" i="24"/>
  <c r="AB89" i="24"/>
  <c r="W100" i="24"/>
  <c r="R82" i="24"/>
  <c r="O90" i="24"/>
  <c r="U88" i="24"/>
  <c r="AB98" i="24"/>
  <c r="L92" i="24"/>
  <c r="V109" i="24"/>
  <c r="AC87" i="24"/>
  <c r="P89" i="24"/>
  <c r="I98" i="24"/>
  <c r="W93" i="24"/>
  <c r="K89" i="24"/>
  <c r="T107" i="24"/>
  <c r="T108" i="24"/>
  <c r="J82" i="24"/>
  <c r="Q83" i="24"/>
  <c r="AC98" i="24"/>
  <c r="AE100" i="24"/>
  <c r="G85" i="24"/>
  <c r="Z94" i="24"/>
  <c r="AB83" i="24"/>
  <c r="R107" i="24"/>
  <c r="H93" i="24"/>
  <c r="J100" i="24"/>
  <c r="AE81" i="24"/>
  <c r="U81" i="24"/>
  <c r="P106" i="24"/>
  <c r="AA91" i="24"/>
  <c r="AB85" i="24"/>
  <c r="AB86" i="24"/>
  <c r="N105" i="24"/>
  <c r="Q108" i="24"/>
  <c r="H98" i="24"/>
  <c r="J93" i="24"/>
  <c r="Z104" i="24"/>
  <c r="V93" i="24"/>
  <c r="L88" i="24"/>
  <c r="K107" i="24"/>
  <c r="AD92" i="24"/>
  <c r="R95" i="24"/>
  <c r="G99" i="24"/>
  <c r="AC99" i="24"/>
  <c r="X110" i="24"/>
  <c r="Q89" i="24"/>
  <c r="AE98" i="24"/>
  <c r="AF104" i="24"/>
  <c r="K88" i="24"/>
  <c r="P93" i="24"/>
  <c r="J81" i="24"/>
  <c r="G106" i="24"/>
  <c r="M84" i="24"/>
  <c r="AD84" i="24"/>
  <c r="G97" i="24"/>
  <c r="K95" i="24"/>
  <c r="AF105" i="24"/>
  <c r="S111" i="24"/>
  <c r="AF86" i="24"/>
  <c r="O94" i="24"/>
  <c r="O88" i="24"/>
  <c r="M95" i="24"/>
  <c r="G82" i="24"/>
  <c r="V83" i="24"/>
  <c r="M87" i="24"/>
  <c r="Y86" i="24"/>
  <c r="U87" i="24"/>
  <c r="X91" i="24"/>
  <c r="U82" i="24"/>
  <c r="Y94" i="24"/>
  <c r="Q100" i="24"/>
  <c r="Q88" i="24"/>
  <c r="H102" i="24"/>
  <c r="L90" i="24"/>
  <c r="O87" i="24"/>
  <c r="K81" i="24"/>
  <c r="H85" i="24"/>
  <c r="X108" i="24"/>
  <c r="G93" i="24"/>
  <c r="J95" i="24"/>
  <c r="K93" i="24"/>
  <c r="S89" i="24"/>
  <c r="N111" i="24"/>
  <c r="M94" i="24"/>
  <c r="AA109" i="24"/>
  <c r="AA107" i="24"/>
  <c r="AB110" i="24"/>
  <c r="Y106" i="24"/>
  <c r="AC84" i="24"/>
  <c r="J84" i="24"/>
  <c r="J92" i="24"/>
  <c r="J85" i="24"/>
  <c r="K94" i="24"/>
  <c r="J111" i="24"/>
  <c r="AB111" i="24"/>
  <c r="U107" i="24"/>
  <c r="S93" i="24"/>
  <c r="Q94" i="24"/>
  <c r="AB87" i="24"/>
  <c r="AB104" i="24"/>
  <c r="AE109" i="24"/>
  <c r="H106" i="24"/>
  <c r="Z84" i="24"/>
  <c r="Q85" i="24"/>
  <c r="Z92" i="24"/>
  <c r="AD86" i="24"/>
  <c r="T82" i="24"/>
  <c r="Y101" i="24"/>
  <c r="N88" i="24"/>
  <c r="AA100" i="24"/>
  <c r="P82" i="24"/>
  <c r="T90" i="24"/>
  <c r="R102" i="24"/>
  <c r="V90" i="24"/>
  <c r="K97" i="24"/>
  <c r="Z85" i="24"/>
  <c r="S95" i="24"/>
  <c r="AF108" i="24"/>
  <c r="P109" i="24"/>
  <c r="R90" i="24"/>
  <c r="G95" i="24"/>
  <c r="U109" i="24"/>
  <c r="M101" i="24"/>
  <c r="G105" i="24"/>
  <c r="L104" i="24"/>
  <c r="Z81" i="24"/>
  <c r="K84" i="24"/>
  <c r="M103" i="24"/>
  <c r="V96" i="24"/>
  <c r="AD96" i="24"/>
  <c r="P103" i="24"/>
  <c r="R103" i="24"/>
  <c r="Y96" i="24"/>
  <c r="AD103" i="24"/>
  <c r="W103" i="24"/>
  <c r="M96" i="24"/>
  <c r="G96" i="24"/>
  <c r="X96" i="24"/>
  <c r="Z96" i="24"/>
  <c r="G110" i="24"/>
  <c r="Z105" i="24"/>
  <c r="AA92" i="24"/>
  <c r="I86" i="24"/>
  <c r="Z109" i="24"/>
  <c r="K91" i="24"/>
  <c r="N104" i="24"/>
  <c r="I97" i="24"/>
  <c r="Y93" i="24"/>
  <c r="W95" i="24"/>
  <c r="I104" i="24"/>
  <c r="W86" i="24"/>
  <c r="L111" i="24"/>
  <c r="AF102" i="24"/>
  <c r="O82" i="24"/>
  <c r="Z97" i="24"/>
  <c r="L94" i="24"/>
  <c r="P102" i="24"/>
  <c r="Y87" i="24"/>
  <c r="X87" i="24"/>
  <c r="J87" i="24"/>
  <c r="AD110" i="24"/>
  <c r="AF89" i="24"/>
  <c r="T98" i="24"/>
  <c r="V108" i="24"/>
  <c r="AB93" i="24"/>
  <c r="T101" i="24"/>
  <c r="K100" i="24"/>
  <c r="J108" i="24"/>
  <c r="AE83" i="24"/>
  <c r="R100" i="24"/>
  <c r="W105" i="24"/>
  <c r="AF93" i="24"/>
  <c r="Q82" i="24"/>
  <c r="N107" i="24"/>
  <c r="I108" i="24"/>
  <c r="Z82" i="24"/>
  <c r="P92" i="24"/>
  <c r="G100" i="24"/>
  <c r="L83" i="24"/>
  <c r="I110" i="24"/>
  <c r="T100" i="24"/>
  <c r="H107" i="24"/>
  <c r="AA106" i="24"/>
  <c r="J106" i="24"/>
  <c r="M81" i="24"/>
  <c r="R91" i="24"/>
  <c r="W92" i="24"/>
  <c r="P104" i="24"/>
  <c r="H109" i="24"/>
  <c r="P105" i="24"/>
  <c r="AA98" i="24"/>
  <c r="K85" i="24"/>
  <c r="U91" i="24"/>
  <c r="AF111" i="24"/>
  <c r="X109" i="24"/>
  <c r="U98" i="24"/>
  <c r="AE93" i="24"/>
  <c r="Z108" i="24"/>
  <c r="I100" i="24"/>
  <c r="R98" i="24"/>
  <c r="AE91" i="24"/>
  <c r="N93" i="24"/>
  <c r="T99" i="24"/>
  <c r="G89" i="24"/>
  <c r="M99" i="24"/>
  <c r="I107" i="24"/>
  <c r="S87" i="24"/>
  <c r="AC90" i="24"/>
  <c r="Q91" i="24"/>
  <c r="X111" i="24"/>
  <c r="H100" i="24"/>
  <c r="AB107" i="24"/>
  <c r="AD105" i="24"/>
  <c r="U94" i="24"/>
  <c r="P100" i="24"/>
  <c r="Z90" i="24"/>
  <c r="G91" i="24"/>
  <c r="Q101" i="24"/>
  <c r="K82" i="24"/>
  <c r="W90" i="24"/>
  <c r="Y89" i="24"/>
  <c r="Q110" i="24"/>
  <c r="I95" i="24"/>
  <c r="AD88" i="24"/>
  <c r="AE88" i="24"/>
  <c r="AF91" i="24"/>
  <c r="X99" i="24"/>
  <c r="U106" i="24"/>
  <c r="AD81" i="24"/>
  <c r="O81" i="24"/>
  <c r="AF85" i="24"/>
  <c r="AB105" i="24"/>
  <c r="M104" i="24"/>
  <c r="W91" i="24"/>
  <c r="M111" i="24"/>
  <c r="U104" i="24"/>
  <c r="J109" i="24"/>
  <c r="M110" i="24"/>
  <c r="N94" i="24"/>
  <c r="P87" i="24"/>
  <c r="P90" i="24"/>
  <c r="V107" i="24"/>
  <c r="G108" i="24"/>
  <c r="U89" i="24"/>
  <c r="O111" i="24"/>
  <c r="AE107" i="24"/>
  <c r="O102" i="24"/>
  <c r="W107" i="24"/>
  <c r="S110" i="24"/>
  <c r="M100" i="24"/>
  <c r="S105" i="24"/>
  <c r="R106" i="24"/>
  <c r="AF81" i="24"/>
  <c r="G84" i="24"/>
  <c r="H84" i="24"/>
  <c r="U97" i="24"/>
  <c r="J98" i="24"/>
  <c r="M98" i="24"/>
  <c r="T105" i="24"/>
  <c r="P94" i="24"/>
  <c r="AA108" i="24"/>
  <c r="AC102" i="24"/>
  <c r="T92" i="24"/>
  <c r="N102" i="24"/>
  <c r="I82" i="24"/>
  <c r="T110" i="24"/>
  <c r="AE86" i="24"/>
  <c r="S102" i="24"/>
  <c r="AF83" i="24"/>
  <c r="M83" i="24"/>
  <c r="R86" i="24"/>
  <c r="L99" i="24"/>
  <c r="AA102" i="24"/>
  <c r="L95" i="24"/>
  <c r="Z89" i="24"/>
  <c r="V87" i="24"/>
  <c r="L106" i="24"/>
  <c r="Q81" i="24"/>
  <c r="AF98" i="24"/>
  <c r="Y104" i="24"/>
  <c r="O98" i="24"/>
  <c r="G98" i="24"/>
  <c r="J89" i="24"/>
  <c r="H104" i="24"/>
  <c r="W99" i="24"/>
  <c r="AD85" i="24"/>
  <c r="M93" i="24"/>
  <c r="Z99" i="24"/>
  <c r="Q106" i="24"/>
  <c r="N84" i="24"/>
  <c r="AE84" i="24"/>
  <c r="U84" i="24"/>
  <c r="Y111" i="24"/>
  <c r="N109" i="24"/>
  <c r="I111" i="24"/>
  <c r="AC109" i="24"/>
  <c r="G87" i="24"/>
  <c r="P86" i="24"/>
  <c r="T97" i="24"/>
  <c r="J104" i="24"/>
  <c r="H87" i="24"/>
  <c r="S90" i="24"/>
  <c r="V81" i="24"/>
  <c r="I84" i="24"/>
  <c r="AA105" i="24"/>
  <c r="M105" i="24"/>
  <c r="P111" i="24"/>
  <c r="G102" i="24"/>
  <c r="M102" i="24"/>
  <c r="Y90" i="24"/>
  <c r="T94" i="24"/>
  <c r="V82" i="24"/>
  <c r="I88" i="24"/>
  <c r="Y105" i="24"/>
  <c r="T102" i="24"/>
  <c r="X81" i="24"/>
  <c r="AE108" i="24"/>
  <c r="O97" i="24"/>
  <c r="I109" i="24"/>
  <c r="Y85" i="24"/>
  <c r="X88" i="24"/>
  <c r="O104" i="24"/>
  <c r="AF97" i="24"/>
  <c r="V85" i="24"/>
  <c r="S100" i="24"/>
  <c r="S82" i="24"/>
  <c r="G81" i="24"/>
  <c r="O84" i="24"/>
  <c r="I103" i="24"/>
  <c r="Q103" i="24"/>
  <c r="R96" i="24"/>
  <c r="O103" i="24"/>
  <c r="AE103" i="24"/>
  <c r="K96" i="24"/>
  <c r="AB96" i="24"/>
  <c r="T103" i="24"/>
  <c r="W104" i="24"/>
  <c r="AA97" i="24"/>
  <c r="G92" i="24"/>
  <c r="I94" i="24"/>
  <c r="H91" i="24"/>
  <c r="T91" i="24"/>
  <c r="I92" i="24"/>
  <c r="AD111" i="24"/>
  <c r="AD109" i="24"/>
  <c r="J86" i="24"/>
  <c r="AC86" i="24"/>
  <c r="R93" i="24"/>
  <c r="AF94" i="24"/>
  <c r="Q87" i="24"/>
  <c r="K92" i="24"/>
  <c r="X93" i="24"/>
  <c r="R94" i="24"/>
  <c r="R83" i="24"/>
  <c r="K99" i="24"/>
  <c r="X100" i="24"/>
  <c r="I90" i="24"/>
  <c r="AD89" i="24"/>
  <c r="G104" i="24"/>
  <c r="K109" i="24"/>
  <c r="V111" i="24"/>
  <c r="AC82" i="24"/>
  <c r="Z83" i="24"/>
  <c r="AC92" i="24"/>
  <c r="AD100" i="24"/>
  <c r="N83" i="24"/>
  <c r="AA90" i="24"/>
  <c r="AE111" i="24"/>
  <c r="S101" i="24"/>
  <c r="AD99" i="24"/>
  <c r="H97" i="24"/>
  <c r="N89" i="24"/>
  <c r="AC85" i="24"/>
  <c r="AD102" i="24"/>
  <c r="N99" i="24"/>
  <c r="O107" i="24"/>
  <c r="AD108" i="24"/>
  <c r="AC107" i="24"/>
  <c r="P81" i="24"/>
  <c r="I106" i="24"/>
  <c r="S106" i="24"/>
  <c r="M91" i="24"/>
  <c r="V91" i="24"/>
  <c r="M92" i="24"/>
  <c r="I105" i="24"/>
  <c r="AC110" i="24"/>
  <c r="Y98" i="24"/>
  <c r="L86" i="24"/>
  <c r="K86" i="24"/>
  <c r="L109" i="24"/>
  <c r="AE94" i="24"/>
  <c r="L91" i="24"/>
  <c r="AB109" i="24"/>
  <c r="H95" i="24"/>
  <c r="Q96" i="24"/>
  <c r="AA103" i="24"/>
  <c r="AB103" i="24"/>
  <c r="L103" i="24"/>
  <c r="S96" i="24"/>
  <c r="Y103" i="24"/>
  <c r="J96" i="24"/>
  <c r="H103" i="24"/>
  <c r="S103" i="24"/>
  <c r="T84" i="24"/>
  <c r="L82" i="24"/>
  <c r="K90" i="24"/>
  <c r="J110" i="24"/>
  <c r="R97" i="24"/>
  <c r="N92" i="24"/>
  <c r="AB106" i="24"/>
  <c r="AE101" i="24"/>
  <c r="Y97" i="24"/>
  <c r="V88" i="24"/>
  <c r="W108" i="24"/>
  <c r="G109" i="24"/>
  <c r="V84" i="24"/>
  <c r="W87" i="24"/>
  <c r="G90" i="24"/>
  <c r="AD97" i="24"/>
  <c r="V92" i="24"/>
  <c r="V97" i="24"/>
  <c r="R84" i="24"/>
  <c r="Y84" i="24"/>
  <c r="AB101" i="24"/>
  <c r="AB99" i="24"/>
  <c r="P83" i="24"/>
  <c r="AD83" i="24"/>
  <c r="AC91" i="24"/>
  <c r="AC106" i="24"/>
  <c r="T95" i="24"/>
  <c r="V104" i="24"/>
  <c r="U83" i="24"/>
  <c r="L102" i="24"/>
  <c r="M108" i="24"/>
  <c r="J107" i="24"/>
  <c r="Q95" i="24"/>
  <c r="AC94" i="24"/>
  <c r="T93" i="24"/>
  <c r="Z98" i="24"/>
  <c r="M97" i="24"/>
  <c r="L84" i="24"/>
  <c r="L107" i="24"/>
  <c r="K102" i="24"/>
  <c r="L89" i="24"/>
  <c r="U99" i="24"/>
  <c r="G83" i="24"/>
  <c r="AA82" i="24"/>
  <c r="AD107" i="24"/>
  <c r="O89" i="24"/>
  <c r="S98" i="24"/>
  <c r="AE105" i="24"/>
  <c r="X85" i="24"/>
  <c r="Y81" i="24"/>
  <c r="O106" i="24"/>
  <c r="AA110" i="24"/>
  <c r="Z88" i="24"/>
  <c r="U90" i="24"/>
  <c r="AB90" i="24"/>
  <c r="H111" i="24"/>
  <c r="X89" i="24"/>
  <c r="S108" i="24"/>
  <c r="AB82" i="24"/>
  <c r="V95" i="24"/>
  <c r="U101" i="24"/>
  <c r="M82" i="24"/>
  <c r="S83" i="24"/>
  <c r="T109" i="24"/>
  <c r="U100" i="24"/>
  <c r="O109" i="24"/>
  <c r="AB95" i="24"/>
  <c r="AA93" i="24"/>
  <c r="Y110" i="24"/>
  <c r="W83" i="24"/>
  <c r="R108" i="24"/>
  <c r="T88" i="24"/>
  <c r="Y99" i="24"/>
  <c r="I99" i="24"/>
  <c r="V100" i="24"/>
  <c r="I87" i="24"/>
  <c r="R99" i="24"/>
  <c r="X104" i="24"/>
  <c r="T85" i="24"/>
  <c r="W97" i="24"/>
  <c r="N96" i="24"/>
  <c r="X103" i="24"/>
  <c r="AE96" i="24"/>
  <c r="AF103" i="24"/>
  <c r="H96" i="24"/>
  <c r="P96" i="24"/>
  <c r="V103" i="24"/>
  <c r="Q84" i="24"/>
  <c r="Q93" i="24"/>
  <c r="AA101" i="24"/>
  <c r="N82" i="24"/>
  <c r="G101" i="24"/>
  <c r="M86" i="24"/>
  <c r="V106" i="24"/>
  <c r="AE95" i="24"/>
  <c r="Y82" i="24"/>
  <c r="AD87" i="24"/>
  <c r="N85" i="24"/>
  <c r="AB97" i="24"/>
  <c r="AF84" i="24"/>
  <c r="X95" i="24"/>
  <c r="G88" i="24"/>
  <c r="R101" i="24"/>
  <c r="Q99" i="24"/>
  <c r="R105" i="24"/>
  <c r="X84" i="24"/>
  <c r="AA81" i="24"/>
  <c r="Q111" i="24"/>
  <c r="Z101" i="24"/>
  <c r="Z110" i="24"/>
  <c r="Y102" i="24"/>
  <c r="O92" i="24"/>
  <c r="L81" i="24"/>
  <c r="L110" i="24"/>
  <c r="X90" i="24"/>
  <c r="AD94" i="24"/>
  <c r="O95" i="24"/>
  <c r="W94" i="24"/>
  <c r="M107" i="24"/>
  <c r="U108" i="24"/>
  <c r="V94" i="24"/>
  <c r="P108" i="24"/>
  <c r="K110" i="24"/>
  <c r="R85" i="24"/>
  <c r="AC81" i="24"/>
  <c r="H83" i="24"/>
  <c r="AC108" i="24"/>
  <c r="M89" i="24"/>
  <c r="AE89" i="24"/>
  <c r="I101" i="24"/>
  <c r="K83" i="24"/>
  <c r="K101" i="24"/>
  <c r="P101" i="24"/>
  <c r="M109" i="24"/>
  <c r="U85" i="24"/>
  <c r="N97" i="24"/>
  <c r="W106" i="24"/>
  <c r="J90" i="24"/>
  <c r="Z107" i="24"/>
  <c r="J102" i="24"/>
  <c r="R89" i="24"/>
  <c r="AC83" i="24"/>
  <c r="S109" i="24"/>
  <c r="AA87" i="24"/>
  <c r="I85" i="24"/>
  <c r="Z100" i="24"/>
  <c r="H94" i="24"/>
  <c r="AF99" i="24"/>
  <c r="L101" i="24"/>
  <c r="AB100" i="24"/>
  <c r="T111" i="24"/>
  <c r="T89" i="24"/>
  <c r="S104" i="24"/>
  <c r="O86" i="24"/>
  <c r="S85" i="24"/>
  <c r="W81" i="24"/>
  <c r="U92" i="24"/>
  <c r="L85" i="24"/>
  <c r="AA99" i="24"/>
  <c r="R111" i="24"/>
  <c r="S94" i="24"/>
  <c r="AD90" i="24"/>
  <c r="AB108" i="24"/>
  <c r="K111" i="24"/>
  <c r="J94" i="24"/>
  <c r="O105" i="24"/>
  <c r="T104" i="24"/>
  <c r="G103" i="24"/>
  <c r="O96" i="24"/>
  <c r="AC103" i="24"/>
  <c r="AA96" i="24"/>
  <c r="N103" i="24"/>
  <c r="K87" i="24"/>
  <c r="I83" i="24"/>
  <c r="N101" i="24"/>
  <c r="J88" i="24"/>
  <c r="O110" i="24"/>
  <c r="H105" i="24"/>
  <c r="H89" i="24"/>
  <c r="P110" i="24"/>
  <c r="Y92" i="24"/>
  <c r="X98" i="24"/>
  <c r="P97" i="24"/>
  <c r="AB84" i="24"/>
  <c r="P88" i="24"/>
  <c r="L87" i="24"/>
  <c r="AC88" i="24"/>
  <c r="T87" i="24"/>
  <c r="R104" i="24"/>
  <c r="S97" i="24"/>
  <c r="AA84" i="24"/>
  <c r="W88" i="24"/>
  <c r="AF100" i="24"/>
  <c r="AB102" i="24"/>
  <c r="I102" i="24"/>
  <c r="AD95" i="24"/>
  <c r="S92" i="24"/>
  <c r="AD106" i="24"/>
  <c r="AC89" i="24"/>
  <c r="Q107" i="24"/>
  <c r="Y83" i="24"/>
  <c r="O99" i="24"/>
  <c r="S88" i="24"/>
  <c r="X101" i="24"/>
  <c r="AC100" i="24"/>
  <c r="X97" i="24"/>
  <c r="Q97" i="24"/>
  <c r="AA85" i="24"/>
  <c r="W84" i="24"/>
  <c r="Z106" i="24"/>
  <c r="V101" i="24"/>
  <c r="H99" i="24"/>
  <c r="Z86" i="24"/>
  <c r="N90" i="24"/>
  <c r="AD98" i="24"/>
  <c r="J83" i="24"/>
  <c r="V105" i="24"/>
  <c r="AB94" i="24"/>
  <c r="O91" i="24"/>
  <c r="Y109" i="24"/>
  <c r="K106" i="24"/>
  <c r="T81" i="24"/>
  <c r="W102" i="24"/>
  <c r="N87" i="24"/>
  <c r="W85" i="24"/>
  <c r="Z95" i="24"/>
  <c r="O100" i="24"/>
  <c r="AE110" i="24"/>
  <c r="Z87" i="24"/>
  <c r="AE87" i="24"/>
  <c r="N95" i="24"/>
  <c r="Q98" i="24"/>
  <c r="H90" i="24"/>
  <c r="Y88" i="24"/>
  <c r="Q102" i="24"/>
  <c r="K105" i="24"/>
  <c r="X102" i="24"/>
  <c r="O108" i="24"/>
  <c r="AC97" i="24"/>
  <c r="O85" i="24"/>
  <c r="X106" i="24"/>
  <c r="P99" i="24"/>
  <c r="V110" i="24"/>
  <c r="P107" i="24"/>
  <c r="AE99" i="24"/>
  <c r="H110" i="24"/>
  <c r="AA83" i="24"/>
  <c r="AE97" i="24"/>
  <c r="Q105" i="24"/>
  <c r="Y91" i="24"/>
  <c r="P91" i="24"/>
  <c r="AF96" i="24"/>
  <c r="U103" i="24"/>
  <c r="T96" i="24"/>
  <c r="J103" i="24"/>
  <c r="T106" i="24"/>
  <c r="AF110" i="24"/>
  <c r="AD101" i="24"/>
  <c r="H82" i="24"/>
  <c r="J91" i="24"/>
  <c r="P98" i="24"/>
  <c r="M90" i="24"/>
  <c r="U111" i="24"/>
  <c r="AC93" i="24"/>
  <c r="AC95" i="24"/>
  <c r="G94" i="24"/>
  <c r="U110" i="24"/>
  <c r="R81" i="24"/>
  <c r="L97" i="24"/>
  <c r="AF88" i="24"/>
  <c r="N100" i="24"/>
  <c r="V86" i="24"/>
  <c r="U105" i="24"/>
  <c r="P84" i="24"/>
  <c r="N110" i="24"/>
  <c r="S107" i="24"/>
  <c r="V89" i="24"/>
  <c r="W89" i="24"/>
  <c r="AE104" i="24"/>
  <c r="K104" i="24"/>
  <c r="AB81" i="24"/>
  <c r="Y100" i="24"/>
  <c r="J105" i="24"/>
  <c r="G107" i="24"/>
  <c r="AD82" i="24"/>
  <c r="J97" i="24"/>
  <c r="W101" i="24"/>
  <c r="N86" i="24"/>
  <c r="X86" i="24"/>
  <c r="AF92" i="24"/>
  <c r="N98" i="24"/>
  <c r="S84" i="24"/>
  <c r="N106" i="24"/>
  <c r="AE90" i="24"/>
  <c r="V99" i="24"/>
  <c r="X94" i="24"/>
  <c r="P85" i="24"/>
  <c r="W111" i="24"/>
  <c r="O101" i="24"/>
  <c r="K108" i="24"/>
  <c r="U93" i="24"/>
  <c r="U95" i="24"/>
  <c r="AA94" i="24"/>
  <c r="I81" i="24"/>
  <c r="AE106" i="24"/>
  <c r="T83" i="24"/>
  <c r="M88" i="24"/>
  <c r="R109" i="24"/>
  <c r="P95" i="24"/>
  <c r="H101" i="24"/>
  <c r="Q92" i="24"/>
  <c r="I89" i="24"/>
  <c r="AF87" i="24"/>
  <c r="Z102" i="24"/>
  <c r="V98" i="24"/>
  <c r="R110" i="24"/>
  <c r="AF82" i="24"/>
  <c r="AF101" i="24"/>
  <c r="Q86" i="24"/>
  <c r="U102" i="24"/>
  <c r="U86" i="24"/>
  <c r="AA86" i="24"/>
  <c r="AE92" i="24"/>
  <c r="S81" i="24"/>
  <c r="X107" i="24"/>
  <c r="AE82" i="24"/>
  <c r="R92" i="24"/>
  <c r="AC105" i="24"/>
  <c r="T86" i="24"/>
  <c r="AB88" i="24"/>
  <c r="I91" i="24"/>
  <c r="H108" i="24"/>
  <c r="W109" i="24"/>
  <c r="N108" i="24"/>
  <c r="L96" i="24"/>
  <c r="L31" i="24"/>
  <c r="X31" i="24"/>
  <c r="AF434" i="43"/>
  <c r="H434" i="43"/>
  <c r="O24" i="24"/>
  <c r="T45" i="24"/>
  <c r="M59" i="24"/>
  <c r="AD52" i="24"/>
  <c r="O52" i="24"/>
  <c r="R71" i="24"/>
  <c r="U74" i="24"/>
  <c r="P51" i="24"/>
  <c r="S61" i="24"/>
  <c r="AA61" i="24"/>
  <c r="AB73" i="24"/>
  <c r="H71" i="24"/>
  <c r="N75" i="24"/>
  <c r="J71" i="24"/>
  <c r="S59" i="24"/>
  <c r="U49" i="24"/>
  <c r="AE58" i="24"/>
  <c r="N74" i="24"/>
  <c r="AD53" i="24"/>
  <c r="M51" i="24"/>
  <c r="AA55" i="24"/>
  <c r="I53" i="24"/>
  <c r="N70" i="24"/>
  <c r="G54" i="24"/>
  <c r="I70" i="24"/>
  <c r="G73" i="24"/>
  <c r="AA47" i="24"/>
  <c r="AC60" i="24"/>
  <c r="AD441" i="43"/>
  <c r="K434" i="43"/>
  <c r="X434" i="43"/>
  <c r="AE434" i="43"/>
  <c r="AA434" i="43"/>
  <c r="AA67" i="24"/>
  <c r="AF60" i="24"/>
  <c r="I67" i="24"/>
  <c r="AA60" i="24"/>
  <c r="W54" i="24"/>
  <c r="X45" i="24"/>
  <c r="AE46" i="24"/>
  <c r="Z68" i="24"/>
  <c r="L70" i="24"/>
  <c r="Z70" i="24"/>
  <c r="Z72" i="24"/>
  <c r="AD73" i="24"/>
  <c r="AB48" i="24"/>
  <c r="L55" i="24"/>
  <c r="G48" i="24"/>
  <c r="L69" i="24"/>
  <c r="AC61" i="24"/>
  <c r="T66" i="24"/>
  <c r="AF53" i="24"/>
  <c r="U63" i="24"/>
  <c r="AD71" i="24"/>
  <c r="U45" i="24"/>
  <c r="H57" i="24"/>
  <c r="Y73" i="24"/>
  <c r="M65" i="24"/>
  <c r="L48" i="24"/>
  <c r="R74" i="24"/>
  <c r="AB69" i="24"/>
  <c r="U65" i="24"/>
  <c r="U71" i="24"/>
  <c r="N434" i="43"/>
  <c r="N441" i="43"/>
  <c r="Y434" i="43"/>
  <c r="R441" i="43"/>
  <c r="K67" i="24"/>
  <c r="K60" i="24"/>
  <c r="T67" i="24"/>
  <c r="X73" i="24"/>
  <c r="K57" i="24"/>
  <c r="J58" i="24"/>
  <c r="AC70" i="24"/>
  <c r="AD63" i="24"/>
  <c r="M70" i="24"/>
  <c r="S65" i="24"/>
  <c r="X59" i="24"/>
  <c r="AE50" i="24"/>
  <c r="K49" i="24"/>
  <c r="T75" i="24"/>
  <c r="Z74" i="24"/>
  <c r="X63" i="24"/>
  <c r="H54" i="24"/>
  <c r="H59" i="24"/>
  <c r="P65" i="24"/>
  <c r="K72" i="24"/>
  <c r="T68" i="24"/>
  <c r="Q69" i="24"/>
  <c r="AB53" i="24"/>
  <c r="N54" i="24"/>
  <c r="AD51" i="24"/>
  <c r="I45" i="24"/>
  <c r="N47" i="24"/>
  <c r="AA64" i="24"/>
  <c r="AB65" i="24"/>
  <c r="H441" i="43"/>
  <c r="N31" i="24"/>
  <c r="K31" i="24"/>
  <c r="AB441" i="43"/>
  <c r="S67" i="24"/>
  <c r="U54" i="24"/>
  <c r="AC75" i="24"/>
  <c r="Q57" i="24"/>
  <c r="J55" i="24"/>
  <c r="O53" i="24"/>
  <c r="V50" i="24"/>
  <c r="Q66" i="24"/>
  <c r="AD65" i="24"/>
  <c r="I68" i="24"/>
  <c r="W72" i="24"/>
  <c r="O45" i="24"/>
  <c r="AE63" i="24"/>
  <c r="Q47" i="24"/>
  <c r="AE66" i="24"/>
  <c r="Q56" i="24"/>
  <c r="AE61" i="24"/>
  <c r="U55" i="24"/>
  <c r="I61" i="24"/>
  <c r="G74" i="24"/>
  <c r="AD46" i="24"/>
  <c r="M62" i="24"/>
  <c r="T48" i="24"/>
  <c r="M68" i="24"/>
  <c r="P71" i="24"/>
  <c r="K66" i="24"/>
  <c r="O65" i="24"/>
  <c r="AF46" i="24"/>
  <c r="S71" i="24"/>
  <c r="AB64" i="24"/>
  <c r="X74" i="24"/>
  <c r="N71" i="24"/>
  <c r="AC54" i="24"/>
  <c r="O56" i="24"/>
  <c r="L51" i="24"/>
  <c r="M63" i="24"/>
  <c r="R73" i="24"/>
  <c r="AB72" i="24"/>
  <c r="N56" i="24"/>
  <c r="AB66" i="24"/>
  <c r="U68" i="24"/>
  <c r="O58" i="24"/>
  <c r="G70" i="24"/>
  <c r="O69" i="24"/>
  <c r="N64" i="24"/>
  <c r="AA69" i="24"/>
  <c r="AE52" i="24"/>
  <c r="R48" i="24"/>
  <c r="Y50" i="24"/>
  <c r="S70" i="24"/>
  <c r="U48" i="24"/>
  <c r="H48" i="24"/>
  <c r="Q59" i="24"/>
  <c r="AF45" i="24"/>
  <c r="AB52" i="24"/>
  <c r="I69" i="24"/>
  <c r="AA46" i="24"/>
  <c r="L59" i="24"/>
  <c r="K69" i="24"/>
  <c r="H55" i="24"/>
  <c r="H62" i="24"/>
  <c r="S52" i="24"/>
  <c r="AF51" i="24"/>
  <c r="G57" i="24"/>
  <c r="X46" i="24"/>
  <c r="M52" i="24"/>
  <c r="R51" i="24"/>
  <c r="AA56" i="24"/>
  <c r="T69" i="24"/>
  <c r="H75" i="24"/>
  <c r="S57" i="24"/>
  <c r="Y72" i="24"/>
  <c r="AD69" i="24"/>
  <c r="V66" i="24"/>
  <c r="Z47" i="24"/>
  <c r="R58" i="24"/>
  <c r="Q65" i="24"/>
  <c r="T50" i="24"/>
  <c r="H73" i="24"/>
  <c r="I56" i="24"/>
  <c r="AF64" i="24"/>
  <c r="Z65" i="24"/>
  <c r="T70" i="24"/>
  <c r="W49" i="24"/>
  <c r="J72" i="24"/>
  <c r="R63" i="24"/>
  <c r="M61" i="24"/>
  <c r="I48" i="24"/>
  <c r="M46" i="24"/>
  <c r="AD60" i="24"/>
  <c r="W441" i="43"/>
  <c r="Q434" i="43"/>
  <c r="O441" i="43"/>
  <c r="X24" i="24"/>
  <c r="Z441" i="43"/>
  <c r="AE24" i="24"/>
  <c r="G441" i="43"/>
  <c r="AC434" i="43"/>
  <c r="O67" i="24"/>
  <c r="V60" i="24"/>
  <c r="G67" i="24"/>
  <c r="Z60" i="24"/>
  <c r="AB67" i="24"/>
  <c r="AB60" i="24"/>
  <c r="J75" i="24"/>
  <c r="L66" i="24"/>
  <c r="S62" i="24"/>
  <c r="G62" i="24"/>
  <c r="R49" i="24"/>
  <c r="I55" i="24"/>
  <c r="O61" i="24"/>
  <c r="K75" i="24"/>
  <c r="S72" i="24"/>
  <c r="X69" i="24"/>
  <c r="U73" i="24"/>
  <c r="AA66" i="24"/>
  <c r="Y55" i="24"/>
  <c r="G51" i="24"/>
  <c r="AD56" i="24"/>
  <c r="O74" i="24"/>
  <c r="Q51" i="24"/>
  <c r="AB49" i="24"/>
  <c r="K53" i="24"/>
  <c r="X68" i="24"/>
  <c r="X64" i="24"/>
  <c r="X55" i="24"/>
  <c r="AE55" i="24"/>
  <c r="W61" i="24"/>
  <c r="N68" i="24"/>
  <c r="X51" i="24"/>
  <c r="N45" i="24"/>
  <c r="AA68" i="24"/>
  <c r="AA53" i="24"/>
  <c r="Z75" i="24"/>
  <c r="K73" i="24"/>
  <c r="AB61" i="24"/>
  <c r="S63" i="24"/>
  <c r="M47" i="24"/>
  <c r="K74" i="24"/>
  <c r="AB50" i="24"/>
  <c r="Z64" i="24"/>
  <c r="L68" i="24"/>
  <c r="R52" i="24"/>
  <c r="O47" i="24"/>
  <c r="AC45" i="24"/>
  <c r="H50" i="24"/>
  <c r="M48" i="24"/>
  <c r="M75" i="24"/>
  <c r="T71" i="24"/>
  <c r="W68" i="24"/>
  <c r="R68" i="24"/>
  <c r="AD68" i="24"/>
  <c r="S68" i="24"/>
  <c r="AF62" i="24"/>
  <c r="AF74" i="24"/>
  <c r="AB47" i="24"/>
  <c r="AB51" i="24"/>
  <c r="P52" i="24"/>
  <c r="N72" i="24"/>
  <c r="J53" i="24"/>
  <c r="V68" i="24"/>
  <c r="U75" i="24"/>
  <c r="AB70" i="24"/>
  <c r="K55" i="24"/>
  <c r="R64" i="24"/>
  <c r="AC53" i="24"/>
  <c r="K46" i="24"/>
  <c r="L50" i="24"/>
  <c r="S49" i="24"/>
  <c r="Q71" i="24"/>
  <c r="V57" i="24"/>
  <c r="P64" i="24"/>
  <c r="Q68" i="24"/>
  <c r="H63" i="24"/>
  <c r="G63" i="24"/>
  <c r="L62" i="24"/>
  <c r="U53" i="24"/>
  <c r="AD62" i="24"/>
  <c r="X65" i="24"/>
  <c r="X50" i="24"/>
  <c r="Z54" i="24"/>
  <c r="AF68" i="24"/>
  <c r="I51" i="24"/>
  <c r="P54" i="24"/>
  <c r="M73" i="24"/>
  <c r="I62" i="24"/>
  <c r="X67" i="24"/>
  <c r="L441" i="43"/>
  <c r="Q24" i="24"/>
  <c r="X441" i="43"/>
  <c r="G24" i="24"/>
  <c r="Z31" i="24"/>
  <c r="M434" i="43"/>
  <c r="G31" i="24"/>
  <c r="S31" i="24"/>
  <c r="O434" i="43"/>
  <c r="W67" i="24"/>
  <c r="T60" i="24"/>
  <c r="AE60" i="24"/>
  <c r="M60" i="24"/>
  <c r="Q52" i="24"/>
  <c r="T57" i="24"/>
  <c r="K70" i="24"/>
  <c r="V53" i="24"/>
  <c r="R65" i="24"/>
  <c r="W47" i="24"/>
  <c r="K58" i="24"/>
  <c r="O75" i="24"/>
  <c r="AD59" i="24"/>
  <c r="Z69" i="24"/>
  <c r="I71" i="24"/>
  <c r="P70" i="24"/>
  <c r="V56" i="24"/>
  <c r="Y49" i="24"/>
  <c r="P49" i="24"/>
  <c r="AE45" i="24"/>
  <c r="AD47" i="24"/>
  <c r="L45" i="24"/>
  <c r="G46" i="24"/>
  <c r="P57" i="24"/>
  <c r="N48" i="24"/>
  <c r="AD50" i="24"/>
  <c r="R50" i="24"/>
  <c r="Y48" i="24"/>
  <c r="Y58" i="24"/>
  <c r="I47" i="24"/>
  <c r="O70" i="24"/>
  <c r="W52" i="24"/>
  <c r="Z50" i="24"/>
  <c r="I65" i="24"/>
  <c r="W51" i="24"/>
  <c r="V73" i="24"/>
  <c r="AB75" i="24"/>
  <c r="M71" i="24"/>
  <c r="X53" i="24"/>
  <c r="AF57" i="24"/>
  <c r="AE70" i="24"/>
  <c r="V64" i="24"/>
  <c r="AD61" i="24"/>
  <c r="N46" i="24"/>
  <c r="Z56" i="24"/>
  <c r="W69" i="24"/>
  <c r="AA72" i="24"/>
  <c r="O71" i="24"/>
  <c r="V52" i="24"/>
  <c r="K71" i="24"/>
  <c r="P55" i="24"/>
  <c r="V54" i="24"/>
  <c r="V63" i="24"/>
  <c r="S73" i="24"/>
  <c r="J68" i="24"/>
  <c r="Z49" i="24"/>
  <c r="I66" i="24"/>
  <c r="U70" i="24"/>
  <c r="AC62" i="24"/>
  <c r="V74" i="24"/>
  <c r="J64" i="24"/>
  <c r="AC52" i="24"/>
  <c r="M72" i="24"/>
  <c r="AF63" i="24"/>
  <c r="N52" i="24"/>
  <c r="AB71" i="24"/>
  <c r="P45" i="24"/>
  <c r="V72" i="24"/>
  <c r="S48" i="24"/>
  <c r="P46" i="24"/>
  <c r="AE47" i="24"/>
  <c r="AC48" i="24"/>
  <c r="Z48" i="24"/>
  <c r="AE72" i="24"/>
  <c r="AF48" i="24"/>
  <c r="Q70" i="24"/>
  <c r="V45" i="24"/>
  <c r="AB55" i="24"/>
  <c r="AB63" i="24"/>
  <c r="W65" i="24"/>
  <c r="O46" i="24"/>
  <c r="S66" i="24"/>
  <c r="P59" i="24"/>
  <c r="P48" i="24"/>
  <c r="N50" i="24"/>
  <c r="S45" i="24"/>
  <c r="U47" i="24"/>
  <c r="AD31" i="24"/>
  <c r="W31" i="24"/>
  <c r="N24" i="24"/>
  <c r="K24" i="24"/>
  <c r="O31" i="24"/>
  <c r="G434" i="43"/>
  <c r="AF24" i="24"/>
  <c r="K441" i="43"/>
  <c r="M24" i="24"/>
  <c r="H24" i="24"/>
  <c r="AB31" i="24"/>
  <c r="AA24" i="24"/>
  <c r="U67" i="24"/>
  <c r="AC67" i="24"/>
  <c r="R60" i="24"/>
  <c r="G60" i="24"/>
  <c r="P67" i="24"/>
  <c r="AE67" i="24"/>
  <c r="J60" i="24"/>
  <c r="V67" i="24"/>
  <c r="W60" i="24"/>
  <c r="P60" i="24"/>
  <c r="AC46" i="24"/>
  <c r="Q45" i="24"/>
  <c r="X71" i="24"/>
  <c r="I58" i="24"/>
  <c r="W71" i="24"/>
  <c r="G64" i="24"/>
  <c r="X75" i="24"/>
  <c r="AC65" i="24"/>
  <c r="S51" i="24"/>
  <c r="I49" i="24"/>
  <c r="M58" i="24"/>
  <c r="T46" i="24"/>
  <c r="X72" i="24"/>
  <c r="V55" i="24"/>
  <c r="G53" i="24"/>
  <c r="AC50" i="24"/>
  <c r="X48" i="24"/>
  <c r="O62" i="24"/>
  <c r="AA52" i="24"/>
  <c r="R55" i="24"/>
  <c r="I59" i="24"/>
  <c r="O66" i="24"/>
  <c r="G59" i="24"/>
  <c r="O54" i="24"/>
  <c r="X54" i="24"/>
  <c r="R70" i="24"/>
  <c r="AA74" i="24"/>
  <c r="AE51" i="24"/>
  <c r="J62" i="24"/>
  <c r="N51" i="24"/>
  <c r="Q73" i="24"/>
  <c r="AB62" i="24"/>
  <c r="X52" i="24"/>
  <c r="V59" i="24"/>
  <c r="Y59" i="24"/>
  <c r="U56" i="24"/>
  <c r="AA49" i="24"/>
  <c r="J47" i="24"/>
  <c r="AE48" i="24"/>
  <c r="Y56" i="24"/>
  <c r="AF65" i="24"/>
  <c r="AB68" i="24"/>
  <c r="AE62" i="24"/>
  <c r="T63" i="24"/>
  <c r="P50" i="24"/>
  <c r="G55" i="24"/>
  <c r="M66" i="24"/>
  <c r="AC73" i="24"/>
  <c r="Z52" i="24"/>
  <c r="G50" i="24"/>
  <c r="AF61" i="24"/>
  <c r="Z53" i="24"/>
  <c r="L53" i="24"/>
  <c r="L56" i="24"/>
  <c r="S69" i="24"/>
  <c r="U62" i="24"/>
  <c r="Q62" i="24"/>
  <c r="N59" i="24"/>
  <c r="AC72" i="24"/>
  <c r="AB54" i="24"/>
  <c r="P69" i="24"/>
  <c r="R56" i="24"/>
  <c r="I75" i="24"/>
  <c r="Y45" i="24"/>
  <c r="AB59" i="24"/>
  <c r="N57" i="24"/>
  <c r="V71" i="24"/>
  <c r="H53" i="24"/>
  <c r="X66" i="24"/>
  <c r="L65" i="24"/>
  <c r="U59" i="24"/>
  <c r="K61" i="24"/>
  <c r="U58" i="24"/>
  <c r="K62" i="24"/>
  <c r="W59" i="24"/>
  <c r="AB46" i="24"/>
  <c r="AF50" i="24"/>
  <c r="AC66" i="24"/>
  <c r="W55" i="24"/>
  <c r="G75" i="24"/>
  <c r="J63" i="24"/>
  <c r="J65" i="24"/>
  <c r="AF73" i="24"/>
  <c r="N63" i="24"/>
  <c r="V46" i="24"/>
  <c r="AD70" i="24"/>
  <c r="AE56" i="24"/>
  <c r="T51" i="24"/>
  <c r="I63" i="24"/>
  <c r="Q50" i="24"/>
  <c r="I52" i="24"/>
  <c r="P62" i="24"/>
  <c r="U69" i="24"/>
  <c r="U64" i="24"/>
  <c r="H46" i="24"/>
  <c r="G56" i="24"/>
  <c r="N55" i="24"/>
  <c r="K65" i="24"/>
  <c r="J56" i="24"/>
  <c r="J74" i="24"/>
  <c r="Y62" i="24"/>
  <c r="AF49" i="24"/>
  <c r="O64" i="24"/>
  <c r="Y66" i="24"/>
  <c r="AC69" i="24"/>
  <c r="M69" i="24"/>
  <c r="AC68" i="24"/>
  <c r="U51" i="24"/>
  <c r="AE74" i="24"/>
  <c r="AF72" i="24"/>
  <c r="Q48" i="24"/>
  <c r="I72" i="24"/>
  <c r="Z58" i="24"/>
  <c r="U52" i="24"/>
  <c r="G71" i="24"/>
  <c r="J61" i="24"/>
  <c r="AF52" i="24"/>
  <c r="H56" i="24"/>
  <c r="Q64" i="24"/>
  <c r="T62" i="24"/>
  <c r="AC49" i="24"/>
  <c r="AE71" i="24"/>
  <c r="H47" i="24"/>
  <c r="I73" i="24"/>
  <c r="L71" i="24"/>
  <c r="Q54" i="24"/>
  <c r="AA62" i="24"/>
  <c r="I74" i="24"/>
  <c r="R66" i="24"/>
  <c r="AF71" i="24"/>
  <c r="K54" i="24"/>
  <c r="O68" i="24"/>
  <c r="M45" i="24"/>
  <c r="Y46" i="24"/>
  <c r="K63" i="24"/>
  <c r="H69" i="24"/>
  <c r="W58" i="24"/>
  <c r="J52" i="24"/>
  <c r="Q75" i="24"/>
  <c r="AD48" i="24"/>
  <c r="Y68" i="24"/>
  <c r="R75" i="24"/>
  <c r="Q58" i="24"/>
  <c r="H61" i="24"/>
  <c r="AE49" i="24"/>
  <c r="AD64" i="24"/>
  <c r="V58" i="24"/>
  <c r="AD58" i="24"/>
  <c r="J69" i="24"/>
  <c r="H64" i="24"/>
  <c r="Z51" i="24"/>
  <c r="G68" i="24"/>
  <c r="AA65" i="24"/>
  <c r="Y69" i="24"/>
  <c r="L74" i="24"/>
  <c r="J66" i="24"/>
  <c r="J70" i="24"/>
  <c r="AD45" i="24"/>
  <c r="S56" i="24"/>
  <c r="G72" i="24"/>
  <c r="Y64" i="24"/>
  <c r="P58" i="24"/>
  <c r="M74" i="24"/>
  <c r="AE68" i="24"/>
  <c r="J57" i="24"/>
  <c r="L58" i="24"/>
  <c r="K68" i="24"/>
  <c r="G58" i="24"/>
  <c r="AD74" i="24"/>
  <c r="S47" i="24"/>
  <c r="M57" i="24"/>
  <c r="J54" i="24"/>
  <c r="Q49" i="24"/>
  <c r="I54" i="24"/>
  <c r="J49" i="24"/>
  <c r="Z62" i="24"/>
  <c r="L63" i="24"/>
  <c r="O51" i="24"/>
  <c r="G69" i="24"/>
  <c r="H68" i="24"/>
  <c r="H52" i="24"/>
  <c r="AC74" i="24"/>
  <c r="P61" i="24"/>
  <c r="Y57" i="24"/>
  <c r="AF59" i="24"/>
  <c r="M49" i="24"/>
  <c r="I57" i="24"/>
  <c r="AF75" i="24"/>
  <c r="L67" i="24"/>
  <c r="J67" i="24"/>
  <c r="O60" i="24"/>
  <c r="AB45" i="24"/>
  <c r="Z46" i="24"/>
  <c r="K51" i="24"/>
  <c r="AF58" i="24"/>
  <c r="T54" i="24"/>
  <c r="Y71" i="24"/>
  <c r="S75" i="24"/>
  <c r="M55" i="24"/>
  <c r="AA51" i="24"/>
  <c r="L61" i="24"/>
  <c r="AD55" i="24"/>
  <c r="L57" i="24"/>
  <c r="V70" i="24"/>
  <c r="S50" i="24"/>
  <c r="P53" i="24"/>
  <c r="Y61" i="24"/>
  <c r="AD54" i="24"/>
  <c r="S74" i="24"/>
  <c r="AF70" i="24"/>
  <c r="J59" i="24"/>
  <c r="AA45" i="24"/>
  <c r="G66" i="24"/>
  <c r="O49" i="24"/>
  <c r="W73" i="24"/>
  <c r="M56" i="24"/>
  <c r="AE65" i="24"/>
  <c r="AC59" i="24"/>
  <c r="R54" i="24"/>
  <c r="AC63" i="24"/>
  <c r="AA71" i="24"/>
  <c r="Z59" i="24"/>
  <c r="K59" i="24"/>
  <c r="AA63" i="24"/>
  <c r="G45" i="24"/>
  <c r="H74" i="24"/>
  <c r="Z71" i="24"/>
  <c r="O72" i="24"/>
  <c r="AA48" i="24"/>
  <c r="AF47" i="24"/>
  <c r="R59" i="24"/>
  <c r="T55" i="24"/>
  <c r="K52" i="24"/>
  <c r="N61" i="24"/>
  <c r="K64" i="24"/>
  <c r="P72" i="24"/>
  <c r="AE53" i="24"/>
  <c r="R67" i="24"/>
  <c r="N67" i="24"/>
  <c r="S60" i="24"/>
  <c r="H31" i="24"/>
  <c r="Y24" i="24"/>
  <c r="R31" i="24"/>
  <c r="AF67" i="24"/>
  <c r="M67" i="24"/>
  <c r="L60" i="24"/>
  <c r="H60" i="24"/>
  <c r="H67" i="24"/>
  <c r="I60" i="24"/>
  <c r="Q60" i="24"/>
  <c r="AD67" i="24"/>
  <c r="Z67" i="24"/>
  <c r="Y60" i="24"/>
  <c r="U60" i="24"/>
  <c r="R69" i="24"/>
  <c r="G52" i="24"/>
  <c r="Q72" i="24"/>
  <c r="AA75" i="24"/>
  <c r="W62" i="24"/>
  <c r="Y52" i="24"/>
  <c r="AA57" i="24"/>
  <c r="Q46" i="24"/>
  <c r="R53" i="24"/>
  <c r="I50" i="24"/>
  <c r="T52" i="24"/>
  <c r="AC51" i="24"/>
  <c r="P68" i="24"/>
  <c r="P66" i="24"/>
  <c r="S55" i="24"/>
  <c r="V49" i="24"/>
  <c r="H45" i="24"/>
  <c r="O63" i="24"/>
  <c r="J46" i="24"/>
  <c r="Y47" i="24"/>
  <c r="S46" i="24"/>
  <c r="H58" i="24"/>
  <c r="P75" i="24"/>
  <c r="V51" i="24"/>
  <c r="AB74" i="24"/>
  <c r="AC58" i="24"/>
  <c r="V69" i="24"/>
  <c r="T73" i="24"/>
  <c r="AA54" i="24"/>
  <c r="U57" i="24"/>
  <c r="H65" i="24"/>
  <c r="T74" i="24"/>
  <c r="H49" i="24"/>
  <c r="T49" i="24"/>
  <c r="P63" i="24"/>
  <c r="G47" i="24"/>
  <c r="AC57" i="24"/>
  <c r="G65" i="24"/>
  <c r="N49" i="24"/>
  <c r="V47" i="24"/>
  <c r="U46" i="24"/>
  <c r="AC47" i="24"/>
  <c r="J50" i="24"/>
  <c r="L47" i="24"/>
  <c r="AB56" i="24"/>
  <c r="AA70" i="24"/>
  <c r="Q61" i="24"/>
  <c r="Z45" i="24"/>
  <c r="P47" i="24"/>
  <c r="U66" i="24"/>
  <c r="L52" i="24"/>
  <c r="L49" i="24"/>
  <c r="H70" i="24"/>
  <c r="S53" i="24"/>
  <c r="Y75" i="24"/>
  <c r="S64" i="24"/>
  <c r="X70" i="24"/>
  <c r="Z61" i="24"/>
  <c r="I64" i="24"/>
  <c r="W63" i="24"/>
  <c r="O57" i="24"/>
  <c r="Q55" i="24"/>
  <c r="X58" i="24"/>
  <c r="T64" i="24"/>
  <c r="J51" i="24"/>
  <c r="V75" i="24"/>
  <c r="AE54" i="24"/>
  <c r="L72" i="24"/>
  <c r="AD57" i="24"/>
  <c r="H72" i="24"/>
  <c r="R62" i="24"/>
  <c r="O73" i="24"/>
  <c r="AA73" i="24"/>
  <c r="X49" i="24"/>
  <c r="Y51" i="24"/>
  <c r="S54" i="24"/>
  <c r="AD49" i="24"/>
  <c r="W70" i="24"/>
  <c r="J48" i="24"/>
  <c r="W50" i="24"/>
  <c r="L75" i="24"/>
  <c r="G61" i="24"/>
  <c r="N69" i="24"/>
  <c r="Y54" i="24"/>
  <c r="N73" i="24"/>
  <c r="Z73" i="24"/>
  <c r="AF66" i="24"/>
  <c r="AE69" i="24"/>
  <c r="U50" i="24"/>
  <c r="AF69" i="24"/>
  <c r="W64" i="24"/>
  <c r="Y53" i="24"/>
  <c r="O50" i="24"/>
  <c r="O48" i="24"/>
  <c r="W45" i="24"/>
  <c r="W46" i="24"/>
  <c r="M50" i="24"/>
  <c r="P56" i="24"/>
  <c r="AE75" i="24"/>
  <c r="N65" i="24"/>
  <c r="N53" i="24"/>
  <c r="W53" i="24"/>
  <c r="Z66" i="24"/>
  <c r="AE73" i="24"/>
  <c r="AA58" i="24"/>
  <c r="AF55" i="24"/>
  <c r="AB58" i="24"/>
  <c r="N62" i="24"/>
  <c r="K47" i="24"/>
  <c r="AE59" i="24"/>
  <c r="K45" i="24"/>
  <c r="S58" i="24"/>
  <c r="AF54" i="24"/>
  <c r="U72" i="24"/>
  <c r="V62" i="24"/>
  <c r="R47" i="24"/>
  <c r="T59" i="24"/>
  <c r="H51" i="24"/>
  <c r="X62" i="24"/>
  <c r="L46" i="24"/>
  <c r="X47" i="24"/>
  <c r="T65" i="24"/>
  <c r="Y65" i="24"/>
  <c r="R46" i="24"/>
  <c r="H66" i="24"/>
  <c r="W48" i="24"/>
  <c r="Z63" i="24"/>
  <c r="W66" i="24"/>
  <c r="R57" i="24"/>
  <c r="I46" i="24"/>
  <c r="AC64" i="24"/>
  <c r="M64" i="24"/>
  <c r="Z57" i="24"/>
  <c r="W57" i="24"/>
  <c r="AA59" i="24"/>
  <c r="U61" i="24"/>
  <c r="R61" i="24"/>
  <c r="AC56" i="24"/>
  <c r="O55" i="24"/>
  <c r="W74" i="24"/>
  <c r="K48" i="24"/>
  <c r="R45" i="24"/>
  <c r="X61" i="24"/>
  <c r="T53" i="24"/>
  <c r="M54" i="24"/>
  <c r="AC71" i="24"/>
  <c r="Q63" i="24"/>
  <c r="N66" i="24"/>
  <c r="M53" i="24"/>
  <c r="Z55" i="24"/>
  <c r="AE64" i="24"/>
  <c r="V61" i="24"/>
  <c r="AD72" i="24"/>
  <c r="N58" i="24"/>
  <c r="O59" i="24"/>
  <c r="T61" i="24"/>
  <c r="L64" i="24"/>
  <c r="W56" i="24"/>
  <c r="AC55" i="24"/>
  <c r="G49" i="24"/>
  <c r="AF56" i="24"/>
  <c r="K50" i="24"/>
  <c r="T56" i="24"/>
  <c r="Y70" i="24"/>
  <c r="V65" i="24"/>
  <c r="AA50" i="24"/>
  <c r="R72" i="24"/>
  <c r="Q53" i="24"/>
  <c r="Y74" i="24"/>
  <c r="AD66" i="24"/>
  <c r="Q74" i="24"/>
  <c r="X57" i="24"/>
  <c r="V48" i="24"/>
  <c r="L54" i="24"/>
  <c r="L73" i="24"/>
  <c r="J73" i="24"/>
  <c r="W75" i="24"/>
  <c r="Y63" i="24"/>
  <c r="AE57" i="24"/>
  <c r="K56" i="24"/>
  <c r="P73" i="24"/>
  <c r="T72" i="24"/>
  <c r="T47" i="24"/>
  <c r="X56" i="24"/>
  <c r="T58" i="24"/>
  <c r="AD75" i="24"/>
  <c r="AB57" i="24"/>
  <c r="P74" i="24"/>
  <c r="J45" i="24"/>
  <c r="Q67" i="24"/>
  <c r="N60" i="24"/>
  <c r="X60" i="24"/>
  <c r="S423" i="43"/>
  <c r="K419" i="43"/>
  <c r="T427" i="43"/>
  <c r="J424" i="43"/>
  <c r="I443" i="43"/>
  <c r="K422" i="43"/>
  <c r="Y419" i="43"/>
  <c r="G426" i="43"/>
  <c r="Y448" i="43"/>
  <c r="Q446" i="43"/>
  <c r="AF422" i="43"/>
  <c r="N419" i="43"/>
  <c r="N444" i="43"/>
  <c r="V425" i="43"/>
  <c r="U446" i="43"/>
  <c r="AB422" i="43"/>
  <c r="AF419" i="43"/>
  <c r="S425" i="43"/>
  <c r="U440" i="43"/>
  <c r="AA447" i="43"/>
  <c r="N422" i="43"/>
  <c r="AA422" i="43"/>
  <c r="M419" i="43"/>
  <c r="L433" i="43"/>
  <c r="O421" i="43"/>
  <c r="G421" i="43"/>
  <c r="M448" i="43"/>
  <c r="M437" i="43"/>
  <c r="G448" i="43"/>
  <c r="U426" i="43"/>
  <c r="AA442" i="43"/>
  <c r="AE428" i="43"/>
  <c r="P432" i="43"/>
  <c r="Z423" i="43"/>
  <c r="Z440" i="43"/>
  <c r="N424" i="43"/>
  <c r="W437" i="43"/>
  <c r="AC440" i="43"/>
  <c r="H447" i="43"/>
  <c r="AF436" i="43"/>
  <c r="AC443" i="43"/>
  <c r="O422" i="43"/>
  <c r="V419" i="43"/>
  <c r="P419" i="43"/>
  <c r="P437" i="43"/>
  <c r="U421" i="43"/>
  <c r="AE429" i="43"/>
  <c r="S431" i="43"/>
  <c r="J447" i="43"/>
  <c r="T445" i="43"/>
  <c r="N431" i="43"/>
  <c r="M427" i="43"/>
  <c r="AC439" i="43"/>
  <c r="AC419" i="43"/>
  <c r="AA437" i="43"/>
  <c r="H446" i="43"/>
  <c r="L446" i="43"/>
  <c r="S448" i="43"/>
  <c r="AB438" i="43"/>
  <c r="AA425" i="43"/>
  <c r="P430" i="43"/>
  <c r="I431" i="43"/>
  <c r="O424" i="43"/>
  <c r="M421" i="43"/>
  <c r="J431" i="43"/>
  <c r="S429" i="43"/>
  <c r="N428" i="43"/>
  <c r="T442" i="43"/>
  <c r="T449" i="43"/>
  <c r="N432" i="43"/>
  <c r="K439" i="43"/>
  <c r="R445" i="43"/>
  <c r="Q436" i="43"/>
  <c r="J432" i="43"/>
  <c r="X433" i="43"/>
  <c r="AE425" i="43"/>
  <c r="AF427" i="43"/>
  <c r="AF430" i="43"/>
  <c r="S447" i="43"/>
  <c r="T433" i="43"/>
  <c r="W428" i="43"/>
  <c r="L449" i="43"/>
  <c r="K431" i="43"/>
  <c r="O437" i="43"/>
  <c r="W447" i="43"/>
  <c r="AE421" i="43"/>
  <c r="Z436" i="43"/>
  <c r="M424" i="43"/>
  <c r="AD443" i="43"/>
  <c r="G437" i="43"/>
  <c r="J438" i="43"/>
  <c r="R440" i="43"/>
  <c r="AA428" i="43"/>
  <c r="K436" i="43"/>
  <c r="K449" i="43"/>
  <c r="AF440" i="43"/>
  <c r="AE440" i="43"/>
  <c r="G446" i="43"/>
  <c r="G443" i="43"/>
  <c r="AD426" i="43"/>
  <c r="R446" i="43"/>
  <c r="M423" i="43"/>
  <c r="Y426" i="43"/>
  <c r="P427" i="43"/>
  <c r="AA436" i="43"/>
  <c r="Y438" i="43"/>
  <c r="AB430" i="43"/>
  <c r="T443" i="43"/>
  <c r="U447" i="43"/>
  <c r="S440" i="43"/>
  <c r="X440" i="43"/>
  <c r="AB448" i="43"/>
  <c r="V447" i="43"/>
  <c r="T425" i="43"/>
  <c r="H428" i="43"/>
  <c r="Q429" i="43"/>
  <c r="L432" i="43"/>
  <c r="R425" i="43"/>
  <c r="J427" i="43"/>
  <c r="V448" i="43"/>
  <c r="R442" i="43"/>
  <c r="AD431" i="43"/>
  <c r="Z425" i="43"/>
  <c r="I432" i="43"/>
  <c r="AB425" i="43"/>
  <c r="U436" i="43"/>
  <c r="L447" i="43"/>
  <c r="H433" i="43"/>
  <c r="W426" i="43"/>
  <c r="AE436" i="43"/>
  <c r="AE442" i="43"/>
  <c r="AA443" i="43"/>
  <c r="K432" i="43"/>
  <c r="G427" i="43"/>
  <c r="P426" i="43"/>
  <c r="W440" i="43"/>
  <c r="X442" i="43"/>
  <c r="G449" i="43"/>
  <c r="S420" i="43"/>
  <c r="P420" i="43"/>
  <c r="K426" i="43"/>
  <c r="W444" i="43"/>
  <c r="AF420" i="43"/>
  <c r="Q435" i="43"/>
  <c r="X447" i="43"/>
  <c r="J445" i="43"/>
  <c r="T420" i="43"/>
  <c r="R437" i="43"/>
  <c r="Y429" i="43"/>
  <c r="P436" i="43"/>
  <c r="M435" i="43"/>
  <c r="R427" i="43"/>
  <c r="AD432" i="43"/>
  <c r="S445" i="43"/>
  <c r="U428" i="43"/>
  <c r="Z429" i="43"/>
  <c r="Z443" i="43"/>
  <c r="Z449" i="43"/>
  <c r="AD421" i="43"/>
  <c r="K421" i="43"/>
  <c r="AD444" i="43"/>
  <c r="O426" i="43"/>
  <c r="S444" i="43"/>
  <c r="Z426" i="43"/>
  <c r="J448" i="43"/>
  <c r="AE443" i="43"/>
  <c r="J430" i="43"/>
  <c r="H436" i="43"/>
  <c r="N429" i="43"/>
  <c r="H429" i="43"/>
  <c r="O444" i="43"/>
  <c r="X427" i="43"/>
  <c r="K427" i="43"/>
  <c r="O428" i="43"/>
  <c r="W423" i="43"/>
  <c r="I436" i="43"/>
  <c r="W449" i="43"/>
  <c r="AB446" i="43"/>
  <c r="G432" i="43"/>
  <c r="T426" i="43"/>
  <c r="W421" i="43"/>
  <c r="AA433" i="43"/>
  <c r="L445" i="43"/>
  <c r="AD448" i="43"/>
  <c r="Y436" i="43"/>
  <c r="P435" i="43"/>
  <c r="AE423" i="43"/>
  <c r="AA435" i="43"/>
  <c r="Y423" i="43"/>
  <c r="H422" i="43"/>
  <c r="M432" i="43"/>
  <c r="L421" i="43"/>
  <c r="W429" i="43"/>
  <c r="R422" i="43"/>
  <c r="AA419" i="43"/>
  <c r="R431" i="43"/>
  <c r="Y424" i="43"/>
  <c r="X448" i="43"/>
  <c r="AD424" i="43"/>
  <c r="J422" i="43"/>
  <c r="R432" i="43"/>
  <c r="O439" i="43"/>
  <c r="X432" i="43"/>
  <c r="T444" i="43"/>
  <c r="I419" i="43"/>
  <c r="O427" i="43"/>
  <c r="W424" i="43"/>
  <c r="X444" i="43"/>
  <c r="H424" i="43"/>
  <c r="P422" i="43"/>
  <c r="S419" i="43"/>
  <c r="T419" i="43"/>
  <c r="N445" i="43"/>
  <c r="X439" i="43"/>
  <c r="H420" i="43"/>
  <c r="O447" i="43"/>
  <c r="L440" i="43"/>
  <c r="W442" i="43"/>
  <c r="L420" i="43"/>
  <c r="Y432" i="43"/>
  <c r="AE438" i="43"/>
  <c r="AD425" i="43"/>
  <c r="P431" i="43"/>
  <c r="X445" i="43"/>
  <c r="AC431" i="43"/>
  <c r="V436" i="43"/>
  <c r="AF421" i="43"/>
  <c r="K433" i="43"/>
  <c r="AC446" i="43"/>
  <c r="U422" i="43"/>
  <c r="V422" i="43"/>
  <c r="AE419" i="43"/>
  <c r="G438" i="43"/>
  <c r="AE420" i="43"/>
  <c r="T437" i="43"/>
  <c r="V449" i="43"/>
  <c r="J420" i="43"/>
  <c r="AA446" i="43"/>
  <c r="Q423" i="43"/>
  <c r="Z448" i="43"/>
  <c r="Q444" i="43"/>
  <c r="P429" i="43"/>
  <c r="M449" i="43"/>
  <c r="AD437" i="43"/>
  <c r="N425" i="43"/>
  <c r="J425" i="43"/>
  <c r="N435" i="43"/>
  <c r="AF431" i="43"/>
  <c r="W435" i="43"/>
  <c r="AE431" i="43"/>
  <c r="H437" i="43"/>
  <c r="N440" i="43"/>
  <c r="T424" i="43"/>
  <c r="V420" i="43"/>
  <c r="U427" i="43"/>
  <c r="O436" i="43"/>
  <c r="S435" i="43"/>
  <c r="O433" i="43"/>
  <c r="Y439" i="43"/>
  <c r="K425" i="43"/>
  <c r="P448" i="43"/>
  <c r="G423" i="43"/>
  <c r="S439" i="43"/>
  <c r="AB437" i="43"/>
  <c r="Y445" i="43"/>
  <c r="AE448" i="43"/>
  <c r="P443" i="43"/>
  <c r="U439" i="43"/>
  <c r="S433" i="43"/>
  <c r="AE424" i="43"/>
  <c r="O446" i="43"/>
  <c r="I440" i="43"/>
  <c r="U429" i="43"/>
  <c r="K420" i="43"/>
  <c r="W448" i="43"/>
  <c r="J443" i="43"/>
  <c r="S430" i="43"/>
  <c r="X449" i="43"/>
  <c r="M420" i="43"/>
  <c r="AF446" i="43"/>
  <c r="AA444" i="43"/>
  <c r="AF429" i="43"/>
  <c r="K424" i="43"/>
  <c r="AB444" i="43"/>
  <c r="AB431" i="43"/>
  <c r="I425" i="43"/>
  <c r="AF428" i="43"/>
  <c r="W430" i="43"/>
  <c r="J421" i="43"/>
  <c r="O448" i="43"/>
  <c r="R449" i="43"/>
  <c r="P421" i="43"/>
  <c r="T446" i="43"/>
  <c r="AC447" i="43"/>
  <c r="AF437" i="43"/>
  <c r="O443" i="43"/>
  <c r="O435" i="43"/>
  <c r="V427" i="43"/>
  <c r="I437" i="43"/>
  <c r="G425" i="43"/>
  <c r="K435" i="43"/>
  <c r="M438" i="43"/>
  <c r="X421" i="43"/>
  <c r="AC423" i="43"/>
  <c r="J436" i="43"/>
  <c r="AB439" i="43"/>
  <c r="X438" i="43"/>
  <c r="S446" i="43"/>
  <c r="G429" i="43"/>
  <c r="Y449" i="43"/>
  <c r="Z421" i="43"/>
  <c r="AA432" i="43"/>
  <c r="P440" i="43"/>
  <c r="G428" i="43"/>
  <c r="AD423" i="43"/>
  <c r="Y420" i="43"/>
  <c r="X426" i="43"/>
  <c r="W443" i="43"/>
  <c r="M443" i="43"/>
  <c r="AD442" i="43"/>
  <c r="AF423" i="43"/>
  <c r="Q421" i="43"/>
  <c r="Q420" i="43"/>
  <c r="Z444" i="43"/>
  <c r="Z442" i="43"/>
  <c r="I442" i="43"/>
  <c r="H426" i="43"/>
  <c r="V438" i="43"/>
  <c r="M431" i="43"/>
  <c r="X431" i="43"/>
  <c r="N433" i="43"/>
  <c r="K429" i="43"/>
  <c r="AD436" i="43"/>
  <c r="AB445" i="43"/>
  <c r="U420" i="43"/>
  <c r="AE437" i="43"/>
  <c r="R423" i="43"/>
  <c r="P442" i="43"/>
  <c r="I429" i="43"/>
  <c r="AE433" i="43"/>
  <c r="R426" i="43"/>
  <c r="P433" i="43"/>
  <c r="P428" i="43"/>
  <c r="AD430" i="43"/>
  <c r="J423" i="43"/>
  <c r="S443" i="43"/>
  <c r="AE449" i="43"/>
  <c r="H438" i="43"/>
  <c r="G431" i="43"/>
  <c r="U438" i="43"/>
  <c r="P425" i="43"/>
  <c r="M445" i="43"/>
  <c r="U448" i="43"/>
  <c r="Z430" i="43"/>
  <c r="G435" i="43"/>
  <c r="AD429" i="43"/>
  <c r="AD435" i="43"/>
  <c r="T430" i="43"/>
  <c r="U424" i="43"/>
  <c r="K445" i="43"/>
  <c r="AB420" i="43"/>
  <c r="R448" i="43"/>
  <c r="Q443" i="43"/>
  <c r="X423" i="43"/>
  <c r="AF435" i="43"/>
  <c r="O431" i="43"/>
  <c r="Z431" i="43"/>
  <c r="I433" i="43"/>
  <c r="P438" i="43"/>
  <c r="V433" i="43"/>
  <c r="V439" i="43"/>
  <c r="X428" i="43"/>
  <c r="R436" i="43"/>
  <c r="T436" i="43"/>
  <c r="R429" i="43"/>
  <c r="M429" i="43"/>
  <c r="T423" i="43"/>
  <c r="I422" i="43"/>
  <c r="S432" i="43"/>
  <c r="Y446" i="43"/>
  <c r="AD449" i="43"/>
  <c r="R444" i="43"/>
  <c r="Z422" i="43"/>
  <c r="S426" i="43"/>
  <c r="I439" i="43"/>
  <c r="AD447" i="43"/>
  <c r="AF449" i="43"/>
  <c r="S422" i="43"/>
  <c r="H419" i="43"/>
  <c r="N420" i="43"/>
  <c r="L430" i="43"/>
  <c r="H435" i="43"/>
  <c r="AF447" i="43"/>
  <c r="T435" i="43"/>
  <c r="N437" i="43"/>
  <c r="O425" i="43"/>
  <c r="Z437" i="43"/>
  <c r="AD422" i="43"/>
  <c r="R419" i="43"/>
  <c r="S438" i="43"/>
  <c r="H443" i="43"/>
  <c r="H440" i="43"/>
  <c r="L427" i="43"/>
  <c r="Y444" i="43"/>
  <c r="H431" i="43"/>
  <c r="AD427" i="43"/>
  <c r="O438" i="43"/>
  <c r="Y431" i="43"/>
  <c r="AA431" i="43"/>
  <c r="AB433" i="43"/>
  <c r="AF443" i="43"/>
  <c r="N449" i="43"/>
  <c r="V421" i="43"/>
  <c r="V442" i="43"/>
  <c r="J444" i="43"/>
  <c r="Q427" i="43"/>
  <c r="V426" i="43"/>
  <c r="L443" i="43"/>
  <c r="P444" i="43"/>
  <c r="Q425" i="43"/>
  <c r="Q430" i="43"/>
  <c r="Z447" i="43"/>
  <c r="L437" i="43"/>
  <c r="Q448" i="43"/>
  <c r="AE445" i="43"/>
  <c r="AC420" i="43"/>
  <c r="X424" i="43"/>
  <c r="AE426" i="43"/>
  <c r="J433" i="43"/>
  <c r="U430" i="43"/>
  <c r="X435" i="43"/>
  <c r="AC438" i="43"/>
  <c r="P439" i="43"/>
  <c r="V431" i="43"/>
  <c r="L428" i="43"/>
  <c r="U449" i="43"/>
  <c r="M444" i="43"/>
  <c r="Q447" i="43"/>
  <c r="H439" i="43"/>
  <c r="K440" i="43"/>
  <c r="K438" i="43"/>
  <c r="AA439" i="43"/>
  <c r="M430" i="43"/>
  <c r="AA449" i="43"/>
  <c r="N426" i="43"/>
  <c r="U435" i="43"/>
  <c r="T421" i="43"/>
  <c r="AC444" i="43"/>
  <c r="AF448" i="43"/>
  <c r="AC433" i="43"/>
  <c r="N421" i="43"/>
  <c r="K442" i="43"/>
  <c r="G433" i="43"/>
  <c r="AA427" i="43"/>
  <c r="O423" i="43"/>
  <c r="G442" i="43"/>
  <c r="Y425" i="43"/>
  <c r="L439" i="43"/>
  <c r="Y440" i="43"/>
  <c r="M428" i="43"/>
  <c r="N442" i="43"/>
  <c r="AB429" i="43"/>
  <c r="M446" i="43"/>
  <c r="AA421" i="43"/>
  <c r="G424" i="43"/>
  <c r="AB447" i="43"/>
  <c r="W420" i="43"/>
  <c r="J437" i="43"/>
  <c r="Z427" i="43"/>
  <c r="X443" i="43"/>
  <c r="AC424" i="43"/>
  <c r="AA424" i="43"/>
  <c r="T439" i="43"/>
  <c r="Y437" i="43"/>
  <c r="W419" i="43"/>
  <c r="Q438" i="43"/>
  <c r="X422" i="43"/>
  <c r="W427" i="43"/>
  <c r="Z428" i="43"/>
  <c r="L419" i="43"/>
  <c r="I447" i="43"/>
  <c r="G422" i="43"/>
  <c r="J419" i="43"/>
  <c r="V432" i="43"/>
  <c r="Y428" i="43"/>
  <c r="Z420" i="43"/>
  <c r="AB427" i="43"/>
  <c r="M426" i="43"/>
  <c r="G444" i="43"/>
  <c r="Y433" i="43"/>
  <c r="Y442" i="43"/>
  <c r="L448" i="43"/>
  <c r="U419" i="43"/>
  <c r="AA445" i="43"/>
  <c r="I448" i="43"/>
  <c r="AE435" i="43"/>
  <c r="I449" i="43"/>
  <c r="M433" i="43"/>
  <c r="AB449" i="43"/>
  <c r="AC426" i="43"/>
  <c r="AB442" i="43"/>
  <c r="L424" i="43"/>
  <c r="G436" i="43"/>
  <c r="I426" i="43"/>
  <c r="G420" i="43"/>
  <c r="R435" i="43"/>
  <c r="J446" i="43"/>
  <c r="Q424" i="43"/>
  <c r="I444" i="43"/>
  <c r="Q439" i="43"/>
  <c r="K430" i="43"/>
  <c r="W439" i="43"/>
  <c r="AD445" i="43"/>
  <c r="I424" i="43"/>
  <c r="H430" i="43"/>
  <c r="X429" i="43"/>
  <c r="P445" i="43"/>
  <c r="V428" i="43"/>
  <c r="T447" i="43"/>
  <c r="N446" i="43"/>
  <c r="Z435" i="43"/>
  <c r="W445" i="43"/>
  <c r="N447" i="43"/>
  <c r="J428" i="43"/>
  <c r="AE444" i="43"/>
  <c r="Y447" i="43"/>
  <c r="S427" i="43"/>
  <c r="AC429" i="43"/>
  <c r="AF444" i="43"/>
  <c r="AE430" i="43"/>
  <c r="P446" i="43"/>
  <c r="J429" i="43"/>
  <c r="T431" i="43"/>
  <c r="S437" i="43"/>
  <c r="AC435" i="43"/>
  <c r="O420" i="43"/>
  <c r="Y430" i="43"/>
  <c r="R430" i="43"/>
  <c r="W438" i="43"/>
  <c r="U442" i="43"/>
  <c r="AC432" i="43"/>
  <c r="Z433" i="43"/>
  <c r="X420" i="43"/>
  <c r="AC449" i="43"/>
  <c r="H427" i="43"/>
  <c r="N423" i="43"/>
  <c r="V430" i="43"/>
  <c r="H432" i="43"/>
  <c r="I428" i="43"/>
  <c r="J442" i="43"/>
  <c r="O432" i="43"/>
  <c r="Q432" i="43"/>
  <c r="AD446" i="43"/>
  <c r="AD428" i="43"/>
  <c r="V443" i="43"/>
  <c r="K443" i="43"/>
  <c r="R443" i="43"/>
  <c r="Y421" i="43"/>
  <c r="M442" i="43"/>
  <c r="H449" i="43"/>
  <c r="U437" i="43"/>
  <c r="AF426" i="43"/>
  <c r="AC427" i="43"/>
  <c r="AA423" i="43"/>
  <c r="U423" i="43"/>
  <c r="L423" i="43"/>
  <c r="Q419" i="43"/>
  <c r="L422" i="43"/>
  <c r="AD433" i="43"/>
  <c r="P424" i="43"/>
  <c r="U433" i="43"/>
  <c r="Q422" i="43"/>
  <c r="L425" i="43"/>
  <c r="R433" i="43"/>
  <c r="W436" i="43"/>
  <c r="M439" i="43"/>
  <c r="Y422" i="43"/>
  <c r="U432" i="43"/>
  <c r="U444" i="43"/>
  <c r="AD419" i="43"/>
  <c r="I430" i="43"/>
  <c r="AC445" i="43"/>
  <c r="J449" i="43"/>
  <c r="AF439" i="43"/>
  <c r="P447" i="43"/>
  <c r="L429" i="43"/>
  <c r="AD440" i="43"/>
  <c r="AA426" i="43"/>
  <c r="Q426" i="43"/>
  <c r="AC436" i="43"/>
  <c r="H448" i="43"/>
  <c r="AF424" i="43"/>
  <c r="Z432" i="43"/>
  <c r="I446" i="43"/>
  <c r="R421" i="43"/>
  <c r="N439" i="43"/>
  <c r="X425" i="43"/>
  <c r="J435" i="43"/>
  <c r="L436" i="43"/>
  <c r="Z438" i="43"/>
  <c r="Q449" i="43"/>
  <c r="Z439" i="43"/>
  <c r="AB426" i="43"/>
  <c r="S436" i="43"/>
  <c r="K428" i="43"/>
  <c r="S449" i="43"/>
  <c r="O440" i="43"/>
  <c r="V423" i="43"/>
  <c r="M436" i="43"/>
  <c r="N436" i="43"/>
  <c r="K437" i="43"/>
  <c r="AA440" i="43"/>
  <c r="S424" i="43"/>
  <c r="N427" i="43"/>
  <c r="AE446" i="43"/>
  <c r="Z419" i="43"/>
  <c r="T422" i="43"/>
  <c r="P423" i="43"/>
  <c r="G447" i="43"/>
  <c r="W432" i="43"/>
  <c r="N430" i="43"/>
  <c r="O449" i="43"/>
  <c r="AD438" i="43"/>
  <c r="K447" i="43"/>
  <c r="I427" i="43"/>
  <c r="R438" i="43"/>
  <c r="L431" i="43"/>
  <c r="AC421" i="43"/>
  <c r="T448" i="43"/>
  <c r="AB435" i="43"/>
  <c r="AF445" i="43"/>
  <c r="V444" i="43"/>
  <c r="AE427" i="43"/>
  <c r="T428" i="43"/>
  <c r="Z424" i="43"/>
  <c r="I420" i="43"/>
  <c r="H421" i="43"/>
  <c r="H425" i="43"/>
  <c r="O445" i="43"/>
  <c r="R424" i="43"/>
  <c r="K423" i="43"/>
  <c r="H423" i="43"/>
  <c r="AB424" i="43"/>
  <c r="AC425" i="43"/>
  <c r="U431" i="43"/>
  <c r="V424" i="43"/>
  <c r="M440" i="43"/>
  <c r="I421" i="43"/>
  <c r="L435" i="43"/>
  <c r="AA448" i="43"/>
  <c r="L426" i="43"/>
  <c r="X436" i="43"/>
  <c r="Q445" i="43"/>
  <c r="AB440" i="43"/>
  <c r="AC430" i="43"/>
  <c r="AC437" i="43"/>
  <c r="Y435" i="43"/>
  <c r="J440" i="43"/>
  <c r="O429" i="43"/>
  <c r="AC442" i="43"/>
  <c r="X419" i="43"/>
  <c r="AC422" i="43"/>
  <c r="S421" i="43"/>
  <c r="H442" i="43"/>
  <c r="AF433" i="43"/>
  <c r="M422" i="43"/>
  <c r="AD420" i="43"/>
  <c r="I438" i="43"/>
  <c r="L444" i="43"/>
  <c r="AA429" i="43"/>
  <c r="W422" i="43"/>
  <c r="Y427" i="43"/>
  <c r="G439" i="43"/>
  <c r="T429" i="43"/>
  <c r="K448" i="43"/>
  <c r="L438" i="43"/>
  <c r="R428" i="43"/>
  <c r="R439" i="43"/>
  <c r="I423" i="43"/>
  <c r="AC448" i="43"/>
  <c r="J426" i="43"/>
  <c r="W431" i="43"/>
  <c r="AF425" i="43"/>
  <c r="Q442" i="43"/>
  <c r="H444" i="43"/>
  <c r="AB428" i="43"/>
  <c r="R420" i="43"/>
  <c r="X446" i="43"/>
  <c r="K446" i="43"/>
  <c r="AA438" i="43"/>
  <c r="AE447" i="43"/>
  <c r="N448" i="43"/>
  <c r="I435" i="43"/>
  <c r="N438" i="43"/>
  <c r="P449" i="43"/>
  <c r="AB421" i="43"/>
  <c r="Q437" i="43"/>
  <c r="AA430" i="43"/>
  <c r="W425" i="43"/>
  <c r="M447" i="43"/>
  <c r="X437" i="43"/>
  <c r="AB443" i="43"/>
  <c r="AF442" i="43"/>
  <c r="AC428" i="43"/>
  <c r="Q440" i="43"/>
  <c r="Q433" i="43"/>
  <c r="AB423" i="43"/>
  <c r="T440" i="43"/>
  <c r="M425" i="43"/>
  <c r="O419" i="43"/>
  <c r="AE422" i="43"/>
  <c r="AE432" i="43"/>
  <c r="G419" i="43"/>
  <c r="K444" i="43"/>
  <c r="G440" i="43"/>
  <c r="O430" i="43"/>
  <c r="W446" i="43"/>
  <c r="AB419" i="43"/>
  <c r="AD439" i="43"/>
  <c r="S442" i="43"/>
  <c r="AF438" i="43"/>
  <c r="T438" i="43"/>
  <c r="V446" i="43"/>
  <c r="AB436" i="43"/>
  <c r="V437" i="43"/>
  <c r="I445" i="43"/>
  <c r="T432" i="43"/>
  <c r="AA420" i="43"/>
  <c r="U443" i="43"/>
  <c r="AE439" i="43"/>
  <c r="Z445" i="43"/>
  <c r="R447" i="43"/>
  <c r="Q431" i="43"/>
  <c r="L442" i="43"/>
  <c r="Z446" i="43"/>
  <c r="V435" i="43"/>
  <c r="Q428" i="43"/>
  <c r="G445" i="43"/>
  <c r="H445" i="43"/>
  <c r="O442" i="43"/>
  <c r="W433" i="43"/>
  <c r="AF432" i="43"/>
  <c r="X430" i="43"/>
  <c r="J439" i="43"/>
  <c r="U445" i="43"/>
  <c r="N443" i="43"/>
  <c r="AB432" i="43"/>
  <c r="U425" i="43"/>
  <c r="Y443" i="43"/>
  <c r="V445" i="43"/>
  <c r="V429" i="43"/>
  <c r="V440" i="43"/>
  <c r="S428" i="43"/>
  <c r="G430" i="43"/>
  <c r="AA12" i="24"/>
  <c r="X12" i="24"/>
  <c r="AC12" i="24"/>
  <c r="G22" i="24"/>
  <c r="T28" i="24"/>
  <c r="T29" i="24"/>
  <c r="G36" i="24"/>
  <c r="V29" i="24"/>
  <c r="AF13" i="24"/>
  <c r="N36" i="24"/>
  <c r="X36" i="24"/>
  <c r="H10" i="24"/>
  <c r="AF30" i="24"/>
  <c r="U25" i="24"/>
  <c r="U18" i="24"/>
  <c r="I32" i="24"/>
  <c r="AE35" i="24"/>
  <c r="AA30" i="24"/>
  <c r="T22" i="24"/>
  <c r="AB15" i="24"/>
  <c r="AD21" i="24"/>
  <c r="AE29" i="24"/>
  <c r="Z15" i="24"/>
  <c r="O32" i="24"/>
  <c r="V25" i="24"/>
  <c r="W38" i="24"/>
  <c r="V37" i="24"/>
  <c r="AA14" i="24"/>
  <c r="O33" i="24"/>
  <c r="M18" i="24"/>
  <c r="J29" i="24"/>
  <c r="AB13" i="24"/>
  <c r="L30" i="24"/>
  <c r="AB38" i="24"/>
  <c r="G11" i="24"/>
  <c r="H15" i="24"/>
  <c r="AA13" i="24"/>
  <c r="AD25" i="24"/>
  <c r="M33" i="24"/>
  <c r="Z35" i="24"/>
  <c r="H11" i="24"/>
  <c r="P21" i="24"/>
  <c r="N18" i="24"/>
  <c r="AA25" i="24"/>
  <c r="W30" i="24"/>
  <c r="X33" i="24"/>
  <c r="T30" i="24"/>
  <c r="X30" i="24"/>
  <c r="U29" i="24"/>
  <c r="W34" i="24"/>
  <c r="Z36" i="24"/>
  <c r="K36" i="24"/>
  <c r="AB39" i="24"/>
  <c r="AC27" i="24"/>
  <c r="L20" i="24"/>
  <c r="I37" i="24"/>
  <c r="S23" i="24"/>
  <c r="Q23" i="24"/>
  <c r="W33" i="24"/>
  <c r="N13" i="24"/>
  <c r="O15" i="24"/>
  <c r="AA32" i="24"/>
  <c r="AE16" i="24"/>
  <c r="H17" i="24"/>
  <c r="Q19" i="24"/>
  <c r="L11" i="24"/>
  <c r="T13" i="24"/>
  <c r="L36" i="24"/>
  <c r="J10" i="24"/>
  <c r="J33" i="24"/>
  <c r="AA28" i="24"/>
  <c r="L35" i="24"/>
  <c r="AE18" i="24"/>
  <c r="Z10" i="24"/>
  <c r="AC13" i="24"/>
  <c r="AC10" i="24"/>
  <c r="AB35" i="24"/>
  <c r="I10" i="24"/>
  <c r="L17" i="24"/>
  <c r="V20" i="24"/>
  <c r="V36" i="24"/>
  <c r="AF18" i="24"/>
  <c r="G27" i="24"/>
  <c r="N32" i="24"/>
  <c r="H27" i="24"/>
  <c r="AF36" i="24"/>
  <c r="S36" i="24"/>
  <c r="K14" i="24"/>
  <c r="W20" i="24"/>
  <c r="Q26" i="24"/>
  <c r="H30" i="24"/>
  <c r="V28" i="24"/>
  <c r="X27" i="24"/>
  <c r="U36" i="24"/>
  <c r="H21" i="24"/>
  <c r="AF29" i="24"/>
  <c r="R26" i="24"/>
  <c r="W28" i="24"/>
  <c r="X25" i="24"/>
  <c r="O35" i="24"/>
  <c r="AF10" i="24"/>
  <c r="H13" i="24"/>
  <c r="S39" i="24"/>
  <c r="K10" i="24"/>
  <c r="X18" i="24"/>
  <c r="R19" i="24"/>
  <c r="G18" i="24"/>
  <c r="AB18" i="24"/>
  <c r="L10" i="24"/>
  <c r="M34" i="24"/>
  <c r="AC11" i="24"/>
  <c r="AD30" i="24"/>
  <c r="U35" i="24"/>
  <c r="Z19" i="24"/>
  <c r="AE37" i="24"/>
  <c r="L18" i="24"/>
  <c r="X13" i="24"/>
  <c r="M27" i="24"/>
  <c r="AC37" i="24"/>
  <c r="S22" i="24"/>
  <c r="H19" i="24"/>
  <c r="AC32" i="24"/>
  <c r="Q17" i="24"/>
  <c r="O16" i="24"/>
  <c r="Q14" i="24"/>
  <c r="W18" i="24"/>
  <c r="I27" i="24"/>
  <c r="M37" i="24"/>
  <c r="O36" i="24"/>
  <c r="AD22" i="24"/>
  <c r="AE12" i="24"/>
  <c r="I12" i="24"/>
  <c r="M12" i="24"/>
  <c r="P29" i="24"/>
  <c r="AE33" i="24"/>
  <c r="Z30" i="24"/>
  <c r="AA15" i="24"/>
  <c r="Z16" i="24"/>
  <c r="AC18" i="24"/>
  <c r="AE36" i="24"/>
  <c r="G20" i="24"/>
  <c r="T21" i="24"/>
  <c r="Q15" i="24"/>
  <c r="Q13" i="24"/>
  <c r="AE32" i="24"/>
  <c r="AE10" i="24"/>
  <c r="AA33" i="24"/>
  <c r="O14" i="24"/>
  <c r="AD13" i="24"/>
  <c r="U30" i="24"/>
  <c r="AD29" i="24"/>
  <c r="O30" i="24"/>
  <c r="AB19" i="24"/>
  <c r="N30" i="24"/>
  <c r="K15" i="24"/>
  <c r="J37" i="24"/>
  <c r="U28" i="24"/>
  <c r="G30" i="24"/>
  <c r="P16" i="24"/>
  <c r="U20" i="24"/>
  <c r="AF25" i="24"/>
  <c r="W19" i="24"/>
  <c r="O34" i="24"/>
  <c r="T17" i="24"/>
  <c r="R23" i="24"/>
  <c r="G25" i="24"/>
  <c r="P17" i="24"/>
  <c r="I28" i="24"/>
  <c r="G33" i="24"/>
  <c r="V38" i="24"/>
  <c r="AB32" i="24"/>
  <c r="W11" i="24"/>
  <c r="G17" i="24"/>
  <c r="AD28" i="24"/>
  <c r="T23" i="24"/>
  <c r="AB25" i="24"/>
  <c r="Q32" i="24"/>
  <c r="L25" i="24"/>
  <c r="P15" i="24"/>
  <c r="AB28" i="24"/>
  <c r="Y16" i="24"/>
  <c r="I19" i="24"/>
  <c r="L32" i="24"/>
  <c r="G16" i="24"/>
  <c r="I26" i="24"/>
  <c r="K21" i="24"/>
  <c r="M21" i="24"/>
  <c r="S19" i="24"/>
  <c r="Y15" i="24"/>
  <c r="K35" i="24"/>
  <c r="U22" i="24"/>
  <c r="J21" i="24"/>
  <c r="Q11" i="24"/>
  <c r="W16" i="24"/>
  <c r="AA19" i="24"/>
  <c r="AE11" i="24"/>
  <c r="U17" i="24"/>
  <c r="AC20" i="24"/>
  <c r="M35" i="24"/>
  <c r="G32" i="24"/>
  <c r="R38" i="24"/>
  <c r="T18" i="24"/>
  <c r="AA18" i="24"/>
  <c r="N26" i="24"/>
  <c r="M11" i="24"/>
  <c r="V35" i="24"/>
  <c r="V19" i="24"/>
  <c r="S21" i="24"/>
  <c r="Q37" i="24"/>
  <c r="O29" i="24"/>
  <c r="Y21" i="24"/>
  <c r="AA21" i="24"/>
  <c r="AF15" i="24"/>
  <c r="AA35" i="24"/>
  <c r="S29" i="24"/>
  <c r="N19" i="24"/>
  <c r="AD27" i="24"/>
  <c r="R21" i="24"/>
  <c r="Q30" i="24"/>
  <c r="Y23" i="24"/>
  <c r="AE21" i="24"/>
  <c r="O25" i="24"/>
  <c r="G15" i="24"/>
  <c r="AB23" i="24"/>
  <c r="K27" i="24"/>
  <c r="Y25" i="24"/>
  <c r="Z39" i="24"/>
  <c r="T26" i="24"/>
  <c r="L34" i="24"/>
  <c r="Y17" i="24"/>
  <c r="AB16" i="24"/>
  <c r="Z20" i="24"/>
  <c r="H38" i="24"/>
  <c r="M10" i="24"/>
  <c r="X34" i="24"/>
  <c r="V32" i="24"/>
  <c r="R34" i="24"/>
  <c r="Y14" i="24"/>
  <c r="P11" i="24"/>
  <c r="AF32" i="24"/>
  <c r="AF14" i="24"/>
  <c r="T34" i="24"/>
  <c r="H29" i="24"/>
  <c r="T14" i="24"/>
  <c r="X14" i="24"/>
  <c r="I13" i="24"/>
  <c r="P25" i="24"/>
  <c r="T16" i="24"/>
  <c r="O22" i="24"/>
  <c r="AD14" i="24"/>
  <c r="S13" i="24"/>
  <c r="Z11" i="24"/>
  <c r="N15" i="24"/>
  <c r="J39" i="24"/>
  <c r="P35" i="24"/>
  <c r="S14" i="24"/>
  <c r="I35" i="24"/>
  <c r="O10" i="24"/>
  <c r="K26" i="24"/>
  <c r="J20" i="24"/>
  <c r="Q36" i="24"/>
  <c r="H37" i="24"/>
  <c r="AD34" i="24"/>
  <c r="L14" i="24"/>
  <c r="O27" i="24"/>
  <c r="U23" i="24"/>
  <c r="G29" i="24"/>
  <c r="AF26" i="24"/>
  <c r="Z34" i="24"/>
  <c r="K11" i="24"/>
  <c r="I34" i="24"/>
  <c r="P12" i="24"/>
  <c r="S37" i="24"/>
  <c r="AE30" i="24"/>
  <c r="W32" i="24"/>
  <c r="U13" i="24"/>
  <c r="P36" i="24"/>
  <c r="N10" i="24"/>
  <c r="L13" i="24"/>
  <c r="L15" i="24"/>
  <c r="L29" i="24"/>
  <c r="AC26" i="24"/>
  <c r="AE39" i="24"/>
  <c r="W37" i="24"/>
  <c r="K25" i="24"/>
  <c r="W36" i="24"/>
  <c r="R14" i="24"/>
  <c r="AC25" i="24"/>
  <c r="AD35" i="24"/>
  <c r="U16" i="24"/>
  <c r="Z17" i="24"/>
  <c r="X38" i="24"/>
  <c r="V15" i="24"/>
  <c r="K33" i="24"/>
  <c r="S25" i="24"/>
  <c r="S15" i="24"/>
  <c r="AB17" i="24"/>
  <c r="M29" i="24"/>
  <c r="U37" i="24"/>
  <c r="N33" i="24"/>
  <c r="AE23" i="24"/>
  <c r="L26" i="24"/>
  <c r="P22" i="24"/>
  <c r="Z37" i="24"/>
  <c r="M32" i="24"/>
  <c r="X19" i="24"/>
  <c r="W29" i="24"/>
  <c r="J34" i="24"/>
  <c r="J18" i="24"/>
  <c r="I29" i="24"/>
  <c r="N21" i="24"/>
  <c r="AE22" i="24"/>
  <c r="W27" i="24"/>
  <c r="O38" i="24"/>
  <c r="AB36" i="24"/>
  <c r="O21" i="24"/>
  <c r="AF33" i="24"/>
  <c r="P30" i="24"/>
  <c r="K13" i="24"/>
  <c r="R18" i="24"/>
  <c r="S32" i="24"/>
  <c r="P39" i="24"/>
  <c r="S10" i="24"/>
  <c r="Y39" i="24"/>
  <c r="H18" i="24"/>
  <c r="AA38" i="24"/>
  <c r="AF28" i="24"/>
  <c r="U33" i="24"/>
  <c r="K16" i="24"/>
  <c r="S30" i="24"/>
  <c r="M13" i="24"/>
  <c r="M20" i="24"/>
  <c r="I18" i="24"/>
  <c r="AE38" i="24"/>
  <c r="J11" i="24"/>
  <c r="Y20" i="24"/>
  <c r="I23" i="24"/>
  <c r="Q33" i="24"/>
  <c r="V22" i="24"/>
  <c r="R20" i="24"/>
  <c r="W26" i="24"/>
  <c r="AD37" i="24"/>
  <c r="I17" i="24"/>
  <c r="AF38" i="24"/>
  <c r="I16" i="24"/>
  <c r="N38" i="24"/>
  <c r="G39" i="24"/>
  <c r="M36" i="24"/>
  <c r="L37" i="24"/>
  <c r="Z21" i="24"/>
  <c r="K32" i="24"/>
  <c r="AD15" i="24"/>
  <c r="AE27" i="24"/>
  <c r="Y28" i="24"/>
  <c r="Y32" i="24"/>
  <c r="Y27" i="24"/>
  <c r="M25" i="24"/>
  <c r="AF27" i="24"/>
  <c r="M28" i="24"/>
  <c r="K20" i="24"/>
  <c r="O20" i="24"/>
  <c r="Q35" i="24"/>
  <c r="T36" i="24"/>
  <c r="X11" i="24"/>
  <c r="Q22" i="24"/>
  <c r="U34" i="24"/>
  <c r="G35" i="24"/>
  <c r="V14" i="24"/>
  <c r="T15" i="24"/>
  <c r="W13" i="24"/>
  <c r="Q25" i="24"/>
  <c r="L39" i="24"/>
  <c r="N39" i="24"/>
  <c r="V10" i="24"/>
  <c r="Z32" i="24"/>
  <c r="AA22" i="24"/>
  <c r="G28" i="24"/>
  <c r="Q39" i="24"/>
  <c r="J32" i="24"/>
  <c r="U26" i="24"/>
  <c r="N35" i="24"/>
  <c r="O9" i="24"/>
  <c r="I9" i="24"/>
  <c r="W9" i="24"/>
  <c r="G9" i="24"/>
  <c r="AB9" i="24"/>
  <c r="AE9" i="24"/>
  <c r="P9" i="24"/>
  <c r="Y12" i="24"/>
  <c r="R12" i="24"/>
  <c r="AF12" i="24"/>
  <c r="S12" i="24"/>
  <c r="AA34" i="24"/>
  <c r="J14" i="24"/>
  <c r="AF37" i="24"/>
  <c r="AC14" i="24"/>
  <c r="H28" i="24"/>
  <c r="T19" i="24"/>
  <c r="V21" i="24"/>
  <c r="Y37" i="24"/>
  <c r="AA23" i="24"/>
  <c r="K28" i="24"/>
  <c r="P26" i="24"/>
  <c r="AB37" i="24"/>
  <c r="R15" i="24"/>
  <c r="U27" i="24"/>
  <c r="J30" i="24"/>
  <c r="AF11" i="24"/>
  <c r="T38" i="24"/>
  <c r="L21" i="24"/>
  <c r="AB20" i="24"/>
  <c r="I25" i="24"/>
  <c r="T20" i="24"/>
  <c r="O19" i="24"/>
  <c r="X21" i="24"/>
  <c r="O26" i="24"/>
  <c r="N34" i="24"/>
  <c r="AE20" i="24"/>
  <c r="P27" i="24"/>
  <c r="AB11" i="24"/>
  <c r="W15" i="24"/>
  <c r="Y19" i="24"/>
  <c r="H33" i="24"/>
  <c r="I21" i="24"/>
  <c r="AD18" i="24"/>
  <c r="V13" i="24"/>
  <c r="S26" i="24"/>
  <c r="AF19" i="24"/>
  <c r="T10" i="24"/>
  <c r="J15" i="24"/>
  <c r="G38" i="24"/>
  <c r="Q28" i="24"/>
  <c r="U11" i="24"/>
  <c r="AC38" i="24"/>
  <c r="AD36" i="24"/>
  <c r="L16" i="24"/>
  <c r="M19" i="24"/>
  <c r="Q27" i="24"/>
  <c r="W17" i="24"/>
  <c r="I38" i="24"/>
  <c r="S11" i="24"/>
  <c r="P18" i="24"/>
  <c r="AB27" i="24"/>
  <c r="U15" i="24"/>
  <c r="AB22" i="24"/>
  <c r="AE34" i="24"/>
  <c r="P13" i="24"/>
  <c r="H16" i="24"/>
  <c r="AA37" i="24"/>
  <c r="X22" i="24"/>
  <c r="G26" i="24"/>
  <c r="V33" i="24"/>
  <c r="L27" i="24"/>
  <c r="AB30" i="24"/>
  <c r="S16" i="24"/>
  <c r="U19" i="24"/>
  <c r="AF34" i="24"/>
  <c r="AE19" i="24"/>
  <c r="K38" i="24"/>
  <c r="K34" i="24"/>
  <c r="X29" i="24"/>
  <c r="G37" i="24"/>
  <c r="S35" i="24"/>
  <c r="AC28" i="24"/>
  <c r="J27" i="24"/>
  <c r="AE15" i="24"/>
  <c r="X28" i="24"/>
  <c r="S33" i="24"/>
  <c r="Y34" i="24"/>
  <c r="Y11" i="24"/>
  <c r="AD33" i="24"/>
  <c r="AD32" i="24"/>
  <c r="I22" i="24"/>
  <c r="AE13" i="24"/>
  <c r="Z26" i="24"/>
  <c r="V27" i="24"/>
  <c r="G21" i="24"/>
  <c r="AF35" i="24"/>
  <c r="AA26" i="24"/>
  <c r="AA20" i="24"/>
  <c r="L33" i="24"/>
  <c r="U32" i="24"/>
  <c r="S18" i="24"/>
  <c r="AC34" i="24"/>
  <c r="V9" i="24"/>
  <c r="S9" i="24"/>
  <c r="M9" i="24"/>
  <c r="T9" i="24"/>
  <c r="AD9" i="24"/>
  <c r="J12" i="24"/>
  <c r="N12" i="24"/>
  <c r="O12" i="24"/>
  <c r="V18" i="24"/>
  <c r="AF20" i="24"/>
  <c r="S17" i="24"/>
  <c r="R13" i="24"/>
  <c r="S34" i="24"/>
  <c r="H39" i="24"/>
  <c r="AC39" i="24"/>
  <c r="Z27" i="24"/>
  <c r="AE17" i="24"/>
  <c r="AC30" i="24"/>
  <c r="K9" i="24"/>
  <c r="U9" i="24"/>
  <c r="R9" i="24"/>
  <c r="AF9" i="24"/>
  <c r="H9" i="24"/>
  <c r="Q12" i="24"/>
  <c r="G12" i="24"/>
  <c r="K12" i="24"/>
  <c r="U12" i="24"/>
  <c r="R27" i="24"/>
  <c r="V16" i="24"/>
  <c r="AA27" i="24"/>
  <c r="X26" i="24"/>
  <c r="W21" i="24"/>
  <c r="AE28" i="24"/>
  <c r="R35" i="24"/>
  <c r="Q18" i="24"/>
  <c r="K37" i="24"/>
  <c r="O11" i="24"/>
  <c r="R32" i="24"/>
  <c r="AC35" i="24"/>
  <c r="T27" i="24"/>
  <c r="R22" i="24"/>
  <c r="Z13" i="24"/>
  <c r="R25" i="24"/>
  <c r="H36" i="24"/>
  <c r="H20" i="24"/>
  <c r="J23" i="24"/>
  <c r="G34" i="24"/>
  <c r="J28" i="24"/>
  <c r="Z25" i="24"/>
  <c r="Z38" i="24"/>
  <c r="H14" i="24"/>
  <c r="X17" i="24"/>
  <c r="W39" i="24"/>
  <c r="Y30" i="24"/>
  <c r="AB14" i="24"/>
  <c r="Z28" i="24"/>
  <c r="AF23" i="24"/>
  <c r="R36" i="24"/>
  <c r="P28" i="24"/>
  <c r="X20" i="24"/>
  <c r="AD19" i="24"/>
  <c r="J19" i="24"/>
  <c r="AB10" i="24"/>
  <c r="AC21" i="24"/>
  <c r="AF17" i="24"/>
  <c r="X23" i="24"/>
  <c r="K22" i="24"/>
  <c r="AC19" i="24"/>
  <c r="Y18" i="24"/>
  <c r="J38" i="24"/>
  <c r="AA17" i="24"/>
  <c r="J16" i="24"/>
  <c r="N37" i="24"/>
  <c r="AB33" i="24"/>
  <c r="N25" i="24"/>
  <c r="K18" i="24"/>
  <c r="M23" i="24"/>
  <c r="V11" i="24"/>
  <c r="W35" i="24"/>
  <c r="X37" i="24"/>
  <c r="G13" i="24"/>
  <c r="J13" i="24"/>
  <c r="P14" i="24"/>
  <c r="N28" i="24"/>
  <c r="K30" i="24"/>
  <c r="AC29" i="24"/>
  <c r="T37" i="24"/>
  <c r="W23" i="24"/>
  <c r="M30" i="24"/>
  <c r="T11" i="24"/>
  <c r="AA39" i="24"/>
  <c r="R33" i="24"/>
  <c r="V23" i="24"/>
  <c r="P10" i="24"/>
  <c r="X39" i="24"/>
  <c r="U38" i="24"/>
  <c r="O18" i="24"/>
  <c r="I20" i="24"/>
  <c r="V39" i="24"/>
  <c r="U10" i="24"/>
  <c r="AF22" i="24"/>
  <c r="AD10" i="24"/>
  <c r="Z33" i="24"/>
  <c r="Q38" i="24"/>
  <c r="AA9" i="24"/>
  <c r="L9" i="24"/>
  <c r="Y9" i="24"/>
  <c r="N9" i="24"/>
  <c r="T12" i="24"/>
  <c r="V12" i="24"/>
  <c r="W12" i="24"/>
  <c r="Z12" i="24"/>
  <c r="H23" i="24"/>
  <c r="R11" i="24"/>
  <c r="AD38" i="24"/>
  <c r="H32" i="24"/>
  <c r="J22" i="24"/>
  <c r="U21" i="24"/>
  <c r="AB26" i="24"/>
  <c r="K19" i="24"/>
  <c r="T33" i="24"/>
  <c r="S38" i="24"/>
  <c r="X10" i="24"/>
  <c r="AC33" i="24"/>
  <c r="AA29" i="24"/>
  <c r="AC16" i="24"/>
  <c r="K23" i="24"/>
  <c r="AE25" i="24"/>
  <c r="Z23" i="24"/>
  <c r="P38" i="24"/>
  <c r="M14" i="24"/>
  <c r="H35" i="24"/>
  <c r="Z14" i="24"/>
  <c r="I11" i="24"/>
  <c r="AD17" i="24"/>
  <c r="O13" i="24"/>
  <c r="S27" i="24"/>
  <c r="J25" i="24"/>
  <c r="Q16" i="24"/>
  <c r="I33" i="24"/>
  <c r="AD26" i="24"/>
  <c r="R16" i="24"/>
  <c r="H22" i="24"/>
  <c r="J26" i="24"/>
  <c r="R29" i="24"/>
  <c r="P32" i="24"/>
  <c r="Y38" i="24"/>
  <c r="AC15" i="24"/>
  <c r="J17" i="24"/>
  <c r="L28" i="24"/>
  <c r="J35" i="24"/>
  <c r="AE14" i="24"/>
  <c r="Y22" i="24"/>
  <c r="Y26" i="24"/>
  <c r="AB34" i="24"/>
  <c r="N29" i="24"/>
  <c r="R37" i="24"/>
  <c r="R17" i="24"/>
  <c r="Y36" i="24"/>
  <c r="Z22" i="24"/>
  <c r="M38" i="24"/>
  <c r="I30" i="24"/>
  <c r="G10" i="24"/>
  <c r="M39" i="24"/>
  <c r="AA10" i="24"/>
  <c r="H34" i="24"/>
  <c r="N27" i="24"/>
  <c r="N22" i="24"/>
  <c r="N23" i="24"/>
  <c r="Q20" i="24"/>
  <c r="M16" i="24"/>
  <c r="J36" i="24"/>
  <c r="AF21" i="24"/>
  <c r="AD39" i="24"/>
  <c r="X32" i="24"/>
  <c r="R39" i="24"/>
  <c r="O23" i="24"/>
  <c r="L38" i="24"/>
  <c r="P37" i="24"/>
  <c r="S28" i="24"/>
  <c r="AF16" i="24"/>
  <c r="AC17" i="24"/>
  <c r="P20" i="24"/>
  <c r="G23" i="24"/>
  <c r="N20" i="24"/>
  <c r="AD23" i="24"/>
  <c r="O28" i="24"/>
  <c r="Y35" i="24"/>
  <c r="N17" i="24"/>
  <c r="Y29" i="24"/>
  <c r="Q21" i="24"/>
  <c r="X35" i="24"/>
  <c r="I39" i="24"/>
  <c r="N16" i="24"/>
  <c r="H26" i="24"/>
  <c r="Z18" i="24"/>
  <c r="P19" i="24"/>
  <c r="I14" i="24"/>
  <c r="Y33" i="24"/>
  <c r="W14" i="24"/>
  <c r="W25" i="24"/>
  <c r="AC36" i="24"/>
  <c r="AC9" i="24"/>
  <c r="AB12" i="24"/>
  <c r="AE26" i="24"/>
  <c r="W10" i="24"/>
  <c r="M15" i="24"/>
  <c r="X16" i="24"/>
  <c r="R10" i="24"/>
  <c r="O17" i="24"/>
  <c r="V30" i="24"/>
  <c r="T39" i="24"/>
  <c r="H25" i="24"/>
  <c r="G14" i="24"/>
  <c r="J9" i="24"/>
  <c r="Z9" i="24"/>
  <c r="R28" i="24"/>
  <c r="T32" i="24"/>
  <c r="AD11" i="24"/>
  <c r="R30" i="24"/>
  <c r="L22" i="24"/>
  <c r="AF39" i="24"/>
  <c r="M26" i="24"/>
  <c r="L19" i="24"/>
  <c r="M17" i="24"/>
  <c r="O37" i="24"/>
  <c r="T35" i="24"/>
  <c r="AD16" i="24"/>
  <c r="L23" i="24"/>
  <c r="Q29" i="24"/>
  <c r="V17" i="24"/>
  <c r="W22" i="24"/>
  <c r="Y13" i="24"/>
  <c r="Q9" i="24"/>
  <c r="K29" i="24"/>
  <c r="AC23" i="24"/>
  <c r="K39" i="24"/>
  <c r="I36" i="24"/>
  <c r="AC22" i="24"/>
  <c r="N14" i="24"/>
  <c r="Q34" i="24"/>
  <c r="U14" i="24"/>
  <c r="S20" i="24"/>
  <c r="AA11" i="24"/>
  <c r="Z29" i="24"/>
  <c r="I15" i="24"/>
  <c r="V26" i="24"/>
  <c r="Y10" i="24"/>
  <c r="AA16" i="24"/>
  <c r="AA36" i="24"/>
  <c r="AD20" i="24"/>
  <c r="K17" i="24"/>
  <c r="U39" i="24"/>
  <c r="N11" i="24"/>
  <c r="X9" i="24"/>
  <c r="L12" i="24"/>
  <c r="AD12" i="24"/>
  <c r="X15" i="24"/>
  <c r="G19" i="24"/>
  <c r="V34" i="24"/>
  <c r="AB21" i="24"/>
  <c r="M22" i="24"/>
  <c r="O39" i="24"/>
  <c r="P23" i="24"/>
  <c r="P34" i="24"/>
  <c r="T25" i="24"/>
  <c r="P33" i="24"/>
  <c r="AB29" i="24"/>
  <c r="Q10" i="24"/>
  <c r="H12" i="24"/>
  <c r="M441" i="43"/>
  <c r="Q31" i="24"/>
  <c r="U31" i="24"/>
  <c r="I441" i="43"/>
  <c r="P434" i="43"/>
  <c r="Z434" i="43"/>
  <c r="AB434" i="43"/>
  <c r="AC31" i="24"/>
  <c r="J441" i="43"/>
  <c r="Y31" i="24"/>
  <c r="I24" i="24"/>
  <c r="V24" i="24"/>
  <c r="J434" i="43"/>
  <c r="W434" i="43"/>
  <c r="AE441" i="43"/>
  <c r="T31" i="24"/>
  <c r="S24" i="24"/>
  <c r="R434" i="43"/>
  <c r="U24" i="24"/>
  <c r="V441" i="43"/>
  <c r="AA441" i="43"/>
  <c r="AF31" i="24"/>
  <c r="P31" i="24"/>
  <c r="T434" i="43"/>
  <c r="AD434" i="43"/>
  <c r="L434" i="43"/>
  <c r="M31" i="24"/>
  <c r="Q441" i="43"/>
  <c r="U441" i="43"/>
  <c r="I31" i="24"/>
  <c r="P24" i="24"/>
  <c r="Z24" i="24"/>
  <c r="AB24" i="24"/>
  <c r="AC441" i="43"/>
  <c r="J31" i="24"/>
  <c r="Y441" i="43"/>
  <c r="I434" i="43"/>
  <c r="V434" i="43"/>
  <c r="J24" i="24"/>
  <c r="W24" i="24"/>
  <c r="AE31" i="24"/>
  <c r="T441" i="43"/>
  <c r="S434" i="43"/>
  <c r="R24" i="24"/>
  <c r="U434" i="43"/>
  <c r="V31" i="24"/>
  <c r="AA31" i="24"/>
  <c r="AF441" i="43"/>
  <c r="P441" i="43"/>
  <c r="T24" i="24"/>
  <c r="AD24" i="24"/>
  <c r="L24" i="24"/>
  <c r="AK22" i="5"/>
  <c r="S22" i="5"/>
  <c r="AK23" i="5"/>
  <c r="S23" i="5"/>
  <c r="AK24" i="5"/>
  <c r="S24" i="5"/>
  <c r="AK21" i="5"/>
  <c r="S21" i="5"/>
  <c r="AK31" i="5"/>
  <c r="S31" i="5"/>
  <c r="AK28" i="5"/>
  <c r="S28" i="5"/>
  <c r="AK30" i="5"/>
  <c r="S30" i="5"/>
  <c r="AK27" i="5"/>
  <c r="S27" i="5"/>
  <c r="AK29" i="5"/>
  <c r="S29" i="5"/>
  <c r="G153" i="24" l="1" a="1"/>
  <c r="G117" i="24" a="1"/>
  <c r="G153" i="15" a="1"/>
  <c r="Q173" i="15" s="1"/>
  <c r="G117" i="15" a="1"/>
  <c r="P137" i="15" s="1"/>
  <c r="G261" i="24" a="1"/>
  <c r="R281" i="24" s="1"/>
  <c r="AN29" i="5"/>
  <c r="AN27" i="5"/>
  <c r="AN31" i="5"/>
  <c r="AN24" i="5"/>
  <c r="AN30" i="5"/>
  <c r="AN28" i="5"/>
  <c r="AN21" i="5"/>
  <c r="AN23" i="5"/>
  <c r="AN22" i="5"/>
  <c r="U274" i="24" l="1"/>
  <c r="AC274" i="24"/>
  <c r="V275" i="24"/>
  <c r="M275" i="24"/>
  <c r="X275" i="24"/>
  <c r="V273" i="24"/>
  <c r="S273" i="24"/>
  <c r="X273" i="24"/>
  <c r="I280" i="24"/>
  <c r="AE280" i="24"/>
  <c r="AA282" i="24"/>
  <c r="R282" i="24"/>
  <c r="T282" i="24"/>
  <c r="Z276" i="24"/>
  <c r="AA276" i="24"/>
  <c r="H283" i="24"/>
  <c r="N279" i="24"/>
  <c r="L279" i="24"/>
  <c r="AF281" i="24"/>
  <c r="Y274" i="24"/>
  <c r="Q274" i="24"/>
  <c r="G274" i="24"/>
  <c r="H275" i="24"/>
  <c r="AA275" i="24"/>
  <c r="AC273" i="24"/>
  <c r="Q273" i="24"/>
  <c r="X280" i="24"/>
  <c r="W280" i="24"/>
  <c r="U282" i="24"/>
  <c r="AE282" i="24"/>
  <c r="P282" i="24"/>
  <c r="T276" i="24"/>
  <c r="J276" i="24"/>
  <c r="L283" i="24"/>
  <c r="M283" i="24"/>
  <c r="AF279" i="24"/>
  <c r="V279" i="24"/>
  <c r="P279" i="24"/>
  <c r="K281" i="24"/>
  <c r="H281" i="24"/>
  <c r="W274" i="24"/>
  <c r="AE274" i="24"/>
  <c r="U275" i="24"/>
  <c r="S275" i="24"/>
  <c r="I275" i="24"/>
  <c r="AF273" i="24"/>
  <c r="AA273" i="24"/>
  <c r="I273" i="24"/>
  <c r="K280" i="24"/>
  <c r="P280" i="24"/>
  <c r="AD280" i="24"/>
  <c r="I282" i="24"/>
  <c r="Q282" i="24"/>
  <c r="N276" i="24"/>
  <c r="AB276" i="24"/>
  <c r="M276" i="24"/>
  <c r="AB283" i="24"/>
  <c r="S279" i="24"/>
  <c r="M279" i="24"/>
  <c r="N281" i="24"/>
  <c r="U281" i="24"/>
  <c r="Z274" i="24"/>
  <c r="R274" i="24"/>
  <c r="P274" i="24"/>
  <c r="T275" i="24"/>
  <c r="AB275" i="24"/>
  <c r="Y273" i="24"/>
  <c r="P273" i="24"/>
  <c r="J280" i="24"/>
  <c r="L280" i="24"/>
  <c r="N280" i="24"/>
  <c r="W282" i="24"/>
  <c r="AC282" i="24"/>
  <c r="I276" i="24"/>
  <c r="Q276" i="24"/>
  <c r="V283" i="24"/>
  <c r="G283" i="24"/>
  <c r="K279" i="24"/>
  <c r="Y279" i="24"/>
  <c r="R279" i="24"/>
  <c r="O281" i="24"/>
  <c r="Q281" i="24"/>
  <c r="AC283" i="24"/>
  <c r="T283" i="24"/>
  <c r="AA283" i="24"/>
  <c r="Z283" i="24"/>
  <c r="AE281" i="24"/>
  <c r="J281" i="24"/>
  <c r="I274" i="24"/>
  <c r="J274" i="24"/>
  <c r="O274" i="24"/>
  <c r="AF274" i="24"/>
  <c r="L274" i="24"/>
  <c r="P275" i="24"/>
  <c r="J275" i="24"/>
  <c r="W275" i="24"/>
  <c r="AF275" i="24"/>
  <c r="AE275" i="24"/>
  <c r="O273" i="24"/>
  <c r="W273" i="24"/>
  <c r="J273" i="24"/>
  <c r="G273" i="24"/>
  <c r="AC280" i="24"/>
  <c r="G280" i="24"/>
  <c r="Z280" i="24"/>
  <c r="H280" i="24"/>
  <c r="AF280" i="24"/>
  <c r="AD282" i="24"/>
  <c r="Z282" i="24"/>
  <c r="N282" i="24"/>
  <c r="S282" i="24"/>
  <c r="J282" i="24"/>
  <c r="Y276" i="24"/>
  <c r="V276" i="24"/>
  <c r="R276" i="24"/>
  <c r="AF276" i="24"/>
  <c r="S276" i="24"/>
  <c r="X283" i="24"/>
  <c r="AF283" i="24"/>
  <c r="AD283" i="24"/>
  <c r="K283" i="24"/>
  <c r="W283" i="24"/>
  <c r="H279" i="24"/>
  <c r="W279" i="24"/>
  <c r="X279" i="24"/>
  <c r="I279" i="24"/>
  <c r="AE279" i="24"/>
  <c r="I281" i="24"/>
  <c r="Y281" i="24"/>
  <c r="AB281" i="24"/>
  <c r="V281" i="24"/>
  <c r="Z281" i="24"/>
  <c r="AD274" i="24"/>
  <c r="AB274" i="24"/>
  <c r="N274" i="24"/>
  <c r="M274" i="24"/>
  <c r="AA274" i="24"/>
  <c r="Q275" i="24"/>
  <c r="K275" i="24"/>
  <c r="N275" i="24"/>
  <c r="Z275" i="24"/>
  <c r="Y275" i="24"/>
  <c r="R273" i="24"/>
  <c r="Z273" i="24"/>
  <c r="L273" i="24"/>
  <c r="M273" i="24"/>
  <c r="T273" i="24"/>
  <c r="O280" i="24"/>
  <c r="T280" i="24"/>
  <c r="S280" i="24"/>
  <c r="Q280" i="24"/>
  <c r="V280" i="24"/>
  <c r="K282" i="24"/>
  <c r="AF282" i="24"/>
  <c r="M282" i="24"/>
  <c r="G282" i="24"/>
  <c r="O282" i="24"/>
  <c r="AC276" i="24"/>
  <c r="X276" i="24"/>
  <c r="P276" i="24"/>
  <c r="AD276" i="24"/>
  <c r="W276" i="24"/>
  <c r="O283" i="24"/>
  <c r="P283" i="24"/>
  <c r="Y283" i="24"/>
  <c r="J283" i="24"/>
  <c r="I283" i="24"/>
  <c r="AB279" i="24"/>
  <c r="Q279" i="24"/>
  <c r="G279" i="24"/>
  <c r="AC279" i="24"/>
  <c r="O279" i="24"/>
  <c r="W281" i="24"/>
  <c r="T281" i="24"/>
  <c r="M281" i="24"/>
  <c r="X281" i="24"/>
  <c r="G9" i="14" a="1"/>
  <c r="G21" i="14" s="1"/>
  <c r="AA291" i="24"/>
  <c r="S262" i="24"/>
  <c r="AB289" i="24"/>
  <c r="AA268" i="24"/>
  <c r="AE268" i="24"/>
  <c r="R262" i="24"/>
  <c r="U270" i="24"/>
  <c r="I268" i="24"/>
  <c r="N286" i="24"/>
  <c r="I286" i="24"/>
  <c r="Z271" i="24"/>
  <c r="S290" i="24"/>
  <c r="AB267" i="24"/>
  <c r="AE286" i="24"/>
  <c r="G266" i="24"/>
  <c r="K272" i="24"/>
  <c r="L271" i="24"/>
  <c r="AD278" i="24"/>
  <c r="U261" i="24"/>
  <c r="AD272" i="24"/>
  <c r="Q277" i="24"/>
  <c r="AD285" i="24"/>
  <c r="I265" i="24"/>
  <c r="O288" i="24"/>
  <c r="AB264" i="24"/>
  <c r="Q290" i="24"/>
  <c r="O271" i="24"/>
  <c r="X262" i="24"/>
  <c r="S291" i="24"/>
  <c r="W264" i="24"/>
  <c r="N289" i="24"/>
  <c r="U269" i="24"/>
  <c r="G268" i="24"/>
  <c r="AD262" i="24"/>
  <c r="Y289" i="24"/>
  <c r="J265" i="24"/>
  <c r="AD263" i="24"/>
  <c r="Y266" i="24"/>
  <c r="AE291" i="24"/>
  <c r="O268" i="24"/>
  <c r="U268" i="24"/>
  <c r="P278" i="24"/>
  <c r="P284" i="24"/>
  <c r="X264" i="24"/>
  <c r="T277" i="24"/>
  <c r="Y287" i="24"/>
  <c r="H290" i="24"/>
  <c r="W262" i="24"/>
  <c r="AD286" i="24"/>
  <c r="AB278" i="24"/>
  <c r="Q287" i="24"/>
  <c r="T268" i="24"/>
  <c r="S285" i="24"/>
  <c r="L263" i="24"/>
  <c r="AF291" i="24"/>
  <c r="M265" i="24"/>
  <c r="AF287" i="24"/>
  <c r="V291" i="24"/>
  <c r="Z261" i="24"/>
  <c r="Q265" i="24"/>
  <c r="Z284" i="24"/>
  <c r="Q270" i="24"/>
  <c r="Y272" i="24"/>
  <c r="P269" i="24"/>
  <c r="G270" i="24"/>
  <c r="U271" i="24"/>
  <c r="AB290" i="24"/>
  <c r="V265" i="24"/>
  <c r="L267" i="24"/>
  <c r="Y264" i="24"/>
  <c r="V272" i="24"/>
  <c r="I263" i="24"/>
  <c r="O269" i="24"/>
  <c r="Q288" i="24"/>
  <c r="G288" i="24"/>
  <c r="H263" i="24"/>
  <c r="Z265" i="24"/>
  <c r="AF267" i="24"/>
  <c r="M261" i="24"/>
  <c r="T287" i="24"/>
  <c r="AF277" i="24"/>
  <c r="Y271" i="24"/>
  <c r="AA286" i="24"/>
  <c r="X268" i="24"/>
  <c r="AA272" i="24"/>
  <c r="G263" i="24"/>
  <c r="T289" i="24"/>
  <c r="W268" i="24"/>
  <c r="K270" i="24"/>
  <c r="O291" i="24"/>
  <c r="O266" i="24"/>
  <c r="S284" i="24"/>
  <c r="H278" i="24"/>
  <c r="H286" i="24"/>
  <c r="Z262" i="24"/>
  <c r="O278" i="24"/>
  <c r="S271" i="24"/>
  <c r="Z264" i="24"/>
  <c r="H265" i="24"/>
  <c r="I272" i="24"/>
  <c r="W278" i="24"/>
  <c r="X285" i="24"/>
  <c r="G284" i="24"/>
  <c r="X288" i="24"/>
  <c r="L291" i="24"/>
  <c r="Q261" i="24"/>
  <c r="N266" i="24"/>
  <c r="T284" i="24"/>
  <c r="N268" i="24"/>
  <c r="G289" i="24"/>
  <c r="K278" i="24"/>
  <c r="S263" i="24"/>
  <c r="AE287" i="24"/>
  <c r="K290" i="24"/>
  <c r="I266" i="24"/>
  <c r="I264" i="24"/>
  <c r="U289" i="24"/>
  <c r="Z291" i="24"/>
  <c r="AC289" i="24"/>
  <c r="X261" i="24"/>
  <c r="H267" i="24"/>
  <c r="X267" i="24"/>
  <c r="AF285" i="24"/>
  <c r="AE262" i="24"/>
  <c r="AD266" i="24"/>
  <c r="AC262" i="24"/>
  <c r="W263" i="24"/>
  <c r="K261" i="24"/>
  <c r="S269" i="24"/>
  <c r="K262" i="24"/>
  <c r="I277" i="24"/>
  <c r="I289" i="24"/>
  <c r="R285" i="24"/>
  <c r="I291" i="24"/>
  <c r="R290" i="24"/>
  <c r="AA265" i="24"/>
  <c r="L285" i="24"/>
  <c r="AA278" i="24"/>
  <c r="X287" i="24"/>
  <c r="Y278" i="24"/>
  <c r="S270" i="24"/>
  <c r="P268" i="24"/>
  <c r="N261" i="24"/>
  <c r="AF288" i="24"/>
  <c r="AF289" i="24"/>
  <c r="AF268" i="24"/>
  <c r="P264" i="24"/>
  <c r="X289" i="24"/>
  <c r="R277" i="24"/>
  <c r="AF278" i="24"/>
  <c r="P287" i="24"/>
  <c r="AA264" i="24"/>
  <c r="R266" i="24"/>
  <c r="N278" i="24"/>
  <c r="K269" i="24"/>
  <c r="S289" i="24"/>
  <c r="U288" i="24"/>
  <c r="AD289" i="24"/>
  <c r="S288" i="24"/>
  <c r="V290" i="24"/>
  <c r="P288" i="24"/>
  <c r="T290" i="24"/>
  <c r="AC278" i="24"/>
  <c r="V288" i="24"/>
  <c r="X278" i="24"/>
  <c r="AE265" i="24"/>
  <c r="V270" i="24"/>
  <c r="V261" i="24"/>
  <c r="M277" i="24"/>
  <c r="K286" i="24"/>
  <c r="AE270" i="24"/>
  <c r="AF284" i="24"/>
  <c r="AD270" i="24"/>
  <c r="L265" i="24"/>
  <c r="Z269" i="24"/>
  <c r="AB291" i="24"/>
  <c r="P265" i="24"/>
  <c r="J263" i="24"/>
  <c r="M269" i="24"/>
  <c r="R268" i="24"/>
  <c r="I267" i="24"/>
  <c r="Y268" i="24"/>
  <c r="S261" i="24"/>
  <c r="R271" i="24"/>
  <c r="J264" i="24"/>
  <c r="AD264" i="24"/>
  <c r="Q272" i="24"/>
  <c r="J285" i="24"/>
  <c r="Y270" i="24"/>
  <c r="AE277" i="24"/>
  <c r="X290" i="24"/>
  <c r="X272" i="24"/>
  <c r="X277" i="24"/>
  <c r="W286" i="24"/>
  <c r="Y291" i="24"/>
  <c r="Z288" i="24"/>
  <c r="P285" i="24"/>
  <c r="K267" i="24"/>
  <c r="AB262" i="24"/>
  <c r="Z270" i="24"/>
  <c r="J267" i="24"/>
  <c r="Q267" i="24"/>
  <c r="Z287" i="24"/>
  <c r="L287" i="24"/>
  <c r="X284" i="24"/>
  <c r="U266" i="24"/>
  <c r="R264" i="24"/>
  <c r="AE267" i="24"/>
  <c r="R288" i="24"/>
  <c r="N271" i="24"/>
  <c r="G264" i="24"/>
  <c r="AC265" i="24"/>
  <c r="T269" i="24"/>
  <c r="P263" i="24"/>
  <c r="U277" i="24"/>
  <c r="K277" i="24"/>
  <c r="J272" i="24"/>
  <c r="AB268" i="24"/>
  <c r="T263" i="24"/>
  <c r="G262" i="24"/>
  <c r="W265" i="24"/>
  <c r="P261" i="24"/>
  <c r="V266" i="24"/>
  <c r="L268" i="24"/>
  <c r="J288" i="24"/>
  <c r="X286" i="24"/>
  <c r="Y284" i="24"/>
  <c r="Y285" i="24"/>
  <c r="H266" i="24"/>
  <c r="Q271" i="24"/>
  <c r="H287" i="24"/>
  <c r="O287" i="24"/>
  <c r="AD271" i="24"/>
  <c r="O270" i="24"/>
  <c r="W269" i="24"/>
  <c r="Q285" i="24"/>
  <c r="AF264" i="24"/>
  <c r="J268" i="24"/>
  <c r="J277" i="24"/>
  <c r="P270" i="24"/>
  <c r="AE266" i="24"/>
  <c r="I288" i="24"/>
  <c r="O290" i="24"/>
  <c r="J271" i="24"/>
  <c r="Y267" i="24"/>
  <c r="K285" i="24"/>
  <c r="Y265" i="24"/>
  <c r="G286" i="24"/>
  <c r="R265" i="24"/>
  <c r="R261" i="24"/>
  <c r="AE263" i="24"/>
  <c r="J289" i="24"/>
  <c r="U286" i="24"/>
  <c r="AC277" i="24"/>
  <c r="M266" i="24"/>
  <c r="AE289" i="24"/>
  <c r="AB277" i="24"/>
  <c r="J269" i="24"/>
  <c r="K264" i="24"/>
  <c r="AA262" i="24"/>
  <c r="W277" i="24"/>
  <c r="H277" i="24"/>
  <c r="V286" i="24"/>
  <c r="W289" i="24"/>
  <c r="S266" i="24"/>
  <c r="V271" i="24"/>
  <c r="N264" i="24"/>
  <c r="AA270" i="24"/>
  <c r="I261" i="24"/>
  <c r="T262" i="24"/>
  <c r="L289" i="24"/>
  <c r="AA269" i="24"/>
  <c r="H264" i="24"/>
  <c r="W291" i="24"/>
  <c r="O285" i="24"/>
  <c r="W267" i="24"/>
  <c r="AF269" i="24"/>
  <c r="U291" i="24"/>
  <c r="U284" i="24"/>
  <c r="S264" i="24"/>
  <c r="V278" i="24"/>
  <c r="AE269" i="24"/>
  <c r="H269" i="24"/>
  <c r="AB286" i="24"/>
  <c r="W261" i="24"/>
  <c r="AB285" i="24"/>
  <c r="M291" i="24"/>
  <c r="Y269" i="24"/>
  <c r="AE285" i="24"/>
  <c r="I278" i="24"/>
  <c r="AC261" i="24"/>
  <c r="AF262" i="24"/>
  <c r="P266" i="24"/>
  <c r="U278" i="24"/>
  <c r="O284" i="24"/>
  <c r="AC285" i="24"/>
  <c r="L290" i="24"/>
  <c r="H268" i="24"/>
  <c r="AA277" i="24"/>
  <c r="S267" i="24"/>
  <c r="S287" i="24"/>
  <c r="O267" i="24"/>
  <c r="V285" i="24"/>
  <c r="U285" i="24"/>
  <c r="Y277" i="24"/>
  <c r="G261" i="24"/>
  <c r="K268" i="24"/>
  <c r="I290" i="24"/>
  <c r="AC288" i="24"/>
  <c r="AB287" i="24"/>
  <c r="AD277" i="24"/>
  <c r="Z272" i="24"/>
  <c r="Q262" i="24"/>
  <c r="H284" i="24"/>
  <c r="AB266" i="24"/>
  <c r="W272" i="24"/>
  <c r="W284" i="24"/>
  <c r="T270" i="24"/>
  <c r="N272" i="24"/>
  <c r="H262" i="24"/>
  <c r="N287" i="24"/>
  <c r="AB263" i="24"/>
  <c r="U265" i="24"/>
  <c r="L266" i="24"/>
  <c r="T285" i="24"/>
  <c r="W266" i="24"/>
  <c r="T264" i="24"/>
  <c r="L288" i="24"/>
  <c r="W288" i="24"/>
  <c r="R284" i="24"/>
  <c r="X270" i="24"/>
  <c r="L269" i="24"/>
  <c r="O262" i="24"/>
  <c r="H261" i="24"/>
  <c r="Z290" i="24"/>
  <c r="H271" i="24"/>
  <c r="R289" i="24"/>
  <c r="U263" i="24"/>
  <c r="S268" i="24"/>
  <c r="AB288" i="24"/>
  <c r="N262" i="24"/>
  <c r="J291" i="24"/>
  <c r="U267" i="24"/>
  <c r="G287" i="24"/>
  <c r="M262" i="24"/>
  <c r="AD261" i="24"/>
  <c r="T278" i="24"/>
  <c r="G265" i="24"/>
  <c r="V263" i="24"/>
  <c r="R278" i="24"/>
  <c r="H270" i="24"/>
  <c r="P271" i="24"/>
  <c r="AD267" i="24"/>
  <c r="V264" i="24"/>
  <c r="L262" i="24"/>
  <c r="Q286" i="24"/>
  <c r="G269" i="24"/>
  <c r="K288" i="24"/>
  <c r="V287" i="24"/>
  <c r="X266" i="24"/>
  <c r="AE290" i="24"/>
  <c r="L278" i="24"/>
  <c r="AF265" i="24"/>
  <c r="O265" i="24"/>
  <c r="L286" i="24"/>
  <c r="AE261" i="24"/>
  <c r="K291" i="24"/>
  <c r="Y286" i="24"/>
  <c r="AF266" i="24"/>
  <c r="S265" i="24"/>
  <c r="AD290" i="24"/>
  <c r="U264" i="24"/>
  <c r="I262" i="24"/>
  <c r="AA288" i="24"/>
  <c r="N285" i="24"/>
  <c r="W290" i="24"/>
  <c r="M287" i="24"/>
  <c r="AC284" i="24"/>
  <c r="K265" i="24"/>
  <c r="O286" i="24"/>
  <c r="R287" i="24"/>
  <c r="S278" i="24"/>
  <c r="AC264" i="24"/>
  <c r="AD268" i="24"/>
  <c r="G277" i="24"/>
  <c r="AE284" i="24"/>
  <c r="W285" i="24"/>
  <c r="P290" i="24"/>
  <c r="AC268" i="24"/>
  <c r="AB271" i="24"/>
  <c r="AA287" i="24"/>
  <c r="AE264" i="24"/>
  <c r="AD269" i="24"/>
  <c r="M286" i="24"/>
  <c r="T265" i="24"/>
  <c r="AD265" i="24"/>
  <c r="AD287" i="24"/>
  <c r="N270" i="24"/>
  <c r="AC271" i="24"/>
  <c r="V284" i="24"/>
  <c r="J270" i="24"/>
  <c r="G278" i="24"/>
  <c r="N291" i="24"/>
  <c r="N290" i="24"/>
  <c r="V267" i="24"/>
  <c r="AF261" i="24"/>
  <c r="O277" i="24"/>
  <c r="X291" i="24"/>
  <c r="X269" i="24"/>
  <c r="Q268" i="24"/>
  <c r="I270" i="24"/>
  <c r="N277" i="24"/>
  <c r="Z268" i="24"/>
  <c r="Y290" i="24"/>
  <c r="X265" i="24"/>
  <c r="T267" i="24"/>
  <c r="AA267" i="24"/>
  <c r="AA271" i="24"/>
  <c r="AE288" i="24"/>
  <c r="L284" i="24"/>
  <c r="G271" i="24"/>
  <c r="T271" i="24"/>
  <c r="AC290" i="24"/>
  <c r="AA263" i="24"/>
  <c r="X271" i="24"/>
  <c r="W287" i="24"/>
  <c r="AB261" i="24"/>
  <c r="R263" i="24"/>
  <c r="M285" i="24"/>
  <c r="Y263" i="24"/>
  <c r="Y261" i="24"/>
  <c r="P267" i="24"/>
  <c r="N269" i="24"/>
  <c r="AB270" i="24"/>
  <c r="Y288" i="24"/>
  <c r="J266" i="24"/>
  <c r="V268" i="24"/>
  <c r="I285" i="24"/>
  <c r="G285" i="24"/>
  <c r="T286" i="24"/>
  <c r="Q278" i="24"/>
  <c r="Z266" i="24"/>
  <c r="M267" i="24"/>
  <c r="J278" i="24"/>
  <c r="Q263" i="24"/>
  <c r="AF263" i="24"/>
  <c r="AA266" i="24"/>
  <c r="M263" i="24"/>
  <c r="H285" i="24"/>
  <c r="AC291" i="24"/>
  <c r="Z278" i="24"/>
  <c r="P291" i="24"/>
  <c r="AC267" i="24"/>
  <c r="J287" i="24"/>
  <c r="R267" i="24"/>
  <c r="R269" i="24"/>
  <c r="N263" i="24"/>
  <c r="K287" i="24"/>
  <c r="M270" i="24"/>
  <c r="K271" i="24"/>
  <c r="Y262" i="24"/>
  <c r="Z286" i="24"/>
  <c r="T288" i="24"/>
  <c r="L261" i="24"/>
  <c r="R272" i="24"/>
  <c r="J284" i="24"/>
  <c r="Q284" i="24"/>
  <c r="AF272" i="24"/>
  <c r="L264" i="24"/>
  <c r="M264" i="24"/>
  <c r="N284" i="24"/>
  <c r="Q264" i="24"/>
  <c r="AB265" i="24"/>
  <c r="Z263" i="24"/>
  <c r="G291" i="24"/>
  <c r="M271" i="24"/>
  <c r="O261" i="24"/>
  <c r="Z289" i="24"/>
  <c r="Q269" i="24"/>
  <c r="AC272" i="24"/>
  <c r="L270" i="24"/>
  <c r="O289" i="24"/>
  <c r="T261" i="24"/>
  <c r="K284" i="24"/>
  <c r="AA284" i="24"/>
  <c r="AC263" i="24"/>
  <c r="Z277" i="24"/>
  <c r="M290" i="24"/>
  <c r="M284" i="24"/>
  <c r="N267" i="24"/>
  <c r="N265" i="24"/>
  <c r="AF270" i="24"/>
  <c r="AD284" i="24"/>
  <c r="P277" i="24"/>
  <c r="Z285" i="24"/>
  <c r="V277" i="24"/>
  <c r="AE278" i="24"/>
  <c r="O264" i="24"/>
  <c r="AA261" i="24"/>
  <c r="G272" i="24"/>
  <c r="AC266" i="24"/>
  <c r="K263" i="24"/>
  <c r="H289" i="24"/>
  <c r="I269" i="24"/>
  <c r="M278" i="24"/>
  <c r="AC269" i="24"/>
  <c r="R291" i="24"/>
  <c r="AA285" i="24"/>
  <c r="J261" i="24"/>
  <c r="AB269" i="24"/>
  <c r="S277" i="24"/>
  <c r="AB272" i="24"/>
  <c r="AF286" i="24"/>
  <c r="L272" i="24"/>
  <c r="K266" i="24"/>
  <c r="V269" i="24"/>
  <c r="P262" i="24"/>
  <c r="T272" i="24"/>
  <c r="U290" i="24"/>
  <c r="P289" i="24"/>
  <c r="X263" i="24"/>
  <c r="AA289" i="24"/>
  <c r="I287" i="24"/>
  <c r="V262" i="24"/>
  <c r="P272" i="24"/>
  <c r="T266" i="24"/>
  <c r="AF271" i="24"/>
  <c r="G290" i="24"/>
  <c r="AF290" i="24"/>
  <c r="P286" i="24"/>
  <c r="H291" i="24"/>
  <c r="W270" i="24"/>
  <c r="M288" i="24"/>
  <c r="AA290" i="24"/>
  <c r="Z267" i="24"/>
  <c r="Q266" i="24"/>
  <c r="U287" i="24"/>
  <c r="H288" i="24"/>
  <c r="AD291" i="24"/>
  <c r="AC287" i="24"/>
  <c r="V289" i="24"/>
  <c r="Q289" i="24"/>
  <c r="AE272" i="24"/>
  <c r="S286" i="24"/>
  <c r="J262" i="24"/>
  <c r="H272" i="24"/>
  <c r="AB284" i="24"/>
  <c r="M268" i="24"/>
  <c r="S272" i="24"/>
  <c r="M272" i="24"/>
  <c r="AC270" i="24"/>
  <c r="R286" i="24"/>
  <c r="AD288" i="24"/>
  <c r="W271" i="24"/>
  <c r="L277" i="24"/>
  <c r="AC286" i="24"/>
  <c r="G267" i="24"/>
  <c r="J290" i="24"/>
  <c r="J286" i="24"/>
  <c r="I284" i="24"/>
  <c r="Q291" i="24"/>
  <c r="U262" i="24"/>
  <c r="U272" i="24"/>
  <c r="R270" i="24"/>
  <c r="T291" i="24"/>
  <c r="O263" i="24"/>
  <c r="K289" i="24"/>
  <c r="N288" i="24"/>
  <c r="AE271" i="24"/>
  <c r="M289" i="24"/>
  <c r="I271" i="24"/>
  <c r="O272" i="24"/>
  <c r="G178" i="24"/>
  <c r="O153" i="24"/>
  <c r="I153" i="24"/>
  <c r="H153" i="24"/>
  <c r="AE153" i="24"/>
  <c r="N156" i="24"/>
  <c r="M153" i="24"/>
  <c r="P166" i="24"/>
  <c r="R166" i="24"/>
  <c r="S162" i="24"/>
  <c r="W180" i="24"/>
  <c r="Z158" i="24"/>
  <c r="AA162" i="24"/>
  <c r="W154" i="24"/>
  <c r="Z161" i="24"/>
  <c r="Z180" i="24"/>
  <c r="G160" i="24"/>
  <c r="Y183" i="24"/>
  <c r="Q179" i="24"/>
  <c r="U170" i="24"/>
  <c r="J180" i="24"/>
  <c r="W172" i="24"/>
  <c r="V165" i="24"/>
  <c r="O161" i="24"/>
  <c r="M155" i="24"/>
  <c r="AB160" i="24"/>
  <c r="T167" i="24"/>
  <c r="K166" i="24"/>
  <c r="AC174" i="24"/>
  <c r="AD158" i="24"/>
  <c r="H162" i="24"/>
  <c r="AC176" i="24"/>
  <c r="K163" i="24"/>
  <c r="Y174" i="24"/>
  <c r="M163" i="24"/>
  <c r="AD167" i="24"/>
  <c r="I163" i="24"/>
  <c r="L162" i="24"/>
  <c r="AD160" i="24"/>
  <c r="P158" i="24"/>
  <c r="O177" i="24"/>
  <c r="M165" i="24"/>
  <c r="J166" i="24"/>
  <c r="Q157" i="24"/>
  <c r="U177" i="24"/>
  <c r="AD172" i="24"/>
  <c r="G164" i="24"/>
  <c r="O154" i="24"/>
  <c r="G158" i="24"/>
  <c r="Y170" i="24"/>
  <c r="AD181" i="24"/>
  <c r="O172" i="24"/>
  <c r="AC155" i="24"/>
  <c r="V167" i="24"/>
  <c r="H161" i="24"/>
  <c r="V158" i="24"/>
  <c r="P160" i="24"/>
  <c r="V174" i="24"/>
  <c r="AB165" i="24"/>
  <c r="AA160" i="24"/>
  <c r="AD171" i="24"/>
  <c r="Z171" i="24"/>
  <c r="I165" i="24"/>
  <c r="L160" i="24"/>
  <c r="I154" i="24"/>
  <c r="S179" i="24"/>
  <c r="U165" i="24"/>
  <c r="AC160" i="24"/>
  <c r="G157" i="24"/>
  <c r="V180" i="24"/>
  <c r="O183" i="24"/>
  <c r="Z166" i="24"/>
  <c r="AE183" i="24"/>
  <c r="P155" i="24"/>
  <c r="J176" i="24"/>
  <c r="G182" i="24"/>
  <c r="Z157" i="24"/>
  <c r="X159" i="24"/>
  <c r="L171" i="24"/>
  <c r="AF174" i="24"/>
  <c r="Q173" i="24"/>
  <c r="O163" i="24"/>
  <c r="U164" i="24"/>
  <c r="AB172" i="24"/>
  <c r="AF180" i="24"/>
  <c r="AB158" i="24"/>
  <c r="W162" i="24"/>
  <c r="M157" i="24"/>
  <c r="AB161" i="24"/>
  <c r="O174" i="24"/>
  <c r="H176" i="24"/>
  <c r="T169" i="24"/>
  <c r="W170" i="24"/>
  <c r="K173" i="24"/>
  <c r="R171" i="24"/>
  <c r="R165" i="24"/>
  <c r="AD166" i="24"/>
  <c r="T183" i="24"/>
  <c r="AE155" i="24"/>
  <c r="Y181" i="24"/>
  <c r="AB155" i="24"/>
  <c r="Z183" i="24"/>
  <c r="O181" i="24"/>
  <c r="AD174" i="24"/>
  <c r="I166" i="24"/>
  <c r="J171" i="24"/>
  <c r="M176" i="24"/>
  <c r="Y171" i="24"/>
  <c r="AA180" i="24"/>
  <c r="AA172" i="24"/>
  <c r="S165" i="24"/>
  <c r="K165" i="24"/>
  <c r="AD154" i="24"/>
  <c r="K172" i="24"/>
  <c r="P181" i="24"/>
  <c r="K158" i="24"/>
  <c r="H165" i="24"/>
  <c r="AF162" i="24"/>
  <c r="N155" i="24"/>
  <c r="M161" i="24"/>
  <c r="Y182" i="24"/>
  <c r="N173" i="24"/>
  <c r="Q167" i="24"/>
  <c r="Y167" i="24"/>
  <c r="U160" i="24"/>
  <c r="X161" i="24"/>
  <c r="L159" i="24"/>
  <c r="AF157" i="24"/>
  <c r="N177" i="24"/>
  <c r="M167" i="24"/>
  <c r="AB176" i="24"/>
  <c r="AB159" i="24"/>
  <c r="P177" i="24"/>
  <c r="V162" i="24"/>
  <c r="AF154" i="24"/>
  <c r="Q182" i="24"/>
  <c r="J160" i="24"/>
  <c r="AC166" i="24"/>
  <c r="Q160" i="24"/>
  <c r="Y158" i="24"/>
  <c r="Z170" i="24"/>
  <c r="P165" i="24"/>
  <c r="M182" i="24"/>
  <c r="Q159" i="24"/>
  <c r="Z155" i="24"/>
  <c r="O173" i="24"/>
  <c r="N157" i="24"/>
  <c r="S164" i="24"/>
  <c r="W174" i="24"/>
  <c r="K161" i="24"/>
  <c r="R172" i="24"/>
  <c r="AD165" i="24"/>
  <c r="P182" i="24"/>
  <c r="M181" i="24"/>
  <c r="AF159" i="24"/>
  <c r="G167" i="24"/>
  <c r="Q180" i="24"/>
  <c r="L176" i="24"/>
  <c r="AE176" i="24"/>
  <c r="L161" i="24"/>
  <c r="P183" i="24"/>
  <c r="V169" i="24"/>
  <c r="L167" i="24"/>
  <c r="AB177" i="24"/>
  <c r="K164" i="24"/>
  <c r="O170" i="24"/>
  <c r="AF176" i="24"/>
  <c r="I174" i="24"/>
  <c r="V172" i="24"/>
  <c r="Y164" i="24"/>
  <c r="P162" i="24"/>
  <c r="P176" i="24"/>
  <c r="I179" i="24"/>
  <c r="R163" i="24"/>
  <c r="T162" i="24"/>
  <c r="Y169" i="24"/>
  <c r="P153" i="24"/>
  <c r="AB153" i="24"/>
  <c r="W153" i="24"/>
  <c r="O156" i="24"/>
  <c r="Q156" i="24"/>
  <c r="K156" i="24"/>
  <c r="U156" i="24"/>
  <c r="G156" i="24"/>
  <c r="AC178" i="24"/>
  <c r="U153" i="24"/>
  <c r="X153" i="24"/>
  <c r="S178" i="24"/>
  <c r="I178" i="24"/>
  <c r="AE178" i="24"/>
  <c r="AF178" i="24"/>
  <c r="V153" i="24"/>
  <c r="AD153" i="24"/>
  <c r="X178" i="24"/>
  <c r="S174" i="24"/>
  <c r="R169" i="24"/>
  <c r="Y161" i="24"/>
  <c r="J173" i="24"/>
  <c r="S167" i="24"/>
  <c r="AE167" i="24"/>
  <c r="I172" i="24"/>
  <c r="AE163" i="24"/>
  <c r="Q170" i="24"/>
  <c r="K160" i="24"/>
  <c r="W158" i="24"/>
  <c r="AD164" i="24"/>
  <c r="P180" i="24"/>
  <c r="V171" i="24"/>
  <c r="AD169" i="24"/>
  <c r="Q154" i="24"/>
  <c r="AF167" i="24"/>
  <c r="N169" i="24"/>
  <c r="K179" i="24"/>
  <c r="L172" i="24"/>
  <c r="AD155" i="24"/>
  <c r="U167" i="24"/>
  <c r="L163" i="24"/>
  <c r="V154" i="24"/>
  <c r="Q162" i="24"/>
  <c r="P169" i="24"/>
  <c r="P157" i="24"/>
  <c r="M162" i="24"/>
  <c r="Y176" i="24"/>
  <c r="X172" i="24"/>
  <c r="G180" i="24"/>
  <c r="X167" i="24"/>
  <c r="G169" i="24"/>
  <c r="AC181" i="24"/>
  <c r="AF160" i="24"/>
  <c r="AA165" i="24"/>
  <c r="N181" i="24"/>
  <c r="H173" i="24"/>
  <c r="T163" i="24"/>
  <c r="V164" i="24"/>
  <c r="Q158" i="24"/>
  <c r="K159" i="24"/>
  <c r="O169" i="24"/>
  <c r="X174" i="24"/>
  <c r="T165" i="24"/>
  <c r="AC172" i="24"/>
  <c r="X173" i="24"/>
  <c r="N170" i="24"/>
  <c r="O176" i="24"/>
  <c r="AD157" i="24"/>
  <c r="AD163" i="24"/>
  <c r="P164" i="24"/>
  <c r="V173" i="24"/>
  <c r="AF171" i="24"/>
  <c r="AB169" i="24"/>
  <c r="H167" i="24"/>
  <c r="T157" i="24"/>
  <c r="J157" i="24"/>
  <c r="AB167" i="24"/>
  <c r="S182" i="24"/>
  <c r="V159" i="24"/>
  <c r="R160" i="24"/>
  <c r="H181" i="24"/>
  <c r="L155" i="24"/>
  <c r="V166" i="24"/>
  <c r="S154" i="24"/>
  <c r="Q181" i="24"/>
  <c r="N163" i="24"/>
  <c r="AF163" i="24"/>
  <c r="AF177" i="24"/>
  <c r="AA179" i="24"/>
  <c r="G179" i="24"/>
  <c r="I157" i="24"/>
  <c r="L183" i="24"/>
  <c r="L153" i="24"/>
  <c r="AC156" i="24"/>
  <c r="V156" i="24"/>
  <c r="L178" i="24"/>
  <c r="M178" i="24"/>
  <c r="Z153" i="24"/>
  <c r="J178" i="24"/>
  <c r="AB156" i="24"/>
  <c r="W156" i="24"/>
  <c r="Y178" i="24"/>
  <c r="R153" i="24"/>
  <c r="N178" i="24"/>
  <c r="J163" i="24"/>
  <c r="O158" i="24"/>
  <c r="R181" i="24"/>
  <c r="J179" i="24"/>
  <c r="O166" i="24"/>
  <c r="T174" i="24"/>
  <c r="H157" i="24"/>
  <c r="W177" i="24"/>
  <c r="Z177" i="24"/>
  <c r="AC154" i="24"/>
  <c r="S183" i="24"/>
  <c r="R177" i="24"/>
  <c r="AB166" i="24"/>
  <c r="I173" i="24"/>
  <c r="X176" i="24"/>
  <c r="H179" i="24"/>
  <c r="S160" i="24"/>
  <c r="J169" i="24"/>
  <c r="AC164" i="24"/>
  <c r="S181" i="24"/>
  <c r="M172" i="24"/>
  <c r="X170" i="24"/>
  <c r="P159" i="24"/>
  <c r="W160" i="24"/>
  <c r="U174" i="24"/>
  <c r="U157" i="24"/>
  <c r="X158" i="24"/>
  <c r="M159" i="24"/>
  <c r="J167" i="24"/>
  <c r="AE171" i="24"/>
  <c r="W165" i="24"/>
  <c r="S163" i="24"/>
  <c r="Y155" i="24"/>
  <c r="Z154" i="24"/>
  <c r="AA171" i="24"/>
  <c r="AF179" i="24"/>
  <c r="O159" i="24"/>
  <c r="AF155" i="24"/>
  <c r="J177" i="24"/>
  <c r="M183" i="24"/>
  <c r="AB164" i="24"/>
  <c r="AE161" i="24"/>
  <c r="O157" i="24"/>
  <c r="O171" i="24"/>
  <c r="I183" i="24"/>
  <c r="T180" i="24"/>
  <c r="AE181" i="24"/>
  <c r="O167" i="24"/>
  <c r="Z173" i="24"/>
  <c r="N159" i="24"/>
  <c r="Y160" i="24"/>
  <c r="T170" i="24"/>
  <c r="W159" i="24"/>
  <c r="H170" i="24"/>
  <c r="J170" i="24"/>
  <c r="Y159" i="24"/>
  <c r="X154" i="24"/>
  <c r="AC162" i="24"/>
  <c r="AF165" i="24"/>
  <c r="Z163" i="24"/>
  <c r="L164" i="24"/>
  <c r="AA176" i="24"/>
  <c r="Q155" i="24"/>
  <c r="AA167" i="24"/>
  <c r="M164" i="24"/>
  <c r="U179" i="24"/>
  <c r="I155" i="24"/>
  <c r="J183" i="24"/>
  <c r="X165" i="24"/>
  <c r="AB171" i="24"/>
  <c r="L179" i="24"/>
  <c r="H164" i="24"/>
  <c r="N162" i="24"/>
  <c r="AC161" i="24"/>
  <c r="N179" i="24"/>
  <c r="K182" i="24"/>
  <c r="AE174" i="24"/>
  <c r="K162" i="24"/>
  <c r="W183" i="24"/>
  <c r="N174" i="24"/>
  <c r="I169" i="24"/>
  <c r="X180" i="24"/>
  <c r="G170" i="24"/>
  <c r="R183" i="24"/>
  <c r="Z164" i="24"/>
  <c r="I160" i="24"/>
  <c r="T164" i="24"/>
  <c r="X155" i="24"/>
  <c r="R155" i="24"/>
  <c r="AE160" i="24"/>
  <c r="W155" i="24"/>
  <c r="G181" i="24"/>
  <c r="X160" i="24"/>
  <c r="J164" i="24"/>
  <c r="Y173" i="24"/>
  <c r="AA164" i="24"/>
  <c r="AE180" i="24"/>
  <c r="U172" i="24"/>
  <c r="AA183" i="24"/>
  <c r="AE158" i="24"/>
  <c r="T154" i="24"/>
  <c r="Z179" i="24"/>
  <c r="AA155" i="24"/>
  <c r="W161" i="24"/>
  <c r="T155" i="24"/>
  <c r="O160" i="24"/>
  <c r="G177" i="24"/>
  <c r="S155" i="24"/>
  <c r="G162" i="24"/>
  <c r="AD170" i="24"/>
  <c r="V160" i="24"/>
  <c r="H160" i="24"/>
  <c r="U155" i="24"/>
  <c r="H158" i="24"/>
  <c r="AB163" i="24"/>
  <c r="AD182" i="24"/>
  <c r="R158" i="24"/>
  <c r="AF158" i="24"/>
  <c r="AF172" i="24"/>
  <c r="I158" i="24"/>
  <c r="AA158" i="24"/>
  <c r="V183" i="24"/>
  <c r="U163" i="24"/>
  <c r="R161" i="24"/>
  <c r="J154" i="24"/>
  <c r="W169" i="24"/>
  <c r="T166" i="24"/>
  <c r="S166" i="24"/>
  <c r="Z160" i="24"/>
  <c r="I171" i="24"/>
  <c r="J182" i="24"/>
  <c r="N182" i="24"/>
  <c r="R174" i="24"/>
  <c r="T159" i="24"/>
  <c r="AE159" i="24"/>
  <c r="AA170" i="24"/>
  <c r="AD180" i="24"/>
  <c r="AE179" i="24"/>
  <c r="J159" i="24"/>
  <c r="X182" i="24"/>
  <c r="AA174" i="24"/>
  <c r="N176" i="24"/>
  <c r="L180" i="24"/>
  <c r="T181" i="24"/>
  <c r="AC169" i="24"/>
  <c r="Q172" i="24"/>
  <c r="T182" i="24"/>
  <c r="AF166" i="24"/>
  <c r="AD176" i="24"/>
  <c r="AB162" i="24"/>
  <c r="K169" i="24"/>
  <c r="R162" i="24"/>
  <c r="AC173" i="24"/>
  <c r="L173" i="24"/>
  <c r="P161" i="24"/>
  <c r="AD162" i="24"/>
  <c r="L154" i="24"/>
  <c r="W167" i="24"/>
  <c r="Y154" i="24"/>
  <c r="G154" i="24"/>
  <c r="W173" i="24"/>
  <c r="N161" i="24"/>
  <c r="N154" i="24"/>
  <c r="Y172" i="24"/>
  <c r="H177" i="24"/>
  <c r="H182" i="24"/>
  <c r="R170" i="24"/>
  <c r="P154" i="24"/>
  <c r="L157" i="24"/>
  <c r="N153" i="24"/>
  <c r="AC153" i="24"/>
  <c r="G153" i="24"/>
  <c r="X156" i="24"/>
  <c r="AD156" i="24"/>
  <c r="S156" i="24"/>
  <c r="Y156" i="24"/>
  <c r="I156" i="24"/>
  <c r="P178" i="24"/>
  <c r="AA178" i="24"/>
  <c r="AD178" i="24"/>
  <c r="AA153" i="24"/>
  <c r="Z178" i="24"/>
  <c r="W178" i="24"/>
  <c r="R156" i="24"/>
  <c r="V178" i="24"/>
  <c r="AA156" i="24"/>
  <c r="T178" i="24"/>
  <c r="AB178" i="24"/>
  <c r="R178" i="24"/>
  <c r="Z159" i="24"/>
  <c r="AC167" i="24"/>
  <c r="Q163" i="24"/>
  <c r="M177" i="24"/>
  <c r="L181" i="24"/>
  <c r="AC179" i="24"/>
  <c r="K174" i="24"/>
  <c r="K183" i="24"/>
  <c r="Q165" i="24"/>
  <c r="U181" i="24"/>
  <c r="H172" i="24"/>
  <c r="AE165" i="24"/>
  <c r="T161" i="24"/>
  <c r="P163" i="24"/>
  <c r="W182" i="24"/>
  <c r="G159" i="24"/>
  <c r="AE154" i="24"/>
  <c r="T173" i="24"/>
  <c r="AE162" i="24"/>
  <c r="O180" i="24"/>
  <c r="N164" i="24"/>
  <c r="O162" i="24"/>
  <c r="AC180" i="24"/>
  <c r="N172" i="24"/>
  <c r="T158" i="24"/>
  <c r="U182" i="24"/>
  <c r="AC170" i="24"/>
  <c r="AB180" i="24"/>
  <c r="K167" i="24"/>
  <c r="AF164" i="24"/>
  <c r="S158" i="24"/>
  <c r="K176" i="24"/>
  <c r="U159" i="24"/>
  <c r="G173" i="24"/>
  <c r="T172" i="24"/>
  <c r="AD159" i="24"/>
  <c r="U161" i="24"/>
  <c r="Z172" i="24"/>
  <c r="I170" i="24"/>
  <c r="Q161" i="24"/>
  <c r="V170" i="24"/>
  <c r="G155" i="24"/>
  <c r="N158" i="24"/>
  <c r="U180" i="24"/>
  <c r="AC171" i="24"/>
  <c r="Y162" i="24"/>
  <c r="Z167" i="24"/>
  <c r="Y166" i="24"/>
  <c r="I164" i="24"/>
  <c r="M171" i="24"/>
  <c r="AA161" i="24"/>
  <c r="AD161" i="24"/>
  <c r="N180" i="24"/>
  <c r="X164" i="24"/>
  <c r="K157" i="24"/>
  <c r="G165" i="24"/>
  <c r="Z165" i="24"/>
  <c r="AE172" i="24"/>
  <c r="M170" i="24"/>
  <c r="AB170" i="24"/>
  <c r="AE173" i="24"/>
  <c r="AA182" i="24"/>
  <c r="V176" i="24"/>
  <c r="Y165" i="24"/>
  <c r="I176" i="24"/>
  <c r="H155" i="24"/>
  <c r="Z169" i="24"/>
  <c r="W163" i="24"/>
  <c r="H171" i="24"/>
  <c r="S177" i="24"/>
  <c r="AC183" i="24"/>
  <c r="K155" i="24"/>
  <c r="O182" i="24"/>
  <c r="AA166" i="24"/>
  <c r="U154" i="24"/>
  <c r="N171" i="24"/>
  <c r="H180" i="24"/>
  <c r="R182" i="24"/>
  <c r="H183" i="24"/>
  <c r="T177" i="24"/>
  <c r="R164" i="24"/>
  <c r="W157" i="24"/>
  <c r="AD177" i="24"/>
  <c r="U183" i="24"/>
  <c r="Q164" i="24"/>
  <c r="Y157" i="24"/>
  <c r="T160" i="24"/>
  <c r="K170" i="24"/>
  <c r="Z174" i="24"/>
  <c r="R157" i="24"/>
  <c r="S176" i="24"/>
  <c r="X163" i="24"/>
  <c r="Q169" i="24"/>
  <c r="R179" i="24"/>
  <c r="Y163" i="24"/>
  <c r="AA173" i="24"/>
  <c r="V182" i="24"/>
  <c r="M160" i="24"/>
  <c r="M166" i="24"/>
  <c r="K180" i="24"/>
  <c r="Q177" i="24"/>
  <c r="J162" i="24"/>
  <c r="W181" i="24"/>
  <c r="AB173" i="24"/>
  <c r="I177" i="24"/>
  <c r="Z181" i="24"/>
  <c r="AB179" i="24"/>
  <c r="L174" i="24"/>
  <c r="M174" i="24"/>
  <c r="X179" i="24"/>
  <c r="P167" i="24"/>
  <c r="V177" i="24"/>
  <c r="T176" i="24"/>
  <c r="V179" i="24"/>
  <c r="J155" i="24"/>
  <c r="S180" i="24"/>
  <c r="X183" i="24"/>
  <c r="V161" i="24"/>
  <c r="AD173" i="24"/>
  <c r="H169" i="24"/>
  <c r="AD179" i="24"/>
  <c r="G183" i="24"/>
  <c r="Q171" i="24"/>
  <c r="AC182" i="24"/>
  <c r="AF170" i="24"/>
  <c r="Y179" i="24"/>
  <c r="AB182" i="24"/>
  <c r="G171" i="24"/>
  <c r="X169" i="24"/>
  <c r="K181" i="24"/>
  <c r="AE157" i="24"/>
  <c r="N166" i="24"/>
  <c r="P179" i="24"/>
  <c r="O165" i="24"/>
  <c r="AB181" i="24"/>
  <c r="J161" i="24"/>
  <c r="O164" i="24"/>
  <c r="M154" i="24"/>
  <c r="W179" i="24"/>
  <c r="I159" i="24"/>
  <c r="H174" i="24"/>
  <c r="H166" i="24"/>
  <c r="G163" i="24"/>
  <c r="AE177" i="24"/>
  <c r="AB154" i="24"/>
  <c r="AC158" i="24"/>
  <c r="J158" i="24"/>
  <c r="U173" i="24"/>
  <c r="O179" i="24"/>
  <c r="L166" i="24"/>
  <c r="R180" i="24"/>
  <c r="S159" i="24"/>
  <c r="AA181" i="24"/>
  <c r="M158" i="24"/>
  <c r="G166" i="24"/>
  <c r="AC159" i="24"/>
  <c r="R154" i="24"/>
  <c r="I181" i="24"/>
  <c r="K154" i="24"/>
  <c r="AE170" i="24"/>
  <c r="G176" i="24"/>
  <c r="U162" i="24"/>
  <c r="S161" i="24"/>
  <c r="Q176" i="24"/>
  <c r="AC157" i="24"/>
  <c r="X181" i="24"/>
  <c r="AA157" i="24"/>
  <c r="AB183" i="24"/>
  <c r="M169" i="24"/>
  <c r="S153" i="24"/>
  <c r="T153" i="24"/>
  <c r="Y153" i="24"/>
  <c r="T156" i="24"/>
  <c r="L156" i="24"/>
  <c r="AE156" i="24"/>
  <c r="H156" i="24"/>
  <c r="Z156" i="24"/>
  <c r="O178" i="24"/>
  <c r="H178" i="24"/>
  <c r="K178" i="24"/>
  <c r="Q178" i="24"/>
  <c r="J156" i="24"/>
  <c r="P172" i="24"/>
  <c r="M180" i="24"/>
  <c r="AF182" i="24"/>
  <c r="AF183" i="24"/>
  <c r="S173" i="24"/>
  <c r="W164" i="24"/>
  <c r="AF161" i="24"/>
  <c r="J172" i="24"/>
  <c r="L158" i="24"/>
  <c r="L182" i="24"/>
  <c r="L177" i="24"/>
  <c r="N183" i="24"/>
  <c r="X162" i="24"/>
  <c r="K171" i="24"/>
  <c r="Z162" i="24"/>
  <c r="R167" i="24"/>
  <c r="Y180" i="24"/>
  <c r="AC177" i="24"/>
  <c r="AA159" i="24"/>
  <c r="Q166" i="24"/>
  <c r="U171" i="24"/>
  <c r="AC165" i="24"/>
  <c r="R173" i="24"/>
  <c r="M179" i="24"/>
  <c r="V155" i="24"/>
  <c r="M173" i="24"/>
  <c r="AF181" i="24"/>
  <c r="G161" i="24"/>
  <c r="J174" i="24"/>
  <c r="S170" i="24"/>
  <c r="AB157" i="24"/>
  <c r="W166" i="24"/>
  <c r="S157" i="24"/>
  <c r="P170" i="24"/>
  <c r="R176" i="24"/>
  <c r="AE169" i="24"/>
  <c r="N160" i="24"/>
  <c r="U176" i="24"/>
  <c r="G172" i="24"/>
  <c r="Q183" i="24"/>
  <c r="I162" i="24"/>
  <c r="P174" i="24"/>
  <c r="AE182" i="24"/>
  <c r="S171" i="24"/>
  <c r="O155" i="24"/>
  <c r="V181" i="24"/>
  <c r="G174" i="24"/>
  <c r="I167" i="24"/>
  <c r="AB174" i="24"/>
  <c r="V157" i="24"/>
  <c r="P173" i="24"/>
  <c r="U166" i="24"/>
  <c r="AA163" i="24"/>
  <c r="J165" i="24"/>
  <c r="J181" i="24"/>
  <c r="P171" i="24"/>
  <c r="T171" i="24"/>
  <c r="Y177" i="24"/>
  <c r="L165" i="24"/>
  <c r="X177" i="24"/>
  <c r="H159" i="24"/>
  <c r="S169" i="24"/>
  <c r="AA169" i="24"/>
  <c r="I182" i="24"/>
  <c r="AA177" i="24"/>
  <c r="K177" i="24"/>
  <c r="Z182" i="24"/>
  <c r="X157" i="24"/>
  <c r="H154" i="24"/>
  <c r="Q174" i="24"/>
  <c r="W176" i="24"/>
  <c r="U158" i="24"/>
  <c r="N165" i="24"/>
  <c r="AF173" i="24"/>
  <c r="U169" i="24"/>
  <c r="AC163" i="24"/>
  <c r="L169" i="24"/>
  <c r="N167" i="24"/>
  <c r="R159" i="24"/>
  <c r="S172" i="24"/>
  <c r="L170" i="24"/>
  <c r="X171" i="24"/>
  <c r="H163" i="24"/>
  <c r="AD183" i="24"/>
  <c r="X166" i="24"/>
  <c r="AE166" i="24"/>
  <c r="Z176" i="24"/>
  <c r="W171" i="24"/>
  <c r="T179" i="24"/>
  <c r="I180" i="24"/>
  <c r="AF169" i="24"/>
  <c r="I161" i="24"/>
  <c r="AA154" i="24"/>
  <c r="AE164" i="24"/>
  <c r="V163" i="24"/>
  <c r="AF153" i="24"/>
  <c r="Q153" i="24"/>
  <c r="AF156" i="24"/>
  <c r="P156" i="24"/>
  <c r="J153" i="24"/>
  <c r="U178" i="24"/>
  <c r="K153" i="24"/>
  <c r="M156" i="24"/>
  <c r="Q175" i="24"/>
  <c r="Y175" i="24"/>
  <c r="V168" i="24"/>
  <c r="AF175" i="24"/>
  <c r="I175" i="24"/>
  <c r="Z168" i="24"/>
  <c r="J175" i="24"/>
  <c r="R168" i="24"/>
  <c r="K175" i="24"/>
  <c r="AD175" i="24"/>
  <c r="N168" i="24"/>
  <c r="K168" i="24"/>
  <c r="AE168" i="24"/>
  <c r="G175" i="24"/>
  <c r="S168" i="24"/>
  <c r="AA175" i="24"/>
  <c r="M175" i="24"/>
  <c r="R175" i="24"/>
  <c r="O175" i="24"/>
  <c r="Z175" i="24"/>
  <c r="AA168" i="24"/>
  <c r="U175" i="24"/>
  <c r="J168" i="24"/>
  <c r="AE175" i="24"/>
  <c r="L168" i="24"/>
  <c r="H175" i="24"/>
  <c r="G168" i="24"/>
  <c r="Y168" i="24"/>
  <c r="S175" i="24"/>
  <c r="W175" i="24"/>
  <c r="N175" i="24"/>
  <c r="AF168" i="24"/>
  <c r="M168" i="24"/>
  <c r="O168" i="24"/>
  <c r="L175" i="24"/>
  <c r="AC175" i="24"/>
  <c r="I168" i="24"/>
  <c r="T175" i="24"/>
  <c r="P168" i="24"/>
  <c r="AB168" i="24"/>
  <c r="V175" i="24"/>
  <c r="T168" i="24"/>
  <c r="Q168" i="24"/>
  <c r="X175" i="24"/>
  <c r="H168" i="24"/>
  <c r="AB175" i="24"/>
  <c r="W168" i="24"/>
  <c r="AD168" i="24"/>
  <c r="AC168" i="24"/>
  <c r="X168" i="24"/>
  <c r="U168" i="24"/>
  <c r="P175" i="24"/>
  <c r="AC128" i="24"/>
  <c r="M122" i="24"/>
  <c r="Z138" i="24"/>
  <c r="N131" i="24"/>
  <c r="M118" i="24"/>
  <c r="T118" i="24"/>
  <c r="AA131" i="24"/>
  <c r="AF136" i="24"/>
  <c r="J128" i="24"/>
  <c r="V129" i="24"/>
  <c r="I138" i="24"/>
  <c r="I136" i="24"/>
  <c r="S125" i="24"/>
  <c r="AB138" i="24"/>
  <c r="O135" i="24"/>
  <c r="H146" i="24"/>
  <c r="X129" i="24"/>
  <c r="P144" i="24"/>
  <c r="T122" i="24"/>
  <c r="AA129" i="24"/>
  <c r="R126" i="24"/>
  <c r="K122" i="24"/>
  <c r="U124" i="24"/>
  <c r="I134" i="24"/>
  <c r="P143" i="24"/>
  <c r="O147" i="24"/>
  <c r="N135" i="24"/>
  <c r="N143" i="24"/>
  <c r="AF146" i="24"/>
  <c r="AC133" i="24"/>
  <c r="AC125" i="24"/>
  <c r="L126" i="24"/>
  <c r="Z142" i="24"/>
  <c r="J144" i="24"/>
  <c r="W130" i="24"/>
  <c r="R127" i="24"/>
  <c r="V138" i="24"/>
  <c r="H140" i="24"/>
  <c r="AD145" i="24"/>
  <c r="AC126" i="24"/>
  <c r="Y130" i="24"/>
  <c r="AA140" i="24"/>
  <c r="O144" i="24"/>
  <c r="U123" i="24"/>
  <c r="J140" i="24"/>
  <c r="M144" i="24"/>
  <c r="O138" i="24"/>
  <c r="V128" i="24"/>
  <c r="J126" i="24"/>
  <c r="J129" i="24"/>
  <c r="X124" i="24"/>
  <c r="W147" i="24"/>
  <c r="Z121" i="24"/>
  <c r="Q129" i="24"/>
  <c r="Q119" i="24"/>
  <c r="AF123" i="24"/>
  <c r="S129" i="24"/>
  <c r="V145" i="24"/>
  <c r="O126" i="24"/>
  <c r="AF133" i="24"/>
  <c r="AA118" i="24"/>
  <c r="AB143" i="24"/>
  <c r="H121" i="24"/>
  <c r="J124" i="24"/>
  <c r="P135" i="24"/>
  <c r="H118" i="24"/>
  <c r="I141" i="24"/>
  <c r="N123" i="24"/>
  <c r="G140" i="24"/>
  <c r="V136" i="24"/>
  <c r="O129" i="24"/>
  <c r="I131" i="24"/>
  <c r="P124" i="24"/>
  <c r="R124" i="24"/>
  <c r="V121" i="24"/>
  <c r="I137" i="24"/>
  <c r="V123" i="24"/>
  <c r="U129" i="24"/>
  <c r="AD126" i="24"/>
  <c r="P133" i="24"/>
  <c r="I146" i="24"/>
  <c r="AF122" i="24"/>
  <c r="M141" i="24"/>
  <c r="Q144" i="24"/>
  <c r="AC121" i="24"/>
  <c r="G121" i="24"/>
  <c r="T127" i="24"/>
  <c r="T146" i="24"/>
  <c r="L127" i="24"/>
  <c r="V122" i="24"/>
  <c r="Y138" i="24"/>
  <c r="J147" i="24"/>
  <c r="K143" i="24"/>
  <c r="X146" i="24"/>
  <c r="H144" i="24"/>
  <c r="AC119" i="24"/>
  <c r="AF137" i="24"/>
  <c r="AD131" i="24"/>
  <c r="W136" i="24"/>
  <c r="X134" i="24"/>
  <c r="X127" i="24"/>
  <c r="AA138" i="24"/>
  <c r="AF128" i="24"/>
  <c r="W142" i="24"/>
  <c r="AE130" i="24"/>
  <c r="Q128" i="24"/>
  <c r="Q145" i="24"/>
  <c r="L125" i="24"/>
  <c r="M123" i="24"/>
  <c r="AF125" i="24"/>
  <c r="M127" i="24"/>
  <c r="L119" i="24"/>
  <c r="AD140" i="24"/>
  <c r="H130" i="24"/>
  <c r="L142" i="24"/>
  <c r="S126" i="24"/>
  <c r="T130" i="24"/>
  <c r="Y128" i="24"/>
  <c r="Y137" i="24"/>
  <c r="U134" i="24"/>
  <c r="R121" i="24"/>
  <c r="M137" i="24"/>
  <c r="M126" i="24"/>
  <c r="Z146" i="24"/>
  <c r="P121" i="24"/>
  <c r="AA142" i="24"/>
  <c r="H137" i="24"/>
  <c r="I129" i="24"/>
  <c r="U141" i="24"/>
  <c r="N147" i="24"/>
  <c r="H145" i="24"/>
  <c r="Y121" i="24"/>
  <c r="U118" i="24"/>
  <c r="AC147" i="24"/>
  <c r="X142" i="24"/>
  <c r="R142" i="24"/>
  <c r="L129" i="24"/>
  <c r="R131" i="24"/>
  <c r="J136" i="24"/>
  <c r="S118" i="24"/>
  <c r="J122" i="24"/>
  <c r="AF143" i="24"/>
  <c r="P127" i="24"/>
  <c r="T121" i="24"/>
  <c r="N134" i="24"/>
  <c r="T131" i="24"/>
  <c r="X126" i="24"/>
  <c r="Q134" i="24"/>
  <c r="P136" i="24"/>
  <c r="K124" i="24"/>
  <c r="Y122" i="24"/>
  <c r="Q141" i="24"/>
  <c r="S146" i="24"/>
  <c r="N145" i="24"/>
  <c r="AE123" i="24"/>
  <c r="AE129" i="24"/>
  <c r="H123" i="24"/>
  <c r="R125" i="24"/>
  <c r="AE137" i="24"/>
  <c r="G118" i="24"/>
  <c r="H135" i="24"/>
  <c r="U145" i="24"/>
  <c r="U146" i="24"/>
  <c r="S127" i="24"/>
  <c r="V140" i="24"/>
  <c r="AC134" i="24"/>
  <c r="K141" i="24"/>
  <c r="G125" i="24"/>
  <c r="G124" i="24"/>
  <c r="Y141" i="24"/>
  <c r="Y144" i="24"/>
  <c r="AF135" i="24"/>
  <c r="W121" i="24"/>
  <c r="N124" i="24"/>
  <c r="N136" i="24"/>
  <c r="R128" i="24"/>
  <c r="AD117" i="24"/>
  <c r="AE117" i="24"/>
  <c r="N117" i="24"/>
  <c r="O117" i="24"/>
  <c r="AA117" i="24"/>
  <c r="Y117" i="24"/>
  <c r="AA120" i="24"/>
  <c r="AC120" i="24"/>
  <c r="J120" i="24"/>
  <c r="AF120" i="24"/>
  <c r="S120" i="24"/>
  <c r="Y120" i="24"/>
  <c r="Z120" i="24"/>
  <c r="W129" i="24"/>
  <c r="X125" i="24"/>
  <c r="P137" i="24"/>
  <c r="S123" i="24"/>
  <c r="Z127" i="24"/>
  <c r="N138" i="24"/>
  <c r="U131" i="24"/>
  <c r="Y131" i="24"/>
  <c r="N146" i="24"/>
  <c r="K130" i="24"/>
  <c r="G146" i="24"/>
  <c r="AB121" i="24"/>
  <c r="G130" i="24"/>
  <c r="AC118" i="24"/>
  <c r="V126" i="24"/>
  <c r="AB134" i="24"/>
  <c r="X144" i="24"/>
  <c r="Q146" i="24"/>
  <c r="AF134" i="24"/>
  <c r="N122" i="24"/>
  <c r="T125" i="24"/>
  <c r="AC142" i="24"/>
  <c r="AB133" i="24"/>
  <c r="U136" i="24"/>
  <c r="X128" i="24"/>
  <c r="P128" i="24"/>
  <c r="Q137" i="24"/>
  <c r="O121" i="24"/>
  <c r="Z122" i="24"/>
  <c r="AE147" i="24"/>
  <c r="AB130" i="24"/>
  <c r="R134" i="24"/>
  <c r="AE118" i="24"/>
  <c r="G136" i="24"/>
  <c r="S121" i="24"/>
  <c r="AF142" i="24"/>
  <c r="V137" i="24"/>
  <c r="Y147" i="24"/>
  <c r="R129" i="24"/>
  <c r="AF147" i="24"/>
  <c r="N137" i="24"/>
  <c r="AC143" i="24"/>
  <c r="AA143" i="24"/>
  <c r="AD144" i="24"/>
  <c r="I133" i="24"/>
  <c r="U133" i="24"/>
  <c r="V146" i="24"/>
  <c r="AD125" i="24"/>
  <c r="Z143" i="24"/>
  <c r="AB137" i="24"/>
  <c r="K131" i="24"/>
  <c r="AA135" i="24"/>
  <c r="O118" i="24"/>
  <c r="Z144" i="24"/>
  <c r="K135" i="24"/>
  <c r="K137" i="24"/>
  <c r="I124" i="24"/>
  <c r="I145" i="24"/>
  <c r="AF141" i="24"/>
  <c r="I143" i="24"/>
  <c r="Q121" i="24"/>
  <c r="N125" i="24"/>
  <c r="AC123" i="24"/>
  <c r="R146" i="24"/>
  <c r="Z126" i="24"/>
  <c r="V144" i="24"/>
  <c r="K147" i="24"/>
  <c r="L145" i="24"/>
  <c r="W145" i="24"/>
  <c r="N126" i="24"/>
  <c r="AA128" i="24"/>
  <c r="AD135" i="24"/>
  <c r="AC130" i="24"/>
  <c r="AC144" i="24"/>
  <c r="M131" i="24"/>
  <c r="G126" i="24"/>
  <c r="U122" i="24"/>
  <c r="P126" i="24"/>
  <c r="S140" i="24"/>
  <c r="AE144" i="24"/>
  <c r="R119" i="24"/>
  <c r="Q143" i="24"/>
  <c r="G137" i="24"/>
  <c r="N129" i="24"/>
  <c r="AC141" i="24"/>
  <c r="I147" i="24"/>
  <c r="I122" i="24"/>
  <c r="S119" i="24"/>
  <c r="O146" i="24"/>
  <c r="AB118" i="24"/>
  <c r="X122" i="24"/>
  <c r="J121" i="24"/>
  <c r="T135" i="24"/>
  <c r="AE145" i="24"/>
  <c r="O140" i="24"/>
  <c r="K144" i="24"/>
  <c r="Q136" i="24"/>
  <c r="L134" i="24"/>
  <c r="S128" i="24"/>
  <c r="AD143" i="24"/>
  <c r="R147" i="24"/>
  <c r="J143" i="24"/>
  <c r="T141" i="24"/>
  <c r="V119" i="24"/>
  <c r="H126" i="24"/>
  <c r="M143" i="24"/>
  <c r="N128" i="24"/>
  <c r="T136" i="24"/>
  <c r="V133" i="24"/>
  <c r="O124" i="24"/>
  <c r="R133" i="24"/>
  <c r="N119" i="24"/>
  <c r="P122" i="24"/>
  <c r="P145" i="24"/>
  <c r="H125" i="24"/>
  <c r="T128" i="24"/>
  <c r="T143" i="24"/>
  <c r="U140" i="24"/>
  <c r="H128" i="24"/>
  <c r="X131" i="24"/>
  <c r="AE119" i="24"/>
  <c r="P134" i="24"/>
  <c r="H129" i="24"/>
  <c r="Q138" i="24"/>
  <c r="X141" i="24"/>
  <c r="AE138" i="24"/>
  <c r="P118" i="24"/>
  <c r="X147" i="24"/>
  <c r="T142" i="24"/>
  <c r="AF144" i="24"/>
  <c r="O145" i="24"/>
  <c r="AA126" i="24"/>
  <c r="K119" i="24"/>
  <c r="J131" i="24"/>
  <c r="I125" i="24"/>
  <c r="AB144" i="24"/>
  <c r="R140" i="24"/>
  <c r="L130" i="24"/>
  <c r="L143" i="24"/>
  <c r="L136" i="24"/>
  <c r="J142" i="24"/>
  <c r="U119" i="24"/>
  <c r="H136" i="24"/>
  <c r="R137" i="24"/>
  <c r="K123" i="24"/>
  <c r="K121" i="24"/>
  <c r="Q140" i="24"/>
  <c r="M128" i="24"/>
  <c r="W128" i="24"/>
  <c r="M140" i="24"/>
  <c r="K134" i="24"/>
  <c r="AD124" i="24"/>
  <c r="AC122" i="24"/>
  <c r="H124" i="24"/>
  <c r="L138" i="24"/>
  <c r="AE124" i="24"/>
  <c r="AB146" i="24"/>
  <c r="AD121" i="24"/>
  <c r="AB141" i="24"/>
  <c r="H134" i="24"/>
  <c r="W133" i="24"/>
  <c r="T126" i="24"/>
  <c r="N140" i="24"/>
  <c r="M133" i="24"/>
  <c r="M142" i="24"/>
  <c r="L123" i="24"/>
  <c r="V142" i="24"/>
  <c r="K129" i="24"/>
  <c r="W134" i="24"/>
  <c r="AB131" i="24"/>
  <c r="AE122" i="24"/>
  <c r="AF130" i="24"/>
  <c r="K125" i="24"/>
  <c r="AE134" i="24"/>
  <c r="S142" i="24"/>
  <c r="P140" i="24"/>
  <c r="R117" i="24"/>
  <c r="L117" i="24"/>
  <c r="Z117" i="24"/>
  <c r="I117" i="24"/>
  <c r="W117" i="24"/>
  <c r="AB117" i="24"/>
  <c r="W120" i="24"/>
  <c r="I120" i="24"/>
  <c r="AD120" i="24"/>
  <c r="N120" i="24"/>
  <c r="AE120" i="24"/>
  <c r="H120" i="24"/>
  <c r="AB120" i="24"/>
  <c r="U142" i="24"/>
  <c r="AE140" i="24"/>
  <c r="Q131" i="24"/>
  <c r="X119" i="24"/>
  <c r="L128" i="24"/>
  <c r="P119" i="24"/>
  <c r="K142" i="24"/>
  <c r="AF124" i="24"/>
  <c r="Z118" i="24"/>
  <c r="Y146" i="24"/>
  <c r="R122" i="24"/>
  <c r="AB127" i="24"/>
  <c r="AD134" i="24"/>
  <c r="AD141" i="24"/>
  <c r="P125" i="24"/>
  <c r="W122" i="24"/>
  <c r="G144" i="24"/>
  <c r="W146" i="24"/>
  <c r="T119" i="24"/>
  <c r="O130" i="24"/>
  <c r="V124" i="24"/>
  <c r="U147" i="24"/>
  <c r="Y133" i="24"/>
  <c r="I130" i="24"/>
  <c r="Q142" i="24"/>
  <c r="O127" i="24"/>
  <c r="AB142" i="24"/>
  <c r="M125" i="24"/>
  <c r="AC136" i="24"/>
  <c r="L124" i="24"/>
  <c r="H127" i="24"/>
  <c r="W131" i="24"/>
  <c r="S135" i="24"/>
  <c r="AB128" i="24"/>
  <c r="W123" i="24"/>
  <c r="Y134" i="24"/>
  <c r="N118" i="24"/>
  <c r="R141" i="24"/>
  <c r="P131" i="24"/>
  <c r="O133" i="24"/>
  <c r="AF118" i="24"/>
  <c r="AE141" i="24"/>
  <c r="G138" i="24"/>
  <c r="X121" i="24"/>
  <c r="G122" i="24"/>
  <c r="Y123" i="24"/>
  <c r="V143" i="24"/>
  <c r="AC145" i="24"/>
  <c r="L133" i="24"/>
  <c r="R143" i="24"/>
  <c r="AB126" i="24"/>
  <c r="J145" i="24"/>
  <c r="AD136" i="24"/>
  <c r="N130" i="24"/>
  <c r="Y126" i="24"/>
  <c r="T144" i="24"/>
  <c r="H122" i="24"/>
  <c r="Q127" i="24"/>
  <c r="J146" i="24"/>
  <c r="O125" i="24"/>
  <c r="W141" i="24"/>
  <c r="K145" i="24"/>
  <c r="AC135" i="24"/>
  <c r="Z135" i="24"/>
  <c r="AD127" i="24"/>
  <c r="AA124" i="24"/>
  <c r="S133" i="24"/>
  <c r="P129" i="24"/>
  <c r="AE133" i="24"/>
  <c r="U125" i="24"/>
  <c r="S145" i="24"/>
  <c r="S143" i="24"/>
  <c r="I119" i="24"/>
  <c r="AB122" i="24"/>
  <c r="AA125" i="24"/>
  <c r="K138" i="24"/>
  <c r="K140" i="24"/>
  <c r="Q147" i="24"/>
  <c r="O134" i="24"/>
  <c r="T138" i="24"/>
  <c r="W124" i="24"/>
  <c r="AF140" i="24"/>
  <c r="X145" i="24"/>
  <c r="AD147" i="24"/>
  <c r="V135" i="24"/>
  <c r="Y119" i="24"/>
  <c r="N127" i="24"/>
  <c r="W144" i="24"/>
  <c r="AB135" i="24"/>
  <c r="AF119" i="24"/>
  <c r="AE131" i="24"/>
  <c r="N121" i="24"/>
  <c r="G143" i="24"/>
  <c r="X143" i="24"/>
  <c r="G134" i="24"/>
  <c r="AF126" i="24"/>
  <c r="AA121" i="24"/>
  <c r="AE142" i="24"/>
  <c r="AB147" i="24"/>
  <c r="AB145" i="24"/>
  <c r="I140" i="24"/>
  <c r="P123" i="24"/>
  <c r="R138" i="24"/>
  <c r="I128" i="24"/>
  <c r="Z125" i="24"/>
  <c r="G128" i="24"/>
  <c r="R144" i="24"/>
  <c r="J141" i="24"/>
  <c r="L131" i="24"/>
  <c r="J133" i="24"/>
  <c r="AD138" i="24"/>
  <c r="L122" i="24"/>
  <c r="Y124" i="24"/>
  <c r="W118" i="24"/>
  <c r="AE121" i="24"/>
  <c r="AA134" i="24"/>
  <c r="I135" i="24"/>
  <c r="Y127" i="24"/>
  <c r="W127" i="24"/>
  <c r="Z129" i="24"/>
  <c r="AA146" i="24"/>
  <c r="J130" i="24"/>
  <c r="M146" i="24"/>
  <c r="U126" i="24"/>
  <c r="T124" i="24"/>
  <c r="AA137" i="24"/>
  <c r="K146" i="24"/>
  <c r="Y118" i="24"/>
  <c r="S124" i="24"/>
  <c r="O141" i="24"/>
  <c r="V118" i="24"/>
  <c r="R130" i="24"/>
  <c r="T134" i="24"/>
  <c r="G142" i="24"/>
  <c r="O122" i="24"/>
  <c r="R123" i="24"/>
  <c r="U127" i="24"/>
  <c r="X130" i="24"/>
  <c r="Z141" i="24"/>
  <c r="W137" i="24"/>
  <c r="T123" i="24"/>
  <c r="U135" i="24"/>
  <c r="Y143" i="24"/>
  <c r="I123" i="24"/>
  <c r="Q118" i="24"/>
  <c r="M121" i="24"/>
  <c r="Z123" i="24"/>
  <c r="S147" i="24"/>
  <c r="P141" i="24"/>
  <c r="Z119" i="24"/>
  <c r="I142" i="24"/>
  <c r="AE146" i="24"/>
  <c r="G147" i="24"/>
  <c r="Q133" i="24"/>
  <c r="G133" i="24"/>
  <c r="AF127" i="24"/>
  <c r="N133" i="24"/>
  <c r="AD133" i="24"/>
  <c r="Q125" i="24"/>
  <c r="L118" i="24"/>
  <c r="W126" i="24"/>
  <c r="T147" i="24"/>
  <c r="W143" i="24"/>
  <c r="L144" i="24"/>
  <c r="AC131" i="24"/>
  <c r="AC146" i="24"/>
  <c r="Z137" i="24"/>
  <c r="Z133" i="24"/>
  <c r="AB140" i="24"/>
  <c r="V125" i="24"/>
  <c r="S134" i="24"/>
  <c r="G135" i="24"/>
  <c r="AE136" i="24"/>
  <c r="T140" i="24"/>
  <c r="H119" i="24"/>
  <c r="V117" i="24"/>
  <c r="AC117" i="24"/>
  <c r="M117" i="24"/>
  <c r="P117" i="24"/>
  <c r="Q117" i="24"/>
  <c r="H117" i="24"/>
  <c r="S117" i="24"/>
  <c r="X120" i="24"/>
  <c r="L120" i="24"/>
  <c r="M120" i="24"/>
  <c r="R120" i="24"/>
  <c r="K120" i="24"/>
  <c r="U120" i="24"/>
  <c r="M138" i="24"/>
  <c r="S137" i="24"/>
  <c r="AE135" i="24"/>
  <c r="U143" i="24"/>
  <c r="AD137" i="24"/>
  <c r="AE143" i="24"/>
  <c r="Z140" i="24"/>
  <c r="AD122" i="24"/>
  <c r="AD129" i="24"/>
  <c r="T133" i="24"/>
  <c r="H147" i="24"/>
  <c r="X123" i="24"/>
  <c r="K136" i="24"/>
  <c r="P147" i="24"/>
  <c r="P130" i="24"/>
  <c r="R145" i="24"/>
  <c r="AD118" i="24"/>
  <c r="U138" i="24"/>
  <c r="AC138" i="24"/>
  <c r="P142" i="24"/>
  <c r="AA119" i="24"/>
  <c r="M135" i="24"/>
  <c r="Q123" i="24"/>
  <c r="I144" i="24"/>
  <c r="U137" i="24"/>
  <c r="Y140" i="24"/>
  <c r="J118" i="24"/>
  <c r="Q135" i="24"/>
  <c r="O136" i="24"/>
  <c r="AE127" i="24"/>
  <c r="Z134" i="24"/>
  <c r="W138" i="24"/>
  <c r="S122" i="24"/>
  <c r="M119" i="24"/>
  <c r="AC137" i="24"/>
  <c r="S141" i="24"/>
  <c r="AF145" i="24"/>
  <c r="K127" i="24"/>
  <c r="Y135" i="24"/>
  <c r="AA122" i="24"/>
  <c r="M147" i="24"/>
  <c r="L140" i="24"/>
  <c r="N144" i="24"/>
  <c r="AE126" i="24"/>
  <c r="AA130" i="24"/>
  <c r="G119" i="24"/>
  <c r="I118" i="24"/>
  <c r="AA123" i="24"/>
  <c r="Q126" i="24"/>
  <c r="S131" i="24"/>
  <c r="AD128" i="24"/>
  <c r="I127" i="24"/>
  <c r="S130" i="24"/>
  <c r="O123" i="24"/>
  <c r="X140" i="24"/>
  <c r="N141" i="24"/>
  <c r="G141" i="24"/>
  <c r="Z147" i="24"/>
  <c r="Z130" i="24"/>
  <c r="Z124" i="24"/>
  <c r="O131" i="24"/>
  <c r="M145" i="24"/>
  <c r="Y129" i="24"/>
  <c r="AE128" i="24"/>
  <c r="AF138" i="24"/>
  <c r="AA133" i="24"/>
  <c r="J138" i="24"/>
  <c r="K128" i="24"/>
  <c r="AD119" i="24"/>
  <c r="AC124" i="24"/>
  <c r="S138" i="24"/>
  <c r="AC129" i="24"/>
  <c r="L121" i="24"/>
  <c r="AA136" i="24"/>
  <c r="M130" i="24"/>
  <c r="AA141" i="24"/>
  <c r="Z128" i="24"/>
  <c r="J137" i="24"/>
  <c r="T129" i="24"/>
  <c r="J119" i="24"/>
  <c r="X136" i="24"/>
  <c r="M124" i="24"/>
  <c r="K118" i="24"/>
  <c r="S144" i="24"/>
  <c r="S136" i="24"/>
  <c r="AB124" i="24"/>
  <c r="V130" i="24"/>
  <c r="AA144" i="24"/>
  <c r="V134" i="24"/>
  <c r="Y142" i="24"/>
  <c r="J134" i="24"/>
  <c r="O128" i="24"/>
  <c r="Y145" i="24"/>
  <c r="P138" i="24"/>
  <c r="AE125" i="24"/>
  <c r="V127" i="24"/>
  <c r="V147" i="24"/>
  <c r="L147" i="24"/>
  <c r="R135" i="24"/>
  <c r="G129" i="24"/>
  <c r="P146" i="24"/>
  <c r="H138" i="24"/>
  <c r="U130" i="24"/>
  <c r="H133" i="24"/>
  <c r="Q124" i="24"/>
  <c r="K133" i="24"/>
  <c r="Y136" i="24"/>
  <c r="L146" i="24"/>
  <c r="M136" i="24"/>
  <c r="AB119" i="24"/>
  <c r="G131" i="24"/>
  <c r="N142" i="24"/>
  <c r="AD142" i="24"/>
  <c r="G145" i="24"/>
  <c r="Q122" i="24"/>
  <c r="W119" i="24"/>
  <c r="V141" i="24"/>
  <c r="K126" i="24"/>
  <c r="Z131" i="24"/>
  <c r="T137" i="24"/>
  <c r="R136" i="24"/>
  <c r="I126" i="24"/>
  <c r="AA127" i="24"/>
  <c r="AB125" i="24"/>
  <c r="AD146" i="24"/>
  <c r="AC140" i="24"/>
  <c r="Y125" i="24"/>
  <c r="Q130" i="24"/>
  <c r="U128" i="24"/>
  <c r="G127" i="24"/>
  <c r="I121" i="24"/>
  <c r="AF129" i="24"/>
  <c r="U121" i="24"/>
  <c r="M134" i="24"/>
  <c r="J125" i="24"/>
  <c r="Z136" i="24"/>
  <c r="AD130" i="24"/>
  <c r="X133" i="24"/>
  <c r="W135" i="24"/>
  <c r="L141" i="24"/>
  <c r="AA145" i="24"/>
  <c r="H141" i="24"/>
  <c r="AF131" i="24"/>
  <c r="AF121" i="24"/>
  <c r="AB136" i="24"/>
  <c r="AA147" i="24"/>
  <c r="O137" i="24"/>
  <c r="J135" i="24"/>
  <c r="J123" i="24"/>
  <c r="Z145" i="24"/>
  <c r="AD123" i="24"/>
  <c r="G123" i="24"/>
  <c r="X137" i="24"/>
  <c r="O142" i="24"/>
  <c r="AC127" i="24"/>
  <c r="O119" i="24"/>
  <c r="AB123" i="24"/>
  <c r="H142" i="24"/>
  <c r="L135" i="24"/>
  <c r="M129" i="24"/>
  <c r="H143" i="24"/>
  <c r="H131" i="24"/>
  <c r="U144" i="24"/>
  <c r="X138" i="24"/>
  <c r="AB129" i="24"/>
  <c r="X135" i="24"/>
  <c r="J127" i="24"/>
  <c r="W140" i="24"/>
  <c r="R118" i="24"/>
  <c r="T145" i="24"/>
  <c r="X118" i="24"/>
  <c r="O143" i="24"/>
  <c r="V131" i="24"/>
  <c r="W125" i="24"/>
  <c r="L137" i="24"/>
  <c r="U117" i="24"/>
  <c r="T117" i="24"/>
  <c r="J117" i="24"/>
  <c r="AF117" i="24"/>
  <c r="X117" i="24"/>
  <c r="K117" i="24"/>
  <c r="G117" i="24"/>
  <c r="T120" i="24"/>
  <c r="O120" i="24"/>
  <c r="G120" i="24"/>
  <c r="Q120" i="24"/>
  <c r="P120" i="24"/>
  <c r="V120" i="24"/>
  <c r="S132" i="24"/>
  <c r="W132" i="24"/>
  <c r="AA139" i="24"/>
  <c r="AD132" i="24"/>
  <c r="M139" i="24"/>
  <c r="R139" i="24"/>
  <c r="AC132" i="24"/>
  <c r="O139" i="24"/>
  <c r="X132" i="24"/>
  <c r="Z139" i="24"/>
  <c r="AA132" i="24"/>
  <c r="Y139" i="24"/>
  <c r="V132" i="24"/>
  <c r="AF139" i="24"/>
  <c r="Z132" i="24"/>
  <c r="J139" i="24"/>
  <c r="R132" i="24"/>
  <c r="AD139" i="24"/>
  <c r="K132" i="24"/>
  <c r="G139" i="24"/>
  <c r="AC139" i="24"/>
  <c r="I132" i="24"/>
  <c r="T139" i="24"/>
  <c r="P132" i="24"/>
  <c r="AB132" i="24"/>
  <c r="V139" i="24"/>
  <c r="T132" i="24"/>
  <c r="Q132" i="24"/>
  <c r="X139" i="24"/>
  <c r="H132" i="24"/>
  <c r="AB139" i="24"/>
  <c r="U139" i="24"/>
  <c r="U132" i="24"/>
  <c r="P139" i="24"/>
  <c r="J132" i="24"/>
  <c r="AE139" i="24"/>
  <c r="L132" i="24"/>
  <c r="H139" i="24"/>
  <c r="G132" i="24"/>
  <c r="Y132" i="24"/>
  <c r="S139" i="24"/>
  <c r="W139" i="24"/>
  <c r="N139" i="24"/>
  <c r="AF132" i="24"/>
  <c r="M132" i="24"/>
  <c r="O132" i="24"/>
  <c r="Q139" i="24"/>
  <c r="I139" i="24"/>
  <c r="K139" i="24"/>
  <c r="N132" i="24"/>
  <c r="AE132" i="24"/>
  <c r="L139" i="24"/>
  <c r="S130" i="15"/>
  <c r="S95" i="17" s="1"/>
  <c r="K130" i="15"/>
  <c r="N130" i="15"/>
  <c r="N95" i="17" s="1"/>
  <c r="AA130" i="15"/>
  <c r="AA95" i="17" s="1"/>
  <c r="AB130" i="15"/>
  <c r="AB95" i="17" s="1"/>
  <c r="X130" i="15"/>
  <c r="X95" i="17" s="1"/>
  <c r="Y166" i="15"/>
  <c r="Z166" i="15"/>
  <c r="J166" i="15"/>
  <c r="G166" i="15"/>
  <c r="U166" i="15"/>
  <c r="P166" i="15"/>
  <c r="S166" i="15"/>
  <c r="Q131" i="15"/>
  <c r="G131" i="15"/>
  <c r="U131" i="15"/>
  <c r="U96" i="17" s="1"/>
  <c r="AB131" i="15"/>
  <c r="AB96" i="17" s="1"/>
  <c r="J131" i="15"/>
  <c r="R131" i="15"/>
  <c r="R96" i="17" s="1"/>
  <c r="M167" i="15"/>
  <c r="Q167" i="15"/>
  <c r="H167" i="15"/>
  <c r="V167" i="15"/>
  <c r="S167" i="15"/>
  <c r="L167" i="15"/>
  <c r="P167" i="15"/>
  <c r="J129" i="15"/>
  <c r="S129" i="15"/>
  <c r="S94" i="17" s="1"/>
  <c r="L129" i="15"/>
  <c r="L94" i="17" s="1"/>
  <c r="N129" i="15"/>
  <c r="N94" i="17" s="1"/>
  <c r="AF129" i="15"/>
  <c r="AF94" i="17" s="1"/>
  <c r="K129" i="15"/>
  <c r="K94" i="17" s="1"/>
  <c r="T129" i="15"/>
  <c r="T94" i="17" s="1"/>
  <c r="O165" i="15"/>
  <c r="AF165" i="15"/>
  <c r="M165" i="15"/>
  <c r="S165" i="15"/>
  <c r="AA165" i="15"/>
  <c r="AE165" i="15"/>
  <c r="S136" i="15"/>
  <c r="S101" i="17" s="1"/>
  <c r="V136" i="15"/>
  <c r="V101" i="17" s="1"/>
  <c r="AB136" i="15"/>
  <c r="AB101" i="17" s="1"/>
  <c r="U136" i="15"/>
  <c r="U101" i="17" s="1"/>
  <c r="H136" i="15"/>
  <c r="H101" i="17" s="1"/>
  <c r="T136" i="15"/>
  <c r="T101" i="17" s="1"/>
  <c r="K136" i="15"/>
  <c r="K101" i="17" s="1"/>
  <c r="J172" i="15"/>
  <c r="X172" i="15"/>
  <c r="K172" i="15"/>
  <c r="Q172" i="15"/>
  <c r="H172" i="15"/>
  <c r="Z172" i="15"/>
  <c r="T138" i="15"/>
  <c r="T103" i="17" s="1"/>
  <c r="V138" i="15"/>
  <c r="V103" i="17" s="1"/>
  <c r="Q138" i="15"/>
  <c r="Q103" i="17" s="1"/>
  <c r="AF138" i="15"/>
  <c r="AF103" i="17" s="1"/>
  <c r="Z138" i="15"/>
  <c r="Z103" i="17" s="1"/>
  <c r="AC138" i="15"/>
  <c r="Y138" i="15"/>
  <c r="Y103" i="17" s="1"/>
  <c r="M174" i="15"/>
  <c r="AB174" i="15"/>
  <c r="Y174" i="15"/>
  <c r="V174" i="15"/>
  <c r="I174" i="15"/>
  <c r="AF174" i="15"/>
  <c r="S132" i="15"/>
  <c r="S97" i="17" s="1"/>
  <c r="J132" i="15"/>
  <c r="J97" i="17" s="1"/>
  <c r="T132" i="15"/>
  <c r="T97" i="17" s="1"/>
  <c r="AD132" i="15"/>
  <c r="AE132" i="15"/>
  <c r="AE97" i="17" s="1"/>
  <c r="V132" i="15"/>
  <c r="K132" i="15"/>
  <c r="K97" i="17" s="1"/>
  <c r="I139" i="15"/>
  <c r="I104" i="17" s="1"/>
  <c r="G139" i="15"/>
  <c r="G104" i="17" s="1"/>
  <c r="Q139" i="15"/>
  <c r="Q104" i="17" s="1"/>
  <c r="U139" i="15"/>
  <c r="U104" i="17" s="1"/>
  <c r="AB139" i="15"/>
  <c r="AB104" i="17" s="1"/>
  <c r="W139" i="15"/>
  <c r="W104" i="17" s="1"/>
  <c r="AD139" i="15"/>
  <c r="AD104" i="17" s="1"/>
  <c r="T135" i="15"/>
  <c r="T100" i="17" s="1"/>
  <c r="R135" i="15"/>
  <c r="AD135" i="15"/>
  <c r="Y135" i="15"/>
  <c r="Y100" i="17" s="1"/>
  <c r="H135" i="15"/>
  <c r="X135" i="15"/>
  <c r="X100" i="17" s="1"/>
  <c r="Y171" i="15"/>
  <c r="AC171" i="15"/>
  <c r="N171" i="15"/>
  <c r="Z171" i="15"/>
  <c r="G171" i="15"/>
  <c r="AA171" i="15"/>
  <c r="AB171" i="15"/>
  <c r="T137" i="15"/>
  <c r="T102" i="17" s="1"/>
  <c r="O137" i="15"/>
  <c r="O102" i="17" s="1"/>
  <c r="L137" i="15"/>
  <c r="L102" i="17" s="1"/>
  <c r="AB137" i="15"/>
  <c r="AB102" i="17" s="1"/>
  <c r="AA137" i="15"/>
  <c r="AF137" i="15"/>
  <c r="AF102" i="17" s="1"/>
  <c r="K137" i="15"/>
  <c r="K102" i="17" s="1"/>
  <c r="AA173" i="15"/>
  <c r="G173" i="15"/>
  <c r="H173" i="15"/>
  <c r="J173" i="15"/>
  <c r="AD173" i="15"/>
  <c r="AF173" i="15"/>
  <c r="H130" i="15"/>
  <c r="H95" i="17" s="1"/>
  <c r="AD130" i="15"/>
  <c r="T130" i="15"/>
  <c r="T95" i="17" s="1"/>
  <c r="Y130" i="15"/>
  <c r="Y95" i="17" s="1"/>
  <c r="AE130" i="15"/>
  <c r="AE95" i="17" s="1"/>
  <c r="AC130" i="15"/>
  <c r="AC95" i="17" s="1"/>
  <c r="V166" i="15"/>
  <c r="T166" i="15"/>
  <c r="AB166" i="15"/>
  <c r="Q166" i="15"/>
  <c r="R166" i="15"/>
  <c r="AF166" i="15"/>
  <c r="AC166" i="15"/>
  <c r="AD131" i="15"/>
  <c r="AD96" i="17" s="1"/>
  <c r="AC131" i="15"/>
  <c r="AC96" i="17" s="1"/>
  <c r="X131" i="15"/>
  <c r="AF131" i="15"/>
  <c r="AF96" i="17" s="1"/>
  <c r="T131" i="15"/>
  <c r="T96" i="17" s="1"/>
  <c r="W131" i="15"/>
  <c r="W96" i="17" s="1"/>
  <c r="W167" i="15"/>
  <c r="AA167" i="15"/>
  <c r="T167" i="15"/>
  <c r="N167" i="15"/>
  <c r="U167" i="15"/>
  <c r="AF167" i="15"/>
  <c r="J167" i="15"/>
  <c r="X129" i="15"/>
  <c r="X94" i="17" s="1"/>
  <c r="AA129" i="15"/>
  <c r="AA94" i="17" s="1"/>
  <c r="H129" i="15"/>
  <c r="H94" i="17" s="1"/>
  <c r="AD129" i="15"/>
  <c r="AD94" i="17" s="1"/>
  <c r="R129" i="15"/>
  <c r="R94" i="17" s="1"/>
  <c r="M129" i="15"/>
  <c r="M94" i="17" s="1"/>
  <c r="Y129" i="15"/>
  <c r="Y94" i="17" s="1"/>
  <c r="AC165" i="15"/>
  <c r="V165" i="15"/>
  <c r="W165" i="15"/>
  <c r="P165" i="15"/>
  <c r="T165" i="15"/>
  <c r="AB165" i="15"/>
  <c r="AA136" i="15"/>
  <c r="AA101" i="17" s="1"/>
  <c r="Q136" i="15"/>
  <c r="Q101" i="17" s="1"/>
  <c r="G136" i="15"/>
  <c r="AC136" i="15"/>
  <c r="AC101" i="17" s="1"/>
  <c r="P136" i="15"/>
  <c r="P101" i="17" s="1"/>
  <c r="Y136" i="15"/>
  <c r="Y101" i="17" s="1"/>
  <c r="V172" i="15"/>
  <c r="P172" i="15"/>
  <c r="U172" i="15"/>
  <c r="AE172" i="15"/>
  <c r="R172" i="15"/>
  <c r="T172" i="15"/>
  <c r="AF172" i="15"/>
  <c r="M138" i="15"/>
  <c r="M103" i="17" s="1"/>
  <c r="AD138" i="15"/>
  <c r="AD103" i="17" s="1"/>
  <c r="S138" i="15"/>
  <c r="S103" i="17" s="1"/>
  <c r="P138" i="15"/>
  <c r="P103" i="17" s="1"/>
  <c r="U138" i="15"/>
  <c r="U103" i="17" s="1"/>
  <c r="G138" i="15"/>
  <c r="N174" i="15"/>
  <c r="R174" i="15"/>
  <c r="Z174" i="15"/>
  <c r="S174" i="15"/>
  <c r="X174" i="15"/>
  <c r="AC174" i="15"/>
  <c r="AE174" i="15"/>
  <c r="G132" i="15"/>
  <c r="G97" i="17" s="1"/>
  <c r="AF132" i="15"/>
  <c r="AF97" i="17" s="1"/>
  <c r="U132" i="15"/>
  <c r="U97" i="17" s="1"/>
  <c r="Y132" i="15"/>
  <c r="Y97" i="17" s="1"/>
  <c r="AC132" i="15"/>
  <c r="AC97" i="17" s="1"/>
  <c r="W132" i="15"/>
  <c r="W97" i="17" s="1"/>
  <c r="Q132" i="15"/>
  <c r="Q97" i="17" s="1"/>
  <c r="AE139" i="15"/>
  <c r="Z139" i="15"/>
  <c r="Z104" i="17" s="1"/>
  <c r="AA139" i="15"/>
  <c r="AA104" i="17" s="1"/>
  <c r="S139" i="15"/>
  <c r="S104" i="17" s="1"/>
  <c r="K139" i="15"/>
  <c r="K104" i="17" s="1"/>
  <c r="L139" i="15"/>
  <c r="L104" i="17" s="1"/>
  <c r="N135" i="15"/>
  <c r="N100" i="17" s="1"/>
  <c r="L135" i="15"/>
  <c r="L100" i="17" s="1"/>
  <c r="G135" i="15"/>
  <c r="G100" i="17" s="1"/>
  <c r="O135" i="15"/>
  <c r="O100" i="17" s="1"/>
  <c r="AE135" i="15"/>
  <c r="AE100" i="17" s="1"/>
  <c r="AB135" i="15"/>
  <c r="AB100" i="17" s="1"/>
  <c r="H171" i="15"/>
  <c r="L171" i="15"/>
  <c r="AF171" i="15"/>
  <c r="M171" i="15"/>
  <c r="U171" i="15"/>
  <c r="X171" i="15"/>
  <c r="V171" i="15"/>
  <c r="U137" i="15"/>
  <c r="U102" i="17" s="1"/>
  <c r="H137" i="15"/>
  <c r="W137" i="15"/>
  <c r="W102" i="17" s="1"/>
  <c r="Z137" i="15"/>
  <c r="G137" i="15"/>
  <c r="G102" i="17" s="1"/>
  <c r="R137" i="15"/>
  <c r="R102" i="17" s="1"/>
  <c r="Q137" i="15"/>
  <c r="Q101" i="15" s="1"/>
  <c r="M173" i="15"/>
  <c r="U173" i="15"/>
  <c r="K173" i="15"/>
  <c r="AE173" i="15"/>
  <c r="V173" i="15"/>
  <c r="AC173" i="15"/>
  <c r="W130" i="15"/>
  <c r="W95" i="17" s="1"/>
  <c r="G130" i="15"/>
  <c r="G95" i="17" s="1"/>
  <c r="U130" i="15"/>
  <c r="U95" i="17" s="1"/>
  <c r="I130" i="15"/>
  <c r="P130" i="15"/>
  <c r="P95" i="17" s="1"/>
  <c r="J130" i="15"/>
  <c r="J95" i="17" s="1"/>
  <c r="O130" i="15"/>
  <c r="O95" i="17" s="1"/>
  <c r="M166" i="15"/>
  <c r="I166" i="15"/>
  <c r="L166" i="15"/>
  <c r="H166" i="15"/>
  <c r="X166" i="15"/>
  <c r="AE166" i="15"/>
  <c r="V131" i="15"/>
  <c r="V96" i="17" s="1"/>
  <c r="M131" i="15"/>
  <c r="M96" i="17" s="1"/>
  <c r="N131" i="15"/>
  <c r="N96" i="17" s="1"/>
  <c r="Z131" i="15"/>
  <c r="Z96" i="17" s="1"/>
  <c r="S131" i="15"/>
  <c r="S96" i="17" s="1"/>
  <c r="P131" i="15"/>
  <c r="P96" i="17" s="1"/>
  <c r="AA131" i="15"/>
  <c r="AA96" i="17" s="1"/>
  <c r="X167" i="15"/>
  <c r="G167" i="15"/>
  <c r="K167" i="15"/>
  <c r="AE167" i="15"/>
  <c r="Z167" i="15"/>
  <c r="O167" i="15"/>
  <c r="G129" i="15"/>
  <c r="O129" i="15"/>
  <c r="O94" i="17" s="1"/>
  <c r="AC129" i="15"/>
  <c r="AC94" i="17" s="1"/>
  <c r="Q129" i="15"/>
  <c r="Q94" i="17" s="1"/>
  <c r="I129" i="15"/>
  <c r="I94" i="17" s="1"/>
  <c r="W129" i="15"/>
  <c r="W94" i="17" s="1"/>
  <c r="L165" i="15"/>
  <c r="J165" i="15"/>
  <c r="Y165" i="15"/>
  <c r="AD165" i="15"/>
  <c r="G165" i="15"/>
  <c r="N165" i="15"/>
  <c r="Z165" i="15"/>
  <c r="J136" i="15"/>
  <c r="W136" i="15"/>
  <c r="I136" i="15"/>
  <c r="I101" i="17" s="1"/>
  <c r="L136" i="15"/>
  <c r="L101" i="17" s="1"/>
  <c r="X136" i="15"/>
  <c r="X101" i="17" s="1"/>
  <c r="Z136" i="15"/>
  <c r="Z101" i="17" s="1"/>
  <c r="I172" i="15"/>
  <c r="M172" i="15"/>
  <c r="W172" i="15"/>
  <c r="N172" i="15"/>
  <c r="L172" i="15"/>
  <c r="O172" i="15"/>
  <c r="S172" i="15"/>
  <c r="H138" i="15"/>
  <c r="H103" i="17" s="1"/>
  <c r="AE138" i="15"/>
  <c r="AE103" i="17" s="1"/>
  <c r="L138" i="15"/>
  <c r="L103" i="17" s="1"/>
  <c r="N138" i="15"/>
  <c r="N103" i="17" s="1"/>
  <c r="W138" i="15"/>
  <c r="W103" i="17" s="1"/>
  <c r="J138" i="15"/>
  <c r="J103" i="17" s="1"/>
  <c r="K174" i="15"/>
  <c r="O174" i="15"/>
  <c r="W174" i="15"/>
  <c r="T174" i="15"/>
  <c r="J174" i="15"/>
  <c r="AD174" i="15"/>
  <c r="H174" i="15"/>
  <c r="R132" i="15"/>
  <c r="R97" i="17" s="1"/>
  <c r="O132" i="15"/>
  <c r="O97" i="17" s="1"/>
  <c r="Z132" i="15"/>
  <c r="Z97" i="17" s="1"/>
  <c r="AB132" i="15"/>
  <c r="AB97" i="17" s="1"/>
  <c r="I132" i="15"/>
  <c r="I97" i="17" s="1"/>
  <c r="X132" i="15"/>
  <c r="X97" i="17" s="1"/>
  <c r="V139" i="15"/>
  <c r="V104" i="17" s="1"/>
  <c r="O139" i="15"/>
  <c r="O104" i="17" s="1"/>
  <c r="J139" i="15"/>
  <c r="J104" i="17" s="1"/>
  <c r="AF139" i="15"/>
  <c r="AF104" i="17" s="1"/>
  <c r="AC139" i="15"/>
  <c r="AC104" i="17" s="1"/>
  <c r="Y139" i="15"/>
  <c r="Y104" i="17" s="1"/>
  <c r="P135" i="15"/>
  <c r="P100" i="17" s="1"/>
  <c r="Z135" i="15"/>
  <c r="Z100" i="17" s="1"/>
  <c r="J135" i="15"/>
  <c r="J100" i="17" s="1"/>
  <c r="AC135" i="15"/>
  <c r="AC100" i="17" s="1"/>
  <c r="S135" i="15"/>
  <c r="S100" i="17" s="1"/>
  <c r="W135" i="15"/>
  <c r="W100" i="17" s="1"/>
  <c r="AF135" i="15"/>
  <c r="AF100" i="17" s="1"/>
  <c r="AD171" i="15"/>
  <c r="I171" i="15"/>
  <c r="W171" i="15"/>
  <c r="AE171" i="15"/>
  <c r="R171" i="15"/>
  <c r="O171" i="15"/>
  <c r="Y137" i="15"/>
  <c r="Y102" i="17" s="1"/>
  <c r="N137" i="15"/>
  <c r="N102" i="17" s="1"/>
  <c r="J137" i="15"/>
  <c r="S137" i="15"/>
  <c r="S102" i="17" s="1"/>
  <c r="AD137" i="15"/>
  <c r="AD102" i="17" s="1"/>
  <c r="AC137" i="15"/>
  <c r="AC102" i="17" s="1"/>
  <c r="T173" i="15"/>
  <c r="X173" i="15"/>
  <c r="Z173" i="15"/>
  <c r="AB173" i="15"/>
  <c r="I173" i="15"/>
  <c r="L173" i="15"/>
  <c r="S173" i="15"/>
  <c r="H274" i="24"/>
  <c r="T274" i="24"/>
  <c r="X274" i="24"/>
  <c r="S274" i="24"/>
  <c r="V274" i="24"/>
  <c r="K274" i="24"/>
  <c r="Q130" i="15"/>
  <c r="M130" i="15"/>
  <c r="M95" i="17" s="1"/>
  <c r="R130" i="15"/>
  <c r="R95" i="17" s="1"/>
  <c r="AF130" i="15"/>
  <c r="AF95" i="17" s="1"/>
  <c r="L130" i="15"/>
  <c r="L95" i="17" s="1"/>
  <c r="Z130" i="15"/>
  <c r="Z95" i="17" s="1"/>
  <c r="V130" i="15"/>
  <c r="V95" i="17" s="1"/>
  <c r="O166" i="15"/>
  <c r="W166" i="15"/>
  <c r="AA166" i="15"/>
  <c r="AD166" i="15"/>
  <c r="K166" i="15"/>
  <c r="N166" i="15"/>
  <c r="AC275" i="24"/>
  <c r="O275" i="24"/>
  <c r="G275" i="24"/>
  <c r="R275" i="24"/>
  <c r="L275" i="24"/>
  <c r="AD275" i="24"/>
  <c r="AE131" i="15"/>
  <c r="H131" i="15"/>
  <c r="H96" i="17" s="1"/>
  <c r="O131" i="15"/>
  <c r="O96" i="17" s="1"/>
  <c r="I131" i="15"/>
  <c r="I96" i="17" s="1"/>
  <c r="K131" i="15"/>
  <c r="K96" i="17" s="1"/>
  <c r="Y131" i="15"/>
  <c r="Y96" i="17" s="1"/>
  <c r="L131" i="15"/>
  <c r="R167" i="15"/>
  <c r="AD167" i="15"/>
  <c r="Y167" i="15"/>
  <c r="AB167" i="15"/>
  <c r="I167" i="15"/>
  <c r="AC167" i="15"/>
  <c r="N273" i="24"/>
  <c r="AB273" i="24"/>
  <c r="AE273" i="24"/>
  <c r="U273" i="24"/>
  <c r="H273" i="24"/>
  <c r="K273" i="24"/>
  <c r="AD273" i="24"/>
  <c r="V129" i="15"/>
  <c r="V94" i="17" s="1"/>
  <c r="AE129" i="15"/>
  <c r="AE94" i="17" s="1"/>
  <c r="P129" i="15"/>
  <c r="P94" i="17" s="1"/>
  <c r="AB129" i="15"/>
  <c r="AB94" i="17" s="1"/>
  <c r="Z129" i="15"/>
  <c r="Z94" i="17" s="1"/>
  <c r="U129" i="15"/>
  <c r="U94" i="17" s="1"/>
  <c r="X165" i="15"/>
  <c r="K165" i="15"/>
  <c r="H165" i="15"/>
  <c r="R165" i="15"/>
  <c r="I165" i="15"/>
  <c r="Q165" i="15"/>
  <c r="U165" i="15"/>
  <c r="AA280" i="24"/>
  <c r="M280" i="24"/>
  <c r="Y280" i="24"/>
  <c r="R280" i="24"/>
  <c r="U280" i="24"/>
  <c r="AB280" i="24"/>
  <c r="N136" i="15"/>
  <c r="N101" i="17" s="1"/>
  <c r="O136" i="15"/>
  <c r="O101" i="17" s="1"/>
  <c r="AD136" i="15"/>
  <c r="AD101" i="17" s="1"/>
  <c r="AF136" i="15"/>
  <c r="AF101" i="17" s="1"/>
  <c r="AE136" i="15"/>
  <c r="AE101" i="17" s="1"/>
  <c r="R136" i="15"/>
  <c r="R101" i="17" s="1"/>
  <c r="M136" i="15"/>
  <c r="M101" i="17" s="1"/>
  <c r="AA172" i="15"/>
  <c r="AD172" i="15"/>
  <c r="AB172" i="15"/>
  <c r="G172" i="15"/>
  <c r="Y172" i="15"/>
  <c r="AC172" i="15"/>
  <c r="L282" i="24"/>
  <c r="H282" i="24"/>
  <c r="X282" i="24"/>
  <c r="V282" i="24"/>
  <c r="AB282" i="24"/>
  <c r="Y282" i="24"/>
  <c r="R138" i="15"/>
  <c r="R103" i="17" s="1"/>
  <c r="O138" i="15"/>
  <c r="O103" i="17" s="1"/>
  <c r="K138" i="15"/>
  <c r="K103" i="17" s="1"/>
  <c r="X138" i="15"/>
  <c r="X103" i="17" s="1"/>
  <c r="I138" i="15"/>
  <c r="I103" i="17" s="1"/>
  <c r="AB138" i="15"/>
  <c r="AB103" i="17" s="1"/>
  <c r="AA138" i="15"/>
  <c r="AA103" i="17" s="1"/>
  <c r="P174" i="15"/>
  <c r="U174" i="15"/>
  <c r="L174" i="15"/>
  <c r="G174" i="15"/>
  <c r="AA174" i="15"/>
  <c r="Q174" i="15"/>
  <c r="U276" i="24"/>
  <c r="H276" i="24"/>
  <c r="G276" i="24"/>
  <c r="AE276" i="24"/>
  <c r="L276" i="24"/>
  <c r="O276" i="24"/>
  <c r="K276" i="24"/>
  <c r="M132" i="15"/>
  <c r="M97" i="17" s="1"/>
  <c r="H132" i="15"/>
  <c r="AA132" i="15"/>
  <c r="AA97" i="17" s="1"/>
  <c r="P132" i="15"/>
  <c r="P97" i="17" s="1"/>
  <c r="L132" i="15"/>
  <c r="L97" i="17" s="1"/>
  <c r="N132" i="15"/>
  <c r="N97" i="17" s="1"/>
  <c r="Q283" i="24"/>
  <c r="U283" i="24"/>
  <c r="S283" i="24"/>
  <c r="R283" i="24"/>
  <c r="N283" i="24"/>
  <c r="AE283" i="24"/>
  <c r="X139" i="15"/>
  <c r="X104" i="17" s="1"/>
  <c r="P139" i="15"/>
  <c r="P104" i="17" s="1"/>
  <c r="T139" i="15"/>
  <c r="T104" i="17" s="1"/>
  <c r="H139" i="15"/>
  <c r="H104" i="17" s="1"/>
  <c r="R139" i="15"/>
  <c r="R104" i="17" s="1"/>
  <c r="N139" i="15"/>
  <c r="N104" i="17" s="1"/>
  <c r="M139" i="15"/>
  <c r="M104" i="17" s="1"/>
  <c r="J279" i="24"/>
  <c r="AD279" i="24"/>
  <c r="AA279" i="24"/>
  <c r="Z279" i="24"/>
  <c r="T279" i="24"/>
  <c r="U279" i="24"/>
  <c r="Q135" i="15"/>
  <c r="Q100" i="17" s="1"/>
  <c r="K135" i="15"/>
  <c r="K100" i="17" s="1"/>
  <c r="U135" i="15"/>
  <c r="U100" i="17" s="1"/>
  <c r="AA135" i="15"/>
  <c r="AA100" i="17" s="1"/>
  <c r="M135" i="15"/>
  <c r="M100" i="17" s="1"/>
  <c r="I135" i="15"/>
  <c r="I100" i="17" s="1"/>
  <c r="V135" i="15"/>
  <c r="K171" i="15"/>
  <c r="S171" i="15"/>
  <c r="T171" i="15"/>
  <c r="P171" i="15"/>
  <c r="J171" i="15"/>
  <c r="Q171" i="15"/>
  <c r="AA281" i="24"/>
  <c r="G281" i="24"/>
  <c r="P281" i="24"/>
  <c r="L281" i="24"/>
  <c r="S281" i="24"/>
  <c r="AC281" i="24"/>
  <c r="AD281" i="24"/>
  <c r="V137" i="15"/>
  <c r="V102" i="17" s="1"/>
  <c r="I137" i="15"/>
  <c r="I102" i="17" s="1"/>
  <c r="M137" i="15"/>
  <c r="M102" i="17" s="1"/>
  <c r="AE137" i="15"/>
  <c r="AE102" i="17" s="1"/>
  <c r="X137" i="15"/>
  <c r="N173" i="15"/>
  <c r="R173" i="15"/>
  <c r="W173" i="15"/>
  <c r="Y173" i="15"/>
  <c r="P173" i="15"/>
  <c r="P101" i="15" s="1"/>
  <c r="O173" i="15"/>
  <c r="X158" i="15"/>
  <c r="V169" i="15"/>
  <c r="J177" i="15"/>
  <c r="R157" i="15"/>
  <c r="AE169" i="15"/>
  <c r="H170" i="15"/>
  <c r="W177" i="15"/>
  <c r="R163" i="15"/>
  <c r="T169" i="15"/>
  <c r="Z164" i="15"/>
  <c r="J169" i="15"/>
  <c r="Z177" i="15"/>
  <c r="AC157" i="15"/>
  <c r="AB164" i="15"/>
  <c r="AD163" i="15"/>
  <c r="O169" i="15"/>
  <c r="H176" i="15"/>
  <c r="T163" i="15"/>
  <c r="I158" i="15"/>
  <c r="U164" i="15"/>
  <c r="AF163" i="15"/>
  <c r="W170" i="15"/>
  <c r="AF177" i="15"/>
  <c r="AC163" i="15"/>
  <c r="N164" i="15"/>
  <c r="S177" i="15"/>
  <c r="N169" i="15"/>
  <c r="G157" i="15"/>
  <c r="S163" i="15"/>
  <c r="R158" i="15"/>
  <c r="U169" i="15"/>
  <c r="AE176" i="15"/>
  <c r="I176" i="15"/>
  <c r="Z176" i="15"/>
  <c r="H164" i="15"/>
  <c r="M164" i="15"/>
  <c r="O170" i="15"/>
  <c r="J157" i="15"/>
  <c r="AA158" i="15"/>
  <c r="M176" i="15"/>
  <c r="AE157" i="15"/>
  <c r="Z163" i="15"/>
  <c r="AC177" i="15"/>
  <c r="AA169" i="15"/>
  <c r="R169" i="15"/>
  <c r="T170" i="15"/>
  <c r="U158" i="15"/>
  <c r="V164" i="15"/>
  <c r="N177" i="15"/>
  <c r="G153" i="15"/>
  <c r="H169" i="15"/>
  <c r="AC164" i="15"/>
  <c r="AD179" i="15"/>
  <c r="U175" i="15"/>
  <c r="Z161" i="15"/>
  <c r="N159" i="15"/>
  <c r="N155" i="15"/>
  <c r="N162" i="15"/>
  <c r="AB159" i="15"/>
  <c r="Y154" i="15"/>
  <c r="AE162" i="15"/>
  <c r="S160" i="15"/>
  <c r="H154" i="15"/>
  <c r="V156" i="15"/>
  <c r="G161" i="15"/>
  <c r="S153" i="15"/>
  <c r="H156" i="15"/>
  <c r="V182" i="15"/>
  <c r="J180" i="15"/>
  <c r="O175" i="15"/>
  <c r="M182" i="15"/>
  <c r="AA179" i="15"/>
  <c r="X175" i="15"/>
  <c r="AC181" i="15"/>
  <c r="Q179" i="15"/>
  <c r="W168" i="15"/>
  <c r="Y183" i="15"/>
  <c r="V181" i="15"/>
  <c r="J179" i="15"/>
  <c r="AF168" i="15"/>
  <c r="R161" i="15"/>
  <c r="H153" i="15"/>
  <c r="V155" i="15"/>
  <c r="AF161" i="15"/>
  <c r="T159" i="15"/>
  <c r="H155" i="15"/>
  <c r="W162" i="15"/>
  <c r="K160" i="15"/>
  <c r="P154" i="15"/>
  <c r="AD156" i="15"/>
  <c r="Y160" i="15"/>
  <c r="AA153" i="15"/>
  <c r="P156" i="15"/>
  <c r="N182" i="15"/>
  <c r="AB179" i="15"/>
  <c r="W175" i="15"/>
  <c r="AE181" i="15"/>
  <c r="S179" i="15"/>
  <c r="AF175" i="15"/>
  <c r="U181" i="15"/>
  <c r="I179" i="15"/>
  <c r="AE168" i="15"/>
  <c r="Q183" i="15"/>
  <c r="Y168" i="15"/>
  <c r="H180" i="15"/>
  <c r="Q175" i="15"/>
  <c r="AD161" i="15"/>
  <c r="R159" i="15"/>
  <c r="J155" i="15"/>
  <c r="R162" i="15"/>
  <c r="AF159" i="15"/>
  <c r="U154" i="15"/>
  <c r="G156" i="15"/>
  <c r="W160" i="15"/>
  <c r="AC153" i="15"/>
  <c r="R156" i="15"/>
  <c r="K161" i="15"/>
  <c r="O153" i="15"/>
  <c r="AC155" i="15"/>
  <c r="Z182" i="15"/>
  <c r="N180" i="15"/>
  <c r="K175" i="15"/>
  <c r="Q182" i="15"/>
  <c r="AE179" i="15"/>
  <c r="T175" i="15"/>
  <c r="G182" i="15"/>
  <c r="U179" i="15"/>
  <c r="AD175" i="15"/>
  <c r="J168" i="15"/>
  <c r="U168" i="15"/>
  <c r="AF160" i="15"/>
  <c r="T153" i="15"/>
  <c r="I156" i="15"/>
  <c r="T161" i="15"/>
  <c r="H159" i="15"/>
  <c r="T155" i="15"/>
  <c r="K162" i="15"/>
  <c r="Y159" i="15"/>
  <c r="AB154" i="15"/>
  <c r="Y162" i="15"/>
  <c r="M160" i="15"/>
  <c r="N154" i="15"/>
  <c r="AB156" i="15"/>
  <c r="AB181" i="15"/>
  <c r="P179" i="15"/>
  <c r="H183" i="15"/>
  <c r="S181" i="15"/>
  <c r="G179" i="15"/>
  <c r="R183" i="15"/>
  <c r="I181" i="15"/>
  <c r="W178" i="15"/>
  <c r="R168" i="15"/>
  <c r="AD181" i="15"/>
  <c r="AB180" i="15"/>
  <c r="P178" i="15"/>
  <c r="L168" i="15"/>
  <c r="S164" i="15"/>
  <c r="AE164" i="15"/>
  <c r="AF158" i="15"/>
  <c r="N163" i="15"/>
  <c r="X164" i="15"/>
  <c r="V176" i="15"/>
  <c r="AB169" i="15"/>
  <c r="AD176" i="15"/>
  <c r="AB176" i="15"/>
  <c r="J170" i="15"/>
  <c r="V163" i="15"/>
  <c r="V177" i="15"/>
  <c r="X163" i="15"/>
  <c r="Q176" i="15"/>
  <c r="H157" i="15"/>
  <c r="P177" i="15"/>
  <c r="AC176" i="15"/>
  <c r="W164" i="15"/>
  <c r="S157" i="15"/>
  <c r="AE163" i="15"/>
  <c r="J163" i="15"/>
  <c r="G170" i="15"/>
  <c r="Q177" i="15"/>
  <c r="V170" i="15"/>
  <c r="P157" i="15"/>
  <c r="T164" i="15"/>
  <c r="I170" i="15"/>
  <c r="H158" i="15"/>
  <c r="AC158" i="15"/>
  <c r="V157" i="15"/>
  <c r="AF164" i="15"/>
  <c r="O176" i="15"/>
  <c r="T158" i="15"/>
  <c r="S158" i="15"/>
  <c r="AD169" i="15"/>
  <c r="G163" i="15"/>
  <c r="I169" i="15"/>
  <c r="X170" i="15"/>
  <c r="AD157" i="15"/>
  <c r="AD177" i="15"/>
  <c r="T157" i="15"/>
  <c r="G158" i="15"/>
  <c r="W176" i="15"/>
  <c r="I157" i="15"/>
  <c r="U157" i="15"/>
  <c r="H177" i="15"/>
  <c r="O157" i="15"/>
  <c r="AB158" i="15"/>
  <c r="M177" i="15"/>
  <c r="I177" i="15"/>
  <c r="P164" i="15"/>
  <c r="AD158" i="15"/>
  <c r="T180" i="15"/>
  <c r="H178" i="15"/>
  <c r="P162" i="15"/>
  <c r="AD159" i="15"/>
  <c r="W154" i="15"/>
  <c r="AD162" i="15"/>
  <c r="R160" i="15"/>
  <c r="I154" i="15"/>
  <c r="W156" i="15"/>
  <c r="I161" i="15"/>
  <c r="Q153" i="15"/>
  <c r="AE155" i="15"/>
  <c r="W161" i="15"/>
  <c r="K159" i="15"/>
  <c r="Q155" i="15"/>
  <c r="AA183" i="15"/>
  <c r="Z180" i="15"/>
  <c r="N178" i="15"/>
  <c r="AC182" i="15"/>
  <c r="Q180" i="15"/>
  <c r="H175" i="15"/>
  <c r="S182" i="15"/>
  <c r="G180" i="15"/>
  <c r="R175" i="15"/>
  <c r="I183" i="15"/>
  <c r="Q168" i="15"/>
  <c r="Z179" i="15"/>
  <c r="Y175" i="15"/>
  <c r="H162" i="15"/>
  <c r="V159" i="15"/>
  <c r="AE154" i="15"/>
  <c r="V162" i="15"/>
  <c r="J160" i="15"/>
  <c r="Q154" i="15"/>
  <c r="AE156" i="15"/>
  <c r="AA160" i="15"/>
  <c r="Y153" i="15"/>
  <c r="N156" i="15"/>
  <c r="O161" i="15"/>
  <c r="K153" i="15"/>
  <c r="Y155" i="15"/>
  <c r="AD182" i="15"/>
  <c r="R180" i="15"/>
  <c r="G175" i="15"/>
  <c r="U182" i="15"/>
  <c r="I180" i="15"/>
  <c r="P175" i="15"/>
  <c r="K182" i="15"/>
  <c r="X157" i="15"/>
  <c r="K177" i="15"/>
  <c r="T177" i="15"/>
  <c r="U170" i="15"/>
  <c r="Y157" i="15"/>
  <c r="L176" i="15"/>
  <c r="J164" i="15"/>
  <c r="U176" i="15"/>
  <c r="L177" i="15"/>
  <c r="AF157" i="15"/>
  <c r="AE158" i="15"/>
  <c r="L170" i="15"/>
  <c r="N176" i="15"/>
  <c r="L169" i="15"/>
  <c r="P176" i="15"/>
  <c r="R170" i="15"/>
  <c r="N157" i="15"/>
  <c r="N170" i="15"/>
  <c r="O158" i="15"/>
  <c r="Y158" i="15"/>
  <c r="Q157" i="15"/>
  <c r="AA164" i="15"/>
  <c r="K176" i="15"/>
  <c r="K158" i="15"/>
  <c r="AC170" i="15"/>
  <c r="Z170" i="15"/>
  <c r="X176" i="15"/>
  <c r="O164" i="15"/>
  <c r="W157" i="15"/>
  <c r="I164" i="15"/>
  <c r="P163" i="15"/>
  <c r="K170" i="15"/>
  <c r="U177" i="15"/>
  <c r="AA177" i="15"/>
  <c r="I163" i="15"/>
  <c r="Z157" i="15"/>
  <c r="AB157" i="15"/>
  <c r="S176" i="15"/>
  <c r="AF170" i="15"/>
  <c r="G177" i="15"/>
  <c r="X169" i="15"/>
  <c r="K163" i="15"/>
  <c r="M169" i="15"/>
  <c r="G164" i="15"/>
  <c r="P169" i="15"/>
  <c r="W169" i="15"/>
  <c r="AD164" i="15"/>
  <c r="AA163" i="15"/>
  <c r="AC169" i="15"/>
  <c r="K157" i="15"/>
  <c r="Y170" i="15"/>
  <c r="W163" i="15"/>
  <c r="AE170" i="15"/>
  <c r="N179" i="15"/>
  <c r="T168" i="15"/>
  <c r="J161" i="15"/>
  <c r="P153" i="15"/>
  <c r="AD155" i="15"/>
  <c r="X161" i="15"/>
  <c r="L159" i="15"/>
  <c r="P155" i="15"/>
  <c r="O162" i="15"/>
  <c r="AC159" i="15"/>
  <c r="X154" i="15"/>
  <c r="AC162" i="15"/>
  <c r="Q160" i="15"/>
  <c r="J154" i="15"/>
  <c r="X156" i="15"/>
  <c r="AF181" i="15"/>
  <c r="T179" i="15"/>
  <c r="AE175" i="15"/>
  <c r="W181" i="15"/>
  <c r="K179" i="15"/>
  <c r="N183" i="15"/>
  <c r="M181" i="15"/>
  <c r="AA178" i="15"/>
  <c r="G168" i="15"/>
  <c r="X182" i="15"/>
  <c r="AF180" i="15"/>
  <c r="T178" i="15"/>
  <c r="P168" i="15"/>
  <c r="AB160" i="15"/>
  <c r="X153" i="15"/>
  <c r="M156" i="15"/>
  <c r="P161" i="15"/>
  <c r="J153" i="15"/>
  <c r="X155" i="15"/>
  <c r="G162" i="15"/>
  <c r="U159" i="15"/>
  <c r="AF154" i="15"/>
  <c r="U162" i="15"/>
  <c r="I160" i="15"/>
  <c r="R154" i="15"/>
  <c r="AF156" i="15"/>
  <c r="X181" i="15"/>
  <c r="L179" i="15"/>
  <c r="L183" i="15"/>
  <c r="O181" i="15"/>
  <c r="AC178" i="15"/>
  <c r="V183" i="15"/>
  <c r="AE180" i="15"/>
  <c r="S178" i="15"/>
  <c r="O168" i="15"/>
  <c r="AF182" i="15"/>
  <c r="I168" i="15"/>
  <c r="R179" i="15"/>
  <c r="X168" i="15"/>
  <c r="N161" i="15"/>
  <c r="L153" i="15"/>
  <c r="Z155" i="15"/>
  <c r="AB161" i="15"/>
  <c r="P159" i="15"/>
  <c r="L155" i="15"/>
  <c r="S162" i="15"/>
  <c r="G160" i="15"/>
  <c r="T154" i="15"/>
  <c r="G155" i="15"/>
  <c r="U160" i="15"/>
  <c r="AE153" i="15"/>
  <c r="T156" i="15"/>
  <c r="J182" i="15"/>
  <c r="X179" i="15"/>
  <c r="AA175" i="15"/>
  <c r="AA181" i="15"/>
  <c r="O179" i="15"/>
  <c r="J183" i="15"/>
  <c r="Q181" i="15"/>
  <c r="AE178" i="15"/>
  <c r="AA168" i="15"/>
  <c r="U183" i="15"/>
  <c r="AB162" i="15"/>
  <c r="P160" i="15"/>
  <c r="K154" i="15"/>
  <c r="Y156" i="15"/>
  <c r="AD160" i="15"/>
  <c r="V153" i="15"/>
  <c r="K156" i="15"/>
  <c r="U161" i="15"/>
  <c r="I159" i="15"/>
  <c r="S155" i="15"/>
  <c r="I162" i="15"/>
  <c r="W159" i="15"/>
  <c r="AD154" i="15"/>
  <c r="O183" i="15"/>
  <c r="L181" i="15"/>
  <c r="Z178" i="15"/>
  <c r="X183" i="15"/>
  <c r="AC180" i="15"/>
  <c r="Q178" i="15"/>
  <c r="AE182" i="15"/>
  <c r="S180" i="15"/>
  <c r="G178" i="15"/>
  <c r="M183" i="15"/>
  <c r="AC168" i="15"/>
  <c r="L180" i="15"/>
  <c r="M175" i="15"/>
  <c r="G169" i="15"/>
  <c r="P170" i="15"/>
  <c r="T176" i="15"/>
  <c r="AB177" i="15"/>
  <c r="O163" i="15"/>
  <c r="K169" i="15"/>
  <c r="M163" i="15"/>
  <c r="AA170" i="15"/>
  <c r="AA157" i="15"/>
  <c r="Z158" i="15"/>
  <c r="H163" i="15"/>
  <c r="L157" i="15"/>
  <c r="Y169" i="15"/>
  <c r="T160" i="15"/>
  <c r="R153" i="15"/>
  <c r="O155" i="15"/>
  <c r="K183" i="15"/>
  <c r="G181" i="15"/>
  <c r="K178" i="15"/>
  <c r="I175" i="15"/>
  <c r="AC156" i="15"/>
  <c r="Q161" i="15"/>
  <c r="S159" i="15"/>
  <c r="V178" i="15"/>
  <c r="AA182" i="15"/>
  <c r="Z175" i="15"/>
  <c r="Z181" i="15"/>
  <c r="L178" i="15"/>
  <c r="H160" i="15"/>
  <c r="G154" i="15"/>
  <c r="AD153" i="15"/>
  <c r="M161" i="15"/>
  <c r="AA155" i="15"/>
  <c r="O159" i="15"/>
  <c r="W183" i="15"/>
  <c r="R178" i="15"/>
  <c r="U180" i="15"/>
  <c r="W182" i="15"/>
  <c r="N175" i="15"/>
  <c r="L182" i="15"/>
  <c r="J159" i="15"/>
  <c r="J162" i="15"/>
  <c r="AC154" i="15"/>
  <c r="O160" i="15"/>
  <c r="Z156" i="15"/>
  <c r="W153" i="15"/>
  <c r="R182" i="15"/>
  <c r="S175" i="15"/>
  <c r="W179" i="15"/>
  <c r="Y181" i="15"/>
  <c r="S168" i="15"/>
  <c r="R181" i="15"/>
  <c r="AB168" i="15"/>
  <c r="M170" i="15"/>
  <c r="N158" i="15"/>
  <c r="J158" i="15"/>
  <c r="L164" i="15"/>
  <c r="M157" i="15"/>
  <c r="AA176" i="15"/>
  <c r="AD170" i="15"/>
  <c r="K164" i="15"/>
  <c r="R176" i="15"/>
  <c r="R177" i="15"/>
  <c r="S170" i="15"/>
  <c r="V158" i="15"/>
  <c r="Q158" i="15"/>
  <c r="AF162" i="15"/>
  <c r="H161" i="15"/>
  <c r="M159" i="15"/>
  <c r="Z154" i="15"/>
  <c r="T183" i="15"/>
  <c r="W180" i="15"/>
  <c r="P180" i="15"/>
  <c r="O154" i="15"/>
  <c r="O156" i="15"/>
  <c r="AE161" i="15"/>
  <c r="H181" i="15"/>
  <c r="M178" i="15"/>
  <c r="J175" i="15"/>
  <c r="P182" i="15"/>
  <c r="AB178" i="15"/>
  <c r="X160" i="15"/>
  <c r="Q156" i="15"/>
  <c r="N153" i="15"/>
  <c r="AC161" i="15"/>
  <c r="K155" i="15"/>
  <c r="AE159" i="15"/>
  <c r="G183" i="15"/>
  <c r="H179" i="15"/>
  <c r="K181" i="15"/>
  <c r="Z183" i="15"/>
  <c r="O178" i="15"/>
  <c r="AB182" i="15"/>
  <c r="Z159" i="15"/>
  <c r="Z162" i="15"/>
  <c r="M154" i="15"/>
  <c r="AE160" i="15"/>
  <c r="J156" i="15"/>
  <c r="G159" i="15"/>
  <c r="AE183" i="15"/>
  <c r="J178" i="15"/>
  <c r="M180" i="15"/>
  <c r="O182" i="15"/>
  <c r="V175" i="15"/>
  <c r="M168" i="15"/>
  <c r="AC175" i="15"/>
  <c r="AE177" i="15"/>
  <c r="O177" i="15"/>
  <c r="Y176" i="15"/>
  <c r="AF169" i="15"/>
  <c r="S169" i="15"/>
  <c r="Q169" i="15"/>
  <c r="AF176" i="15"/>
  <c r="Y164" i="15"/>
  <c r="P158" i="15"/>
  <c r="Y177" i="15"/>
  <c r="Q164" i="15"/>
  <c r="Q170" i="15"/>
  <c r="W158" i="15"/>
  <c r="X178" i="15"/>
  <c r="U156" i="15"/>
  <c r="Y161" i="15"/>
  <c r="AA159" i="15"/>
  <c r="AD178" i="15"/>
  <c r="AD183" i="15"/>
  <c r="H182" i="15"/>
  <c r="L160" i="15"/>
  <c r="Z153" i="15"/>
  <c r="W155" i="15"/>
  <c r="S183" i="15"/>
  <c r="Y180" i="15"/>
  <c r="Y179" i="15"/>
  <c r="N168" i="15"/>
  <c r="X180" i="15"/>
  <c r="T162" i="15"/>
  <c r="S154" i="15"/>
  <c r="V160" i="15"/>
  <c r="S156" i="15"/>
  <c r="M153" i="15"/>
  <c r="AA161" i="15"/>
  <c r="M155" i="15"/>
  <c r="AD180" i="15"/>
  <c r="AF183" i="15"/>
  <c r="I178" i="15"/>
  <c r="K180" i="15"/>
  <c r="Z168" i="15"/>
  <c r="V161" i="15"/>
  <c r="R155" i="15"/>
  <c r="X159" i="15"/>
  <c r="AA162" i="15"/>
  <c r="L154" i="15"/>
  <c r="AC160" i="15"/>
  <c r="L156" i="15"/>
  <c r="AF179" i="15"/>
  <c r="I182" i="15"/>
  <c r="AB175" i="15"/>
  <c r="M179" i="15"/>
  <c r="T182" i="15"/>
  <c r="AF178" i="15"/>
  <c r="J176" i="15"/>
  <c r="L163" i="15"/>
  <c r="R164" i="15"/>
  <c r="Z169" i="15"/>
  <c r="X177" i="15"/>
  <c r="L158" i="15"/>
  <c r="Y163" i="15"/>
  <c r="M158" i="15"/>
  <c r="Q163" i="15"/>
  <c r="U163" i="15"/>
  <c r="AB163" i="15"/>
  <c r="AB170" i="15"/>
  <c r="G176" i="15"/>
  <c r="J181" i="15"/>
  <c r="AF153" i="15"/>
  <c r="AF155" i="15"/>
  <c r="M162" i="15"/>
  <c r="P181" i="15"/>
  <c r="U178" i="15"/>
  <c r="V168" i="15"/>
  <c r="X162" i="15"/>
  <c r="Z160" i="15"/>
  <c r="I153" i="15"/>
  <c r="I155" i="15"/>
  <c r="AB183" i="15"/>
  <c r="O180" i="15"/>
  <c r="AD168" i="15"/>
  <c r="N181" i="15"/>
  <c r="H168" i="15"/>
  <c r="AB153" i="15"/>
  <c r="L161" i="15"/>
  <c r="AB155" i="15"/>
  <c r="Q159" i="15"/>
  <c r="Q162" i="15"/>
  <c r="V154" i="15"/>
  <c r="T181" i="15"/>
  <c r="P183" i="15"/>
  <c r="Y178" i="15"/>
  <c r="AA180" i="15"/>
  <c r="K168" i="15"/>
  <c r="L162" i="15"/>
  <c r="AA154" i="15"/>
  <c r="N160" i="15"/>
  <c r="AA156" i="15"/>
  <c r="U153" i="15"/>
  <c r="S161" i="15"/>
  <c r="U155" i="15"/>
  <c r="V180" i="15"/>
  <c r="Y182" i="15"/>
  <c r="L175" i="15"/>
  <c r="AC179" i="15"/>
  <c r="AC183" i="15"/>
  <c r="V179" i="15"/>
  <c r="AD124" i="15"/>
  <c r="AD89" i="17" s="1"/>
  <c r="K144" i="15"/>
  <c r="K109" i="17" s="1"/>
  <c r="Y117" i="15"/>
  <c r="Y82" i="17" s="1"/>
  <c r="H119" i="15"/>
  <c r="H84" i="17" s="1"/>
  <c r="U125" i="15"/>
  <c r="U90" i="17" s="1"/>
  <c r="Y123" i="15"/>
  <c r="Y88" i="17" s="1"/>
  <c r="K124" i="15"/>
  <c r="K89" i="17" s="1"/>
  <c r="Y143" i="15"/>
  <c r="Y108" i="17" s="1"/>
  <c r="AF145" i="15"/>
  <c r="AF110" i="17" s="1"/>
  <c r="O141" i="15"/>
  <c r="N125" i="15"/>
  <c r="N90" i="17" s="1"/>
  <c r="Y125" i="15"/>
  <c r="AD123" i="15"/>
  <c r="AD88" i="17" s="1"/>
  <c r="O145" i="15"/>
  <c r="O110" i="17" s="1"/>
  <c r="I143" i="15"/>
  <c r="I108" i="17" s="1"/>
  <c r="H142" i="15"/>
  <c r="H107" i="17" s="1"/>
  <c r="Q142" i="15"/>
  <c r="Q107" i="17" s="1"/>
  <c r="AA128" i="15"/>
  <c r="M117" i="15"/>
  <c r="M82" i="17" s="1"/>
  <c r="AA147" i="15"/>
  <c r="AA112" i="17" s="1"/>
  <c r="AD125" i="15"/>
  <c r="AD90" i="17" s="1"/>
  <c r="K145" i="15"/>
  <c r="K110" i="17" s="1"/>
  <c r="Q118" i="15"/>
  <c r="Q83" i="17" s="1"/>
  <c r="Y118" i="15"/>
  <c r="Y83" i="17" s="1"/>
  <c r="U147" i="15"/>
  <c r="U112" i="17" s="1"/>
  <c r="X143" i="15"/>
  <c r="X108" i="17" s="1"/>
  <c r="AF118" i="15"/>
  <c r="AF83" i="17" s="1"/>
  <c r="S134" i="15"/>
  <c r="H124" i="15"/>
  <c r="AB117" i="15"/>
  <c r="AB82" i="17" s="1"/>
  <c r="N118" i="15"/>
  <c r="N83" i="17" s="1"/>
  <c r="AA145" i="15"/>
  <c r="AA110" i="17" s="1"/>
  <c r="X142" i="15"/>
  <c r="X107" i="17" s="1"/>
  <c r="AA124" i="15"/>
  <c r="AA89" i="17" s="1"/>
  <c r="Y142" i="15"/>
  <c r="Y107" i="17" s="1"/>
  <c r="X126" i="15"/>
  <c r="X91" i="17" s="1"/>
  <c r="AF119" i="15"/>
  <c r="AF84" i="17" s="1"/>
  <c r="G142" i="15"/>
  <c r="AA125" i="15"/>
  <c r="AA90" i="17" s="1"/>
  <c r="U124" i="15"/>
  <c r="U89" i="17" s="1"/>
  <c r="AC119" i="15"/>
  <c r="AC84" i="17" s="1"/>
  <c r="G125" i="15"/>
  <c r="G124" i="15"/>
  <c r="G123" i="15"/>
  <c r="AB144" i="15"/>
  <c r="AB109" i="17" s="1"/>
  <c r="H120" i="15"/>
  <c r="H85" i="17" s="1"/>
  <c r="G126" i="15"/>
  <c r="O127" i="15"/>
  <c r="U134" i="15"/>
  <c r="S145" i="15"/>
  <c r="S110" i="17" s="1"/>
  <c r="AF147" i="15"/>
  <c r="AF112" i="17" s="1"/>
  <c r="AE118" i="15"/>
  <c r="AE83" i="17" s="1"/>
  <c r="L125" i="15"/>
  <c r="L90" i="17" s="1"/>
  <c r="K123" i="15"/>
  <c r="K88" i="17" s="1"/>
  <c r="AA144" i="15"/>
  <c r="AA109" i="17" s="1"/>
  <c r="S147" i="15"/>
  <c r="S112" i="17" s="1"/>
  <c r="AB147" i="15"/>
  <c r="AB112" i="17" s="1"/>
  <c r="Q146" i="15"/>
  <c r="Q111" i="17" s="1"/>
  <c r="AB140" i="15"/>
  <c r="R121" i="15"/>
  <c r="Y140" i="15"/>
  <c r="W118" i="15"/>
  <c r="W83" i="17" s="1"/>
  <c r="R123" i="15"/>
  <c r="R88" i="17" s="1"/>
  <c r="J145" i="15"/>
  <c r="J110" i="17" s="1"/>
  <c r="M143" i="15"/>
  <c r="M108" i="17" s="1"/>
  <c r="Z142" i="15"/>
  <c r="Z107" i="17" s="1"/>
  <c r="U145" i="15"/>
  <c r="U110" i="17" s="1"/>
  <c r="Z147" i="15"/>
  <c r="Z112" i="17" s="1"/>
  <c r="AF144" i="15"/>
  <c r="AF109" i="17" s="1"/>
  <c r="AC118" i="15"/>
  <c r="AC83" i="17" s="1"/>
  <c r="Y124" i="15"/>
  <c r="Y89" i="17" s="1"/>
  <c r="R122" i="15"/>
  <c r="P128" i="15"/>
  <c r="S133" i="15"/>
  <c r="M142" i="15"/>
  <c r="M107" i="17" s="1"/>
  <c r="R125" i="15"/>
  <c r="R90" i="17" s="1"/>
  <c r="X123" i="15"/>
  <c r="X88" i="17" s="1"/>
  <c r="W143" i="15"/>
  <c r="W108" i="17" s="1"/>
  <c r="AB126" i="15"/>
  <c r="AB91" i="17" s="1"/>
  <c r="U120" i="15"/>
  <c r="U85" i="17" s="1"/>
  <c r="AF120" i="15"/>
  <c r="AF85" i="17" s="1"/>
  <c r="AE140" i="15"/>
  <c r="Z128" i="15"/>
  <c r="O122" i="15"/>
  <c r="H127" i="15"/>
  <c r="AE134" i="15"/>
  <c r="Y127" i="15"/>
  <c r="AC122" i="15"/>
  <c r="N133" i="15"/>
  <c r="V141" i="15"/>
  <c r="T121" i="15"/>
  <c r="AF125" i="15"/>
  <c r="AF90" i="17" s="1"/>
  <c r="N142" i="15"/>
  <c r="N107" i="17" s="1"/>
  <c r="AC117" i="15"/>
  <c r="AC82" i="17" s="1"/>
  <c r="P120" i="15"/>
  <c r="P85" i="17" s="1"/>
  <c r="M146" i="15"/>
  <c r="M111" i="17" s="1"/>
  <c r="P146" i="15"/>
  <c r="P111" i="17" s="1"/>
  <c r="Q126" i="15"/>
  <c r="Q91" i="17" s="1"/>
  <c r="AA134" i="15"/>
  <c r="Q122" i="15"/>
  <c r="W128" i="15"/>
  <c r="J133" i="15"/>
  <c r="Y133" i="15"/>
  <c r="AB128" i="15"/>
  <c r="I128" i="15"/>
  <c r="W141" i="15"/>
  <c r="L128" i="15"/>
  <c r="V122" i="15"/>
  <c r="T144" i="15"/>
  <c r="T109" i="17" s="1"/>
  <c r="R143" i="15"/>
  <c r="R108" i="17" s="1"/>
  <c r="U123" i="15"/>
  <c r="U88" i="17" s="1"/>
  <c r="T120" i="15"/>
  <c r="T85" i="17" s="1"/>
  <c r="V146" i="15"/>
  <c r="V111" i="17" s="1"/>
  <c r="K146" i="15"/>
  <c r="K111" i="17" s="1"/>
  <c r="I126" i="15"/>
  <c r="I91" i="17" s="1"/>
  <c r="K128" i="15"/>
  <c r="W127" i="15"/>
  <c r="N134" i="15"/>
  <c r="Z134" i="15"/>
  <c r="I133" i="15"/>
  <c r="W133" i="15"/>
  <c r="O140" i="15"/>
  <c r="N140" i="15"/>
  <c r="M121" i="15"/>
  <c r="AD128" i="15"/>
  <c r="R120" i="15"/>
  <c r="R85" i="17" s="1"/>
  <c r="Y146" i="15"/>
  <c r="Y111" i="17" s="1"/>
  <c r="AE120" i="15"/>
  <c r="AE85" i="17" s="1"/>
  <c r="J126" i="15"/>
  <c r="J91" i="17" s="1"/>
  <c r="AC126" i="15"/>
  <c r="AC91" i="17" s="1"/>
  <c r="P133" i="15"/>
  <c r="AA140" i="15"/>
  <c r="I140" i="15"/>
  <c r="M133" i="15"/>
  <c r="R133" i="15"/>
  <c r="U127" i="15"/>
  <c r="T122" i="15"/>
  <c r="Y134" i="15"/>
  <c r="P134" i="15"/>
  <c r="G127" i="15"/>
  <c r="AC134" i="15"/>
  <c r="M134" i="15"/>
  <c r="T141" i="15"/>
  <c r="AB143" i="15"/>
  <c r="AB108" i="17" s="1"/>
  <c r="J125" i="15"/>
  <c r="J90" i="17" s="1"/>
  <c r="X119" i="15"/>
  <c r="X84" i="17" s="1"/>
  <c r="AA123" i="15"/>
  <c r="AA88" i="17" s="1"/>
  <c r="AD119" i="15"/>
  <c r="AD84" i="17" s="1"/>
  <c r="Z144" i="15"/>
  <c r="Z109" i="17" s="1"/>
  <c r="L142" i="15"/>
  <c r="L107" i="17" s="1"/>
  <c r="AE145" i="15"/>
  <c r="AE110" i="17" s="1"/>
  <c r="R118" i="15"/>
  <c r="R83" i="17" s="1"/>
  <c r="T146" i="15"/>
  <c r="T111" i="17" s="1"/>
  <c r="P118" i="15"/>
  <c r="P83" i="17" s="1"/>
  <c r="K142" i="15"/>
  <c r="K107" i="17" s="1"/>
  <c r="W126" i="15"/>
  <c r="W91" i="17" s="1"/>
  <c r="AB124" i="15"/>
  <c r="AB89" i="17" s="1"/>
  <c r="N147" i="15"/>
  <c r="N112" i="17" s="1"/>
  <c r="J117" i="15"/>
  <c r="J82" i="17" s="1"/>
  <c r="X140" i="15"/>
  <c r="O144" i="15"/>
  <c r="O109" i="17" s="1"/>
  <c r="R117" i="15"/>
  <c r="R82" i="17" s="1"/>
  <c r="AC120" i="15"/>
  <c r="AC85" i="17" s="1"/>
  <c r="X147" i="15"/>
  <c r="X112" i="17" s="1"/>
  <c r="U118" i="15"/>
  <c r="U83" i="17" s="1"/>
  <c r="J143" i="15"/>
  <c r="J108" i="17" s="1"/>
  <c r="AC128" i="15"/>
  <c r="R145" i="15"/>
  <c r="R110" i="17" s="1"/>
  <c r="R146" i="15"/>
  <c r="R111" i="17" s="1"/>
  <c r="AB141" i="15"/>
  <c r="AF128" i="15"/>
  <c r="T134" i="15"/>
  <c r="H126" i="15"/>
  <c r="H91" i="17" s="1"/>
  <c r="T133" i="15"/>
  <c r="AB121" i="15"/>
  <c r="O121" i="15"/>
  <c r="O117" i="15"/>
  <c r="O82" i="17" s="1"/>
  <c r="S126" i="15"/>
  <c r="S91" i="17" s="1"/>
  <c r="N122" i="15"/>
  <c r="K140" i="15"/>
  <c r="AD146" i="15"/>
  <c r="AD111" i="17" s="1"/>
  <c r="S127" i="15"/>
  <c r="L121" i="15"/>
  <c r="AB134" i="15"/>
  <c r="T127" i="15"/>
  <c r="T125" i="15"/>
  <c r="L124" i="15"/>
  <c r="L89" i="17" s="1"/>
  <c r="J123" i="15"/>
  <c r="J88" i="17" s="1"/>
  <c r="X144" i="15"/>
  <c r="X109" i="17" s="1"/>
  <c r="G118" i="15"/>
  <c r="W145" i="15"/>
  <c r="W110" i="17" s="1"/>
  <c r="W125" i="15"/>
  <c r="N124" i="15"/>
  <c r="N89" i="17" s="1"/>
  <c r="AB145" i="15"/>
  <c r="AB110" i="17" s="1"/>
  <c r="S117" i="15"/>
  <c r="S82" i="17" s="1"/>
  <c r="R144" i="15"/>
  <c r="R109" i="17" s="1"/>
  <c r="K119" i="15"/>
  <c r="K84" i="17" s="1"/>
  <c r="Q147" i="15"/>
  <c r="Q112" i="17" s="1"/>
  <c r="AA142" i="15"/>
  <c r="AA107" i="17" s="1"/>
  <c r="L134" i="15"/>
  <c r="S124" i="15"/>
  <c r="S89" i="17" s="1"/>
  <c r="V117" i="15"/>
  <c r="V82" i="17" s="1"/>
  <c r="R127" i="15"/>
  <c r="H123" i="15"/>
  <c r="H88" i="17" s="1"/>
  <c r="G147" i="15"/>
  <c r="Q144" i="15"/>
  <c r="Q109" i="17" s="1"/>
  <c r="AB119" i="15"/>
  <c r="AB84" i="17" s="1"/>
  <c r="AC143" i="15"/>
  <c r="AC108" i="17" s="1"/>
  <c r="I145" i="15"/>
  <c r="I110" i="17" s="1"/>
  <c r="H125" i="15"/>
  <c r="H90" i="17" s="1"/>
  <c r="O142" i="15"/>
  <c r="O107" i="17" s="1"/>
  <c r="U143" i="15"/>
  <c r="N127" i="15"/>
  <c r="AA143" i="15"/>
  <c r="AA108" i="17" s="1"/>
  <c r="H117" i="15"/>
  <c r="H82" i="17" s="1"/>
  <c r="AD142" i="15"/>
  <c r="AD107" i="17" s="1"/>
  <c r="AE144" i="15"/>
  <c r="AE109" i="17" s="1"/>
  <c r="P124" i="15"/>
  <c r="P89" i="17" s="1"/>
  <c r="T143" i="15"/>
  <c r="T108" i="17" s="1"/>
  <c r="V144" i="15"/>
  <c r="V109" i="17" s="1"/>
  <c r="Q125" i="15"/>
  <c r="Q90" i="17" s="1"/>
  <c r="X128" i="15"/>
  <c r="V145" i="15"/>
  <c r="V110" i="17" s="1"/>
  <c r="G143" i="15"/>
  <c r="V119" i="15"/>
  <c r="V84" i="17" s="1"/>
  <c r="H118" i="15"/>
  <c r="H83" i="17" s="1"/>
  <c r="T142" i="15"/>
  <c r="T107" i="17" s="1"/>
  <c r="R119" i="15"/>
  <c r="R84" i="17" s="1"/>
  <c r="P147" i="15"/>
  <c r="P112" i="17" s="1"/>
  <c r="P143" i="15"/>
  <c r="P108" i="17" s="1"/>
  <c r="N119" i="15"/>
  <c r="N84" i="17" s="1"/>
  <c r="AA146" i="15"/>
  <c r="AA111" i="17" s="1"/>
  <c r="AC133" i="15"/>
  <c r="G133" i="15"/>
  <c r="M123" i="15"/>
  <c r="M88" i="17" s="1"/>
  <c r="O125" i="15"/>
  <c r="T145" i="15"/>
  <c r="T110" i="17" s="1"/>
  <c r="Y147" i="15"/>
  <c r="Y112" i="17" s="1"/>
  <c r="L118" i="15"/>
  <c r="L83" i="17" s="1"/>
  <c r="X118" i="15"/>
  <c r="X83" i="17" s="1"/>
  <c r="K125" i="15"/>
  <c r="K90" i="17" s="1"/>
  <c r="V124" i="15"/>
  <c r="V89" i="17" s="1"/>
  <c r="Z126" i="15"/>
  <c r="Z91" i="17" s="1"/>
  <c r="Y128" i="15"/>
  <c r="S140" i="15"/>
  <c r="L133" i="15"/>
  <c r="H147" i="15"/>
  <c r="H112" i="17" s="1"/>
  <c r="N117" i="15"/>
  <c r="N82" i="17" s="1"/>
  <c r="Z117" i="15"/>
  <c r="Z82" i="17" s="1"/>
  <c r="W142" i="15"/>
  <c r="W107" i="17" s="1"/>
  <c r="AB123" i="15"/>
  <c r="AB88" i="17" s="1"/>
  <c r="AE117" i="15"/>
  <c r="AE82" i="17" s="1"/>
  <c r="P125" i="15"/>
  <c r="P90" i="17" s="1"/>
  <c r="J119" i="15"/>
  <c r="J84" i="17" s="1"/>
  <c r="AC147" i="15"/>
  <c r="AC112" i="17" s="1"/>
  <c r="K118" i="15"/>
  <c r="K83" i="17" s="1"/>
  <c r="K126" i="15"/>
  <c r="K91" i="17" s="1"/>
  <c r="R140" i="15"/>
  <c r="AA121" i="15"/>
  <c r="L119" i="15"/>
  <c r="L84" i="17" s="1"/>
  <c r="I144" i="15"/>
  <c r="I109" i="17" s="1"/>
  <c r="M118" i="15"/>
  <c r="M83" i="17" s="1"/>
  <c r="Y145" i="15"/>
  <c r="Y110" i="17" s="1"/>
  <c r="P126" i="15"/>
  <c r="P91" i="17" s="1"/>
  <c r="I120" i="15"/>
  <c r="I85" i="17" s="1"/>
  <c r="R126" i="15"/>
  <c r="R91" i="17" s="1"/>
  <c r="G120" i="15"/>
  <c r="V134" i="15"/>
  <c r="AF121" i="15"/>
  <c r="V128" i="15"/>
  <c r="AE127" i="15"/>
  <c r="S141" i="15"/>
  <c r="V140" i="15"/>
  <c r="X134" i="15"/>
  <c r="H141" i="15"/>
  <c r="J140" i="15"/>
  <c r="W123" i="15"/>
  <c r="W88" i="17" s="1"/>
  <c r="G144" i="15"/>
  <c r="W144" i="15"/>
  <c r="W109" i="17" s="1"/>
  <c r="I123" i="15"/>
  <c r="I88" i="17" s="1"/>
  <c r="AD120" i="15"/>
  <c r="AD85" i="17" s="1"/>
  <c r="Y120" i="15"/>
  <c r="Y85" i="17" s="1"/>
  <c r="V126" i="15"/>
  <c r="V91" i="17" s="1"/>
  <c r="G121" i="15"/>
  <c r="H122" i="15"/>
  <c r="H134" i="15"/>
  <c r="Z127" i="15"/>
  <c r="U128" i="15"/>
  <c r="S128" i="15"/>
  <c r="R141" i="15"/>
  <c r="P141" i="15"/>
  <c r="Z141" i="15"/>
  <c r="AF140" i="15"/>
  <c r="N123" i="15"/>
  <c r="N88" i="17" s="1"/>
  <c r="Z124" i="15"/>
  <c r="Z89" i="17" s="1"/>
  <c r="R124" i="15"/>
  <c r="R89" i="17" s="1"/>
  <c r="O120" i="15"/>
  <c r="O85" i="17" s="1"/>
  <c r="AF126" i="15"/>
  <c r="AF91" i="17" s="1"/>
  <c r="AA120" i="15"/>
  <c r="AA85" i="17" s="1"/>
  <c r="AB120" i="15"/>
  <c r="AB85" i="17" s="1"/>
  <c r="M122" i="15"/>
  <c r="I134" i="15"/>
  <c r="Z140" i="15"/>
  <c r="G122" i="15"/>
  <c r="I141" i="15"/>
  <c r="T140" i="15"/>
  <c r="Q127" i="15"/>
  <c r="AE141" i="15"/>
  <c r="L127" i="15"/>
  <c r="S122" i="15"/>
  <c r="J120" i="15"/>
  <c r="J85" i="17" s="1"/>
  <c r="N146" i="15"/>
  <c r="N111" i="17" s="1"/>
  <c r="W120" i="15"/>
  <c r="W85" i="17" s="1"/>
  <c r="AB146" i="15"/>
  <c r="AB111" i="17" s="1"/>
  <c r="U126" i="15"/>
  <c r="U91" i="17" s="1"/>
  <c r="V127" i="15"/>
  <c r="K121" i="15"/>
  <c r="N128" i="15"/>
  <c r="AC141" i="15"/>
  <c r="AD127" i="15"/>
  <c r="O134" i="15"/>
  <c r="K122" i="15"/>
  <c r="AD122" i="15"/>
  <c r="P127" i="15"/>
  <c r="AD134" i="15"/>
  <c r="I127" i="15"/>
  <c r="J128" i="15"/>
  <c r="Q140" i="15"/>
  <c r="R142" i="15"/>
  <c r="R107" i="17" s="1"/>
  <c r="U119" i="15"/>
  <c r="U84" i="17" s="1"/>
  <c r="AE124" i="15"/>
  <c r="AE89" i="17" s="1"/>
  <c r="Y144" i="15"/>
  <c r="Y109" i="17" s="1"/>
  <c r="O143" i="15"/>
  <c r="O108" i="17" s="1"/>
  <c r="K147" i="15"/>
  <c r="K112" i="17" s="1"/>
  <c r="S143" i="15"/>
  <c r="S108" i="17" s="1"/>
  <c r="AC123" i="15"/>
  <c r="AC88" i="17" s="1"/>
  <c r="X121" i="15"/>
  <c r="V143" i="15"/>
  <c r="V108" i="17" s="1"/>
  <c r="AF142" i="15"/>
  <c r="AF107" i="17" s="1"/>
  <c r="AD121" i="15"/>
  <c r="I125" i="15"/>
  <c r="I90" i="17" s="1"/>
  <c r="T118" i="15"/>
  <c r="T83" i="17" s="1"/>
  <c r="N120" i="15"/>
  <c r="N85" i="17" s="1"/>
  <c r="G145" i="15"/>
  <c r="H146" i="15"/>
  <c r="H111" i="17" s="1"/>
  <c r="W134" i="15"/>
  <c r="K141" i="15"/>
  <c r="L147" i="15"/>
  <c r="L112" i="17" s="1"/>
  <c r="X146" i="15"/>
  <c r="X111" i="17" s="1"/>
  <c r="AD140" i="15"/>
  <c r="V121" i="15"/>
  <c r="W117" i="15"/>
  <c r="W82" i="17" s="1"/>
  <c r="AC146" i="15"/>
  <c r="AC111" i="17" s="1"/>
  <c r="AF127" i="15"/>
  <c r="AF133" i="15"/>
  <c r="P121" i="15"/>
  <c r="X120" i="15"/>
  <c r="X85" i="17" s="1"/>
  <c r="L140" i="15"/>
  <c r="R134" i="15"/>
  <c r="K133" i="15"/>
  <c r="AC125" i="15"/>
  <c r="L117" i="15"/>
  <c r="L82" i="17" s="1"/>
  <c r="T123" i="15"/>
  <c r="AC121" i="15"/>
  <c r="N145" i="15"/>
  <c r="N110" i="17" s="1"/>
  <c r="N144" i="15"/>
  <c r="N109" i="17" s="1"/>
  <c r="Q145" i="15"/>
  <c r="Q110" i="17" s="1"/>
  <c r="S125" i="15"/>
  <c r="S90" i="17" s="1"/>
  <c r="Q117" i="15"/>
  <c r="Q82" i="17" s="1"/>
  <c r="T147" i="15"/>
  <c r="AD147" i="15"/>
  <c r="M144" i="15"/>
  <c r="M109" i="17" s="1"/>
  <c r="Q143" i="15"/>
  <c r="Q108" i="17" s="1"/>
  <c r="G119" i="15"/>
  <c r="H143" i="15"/>
  <c r="H108" i="17" s="1"/>
  <c r="M124" i="15"/>
  <c r="M89" i="17" s="1"/>
  <c r="I147" i="15"/>
  <c r="I112" i="17" s="1"/>
  <c r="J118" i="15"/>
  <c r="J83" i="17" s="1"/>
  <c r="H145" i="15"/>
  <c r="H110" i="17" s="1"/>
  <c r="O119" i="15"/>
  <c r="O84" i="17" s="1"/>
  <c r="Q123" i="15"/>
  <c r="Q88" i="17" s="1"/>
  <c r="AA118" i="15"/>
  <c r="AA83" i="17" s="1"/>
  <c r="V123" i="15"/>
  <c r="V88" i="17" s="1"/>
  <c r="AA119" i="15"/>
  <c r="AA84" i="17" s="1"/>
  <c r="AC144" i="15"/>
  <c r="AC109" i="17" s="1"/>
  <c r="AD117" i="15"/>
  <c r="AD82" i="17" s="1"/>
  <c r="X141" i="15"/>
  <c r="AF143" i="15"/>
  <c r="AF108" i="17" s="1"/>
  <c r="AB118" i="15"/>
  <c r="AB83" i="17" s="1"/>
  <c r="S119" i="15"/>
  <c r="S84" i="17" s="1"/>
  <c r="AE142" i="15"/>
  <c r="AE107" i="17" s="1"/>
  <c r="U117" i="15"/>
  <c r="U82" i="17" s="1"/>
  <c r="AC145" i="15"/>
  <c r="AC110" i="17" s="1"/>
  <c r="O118" i="15"/>
  <c r="O83" i="17" s="1"/>
  <c r="AE125" i="15"/>
  <c r="AE90" i="17" s="1"/>
  <c r="K127" i="15"/>
  <c r="M125" i="15"/>
  <c r="M90" i="17" s="1"/>
  <c r="V147" i="15"/>
  <c r="V112" i="17" s="1"/>
  <c r="N143" i="15"/>
  <c r="N108" i="17" s="1"/>
  <c r="L145" i="15"/>
  <c r="L110" i="17" s="1"/>
  <c r="O123" i="15"/>
  <c r="O88" i="17" s="1"/>
  <c r="I124" i="15"/>
  <c r="I89" i="17" s="1"/>
  <c r="Z125" i="15"/>
  <c r="Z90" i="17" s="1"/>
  <c r="J124" i="15"/>
  <c r="J89" i="17" s="1"/>
  <c r="W124" i="15"/>
  <c r="W89" i="17" s="1"/>
  <c r="S120" i="15"/>
  <c r="S85" i="17" s="1"/>
  <c r="AA133" i="15"/>
  <c r="AD133" i="15"/>
  <c r="AD118" i="15"/>
  <c r="AD83" i="17" s="1"/>
  <c r="P119" i="15"/>
  <c r="P84" i="17" s="1"/>
  <c r="AE123" i="15"/>
  <c r="AE88" i="17" s="1"/>
  <c r="K117" i="15"/>
  <c r="K82" i="17" s="1"/>
  <c r="J147" i="15"/>
  <c r="J112" i="17" s="1"/>
  <c r="X145" i="15"/>
  <c r="X110" i="17" s="1"/>
  <c r="Z123" i="15"/>
  <c r="Z88" i="17" s="1"/>
  <c r="AE119" i="15"/>
  <c r="AE84" i="17" s="1"/>
  <c r="T117" i="15"/>
  <c r="T82" i="17" s="1"/>
  <c r="N126" i="15"/>
  <c r="N91" i="17" s="1"/>
  <c r="J122" i="15"/>
  <c r="M127" i="15"/>
  <c r="X117" i="15"/>
  <c r="X82" i="17" s="1"/>
  <c r="AA117" i="15"/>
  <c r="AA82" i="17" s="1"/>
  <c r="U144" i="15"/>
  <c r="U109" i="17" s="1"/>
  <c r="AF123" i="15"/>
  <c r="AF88" i="17" s="1"/>
  <c r="G117" i="15"/>
  <c r="L144" i="15"/>
  <c r="L109" i="17" s="1"/>
  <c r="L123" i="15"/>
  <c r="L88" i="17" s="1"/>
  <c r="O124" i="15"/>
  <c r="O89" i="17" s="1"/>
  <c r="M145" i="15"/>
  <c r="M110" i="17" s="1"/>
  <c r="Z145" i="15"/>
  <c r="Z110" i="17" s="1"/>
  <c r="AD126" i="15"/>
  <c r="AD91" i="17" s="1"/>
  <c r="G141" i="15"/>
  <c r="K134" i="15"/>
  <c r="R147" i="15"/>
  <c r="R112" i="17" s="1"/>
  <c r="Z118" i="15"/>
  <c r="Z83" i="17" s="1"/>
  <c r="M147" i="15"/>
  <c r="M112" i="17" s="1"/>
  <c r="O147" i="15"/>
  <c r="O112" i="17" s="1"/>
  <c r="L120" i="15"/>
  <c r="L85" i="17" s="1"/>
  <c r="Z146" i="15"/>
  <c r="Z111" i="17" s="1"/>
  <c r="O146" i="15"/>
  <c r="O111" i="17" s="1"/>
  <c r="Y126" i="15"/>
  <c r="Y91" i="17" s="1"/>
  <c r="Y121" i="15"/>
  <c r="AC127" i="15"/>
  <c r="Q128" i="15"/>
  <c r="AA141" i="15"/>
  <c r="R128" i="15"/>
  <c r="Z121" i="15"/>
  <c r="AC140" i="15"/>
  <c r="J127" i="15"/>
  <c r="AB122" i="15"/>
  <c r="H121" i="15"/>
  <c r="AE143" i="15"/>
  <c r="AE108" i="17" s="1"/>
  <c r="K143" i="15"/>
  <c r="K108" i="17" s="1"/>
  <c r="S142" i="15"/>
  <c r="S107" i="17" s="1"/>
  <c r="T126" i="15"/>
  <c r="T91" i="17" s="1"/>
  <c r="K120" i="15"/>
  <c r="K85" i="17" s="1"/>
  <c r="AE146" i="15"/>
  <c r="AE111" i="17" s="1"/>
  <c r="G146" i="15"/>
  <c r="G128" i="15"/>
  <c r="Z133" i="15"/>
  <c r="W140" i="15"/>
  <c r="S121" i="15"/>
  <c r="O133" i="15"/>
  <c r="H128" i="15"/>
  <c r="Z122" i="15"/>
  <c r="Q121" i="15"/>
  <c r="N141" i="15"/>
  <c r="I118" i="15"/>
  <c r="I83" i="17" s="1"/>
  <c r="AC142" i="15"/>
  <c r="AC107" i="17" s="1"/>
  <c r="AD145" i="15"/>
  <c r="AD110" i="17" s="1"/>
  <c r="W147" i="15"/>
  <c r="W112" i="17" s="1"/>
  <c r="V120" i="15"/>
  <c r="V85" i="17" s="1"/>
  <c r="Q120" i="15"/>
  <c r="Q85" i="17" s="1"/>
  <c r="AF146" i="15"/>
  <c r="AF111" i="17" s="1"/>
  <c r="AE126" i="15"/>
  <c r="AE91" i="17" s="1"/>
  <c r="AB133" i="15"/>
  <c r="AD141" i="15"/>
  <c r="G140" i="15"/>
  <c r="I122" i="15"/>
  <c r="AF134" i="15"/>
  <c r="H133" i="15"/>
  <c r="J141" i="15"/>
  <c r="AE128" i="15"/>
  <c r="J121" i="15"/>
  <c r="AD144" i="15"/>
  <c r="AD109" i="17" s="1"/>
  <c r="I146" i="15"/>
  <c r="I111" i="17" s="1"/>
  <c r="M120" i="15"/>
  <c r="M85" i="17" s="1"/>
  <c r="W146" i="15"/>
  <c r="W111" i="17" s="1"/>
  <c r="M126" i="15"/>
  <c r="M91" i="17" s="1"/>
  <c r="U133" i="15"/>
  <c r="O128" i="15"/>
  <c r="M140" i="15"/>
  <c r="AE121" i="15"/>
  <c r="AE133" i="15"/>
  <c r="Y141" i="15"/>
  <c r="J134" i="15"/>
  <c r="AF122" i="15"/>
  <c r="U141" i="15"/>
  <c r="X127" i="15"/>
  <c r="AE122" i="15"/>
  <c r="AA127" i="15"/>
  <c r="AB127" i="15"/>
  <c r="V142" i="15"/>
  <c r="V107" i="17" s="1"/>
  <c r="J144" i="15"/>
  <c r="J109" i="17" s="1"/>
  <c r="P123" i="15"/>
  <c r="AF124" i="15"/>
  <c r="AF89" i="17" s="1"/>
  <c r="L143" i="15"/>
  <c r="P117" i="15"/>
  <c r="P82" i="17" s="1"/>
  <c r="I117" i="15"/>
  <c r="I82" i="17" s="1"/>
  <c r="Q119" i="15"/>
  <c r="Q84" i="17" s="1"/>
  <c r="M119" i="15"/>
  <c r="M84" i="17" s="1"/>
  <c r="AD143" i="15"/>
  <c r="AD108" i="17" s="1"/>
  <c r="X124" i="15"/>
  <c r="X89" i="17" s="1"/>
  <c r="I142" i="15"/>
  <c r="I107" i="17" s="1"/>
  <c r="P142" i="15"/>
  <c r="P107" i="17" s="1"/>
  <c r="S118" i="15"/>
  <c r="S83" i="17" s="1"/>
  <c r="S123" i="15"/>
  <c r="S88" i="17" s="1"/>
  <c r="Z143" i="15"/>
  <c r="Z108" i="17" s="1"/>
  <c r="V125" i="15"/>
  <c r="V90" i="17" s="1"/>
  <c r="P144" i="15"/>
  <c r="P109" i="17" s="1"/>
  <c r="H144" i="15"/>
  <c r="H109" i="17" s="1"/>
  <c r="U142" i="15"/>
  <c r="U107" i="17" s="1"/>
  <c r="AC124" i="15"/>
  <c r="AC89" i="17" s="1"/>
  <c r="AB142" i="15"/>
  <c r="AB107" i="17" s="1"/>
  <c r="J146" i="15"/>
  <c r="J111" i="17" s="1"/>
  <c r="T128" i="15"/>
  <c r="V118" i="15"/>
  <c r="V83" i="17" s="1"/>
  <c r="P145" i="15"/>
  <c r="P110" i="17" s="1"/>
  <c r="T124" i="15"/>
  <c r="T89" i="17" s="1"/>
  <c r="J142" i="15"/>
  <c r="J107" i="17" s="1"/>
  <c r="W121" i="15"/>
  <c r="W119" i="15"/>
  <c r="W84" i="17" s="1"/>
  <c r="S144" i="15"/>
  <c r="S109" i="17" s="1"/>
  <c r="Q124" i="15"/>
  <c r="Q89" i="17" s="1"/>
  <c r="X125" i="15"/>
  <c r="X90" i="17" s="1"/>
  <c r="Z119" i="15"/>
  <c r="Z84" i="17" s="1"/>
  <c r="P140" i="15"/>
  <c r="X133" i="15"/>
  <c r="AB125" i="15"/>
  <c r="AB90" i="17" s="1"/>
  <c r="I119" i="15"/>
  <c r="I84" i="17" s="1"/>
  <c r="O126" i="15"/>
  <c r="O91" i="17" s="1"/>
  <c r="U121" i="15"/>
  <c r="I121" i="15"/>
  <c r="W122" i="15"/>
  <c r="M128" i="15"/>
  <c r="V133" i="15"/>
  <c r="AF117" i="15"/>
  <c r="AF82" i="17" s="1"/>
  <c r="T119" i="15"/>
  <c r="T84" i="17" s="1"/>
  <c r="U146" i="15"/>
  <c r="U111" i="17" s="1"/>
  <c r="AA126" i="15"/>
  <c r="AA91" i="17" s="1"/>
  <c r="Q133" i="15"/>
  <c r="Q134" i="15"/>
  <c r="AF141" i="15"/>
  <c r="Q141" i="15"/>
  <c r="L141" i="15"/>
  <c r="Y119" i="15"/>
  <c r="Y84" i="17" s="1"/>
  <c r="L126" i="15"/>
  <c r="L91" i="17" s="1"/>
  <c r="S146" i="15"/>
  <c r="S111" i="17" s="1"/>
  <c r="H140" i="15"/>
  <c r="U122" i="15"/>
  <c r="N121" i="15"/>
  <c r="X122" i="15"/>
  <c r="M141" i="15"/>
  <c r="Z120" i="15"/>
  <c r="Z85" i="17" s="1"/>
  <c r="L146" i="15"/>
  <c r="L111" i="17" s="1"/>
  <c r="U140" i="15"/>
  <c r="L122" i="15"/>
  <c r="Y122" i="15"/>
  <c r="P122" i="15"/>
  <c r="AA122" i="15"/>
  <c r="G134" i="15"/>
  <c r="AE147" i="15"/>
  <c r="AE112" i="17" s="1"/>
  <c r="P102" i="17"/>
  <c r="U101" i="15" l="1"/>
  <c r="AF95" i="15"/>
  <c r="Z95" i="15"/>
  <c r="I100" i="15"/>
  <c r="T95" i="15"/>
  <c r="S94" i="15"/>
  <c r="H311" i="16"/>
  <c r="AF93" i="15"/>
  <c r="H102" i="15"/>
  <c r="Q99" i="15"/>
  <c r="F9" i="12" a="1"/>
  <c r="X24" i="12" s="1"/>
  <c r="V17" i="12"/>
  <c r="L37" i="12"/>
  <c r="I22" i="12"/>
  <c r="P19" i="12"/>
  <c r="V12" i="12"/>
  <c r="Q21" i="12"/>
  <c r="R19" i="12"/>
  <c r="W26" i="12"/>
  <c r="W10" i="12"/>
  <c r="X28" i="12"/>
  <c r="I10" i="12"/>
  <c r="O23" i="12"/>
  <c r="L20" i="12"/>
  <c r="M21" i="12"/>
  <c r="G9" i="16" a="1"/>
  <c r="V19" i="16" s="1"/>
  <c r="AA35" i="12"/>
  <c r="R36" i="16"/>
  <c r="AC36" i="16"/>
  <c r="AD30" i="16"/>
  <c r="P38" i="12"/>
  <c r="L19" i="12"/>
  <c r="AC18" i="12"/>
  <c r="N27" i="12"/>
  <c r="X27" i="16"/>
  <c r="S15" i="16"/>
  <c r="H25" i="16"/>
  <c r="G21" i="16"/>
  <c r="K39" i="16"/>
  <c r="R14" i="16"/>
  <c r="X21" i="16"/>
  <c r="L9" i="16"/>
  <c r="P13" i="16"/>
  <c r="Z26" i="16"/>
  <c r="W26" i="16"/>
  <c r="AA18" i="16"/>
  <c r="Z30" i="16"/>
  <c r="T14" i="16"/>
  <c r="H38" i="16"/>
  <c r="T15" i="16"/>
  <c r="AF11" i="16"/>
  <c r="T30" i="16"/>
  <c r="AE34" i="16"/>
  <c r="L32" i="16"/>
  <c r="Z27" i="16"/>
  <c r="AD14" i="16"/>
  <c r="V13" i="12"/>
  <c r="G27" i="12"/>
  <c r="I14" i="12"/>
  <c r="T33" i="12"/>
  <c r="L15" i="12"/>
  <c r="AE29" i="12"/>
  <c r="U15" i="12"/>
  <c r="O27" i="12"/>
  <c r="I18" i="12"/>
  <c r="U30" i="12"/>
  <c r="AE38" i="12"/>
  <c r="L10" i="12"/>
  <c r="Q31" i="16"/>
  <c r="L12" i="16"/>
  <c r="R13" i="16"/>
  <c r="G11" i="16"/>
  <c r="N10" i="16"/>
  <c r="AA39" i="16"/>
  <c r="AC20" i="16"/>
  <c r="T13" i="16"/>
  <c r="X9" i="16"/>
  <c r="Q16" i="16"/>
  <c r="M32" i="16"/>
  <c r="W36" i="16"/>
  <c r="I95" i="15"/>
  <c r="L103" i="15"/>
  <c r="I96" i="15"/>
  <c r="G96" i="15"/>
  <c r="W101" i="15"/>
  <c r="Q102" i="17"/>
  <c r="H96" i="15"/>
  <c r="P102" i="15"/>
  <c r="G24" i="14"/>
  <c r="G29" i="14"/>
  <c r="G23" i="14"/>
  <c r="AE101" i="15"/>
  <c r="J103" i="15"/>
  <c r="R94" i="15"/>
  <c r="W99" i="15"/>
  <c r="K96" i="15"/>
  <c r="R103" i="15"/>
  <c r="Y95" i="15"/>
  <c r="Y101" i="15"/>
  <c r="AB103" i="15"/>
  <c r="I103" i="15"/>
  <c r="AF96" i="15"/>
  <c r="W96" i="15"/>
  <c r="V99" i="15"/>
  <c r="X93" i="15"/>
  <c r="AB101" i="15"/>
  <c r="K101" i="15"/>
  <c r="AB94" i="15"/>
  <c r="Y106" i="15"/>
  <c r="Z88" i="15"/>
  <c r="AE88" i="15"/>
  <c r="H107" i="15"/>
  <c r="H109" i="15"/>
  <c r="M87" i="15"/>
  <c r="U108" i="15"/>
  <c r="I90" i="15"/>
  <c r="AA96" i="15"/>
  <c r="U87" i="15"/>
  <c r="I107" i="15"/>
  <c r="AE109" i="15"/>
  <c r="AE90" i="15"/>
  <c r="L102" i="15"/>
  <c r="AC100" i="15"/>
  <c r="O94" i="15"/>
  <c r="T101" i="15"/>
  <c r="T102" i="15"/>
  <c r="V100" i="15"/>
  <c r="K103" i="15"/>
  <c r="Q103" i="15"/>
  <c r="O103" i="15"/>
  <c r="G102" i="15"/>
  <c r="H93" i="15"/>
  <c r="N94" i="15"/>
  <c r="AD99" i="15"/>
  <c r="V100" i="17"/>
  <c r="T96" i="15"/>
  <c r="N101" i="15"/>
  <c r="AD102" i="15"/>
  <c r="AC101" i="15"/>
  <c r="M99" i="15"/>
  <c r="R102" i="15"/>
  <c r="AF100" i="15"/>
  <c r="U100" i="15"/>
  <c r="J94" i="15"/>
  <c r="P93" i="15"/>
  <c r="M96" i="15"/>
  <c r="H103" i="15"/>
  <c r="K94" i="15"/>
  <c r="J93" i="15"/>
  <c r="V95" i="15"/>
  <c r="Q102" i="15"/>
  <c r="Z103" i="15"/>
  <c r="AC96" i="15"/>
  <c r="Q96" i="15"/>
  <c r="U96" i="15"/>
  <c r="U103" i="15"/>
  <c r="X101" i="15"/>
  <c r="G27" i="14"/>
  <c r="T99" i="15"/>
  <c r="AA102" i="15"/>
  <c r="G100" i="15"/>
  <c r="Y60" i="17" a="1"/>
  <c r="Y60" i="17" s="1"/>
  <c r="W100" i="15"/>
  <c r="L93" i="15"/>
  <c r="H101" i="15"/>
  <c r="U99" i="15"/>
  <c r="H99" i="15"/>
  <c r="AE103" i="15"/>
  <c r="T93" i="15"/>
  <c r="AD94" i="15"/>
  <c r="V96" i="15"/>
  <c r="X100" i="15"/>
  <c r="S95" i="15"/>
  <c r="G22" i="14"/>
  <c r="G31" i="14"/>
  <c r="AD100" i="17"/>
  <c r="Y110" i="15"/>
  <c r="L90" i="15"/>
  <c r="P111" i="15"/>
  <c r="Q87" i="15"/>
  <c r="AB111" i="15"/>
  <c r="M90" i="15"/>
  <c r="AC88" i="15"/>
  <c r="AA89" i="15"/>
  <c r="X106" i="15"/>
  <c r="V103" i="15"/>
  <c r="O106" i="15"/>
  <c r="G111" i="15"/>
  <c r="P110" i="15"/>
  <c r="AE89" i="15"/>
  <c r="W108" i="15"/>
  <c r="S103" i="15"/>
  <c r="L110" i="15"/>
  <c r="R106" i="15"/>
  <c r="M89" i="15"/>
  <c r="V106" i="15"/>
  <c r="AC108" i="15"/>
  <c r="O111" i="15"/>
  <c r="AE106" i="15"/>
  <c r="N89" i="15"/>
  <c r="G90" i="15"/>
  <c r="T106" i="15"/>
  <c r="AA106" i="15"/>
  <c r="W109" i="15"/>
  <c r="L87" i="15"/>
  <c r="J89" i="15"/>
  <c r="G103" i="15"/>
  <c r="V90" i="15"/>
  <c r="AD87" i="15"/>
  <c r="L96" i="15"/>
  <c r="R96" i="15"/>
  <c r="Y90" i="15"/>
  <c r="Z110" i="15"/>
  <c r="R87" i="15"/>
  <c r="U109" i="15"/>
  <c r="W103" i="15"/>
  <c r="K88" i="15"/>
  <c r="V110" i="15"/>
  <c r="O101" i="15"/>
  <c r="Q93" i="15"/>
  <c r="AC95" i="15"/>
  <c r="AE95" i="15"/>
  <c r="I101" i="15"/>
  <c r="O99" i="15"/>
  <c r="X96" i="15"/>
  <c r="J102" i="15"/>
  <c r="K102" i="15"/>
  <c r="O100" i="15"/>
  <c r="Z93" i="15"/>
  <c r="Y93" i="15"/>
  <c r="H94" i="15"/>
  <c r="N102" i="15"/>
  <c r="T100" i="15"/>
  <c r="P100" i="15"/>
  <c r="G28" i="14"/>
  <c r="W93" i="15"/>
  <c r="W95" i="15"/>
  <c r="T94" i="15"/>
  <c r="AF101" i="15"/>
  <c r="G101" i="15"/>
  <c r="AA101" i="15"/>
  <c r="Z99" i="15"/>
  <c r="R99" i="15"/>
  <c r="G30" i="14"/>
  <c r="Y102" i="15"/>
  <c r="AC102" i="15"/>
  <c r="O93" i="15"/>
  <c r="H95" i="15"/>
  <c r="Q95" i="15"/>
  <c r="G94" i="15"/>
  <c r="W101" i="17"/>
  <c r="P103" i="15"/>
  <c r="H102" i="17"/>
  <c r="Z65" i="17" a="1"/>
  <c r="Z65" i="17" s="1"/>
  <c r="AC93" i="15"/>
  <c r="U102" i="15"/>
  <c r="AA94" i="15"/>
  <c r="V66" i="17" a="1"/>
  <c r="V66" i="17" s="1"/>
  <c r="W102" i="15"/>
  <c r="U93" i="15"/>
  <c r="Z100" i="15"/>
  <c r="S100" i="15"/>
  <c r="P94" i="15"/>
  <c r="L96" i="17"/>
  <c r="M83" i="15"/>
  <c r="AC84" i="15"/>
  <c r="Y81" i="15"/>
  <c r="G84" i="15"/>
  <c r="P84" i="15"/>
  <c r="N83" i="15"/>
  <c r="Z81" i="15"/>
  <c r="M84" i="15"/>
  <c r="X84" i="15"/>
  <c r="T81" i="15"/>
  <c r="U82" i="15"/>
  <c r="O68" i="17" a="1"/>
  <c r="O68" i="17" s="1"/>
  <c r="AD101" i="15"/>
  <c r="S93" i="15"/>
  <c r="X102" i="17"/>
  <c r="AD95" i="17"/>
  <c r="V97" i="17"/>
  <c r="AA82" i="15"/>
  <c r="Q90" i="15"/>
  <c r="AB81" i="15"/>
  <c r="L84" i="15"/>
  <c r="K108" i="15"/>
  <c r="V88" i="15"/>
  <c r="J106" i="15"/>
  <c r="AB110" i="15"/>
  <c r="AB96" i="15"/>
  <c r="W107" i="15"/>
  <c r="K111" i="15"/>
  <c r="L81" i="15"/>
  <c r="P96" i="15"/>
  <c r="AC90" i="15"/>
  <c r="P83" i="15"/>
  <c r="W82" i="15"/>
  <c r="AD109" i="15"/>
  <c r="R111" i="15"/>
  <c r="P107" i="15"/>
  <c r="J96" i="15"/>
  <c r="T103" i="15"/>
  <c r="N108" i="15"/>
  <c r="J83" i="15"/>
  <c r="P82" i="15"/>
  <c r="Y111" i="15"/>
  <c r="W94" i="15"/>
  <c r="L101" i="15"/>
  <c r="Z96" i="15"/>
  <c r="AD93" i="15"/>
  <c r="M94" i="15"/>
  <c r="I94" i="15"/>
  <c r="AC94" i="15"/>
  <c r="G99" i="15"/>
  <c r="Y99" i="15"/>
  <c r="H100" i="15"/>
  <c r="AE93" i="15"/>
  <c r="L95" i="15"/>
  <c r="AB59" i="17" a="1"/>
  <c r="AB59" i="17" s="1"/>
  <c r="Y65" i="17" a="1"/>
  <c r="Y65" i="17" s="1"/>
  <c r="AA100" i="15"/>
  <c r="AE104" i="17"/>
  <c r="AC82" i="15"/>
  <c r="R81" i="15"/>
  <c r="S109" i="15"/>
  <c r="Y100" i="15"/>
  <c r="AE102" i="15"/>
  <c r="O95" i="15"/>
  <c r="R93" i="15"/>
  <c r="AF102" i="15"/>
  <c r="Z102" i="15"/>
  <c r="V107" i="15"/>
  <c r="I106" i="15"/>
  <c r="M82" i="15"/>
  <c r="H89" i="15"/>
  <c r="L106" i="15"/>
  <c r="M103" i="15"/>
  <c r="G106" i="15"/>
  <c r="S83" i="15"/>
  <c r="V81" i="15"/>
  <c r="P88" i="15"/>
  <c r="T82" i="15"/>
  <c r="AF110" i="15"/>
  <c r="V111" i="15"/>
  <c r="I88" i="15"/>
  <c r="K110" i="15"/>
  <c r="AA88" i="15"/>
  <c r="Y103" i="15"/>
  <c r="Q108" i="15"/>
  <c r="AB109" i="15"/>
  <c r="AD103" i="15"/>
  <c r="R84" i="15"/>
  <c r="Y96" i="15"/>
  <c r="AA81" i="15"/>
  <c r="AA107" i="15"/>
  <c r="N87" i="15"/>
  <c r="R101" i="15"/>
  <c r="J99" i="15"/>
  <c r="K99" i="15"/>
  <c r="AD100" i="15"/>
  <c r="K93" i="15"/>
  <c r="AD95" i="15"/>
  <c r="I99" i="15"/>
  <c r="M100" i="15"/>
  <c r="K95" i="15"/>
  <c r="V101" i="15"/>
  <c r="AF99" i="15"/>
  <c r="X102" i="15"/>
  <c r="U95" i="15"/>
  <c r="X95" i="15"/>
  <c r="AD96" i="15"/>
  <c r="Q100" i="15"/>
  <c r="P61" i="17" a="1"/>
  <c r="P61" i="17" s="1"/>
  <c r="N66" i="17" a="1"/>
  <c r="N66" i="17" s="1"/>
  <c r="N58" i="17" a="1"/>
  <c r="N58" i="17" s="1"/>
  <c r="P95" i="15"/>
  <c r="AD60" i="17" a="1"/>
  <c r="AD60" i="17" s="1"/>
  <c r="AB67" i="17" a="1"/>
  <c r="AB67" i="17" s="1"/>
  <c r="M60" i="17" a="1"/>
  <c r="M60" i="17" s="1"/>
  <c r="R100" i="17"/>
  <c r="AC103" i="17"/>
  <c r="G64" i="17" a="1"/>
  <c r="G64" i="17" s="1"/>
  <c r="H67" i="17" a="1"/>
  <c r="H67" i="17" s="1"/>
  <c r="S96" i="15"/>
  <c r="S58" i="17" a="1"/>
  <c r="S58" i="17" s="1"/>
  <c r="I110" i="15"/>
  <c r="AF90" i="15"/>
  <c r="AD81" i="15"/>
  <c r="Z109" i="15"/>
  <c r="L108" i="15"/>
  <c r="X109" i="15"/>
  <c r="X83" i="15"/>
  <c r="J82" i="15"/>
  <c r="G108" i="15"/>
  <c r="W106" i="15"/>
  <c r="Q110" i="15"/>
  <c r="AC81" i="15"/>
  <c r="Q111" i="15"/>
  <c r="J107" i="15"/>
  <c r="H84" i="15"/>
  <c r="N59" i="17" a="1"/>
  <c r="N59" i="17" s="1"/>
  <c r="Y66" i="17" a="1"/>
  <c r="Y66" i="17" s="1"/>
  <c r="S60" i="17" a="1"/>
  <c r="S60" i="17" s="1"/>
  <c r="AC64" i="17" a="1"/>
  <c r="AC64" i="17" s="1"/>
  <c r="AE68" i="17" a="1"/>
  <c r="AE68" i="17" s="1"/>
  <c r="V59" i="17" a="1"/>
  <c r="V59" i="17" s="1"/>
  <c r="G59" i="17" a="1"/>
  <c r="G59" i="17" s="1"/>
  <c r="AB65" i="17" a="1"/>
  <c r="AB65" i="17" s="1"/>
  <c r="H61" i="17" a="1"/>
  <c r="H61" i="17" s="1"/>
  <c r="S61" i="17" a="1"/>
  <c r="S61" i="17" s="1"/>
  <c r="S101" i="15"/>
  <c r="K58" i="17" a="1"/>
  <c r="K58" i="17" s="1"/>
  <c r="X96" i="17"/>
  <c r="R60" i="17" a="1"/>
  <c r="R60" i="17" s="1"/>
  <c r="Z66" i="17" a="1"/>
  <c r="Z66" i="17" s="1"/>
  <c r="I68" i="17" a="1"/>
  <c r="I68" i="17" s="1"/>
  <c r="AB64" i="17" a="1"/>
  <c r="AB64" i="17" s="1"/>
  <c r="V68" i="17" a="1"/>
  <c r="V68" i="17" s="1"/>
  <c r="J60" i="17" a="1"/>
  <c r="J60" i="17" s="1"/>
  <c r="T59" i="17" a="1"/>
  <c r="T59" i="17" s="1"/>
  <c r="X65" i="17" a="1"/>
  <c r="X65" i="17" s="1"/>
  <c r="U94" i="15"/>
  <c r="G61" i="17" a="1"/>
  <c r="G61" i="17" s="1"/>
  <c r="AD61" i="17" a="1"/>
  <c r="AD61" i="17" s="1"/>
  <c r="R67" i="17" a="1"/>
  <c r="R67" i="17" s="1"/>
  <c r="G93" i="15"/>
  <c r="W58" i="17" a="1"/>
  <c r="W58" i="17" s="1"/>
  <c r="Z107" i="15"/>
  <c r="Q83" i="15"/>
  <c r="AF88" i="15"/>
  <c r="H82" i="15"/>
  <c r="I66" i="17" a="1"/>
  <c r="I66" i="17" s="1"/>
  <c r="M101" i="15"/>
  <c r="AF94" i="15"/>
  <c r="K64" i="17" a="1"/>
  <c r="K64" i="17" s="1"/>
  <c r="L68" i="17" a="1"/>
  <c r="L68" i="17" s="1"/>
  <c r="H97" i="17"/>
  <c r="Q59" i="17" a="1"/>
  <c r="Q59" i="17" s="1"/>
  <c r="J65" i="17" a="1"/>
  <c r="J65" i="17" s="1"/>
  <c r="AB61" i="17" a="1"/>
  <c r="AB61" i="17" s="1"/>
  <c r="Q67" i="17" a="1"/>
  <c r="Q67" i="17" s="1"/>
  <c r="I67" i="17" a="1"/>
  <c r="I67" i="17" s="1"/>
  <c r="AA58" i="17" a="1"/>
  <c r="AA58" i="17" s="1"/>
  <c r="N96" i="15"/>
  <c r="X103" i="15"/>
  <c r="S99" i="15"/>
  <c r="AD67" i="17" a="1"/>
  <c r="AD67" i="17" s="1"/>
  <c r="R65" i="17" a="1"/>
  <c r="R65" i="17" s="1"/>
  <c r="R59" i="17" a="1"/>
  <c r="R59" i="17" s="1"/>
  <c r="V102" i="15"/>
  <c r="O89" i="15"/>
  <c r="O90" i="17"/>
  <c r="G108" i="17"/>
  <c r="Y72" i="17" a="1"/>
  <c r="Y72" i="17" s="1"/>
  <c r="P72" i="17" a="1"/>
  <c r="P72" i="17" s="1"/>
  <c r="R72" i="17" a="1"/>
  <c r="R72" i="17" s="1"/>
  <c r="AF72" i="17" a="1"/>
  <c r="AF72" i="17" s="1"/>
  <c r="AA72" i="17" a="1"/>
  <c r="AA72" i="17" s="1"/>
  <c r="K72" i="17" a="1"/>
  <c r="K72" i="17" s="1"/>
  <c r="AE72" i="17" a="1"/>
  <c r="AE72" i="17" s="1"/>
  <c r="N72" i="17" a="1"/>
  <c r="N72" i="17" s="1"/>
  <c r="AC72" i="17" a="1"/>
  <c r="AC72" i="17" s="1"/>
  <c r="Z72" i="17" a="1"/>
  <c r="Z72" i="17" s="1"/>
  <c r="O72" i="17" a="1"/>
  <c r="O72" i="17" s="1"/>
  <c r="S72" i="17" a="1"/>
  <c r="S72" i="17" s="1"/>
  <c r="AB72" i="17" a="1"/>
  <c r="AB72" i="17" s="1"/>
  <c r="J72" i="17" a="1"/>
  <c r="J72" i="17" s="1"/>
  <c r="V72" i="17" a="1"/>
  <c r="V72" i="17" s="1"/>
  <c r="Q72" i="17" a="1"/>
  <c r="Q72" i="17" s="1"/>
  <c r="M72" i="17" a="1"/>
  <c r="M72" i="17" s="1"/>
  <c r="U72" i="17" a="1"/>
  <c r="U72" i="17" s="1"/>
  <c r="W72" i="17" a="1"/>
  <c r="W72" i="17" s="1"/>
  <c r="H72" i="17" a="1"/>
  <c r="H72" i="17" s="1"/>
  <c r="AD72" i="17" a="1"/>
  <c r="AD72" i="17" s="1"/>
  <c r="I72" i="17" a="1"/>
  <c r="I72" i="17" s="1"/>
  <c r="L72" i="17" a="1"/>
  <c r="L72" i="17" s="1"/>
  <c r="T72" i="17" a="1"/>
  <c r="T72" i="17" s="1"/>
  <c r="X72" i="17" a="1"/>
  <c r="X72" i="17" s="1"/>
  <c r="G72" i="17" a="1"/>
  <c r="G72" i="17" s="1"/>
  <c r="W89" i="15"/>
  <c r="W90" i="17"/>
  <c r="AF58" i="17" a="1"/>
  <c r="AF58" i="17" s="1"/>
  <c r="V58" i="17" a="1"/>
  <c r="V58" i="17" s="1"/>
  <c r="T58" i="17" a="1"/>
  <c r="T58" i="17" s="1"/>
  <c r="R58" i="17" a="1"/>
  <c r="R58" i="17" s="1"/>
  <c r="G58" i="17" a="1"/>
  <c r="G58" i="17" s="1"/>
  <c r="AB58" i="17" a="1"/>
  <c r="AB58" i="17" s="1"/>
  <c r="AE58" i="17" a="1"/>
  <c r="AE58" i="17" s="1"/>
  <c r="P87" i="15"/>
  <c r="P88" i="17"/>
  <c r="V46" i="17" a="1"/>
  <c r="V46" i="17" s="1"/>
  <c r="G46" i="17" a="1"/>
  <c r="G46" i="17" s="1"/>
  <c r="W46" i="17" a="1"/>
  <c r="W46" i="17" s="1"/>
  <c r="K46" i="17" a="1"/>
  <c r="K46" i="17" s="1"/>
  <c r="AE46" i="17" a="1"/>
  <c r="AE46" i="17" s="1"/>
  <c r="S46" i="17" a="1"/>
  <c r="S46" i="17" s="1"/>
  <c r="P46" i="17" a="1"/>
  <c r="P46" i="17" s="1"/>
  <c r="H46" i="17" a="1"/>
  <c r="H46" i="17" s="1"/>
  <c r="AA46" i="17" a="1"/>
  <c r="AA46" i="17" s="1"/>
  <c r="AC46" i="17" a="1"/>
  <c r="AC46" i="17" s="1"/>
  <c r="Q46" i="17" a="1"/>
  <c r="Q46" i="17" s="1"/>
  <c r="G82" i="17"/>
  <c r="AF46" i="17" a="1"/>
  <c r="AF46" i="17" s="1"/>
  <c r="J46" i="17" a="1"/>
  <c r="J46" i="17" s="1"/>
  <c r="Y46" i="17" a="1"/>
  <c r="Y46" i="17" s="1"/>
  <c r="L46" i="17" a="1"/>
  <c r="L46" i="17" s="1"/>
  <c r="I46" i="17" a="1"/>
  <c r="I46" i="17" s="1"/>
  <c r="AD46" i="17" a="1"/>
  <c r="AD46" i="17" s="1"/>
  <c r="O46" i="17" a="1"/>
  <c r="O46" i="17" s="1"/>
  <c r="R46" i="17" a="1"/>
  <c r="R46" i="17" s="1"/>
  <c r="N46" i="17" a="1"/>
  <c r="N46" i="17" s="1"/>
  <c r="Z46" i="17" a="1"/>
  <c r="Z46" i="17" s="1"/>
  <c r="U46" i="17" a="1"/>
  <c r="U46" i="17" s="1"/>
  <c r="T46" i="17" a="1"/>
  <c r="T46" i="17" s="1"/>
  <c r="X46" i="17" a="1"/>
  <c r="X46" i="17" s="1"/>
  <c r="AB46" i="17" a="1"/>
  <c r="AB46" i="17" s="1"/>
  <c r="M46" i="17" a="1"/>
  <c r="M46" i="17" s="1"/>
  <c r="AC89" i="15"/>
  <c r="AC90" i="17"/>
  <c r="Y76" i="17" a="1"/>
  <c r="Y76" i="17" s="1"/>
  <c r="Z76" i="17" a="1"/>
  <c r="Z76" i="17" s="1"/>
  <c r="H76" i="17" a="1"/>
  <c r="H76" i="17" s="1"/>
  <c r="V76" i="17" a="1"/>
  <c r="V76" i="17" s="1"/>
  <c r="U76" i="17" a="1"/>
  <c r="U76" i="17" s="1"/>
  <c r="AC76" i="17" a="1"/>
  <c r="AC76" i="17" s="1"/>
  <c r="M76" i="17" a="1"/>
  <c r="M76" i="17" s="1"/>
  <c r="N76" i="17" a="1"/>
  <c r="N76" i="17" s="1"/>
  <c r="X76" i="17" a="1"/>
  <c r="X76" i="17" s="1"/>
  <c r="AD76" i="17" a="1"/>
  <c r="AD76" i="17" s="1"/>
  <c r="L76" i="17" a="1"/>
  <c r="L76" i="17" s="1"/>
  <c r="AE76" i="17" a="1"/>
  <c r="AE76" i="17" s="1"/>
  <c r="T76" i="17" a="1"/>
  <c r="T76" i="17" s="1"/>
  <c r="K76" i="17" a="1"/>
  <c r="K76" i="17" s="1"/>
  <c r="P76" i="17" a="1"/>
  <c r="P76" i="17" s="1"/>
  <c r="I76" i="17" a="1"/>
  <c r="I76" i="17" s="1"/>
  <c r="S76" i="17" a="1"/>
  <c r="S76" i="17" s="1"/>
  <c r="J76" i="17" a="1"/>
  <c r="J76" i="17" s="1"/>
  <c r="Q76" i="17" a="1"/>
  <c r="Q76" i="17" s="1"/>
  <c r="G76" i="17" a="1"/>
  <c r="G76" i="17" s="1"/>
  <c r="AB76" i="17" a="1"/>
  <c r="AB76" i="17" s="1"/>
  <c r="R76" i="17" a="1"/>
  <c r="R76" i="17" s="1"/>
  <c r="G112" i="17"/>
  <c r="W76" i="17" a="1"/>
  <c r="W76" i="17" s="1"/>
  <c r="O76" i="17" a="1"/>
  <c r="O76" i="17" s="1"/>
  <c r="AA76" i="17" a="1"/>
  <c r="AA76" i="17" s="1"/>
  <c r="AF76" i="17" a="1"/>
  <c r="AF76" i="17" s="1"/>
  <c r="H88" i="15"/>
  <c r="H89" i="17"/>
  <c r="Q94" i="15"/>
  <c r="Q95" i="17"/>
  <c r="AF66" i="17" a="1"/>
  <c r="AF66" i="17" s="1"/>
  <c r="T66" i="17" a="1"/>
  <c r="T66" i="17" s="1"/>
  <c r="G66" i="17" a="1"/>
  <c r="G66" i="17" s="1"/>
  <c r="W66" i="17" a="1"/>
  <c r="W66" i="17" s="1"/>
  <c r="AA66" i="17" a="1"/>
  <c r="AA66" i="17" s="1"/>
  <c r="X66" i="17" a="1"/>
  <c r="X66" i="17" s="1"/>
  <c r="AB66" i="17" a="1"/>
  <c r="AB66" i="17" s="1"/>
  <c r="G68" i="17" a="1"/>
  <c r="G68" i="17" s="1"/>
  <c r="M68" i="17" a="1"/>
  <c r="M68" i="17" s="1"/>
  <c r="X68" i="17" a="1"/>
  <c r="X68" i="17" s="1"/>
  <c r="K68" i="17" a="1"/>
  <c r="K68" i="17" s="1"/>
  <c r="U68" i="17" a="1"/>
  <c r="U68" i="17" s="1"/>
  <c r="J68" i="17" a="1"/>
  <c r="J68" i="17" s="1"/>
  <c r="AC60" i="17" a="1"/>
  <c r="AC60" i="17" s="1"/>
  <c r="AE60" i="17" a="1"/>
  <c r="AE60" i="17" s="1"/>
  <c r="G60" i="17" a="1"/>
  <c r="G60" i="17" s="1"/>
  <c r="I60" i="17" a="1"/>
  <c r="I60" i="17" s="1"/>
  <c r="W60" i="17" a="1"/>
  <c r="W60" i="17" s="1"/>
  <c r="AB60" i="17" a="1"/>
  <c r="AB60" i="17" s="1"/>
  <c r="AB31" i="16"/>
  <c r="AD31" i="16"/>
  <c r="Z24" i="16"/>
  <c r="U81" i="15"/>
  <c r="Y107" i="15"/>
  <c r="AD106" i="15"/>
  <c r="N81" i="15"/>
  <c r="O88" i="15"/>
  <c r="T84" i="15"/>
  <c r="I82" i="15"/>
  <c r="AF89" i="15"/>
  <c r="Q66" i="17" a="1"/>
  <c r="Q66" i="17" s="1"/>
  <c r="P64" i="17" a="1"/>
  <c r="P64" i="17" s="1"/>
  <c r="Y64" i="17" a="1"/>
  <c r="Y64" i="17" s="1"/>
  <c r="N68" i="17" a="1"/>
  <c r="N68" i="17" s="1"/>
  <c r="Y68" i="17" a="1"/>
  <c r="Y68" i="17" s="1"/>
  <c r="U60" i="17" a="1"/>
  <c r="U60" i="17" s="1"/>
  <c r="T60" i="17" a="1"/>
  <c r="T60" i="17" s="1"/>
  <c r="AE96" i="17"/>
  <c r="K59" i="17" a="1"/>
  <c r="K59" i="17" s="1"/>
  <c r="O65" i="17" a="1"/>
  <c r="O65" i="17" s="1"/>
  <c r="T65" i="17" a="1"/>
  <c r="T65" i="17" s="1"/>
  <c r="X61" i="17" a="1"/>
  <c r="X61" i="17" s="1"/>
  <c r="AA61" i="17" a="1"/>
  <c r="AA61" i="17" s="1"/>
  <c r="M67" i="17" a="1"/>
  <c r="M67" i="17" s="1"/>
  <c r="N67" i="17" a="1"/>
  <c r="N67" i="17" s="1"/>
  <c r="I58" i="17" a="1"/>
  <c r="I58" i="17" s="1"/>
  <c r="O58" i="17" a="1"/>
  <c r="O58" i="17" s="1"/>
  <c r="S89" i="15"/>
  <c r="P109" i="15"/>
  <c r="X87" i="15"/>
  <c r="AB106" i="15"/>
  <c r="J87" i="15"/>
  <c r="M111" i="15"/>
  <c r="O107" i="15"/>
  <c r="L83" i="15"/>
  <c r="AE108" i="15"/>
  <c r="U110" i="15"/>
  <c r="H90" i="15"/>
  <c r="K90" i="15"/>
  <c r="K89" i="15"/>
  <c r="R89" i="15"/>
  <c r="J108" i="15"/>
  <c r="AD107" i="15"/>
  <c r="AB100" i="15"/>
  <c r="O102" i="15"/>
  <c r="X94" i="15"/>
  <c r="AA95" i="15"/>
  <c r="J100" i="15"/>
  <c r="Y94" i="15"/>
  <c r="P68" i="17" a="1"/>
  <c r="P68" i="17" s="1"/>
  <c r="R68" i="17" a="1"/>
  <c r="R68" i="17" s="1"/>
  <c r="J101" i="17"/>
  <c r="J96" i="17"/>
  <c r="H60" i="17" a="1"/>
  <c r="H60" i="17" s="1"/>
  <c r="Q60" i="17" a="1"/>
  <c r="Q60" i="17" s="1"/>
  <c r="V60" i="17" a="1"/>
  <c r="V60" i="17" s="1"/>
  <c r="AF60" i="17" a="1"/>
  <c r="AF60" i="17" s="1"/>
  <c r="N60" i="17" a="1"/>
  <c r="N60" i="17" s="1"/>
  <c r="Q96" i="17"/>
  <c r="O59" i="17" a="1"/>
  <c r="O59" i="17" s="1"/>
  <c r="M59" i="17" a="1"/>
  <c r="M59" i="17" s="1"/>
  <c r="AA59" i="17" a="1"/>
  <c r="AA59" i="17" s="1"/>
  <c r="J59" i="17" a="1"/>
  <c r="J59" i="17" s="1"/>
  <c r="S59" i="17" a="1"/>
  <c r="S59" i="17" s="1"/>
  <c r="N103" i="15"/>
  <c r="O96" i="15"/>
  <c r="Q65" i="17" a="1"/>
  <c r="Q65" i="17" s="1"/>
  <c r="L65" i="17" a="1"/>
  <c r="L65" i="17" s="1"/>
  <c r="K65" i="17" a="1"/>
  <c r="K65" i="17" s="1"/>
  <c r="S65" i="17" a="1"/>
  <c r="S65" i="17" s="1"/>
  <c r="AC65" i="17" a="1"/>
  <c r="AC65" i="17" s="1"/>
  <c r="K100" i="15"/>
  <c r="I93" i="15"/>
  <c r="AC103" i="15"/>
  <c r="V61" i="17" a="1"/>
  <c r="V61" i="17" s="1"/>
  <c r="L61" i="17" a="1"/>
  <c r="L61" i="17" s="1"/>
  <c r="AE61" i="17" a="1"/>
  <c r="AE61" i="17" s="1"/>
  <c r="N61" i="17" a="1"/>
  <c r="N61" i="17" s="1"/>
  <c r="Q61" i="17" a="1"/>
  <c r="Q61" i="17" s="1"/>
  <c r="AF67" i="17" a="1"/>
  <c r="AF67" i="17" s="1"/>
  <c r="Y67" i="17" a="1"/>
  <c r="Y67" i="17" s="1"/>
  <c r="S67" i="17" a="1"/>
  <c r="S67" i="17" s="1"/>
  <c r="U67" i="17" a="1"/>
  <c r="U67" i="17" s="1"/>
  <c r="AE67" i="17" a="1"/>
  <c r="AE67" i="17" s="1"/>
  <c r="K95" i="17"/>
  <c r="AD97" i="17"/>
  <c r="P58" i="17" a="1"/>
  <c r="P58" i="17" s="1"/>
  <c r="J58" i="17" a="1"/>
  <c r="J58" i="17" s="1"/>
  <c r="U58" i="17" a="1"/>
  <c r="U58" i="17" s="1"/>
  <c r="H58" i="17" a="1"/>
  <c r="H58" i="17" s="1"/>
  <c r="G94" i="17"/>
  <c r="S74" i="17" a="1"/>
  <c r="S74" i="17" s="1"/>
  <c r="AE74" i="17" a="1"/>
  <c r="AE74" i="17" s="1"/>
  <c r="AF74" i="17" a="1"/>
  <c r="AF74" i="17" s="1"/>
  <c r="Y74" i="17" a="1"/>
  <c r="Y74" i="17" s="1"/>
  <c r="AA74" i="17" a="1"/>
  <c r="AA74" i="17" s="1"/>
  <c r="W74" i="17" a="1"/>
  <c r="W74" i="17" s="1"/>
  <c r="T74" i="17" a="1"/>
  <c r="T74" i="17" s="1"/>
  <c r="U74" i="17" a="1"/>
  <c r="U74" i="17" s="1"/>
  <c r="N74" i="17" a="1"/>
  <c r="N74" i="17" s="1"/>
  <c r="AC74" i="17" a="1"/>
  <c r="AC74" i="17" s="1"/>
  <c r="J74" i="17" a="1"/>
  <c r="J74" i="17" s="1"/>
  <c r="R74" i="17" a="1"/>
  <c r="R74" i="17" s="1"/>
  <c r="G110" i="17"/>
  <c r="P74" i="17" a="1"/>
  <c r="P74" i="17" s="1"/>
  <c r="I74" i="17" a="1"/>
  <c r="I74" i="17" s="1"/>
  <c r="AB74" i="17" a="1"/>
  <c r="AB74" i="17" s="1"/>
  <c r="G74" i="17" a="1"/>
  <c r="G74" i="17" s="1"/>
  <c r="V74" i="17" a="1"/>
  <c r="V74" i="17" s="1"/>
  <c r="AD74" i="17" a="1"/>
  <c r="AD74" i="17" s="1"/>
  <c r="Z74" i="17" a="1"/>
  <c r="Z74" i="17" s="1"/>
  <c r="K74" i="17" a="1"/>
  <c r="K74" i="17" s="1"/>
  <c r="H74" i="17" a="1"/>
  <c r="H74" i="17" s="1"/>
  <c r="L74" i="17" a="1"/>
  <c r="L74" i="17" s="1"/>
  <c r="O74" i="17" a="1"/>
  <c r="O74" i="17" s="1"/>
  <c r="X74" i="17" a="1"/>
  <c r="X74" i="17" s="1"/>
  <c r="M74" i="17" a="1"/>
  <c r="M74" i="17" s="1"/>
  <c r="Q74" i="17" a="1"/>
  <c r="Q74" i="17" s="1"/>
  <c r="U107" i="15"/>
  <c r="U108" i="17"/>
  <c r="AD52" i="17" a="1"/>
  <c r="AD52" i="17" s="1"/>
  <c r="AB52" i="17" a="1"/>
  <c r="AB52" i="17" s="1"/>
  <c r="Y52" i="17" a="1"/>
  <c r="Y52" i="17" s="1"/>
  <c r="R52" i="17" a="1"/>
  <c r="R52" i="17" s="1"/>
  <c r="M52" i="17" a="1"/>
  <c r="M52" i="17" s="1"/>
  <c r="K52" i="17" a="1"/>
  <c r="K52" i="17" s="1"/>
  <c r="G52" i="17" a="1"/>
  <c r="G52" i="17" s="1"/>
  <c r="T52" i="17" a="1"/>
  <c r="T52" i="17" s="1"/>
  <c r="AC52" i="17" a="1"/>
  <c r="AC52" i="17" s="1"/>
  <c r="V52" i="17" a="1"/>
  <c r="V52" i="17" s="1"/>
  <c r="I52" i="17" a="1"/>
  <c r="I52" i="17" s="1"/>
  <c r="AE52" i="17" a="1"/>
  <c r="AE52" i="17" s="1"/>
  <c r="H52" i="17" a="1"/>
  <c r="H52" i="17" s="1"/>
  <c r="J52" i="17" a="1"/>
  <c r="J52" i="17" s="1"/>
  <c r="P52" i="17" a="1"/>
  <c r="P52" i="17" s="1"/>
  <c r="U52" i="17" a="1"/>
  <c r="U52" i="17" s="1"/>
  <c r="L52" i="17" a="1"/>
  <c r="L52" i="17" s="1"/>
  <c r="X52" i="17" a="1"/>
  <c r="X52" i="17" s="1"/>
  <c r="O52" i="17" a="1"/>
  <c r="O52" i="17" s="1"/>
  <c r="W52" i="17" a="1"/>
  <c r="W52" i="17" s="1"/>
  <c r="Q52" i="17" a="1"/>
  <c r="Q52" i="17" s="1"/>
  <c r="G88" i="17"/>
  <c r="AA52" i="17" a="1"/>
  <c r="AA52" i="17" s="1"/>
  <c r="N52" i="17" a="1"/>
  <c r="N52" i="17" s="1"/>
  <c r="Z52" i="17" a="1"/>
  <c r="Z52" i="17" s="1"/>
  <c r="S52" i="17" a="1"/>
  <c r="S52" i="17" s="1"/>
  <c r="AF52" i="17" a="1"/>
  <c r="AF52" i="17" s="1"/>
  <c r="Y89" i="15"/>
  <c r="Y90" i="17"/>
  <c r="J102" i="17"/>
  <c r="J101" i="15"/>
  <c r="Z102" i="17"/>
  <c r="Z101" i="15"/>
  <c r="AC24" i="16"/>
  <c r="V31" i="16"/>
  <c r="S31" i="16"/>
  <c r="I31" i="16"/>
  <c r="L107" i="15"/>
  <c r="L108" i="17"/>
  <c r="AD111" i="15"/>
  <c r="AD112" i="17"/>
  <c r="T87" i="15"/>
  <c r="T88" i="17"/>
  <c r="O49" i="17" a="1"/>
  <c r="O49" i="17" s="1"/>
  <c r="R49" i="17" a="1"/>
  <c r="R49" i="17" s="1"/>
  <c r="AF49" i="17" a="1"/>
  <c r="AF49" i="17" s="1"/>
  <c r="S49" i="17" a="1"/>
  <c r="S49" i="17" s="1"/>
  <c r="L49" i="17" a="1"/>
  <c r="L49" i="17" s="1"/>
  <c r="U49" i="17" a="1"/>
  <c r="U49" i="17" s="1"/>
  <c r="X49" i="17" a="1"/>
  <c r="X49" i="17" s="1"/>
  <c r="V49" i="17" a="1"/>
  <c r="V49" i="17" s="1"/>
  <c r="W49" i="17" a="1"/>
  <c r="W49" i="17" s="1"/>
  <c r="AD49" i="17" a="1"/>
  <c r="AD49" i="17" s="1"/>
  <c r="Q49" i="17" a="1"/>
  <c r="Q49" i="17" s="1"/>
  <c r="K49" i="17" a="1"/>
  <c r="K49" i="17" s="1"/>
  <c r="T49" i="17" a="1"/>
  <c r="T49" i="17" s="1"/>
  <c r="AC49" i="17" a="1"/>
  <c r="AC49" i="17" s="1"/>
  <c r="M49" i="17" a="1"/>
  <c r="M49" i="17" s="1"/>
  <c r="P49" i="17" a="1"/>
  <c r="P49" i="17" s="1"/>
  <c r="N49" i="17" a="1"/>
  <c r="N49" i="17" s="1"/>
  <c r="G85" i="17"/>
  <c r="H49" i="17" a="1"/>
  <c r="H49" i="17" s="1"/>
  <c r="J49" i="17" a="1"/>
  <c r="J49" i="17" s="1"/>
  <c r="Z49" i="17" a="1"/>
  <c r="Z49" i="17" s="1"/>
  <c r="G49" i="17" a="1"/>
  <c r="G49" i="17" s="1"/>
  <c r="AA49" i="17" a="1"/>
  <c r="AA49" i="17" s="1"/>
  <c r="Y49" i="17" a="1"/>
  <c r="Y49" i="17" s="1"/>
  <c r="AB49" i="17" a="1"/>
  <c r="AB49" i="17" s="1"/>
  <c r="I49" i="17" a="1"/>
  <c r="I49" i="17" s="1"/>
  <c r="AE49" i="17" a="1"/>
  <c r="AE49" i="17" s="1"/>
  <c r="AA55" i="17" a="1"/>
  <c r="AA55" i="17" s="1"/>
  <c r="AD55" i="17" a="1"/>
  <c r="AD55" i="17" s="1"/>
  <c r="G55" i="17" a="1"/>
  <c r="G55" i="17" s="1"/>
  <c r="G91" i="17"/>
  <c r="Z55" i="17" a="1"/>
  <c r="Z55" i="17" s="1"/>
  <c r="Q55" i="17" a="1"/>
  <c r="Q55" i="17" s="1"/>
  <c r="L55" i="17" a="1"/>
  <c r="L55" i="17" s="1"/>
  <c r="Y55" i="17" a="1"/>
  <c r="Y55" i="17" s="1"/>
  <c r="W55" i="17" a="1"/>
  <c r="W55" i="17" s="1"/>
  <c r="M55" i="17" a="1"/>
  <c r="M55" i="17" s="1"/>
  <c r="AF55" i="17" a="1"/>
  <c r="AF55" i="17" s="1"/>
  <c r="S55" i="17" a="1"/>
  <c r="S55" i="17" s="1"/>
  <c r="T55" i="17" a="1"/>
  <c r="T55" i="17" s="1"/>
  <c r="K55" i="17" a="1"/>
  <c r="K55" i="17" s="1"/>
  <c r="V55" i="17" a="1"/>
  <c r="V55" i="17" s="1"/>
  <c r="AE55" i="17" a="1"/>
  <c r="AE55" i="17" s="1"/>
  <c r="AC55" i="17" a="1"/>
  <c r="AC55" i="17" s="1"/>
  <c r="P55" i="17" a="1"/>
  <c r="P55" i="17" s="1"/>
  <c r="I55" i="17" a="1"/>
  <c r="I55" i="17" s="1"/>
  <c r="J55" i="17" a="1"/>
  <c r="J55" i="17" s="1"/>
  <c r="R55" i="17" a="1"/>
  <c r="R55" i="17" s="1"/>
  <c r="O55" i="17" a="1"/>
  <c r="O55" i="17" s="1"/>
  <c r="N55" i="17" a="1"/>
  <c r="N55" i="17" s="1"/>
  <c r="X55" i="17" a="1"/>
  <c r="X55" i="17" s="1"/>
  <c r="AB55" i="17" a="1"/>
  <c r="AB55" i="17" s="1"/>
  <c r="U55" i="17" a="1"/>
  <c r="U55" i="17" s="1"/>
  <c r="H55" i="17" a="1"/>
  <c r="H55" i="17" s="1"/>
  <c r="G89" i="17"/>
  <c r="J53" i="17" a="1"/>
  <c r="J53" i="17" s="1"/>
  <c r="O53" i="17" a="1"/>
  <c r="O53" i="17" s="1"/>
  <c r="Y53" i="17" a="1"/>
  <c r="Y53" i="17" s="1"/>
  <c r="T53" i="17" a="1"/>
  <c r="T53" i="17" s="1"/>
  <c r="X53" i="17" a="1"/>
  <c r="X53" i="17" s="1"/>
  <c r="AE53" i="17" a="1"/>
  <c r="AE53" i="17" s="1"/>
  <c r="AA53" i="17" a="1"/>
  <c r="AA53" i="17" s="1"/>
  <c r="R53" i="17" a="1"/>
  <c r="R53" i="17" s="1"/>
  <c r="AD53" i="17" a="1"/>
  <c r="AD53" i="17" s="1"/>
  <c r="S53" i="17" a="1"/>
  <c r="S53" i="17" s="1"/>
  <c r="K53" i="17" a="1"/>
  <c r="K53" i="17" s="1"/>
  <c r="H53" i="17" a="1"/>
  <c r="H53" i="17" s="1"/>
  <c r="G53" i="17" a="1"/>
  <c r="G53" i="17" s="1"/>
  <c r="V53" i="17" a="1"/>
  <c r="V53" i="17" s="1"/>
  <c r="Z53" i="17" a="1"/>
  <c r="Z53" i="17" s="1"/>
  <c r="W53" i="17" a="1"/>
  <c r="W53" i="17" s="1"/>
  <c r="L53" i="17" a="1"/>
  <c r="L53" i="17" s="1"/>
  <c r="P53" i="17" a="1"/>
  <c r="P53" i="17" s="1"/>
  <c r="AC53" i="17" a="1"/>
  <c r="AC53" i="17" s="1"/>
  <c r="AB53" i="17" a="1"/>
  <c r="AB53" i="17" s="1"/>
  <c r="Q53" i="17" a="1"/>
  <c r="Q53" i="17" s="1"/>
  <c r="N53" i="17" a="1"/>
  <c r="N53" i="17" s="1"/>
  <c r="U53" i="17" a="1"/>
  <c r="U53" i="17" s="1"/>
  <c r="I53" i="17" a="1"/>
  <c r="I53" i="17" s="1"/>
  <c r="AF53" i="17" a="1"/>
  <c r="AF53" i="17" s="1"/>
  <c r="M53" i="17" a="1"/>
  <c r="M53" i="17" s="1"/>
  <c r="AC59" i="17" a="1"/>
  <c r="AC59" i="17" s="1"/>
  <c r="Y59" i="17" a="1"/>
  <c r="Y59" i="17" s="1"/>
  <c r="I59" i="17" a="1"/>
  <c r="I59" i="17" s="1"/>
  <c r="Z59" i="17" a="1"/>
  <c r="Z59" i="17" s="1"/>
  <c r="U59" i="17" a="1"/>
  <c r="U59" i="17" s="1"/>
  <c r="AF59" i="17" a="1"/>
  <c r="AF59" i="17" s="1"/>
  <c r="X59" i="17" a="1"/>
  <c r="X59" i="17" s="1"/>
  <c r="J61" i="17" a="1"/>
  <c r="J61" i="17" s="1"/>
  <c r="M61" i="17" a="1"/>
  <c r="M61" i="17" s="1"/>
  <c r="I61" i="17" a="1"/>
  <c r="I61" i="17" s="1"/>
  <c r="W61" i="17" a="1"/>
  <c r="W61" i="17" s="1"/>
  <c r="R61" i="17" a="1"/>
  <c r="R61" i="17" s="1"/>
  <c r="Y61" i="17" a="1"/>
  <c r="Y61" i="17" s="1"/>
  <c r="K61" i="17" a="1"/>
  <c r="K61" i="17" s="1"/>
  <c r="T67" i="17" a="1"/>
  <c r="T67" i="17" s="1"/>
  <c r="K67" i="17" a="1"/>
  <c r="K67" i="17" s="1"/>
  <c r="G103" i="17"/>
  <c r="W67" i="17" a="1"/>
  <c r="W67" i="17" s="1"/>
  <c r="L67" i="17" a="1"/>
  <c r="L67" i="17" s="1"/>
  <c r="O67" i="17" a="1"/>
  <c r="O67" i="17" s="1"/>
  <c r="X67" i="17" a="1"/>
  <c r="X67" i="17" s="1"/>
  <c r="AE65" i="17" a="1"/>
  <c r="AE65" i="17" s="1"/>
  <c r="G65" i="17" a="1"/>
  <c r="G65" i="17" s="1"/>
  <c r="P65" i="17" a="1"/>
  <c r="P65" i="17" s="1"/>
  <c r="AA65" i="17" a="1"/>
  <c r="AA65" i="17" s="1"/>
  <c r="G101" i="17"/>
  <c r="AF65" i="17" a="1"/>
  <c r="AF65" i="17" s="1"/>
  <c r="AD65" i="17" a="1"/>
  <c r="AD65" i="17" s="1"/>
  <c r="H100" i="17"/>
  <c r="N64" i="17" a="1"/>
  <c r="N64" i="17" s="1"/>
  <c r="I64" i="17" a="1"/>
  <c r="I64" i="17" s="1"/>
  <c r="W64" i="17" a="1"/>
  <c r="W64" i="17" s="1"/>
  <c r="L64" i="17" a="1"/>
  <c r="L64" i="17" s="1"/>
  <c r="H64" i="17" a="1"/>
  <c r="H64" i="17" s="1"/>
  <c r="V64" i="17" a="1"/>
  <c r="V64" i="17" s="1"/>
  <c r="J64" i="17" a="1"/>
  <c r="J64" i="17" s="1"/>
  <c r="X90" i="15"/>
  <c r="R83" i="15"/>
  <c r="S82" i="15"/>
  <c r="AE111" i="15"/>
  <c r="R109" i="15"/>
  <c r="O83" i="15"/>
  <c r="AA109" i="15"/>
  <c r="X82" i="15"/>
  <c r="K81" i="15"/>
  <c r="AA111" i="15"/>
  <c r="AE83" i="15"/>
  <c r="G107" i="15"/>
  <c r="T83" i="15"/>
  <c r="AE107" i="15"/>
  <c r="V84" i="15"/>
  <c r="Y82" i="15"/>
  <c r="AA93" i="15"/>
  <c r="N100" i="15"/>
  <c r="AB93" i="15"/>
  <c r="AD66" i="17" a="1"/>
  <c r="AD66" i="17" s="1"/>
  <c r="AE66" i="17" a="1"/>
  <c r="AE66" i="17" s="1"/>
  <c r="M66" i="17" a="1"/>
  <c r="M66" i="17" s="1"/>
  <c r="R64" i="17" a="1"/>
  <c r="R64" i="17" s="1"/>
  <c r="O64" i="17" a="1"/>
  <c r="O64" i="17" s="1"/>
  <c r="M64" i="17" a="1"/>
  <c r="M64" i="17" s="1"/>
  <c r="I24" i="16"/>
  <c r="AC68" i="17" a="1"/>
  <c r="AC68" i="17" s="1"/>
  <c r="AF68" i="17" a="1"/>
  <c r="AF68" i="17" s="1"/>
  <c r="Z68" i="17" a="1"/>
  <c r="Z68" i="17" s="1"/>
  <c r="P60" i="17" a="1"/>
  <c r="P60" i="17" s="1"/>
  <c r="K60" i="17" a="1"/>
  <c r="K60" i="17" s="1"/>
  <c r="AE59" i="17" a="1"/>
  <c r="AE59" i="17" s="1"/>
  <c r="P59" i="17" a="1"/>
  <c r="P59" i="17" s="1"/>
  <c r="AA102" i="17"/>
  <c r="W65" i="17" a="1"/>
  <c r="W65" i="17" s="1"/>
  <c r="M65" i="17" a="1"/>
  <c r="M65" i="17" s="1"/>
  <c r="H65" i="17" a="1"/>
  <c r="H65" i="17" s="1"/>
  <c r="AF103" i="15"/>
  <c r="Z61" i="17" a="1"/>
  <c r="Z61" i="17" s="1"/>
  <c r="U61" i="17" a="1"/>
  <c r="U61" i="17" s="1"/>
  <c r="AC61" i="17" a="1"/>
  <c r="AC61" i="17" s="1"/>
  <c r="G67" i="17" a="1"/>
  <c r="G67" i="17" s="1"/>
  <c r="J67" i="17" a="1"/>
  <c r="J67" i="17" s="1"/>
  <c r="P67" i="17" a="1"/>
  <c r="P67" i="17" s="1"/>
  <c r="AA103" i="15"/>
  <c r="AC58" i="17" a="1"/>
  <c r="AC58" i="17" s="1"/>
  <c r="AD58" i="17" a="1"/>
  <c r="AD58" i="17" s="1"/>
  <c r="X58" i="17" a="1"/>
  <c r="X58" i="17" s="1"/>
  <c r="O108" i="15"/>
  <c r="J109" i="15"/>
  <c r="M107" i="15"/>
  <c r="W83" i="15"/>
  <c r="U84" i="15"/>
  <c r="P108" i="15"/>
  <c r="Z84" i="15"/>
  <c r="AA83" i="15"/>
  <c r="AA110" i="15"/>
  <c r="Q106" i="15"/>
  <c r="L109" i="15"/>
  <c r="K84" i="15"/>
  <c r="K82" i="15"/>
  <c r="J110" i="15"/>
  <c r="L111" i="15"/>
  <c r="R82" i="15"/>
  <c r="P89" i="15"/>
  <c r="K107" i="15"/>
  <c r="AF109" i="15"/>
  <c r="P81" i="15"/>
  <c r="Y83" i="15"/>
  <c r="J88" i="15"/>
  <c r="I111" i="15"/>
  <c r="Z108" i="15"/>
  <c r="W84" i="15"/>
  <c r="T108" i="15"/>
  <c r="M88" i="15"/>
  <c r="I84" i="15"/>
  <c r="H108" i="15"/>
  <c r="L100" i="15"/>
  <c r="M95" i="15"/>
  <c r="H66" i="17" a="1"/>
  <c r="H66" i="17" s="1"/>
  <c r="U66" i="17" a="1"/>
  <c r="U66" i="17" s="1"/>
  <c r="R66" i="17" a="1"/>
  <c r="R66" i="17" s="1"/>
  <c r="K66" i="17" a="1"/>
  <c r="K66" i="17" s="1"/>
  <c r="P66" i="17" a="1"/>
  <c r="P66" i="17" s="1"/>
  <c r="AA64" i="17" a="1"/>
  <c r="AA64" i="17" s="1"/>
  <c r="X64" i="17" a="1"/>
  <c r="X64" i="17" s="1"/>
  <c r="Z64" i="17" a="1"/>
  <c r="Z64" i="17" s="1"/>
  <c r="AF64" i="17" a="1"/>
  <c r="AF64" i="17" s="1"/>
  <c r="AE64" i="17" a="1"/>
  <c r="AE64" i="17" s="1"/>
  <c r="R31" i="16"/>
  <c r="H24" i="16"/>
  <c r="AB68" i="17" a="1"/>
  <c r="AB68" i="17" s="1"/>
  <c r="AD68" i="17" a="1"/>
  <c r="AD68" i="17" s="1"/>
  <c r="AA68" i="17" a="1"/>
  <c r="AA68" i="17" s="1"/>
  <c r="X99" i="15"/>
  <c r="L99" i="15"/>
  <c r="S66" i="17" a="1"/>
  <c r="S66" i="17" s="1"/>
  <c r="L66" i="17" a="1"/>
  <c r="L66" i="17" s="1"/>
  <c r="O66" i="17" a="1"/>
  <c r="O66" i="17" s="1"/>
  <c r="AC66" i="17" a="1"/>
  <c r="AC66" i="17" s="1"/>
  <c r="J66" i="17" a="1"/>
  <c r="J66" i="17" s="1"/>
  <c r="T64" i="17" a="1"/>
  <c r="T64" i="17" s="1"/>
  <c r="U64" i="17" a="1"/>
  <c r="U64" i="17" s="1"/>
  <c r="S64" i="17" a="1"/>
  <c r="S64" i="17" s="1"/>
  <c r="AD64" i="17" a="1"/>
  <c r="AD64" i="17" s="1"/>
  <c r="Q64" i="17" a="1"/>
  <c r="Q64" i="17" s="1"/>
  <c r="AA24" i="16"/>
  <c r="M24" i="16"/>
  <c r="T31" i="16"/>
  <c r="T24" i="16"/>
  <c r="M31" i="16"/>
  <c r="K31" i="16"/>
  <c r="T68" i="17" a="1"/>
  <c r="T68" i="17" s="1"/>
  <c r="H68" i="17" a="1"/>
  <c r="H68" i="17" s="1"/>
  <c r="W68" i="17" a="1"/>
  <c r="W68" i="17" s="1"/>
  <c r="S68" i="17" a="1"/>
  <c r="S68" i="17" s="1"/>
  <c r="Q68" i="17" a="1"/>
  <c r="Q68" i="17" s="1"/>
  <c r="AA60" i="17" a="1"/>
  <c r="AA60" i="17" s="1"/>
  <c r="Z60" i="17" a="1"/>
  <c r="Z60" i="17" s="1"/>
  <c r="O60" i="17" a="1"/>
  <c r="O60" i="17" s="1"/>
  <c r="X60" i="17" a="1"/>
  <c r="X60" i="17" s="1"/>
  <c r="L60" i="17" a="1"/>
  <c r="L60" i="17" s="1"/>
  <c r="G96" i="17"/>
  <c r="I95" i="17"/>
  <c r="H59" i="17" a="1"/>
  <c r="H59" i="17" s="1"/>
  <c r="AD59" i="17" a="1"/>
  <c r="AD59" i="17" s="1"/>
  <c r="W59" i="17" a="1"/>
  <c r="W59" i="17" s="1"/>
  <c r="L59" i="17" a="1"/>
  <c r="L59" i="17" s="1"/>
  <c r="V65" i="17" a="1"/>
  <c r="V65" i="17" s="1"/>
  <c r="U65" i="17" a="1"/>
  <c r="U65" i="17" s="1"/>
  <c r="I65" i="17" a="1"/>
  <c r="I65" i="17" s="1"/>
  <c r="N65" i="17" a="1"/>
  <c r="N65" i="17" s="1"/>
  <c r="J94" i="17"/>
  <c r="S102" i="15"/>
  <c r="AF61" i="17" a="1"/>
  <c r="AF61" i="17" s="1"/>
  <c r="T61" i="17" a="1"/>
  <c r="T61" i="17" s="1"/>
  <c r="O61" i="17" a="1"/>
  <c r="O61" i="17" s="1"/>
  <c r="V67" i="17" a="1"/>
  <c r="V67" i="17" s="1"/>
  <c r="AA67" i="17" a="1"/>
  <c r="AA67" i="17" s="1"/>
  <c r="AC67" i="17" a="1"/>
  <c r="AC67" i="17" s="1"/>
  <c r="Z67" i="17" a="1"/>
  <c r="Z67" i="17" s="1"/>
  <c r="V93" i="15"/>
  <c r="AE96" i="15"/>
  <c r="L58" i="17" a="1"/>
  <c r="L58" i="17" s="1"/>
  <c r="Y58" i="17" a="1"/>
  <c r="Y58" i="17" s="1"/>
  <c r="Z58" i="17" a="1"/>
  <c r="Z58" i="17" s="1"/>
  <c r="Q58" i="17" a="1"/>
  <c r="Q58" i="17" s="1"/>
  <c r="M58" i="17" a="1"/>
  <c r="M58" i="17" s="1"/>
  <c r="AC111" i="15"/>
  <c r="V108" i="15"/>
  <c r="AA84" i="15"/>
  <c r="T109" i="15"/>
  <c r="AB83" i="15"/>
  <c r="N109" i="15"/>
  <c r="I83" i="15"/>
  <c r="AF83" i="15"/>
  <c r="AF106" i="15"/>
  <c r="L82" i="15"/>
  <c r="V89" i="15"/>
  <c r="AF111" i="15"/>
  <c r="M81" i="15"/>
  <c r="T90" i="15"/>
  <c r="Y108" i="15"/>
  <c r="L88" i="15"/>
  <c r="AA87" i="15"/>
  <c r="O110" i="15"/>
  <c r="G87" i="15"/>
  <c r="Z90" i="15"/>
  <c r="Z111" i="15"/>
  <c r="AE87" i="15"/>
  <c r="Q84" i="15"/>
  <c r="O84" i="15"/>
  <c r="R110" i="15"/>
  <c r="W111" i="15"/>
  <c r="S87" i="15"/>
  <c r="K106" i="15"/>
  <c r="S108" i="15"/>
  <c r="X111" i="15"/>
  <c r="AD82" i="15"/>
  <c r="I87" i="15"/>
  <c r="AD88" i="15"/>
  <c r="AB90" i="15"/>
  <c r="Q109" i="15"/>
  <c r="AE81" i="15"/>
  <c r="G88" i="15"/>
  <c r="AB89" i="15"/>
  <c r="AC106" i="15"/>
  <c r="U90" i="15"/>
  <c r="X81" i="15"/>
  <c r="AF108" i="15"/>
  <c r="M109" i="15"/>
  <c r="AC87" i="15"/>
  <c r="X89" i="15"/>
  <c r="R108" i="15"/>
  <c r="AE84" i="15"/>
  <c r="AE82" i="15"/>
  <c r="AC110" i="15"/>
  <c r="Q81" i="15"/>
  <c r="R88" i="15"/>
  <c r="P90" i="15"/>
  <c r="P106" i="15"/>
  <c r="AB84" i="15"/>
  <c r="AB82" i="15"/>
  <c r="H87" i="15"/>
  <c r="AC83" i="15"/>
  <c r="AF87" i="15"/>
  <c r="AD89" i="15"/>
  <c r="AB107" i="15"/>
  <c r="Y88" i="15"/>
  <c r="W90" i="15"/>
  <c r="V83" i="15"/>
  <c r="Q107" i="15"/>
  <c r="M110" i="15"/>
  <c r="AB87" i="15"/>
  <c r="Z89" i="15"/>
  <c r="P99" i="15"/>
  <c r="R95" i="15"/>
  <c r="N93" i="15"/>
  <c r="G95" i="15"/>
  <c r="L94" i="15"/>
  <c r="R100" i="15"/>
  <c r="N95" i="15"/>
  <c r="V94" i="15"/>
  <c r="AB99" i="15"/>
  <c r="N99" i="15"/>
  <c r="AB102" i="15"/>
  <c r="G17" i="14"/>
  <c r="G39" i="14"/>
  <c r="G16" i="14"/>
  <c r="G34" i="14"/>
  <c r="G25" i="14"/>
  <c r="G32" i="14"/>
  <c r="G13" i="14"/>
  <c r="G20" i="14"/>
  <c r="G19" i="14"/>
  <c r="G37" i="14"/>
  <c r="G36" i="14"/>
  <c r="G26" i="14"/>
  <c r="G10" i="14"/>
  <c r="G35" i="14"/>
  <c r="G12" i="14"/>
  <c r="G14" i="14"/>
  <c r="G11" i="14"/>
  <c r="G38" i="14"/>
  <c r="G33" i="14"/>
  <c r="G18" i="14"/>
  <c r="G15" i="14"/>
  <c r="G9" i="14"/>
  <c r="G225" i="24" a="1"/>
  <c r="R247" i="24" s="1"/>
  <c r="G111" i="17"/>
  <c r="Z75" i="17" a="1"/>
  <c r="Z75" i="17" s="1"/>
  <c r="W75" i="17" a="1"/>
  <c r="W75" i="17" s="1"/>
  <c r="AE75" i="17" a="1"/>
  <c r="AE75" i="17" s="1"/>
  <c r="AA75" i="17" a="1"/>
  <c r="AA75" i="17" s="1"/>
  <c r="I75" i="17" a="1"/>
  <c r="I75" i="17" s="1"/>
  <c r="Y75" i="17" a="1"/>
  <c r="Y75" i="17" s="1"/>
  <c r="N75" i="17" a="1"/>
  <c r="N75" i="17" s="1"/>
  <c r="AF75" i="17" a="1"/>
  <c r="AF75" i="17" s="1"/>
  <c r="Q75" i="17" a="1"/>
  <c r="Q75" i="17" s="1"/>
  <c r="U75" i="17" a="1"/>
  <c r="U75" i="17" s="1"/>
  <c r="O75" i="17" a="1"/>
  <c r="O75" i="17" s="1"/>
  <c r="H75" i="17" a="1"/>
  <c r="H75" i="17" s="1"/>
  <c r="V75" i="17" a="1"/>
  <c r="V75" i="17" s="1"/>
  <c r="S75" i="17" a="1"/>
  <c r="S75" i="17" s="1"/>
  <c r="L75" i="17" a="1"/>
  <c r="L75" i="17" s="1"/>
  <c r="R75" i="17" a="1"/>
  <c r="R75" i="17" s="1"/>
  <c r="AD75" i="17" a="1"/>
  <c r="AD75" i="17" s="1"/>
  <c r="K75" i="17" a="1"/>
  <c r="K75" i="17" s="1"/>
  <c r="M75" i="17" a="1"/>
  <c r="M75" i="17" s="1"/>
  <c r="AC75" i="17" a="1"/>
  <c r="AC75" i="17" s="1"/>
  <c r="J75" i="17" a="1"/>
  <c r="J75" i="17" s="1"/>
  <c r="T75" i="17" a="1"/>
  <c r="T75" i="17" s="1"/>
  <c r="G75" i="17" a="1"/>
  <c r="G75" i="17" s="1"/>
  <c r="AB75" i="17" a="1"/>
  <c r="AB75" i="17" s="1"/>
  <c r="X75" i="17" a="1"/>
  <c r="X75" i="17" s="1"/>
  <c r="P75" i="17" a="1"/>
  <c r="P75" i="17" s="1"/>
  <c r="G83" i="15"/>
  <c r="AD48" i="17" a="1"/>
  <c r="AD48" i="17" s="1"/>
  <c r="G48" i="17" a="1"/>
  <c r="G48" i="17" s="1"/>
  <c r="R48" i="17" a="1"/>
  <c r="R48" i="17" s="1"/>
  <c r="T48" i="17" a="1"/>
  <c r="T48" i="17" s="1"/>
  <c r="N48" i="17" a="1"/>
  <c r="N48" i="17" s="1"/>
  <c r="Z48" i="17" a="1"/>
  <c r="Z48" i="17" s="1"/>
  <c r="O48" i="17" a="1"/>
  <c r="O48" i="17" s="1"/>
  <c r="H48" i="17" a="1"/>
  <c r="H48" i="17" s="1"/>
  <c r="AF48" i="17" a="1"/>
  <c r="AF48" i="17" s="1"/>
  <c r="Q48" i="17" a="1"/>
  <c r="Q48" i="17" s="1"/>
  <c r="W48" i="17" a="1"/>
  <c r="W48" i="17" s="1"/>
  <c r="AE48" i="17" a="1"/>
  <c r="AE48" i="17" s="1"/>
  <c r="Y48" i="17" a="1"/>
  <c r="Y48" i="17" s="1"/>
  <c r="AA48" i="17" a="1"/>
  <c r="AA48" i="17" s="1"/>
  <c r="M48" i="17" a="1"/>
  <c r="M48" i="17" s="1"/>
  <c r="J48" i="17" a="1"/>
  <c r="J48" i="17" s="1"/>
  <c r="AB48" i="17" a="1"/>
  <c r="AB48" i="17" s="1"/>
  <c r="V48" i="17" a="1"/>
  <c r="V48" i="17" s="1"/>
  <c r="X48" i="17" a="1"/>
  <c r="X48" i="17" s="1"/>
  <c r="S48" i="17" a="1"/>
  <c r="S48" i="17" s="1"/>
  <c r="K48" i="17" a="1"/>
  <c r="K48" i="17" s="1"/>
  <c r="I48" i="17" a="1"/>
  <c r="I48" i="17" s="1"/>
  <c r="P48" i="17" a="1"/>
  <c r="P48" i="17" s="1"/>
  <c r="G84" i="17"/>
  <c r="L48" i="17" a="1"/>
  <c r="L48" i="17" s="1"/>
  <c r="AC48" i="17" a="1"/>
  <c r="AC48" i="17" s="1"/>
  <c r="U48" i="17" a="1"/>
  <c r="U48" i="17" s="1"/>
  <c r="T111" i="15"/>
  <c r="T112" i="17"/>
  <c r="J73" i="17" a="1"/>
  <c r="J73" i="17" s="1"/>
  <c r="I73" i="17" a="1"/>
  <c r="I73" i="17" s="1"/>
  <c r="V73" i="17" a="1"/>
  <c r="V73" i="17" s="1"/>
  <c r="AB73" i="17" a="1"/>
  <c r="AB73" i="17" s="1"/>
  <c r="S73" i="17" a="1"/>
  <c r="S73" i="17" s="1"/>
  <c r="AD73" i="17" a="1"/>
  <c r="AD73" i="17" s="1"/>
  <c r="M73" i="17" a="1"/>
  <c r="M73" i="17" s="1"/>
  <c r="AA73" i="17" a="1"/>
  <c r="AA73" i="17" s="1"/>
  <c r="H73" i="17" a="1"/>
  <c r="H73" i="17" s="1"/>
  <c r="Q73" i="17" a="1"/>
  <c r="Q73" i="17" s="1"/>
  <c r="AF73" i="17" a="1"/>
  <c r="AF73" i="17" s="1"/>
  <c r="U73" i="17" a="1"/>
  <c r="U73" i="17" s="1"/>
  <c r="N73" i="17" a="1"/>
  <c r="N73" i="17" s="1"/>
  <c r="T73" i="17" a="1"/>
  <c r="T73" i="17" s="1"/>
  <c r="Z73" i="17" a="1"/>
  <c r="Z73" i="17" s="1"/>
  <c r="AC73" i="17" a="1"/>
  <c r="AC73" i="17" s="1"/>
  <c r="G109" i="17"/>
  <c r="O73" i="17" a="1"/>
  <c r="O73" i="17" s="1"/>
  <c r="L73" i="17" a="1"/>
  <c r="L73" i="17" s="1"/>
  <c r="R73" i="17" a="1"/>
  <c r="R73" i="17" s="1"/>
  <c r="G73" i="17" a="1"/>
  <c r="G73" i="17" s="1"/>
  <c r="P73" i="17" a="1"/>
  <c r="P73" i="17" s="1"/>
  <c r="K73" i="17" a="1"/>
  <c r="K73" i="17" s="1"/>
  <c r="Y73" i="17" a="1"/>
  <c r="Y73" i="17" s="1"/>
  <c r="X73" i="17" a="1"/>
  <c r="X73" i="17" s="1"/>
  <c r="AE73" i="17" a="1"/>
  <c r="AE73" i="17" s="1"/>
  <c r="W73" i="17" a="1"/>
  <c r="W73" i="17" s="1"/>
  <c r="G83" i="17"/>
  <c r="W47" i="17" a="1"/>
  <c r="W47" i="17" s="1"/>
  <c r="L47" i="17" a="1"/>
  <c r="L47" i="17" s="1"/>
  <c r="U47" i="17" a="1"/>
  <c r="U47" i="17" s="1"/>
  <c r="J47" i="17" a="1"/>
  <c r="J47" i="17" s="1"/>
  <c r="AF47" i="17" a="1"/>
  <c r="AF47" i="17" s="1"/>
  <c r="V47" i="17" a="1"/>
  <c r="V47" i="17" s="1"/>
  <c r="M47" i="17" a="1"/>
  <c r="M47" i="17" s="1"/>
  <c r="S47" i="17" a="1"/>
  <c r="S47" i="17" s="1"/>
  <c r="R47" i="17" a="1"/>
  <c r="R47" i="17" s="1"/>
  <c r="AA47" i="17" a="1"/>
  <c r="AA47" i="17" s="1"/>
  <c r="Q47" i="17" a="1"/>
  <c r="Q47" i="17" s="1"/>
  <c r="O47" i="17" a="1"/>
  <c r="O47" i="17" s="1"/>
  <c r="N47" i="17" a="1"/>
  <c r="N47" i="17" s="1"/>
  <c r="I47" i="17" a="1"/>
  <c r="I47" i="17" s="1"/>
  <c r="AD47" i="17" a="1"/>
  <c r="AD47" i="17" s="1"/>
  <c r="P47" i="17" a="1"/>
  <c r="P47" i="17" s="1"/>
  <c r="AB47" i="17" a="1"/>
  <c r="AB47" i="17" s="1"/>
  <c r="AC47" i="17" a="1"/>
  <c r="AC47" i="17" s="1"/>
  <c r="K47" i="17" a="1"/>
  <c r="K47" i="17" s="1"/>
  <c r="Y47" i="17" a="1"/>
  <c r="Y47" i="17" s="1"/>
  <c r="X47" i="17" a="1"/>
  <c r="X47" i="17" s="1"/>
  <c r="Z47" i="17" a="1"/>
  <c r="Z47" i="17" s="1"/>
  <c r="H47" i="17" a="1"/>
  <c r="H47" i="17" s="1"/>
  <c r="AE47" i="17" a="1"/>
  <c r="AE47" i="17" s="1"/>
  <c r="G47" i="17" a="1"/>
  <c r="G47" i="17" s="1"/>
  <c r="T47" i="17" a="1"/>
  <c r="T47" i="17" s="1"/>
  <c r="T89" i="15"/>
  <c r="T90" i="17"/>
  <c r="G89" i="15"/>
  <c r="G90" i="17"/>
  <c r="Q54" i="17" a="1"/>
  <c r="Q54" i="17" s="1"/>
  <c r="V54" i="17" a="1"/>
  <c r="V54" i="17" s="1"/>
  <c r="N54" i="17" a="1"/>
  <c r="N54" i="17" s="1"/>
  <c r="T54" i="17" a="1"/>
  <c r="T54" i="17" s="1"/>
  <c r="W54" i="17" a="1"/>
  <c r="W54" i="17" s="1"/>
  <c r="P54" i="17" a="1"/>
  <c r="P54" i="17" s="1"/>
  <c r="L54" i="17" a="1"/>
  <c r="L54" i="17" s="1"/>
  <c r="M54" i="17" a="1"/>
  <c r="M54" i="17" s="1"/>
  <c r="U54" i="17" a="1"/>
  <c r="U54" i="17" s="1"/>
  <c r="K54" i="17" a="1"/>
  <c r="K54" i="17" s="1"/>
  <c r="AF54" i="17" a="1"/>
  <c r="AF54" i="17" s="1"/>
  <c r="X54" i="17" a="1"/>
  <c r="X54" i="17" s="1"/>
  <c r="AA54" i="17" a="1"/>
  <c r="AA54" i="17" s="1"/>
  <c r="Z54" i="17" a="1"/>
  <c r="Z54" i="17" s="1"/>
  <c r="J54" i="17" a="1"/>
  <c r="J54" i="17" s="1"/>
  <c r="AB54" i="17" a="1"/>
  <c r="AB54" i="17" s="1"/>
  <c r="I54" i="17" a="1"/>
  <c r="I54" i="17" s="1"/>
  <c r="AC54" i="17" a="1"/>
  <c r="AC54" i="17" s="1"/>
  <c r="Y54" i="17" a="1"/>
  <c r="Y54" i="17" s="1"/>
  <c r="S54" i="17" a="1"/>
  <c r="S54" i="17" s="1"/>
  <c r="O54" i="17" a="1"/>
  <c r="O54" i="17" s="1"/>
  <c r="R54" i="17" a="1"/>
  <c r="R54" i="17" s="1"/>
  <c r="AE54" i="17" a="1"/>
  <c r="AE54" i="17" s="1"/>
  <c r="G54" i="17" a="1"/>
  <c r="G54" i="17" s="1"/>
  <c r="AD54" i="17" a="1"/>
  <c r="AD54" i="17" s="1"/>
  <c r="H54" i="17" a="1"/>
  <c r="H54" i="17" s="1"/>
  <c r="P71" i="17" a="1"/>
  <c r="P71" i="17" s="1"/>
  <c r="H71" i="17" a="1"/>
  <c r="H71" i="17" s="1"/>
  <c r="R71" i="17" a="1"/>
  <c r="R71" i="17" s="1"/>
  <c r="G107" i="17"/>
  <c r="L71" i="17" a="1"/>
  <c r="L71" i="17" s="1"/>
  <c r="Z71" i="17" a="1"/>
  <c r="Z71" i="17" s="1"/>
  <c r="U71" i="17" a="1"/>
  <c r="U71" i="17" s="1"/>
  <c r="AD71" i="17" a="1"/>
  <c r="AD71" i="17" s="1"/>
  <c r="AC71" i="17" a="1"/>
  <c r="AC71" i="17" s="1"/>
  <c r="G71" i="17" a="1"/>
  <c r="G71" i="17" s="1"/>
  <c r="T71" i="17" a="1"/>
  <c r="T71" i="17" s="1"/>
  <c r="N71" i="17" a="1"/>
  <c r="N71" i="17" s="1"/>
  <c r="Q71" i="17" a="1"/>
  <c r="Q71" i="17" s="1"/>
  <c r="Y71" i="17" a="1"/>
  <c r="Y71" i="17" s="1"/>
  <c r="S71" i="17" a="1"/>
  <c r="S71" i="17" s="1"/>
  <c r="O71" i="17" a="1"/>
  <c r="O71" i="17" s="1"/>
  <c r="W71" i="17" a="1"/>
  <c r="W71" i="17" s="1"/>
  <c r="AB71" i="17" a="1"/>
  <c r="AB71" i="17" s="1"/>
  <c r="AE71" i="17" a="1"/>
  <c r="AE71" i="17" s="1"/>
  <c r="AA71" i="17" a="1"/>
  <c r="AA71" i="17" s="1"/>
  <c r="M71" i="17" a="1"/>
  <c r="M71" i="17" s="1"/>
  <c r="X71" i="17" a="1"/>
  <c r="X71" i="17" s="1"/>
  <c r="J71" i="17" a="1"/>
  <c r="J71" i="17" s="1"/>
  <c r="K71" i="17" a="1"/>
  <c r="K71" i="17" s="1"/>
  <c r="I71" i="17" a="1"/>
  <c r="I71" i="17" s="1"/>
  <c r="AF71" i="17" a="1"/>
  <c r="AF71" i="17" s="1"/>
  <c r="V71" i="17" a="1"/>
  <c r="V71" i="17" s="1"/>
  <c r="AC107" i="15"/>
  <c r="U83" i="15"/>
  <c r="N88" i="15"/>
  <c r="AA108" i="15"/>
  <c r="V82" i="15"/>
  <c r="L89" i="15"/>
  <c r="I81" i="15"/>
  <c r="U106" i="15"/>
  <c r="AF81" i="15"/>
  <c r="T110" i="15"/>
  <c r="AF107" i="15"/>
  <c r="AA90" i="15"/>
  <c r="AD108" i="15"/>
  <c r="S84" i="15"/>
  <c r="X108" i="15"/>
  <c r="S111" i="15"/>
  <c r="H110" i="15"/>
  <c r="M108" i="15"/>
  <c r="J84" i="15"/>
  <c r="Z87" i="15"/>
  <c r="K109" i="15"/>
  <c r="K83" i="15"/>
  <c r="X88" i="15"/>
  <c r="M106" i="15"/>
  <c r="O82" i="15"/>
  <c r="Z82" i="15"/>
  <c r="Y109" i="15"/>
  <c r="W81" i="15"/>
  <c r="J90" i="15"/>
  <c r="W110" i="15"/>
  <c r="O87" i="15"/>
  <c r="G82" i="15"/>
  <c r="Q89" i="15"/>
  <c r="G109" i="15"/>
  <c r="T88" i="15"/>
  <c r="AE110" i="15"/>
  <c r="Z106" i="15"/>
  <c r="W87" i="15"/>
  <c r="U89" i="15"/>
  <c r="Y84" i="15"/>
  <c r="U111" i="15"/>
  <c r="J111" i="15"/>
  <c r="X107" i="15"/>
  <c r="U88" i="15"/>
  <c r="S90" i="15"/>
  <c r="Z83" i="15"/>
  <c r="R107" i="15"/>
  <c r="S106" i="15"/>
  <c r="O109" i="15"/>
  <c r="AF84" i="15"/>
  <c r="AF82" i="15"/>
  <c r="J81" i="15"/>
  <c r="AB88" i="15"/>
  <c r="X110" i="15"/>
  <c r="N111" i="15"/>
  <c r="T107" i="15"/>
  <c r="Q88" i="15"/>
  <c r="O90" i="15"/>
  <c r="AD83" i="15"/>
  <c r="N107" i="15"/>
  <c r="I108" i="15"/>
  <c r="AD110" i="15"/>
  <c r="N84" i="15"/>
  <c r="Q82" i="15"/>
  <c r="V87" i="15"/>
  <c r="S110" i="15"/>
  <c r="N106" i="15"/>
  <c r="K87" i="15"/>
  <c r="I89" i="15"/>
  <c r="AD90" i="15"/>
  <c r="H106" i="15"/>
  <c r="AB108" i="15"/>
  <c r="I109" i="15"/>
  <c r="H111" i="15"/>
  <c r="N82" i="15"/>
  <c r="Y87" i="15"/>
  <c r="G110" i="15"/>
  <c r="O81" i="15"/>
  <c r="W88" i="15"/>
  <c r="R90" i="15"/>
  <c r="S107" i="15"/>
  <c r="N110" i="15"/>
  <c r="AD84" i="15"/>
  <c r="H83" i="15"/>
  <c r="H81" i="15"/>
  <c r="V109" i="15"/>
  <c r="AC109" i="15"/>
  <c r="S81" i="15"/>
  <c r="S88" i="15"/>
  <c r="N90" i="15"/>
  <c r="G81" i="15"/>
  <c r="AB95" i="15"/>
  <c r="AE99" i="15"/>
  <c r="AE94" i="15"/>
  <c r="AE100" i="15"/>
  <c r="J95" i="15"/>
  <c r="AA99" i="15"/>
  <c r="AC99" i="15"/>
  <c r="I102" i="15"/>
  <c r="M102" i="15"/>
  <c r="M93" i="15"/>
  <c r="Z94" i="15"/>
  <c r="P18" i="16" l="1"/>
  <c r="AB19" i="16"/>
  <c r="J28" i="16"/>
  <c r="I32" i="12"/>
  <c r="W19" i="12"/>
  <c r="U32" i="12"/>
  <c r="R19" i="16"/>
  <c r="AB18" i="16"/>
  <c r="Z13" i="16"/>
  <c r="W15" i="16"/>
  <c r="K11" i="16"/>
  <c r="AB17" i="12"/>
  <c r="H29" i="16"/>
  <c r="M14" i="12"/>
  <c r="Y29" i="12"/>
  <c r="Q19" i="12"/>
  <c r="U34" i="12"/>
  <c r="F11" i="12"/>
  <c r="Q14" i="16"/>
  <c r="U38" i="16"/>
  <c r="AB20" i="12"/>
  <c r="Z10" i="12"/>
  <c r="O13" i="12"/>
  <c r="AC9" i="12"/>
  <c r="M18" i="16"/>
  <c r="Q21" i="16"/>
  <c r="AA36" i="16"/>
  <c r="Z20" i="16"/>
  <c r="J17" i="16"/>
  <c r="G36" i="12"/>
  <c r="T16" i="16"/>
  <c r="AC35" i="12"/>
  <c r="I26" i="12"/>
  <c r="R18" i="12"/>
  <c r="AD33" i="12"/>
  <c r="AA11" i="12"/>
  <c r="J22" i="16"/>
  <c r="I13" i="16"/>
  <c r="AE28" i="16"/>
  <c r="R17" i="12"/>
  <c r="F32" i="12"/>
  <c r="T10" i="12"/>
  <c r="AD28" i="16"/>
  <c r="X26" i="16"/>
  <c r="O38" i="16"/>
  <c r="W14" i="16"/>
  <c r="AA9" i="16"/>
  <c r="K33" i="16"/>
  <c r="O19" i="12"/>
  <c r="Q9" i="16"/>
  <c r="X25" i="12"/>
  <c r="AB19" i="12"/>
  <c r="N9" i="12"/>
  <c r="F20" i="12"/>
  <c r="Q31" i="12"/>
  <c r="Q23" i="16"/>
  <c r="G26" i="16"/>
  <c r="M14" i="16"/>
  <c r="Y34" i="12"/>
  <c r="J35" i="12"/>
  <c r="G15" i="12"/>
  <c r="K29" i="16"/>
  <c r="AB27" i="16"/>
  <c r="I33" i="16"/>
  <c r="O25" i="16"/>
  <c r="N28" i="16"/>
  <c r="K9" i="16"/>
  <c r="P14" i="16"/>
  <c r="T21" i="12"/>
  <c r="M19" i="12"/>
  <c r="AA31" i="12"/>
  <c r="J27" i="12"/>
  <c r="U17" i="12"/>
  <c r="H34" i="12"/>
  <c r="P31" i="12"/>
  <c r="S33" i="12"/>
  <c r="Q12" i="12"/>
  <c r="H326" i="16"/>
  <c r="H306" i="16"/>
  <c r="H321" i="16"/>
  <c r="H307" i="16"/>
  <c r="H328" i="16"/>
  <c r="H327" i="16"/>
  <c r="H329" i="16"/>
  <c r="H312" i="16"/>
  <c r="H317" i="16"/>
  <c r="H320" i="16"/>
  <c r="H318" i="16"/>
  <c r="H313" i="16"/>
  <c r="H325" i="16"/>
  <c r="H319" i="16"/>
  <c r="H314" i="16"/>
  <c r="H305" i="16"/>
  <c r="H308" i="16"/>
  <c r="H324" i="16"/>
  <c r="H301" i="16"/>
  <c r="H300" i="16"/>
  <c r="H302" i="16"/>
  <c r="S20" i="12"/>
  <c r="X18" i="12"/>
  <c r="W12" i="12"/>
  <c r="Z19" i="12"/>
  <c r="M23" i="12"/>
  <c r="X13" i="12"/>
  <c r="Z20" i="12"/>
  <c r="X38" i="12"/>
  <c r="W22" i="12"/>
  <c r="I29" i="12"/>
  <c r="H24" i="12"/>
  <c r="T23" i="16"/>
  <c r="AF15" i="16"/>
  <c r="R37" i="16"/>
  <c r="J38" i="16"/>
  <c r="AA22" i="16"/>
  <c r="M35" i="16"/>
  <c r="I20" i="12"/>
  <c r="X22" i="12"/>
  <c r="O16" i="12"/>
  <c r="AD22" i="12"/>
  <c r="K21" i="12"/>
  <c r="F16" i="12"/>
  <c r="X15" i="16"/>
  <c r="AD20" i="16"/>
  <c r="H26" i="16"/>
  <c r="Z34" i="16"/>
  <c r="AD35" i="16"/>
  <c r="U16" i="16"/>
  <c r="AB23" i="16"/>
  <c r="T10" i="16"/>
  <c r="Q17" i="16"/>
  <c r="AB39" i="16"/>
  <c r="U24" i="16"/>
  <c r="G29" i="12"/>
  <c r="I30" i="16"/>
  <c r="S13" i="16"/>
  <c r="R15" i="12"/>
  <c r="Z18" i="12"/>
  <c r="R37" i="12"/>
  <c r="G39" i="12"/>
  <c r="V27" i="12"/>
  <c r="Z21" i="12"/>
  <c r="P26" i="12"/>
  <c r="H14" i="12"/>
  <c r="N19" i="12"/>
  <c r="P25" i="12"/>
  <c r="O30" i="12"/>
  <c r="G31" i="12"/>
  <c r="T38" i="16"/>
  <c r="Q39" i="16"/>
  <c r="M36" i="16"/>
  <c r="AB21" i="16"/>
  <c r="AA27" i="16"/>
  <c r="Z37" i="16"/>
  <c r="P27" i="16"/>
  <c r="W21" i="12"/>
  <c r="H38" i="12"/>
  <c r="AC32" i="12"/>
  <c r="M26" i="12"/>
  <c r="AA28" i="16"/>
  <c r="X30" i="16"/>
  <c r="I16" i="16"/>
  <c r="AC30" i="16"/>
  <c r="Q36" i="16"/>
  <c r="O22" i="16"/>
  <c r="R30" i="16"/>
  <c r="AC33" i="16"/>
  <c r="AD29" i="12"/>
  <c r="H35" i="16"/>
  <c r="AA30" i="12"/>
  <c r="AE34" i="12"/>
  <c r="L25" i="12"/>
  <c r="Q30" i="12"/>
  <c r="M36" i="12"/>
  <c r="V39" i="12"/>
  <c r="G20" i="12"/>
  <c r="AB32" i="12"/>
  <c r="J32" i="16"/>
  <c r="Q26" i="16"/>
  <c r="Y16" i="16"/>
  <c r="AA34" i="16"/>
  <c r="G39" i="16"/>
  <c r="U14" i="16"/>
  <c r="Q18" i="12"/>
  <c r="Y13" i="12"/>
  <c r="AB13" i="12"/>
  <c r="S22" i="12"/>
  <c r="O28" i="12"/>
  <c r="Z9" i="12"/>
  <c r="X17" i="16"/>
  <c r="S38" i="16"/>
  <c r="Z35" i="16"/>
  <c r="V26" i="16"/>
  <c r="U33" i="16"/>
  <c r="I35" i="16"/>
  <c r="M28" i="16"/>
  <c r="AD32" i="16"/>
  <c r="K26" i="16"/>
  <c r="P26" i="16"/>
  <c r="N30" i="12"/>
  <c r="M28" i="12"/>
  <c r="N30" i="16"/>
  <c r="AB25" i="12"/>
  <c r="Z27" i="12"/>
  <c r="H9" i="12"/>
  <c r="V19" i="12"/>
  <c r="Y22" i="12"/>
  <c r="O12" i="12"/>
  <c r="M15" i="12"/>
  <c r="T23" i="12"/>
  <c r="H17" i="12"/>
  <c r="AA14" i="12"/>
  <c r="O39" i="12"/>
  <c r="G33" i="12"/>
  <c r="H32" i="16"/>
  <c r="Q18" i="16"/>
  <c r="I11" i="16"/>
  <c r="U37" i="16"/>
  <c r="M10" i="16"/>
  <c r="W27" i="16"/>
  <c r="O35" i="12"/>
  <c r="R21" i="12"/>
  <c r="K19" i="12"/>
  <c r="Q13" i="12"/>
  <c r="R38" i="12"/>
  <c r="W10" i="16"/>
  <c r="P21" i="16"/>
  <c r="AC12" i="16"/>
  <c r="AF14" i="16"/>
  <c r="Z21" i="16"/>
  <c r="AD27" i="16"/>
  <c r="I34" i="16"/>
  <c r="O15" i="16"/>
  <c r="H33" i="16"/>
  <c r="AB29" i="16"/>
  <c r="V13" i="16"/>
  <c r="G13" i="12"/>
  <c r="W17" i="12"/>
  <c r="T37" i="16"/>
  <c r="L36" i="12"/>
  <c r="K37" i="12"/>
  <c r="J34" i="12"/>
  <c r="N14" i="12"/>
  <c r="L22" i="12"/>
  <c r="Y24" i="12"/>
  <c r="P36" i="12"/>
  <c r="AA25" i="12"/>
  <c r="J26" i="12"/>
  <c r="AE11" i="12"/>
  <c r="AD19" i="12"/>
  <c r="G34" i="12"/>
  <c r="M9" i="16"/>
  <c r="V21" i="16"/>
  <c r="AD16" i="16"/>
  <c r="H17" i="16"/>
  <c r="O39" i="16"/>
  <c r="W18" i="16"/>
  <c r="O37" i="16"/>
  <c r="N11" i="16"/>
  <c r="AF10" i="16"/>
  <c r="R28" i="16"/>
  <c r="AF32" i="16"/>
  <c r="U12" i="16"/>
  <c r="S23" i="16"/>
  <c r="AD11" i="16"/>
  <c r="N37" i="16"/>
  <c r="V29" i="16"/>
  <c r="AF19" i="16"/>
  <c r="R9" i="16"/>
  <c r="X32" i="16"/>
  <c r="W21" i="16"/>
  <c r="AE37" i="16"/>
  <c r="Q11" i="16"/>
  <c r="W39" i="16"/>
  <c r="Y29" i="16"/>
  <c r="V16" i="16"/>
  <c r="T22" i="16"/>
  <c r="L36" i="16"/>
  <c r="Y10" i="16"/>
  <c r="S12" i="16"/>
  <c r="AC35" i="16"/>
  <c r="O18" i="16"/>
  <c r="Z28" i="16"/>
  <c r="X20" i="16"/>
  <c r="S33" i="16"/>
  <c r="Y13" i="16"/>
  <c r="J18" i="16"/>
  <c r="V17" i="16"/>
  <c r="O21" i="16"/>
  <c r="L22" i="16"/>
  <c r="S9" i="16"/>
  <c r="AF39" i="16"/>
  <c r="Q22" i="16"/>
  <c r="AE25" i="16"/>
  <c r="U22" i="16"/>
  <c r="X13" i="16"/>
  <c r="AD39" i="16"/>
  <c r="J9" i="16"/>
  <c r="S18" i="16"/>
  <c r="AB16" i="16"/>
  <c r="M21" i="16"/>
  <c r="V30" i="16"/>
  <c r="P11" i="16"/>
  <c r="O30" i="16"/>
  <c r="J27" i="16"/>
  <c r="N29" i="16"/>
  <c r="AC22" i="16"/>
  <c r="M37" i="16"/>
  <c r="Y20" i="16"/>
  <c r="U9" i="16"/>
  <c r="AE19" i="16"/>
  <c r="V10" i="16"/>
  <c r="V20" i="16"/>
  <c r="H23" i="16"/>
  <c r="G35" i="16"/>
  <c r="O14" i="16"/>
  <c r="J25" i="16"/>
  <c r="Z10" i="16"/>
  <c r="N15" i="16"/>
  <c r="U35" i="16"/>
  <c r="X36" i="16"/>
  <c r="U28" i="16"/>
  <c r="H14" i="16"/>
  <c r="I27" i="16"/>
  <c r="Q28" i="16"/>
  <c r="N17" i="16"/>
  <c r="P34" i="16"/>
  <c r="L37" i="16"/>
  <c r="N20" i="16"/>
  <c r="U17" i="16"/>
  <c r="N36" i="16"/>
  <c r="H27" i="16"/>
  <c r="Q20" i="16"/>
  <c r="Q33" i="16"/>
  <c r="X39" i="16"/>
  <c r="R22" i="16"/>
  <c r="M11" i="16"/>
  <c r="O33" i="16"/>
  <c r="P16" i="16"/>
  <c r="AE39" i="16"/>
  <c r="AB17" i="16"/>
  <c r="I22" i="16"/>
  <c r="Y38" i="16"/>
  <c r="J16" i="16"/>
  <c r="P38" i="16"/>
  <c r="V28" i="16"/>
  <c r="AC34" i="16"/>
  <c r="I28" i="16"/>
  <c r="L19" i="16"/>
  <c r="T19" i="16"/>
  <c r="AB25" i="16"/>
  <c r="AA35" i="16"/>
  <c r="J19" i="16"/>
  <c r="S16" i="16"/>
  <c r="Y11" i="16"/>
  <c r="Z29" i="16"/>
  <c r="M20" i="16"/>
  <c r="I25" i="16"/>
  <c r="AE36" i="16"/>
  <c r="U11" i="16"/>
  <c r="Z16" i="16"/>
  <c r="AC25" i="16"/>
  <c r="W29" i="16"/>
  <c r="I12" i="16"/>
  <c r="M33" i="16"/>
  <c r="O36" i="16"/>
  <c r="AD15" i="16"/>
  <c r="AD17" i="16"/>
  <c r="W19" i="16"/>
  <c r="U39" i="16"/>
  <c r="K36" i="16"/>
  <c r="S36" i="16"/>
  <c r="N22" i="16"/>
  <c r="U29" i="16"/>
  <c r="Q32" i="16"/>
  <c r="K34" i="16"/>
  <c r="K27" i="16"/>
  <c r="S26" i="16"/>
  <c r="V37" i="16"/>
  <c r="S25" i="16"/>
  <c r="N23" i="16"/>
  <c r="AE20" i="16"/>
  <c r="L31" i="16"/>
  <c r="O17" i="16"/>
  <c r="M13" i="16"/>
  <c r="AD21" i="16"/>
  <c r="U23" i="16"/>
  <c r="N34" i="16"/>
  <c r="AA23" i="16"/>
  <c r="S22" i="16"/>
  <c r="K30" i="16"/>
  <c r="AC39" i="16"/>
  <c r="AB37" i="16"/>
  <c r="Y36" i="16"/>
  <c r="L26" i="16"/>
  <c r="Q34" i="16"/>
  <c r="AA25" i="16"/>
  <c r="AE31" i="16"/>
  <c r="I9" i="16"/>
  <c r="Q35" i="16"/>
  <c r="M19" i="16"/>
  <c r="AD37" i="16"/>
  <c r="U21" i="16"/>
  <c r="U20" i="16"/>
  <c r="AE11" i="16"/>
  <c r="P37" i="16"/>
  <c r="AB32" i="16"/>
  <c r="N13" i="16"/>
  <c r="L23" i="16"/>
  <c r="W9" i="16"/>
  <c r="S30" i="16"/>
  <c r="AF23" i="16"/>
  <c r="G25" i="16"/>
  <c r="O32" i="16"/>
  <c r="V22" i="16"/>
  <c r="J34" i="16"/>
  <c r="S39" i="16"/>
  <c r="X14" i="16"/>
  <c r="O13" i="16"/>
  <c r="AF21" i="16"/>
  <c r="N35" i="16"/>
  <c r="W11" i="16"/>
  <c r="G33" i="16"/>
  <c r="U19" i="16"/>
  <c r="J15" i="16"/>
  <c r="P17" i="16"/>
  <c r="AC9" i="16"/>
  <c r="AC23" i="16"/>
  <c r="T29" i="16"/>
  <c r="G29" i="16"/>
  <c r="M27" i="16"/>
  <c r="H11" i="16"/>
  <c r="W13" i="16"/>
  <c r="M16" i="16"/>
  <c r="V35" i="16"/>
  <c r="K37" i="16"/>
  <c r="AC14" i="16"/>
  <c r="X37" i="16"/>
  <c r="J12" i="16"/>
  <c r="R23" i="16"/>
  <c r="W22" i="16"/>
  <c r="I23" i="16"/>
  <c r="I38" i="16"/>
  <c r="S28" i="16"/>
  <c r="AF9" i="16"/>
  <c r="L24" i="16"/>
  <c r="N12" i="16"/>
  <c r="W28" i="16"/>
  <c r="L18" i="16"/>
  <c r="V23" i="16"/>
  <c r="V36" i="16"/>
  <c r="AB14" i="16"/>
  <c r="Z39" i="16"/>
  <c r="AF18" i="16"/>
  <c r="V18" i="16"/>
  <c r="K17" i="16"/>
  <c r="O26" i="16"/>
  <c r="K12" i="16"/>
  <c r="J29" i="16"/>
  <c r="L28" i="16"/>
  <c r="AA21" i="16"/>
  <c r="P20" i="16"/>
  <c r="N19" i="16"/>
  <c r="Y34" i="16"/>
  <c r="I29" i="16"/>
  <c r="AE27" i="16"/>
  <c r="T36" i="16"/>
  <c r="AA32" i="16"/>
  <c r="K18" i="16"/>
  <c r="J20" i="16"/>
  <c r="AD26" i="16"/>
  <c r="W25" i="16"/>
  <c r="N32" i="16"/>
  <c r="W23" i="16"/>
  <c r="AD12" i="16"/>
  <c r="Z15" i="16"/>
  <c r="AE10" i="16"/>
  <c r="U15" i="16"/>
  <c r="I20" i="16"/>
  <c r="I32" i="16"/>
  <c r="R20" i="16"/>
  <c r="V38" i="16"/>
  <c r="T32" i="16"/>
  <c r="AE9" i="16"/>
  <c r="J36" i="16"/>
  <c r="I19" i="16"/>
  <c r="AC11" i="16"/>
  <c r="G13" i="16"/>
  <c r="AF36" i="16"/>
  <c r="AB11" i="16"/>
  <c r="H21" i="16"/>
  <c r="P33" i="16"/>
  <c r="W30" i="16"/>
  <c r="K20" i="16"/>
  <c r="Q12" i="16"/>
  <c r="Y17" i="16"/>
  <c r="K35" i="16"/>
  <c r="AF16" i="16"/>
  <c r="AD19" i="16"/>
  <c r="Q37" i="16"/>
  <c r="W12" i="16"/>
  <c r="AB22" i="16"/>
  <c r="J23" i="16"/>
  <c r="I39" i="16"/>
  <c r="L20" i="16"/>
  <c r="AE30" i="16"/>
  <c r="X16" i="16"/>
  <c r="G18" i="16"/>
  <c r="J10" i="16"/>
  <c r="AA30" i="16"/>
  <c r="L10" i="16"/>
  <c r="X12" i="16"/>
  <c r="R34" i="16"/>
  <c r="G15" i="16"/>
  <c r="K32" i="16"/>
  <c r="Y22" i="16"/>
  <c r="Y21" i="16"/>
  <c r="T33" i="16"/>
  <c r="AA29" i="16"/>
  <c r="V33" i="16"/>
  <c r="G27" i="16"/>
  <c r="AE33" i="16"/>
  <c r="AE26" i="16"/>
  <c r="H12" i="16"/>
  <c r="L38" i="16"/>
  <c r="M29" i="16"/>
  <c r="P30" i="16"/>
  <c r="Y33" i="16"/>
  <c r="AF29" i="16"/>
  <c r="I36" i="16"/>
  <c r="O31" i="16"/>
  <c r="P22" i="16"/>
  <c r="Z22" i="16"/>
  <c r="Q38" i="16"/>
  <c r="AE23" i="16"/>
  <c r="AF33" i="16"/>
  <c r="O23" i="16"/>
  <c r="H16" i="16"/>
  <c r="AD34" i="16"/>
  <c r="K13" i="16"/>
  <c r="AD29" i="16"/>
  <c r="P28" i="16"/>
  <c r="AA33" i="16"/>
  <c r="X24" i="16"/>
  <c r="AC13" i="16"/>
  <c r="G30" i="16"/>
  <c r="R24" i="16"/>
  <c r="Z17" i="16"/>
  <c r="H18" i="16"/>
  <c r="G20" i="16"/>
  <c r="I21" i="16"/>
  <c r="L27" i="16"/>
  <c r="R27" i="16"/>
  <c r="S21" i="16"/>
  <c r="L15" i="16"/>
  <c r="M38" i="16"/>
  <c r="AE32" i="16"/>
  <c r="T18" i="16"/>
  <c r="AF34" i="16"/>
  <c r="P36" i="16"/>
  <c r="Y32" i="16"/>
  <c r="T21" i="16"/>
  <c r="V15" i="16"/>
  <c r="V12" i="16"/>
  <c r="H13" i="16"/>
  <c r="P15" i="16"/>
  <c r="J33" i="16"/>
  <c r="J26" i="16"/>
  <c r="L35" i="16"/>
  <c r="T20" i="16"/>
  <c r="AA11" i="16"/>
  <c r="AF28" i="16"/>
  <c r="AE15" i="16"/>
  <c r="K25" i="16"/>
  <c r="R26" i="16"/>
  <c r="T34" i="16"/>
  <c r="P19" i="16"/>
  <c r="AF20" i="16"/>
  <c r="Y18" i="16"/>
  <c r="AA38" i="16"/>
  <c r="R38" i="16"/>
  <c r="R35" i="16"/>
  <c r="X35" i="16"/>
  <c r="Y35" i="16"/>
  <c r="H22" i="16"/>
  <c r="U18" i="16"/>
  <c r="O34" i="16"/>
  <c r="N39" i="16"/>
  <c r="G17" i="16"/>
  <c r="S27" i="16"/>
  <c r="X33" i="16"/>
  <c r="AC19" i="16"/>
  <c r="I17" i="16"/>
  <c r="AE24" i="16"/>
  <c r="O9" i="16"/>
  <c r="Y39" i="16"/>
  <c r="Y30" i="16"/>
  <c r="Y26" i="16"/>
  <c r="S35" i="16"/>
  <c r="O19" i="16"/>
  <c r="T39" i="16"/>
  <c r="K28" i="16"/>
  <c r="M23" i="16"/>
  <c r="O29" i="16"/>
  <c r="V25" i="16"/>
  <c r="AB9" i="16"/>
  <c r="X34" i="16"/>
  <c r="Q10" i="16"/>
  <c r="X23" i="16"/>
  <c r="N26" i="16"/>
  <c r="L11" i="16"/>
  <c r="Z9" i="16"/>
  <c r="AC10" i="16"/>
  <c r="U13" i="16"/>
  <c r="AE17" i="16"/>
  <c r="AC18" i="16"/>
  <c r="AC17" i="16"/>
  <c r="AE16" i="16"/>
  <c r="O16" i="16"/>
  <c r="V39" i="16"/>
  <c r="AE35" i="16"/>
  <c r="L29" i="16"/>
  <c r="N9" i="16"/>
  <c r="AA12" i="16"/>
  <c r="T17" i="16"/>
  <c r="K23" i="16"/>
  <c r="AC27" i="16"/>
  <c r="AE29" i="16"/>
  <c r="H36" i="16"/>
  <c r="Q25" i="16"/>
  <c r="M30" i="16"/>
  <c r="G34" i="16"/>
  <c r="G16" i="16"/>
  <c r="K19" i="16"/>
  <c r="G14" i="16"/>
  <c r="I10" i="16"/>
  <c r="Q29" i="16"/>
  <c r="AD22" i="16"/>
  <c r="AD10" i="16"/>
  <c r="N33" i="16"/>
  <c r="Z11" i="16"/>
  <c r="P39" i="16"/>
  <c r="P9" i="16"/>
  <c r="AD9" i="16"/>
  <c r="AD25" i="16"/>
  <c r="G36" i="16"/>
  <c r="X29" i="16"/>
  <c r="H37" i="16"/>
  <c r="M34" i="16"/>
  <c r="Z33" i="16"/>
  <c r="U30" i="16"/>
  <c r="AB20" i="16"/>
  <c r="X10" i="16"/>
  <c r="N18" i="16"/>
  <c r="R11" i="16"/>
  <c r="T11" i="16"/>
  <c r="AA14" i="16"/>
  <c r="AD36" i="16"/>
  <c r="AC29" i="16"/>
  <c r="L13" i="16"/>
  <c r="V34" i="16"/>
  <c r="AE21" i="16"/>
  <c r="AB36" i="16"/>
  <c r="U36" i="16"/>
  <c r="AB26" i="16"/>
  <c r="N27" i="16"/>
  <c r="X19" i="16"/>
  <c r="L30" i="16"/>
  <c r="AC38" i="16"/>
  <c r="I15" i="16"/>
  <c r="AC15" i="16"/>
  <c r="Y9" i="16"/>
  <c r="W20" i="16"/>
  <c r="AC21" i="16"/>
  <c r="U32" i="16"/>
  <c r="J21" i="16"/>
  <c r="Q30" i="16"/>
  <c r="AE22" i="16"/>
  <c r="V24" i="16"/>
  <c r="V14" i="16"/>
  <c r="M17" i="16"/>
  <c r="G12" i="16"/>
  <c r="AF27" i="16"/>
  <c r="S19" i="16"/>
  <c r="AA20" i="16"/>
  <c r="G10" i="16"/>
  <c r="I26" i="16"/>
  <c r="W37" i="16"/>
  <c r="AA13" i="16"/>
  <c r="AB30" i="16"/>
  <c r="U31" i="16"/>
  <c r="O35" i="16"/>
  <c r="AB13" i="16"/>
  <c r="I37" i="16"/>
  <c r="W34" i="16"/>
  <c r="X31" i="16"/>
  <c r="Y24" i="16"/>
  <c r="K24" i="16"/>
  <c r="P12" i="16"/>
  <c r="H19" i="16"/>
  <c r="Z38" i="16"/>
  <c r="P29" i="16"/>
  <c r="R32" i="16"/>
  <c r="AA15" i="16"/>
  <c r="AF38" i="16"/>
  <c r="M25" i="16"/>
  <c r="AA37" i="16"/>
  <c r="O20" i="16"/>
  <c r="G9" i="16"/>
  <c r="H31" i="16"/>
  <c r="U34" i="16"/>
  <c r="X22" i="16"/>
  <c r="H10" i="16"/>
  <c r="AA19" i="16"/>
  <c r="N16" i="16"/>
  <c r="U27" i="16"/>
  <c r="S29" i="16"/>
  <c r="T9" i="16"/>
  <c r="G22" i="16"/>
  <c r="W35" i="16"/>
  <c r="Q27" i="16"/>
  <c r="AB35" i="16"/>
  <c r="S32" i="16"/>
  <c r="U10" i="16"/>
  <c r="M26" i="16"/>
  <c r="N14" i="16"/>
  <c r="AC26" i="16"/>
  <c r="H28" i="16"/>
  <c r="R12" i="16"/>
  <c r="Y28" i="16"/>
  <c r="AF22" i="16"/>
  <c r="N38" i="16"/>
  <c r="AD38" i="16"/>
  <c r="AE14" i="16"/>
  <c r="R39" i="16"/>
  <c r="J39" i="16"/>
  <c r="T26" i="16"/>
  <c r="AF35" i="16"/>
  <c r="S37" i="16"/>
  <c r="J35" i="16"/>
  <c r="L39" i="16"/>
  <c r="J13" i="16"/>
  <c r="K15" i="16"/>
  <c r="P25" i="16"/>
  <c r="K16" i="16"/>
  <c r="S34" i="16"/>
  <c r="P32" i="16"/>
  <c r="G23" i="16"/>
  <c r="Y14" i="16"/>
  <c r="Y23" i="16"/>
  <c r="Y27" i="16"/>
  <c r="T25" i="16"/>
  <c r="G38" i="16"/>
  <c r="AA16" i="16"/>
  <c r="Q13" i="16"/>
  <c r="K22" i="16"/>
  <c r="Z14" i="16"/>
  <c r="P24" i="16"/>
  <c r="J24" i="16"/>
  <c r="J31" i="16"/>
  <c r="AD24" i="16"/>
  <c r="AF24" i="16"/>
  <c r="AA31" i="16"/>
  <c r="M12" i="16"/>
  <c r="Z32" i="16"/>
  <c r="W32" i="16"/>
  <c r="J37" i="16"/>
  <c r="G28" i="16"/>
  <c r="R29" i="16"/>
  <c r="AF17" i="16"/>
  <c r="T12" i="16"/>
  <c r="R10" i="16"/>
  <c r="H30" i="16"/>
  <c r="AF26" i="16"/>
  <c r="W31" i="16"/>
  <c r="Y31" i="16"/>
  <c r="T35" i="16"/>
  <c r="N21" i="16"/>
  <c r="T27" i="16"/>
  <c r="I18" i="16"/>
  <c r="V11" i="16"/>
  <c r="L14" i="16"/>
  <c r="AE12" i="16"/>
  <c r="K10" i="16"/>
  <c r="G19" i="16"/>
  <c r="AB38" i="16"/>
  <c r="P23" i="16"/>
  <c r="Y19" i="16"/>
  <c r="H39" i="16"/>
  <c r="V32" i="16"/>
  <c r="Z23" i="16"/>
  <c r="S14" i="16"/>
  <c r="W38" i="16"/>
  <c r="AB34" i="16"/>
  <c r="P10" i="16"/>
  <c r="R18" i="16"/>
  <c r="AA26" i="16"/>
  <c r="I14" i="16"/>
  <c r="W17" i="16"/>
  <c r="X11" i="16"/>
  <c r="H20" i="16"/>
  <c r="Y15" i="16"/>
  <c r="M39" i="16"/>
  <c r="W16" i="16"/>
  <c r="W33" i="16"/>
  <c r="L34" i="16"/>
  <c r="R16" i="16"/>
  <c r="AC28" i="16"/>
  <c r="X28" i="16"/>
  <c r="V27" i="16"/>
  <c r="V9" i="16"/>
  <c r="Y25" i="16"/>
  <c r="L17" i="16"/>
  <c r="Q15" i="16"/>
  <c r="AF13" i="16"/>
  <c r="K21" i="16"/>
  <c r="R21" i="16"/>
  <c r="AF30" i="16"/>
  <c r="L16" i="16"/>
  <c r="O10" i="16"/>
  <c r="AC32" i="16"/>
  <c r="Z36" i="16"/>
  <c r="Q24" i="16"/>
  <c r="G24" i="16"/>
  <c r="N24" i="16"/>
  <c r="AF12" i="16"/>
  <c r="P31" i="16"/>
  <c r="AC31" i="16"/>
  <c r="Z31" i="16"/>
  <c r="AF31" i="16"/>
  <c r="AF25" i="16"/>
  <c r="U25" i="16"/>
  <c r="L21" i="16"/>
  <c r="AE38" i="16"/>
  <c r="AF37" i="16"/>
  <c r="L33" i="16"/>
  <c r="Z12" i="16"/>
  <c r="G32" i="16"/>
  <c r="AB10" i="16"/>
  <c r="X25" i="16"/>
  <c r="O24" i="16"/>
  <c r="G31" i="16"/>
  <c r="AA10" i="16"/>
  <c r="L25" i="16"/>
  <c r="H15" i="16"/>
  <c r="O11" i="16"/>
  <c r="J30" i="16"/>
  <c r="X18" i="16"/>
  <c r="H34" i="16"/>
  <c r="S17" i="16"/>
  <c r="J14" i="16"/>
  <c r="AE13" i="16"/>
  <c r="J11" i="16"/>
  <c r="M22" i="16"/>
  <c r="AD33" i="16"/>
  <c r="Z25" i="16"/>
  <c r="AA17" i="16"/>
  <c r="T28" i="16"/>
  <c r="AE18" i="16"/>
  <c r="Q19" i="16"/>
  <c r="Y12" i="16"/>
  <c r="AD18" i="16"/>
  <c r="X38" i="16"/>
  <c r="R17" i="16"/>
  <c r="S11" i="16"/>
  <c r="G37" i="16"/>
  <c r="K38" i="16"/>
  <c r="Z19" i="16"/>
  <c r="O27" i="16"/>
  <c r="M15" i="16"/>
  <c r="R33" i="16"/>
  <c r="AB12" i="16"/>
  <c r="S10" i="16"/>
  <c r="AD13" i="16"/>
  <c r="AC37" i="16"/>
  <c r="N25" i="16"/>
  <c r="R25" i="16"/>
  <c r="O12" i="16"/>
  <c r="AB33" i="16"/>
  <c r="S20" i="16"/>
  <c r="AB15" i="16"/>
  <c r="K14" i="16"/>
  <c r="Y37" i="16"/>
  <c r="AB28" i="16"/>
  <c r="AC16" i="16"/>
  <c r="O28" i="16"/>
  <c r="AD23" i="16"/>
  <c r="U26" i="16"/>
  <c r="H9" i="16"/>
  <c r="W24" i="16"/>
  <c r="N31" i="16"/>
  <c r="S24" i="16"/>
  <c r="P35" i="16"/>
  <c r="Z18" i="16"/>
  <c r="R15" i="16"/>
  <c r="AB24" i="16"/>
  <c r="H30" i="12"/>
  <c r="M27" i="12"/>
  <c r="N36" i="12"/>
  <c r="N18" i="12"/>
  <c r="U13" i="12"/>
  <c r="X30" i="12"/>
  <c r="P37" i="12"/>
  <c r="L18" i="12"/>
  <c r="I28" i="12"/>
  <c r="AD15" i="12"/>
  <c r="X36" i="12"/>
  <c r="R12" i="12"/>
  <c r="AB10" i="12"/>
  <c r="U21" i="12"/>
  <c r="N39" i="12"/>
  <c r="Z32" i="12"/>
  <c r="U37" i="12"/>
  <c r="Q16" i="12"/>
  <c r="U14" i="12"/>
  <c r="Y12" i="12"/>
  <c r="AA26" i="12"/>
  <c r="Q26" i="12"/>
  <c r="AC17" i="12"/>
  <c r="Q38" i="12"/>
  <c r="AD36" i="12"/>
  <c r="J36" i="12"/>
  <c r="M11" i="12"/>
  <c r="W39" i="12"/>
  <c r="Q29" i="12"/>
  <c r="G26" i="12"/>
  <c r="O32" i="12"/>
  <c r="P23" i="12"/>
  <c r="S11" i="12"/>
  <c r="V15" i="12"/>
  <c r="AA18" i="12"/>
  <c r="R25" i="12"/>
  <c r="W37" i="12"/>
  <c r="AA39" i="12"/>
  <c r="AD13" i="12"/>
  <c r="U10" i="12"/>
  <c r="Y15" i="12"/>
  <c r="V35" i="12"/>
  <c r="O9" i="12"/>
  <c r="Y32" i="12"/>
  <c r="P15" i="12"/>
  <c r="X27" i="12"/>
  <c r="W32" i="12"/>
  <c r="R30" i="12"/>
  <c r="U22" i="12"/>
  <c r="T22" i="12"/>
  <c r="Y23" i="12"/>
  <c r="I17" i="12"/>
  <c r="AC15" i="12"/>
  <c r="I19" i="12"/>
  <c r="S12" i="12"/>
  <c r="Z24" i="12"/>
  <c r="S24" i="12"/>
  <c r="M31" i="12"/>
  <c r="G38" i="12"/>
  <c r="K18" i="12"/>
  <c r="U20" i="12"/>
  <c r="I16" i="12"/>
  <c r="O25" i="12"/>
  <c r="AB11" i="12"/>
  <c r="K11" i="12"/>
  <c r="H21" i="12"/>
  <c r="S13" i="12"/>
  <c r="F10" i="12"/>
  <c r="Q20" i="12"/>
  <c r="O29" i="12"/>
  <c r="AE26" i="12"/>
  <c r="R13" i="12"/>
  <c r="J23" i="12"/>
  <c r="J39" i="12"/>
  <c r="F29" i="12"/>
  <c r="R20" i="12"/>
  <c r="G17" i="12"/>
  <c r="N37" i="12"/>
  <c r="P32" i="12"/>
  <c r="M32" i="12"/>
  <c r="Y9" i="12"/>
  <c r="O11" i="12"/>
  <c r="T39" i="12"/>
  <c r="Q33" i="12"/>
  <c r="M22" i="12"/>
  <c r="T17" i="12"/>
  <c r="X11" i="12"/>
  <c r="O15" i="12"/>
  <c r="X19" i="12"/>
  <c r="F34" i="12"/>
  <c r="Y11" i="12"/>
  <c r="AB38" i="12"/>
  <c r="R9" i="12"/>
  <c r="S25" i="12"/>
  <c r="X32" i="12"/>
  <c r="K32" i="12"/>
  <c r="Y39" i="12"/>
  <c r="Z28" i="12"/>
  <c r="X34" i="12"/>
  <c r="J25" i="12"/>
  <c r="H18" i="12"/>
  <c r="W25" i="12"/>
  <c r="N34" i="12"/>
  <c r="S37" i="12"/>
  <c r="V24" i="12"/>
  <c r="AC31" i="12"/>
  <c r="O31" i="12"/>
  <c r="M24" i="12"/>
  <c r="F28" i="12"/>
  <c r="AA29" i="12"/>
  <c r="U36" i="12"/>
  <c r="P35" i="12"/>
  <c r="K26" i="12"/>
  <c r="O37" i="12"/>
  <c r="AE36" i="12"/>
  <c r="J13" i="12"/>
  <c r="S18" i="12"/>
  <c r="K9" i="12"/>
  <c r="K20" i="12"/>
  <c r="U16" i="12"/>
  <c r="M10" i="12"/>
  <c r="AC28" i="12"/>
  <c r="AD25" i="12"/>
  <c r="U27" i="12"/>
  <c r="H32" i="12"/>
  <c r="H27" i="12"/>
  <c r="S26" i="12"/>
  <c r="O33" i="12"/>
  <c r="AB23" i="12"/>
  <c r="G9" i="12"/>
  <c r="AC21" i="12"/>
  <c r="T29" i="12"/>
  <c r="L39" i="12"/>
  <c r="F33" i="12"/>
  <c r="K13" i="12"/>
  <c r="U26" i="12"/>
  <c r="P16" i="12"/>
  <c r="Q28" i="12"/>
  <c r="AC22" i="12"/>
  <c r="W29" i="12"/>
  <c r="Q10" i="12"/>
  <c r="F12" i="12"/>
  <c r="U24" i="12"/>
  <c r="W31" i="12"/>
  <c r="L24" i="12"/>
  <c r="Z30" i="12"/>
  <c r="X20" i="12"/>
  <c r="AB39" i="12"/>
  <c r="J16" i="12"/>
  <c r="AB26" i="12"/>
  <c r="X9" i="12"/>
  <c r="M38" i="12"/>
  <c r="W20" i="12"/>
  <c r="M29" i="12"/>
  <c r="H16" i="12"/>
  <c r="AB22" i="12"/>
  <c r="N38" i="12"/>
  <c r="G18" i="12"/>
  <c r="AD11" i="12"/>
  <c r="Q32" i="12"/>
  <c r="AB14" i="12"/>
  <c r="V26" i="12"/>
  <c r="AC12" i="12"/>
  <c r="AA19" i="12"/>
  <c r="L17" i="12"/>
  <c r="W13" i="12"/>
  <c r="N17" i="12"/>
  <c r="J30" i="12"/>
  <c r="M13" i="12"/>
  <c r="I33" i="12"/>
  <c r="T18" i="12"/>
  <c r="V29" i="12"/>
  <c r="AE19" i="12"/>
  <c r="F27" i="12"/>
  <c r="T12" i="12"/>
  <c r="Q37" i="12"/>
  <c r="V30" i="12"/>
  <c r="Z15" i="12"/>
  <c r="AD20" i="12"/>
  <c r="I11" i="12"/>
  <c r="U19" i="12"/>
  <c r="M34" i="12"/>
  <c r="P22" i="12"/>
  <c r="AE13" i="12"/>
  <c r="L21" i="12"/>
  <c r="T9" i="12"/>
  <c r="AC24" i="12"/>
  <c r="F31" i="12"/>
  <c r="AD31" i="12"/>
  <c r="K31" i="12"/>
  <c r="Z23" i="12"/>
  <c r="T16" i="12"/>
  <c r="AC37" i="12"/>
  <c r="P11" i="12"/>
  <c r="N21" i="12"/>
  <c r="S19" i="12"/>
  <c r="AE20" i="12"/>
  <c r="X29" i="12"/>
  <c r="W34" i="12"/>
  <c r="X14" i="12"/>
  <c r="J33" i="12"/>
  <c r="Z12" i="12"/>
  <c r="J22" i="12"/>
  <c r="O20" i="12"/>
  <c r="S10" i="12"/>
  <c r="J14" i="12"/>
  <c r="G32" i="12"/>
  <c r="P21" i="12"/>
  <c r="U28" i="12"/>
  <c r="F13" i="12"/>
  <c r="I12" i="12"/>
  <c r="AA13" i="12"/>
  <c r="N13" i="12"/>
  <c r="AC36" i="12"/>
  <c r="H35" i="12"/>
  <c r="F18" i="12"/>
  <c r="I13" i="12"/>
  <c r="S28" i="12"/>
  <c r="P30" i="12"/>
  <c r="K28" i="12"/>
  <c r="AD16" i="12"/>
  <c r="AE22" i="12"/>
  <c r="G12" i="12"/>
  <c r="O17" i="12"/>
  <c r="G19" i="12"/>
  <c r="U35" i="12"/>
  <c r="AB27" i="12"/>
  <c r="N26" i="12"/>
  <c r="F26" i="12"/>
  <c r="AC30" i="12"/>
  <c r="J38" i="12"/>
  <c r="X35" i="12"/>
  <c r="P17" i="12"/>
  <c r="G11" i="12"/>
  <c r="AD27" i="12"/>
  <c r="AB30" i="12"/>
  <c r="AB29" i="12"/>
  <c r="AC20" i="12"/>
  <c r="I30" i="12"/>
  <c r="J10" i="12"/>
  <c r="Q27" i="12"/>
  <c r="P14" i="12"/>
  <c r="H13" i="12"/>
  <c r="N29" i="12"/>
  <c r="T36" i="12"/>
  <c r="AE9" i="12"/>
  <c r="AB24" i="12"/>
  <c r="S31" i="12"/>
  <c r="F24" i="12"/>
  <c r="H28" i="12"/>
  <c r="M35" i="12"/>
  <c r="T15" i="12"/>
  <c r="AE25" i="12"/>
  <c r="H29" i="12"/>
  <c r="I39" i="12"/>
  <c r="K17" i="12"/>
  <c r="Y38" i="12"/>
  <c r="R10" i="12"/>
  <c r="AD21" i="12"/>
  <c r="AE27" i="12"/>
  <c r="X12" i="12"/>
  <c r="U18" i="12"/>
  <c r="AA22" i="12"/>
  <c r="U38" i="12"/>
  <c r="AB15" i="12"/>
  <c r="R32" i="12"/>
  <c r="N32" i="12"/>
  <c r="Q25" i="12"/>
  <c r="O10" i="12"/>
  <c r="G28" i="12"/>
  <c r="AA33" i="12"/>
  <c r="R34" i="12"/>
  <c r="AD32" i="12"/>
  <c r="V38" i="12"/>
  <c r="AA20" i="12"/>
  <c r="Q35" i="12"/>
  <c r="Z16" i="12"/>
  <c r="AE32" i="12"/>
  <c r="AD34" i="12"/>
  <c r="V10" i="12"/>
  <c r="N33" i="12"/>
  <c r="L13" i="12"/>
  <c r="S39" i="12"/>
  <c r="L9" i="12"/>
  <c r="AD35" i="12"/>
  <c r="L27" i="12"/>
  <c r="J19" i="12"/>
  <c r="N15" i="12"/>
  <c r="AB16" i="12"/>
  <c r="AA16" i="12"/>
  <c r="G30" i="12"/>
  <c r="J18" i="12"/>
  <c r="L26" i="12"/>
  <c r="Y37" i="12"/>
  <c r="W27" i="12"/>
  <c r="P12" i="12"/>
  <c r="AE31" i="12"/>
  <c r="G24" i="12"/>
  <c r="N24" i="12"/>
  <c r="AD39" i="12"/>
  <c r="T25" i="12"/>
  <c r="M17" i="12"/>
  <c r="O18" i="12"/>
  <c r="AD37" i="12"/>
  <c r="N16" i="12"/>
  <c r="AD30" i="12"/>
  <c r="T11" i="12"/>
  <c r="AC13" i="12"/>
  <c r="AD26" i="12"/>
  <c r="T34" i="12"/>
  <c r="F36" i="12"/>
  <c r="R27" i="12"/>
  <c r="K25" i="12"/>
  <c r="AC19" i="12"/>
  <c r="V16" i="12"/>
  <c r="Z13" i="12"/>
  <c r="X16" i="12"/>
  <c r="R16" i="12"/>
  <c r="P10" i="12"/>
  <c r="V18" i="12"/>
  <c r="AB9" i="12"/>
  <c r="AC29" i="12"/>
  <c r="Z11" i="12"/>
  <c r="AE37" i="12"/>
  <c r="R22" i="12"/>
  <c r="AC11" i="12"/>
  <c r="R28" i="12"/>
  <c r="O38" i="12"/>
  <c r="U33" i="12"/>
  <c r="T13" i="12"/>
  <c r="I15" i="12"/>
  <c r="AA21" i="12"/>
  <c r="J9" i="12"/>
  <c r="W24" i="12"/>
  <c r="AA24" i="12"/>
  <c r="R31" i="12"/>
  <c r="AC23" i="12"/>
  <c r="G22" i="12"/>
  <c r="M39" i="12"/>
  <c r="S23" i="12"/>
  <c r="T37" i="12"/>
  <c r="AD9" i="12"/>
  <c r="Y19" i="12"/>
  <c r="S17" i="12"/>
  <c r="U29" i="12"/>
  <c r="N10" i="12"/>
  <c r="V37" i="12"/>
  <c r="AB33" i="12"/>
  <c r="Q39" i="12"/>
  <c r="S35" i="12"/>
  <c r="J11" i="12"/>
  <c r="V20" i="12"/>
  <c r="L34" i="12"/>
  <c r="V9" i="12"/>
  <c r="AE16" i="12"/>
  <c r="H22" i="12"/>
  <c r="N25" i="12"/>
  <c r="S36" i="12"/>
  <c r="R35" i="12"/>
  <c r="V36" i="12"/>
  <c r="H20" i="12"/>
  <c r="Y21" i="12"/>
  <c r="Q15" i="12"/>
  <c r="AD38" i="12"/>
  <c r="Y25" i="12"/>
  <c r="K12" i="12"/>
  <c r="W15" i="12"/>
  <c r="P27" i="12"/>
  <c r="AD18" i="12"/>
  <c r="Y16" i="12"/>
  <c r="Z33" i="12"/>
  <c r="N20" i="12"/>
  <c r="K38" i="12"/>
  <c r="AA17" i="12"/>
  <c r="K33" i="12"/>
  <c r="N11" i="12"/>
  <c r="N35" i="12"/>
  <c r="U12" i="12"/>
  <c r="I31" i="12"/>
  <c r="T31" i="12"/>
  <c r="H31" i="12"/>
  <c r="Y30" i="12"/>
  <c r="S14" i="12"/>
  <c r="V22" i="12"/>
  <c r="W16" i="12"/>
  <c r="H33" i="12"/>
  <c r="L33" i="12"/>
  <c r="V28" i="12"/>
  <c r="K34" i="12"/>
  <c r="G37" i="12"/>
  <c r="W18" i="12"/>
  <c r="T38" i="12"/>
  <c r="M9" i="12"/>
  <c r="M30" i="12"/>
  <c r="AB34" i="12"/>
  <c r="L14" i="12"/>
  <c r="O36" i="12"/>
  <c r="I36" i="12"/>
  <c r="I21" i="12"/>
  <c r="G10" i="12"/>
  <c r="AE14" i="12"/>
  <c r="X23" i="12"/>
  <c r="T28" i="12"/>
  <c r="AE39" i="12"/>
  <c r="J29" i="12"/>
  <c r="AC27" i="12"/>
  <c r="R11" i="12"/>
  <c r="U11" i="12"/>
  <c r="W23" i="12"/>
  <c r="AA36" i="12"/>
  <c r="AC16" i="12"/>
  <c r="J21" i="12"/>
  <c r="H12" i="12"/>
  <c r="Q14" i="12"/>
  <c r="AA34" i="12"/>
  <c r="F30" i="12"/>
  <c r="I38" i="12"/>
  <c r="Z17" i="12"/>
  <c r="AD23" i="12"/>
  <c r="Q36" i="12"/>
  <c r="L38" i="12"/>
  <c r="Y33" i="12"/>
  <c r="F25" i="12"/>
  <c r="R26" i="12"/>
  <c r="J12" i="12"/>
  <c r="O22" i="12"/>
  <c r="Y26" i="12"/>
  <c r="H10" i="12"/>
  <c r="X21" i="12"/>
  <c r="S21" i="12"/>
  <c r="AD17" i="12"/>
  <c r="F23" i="12"/>
  <c r="X17" i="12"/>
  <c r="AE23" i="12"/>
  <c r="K27" i="12"/>
  <c r="K29" i="12"/>
  <c r="Z31" i="12"/>
  <c r="J24" i="12"/>
  <c r="I24" i="12"/>
  <c r="AD24" i="12"/>
  <c r="AE28" i="12"/>
  <c r="H26" i="12"/>
  <c r="AB18" i="12"/>
  <c r="AE15" i="12"/>
  <c r="H23" i="12"/>
  <c r="S38" i="12"/>
  <c r="V34" i="12"/>
  <c r="T26" i="12"/>
  <c r="Q34" i="12"/>
  <c r="P33" i="12"/>
  <c r="F17" i="12"/>
  <c r="AB12" i="12"/>
  <c r="F38" i="12"/>
  <c r="P29" i="12"/>
  <c r="Z35" i="12"/>
  <c r="AE33" i="12"/>
  <c r="L23" i="12"/>
  <c r="W14" i="12"/>
  <c r="M20" i="12"/>
  <c r="G21" i="12"/>
  <c r="K35" i="12"/>
  <c r="K30" i="12"/>
  <c r="AD14" i="12"/>
  <c r="AD12" i="12"/>
  <c r="AC33" i="12"/>
  <c r="K16" i="12"/>
  <c r="X15" i="12"/>
  <c r="J37" i="12"/>
  <c r="P39" i="12"/>
  <c r="W35" i="12"/>
  <c r="I25" i="12"/>
  <c r="Z29" i="12"/>
  <c r="T27" i="12"/>
  <c r="AC25" i="12"/>
  <c r="S32" i="12"/>
  <c r="R29" i="12"/>
  <c r="T30" i="12"/>
  <c r="L11" i="12"/>
  <c r="R23" i="12"/>
  <c r="Z25" i="12"/>
  <c r="L16" i="12"/>
  <c r="K39" i="12"/>
  <c r="F37" i="12"/>
  <c r="F19" i="12"/>
  <c r="Z39" i="12"/>
  <c r="G23" i="12"/>
  <c r="I9" i="12"/>
  <c r="Y31" i="12"/>
  <c r="U31" i="12"/>
  <c r="V31" i="12"/>
  <c r="F9" i="12"/>
  <c r="AB35" i="12"/>
  <c r="H37" i="12"/>
  <c r="AB36" i="12"/>
  <c r="AA10" i="12"/>
  <c r="L35" i="12"/>
  <c r="O26" i="12"/>
  <c r="K22" i="12"/>
  <c r="G16" i="12"/>
  <c r="AA23" i="12"/>
  <c r="M12" i="12"/>
  <c r="AC26" i="12"/>
  <c r="AB28" i="12"/>
  <c r="F14" i="12"/>
  <c r="V33" i="12"/>
  <c r="J32" i="12"/>
  <c r="F35" i="12"/>
  <c r="K23" i="12"/>
  <c r="S16" i="12"/>
  <c r="S15" i="12"/>
  <c r="M25" i="12"/>
  <c r="AD28" i="12"/>
  <c r="L30" i="12"/>
  <c r="AC10" i="12"/>
  <c r="R14" i="12"/>
  <c r="P18" i="12"/>
  <c r="AE30" i="12"/>
  <c r="W28" i="12"/>
  <c r="U39" i="12"/>
  <c r="AC34" i="12"/>
  <c r="T20" i="12"/>
  <c r="AA28" i="12"/>
  <c r="G35" i="12"/>
  <c r="S9" i="12"/>
  <c r="L31" i="12"/>
  <c r="AB31" i="12"/>
  <c r="K24" i="12"/>
  <c r="W38" i="12"/>
  <c r="AE17" i="12"/>
  <c r="Z34" i="12"/>
  <c r="AE35" i="12"/>
  <c r="Q17" i="12"/>
  <c r="M16" i="12"/>
  <c r="V21" i="12"/>
  <c r="W36" i="12"/>
  <c r="AD10" i="12"/>
  <c r="Y35" i="12"/>
  <c r="Y18" i="12"/>
  <c r="Q11" i="12"/>
  <c r="P28" i="12"/>
  <c r="O14" i="12"/>
  <c r="S34" i="12"/>
  <c r="J15" i="12"/>
  <c r="V25" i="12"/>
  <c r="Q9" i="12"/>
  <c r="W11" i="12"/>
  <c r="N22" i="12"/>
  <c r="X26" i="12"/>
  <c r="I37" i="12"/>
  <c r="O21" i="12"/>
  <c r="AC39" i="12"/>
  <c r="AA37" i="12"/>
  <c r="Z26" i="12"/>
  <c r="Q22" i="12"/>
  <c r="R39" i="12"/>
  <c r="K36" i="12"/>
  <c r="P9" i="12"/>
  <c r="AC14" i="12"/>
  <c r="H36" i="12"/>
  <c r="Z14" i="12"/>
  <c r="M33" i="12"/>
  <c r="AB21" i="12"/>
  <c r="Z36" i="12"/>
  <c r="G25" i="12"/>
  <c r="S29" i="12"/>
  <c r="Y28" i="12"/>
  <c r="F15" i="12"/>
  <c r="V32" i="12"/>
  <c r="N12" i="12"/>
  <c r="X31" i="12"/>
  <c r="P24" i="12"/>
  <c r="AE24" i="12"/>
  <c r="X39" i="12"/>
  <c r="Y36" i="12"/>
  <c r="M18" i="12"/>
  <c r="H39" i="12"/>
  <c r="I35" i="12"/>
  <c r="T32" i="12"/>
  <c r="I23" i="12"/>
  <c r="L32" i="12"/>
  <c r="K15" i="12"/>
  <c r="AA9" i="12"/>
  <c r="Y10" i="12"/>
  <c r="P34" i="12"/>
  <c r="AE10" i="12"/>
  <c r="G14" i="12"/>
  <c r="H11" i="12"/>
  <c r="AA27" i="12"/>
  <c r="Y17" i="12"/>
  <c r="Z38" i="12"/>
  <c r="T19" i="12"/>
  <c r="F39" i="12"/>
  <c r="AA32" i="12"/>
  <c r="L12" i="12"/>
  <c r="J28" i="12"/>
  <c r="N28" i="12"/>
  <c r="Z22" i="12"/>
  <c r="N23" i="12"/>
  <c r="Y20" i="12"/>
  <c r="X37" i="12"/>
  <c r="L28" i="12"/>
  <c r="AC38" i="12"/>
  <c r="Z37" i="12"/>
  <c r="AA15" i="12"/>
  <c r="U23" i="12"/>
  <c r="R24" i="12"/>
  <c r="Q24" i="12"/>
  <c r="T24" i="12"/>
  <c r="J31" i="12"/>
  <c r="P20" i="12"/>
  <c r="L29" i="12"/>
  <c r="Q23" i="12"/>
  <c r="M37" i="12"/>
  <c r="X33" i="12"/>
  <c r="AE12" i="12"/>
  <c r="F22" i="12"/>
  <c r="Y14" i="12"/>
  <c r="H25" i="12"/>
  <c r="P13" i="12"/>
  <c r="T14" i="12"/>
  <c r="S27" i="12"/>
  <c r="U25" i="12"/>
  <c r="W33" i="12"/>
  <c r="I34" i="12"/>
  <c r="AA38" i="12"/>
  <c r="J17" i="12"/>
  <c r="AA12" i="12"/>
  <c r="V14" i="12"/>
  <c r="V23" i="12"/>
  <c r="AB37" i="12"/>
  <c r="Y27" i="12"/>
  <c r="S30" i="12"/>
  <c r="AE18" i="12"/>
  <c r="K14" i="12"/>
  <c r="X10" i="12"/>
  <c r="H15" i="12"/>
  <c r="K10" i="12"/>
  <c r="U9" i="12"/>
  <c r="T35" i="12"/>
  <c r="O34" i="12"/>
  <c r="R33" i="12"/>
  <c r="H19" i="12"/>
  <c r="J20" i="12"/>
  <c r="R36" i="12"/>
  <c r="F21" i="12"/>
  <c r="V11" i="12"/>
  <c r="AE21" i="12"/>
  <c r="I27" i="12"/>
  <c r="W30" i="12"/>
  <c r="W9" i="12"/>
  <c r="N31" i="12"/>
  <c r="O24" i="12"/>
  <c r="AB60" i="15" a="1"/>
  <c r="AB60" i="15" s="1"/>
  <c r="T59" i="15" a="1"/>
  <c r="T59" i="15" s="1"/>
  <c r="N60" i="15" a="1"/>
  <c r="N60" i="15" s="1"/>
  <c r="Z60" i="15" a="1"/>
  <c r="Z60" i="15" s="1"/>
  <c r="AD57" i="15" a="1"/>
  <c r="AD57" i="15" s="1"/>
  <c r="H60" i="15" a="1"/>
  <c r="H60" i="15" s="1"/>
  <c r="X60" i="15" a="1"/>
  <c r="X60" i="15" s="1"/>
  <c r="N65" i="15" a="1"/>
  <c r="N65" i="15" s="1"/>
  <c r="O67" i="15" a="1"/>
  <c r="O67" i="15" s="1"/>
  <c r="H64" i="15" a="1"/>
  <c r="H64" i="15" s="1"/>
  <c r="T65" i="15" a="1"/>
  <c r="T65" i="15" s="1"/>
  <c r="U57" i="15" a="1"/>
  <c r="U57" i="15" s="1"/>
  <c r="AC67" i="15" a="1"/>
  <c r="AC67" i="15" s="1"/>
  <c r="P58" i="15" a="1"/>
  <c r="P58" i="15" s="1"/>
  <c r="H65" i="15" a="1"/>
  <c r="H65" i="15" s="1"/>
  <c r="I60" i="15" a="1"/>
  <c r="I60" i="15" s="1"/>
  <c r="Y60" i="15" a="1"/>
  <c r="Y60" i="15" s="1"/>
  <c r="T60" i="15" a="1"/>
  <c r="T60" i="15" s="1"/>
  <c r="V66" i="15" a="1"/>
  <c r="V66" i="15" s="1"/>
  <c r="I67" i="15" a="1"/>
  <c r="I67" i="15" s="1"/>
  <c r="AF60" i="15" a="1"/>
  <c r="AF60" i="15" s="1"/>
  <c r="AC57" i="15" a="1"/>
  <c r="AC57" i="15" s="1"/>
  <c r="K67" i="15" a="1"/>
  <c r="K67" i="15" s="1"/>
  <c r="H67" i="15" a="1"/>
  <c r="H67" i="15" s="1"/>
  <c r="K65" i="15" a="1"/>
  <c r="K65" i="15" s="1"/>
  <c r="Q60" i="15" a="1"/>
  <c r="Q60" i="15" s="1"/>
  <c r="M65" i="15" a="1"/>
  <c r="M65" i="15" s="1"/>
  <c r="L67" i="15" a="1"/>
  <c r="L67" i="15" s="1"/>
  <c r="Y67" i="15" a="1"/>
  <c r="Y67" i="15" s="1"/>
  <c r="J66" i="15" a="1"/>
  <c r="J66" i="15" s="1"/>
  <c r="V64" i="15" a="1"/>
  <c r="V64" i="15" s="1"/>
  <c r="AC58" i="15" a="1"/>
  <c r="AC58" i="15" s="1"/>
  <c r="N63" i="15" a="1"/>
  <c r="N63" i="15" s="1"/>
  <c r="Q64" i="15" a="1"/>
  <c r="Q64" i="15" s="1"/>
  <c r="AA66" i="15" a="1"/>
  <c r="AA66" i="15" s="1"/>
  <c r="R59" i="15" a="1"/>
  <c r="R59" i="15" s="1"/>
  <c r="AE60" i="15" a="1"/>
  <c r="AE60" i="15" s="1"/>
  <c r="W60" i="15" a="1"/>
  <c r="W60" i="15" s="1"/>
  <c r="J65" i="15" a="1"/>
  <c r="J65" i="15" s="1"/>
  <c r="U60" i="15" a="1"/>
  <c r="U60" i="15" s="1"/>
  <c r="T58" i="15" a="1"/>
  <c r="T58" i="15" s="1"/>
  <c r="O65" i="15" a="1"/>
  <c r="O65" i="15" s="1"/>
  <c r="K63" i="15" a="1"/>
  <c r="K63" i="15" s="1"/>
  <c r="U64" i="15" a="1"/>
  <c r="U64" i="15" s="1"/>
  <c r="AB67" i="15" a="1"/>
  <c r="AB67" i="15" s="1"/>
  <c r="O247" i="24"/>
  <c r="K59" i="15" a="1"/>
  <c r="K59" i="15" s="1"/>
  <c r="M63" i="15" a="1"/>
  <c r="M63" i="15" s="1"/>
  <c r="N64" i="15" a="1"/>
  <c r="N64" i="15" s="1"/>
  <c r="P59" i="15" a="1"/>
  <c r="P59" i="15" s="1"/>
  <c r="S67" i="15" a="1"/>
  <c r="S67" i="15" s="1"/>
  <c r="AD67" i="15" a="1"/>
  <c r="AD67" i="15" s="1"/>
  <c r="J60" i="15" a="1"/>
  <c r="J60" i="15" s="1"/>
  <c r="L60" i="15" a="1"/>
  <c r="L60" i="15" s="1"/>
  <c r="M60" i="15" a="1"/>
  <c r="M60" i="15" s="1"/>
  <c r="P60" i="15" a="1"/>
  <c r="P60" i="15" s="1"/>
  <c r="G60" i="15" a="1"/>
  <c r="G60" i="15" s="1"/>
  <c r="K60" i="15" a="1"/>
  <c r="K60" i="15" s="1"/>
  <c r="S60" i="15" a="1"/>
  <c r="S60" i="15" s="1"/>
  <c r="AB240" i="24"/>
  <c r="R65" i="15" a="1"/>
  <c r="R65" i="15" s="1"/>
  <c r="AA57" i="15" a="1"/>
  <c r="AA57" i="15" s="1"/>
  <c r="AA240" i="24"/>
  <c r="O59" i="15" a="1"/>
  <c r="O59" i="15" s="1"/>
  <c r="AE67" i="15" a="1"/>
  <c r="AE67" i="15" s="1"/>
  <c r="W67" i="15" a="1"/>
  <c r="W67" i="15" s="1"/>
  <c r="R67" i="15" a="1"/>
  <c r="R67" i="15" s="1"/>
  <c r="AC60" i="15" a="1"/>
  <c r="AC60" i="15" s="1"/>
  <c r="R60" i="15" a="1"/>
  <c r="R60" i="15" s="1"/>
  <c r="AA60" i="15" a="1"/>
  <c r="AA60" i="15" s="1"/>
  <c r="O60" i="15" a="1"/>
  <c r="O60" i="15" s="1"/>
  <c r="V60" i="15" a="1"/>
  <c r="V60" i="15" s="1"/>
  <c r="AD60" i="15" a="1"/>
  <c r="AD60" i="15" s="1"/>
  <c r="AA247" i="24"/>
  <c r="Z59" i="15" a="1"/>
  <c r="Z59" i="15" s="1"/>
  <c r="X59" i="15" a="1"/>
  <c r="X59" i="15" s="1"/>
  <c r="W240" i="24"/>
  <c r="U66" i="15" a="1"/>
  <c r="U66" i="15" s="1"/>
  <c r="L64" i="15" a="1"/>
  <c r="L64" i="15" s="1"/>
  <c r="G189" i="24" a="1"/>
  <c r="AD208" i="24" s="1"/>
  <c r="I70" i="15" a="1"/>
  <c r="I70" i="15" s="1"/>
  <c r="T75" i="15" a="1"/>
  <c r="T75" i="15" s="1"/>
  <c r="AE58" i="15" a="1"/>
  <c r="AE58" i="15" s="1"/>
  <c r="AF63" i="15" a="1"/>
  <c r="AF63" i="15" s="1"/>
  <c r="AD63" i="15" a="1"/>
  <c r="AD63" i="15" s="1"/>
  <c r="T247" i="24"/>
  <c r="W48" i="15" a="1"/>
  <c r="W48" i="15" s="1"/>
  <c r="P63" i="15" a="1"/>
  <c r="P63" i="15" s="1"/>
  <c r="I57" i="15" a="1"/>
  <c r="I57" i="15" s="1"/>
  <c r="J57" i="15" a="1"/>
  <c r="J57" i="15" s="1"/>
  <c r="R64" i="15" a="1"/>
  <c r="R64" i="15" s="1"/>
  <c r="O64" i="15" a="1"/>
  <c r="O64" i="15" s="1"/>
  <c r="I59" i="15" a="1"/>
  <c r="I59" i="15" s="1"/>
  <c r="O66" i="15" a="1"/>
  <c r="O66" i="15" s="1"/>
  <c r="S66" i="15" a="1"/>
  <c r="S66" i="15" s="1"/>
  <c r="W65" i="15" a="1"/>
  <c r="W65" i="15" s="1"/>
  <c r="I65" i="15" a="1"/>
  <c r="I65" i="15" s="1"/>
  <c r="G65" i="15" a="1"/>
  <c r="G65" i="15" s="1"/>
  <c r="O63" i="15" a="1"/>
  <c r="O63" i="15" s="1"/>
  <c r="W58" i="15" a="1"/>
  <c r="W58" i="15" s="1"/>
  <c r="R240" i="24"/>
  <c r="AF240" i="24"/>
  <c r="Q240" i="24"/>
  <c r="U63" i="15" a="1"/>
  <c r="U63" i="15" s="1"/>
  <c r="T57" i="15" a="1"/>
  <c r="T57" i="15" s="1"/>
  <c r="K57" i="15" a="1"/>
  <c r="K57" i="15" s="1"/>
  <c r="AB64" i="15" a="1"/>
  <c r="AB64" i="15" s="1"/>
  <c r="I64" i="15" a="1"/>
  <c r="I64" i="15" s="1"/>
  <c r="T64" i="15" a="1"/>
  <c r="T64" i="15" s="1"/>
  <c r="G59" i="15" a="1"/>
  <c r="G59" i="15" s="1"/>
  <c r="AC59" i="15" a="1"/>
  <c r="AC59" i="15" s="1"/>
  <c r="W63" i="15" a="1"/>
  <c r="W63" i="15" s="1"/>
  <c r="K66" i="15" a="1"/>
  <c r="K66" i="15" s="1"/>
  <c r="I66" i="15" a="1"/>
  <c r="I66" i="15" s="1"/>
  <c r="Z66" i="15" a="1"/>
  <c r="Z66" i="15" s="1"/>
  <c r="P65" i="15" a="1"/>
  <c r="P65" i="15" s="1"/>
  <c r="AB65" i="15" a="1"/>
  <c r="AB65" i="15" s="1"/>
  <c r="U65" i="15" a="1"/>
  <c r="U65" i="15" s="1"/>
  <c r="S65" i="15" a="1"/>
  <c r="S65" i="15" s="1"/>
  <c r="AF65" i="15" a="1"/>
  <c r="AF65" i="15" s="1"/>
  <c r="AA65" i="15" a="1"/>
  <c r="AA65" i="15" s="1"/>
  <c r="AF58" i="15" a="1"/>
  <c r="AF58" i="15" s="1"/>
  <c r="AA58" i="15" a="1"/>
  <c r="AA58" i="15" s="1"/>
  <c r="J58" i="15" a="1"/>
  <c r="J58" i="15" s="1"/>
  <c r="I58" i="15" a="1"/>
  <c r="I58" i="15" s="1"/>
  <c r="AE247" i="24"/>
  <c r="L63" i="15" a="1"/>
  <c r="L63" i="15" s="1"/>
  <c r="X63" i="15" a="1"/>
  <c r="X63" i="15" s="1"/>
  <c r="Q57" i="15" a="1"/>
  <c r="Q57" i="15" s="1"/>
  <c r="AF57" i="15" a="1"/>
  <c r="AF57" i="15" s="1"/>
  <c r="S57" i="15" a="1"/>
  <c r="S57" i="15" s="1"/>
  <c r="Y64" i="15" a="1"/>
  <c r="Y64" i="15" s="1"/>
  <c r="P64" i="15" a="1"/>
  <c r="P64" i="15" s="1"/>
  <c r="K64" i="15" a="1"/>
  <c r="K64" i="15" s="1"/>
  <c r="AE64" i="15" a="1"/>
  <c r="AE64" i="15" s="1"/>
  <c r="S64" i="15" a="1"/>
  <c r="S64" i="15" s="1"/>
  <c r="AD59" i="15" a="1"/>
  <c r="AD59" i="15" s="1"/>
  <c r="M59" i="15" a="1"/>
  <c r="M59" i="15" s="1"/>
  <c r="AB59" i="15" a="1"/>
  <c r="AB59" i="15" s="1"/>
  <c r="S59" i="15" a="1"/>
  <c r="S59" i="15" s="1"/>
  <c r="V59" i="15" a="1"/>
  <c r="V59" i="15" s="1"/>
  <c r="I63" i="15" a="1"/>
  <c r="I63" i="15" s="1"/>
  <c r="AD66" i="15" a="1"/>
  <c r="AD66" i="15" s="1"/>
  <c r="M66" i="15" a="1"/>
  <c r="M66" i="15" s="1"/>
  <c r="P66" i="15" a="1"/>
  <c r="P66" i="15" s="1"/>
  <c r="L66" i="15" a="1"/>
  <c r="L66" i="15" s="1"/>
  <c r="Y65" i="15" a="1"/>
  <c r="Y65" i="15" s="1"/>
  <c r="AD65" i="15" a="1"/>
  <c r="AD65" i="15" s="1"/>
  <c r="Z65" i="15" a="1"/>
  <c r="Z65" i="15" s="1"/>
  <c r="AE65" i="15" a="1"/>
  <c r="AE65" i="15" s="1"/>
  <c r="V65" i="15" a="1"/>
  <c r="V65" i="15" s="1"/>
  <c r="Q65" i="15" a="1"/>
  <c r="Q65" i="15" s="1"/>
  <c r="X65" i="15" a="1"/>
  <c r="X65" i="15" s="1"/>
  <c r="H58" i="15" a="1"/>
  <c r="H58" i="15" s="1"/>
  <c r="X58" i="15" a="1"/>
  <c r="X58" i="15" s="1"/>
  <c r="K58" i="15" a="1"/>
  <c r="K58" i="15" s="1"/>
  <c r="Z247" i="24"/>
  <c r="X247" i="24"/>
  <c r="J240" i="24"/>
  <c r="H75" i="15" a="1"/>
  <c r="H75" i="15" s="1"/>
  <c r="L59" i="15" a="1"/>
  <c r="L59" i="15" s="1"/>
  <c r="M240" i="24"/>
  <c r="S247" i="24"/>
  <c r="AC240" i="24"/>
  <c r="X240" i="24"/>
  <c r="I240" i="24"/>
  <c r="AC64" i="15" a="1"/>
  <c r="AC64" i="15" s="1"/>
  <c r="AA72" i="15" a="1"/>
  <c r="AA72" i="15" s="1"/>
  <c r="AE240" i="24"/>
  <c r="I247" i="24"/>
  <c r="V247" i="24"/>
  <c r="W247" i="24"/>
  <c r="Z63" i="15" a="1"/>
  <c r="Z63" i="15" s="1"/>
  <c r="G57" i="15" a="1"/>
  <c r="G57" i="15" s="1"/>
  <c r="X64" i="15" a="1"/>
  <c r="X64" i="15" s="1"/>
  <c r="AA64" i="15" a="1"/>
  <c r="AA64" i="15" s="1"/>
  <c r="Y59" i="15" a="1"/>
  <c r="Y59" i="15" s="1"/>
  <c r="J59" i="15" a="1"/>
  <c r="J59" i="15" s="1"/>
  <c r="L65" i="15" a="1"/>
  <c r="L65" i="15" s="1"/>
  <c r="AC65" i="15" a="1"/>
  <c r="AC65" i="15" s="1"/>
  <c r="V58" i="15" a="1"/>
  <c r="V58" i="15" s="1"/>
  <c r="N240" i="24"/>
  <c r="L57" i="15" a="1"/>
  <c r="L57" i="15" s="1"/>
  <c r="Z64" i="15" a="1"/>
  <c r="Z64" i="15" s="1"/>
  <c r="Q59" i="15" a="1"/>
  <c r="Q59" i="15" s="1"/>
  <c r="AA59" i="15" a="1"/>
  <c r="AA59" i="15" s="1"/>
  <c r="P240" i="24"/>
  <c r="X57" i="15" a="1"/>
  <c r="X57" i="15" s="1"/>
  <c r="G63" i="15" a="1"/>
  <c r="G63" i="15" s="1"/>
  <c r="M72" i="15" a="1"/>
  <c r="M72" i="15" s="1"/>
  <c r="Q54" i="15" a="1"/>
  <c r="Q54" i="15" s="1"/>
  <c r="T67" i="15" a="1"/>
  <c r="T67" i="15" s="1"/>
  <c r="I45" i="15" a="1"/>
  <c r="I45" i="15" s="1"/>
  <c r="T45" i="15" a="1"/>
  <c r="T45" i="15" s="1"/>
  <c r="G45" i="15" a="1"/>
  <c r="G45" i="15" s="1"/>
  <c r="R45" i="15" a="1"/>
  <c r="R45" i="15" s="1"/>
  <c r="U45" i="15" a="1"/>
  <c r="U45" i="15" s="1"/>
  <c r="Y45" i="15" a="1"/>
  <c r="Y45" i="15" s="1"/>
  <c r="AA45" i="15" a="1"/>
  <c r="AA45" i="15" s="1"/>
  <c r="P45" i="15" a="1"/>
  <c r="P45" i="15" s="1"/>
  <c r="N45" i="15" a="1"/>
  <c r="N45" i="15" s="1"/>
  <c r="AF45" i="15" a="1"/>
  <c r="AF45" i="15" s="1"/>
  <c r="AE45" i="15" a="1"/>
  <c r="AE45" i="15" s="1"/>
  <c r="V45" i="15" a="1"/>
  <c r="V45" i="15" s="1"/>
  <c r="AD45" i="15" a="1"/>
  <c r="AD45" i="15" s="1"/>
  <c r="S45" i="15" a="1"/>
  <c r="S45" i="15" s="1"/>
  <c r="H45" i="15" a="1"/>
  <c r="H45" i="15" s="1"/>
  <c r="O45" i="15" a="1"/>
  <c r="O45" i="15" s="1"/>
  <c r="Q45" i="15" a="1"/>
  <c r="Q45" i="15" s="1"/>
  <c r="Z45" i="15" a="1"/>
  <c r="Z45" i="15" s="1"/>
  <c r="L45" i="15" a="1"/>
  <c r="L45" i="15" s="1"/>
  <c r="W45" i="15" a="1"/>
  <c r="W45" i="15" s="1"/>
  <c r="AC45" i="15" a="1"/>
  <c r="AC45" i="15" s="1"/>
  <c r="J45" i="15" a="1"/>
  <c r="J45" i="15" s="1"/>
  <c r="M45" i="15" a="1"/>
  <c r="M45" i="15" s="1"/>
  <c r="X45" i="15" a="1"/>
  <c r="X45" i="15" s="1"/>
  <c r="AB45" i="15" a="1"/>
  <c r="AB45" i="15" s="1"/>
  <c r="K45" i="15" a="1"/>
  <c r="K45" i="15" s="1"/>
  <c r="H299" i="16"/>
  <c r="B4" i="20"/>
  <c r="B13" i="20" s="1"/>
  <c r="Z46" i="15" a="1"/>
  <c r="Z46" i="15" s="1"/>
  <c r="Q46" i="15" a="1"/>
  <c r="Q46" i="15" s="1"/>
  <c r="T46" i="15" a="1"/>
  <c r="T46" i="15" s="1"/>
  <c r="AC46" i="15" a="1"/>
  <c r="AC46" i="15" s="1"/>
  <c r="I46" i="15" a="1"/>
  <c r="I46" i="15" s="1"/>
  <c r="AA46" i="15" a="1"/>
  <c r="AA46" i="15" s="1"/>
  <c r="X46" i="15" a="1"/>
  <c r="X46" i="15" s="1"/>
  <c r="Y46" i="15" a="1"/>
  <c r="Y46" i="15" s="1"/>
  <c r="P46" i="15" a="1"/>
  <c r="P46" i="15" s="1"/>
  <c r="N46" i="15" a="1"/>
  <c r="N46" i="15" s="1"/>
  <c r="AD46" i="15" a="1"/>
  <c r="AD46" i="15" s="1"/>
  <c r="R46" i="15" a="1"/>
  <c r="R46" i="15" s="1"/>
  <c r="L46" i="15" a="1"/>
  <c r="L46" i="15" s="1"/>
  <c r="M46" i="15" a="1"/>
  <c r="M46" i="15" s="1"/>
  <c r="H46" i="15" a="1"/>
  <c r="H46" i="15" s="1"/>
  <c r="G46" i="15" a="1"/>
  <c r="G46" i="15" s="1"/>
  <c r="J46" i="15" a="1"/>
  <c r="J46" i="15" s="1"/>
  <c r="AE46" i="15" a="1"/>
  <c r="AE46" i="15" s="1"/>
  <c r="K46" i="15" a="1"/>
  <c r="K46" i="15" s="1"/>
  <c r="AB46" i="15" a="1"/>
  <c r="AB46" i="15" s="1"/>
  <c r="W46" i="15" a="1"/>
  <c r="W46" i="15" s="1"/>
  <c r="S46" i="15" a="1"/>
  <c r="S46" i="15" s="1"/>
  <c r="O46" i="15" a="1"/>
  <c r="O46" i="15" s="1"/>
  <c r="AF46" i="15" a="1"/>
  <c r="AF46" i="15" s="1"/>
  <c r="U46" i="15" a="1"/>
  <c r="U46" i="15" s="1"/>
  <c r="V46" i="15" a="1"/>
  <c r="V46" i="15" s="1"/>
  <c r="I47" i="15" a="1"/>
  <c r="I47" i="15" s="1"/>
  <c r="AA47" i="15" a="1"/>
  <c r="AA47" i="15" s="1"/>
  <c r="R47" i="15" a="1"/>
  <c r="R47" i="15" s="1"/>
  <c r="K47" i="15" a="1"/>
  <c r="K47" i="15" s="1"/>
  <c r="AE47" i="15" a="1"/>
  <c r="AE47" i="15" s="1"/>
  <c r="X47" i="15" a="1"/>
  <c r="X47" i="15" s="1"/>
  <c r="T47" i="15" a="1"/>
  <c r="T47" i="15" s="1"/>
  <c r="N47" i="15" a="1"/>
  <c r="N47" i="15" s="1"/>
  <c r="P47" i="15" a="1"/>
  <c r="P47" i="15" s="1"/>
  <c r="W47" i="15" a="1"/>
  <c r="W47" i="15" s="1"/>
  <c r="M47" i="15" a="1"/>
  <c r="M47" i="15" s="1"/>
  <c r="AF47" i="15" a="1"/>
  <c r="AF47" i="15" s="1"/>
  <c r="G47" i="15" a="1"/>
  <c r="G47" i="15" s="1"/>
  <c r="S47" i="15" a="1"/>
  <c r="S47" i="15" s="1"/>
  <c r="H47" i="15" a="1"/>
  <c r="H47" i="15" s="1"/>
  <c r="AB47" i="15" a="1"/>
  <c r="AB47" i="15" s="1"/>
  <c r="U47" i="15" a="1"/>
  <c r="U47" i="15" s="1"/>
  <c r="Q47" i="15" a="1"/>
  <c r="Q47" i="15" s="1"/>
  <c r="AD47" i="15" a="1"/>
  <c r="AD47" i="15" s="1"/>
  <c r="V47" i="15" a="1"/>
  <c r="V47" i="15" s="1"/>
  <c r="J47" i="15" a="1"/>
  <c r="J47" i="15" s="1"/>
  <c r="Z47" i="15" a="1"/>
  <c r="Z47" i="15" s="1"/>
  <c r="AC47" i="15" a="1"/>
  <c r="AC47" i="15" s="1"/>
  <c r="L47" i="15" a="1"/>
  <c r="L47" i="15" s="1"/>
  <c r="Y47" i="15" a="1"/>
  <c r="Y47" i="15" s="1"/>
  <c r="O47" i="15" a="1"/>
  <c r="O47" i="15" s="1"/>
  <c r="T241" i="24"/>
  <c r="R233" i="24"/>
  <c r="R232" i="24"/>
  <c r="T251" i="24"/>
  <c r="K236" i="24"/>
  <c r="AB253" i="24"/>
  <c r="V235" i="24"/>
  <c r="O241" i="24"/>
  <c r="J255" i="24"/>
  <c r="W248" i="24"/>
  <c r="K231" i="24"/>
  <c r="M252" i="24"/>
  <c r="Y248" i="24"/>
  <c r="AE230" i="24"/>
  <c r="AD232" i="24"/>
  <c r="AA236" i="24"/>
  <c r="I233" i="24"/>
  <c r="Z252" i="24"/>
  <c r="R249" i="24"/>
  <c r="U232" i="24"/>
  <c r="Z230" i="24"/>
  <c r="AF241" i="24"/>
  <c r="Q242" i="24"/>
  <c r="AB230" i="24"/>
  <c r="AC233" i="24"/>
  <c r="T232" i="24"/>
  <c r="H254" i="24"/>
  <c r="AD248" i="24"/>
  <c r="Q241" i="24"/>
  <c r="K232" i="24"/>
  <c r="AB229" i="24"/>
  <c r="Q231" i="24"/>
  <c r="Q251" i="24"/>
  <c r="K229" i="24"/>
  <c r="Q236" i="24"/>
  <c r="I231" i="24"/>
  <c r="G236" i="24"/>
  <c r="Z241" i="24"/>
  <c r="K235" i="24"/>
  <c r="J252" i="24"/>
  <c r="U249" i="24"/>
  <c r="U252" i="24"/>
  <c r="T253" i="24"/>
  <c r="V234" i="24"/>
  <c r="P241" i="24"/>
  <c r="U255" i="24"/>
  <c r="H232" i="24"/>
  <c r="Z232" i="24"/>
  <c r="J229" i="24"/>
  <c r="Z242" i="24"/>
  <c r="S235" i="24"/>
  <c r="X252" i="24"/>
  <c r="M232" i="24"/>
  <c r="N230" i="24"/>
  <c r="U233" i="24"/>
  <c r="Z254" i="24"/>
  <c r="L234" i="24"/>
  <c r="U234" i="24"/>
  <c r="U226" i="24"/>
  <c r="W236" i="24"/>
  <c r="R253" i="24"/>
  <c r="AC236" i="24"/>
  <c r="AD251" i="24"/>
  <c r="I251" i="24"/>
  <c r="AD255" i="24"/>
  <c r="G227" i="24"/>
  <c r="T229" i="24"/>
  <c r="Y226" i="24"/>
  <c r="X253" i="24"/>
  <c r="H233" i="24"/>
  <c r="G229" i="24"/>
  <c r="K227" i="24"/>
  <c r="AA253" i="24"/>
  <c r="AB242" i="24"/>
  <c r="AE242" i="24"/>
  <c r="AA241" i="24"/>
  <c r="X232" i="24"/>
  <c r="H253" i="24"/>
  <c r="I254" i="24"/>
  <c r="Z248" i="24"/>
  <c r="W232" i="24"/>
  <c r="R248" i="24"/>
  <c r="M236" i="24"/>
  <c r="AB234" i="24"/>
  <c r="M253" i="24"/>
  <c r="P249" i="24"/>
  <c r="S227" i="24"/>
  <c r="N235" i="24"/>
  <c r="L229" i="24"/>
  <c r="X229" i="24"/>
  <c r="Z229" i="24"/>
  <c r="S255" i="24"/>
  <c r="V249" i="24"/>
  <c r="Z234" i="24"/>
  <c r="P242" i="24"/>
  <c r="L232" i="24"/>
  <c r="R242" i="24"/>
  <c r="J251" i="24"/>
  <c r="U241" i="24"/>
  <c r="Q253" i="24"/>
  <c r="Q248" i="24"/>
  <c r="W231" i="24"/>
  <c r="AA235" i="24"/>
  <c r="AB227" i="24"/>
  <c r="Q254" i="24"/>
  <c r="V248" i="24"/>
  <c r="AD242" i="24"/>
  <c r="H252" i="24"/>
  <c r="W255" i="24"/>
  <c r="G255" i="24"/>
  <c r="Y235" i="24"/>
  <c r="M242" i="24"/>
  <c r="O230" i="24"/>
  <c r="L241" i="24"/>
  <c r="O227" i="24"/>
  <c r="AC235" i="24"/>
  <c r="H231" i="24"/>
  <c r="K234" i="24"/>
  <c r="M233" i="24"/>
  <c r="W229" i="24"/>
  <c r="P227" i="24"/>
  <c r="I226" i="24"/>
  <c r="AB248" i="24"/>
  <c r="S225" i="24"/>
  <c r="P225" i="24"/>
  <c r="T250" i="24"/>
  <c r="L250" i="24"/>
  <c r="W225" i="24"/>
  <c r="AE225" i="24"/>
  <c r="T225" i="24"/>
  <c r="K225" i="24"/>
  <c r="AC250" i="24"/>
  <c r="Y250" i="24"/>
  <c r="X250" i="24"/>
  <c r="M250" i="24"/>
  <c r="R225" i="24"/>
  <c r="G228" i="24"/>
  <c r="X228" i="24"/>
  <c r="AE228" i="24"/>
  <c r="Z228" i="24"/>
  <c r="U228" i="24"/>
  <c r="T228" i="24"/>
  <c r="W228" i="24"/>
  <c r="R252" i="24"/>
  <c r="AF255" i="24"/>
  <c r="X233" i="24"/>
  <c r="G248" i="24"/>
  <c r="K254" i="24"/>
  <c r="N252" i="24"/>
  <c r="H242" i="24"/>
  <c r="N249" i="24"/>
  <c r="O242" i="24"/>
  <c r="H236" i="24"/>
  <c r="V254" i="24"/>
  <c r="M248" i="24"/>
  <c r="Z236" i="24"/>
  <c r="I236" i="24"/>
  <c r="T255" i="24"/>
  <c r="G235" i="24"/>
  <c r="H226" i="24"/>
  <c r="AB251" i="24"/>
  <c r="AB226" i="24"/>
  <c r="AB232" i="24"/>
  <c r="N233" i="24"/>
  <c r="K249" i="24"/>
  <c r="Z227" i="24"/>
  <c r="AC253" i="24"/>
  <c r="L233" i="24"/>
  <c r="T233" i="24"/>
  <c r="W233" i="24"/>
  <c r="AE229" i="24"/>
  <c r="S226" i="24"/>
  <c r="N232" i="24"/>
  <c r="M241" i="24"/>
  <c r="AF227" i="24"/>
  <c r="S234" i="24"/>
  <c r="I230" i="24"/>
  <c r="AE227" i="24"/>
  <c r="Q229" i="24"/>
  <c r="O251" i="24"/>
  <c r="X231" i="24"/>
  <c r="W252" i="24"/>
  <c r="K255" i="24"/>
  <c r="O235" i="24"/>
  <c r="T230" i="24"/>
  <c r="X248" i="24"/>
  <c r="O253" i="24"/>
  <c r="AB233" i="24"/>
  <c r="P255" i="24"/>
  <c r="Y230" i="24"/>
  <c r="AC248" i="24"/>
  <c r="K248" i="24"/>
  <c r="T242" i="24"/>
  <c r="H251" i="24"/>
  <c r="AD252" i="24"/>
  <c r="J236" i="24"/>
  <c r="P231" i="24"/>
  <c r="AA252" i="24"/>
  <c r="W235" i="24"/>
  <c r="I227" i="24"/>
  <c r="P234" i="24"/>
  <c r="AA227" i="24"/>
  <c r="AB255" i="24"/>
  <c r="J254" i="24"/>
  <c r="N226" i="24"/>
  <c r="K252" i="24"/>
  <c r="L252" i="24"/>
  <c r="AC254" i="24"/>
  <c r="AE251" i="24"/>
  <c r="N229" i="24"/>
  <c r="Y252" i="24"/>
  <c r="S252" i="24"/>
  <c r="J248" i="24"/>
  <c r="T249" i="24"/>
  <c r="J253" i="24"/>
  <c r="P235" i="24"/>
  <c r="AA233" i="24"/>
  <c r="M249" i="24"/>
  <c r="K242" i="24"/>
  <c r="V251" i="24"/>
  <c r="G233" i="24"/>
  <c r="AD229" i="24"/>
  <c r="V226" i="24"/>
  <c r="L230" i="24"/>
  <c r="AE254" i="24"/>
  <c r="I255" i="24"/>
  <c r="Q255" i="24"/>
  <c r="J242" i="24"/>
  <c r="Z233" i="24"/>
  <c r="V227" i="24"/>
  <c r="J241" i="24"/>
  <c r="Z253" i="24"/>
  <c r="I248" i="24"/>
  <c r="AF231" i="24"/>
  <c r="AF252" i="24"/>
  <c r="O249" i="24"/>
  <c r="T234" i="24"/>
  <c r="S233" i="24"/>
  <c r="U253" i="24"/>
  <c r="O229" i="24"/>
  <c r="AA248" i="24"/>
  <c r="AA254" i="24"/>
  <c r="AB236" i="24"/>
  <c r="AD235" i="24"/>
  <c r="O226" i="24"/>
  <c r="L251" i="24"/>
  <c r="J234" i="24"/>
  <c r="AC241" i="24"/>
  <c r="AE248" i="24"/>
  <c r="AD233" i="24"/>
  <c r="K230" i="24"/>
  <c r="AA229" i="24"/>
  <c r="O255" i="24"/>
  <c r="G252" i="24"/>
  <c r="Y255" i="24"/>
  <c r="I249" i="24"/>
  <c r="AC227" i="24"/>
  <c r="V230" i="24"/>
  <c r="I253" i="24"/>
  <c r="AA249" i="24"/>
  <c r="W230" i="24"/>
  <c r="L235" i="24"/>
  <c r="AE234" i="24"/>
  <c r="Q230" i="24"/>
  <c r="Y241" i="24"/>
  <c r="Y232" i="24"/>
  <c r="O225" i="24"/>
  <c r="P250" i="24"/>
  <c r="Z225" i="24"/>
  <c r="Z250" i="24"/>
  <c r="AD225" i="24"/>
  <c r="AB225" i="24"/>
  <c r="N225" i="24"/>
  <c r="H225" i="24"/>
  <c r="G250" i="24"/>
  <c r="AC225" i="24"/>
  <c r="Q225" i="24"/>
  <c r="O250" i="24"/>
  <c r="J225" i="24"/>
  <c r="H228" i="24"/>
  <c r="AC228" i="24"/>
  <c r="P228" i="24"/>
  <c r="I228" i="24"/>
  <c r="Q228" i="24"/>
  <c r="R228" i="24"/>
  <c r="M228" i="24"/>
  <c r="R236" i="24"/>
  <c r="AD230" i="24"/>
  <c r="AA251" i="24"/>
  <c r="G242" i="24"/>
  <c r="Y254" i="24"/>
  <c r="N231" i="24"/>
  <c r="Z231" i="24"/>
  <c r="I252" i="24"/>
  <c r="S241" i="24"/>
  <c r="N251" i="24"/>
  <c r="N254" i="24"/>
  <c r="P248" i="24"/>
  <c r="W254" i="24"/>
  <c r="P251" i="24"/>
  <c r="P233" i="24"/>
  <c r="J249" i="24"/>
  <c r="S249" i="24"/>
  <c r="O232" i="24"/>
  <c r="U242" i="24"/>
  <c r="AB254" i="24"/>
  <c r="AD231" i="24"/>
  <c r="Y231" i="24"/>
  <c r="J226" i="24"/>
  <c r="AE253" i="24"/>
  <c r="V255" i="24"/>
  <c r="X236" i="24"/>
  <c r="R254" i="24"/>
  <c r="G253" i="24"/>
  <c r="P236" i="24"/>
  <c r="AF253" i="24"/>
  <c r="AE231" i="24"/>
  <c r="S236" i="24"/>
  <c r="V229" i="24"/>
  <c r="AA226" i="24"/>
  <c r="M251" i="24"/>
  <c r="W251" i="24"/>
  <c r="AE232" i="24"/>
  <c r="X242" i="24"/>
  <c r="AC229" i="24"/>
  <c r="R229" i="24"/>
  <c r="L242" i="24"/>
  <c r="Y236" i="24"/>
  <c r="X254" i="24"/>
  <c r="M230" i="24"/>
  <c r="W234" i="24"/>
  <c r="U248" i="24"/>
  <c r="G226" i="24"/>
  <c r="G230" i="24"/>
  <c r="AE236" i="24"/>
  <c r="X226" i="24"/>
  <c r="AF232" i="24"/>
  <c r="J227" i="24"/>
  <c r="T254" i="24"/>
  <c r="U236" i="24"/>
  <c r="AF230" i="24"/>
  <c r="AC242" i="24"/>
  <c r="AC252" i="24"/>
  <c r="Q232" i="24"/>
  <c r="N234" i="24"/>
  <c r="I229" i="24"/>
  <c r="AF236" i="24"/>
  <c r="H249" i="24"/>
  <c r="Q235" i="24"/>
  <c r="AD236" i="24"/>
  <c r="O252" i="24"/>
  <c r="G249" i="24"/>
  <c r="AF242" i="24"/>
  <c r="I235" i="24"/>
  <c r="Y233" i="24"/>
  <c r="AF248" i="24"/>
  <c r="T235" i="24"/>
  <c r="R234" i="24"/>
  <c r="T248" i="24"/>
  <c r="T252" i="24"/>
  <c r="L227" i="24"/>
  <c r="S254" i="24"/>
  <c r="Z226" i="24"/>
  <c r="U251" i="24"/>
  <c r="M226" i="24"/>
  <c r="X249" i="24"/>
  <c r="W253" i="24"/>
  <c r="J230" i="24"/>
  <c r="N255" i="24"/>
  <c r="M254" i="24"/>
  <c r="U235" i="24"/>
  <c r="L226" i="24"/>
  <c r="AF234" i="24"/>
  <c r="G251" i="24"/>
  <c r="R241" i="24"/>
  <c r="P232" i="24"/>
  <c r="I241" i="24"/>
  <c r="V232" i="24"/>
  <c r="AA255" i="24"/>
  <c r="P229" i="24"/>
  <c r="AF229" i="24"/>
  <c r="S242" i="24"/>
  <c r="V236" i="24"/>
  <c r="Z235" i="24"/>
  <c r="S232" i="24"/>
  <c r="G234" i="24"/>
  <c r="Y251" i="24"/>
  <c r="X251" i="24"/>
  <c r="J235" i="24"/>
  <c r="AD253" i="24"/>
  <c r="T231" i="24"/>
  <c r="R227" i="24"/>
  <c r="S230" i="24"/>
  <c r="X241" i="24"/>
  <c r="S253" i="24"/>
  <c r="AE249" i="24"/>
  <c r="M235" i="24"/>
  <c r="J231" i="24"/>
  <c r="H230" i="24"/>
  <c r="T227" i="24"/>
  <c r="J232" i="24"/>
  <c r="W227" i="24"/>
  <c r="N236" i="24"/>
  <c r="G232" i="24"/>
  <c r="L253" i="24"/>
  <c r="V252" i="24"/>
  <c r="T236" i="24"/>
  <c r="N248" i="24"/>
  <c r="AC230" i="24"/>
  <c r="Q226" i="24"/>
  <c r="S250" i="24"/>
  <c r="W250" i="24"/>
  <c r="AD250" i="24"/>
  <c r="V250" i="24"/>
  <c r="G225" i="24"/>
  <c r="X225" i="24"/>
  <c r="AA225" i="24"/>
  <c r="AF225" i="24"/>
  <c r="L225" i="24"/>
  <c r="N250" i="24"/>
  <c r="AF250" i="24"/>
  <c r="AA250" i="24"/>
  <c r="M225" i="24"/>
  <c r="L228" i="24"/>
  <c r="V228" i="24"/>
  <c r="AA228" i="24"/>
  <c r="O228" i="24"/>
  <c r="S228" i="24"/>
  <c r="K228" i="24"/>
  <c r="AF254" i="24"/>
  <c r="Q249" i="24"/>
  <c r="AF233" i="24"/>
  <c r="R230" i="24"/>
  <c r="V242" i="24"/>
  <c r="H255" i="24"/>
  <c r="Y253" i="24"/>
  <c r="AD254" i="24"/>
  <c r="U230" i="24"/>
  <c r="AA230" i="24"/>
  <c r="G241" i="24"/>
  <c r="P254" i="24"/>
  <c r="K233" i="24"/>
  <c r="V253" i="24"/>
  <c r="T226" i="24"/>
  <c r="U254" i="24"/>
  <c r="AE241" i="24"/>
  <c r="I234" i="24"/>
  <c r="Z251" i="24"/>
  <c r="O248" i="24"/>
  <c r="AB241" i="24"/>
  <c r="P230" i="24"/>
  <c r="R226" i="24"/>
  <c r="R235" i="24"/>
  <c r="M227" i="24"/>
  <c r="AF235" i="24"/>
  <c r="AB249" i="24"/>
  <c r="H227" i="24"/>
  <c r="S248" i="24"/>
  <c r="K253" i="24"/>
  <c r="I242" i="24"/>
  <c r="O236" i="24"/>
  <c r="X234" i="24"/>
  <c r="L254" i="24"/>
  <c r="Y227" i="24"/>
  <c r="AC234" i="24"/>
  <c r="AA234" i="24"/>
  <c r="U227" i="24"/>
  <c r="AD234" i="24"/>
  <c r="H248" i="24"/>
  <c r="AB235" i="24"/>
  <c r="H229" i="24"/>
  <c r="AC251" i="24"/>
  <c r="W249" i="24"/>
  <c r="O234" i="24"/>
  <c r="AE235" i="24"/>
  <c r="G231" i="24"/>
  <c r="R255" i="24"/>
  <c r="R251" i="24"/>
  <c r="M229" i="24"/>
  <c r="Y234" i="24"/>
  <c r="Q227" i="24"/>
  <c r="AC226" i="24"/>
  <c r="Z255" i="24"/>
  <c r="L255" i="24"/>
  <c r="AF226" i="24"/>
  <c r="AD241" i="24"/>
  <c r="Z249" i="24"/>
  <c r="AE226" i="24"/>
  <c r="AD226" i="24"/>
  <c r="L249" i="24"/>
  <c r="M255" i="24"/>
  <c r="U231" i="24"/>
  <c r="X227" i="24"/>
  <c r="AD249" i="24"/>
  <c r="K241" i="24"/>
  <c r="AE255" i="24"/>
  <c r="O233" i="24"/>
  <c r="P253" i="24"/>
  <c r="U229" i="24"/>
  <c r="Q252" i="24"/>
  <c r="P252" i="24"/>
  <c r="AC249" i="24"/>
  <c r="X255" i="24"/>
  <c r="Y229" i="24"/>
  <c r="N241" i="24"/>
  <c r="S231" i="24"/>
  <c r="AC255" i="24"/>
  <c r="S229" i="24"/>
  <c r="AF249" i="24"/>
  <c r="J233" i="24"/>
  <c r="L248" i="24"/>
  <c r="N227" i="24"/>
  <c r="AA242" i="24"/>
  <c r="V241" i="24"/>
  <c r="N242" i="24"/>
  <c r="W226" i="24"/>
  <c r="P226" i="24"/>
  <c r="AA231" i="24"/>
  <c r="X230" i="24"/>
  <c r="H241" i="24"/>
  <c r="N253" i="24"/>
  <c r="Q234" i="24"/>
  <c r="O231" i="24"/>
  <c r="Y249" i="24"/>
  <c r="AE233" i="24"/>
  <c r="G254" i="24"/>
  <c r="H235" i="24"/>
  <c r="AC232" i="24"/>
  <c r="M231" i="24"/>
  <c r="K251" i="24"/>
  <c r="V233" i="24"/>
  <c r="O254" i="24"/>
  <c r="AF251" i="24"/>
  <c r="I232" i="24"/>
  <c r="AB231" i="24"/>
  <c r="AE252" i="24"/>
  <c r="L236" i="24"/>
  <c r="V231" i="24"/>
  <c r="X235" i="24"/>
  <c r="K226" i="24"/>
  <c r="AD227" i="24"/>
  <c r="M234" i="24"/>
  <c r="AC231" i="24"/>
  <c r="AB252" i="24"/>
  <c r="Y242" i="24"/>
  <c r="H234" i="24"/>
  <c r="S251" i="24"/>
  <c r="W241" i="24"/>
  <c r="L231" i="24"/>
  <c r="AA232" i="24"/>
  <c r="Q233" i="24"/>
  <c r="W242" i="24"/>
  <c r="R231" i="24"/>
  <c r="K250" i="24"/>
  <c r="J250" i="24"/>
  <c r="R250" i="24"/>
  <c r="Q250" i="24"/>
  <c r="I250" i="24"/>
  <c r="I225" i="24"/>
  <c r="Y225" i="24"/>
  <c r="V225" i="24"/>
  <c r="H250" i="24"/>
  <c r="AB250" i="24"/>
  <c r="U250" i="24"/>
  <c r="AE250" i="24"/>
  <c r="U225" i="24"/>
  <c r="AB228" i="24"/>
  <c r="N228" i="24"/>
  <c r="J228" i="24"/>
  <c r="AD228" i="24"/>
  <c r="Y228" i="24"/>
  <c r="AF228" i="24"/>
  <c r="K245" i="24"/>
  <c r="AB245" i="24"/>
  <c r="H245" i="24"/>
  <c r="N245" i="24"/>
  <c r="AC245" i="24"/>
  <c r="S245" i="24"/>
  <c r="Y243" i="24"/>
  <c r="S243" i="24"/>
  <c r="T243" i="24"/>
  <c r="X243" i="24"/>
  <c r="Q243" i="24"/>
  <c r="U243" i="24"/>
  <c r="W243" i="24"/>
  <c r="S240" i="24"/>
  <c r="M246" i="24"/>
  <c r="AE246" i="24"/>
  <c r="I246" i="24"/>
  <c r="AB246" i="24"/>
  <c r="R246" i="24"/>
  <c r="N246" i="24"/>
  <c r="Y246" i="24"/>
  <c r="AA244" i="24"/>
  <c r="K244" i="24"/>
  <c r="AB244" i="24"/>
  <c r="AE244" i="24"/>
  <c r="Q244" i="24"/>
  <c r="O244" i="24"/>
  <c r="J244" i="24"/>
  <c r="AD237" i="24"/>
  <c r="O237" i="24"/>
  <c r="Y237" i="24"/>
  <c r="T237" i="24"/>
  <c r="P237" i="24"/>
  <c r="AA237" i="24"/>
  <c r="Y239" i="24"/>
  <c r="X239" i="24"/>
  <c r="L239" i="24"/>
  <c r="T239" i="24"/>
  <c r="M239" i="24"/>
  <c r="W239" i="24"/>
  <c r="O239" i="24"/>
  <c r="L238" i="24"/>
  <c r="X238" i="24"/>
  <c r="M238" i="24"/>
  <c r="AE238" i="24"/>
  <c r="T238" i="24"/>
  <c r="R238" i="24"/>
  <c r="G238" i="24"/>
  <c r="Y247" i="24"/>
  <c r="R245" i="24"/>
  <c r="Q245" i="24"/>
  <c r="AF245" i="24"/>
  <c r="W245" i="24"/>
  <c r="L245" i="24"/>
  <c r="AD245" i="24"/>
  <c r="K243" i="24"/>
  <c r="AA243" i="24"/>
  <c r="J243" i="24"/>
  <c r="I243" i="24"/>
  <c r="Z243" i="24"/>
  <c r="O243" i="24"/>
  <c r="AE243" i="24"/>
  <c r="U247" i="24"/>
  <c r="AF246" i="24"/>
  <c r="P246" i="24"/>
  <c r="U246" i="24"/>
  <c r="AD246" i="24"/>
  <c r="W246" i="24"/>
  <c r="G246" i="24"/>
  <c r="P244" i="24"/>
  <c r="W244" i="24"/>
  <c r="AD244" i="24"/>
  <c r="L244" i="24"/>
  <c r="G244" i="24"/>
  <c r="Z244" i="24"/>
  <c r="R237" i="24"/>
  <c r="V237" i="24"/>
  <c r="I237" i="24"/>
  <c r="X237" i="24"/>
  <c r="M237" i="24"/>
  <c r="G237" i="24"/>
  <c r="Q239" i="24"/>
  <c r="AF239" i="24"/>
  <c r="V239" i="24"/>
  <c r="R239" i="24"/>
  <c r="P239" i="24"/>
  <c r="S239" i="24"/>
  <c r="G239" i="24"/>
  <c r="N238" i="24"/>
  <c r="AD238" i="24"/>
  <c r="P238" i="24"/>
  <c r="AB238" i="24"/>
  <c r="S238" i="24"/>
  <c r="V238" i="24"/>
  <c r="AF238" i="24"/>
  <c r="V240" i="24"/>
  <c r="L247" i="24"/>
  <c r="V245" i="24"/>
  <c r="P245" i="24"/>
  <c r="AA245" i="24"/>
  <c r="T245" i="24"/>
  <c r="G245" i="24"/>
  <c r="AE245" i="24"/>
  <c r="U245" i="24"/>
  <c r="AF243" i="24"/>
  <c r="N243" i="24"/>
  <c r="L243" i="24"/>
  <c r="R243" i="24"/>
  <c r="AD243" i="24"/>
  <c r="AC243" i="24"/>
  <c r="G240" i="24"/>
  <c r="U240" i="24"/>
  <c r="J246" i="24"/>
  <c r="AC246" i="24"/>
  <c r="Q246" i="24"/>
  <c r="AA246" i="24"/>
  <c r="X246" i="24"/>
  <c r="K246" i="24"/>
  <c r="T244" i="24"/>
  <c r="R244" i="24"/>
  <c r="Y244" i="24"/>
  <c r="N244" i="24"/>
  <c r="AC244" i="24"/>
  <c r="X244" i="24"/>
  <c r="N237" i="24"/>
  <c r="K237" i="24"/>
  <c r="AF237" i="24"/>
  <c r="L237" i="24"/>
  <c r="W237" i="24"/>
  <c r="Z237" i="24"/>
  <c r="J237" i="24"/>
  <c r="K239" i="24"/>
  <c r="AA239" i="24"/>
  <c r="H239" i="24"/>
  <c r="Z239" i="24"/>
  <c r="I239" i="24"/>
  <c r="U239" i="24"/>
  <c r="U238" i="24"/>
  <c r="AC238" i="24"/>
  <c r="Z238" i="24"/>
  <c r="Q238" i="24"/>
  <c r="O238" i="24"/>
  <c r="H238" i="24"/>
  <c r="AF247" i="24"/>
  <c r="AC247" i="24"/>
  <c r="X245" i="24"/>
  <c r="O245" i="24"/>
  <c r="J245" i="24"/>
  <c r="M245" i="24"/>
  <c r="I245" i="24"/>
  <c r="Z245" i="24"/>
  <c r="Y245" i="24"/>
  <c r="AB243" i="24"/>
  <c r="P243" i="24"/>
  <c r="H243" i="24"/>
  <c r="G243" i="24"/>
  <c r="M243" i="24"/>
  <c r="V243" i="24"/>
  <c r="P247" i="24"/>
  <c r="T246" i="24"/>
  <c r="Z246" i="24"/>
  <c r="O246" i="24"/>
  <c r="V246" i="24"/>
  <c r="H246" i="24"/>
  <c r="S246" i="24"/>
  <c r="L246" i="24"/>
  <c r="U244" i="24"/>
  <c r="AF244" i="24"/>
  <c r="H244" i="24"/>
  <c r="M244" i="24"/>
  <c r="S244" i="24"/>
  <c r="I244" i="24"/>
  <c r="V244" i="24"/>
  <c r="H237" i="24"/>
  <c r="AB237" i="24"/>
  <c r="S237" i="24"/>
  <c r="U237" i="24"/>
  <c r="AE237" i="24"/>
  <c r="AC237" i="24"/>
  <c r="Q237" i="24"/>
  <c r="AB239" i="24"/>
  <c r="AD239" i="24"/>
  <c r="N239" i="24"/>
  <c r="AE239" i="24"/>
  <c r="J239" i="24"/>
  <c r="AC239" i="24"/>
  <c r="J238" i="24"/>
  <c r="AA238" i="24"/>
  <c r="I238" i="24"/>
  <c r="K238" i="24"/>
  <c r="Y238" i="24"/>
  <c r="W238" i="24"/>
  <c r="Q247" i="24"/>
  <c r="R51" i="15" a="1"/>
  <c r="R51" i="15" s="1"/>
  <c r="O51" i="15" a="1"/>
  <c r="O51" i="15" s="1"/>
  <c r="G51" i="15" a="1"/>
  <c r="G51" i="15" s="1"/>
  <c r="J51" i="15" a="1"/>
  <c r="J51" i="15" s="1"/>
  <c r="I51" i="15" a="1"/>
  <c r="I51" i="15" s="1"/>
  <c r="Y51" i="15" a="1"/>
  <c r="Y51" i="15" s="1"/>
  <c r="AC51" i="15" a="1"/>
  <c r="AC51" i="15" s="1"/>
  <c r="H51" i="15" a="1"/>
  <c r="H51" i="15" s="1"/>
  <c r="W51" i="15" a="1"/>
  <c r="W51" i="15" s="1"/>
  <c r="AB51" i="15" a="1"/>
  <c r="AB51" i="15" s="1"/>
  <c r="Q51" i="15" a="1"/>
  <c r="Q51" i="15" s="1"/>
  <c r="AF51" i="15" a="1"/>
  <c r="AF51" i="15" s="1"/>
  <c r="Z51" i="15" a="1"/>
  <c r="Z51" i="15" s="1"/>
  <c r="L51" i="15" a="1"/>
  <c r="L51" i="15" s="1"/>
  <c r="V51" i="15" a="1"/>
  <c r="V51" i="15" s="1"/>
  <c r="M51" i="15" a="1"/>
  <c r="M51" i="15" s="1"/>
  <c r="U51" i="15" a="1"/>
  <c r="U51" i="15" s="1"/>
  <c r="AA51" i="15" a="1"/>
  <c r="AA51" i="15" s="1"/>
  <c r="P51" i="15" a="1"/>
  <c r="P51" i="15" s="1"/>
  <c r="S51" i="15" a="1"/>
  <c r="S51" i="15" s="1"/>
  <c r="X51" i="15" a="1"/>
  <c r="X51" i="15" s="1"/>
  <c r="AD51" i="15" a="1"/>
  <c r="AD51" i="15" s="1"/>
  <c r="T51" i="15" a="1"/>
  <c r="T51" i="15" s="1"/>
  <c r="N51" i="15" a="1"/>
  <c r="N51" i="15" s="1"/>
  <c r="K51" i="15" a="1"/>
  <c r="K51" i="15" s="1"/>
  <c r="AE51" i="15" a="1"/>
  <c r="AE51" i="15" s="1"/>
  <c r="Z57" i="15" a="1"/>
  <c r="Z57" i="15" s="1"/>
  <c r="W57" i="15" a="1"/>
  <c r="W57" i="15" s="1"/>
  <c r="R57" i="15" a="1"/>
  <c r="R57" i="15" s="1"/>
  <c r="V57" i="15" a="1"/>
  <c r="V57" i="15" s="1"/>
  <c r="AB57" i="15" a="1"/>
  <c r="AB57" i="15" s="1"/>
  <c r="Y57" i="15" a="1"/>
  <c r="Y57" i="15" s="1"/>
  <c r="AA63" i="15" a="1"/>
  <c r="AA63" i="15" s="1"/>
  <c r="Q63" i="15" a="1"/>
  <c r="Q63" i="15" s="1"/>
  <c r="J63" i="15" a="1"/>
  <c r="J63" i="15" s="1"/>
  <c r="O72" i="15" a="1"/>
  <c r="O72" i="15" s="1"/>
  <c r="L72" i="15" a="1"/>
  <c r="L72" i="15" s="1"/>
  <c r="AC72" i="15" a="1"/>
  <c r="AC72" i="15" s="1"/>
  <c r="P72" i="15" a="1"/>
  <c r="P72" i="15" s="1"/>
  <c r="I72" i="15" a="1"/>
  <c r="I72" i="15" s="1"/>
  <c r="G72" i="15" a="1"/>
  <c r="G72" i="15" s="1"/>
  <c r="AF72" i="15" a="1"/>
  <c r="AF72" i="15" s="1"/>
  <c r="AF48" i="15" a="1"/>
  <c r="AF48" i="15" s="1"/>
  <c r="H48" i="15" a="1"/>
  <c r="H48" i="15" s="1"/>
  <c r="G48" i="15" a="1"/>
  <c r="G48" i="15" s="1"/>
  <c r="AD48" i="15" a="1"/>
  <c r="AD48" i="15" s="1"/>
  <c r="AB48" i="15" a="1"/>
  <c r="AB48" i="15" s="1"/>
  <c r="P48" i="15" a="1"/>
  <c r="P48" i="15" s="1"/>
  <c r="AE54" i="15" a="1"/>
  <c r="AE54" i="15" s="1"/>
  <c r="W54" i="15" a="1"/>
  <c r="W54" i="15" s="1"/>
  <c r="T54" i="15" a="1"/>
  <c r="T54" i="15" s="1"/>
  <c r="G54" i="15" a="1"/>
  <c r="G54" i="15" s="1"/>
  <c r="L54" i="15" a="1"/>
  <c r="L54" i="15" s="1"/>
  <c r="AC54" i="15" a="1"/>
  <c r="AC54" i="15" s="1"/>
  <c r="J54" i="15" a="1"/>
  <c r="J54" i="15" s="1"/>
  <c r="R70" i="15" a="1"/>
  <c r="R70" i="15" s="1"/>
  <c r="AF70" i="15" a="1"/>
  <c r="AF70" i="15" s="1"/>
  <c r="V70" i="15" a="1"/>
  <c r="V70" i="15" s="1"/>
  <c r="AA70" i="15" a="1"/>
  <c r="AA70" i="15" s="1"/>
  <c r="G70" i="15" a="1"/>
  <c r="G70" i="15" s="1"/>
  <c r="AE70" i="15" a="1"/>
  <c r="AE70" i="15" s="1"/>
  <c r="M75" i="15" a="1"/>
  <c r="M75" i="15" s="1"/>
  <c r="J75" i="15" a="1"/>
  <c r="J75" i="15" s="1"/>
  <c r="Z75" i="15" a="1"/>
  <c r="Z75" i="15" s="1"/>
  <c r="W75" i="15" a="1"/>
  <c r="W75" i="15" s="1"/>
  <c r="X75" i="15" a="1"/>
  <c r="X75" i="15" s="1"/>
  <c r="AE75" i="15" a="1"/>
  <c r="AE75" i="15" s="1"/>
  <c r="AD75" i="15" a="1"/>
  <c r="AD75" i="15" s="1"/>
  <c r="AB63" i="15" a="1"/>
  <c r="AB63" i="15" s="1"/>
  <c r="T63" i="15" a="1"/>
  <c r="T63" i="15" s="1"/>
  <c r="V63" i="15" a="1"/>
  <c r="V63" i="15" s="1"/>
  <c r="M57" i="15" a="1"/>
  <c r="M57" i="15" s="1"/>
  <c r="N57" i="15" a="1"/>
  <c r="N57" i="15" s="1"/>
  <c r="H57" i="15" a="1"/>
  <c r="H57" i="15" s="1"/>
  <c r="AE57" i="15" a="1"/>
  <c r="AE57" i="15" s="1"/>
  <c r="P57" i="15" a="1"/>
  <c r="P57" i="15" s="1"/>
  <c r="O57" i="15" a="1"/>
  <c r="O57" i="15" s="1"/>
  <c r="M64" i="15" a="1"/>
  <c r="M64" i="15" s="1"/>
  <c r="G64" i="15" a="1"/>
  <c r="G64" i="15" s="1"/>
  <c r="J64" i="15" a="1"/>
  <c r="J64" i="15" s="1"/>
  <c r="W64" i="15" a="1"/>
  <c r="W64" i="15" s="1"/>
  <c r="AD64" i="15" a="1"/>
  <c r="AD64" i="15" s="1"/>
  <c r="AF64" i="15" a="1"/>
  <c r="AF64" i="15" s="1"/>
  <c r="U59" i="15" a="1"/>
  <c r="U59" i="15" s="1"/>
  <c r="W59" i="15" a="1"/>
  <c r="W59" i="15" s="1"/>
  <c r="H59" i="15" a="1"/>
  <c r="H59" i="15" s="1"/>
  <c r="AF59" i="15" a="1"/>
  <c r="AF59" i="15" s="1"/>
  <c r="N59" i="15" a="1"/>
  <c r="N59" i="15" s="1"/>
  <c r="AE59" i="15" a="1"/>
  <c r="AE59" i="15" s="1"/>
  <c r="P67" i="15" a="1"/>
  <c r="P67" i="15" s="1"/>
  <c r="U67" i="15" a="1"/>
  <c r="U67" i="15" s="1"/>
  <c r="M67" i="15" a="1"/>
  <c r="M67" i="15" s="1"/>
  <c r="V67" i="15" a="1"/>
  <c r="V67" i="15" s="1"/>
  <c r="AA67" i="15" a="1"/>
  <c r="AA67" i="15" s="1"/>
  <c r="AF67" i="15" a="1"/>
  <c r="AF67" i="15" s="1"/>
  <c r="AE63" i="15" a="1"/>
  <c r="AE63" i="15" s="1"/>
  <c r="R63" i="15" a="1"/>
  <c r="R63" i="15" s="1"/>
  <c r="X66" i="15" a="1"/>
  <c r="X66" i="15" s="1"/>
  <c r="AF66" i="15" a="1"/>
  <c r="AF66" i="15" s="1"/>
  <c r="AE66" i="15" a="1"/>
  <c r="AE66" i="15" s="1"/>
  <c r="T66" i="15" a="1"/>
  <c r="T66" i="15" s="1"/>
  <c r="G66" i="15" a="1"/>
  <c r="G66" i="15" s="1"/>
  <c r="AB66" i="15" a="1"/>
  <c r="AB66" i="15" s="1"/>
  <c r="AC66" i="15" a="1"/>
  <c r="AC66" i="15" s="1"/>
  <c r="H63" i="15" a="1"/>
  <c r="H63" i="15" s="1"/>
  <c r="AC63" i="15" a="1"/>
  <c r="AC63" i="15" s="1"/>
  <c r="AB58" i="15" a="1"/>
  <c r="AB58" i="15" s="1"/>
  <c r="Y58" i="15" a="1"/>
  <c r="Y58" i="15" s="1"/>
  <c r="AD58" i="15" a="1"/>
  <c r="AD58" i="15" s="1"/>
  <c r="G58" i="15" a="1"/>
  <c r="G58" i="15" s="1"/>
  <c r="L58" i="15" a="1"/>
  <c r="L58" i="15" s="1"/>
  <c r="Z58" i="15" a="1"/>
  <c r="Z58" i="15" s="1"/>
  <c r="M247" i="24"/>
  <c r="H240" i="24"/>
  <c r="H72" i="15" a="1"/>
  <c r="H72" i="15" s="1"/>
  <c r="Y72" i="15" a="1"/>
  <c r="Y72" i="15" s="1"/>
  <c r="AE72" i="15" a="1"/>
  <c r="AE72" i="15" s="1"/>
  <c r="X72" i="15" a="1"/>
  <c r="X72" i="15" s="1"/>
  <c r="AB72" i="15" a="1"/>
  <c r="AB72" i="15" s="1"/>
  <c r="T48" i="15" a="1"/>
  <c r="T48" i="15" s="1"/>
  <c r="Y48" i="15" a="1"/>
  <c r="Y48" i="15" s="1"/>
  <c r="O48" i="15" a="1"/>
  <c r="O48" i="15" s="1"/>
  <c r="AA48" i="15" a="1"/>
  <c r="AA48" i="15" s="1"/>
  <c r="K48" i="15" a="1"/>
  <c r="K48" i="15" s="1"/>
  <c r="Z48" i="15" a="1"/>
  <c r="Z48" i="15" s="1"/>
  <c r="X54" i="15" a="1"/>
  <c r="X54" i="15" s="1"/>
  <c r="H54" i="15" a="1"/>
  <c r="H54" i="15" s="1"/>
  <c r="U54" i="15" a="1"/>
  <c r="U54" i="15" s="1"/>
  <c r="R54" i="15" a="1"/>
  <c r="R54" i="15" s="1"/>
  <c r="P54" i="15" a="1"/>
  <c r="P54" i="15" s="1"/>
  <c r="AF54" i="15" a="1"/>
  <c r="AF54" i="15" s="1"/>
  <c r="I54" i="15" a="1"/>
  <c r="I54" i="15" s="1"/>
  <c r="L70" i="15" a="1"/>
  <c r="L70" i="15" s="1"/>
  <c r="S70" i="15" a="1"/>
  <c r="S70" i="15" s="1"/>
  <c r="N70" i="15" a="1"/>
  <c r="N70" i="15" s="1"/>
  <c r="O70" i="15" a="1"/>
  <c r="O70" i="15" s="1"/>
  <c r="H70" i="15" a="1"/>
  <c r="H70" i="15" s="1"/>
  <c r="K70" i="15" a="1"/>
  <c r="K70" i="15" s="1"/>
  <c r="S75" i="15" a="1"/>
  <c r="S75" i="15" s="1"/>
  <c r="I75" i="15" a="1"/>
  <c r="I75" i="15" s="1"/>
  <c r="V75" i="15" a="1"/>
  <c r="V75" i="15" s="1"/>
  <c r="Y75" i="15" a="1"/>
  <c r="Y75" i="15" s="1"/>
  <c r="AF75" i="15" a="1"/>
  <c r="AF75" i="15" s="1"/>
  <c r="U75" i="15" a="1"/>
  <c r="U75" i="15" s="1"/>
  <c r="AB75" i="15" a="1"/>
  <c r="AB75" i="15" s="1"/>
  <c r="H247" i="24"/>
  <c r="T240" i="24"/>
  <c r="Z240" i="24"/>
  <c r="AB247" i="24"/>
  <c r="AE74" i="15" a="1"/>
  <c r="AE74" i="15" s="1"/>
  <c r="Y74" i="15" a="1"/>
  <c r="Y74" i="15" s="1"/>
  <c r="N74" i="15" a="1"/>
  <c r="N74" i="15" s="1"/>
  <c r="I74" i="15" a="1"/>
  <c r="I74" i="15" s="1"/>
  <c r="W74" i="15" a="1"/>
  <c r="W74" i="15" s="1"/>
  <c r="T74" i="15" a="1"/>
  <c r="T74" i="15" s="1"/>
  <c r="AF74" i="15" a="1"/>
  <c r="AF74" i="15" s="1"/>
  <c r="J74" i="15" a="1"/>
  <c r="J74" i="15" s="1"/>
  <c r="U74" i="15" a="1"/>
  <c r="U74" i="15" s="1"/>
  <c r="O74" i="15" a="1"/>
  <c r="O74" i="15" s="1"/>
  <c r="P74" i="15" a="1"/>
  <c r="P74" i="15" s="1"/>
  <c r="S74" i="15" a="1"/>
  <c r="S74" i="15" s="1"/>
  <c r="AA74" i="15" a="1"/>
  <c r="AA74" i="15" s="1"/>
  <c r="Z74" i="15" a="1"/>
  <c r="Z74" i="15" s="1"/>
  <c r="H74" i="15" a="1"/>
  <c r="H74" i="15" s="1"/>
  <c r="AB74" i="15" a="1"/>
  <c r="AB74" i="15" s="1"/>
  <c r="L74" i="15" a="1"/>
  <c r="L74" i="15" s="1"/>
  <c r="R74" i="15" a="1"/>
  <c r="R74" i="15" s="1"/>
  <c r="AC74" i="15" a="1"/>
  <c r="AC74" i="15" s="1"/>
  <c r="V74" i="15" a="1"/>
  <c r="V74" i="15" s="1"/>
  <c r="Q74" i="15" a="1"/>
  <c r="Q74" i="15" s="1"/>
  <c r="K74" i="15" a="1"/>
  <c r="K74" i="15" s="1"/>
  <c r="G74" i="15" a="1"/>
  <c r="G74" i="15" s="1"/>
  <c r="AD74" i="15" a="1"/>
  <c r="AD74" i="15" s="1"/>
  <c r="X74" i="15" a="1"/>
  <c r="X74" i="15" s="1"/>
  <c r="M74" i="15" a="1"/>
  <c r="M74" i="15" s="1"/>
  <c r="V71" i="15" a="1"/>
  <c r="V71" i="15" s="1"/>
  <c r="AD71" i="15" a="1"/>
  <c r="AD71" i="15" s="1"/>
  <c r="L71" i="15" a="1"/>
  <c r="L71" i="15" s="1"/>
  <c r="K71" i="15" a="1"/>
  <c r="K71" i="15" s="1"/>
  <c r="G71" i="15" a="1"/>
  <c r="G71" i="15" s="1"/>
  <c r="S71" i="15" a="1"/>
  <c r="S71" i="15" s="1"/>
  <c r="O71" i="15" a="1"/>
  <c r="O71" i="15" s="1"/>
  <c r="Z71" i="15" a="1"/>
  <c r="Z71" i="15" s="1"/>
  <c r="H71" i="15" a="1"/>
  <c r="H71" i="15" s="1"/>
  <c r="T71" i="15" a="1"/>
  <c r="T71" i="15" s="1"/>
  <c r="N71" i="15" a="1"/>
  <c r="N71" i="15" s="1"/>
  <c r="W71" i="15" a="1"/>
  <c r="W71" i="15" s="1"/>
  <c r="R71" i="15" a="1"/>
  <c r="R71" i="15" s="1"/>
  <c r="AC71" i="15" a="1"/>
  <c r="AC71" i="15" s="1"/>
  <c r="X71" i="15" a="1"/>
  <c r="X71" i="15" s="1"/>
  <c r="AE71" i="15" a="1"/>
  <c r="AE71" i="15" s="1"/>
  <c r="AF71" i="15" a="1"/>
  <c r="AF71" i="15" s="1"/>
  <c r="U71" i="15" a="1"/>
  <c r="U71" i="15" s="1"/>
  <c r="P71" i="15" a="1"/>
  <c r="P71" i="15" s="1"/>
  <c r="Y71" i="15" a="1"/>
  <c r="Y71" i="15" s="1"/>
  <c r="I71" i="15" a="1"/>
  <c r="I71" i="15" s="1"/>
  <c r="Q71" i="15" a="1"/>
  <c r="Q71" i="15" s="1"/>
  <c r="M71" i="15" a="1"/>
  <c r="M71" i="15" s="1"/>
  <c r="AB71" i="15" a="1"/>
  <c r="AB71" i="15" s="1"/>
  <c r="J71" i="15" a="1"/>
  <c r="J71" i="15" s="1"/>
  <c r="AA71" i="15" a="1"/>
  <c r="AA71" i="15" s="1"/>
  <c r="Y63" i="15" a="1"/>
  <c r="Y63" i="15" s="1"/>
  <c r="S72" i="15" a="1"/>
  <c r="S72" i="15" s="1"/>
  <c r="T72" i="15" a="1"/>
  <c r="T72" i="15" s="1"/>
  <c r="AD72" i="15" a="1"/>
  <c r="AD72" i="15" s="1"/>
  <c r="N72" i="15" a="1"/>
  <c r="N72" i="15" s="1"/>
  <c r="Z72" i="15" a="1"/>
  <c r="Z72" i="15" s="1"/>
  <c r="V72" i="15" a="1"/>
  <c r="V72" i="15" s="1"/>
  <c r="J48" i="15" a="1"/>
  <c r="J48" i="15" s="1"/>
  <c r="I48" i="15" a="1"/>
  <c r="I48" i="15" s="1"/>
  <c r="L48" i="15" a="1"/>
  <c r="L48" i="15" s="1"/>
  <c r="AC48" i="15" a="1"/>
  <c r="AC48" i="15" s="1"/>
  <c r="Q48" i="15" a="1"/>
  <c r="Q48" i="15" s="1"/>
  <c r="AE48" i="15" a="1"/>
  <c r="AE48" i="15" s="1"/>
  <c r="X48" i="15" a="1"/>
  <c r="X48" i="15" s="1"/>
  <c r="K54" i="15" a="1"/>
  <c r="K54" i="15" s="1"/>
  <c r="Y54" i="15" a="1"/>
  <c r="Y54" i="15" s="1"/>
  <c r="Z54" i="15" a="1"/>
  <c r="Z54" i="15" s="1"/>
  <c r="O54" i="15" a="1"/>
  <c r="O54" i="15" s="1"/>
  <c r="AA54" i="15" a="1"/>
  <c r="AA54" i="15" s="1"/>
  <c r="AD54" i="15" a="1"/>
  <c r="AD54" i="15" s="1"/>
  <c r="AC70" i="15" a="1"/>
  <c r="AC70" i="15" s="1"/>
  <c r="AD70" i="15" a="1"/>
  <c r="AD70" i="15" s="1"/>
  <c r="W70" i="15" a="1"/>
  <c r="W70" i="15" s="1"/>
  <c r="Z70" i="15" a="1"/>
  <c r="Z70" i="15" s="1"/>
  <c r="J70" i="15" a="1"/>
  <c r="J70" i="15" s="1"/>
  <c r="U70" i="15" a="1"/>
  <c r="U70" i="15" s="1"/>
  <c r="P70" i="15" a="1"/>
  <c r="P70" i="15" s="1"/>
  <c r="AA75" i="15" a="1"/>
  <c r="AA75" i="15" s="1"/>
  <c r="O75" i="15" a="1"/>
  <c r="O75" i="15" s="1"/>
  <c r="P75" i="15" a="1"/>
  <c r="P75" i="15" s="1"/>
  <c r="Q75" i="15" a="1"/>
  <c r="Q75" i="15" s="1"/>
  <c r="G75" i="15" a="1"/>
  <c r="G75" i="15" s="1"/>
  <c r="P73" i="15" a="1"/>
  <c r="P73" i="15" s="1"/>
  <c r="S73" i="15" a="1"/>
  <c r="S73" i="15" s="1"/>
  <c r="L73" i="15" a="1"/>
  <c r="L73" i="15" s="1"/>
  <c r="X73" i="15" a="1"/>
  <c r="X73" i="15" s="1"/>
  <c r="U73" i="15" a="1"/>
  <c r="U73" i="15" s="1"/>
  <c r="Z73" i="15" a="1"/>
  <c r="Z73" i="15" s="1"/>
  <c r="M73" i="15" a="1"/>
  <c r="M73" i="15" s="1"/>
  <c r="AA73" i="15" a="1"/>
  <c r="AA73" i="15" s="1"/>
  <c r="AF73" i="15" a="1"/>
  <c r="AF73" i="15" s="1"/>
  <c r="AB73" i="15" a="1"/>
  <c r="AB73" i="15" s="1"/>
  <c r="W73" i="15" a="1"/>
  <c r="W73" i="15" s="1"/>
  <c r="H73" i="15" a="1"/>
  <c r="H73" i="15" s="1"/>
  <c r="AD73" i="15" a="1"/>
  <c r="AD73" i="15" s="1"/>
  <c r="J73" i="15" a="1"/>
  <c r="J73" i="15" s="1"/>
  <c r="I73" i="15" a="1"/>
  <c r="I73" i="15" s="1"/>
  <c r="G73" i="15" a="1"/>
  <c r="G73" i="15" s="1"/>
  <c r="T73" i="15" a="1"/>
  <c r="T73" i="15" s="1"/>
  <c r="Q73" i="15" a="1"/>
  <c r="Q73" i="15" s="1"/>
  <c r="Y73" i="15" a="1"/>
  <c r="Y73" i="15" s="1"/>
  <c r="AC73" i="15" a="1"/>
  <c r="AC73" i="15" s="1"/>
  <c r="V73" i="15" a="1"/>
  <c r="V73" i="15" s="1"/>
  <c r="R73" i="15" a="1"/>
  <c r="R73" i="15" s="1"/>
  <c r="AE73" i="15" a="1"/>
  <c r="AE73" i="15" s="1"/>
  <c r="K73" i="15" a="1"/>
  <c r="K73" i="15" s="1"/>
  <c r="O73" i="15" a="1"/>
  <c r="O73" i="15" s="1"/>
  <c r="N73" i="15" a="1"/>
  <c r="N73" i="15" s="1"/>
  <c r="AE53" i="15" a="1"/>
  <c r="AE53" i="15" s="1"/>
  <c r="Y53" i="15" a="1"/>
  <c r="Y53" i="15" s="1"/>
  <c r="J53" i="15" a="1"/>
  <c r="J53" i="15" s="1"/>
  <c r="AB53" i="15" a="1"/>
  <c r="AB53" i="15" s="1"/>
  <c r="P53" i="15" a="1"/>
  <c r="P53" i="15" s="1"/>
  <c r="L53" i="15" a="1"/>
  <c r="L53" i="15" s="1"/>
  <c r="T53" i="15" a="1"/>
  <c r="T53" i="15" s="1"/>
  <c r="K53" i="15" a="1"/>
  <c r="K53" i="15" s="1"/>
  <c r="N53" i="15" a="1"/>
  <c r="N53" i="15" s="1"/>
  <c r="Q53" i="15" a="1"/>
  <c r="Q53" i="15" s="1"/>
  <c r="W53" i="15" a="1"/>
  <c r="W53" i="15" s="1"/>
  <c r="I53" i="15" a="1"/>
  <c r="I53" i="15" s="1"/>
  <c r="AD53" i="15" a="1"/>
  <c r="AD53" i="15" s="1"/>
  <c r="V53" i="15" a="1"/>
  <c r="V53" i="15" s="1"/>
  <c r="H53" i="15" a="1"/>
  <c r="H53" i="15" s="1"/>
  <c r="U53" i="15" a="1"/>
  <c r="U53" i="15" s="1"/>
  <c r="O53" i="15" a="1"/>
  <c r="O53" i="15" s="1"/>
  <c r="AC53" i="15" a="1"/>
  <c r="AC53" i="15" s="1"/>
  <c r="S53" i="15" a="1"/>
  <c r="S53" i="15" s="1"/>
  <c r="G53" i="15" a="1"/>
  <c r="G53" i="15" s="1"/>
  <c r="X53" i="15" a="1"/>
  <c r="X53" i="15" s="1"/>
  <c r="Z53" i="15" a="1"/>
  <c r="Z53" i="15" s="1"/>
  <c r="AF53" i="15" a="1"/>
  <c r="AF53" i="15" s="1"/>
  <c r="M53" i="15" a="1"/>
  <c r="M53" i="15" s="1"/>
  <c r="AA53" i="15" a="1"/>
  <c r="AA53" i="15" s="1"/>
  <c r="R53" i="15" a="1"/>
  <c r="R53" i="15" s="1"/>
  <c r="AA52" i="15" a="1"/>
  <c r="AA52" i="15" s="1"/>
  <c r="M52" i="15" a="1"/>
  <c r="M52" i="15" s="1"/>
  <c r="J52" i="15" a="1"/>
  <c r="J52" i="15" s="1"/>
  <c r="Q52" i="15" a="1"/>
  <c r="Q52" i="15" s="1"/>
  <c r="G52" i="15" a="1"/>
  <c r="G52" i="15" s="1"/>
  <c r="X52" i="15" a="1"/>
  <c r="X52" i="15" s="1"/>
  <c r="T52" i="15" a="1"/>
  <c r="T52" i="15" s="1"/>
  <c r="AB52" i="15" a="1"/>
  <c r="AB52" i="15" s="1"/>
  <c r="V52" i="15" a="1"/>
  <c r="V52" i="15" s="1"/>
  <c r="AD52" i="15" a="1"/>
  <c r="AD52" i="15" s="1"/>
  <c r="AC52" i="15" a="1"/>
  <c r="AC52" i="15" s="1"/>
  <c r="U52" i="15" a="1"/>
  <c r="U52" i="15" s="1"/>
  <c r="Z52" i="15" a="1"/>
  <c r="Z52" i="15" s="1"/>
  <c r="S52" i="15" a="1"/>
  <c r="S52" i="15" s="1"/>
  <c r="P52" i="15" a="1"/>
  <c r="P52" i="15" s="1"/>
  <c r="I52" i="15" a="1"/>
  <c r="I52" i="15" s="1"/>
  <c r="W52" i="15" a="1"/>
  <c r="W52" i="15" s="1"/>
  <c r="K52" i="15" a="1"/>
  <c r="K52" i="15" s="1"/>
  <c r="N52" i="15" a="1"/>
  <c r="N52" i="15" s="1"/>
  <c r="H52" i="15" a="1"/>
  <c r="H52" i="15" s="1"/>
  <c r="AE52" i="15" a="1"/>
  <c r="AE52" i="15" s="1"/>
  <c r="O52" i="15" a="1"/>
  <c r="O52" i="15" s="1"/>
  <c r="L52" i="15" a="1"/>
  <c r="L52" i="15" s="1"/>
  <c r="R52" i="15" a="1"/>
  <c r="R52" i="15" s="1"/>
  <c r="AF52" i="15" a="1"/>
  <c r="AF52" i="15" s="1"/>
  <c r="Y52" i="15" a="1"/>
  <c r="Y52" i="15" s="1"/>
  <c r="J67" i="15" a="1"/>
  <c r="J67" i="15" s="1"/>
  <c r="G67" i="15" a="1"/>
  <c r="G67" i="15" s="1"/>
  <c r="Q67" i="15" a="1"/>
  <c r="Q67" i="15" s="1"/>
  <c r="Z67" i="15" a="1"/>
  <c r="Z67" i="15" s="1"/>
  <c r="X67" i="15" a="1"/>
  <c r="X67" i="15" s="1"/>
  <c r="N67" i="15" a="1"/>
  <c r="N67" i="15" s="1"/>
  <c r="S63" i="15" a="1"/>
  <c r="S63" i="15" s="1"/>
  <c r="Y66" i="15" a="1"/>
  <c r="Y66" i="15" s="1"/>
  <c r="Q66" i="15" a="1"/>
  <c r="Q66" i="15" s="1"/>
  <c r="R66" i="15" a="1"/>
  <c r="R66" i="15" s="1"/>
  <c r="W66" i="15" a="1"/>
  <c r="W66" i="15" s="1"/>
  <c r="H66" i="15" a="1"/>
  <c r="H66" i="15" s="1"/>
  <c r="N66" i="15" a="1"/>
  <c r="N66" i="15" s="1"/>
  <c r="M58" i="15" a="1"/>
  <c r="M58" i="15" s="1"/>
  <c r="U58" i="15" a="1"/>
  <c r="U58" i="15" s="1"/>
  <c r="R58" i="15" a="1"/>
  <c r="R58" i="15" s="1"/>
  <c r="Q58" i="15" a="1"/>
  <c r="Q58" i="15" s="1"/>
  <c r="O58" i="15" a="1"/>
  <c r="O58" i="15" s="1"/>
  <c r="S58" i="15" a="1"/>
  <c r="S58" i="15" s="1"/>
  <c r="N58" i="15" a="1"/>
  <c r="N58" i="15" s="1"/>
  <c r="K240" i="24"/>
  <c r="Y240" i="24"/>
  <c r="AD240" i="24"/>
  <c r="J247" i="24"/>
  <c r="N247" i="24"/>
  <c r="L240" i="24"/>
  <c r="Q72" i="15" a="1"/>
  <c r="Q72" i="15" s="1"/>
  <c r="W72" i="15" a="1"/>
  <c r="W72" i="15" s="1"/>
  <c r="K72" i="15" a="1"/>
  <c r="K72" i="15" s="1"/>
  <c r="J72" i="15" a="1"/>
  <c r="J72" i="15" s="1"/>
  <c r="U72" i="15" a="1"/>
  <c r="U72" i="15" s="1"/>
  <c r="R72" i="15" a="1"/>
  <c r="R72" i="15" s="1"/>
  <c r="V48" i="15" a="1"/>
  <c r="V48" i="15" s="1"/>
  <c r="U48" i="15" a="1"/>
  <c r="U48" i="15" s="1"/>
  <c r="M48" i="15" a="1"/>
  <c r="M48" i="15" s="1"/>
  <c r="R48" i="15" a="1"/>
  <c r="R48" i="15" s="1"/>
  <c r="N48" i="15" a="1"/>
  <c r="N48" i="15" s="1"/>
  <c r="S48" i="15" a="1"/>
  <c r="S48" i="15" s="1"/>
  <c r="N54" i="15" a="1"/>
  <c r="N54" i="15" s="1"/>
  <c r="V54" i="15" a="1"/>
  <c r="V54" i="15" s="1"/>
  <c r="S54" i="15" a="1"/>
  <c r="S54" i="15" s="1"/>
  <c r="M54" i="15" a="1"/>
  <c r="M54" i="15" s="1"/>
  <c r="AB54" i="15" a="1"/>
  <c r="AB54" i="15" s="1"/>
  <c r="T70" i="15" a="1"/>
  <c r="T70" i="15" s="1"/>
  <c r="X70" i="15" a="1"/>
  <c r="X70" i="15" s="1"/>
  <c r="AB70" i="15" a="1"/>
  <c r="AB70" i="15" s="1"/>
  <c r="Q70" i="15" a="1"/>
  <c r="Q70" i="15" s="1"/>
  <c r="M70" i="15" a="1"/>
  <c r="M70" i="15" s="1"/>
  <c r="Y70" i="15" a="1"/>
  <c r="Y70" i="15" s="1"/>
  <c r="R75" i="15" a="1"/>
  <c r="R75" i="15" s="1"/>
  <c r="AC75" i="15" a="1"/>
  <c r="AC75" i="15" s="1"/>
  <c r="N75" i="15" a="1"/>
  <c r="N75" i="15" s="1"/>
  <c r="L75" i="15" a="1"/>
  <c r="L75" i="15" s="1"/>
  <c r="K75" i="15" a="1"/>
  <c r="K75" i="15" s="1"/>
  <c r="G247" i="24"/>
  <c r="O240" i="24"/>
  <c r="K247" i="24"/>
  <c r="AD247" i="24"/>
  <c r="G10" i="17" a="1"/>
  <c r="J22" i="17" s="1"/>
  <c r="G9" i="15" l="1" a="1"/>
  <c r="AF203" i="24"/>
  <c r="I203" i="24"/>
  <c r="R208" i="24"/>
  <c r="W199" i="24"/>
  <c r="N206" i="24"/>
  <c r="K218" i="24"/>
  <c r="U198" i="24"/>
  <c r="M218" i="24"/>
  <c r="K189" i="24"/>
  <c r="R192" i="24"/>
  <c r="AD204" i="24"/>
  <c r="W203" i="24"/>
  <c r="R203" i="24"/>
  <c r="H201" i="24"/>
  <c r="AC209" i="24"/>
  <c r="Q196" i="24"/>
  <c r="AC192" i="24"/>
  <c r="W215" i="24"/>
  <c r="I216" i="24"/>
  <c r="Z193" i="24"/>
  <c r="AC217" i="24"/>
  <c r="AE216" i="24"/>
  <c r="W207" i="24"/>
  <c r="X210" i="24"/>
  <c r="S192" i="24"/>
  <c r="AB198" i="24"/>
  <c r="S215" i="24"/>
  <c r="Q216" i="24"/>
  <c r="I205" i="24"/>
  <c r="Y197" i="24"/>
  <c r="AD196" i="24"/>
  <c r="R190" i="24"/>
  <c r="P201" i="24"/>
  <c r="S201" i="24"/>
  <c r="Z202" i="24"/>
  <c r="M207" i="24"/>
  <c r="Z200" i="24"/>
  <c r="J200" i="24"/>
  <c r="X197" i="24"/>
  <c r="V192" i="24"/>
  <c r="M215" i="24"/>
  <c r="AB195" i="24"/>
  <c r="AE206" i="24"/>
  <c r="S202" i="24"/>
  <c r="J210" i="24"/>
  <c r="T210" i="24"/>
  <c r="H202" i="24"/>
  <c r="H214" i="24"/>
  <c r="Q197" i="24"/>
  <c r="AF194" i="24"/>
  <c r="AD198" i="24"/>
  <c r="S197" i="24"/>
  <c r="W189" i="24"/>
  <c r="AE218" i="24"/>
  <c r="I196" i="24"/>
  <c r="T190" i="24"/>
  <c r="S219" i="24"/>
  <c r="AE199" i="24"/>
  <c r="T216" i="24"/>
  <c r="W197" i="24"/>
  <c r="Q206" i="24"/>
  <c r="G189" i="24"/>
  <c r="AB216" i="24"/>
  <c r="AD193" i="24"/>
  <c r="O205" i="24"/>
  <c r="AD195" i="24"/>
  <c r="L198" i="24"/>
  <c r="T215" i="24"/>
  <c r="AB214" i="24"/>
  <c r="U217" i="24"/>
  <c r="AD218" i="24"/>
  <c r="G206" i="24"/>
  <c r="G213" i="24"/>
  <c r="V193" i="24"/>
  <c r="P216" i="24"/>
  <c r="Q201" i="24"/>
  <c r="N203" i="24"/>
  <c r="AB207" i="24"/>
  <c r="V189" i="24"/>
  <c r="AD216" i="24"/>
  <c r="U193" i="24"/>
  <c r="AD191" i="24"/>
  <c r="AC191" i="24"/>
  <c r="T192" i="24"/>
  <c r="I217" i="24"/>
  <c r="AC216" i="24"/>
  <c r="N199" i="24"/>
  <c r="P194" i="24"/>
  <c r="AA190" i="24"/>
  <c r="H191" i="24"/>
  <c r="K212" i="24"/>
  <c r="H199" i="24"/>
  <c r="W192" i="24"/>
  <c r="W195" i="24"/>
  <c r="Z213" i="24"/>
  <c r="J196" i="24"/>
  <c r="Z190" i="24"/>
  <c r="AC198" i="24"/>
  <c r="W214" i="24"/>
  <c r="R195" i="24"/>
  <c r="T213" i="24"/>
  <c r="K205" i="24"/>
  <c r="X195" i="24"/>
  <c r="Z215" i="24"/>
  <c r="AF216" i="24"/>
  <c r="S189" i="24"/>
  <c r="V191" i="24"/>
  <c r="V203" i="24"/>
  <c r="AE208" i="24"/>
  <c r="V208" i="24"/>
  <c r="X214" i="24"/>
  <c r="W213" i="24"/>
  <c r="G191" i="24"/>
  <c r="G200" i="24"/>
  <c r="AE215" i="24"/>
  <c r="AF189" i="24"/>
  <c r="AB199" i="24"/>
  <c r="H195" i="24"/>
  <c r="M196" i="24"/>
  <c r="X194" i="24"/>
  <c r="Y191" i="24"/>
  <c r="M195" i="24"/>
  <c r="H213" i="24"/>
  <c r="G198" i="24"/>
  <c r="Q200" i="24"/>
  <c r="L212" i="24"/>
  <c r="H198" i="24"/>
  <c r="I200" i="24"/>
  <c r="L191" i="24"/>
  <c r="M190" i="24"/>
  <c r="H193" i="24"/>
  <c r="V200" i="24"/>
  <c r="AE213" i="24"/>
  <c r="J195" i="24"/>
  <c r="L190" i="24"/>
  <c r="R194" i="24"/>
  <c r="P192" i="24"/>
  <c r="Q215" i="24"/>
  <c r="K209" i="24"/>
  <c r="AC208" i="24"/>
  <c r="M208" i="24"/>
  <c r="AF207" i="24"/>
  <c r="G211" i="24"/>
  <c r="AE210" i="24"/>
  <c r="X208" i="24"/>
  <c r="J208" i="24"/>
  <c r="X209" i="24"/>
  <c r="S208" i="24"/>
  <c r="S211" i="24"/>
  <c r="Y211" i="24"/>
  <c r="G210" i="24"/>
  <c r="H209" i="24"/>
  <c r="U202" i="24"/>
  <c r="T203" i="24"/>
  <c r="V202" i="24"/>
  <c r="K207" i="24"/>
  <c r="L207" i="24"/>
  <c r="H210" i="24"/>
  <c r="G204" i="24"/>
  <c r="T202" i="24"/>
  <c r="I202" i="24"/>
  <c r="T204" i="24"/>
  <c r="R202" i="24"/>
  <c r="M201" i="24"/>
  <c r="Y209" i="24"/>
  <c r="AB208" i="24"/>
  <c r="O207" i="24"/>
  <c r="U208" i="24"/>
  <c r="O210" i="24"/>
  <c r="Z192" i="24"/>
  <c r="O192" i="24"/>
  <c r="M205" i="24"/>
  <c r="AC206" i="24"/>
  <c r="J212" i="24"/>
  <c r="G195" i="24"/>
  <c r="O198" i="24"/>
  <c r="U200" i="24"/>
  <c r="Y214" i="24"/>
  <c r="I215" i="24"/>
  <c r="G217" i="24"/>
  <c r="AF196" i="24"/>
  <c r="Q218" i="24"/>
  <c r="L216" i="24"/>
  <c r="H200" i="24"/>
  <c r="AB194" i="24"/>
  <c r="I197" i="24"/>
  <c r="AC219" i="24"/>
  <c r="V213" i="24"/>
  <c r="W217" i="24"/>
  <c r="Q217" i="24"/>
  <c r="AE192" i="24"/>
  <c r="O189" i="24"/>
  <c r="I189" i="24"/>
  <c r="W218" i="24"/>
  <c r="G193" i="24"/>
  <c r="K200" i="24"/>
  <c r="U216" i="24"/>
  <c r="AD194" i="24"/>
  <c r="M216" i="24"/>
  <c r="Z216" i="24"/>
  <c r="V214" i="24"/>
  <c r="AA217" i="24"/>
  <c r="S213" i="24"/>
  <c r="AC212" i="24"/>
  <c r="AB217" i="24"/>
  <c r="AF218" i="24"/>
  <c r="J206" i="24"/>
  <c r="AB215" i="24"/>
  <c r="K213" i="24"/>
  <c r="O194" i="24"/>
  <c r="AB218" i="24"/>
  <c r="U195" i="24"/>
  <c r="AA195" i="24"/>
  <c r="N193" i="24"/>
  <c r="Z199" i="24"/>
  <c r="S195" i="24"/>
  <c r="R212" i="24"/>
  <c r="U190" i="24"/>
  <c r="T217" i="24"/>
  <c r="L219" i="24"/>
  <c r="AB219" i="24"/>
  <c r="S214" i="24"/>
  <c r="W212" i="24"/>
  <c r="N216" i="24"/>
  <c r="AD215" i="24"/>
  <c r="S191" i="24"/>
  <c r="K192" i="24"/>
  <c r="AC189" i="24"/>
  <c r="T189" i="24"/>
  <c r="AE217" i="24"/>
  <c r="I193" i="24"/>
  <c r="Q195" i="24"/>
  <c r="AF190" i="24"/>
  <c r="L195" i="24"/>
  <c r="X212" i="24"/>
  <c r="AB206" i="24"/>
  <c r="R206" i="24"/>
  <c r="J198" i="24"/>
  <c r="P200" i="24"/>
  <c r="S190" i="24"/>
  <c r="S200" i="24"/>
  <c r="N218" i="24"/>
  <c r="AA218" i="24"/>
  <c r="Y196" i="24"/>
  <c r="Z218" i="24"/>
  <c r="N190" i="24"/>
  <c r="AB190" i="24"/>
  <c r="AA213" i="24"/>
  <c r="AD206" i="24"/>
  <c r="W216" i="24"/>
  <c r="P197" i="24"/>
  <c r="Q214" i="24"/>
  <c r="Y190" i="24"/>
  <c r="AB213" i="24"/>
  <c r="AA191" i="24"/>
  <c r="R199" i="24"/>
  <c r="P218" i="24"/>
  <c r="AC200" i="24"/>
  <c r="AC213" i="24"/>
  <c r="T200" i="24"/>
  <c r="T194" i="24"/>
  <c r="H192" i="24"/>
  <c r="X189" i="24"/>
  <c r="M212" i="24"/>
  <c r="N200" i="24"/>
  <c r="U194" i="24"/>
  <c r="S199" i="24"/>
  <c r="R213" i="24"/>
  <c r="X217" i="24"/>
  <c r="T197" i="24"/>
  <c r="L200" i="24"/>
  <c r="AE191" i="24"/>
  <c r="T206" i="24"/>
  <c r="AF199" i="24"/>
  <c r="L193" i="24"/>
  <c r="Z217" i="24"/>
  <c r="K198" i="24"/>
  <c r="AD192" i="24"/>
  <c r="P189" i="24"/>
  <c r="Z189" i="24"/>
  <c r="Y213" i="24"/>
  <c r="S194" i="24"/>
  <c r="Z219" i="24"/>
  <c r="T218" i="24"/>
  <c r="V197" i="24"/>
  <c r="K214" i="24"/>
  <c r="Q212" i="24"/>
  <c r="M193" i="24"/>
  <c r="N219" i="24"/>
  <c r="O213" i="24"/>
  <c r="G199" i="24"/>
  <c r="V212" i="24"/>
  <c r="AA199" i="24"/>
  <c r="W200" i="24"/>
  <c r="AA196" i="24"/>
  <c r="P212" i="24"/>
  <c r="Y215" i="24"/>
  <c r="Z212" i="24"/>
  <c r="L214" i="24"/>
  <c r="I218" i="24"/>
  <c r="L206" i="24"/>
  <c r="AA205" i="24"/>
  <c r="X218" i="24"/>
  <c r="R216" i="24"/>
  <c r="H205" i="24"/>
  <c r="P199" i="24"/>
  <c r="AF191" i="24"/>
  <c r="V205" i="24"/>
  <c r="J215" i="24"/>
  <c r="X199" i="24"/>
  <c r="U205" i="24"/>
  <c r="V206" i="24"/>
  <c r="AF202" i="24"/>
  <c r="O202" i="24"/>
  <c r="L201" i="24"/>
  <c r="T201" i="24"/>
  <c r="R204" i="24"/>
  <c r="AE204" i="24"/>
  <c r="J203" i="24"/>
  <c r="J211" i="24"/>
  <c r="Q207" i="24"/>
  <c r="T211" i="24"/>
  <c r="U207" i="24"/>
  <c r="P210" i="24"/>
  <c r="I211" i="24"/>
  <c r="P209" i="24"/>
  <c r="W201" i="24"/>
  <c r="Q202" i="24"/>
  <c r="AA203" i="24"/>
  <c r="K201" i="24"/>
  <c r="AB201" i="24"/>
  <c r="L203" i="24"/>
  <c r="P202" i="24"/>
  <c r="Y208" i="24"/>
  <c r="U211" i="24"/>
  <c r="V211" i="24"/>
  <c r="U209" i="24"/>
  <c r="Q210" i="24"/>
  <c r="P211" i="24"/>
  <c r="J209" i="24"/>
  <c r="V210" i="24"/>
  <c r="AA211" i="24"/>
  <c r="X207" i="24"/>
  <c r="AA209" i="24"/>
  <c r="H203" i="24"/>
  <c r="M209" i="24"/>
  <c r="N208" i="24"/>
  <c r="AE209" i="24"/>
  <c r="H212" i="24"/>
  <c r="O196" i="24"/>
  <c r="Y206" i="24"/>
  <c r="G219" i="24"/>
  <c r="K195" i="24"/>
  <c r="P193" i="24"/>
  <c r="AD213" i="24"/>
  <c r="Z191" i="24"/>
  <c r="AE200" i="24"/>
  <c r="H215" i="24"/>
  <c r="AB193" i="24"/>
  <c r="O199" i="24"/>
  <c r="AD212" i="24"/>
  <c r="AF219" i="24"/>
  <c r="K196" i="24"/>
  <c r="T191" i="24"/>
  <c r="N214" i="24"/>
  <c r="Z198" i="24"/>
  <c r="X219" i="24"/>
  <c r="R196" i="24"/>
  <c r="K199" i="24"/>
  <c r="L196" i="24"/>
  <c r="T195" i="24"/>
  <c r="V218" i="24"/>
  <c r="G214" i="24"/>
  <c r="J218" i="24"/>
  <c r="O212" i="24"/>
  <c r="P198" i="24"/>
  <c r="Q191" i="24"/>
  <c r="W202" i="24"/>
  <c r="J201" i="24"/>
  <c r="Z204" i="24"/>
  <c r="O204" i="24"/>
  <c r="AF204" i="24"/>
  <c r="Z201" i="24"/>
  <c r="S204" i="24"/>
  <c r="R201" i="24"/>
  <c r="O209" i="24"/>
  <c r="AB211" i="24"/>
  <c r="AA210" i="24"/>
  <c r="S209" i="24"/>
  <c r="M204" i="24"/>
  <c r="N202" i="24"/>
  <c r="AC204" i="24"/>
  <c r="AD203" i="24"/>
  <c r="U204" i="24"/>
  <c r="V201" i="24"/>
  <c r="S210" i="24"/>
  <c r="G202" i="24"/>
  <c r="N210" i="24"/>
  <c r="H211" i="24"/>
  <c r="AE203" i="24"/>
  <c r="K204" i="24"/>
  <c r="AE211" i="24"/>
  <c r="V207" i="24"/>
  <c r="I204" i="24"/>
  <c r="K210" i="24"/>
  <c r="Y202" i="24"/>
  <c r="AD202" i="24"/>
  <c r="U201" i="24"/>
  <c r="Y203" i="24"/>
  <c r="L202" i="24"/>
  <c r="Z211" i="24"/>
  <c r="W210" i="24"/>
  <c r="AB209" i="24"/>
  <c r="O211" i="24"/>
  <c r="L209" i="24"/>
  <c r="U210" i="24"/>
  <c r="AD211" i="24"/>
  <c r="AC203" i="24"/>
  <c r="AB202" i="24"/>
  <c r="AB204" i="24"/>
  <c r="AA202" i="24"/>
  <c r="AF208" i="24"/>
  <c r="AE207" i="24"/>
  <c r="N209" i="24"/>
  <c r="AD210" i="24"/>
  <c r="G207" i="24"/>
  <c r="R209" i="24"/>
  <c r="L192" i="24"/>
  <c r="U189" i="24"/>
  <c r="L194" i="24"/>
  <c r="O191" i="24"/>
  <c r="AA198" i="24"/>
  <c r="V190" i="24"/>
  <c r="L217" i="24"/>
  <c r="L215" i="24"/>
  <c r="H194" i="24"/>
  <c r="Y217" i="24"/>
  <c r="P217" i="24"/>
  <c r="AD199" i="24"/>
  <c r="X191" i="24"/>
  <c r="AC199" i="24"/>
  <c r="N197" i="24"/>
  <c r="P190" i="24"/>
  <c r="AE205" i="24"/>
  <c r="AA206" i="24"/>
  <c r="AF195" i="24"/>
  <c r="X215" i="24"/>
  <c r="G192" i="24"/>
  <c r="Q192" i="24"/>
  <c r="AA189" i="24"/>
  <c r="K191" i="24"/>
  <c r="Y193" i="24"/>
  <c r="G194" i="24"/>
  <c r="AC205" i="24"/>
  <c r="K219" i="24"/>
  <c r="Z194" i="24"/>
  <c r="G212" i="24"/>
  <c r="AE198" i="24"/>
  <c r="J213" i="24"/>
  <c r="AB205" i="24"/>
  <c r="U219" i="24"/>
  <c r="AA219" i="24"/>
  <c r="AC218" i="24"/>
  <c r="I219" i="24"/>
  <c r="W193" i="24"/>
  <c r="S198" i="24"/>
  <c r="AF198" i="24"/>
  <c r="R197" i="24"/>
  <c r="K190" i="24"/>
  <c r="AF205" i="24"/>
  <c r="R214" i="24"/>
  <c r="S217" i="24"/>
  <c r="V219" i="24"/>
  <c r="O218" i="24"/>
  <c r="S216" i="24"/>
  <c r="J193" i="24"/>
  <c r="P213" i="24"/>
  <c r="AF197" i="24"/>
  <c r="O193" i="24"/>
  <c r="N196" i="24"/>
  <c r="AF215" i="24"/>
  <c r="M214" i="24"/>
  <c r="O195" i="24"/>
  <c r="J192" i="24"/>
  <c r="Y189" i="24"/>
  <c r="AD189" i="24"/>
  <c r="Z205" i="24"/>
  <c r="M197" i="24"/>
  <c r="AF212" i="24"/>
  <c r="AB212" i="24"/>
  <c r="K206" i="24"/>
  <c r="S218" i="24"/>
  <c r="AD200" i="24"/>
  <c r="AC194" i="24"/>
  <c r="AB197" i="24"/>
  <c r="Q194" i="24"/>
  <c r="X213" i="24"/>
  <c r="U214" i="24"/>
  <c r="J199" i="24"/>
  <c r="I206" i="24"/>
  <c r="AE190" i="24"/>
  <c r="M219" i="24"/>
  <c r="I214" i="24"/>
  <c r="Y198" i="24"/>
  <c r="M199" i="24"/>
  <c r="I213" i="24"/>
  <c r="G196" i="24"/>
  <c r="N191" i="24"/>
  <c r="U215" i="24"/>
  <c r="N198" i="24"/>
  <c r="AF217" i="24"/>
  <c r="U196" i="24"/>
  <c r="AC197" i="24"/>
  <c r="O217" i="24"/>
  <c r="AE197" i="24"/>
  <c r="J219" i="24"/>
  <c r="M198" i="24"/>
  <c r="R218" i="24"/>
  <c r="S193" i="24"/>
  <c r="M189" i="24"/>
  <c r="L197" i="24"/>
  <c r="U218" i="24"/>
  <c r="AE195" i="24"/>
  <c r="V196" i="24"/>
  <c r="H197" i="24"/>
  <c r="M194" i="24"/>
  <c r="U212" i="24"/>
  <c r="X190" i="24"/>
  <c r="T196" i="24"/>
  <c r="X206" i="24"/>
  <c r="AE219" i="24"/>
  <c r="X198" i="24"/>
  <c r="I199" i="24"/>
  <c r="N212" i="24"/>
  <c r="AF192" i="24"/>
  <c r="I192" i="24"/>
  <c r="L189" i="24"/>
  <c r="Y199" i="24"/>
  <c r="I190" i="24"/>
  <c r="Q219" i="24"/>
  <c r="V198" i="24"/>
  <c r="H190" i="24"/>
  <c r="O200" i="24"/>
  <c r="Y195" i="24"/>
  <c r="R198" i="24"/>
  <c r="N213" i="24"/>
  <c r="M217" i="24"/>
  <c r="W191" i="24"/>
  <c r="W194" i="24"/>
  <c r="P206" i="24"/>
  <c r="O219" i="24"/>
  <c r="P205" i="24"/>
  <c r="AD190" i="24"/>
  <c r="AA214" i="24"/>
  <c r="Q198" i="24"/>
  <c r="Z197" i="24"/>
  <c r="W190" i="24"/>
  <c r="O197" i="24"/>
  <c r="AC215" i="24"/>
  <c r="M213" i="24"/>
  <c r="V194" i="24"/>
  <c r="P219" i="24"/>
  <c r="V215" i="24"/>
  <c r="S212" i="24"/>
  <c r="Q205" i="24"/>
  <c r="M191" i="24"/>
  <c r="AF200" i="24"/>
  <c r="AB196" i="24"/>
  <c r="AE194" i="24"/>
  <c r="AC196" i="24"/>
  <c r="L210" i="24"/>
  <c r="M202" i="24"/>
  <c r="Z203" i="24"/>
  <c r="V204" i="24"/>
  <c r="M203" i="24"/>
  <c r="AB203" i="24"/>
  <c r="Z208" i="24"/>
  <c r="AF209" i="24"/>
  <c r="K211" i="24"/>
  <c r="G209" i="24"/>
  <c r="V209" i="24"/>
  <c r="P208" i="24"/>
  <c r="G201" i="24"/>
  <c r="L204" i="24"/>
  <c r="AC202" i="24"/>
  <c r="X202" i="24"/>
  <c r="AA201" i="24"/>
  <c r="S203" i="24"/>
  <c r="N201" i="24"/>
  <c r="AF211" i="24"/>
  <c r="R211" i="24"/>
  <c r="R207" i="24"/>
  <c r="AC210" i="24"/>
  <c r="H204" i="24"/>
  <c r="Y207" i="24"/>
  <c r="AD207" i="24"/>
  <c r="Z209" i="24"/>
  <c r="AA208" i="24"/>
  <c r="G203" i="24"/>
  <c r="W209" i="24"/>
  <c r="P207" i="24"/>
  <c r="Z207" i="24"/>
  <c r="AC211" i="24"/>
  <c r="Y204" i="24"/>
  <c r="X204" i="24"/>
  <c r="Q203" i="24"/>
  <c r="P203" i="24"/>
  <c r="AD201" i="24"/>
  <c r="P204" i="24"/>
  <c r="X203" i="24"/>
  <c r="X201" i="24"/>
  <c r="AE202" i="24"/>
  <c r="I209" i="24"/>
  <c r="X211" i="24"/>
  <c r="T207" i="24"/>
  <c r="W208" i="24"/>
  <c r="AA204" i="24"/>
  <c r="AE201" i="24"/>
  <c r="U203" i="24"/>
  <c r="AA207" i="24"/>
  <c r="AC207" i="24"/>
  <c r="N207" i="24"/>
  <c r="AB210" i="24"/>
  <c r="I207" i="24"/>
  <c r="T208" i="24"/>
  <c r="AA192" i="24"/>
  <c r="R189" i="24"/>
  <c r="Y218" i="24"/>
  <c r="Q193" i="24"/>
  <c r="T199" i="24"/>
  <c r="L218" i="24"/>
  <c r="AA215" i="24"/>
  <c r="R193" i="24"/>
  <c r="Y200" i="24"/>
  <c r="AE214" i="24"/>
  <c r="W198" i="24"/>
  <c r="R219" i="24"/>
  <c r="R215" i="24"/>
  <c r="T193" i="24"/>
  <c r="Q199" i="24"/>
  <c r="Y205" i="24"/>
  <c r="O216" i="24"/>
  <c r="N194" i="24"/>
  <c r="Z196" i="24"/>
  <c r="L205" i="24"/>
  <c r="O206" i="24"/>
  <c r="Y192" i="24"/>
  <c r="AE189" i="24"/>
  <c r="H189" i="24"/>
  <c r="Q190" i="24"/>
  <c r="P196" i="24"/>
  <c r="AD214" i="24"/>
  <c r="I212" i="24"/>
  <c r="P191" i="24"/>
  <c r="AB191" i="24"/>
  <c r="N205" i="24"/>
  <c r="G190" i="24"/>
  <c r="J194" i="24"/>
  <c r="Z214" i="24"/>
  <c r="W206" i="24"/>
  <c r="AD217" i="24"/>
  <c r="X205" i="24"/>
  <c r="T214" i="24"/>
  <c r="G218" i="24"/>
  <c r="J197" i="24"/>
  <c r="H196" i="24"/>
  <c r="H218" i="24"/>
  <c r="N215" i="24"/>
  <c r="Y219" i="24"/>
  <c r="R200" i="24"/>
  <c r="I198" i="24"/>
  <c r="AA212" i="24"/>
  <c r="Z206" i="24"/>
  <c r="K217" i="24"/>
  <c r="S196" i="24"/>
  <c r="AF206" i="24"/>
  <c r="AD197" i="24"/>
  <c r="U213" i="24"/>
  <c r="V217" i="24"/>
  <c r="AE212" i="24"/>
  <c r="X200" i="24"/>
  <c r="X192" i="24"/>
  <c r="M192" i="24"/>
  <c r="Q189" i="24"/>
  <c r="N189" i="24"/>
  <c r="M200" i="24"/>
  <c r="X196" i="24"/>
  <c r="Q213" i="24"/>
  <c r="S205" i="24"/>
  <c r="AC193" i="24"/>
  <c r="AD219" i="24"/>
  <c r="K216" i="24"/>
  <c r="U199" i="24"/>
  <c r="J205" i="24"/>
  <c r="X216" i="24"/>
  <c r="V195" i="24"/>
  <c r="Y194" i="24"/>
  <c r="P195" i="24"/>
  <c r="N217" i="24"/>
  <c r="W205" i="24"/>
  <c r="Z195" i="24"/>
  <c r="AD205" i="24"/>
  <c r="I195" i="24"/>
  <c r="H216" i="24"/>
  <c r="J190" i="24"/>
  <c r="S206" i="24"/>
  <c r="J217" i="24"/>
  <c r="AE196" i="24"/>
  <c r="AA200" i="24"/>
  <c r="L213" i="24"/>
  <c r="U197" i="24"/>
  <c r="G215" i="24"/>
  <c r="O190" i="24"/>
  <c r="I191" i="24"/>
  <c r="AA197" i="24"/>
  <c r="U206" i="24"/>
  <c r="T205" i="24"/>
  <c r="AB192" i="24"/>
  <c r="H219" i="24"/>
  <c r="T198" i="24"/>
  <c r="H217" i="24"/>
  <c r="I194" i="24"/>
  <c r="AE193" i="24"/>
  <c r="AA193" i="24"/>
  <c r="K215" i="24"/>
  <c r="AA216" i="24"/>
  <c r="K193" i="24"/>
  <c r="J191" i="24"/>
  <c r="AF193" i="24"/>
  <c r="Y216" i="24"/>
  <c r="AC195" i="24"/>
  <c r="W219" i="24"/>
  <c r="N192" i="24"/>
  <c r="U192" i="24"/>
  <c r="J189" i="24"/>
  <c r="AB189" i="24"/>
  <c r="R205" i="24"/>
  <c r="L199" i="24"/>
  <c r="G197" i="24"/>
  <c r="U191" i="24"/>
  <c r="R217" i="24"/>
  <c r="Y212" i="24"/>
  <c r="G205" i="24"/>
  <c r="G216" i="24"/>
  <c r="R191" i="24"/>
  <c r="K194" i="24"/>
  <c r="AC214" i="24"/>
  <c r="T212" i="24"/>
  <c r="V216" i="24"/>
  <c r="AF214" i="24"/>
  <c r="AC190" i="24"/>
  <c r="P215" i="24"/>
  <c r="W196" i="24"/>
  <c r="O215" i="24"/>
  <c r="X193" i="24"/>
  <c r="T219" i="24"/>
  <c r="AA194" i="24"/>
  <c r="H206" i="24"/>
  <c r="AF213" i="24"/>
  <c r="J214" i="24"/>
  <c r="K197" i="24"/>
  <c r="N195" i="24"/>
  <c r="P214" i="24"/>
  <c r="M206" i="24"/>
  <c r="V199" i="24"/>
  <c r="O214" i="24"/>
  <c r="J216" i="24"/>
  <c r="AB200" i="24"/>
  <c r="N204" i="24"/>
  <c r="J204" i="24"/>
  <c r="O201" i="24"/>
  <c r="K203" i="24"/>
  <c r="W204" i="24"/>
  <c r="AC201" i="24"/>
  <c r="O203" i="24"/>
  <c r="M210" i="24"/>
  <c r="L211" i="24"/>
  <c r="AD209" i="24"/>
  <c r="K208" i="24"/>
  <c r="R210" i="24"/>
  <c r="Y210" i="24"/>
  <c r="I208" i="24"/>
  <c r="Q211" i="24"/>
  <c r="H208" i="24"/>
  <c r="K202" i="24"/>
  <c r="Y201" i="24"/>
  <c r="I201" i="24"/>
  <c r="Q204" i="24"/>
  <c r="AF201" i="24"/>
  <c r="J202" i="24"/>
  <c r="I210" i="24"/>
  <c r="AF210" i="24"/>
  <c r="Q209" i="24"/>
  <c r="O208" i="24"/>
  <c r="T209" i="24"/>
  <c r="L208" i="24"/>
  <c r="W211" i="24"/>
  <c r="Z210" i="24"/>
  <c r="N211" i="24"/>
  <c r="J207" i="24"/>
  <c r="G208" i="24"/>
  <c r="M211" i="24"/>
  <c r="S207" i="24"/>
  <c r="Q208" i="24"/>
  <c r="H207" i="24"/>
  <c r="T24" i="17"/>
  <c r="L29" i="17"/>
  <c r="U22" i="17"/>
  <c r="H30" i="17"/>
  <c r="AD23" i="17"/>
  <c r="G22" i="17"/>
  <c r="S29" i="17"/>
  <c r="P29" i="17"/>
  <c r="N29" i="17"/>
  <c r="T22" i="17"/>
  <c r="G29" i="17"/>
  <c r="AD22" i="17"/>
  <c r="I29" i="17"/>
  <c r="AA30" i="17"/>
  <c r="O22" i="17"/>
  <c r="S23" i="17"/>
  <c r="H28" i="17"/>
  <c r="L24" i="17"/>
  <c r="P22" i="17"/>
  <c r="AC23" i="17"/>
  <c r="V29" i="17"/>
  <c r="AB30" i="17"/>
  <c r="N24" i="17"/>
  <c r="Z23" i="17"/>
  <c r="AD30" i="17"/>
  <c r="X22" i="17"/>
  <c r="L23" i="17"/>
  <c r="Z22" i="17"/>
  <c r="S30" i="17"/>
  <c r="X30" i="17"/>
  <c r="AF24" i="17"/>
  <c r="L31" i="17"/>
  <c r="U28" i="17"/>
  <c r="AF30" i="17"/>
  <c r="U24" i="17"/>
  <c r="O23" i="17"/>
  <c r="W31" i="17"/>
  <c r="T28" i="17"/>
  <c r="M22" i="17"/>
  <c r="Q24" i="17"/>
  <c r="H23" i="17"/>
  <c r="Q30" i="17"/>
  <c r="H24" i="17"/>
  <c r="AC30" i="17"/>
  <c r="V28" i="17"/>
  <c r="R28" i="17"/>
  <c r="U30" i="17"/>
  <c r="U23" i="17"/>
  <c r="M28" i="17"/>
  <c r="AE24" i="17"/>
  <c r="T30" i="17"/>
  <c r="Y31" i="17"/>
  <c r="I23" i="17"/>
  <c r="P23" i="17"/>
  <c r="O30" i="17"/>
  <c r="Y28" i="17"/>
  <c r="AF31" i="17"/>
  <c r="AF23" i="17"/>
  <c r="L30" i="17"/>
  <c r="L22" i="17"/>
  <c r="W30" i="17"/>
  <c r="I22" i="17"/>
  <c r="L28" i="17"/>
  <c r="K24" i="17"/>
  <c r="J30" i="17"/>
  <c r="Q22" i="17"/>
  <c r="R22" i="17"/>
  <c r="AD29" i="17"/>
  <c r="M29" i="17"/>
  <c r="T31" i="17"/>
  <c r="I28" i="17"/>
  <c r="AE28" i="17"/>
  <c r="W23" i="17"/>
  <c r="Y22" i="17"/>
  <c r="AB22" i="17"/>
  <c r="M31" i="17"/>
  <c r="V24" i="17"/>
  <c r="AC29" i="17"/>
  <c r="G333" i="24" a="1"/>
  <c r="Y33" i="17"/>
  <c r="N26" i="17"/>
  <c r="H40" i="17"/>
  <c r="AA13" i="17"/>
  <c r="AF13" i="17"/>
  <c r="S38" i="17"/>
  <c r="AB21" i="17"/>
  <c r="AB12" i="17"/>
  <c r="K36" i="17"/>
  <c r="N36" i="17"/>
  <c r="G20" i="17"/>
  <c r="T26" i="17"/>
  <c r="J21" i="17"/>
  <c r="AC19" i="17"/>
  <c r="T12" i="17"/>
  <c r="V39" i="17"/>
  <c r="K33" i="17"/>
  <c r="AE17" i="17"/>
  <c r="K34" i="17"/>
  <c r="P25" i="17"/>
  <c r="Y13" i="17"/>
  <c r="K13" i="17"/>
  <c r="N15" i="17"/>
  <c r="W20" i="17"/>
  <c r="U19" i="17"/>
  <c r="L33" i="17"/>
  <c r="Z11" i="17"/>
  <c r="I35" i="17"/>
  <c r="AC12" i="17"/>
  <c r="AD12" i="17"/>
  <c r="AB20" i="17"/>
  <c r="M36" i="17"/>
  <c r="P18" i="17"/>
  <c r="U14" i="17"/>
  <c r="L26" i="17"/>
  <c r="AD40" i="17"/>
  <c r="H39" i="17"/>
  <c r="P15" i="17"/>
  <c r="Z12" i="17"/>
  <c r="K27" i="17"/>
  <c r="AF10" i="17"/>
  <c r="J26" i="17"/>
  <c r="R19" i="17"/>
  <c r="AB39" i="17"/>
  <c r="H20" i="17"/>
  <c r="P39" i="17"/>
  <c r="R27" i="17"/>
  <c r="R35" i="17"/>
  <c r="V13" i="17"/>
  <c r="T17" i="17"/>
  <c r="AD20" i="17"/>
  <c r="U20" i="17"/>
  <c r="AA36" i="17"/>
  <c r="S27" i="17"/>
  <c r="I12" i="17"/>
  <c r="U27" i="17"/>
  <c r="Q25" i="17"/>
  <c r="W15" i="17"/>
  <c r="Y14" i="17"/>
  <c r="O36" i="17"/>
  <c r="T19" i="17"/>
  <c r="X14" i="17"/>
  <c r="J14" i="17"/>
  <c r="Q17" i="17"/>
  <c r="N21" i="17"/>
  <c r="J39" i="17"/>
  <c r="N37" i="17"/>
  <c r="O21" i="17"/>
  <c r="R14" i="17"/>
  <c r="AF14" i="17"/>
  <c r="AE21" i="17"/>
  <c r="AA33" i="17"/>
  <c r="AB11" i="17"/>
  <c r="AE39" i="17"/>
  <c r="U25" i="17"/>
  <c r="Y15" i="17"/>
  <c r="O25" i="17"/>
  <c r="AD19" i="17"/>
  <c r="L10" i="17"/>
  <c r="L13" i="17"/>
  <c r="AA25" i="17"/>
  <c r="AD27" i="17"/>
  <c r="Z26" i="17"/>
  <c r="AC25" i="17"/>
  <c r="J40" i="17"/>
  <c r="AA38" i="17"/>
  <c r="AD11" i="17"/>
  <c r="I20" i="17"/>
  <c r="Z13" i="17"/>
  <c r="V14" i="17"/>
  <c r="AF39" i="17"/>
  <c r="N19" i="17"/>
  <c r="T16" i="17"/>
  <c r="P12" i="17"/>
  <c r="O10" i="17"/>
  <c r="Q34" i="17"/>
  <c r="AB34" i="17"/>
  <c r="Q19" i="17"/>
  <c r="V15" i="17"/>
  <c r="P35" i="17"/>
  <c r="W34" i="17"/>
  <c r="L16" i="17"/>
  <c r="U12" i="17"/>
  <c r="V35" i="17"/>
  <c r="X18" i="17"/>
  <c r="S36" i="17"/>
  <c r="AF33" i="17"/>
  <c r="L11" i="17"/>
  <c r="G14" i="17"/>
  <c r="S13" i="17"/>
  <c r="V20" i="17"/>
  <c r="AE26" i="17"/>
  <c r="P36" i="17"/>
  <c r="AD36" i="17"/>
  <c r="P13" i="17"/>
  <c r="S10" i="17"/>
  <c r="L21" i="17"/>
  <c r="T32" i="17"/>
  <c r="AD21" i="17"/>
  <c r="N38" i="17"/>
  <c r="W11" i="17"/>
  <c r="M26" i="17"/>
  <c r="K26" i="17"/>
  <c r="K14" i="17"/>
  <c r="AE15" i="17"/>
  <c r="S15" i="17"/>
  <c r="O15" i="17"/>
  <c r="P37" i="17"/>
  <c r="G27" i="17"/>
  <c r="J19" i="17"/>
  <c r="L40" i="17"/>
  <c r="Y40" i="17"/>
  <c r="Q38" i="17"/>
  <c r="G33" i="17"/>
  <c r="T18" i="17"/>
  <c r="AA27" i="17"/>
  <c r="G16" i="17"/>
  <c r="N20" i="17"/>
  <c r="G13" i="17"/>
  <c r="AC33" i="17"/>
  <c r="AD34" i="17"/>
  <c r="Z15" i="17"/>
  <c r="Z14" i="17"/>
  <c r="X38" i="17"/>
  <c r="T38" i="17"/>
  <c r="V40" i="17"/>
  <c r="L19" i="17"/>
  <c r="O34" i="17"/>
  <c r="I39" i="17"/>
  <c r="T35" i="17"/>
  <c r="M18" i="17"/>
  <c r="N33" i="17"/>
  <c r="AB40" i="17"/>
  <c r="G40" i="17"/>
  <c r="R38" i="17"/>
  <c r="I38" i="17"/>
  <c r="AA39" i="17"/>
  <c r="AC32" i="17"/>
  <c r="AD39" i="17"/>
  <c r="P40" i="17"/>
  <c r="Y19" i="17"/>
  <c r="V19" i="17"/>
  <c r="T39" i="17"/>
  <c r="L32" i="17"/>
  <c r="U40" i="17"/>
  <c r="U38" i="17"/>
  <c r="G38" i="17"/>
  <c r="I13" i="17"/>
  <c r="J34" i="17"/>
  <c r="P26" i="17"/>
  <c r="Y37" i="17"/>
  <c r="L25" i="17"/>
  <c r="T15" i="17"/>
  <c r="V11" i="17"/>
  <c r="S26" i="17"/>
  <c r="H15" i="17"/>
  <c r="S12" i="17"/>
  <c r="N17" i="17"/>
  <c r="T34" i="17"/>
  <c r="AA14" i="17"/>
  <c r="H10" i="17"/>
  <c r="L37" i="17"/>
  <c r="W17" i="17"/>
  <c r="G35" i="17"/>
  <c r="AE14" i="17"/>
  <c r="S17" i="17"/>
  <c r="AE25" i="17"/>
  <c r="Y36" i="17"/>
  <c r="P14" i="17"/>
  <c r="U34" i="17"/>
  <c r="H21" i="17"/>
  <c r="G10" i="17"/>
  <c r="G17" i="17"/>
  <c r="J15" i="17"/>
  <c r="L34" i="17"/>
  <c r="U32" i="17"/>
  <c r="AC11" i="17"/>
  <c r="R11" i="17"/>
  <c r="R25" i="17"/>
  <c r="AD13" i="17"/>
  <c r="J17" i="17"/>
  <c r="P19" i="17"/>
  <c r="AB15" i="17"/>
  <c r="S34" i="17"/>
  <c r="AF12" i="17"/>
  <c r="R18" i="17"/>
  <c r="AF26" i="17"/>
  <c r="AC20" i="17"/>
  <c r="AA35" i="17"/>
  <c r="G34" i="17"/>
  <c r="X17" i="17"/>
  <c r="Z34" i="17"/>
  <c r="O16" i="17"/>
  <c r="H11" i="17"/>
  <c r="O14" i="17"/>
  <c r="P10" i="17"/>
  <c r="AD32" i="17"/>
  <c r="AA11" i="17"/>
  <c r="V27" i="17"/>
  <c r="AC15" i="17"/>
  <c r="U33" i="17"/>
  <c r="P20" i="17"/>
  <c r="O37" i="17"/>
  <c r="Z38" i="17"/>
  <c r="J20" i="17"/>
  <c r="P33" i="17"/>
  <c r="AB32" i="17"/>
  <c r="N39" i="17"/>
  <c r="AD33" i="17"/>
  <c r="X39" i="17"/>
  <c r="AF19" i="17"/>
  <c r="J27" i="17"/>
  <c r="L27" i="17"/>
  <c r="H35" i="17"/>
  <c r="O12" i="17"/>
  <c r="W36" i="17"/>
  <c r="X40" i="17"/>
  <c r="S33" i="17"/>
  <c r="X32" i="17"/>
  <c r="Y18" i="17"/>
  <c r="AB19" i="17"/>
  <c r="I17" i="17"/>
  <c r="G15" i="17"/>
  <c r="W21" i="17"/>
  <c r="AC27" i="17"/>
  <c r="M39" i="17"/>
  <c r="U15" i="17"/>
  <c r="AE16" i="17"/>
  <c r="Y16" i="17"/>
  <c r="J25" i="17"/>
  <c r="AE18" i="17"/>
  <c r="I25" i="17"/>
  <c r="W39" i="17"/>
  <c r="R33" i="17"/>
  <c r="H18" i="17"/>
  <c r="U21" i="17"/>
  <c r="K17" i="17"/>
  <c r="I40" i="17"/>
  <c r="AC18" i="17"/>
  <c r="R15" i="17"/>
  <c r="AF27" i="17"/>
  <c r="K21" i="17"/>
  <c r="U26" i="17"/>
  <c r="Y27" i="17"/>
  <c r="O38" i="17"/>
  <c r="Y38" i="17"/>
  <c r="L14" i="17"/>
  <c r="I11" i="17"/>
  <c r="Q20" i="17"/>
  <c r="M35" i="17"/>
  <c r="T14" i="17"/>
  <c r="AE19" i="17"/>
  <c r="M38" i="17"/>
  <c r="M17" i="17"/>
  <c r="X25" i="17"/>
  <c r="Y35" i="17"/>
  <c r="M25" i="17"/>
  <c r="AF34" i="17"/>
  <c r="H38" i="17"/>
  <c r="R40" i="17"/>
  <c r="Q33" i="17"/>
  <c r="AE10" i="17"/>
  <c r="H26" i="17"/>
  <c r="AF16" i="17"/>
  <c r="K32" i="17"/>
  <c r="AE13" i="17"/>
  <c r="AC13" i="17"/>
  <c r="AC36" i="17"/>
  <c r="AE35" i="17"/>
  <c r="M15" i="17"/>
  <c r="AF35" i="17"/>
  <c r="Z37" i="17"/>
  <c r="R36" i="17"/>
  <c r="W40" i="17"/>
  <c r="K19" i="17"/>
  <c r="X27" i="17"/>
  <c r="Y25" i="17"/>
  <c r="V32" i="17"/>
  <c r="T25" i="17"/>
  <c r="I15" i="17"/>
  <c r="H17" i="17"/>
  <c r="S21" i="17"/>
  <c r="M19" i="17"/>
  <c r="S11" i="17"/>
  <c r="I14" i="17"/>
  <c r="AC37" i="17"/>
  <c r="Q37" i="17"/>
  <c r="AD10" i="17"/>
  <c r="G11" i="17"/>
  <c r="K35" i="17"/>
  <c r="Q11" i="17"/>
  <c r="Q18" i="17"/>
  <c r="AA10" i="17"/>
  <c r="W14" i="17"/>
  <c r="X34" i="17"/>
  <c r="X19" i="17"/>
  <c r="X16" i="17"/>
  <c r="W12" i="17"/>
  <c r="AB35" i="17"/>
  <c r="T27" i="17"/>
  <c r="M21" i="17"/>
  <c r="G18" i="17"/>
  <c r="Q16" i="17"/>
  <c r="S32" i="17"/>
  <c r="O18" i="17"/>
  <c r="K37" i="17"/>
  <c r="X12" i="17"/>
  <c r="Z17" i="17"/>
  <c r="AA26" i="17"/>
  <c r="V17" i="17"/>
  <c r="H32" i="17"/>
  <c r="Y21" i="17"/>
  <c r="AA37" i="17"/>
  <c r="O33" i="17"/>
  <c r="S14" i="17"/>
  <c r="AE11" i="17"/>
  <c r="G19" i="17"/>
  <c r="AA20" i="17"/>
  <c r="AC14" i="17"/>
  <c r="U39" i="17"/>
  <c r="N10" i="17"/>
  <c r="N25" i="17"/>
  <c r="I34" i="17"/>
  <c r="M40" i="17"/>
  <c r="I37" i="17"/>
  <c r="Z21" i="17"/>
  <c r="AD15" i="17"/>
  <c r="W19" i="17"/>
  <c r="X21" i="17"/>
  <c r="M32" i="17"/>
  <c r="AA18" i="17"/>
  <c r="J33" i="17"/>
  <c r="AA16" i="17"/>
  <c r="L17" i="17"/>
  <c r="Q27" i="17"/>
  <c r="Y20" i="17"/>
  <c r="V18" i="17"/>
  <c r="AC16" i="17"/>
  <c r="Y17" i="17"/>
  <c r="AF18" i="17"/>
  <c r="Y34" i="17"/>
  <c r="M34" i="17"/>
  <c r="AE20" i="17"/>
  <c r="Z36" i="17"/>
  <c r="AC40" i="17"/>
  <c r="Q40" i="17"/>
  <c r="M27" i="17"/>
  <c r="X33" i="17"/>
  <c r="H25" i="17"/>
  <c r="M12" i="17"/>
  <c r="AB33" i="17"/>
  <c r="U35" i="17"/>
  <c r="Q12" i="17"/>
  <c r="AD18" i="17"/>
  <c r="Q13" i="17"/>
  <c r="T10" i="17"/>
  <c r="O35" i="17"/>
  <c r="R16" i="17"/>
  <c r="Q14" i="17"/>
  <c r="V21" i="17"/>
  <c r="AA21" i="17"/>
  <c r="AD26" i="17"/>
  <c r="W10" i="17"/>
  <c r="AE36" i="17"/>
  <c r="AC21" i="17"/>
  <c r="J10" i="17"/>
  <c r="X37" i="17"/>
  <c r="N27" i="17"/>
  <c r="U11" i="17"/>
  <c r="Q21" i="17"/>
  <c r="AB27" i="17"/>
  <c r="Z10" i="17"/>
  <c r="N32" i="17"/>
  <c r="J37" i="17"/>
  <c r="W33" i="17"/>
  <c r="I10" i="17"/>
  <c r="I18" i="17"/>
  <c r="W32" i="17"/>
  <c r="Z20" i="17"/>
  <c r="AC38" i="17"/>
  <c r="V25" i="17"/>
  <c r="N12" i="17"/>
  <c r="K15" i="17"/>
  <c r="Y11" i="17"/>
  <c r="T11" i="17"/>
  <c r="Z18" i="17"/>
  <c r="H36" i="17"/>
  <c r="AC34" i="17"/>
  <c r="V10" i="17"/>
  <c r="AF17" i="17"/>
  <c r="AD37" i="17"/>
  <c r="L38" i="17"/>
  <c r="K38" i="17"/>
  <c r="L15" i="17"/>
  <c r="I27" i="17"/>
  <c r="AB10" i="17"/>
  <c r="U13" i="17"/>
  <c r="AB14" i="17"/>
  <c r="N16" i="17"/>
  <c r="AF37" i="17"/>
  <c r="M10" i="17"/>
  <c r="V38" i="17"/>
  <c r="AE34" i="17"/>
  <c r="X20" i="17"/>
  <c r="W38" i="17"/>
  <c r="K25" i="17"/>
  <c r="AE33" i="17"/>
  <c r="K16" i="17"/>
  <c r="L36" i="17"/>
  <c r="AF21" i="17"/>
  <c r="AA19" i="17"/>
  <c r="S18" i="17"/>
  <c r="I16" i="17"/>
  <c r="Z19" i="17"/>
  <c r="W18" i="17"/>
  <c r="S39" i="17"/>
  <c r="AD16" i="17"/>
  <c r="P17" i="17"/>
  <c r="AA12" i="17"/>
  <c r="G39" i="17"/>
  <c r="U36" i="17"/>
  <c r="T40" i="17"/>
  <c r="P11" i="17"/>
  <c r="AA17" i="17"/>
  <c r="V26" i="17"/>
  <c r="P34" i="17"/>
  <c r="V37" i="17"/>
  <c r="U18" i="17"/>
  <c r="N18" i="17"/>
  <c r="R17" i="17"/>
  <c r="Q36" i="17"/>
  <c r="H14" i="17"/>
  <c r="AE27" i="17"/>
  <c r="I33" i="17"/>
  <c r="O19" i="17"/>
  <c r="AF20" i="17"/>
  <c r="O20" i="17"/>
  <c r="AD14" i="17"/>
  <c r="AB16" i="17"/>
  <c r="AB26" i="17"/>
  <c r="V16" i="17"/>
  <c r="R10" i="17"/>
  <c r="Z33" i="17"/>
  <c r="AA34" i="17"/>
  <c r="J38" i="17"/>
  <c r="T20" i="17"/>
  <c r="H16" i="17"/>
  <c r="S40" i="17"/>
  <c r="X11" i="17"/>
  <c r="K11" i="17"/>
  <c r="M11" i="17"/>
  <c r="R26" i="17"/>
  <c r="T13" i="17"/>
  <c r="K18" i="17"/>
  <c r="X26" i="17"/>
  <c r="AF36" i="17"/>
  <c r="K10" i="17"/>
  <c r="H34" i="17"/>
  <c r="T36" i="17"/>
  <c r="L39" i="17"/>
  <c r="AE32" i="17"/>
  <c r="J32" i="17"/>
  <c r="U37" i="17"/>
  <c r="I21" i="17"/>
  <c r="W13" i="17"/>
  <c r="N11" i="17"/>
  <c r="Q10" i="17"/>
  <c r="O26" i="17"/>
  <c r="AD17" i="17"/>
  <c r="G21" i="17"/>
  <c r="Z27" i="17"/>
  <c r="J35" i="17"/>
  <c r="AE37" i="17"/>
  <c r="AB25" i="17"/>
  <c r="Y12" i="17"/>
  <c r="AF38" i="17"/>
  <c r="N13" i="17"/>
  <c r="N35" i="17"/>
  <c r="W25" i="17"/>
  <c r="V34" i="17"/>
  <c r="V36" i="17"/>
  <c r="Q39" i="17"/>
  <c r="X15" i="17"/>
  <c r="AE12" i="17"/>
  <c r="Y10" i="17"/>
  <c r="Y32" i="17"/>
  <c r="V12" i="17"/>
  <c r="L18" i="17"/>
  <c r="H19" i="17"/>
  <c r="H37" i="17"/>
  <c r="I32" i="17"/>
  <c r="H12" i="17"/>
  <c r="AC10" i="17"/>
  <c r="J18" i="17"/>
  <c r="O27" i="17"/>
  <c r="R32" i="17"/>
  <c r="AC39" i="17"/>
  <c r="Y26" i="17"/>
  <c r="W35" i="17"/>
  <c r="P32" i="17"/>
  <c r="L20" i="17"/>
  <c r="T37" i="17"/>
  <c r="M20" i="17"/>
  <c r="H27" i="17"/>
  <c r="Z32" i="17"/>
  <c r="K12" i="17"/>
  <c r="AD25" i="17"/>
  <c r="S37" i="17"/>
  <c r="X35" i="17"/>
  <c r="V33" i="17"/>
  <c r="W26" i="17"/>
  <c r="AF32" i="17"/>
  <c r="S19" i="17"/>
  <c r="T33" i="17"/>
  <c r="U17" i="17"/>
  <c r="G25" i="17"/>
  <c r="Z39" i="17"/>
  <c r="O39" i="17"/>
  <c r="AB18" i="17"/>
  <c r="M14" i="17"/>
  <c r="J13" i="17"/>
  <c r="S25" i="17"/>
  <c r="J16" i="17"/>
  <c r="Z25" i="17"/>
  <c r="N14" i="17"/>
  <c r="I36" i="17"/>
  <c r="R39" i="17"/>
  <c r="Z16" i="17"/>
  <c r="AA32" i="17"/>
  <c r="AB37" i="17"/>
  <c r="X13" i="17"/>
  <c r="U10" i="17"/>
  <c r="J12" i="17"/>
  <c r="AA40" i="17"/>
  <c r="AD38" i="17"/>
  <c r="AC26" i="17"/>
  <c r="K39" i="17"/>
  <c r="AC17" i="17"/>
  <c r="P16" i="17"/>
  <c r="S35" i="17"/>
  <c r="X36" i="17"/>
  <c r="R21" i="17"/>
  <c r="K20" i="17"/>
  <c r="Q35" i="17"/>
  <c r="L35" i="17"/>
  <c r="R13" i="17"/>
  <c r="M13" i="17"/>
  <c r="O11" i="17"/>
  <c r="AD35" i="17"/>
  <c r="AF11" i="17"/>
  <c r="S20" i="17"/>
  <c r="G32" i="17"/>
  <c r="G12" i="17"/>
  <c r="AF25" i="17"/>
  <c r="M33" i="17"/>
  <c r="AA15" i="17"/>
  <c r="J11" i="17"/>
  <c r="S16" i="17"/>
  <c r="AB17" i="17"/>
  <c r="O17" i="17"/>
  <c r="AC35" i="17"/>
  <c r="H13" i="17"/>
  <c r="R34" i="17"/>
  <c r="R20" i="17"/>
  <c r="Q15" i="17"/>
  <c r="AB13" i="17"/>
  <c r="J36" i="17"/>
  <c r="M16" i="17"/>
  <c r="Z40" i="17"/>
  <c r="Q32" i="17"/>
  <c r="U16" i="17"/>
  <c r="G36" i="17"/>
  <c r="W16" i="17"/>
  <c r="P21" i="17"/>
  <c r="L12" i="17"/>
  <c r="Z35" i="17"/>
  <c r="N34" i="17"/>
  <c r="R12" i="17"/>
  <c r="O13" i="17"/>
  <c r="O40" i="17"/>
  <c r="P38" i="17"/>
  <c r="AB38" i="17"/>
  <c r="T21" i="17"/>
  <c r="X10" i="17"/>
  <c r="M37" i="17"/>
  <c r="I19" i="17"/>
  <c r="P27" i="17"/>
  <c r="AF15" i="17"/>
  <c r="Y39" i="17"/>
  <c r="W27" i="17"/>
  <c r="O32" i="17"/>
  <c r="G37" i="17"/>
  <c r="N40" i="17"/>
  <c r="AE38" i="17"/>
  <c r="R37" i="17"/>
  <c r="I26" i="17"/>
  <c r="W37" i="17"/>
  <c r="Q26" i="17"/>
  <c r="H33" i="17"/>
  <c r="G26" i="17"/>
  <c r="AB36" i="17"/>
  <c r="AF40" i="17"/>
  <c r="K40" i="17"/>
  <c r="AE40" i="17"/>
  <c r="M24" i="17"/>
  <c r="X29" i="17"/>
  <c r="N30" i="17"/>
  <c r="V23" i="17"/>
  <c r="R31" i="17"/>
  <c r="AA22" i="17"/>
  <c r="I30" i="17"/>
  <c r="R23" i="17"/>
  <c r="R24" i="17"/>
  <c r="R29" i="17"/>
  <c r="K28" i="17"/>
  <c r="AB23" i="17"/>
  <c r="I31" i="17"/>
  <c r="Z30" i="17"/>
  <c r="AC28" i="17"/>
  <c r="Y24" i="17"/>
  <c r="Z29" i="17"/>
  <c r="Q31" i="17"/>
  <c r="G28" i="17"/>
  <c r="T23" i="17"/>
  <c r="H31" i="17"/>
  <c r="N22" i="17"/>
  <c r="AB28" i="17"/>
  <c r="AD24" i="17"/>
  <c r="G23" i="17"/>
  <c r="AB29" i="17"/>
  <c r="K22" i="17"/>
  <c r="N23" i="17"/>
  <c r="AD31" i="17"/>
  <c r="V30" i="17"/>
  <c r="S24" i="17"/>
  <c r="J29" i="17"/>
  <c r="S22" i="17"/>
  <c r="Y30" i="17"/>
  <c r="J24" i="17"/>
  <c r="Q23" i="17"/>
  <c r="Y29" i="17"/>
  <c r="AB31" i="17"/>
  <c r="W22" i="17"/>
  <c r="W24" i="17"/>
  <c r="N31" i="17"/>
  <c r="Y23" i="17"/>
  <c r="N28" i="17"/>
  <c r="AE23" i="17"/>
  <c r="AC22" i="17"/>
  <c r="AF28" i="17"/>
  <c r="AA24" i="17"/>
  <c r="AC31" i="17"/>
  <c r="AF22" i="17"/>
  <c r="K23" i="17"/>
  <c r="AA29" i="17"/>
  <c r="AE30" i="17"/>
  <c r="J31" i="17"/>
  <c r="Z28" i="17"/>
  <c r="X24" i="17"/>
  <c r="G30" i="17"/>
  <c r="K29" i="17"/>
  <c r="H22" i="17"/>
  <c r="O31" i="17"/>
  <c r="J28" i="17"/>
  <c r="P24" i="17"/>
  <c r="G31" i="17"/>
  <c r="X28" i="17"/>
  <c r="O24" i="17"/>
  <c r="V31" i="17"/>
  <c r="AE22" i="17"/>
  <c r="AC24" i="17"/>
  <c r="T29" i="17"/>
  <c r="M23" i="17"/>
  <c r="X23" i="17"/>
  <c r="AF29" i="17"/>
  <c r="W29" i="17"/>
  <c r="AA28" i="17"/>
  <c r="Z24" i="17"/>
  <c r="Z31" i="17"/>
  <c r="V22" i="17"/>
  <c r="I24" i="17"/>
  <c r="O29" i="17"/>
  <c r="Q29" i="17"/>
  <c r="AE31" i="17"/>
  <c r="AE29" i="17"/>
  <c r="M30" i="17"/>
  <c r="P31" i="17"/>
  <c r="P30" i="17"/>
  <c r="Q28" i="17"/>
  <c r="U29" i="17"/>
  <c r="G24" i="17"/>
  <c r="P28" i="17"/>
  <c r="J23" i="17"/>
  <c r="U31" i="17"/>
  <c r="X31" i="17"/>
  <c r="H29" i="17"/>
  <c r="K30" i="17"/>
  <c r="AD28" i="17"/>
  <c r="AA31" i="17"/>
  <c r="AB24" i="17"/>
  <c r="AA23" i="17"/>
  <c r="S31" i="17"/>
  <c r="K31" i="17"/>
  <c r="W28" i="17"/>
  <c r="O28" i="17"/>
  <c r="R30" i="17"/>
  <c r="S28" i="17"/>
  <c r="T9" i="15" l="1"/>
  <c r="AD9" i="15"/>
  <c r="AC13" i="15"/>
  <c r="AB17" i="15"/>
  <c r="AA21" i="15"/>
  <c r="AB24" i="15"/>
  <c r="Z26" i="15"/>
  <c r="X28" i="15"/>
  <c r="Y30" i="15"/>
  <c r="W32" i="15"/>
  <c r="X34" i="15"/>
  <c r="G36" i="15"/>
  <c r="L37" i="15"/>
  <c r="K38" i="15"/>
  <c r="M39" i="15"/>
  <c r="AD13" i="15"/>
  <c r="AC17" i="15"/>
  <c r="AB21" i="15"/>
  <c r="J25" i="15"/>
  <c r="H27" i="15"/>
  <c r="AF28" i="15"/>
  <c r="G31" i="15"/>
  <c r="G321" i="12" s="1"/>
  <c r="AE32" i="15"/>
  <c r="L36" i="15"/>
  <c r="M37" i="15"/>
  <c r="O38" i="15"/>
  <c r="N39" i="15"/>
  <c r="Y23" i="15"/>
  <c r="Z29" i="15"/>
  <c r="V33" i="15"/>
  <c r="W36" i="15"/>
  <c r="Y38" i="15"/>
  <c r="AF11" i="15"/>
  <c r="AD19" i="15"/>
  <c r="I26" i="15"/>
  <c r="H30" i="15"/>
  <c r="AD33" i="15"/>
  <c r="AB36" i="15"/>
  <c r="Z38" i="15"/>
  <c r="AB20" i="15"/>
  <c r="X26" i="15"/>
  <c r="T30" i="15"/>
  <c r="AE35" i="15"/>
  <c r="H39" i="15"/>
  <c r="AE12" i="15"/>
  <c r="AC20" i="15"/>
  <c r="X24" i="15"/>
  <c r="W28" i="15"/>
  <c r="V32" i="15"/>
  <c r="T34" i="15"/>
  <c r="K37" i="15"/>
  <c r="I39" i="15"/>
  <c r="H10" i="15"/>
  <c r="AF34" i="15"/>
  <c r="AD12" i="15"/>
  <c r="U32" i="15"/>
  <c r="I38" i="15"/>
  <c r="AD16" i="15"/>
  <c r="Y26" i="15"/>
  <c r="X30" i="15"/>
  <c r="AF35" i="15"/>
  <c r="J38" i="15"/>
  <c r="AF39" i="15"/>
  <c r="AF10" i="15"/>
  <c r="AB14" i="15"/>
  <c r="AA18" i="15"/>
  <c r="Z22" i="15"/>
  <c r="V25" i="15"/>
  <c r="W27" i="15"/>
  <c r="U29" i="15"/>
  <c r="V31" i="15"/>
  <c r="T33" i="15"/>
  <c r="O35" i="15"/>
  <c r="U36" i="15"/>
  <c r="U37" i="15"/>
  <c r="W38" i="15"/>
  <c r="V39" i="15"/>
  <c r="G11" i="15"/>
  <c r="G301" i="12" s="1"/>
  <c r="AF14" i="15"/>
  <c r="AB18" i="15"/>
  <c r="AA22" i="15"/>
  <c r="Z25" i="15"/>
  <c r="X27" i="15"/>
  <c r="V29" i="15"/>
  <c r="W31" i="15"/>
  <c r="U33" i="15"/>
  <c r="P35" i="15"/>
  <c r="V36" i="15"/>
  <c r="Y37" i="15"/>
  <c r="X38" i="15"/>
  <c r="W39" i="15"/>
  <c r="AE11" i="15"/>
  <c r="AD15" i="15"/>
  <c r="Z19" i="15"/>
  <c r="AA25" i="15"/>
  <c r="Y27" i="15"/>
  <c r="X31" i="15"/>
  <c r="Q35" i="15"/>
  <c r="Z37" i="15"/>
  <c r="X39" i="15"/>
  <c r="AE15" i="15"/>
  <c r="Z23" i="15"/>
  <c r="G28" i="15"/>
  <c r="AF31" i="15"/>
  <c r="V35" i="15"/>
  <c r="AA37" i="15"/>
  <c r="Y39" i="15"/>
  <c r="AC16" i="15"/>
  <c r="W24" i="15"/>
  <c r="V28" i="15"/>
  <c r="S34" i="15"/>
  <c r="J37" i="15"/>
  <c r="X23" i="15"/>
  <c r="Z15" i="15"/>
  <c r="S38" i="15"/>
  <c r="S33" i="15"/>
  <c r="U25" i="15"/>
  <c r="Z17" i="15"/>
  <c r="AB9" i="15"/>
  <c r="O36" i="15"/>
  <c r="L29" i="15"/>
  <c r="N21" i="15"/>
  <c r="S13" i="15"/>
  <c r="M10" i="15"/>
  <c r="Y12" i="15"/>
  <c r="K15" i="15"/>
  <c r="W17" i="15"/>
  <c r="I20" i="15"/>
  <c r="U22" i="15"/>
  <c r="G25" i="15"/>
  <c r="S27" i="15"/>
  <c r="AE29" i="15"/>
  <c r="Q32" i="15"/>
  <c r="AC34" i="15"/>
  <c r="L11" i="15"/>
  <c r="X13" i="15"/>
  <c r="J16" i="15"/>
  <c r="V18" i="15"/>
  <c r="H21" i="15"/>
  <c r="T23" i="15"/>
  <c r="AF25" i="15"/>
  <c r="R28" i="15"/>
  <c r="AD30" i="15"/>
  <c r="P33" i="15"/>
  <c r="Y9" i="15"/>
  <c r="K12" i="15"/>
  <c r="W14" i="15"/>
  <c r="I17" i="15"/>
  <c r="U19" i="15"/>
  <c r="G22" i="15"/>
  <c r="S24" i="15"/>
  <c r="AE26" i="15"/>
  <c r="Q29" i="15"/>
  <c r="AC31" i="15"/>
  <c r="O34" i="15"/>
  <c r="V11" i="15"/>
  <c r="R15" i="15"/>
  <c r="Q19" i="15"/>
  <c r="P23" i="15"/>
  <c r="O27" i="15"/>
  <c r="N31" i="15"/>
  <c r="J35" i="15"/>
  <c r="V37" i="15"/>
  <c r="T39" i="15"/>
  <c r="H20" i="15"/>
  <c r="AE31" i="15"/>
  <c r="X10" i="15"/>
  <c r="T14" i="15"/>
  <c r="S18" i="15"/>
  <c r="R22" i="15"/>
  <c r="Q26" i="15"/>
  <c r="P30" i="15"/>
  <c r="L34" i="15"/>
  <c r="G37" i="15"/>
  <c r="S39" i="15"/>
  <c r="Y14" i="15"/>
  <c r="S26" i="15"/>
  <c r="L9" i="15"/>
  <c r="K13" i="15"/>
  <c r="J17" i="15"/>
  <c r="AF20" i="15"/>
  <c r="AE24" i="15"/>
  <c r="AD28" i="15"/>
  <c r="AC32" i="15"/>
  <c r="J36" i="15"/>
  <c r="V38" i="15"/>
  <c r="W19" i="15"/>
  <c r="Q31" i="15"/>
  <c r="AE38" i="15"/>
  <c r="I34" i="15"/>
  <c r="K26" i="15"/>
  <c r="P18" i="15"/>
  <c r="R10" i="15"/>
  <c r="AC36" i="15"/>
  <c r="I30" i="15"/>
  <c r="K22" i="15"/>
  <c r="P14" i="15"/>
  <c r="Y22" i="15"/>
  <c r="AA14" i="15"/>
  <c r="H38" i="15"/>
  <c r="T32" i="15"/>
  <c r="V24" i="15"/>
  <c r="X16" i="15"/>
  <c r="AE39" i="15"/>
  <c r="Y35" i="15"/>
  <c r="M28" i="15"/>
  <c r="O20" i="15"/>
  <c r="T12" i="15"/>
  <c r="U10" i="15"/>
  <c r="G13" i="15"/>
  <c r="S15" i="15"/>
  <c r="AE17" i="15"/>
  <c r="Q20" i="15"/>
  <c r="AC22" i="15"/>
  <c r="O25" i="15"/>
  <c r="AA27" i="15"/>
  <c r="M30" i="15"/>
  <c r="Y32" i="15"/>
  <c r="H9" i="15"/>
  <c r="T11" i="15"/>
  <c r="AF13" i="15"/>
  <c r="R16" i="15"/>
  <c r="AD18" i="15"/>
  <c r="P21" i="15"/>
  <c r="AB23" i="15"/>
  <c r="N26" i="15"/>
  <c r="Z28" i="15"/>
  <c r="L31" i="15"/>
  <c r="X33" i="15"/>
  <c r="G10" i="15"/>
  <c r="G300" i="12" s="1"/>
  <c r="S12" i="15"/>
  <c r="AE14" i="15"/>
  <c r="Q17" i="15"/>
  <c r="AC19" i="15"/>
  <c r="O22" i="15"/>
  <c r="AA24" i="15"/>
  <c r="M27" i="15"/>
  <c r="Y29" i="15"/>
  <c r="K32" i="15"/>
  <c r="W34" i="15"/>
  <c r="G12" i="15"/>
  <c r="AF15" i="15"/>
  <c r="AE19" i="15"/>
  <c r="AD23" i="15"/>
  <c r="Z27" i="15"/>
  <c r="Y31" i="15"/>
  <c r="R35" i="15"/>
  <c r="AD37" i="15"/>
  <c r="AA9" i="15"/>
  <c r="U21" i="15"/>
  <c r="R33" i="15"/>
  <c r="I11" i="15"/>
  <c r="H15" i="15"/>
  <c r="G19" i="15"/>
  <c r="AF22" i="15"/>
  <c r="AB26" i="15"/>
  <c r="AA30" i="15"/>
  <c r="Z34" i="15"/>
  <c r="O37" i="15"/>
  <c r="AA39" i="15"/>
  <c r="L16" i="15"/>
  <c r="AF27" i="15"/>
  <c r="Z9" i="15"/>
  <c r="V13" i="15"/>
  <c r="U17" i="15"/>
  <c r="T21" i="15"/>
  <c r="S25" i="15"/>
  <c r="R29" i="15"/>
  <c r="N33" i="15"/>
  <c r="R36" i="15"/>
  <c r="L39" i="15"/>
  <c r="J21" i="15"/>
  <c r="AD32" i="15"/>
  <c r="Q38" i="15"/>
  <c r="J33" i="15"/>
  <c r="L25" i="15"/>
  <c r="N17" i="15"/>
  <c r="S9" i="15"/>
  <c r="M36" i="15"/>
  <c r="J29" i="15"/>
  <c r="L21" i="15"/>
  <c r="N13" i="15"/>
  <c r="Z21" i="15"/>
  <c r="AB13" i="15"/>
  <c r="T37" i="15"/>
  <c r="R31" i="15"/>
  <c r="W23" i="15"/>
  <c r="Y15" i="15"/>
  <c r="Q39" i="15"/>
  <c r="I35" i="15"/>
  <c r="N27" i="15"/>
  <c r="P19" i="15"/>
  <c r="R11" i="15"/>
  <c r="AC10" i="15"/>
  <c r="O13" i="15"/>
  <c r="AA15" i="15"/>
  <c r="M18" i="15"/>
  <c r="Y20" i="15"/>
  <c r="K23" i="15"/>
  <c r="W25" i="15"/>
  <c r="I28" i="15"/>
  <c r="U30" i="15"/>
  <c r="G33" i="15"/>
  <c r="P9" i="15"/>
  <c r="AB11" i="15"/>
  <c r="N14" i="15"/>
  <c r="Z16" i="15"/>
  <c r="L19" i="15"/>
  <c r="X21" i="15"/>
  <c r="J24" i="15"/>
  <c r="V26" i="15"/>
  <c r="H29" i="15"/>
  <c r="T31" i="15"/>
  <c r="AF33" i="15"/>
  <c r="O10" i="15"/>
  <c r="AA12" i="15"/>
  <c r="M15" i="15"/>
  <c r="Y17" i="15"/>
  <c r="K20" i="15"/>
  <c r="W22" i="15"/>
  <c r="I25" i="15"/>
  <c r="U27" i="15"/>
  <c r="G30" i="15"/>
  <c r="S32" i="15"/>
  <c r="AE34" i="15"/>
  <c r="U12" i="15"/>
  <c r="T16" i="15"/>
  <c r="P20" i="15"/>
  <c r="O24" i="15"/>
  <c r="N28" i="15"/>
  <c r="M32" i="15"/>
  <c r="Z35" i="15"/>
  <c r="L38" i="15"/>
  <c r="N11" i="15"/>
  <c r="H23" i="15"/>
  <c r="AB34" i="15"/>
  <c r="W11" i="15"/>
  <c r="V15" i="15"/>
  <c r="R19" i="15"/>
  <c r="Q23" i="15"/>
  <c r="P27" i="15"/>
  <c r="O31" i="15"/>
  <c r="K35" i="15"/>
  <c r="W37" i="15"/>
  <c r="AD38" i="15"/>
  <c r="V17" i="15"/>
  <c r="S29" i="15"/>
  <c r="K10" i="15"/>
  <c r="J14" i="15"/>
  <c r="I18" i="15"/>
  <c r="H22" i="15"/>
  <c r="AD25" i="15"/>
  <c r="AC29" i="15"/>
  <c r="AB33" i="15"/>
  <c r="Z36" i="15"/>
  <c r="L10" i="15"/>
  <c r="T22" i="15"/>
  <c r="Q34" i="15"/>
  <c r="AC37" i="15"/>
  <c r="H32" i="15"/>
  <c r="M24" i="15"/>
  <c r="O16" i="15"/>
  <c r="AC39" i="15"/>
  <c r="W35" i="15"/>
  <c r="H28" i="15"/>
  <c r="M20" i="15"/>
  <c r="O12" i="15"/>
  <c r="X20" i="15"/>
  <c r="AC9" i="15"/>
  <c r="T29" i="15"/>
  <c r="Y18" i="15"/>
  <c r="G38" i="15"/>
  <c r="G328" i="12" s="1"/>
  <c r="L26" i="15"/>
  <c r="Q15" i="15"/>
  <c r="S11" i="15"/>
  <c r="AC14" i="15"/>
  <c r="K19" i="15"/>
  <c r="S23" i="15"/>
  <c r="AC26" i="15"/>
  <c r="K31" i="15"/>
  <c r="U34" i="15"/>
  <c r="Z12" i="15"/>
  <c r="H17" i="15"/>
  <c r="R20" i="15"/>
  <c r="Z24" i="15"/>
  <c r="J28" i="15"/>
  <c r="R32" i="15"/>
  <c r="W10" i="15"/>
  <c r="G14" i="15"/>
  <c r="O18" i="15"/>
  <c r="Y21" i="15"/>
  <c r="G26" i="15"/>
  <c r="O30" i="15"/>
  <c r="Y33" i="15"/>
  <c r="T13" i="15"/>
  <c r="AF18" i="15"/>
  <c r="AB25" i="15"/>
  <c r="X32" i="15"/>
  <c r="AF36" i="15"/>
  <c r="K14" i="15"/>
  <c r="R30" i="15"/>
  <c r="J13" i="15"/>
  <c r="AF19" i="15"/>
  <c r="R25" i="15"/>
  <c r="N32" i="15"/>
  <c r="Y36" i="15"/>
  <c r="Z10" i="15"/>
  <c r="AF30" i="15"/>
  <c r="L12" i="15"/>
  <c r="H19" i="15"/>
  <c r="T24" i="15"/>
  <c r="P31" i="15"/>
  <c r="H37" i="15"/>
  <c r="W16" i="15"/>
  <c r="S36" i="15"/>
  <c r="H35" i="15"/>
  <c r="M21" i="15"/>
  <c r="O39" i="15"/>
  <c r="G32" i="15"/>
  <c r="L18" i="15"/>
  <c r="I23" i="15"/>
  <c r="N15" i="15"/>
  <c r="H25" i="15"/>
  <c r="AD20" i="15"/>
  <c r="L33" i="15"/>
  <c r="N37" i="15"/>
  <c r="X15" i="15"/>
  <c r="U13" i="15"/>
  <c r="T20" i="15"/>
  <c r="AC25" i="15"/>
  <c r="AB32" i="15"/>
  <c r="AE37" i="15"/>
  <c r="Y11" i="15"/>
  <c r="P32" i="15"/>
  <c r="V19" i="15"/>
  <c r="R26" i="15"/>
  <c r="AD31" i="15"/>
  <c r="P37" i="15"/>
  <c r="J18" i="15"/>
  <c r="G39" i="15"/>
  <c r="I31" i="15"/>
  <c r="N20" i="15"/>
  <c r="AA38" i="15"/>
  <c r="H31" i="15"/>
  <c r="M17" i="15"/>
  <c r="L14" i="15"/>
  <c r="AF37" i="15"/>
  <c r="L20" i="15"/>
  <c r="AB16" i="15"/>
  <c r="Z11" i="15"/>
  <c r="K33" i="15"/>
  <c r="P22" i="15"/>
  <c r="W13" i="15"/>
  <c r="O21" i="15"/>
  <c r="G29" i="15"/>
  <c r="V10" i="15"/>
  <c r="N18" i="15"/>
  <c r="AD26" i="15"/>
  <c r="V34" i="15"/>
  <c r="S20" i="15"/>
  <c r="K28" i="15"/>
  <c r="U16" i="15"/>
  <c r="K36" i="15"/>
  <c r="N38" i="15"/>
  <c r="Q14" i="15"/>
  <c r="J19" i="15"/>
  <c r="AC12" i="15"/>
  <c r="L32" i="15"/>
  <c r="AE13" i="15"/>
  <c r="AE25" i="15"/>
  <c r="AD10" i="15"/>
  <c r="AD22" i="15"/>
  <c r="AD34" i="15"/>
  <c r="AA20" i="15"/>
  <c r="AA32" i="15"/>
  <c r="AB22" i="15"/>
  <c r="R39" i="15"/>
  <c r="AF16" i="15"/>
  <c r="AA35" i="15"/>
  <c r="Y10" i="15"/>
  <c r="P28" i="15"/>
  <c r="AD36" i="15"/>
  <c r="L24" i="15"/>
  <c r="AD11" i="15"/>
  <c r="AF38" i="15"/>
  <c r="AE9" i="15"/>
  <c r="AE21" i="15"/>
  <c r="AE33" i="15"/>
  <c r="AB19" i="15"/>
  <c r="AB31" i="15"/>
  <c r="AA16" i="15"/>
  <c r="AA28" i="15"/>
  <c r="AD17" i="15"/>
  <c r="P36" i="15"/>
  <c r="H12" i="15"/>
  <c r="AB29" i="15"/>
  <c r="J11" i="15"/>
  <c r="Q30" i="15"/>
  <c r="N36" i="15"/>
  <c r="J23" i="15"/>
  <c r="Y19" i="15"/>
  <c r="U39" i="15"/>
  <c r="U28" i="15"/>
  <c r="Z14" i="15"/>
  <c r="S37" i="15"/>
  <c r="M25" i="15"/>
  <c r="R14" i="15"/>
  <c r="AA11" i="15"/>
  <c r="I16" i="15"/>
  <c r="S19" i="15"/>
  <c r="AA23" i="15"/>
  <c r="K27" i="15"/>
  <c r="S31" i="15"/>
  <c r="X9" i="15"/>
  <c r="H13" i="15"/>
  <c r="P17" i="15"/>
  <c r="Z20" i="15"/>
  <c r="P29" i="15"/>
  <c r="Z32" i="15"/>
  <c r="AE10" i="15"/>
  <c r="O14" i="15"/>
  <c r="W18" i="15"/>
  <c r="AE22" i="15"/>
  <c r="O26" i="15"/>
  <c r="W30" i="15"/>
  <c r="G34" i="15"/>
  <c r="H14" i="15"/>
  <c r="P26" i="15"/>
  <c r="AC35" i="15"/>
  <c r="W12" i="15"/>
  <c r="J22" i="15"/>
  <c r="X22" i="15"/>
  <c r="AC11" i="15"/>
  <c r="I10" i="15"/>
  <c r="M29" i="15"/>
  <c r="J39" i="15"/>
  <c r="V9" i="15"/>
  <c r="AC28" i="15"/>
  <c r="AC38" i="15"/>
  <c r="W15" i="15"/>
  <c r="AE27" i="15"/>
  <c r="R37" i="15"/>
  <c r="Q37" i="15"/>
  <c r="P11" i="15"/>
  <c r="N35" i="15"/>
  <c r="Q18" i="15"/>
  <c r="O17" i="15"/>
  <c r="O29" i="15"/>
  <c r="T19" i="15"/>
  <c r="V30" i="15"/>
  <c r="S16" i="15"/>
  <c r="S28" i="15"/>
  <c r="S17" i="15"/>
  <c r="H36" i="15"/>
  <c r="J10" i="15"/>
  <c r="N29" i="15"/>
  <c r="I22" i="15"/>
  <c r="G23" i="15"/>
  <c r="M12" i="15"/>
  <c r="J27" i="15"/>
  <c r="G35" i="15"/>
  <c r="K18" i="15"/>
  <c r="R34" i="15"/>
  <c r="R17" i="15"/>
  <c r="U18" i="15"/>
  <c r="W29" i="15"/>
  <c r="T15" i="15"/>
  <c r="T27" i="15"/>
  <c r="Q13" i="15"/>
  <c r="Q25" i="15"/>
  <c r="H11" i="15"/>
  <c r="L30" i="15"/>
  <c r="R27" i="15"/>
  <c r="P24" i="15"/>
  <c r="I36" i="15"/>
  <c r="V23" i="15"/>
  <c r="R23" i="15"/>
  <c r="Z13" i="15"/>
  <c r="N23" i="15"/>
  <c r="H34" i="15"/>
  <c r="L17" i="15"/>
  <c r="Z18" i="15"/>
  <c r="I37" i="15"/>
  <c r="V27" i="15"/>
  <c r="AA13" i="15"/>
  <c r="AE36" i="15"/>
  <c r="N24" i="15"/>
  <c r="S10" i="15"/>
  <c r="I12" i="15"/>
  <c r="Q16" i="15"/>
  <c r="AA19" i="15"/>
  <c r="I24" i="15"/>
  <c r="Q28" i="15"/>
  <c r="AA31" i="15"/>
  <c r="AF9" i="15"/>
  <c r="P13" i="15"/>
  <c r="X17" i="15"/>
  <c r="AF21" i="15"/>
  <c r="P25" i="15"/>
  <c r="X29" i="15"/>
  <c r="H33" i="15"/>
  <c r="M11" i="15"/>
  <c r="U15" i="15"/>
  <c r="AE18" i="15"/>
  <c r="M23" i="15"/>
  <c r="W26" i="15"/>
  <c r="AE30" i="15"/>
  <c r="J9" i="15"/>
  <c r="S14" i="15"/>
  <c r="R21" i="15"/>
  <c r="AA26" i="15"/>
  <c r="Z33" i="15"/>
  <c r="T38" i="15"/>
  <c r="K17" i="15"/>
  <c r="AA36" i="15"/>
  <c r="I14" i="15"/>
  <c r="AE20" i="15"/>
  <c r="AD27" i="15"/>
  <c r="M33" i="15"/>
  <c r="M38" i="15"/>
  <c r="L13" i="15"/>
  <c r="AC33" i="15"/>
  <c r="X14" i="15"/>
  <c r="G20" i="15"/>
  <c r="AF26" i="15"/>
  <c r="O32" i="15"/>
  <c r="X37" i="15"/>
  <c r="G24" i="15"/>
  <c r="G314" i="12" s="1"/>
  <c r="AD39" i="15"/>
  <c r="J30" i="15"/>
  <c r="O19" i="15"/>
  <c r="P38" i="15"/>
  <c r="I27" i="15"/>
  <c r="N16" i="15"/>
  <c r="K21" i="15"/>
  <c r="M13" i="15"/>
  <c r="AA17" i="15"/>
  <c r="T36" i="15"/>
  <c r="T26" i="15"/>
  <c r="AB12" i="15"/>
  <c r="J34" i="15"/>
  <c r="O23" i="15"/>
  <c r="G9" i="15"/>
  <c r="G299" i="12" s="1"/>
  <c r="Q12" i="15"/>
  <c r="Y16" i="15"/>
  <c r="G21" i="15"/>
  <c r="Q24" i="15"/>
  <c r="Y28" i="15"/>
  <c r="I32" i="15"/>
  <c r="N10" i="15"/>
  <c r="V14" i="15"/>
  <c r="AF17" i="15"/>
  <c r="N22" i="15"/>
  <c r="X25" i="15"/>
  <c r="AF29" i="15"/>
  <c r="N34" i="15"/>
  <c r="U11" i="15"/>
  <c r="AC15" i="15"/>
  <c r="M19" i="15"/>
  <c r="U23" i="15"/>
  <c r="AC27" i="15"/>
  <c r="M31" i="15"/>
  <c r="U9" i="15"/>
  <c r="G15" i="15"/>
  <c r="G305" i="12" s="1"/>
  <c r="AC21" i="15"/>
  <c r="AB28" i="15"/>
  <c r="K34" i="15"/>
  <c r="AB38" i="15"/>
  <c r="X18" i="15"/>
  <c r="K9" i="15"/>
  <c r="G16" i="15"/>
  <c r="G306" i="12" s="1"/>
  <c r="S21" i="15"/>
  <c r="O28" i="15"/>
  <c r="AA33" i="15"/>
  <c r="U38" i="15"/>
  <c r="I19" i="15"/>
  <c r="M35" i="15"/>
  <c r="I15" i="15"/>
  <c r="U20" i="15"/>
  <c r="Q27" i="15"/>
  <c r="P34" i="15"/>
  <c r="T25" i="15"/>
  <c r="P39" i="15"/>
  <c r="K29" i="15"/>
  <c r="P15" i="15"/>
  <c r="AB37" i="15"/>
  <c r="J26" i="15"/>
  <c r="O15" i="15"/>
  <c r="N12" i="15"/>
  <c r="AD35" i="15"/>
  <c r="O9" i="15"/>
  <c r="G17" i="15"/>
  <c r="G307" i="12" s="1"/>
  <c r="Y24" i="15"/>
  <c r="O33" i="15"/>
  <c r="AD14" i="15"/>
  <c r="V22" i="15"/>
  <c r="N30" i="15"/>
  <c r="K16" i="15"/>
  <c r="AC23" i="15"/>
  <c r="U31" i="15"/>
  <c r="AE16" i="15"/>
  <c r="Q22" i="15"/>
  <c r="Y34" i="15"/>
  <c r="U24" i="15"/>
  <c r="AD21" i="15"/>
  <c r="S35" i="15"/>
  <c r="V20" i="15"/>
  <c r="S22" i="15"/>
  <c r="AA34" i="15"/>
  <c r="G27" i="15"/>
  <c r="L28" i="15"/>
  <c r="K25" i="15"/>
  <c r="O11" i="15"/>
  <c r="V21" i="15"/>
  <c r="AA10" i="15"/>
  <c r="W9" i="15"/>
  <c r="W21" i="15"/>
  <c r="W33" i="15"/>
  <c r="L15" i="15"/>
  <c r="L27" i="15"/>
  <c r="I13" i="15"/>
  <c r="K24" i="15"/>
  <c r="T10" i="15"/>
  <c r="AA29" i="15"/>
  <c r="H26" i="15"/>
  <c r="AE23" i="15"/>
  <c r="K39" i="15"/>
  <c r="H16" i="15"/>
  <c r="L35" i="15"/>
  <c r="T28" i="15"/>
  <c r="R13" i="15"/>
  <c r="Q10" i="15"/>
  <c r="P10" i="15"/>
  <c r="W20" i="15"/>
  <c r="J31" i="15"/>
  <c r="M14" i="15"/>
  <c r="M26" i="15"/>
  <c r="J12" i="15"/>
  <c r="L23" i="15"/>
  <c r="I9" i="15"/>
  <c r="I21" i="15"/>
  <c r="I33" i="15"/>
  <c r="AC24" i="15"/>
  <c r="Z39" i="15"/>
  <c r="T17" i="15"/>
  <c r="AB39" i="15"/>
  <c r="V16" i="15"/>
  <c r="T35" i="15"/>
  <c r="AD29" i="15"/>
  <c r="P12" i="15"/>
  <c r="R9" i="15"/>
  <c r="AB10" i="15"/>
  <c r="AC18" i="15"/>
  <c r="R24" i="15"/>
  <c r="I29" i="15"/>
  <c r="AE28" i="15"/>
  <c r="X11" i="15"/>
  <c r="L22" i="15"/>
  <c r="J32" i="15"/>
  <c r="AC30" i="15"/>
  <c r="AD24" i="15"/>
  <c r="N19" i="15"/>
  <c r="M34" i="15"/>
  <c r="AB35" i="15"/>
  <c r="P16" i="15"/>
  <c r="Q36" i="15"/>
  <c r="AB15" i="15"/>
  <c r="X36" i="15"/>
  <c r="Y25" i="15"/>
  <c r="X35" i="15"/>
  <c r="S30" i="15"/>
  <c r="M22" i="15"/>
  <c r="AB27" i="15"/>
  <c r="Q33" i="15"/>
  <c r="V12" i="15"/>
  <c r="T18" i="15"/>
  <c r="Q11" i="15"/>
  <c r="U26" i="15"/>
  <c r="R38" i="15"/>
  <c r="R18" i="15"/>
  <c r="AB30" i="15"/>
  <c r="K30" i="15"/>
  <c r="N25" i="15"/>
  <c r="H24" i="15"/>
  <c r="R12" i="15"/>
  <c r="Z30" i="15"/>
  <c r="M16" i="15"/>
  <c r="Q21" i="15"/>
  <c r="M9" i="15"/>
  <c r="N9" i="15"/>
  <c r="J20" i="15"/>
  <c r="X12" i="15"/>
  <c r="X19" i="15"/>
  <c r="AF12" i="15"/>
  <c r="H18" i="15"/>
  <c r="AF23" i="15"/>
  <c r="AF32" i="15"/>
  <c r="Q9" i="15"/>
  <c r="Y13" i="15"/>
  <c r="Z31" i="15"/>
  <c r="G18" i="15"/>
  <c r="J15" i="15"/>
  <c r="K11" i="15"/>
  <c r="U35" i="15"/>
  <c r="U14" i="15"/>
  <c r="AF24" i="15"/>
  <c r="G297" i="24" a="1"/>
  <c r="S317" i="24" s="1"/>
  <c r="AB350" i="24"/>
  <c r="K341" i="24"/>
  <c r="I341" i="24"/>
  <c r="J341" i="24"/>
  <c r="P356" i="24"/>
  <c r="I337" i="24"/>
  <c r="M362" i="24"/>
  <c r="AA359" i="24"/>
  <c r="U335" i="24"/>
  <c r="J335" i="24"/>
  <c r="M363" i="24"/>
  <c r="AF357" i="24"/>
  <c r="M356" i="24"/>
  <c r="G357" i="24"/>
  <c r="P359" i="24"/>
  <c r="H334" i="24"/>
  <c r="T361" i="24"/>
  <c r="L360" i="24"/>
  <c r="O335" i="24"/>
  <c r="K361" i="24"/>
  <c r="S361" i="24"/>
  <c r="T341" i="24"/>
  <c r="Q340" i="24"/>
  <c r="AC349" i="24"/>
  <c r="AA350" i="24"/>
  <c r="Q335" i="24"/>
  <c r="T350" i="24"/>
  <c r="N341" i="24"/>
  <c r="O349" i="24"/>
  <c r="J337" i="24"/>
  <c r="W342" i="24"/>
  <c r="AB340" i="24"/>
  <c r="V342" i="24"/>
  <c r="Z362" i="24"/>
  <c r="AC359" i="24"/>
  <c r="AC356" i="24"/>
  <c r="N350" i="24"/>
  <c r="AF342" i="24"/>
  <c r="Q357" i="24"/>
  <c r="P342" i="24"/>
  <c r="V363" i="24"/>
  <c r="R343" i="24"/>
  <c r="Y335" i="24"/>
  <c r="AB344" i="24"/>
  <c r="AE361" i="24"/>
  <c r="Y338" i="24"/>
  <c r="I344" i="24"/>
  <c r="K363" i="24"/>
  <c r="M337" i="24"/>
  <c r="R350" i="24"/>
  <c r="R338" i="24"/>
  <c r="S349" i="24"/>
  <c r="AD359" i="24"/>
  <c r="Q359" i="24"/>
  <c r="AA362" i="24"/>
  <c r="G344" i="24"/>
  <c r="AC360" i="24"/>
  <c r="O341" i="24"/>
  <c r="R339" i="24"/>
  <c r="AE350" i="24"/>
  <c r="AB343" i="24"/>
  <c r="AF349" i="24"/>
  <c r="AF350" i="24"/>
  <c r="S362" i="24"/>
  <c r="AE335" i="24"/>
  <c r="L357" i="24"/>
  <c r="AB337" i="24"/>
  <c r="Z342" i="24"/>
  <c r="X340" i="24"/>
  <c r="M343" i="24"/>
  <c r="AA361" i="24"/>
  <c r="Z343" i="24"/>
  <c r="X362" i="24"/>
  <c r="AA363" i="24"/>
  <c r="X356" i="24"/>
  <c r="M342" i="24"/>
  <c r="J342" i="24"/>
  <c r="H357" i="24"/>
  <c r="I362" i="24"/>
  <c r="W356" i="24"/>
  <c r="R357" i="24"/>
  <c r="N360" i="24"/>
  <c r="H349" i="24"/>
  <c r="G362" i="24"/>
  <c r="Y341" i="24"/>
  <c r="U338" i="24"/>
  <c r="T349" i="24"/>
  <c r="Y357" i="24"/>
  <c r="AF338" i="24"/>
  <c r="AB335" i="24"/>
  <c r="L363" i="24"/>
  <c r="W341" i="24"/>
  <c r="AB357" i="24"/>
  <c r="AC337" i="24"/>
  <c r="AB349" i="24"/>
  <c r="AE340" i="24"/>
  <c r="AE363" i="24"/>
  <c r="W340" i="24"/>
  <c r="X338" i="24"/>
  <c r="X339" i="24"/>
  <c r="AC357" i="24"/>
  <c r="U360" i="24"/>
  <c r="AB356" i="24"/>
  <c r="K362" i="24"/>
  <c r="L349" i="24"/>
  <c r="M357" i="24"/>
  <c r="U343" i="24"/>
  <c r="K335" i="24"/>
  <c r="R335" i="24"/>
  <c r="AD341" i="24"/>
  <c r="AB359" i="24"/>
  <c r="AC362" i="24"/>
  <c r="M350" i="24"/>
  <c r="H340" i="24"/>
  <c r="AD337" i="24"/>
  <c r="J362" i="24"/>
  <c r="L343" i="24"/>
  <c r="AA337" i="24"/>
  <c r="J334" i="24"/>
  <c r="S335" i="24"/>
  <c r="AA340" i="24"/>
  <c r="Z334" i="24"/>
  <c r="AD334" i="24"/>
  <c r="S336" i="24"/>
  <c r="Q333" i="24"/>
  <c r="X358" i="24"/>
  <c r="AD336" i="24"/>
  <c r="U358" i="24"/>
  <c r="AA333" i="24"/>
  <c r="P358" i="24"/>
  <c r="Q336" i="24"/>
  <c r="J358" i="24"/>
  <c r="W358" i="24"/>
  <c r="P333" i="24"/>
  <c r="U336" i="24"/>
  <c r="P336" i="24"/>
  <c r="AE336" i="24"/>
  <c r="G358" i="24"/>
  <c r="J336" i="24"/>
  <c r="O336" i="24"/>
  <c r="AC358" i="24"/>
  <c r="U333" i="24"/>
  <c r="L333" i="24"/>
  <c r="S339" i="24"/>
  <c r="AD362" i="24"/>
  <c r="L342" i="24"/>
  <c r="AE356" i="24"/>
  <c r="T334" i="24"/>
  <c r="AB342" i="24"/>
  <c r="AD339" i="24"/>
  <c r="AB339" i="24"/>
  <c r="U349" i="24"/>
  <c r="V338" i="24"/>
  <c r="N334" i="24"/>
  <c r="U350" i="24"/>
  <c r="G360" i="24"/>
  <c r="Z335" i="24"/>
  <c r="AD338" i="24"/>
  <c r="O359" i="24"/>
  <c r="P363" i="24"/>
  <c r="P361" i="24"/>
  <c r="V350" i="24"/>
  <c r="M360" i="24"/>
  <c r="X350" i="24"/>
  <c r="AE341" i="24"/>
  <c r="Y340" i="24"/>
  <c r="M335" i="24"/>
  <c r="H339" i="24"/>
  <c r="Q343" i="24"/>
  <c r="T339" i="24"/>
  <c r="I338" i="24"/>
  <c r="I363" i="24"/>
  <c r="AD342" i="24"/>
  <c r="AB360" i="24"/>
  <c r="H337" i="24"/>
  <c r="Z340" i="24"/>
  <c r="T360" i="24"/>
  <c r="R363" i="24"/>
  <c r="X363" i="24"/>
  <c r="P337" i="24"/>
  <c r="AD349" i="24"/>
  <c r="H343" i="24"/>
  <c r="Q362" i="24"/>
  <c r="K357" i="24"/>
  <c r="AA357" i="24"/>
  <c r="AD360" i="24"/>
  <c r="AC342" i="24"/>
  <c r="G341" i="24"/>
  <c r="R337" i="24"/>
  <c r="W339" i="24"/>
  <c r="N335" i="24"/>
  <c r="AE360" i="24"/>
  <c r="R349" i="24"/>
  <c r="G349" i="24"/>
  <c r="Q341" i="24"/>
  <c r="O343" i="24"/>
  <c r="Y339" i="24"/>
  <c r="K340" i="24"/>
  <c r="I360" i="24"/>
  <c r="U344" i="24"/>
  <c r="N357" i="24"/>
  <c r="O344" i="24"/>
  <c r="L361" i="24"/>
  <c r="Q363" i="24"/>
  <c r="Y343" i="24"/>
  <c r="AF359" i="24"/>
  <c r="L350" i="24"/>
  <c r="P350" i="24"/>
  <c r="K349" i="24"/>
  <c r="X349" i="24"/>
  <c r="AA349" i="24"/>
  <c r="G339" i="24"/>
  <c r="Y337" i="24"/>
  <c r="AC340" i="24"/>
  <c r="T362" i="24"/>
  <c r="P335" i="24"/>
  <c r="N340" i="24"/>
  <c r="G335" i="24"/>
  <c r="L337" i="24"/>
  <c r="N338" i="24"/>
  <c r="AA341" i="24"/>
  <c r="S360" i="24"/>
  <c r="AF339" i="24"/>
  <c r="L334" i="24"/>
  <c r="O360" i="24"/>
  <c r="N339" i="24"/>
  <c r="P362" i="24"/>
  <c r="W335" i="24"/>
  <c r="AE362" i="24"/>
  <c r="AF356" i="24"/>
  <c r="K343" i="24"/>
  <c r="AD356" i="24"/>
  <c r="M359" i="24"/>
  <c r="V335" i="24"/>
  <c r="O340" i="24"/>
  <c r="V344" i="24"/>
  <c r="N342" i="24"/>
  <c r="I335" i="24"/>
  <c r="Q339" i="24"/>
  <c r="J340" i="24"/>
  <c r="AC361" i="24"/>
  <c r="G363" i="24"/>
  <c r="H342" i="24"/>
  <c r="J339" i="24"/>
  <c r="T359" i="24"/>
  <c r="L356" i="24"/>
  <c r="L335" i="24"/>
  <c r="G338" i="24"/>
  <c r="Y349" i="24"/>
  <c r="V362" i="24"/>
  <c r="I357" i="24"/>
  <c r="L338" i="24"/>
  <c r="Q338" i="24"/>
  <c r="X357" i="24"/>
  <c r="AF337" i="24"/>
  <c r="Z363" i="24"/>
  <c r="O356" i="24"/>
  <c r="X343" i="24"/>
  <c r="AE343" i="24"/>
  <c r="P334" i="24"/>
  <c r="T343" i="24"/>
  <c r="J356" i="24"/>
  <c r="M349" i="24"/>
  <c r="R361" i="24"/>
  <c r="Y334" i="24"/>
  <c r="AC334" i="24"/>
  <c r="AF358" i="24"/>
  <c r="N333" i="24"/>
  <c r="AE358" i="24"/>
  <c r="AA358" i="24"/>
  <c r="T333" i="24"/>
  <c r="AB358" i="24"/>
  <c r="M333" i="24"/>
  <c r="G336" i="24"/>
  <c r="O358" i="24"/>
  <c r="W333" i="24"/>
  <c r="AD358" i="24"/>
  <c r="AD340" i="24"/>
  <c r="Z360" i="24"/>
  <c r="Z357" i="24"/>
  <c r="AE342" i="24"/>
  <c r="AA339" i="24"/>
  <c r="O338" i="24"/>
  <c r="N359" i="24"/>
  <c r="X361" i="24"/>
  <c r="S344" i="24"/>
  <c r="H335" i="24"/>
  <c r="AC338" i="24"/>
  <c r="T340" i="24"/>
  <c r="J361" i="24"/>
  <c r="O362" i="24"/>
  <c r="I359" i="24"/>
  <c r="AF363" i="24"/>
  <c r="U356" i="24"/>
  <c r="G337" i="24"/>
  <c r="H344" i="24"/>
  <c r="W360" i="24"/>
  <c r="R340" i="24"/>
  <c r="N337" i="24"/>
  <c r="K338" i="24"/>
  <c r="R362" i="24"/>
  <c r="J359" i="24"/>
  <c r="Y344" i="24"/>
  <c r="Q337" i="24"/>
  <c r="J338" i="24"/>
  <c r="K356" i="24"/>
  <c r="AD343" i="24"/>
  <c r="H360" i="24"/>
  <c r="Y359" i="24"/>
  <c r="H356" i="24"/>
  <c r="AA344" i="24"/>
  <c r="V357" i="24"/>
  <c r="AD363" i="24"/>
  <c r="AA338" i="24"/>
  <c r="N344" i="24"/>
  <c r="Z349" i="24"/>
  <c r="AE357" i="24"/>
  <c r="AE359" i="24"/>
  <c r="AE344" i="24"/>
  <c r="I349" i="24"/>
  <c r="R356" i="24"/>
  <c r="H359" i="24"/>
  <c r="I361" i="24"/>
  <c r="H362" i="24"/>
  <c r="G361" i="24"/>
  <c r="N356" i="24"/>
  <c r="H350" i="24"/>
  <c r="V360" i="24"/>
  <c r="T338" i="24"/>
  <c r="X360" i="24"/>
  <c r="Z337" i="24"/>
  <c r="U340" i="24"/>
  <c r="AF362" i="24"/>
  <c r="Q334" i="24"/>
  <c r="AB363" i="24"/>
  <c r="Z339" i="24"/>
  <c r="M338" i="24"/>
  <c r="U337" i="24"/>
  <c r="S343" i="24"/>
  <c r="L359" i="24"/>
  <c r="P343" i="24"/>
  <c r="AE349" i="24"/>
  <c r="V343" i="24"/>
  <c r="V339" i="24"/>
  <c r="J357" i="24"/>
  <c r="Z359" i="24"/>
  <c r="X337" i="24"/>
  <c r="V340" i="24"/>
  <c r="W361" i="24"/>
  <c r="J350" i="24"/>
  <c r="R334" i="24"/>
  <c r="O339" i="24"/>
  <c r="U362" i="24"/>
  <c r="AC335" i="24"/>
  <c r="X342" i="24"/>
  <c r="AA342" i="24"/>
  <c r="Y362" i="24"/>
  <c r="AF343" i="24"/>
  <c r="P338" i="24"/>
  <c r="K342" i="24"/>
  <c r="V359" i="24"/>
  <c r="U363" i="24"/>
  <c r="U361" i="24"/>
  <c r="AB361" i="24"/>
  <c r="AD350" i="24"/>
  <c r="AC339" i="24"/>
  <c r="W357" i="24"/>
  <c r="P341" i="24"/>
  <c r="I334" i="24"/>
  <c r="G342" i="24"/>
  <c r="L344" i="24"/>
  <c r="W344" i="24"/>
  <c r="AB338" i="24"/>
  <c r="H361" i="24"/>
  <c r="P349" i="24"/>
  <c r="T356" i="24"/>
  <c r="Q344" i="24"/>
  <c r="J344" i="24"/>
  <c r="J360" i="24"/>
  <c r="AC343" i="24"/>
  <c r="AF360" i="24"/>
  <c r="S342" i="24"/>
  <c r="Y363" i="24"/>
  <c r="S363" i="24"/>
  <c r="V356" i="24"/>
  <c r="P344" i="24"/>
  <c r="J349" i="24"/>
  <c r="V341" i="24"/>
  <c r="L340" i="24"/>
  <c r="AA335" i="24"/>
  <c r="AC341" i="24"/>
  <c r="R344" i="24"/>
  <c r="O342" i="24"/>
  <c r="N349" i="24"/>
  <c r="H341" i="24"/>
  <c r="W363" i="24"/>
  <c r="L339" i="24"/>
  <c r="AD357" i="24"/>
  <c r="X334" i="24"/>
  <c r="AB334" i="24"/>
  <c r="AF334" i="24"/>
  <c r="Z333" i="24"/>
  <c r="R336" i="24"/>
  <c r="R358" i="24"/>
  <c r="V358" i="24"/>
  <c r="T358" i="24"/>
  <c r="T336" i="24"/>
  <c r="K358" i="24"/>
  <c r="G333" i="24"/>
  <c r="AC333" i="24"/>
  <c r="AF336" i="24"/>
  <c r="K336" i="24"/>
  <c r="Y358" i="24"/>
  <c r="N336" i="24"/>
  <c r="H333" i="24"/>
  <c r="AB336" i="24"/>
  <c r="L336" i="24"/>
  <c r="K333" i="24"/>
  <c r="O333" i="24"/>
  <c r="I336" i="24"/>
  <c r="S333" i="24"/>
  <c r="Z336" i="24"/>
  <c r="U334" i="24"/>
  <c r="O363" i="24"/>
  <c r="T337" i="24"/>
  <c r="I350" i="24"/>
  <c r="G350" i="24"/>
  <c r="O337" i="24"/>
  <c r="P339" i="24"/>
  <c r="M341" i="24"/>
  <c r="J363" i="24"/>
  <c r="I343" i="24"/>
  <c r="W343" i="24"/>
  <c r="AF335" i="24"/>
  <c r="K334" i="24"/>
  <c r="AE338" i="24"/>
  <c r="O361" i="24"/>
  <c r="O334" i="24"/>
  <c r="AE337" i="24"/>
  <c r="K360" i="24"/>
  <c r="M339" i="24"/>
  <c r="Y360" i="24"/>
  <c r="O350" i="24"/>
  <c r="I342" i="24"/>
  <c r="I356" i="24"/>
  <c r="N363" i="24"/>
  <c r="AD361" i="24"/>
  <c r="S337" i="24"/>
  <c r="S338" i="24"/>
  <c r="U357" i="24"/>
  <c r="I339" i="24"/>
  <c r="P360" i="24"/>
  <c r="AF341" i="24"/>
  <c r="Z361" i="24"/>
  <c r="N343" i="24"/>
  <c r="S341" i="24"/>
  <c r="W337" i="24"/>
  <c r="H338" i="24"/>
  <c r="L341" i="24"/>
  <c r="T344" i="24"/>
  <c r="V337" i="24"/>
  <c r="K359" i="24"/>
  <c r="Y350" i="24"/>
  <c r="K350" i="24"/>
  <c r="Z350" i="24"/>
  <c r="AD335" i="24"/>
  <c r="Y361" i="24"/>
  <c r="AD344" i="24"/>
  <c r="P340" i="24"/>
  <c r="R341" i="24"/>
  <c r="W359" i="24"/>
  <c r="G334" i="24"/>
  <c r="X344" i="24"/>
  <c r="Y342" i="24"/>
  <c r="Q360" i="24"/>
  <c r="S357" i="24"/>
  <c r="X341" i="24"/>
  <c r="N362" i="24"/>
  <c r="W349" i="24"/>
  <c r="W338" i="24"/>
  <c r="AF344" i="24"/>
  <c r="AF361" i="24"/>
  <c r="V349" i="24"/>
  <c r="U359" i="24"/>
  <c r="T335" i="24"/>
  <c r="V361" i="24"/>
  <c r="R342" i="24"/>
  <c r="S359" i="24"/>
  <c r="AA343" i="24"/>
  <c r="AB362" i="24"/>
  <c r="N361" i="24"/>
  <c r="Q350" i="24"/>
  <c r="U341" i="24"/>
  <c r="S340" i="24"/>
  <c r="W362" i="24"/>
  <c r="M361" i="24"/>
  <c r="I340" i="24"/>
  <c r="M344" i="24"/>
  <c r="Z356" i="24"/>
  <c r="AC363" i="24"/>
  <c r="Z344" i="24"/>
  <c r="AB341" i="24"/>
  <c r="AC350" i="24"/>
  <c r="Y356" i="24"/>
  <c r="S350" i="24"/>
  <c r="K339" i="24"/>
  <c r="Z341" i="24"/>
  <c r="T357" i="24"/>
  <c r="W350" i="24"/>
  <c r="AA360" i="24"/>
  <c r="T342" i="24"/>
  <c r="Q349" i="24"/>
  <c r="Q356" i="24"/>
  <c r="H363" i="24"/>
  <c r="V334" i="24"/>
  <c r="AF340" i="24"/>
  <c r="Q361" i="24"/>
  <c r="J343" i="24"/>
  <c r="Q342" i="24"/>
  <c r="S356" i="24"/>
  <c r="M334" i="24"/>
  <c r="AE339" i="24"/>
  <c r="X359" i="24"/>
  <c r="Z338" i="24"/>
  <c r="AA356" i="24"/>
  <c r="R359" i="24"/>
  <c r="G356" i="24"/>
  <c r="AC344" i="24"/>
  <c r="M340" i="24"/>
  <c r="G343" i="24"/>
  <c r="G340" i="24"/>
  <c r="G359" i="24"/>
  <c r="T363" i="24"/>
  <c r="X335" i="24"/>
  <c r="U342" i="24"/>
  <c r="L362" i="24"/>
  <c r="P357" i="24"/>
  <c r="U339" i="24"/>
  <c r="O357" i="24"/>
  <c r="K337" i="24"/>
  <c r="K344" i="24"/>
  <c r="S334" i="24"/>
  <c r="R360" i="24"/>
  <c r="W334" i="24"/>
  <c r="AA334" i="24"/>
  <c r="AE334" i="24"/>
  <c r="AC336" i="24"/>
  <c r="X336" i="24"/>
  <c r="Y336" i="24"/>
  <c r="V336" i="24"/>
  <c r="AB333" i="24"/>
  <c r="H358" i="24"/>
  <c r="N358" i="24"/>
  <c r="AE333" i="24"/>
  <c r="V333" i="24"/>
  <c r="Z358" i="24"/>
  <c r="M336" i="24"/>
  <c r="I358" i="24"/>
  <c r="X333" i="24"/>
  <c r="L358" i="24"/>
  <c r="W336" i="24"/>
  <c r="J333" i="24"/>
  <c r="R333" i="24"/>
  <c r="AA336" i="24"/>
  <c r="Q358" i="24"/>
  <c r="S358" i="24"/>
  <c r="H336" i="24"/>
  <c r="M358" i="24"/>
  <c r="AD333" i="24"/>
  <c r="Y333" i="24"/>
  <c r="AF333" i="24"/>
  <c r="I333" i="24"/>
  <c r="V347" i="24"/>
  <c r="G345" i="24"/>
  <c r="Y352" i="24"/>
  <c r="K354" i="24"/>
  <c r="R354" i="24"/>
  <c r="AA348" i="24"/>
  <c r="AD355" i="24"/>
  <c r="K351" i="24"/>
  <c r="L351" i="24"/>
  <c r="O353" i="24"/>
  <c r="J353" i="24"/>
  <c r="AB346" i="24"/>
  <c r="AA346" i="24"/>
  <c r="W346" i="24"/>
  <c r="AC346" i="24"/>
  <c r="AA347" i="24"/>
  <c r="AE345" i="24"/>
  <c r="K345" i="24"/>
  <c r="Z352" i="24"/>
  <c r="Z354" i="24"/>
  <c r="T354" i="24"/>
  <c r="T348" i="24"/>
  <c r="AC355" i="24"/>
  <c r="M355" i="24"/>
  <c r="Z351" i="24"/>
  <c r="L353" i="24"/>
  <c r="G347" i="24"/>
  <c r="X345" i="24"/>
  <c r="K352" i="24"/>
  <c r="W352" i="24"/>
  <c r="AF354" i="24"/>
  <c r="O354" i="24"/>
  <c r="Z348" i="24"/>
  <c r="P348" i="24"/>
  <c r="U355" i="24"/>
  <c r="AE355" i="24"/>
  <c r="W351" i="24"/>
  <c r="T353" i="24"/>
  <c r="R353" i="24"/>
  <c r="Y346" i="24"/>
  <c r="R347" i="24"/>
  <c r="T346" i="24"/>
  <c r="Y347" i="24"/>
  <c r="V345" i="24"/>
  <c r="I345" i="24"/>
  <c r="AC352" i="24"/>
  <c r="V352" i="24"/>
  <c r="H354" i="24"/>
  <c r="P355" i="24"/>
  <c r="I355" i="24"/>
  <c r="AB351" i="24"/>
  <c r="R351" i="24"/>
  <c r="W353" i="24"/>
  <c r="AB353" i="24"/>
  <c r="W347" i="24"/>
  <c r="AF345" i="24"/>
  <c r="S345" i="24"/>
  <c r="M352" i="24"/>
  <c r="AF348" i="24"/>
  <c r="O355" i="24"/>
  <c r="G355" i="24"/>
  <c r="P351" i="24"/>
  <c r="Q353" i="24"/>
  <c r="AF346" i="24"/>
  <c r="Z346" i="24"/>
  <c r="M346" i="24"/>
  <c r="AE347" i="24"/>
  <c r="U345" i="24"/>
  <c r="Q352" i="24"/>
  <c r="W354" i="24"/>
  <c r="J354" i="24"/>
  <c r="I348" i="24"/>
  <c r="AF355" i="24"/>
  <c r="J351" i="24"/>
  <c r="U351" i="24"/>
  <c r="P353" i="24"/>
  <c r="L347" i="24"/>
  <c r="R345" i="24"/>
  <c r="S352" i="24"/>
  <c r="AA354" i="24"/>
  <c r="S354" i="24"/>
  <c r="S355" i="24"/>
  <c r="Y351" i="24"/>
  <c r="V353" i="24"/>
  <c r="AE346" i="24"/>
  <c r="O347" i="24"/>
  <c r="H346" i="24"/>
  <c r="K346" i="24"/>
  <c r="L345" i="24"/>
  <c r="J352" i="24"/>
  <c r="AE352" i="24"/>
  <c r="L354" i="24"/>
  <c r="Y354" i="24"/>
  <c r="H348" i="24"/>
  <c r="AB355" i="24"/>
  <c r="H351" i="24"/>
  <c r="I351" i="24"/>
  <c r="N353" i="24"/>
  <c r="V351" i="24"/>
  <c r="U353" i="24"/>
  <c r="U352" i="24"/>
  <c r="G354" i="24"/>
  <c r="X348" i="24"/>
  <c r="T355" i="24"/>
  <c r="X351" i="24"/>
  <c r="Y353" i="24"/>
  <c r="U346" i="24"/>
  <c r="O346" i="24"/>
  <c r="U347" i="24"/>
  <c r="M347" i="24"/>
  <c r="AB345" i="24"/>
  <c r="AD345" i="24"/>
  <c r="X352" i="24"/>
  <c r="M354" i="24"/>
  <c r="AC348" i="24"/>
  <c r="AD348" i="24"/>
  <c r="H355" i="24"/>
  <c r="AA351" i="24"/>
  <c r="AA353" i="24"/>
  <c r="AC353" i="24"/>
  <c r="AC347" i="24"/>
  <c r="AD347" i="24"/>
  <c r="Y345" i="24"/>
  <c r="I352" i="24"/>
  <c r="AE354" i="24"/>
  <c r="N355" i="24"/>
  <c r="AF351" i="24"/>
  <c r="AE351" i="24"/>
  <c r="AF353" i="24"/>
  <c r="J346" i="24"/>
  <c r="L346" i="24"/>
  <c r="X353" i="24"/>
  <c r="Q345" i="24"/>
  <c r="R352" i="24"/>
  <c r="N354" i="24"/>
  <c r="Y348" i="24"/>
  <c r="W348" i="24"/>
  <c r="V355" i="24"/>
  <c r="Z355" i="24"/>
  <c r="S351" i="24"/>
  <c r="K353" i="24"/>
  <c r="Z353" i="24"/>
  <c r="I346" i="24"/>
  <c r="P346" i="24"/>
  <c r="G346" i="24"/>
  <c r="H345" i="24"/>
  <c r="O352" i="24"/>
  <c r="AD352" i="24"/>
  <c r="R348" i="24"/>
  <c r="Y355" i="24"/>
  <c r="AD351" i="24"/>
  <c r="S353" i="24"/>
  <c r="J345" i="24"/>
  <c r="N352" i="24"/>
  <c r="AD354" i="24"/>
  <c r="N348" i="24"/>
  <c r="J348" i="24"/>
  <c r="S348" i="24"/>
  <c r="R355" i="24"/>
  <c r="M351" i="24"/>
  <c r="I353" i="24"/>
  <c r="S346" i="24"/>
  <c r="T347" i="24"/>
  <c r="P345" i="24"/>
  <c r="H352" i="24"/>
  <c r="X354" i="24"/>
  <c r="G348" i="24"/>
  <c r="O348" i="24"/>
  <c r="AA355" i="24"/>
  <c r="N351" i="24"/>
  <c r="AC351" i="24"/>
  <c r="AE353" i="24"/>
  <c r="H347" i="24"/>
  <c r="I347" i="24"/>
  <c r="Z345" i="24"/>
  <c r="AA352" i="24"/>
  <c r="AB352" i="24"/>
  <c r="I354" i="24"/>
  <c r="P354" i="24"/>
  <c r="AB348" i="24"/>
  <c r="J355" i="24"/>
  <c r="G351" i="24"/>
  <c r="M353" i="24"/>
  <c r="Q346" i="24"/>
  <c r="AD346" i="24"/>
  <c r="J347" i="24"/>
  <c r="L352" i="24"/>
  <c r="U354" i="24"/>
  <c r="Q354" i="24"/>
  <c r="M348" i="24"/>
  <c r="L355" i="24"/>
  <c r="W355" i="24"/>
  <c r="T351" i="24"/>
  <c r="G353" i="24"/>
  <c r="AD353" i="24"/>
  <c r="R346" i="24"/>
  <c r="AA345" i="24"/>
  <c r="M345" i="24"/>
  <c r="G352" i="24"/>
  <c r="AF352" i="24"/>
  <c r="AC354" i="24"/>
  <c r="V348" i="24"/>
  <c r="Q348" i="24"/>
  <c r="Q355" i="24"/>
  <c r="Q351" i="24"/>
  <c r="O351" i="24"/>
  <c r="H353" i="24"/>
  <c r="N346" i="24"/>
  <c r="X346" i="24"/>
  <c r="K347" i="24"/>
  <c r="AF347" i="24"/>
  <c r="W345" i="24"/>
  <c r="P352" i="24"/>
  <c r="AB354" i="24"/>
  <c r="U348" i="24"/>
  <c r="L348" i="24"/>
  <c r="X355" i="24"/>
  <c r="Q347" i="24"/>
  <c r="AB347" i="24"/>
  <c r="T345" i="24"/>
  <c r="V346" i="24"/>
  <c r="P347" i="24"/>
  <c r="S347" i="24"/>
  <c r="X347" i="24"/>
  <c r="AC345" i="24"/>
  <c r="T352" i="24"/>
  <c r="V354" i="24"/>
  <c r="AE348" i="24"/>
  <c r="K348" i="24"/>
  <c r="K355" i="24"/>
  <c r="Z347" i="24"/>
  <c r="O345" i="24"/>
  <c r="N347" i="24"/>
  <c r="N345" i="24"/>
  <c r="AF321" i="24" l="1"/>
  <c r="G318" i="24"/>
  <c r="AD309" i="24"/>
  <c r="AA309" i="24"/>
  <c r="AE327" i="24"/>
  <c r="U320" i="24"/>
  <c r="X297" i="24"/>
  <c r="J306" i="24"/>
  <c r="T325" i="24"/>
  <c r="Z303" i="24"/>
  <c r="AC298" i="24"/>
  <c r="AC299" i="24"/>
  <c r="T303" i="24"/>
  <c r="V326" i="24"/>
  <c r="N308" i="24"/>
  <c r="O325" i="24"/>
  <c r="X322" i="24"/>
  <c r="AF314" i="24"/>
  <c r="Z297" i="24"/>
  <c r="AE317" i="24"/>
  <c r="AE316" i="24"/>
  <c r="K304" i="24"/>
  <c r="G302" i="24"/>
  <c r="W327" i="24"/>
  <c r="O299" i="24"/>
  <c r="T324" i="24"/>
  <c r="T310" i="24"/>
  <c r="I321" i="24"/>
  <c r="G325" i="24"/>
  <c r="I298" i="24"/>
  <c r="O323" i="24"/>
  <c r="S297" i="24"/>
  <c r="S322" i="24"/>
  <c r="G320" i="24"/>
  <c r="AF297" i="24"/>
  <c r="R303" i="24"/>
  <c r="R311" i="24"/>
  <c r="I306" i="24"/>
  <c r="N298" i="24"/>
  <c r="V303" i="24"/>
  <c r="X308" i="24"/>
  <c r="I303" i="24"/>
  <c r="X314" i="24"/>
  <c r="N314" i="24"/>
  <c r="AB308" i="24"/>
  <c r="L312" i="24"/>
  <c r="N297" i="24"/>
  <c r="R327" i="24"/>
  <c r="G306" i="24"/>
  <c r="T306" i="24"/>
  <c r="K298" i="24"/>
  <c r="G308" i="24"/>
  <c r="H318" i="24"/>
  <c r="M311" i="24"/>
  <c r="H311" i="24"/>
  <c r="AC315" i="24"/>
  <c r="Q312" i="24"/>
  <c r="S302" i="24"/>
  <c r="X307" i="24"/>
  <c r="Z299" i="24"/>
  <c r="M323" i="24"/>
  <c r="P305" i="24"/>
  <c r="U322" i="24"/>
  <c r="P297" i="24"/>
  <c r="M298" i="24"/>
  <c r="W301" i="24"/>
  <c r="K326" i="24"/>
  <c r="AB298" i="24"/>
  <c r="U303" i="24"/>
  <c r="P299" i="24"/>
  <c r="L299" i="24"/>
  <c r="AB317" i="24"/>
  <c r="Q317" i="24"/>
  <c r="I312" i="24"/>
  <c r="AF315" i="24"/>
  <c r="AC310" i="24"/>
  <c r="AD310" i="24"/>
  <c r="L315" i="24"/>
  <c r="Z316" i="24"/>
  <c r="I309" i="24"/>
  <c r="P317" i="24"/>
  <c r="I317" i="24"/>
  <c r="R310" i="24"/>
  <c r="AA318" i="24"/>
  <c r="W319" i="24"/>
  <c r="AC316" i="24"/>
  <c r="N309" i="24"/>
  <c r="W310" i="24"/>
  <c r="N318" i="24"/>
  <c r="K309" i="24"/>
  <c r="W309" i="24"/>
  <c r="G312" i="24"/>
  <c r="W318" i="24"/>
  <c r="H316" i="24"/>
  <c r="L317" i="24"/>
  <c r="R318" i="24"/>
  <c r="AF309" i="24"/>
  <c r="S311" i="24"/>
  <c r="Z318" i="24"/>
  <c r="P316" i="24"/>
  <c r="Y315" i="24"/>
  <c r="U300" i="24"/>
  <c r="AC297" i="24"/>
  <c r="T301" i="24"/>
  <c r="P327" i="24"/>
  <c r="Q298" i="24"/>
  <c r="H302" i="24"/>
  <c r="P323" i="24"/>
  <c r="AD314" i="24"/>
  <c r="P307" i="24"/>
  <c r="AB327" i="24"/>
  <c r="N299" i="24"/>
  <c r="V305" i="24"/>
  <c r="AA307" i="24"/>
  <c r="AD308" i="24"/>
  <c r="I320" i="24"/>
  <c r="Z321" i="24"/>
  <c r="K322" i="24"/>
  <c r="R324" i="24"/>
  <c r="AF313" i="24"/>
  <c r="G305" i="24"/>
  <c r="L323" i="24"/>
  <c r="P320" i="24"/>
  <c r="Q324" i="24"/>
  <c r="L301" i="24"/>
  <c r="AA326" i="24"/>
  <c r="S308" i="24"/>
  <c r="Y323" i="24"/>
  <c r="W303" i="24"/>
  <c r="M324" i="24"/>
  <c r="AB326" i="24"/>
  <c r="Z314" i="24"/>
  <c r="M308" i="24"/>
  <c r="S307" i="24"/>
  <c r="S327" i="24"/>
  <c r="X300" i="24"/>
  <c r="P300" i="24"/>
  <c r="AD297" i="24"/>
  <c r="AB324" i="24"/>
  <c r="Q326" i="24"/>
  <c r="Q302" i="24"/>
  <c r="G303" i="24"/>
  <c r="U324" i="24"/>
  <c r="AB305" i="24"/>
  <c r="P308" i="24"/>
  <c r="L307" i="24"/>
  <c r="O321" i="24"/>
  <c r="U302" i="24"/>
  <c r="I327" i="24"/>
  <c r="AE322" i="24"/>
  <c r="Z324" i="24"/>
  <c r="AA306" i="24"/>
  <c r="AF299" i="24"/>
  <c r="AF303" i="24"/>
  <c r="L297" i="24"/>
  <c r="Z322" i="24"/>
  <c r="Q303" i="24"/>
  <c r="W324" i="24"/>
  <c r="AD305" i="24"/>
  <c r="M305" i="24"/>
  <c r="AF326" i="24"/>
  <c r="O302" i="24"/>
  <c r="Y314" i="24"/>
  <c r="Z325" i="24"/>
  <c r="AD298" i="24"/>
  <c r="I304" i="24"/>
  <c r="AD326" i="24"/>
  <c r="AA305" i="24"/>
  <c r="AE301" i="24"/>
  <c r="AD299" i="24"/>
  <c r="AA321" i="24"/>
  <c r="G298" i="24"/>
  <c r="I301" i="24"/>
  <c r="R302" i="24"/>
  <c r="Z327" i="24"/>
  <c r="H321" i="24"/>
  <c r="Z326" i="24"/>
  <c r="W308" i="24"/>
  <c r="Z301" i="24"/>
  <c r="O298" i="24"/>
  <c r="T314" i="24"/>
  <c r="AD323" i="24"/>
  <c r="O301" i="24"/>
  <c r="N303" i="24"/>
  <c r="AD303" i="24"/>
  <c r="AB323" i="24"/>
  <c r="AF305" i="24"/>
  <c r="J300" i="24"/>
  <c r="Q297" i="24"/>
  <c r="V300" i="24"/>
  <c r="AE300" i="24"/>
  <c r="R297" i="24"/>
  <c r="W302" i="24"/>
  <c r="AD304" i="24"/>
  <c r="U314" i="24"/>
  <c r="AA303" i="24"/>
  <c r="N305" i="24"/>
  <c r="K325" i="24"/>
  <c r="R298" i="24"/>
  <c r="N304" i="24"/>
  <c r="AE299" i="24"/>
  <c r="I299" i="24"/>
  <c r="P304" i="24"/>
  <c r="K303" i="24"/>
  <c r="Q307" i="24"/>
  <c r="N323" i="24"/>
  <c r="W305" i="24"/>
  <c r="M326" i="24"/>
  <c r="Q305" i="24"/>
  <c r="X321" i="24"/>
  <c r="AF298" i="24"/>
  <c r="AB320" i="24"/>
  <c r="Y306" i="24"/>
  <c r="I323" i="24"/>
  <c r="H324" i="24"/>
  <c r="R313" i="24"/>
  <c r="Y304" i="24"/>
  <c r="N301" i="24"/>
  <c r="AC302" i="24"/>
  <c r="L322" i="24"/>
  <c r="L325" i="24"/>
  <c r="AE302" i="24"/>
  <c r="X301" i="24"/>
  <c r="R299" i="24"/>
  <c r="H297" i="24"/>
  <c r="J297" i="24"/>
  <c r="J298" i="24"/>
  <c r="S304" i="24"/>
  <c r="AC308" i="24"/>
  <c r="AE321" i="24"/>
  <c r="V313" i="24"/>
  <c r="Y301" i="24"/>
  <c r="AE305" i="24"/>
  <c r="W320" i="24"/>
  <c r="U313" i="24"/>
  <c r="AA299" i="24"/>
  <c r="G327" i="24"/>
  <c r="I307" i="24"/>
  <c r="Q322" i="24"/>
  <c r="W313" i="24"/>
  <c r="R325" i="24"/>
  <c r="S305" i="24"/>
  <c r="Y300" i="24"/>
  <c r="Q300" i="24"/>
  <c r="AB311" i="24"/>
  <c r="Y309" i="24"/>
  <c r="N310" i="24"/>
  <c r="T311" i="24"/>
  <c r="U312" i="24"/>
  <c r="I318" i="24"/>
  <c r="S312" i="24"/>
  <c r="K311" i="24"/>
  <c r="K318" i="24"/>
  <c r="J312" i="24"/>
  <c r="AD311" i="24"/>
  <c r="J310" i="24"/>
  <c r="X311" i="24"/>
  <c r="AA311" i="24"/>
  <c r="AC311" i="24"/>
  <c r="K312" i="24"/>
  <c r="V316" i="24"/>
  <c r="H317" i="24"/>
  <c r="M317" i="24"/>
  <c r="S315" i="24"/>
  <c r="Q316" i="24"/>
  <c r="J316" i="24"/>
  <c r="Y319" i="24"/>
  <c r="X315" i="24"/>
  <c r="J315" i="24"/>
  <c r="U315" i="24"/>
  <c r="H309" i="24"/>
  <c r="J318" i="24"/>
  <c r="U297" i="24"/>
  <c r="K305" i="24"/>
  <c r="S326" i="24"/>
  <c r="H308" i="24"/>
  <c r="U326" i="24"/>
  <c r="AB301" i="24"/>
  <c r="Q325" i="24"/>
  <c r="U307" i="24"/>
  <c r="AA323" i="24"/>
  <c r="K306" i="24"/>
  <c r="AF320" i="24"/>
  <c r="Q321" i="24"/>
  <c r="M322" i="24"/>
  <c r="I324" i="24"/>
  <c r="R304" i="24"/>
  <c r="J307" i="24"/>
  <c r="M307" i="24"/>
  <c r="V324" i="24"/>
  <c r="P324" i="24"/>
  <c r="O306" i="24"/>
  <c r="X325" i="24"/>
  <c r="J321" i="24"/>
  <c r="M313" i="24"/>
  <c r="J326" i="24"/>
  <c r="AA301" i="24"/>
  <c r="P302" i="24"/>
  <c r="H323" i="24"/>
  <c r="I326" i="24"/>
  <c r="Q308" i="24"/>
  <c r="H305" i="24"/>
  <c r="T326" i="24"/>
  <c r="Y327" i="24"/>
  <c r="AB304" i="24"/>
  <c r="N321" i="24"/>
  <c r="G300" i="24"/>
  <c r="G297" i="24"/>
  <c r="J323" i="24"/>
  <c r="Y322" i="24"/>
  <c r="X323" i="24"/>
  <c r="P313" i="24"/>
  <c r="T320" i="24"/>
  <c r="Z302" i="24"/>
  <c r="AC324" i="24"/>
  <c r="S314" i="24"/>
  <c r="H326" i="24"/>
  <c r="Z320" i="24"/>
  <c r="Q299" i="24"/>
  <c r="S303" i="24"/>
  <c r="T308" i="24"/>
  <c r="U304" i="24"/>
  <c r="AB299" i="24"/>
  <c r="H313" i="24"/>
  <c r="AF300" i="24"/>
  <c r="O314" i="24"/>
  <c r="P301" i="24"/>
  <c r="AC313" i="24"/>
  <c r="K310" i="24"/>
  <c r="AF310" i="24"/>
  <c r="K315" i="24"/>
  <c r="S309" i="24"/>
  <c r="AB315" i="24"/>
  <c r="AD319" i="24"/>
  <c r="M312" i="24"/>
  <c r="AF318" i="24"/>
  <c r="U319" i="24"/>
  <c r="X309" i="24"/>
  <c r="X318" i="24"/>
  <c r="U318" i="24"/>
  <c r="P318" i="24"/>
  <c r="I316" i="24"/>
  <c r="H319" i="24"/>
  <c r="O317" i="24"/>
  <c r="V318" i="24"/>
  <c r="R315" i="24"/>
  <c r="AD315" i="24"/>
  <c r="Z319" i="24"/>
  <c r="I319" i="24"/>
  <c r="AF319" i="24"/>
  <c r="R316" i="24"/>
  <c r="AC318" i="24"/>
  <c r="V319" i="24"/>
  <c r="Z317" i="24"/>
  <c r="Q309" i="24"/>
  <c r="AC317" i="24"/>
  <c r="X319" i="24"/>
  <c r="O319" i="24"/>
  <c r="M315" i="24"/>
  <c r="AB297" i="24"/>
  <c r="AF301" i="24"/>
  <c r="S306" i="24"/>
  <c r="I313" i="24"/>
  <c r="AA313" i="24"/>
  <c r="V304" i="24"/>
  <c r="I314" i="24"/>
  <c r="AE325" i="24"/>
  <c r="AE324" i="24"/>
  <c r="P326" i="24"/>
  <c r="U321" i="24"/>
  <c r="G299" i="24"/>
  <c r="Q323" i="24"/>
  <c r="L302" i="24"/>
  <c r="R326" i="24"/>
  <c r="S325" i="24"/>
  <c r="U301" i="24"/>
  <c r="R321" i="24"/>
  <c r="Q327" i="24"/>
  <c r="T322" i="24"/>
  <c r="Z308" i="24"/>
  <c r="AA320" i="24"/>
  <c r="U298" i="24"/>
  <c r="W325" i="24"/>
  <c r="AA325" i="24"/>
  <c r="V302" i="24"/>
  <c r="Z323" i="24"/>
  <c r="R314" i="24"/>
  <c r="H306" i="24"/>
  <c r="T323" i="24"/>
  <c r="Y299" i="24"/>
  <c r="T307" i="24"/>
  <c r="J324" i="24"/>
  <c r="X326" i="24"/>
  <c r="S300" i="24"/>
  <c r="I297" i="24"/>
  <c r="O308" i="24"/>
  <c r="O327" i="24"/>
  <c r="U325" i="24"/>
  <c r="I302" i="24"/>
  <c r="AF304" i="24"/>
  <c r="R301" i="24"/>
  <c r="T298" i="24"/>
  <c r="K307" i="24"/>
  <c r="AD327" i="24"/>
  <c r="L320" i="24"/>
  <c r="G307" i="24"/>
  <c r="O307" i="24"/>
  <c r="AE323" i="24"/>
  <c r="N302" i="24"/>
  <c r="V314" i="24"/>
  <c r="AA308" i="24"/>
  <c r="L300" i="24"/>
  <c r="K327" i="24"/>
  <c r="N322" i="24"/>
  <c r="Y326" i="24"/>
  <c r="M325" i="24"/>
  <c r="AB321" i="24"/>
  <c r="Q313" i="24"/>
  <c r="V321" i="24"/>
  <c r="L298" i="24"/>
  <c r="W314" i="24"/>
  <c r="AC326" i="24"/>
  <c r="P306" i="24"/>
  <c r="AC306" i="24"/>
  <c r="G321" i="24"/>
  <c r="Y320" i="24"/>
  <c r="I322" i="24"/>
  <c r="S313" i="24"/>
  <c r="W322" i="24"/>
  <c r="U306" i="24"/>
  <c r="H325" i="24"/>
  <c r="Y313" i="24"/>
  <c r="N327" i="24"/>
  <c r="J301" i="24"/>
  <c r="J303" i="24"/>
  <c r="AB325" i="24"/>
  <c r="M321" i="24"/>
  <c r="X320" i="24"/>
  <c r="S299" i="24"/>
  <c r="G314" i="24"/>
  <c r="AA304" i="24"/>
  <c r="K323" i="24"/>
  <c r="T321" i="24"/>
  <c r="Z306" i="24"/>
  <c r="S301" i="24"/>
  <c r="AE297" i="24"/>
  <c r="H300" i="24"/>
  <c r="R300" i="24"/>
  <c r="K300" i="24"/>
  <c r="V327" i="24"/>
  <c r="AE303" i="24"/>
  <c r="W326" i="24"/>
  <c r="J327" i="24"/>
  <c r="AB313" i="24"/>
  <c r="AF323" i="24"/>
  <c r="AF322" i="24"/>
  <c r="X324" i="24"/>
  <c r="H299" i="24"/>
  <c r="R322" i="24"/>
  <c r="AF325" i="24"/>
  <c r="M327" i="24"/>
  <c r="K299" i="24"/>
  <c r="K320" i="24"/>
  <c r="AE306" i="24"/>
  <c r="AE320" i="24"/>
  <c r="V322" i="24"/>
  <c r="J314" i="24"/>
  <c r="P314" i="24"/>
  <c r="U299" i="24"/>
  <c r="J304" i="24"/>
  <c r="K308" i="24"/>
  <c r="N307" i="24"/>
  <c r="N306" i="24"/>
  <c r="X305" i="24"/>
  <c r="P322" i="24"/>
  <c r="T304" i="24"/>
  <c r="G326" i="24"/>
  <c r="G324" i="24"/>
  <c r="S320" i="24"/>
  <c r="J322" i="24"/>
  <c r="AE314" i="24"/>
  <c r="Y297" i="24"/>
  <c r="K297" i="24"/>
  <c r="T327" i="24"/>
  <c r="L313" i="24"/>
  <c r="AF308" i="24"/>
  <c r="AF324" i="24"/>
  <c r="L304" i="24"/>
  <c r="AB322" i="24"/>
  <c r="AB303" i="24"/>
  <c r="AB306" i="24"/>
  <c r="U305" i="24"/>
  <c r="J308" i="24"/>
  <c r="AB314" i="24"/>
  <c r="G301" i="24"/>
  <c r="AA322" i="24"/>
  <c r="X304" i="24"/>
  <c r="O320" i="24"/>
  <c r="H320" i="24"/>
  <c r="J302" i="24"/>
  <c r="V297" i="24"/>
  <c r="N300" i="24"/>
  <c r="AD312" i="24"/>
  <c r="AE315" i="24"/>
  <c r="P311" i="24"/>
  <c r="AB318" i="24"/>
  <c r="I315" i="24"/>
  <c r="V312" i="24"/>
  <c r="X310" i="24"/>
  <c r="N317" i="24"/>
  <c r="Z312" i="24"/>
  <c r="U311" i="24"/>
  <c r="R317" i="24"/>
  <c r="H310" i="24"/>
  <c r="M310" i="24"/>
  <c r="T312" i="24"/>
  <c r="L318" i="24"/>
  <c r="P309" i="24"/>
  <c r="X317" i="24"/>
  <c r="S319" i="24"/>
  <c r="N316" i="24"/>
  <c r="P315" i="24"/>
  <c r="Z315" i="24"/>
  <c r="AC319" i="24"/>
  <c r="S316" i="24"/>
  <c r="W311" i="24"/>
  <c r="G309" i="24"/>
  <c r="N312" i="24"/>
  <c r="U310" i="24"/>
  <c r="P310" i="24"/>
  <c r="W312" i="24"/>
  <c r="G315" i="24"/>
  <c r="K317" i="24"/>
  <c r="R312" i="24"/>
  <c r="Y316" i="24"/>
  <c r="X316" i="24"/>
  <c r="AB312" i="24"/>
  <c r="AA315" i="24"/>
  <c r="X312" i="24"/>
  <c r="Y318" i="24"/>
  <c r="S318" i="24"/>
  <c r="Q310" i="24"/>
  <c r="P319" i="24"/>
  <c r="M316" i="24"/>
  <c r="T315" i="24"/>
  <c r="AE319" i="24"/>
  <c r="Y317" i="24"/>
  <c r="Z311" i="24"/>
  <c r="W316" i="24"/>
  <c r="T317" i="24"/>
  <c r="AB319" i="24"/>
  <c r="AE311" i="24"/>
  <c r="V315" i="24"/>
  <c r="AB316" i="24"/>
  <c r="T309" i="24"/>
  <c r="Q318" i="24"/>
  <c r="V311" i="24"/>
  <c r="H312" i="24"/>
  <c r="U316" i="24"/>
  <c r="AF317" i="24"/>
  <c r="W317" i="24"/>
  <c r="Z310" i="24"/>
  <c r="V309" i="24"/>
  <c r="M309" i="24"/>
  <c r="AE312" i="24"/>
  <c r="Z309" i="24"/>
  <c r="AE313" i="24"/>
  <c r="Z298" i="24"/>
  <c r="AD321" i="24"/>
  <c r="H322" i="24"/>
  <c r="T297" i="24"/>
  <c r="V301" i="24"/>
  <c r="AD306" i="24"/>
  <c r="Y302" i="24"/>
  <c r="W306" i="24"/>
  <c r="T302" i="24"/>
  <c r="W323" i="24"/>
  <c r="G323" i="24"/>
  <c r="Y325" i="24"/>
  <c r="AA297" i="24"/>
  <c r="AC327" i="24"/>
  <c r="AD325" i="24"/>
  <c r="S324" i="24"/>
  <c r="I308" i="24"/>
  <c r="X327" i="24"/>
  <c r="L303" i="24"/>
  <c r="Y321" i="24"/>
  <c r="AF306" i="24"/>
  <c r="AB302" i="24"/>
  <c r="AD324" i="24"/>
  <c r="Y308" i="24"/>
  <c r="AC322" i="24"/>
  <c r="M299" i="24"/>
  <c r="J320" i="24"/>
  <c r="AD320" i="24"/>
  <c r="G319" i="24"/>
  <c r="AA310" i="24"/>
  <c r="Q311" i="24"/>
  <c r="T318" i="24"/>
  <c r="AE318" i="24"/>
  <c r="I310" i="24"/>
  <c r="U317" i="24"/>
  <c r="P312" i="24"/>
  <c r="AB309" i="24"/>
  <c r="AD318" i="24"/>
  <c r="G310" i="24"/>
  <c r="AA316" i="24"/>
  <c r="M319" i="24"/>
  <c r="H315" i="24"/>
  <c r="M318" i="24"/>
  <c r="V310" i="24"/>
  <c r="T316" i="24"/>
  <c r="O318" i="24"/>
  <c r="AF316" i="24"/>
  <c r="Y310" i="24"/>
  <c r="O312" i="24"/>
  <c r="S310" i="24"/>
  <c r="J311" i="24"/>
  <c r="M300" i="24"/>
  <c r="AA327" i="24"/>
  <c r="G304" i="24"/>
  <c r="N325" i="24"/>
  <c r="Y305" i="24"/>
  <c r="G313" i="24"/>
  <c r="J313" i="24"/>
  <c r="AC304" i="24"/>
  <c r="I325" i="24"/>
  <c r="T300" i="24"/>
  <c r="O322" i="24"/>
  <c r="P325" i="24"/>
  <c r="AE326" i="24"/>
  <c r="L326" i="24"/>
  <c r="AE307" i="24"/>
  <c r="Q314" i="24"/>
  <c r="V320" i="24"/>
  <c r="M301" i="24"/>
  <c r="AC323" i="24"/>
  <c r="H301" i="24"/>
  <c r="O303" i="24"/>
  <c r="Z305" i="24"/>
  <c r="V323" i="24"/>
  <c r="T313" i="24"/>
  <c r="H303" i="24"/>
  <c r="M304" i="24"/>
  <c r="AD300" i="24"/>
  <c r="AC300" i="24"/>
  <c r="K321" i="24"/>
  <c r="T305" i="24"/>
  <c r="O304" i="24"/>
  <c r="AE298" i="24"/>
  <c r="Z313" i="24"/>
  <c r="R323" i="24"/>
  <c r="S298" i="24"/>
  <c r="R307" i="24"/>
  <c r="AC321" i="24"/>
  <c r="X298" i="24"/>
  <c r="Q306" i="24"/>
  <c r="L308" i="24"/>
  <c r="L327" i="24"/>
  <c r="R306" i="24"/>
  <c r="N320" i="24"/>
  <c r="L314" i="24"/>
  <c r="J305" i="24"/>
  <c r="AC325" i="24"/>
  <c r="AD322" i="24"/>
  <c r="O326" i="24"/>
  <c r="W297" i="24"/>
  <c r="X303" i="24"/>
  <c r="V325" i="24"/>
  <c r="W298" i="24"/>
  <c r="V307" i="24"/>
  <c r="Z307" i="24"/>
  <c r="W321" i="24"/>
  <c r="M314" i="24"/>
  <c r="P321" i="24"/>
  <c r="Q315" i="24"/>
  <c r="J317" i="24"/>
  <c r="K319" i="24"/>
  <c r="O316" i="24"/>
  <c r="L319" i="24"/>
  <c r="L311" i="24"/>
  <c r="AB310" i="24"/>
  <c r="W315" i="24"/>
  <c r="AC312" i="24"/>
  <c r="R319" i="24"/>
  <c r="G316" i="24"/>
  <c r="AA317" i="24"/>
  <c r="O311" i="24"/>
  <c r="R309" i="24"/>
  <c r="O315" i="24"/>
  <c r="L310" i="24"/>
  <c r="I300" i="24"/>
  <c r="O324" i="24"/>
  <c r="AD307" i="24"/>
  <c r="W304" i="24"/>
  <c r="AD302" i="24"/>
  <c r="V299" i="24"/>
  <c r="Y303" i="24"/>
  <c r="S321" i="24"/>
  <c r="AE308" i="24"/>
  <c r="Y298" i="24"/>
  <c r="H298" i="24"/>
  <c r="K324" i="24"/>
  <c r="S323" i="24"/>
  <c r="AB300" i="24"/>
  <c r="V308" i="24"/>
  <c r="R320" i="24"/>
  <c r="V306" i="24"/>
  <c r="X306" i="24"/>
  <c r="AF302" i="24"/>
  <c r="U323" i="24"/>
  <c r="K314" i="24"/>
  <c r="L321" i="24"/>
  <c r="Q320" i="24"/>
  <c r="Z300" i="24"/>
  <c r="H314" i="24"/>
  <c r="K301" i="24"/>
  <c r="AA324" i="24"/>
  <c r="W299" i="24"/>
  <c r="O310" i="24"/>
  <c r="K316" i="24"/>
  <c r="G311" i="24"/>
  <c r="Y312" i="24"/>
  <c r="AD316" i="24"/>
  <c r="O309" i="24"/>
  <c r="AE309" i="24"/>
  <c r="AE310" i="24"/>
  <c r="N315" i="24"/>
  <c r="AF311" i="24"/>
  <c r="N311" i="24"/>
  <c r="L309" i="24"/>
  <c r="J309" i="24"/>
  <c r="M297" i="24"/>
  <c r="I305" i="24"/>
  <c r="AC307" i="24"/>
  <c r="AA298" i="24"/>
  <c r="AD301" i="24"/>
  <c r="AF307" i="24"/>
  <c r="W307" i="24"/>
  <c r="N324" i="24"/>
  <c r="Y307" i="24"/>
  <c r="W300" i="24"/>
  <c r="AC314" i="24"/>
  <c r="M303" i="24"/>
  <c r="Z304" i="24"/>
  <c r="AC303" i="24"/>
  <c r="J325" i="24"/>
  <c r="Y324" i="24"/>
  <c r="AA302" i="24"/>
  <c r="U308" i="24"/>
  <c r="M302" i="24"/>
  <c r="Q301" i="24"/>
  <c r="L305" i="24"/>
  <c r="P303" i="24"/>
  <c r="AD313" i="24"/>
  <c r="R308" i="24"/>
  <c r="O313" i="24"/>
  <c r="L324" i="24"/>
  <c r="H327" i="24"/>
  <c r="AA300" i="24"/>
  <c r="O300" i="24"/>
  <c r="L306" i="24"/>
  <c r="M306" i="24"/>
  <c r="V298" i="24"/>
  <c r="H304" i="24"/>
  <c r="X299" i="24"/>
  <c r="G322" i="24"/>
  <c r="M320" i="24"/>
  <c r="T299" i="24"/>
  <c r="AC301" i="24"/>
  <c r="N313" i="24"/>
  <c r="P298" i="24"/>
  <c r="X302" i="24"/>
  <c r="AA314" i="24"/>
  <c r="K313" i="24"/>
  <c r="U327" i="24"/>
  <c r="AC305" i="24"/>
  <c r="R305" i="24"/>
  <c r="Q304" i="24"/>
  <c r="N326" i="24"/>
  <c r="AB307" i="24"/>
  <c r="X313" i="24"/>
  <c r="H307" i="24"/>
  <c r="AF327" i="24"/>
  <c r="K302" i="24"/>
  <c r="J299" i="24"/>
  <c r="AC320" i="24"/>
  <c r="O305" i="24"/>
  <c r="AE304" i="24"/>
  <c r="O297" i="24"/>
  <c r="V317" i="24"/>
  <c r="G317" i="24"/>
  <c r="T319" i="24"/>
  <c r="J319" i="24"/>
  <c r="AC309" i="24"/>
  <c r="Y311" i="24"/>
  <c r="N319" i="24"/>
  <c r="L316" i="24"/>
  <c r="AA312" i="24"/>
  <c r="I311" i="24"/>
  <c r="AD317" i="24"/>
  <c r="Q319" i="24"/>
  <c r="AA319" i="24"/>
  <c r="U309" i="24"/>
  <c r="AF312" i="24"/>
  <c r="H22" i="19"/>
  <c r="H58" i="19" s="1"/>
  <c r="H27" i="19"/>
  <c r="H63" i="19" s="1"/>
  <c r="H37" i="19"/>
  <c r="H73" i="19" s="1"/>
  <c r="H39" i="19"/>
  <c r="H75" i="19" s="1"/>
  <c r="H21" i="19"/>
  <c r="H57" i="19" s="1"/>
  <c r="G302" i="12"/>
  <c r="G45" i="16" a="1"/>
  <c r="K60" i="16" s="1"/>
  <c r="H30" i="19"/>
  <c r="H66" i="19" s="1"/>
  <c r="H28" i="19"/>
  <c r="H64" i="19" s="1"/>
  <c r="G326" i="12"/>
  <c r="G325" i="12"/>
  <c r="H29" i="19"/>
  <c r="H65" i="19" s="1"/>
  <c r="H23" i="19"/>
  <c r="H59" i="19" s="1"/>
  <c r="G308" i="12"/>
  <c r="G324" i="12"/>
  <c r="H77" i="19" l="1"/>
  <c r="F45" i="12" a="1"/>
  <c r="AD65" i="12" s="1"/>
  <c r="G319" i="12"/>
  <c r="P67" i="16"/>
  <c r="X64" i="16"/>
  <c r="AB64" i="16"/>
  <c r="AA60" i="16"/>
  <c r="L65" i="16"/>
  <c r="M64" i="16"/>
  <c r="J64" i="16"/>
  <c r="AD59" i="16"/>
  <c r="Y67" i="16"/>
  <c r="G63" i="16"/>
  <c r="AB66" i="16"/>
  <c r="K63" i="16"/>
  <c r="O66" i="16"/>
  <c r="R63" i="16"/>
  <c r="I60" i="16"/>
  <c r="H63" i="16"/>
  <c r="AD60" i="16"/>
  <c r="Y60" i="16"/>
  <c r="M63" i="16"/>
  <c r="AB60" i="16"/>
  <c r="AF64" i="16"/>
  <c r="X59" i="16"/>
  <c r="Z64" i="16"/>
  <c r="R65" i="16"/>
  <c r="Q65" i="16"/>
  <c r="Y63" i="16"/>
  <c r="X60" i="16"/>
  <c r="AF63" i="16"/>
  <c r="O64" i="16"/>
  <c r="G60" i="16"/>
  <c r="L67" i="16"/>
  <c r="AF59" i="16"/>
  <c r="Z59" i="16"/>
  <c r="G57" i="16"/>
  <c r="T60" i="16"/>
  <c r="AB65" i="16"/>
  <c r="O59" i="16"/>
  <c r="AA63" i="16"/>
  <c r="H57" i="16"/>
  <c r="N63" i="16"/>
  <c r="V60" i="16"/>
  <c r="N57" i="16"/>
  <c r="Z60" i="16"/>
  <c r="I63" i="16"/>
  <c r="I65" i="16"/>
  <c r="AC57" i="16"/>
  <c r="G329" i="12"/>
  <c r="G317" i="12"/>
  <c r="AA59" i="16"/>
  <c r="AE67" i="16"/>
  <c r="AF57" i="16"/>
  <c r="AA66" i="16"/>
  <c r="U65" i="16"/>
  <c r="AC65" i="16"/>
  <c r="P58" i="16"/>
  <c r="P57" i="16"/>
  <c r="Q58" i="16"/>
  <c r="N58" i="16"/>
  <c r="AE60" i="16"/>
  <c r="Y64" i="16"/>
  <c r="AC67" i="16"/>
  <c r="V64" i="16"/>
  <c r="AE59" i="16"/>
  <c r="H58" i="16"/>
  <c r="AB57" i="16"/>
  <c r="L58" i="16"/>
  <c r="AD63" i="16"/>
  <c r="Z57" i="16"/>
  <c r="AD65" i="16"/>
  <c r="U60" i="16"/>
  <c r="K66" i="16"/>
  <c r="M67" i="16"/>
  <c r="H66" i="16"/>
  <c r="U57" i="16"/>
  <c r="K58" i="16"/>
  <c r="AD57" i="16"/>
  <c r="X65" i="16"/>
  <c r="S65" i="16"/>
  <c r="AA64" i="16"/>
  <c r="R58" i="16"/>
  <c r="L60" i="16"/>
  <c r="AC58" i="16"/>
  <c r="U67" i="16"/>
  <c r="W59" i="16"/>
  <c r="S64" i="16"/>
  <c r="V63" i="16"/>
  <c r="AA65" i="16"/>
  <c r="I58" i="16"/>
  <c r="T59" i="16"/>
  <c r="M65" i="16"/>
  <c r="H65" i="16"/>
  <c r="V66" i="16"/>
  <c r="K57" i="16"/>
  <c r="T58" i="16"/>
  <c r="J63" i="16"/>
  <c r="Y65" i="16"/>
  <c r="V67" i="16"/>
  <c r="X66" i="16"/>
  <c r="M57" i="16"/>
  <c r="K67" i="16"/>
  <c r="AE57" i="16"/>
  <c r="S66" i="16"/>
  <c r="G58" i="16"/>
  <c r="X58" i="16"/>
  <c r="C10" i="20"/>
  <c r="Z66" i="16"/>
  <c r="Y58" i="16"/>
  <c r="AF58" i="16"/>
  <c r="V65" i="16"/>
  <c r="T67" i="16"/>
  <c r="AE63" i="16"/>
  <c r="AD64" i="16"/>
  <c r="O60" i="16"/>
  <c r="W67" i="16"/>
  <c r="W57" i="16"/>
  <c r="O57" i="16"/>
  <c r="AD67" i="16"/>
  <c r="AF66" i="16"/>
  <c r="AB63" i="16"/>
  <c r="J66" i="16"/>
  <c r="AB67" i="16"/>
  <c r="AC60" i="16"/>
  <c r="N66" i="16"/>
  <c r="R67" i="16"/>
  <c r="P66" i="16"/>
  <c r="G64" i="16"/>
  <c r="S59" i="16"/>
  <c r="G320" i="12"/>
  <c r="O65" i="16"/>
  <c r="T65" i="16"/>
  <c r="W66" i="16"/>
  <c r="G66" i="16"/>
  <c r="R64" i="16"/>
  <c r="N64" i="16"/>
  <c r="J59" i="16"/>
  <c r="Q59" i="16"/>
  <c r="V59" i="16"/>
  <c r="Z58" i="16"/>
  <c r="AF65" i="16"/>
  <c r="T63" i="16"/>
  <c r="G313" i="12"/>
  <c r="G318" i="12"/>
  <c r="P60" i="16"/>
  <c r="I67" i="16"/>
  <c r="M58" i="16"/>
  <c r="S67" i="16"/>
  <c r="N65" i="16"/>
  <c r="M66" i="16"/>
  <c r="J58" i="16"/>
  <c r="S58" i="16"/>
  <c r="I66" i="16"/>
  <c r="G65" i="16"/>
  <c r="K59" i="16"/>
  <c r="T64" i="16"/>
  <c r="L63" i="16"/>
  <c r="Z63" i="16"/>
  <c r="R59" i="16"/>
  <c r="S57" i="16"/>
  <c r="AF67" i="16"/>
  <c r="L57" i="16"/>
  <c r="X63" i="16"/>
  <c r="AC59" i="16"/>
  <c r="W60" i="16"/>
  <c r="J57" i="16"/>
  <c r="AA67" i="16"/>
  <c r="AD58" i="16"/>
  <c r="AC66" i="16"/>
  <c r="X67" i="16"/>
  <c r="N59" i="16"/>
  <c r="AB58" i="16"/>
  <c r="X57" i="16"/>
  <c r="V57" i="16"/>
  <c r="O67" i="16"/>
  <c r="P65" i="16"/>
  <c r="L66" i="16"/>
  <c r="O58" i="16"/>
  <c r="I64" i="16"/>
  <c r="S63" i="16"/>
  <c r="N60" i="16"/>
  <c r="AE65" i="16"/>
  <c r="U66" i="16"/>
  <c r="Q67" i="16"/>
  <c r="T57" i="16"/>
  <c r="J65" i="16"/>
  <c r="G59" i="16"/>
  <c r="Y59" i="16"/>
  <c r="AF60" i="16"/>
  <c r="U63" i="16"/>
  <c r="AE64" i="16"/>
  <c r="U58" i="16"/>
  <c r="Y57" i="16"/>
  <c r="Z67" i="16"/>
  <c r="AD66" i="16"/>
  <c r="AC63" i="16"/>
  <c r="L64" i="16"/>
  <c r="Q60" i="16"/>
  <c r="AB59" i="16"/>
  <c r="W58" i="16"/>
  <c r="W64" i="16"/>
  <c r="AC64" i="16"/>
  <c r="P63" i="16"/>
  <c r="R57" i="16"/>
  <c r="H60" i="16"/>
  <c r="M59" i="16"/>
  <c r="N67" i="16"/>
  <c r="Z65" i="16"/>
  <c r="S60" i="16"/>
  <c r="I59" i="16"/>
  <c r="M60" i="16"/>
  <c r="O63" i="16"/>
  <c r="P59" i="16"/>
  <c r="R66" i="16"/>
  <c r="T66" i="16"/>
  <c r="W63" i="16"/>
  <c r="W65" i="16"/>
  <c r="Q64" i="16"/>
  <c r="AE58" i="16"/>
  <c r="U64" i="16"/>
  <c r="H67" i="16"/>
  <c r="Q57" i="16"/>
  <c r="R60" i="16"/>
  <c r="H64" i="16"/>
  <c r="J67" i="16"/>
  <c r="AA57" i="16"/>
  <c r="P64" i="16"/>
  <c r="G327" i="12"/>
  <c r="G312" i="12"/>
  <c r="Y45" i="16"/>
  <c r="X45" i="16"/>
  <c r="P70" i="16"/>
  <c r="O48" i="16"/>
  <c r="V48" i="16"/>
  <c r="Q45" i="16"/>
  <c r="Z48" i="16"/>
  <c r="N62" i="16"/>
  <c r="L68" i="16"/>
  <c r="N71" i="16"/>
  <c r="H56" i="16"/>
  <c r="H47" i="16"/>
  <c r="K68" i="16"/>
  <c r="U51" i="16"/>
  <c r="AF50" i="16"/>
  <c r="O46" i="16"/>
  <c r="J71" i="16"/>
  <c r="AB56" i="16"/>
  <c r="M71" i="16"/>
  <c r="AE49" i="16"/>
  <c r="M54" i="16"/>
  <c r="L56" i="16"/>
  <c r="X56" i="16"/>
  <c r="AF69" i="16"/>
  <c r="N68" i="16"/>
  <c r="N69" i="16"/>
  <c r="G72" i="16"/>
  <c r="AA52" i="16"/>
  <c r="W62" i="16"/>
  <c r="U71" i="16"/>
  <c r="AD71" i="16"/>
  <c r="W49" i="16"/>
  <c r="M49" i="16"/>
  <c r="O72" i="16"/>
  <c r="AC46" i="16"/>
  <c r="O54" i="16"/>
  <c r="H72" i="16"/>
  <c r="R69" i="16"/>
  <c r="AD46" i="16"/>
  <c r="J56" i="16"/>
  <c r="U62" i="16"/>
  <c r="U50" i="16"/>
  <c r="G54" i="16"/>
  <c r="S52" i="16"/>
  <c r="W61" i="16"/>
  <c r="O68" i="16"/>
  <c r="O74" i="16"/>
  <c r="P52" i="16"/>
  <c r="R74" i="16"/>
  <c r="M75" i="16"/>
  <c r="W51" i="16"/>
  <c r="AD75" i="16"/>
  <c r="Z50" i="16"/>
  <c r="J62" i="16"/>
  <c r="Q74" i="16"/>
  <c r="AE46" i="16"/>
  <c r="W53" i="16"/>
  <c r="AD69" i="16"/>
  <c r="W56" i="16"/>
  <c r="Y55" i="16"/>
  <c r="AC74" i="16"/>
  <c r="O52" i="16"/>
  <c r="S47" i="16"/>
  <c r="P68" i="16"/>
  <c r="R52" i="16"/>
  <c r="AF74" i="16"/>
  <c r="AA71" i="16"/>
  <c r="U53" i="16"/>
  <c r="T51" i="16"/>
  <c r="Y52" i="16"/>
  <c r="X55" i="16"/>
  <c r="X71" i="16"/>
  <c r="AD51" i="16"/>
  <c r="O69" i="16"/>
  <c r="G62" i="16"/>
  <c r="K55" i="16"/>
  <c r="V61" i="16"/>
  <c r="Q46" i="16"/>
  <c r="T75" i="16"/>
  <c r="J55" i="16"/>
  <c r="AF68" i="16"/>
  <c r="J75" i="16"/>
  <c r="O73" i="16"/>
  <c r="S46" i="16"/>
  <c r="AA47" i="16"/>
  <c r="AB62" i="16"/>
  <c r="AD68" i="16"/>
  <c r="R56" i="16"/>
  <c r="S73" i="16"/>
  <c r="I53" i="16"/>
  <c r="I54" i="16"/>
  <c r="P71" i="16"/>
  <c r="AB46" i="16"/>
  <c r="G73" i="16"/>
  <c r="K62" i="16"/>
  <c r="AA75" i="16"/>
  <c r="N61" i="16"/>
  <c r="J69" i="16"/>
  <c r="L72" i="16"/>
  <c r="V53" i="16"/>
  <c r="X51" i="16"/>
  <c r="M47" i="16"/>
  <c r="X52" i="16"/>
  <c r="AC56" i="16"/>
  <c r="L47" i="16"/>
  <c r="X49" i="16"/>
  <c r="T47" i="16"/>
  <c r="W47" i="16"/>
  <c r="R75" i="16"/>
  <c r="V54" i="16"/>
  <c r="J72" i="16"/>
  <c r="AE72" i="16"/>
  <c r="P51" i="16"/>
  <c r="Q61" i="16"/>
  <c r="P75" i="16"/>
  <c r="AD49" i="16"/>
  <c r="P55" i="16"/>
  <c r="X61" i="16"/>
  <c r="U56" i="16"/>
  <c r="I72" i="16"/>
  <c r="AA73" i="16"/>
  <c r="R68" i="16"/>
  <c r="P46" i="16"/>
  <c r="U73" i="16"/>
  <c r="V69" i="16"/>
  <c r="V68" i="16"/>
  <c r="U47" i="16"/>
  <c r="L62" i="16"/>
  <c r="H61" i="16"/>
  <c r="AB52" i="16"/>
  <c r="V45" i="16"/>
  <c r="S45" i="16"/>
  <c r="T48" i="16"/>
  <c r="Q48" i="16"/>
  <c r="AC70" i="16"/>
  <c r="M45" i="16"/>
  <c r="AB45" i="16"/>
  <c r="W45" i="16"/>
  <c r="N45" i="16"/>
  <c r="I70" i="16"/>
  <c r="G48" i="16"/>
  <c r="K45" i="16"/>
  <c r="J70" i="16"/>
  <c r="V70" i="16"/>
  <c r="AA45" i="16"/>
  <c r="H70" i="16"/>
  <c r="S48" i="16"/>
  <c r="G45" i="16"/>
  <c r="AE48" i="16"/>
  <c r="H48" i="16"/>
  <c r="AB70" i="16"/>
  <c r="L70" i="16"/>
  <c r="M70" i="16"/>
  <c r="I48" i="16"/>
  <c r="U75" i="16"/>
  <c r="AE68" i="16"/>
  <c r="AA68" i="16"/>
  <c r="Y54" i="16"/>
  <c r="O50" i="16"/>
  <c r="H53" i="16"/>
  <c r="J51" i="16"/>
  <c r="Z75" i="16"/>
  <c r="N47" i="16"/>
  <c r="H46" i="16"/>
  <c r="K74" i="16"/>
  <c r="M62" i="16"/>
  <c r="X74" i="16"/>
  <c r="S54" i="16"/>
  <c r="AB55" i="16"/>
  <c r="P49" i="16"/>
  <c r="AD74" i="16"/>
  <c r="J52" i="16"/>
  <c r="T53" i="16"/>
  <c r="O49" i="16"/>
  <c r="O55" i="16"/>
  <c r="H75" i="16"/>
  <c r="P74" i="16"/>
  <c r="K51" i="16"/>
  <c r="AA54" i="16"/>
  <c r="AA50" i="16"/>
  <c r="Y71" i="16"/>
  <c r="Y46" i="16"/>
  <c r="P56" i="16"/>
  <c r="AD73" i="16"/>
  <c r="AA61" i="16"/>
  <c r="Z46" i="16"/>
  <c r="U61" i="16"/>
  <c r="O47" i="16"/>
  <c r="T72" i="16"/>
  <c r="T52" i="16"/>
  <c r="O71" i="16"/>
  <c r="AC61" i="16"/>
  <c r="Y68" i="16"/>
  <c r="N56" i="16"/>
  <c r="Z52" i="16"/>
  <c r="K61" i="16"/>
  <c r="I71" i="16"/>
  <c r="W75" i="16"/>
  <c r="T62" i="16"/>
  <c r="Y73" i="16"/>
  <c r="AB53" i="16"/>
  <c r="X53" i="16"/>
  <c r="X46" i="16"/>
  <c r="S62" i="16"/>
  <c r="M52" i="16"/>
  <c r="L61" i="16"/>
  <c r="G69" i="16"/>
  <c r="Q50" i="16"/>
  <c r="Q56" i="16"/>
  <c r="AC69" i="16"/>
  <c r="AB49" i="16"/>
  <c r="Q75" i="16"/>
  <c r="I74" i="16"/>
  <c r="N52" i="16"/>
  <c r="AE69" i="16"/>
  <c r="L51" i="16"/>
  <c r="T68" i="16"/>
  <c r="K52" i="16"/>
  <c r="R73" i="16"/>
  <c r="U49" i="16"/>
  <c r="AF49" i="16"/>
  <c r="AA69" i="16"/>
  <c r="X75" i="16"/>
  <c r="AC49" i="16"/>
  <c r="R49" i="16"/>
  <c r="Y56" i="16"/>
  <c r="V73" i="16"/>
  <c r="G61" i="16"/>
  <c r="AC62" i="16"/>
  <c r="W69" i="16"/>
  <c r="AF71" i="16"/>
  <c r="K69" i="16"/>
  <c r="V71" i="16"/>
  <c r="AC71" i="16"/>
  <c r="Y61" i="16"/>
  <c r="AA72" i="16"/>
  <c r="AE54" i="16"/>
  <c r="AB50" i="16"/>
  <c r="I55" i="16"/>
  <c r="AB73" i="16"/>
  <c r="AE75" i="16"/>
  <c r="Z49" i="16"/>
  <c r="AB51" i="16"/>
  <c r="AF52" i="16"/>
  <c r="G74" i="16"/>
  <c r="J73" i="16"/>
  <c r="AF54" i="16"/>
  <c r="AA51" i="16"/>
  <c r="P54" i="16"/>
  <c r="W71" i="16"/>
  <c r="Y51" i="16"/>
  <c r="K46" i="16"/>
  <c r="J74" i="16"/>
  <c r="AC72" i="16"/>
  <c r="AF73" i="16"/>
  <c r="AA55" i="16"/>
  <c r="P72" i="16"/>
  <c r="Y48" i="16"/>
  <c r="R48" i="16"/>
  <c r="AA70" i="16"/>
  <c r="W48" i="16"/>
  <c r="H45" i="16"/>
  <c r="K70" i="16"/>
  <c r="U70" i="16"/>
  <c r="O70" i="16"/>
  <c r="O45" i="16"/>
  <c r="T70" i="16"/>
  <c r="P48" i="16"/>
  <c r="AE70" i="16"/>
  <c r="Z70" i="16"/>
  <c r="S70" i="16"/>
  <c r="AB48" i="16"/>
  <c r="G75" i="16"/>
  <c r="Z73" i="16"/>
  <c r="AA74" i="16"/>
  <c r="L46" i="16"/>
  <c r="S71" i="16"/>
  <c r="U68" i="16"/>
  <c r="Y62" i="16"/>
  <c r="R72" i="16"/>
  <c r="AD50" i="16"/>
  <c r="L69" i="16"/>
  <c r="AE55" i="16"/>
  <c r="H55" i="16"/>
  <c r="K53" i="16"/>
  <c r="S69" i="16"/>
  <c r="L52" i="16"/>
  <c r="Q55" i="16"/>
  <c r="Q51" i="16"/>
  <c r="W73" i="16"/>
  <c r="G49" i="16"/>
  <c r="K47" i="16"/>
  <c r="S56" i="16"/>
  <c r="I52" i="16"/>
  <c r="L50" i="16"/>
  <c r="I50" i="16"/>
  <c r="AB68" i="16"/>
  <c r="M61" i="16"/>
  <c r="T69" i="16"/>
  <c r="U46" i="16"/>
  <c r="Z61" i="16"/>
  <c r="K72" i="16"/>
  <c r="L54" i="16"/>
  <c r="V46" i="16"/>
  <c r="I68" i="16"/>
  <c r="Z72" i="16"/>
  <c r="N55" i="16"/>
  <c r="G55" i="16"/>
  <c r="U54" i="16"/>
  <c r="V49" i="16"/>
  <c r="H52" i="16"/>
  <c r="I73" i="16"/>
  <c r="H73" i="16"/>
  <c r="Z51" i="16"/>
  <c r="Z69" i="16"/>
  <c r="J54" i="16"/>
  <c r="K50" i="16"/>
  <c r="O51" i="16"/>
  <c r="AC51" i="16"/>
  <c r="L73" i="16"/>
  <c r="G71" i="16"/>
  <c r="S61" i="16"/>
  <c r="U55" i="16"/>
  <c r="AB71" i="16"/>
  <c r="R62" i="16"/>
  <c r="Y47" i="16"/>
  <c r="M69" i="16"/>
  <c r="L55" i="16"/>
  <c r="S74" i="16"/>
  <c r="J61" i="16"/>
  <c r="Q52" i="16"/>
  <c r="AF61" i="16"/>
  <c r="G46" i="16"/>
  <c r="J49" i="16"/>
  <c r="T55" i="16"/>
  <c r="N53" i="16"/>
  <c r="S55" i="16"/>
  <c r="AC47" i="16"/>
  <c r="Z47" i="16"/>
  <c r="M51" i="16"/>
  <c r="AE61" i="16"/>
  <c r="AC53" i="16"/>
  <c r="AC52" i="16"/>
  <c r="N49" i="16"/>
  <c r="I61" i="16"/>
  <c r="H74" i="16"/>
  <c r="AB69" i="16"/>
  <c r="J53" i="16"/>
  <c r="Q71" i="16"/>
  <c r="AF46" i="16"/>
  <c r="AA62" i="16"/>
  <c r="T50" i="16"/>
  <c r="V55" i="16"/>
  <c r="O75" i="16"/>
  <c r="P61" i="16"/>
  <c r="AE52" i="16"/>
  <c r="S51" i="16"/>
  <c r="I75" i="16"/>
  <c r="N72" i="16"/>
  <c r="J68" i="16"/>
  <c r="W55" i="16"/>
  <c r="K73" i="16"/>
  <c r="AA53" i="16"/>
  <c r="Y53" i="16"/>
  <c r="I47" i="16"/>
  <c r="I56" i="16"/>
  <c r="AE74" i="16"/>
  <c r="K71" i="16"/>
  <c r="Z56" i="16"/>
  <c r="Q47" i="16"/>
  <c r="Y69" i="16"/>
  <c r="AE50" i="16"/>
  <c r="H54" i="16"/>
  <c r="M73" i="16"/>
  <c r="U52" i="16"/>
  <c r="G56" i="16"/>
  <c r="Y50" i="16"/>
  <c r="T56" i="16"/>
  <c r="AE62" i="16"/>
  <c r="J50" i="16"/>
  <c r="Y75" i="16"/>
  <c r="X54" i="16"/>
  <c r="K75" i="16"/>
  <c r="L75" i="16"/>
  <c r="AB61" i="16"/>
  <c r="AE47" i="16"/>
  <c r="Q72" i="16"/>
  <c r="W50" i="16"/>
  <c r="V52" i="16"/>
  <c r="R50" i="16"/>
  <c r="X50" i="16"/>
  <c r="W54" i="16"/>
  <c r="I46" i="16"/>
  <c r="N54" i="16"/>
  <c r="W74" i="16"/>
  <c r="R46" i="16"/>
  <c r="AC45" i="16"/>
  <c r="Q70" i="16"/>
  <c r="AF70" i="16"/>
  <c r="M48" i="16"/>
  <c r="N48" i="16"/>
  <c r="AC48" i="16"/>
  <c r="R45" i="16"/>
  <c r="K48" i="16"/>
  <c r="R70" i="16"/>
  <c r="J48" i="16"/>
  <c r="Y70" i="16"/>
  <c r="Z45" i="16"/>
  <c r="P45" i="16"/>
  <c r="U45" i="16"/>
  <c r="AD70" i="16"/>
  <c r="N70" i="16"/>
  <c r="X70" i="16"/>
  <c r="P47" i="16"/>
  <c r="H49" i="16"/>
  <c r="X47" i="16"/>
  <c r="V62" i="16"/>
  <c r="H71" i="16"/>
  <c r="T49" i="16"/>
  <c r="U69" i="16"/>
  <c r="Q49" i="16"/>
  <c r="Q69" i="16"/>
  <c r="T61" i="16"/>
  <c r="AB75" i="16"/>
  <c r="AB72" i="16"/>
  <c r="AE51" i="16"/>
  <c r="W52" i="16"/>
  <c r="S72" i="16"/>
  <c r="K49" i="16"/>
  <c r="R55" i="16"/>
  <c r="AB54" i="16"/>
  <c r="AE71" i="16"/>
  <c r="H69" i="16"/>
  <c r="Z54" i="16"/>
  <c r="Z68" i="16"/>
  <c r="AF62" i="16"/>
  <c r="S53" i="16"/>
  <c r="AA49" i="16"/>
  <c r="W68" i="16"/>
  <c r="N73" i="16"/>
  <c r="X73" i="16"/>
  <c r="AE73" i="16"/>
  <c r="R54" i="16"/>
  <c r="Z53" i="16"/>
  <c r="AC68" i="16"/>
  <c r="AA46" i="16"/>
  <c r="N46" i="16"/>
  <c r="R61" i="16"/>
  <c r="AD61" i="16"/>
  <c r="H51" i="16"/>
  <c r="AD54" i="16"/>
  <c r="V74" i="16"/>
  <c r="G68" i="16"/>
  <c r="Q54" i="16"/>
  <c r="V75" i="16"/>
  <c r="Z62" i="16"/>
  <c r="V56" i="16"/>
  <c r="AD47" i="16"/>
  <c r="N74" i="16"/>
  <c r="X69" i="16"/>
  <c r="AA56" i="16"/>
  <c r="M56" i="16"/>
  <c r="AD62" i="16"/>
  <c r="I51" i="16"/>
  <c r="X62" i="16"/>
  <c r="T73" i="16"/>
  <c r="AF51" i="16"/>
  <c r="AD55" i="16"/>
  <c r="Y49" i="16"/>
  <c r="N51" i="16"/>
  <c r="P73" i="16"/>
  <c r="AD72" i="16"/>
  <c r="M74" i="16"/>
  <c r="AC54" i="16"/>
  <c r="V51" i="16"/>
  <c r="M50" i="16"/>
  <c r="K54" i="16"/>
  <c r="J46" i="16"/>
  <c r="U72" i="16"/>
  <c r="Q73" i="16"/>
  <c r="AD56" i="16"/>
  <c r="AF72" i="16"/>
  <c r="Z55" i="16"/>
  <c r="I62" i="16"/>
  <c r="AB74" i="16"/>
  <c r="Y72" i="16"/>
  <c r="W72" i="16"/>
  <c r="R51" i="16"/>
  <c r="U74" i="16"/>
  <c r="T54" i="16"/>
  <c r="T46" i="16"/>
  <c r="L49" i="16"/>
  <c r="H50" i="16"/>
  <c r="Q62" i="16"/>
  <c r="L53" i="16"/>
  <c r="AD52" i="16"/>
  <c r="S75" i="16"/>
  <c r="V72" i="16"/>
  <c r="J47" i="16"/>
  <c r="M72" i="16"/>
  <c r="L74" i="16"/>
  <c r="P50" i="16"/>
  <c r="AC55" i="16"/>
  <c r="AC73" i="16"/>
  <c r="P53" i="16"/>
  <c r="O61" i="16"/>
  <c r="M53" i="16"/>
  <c r="P62" i="16"/>
  <c r="AB47" i="16"/>
  <c r="M68" i="16"/>
  <c r="AF56" i="16"/>
  <c r="X72" i="16"/>
  <c r="T74" i="16"/>
  <c r="AE56" i="16"/>
  <c r="S49" i="16"/>
  <c r="P69" i="16"/>
  <c r="O53" i="16"/>
  <c r="X68" i="16"/>
  <c r="Y74" i="16"/>
  <c r="S50" i="16"/>
  <c r="R53" i="16"/>
  <c r="T71" i="16"/>
  <c r="M46" i="16"/>
  <c r="O62" i="16"/>
  <c r="N75" i="16"/>
  <c r="V47" i="16"/>
  <c r="R47" i="16"/>
  <c r="W46" i="16"/>
  <c r="H62" i="16"/>
  <c r="AC50" i="16"/>
  <c r="AD53" i="16"/>
  <c r="V50" i="16"/>
  <c r="N50" i="16"/>
  <c r="Z71" i="16"/>
  <c r="AF75" i="16"/>
  <c r="AF53" i="16"/>
  <c r="R71" i="16"/>
  <c r="X48" i="16"/>
  <c r="U48" i="16"/>
  <c r="L45" i="16"/>
  <c r="AD45" i="16"/>
  <c r="AE45" i="16"/>
  <c r="AA48" i="16"/>
  <c r="AF48" i="16"/>
  <c r="T45" i="16"/>
  <c r="J45" i="16"/>
  <c r="I45" i="16"/>
  <c r="L71" i="16"/>
  <c r="Z74" i="16"/>
  <c r="G53" i="16"/>
  <c r="K56" i="16"/>
  <c r="Q53" i="16"/>
  <c r="S68" i="16"/>
  <c r="G51" i="16"/>
  <c r="AF47" i="16"/>
  <c r="AE53" i="16"/>
  <c r="H68" i="16"/>
  <c r="Q68" i="16"/>
  <c r="G50" i="16"/>
  <c r="AC75" i="16"/>
  <c r="I49" i="16"/>
  <c r="G52" i="16"/>
  <c r="G47" i="16"/>
  <c r="O56" i="16"/>
  <c r="M55" i="16"/>
  <c r="I69" i="16"/>
  <c r="AF55" i="16"/>
  <c r="W70" i="16"/>
  <c r="G70" i="16"/>
  <c r="L48" i="16"/>
  <c r="AF45" i="16"/>
  <c r="AD48" i="16"/>
  <c r="AA58" i="16"/>
  <c r="K64" i="16"/>
  <c r="I57" i="16"/>
  <c r="G67" i="16"/>
  <c r="L59" i="16"/>
  <c r="Y66" i="16"/>
  <c r="U59" i="16"/>
  <c r="AE66" i="16"/>
  <c r="K65" i="16"/>
  <c r="J60" i="16"/>
  <c r="H59" i="16"/>
  <c r="Q66" i="16"/>
  <c r="Q63" i="16"/>
  <c r="V58" i="16"/>
  <c r="G311" i="12"/>
  <c r="O60" i="12" l="1"/>
  <c r="I64" i="12"/>
  <c r="T64" i="12"/>
  <c r="P57" i="12"/>
  <c r="Q63" i="12"/>
  <c r="U59" i="12"/>
  <c r="R57" i="12"/>
  <c r="O50" i="12"/>
  <c r="M50" i="12"/>
  <c r="T46" i="12"/>
  <c r="X58" i="12"/>
  <c r="O58" i="12"/>
  <c r="L64" i="12"/>
  <c r="H58" i="12"/>
  <c r="H65" i="12"/>
  <c r="N58" i="12"/>
  <c r="K64" i="12"/>
  <c r="W60" i="12"/>
  <c r="AA73" i="12"/>
  <c r="W56" i="12"/>
  <c r="S54" i="12"/>
  <c r="U73" i="12"/>
  <c r="T55" i="12"/>
  <c r="I67" i="12"/>
  <c r="O67" i="12"/>
  <c r="M67" i="12"/>
  <c r="F56" i="12"/>
  <c r="X62" i="12"/>
  <c r="S64" i="12"/>
  <c r="Z64" i="12"/>
  <c r="P65" i="12"/>
  <c r="Y66" i="12"/>
  <c r="AA65" i="12"/>
  <c r="P59" i="12"/>
  <c r="V60" i="12"/>
  <c r="Z66" i="12"/>
  <c r="Y67" i="12"/>
  <c r="N73" i="12"/>
  <c r="V74" i="12"/>
  <c r="AC62" i="12"/>
  <c r="O55" i="12"/>
  <c r="F50" i="12"/>
  <c r="U75" i="12"/>
  <c r="I58" i="12"/>
  <c r="H66" i="12"/>
  <c r="Q57" i="12"/>
  <c r="I65" i="12"/>
  <c r="AC58" i="12"/>
  <c r="M66" i="12"/>
  <c r="J57" i="12"/>
  <c r="Z63" i="12"/>
  <c r="R59" i="12"/>
  <c r="AA63" i="12"/>
  <c r="N64" i="12"/>
  <c r="T48" i="12"/>
  <c r="F73" i="12"/>
  <c r="AC50" i="12"/>
  <c r="X51" i="12"/>
  <c r="I46" i="12"/>
  <c r="X70" i="12"/>
  <c r="AA55" i="12"/>
  <c r="AA56" i="12"/>
  <c r="Y75" i="12"/>
  <c r="L47" i="12"/>
  <c r="G54" i="12"/>
  <c r="M75" i="12"/>
  <c r="AD47" i="12"/>
  <c r="Z62" i="12"/>
  <c r="AE70" i="12"/>
  <c r="Z48" i="12"/>
  <c r="G45" i="12"/>
  <c r="AD52" i="12"/>
  <c r="W69" i="12"/>
  <c r="Y47" i="12"/>
  <c r="V49" i="12"/>
  <c r="X55" i="12"/>
  <c r="N70" i="12"/>
  <c r="L54" i="12"/>
  <c r="V46" i="12"/>
  <c r="S50" i="12"/>
  <c r="AD68" i="12"/>
  <c r="T70" i="12"/>
  <c r="U50" i="12"/>
  <c r="X48" i="12"/>
  <c r="I48" i="12"/>
  <c r="G55" i="12"/>
  <c r="M71" i="12"/>
  <c r="Q70" i="12"/>
  <c r="S53" i="12"/>
  <c r="P53" i="12"/>
  <c r="Q48" i="12"/>
  <c r="L52" i="12"/>
  <c r="AB48" i="12"/>
  <c r="H54" i="12"/>
  <c r="J54" i="12"/>
  <c r="F52" i="12"/>
  <c r="R51" i="12"/>
  <c r="Y48" i="12"/>
  <c r="M60" i="12"/>
  <c r="X63" i="12"/>
  <c r="N66" i="12"/>
  <c r="Q67" i="12"/>
  <c r="I60" i="12"/>
  <c r="N59" i="12"/>
  <c r="R65" i="12"/>
  <c r="AB57" i="12"/>
  <c r="G67" i="12"/>
  <c r="W64" i="12"/>
  <c r="T67" i="12"/>
  <c r="L60" i="12"/>
  <c r="AE67" i="12"/>
  <c r="AB66" i="12"/>
  <c r="F60" i="12"/>
  <c r="AE60" i="12"/>
  <c r="P58" i="12"/>
  <c r="AB65" i="12"/>
  <c r="AA67" i="12"/>
  <c r="AA64" i="12"/>
  <c r="V66" i="12"/>
  <c r="H67" i="12"/>
  <c r="P63" i="12"/>
  <c r="Z67" i="12"/>
  <c r="S63" i="12"/>
  <c r="S57" i="12"/>
  <c r="M57" i="12"/>
  <c r="K67" i="12"/>
  <c r="AD67" i="12"/>
  <c r="V67" i="12"/>
  <c r="U63" i="12"/>
  <c r="J63" i="12"/>
  <c r="F67" i="12"/>
  <c r="H64" i="12"/>
  <c r="AB58" i="12"/>
  <c r="X66" i="12"/>
  <c r="AD62" i="12"/>
  <c r="W70" i="12"/>
  <c r="Q62" i="12"/>
  <c r="Z70" i="12"/>
  <c r="P50" i="12"/>
  <c r="Y55" i="12"/>
  <c r="I71" i="12"/>
  <c r="J62" i="12"/>
  <c r="AE75" i="12"/>
  <c r="AA68" i="12"/>
  <c r="I49" i="12"/>
  <c r="N53" i="12"/>
  <c r="Q61" i="12"/>
  <c r="AC45" i="12"/>
  <c r="AA54" i="12"/>
  <c r="I70" i="12"/>
  <c r="J47" i="12"/>
  <c r="Q50" i="12"/>
  <c r="H55" i="12"/>
  <c r="G74" i="12"/>
  <c r="T71" i="12"/>
  <c r="P74" i="12"/>
  <c r="J52" i="12"/>
  <c r="V47" i="12"/>
  <c r="AA50" i="12"/>
  <c r="S56" i="12"/>
  <c r="AE68" i="12"/>
  <c r="X61" i="12"/>
  <c r="N45" i="12"/>
  <c r="Y71" i="12"/>
  <c r="AA49" i="12"/>
  <c r="F75" i="12"/>
  <c r="M53" i="12"/>
  <c r="AB54" i="12"/>
  <c r="X75" i="12"/>
  <c r="F45" i="12"/>
  <c r="U46" i="12"/>
  <c r="Z56" i="12"/>
  <c r="K52" i="12"/>
  <c r="O68" i="12"/>
  <c r="K74" i="12"/>
  <c r="J61" i="12"/>
  <c r="K69" i="12"/>
  <c r="AE72" i="12"/>
  <c r="AD74" i="12"/>
  <c r="R47" i="12"/>
  <c r="H72" i="12"/>
  <c r="F46" i="12"/>
  <c r="N49" i="12"/>
  <c r="X69" i="12"/>
  <c r="R52" i="12"/>
  <c r="Z49" i="12"/>
  <c r="AE71" i="12"/>
  <c r="K47" i="12"/>
  <c r="L71" i="12"/>
  <c r="Y73" i="12"/>
  <c r="P69" i="12"/>
  <c r="F61" i="12"/>
  <c r="J53" i="12"/>
  <c r="X73" i="12"/>
  <c r="P51" i="12"/>
  <c r="N75" i="12"/>
  <c r="Y69" i="12"/>
  <c r="Q72" i="12"/>
  <c r="AE53" i="12"/>
  <c r="H74" i="12"/>
  <c r="F71" i="12"/>
  <c r="F48" i="12"/>
  <c r="K51" i="12"/>
  <c r="N46" i="12"/>
  <c r="AC48" i="12"/>
  <c r="M45" i="12"/>
  <c r="H70" i="12"/>
  <c r="AE51" i="12"/>
  <c r="P47" i="12"/>
  <c r="M55" i="12"/>
  <c r="AB51" i="12"/>
  <c r="Q54" i="12"/>
  <c r="AD75" i="12"/>
  <c r="L50" i="12"/>
  <c r="AA70" i="12"/>
  <c r="P68" i="12"/>
  <c r="R69" i="12"/>
  <c r="I72" i="12"/>
  <c r="AE47" i="12"/>
  <c r="F47" i="12"/>
  <c r="K68" i="12"/>
  <c r="AA62" i="12"/>
  <c r="I73" i="12"/>
  <c r="G56" i="12"/>
  <c r="Z50" i="12"/>
  <c r="Z51" i="12"/>
  <c r="Q47" i="12"/>
  <c r="Z53" i="12"/>
  <c r="AE56" i="12"/>
  <c r="AC55" i="12"/>
  <c r="U52" i="12"/>
  <c r="M69" i="12"/>
  <c r="AB49" i="12"/>
  <c r="AB53" i="12"/>
  <c r="S47" i="12"/>
  <c r="Y62" i="12"/>
  <c r="R61" i="12"/>
  <c r="F55" i="12"/>
  <c r="Y72" i="12"/>
  <c r="AD56" i="12"/>
  <c r="M74" i="12"/>
  <c r="M46" i="12"/>
  <c r="U74" i="12"/>
  <c r="S62" i="12"/>
  <c r="W52" i="12"/>
  <c r="AD49" i="12"/>
  <c r="V54" i="12"/>
  <c r="O47" i="12"/>
  <c r="K62" i="12"/>
  <c r="O61" i="12"/>
  <c r="Q55" i="12"/>
  <c r="N62" i="12"/>
  <c r="AE74" i="12"/>
  <c r="G71" i="12"/>
  <c r="P61" i="12"/>
  <c r="I45" i="12"/>
  <c r="N51" i="12"/>
  <c r="AC74" i="12"/>
  <c r="M62" i="12"/>
  <c r="N55" i="12"/>
  <c r="AB70" i="12"/>
  <c r="O48" i="12"/>
  <c r="AE48" i="12"/>
  <c r="G68" i="12"/>
  <c r="M72" i="12"/>
  <c r="F53" i="12"/>
  <c r="R72" i="12"/>
  <c r="G50" i="12"/>
  <c r="S74" i="12"/>
  <c r="AC47" i="12"/>
  <c r="K45" i="12"/>
  <c r="AE61" i="12"/>
  <c r="L72" i="12"/>
  <c r="Z68" i="12"/>
  <c r="J73" i="12"/>
  <c r="I52" i="12"/>
  <c r="AC68" i="12"/>
  <c r="J64" i="12"/>
  <c r="AB60" i="12"/>
  <c r="M59" i="12"/>
  <c r="W65" i="12"/>
  <c r="AC60" i="12"/>
  <c r="G60" i="12"/>
  <c r="L59" i="12"/>
  <c r="AE59" i="12"/>
  <c r="S60" i="12"/>
  <c r="W67" i="12"/>
  <c r="O63" i="12"/>
  <c r="AA66" i="12"/>
  <c r="S58" i="12"/>
  <c r="AB59" i="12"/>
  <c r="X60" i="12"/>
  <c r="I66" i="12"/>
  <c r="Q65" i="12"/>
  <c r="F64" i="12"/>
  <c r="U65" i="12"/>
  <c r="P60" i="12"/>
  <c r="AA59" i="12"/>
  <c r="Y61" i="12"/>
  <c r="V72" i="12"/>
  <c r="I61" i="12"/>
  <c r="O72" i="12"/>
  <c r="AD46" i="12"/>
  <c r="L74" i="12"/>
  <c r="V71" i="12"/>
  <c r="L46" i="12"/>
  <c r="J50" i="12"/>
  <c r="Y50" i="12"/>
  <c r="T45" i="12"/>
  <c r="S68" i="12"/>
  <c r="R71" i="12"/>
  <c r="AB46" i="12"/>
  <c r="L75" i="12"/>
  <c r="U47" i="12"/>
  <c r="V62" i="12"/>
  <c r="AC75" i="12"/>
  <c r="V75" i="12"/>
  <c r="N52" i="12"/>
  <c r="Y49" i="12"/>
  <c r="M61" i="12"/>
  <c r="Y54" i="12"/>
  <c r="V53" i="12"/>
  <c r="J49" i="12"/>
  <c r="J72" i="12"/>
  <c r="O45" i="12"/>
  <c r="I55" i="12"/>
  <c r="J74" i="12"/>
  <c r="O51" i="12"/>
  <c r="V50" i="12"/>
  <c r="S49" i="12"/>
  <c r="AE45" i="12"/>
  <c r="Z54" i="12"/>
  <c r="P52" i="12"/>
  <c r="S52" i="12"/>
  <c r="M56" i="12"/>
  <c r="P70" i="12"/>
  <c r="O71" i="12"/>
  <c r="K71" i="12"/>
  <c r="H48" i="12"/>
  <c r="Y57" i="12"/>
  <c r="F66" i="12"/>
  <c r="I57" i="12"/>
  <c r="G57" i="12"/>
  <c r="R60" i="12"/>
  <c r="AD57" i="12"/>
  <c r="R64" i="12"/>
  <c r="N57" i="12"/>
  <c r="L66" i="12"/>
  <c r="J60" i="12"/>
  <c r="L67" i="12"/>
  <c r="R63" i="12"/>
  <c r="U58" i="12"/>
  <c r="V63" i="12"/>
  <c r="Z59" i="12"/>
  <c r="Z65" i="12"/>
  <c r="K58" i="12"/>
  <c r="K63" i="12"/>
  <c r="X65" i="12"/>
  <c r="AC65" i="12"/>
  <c r="Z58" i="12"/>
  <c r="S67" i="12"/>
  <c r="U67" i="12"/>
  <c r="O64" i="12"/>
  <c r="AD66" i="12"/>
  <c r="AB64" i="12"/>
  <c r="J58" i="12"/>
  <c r="K59" i="12"/>
  <c r="V57" i="12"/>
  <c r="AC67" i="12"/>
  <c r="Q64" i="12"/>
  <c r="AC63" i="12"/>
  <c r="N65" i="12"/>
  <c r="AE63" i="12"/>
  <c r="Z60" i="12"/>
  <c r="T66" i="12"/>
  <c r="X59" i="12"/>
  <c r="AE57" i="12"/>
  <c r="V58" i="12"/>
  <c r="F65" i="12"/>
  <c r="X64" i="12"/>
  <c r="S65" i="12"/>
  <c r="H59" i="12"/>
  <c r="AA60" i="12"/>
  <c r="S66" i="12"/>
  <c r="AA48" i="12"/>
  <c r="O54" i="12"/>
  <c r="S45" i="12"/>
  <c r="AB74" i="12"/>
  <c r="V68" i="12"/>
  <c r="X72" i="12"/>
  <c r="W53" i="12"/>
  <c r="H53" i="12"/>
  <c r="W50" i="12"/>
  <c r="P56" i="12"/>
  <c r="AA52" i="12"/>
  <c r="N69" i="12"/>
  <c r="P75" i="12"/>
  <c r="T50" i="12"/>
  <c r="U45" i="12"/>
  <c r="R45" i="12"/>
  <c r="Q69" i="12"/>
  <c r="Z52" i="12"/>
  <c r="K73" i="12"/>
  <c r="V52" i="12"/>
  <c r="T53" i="12"/>
  <c r="AC52" i="12"/>
  <c r="W46" i="12"/>
  <c r="K72" i="12"/>
  <c r="AD51" i="12"/>
  <c r="N56" i="12"/>
  <c r="AC54" i="12"/>
  <c r="AB50" i="12"/>
  <c r="L62" i="12"/>
  <c r="AB75" i="12"/>
  <c r="AA75" i="12"/>
  <c r="L51" i="12"/>
  <c r="Z72" i="12"/>
  <c r="Z74" i="12"/>
  <c r="S48" i="12"/>
  <c r="F72" i="12"/>
  <c r="P55" i="12"/>
  <c r="P45" i="12"/>
  <c r="AE55" i="12"/>
  <c r="J71" i="12"/>
  <c r="U62" i="12"/>
  <c r="G46" i="12"/>
  <c r="R53" i="12"/>
  <c r="T49" i="12"/>
  <c r="V69" i="12"/>
  <c r="W62" i="12"/>
  <c r="T61" i="12"/>
  <c r="G61" i="12"/>
  <c r="AB62" i="12"/>
  <c r="AD69" i="12"/>
  <c r="P72" i="12"/>
  <c r="AA47" i="12"/>
  <c r="U53" i="12"/>
  <c r="X53" i="12"/>
  <c r="V51" i="12"/>
  <c r="K53" i="12"/>
  <c r="K49" i="12"/>
  <c r="G75" i="12"/>
  <c r="O49" i="12"/>
  <c r="M68" i="12"/>
  <c r="T73" i="12"/>
  <c r="T56" i="12"/>
  <c r="AA74" i="12"/>
  <c r="S51" i="12"/>
  <c r="AB45" i="12"/>
  <c r="AA71" i="12"/>
  <c r="O74" i="12"/>
  <c r="U71" i="12"/>
  <c r="Q53" i="12"/>
  <c r="AD73" i="12"/>
  <c r="W73" i="12"/>
  <c r="N47" i="12"/>
  <c r="V56" i="12"/>
  <c r="M47" i="12"/>
  <c r="H56" i="12"/>
  <c r="H50" i="12"/>
  <c r="S55" i="12"/>
  <c r="K50" i="12"/>
  <c r="Q56" i="12"/>
  <c r="Y56" i="12"/>
  <c r="Q46" i="12"/>
  <c r="AB52" i="12"/>
  <c r="J69" i="12"/>
  <c r="O52" i="12"/>
  <c r="V45" i="12"/>
  <c r="W55" i="12"/>
  <c r="S71" i="12"/>
  <c r="AB47" i="12"/>
  <c r="S72" i="12"/>
  <c r="H61" i="12"/>
  <c r="J75" i="12"/>
  <c r="H46" i="12"/>
  <c r="H47" i="12"/>
  <c r="Z71" i="12"/>
  <c r="T47" i="12"/>
  <c r="M49" i="12"/>
  <c r="R62" i="12"/>
  <c r="T51" i="12"/>
  <c r="U55" i="12"/>
  <c r="K61" i="12"/>
  <c r="R46" i="12"/>
  <c r="AD72" i="12"/>
  <c r="AC49" i="12"/>
  <c r="Z46" i="12"/>
  <c r="AD54" i="12"/>
  <c r="G52" i="12"/>
  <c r="AC70" i="12"/>
  <c r="AA69" i="12"/>
  <c r="X50" i="12"/>
  <c r="N61" i="12"/>
  <c r="U56" i="12"/>
  <c r="AA51" i="12"/>
  <c r="AB55" i="12"/>
  <c r="W71" i="12"/>
  <c r="X74" i="12"/>
  <c r="P49" i="12"/>
  <c r="M73" i="12"/>
  <c r="L73" i="12"/>
  <c r="G72" i="12"/>
  <c r="U49" i="12"/>
  <c r="AC46" i="12"/>
  <c r="AC56" i="12"/>
  <c r="X46" i="12"/>
  <c r="Q68" i="12"/>
  <c r="U51" i="12"/>
  <c r="AD61" i="12"/>
  <c r="H52" i="12"/>
  <c r="N54" i="12"/>
  <c r="G47" i="12"/>
  <c r="AD45" i="12"/>
  <c r="H75" i="12"/>
  <c r="F62" i="12"/>
  <c r="AC73" i="12"/>
  <c r="Y51" i="12"/>
  <c r="G70" i="12"/>
  <c r="H49" i="12"/>
  <c r="L53" i="12"/>
  <c r="O70" i="12"/>
  <c r="J56" i="12"/>
  <c r="AC53" i="12"/>
  <c r="L55" i="12"/>
  <c r="N72" i="12"/>
  <c r="J55" i="12"/>
  <c r="AD64" i="12"/>
  <c r="M58" i="12"/>
  <c r="AD58" i="12"/>
  <c r="Y63" i="12"/>
  <c r="H63" i="12"/>
  <c r="Z57" i="12"/>
  <c r="T60" i="12"/>
  <c r="U57" i="12"/>
  <c r="R67" i="12"/>
  <c r="AD63" i="12"/>
  <c r="I63" i="12"/>
  <c r="M65" i="12"/>
  <c r="V59" i="12"/>
  <c r="X67" i="12"/>
  <c r="AC66" i="12"/>
  <c r="K57" i="12"/>
  <c r="K66" i="12"/>
  <c r="N67" i="12"/>
  <c r="AA57" i="12"/>
  <c r="AD60" i="12"/>
  <c r="AB63" i="12"/>
  <c r="J66" i="12"/>
  <c r="AA46" i="12"/>
  <c r="U48" i="12"/>
  <c r="F74" i="12"/>
  <c r="AA45" i="12"/>
  <c r="L56" i="12"/>
  <c r="K56" i="12"/>
  <c r="AD55" i="12"/>
  <c r="V48" i="12"/>
  <c r="AD71" i="12"/>
  <c r="AE46" i="12"/>
  <c r="O62" i="12"/>
  <c r="T75" i="12"/>
  <c r="Q51" i="12"/>
  <c r="F54" i="12"/>
  <c r="R68" i="12"/>
  <c r="R73" i="12"/>
  <c r="N68" i="12"/>
  <c r="Z55" i="12"/>
  <c r="Y52" i="12"/>
  <c r="R49" i="12"/>
  <c r="I56" i="12"/>
  <c r="AA53" i="12"/>
  <c r="T62" i="12"/>
  <c r="T54" i="12"/>
  <c r="L69" i="12"/>
  <c r="M51" i="12"/>
  <c r="M52" i="12"/>
  <c r="J68" i="12"/>
  <c r="AD50" i="12"/>
  <c r="Z73" i="12"/>
  <c r="I75" i="12"/>
  <c r="AE49" i="12"/>
  <c r="G73" i="12"/>
  <c r="O56" i="12"/>
  <c r="AB69" i="12"/>
  <c r="I51" i="12"/>
  <c r="H73" i="12"/>
  <c r="L45" i="12"/>
  <c r="O46" i="12"/>
  <c r="K55" i="12"/>
  <c r="W48" i="12"/>
  <c r="I47" i="12"/>
  <c r="L65" i="12"/>
  <c r="F59" i="12"/>
  <c r="L58" i="12"/>
  <c r="P64" i="12"/>
  <c r="F58" i="12"/>
  <c r="T59" i="12"/>
  <c r="O57" i="12"/>
  <c r="L63" i="12"/>
  <c r="K60" i="12"/>
  <c r="W58" i="12"/>
  <c r="AE65" i="12"/>
  <c r="I59" i="12"/>
  <c r="N60" i="12"/>
  <c r="S59" i="12"/>
  <c r="F57" i="12"/>
  <c r="AE64" i="12"/>
  <c r="W63" i="12"/>
  <c r="J59" i="12"/>
  <c r="G63" i="12"/>
  <c r="R58" i="12"/>
  <c r="G65" i="12"/>
  <c r="X57" i="12"/>
  <c r="V65" i="12"/>
  <c r="N63" i="12"/>
  <c r="Y64" i="12"/>
  <c r="Q58" i="12"/>
  <c r="H60" i="12"/>
  <c r="AE66" i="12"/>
  <c r="AA58" i="12"/>
  <c r="Y65" i="12"/>
  <c r="P66" i="12"/>
  <c r="O66" i="12"/>
  <c r="K65" i="12"/>
  <c r="J65" i="12"/>
  <c r="R66" i="12"/>
  <c r="Q60" i="12"/>
  <c r="U66" i="12"/>
  <c r="H57" i="12"/>
  <c r="W57" i="12"/>
  <c r="F63" i="12"/>
  <c r="O65" i="12"/>
  <c r="G64" i="12"/>
  <c r="Q66" i="12"/>
  <c r="V64" i="12"/>
  <c r="AE58" i="12"/>
  <c r="AD59" i="12"/>
  <c r="W66" i="12"/>
  <c r="T58" i="12"/>
  <c r="P67" i="12"/>
  <c r="T57" i="12"/>
  <c r="Y59" i="12"/>
  <c r="J67" i="12"/>
  <c r="J70" i="12"/>
  <c r="I69" i="12"/>
  <c r="AD48" i="12"/>
  <c r="AE62" i="12"/>
  <c r="AB73" i="12"/>
  <c r="I74" i="12"/>
  <c r="M70" i="12"/>
  <c r="X56" i="12"/>
  <c r="AD53" i="12"/>
  <c r="W74" i="12"/>
  <c r="U69" i="12"/>
  <c r="Q71" i="12"/>
  <c r="I54" i="12"/>
  <c r="Y46" i="12"/>
  <c r="K46" i="12"/>
  <c r="G48" i="12"/>
  <c r="Z47" i="12"/>
  <c r="AE52" i="12"/>
  <c r="X45" i="12"/>
  <c r="AC69" i="12"/>
  <c r="W51" i="12"/>
  <c r="X71" i="12"/>
  <c r="T74" i="12"/>
  <c r="R54" i="12"/>
  <c r="G51" i="12"/>
  <c r="R70" i="12"/>
  <c r="O75" i="12"/>
  <c r="I53" i="12"/>
  <c r="AB68" i="12"/>
  <c r="U61" i="12"/>
  <c r="AE50" i="12"/>
  <c r="U72" i="12"/>
  <c r="G49" i="12"/>
  <c r="R75" i="12"/>
  <c r="AC72" i="12"/>
  <c r="P71" i="12"/>
  <c r="X54" i="12"/>
  <c r="Q45" i="12"/>
  <c r="M54" i="12"/>
  <c r="Q49" i="12"/>
  <c r="W45" i="12"/>
  <c r="V70" i="12"/>
  <c r="Q52" i="12"/>
  <c r="S73" i="12"/>
  <c r="S61" i="12"/>
  <c r="AE73" i="12"/>
  <c r="R55" i="12"/>
  <c r="AC71" i="12"/>
  <c r="R48" i="12"/>
  <c r="W54" i="12"/>
  <c r="M48" i="12"/>
  <c r="W49" i="12"/>
  <c r="X68" i="12"/>
  <c r="S69" i="12"/>
  <c r="Q73" i="12"/>
  <c r="AB71" i="12"/>
  <c r="L48" i="12"/>
  <c r="R74" i="12"/>
  <c r="AB61" i="12"/>
  <c r="W75" i="12"/>
  <c r="O53" i="12"/>
  <c r="S70" i="12"/>
  <c r="O69" i="12"/>
  <c r="V61" i="12"/>
  <c r="S46" i="12"/>
  <c r="Z61" i="12"/>
  <c r="H68" i="12"/>
  <c r="T68" i="12"/>
  <c r="T52" i="12"/>
  <c r="H62" i="12"/>
  <c r="N71" i="12"/>
  <c r="V73" i="12"/>
  <c r="I50" i="12"/>
  <c r="I62" i="12"/>
  <c r="G62" i="12"/>
  <c r="AB72" i="12"/>
  <c r="J48" i="12"/>
  <c r="F68" i="12"/>
  <c r="Z69" i="12"/>
  <c r="F49" i="12"/>
  <c r="T69" i="12"/>
  <c r="AD70" i="12"/>
  <c r="T72" i="12"/>
  <c r="K75" i="12"/>
  <c r="Y53" i="12"/>
  <c r="AE69" i="12"/>
  <c r="G53" i="12"/>
  <c r="F69" i="12"/>
  <c r="AE54" i="12"/>
  <c r="P46" i="12"/>
  <c r="F51" i="12"/>
  <c r="R56" i="12"/>
  <c r="Q74" i="12"/>
  <c r="Z45" i="12"/>
  <c r="K54" i="12"/>
  <c r="X47" i="12"/>
  <c r="P54" i="12"/>
  <c r="V55" i="12"/>
  <c r="H69" i="12"/>
  <c r="L68" i="12"/>
  <c r="R50" i="12"/>
  <c r="Q75" i="12"/>
  <c r="O73" i="12"/>
  <c r="L49" i="12"/>
  <c r="H45" i="12"/>
  <c r="AC51" i="12"/>
  <c r="L70" i="12"/>
  <c r="U70" i="12"/>
  <c r="W68" i="12"/>
  <c r="W72" i="12"/>
  <c r="AA61" i="12"/>
  <c r="F70" i="12"/>
  <c r="N50" i="12"/>
  <c r="N74" i="12"/>
  <c r="AA72" i="12"/>
  <c r="H71" i="12"/>
  <c r="J46" i="12"/>
  <c r="Y70" i="12"/>
  <c r="U54" i="12"/>
  <c r="N48" i="12"/>
  <c r="Y68" i="12"/>
  <c r="X52" i="12"/>
  <c r="G69" i="12"/>
  <c r="K48" i="12"/>
  <c r="W47" i="12"/>
  <c r="L61" i="12"/>
  <c r="P48" i="12"/>
  <c r="S75" i="12"/>
  <c r="U68" i="12"/>
  <c r="I68" i="12"/>
  <c r="P62" i="12"/>
  <c r="P73" i="12"/>
  <c r="J45" i="12"/>
  <c r="X49" i="12"/>
  <c r="H51" i="12"/>
  <c r="Y74" i="12"/>
  <c r="AC61" i="12"/>
  <c r="W61" i="12"/>
  <c r="Y45" i="12"/>
  <c r="AB56" i="12"/>
  <c r="K70" i="12"/>
  <c r="Z75" i="12"/>
  <c r="J51" i="12"/>
  <c r="Q59" i="12"/>
  <c r="AC59" i="12"/>
  <c r="Y58" i="12"/>
  <c r="T63" i="12"/>
  <c r="Y60" i="12"/>
  <c r="AC57" i="12"/>
  <c r="W59" i="12"/>
  <c r="AC64" i="12"/>
  <c r="AB67" i="12"/>
  <c r="U60" i="12"/>
  <c r="G58" i="12"/>
  <c r="G66" i="12"/>
  <c r="T65" i="12"/>
  <c r="L57" i="12"/>
  <c r="M64" i="12"/>
  <c r="O59" i="12"/>
  <c r="M63" i="12"/>
  <c r="G59" i="12"/>
  <c r="U64" i="12"/>
  <c r="G99" i="16" a="1"/>
  <c r="Q100" i="16" s="1"/>
  <c r="G93" i="16" a="1"/>
  <c r="AD93" i="16" s="1"/>
  <c r="G87" i="16" a="1"/>
  <c r="G81" i="16" a="1"/>
  <c r="G106" i="16" a="1"/>
  <c r="F87" i="12" l="1" a="1"/>
  <c r="N88" i="12" s="1"/>
  <c r="F81" i="12" a="1"/>
  <c r="G83" i="12" s="1"/>
  <c r="F99" i="12" a="1"/>
  <c r="AB101" i="12" s="1"/>
  <c r="F106" i="12" a="1"/>
  <c r="O108" i="12" s="1"/>
  <c r="F93" i="12" a="1"/>
  <c r="I96" i="12" s="1"/>
  <c r="AE93" i="16"/>
  <c r="AB95" i="16"/>
  <c r="G93" i="16"/>
  <c r="P95" i="16"/>
  <c r="M96" i="16"/>
  <c r="AC101" i="16"/>
  <c r="AF95" i="16"/>
  <c r="AC102" i="16"/>
  <c r="Q99" i="16"/>
  <c r="W100" i="16"/>
  <c r="O95" i="16"/>
  <c r="U95" i="16"/>
  <c r="AE94" i="16"/>
  <c r="AE103" i="16"/>
  <c r="U102" i="16"/>
  <c r="S103" i="16"/>
  <c r="L94" i="16"/>
  <c r="N95" i="16"/>
  <c r="I94" i="16"/>
  <c r="Y94" i="16"/>
  <c r="O101" i="16"/>
  <c r="M102" i="16"/>
  <c r="O103" i="16"/>
  <c r="J101" i="16"/>
  <c r="S102" i="16"/>
  <c r="N101" i="16"/>
  <c r="AA100" i="16"/>
  <c r="AB102" i="16"/>
  <c r="L101" i="16"/>
  <c r="AF99" i="16"/>
  <c r="AF103" i="16"/>
  <c r="Q93" i="16"/>
  <c r="S95" i="16"/>
  <c r="X93" i="16"/>
  <c r="K94" i="16"/>
  <c r="P96" i="16"/>
  <c r="U93" i="16"/>
  <c r="T102" i="16"/>
  <c r="S100" i="16"/>
  <c r="P99" i="16"/>
  <c r="R103" i="16"/>
  <c r="P102" i="16"/>
  <c r="AA102" i="16"/>
  <c r="W101" i="16"/>
  <c r="H102" i="16"/>
  <c r="N103" i="16"/>
  <c r="Y103" i="16"/>
  <c r="Y96" i="16"/>
  <c r="U94" i="16"/>
  <c r="T94" i="16"/>
  <c r="AB93" i="16"/>
  <c r="P94" i="16"/>
  <c r="L93" i="16"/>
  <c r="X94" i="16"/>
  <c r="Y100" i="16"/>
  <c r="V99" i="16"/>
  <c r="W102" i="16"/>
  <c r="AE99" i="16"/>
  <c r="V101" i="16"/>
  <c r="AB101" i="16"/>
  <c r="V100" i="16"/>
  <c r="AB99" i="16"/>
  <c r="P103" i="16"/>
  <c r="X101" i="16"/>
  <c r="AF101" i="16"/>
  <c r="Z100" i="16"/>
  <c r="U99" i="16"/>
  <c r="AA99" i="16"/>
  <c r="W103" i="16"/>
  <c r="AB100" i="16"/>
  <c r="X103" i="16"/>
  <c r="G101" i="16"/>
  <c r="H103" i="16"/>
  <c r="M101" i="16"/>
  <c r="Z102" i="16"/>
  <c r="AD103" i="16"/>
  <c r="X99" i="16"/>
  <c r="AF100" i="16"/>
  <c r="AB103" i="16"/>
  <c r="Q101" i="16"/>
  <c r="L103" i="16"/>
  <c r="AA101" i="16"/>
  <c r="V102" i="16"/>
  <c r="L102" i="16"/>
  <c r="T99" i="16"/>
  <c r="G99" i="16"/>
  <c r="T103" i="16"/>
  <c r="R99" i="16"/>
  <c r="N102" i="16"/>
  <c r="AC99" i="16"/>
  <c r="U96" i="16"/>
  <c r="AF94" i="16"/>
  <c r="V94" i="16"/>
  <c r="R96" i="16"/>
  <c r="Z96" i="16"/>
  <c r="K93" i="16"/>
  <c r="AD95" i="16"/>
  <c r="H93" i="16"/>
  <c r="Z94" i="16"/>
  <c r="AD96" i="16"/>
  <c r="L96" i="16"/>
  <c r="N93" i="16"/>
  <c r="J94" i="16"/>
  <c r="Y101" i="16"/>
  <c r="Y99" i="16"/>
  <c r="AE100" i="16"/>
  <c r="K99" i="16"/>
  <c r="R101" i="16"/>
  <c r="X102" i="16"/>
  <c r="U100" i="16"/>
  <c r="G103" i="16"/>
  <c r="H101" i="16"/>
  <c r="I103" i="16"/>
  <c r="J102" i="16"/>
  <c r="O99" i="16"/>
  <c r="T101" i="16"/>
  <c r="Z99" i="16"/>
  <c r="AD100" i="16"/>
  <c r="K100" i="16"/>
  <c r="R100" i="16"/>
  <c r="M100" i="16"/>
  <c r="H99" i="16"/>
  <c r="O102" i="16"/>
  <c r="AD99" i="16"/>
  <c r="Y102" i="16"/>
  <c r="I100" i="16"/>
  <c r="J103" i="16"/>
  <c r="O100" i="16"/>
  <c r="U103" i="16"/>
  <c r="T100" i="16"/>
  <c r="I102" i="16"/>
  <c r="U101" i="16"/>
  <c r="AE102" i="16"/>
  <c r="Z101" i="16"/>
  <c r="Z103" i="16"/>
  <c r="AE101" i="16"/>
  <c r="X95" i="16"/>
  <c r="R94" i="16"/>
  <c r="G96" i="16"/>
  <c r="Q94" i="16"/>
  <c r="AA96" i="16"/>
  <c r="H95" i="16"/>
  <c r="AA93" i="16"/>
  <c r="Z93" i="16"/>
  <c r="AC95" i="16"/>
  <c r="I95" i="16"/>
  <c r="G95" i="16"/>
  <c r="H94" i="16"/>
  <c r="W94" i="16"/>
  <c r="Q102" i="16"/>
  <c r="AD101" i="16"/>
  <c r="W99" i="16"/>
  <c r="AF102" i="16"/>
  <c r="R102" i="16"/>
  <c r="AD102" i="16"/>
  <c r="N100" i="16"/>
  <c r="P101" i="16"/>
  <c r="J100" i="16"/>
  <c r="AC103" i="16"/>
  <c r="L99" i="16"/>
  <c r="X100" i="16"/>
  <c r="I99" i="16"/>
  <c r="I101" i="16"/>
  <c r="N99" i="16"/>
  <c r="S101" i="16"/>
  <c r="S99" i="16"/>
  <c r="J99" i="16"/>
  <c r="K102" i="16"/>
  <c r="M103" i="16"/>
  <c r="K103" i="16"/>
  <c r="M99" i="16"/>
  <c r="Q103" i="16"/>
  <c r="H100" i="16"/>
  <c r="V103" i="16"/>
  <c r="AC100" i="16"/>
  <c r="AA103" i="16"/>
  <c r="P100" i="16"/>
  <c r="G100" i="16"/>
  <c r="K101" i="16"/>
  <c r="L100" i="16"/>
  <c r="G102" i="16"/>
  <c r="T93" i="16"/>
  <c r="G94" i="16"/>
  <c r="V95" i="16"/>
  <c r="V96" i="16"/>
  <c r="AF96" i="16"/>
  <c r="I96" i="16"/>
  <c r="AB94" i="16"/>
  <c r="N96" i="16"/>
  <c r="J96" i="16"/>
  <c r="AE95" i="16"/>
  <c r="M93" i="16"/>
  <c r="J93" i="16"/>
  <c r="Q95" i="16"/>
  <c r="AF93" i="16"/>
  <c r="Q96" i="16"/>
  <c r="O96" i="16"/>
  <c r="Z95" i="16"/>
  <c r="W93" i="16"/>
  <c r="I93" i="16"/>
  <c r="O93" i="16"/>
  <c r="AA94" i="16"/>
  <c r="P93" i="16"/>
  <c r="S93" i="16"/>
  <c r="Y95" i="16"/>
  <c r="H96" i="16"/>
  <c r="AC94" i="16"/>
  <c r="R93" i="16"/>
  <c r="K96" i="16"/>
  <c r="AD94" i="16"/>
  <c r="AC93" i="16"/>
  <c r="AA95" i="16"/>
  <c r="T95" i="16"/>
  <c r="S94" i="16"/>
  <c r="X96" i="16"/>
  <c r="W96" i="16"/>
  <c r="L95" i="16"/>
  <c r="K95" i="16"/>
  <c r="N94" i="16"/>
  <c r="J95" i="16"/>
  <c r="W95" i="16"/>
  <c r="O94" i="16"/>
  <c r="T96" i="16"/>
  <c r="S96" i="16"/>
  <c r="V93" i="16"/>
  <c r="M94" i="16"/>
  <c r="AE96" i="16"/>
  <c r="R95" i="16"/>
  <c r="AC96" i="16"/>
  <c r="Y93" i="16"/>
  <c r="AB96" i="16"/>
  <c r="M95" i="16"/>
  <c r="K107" i="16"/>
  <c r="T109" i="16"/>
  <c r="Z110" i="16"/>
  <c r="AE108" i="16"/>
  <c r="AC106" i="16"/>
  <c r="Q107" i="16"/>
  <c r="N111" i="16"/>
  <c r="AC111" i="16"/>
  <c r="W106" i="16"/>
  <c r="P107" i="16"/>
  <c r="Q108" i="16"/>
  <c r="AF111" i="16"/>
  <c r="AD110" i="16"/>
  <c r="AA110" i="16"/>
  <c r="U111" i="16"/>
  <c r="M109" i="16"/>
  <c r="G111" i="16"/>
  <c r="Z107" i="16"/>
  <c r="S108" i="16"/>
  <c r="V108" i="16"/>
  <c r="W109" i="16"/>
  <c r="AD108" i="16"/>
  <c r="T111" i="16"/>
  <c r="X106" i="16"/>
  <c r="N109" i="16"/>
  <c r="I111" i="16"/>
  <c r="O107" i="16"/>
  <c r="V109" i="16"/>
  <c r="AE110" i="16"/>
  <c r="AB109" i="16"/>
  <c r="AC110" i="16"/>
  <c r="P111" i="16"/>
  <c r="S109" i="16"/>
  <c r="T108" i="16"/>
  <c r="G107" i="16"/>
  <c r="AF106" i="16"/>
  <c r="U107" i="16"/>
  <c r="R111" i="16"/>
  <c r="X108" i="16"/>
  <c r="P109" i="16"/>
  <c r="R110" i="16"/>
  <c r="U110" i="16"/>
  <c r="Y110" i="16"/>
  <c r="AD107" i="16"/>
  <c r="Z111" i="16"/>
  <c r="P106" i="16"/>
  <c r="AE106" i="16"/>
  <c r="AB110" i="16"/>
  <c r="R107" i="16"/>
  <c r="V110" i="16"/>
  <c r="X111" i="16"/>
  <c r="R108" i="16"/>
  <c r="AD106" i="16"/>
  <c r="AD287" i="16" s="1"/>
  <c r="Z109" i="16"/>
  <c r="I110" i="16"/>
  <c r="L108" i="16"/>
  <c r="AA108" i="16"/>
  <c r="Y106" i="16"/>
  <c r="J111" i="16"/>
  <c r="AB111" i="16"/>
  <c r="AB107" i="16"/>
  <c r="S107" i="16"/>
  <c r="Y107" i="16"/>
  <c r="V111" i="16"/>
  <c r="K106" i="16"/>
  <c r="H110" i="16"/>
  <c r="W110" i="16"/>
  <c r="AE107" i="16"/>
  <c r="N106" i="16"/>
  <c r="T107" i="16"/>
  <c r="N110" i="16"/>
  <c r="X107" i="16"/>
  <c r="U109" i="16"/>
  <c r="Q110" i="16"/>
  <c r="G108" i="16"/>
  <c r="AD111" i="16"/>
  <c r="T106" i="16"/>
  <c r="M107" i="16"/>
  <c r="AA107" i="16"/>
  <c r="Z108" i="16"/>
  <c r="L107" i="16"/>
  <c r="N108" i="16"/>
  <c r="Q111" i="16"/>
  <c r="AB106" i="16"/>
  <c r="AC109" i="16"/>
  <c r="AA109" i="16"/>
  <c r="P108" i="16"/>
  <c r="I109" i="16"/>
  <c r="G109" i="16"/>
  <c r="AF109" i="16"/>
  <c r="X109" i="16"/>
  <c r="AE111" i="16"/>
  <c r="N107" i="16"/>
  <c r="T110" i="16"/>
  <c r="Y111" i="16"/>
  <c r="O106" i="16"/>
  <c r="L110" i="16"/>
  <c r="L106" i="16"/>
  <c r="M110" i="16"/>
  <c r="L111" i="16"/>
  <c r="J106" i="16"/>
  <c r="M108" i="16"/>
  <c r="J109" i="16"/>
  <c r="O111" i="16"/>
  <c r="V107" i="16"/>
  <c r="K108" i="16"/>
  <c r="I106" i="16"/>
  <c r="AD109" i="16"/>
  <c r="S111" i="16"/>
  <c r="H107" i="16"/>
  <c r="AA111" i="16"/>
  <c r="I107" i="16"/>
  <c r="AF110" i="16"/>
  <c r="W107" i="16"/>
  <c r="R109" i="16"/>
  <c r="G110" i="16"/>
  <c r="K109" i="16"/>
  <c r="S106" i="16"/>
  <c r="Q109" i="16"/>
  <c r="Y108" i="16"/>
  <c r="AA106" i="16"/>
  <c r="Z106" i="16"/>
  <c r="K110" i="16"/>
  <c r="J107" i="16"/>
  <c r="I108" i="16"/>
  <c r="S110" i="16"/>
  <c r="J110" i="16"/>
  <c r="AB108" i="16"/>
  <c r="R106" i="16"/>
  <c r="M106" i="16"/>
  <c r="G106" i="16"/>
  <c r="O109" i="16"/>
  <c r="U106" i="16"/>
  <c r="L109" i="16"/>
  <c r="H108" i="16"/>
  <c r="O110" i="16"/>
  <c r="V106" i="16"/>
  <c r="Q106" i="16"/>
  <c r="M111" i="16"/>
  <c r="W108" i="16"/>
  <c r="H106" i="16"/>
  <c r="H111" i="16"/>
  <c r="P110" i="16"/>
  <c r="W111" i="16"/>
  <c r="H109" i="16"/>
  <c r="X110" i="16"/>
  <c r="AF107" i="16"/>
  <c r="Y109" i="16"/>
  <c r="AC107" i="16"/>
  <c r="AE109" i="16"/>
  <c r="U108" i="16"/>
  <c r="AC108" i="16"/>
  <c r="O108" i="16"/>
  <c r="K111" i="16"/>
  <c r="J108" i="16"/>
  <c r="AF108" i="16"/>
  <c r="L89" i="16"/>
  <c r="S88" i="16"/>
  <c r="W88" i="16"/>
  <c r="N87" i="16"/>
  <c r="G88" i="16"/>
  <c r="S89" i="16"/>
  <c r="P87" i="16"/>
  <c r="W90" i="16"/>
  <c r="AD89" i="16"/>
  <c r="T87" i="16"/>
  <c r="M89" i="16"/>
  <c r="U88" i="16"/>
  <c r="Y88" i="16"/>
  <c r="AA88" i="16"/>
  <c r="H88" i="16"/>
  <c r="AB87" i="16"/>
  <c r="P90" i="16"/>
  <c r="AF90" i="16"/>
  <c r="Y90" i="16"/>
  <c r="G87" i="16"/>
  <c r="L90" i="16"/>
  <c r="T89" i="16"/>
  <c r="X90" i="16"/>
  <c r="V87" i="16"/>
  <c r="AA89" i="16"/>
  <c r="AE89" i="16"/>
  <c r="U87" i="16"/>
  <c r="AB90" i="16"/>
  <c r="J90" i="16"/>
  <c r="AD87" i="16"/>
  <c r="H90" i="16"/>
  <c r="AE87" i="16"/>
  <c r="I88" i="16"/>
  <c r="AF88" i="16"/>
  <c r="N88" i="16"/>
  <c r="L88" i="16"/>
  <c r="AA90" i="16"/>
  <c r="L87" i="16"/>
  <c r="I90" i="16"/>
  <c r="J87" i="16"/>
  <c r="R90" i="16"/>
  <c r="Y89" i="16"/>
  <c r="I87" i="16"/>
  <c r="R88" i="16"/>
  <c r="K89" i="16"/>
  <c r="O89" i="16"/>
  <c r="V88" i="16"/>
  <c r="AC87" i="16"/>
  <c r="Q87" i="16"/>
  <c r="AF89" i="16"/>
  <c r="K90" i="16"/>
  <c r="AA87" i="16"/>
  <c r="G90" i="16"/>
  <c r="N89" i="16"/>
  <c r="N90" i="16"/>
  <c r="V90" i="16"/>
  <c r="Q90" i="16"/>
  <c r="U90" i="16"/>
  <c r="K88" i="16"/>
  <c r="R87" i="16"/>
  <c r="Z90" i="16"/>
  <c r="J89" i="16"/>
  <c r="T88" i="16"/>
  <c r="M90" i="16"/>
  <c r="Q88" i="16"/>
  <c r="V89" i="16"/>
  <c r="AD88" i="16"/>
  <c r="R89" i="16"/>
  <c r="AE88" i="16"/>
  <c r="X89" i="16"/>
  <c r="M88" i="16"/>
  <c r="Z87" i="16"/>
  <c r="H87" i="16"/>
  <c r="O90" i="16"/>
  <c r="O88" i="16"/>
  <c r="AD90" i="16"/>
  <c r="O87" i="16"/>
  <c r="S87" i="16"/>
  <c r="P88" i="16"/>
  <c r="X87" i="16"/>
  <c r="AE90" i="16"/>
  <c r="U89" i="16"/>
  <c r="P89" i="16"/>
  <c r="G89" i="16"/>
  <c r="K87" i="16"/>
  <c r="AB89" i="16"/>
  <c r="I89" i="16"/>
  <c r="AC89" i="16"/>
  <c r="Z89" i="16"/>
  <c r="S90" i="16"/>
  <c r="W87" i="16"/>
  <c r="AF87" i="16"/>
  <c r="M87" i="16"/>
  <c r="T90" i="16"/>
  <c r="Z88" i="16"/>
  <c r="Y87" i="16"/>
  <c r="Q89" i="16"/>
  <c r="AB88" i="16"/>
  <c r="W89" i="16"/>
  <c r="J88" i="16"/>
  <c r="X88" i="16"/>
  <c r="AC88" i="16"/>
  <c r="AC90" i="16"/>
  <c r="H89" i="16"/>
  <c r="AF82" i="16"/>
  <c r="AA84" i="16"/>
  <c r="O84" i="16"/>
  <c r="P83" i="16"/>
  <c r="O83" i="16"/>
  <c r="O81" i="16"/>
  <c r="S83" i="16"/>
  <c r="I81" i="16"/>
  <c r="L82" i="16"/>
  <c r="AF84" i="16"/>
  <c r="AD84" i="16"/>
  <c r="AD82" i="16"/>
  <c r="AC82" i="16"/>
  <c r="P82" i="16"/>
  <c r="G84" i="16"/>
  <c r="M83" i="16"/>
  <c r="V84" i="16"/>
  <c r="U84" i="16"/>
  <c r="U82" i="16"/>
  <c r="R84" i="16"/>
  <c r="T84" i="16"/>
  <c r="AB82" i="16"/>
  <c r="AC83" i="16"/>
  <c r="G83" i="16"/>
  <c r="J84" i="16"/>
  <c r="AB83" i="16"/>
  <c r="U81" i="16"/>
  <c r="I83" i="16"/>
  <c r="N81" i="16"/>
  <c r="N84" i="16"/>
  <c r="N82" i="16"/>
  <c r="L83" i="16"/>
  <c r="X82" i="16"/>
  <c r="P84" i="16"/>
  <c r="Z83" i="16"/>
  <c r="AF83" i="16"/>
  <c r="AE83" i="16"/>
  <c r="AE81" i="16"/>
  <c r="AF81" i="16"/>
  <c r="AB84" i="16"/>
  <c r="Q81" i="16"/>
  <c r="S84" i="16"/>
  <c r="K81" i="16"/>
  <c r="T83" i="16"/>
  <c r="P81" i="16"/>
  <c r="H82" i="16"/>
  <c r="U83" i="16"/>
  <c r="T82" i="16"/>
  <c r="W84" i="16"/>
  <c r="L81" i="16"/>
  <c r="K83" i="16"/>
  <c r="W81" i="16"/>
  <c r="L84" i="16"/>
  <c r="S82" i="16"/>
  <c r="Q83" i="16"/>
  <c r="M84" i="16"/>
  <c r="Z84" i="16"/>
  <c r="AA81" i="16"/>
  <c r="R81" i="16"/>
  <c r="AA82" i="16"/>
  <c r="X84" i="16"/>
  <c r="R83" i="16"/>
  <c r="R82" i="16"/>
  <c r="Q84" i="16"/>
  <c r="V82" i="16"/>
  <c r="V83" i="16"/>
  <c r="V81" i="16"/>
  <c r="AC81" i="16"/>
  <c r="J82" i="16"/>
  <c r="I82" i="16"/>
  <c r="W83" i="16"/>
  <c r="G81" i="16"/>
  <c r="AD81" i="16"/>
  <c r="Y83" i="16"/>
  <c r="K82" i="16"/>
  <c r="X83" i="16"/>
  <c r="X81" i="16"/>
  <c r="Y84" i="16"/>
  <c r="H84" i="16"/>
  <c r="AD83" i="16"/>
  <c r="S81" i="16"/>
  <c r="K84" i="16"/>
  <c r="M82" i="16"/>
  <c r="Z82" i="16"/>
  <c r="Y81" i="16"/>
  <c r="I84" i="16"/>
  <c r="T81" i="16"/>
  <c r="O82" i="16"/>
  <c r="H81" i="16"/>
  <c r="AE84" i="16"/>
  <c r="J83" i="16"/>
  <c r="W82" i="16"/>
  <c r="H83" i="16"/>
  <c r="AC84" i="16"/>
  <c r="Z81" i="16"/>
  <c r="AB81" i="16"/>
  <c r="G82" i="16"/>
  <c r="Q82" i="16"/>
  <c r="AE82" i="16"/>
  <c r="N83" i="16"/>
  <c r="Y82" i="16"/>
  <c r="AA83" i="16"/>
  <c r="J81" i="16"/>
  <c r="M81" i="16"/>
  <c r="R287" i="16" l="1"/>
  <c r="G287" i="16"/>
  <c r="Q287" i="16"/>
  <c r="R288" i="16"/>
  <c r="M292" i="16"/>
  <c r="AA290" i="16"/>
  <c r="AB289" i="16"/>
  <c r="Q197" i="16"/>
  <c r="J289" i="16"/>
  <c r="I287" i="16"/>
  <c r="Y292" i="16"/>
  <c r="G201" i="16"/>
  <c r="AB287" i="16"/>
  <c r="L204" i="16"/>
  <c r="L277" i="16" s="1" a="1"/>
  <c r="L277" i="16" s="1"/>
  <c r="Y288" i="16"/>
  <c r="H292" i="16"/>
  <c r="H365" i="16" s="1"/>
  <c r="H288" i="16"/>
  <c r="H361" i="16" s="1"/>
  <c r="S198" i="16"/>
  <c r="S271" i="16" s="1" a="1"/>
  <c r="S271" i="16" s="1"/>
  <c r="AB292" i="16"/>
  <c r="G204" i="16"/>
  <c r="G277" i="16" s="1" a="1"/>
  <c r="G277" i="16" s="1"/>
  <c r="AA102" i="12"/>
  <c r="AD100" i="12"/>
  <c r="AB103" i="12"/>
  <c r="S101" i="12"/>
  <c r="AE103" i="12"/>
  <c r="V102" i="12"/>
  <c r="O102" i="12"/>
  <c r="AC102" i="12"/>
  <c r="R101" i="12"/>
  <c r="AC103" i="12"/>
  <c r="Z103" i="12"/>
  <c r="AE101" i="12"/>
  <c r="P101" i="12"/>
  <c r="W102" i="12"/>
  <c r="O101" i="12"/>
  <c r="Y102" i="12"/>
  <c r="H100" i="12"/>
  <c r="J102" i="12"/>
  <c r="K101" i="12"/>
  <c r="G103" i="12"/>
  <c r="V100" i="12"/>
  <c r="G102" i="12"/>
  <c r="AD99" i="12"/>
  <c r="K102" i="12"/>
  <c r="AE102" i="12"/>
  <c r="G100" i="12"/>
  <c r="F102" i="12"/>
  <c r="X102" i="12"/>
  <c r="K99" i="12"/>
  <c r="X99" i="12"/>
  <c r="P100" i="12"/>
  <c r="AA100" i="12"/>
  <c r="I100" i="12"/>
  <c r="I102" i="12"/>
  <c r="G101" i="12"/>
  <c r="I99" i="12"/>
  <c r="Q100" i="12"/>
  <c r="AE99" i="12"/>
  <c r="AD102" i="12"/>
  <c r="Q103" i="12"/>
  <c r="S102" i="12"/>
  <c r="V101" i="12"/>
  <c r="V103" i="12"/>
  <c r="F99" i="12"/>
  <c r="H99" i="12"/>
  <c r="J101" i="12"/>
  <c r="AA101" i="12"/>
  <c r="Z99" i="12"/>
  <c r="L102" i="12"/>
  <c r="H102" i="12"/>
  <c r="L99" i="12"/>
  <c r="O100" i="12"/>
  <c r="X100" i="12"/>
  <c r="T102" i="12"/>
  <c r="AB100" i="12"/>
  <c r="N101" i="12"/>
  <c r="S99" i="12"/>
  <c r="Y101" i="12"/>
  <c r="I103" i="12"/>
  <c r="AC101" i="12"/>
  <c r="M100" i="12"/>
  <c r="M102" i="12"/>
  <c r="K100" i="12"/>
  <c r="H101" i="12"/>
  <c r="AA99" i="12"/>
  <c r="AB99" i="12"/>
  <c r="F101" i="12"/>
  <c r="AB102" i="12"/>
  <c r="Y100" i="12"/>
  <c r="S100" i="12"/>
  <c r="R99" i="12"/>
  <c r="AD101" i="12"/>
  <c r="W101" i="12"/>
  <c r="AE100" i="12"/>
  <c r="L101" i="12"/>
  <c r="L103" i="12"/>
  <c r="K103" i="12"/>
  <c r="Y103" i="12"/>
  <c r="M99" i="12"/>
  <c r="P102" i="12"/>
  <c r="U103" i="12"/>
  <c r="U101" i="12"/>
  <c r="Q99" i="12"/>
  <c r="L100" i="12"/>
  <c r="T99" i="12"/>
  <c r="AD103" i="12"/>
  <c r="W100" i="12"/>
  <c r="P99" i="12"/>
  <c r="U99" i="12"/>
  <c r="J99" i="12"/>
  <c r="R103" i="12"/>
  <c r="Q101" i="12"/>
  <c r="G99" i="12"/>
  <c r="O103" i="12"/>
  <c r="P103" i="12"/>
  <c r="S103" i="12"/>
  <c r="J103" i="12"/>
  <c r="F88" i="12"/>
  <c r="AC89" i="12"/>
  <c r="V89" i="12"/>
  <c r="W90" i="12"/>
  <c r="AE89" i="12"/>
  <c r="M87" i="12"/>
  <c r="AA87" i="12"/>
  <c r="M88" i="12"/>
  <c r="H90" i="12"/>
  <c r="T90" i="12"/>
  <c r="I89" i="12"/>
  <c r="L88" i="12"/>
  <c r="Q87" i="12"/>
  <c r="AB89" i="12"/>
  <c r="W89" i="12"/>
  <c r="J88" i="12"/>
  <c r="V88" i="12"/>
  <c r="S90" i="12"/>
  <c r="F89" i="12"/>
  <c r="AA88" i="12"/>
  <c r="N87" i="12"/>
  <c r="AA90" i="12"/>
  <c r="T89" i="12"/>
  <c r="I88" i="12"/>
  <c r="AB87" i="12"/>
  <c r="P90" i="12"/>
  <c r="Y90" i="12"/>
  <c r="AB90" i="12"/>
  <c r="X88" i="12"/>
  <c r="O90" i="12"/>
  <c r="W88" i="12"/>
  <c r="P89" i="12"/>
  <c r="G90" i="12"/>
  <c r="O89" i="12"/>
  <c r="AD89" i="12"/>
  <c r="AC93" i="12"/>
  <c r="H87" i="12"/>
  <c r="R87" i="12"/>
  <c r="I87" i="12"/>
  <c r="K89" i="12"/>
  <c r="J87" i="12"/>
  <c r="AC90" i="12"/>
  <c r="O87" i="12"/>
  <c r="X87" i="12"/>
  <c r="L90" i="12"/>
  <c r="T88" i="12"/>
  <c r="R89" i="12"/>
  <c r="Z90" i="12"/>
  <c r="H89" i="12"/>
  <c r="W87" i="12"/>
  <c r="V87" i="12"/>
  <c r="S88" i="12"/>
  <c r="T87" i="12"/>
  <c r="AB88" i="12"/>
  <c r="AD87" i="12"/>
  <c r="AE87" i="12"/>
  <c r="AE88" i="12"/>
  <c r="S89" i="12"/>
  <c r="P88" i="12"/>
  <c r="K88" i="12"/>
  <c r="V90" i="12"/>
  <c r="O88" i="12"/>
  <c r="AD88" i="12"/>
  <c r="S87" i="12"/>
  <c r="L87" i="12"/>
  <c r="Z89" i="12"/>
  <c r="Q90" i="12"/>
  <c r="H88" i="12"/>
  <c r="U90" i="12"/>
  <c r="N90" i="12"/>
  <c r="AC88" i="12"/>
  <c r="U88" i="12"/>
  <c r="K87" i="12"/>
  <c r="Y89" i="12"/>
  <c r="X90" i="12"/>
  <c r="G88" i="12"/>
  <c r="R90" i="12"/>
  <c r="M90" i="12"/>
  <c r="AE93" i="12"/>
  <c r="K90" i="12"/>
  <c r="G89" i="12"/>
  <c r="Z88" i="12"/>
  <c r="Q89" i="12"/>
  <c r="J89" i="12"/>
  <c r="X89" i="12"/>
  <c r="AD90" i="12"/>
  <c r="L89" i="12"/>
  <c r="J90" i="12"/>
  <c r="Y88" i="12"/>
  <c r="R88" i="12"/>
  <c r="G87" i="12"/>
  <c r="P87" i="12"/>
  <c r="N89" i="12"/>
  <c r="AC87" i="12"/>
  <c r="F87" i="12"/>
  <c r="I90" i="12"/>
  <c r="U89" i="12"/>
  <c r="Q88" i="12"/>
  <c r="AE90" i="12"/>
  <c r="Y87" i="12"/>
  <c r="M89" i="12"/>
  <c r="Z87" i="12"/>
  <c r="U87" i="12"/>
  <c r="F90" i="12"/>
  <c r="AA89" i="12"/>
  <c r="G197" i="16"/>
  <c r="R197" i="16"/>
  <c r="AF289" i="16"/>
  <c r="AD290" i="16"/>
  <c r="L292" i="16"/>
  <c r="AE292" i="16"/>
  <c r="AD292" i="16"/>
  <c r="M93" i="12"/>
  <c r="R202" i="16"/>
  <c r="AE288" i="16"/>
  <c r="R289" i="16"/>
  <c r="AD288" i="16"/>
  <c r="O94" i="12"/>
  <c r="J93" i="12"/>
  <c r="J94" i="12"/>
  <c r="AE204" i="16"/>
  <c r="AE277" i="16" s="1" a="1"/>
  <c r="AE277" i="16" s="1"/>
  <c r="V93" i="12"/>
  <c r="AE95" i="12"/>
  <c r="K96" i="12"/>
  <c r="L94" i="12"/>
  <c r="L95" i="12"/>
  <c r="V96" i="12"/>
  <c r="U95" i="12"/>
  <c r="W96" i="12"/>
  <c r="M94" i="12"/>
  <c r="F95" i="12"/>
  <c r="R93" i="12"/>
  <c r="X93" i="12"/>
  <c r="R96" i="12"/>
  <c r="H94" i="12"/>
  <c r="K95" i="12"/>
  <c r="I94" i="12"/>
  <c r="AD94" i="12"/>
  <c r="Z96" i="12"/>
  <c r="H93" i="12"/>
  <c r="R94" i="12"/>
  <c r="R95" i="12"/>
  <c r="S94" i="12"/>
  <c r="T95" i="12"/>
  <c r="AB96" i="12"/>
  <c r="X96" i="12"/>
  <c r="AC95" i="12"/>
  <c r="V94" i="12"/>
  <c r="T96" i="12"/>
  <c r="I95" i="12"/>
  <c r="AE96" i="12"/>
  <c r="W94" i="12"/>
  <c r="S95" i="12"/>
  <c r="AA93" i="12"/>
  <c r="AD95" i="12"/>
  <c r="O95" i="12"/>
  <c r="AA95" i="12"/>
  <c r="F96" i="12"/>
  <c r="J95" i="12"/>
  <c r="Z93" i="12"/>
  <c r="H95" i="12"/>
  <c r="H96" i="12"/>
  <c r="I93" i="12"/>
  <c r="AA96" i="12"/>
  <c r="P95" i="12"/>
  <c r="Q95" i="12"/>
  <c r="AB93" i="12"/>
  <c r="X94" i="12"/>
  <c r="J96" i="12"/>
  <c r="U94" i="12"/>
  <c r="W95" i="12"/>
  <c r="M95" i="12"/>
  <c r="W93" i="12"/>
  <c r="P96" i="12"/>
  <c r="H202" i="16"/>
  <c r="Q203" i="16"/>
  <c r="R203" i="16"/>
  <c r="AD96" i="12"/>
  <c r="P94" i="12"/>
  <c r="Z95" i="12"/>
  <c r="AB94" i="12"/>
  <c r="Q96" i="12"/>
  <c r="O93" i="12"/>
  <c r="AD93" i="12"/>
  <c r="Y95" i="12"/>
  <c r="AB95" i="12"/>
  <c r="G93" i="12"/>
  <c r="U96" i="12"/>
  <c r="S93" i="12"/>
  <c r="AA94" i="12"/>
  <c r="P93" i="12"/>
  <c r="L96" i="12"/>
  <c r="O96" i="12"/>
  <c r="F94" i="12"/>
  <c r="N94" i="12"/>
  <c r="M96" i="12"/>
  <c r="P202" i="16"/>
  <c r="I83" i="12"/>
  <c r="T82" i="12"/>
  <c r="R83" i="12"/>
  <c r="S83" i="12"/>
  <c r="AD83" i="12"/>
  <c r="V84" i="12"/>
  <c r="N82" i="12"/>
  <c r="J81" i="12"/>
  <c r="L83" i="12"/>
  <c r="Z82" i="12"/>
  <c r="F82" i="12"/>
  <c r="N83" i="12"/>
  <c r="AC81" i="12"/>
  <c r="J82" i="12"/>
  <c r="Z81" i="12"/>
  <c r="Y81" i="12"/>
  <c r="H83" i="12"/>
  <c r="X81" i="12"/>
  <c r="AB81" i="12"/>
  <c r="L81" i="12"/>
  <c r="W84" i="12"/>
  <c r="P82" i="12"/>
  <c r="K83" i="12"/>
  <c r="AE84" i="12"/>
  <c r="R82" i="12"/>
  <c r="H81" i="12"/>
  <c r="F81" i="12"/>
  <c r="O82" i="12"/>
  <c r="AA84" i="12"/>
  <c r="K82" i="12"/>
  <c r="Q82" i="12"/>
  <c r="Z84" i="12"/>
  <c r="F83" i="12"/>
  <c r="G84" i="12"/>
  <c r="T83" i="12"/>
  <c r="W83" i="12"/>
  <c r="AE82" i="12"/>
  <c r="L82" i="12"/>
  <c r="H82" i="12"/>
  <c r="S82" i="12"/>
  <c r="Q81" i="12"/>
  <c r="F84" i="12"/>
  <c r="M81" i="12"/>
  <c r="AC82" i="12"/>
  <c r="R81" i="12"/>
  <c r="U81" i="12"/>
  <c r="AD84" i="12"/>
  <c r="S84" i="12"/>
  <c r="V81" i="12"/>
  <c r="I82" i="12"/>
  <c r="N81" i="12"/>
  <c r="T84" i="12"/>
  <c r="O84" i="12"/>
  <c r="P81" i="12"/>
  <c r="AE81" i="12"/>
  <c r="J84" i="12"/>
  <c r="AD81" i="12"/>
  <c r="M82" i="12"/>
  <c r="U84" i="12"/>
  <c r="G82" i="12"/>
  <c r="AC83" i="12"/>
  <c r="X84" i="12"/>
  <c r="S81" i="12"/>
  <c r="P84" i="12"/>
  <c r="AB84" i="12"/>
  <c r="Y83" i="12"/>
  <c r="R84" i="12"/>
  <c r="O81" i="12"/>
  <c r="O83" i="12"/>
  <c r="U82" i="12"/>
  <c r="Q84" i="12"/>
  <c r="T81" i="12"/>
  <c r="V83" i="12"/>
  <c r="Y82" i="12"/>
  <c r="AB82" i="12"/>
  <c r="X83" i="12"/>
  <c r="V82" i="12"/>
  <c r="X82" i="12"/>
  <c r="AA83" i="12"/>
  <c r="K84" i="12"/>
  <c r="I81" i="12"/>
  <c r="AA81" i="12"/>
  <c r="AE83" i="12"/>
  <c r="L84" i="12"/>
  <c r="Q83" i="12"/>
  <c r="AC84" i="12"/>
  <c r="W81" i="12"/>
  <c r="Z83" i="12"/>
  <c r="P83" i="12"/>
  <c r="M83" i="12"/>
  <c r="AB83" i="12"/>
  <c r="Y84" i="12"/>
  <c r="U83" i="12"/>
  <c r="M84" i="12"/>
  <c r="K81" i="12"/>
  <c r="J83" i="12"/>
  <c r="N84" i="12"/>
  <c r="AA82" i="12"/>
  <c r="H84" i="12"/>
  <c r="G81" i="12"/>
  <c r="AD82" i="12"/>
  <c r="I84" i="12"/>
  <c r="W82" i="12"/>
  <c r="Z106" i="12"/>
  <c r="W108" i="12"/>
  <c r="R110" i="12"/>
  <c r="J111" i="12"/>
  <c r="T107" i="12"/>
  <c r="S107" i="12"/>
  <c r="V107" i="12"/>
  <c r="N110" i="12"/>
  <c r="L106" i="12"/>
  <c r="AD107" i="12"/>
  <c r="T111" i="12"/>
  <c r="G107" i="12"/>
  <c r="U108" i="12"/>
  <c r="I110" i="12"/>
  <c r="AB106" i="12"/>
  <c r="X110" i="12"/>
  <c r="AA106" i="12"/>
  <c r="W110" i="12"/>
  <c r="T108" i="12"/>
  <c r="K111" i="12"/>
  <c r="U110" i="12"/>
  <c r="P109" i="12"/>
  <c r="AD110" i="12"/>
  <c r="Q106" i="12"/>
  <c r="AE110" i="12"/>
  <c r="AB108" i="12"/>
  <c r="L107" i="12"/>
  <c r="AA108" i="12"/>
  <c r="X106" i="12"/>
  <c r="AE111" i="12"/>
  <c r="G109" i="12"/>
  <c r="M106" i="12"/>
  <c r="AE109" i="12"/>
  <c r="AB107" i="12"/>
  <c r="I109" i="12"/>
  <c r="F107" i="12"/>
  <c r="AB110" i="12"/>
  <c r="AE106" i="12"/>
  <c r="AA110" i="12"/>
  <c r="I201" i="16"/>
  <c r="AB210" i="16"/>
  <c r="Y110" i="12"/>
  <c r="AD106" i="12"/>
  <c r="S106" i="12"/>
  <c r="AA107" i="12"/>
  <c r="F109" i="12"/>
  <c r="S111" i="12"/>
  <c r="Y109" i="12"/>
  <c r="Q111" i="12"/>
  <c r="AC108" i="12"/>
  <c r="G110" i="12"/>
  <c r="Q110" i="12"/>
  <c r="J106" i="12"/>
  <c r="L109" i="12"/>
  <c r="R106" i="12"/>
  <c r="N109" i="12"/>
  <c r="J108" i="12"/>
  <c r="M109" i="12"/>
  <c r="J107" i="12"/>
  <c r="F111" i="12"/>
  <c r="I107" i="12"/>
  <c r="Y106" i="12"/>
  <c r="M108" i="12"/>
  <c r="AA109" i="12"/>
  <c r="O111" i="12"/>
  <c r="R107" i="12"/>
  <c r="N111" i="12"/>
  <c r="Q107" i="12"/>
  <c r="M111" i="12"/>
  <c r="J109" i="12"/>
  <c r="I108" i="12"/>
  <c r="H109" i="12"/>
  <c r="V110" i="12"/>
  <c r="I106" i="12"/>
  <c r="W107" i="12"/>
  <c r="U111" i="12"/>
  <c r="R109" i="12"/>
  <c r="R108" i="12"/>
  <c r="Q109" i="12"/>
  <c r="N107" i="12"/>
  <c r="N288" i="12" s="1"/>
  <c r="U107" i="12"/>
  <c r="V111" i="12"/>
  <c r="K109" i="12"/>
  <c r="X108" i="12"/>
  <c r="P110" i="12"/>
  <c r="Z110" i="12"/>
  <c r="I111" i="12"/>
  <c r="Q108" i="12"/>
  <c r="F110" i="12"/>
  <c r="O107" i="12"/>
  <c r="K106" i="12"/>
  <c r="H107" i="12"/>
  <c r="J110" i="12"/>
  <c r="K107" i="12"/>
  <c r="M110" i="12"/>
  <c r="Z111" i="12"/>
  <c r="AC107" i="12"/>
  <c r="Y111" i="12"/>
  <c r="V109" i="12"/>
  <c r="Z108" i="12"/>
  <c r="U109" i="12"/>
  <c r="W111" i="12"/>
  <c r="V108" i="12"/>
  <c r="X111" i="12"/>
  <c r="X292" i="12" s="1"/>
  <c r="AD108" i="12"/>
  <c r="AD109" i="12"/>
  <c r="G106" i="12"/>
  <c r="AC109" i="12"/>
  <c r="Z107" i="12"/>
  <c r="Y107" i="12"/>
  <c r="AE107" i="12"/>
  <c r="S109" i="12"/>
  <c r="G111" i="12"/>
  <c r="P107" i="12"/>
  <c r="H108" i="12"/>
  <c r="AD111" i="12"/>
  <c r="G108" i="12"/>
  <c r="AC111" i="12"/>
  <c r="Z109" i="12"/>
  <c r="Z102" i="12"/>
  <c r="W103" i="12"/>
  <c r="F100" i="12"/>
  <c r="O99" i="12"/>
  <c r="U100" i="12"/>
  <c r="U102" i="12"/>
  <c r="AA103" i="12"/>
  <c r="N99" i="12"/>
  <c r="T100" i="12"/>
  <c r="Z101" i="12"/>
  <c r="F103" i="12"/>
  <c r="W99" i="12"/>
  <c r="AC100" i="12"/>
  <c r="Y99" i="12"/>
  <c r="N100" i="12"/>
  <c r="T103" i="12"/>
  <c r="V99" i="12"/>
  <c r="N103" i="12"/>
  <c r="M101" i="12"/>
  <c r="T101" i="12"/>
  <c r="Q102" i="12"/>
  <c r="R100" i="12"/>
  <c r="M103" i="12"/>
  <c r="X101" i="12"/>
  <c r="J100" i="12"/>
  <c r="N102" i="12"/>
  <c r="Z100" i="12"/>
  <c r="I101" i="12"/>
  <c r="AC99" i="12"/>
  <c r="X103" i="12"/>
  <c r="H103" i="12"/>
  <c r="R102" i="12"/>
  <c r="S96" i="12"/>
  <c r="L93" i="12"/>
  <c r="K94" i="12"/>
  <c r="AC96" i="12"/>
  <c r="N95" i="12"/>
  <c r="G95" i="12"/>
  <c r="G94" i="12"/>
  <c r="V95" i="12"/>
  <c r="Q94" i="12"/>
  <c r="Z94" i="12"/>
  <c r="Y94" i="12"/>
  <c r="F93" i="12"/>
  <c r="AC94" i="12"/>
  <c r="K93" i="12"/>
  <c r="U93" i="12"/>
  <c r="N93" i="12"/>
  <c r="Q93" i="12"/>
  <c r="T94" i="12"/>
  <c r="T93" i="12"/>
  <c r="AE94" i="12"/>
  <c r="Y93" i="12"/>
  <c r="X95" i="12"/>
  <c r="Y96" i="12"/>
  <c r="N96" i="12"/>
  <c r="G96" i="12"/>
  <c r="AB109" i="12"/>
  <c r="T106" i="12"/>
  <c r="X107" i="12"/>
  <c r="M107" i="12"/>
  <c r="AE108" i="12"/>
  <c r="AA111" i="12"/>
  <c r="R111" i="12"/>
  <c r="AB111" i="12"/>
  <c r="H110" i="12"/>
  <c r="AC110" i="12"/>
  <c r="O109" i="12"/>
  <c r="AC106" i="12"/>
  <c r="X109" i="12"/>
  <c r="L111" i="12"/>
  <c r="O110" i="12"/>
  <c r="O289" i="12" s="1"/>
  <c r="L108" i="12"/>
  <c r="F106" i="12"/>
  <c r="F287" i="12" s="1"/>
  <c r="K108" i="12"/>
  <c r="H106" i="12"/>
  <c r="T109" i="12"/>
  <c r="U106" i="12"/>
  <c r="W109" i="12"/>
  <c r="Y108" i="12"/>
  <c r="V106" i="12"/>
  <c r="S108" i="12"/>
  <c r="P106" i="12"/>
  <c r="L110" i="12"/>
  <c r="O106" i="12"/>
  <c r="K110" i="12"/>
  <c r="F108" i="12"/>
  <c r="H111" i="12"/>
  <c r="N108" i="12"/>
  <c r="N289" i="12" s="1"/>
  <c r="P111" i="12"/>
  <c r="T110" i="12"/>
  <c r="W106" i="12"/>
  <c r="S110" i="12"/>
  <c r="P108" i="12"/>
  <c r="N106" i="12"/>
  <c r="V204" i="16"/>
  <c r="V277" i="16" s="1" a="1"/>
  <c r="V277" i="16" s="1"/>
  <c r="Y210" i="16"/>
  <c r="U208" i="16"/>
  <c r="AA211" i="16"/>
  <c r="AA284" i="16" s="1" a="1"/>
  <c r="AA284" i="16" s="1"/>
  <c r="G202" i="16"/>
  <c r="AE210" i="16"/>
  <c r="H204" i="16"/>
  <c r="H277" i="16" s="1" a="1"/>
  <c r="H277" i="16" s="1"/>
  <c r="H350" i="16" s="1"/>
  <c r="L211" i="16"/>
  <c r="L284" i="16" s="1" a="1"/>
  <c r="L284" i="16" s="1"/>
  <c r="R201" i="16"/>
  <c r="L289" i="16"/>
  <c r="AF287" i="16"/>
  <c r="AF292" i="16"/>
  <c r="AE289" i="16"/>
  <c r="Y207" i="16"/>
  <c r="W209" i="16"/>
  <c r="R211" i="16"/>
  <c r="R284" i="16" s="1" a="1"/>
  <c r="R284" i="16" s="1"/>
  <c r="L207" i="16"/>
  <c r="P210" i="16"/>
  <c r="N207" i="16"/>
  <c r="X191" i="16"/>
  <c r="L208" i="16"/>
  <c r="M203" i="16"/>
  <c r="S204" i="16"/>
  <c r="S277" i="16" s="1" a="1"/>
  <c r="S277" i="16" s="1"/>
  <c r="R207" i="16"/>
  <c r="Q211" i="16"/>
  <c r="Q284" i="16" s="1" a="1"/>
  <c r="Q284" i="16" s="1"/>
  <c r="L210" i="16"/>
  <c r="G203" i="16"/>
  <c r="U203" i="16"/>
  <c r="Y211" i="16"/>
  <c r="Y284" i="16" s="1" a="1"/>
  <c r="Y284" i="16" s="1"/>
  <c r="AC204" i="16"/>
  <c r="AC277" i="16" s="1" a="1"/>
  <c r="AC277" i="16" s="1"/>
  <c r="W203" i="16"/>
  <c r="X209" i="16"/>
  <c r="U202" i="16"/>
  <c r="AA202" i="16"/>
  <c r="Z204" i="16"/>
  <c r="Z277" i="16" s="1" a="1"/>
  <c r="Z277" i="16" s="1"/>
  <c r="AF204" i="16"/>
  <c r="AF277" i="16" s="1" a="1"/>
  <c r="AF277" i="16" s="1"/>
  <c r="V211" i="16"/>
  <c r="V284" i="16" s="1" a="1"/>
  <c r="V284" i="16" s="1"/>
  <c r="K208" i="16"/>
  <c r="J211" i="16"/>
  <c r="J284" i="16" s="1" a="1"/>
  <c r="J284" i="16" s="1"/>
  <c r="I204" i="16"/>
  <c r="I277" i="16" s="1" a="1"/>
  <c r="I277" i="16" s="1"/>
  <c r="H210" i="16"/>
  <c r="AD207" i="16"/>
  <c r="AA209" i="16"/>
  <c r="AB208" i="16"/>
  <c r="Z210" i="16"/>
  <c r="N211" i="16"/>
  <c r="N284" i="16" s="1" a="1"/>
  <c r="N284" i="16" s="1"/>
  <c r="X204" i="16"/>
  <c r="X277" i="16" s="1" a="1"/>
  <c r="X277" i="16" s="1"/>
  <c r="N208" i="16"/>
  <c r="W207" i="16"/>
  <c r="AB202" i="16"/>
  <c r="T198" i="16"/>
  <c r="T271" i="16" s="1" a="1"/>
  <c r="T271" i="16" s="1"/>
  <c r="K292" i="16"/>
  <c r="M287" i="16"/>
  <c r="Z287" i="16"/>
  <c r="W288" i="16"/>
  <c r="K289" i="16"/>
  <c r="M289" i="16"/>
  <c r="N289" i="16"/>
  <c r="M288" i="16"/>
  <c r="Y287" i="16"/>
  <c r="Z290" i="16"/>
  <c r="P287" i="16"/>
  <c r="I292" i="16"/>
  <c r="Z288" i="16"/>
  <c r="P288" i="16"/>
  <c r="T201" i="16"/>
  <c r="J203" i="16"/>
  <c r="G209" i="16"/>
  <c r="P207" i="16"/>
  <c r="H211" i="16"/>
  <c r="H284" i="16" s="1" a="1"/>
  <c r="H284" i="16" s="1"/>
  <c r="H357" i="16" s="1"/>
  <c r="M211" i="16"/>
  <c r="M284" i="16" s="1" a="1"/>
  <c r="M284" i="16" s="1"/>
  <c r="S209" i="16"/>
  <c r="AF210" i="16"/>
  <c r="AE211" i="16"/>
  <c r="AE284" i="16" s="1" a="1"/>
  <c r="AE284" i="16" s="1"/>
  <c r="U211" i="16"/>
  <c r="U284" i="16" s="1" a="1"/>
  <c r="U284" i="16" s="1"/>
  <c r="M208" i="16"/>
  <c r="Z208" i="16"/>
  <c r="I211" i="16"/>
  <c r="I284" i="16" s="1" a="1"/>
  <c r="I284" i="16" s="1"/>
  <c r="N210" i="16"/>
  <c r="T210" i="16"/>
  <c r="AA208" i="16"/>
  <c r="K210" i="16"/>
  <c r="AD208" i="16"/>
  <c r="AB204" i="16"/>
  <c r="AB277" i="16" s="1" a="1"/>
  <c r="AB277" i="16" s="1"/>
  <c r="AA210" i="16"/>
  <c r="V207" i="16"/>
  <c r="J204" i="16"/>
  <c r="J277" i="16" s="1" a="1"/>
  <c r="J277" i="16" s="1"/>
  <c r="AC208" i="16"/>
  <c r="P209" i="16"/>
  <c r="W204" i="16"/>
  <c r="W277" i="16" s="1" a="1"/>
  <c r="W277" i="16" s="1"/>
  <c r="AC202" i="16"/>
  <c r="X210" i="16"/>
  <c r="Y208" i="16"/>
  <c r="AD204" i="16"/>
  <c r="AD277" i="16" s="1" a="1"/>
  <c r="AD277" i="16" s="1"/>
  <c r="X207" i="16"/>
  <c r="AF208" i="16"/>
  <c r="V208" i="16"/>
  <c r="W210" i="16"/>
  <c r="U201" i="16"/>
  <c r="L209" i="16"/>
  <c r="S210" i="16"/>
  <c r="O210" i="16"/>
  <c r="L202" i="16"/>
  <c r="AE202" i="16"/>
  <c r="Q209" i="16"/>
  <c r="G208" i="16"/>
  <c r="S207" i="16"/>
  <c r="I210" i="16"/>
  <c r="I202" i="16"/>
  <c r="H209" i="16"/>
  <c r="N204" i="16"/>
  <c r="N277" i="16" s="1" a="1"/>
  <c r="N277" i="16" s="1"/>
  <c r="AC210" i="16"/>
  <c r="G207" i="16"/>
  <c r="AB209" i="16"/>
  <c r="AE209" i="16"/>
  <c r="M210" i="16"/>
  <c r="N203" i="16"/>
  <c r="W208" i="16"/>
  <c r="N202" i="16"/>
  <c r="AC201" i="16"/>
  <c r="K209" i="16"/>
  <c r="M207" i="16"/>
  <c r="J207" i="16"/>
  <c r="I209" i="16"/>
  <c r="AC211" i="16"/>
  <c r="AC284" i="16" s="1" a="1"/>
  <c r="AC284" i="16" s="1"/>
  <c r="AD210" i="16"/>
  <c r="AD209" i="16"/>
  <c r="AA203" i="16"/>
  <c r="O208" i="16"/>
  <c r="T211" i="16"/>
  <c r="T284" i="16" s="1" a="1"/>
  <c r="T284" i="16" s="1"/>
  <c r="X211" i="16"/>
  <c r="X284" i="16" s="1" a="1"/>
  <c r="X284" i="16" s="1"/>
  <c r="U209" i="16"/>
  <c r="P211" i="16"/>
  <c r="P284" i="16" s="1" a="1"/>
  <c r="P284" i="16" s="1"/>
  <c r="V209" i="16"/>
  <c r="K202" i="16"/>
  <c r="K192" i="16"/>
  <c r="K265" i="16" s="1" a="1"/>
  <c r="K265" i="16" s="1"/>
  <c r="U192" i="16"/>
  <c r="U265" i="16" s="1" a="1"/>
  <c r="U265" i="16" s="1"/>
  <c r="W201" i="16"/>
  <c r="Z207" i="16"/>
  <c r="P204" i="16"/>
  <c r="P277" i="16" s="1" a="1"/>
  <c r="P277" i="16" s="1"/>
  <c r="AF211" i="16"/>
  <c r="AF284" i="16" s="1" a="1"/>
  <c r="AF284" i="16" s="1"/>
  <c r="AF207" i="16"/>
  <c r="N209" i="16"/>
  <c r="O211" i="16"/>
  <c r="O284" i="16" s="1" a="1"/>
  <c r="O284" i="16" s="1"/>
  <c r="T207" i="16"/>
  <c r="G210" i="16"/>
  <c r="P208" i="16"/>
  <c r="H208" i="16"/>
  <c r="X208" i="16"/>
  <c r="AE203" i="16"/>
  <c r="Z209" i="16"/>
  <c r="T208" i="16"/>
  <c r="I208" i="16"/>
  <c r="H207" i="16"/>
  <c r="G211" i="16"/>
  <c r="G284" i="16" s="1" a="1"/>
  <c r="G284" i="16" s="1"/>
  <c r="AE208" i="16"/>
  <c r="AF202" i="16"/>
  <c r="U204" i="16"/>
  <c r="U277" i="16" s="1" a="1"/>
  <c r="U277" i="16" s="1"/>
  <c r="Q207" i="16"/>
  <c r="U207" i="16"/>
  <c r="S211" i="16"/>
  <c r="S284" i="16" s="1" a="1"/>
  <c r="S284" i="16" s="1"/>
  <c r="AC209" i="16"/>
  <c r="U210" i="16"/>
  <c r="O209" i="16"/>
  <c r="L203" i="16"/>
  <c r="AB211" i="16"/>
  <c r="AB284" i="16" s="1" a="1"/>
  <c r="AB284" i="16" s="1"/>
  <c r="M189" i="16"/>
  <c r="W190" i="16"/>
  <c r="Z190" i="16"/>
  <c r="AD191" i="16"/>
  <c r="G189" i="16"/>
  <c r="T190" i="16"/>
  <c r="Q208" i="16"/>
  <c r="K211" i="16"/>
  <c r="K284" i="16" s="1" a="1"/>
  <c r="K284" i="16" s="1"/>
  <c r="I207" i="16"/>
  <c r="J208" i="16"/>
  <c r="R210" i="16"/>
  <c r="Q210" i="16"/>
  <c r="V203" i="16"/>
  <c r="Z211" i="16"/>
  <c r="Z284" i="16" s="1" a="1"/>
  <c r="Z284" i="16" s="1"/>
  <c r="R209" i="16"/>
  <c r="P203" i="16"/>
  <c r="H197" i="16"/>
  <c r="Z195" i="16"/>
  <c r="M198" i="16"/>
  <c r="M271" i="16" s="1" a="1"/>
  <c r="M271" i="16" s="1"/>
  <c r="W198" i="16"/>
  <c r="W271" i="16" s="1" a="1"/>
  <c r="W271" i="16" s="1"/>
  <c r="AC289" i="16"/>
  <c r="Y290" i="16"/>
  <c r="W292" i="16"/>
  <c r="W289" i="16"/>
  <c r="O218" i="16"/>
  <c r="J288" i="16"/>
  <c r="Y289" i="16"/>
  <c r="I288" i="16"/>
  <c r="X202" i="16"/>
  <c r="AC203" i="16"/>
  <c r="S203" i="16"/>
  <c r="I203" i="16"/>
  <c r="AB203" i="16"/>
  <c r="AD211" i="16"/>
  <c r="AD284" i="16" s="1" a="1"/>
  <c r="AD284" i="16" s="1"/>
  <c r="AB207" i="16"/>
  <c r="AE207" i="16"/>
  <c r="J209" i="16"/>
  <c r="V201" i="16"/>
  <c r="P201" i="16"/>
  <c r="Z203" i="16"/>
  <c r="R208" i="16"/>
  <c r="T209" i="16"/>
  <c r="O203" i="16"/>
  <c r="V202" i="16"/>
  <c r="AA201" i="16"/>
  <c r="AF203" i="16"/>
  <c r="M209" i="16"/>
  <c r="X201" i="16"/>
  <c r="AD203" i="16"/>
  <c r="X203" i="16"/>
  <c r="R204" i="16"/>
  <c r="R277" i="16" s="1" a="1"/>
  <c r="R277" i="16" s="1"/>
  <c r="S208" i="16"/>
  <c r="N201" i="16"/>
  <c r="AB201" i="16"/>
  <c r="W211" i="16"/>
  <c r="W284" i="16" s="1" a="1"/>
  <c r="W284" i="16" s="1"/>
  <c r="AF209" i="16"/>
  <c r="W202" i="16"/>
  <c r="J202" i="16"/>
  <c r="J210" i="16"/>
  <c r="AC207" i="16"/>
  <c r="Q201" i="16"/>
  <c r="J201" i="16"/>
  <c r="T202" i="16"/>
  <c r="O207" i="16"/>
  <c r="K207" i="16"/>
  <c r="V210" i="16"/>
  <c r="Y204" i="16"/>
  <c r="Y277" i="16" s="1" a="1"/>
  <c r="Y277" i="16" s="1"/>
  <c r="M201" i="16"/>
  <c r="O204" i="16"/>
  <c r="O277" i="16" s="1" a="1"/>
  <c r="O277" i="16" s="1"/>
  <c r="K204" i="16"/>
  <c r="K277" i="16" s="1" a="1"/>
  <c r="K277" i="16" s="1"/>
  <c r="S201" i="16"/>
  <c r="AE201" i="16"/>
  <c r="Y209" i="16"/>
  <c r="AA207" i="16"/>
  <c r="K201" i="16"/>
  <c r="T203" i="16"/>
  <c r="Y201" i="16"/>
  <c r="M202" i="16"/>
  <c r="O202" i="16"/>
  <c r="K203" i="16"/>
  <c r="S202" i="16"/>
  <c r="AD202" i="16"/>
  <c r="O190" i="16"/>
  <c r="Q192" i="16"/>
  <c r="Q265" i="16" s="1" a="1"/>
  <c r="Q265" i="16" s="1"/>
  <c r="AA190" i="16"/>
  <c r="AF191" i="16"/>
  <c r="I191" i="16"/>
  <c r="R192" i="16"/>
  <c r="R265" i="16" s="1" a="1"/>
  <c r="R265" i="16" s="1"/>
  <c r="P191" i="16"/>
  <c r="T204" i="16"/>
  <c r="T277" i="16" s="1" a="1"/>
  <c r="T277" i="16" s="1"/>
  <c r="Z202" i="16"/>
  <c r="Y190" i="16"/>
  <c r="H191" i="16"/>
  <c r="S189" i="16"/>
  <c r="J190" i="16"/>
  <c r="V190" i="16"/>
  <c r="AE191" i="16"/>
  <c r="Y203" i="16"/>
  <c r="O201" i="16"/>
  <c r="Y202" i="16"/>
  <c r="Z201" i="16"/>
  <c r="H203" i="16"/>
  <c r="K195" i="16"/>
  <c r="O195" i="16"/>
  <c r="I196" i="16"/>
  <c r="P198" i="16"/>
  <c r="P271" i="16" s="1" a="1"/>
  <c r="P271" i="16" s="1"/>
  <c r="AC288" i="16"/>
  <c r="H290" i="16"/>
  <c r="H363" i="16" s="1"/>
  <c r="H287" i="16"/>
  <c r="H360" i="16" s="1"/>
  <c r="V287" i="16"/>
  <c r="U287" i="16"/>
  <c r="I289" i="16"/>
  <c r="AA287" i="16"/>
  <c r="K290" i="16"/>
  <c r="S292" i="16"/>
  <c r="V288" i="16"/>
  <c r="J287" i="16"/>
  <c r="N288" i="16"/>
  <c r="AC290" i="16"/>
  <c r="T287" i="16"/>
  <c r="U290" i="16"/>
  <c r="N287" i="16"/>
  <c r="K287" i="16"/>
  <c r="AA289" i="16"/>
  <c r="Z292" i="16"/>
  <c r="U288" i="16"/>
  <c r="S290" i="16"/>
  <c r="N290" i="16"/>
  <c r="W290" i="16"/>
  <c r="W287" i="16"/>
  <c r="AC287" i="16"/>
  <c r="K288" i="16"/>
  <c r="AA204" i="16"/>
  <c r="AA277" i="16" s="1" a="1"/>
  <c r="AA277" i="16" s="1"/>
  <c r="L201" i="16"/>
  <c r="H201" i="16"/>
  <c r="M204" i="16"/>
  <c r="M277" i="16" s="1" a="1"/>
  <c r="M277" i="16" s="1"/>
  <c r="AD201" i="16"/>
  <c r="AF201" i="16"/>
  <c r="Q202" i="16"/>
  <c r="N191" i="16"/>
  <c r="AB189" i="16"/>
  <c r="AC189" i="16"/>
  <c r="L191" i="16"/>
  <c r="Q204" i="16"/>
  <c r="Q277" i="16" s="1" a="1"/>
  <c r="Q277" i="16" s="1"/>
  <c r="J196" i="16"/>
  <c r="Y195" i="16"/>
  <c r="AF195" i="16"/>
  <c r="AC197" i="16"/>
  <c r="X195" i="16"/>
  <c r="AD198" i="16"/>
  <c r="AD271" i="16" s="1" a="1"/>
  <c r="AD271" i="16" s="1"/>
  <c r="V198" i="16"/>
  <c r="V271" i="16" s="1" a="1"/>
  <c r="V271" i="16" s="1"/>
  <c r="AA195" i="16"/>
  <c r="L196" i="16"/>
  <c r="AE195" i="16"/>
  <c r="AB198" i="16"/>
  <c r="AB271" i="16" s="1" a="1"/>
  <c r="AB271" i="16" s="1"/>
  <c r="U196" i="16"/>
  <c r="N195" i="16"/>
  <c r="G218" i="16"/>
  <c r="G217" i="16" s="1"/>
  <c r="I290" i="16"/>
  <c r="Z289" i="16"/>
  <c r="X288" i="16"/>
  <c r="V292" i="16"/>
  <c r="P290" i="16"/>
  <c r="P292" i="16"/>
  <c r="V290" i="16"/>
  <c r="X287" i="16"/>
  <c r="V289" i="16"/>
  <c r="M290" i="16"/>
  <c r="AC292" i="16"/>
  <c r="M192" i="16"/>
  <c r="M265" i="16" s="1" a="1"/>
  <c r="M265" i="16" s="1"/>
  <c r="W189" i="16"/>
  <c r="T191" i="16"/>
  <c r="AB192" i="16"/>
  <c r="AB265" i="16" s="1" a="1"/>
  <c r="AB265" i="16" s="1"/>
  <c r="G191" i="16"/>
  <c r="M191" i="16"/>
  <c r="AD190" i="16"/>
  <c r="I189" i="16"/>
  <c r="R195" i="16"/>
  <c r="AC195" i="16"/>
  <c r="R196" i="16"/>
  <c r="J195" i="16"/>
  <c r="V195" i="16"/>
  <c r="G195" i="16"/>
  <c r="AB195" i="16"/>
  <c r="O290" i="16"/>
  <c r="O292" i="16"/>
  <c r="O287" i="16"/>
  <c r="AB218" i="16"/>
  <c r="G190" i="16"/>
  <c r="H189" i="16"/>
  <c r="Y189" i="16"/>
  <c r="X189" i="16"/>
  <c r="AD189" i="16"/>
  <c r="X192" i="16"/>
  <c r="X265" i="16" s="1" a="1"/>
  <c r="X265" i="16" s="1"/>
  <c r="Z192" i="16"/>
  <c r="Z265" i="16" s="1" a="1"/>
  <c r="Z265" i="16" s="1"/>
  <c r="L192" i="16"/>
  <c r="L265" i="16" s="1" a="1"/>
  <c r="L265" i="16" s="1"/>
  <c r="W192" i="16"/>
  <c r="W265" i="16" s="1" a="1"/>
  <c r="W265" i="16" s="1"/>
  <c r="P189" i="16"/>
  <c r="Q189" i="16"/>
  <c r="X190" i="16"/>
  <c r="N189" i="16"/>
  <c r="J192" i="16"/>
  <c r="J265" i="16" s="1" a="1"/>
  <c r="J265" i="16" s="1"/>
  <c r="T192" i="16"/>
  <c r="T265" i="16" s="1" a="1"/>
  <c r="T265" i="16" s="1"/>
  <c r="V192" i="16"/>
  <c r="V265" i="16" s="1" a="1"/>
  <c r="V265" i="16" s="1"/>
  <c r="AC190" i="16"/>
  <c r="L190" i="16"/>
  <c r="O191" i="16"/>
  <c r="AF190" i="16"/>
  <c r="X196" i="16"/>
  <c r="M195" i="16"/>
  <c r="Z197" i="16"/>
  <c r="AE198" i="16"/>
  <c r="AE271" i="16" s="1" a="1"/>
  <c r="AE271" i="16" s="1"/>
  <c r="H195" i="16"/>
  <c r="AE196" i="16"/>
  <c r="Q196" i="16"/>
  <c r="Z198" i="16"/>
  <c r="Z271" i="16" s="1" a="1"/>
  <c r="Z271" i="16" s="1"/>
  <c r="Q198" i="16"/>
  <c r="Q271" i="16" s="1" a="1"/>
  <c r="Q271" i="16" s="1"/>
  <c r="G198" i="16"/>
  <c r="G271" i="16" s="1" a="1"/>
  <c r="G271" i="16" s="1"/>
  <c r="Q195" i="16"/>
  <c r="K197" i="16"/>
  <c r="R198" i="16"/>
  <c r="R271" i="16" s="1" a="1"/>
  <c r="R271" i="16" s="1"/>
  <c r="AA198" i="16"/>
  <c r="AA271" i="16" s="1" a="1"/>
  <c r="AA271" i="16" s="1"/>
  <c r="J198" i="16"/>
  <c r="J271" i="16" s="1" a="1"/>
  <c r="J271" i="16" s="1"/>
  <c r="AA197" i="16"/>
  <c r="L198" i="16"/>
  <c r="L271" i="16" s="1" a="1"/>
  <c r="L271" i="16" s="1"/>
  <c r="Y196" i="16"/>
  <c r="AD197" i="16"/>
  <c r="G196" i="16"/>
  <c r="L197" i="16"/>
  <c r="O289" i="16"/>
  <c r="AF218" i="16"/>
  <c r="L218" i="16"/>
  <c r="G290" i="16"/>
  <c r="L288" i="16"/>
  <c r="AB288" i="16"/>
  <c r="R218" i="16"/>
  <c r="AE218" i="16"/>
  <c r="G292" i="16"/>
  <c r="AD218" i="16"/>
  <c r="AA191" i="16"/>
  <c r="Q190" i="16"/>
  <c r="AC192" i="16"/>
  <c r="AC265" i="16" s="1" a="1"/>
  <c r="AC265" i="16" s="1"/>
  <c r="AE192" i="16"/>
  <c r="AE265" i="16" s="1" a="1"/>
  <c r="AE265" i="16" s="1"/>
  <c r="I192" i="16"/>
  <c r="I265" i="16" s="1" a="1"/>
  <c r="I265" i="16" s="1"/>
  <c r="Y192" i="16"/>
  <c r="Y265" i="16" s="1" a="1"/>
  <c r="Y265" i="16" s="1"/>
  <c r="Y191" i="16"/>
  <c r="I190" i="16"/>
  <c r="V191" i="16"/>
  <c r="R191" i="16"/>
  <c r="AA189" i="16"/>
  <c r="S190" i="16"/>
  <c r="L189" i="16"/>
  <c r="H190" i="16"/>
  <c r="S192" i="16"/>
  <c r="S265" i="16" s="1" a="1"/>
  <c r="S265" i="16" s="1"/>
  <c r="AE189" i="16"/>
  <c r="P192" i="16"/>
  <c r="P265" i="16" s="1" a="1"/>
  <c r="P265" i="16" s="1"/>
  <c r="N192" i="16"/>
  <c r="N265" i="16" s="1" a="1"/>
  <c r="N265" i="16" s="1"/>
  <c r="AB191" i="16"/>
  <c r="AB190" i="16"/>
  <c r="P190" i="16"/>
  <c r="AF192" i="16"/>
  <c r="AF265" i="16" s="1" a="1"/>
  <c r="AF265" i="16" s="1"/>
  <c r="O189" i="16"/>
  <c r="AA192" i="16"/>
  <c r="AA265" i="16" s="1" a="1"/>
  <c r="AA265" i="16" s="1"/>
  <c r="AC196" i="16"/>
  <c r="AB196" i="16"/>
  <c r="AB197" i="16"/>
  <c r="U197" i="16"/>
  <c r="S195" i="16"/>
  <c r="O198" i="16"/>
  <c r="O271" i="16" s="1" a="1"/>
  <c r="O271" i="16" s="1"/>
  <c r="X197" i="16"/>
  <c r="V197" i="16"/>
  <c r="J197" i="16"/>
  <c r="U198" i="16"/>
  <c r="U271" i="16" s="1" a="1"/>
  <c r="U271" i="16" s="1"/>
  <c r="N197" i="16"/>
  <c r="AF197" i="16"/>
  <c r="O197" i="16"/>
  <c r="Y197" i="16"/>
  <c r="L195" i="16"/>
  <c r="AF196" i="16"/>
  <c r="AD195" i="16"/>
  <c r="AE197" i="16"/>
  <c r="T197" i="16"/>
  <c r="AF198" i="16"/>
  <c r="AF271" i="16" s="1" a="1"/>
  <c r="AF271" i="16" s="1"/>
  <c r="AA196" i="16"/>
  <c r="T195" i="16"/>
  <c r="S197" i="16"/>
  <c r="S196" i="16"/>
  <c r="AE290" i="16"/>
  <c r="X218" i="16"/>
  <c r="L290" i="16"/>
  <c r="S218" i="16"/>
  <c r="S287" i="16"/>
  <c r="L287" i="16"/>
  <c r="T218" i="16"/>
  <c r="AF290" i="16"/>
  <c r="Q218" i="16"/>
  <c r="T288" i="16"/>
  <c r="H218" i="16"/>
  <c r="S288" i="16"/>
  <c r="V218" i="16"/>
  <c r="U218" i="16"/>
  <c r="R292" i="16"/>
  <c r="T289" i="16"/>
  <c r="AB290" i="16"/>
  <c r="AD289" i="16"/>
  <c r="AA218" i="16"/>
  <c r="Q288" i="16"/>
  <c r="T290" i="16"/>
  <c r="J189" i="16"/>
  <c r="AE190" i="16"/>
  <c r="Z189" i="16"/>
  <c r="J191" i="16"/>
  <c r="T189" i="16"/>
  <c r="M190" i="16"/>
  <c r="H192" i="16"/>
  <c r="H265" i="16" s="1" a="1"/>
  <c r="H265" i="16" s="1"/>
  <c r="H338" i="16" s="1"/>
  <c r="K190" i="16"/>
  <c r="W191" i="16"/>
  <c r="V189" i="16"/>
  <c r="R190" i="16"/>
  <c r="R189" i="16"/>
  <c r="Q191" i="16"/>
  <c r="K191" i="16"/>
  <c r="U191" i="16"/>
  <c r="K189" i="16"/>
  <c r="AF189" i="16"/>
  <c r="Z191" i="16"/>
  <c r="N190" i="16"/>
  <c r="U189" i="16"/>
  <c r="AC191" i="16"/>
  <c r="U190" i="16"/>
  <c r="G192" i="16"/>
  <c r="G265" i="16" s="1" a="1"/>
  <c r="G265" i="16" s="1"/>
  <c r="AD192" i="16"/>
  <c r="AD265" i="16" s="1" a="1"/>
  <c r="AD265" i="16" s="1"/>
  <c r="S191" i="16"/>
  <c r="O192" i="16"/>
  <c r="O265" i="16" s="1" a="1"/>
  <c r="O265" i="16" s="1"/>
  <c r="AC198" i="16"/>
  <c r="AC271" i="16" s="1" a="1"/>
  <c r="AC271" i="16" s="1"/>
  <c r="W197" i="16"/>
  <c r="Z196" i="16"/>
  <c r="W195" i="16"/>
  <c r="I197" i="16"/>
  <c r="P197" i="16"/>
  <c r="P196" i="16"/>
  <c r="O196" i="16"/>
  <c r="M196" i="16"/>
  <c r="AD196" i="16"/>
  <c r="T196" i="16"/>
  <c r="K196" i="16"/>
  <c r="N198" i="16"/>
  <c r="N271" i="16" s="1" a="1"/>
  <c r="N271" i="16" s="1"/>
  <c r="K198" i="16"/>
  <c r="K271" i="16" s="1" a="1"/>
  <c r="K271" i="16" s="1"/>
  <c r="V196" i="16"/>
  <c r="I195" i="16"/>
  <c r="I198" i="16"/>
  <c r="I271" i="16" s="1" a="1"/>
  <c r="I271" i="16" s="1"/>
  <c r="N196" i="16"/>
  <c r="H198" i="16"/>
  <c r="H271" i="16" s="1" a="1"/>
  <c r="H271" i="16" s="1"/>
  <c r="H344" i="16" s="1"/>
  <c r="U195" i="16"/>
  <c r="X198" i="16"/>
  <c r="X271" i="16" s="1" a="1"/>
  <c r="X271" i="16" s="1"/>
  <c r="Y198" i="16"/>
  <c r="Y271" i="16" s="1" a="1"/>
  <c r="Y271" i="16" s="1"/>
  <c r="H196" i="16"/>
  <c r="M197" i="16"/>
  <c r="P195" i="16"/>
  <c r="W196" i="16"/>
  <c r="U289" i="16"/>
  <c r="AF288" i="16"/>
  <c r="P218" i="16"/>
  <c r="H289" i="16"/>
  <c r="H362" i="16" s="1"/>
  <c r="J218" i="16"/>
  <c r="K218" i="16"/>
  <c r="Q290" i="16"/>
  <c r="R290" i="16"/>
  <c r="AA292" i="16"/>
  <c r="J290" i="16"/>
  <c r="M218" i="16"/>
  <c r="X290" i="16"/>
  <c r="P289" i="16"/>
  <c r="Q292" i="16"/>
  <c r="AA288" i="16"/>
  <c r="G289" i="16"/>
  <c r="N218" i="16"/>
  <c r="W218" i="16"/>
  <c r="J292" i="16"/>
  <c r="I218" i="16"/>
  <c r="X292" i="16"/>
  <c r="AE287" i="16"/>
  <c r="Y218" i="16"/>
  <c r="X289" i="16"/>
  <c r="G288" i="16"/>
  <c r="AC218" i="16"/>
  <c r="O288" i="16"/>
  <c r="T292" i="16"/>
  <c r="S289" i="16"/>
  <c r="U292" i="16"/>
  <c r="Q289" i="16"/>
  <c r="N292" i="16"/>
  <c r="Z218" i="16"/>
  <c r="P289" i="12" l="1"/>
  <c r="U287" i="12"/>
  <c r="U290" i="12"/>
  <c r="N290" i="12"/>
  <c r="Q288" i="12"/>
  <c r="AE290" i="12"/>
  <c r="G287" i="12"/>
  <c r="G360" i="12" s="1"/>
  <c r="H143" i="14" s="1"/>
  <c r="Y292" i="12"/>
  <c r="AB290" i="12"/>
  <c r="U288" i="12"/>
  <c r="Q289" i="12"/>
  <c r="W290" i="12"/>
  <c r="W292" i="12"/>
  <c r="Y288" i="12"/>
  <c r="X289" i="12"/>
  <c r="AD287" i="12"/>
  <c r="AE289" i="12"/>
  <c r="I287" i="12"/>
  <c r="Y287" i="12"/>
  <c r="P292" i="12"/>
  <c r="R292" i="12"/>
  <c r="R287" i="12"/>
  <c r="G290" i="12"/>
  <c r="G363" i="12" s="1"/>
  <c r="H146" i="14" s="1"/>
  <c r="Y207" i="12"/>
  <c r="L288" i="12"/>
  <c r="O287" i="12"/>
  <c r="M288" i="12"/>
  <c r="N204" i="12"/>
  <c r="N277" i="12" s="1"/>
  <c r="H197" i="12"/>
  <c r="I197" i="12"/>
  <c r="S209" i="12"/>
  <c r="K287" i="12"/>
  <c r="H289" i="12"/>
  <c r="G289" i="12"/>
  <c r="G362" i="12" s="1"/>
  <c r="H72" i="14" s="1"/>
  <c r="G292" i="12"/>
  <c r="G365" i="12" s="1"/>
  <c r="H75" i="14" s="1"/>
  <c r="AD289" i="12"/>
  <c r="R290" i="12"/>
  <c r="V290" i="12"/>
  <c r="M292" i="12"/>
  <c r="O292" i="12"/>
  <c r="AA288" i="12"/>
  <c r="L287" i="12"/>
  <c r="G192" i="12"/>
  <c r="G265" i="12" s="1" a="1"/>
  <c r="G265" i="12" s="1"/>
  <c r="G338" i="12" s="1"/>
  <c r="H48" i="14" s="1"/>
  <c r="J191" i="12"/>
  <c r="AC195" i="12"/>
  <c r="AD198" i="12"/>
  <c r="AD271" i="12" s="1"/>
  <c r="O195" i="12"/>
  <c r="L211" i="12"/>
  <c r="L284" i="12" s="1"/>
  <c r="K207" i="12"/>
  <c r="S196" i="12"/>
  <c r="P211" i="12"/>
  <c r="P284" i="12" s="1"/>
  <c r="L209" i="12"/>
  <c r="K208" i="12"/>
  <c r="L207" i="12"/>
  <c r="P208" i="12"/>
  <c r="K211" i="12"/>
  <c r="K284" i="12" s="1"/>
  <c r="L208" i="12"/>
  <c r="AA210" i="12"/>
  <c r="P209" i="12"/>
  <c r="L210" i="12"/>
  <c r="P210" i="12"/>
  <c r="P207" i="12"/>
  <c r="X207" i="12"/>
  <c r="R210" i="12"/>
  <c r="Y208" i="12"/>
  <c r="U210" i="12"/>
  <c r="J203" i="12"/>
  <c r="R203" i="12"/>
  <c r="R196" i="12"/>
  <c r="K195" i="12"/>
  <c r="J198" i="12"/>
  <c r="J271" i="12" s="1"/>
  <c r="AD211" i="12"/>
  <c r="AD284" i="12" s="1"/>
  <c r="AE208" i="12"/>
  <c r="S211" i="12"/>
  <c r="S284" i="12" s="1"/>
  <c r="AB208" i="12"/>
  <c r="H195" i="12"/>
  <c r="O209" i="12"/>
  <c r="I210" i="12"/>
  <c r="G210" i="12"/>
  <c r="U198" i="12"/>
  <c r="U271" i="12" s="1"/>
  <c r="L198" i="12"/>
  <c r="L271" i="12" s="1"/>
  <c r="V195" i="12"/>
  <c r="AE209" i="12"/>
  <c r="X209" i="12"/>
  <c r="K198" i="12"/>
  <c r="K271" i="12" s="1"/>
  <c r="X208" i="12"/>
  <c r="W209" i="12"/>
  <c r="AD208" i="12"/>
  <c r="AB209" i="12"/>
  <c r="H292" i="12"/>
  <c r="S208" i="12"/>
  <c r="S210" i="12"/>
  <c r="N195" i="12"/>
  <c r="H198" i="12"/>
  <c r="H271" i="12" s="1"/>
  <c r="AE210" i="12"/>
  <c r="X211" i="12"/>
  <c r="X284" i="12" s="1"/>
  <c r="W207" i="12"/>
  <c r="O211" i="12"/>
  <c r="O284" i="12" s="1"/>
  <c r="AD210" i="12"/>
  <c r="X210" i="12"/>
  <c r="AB211" i="12"/>
  <c r="AB284" i="12" s="1"/>
  <c r="AC207" i="12"/>
  <c r="F198" i="12"/>
  <c r="F271" i="12" s="1"/>
  <c r="J204" i="12"/>
  <c r="J277" i="12" s="1"/>
  <c r="O207" i="12"/>
  <c r="AD209" i="12"/>
  <c r="J196" i="12"/>
  <c r="R204" i="12"/>
  <c r="R277" i="12" s="1"/>
  <c r="AB207" i="12"/>
  <c r="AE211" i="12"/>
  <c r="AE284" i="12" s="1"/>
  <c r="AE207" i="12"/>
  <c r="AB210" i="12"/>
  <c r="H207" i="12"/>
  <c r="AD207" i="12"/>
  <c r="I209" i="12"/>
  <c r="J195" i="12"/>
  <c r="S207" i="12"/>
  <c r="V198" i="12"/>
  <c r="V271" i="12" s="1"/>
  <c r="I211" i="12"/>
  <c r="I284" i="12" s="1"/>
  <c r="O208" i="12"/>
  <c r="J197" i="12"/>
  <c r="G197" i="12"/>
  <c r="X198" i="12"/>
  <c r="X271" i="12" s="1"/>
  <c r="L195" i="12"/>
  <c r="G208" i="12"/>
  <c r="K209" i="12"/>
  <c r="V287" i="12"/>
  <c r="Q207" i="12"/>
  <c r="V208" i="12"/>
  <c r="AA290" i="12"/>
  <c r="F292" i="12"/>
  <c r="M287" i="12"/>
  <c r="X288" i="12"/>
  <c r="N292" i="12"/>
  <c r="J292" i="12"/>
  <c r="M204" i="12"/>
  <c r="M277" i="12" s="1"/>
  <c r="W202" i="12"/>
  <c r="M211" i="12"/>
  <c r="M284" i="12" s="1"/>
  <c r="F211" i="12"/>
  <c r="F284" i="12" s="1"/>
  <c r="AA211" i="12"/>
  <c r="AA284" i="12" s="1"/>
  <c r="AC289" i="12"/>
  <c r="Q201" i="12"/>
  <c r="X196" i="12"/>
  <c r="K210" i="12"/>
  <c r="G211" i="12"/>
  <c r="G284" i="12" s="1"/>
  <c r="G357" i="12" s="1"/>
  <c r="H140" i="14" s="1"/>
  <c r="F197" i="12"/>
  <c r="G207" i="12"/>
  <c r="K196" i="12"/>
  <c r="G209" i="12"/>
  <c r="Q204" i="12"/>
  <c r="Q277" i="12" s="1"/>
  <c r="S204" i="12"/>
  <c r="S277" i="12" s="1"/>
  <c r="J207" i="12"/>
  <c r="T207" i="12"/>
  <c r="H288" i="12"/>
  <c r="U218" i="12"/>
  <c r="G218" i="12"/>
  <c r="M203" i="12"/>
  <c r="AB203" i="12"/>
  <c r="Z198" i="12"/>
  <c r="Z271" i="12" s="1"/>
  <c r="Y195" i="12"/>
  <c r="S197" i="12"/>
  <c r="AB195" i="12"/>
  <c r="W196" i="12"/>
  <c r="AA195" i="12"/>
  <c r="W211" i="12"/>
  <c r="W284" i="12" s="1"/>
  <c r="R218" i="12"/>
  <c r="U196" i="12"/>
  <c r="AE198" i="12"/>
  <c r="AE271" i="12" s="1"/>
  <c r="F195" i="12"/>
  <c r="G196" i="12"/>
  <c r="L197" i="12"/>
  <c r="X195" i="12"/>
  <c r="I196" i="12"/>
  <c r="S190" i="12"/>
  <c r="V207" i="12"/>
  <c r="R288" i="12"/>
  <c r="T197" i="12"/>
  <c r="G288" i="12"/>
  <c r="G361" i="12" s="1"/>
  <c r="H144" i="14" s="1"/>
  <c r="J208" i="12"/>
  <c r="T196" i="12"/>
  <c r="AB198" i="12"/>
  <c r="AB271" i="12" s="1"/>
  <c r="W197" i="12"/>
  <c r="V209" i="12"/>
  <c r="J209" i="12"/>
  <c r="J211" i="12"/>
  <c r="J284" i="12" s="1"/>
  <c r="Y189" i="12"/>
  <c r="X192" i="12"/>
  <c r="X265" i="12" s="1" a="1"/>
  <c r="X265" i="12" s="1"/>
  <c r="M189" i="12"/>
  <c r="G191" i="12"/>
  <c r="X191" i="12"/>
  <c r="T192" i="12"/>
  <c r="T265" i="12" s="1" a="1"/>
  <c r="T265" i="12" s="1"/>
  <c r="Q202" i="12"/>
  <c r="AC208" i="12"/>
  <c r="S290" i="12"/>
  <c r="Q218" i="12"/>
  <c r="S287" i="12"/>
  <c r="Q287" i="12"/>
  <c r="Z203" i="12"/>
  <c r="M201" i="12"/>
  <c r="Z202" i="12"/>
  <c r="X201" i="12"/>
  <c r="L202" i="12"/>
  <c r="O201" i="12"/>
  <c r="Z196" i="12"/>
  <c r="Z197" i="12"/>
  <c r="AC198" i="12"/>
  <c r="AC271" i="12" s="1"/>
  <c r="O198" i="12"/>
  <c r="O271" i="12" s="1"/>
  <c r="P196" i="12"/>
  <c r="S198" i="12"/>
  <c r="S271" i="12" s="1"/>
  <c r="M196" i="12"/>
  <c r="AC197" i="12"/>
  <c r="K192" i="12"/>
  <c r="K265" i="12" s="1" a="1"/>
  <c r="K265" i="12" s="1"/>
  <c r="G189" i="12"/>
  <c r="Y192" i="12"/>
  <c r="Y265" i="12" s="1" a="1"/>
  <c r="Y265" i="12" s="1"/>
  <c r="M191" i="12"/>
  <c r="M202" i="12"/>
  <c r="M192" i="12"/>
  <c r="M265" i="12" s="1" a="1"/>
  <c r="M265" i="12" s="1"/>
  <c r="AC211" i="12"/>
  <c r="AC284" i="12" s="1"/>
  <c r="V210" i="12"/>
  <c r="J210" i="12"/>
  <c r="Q209" i="12"/>
  <c r="Z195" i="12"/>
  <c r="AC210" i="12"/>
  <c r="S195" i="12"/>
  <c r="AC209" i="12"/>
  <c r="Q208" i="12"/>
  <c r="AC201" i="12"/>
  <c r="T210" i="12"/>
  <c r="Q290" i="12"/>
  <c r="S292" i="12"/>
  <c r="AD292" i="12"/>
  <c r="AA197" i="12"/>
  <c r="M197" i="12"/>
  <c r="N197" i="12"/>
  <c r="Y197" i="12"/>
  <c r="T195" i="12"/>
  <c r="AB197" i="12"/>
  <c r="X218" i="12"/>
  <c r="T209" i="12"/>
  <c r="Q211" i="12"/>
  <c r="Q284" i="12" s="1"/>
  <c r="M190" i="12"/>
  <c r="V211" i="12"/>
  <c r="V284" i="12" s="1"/>
  <c r="R201" i="12"/>
  <c r="AB196" i="12"/>
  <c r="K292" i="12"/>
  <c r="S289" i="12"/>
  <c r="X290" i="12"/>
  <c r="H218" i="12"/>
  <c r="X202" i="12"/>
  <c r="Z204" i="12"/>
  <c r="Z277" i="12" s="1"/>
  <c r="L201" i="12"/>
  <c r="U208" i="12"/>
  <c r="F288" i="12"/>
  <c r="Q292" i="12"/>
  <c r="AB292" i="12"/>
  <c r="X287" i="12"/>
  <c r="U292" i="12"/>
  <c r="Z191" i="12"/>
  <c r="K190" i="12"/>
  <c r="T189" i="12"/>
  <c r="S192" i="12"/>
  <c r="S265" i="12" s="1" a="1"/>
  <c r="S265" i="12" s="1"/>
  <c r="O203" i="12"/>
  <c r="S201" i="12"/>
  <c r="W201" i="12"/>
  <c r="I203" i="12"/>
  <c r="AD201" i="12"/>
  <c r="Q196" i="12"/>
  <c r="AC196" i="12"/>
  <c r="AD196" i="12"/>
  <c r="P198" i="12"/>
  <c r="P271" i="12" s="1"/>
  <c r="R197" i="12"/>
  <c r="O196" i="12"/>
  <c r="W198" i="12"/>
  <c r="W271" i="12" s="1"/>
  <c r="Q210" i="12"/>
  <c r="N287" i="12"/>
  <c r="AC290" i="12"/>
  <c r="R247" i="16"/>
  <c r="R281" i="16" s="1" a="1"/>
  <c r="R281" i="16" s="1"/>
  <c r="R244" i="16" s="1"/>
  <c r="R282" i="16" s="1" a="1"/>
  <c r="R282" i="16" s="1"/>
  <c r="R245" i="16" s="1"/>
  <c r="R283" i="16" s="1" a="1"/>
  <c r="R283" i="16" s="1"/>
  <c r="R246" i="16" s="1"/>
  <c r="R280" i="16" s="1" a="1"/>
  <c r="R280" i="16" s="1"/>
  <c r="H287" i="12"/>
  <c r="O290" i="12"/>
  <c r="N203" i="12"/>
  <c r="T211" i="12"/>
  <c r="T284" i="12" s="1"/>
  <c r="W208" i="12"/>
  <c r="AE288" i="12"/>
  <c r="V289" i="12"/>
  <c r="K290" i="12"/>
  <c r="M289" i="12"/>
  <c r="J288" i="12"/>
  <c r="V288" i="12"/>
  <c r="X190" i="12"/>
  <c r="Y190" i="12"/>
  <c r="K191" i="12"/>
  <c r="X189" i="12"/>
  <c r="Z190" i="12"/>
  <c r="N202" i="12"/>
  <c r="O202" i="12"/>
  <c r="AB204" i="12"/>
  <c r="AB277" i="12" s="1"/>
  <c r="I204" i="12"/>
  <c r="I277" i="12" s="1"/>
  <c r="R202" i="12"/>
  <c r="U197" i="12"/>
  <c r="X197" i="12"/>
  <c r="H196" i="12"/>
  <c r="G198" i="12"/>
  <c r="G271" i="12" s="1"/>
  <c r="G344" i="12" s="1"/>
  <c r="H127" i="14" s="1"/>
  <c r="N198" i="12"/>
  <c r="N271" i="12" s="1"/>
  <c r="F196" i="12"/>
  <c r="J289" i="12"/>
  <c r="G190" i="12"/>
  <c r="J192" i="12"/>
  <c r="J265" i="12" s="1" a="1"/>
  <c r="J265" i="12" s="1"/>
  <c r="S189" i="12"/>
  <c r="Z192" i="12"/>
  <c r="Z265" i="12" s="1" a="1"/>
  <c r="Z265" i="12" s="1"/>
  <c r="Y191" i="12"/>
  <c r="J189" i="12"/>
  <c r="S191" i="12"/>
  <c r="X204" i="12"/>
  <c r="X277" i="12" s="1"/>
  <c r="L203" i="12"/>
  <c r="J202" i="12"/>
  <c r="AE201" i="12"/>
  <c r="Q198" i="12"/>
  <c r="Q271" i="12" s="1"/>
  <c r="AD195" i="12"/>
  <c r="AD197" i="12"/>
  <c r="Y198" i="12"/>
  <c r="Y271" i="12" s="1"/>
  <c r="AA196" i="12"/>
  <c r="V197" i="12"/>
  <c r="Z289" i="12"/>
  <c r="Y290" i="12"/>
  <c r="AD190" i="12"/>
  <c r="Q191" i="12"/>
  <c r="AB192" i="12"/>
  <c r="AB265" i="12" s="1" a="1"/>
  <c r="AB265" i="12" s="1"/>
  <c r="R191" i="12"/>
  <c r="V196" i="12"/>
  <c r="Q195" i="12"/>
  <c r="AE197" i="12"/>
  <c r="O204" i="12"/>
  <c r="O277" i="12" s="1"/>
  <c r="Q197" i="12"/>
  <c r="J190" i="12"/>
  <c r="AE196" i="12"/>
  <c r="H290" i="12"/>
  <c r="U211" i="12"/>
  <c r="U284" i="12" s="1"/>
  <c r="R211" i="12"/>
  <c r="R284" i="12" s="1"/>
  <c r="Y209" i="12"/>
  <c r="P195" i="12"/>
  <c r="W203" i="12"/>
  <c r="T190" i="12"/>
  <c r="R209" i="12"/>
  <c r="W204" i="12"/>
  <c r="W277" i="12" s="1"/>
  <c r="Y211" i="12"/>
  <c r="Y284" i="12" s="1"/>
  <c r="R198" i="12"/>
  <c r="R271" i="12" s="1"/>
  <c r="AE195" i="12"/>
  <c r="T191" i="12"/>
  <c r="L204" i="12"/>
  <c r="L277" i="12" s="1"/>
  <c r="AC203" i="12"/>
  <c r="R208" i="12"/>
  <c r="T208" i="12"/>
  <c r="O197" i="12"/>
  <c r="P197" i="12"/>
  <c r="K197" i="12"/>
  <c r="R195" i="12"/>
  <c r="K189" i="12"/>
  <c r="N201" i="12"/>
  <c r="R207" i="12"/>
  <c r="I208" i="12"/>
  <c r="U209" i="12"/>
  <c r="AA198" i="12"/>
  <c r="AA271" i="12" s="1"/>
  <c r="T198" i="12"/>
  <c r="T271" i="12" s="1"/>
  <c r="M195" i="12"/>
  <c r="J201" i="12"/>
  <c r="I207" i="12"/>
  <c r="U207" i="12"/>
  <c r="U195" i="12"/>
  <c r="Y196" i="12"/>
  <c r="Z189" i="12"/>
  <c r="Y210" i="12"/>
  <c r="O210" i="12"/>
  <c r="M198" i="12"/>
  <c r="M271" i="12" s="1"/>
  <c r="I198" i="12"/>
  <c r="I271" i="12" s="1"/>
  <c r="I201" i="12"/>
  <c r="W195" i="12"/>
  <c r="I195" i="12"/>
  <c r="X203" i="12"/>
  <c r="L196" i="12"/>
  <c r="I202" i="12"/>
  <c r="W210" i="12"/>
  <c r="N196" i="12"/>
  <c r="G195" i="12"/>
  <c r="R240" i="16"/>
  <c r="R276" i="16" s="1" a="1"/>
  <c r="R276" i="16" s="1"/>
  <c r="R239" i="16" s="1"/>
  <c r="R275" i="16" s="1" a="1"/>
  <c r="R275" i="16" s="1"/>
  <c r="R238" i="16" s="1"/>
  <c r="R274" i="16" s="1" a="1"/>
  <c r="R274" i="16" s="1"/>
  <c r="G240" i="16"/>
  <c r="G276" i="16" s="1" a="1"/>
  <c r="G276" i="16" s="1"/>
  <c r="G239" i="16" s="1"/>
  <c r="G275" i="16" s="1" a="1"/>
  <c r="G275" i="16" s="1"/>
  <c r="G238" i="16" s="1"/>
  <c r="G274" i="16" s="1" a="1"/>
  <c r="G274" i="16" s="1"/>
  <c r="T218" i="12"/>
  <c r="F289" i="12"/>
  <c r="P218" i="12"/>
  <c r="K289" i="12"/>
  <c r="L292" i="12"/>
  <c r="AA292" i="12"/>
  <c r="Y204" i="12"/>
  <c r="Y277" i="12" s="1"/>
  <c r="T201" i="12"/>
  <c r="U201" i="12"/>
  <c r="Y201" i="12"/>
  <c r="G201" i="12"/>
  <c r="K204" i="12"/>
  <c r="K277" i="12" s="1"/>
  <c r="Z211" i="12"/>
  <c r="Z284" i="12" s="1"/>
  <c r="M208" i="12"/>
  <c r="N208" i="12"/>
  <c r="P288" i="12"/>
  <c r="AD290" i="12"/>
  <c r="K288" i="12"/>
  <c r="O218" i="12"/>
  <c r="V218" i="12"/>
  <c r="R289" i="12"/>
  <c r="J218" i="12"/>
  <c r="M218" i="12"/>
  <c r="L290" i="12"/>
  <c r="F290" i="12"/>
  <c r="AE218" i="12"/>
  <c r="AB288" i="12"/>
  <c r="AE292" i="12"/>
  <c r="AB289" i="12"/>
  <c r="P290" i="12"/>
  <c r="W287" i="12"/>
  <c r="I292" i="12"/>
  <c r="AD288" i="12"/>
  <c r="S218" i="12"/>
  <c r="N192" i="12"/>
  <c r="N265" i="12" s="1" a="1"/>
  <c r="N265" i="12" s="1"/>
  <c r="U189" i="12"/>
  <c r="P189" i="12"/>
  <c r="I190" i="12"/>
  <c r="V190" i="12"/>
  <c r="O190" i="12"/>
  <c r="AC191" i="12"/>
  <c r="AE192" i="12"/>
  <c r="AE265" i="12" s="1" a="1"/>
  <c r="AE265" i="12" s="1"/>
  <c r="F192" i="12"/>
  <c r="F265" i="12" s="1" a="1"/>
  <c r="F265" i="12" s="1"/>
  <c r="AA192" i="12"/>
  <c r="AA265" i="12" s="1" a="1"/>
  <c r="AA265" i="12" s="1"/>
  <c r="W192" i="12"/>
  <c r="W265" i="12" s="1" a="1"/>
  <c r="W265" i="12" s="1"/>
  <c r="H191" i="12"/>
  <c r="F202" i="12"/>
  <c r="AA204" i="12"/>
  <c r="AA277" i="12" s="1"/>
  <c r="AB202" i="12"/>
  <c r="AD204" i="12"/>
  <c r="AD277" i="12" s="1"/>
  <c r="P201" i="12"/>
  <c r="Q203" i="12"/>
  <c r="H204" i="12"/>
  <c r="H277" i="12" s="1"/>
  <c r="F204" i="12"/>
  <c r="F277" i="12" s="1"/>
  <c r="AD202" i="12"/>
  <c r="AE204" i="12"/>
  <c r="AE277" i="12" s="1"/>
  <c r="AC204" i="12"/>
  <c r="AC277" i="12" s="1"/>
  <c r="S202" i="12"/>
  <c r="Z201" i="12"/>
  <c r="H202" i="12"/>
  <c r="F203" i="12"/>
  <c r="V204" i="12"/>
  <c r="V277" i="12" s="1"/>
  <c r="AE202" i="12"/>
  <c r="AE287" i="12"/>
  <c r="AD218" i="12"/>
  <c r="T289" i="12"/>
  <c r="AD203" i="12"/>
  <c r="AA203" i="12"/>
  <c r="AC202" i="12"/>
  <c r="F218" i="12"/>
  <c r="F219" i="12" s="1"/>
  <c r="H201" i="12"/>
  <c r="AA202" i="12"/>
  <c r="P203" i="12"/>
  <c r="V202" i="12"/>
  <c r="AA201" i="12"/>
  <c r="V201" i="12"/>
  <c r="V203" i="12"/>
  <c r="M210" i="12"/>
  <c r="H203" i="12"/>
  <c r="I289" i="12"/>
  <c r="AE203" i="12"/>
  <c r="W191" i="12"/>
  <c r="L218" i="12"/>
  <c r="AC218" i="12"/>
  <c r="G204" i="12"/>
  <c r="G277" i="12" s="1"/>
  <c r="G350" i="12" s="1"/>
  <c r="H24" i="14" s="1"/>
  <c r="F201" i="12"/>
  <c r="U192" i="12"/>
  <c r="U265" i="12" s="1" a="1"/>
  <c r="U265" i="12" s="1"/>
  <c r="S203" i="12"/>
  <c r="AB201" i="12"/>
  <c r="P204" i="12"/>
  <c r="P277" i="12" s="1"/>
  <c r="H210" i="12"/>
  <c r="Z207" i="12"/>
  <c r="W288" i="12"/>
  <c r="L192" i="12"/>
  <c r="L265" i="12" s="1" a="1"/>
  <c r="L265" i="12" s="1"/>
  <c r="L247" i="16"/>
  <c r="L281" i="16" s="1" a="1"/>
  <c r="L281" i="16" s="1"/>
  <c r="L244" i="16" s="1"/>
  <c r="L282" i="16" s="1" a="1"/>
  <c r="L282" i="16" s="1"/>
  <c r="L245" i="16" s="1"/>
  <c r="L283" i="16" s="1" a="1"/>
  <c r="L283" i="16" s="1"/>
  <c r="L246" i="16" s="1"/>
  <c r="L280" i="16" s="1" a="1"/>
  <c r="L280" i="16" s="1"/>
  <c r="Y203" i="12"/>
  <c r="M209" i="12"/>
  <c r="F208" i="12"/>
  <c r="AC292" i="12"/>
  <c r="I218" i="12"/>
  <c r="V191" i="12"/>
  <c r="AD192" i="12"/>
  <c r="AD265" i="12" s="1" a="1"/>
  <c r="AD265" i="12" s="1"/>
  <c r="R190" i="12"/>
  <c r="AC189" i="12"/>
  <c r="P202" i="12"/>
  <c r="L289" i="12"/>
  <c r="O192" i="12"/>
  <c r="O265" i="12" s="1" a="1"/>
  <c r="O265" i="12" s="1"/>
  <c r="Q189" i="12"/>
  <c r="AA190" i="12"/>
  <c r="AA189" i="12"/>
  <c r="R192" i="12"/>
  <c r="R265" i="12" s="1" a="1"/>
  <c r="R265" i="12" s="1"/>
  <c r="AE189" i="12"/>
  <c r="Q190" i="12"/>
  <c r="L191" i="12"/>
  <c r="L190" i="12"/>
  <c r="AD189" i="12"/>
  <c r="V189" i="12"/>
  <c r="AC190" i="12"/>
  <c r="I191" i="12"/>
  <c r="AC192" i="12"/>
  <c r="AC265" i="12" s="1" a="1"/>
  <c r="AC265" i="12" s="1"/>
  <c r="AB189" i="12"/>
  <c r="P190" i="12"/>
  <c r="AD191" i="12"/>
  <c r="I192" i="12"/>
  <c r="I265" i="12" s="1" a="1"/>
  <c r="I265" i="12" s="1"/>
  <c r="N189" i="12"/>
  <c r="AB190" i="12"/>
  <c r="W190" i="12"/>
  <c r="H192" i="12"/>
  <c r="H265" i="12" s="1" a="1"/>
  <c r="H265" i="12" s="1"/>
  <c r="AB191" i="12"/>
  <c r="W189" i="12"/>
  <c r="AE191" i="12"/>
  <c r="AA191" i="12"/>
  <c r="O189" i="12"/>
  <c r="P192" i="12"/>
  <c r="P265" i="12" s="1" a="1"/>
  <c r="P265" i="12" s="1"/>
  <c r="H189" i="12"/>
  <c r="L189" i="12"/>
  <c r="F190" i="12"/>
  <c r="V192" i="12"/>
  <c r="V265" i="12" s="1" a="1"/>
  <c r="V265" i="12" s="1"/>
  <c r="H190" i="12"/>
  <c r="Q192" i="12"/>
  <c r="Q265" i="12" s="1" a="1"/>
  <c r="Q265" i="12" s="1"/>
  <c r="O191" i="12"/>
  <c r="R189" i="12"/>
  <c r="F191" i="12"/>
  <c r="F189" i="12"/>
  <c r="N191" i="12"/>
  <c r="N190" i="12"/>
  <c r="AE190" i="12"/>
  <c r="U190" i="12"/>
  <c r="U191" i="12"/>
  <c r="P191" i="12"/>
  <c r="I189" i="12"/>
  <c r="AA218" i="12"/>
  <c r="N218" i="12"/>
  <c r="T204" i="12"/>
  <c r="T277" i="12" s="1"/>
  <c r="AB218" i="12"/>
  <c r="W218" i="12"/>
  <c r="T292" i="12"/>
  <c r="S288" i="12"/>
  <c r="Z287" i="12"/>
  <c r="N207" i="12"/>
  <c r="P287" i="12"/>
  <c r="G202" i="12"/>
  <c r="F209" i="12"/>
  <c r="M207" i="12"/>
  <c r="Z290" i="12"/>
  <c r="Z292" i="12"/>
  <c r="U203" i="12"/>
  <c r="AA208" i="12"/>
  <c r="AA209" i="12"/>
  <c r="Z210" i="12"/>
  <c r="Z218" i="12"/>
  <c r="AA207" i="12"/>
  <c r="N209" i="12"/>
  <c r="J290" i="12"/>
  <c r="T203" i="12"/>
  <c r="O288" i="12"/>
  <c r="U204" i="12"/>
  <c r="U277" i="12" s="1"/>
  <c r="M290" i="12"/>
  <c r="J287" i="12"/>
  <c r="AA287" i="12"/>
  <c r="U289" i="12"/>
  <c r="T287" i="12"/>
  <c r="W289" i="12"/>
  <c r="N210" i="12"/>
  <c r="N211" i="12"/>
  <c r="N284" i="12" s="1"/>
  <c r="Z209" i="12"/>
  <c r="Y289" i="12"/>
  <c r="AC287" i="12"/>
  <c r="T202" i="12"/>
  <c r="K201" i="12"/>
  <c r="F207" i="12"/>
  <c r="Z288" i="12"/>
  <c r="U202" i="12"/>
  <c r="H208" i="12"/>
  <c r="H209" i="12"/>
  <c r="F210" i="12"/>
  <c r="I288" i="12"/>
  <c r="K202" i="12"/>
  <c r="AC288" i="12"/>
  <c r="Y218" i="12"/>
  <c r="AB287" i="12"/>
  <c r="I290" i="12"/>
  <c r="T288" i="12"/>
  <c r="K203" i="12"/>
  <c r="H211" i="12"/>
  <c r="H284" i="12" s="1"/>
  <c r="Z208" i="12"/>
  <c r="K218" i="12"/>
  <c r="Y202" i="12"/>
  <c r="G203" i="12"/>
  <c r="V292" i="12"/>
  <c r="T290" i="12"/>
  <c r="AA289" i="12"/>
  <c r="Y247" i="16"/>
  <c r="Y281" i="16" s="1" a="1"/>
  <c r="Y281" i="16" s="1"/>
  <c r="Y244" i="16" s="1"/>
  <c r="Y282" i="16" s="1" a="1"/>
  <c r="Y282" i="16" s="1"/>
  <c r="Y245" i="16" s="1"/>
  <c r="Y283" i="16" s="1" a="1"/>
  <c r="Y283" i="16" s="1"/>
  <c r="Y246" i="16" s="1"/>
  <c r="Y280" i="16" s="1" a="1"/>
  <c r="Y280" i="16" s="1"/>
  <c r="AB240" i="16"/>
  <c r="AB276" i="16" s="1" a="1"/>
  <c r="AB276" i="16" s="1"/>
  <c r="AB239" i="16" s="1"/>
  <c r="AB275" i="16" s="1" a="1"/>
  <c r="AB275" i="16" s="1"/>
  <c r="AB238" i="16" s="1"/>
  <c r="AB274" i="16" s="1" a="1"/>
  <c r="AB274" i="16" s="1"/>
  <c r="H247" i="16"/>
  <c r="H281" i="16" s="1" a="1"/>
  <c r="H281" i="16" s="1"/>
  <c r="H354" i="16" s="1"/>
  <c r="AC240" i="16"/>
  <c r="AC276" i="16" s="1" a="1"/>
  <c r="AC276" i="16" s="1"/>
  <c r="AC239" i="16" s="1"/>
  <c r="AC275" i="16" s="1" a="1"/>
  <c r="AC275" i="16" s="1"/>
  <c r="AC238" i="16" s="1"/>
  <c r="AC274" i="16" s="1" a="1"/>
  <c r="AC274" i="16" s="1"/>
  <c r="P247" i="16"/>
  <c r="P281" i="16" s="1" a="1"/>
  <c r="P281" i="16" s="1"/>
  <c r="P244" i="16" s="1"/>
  <c r="P282" i="16" s="1" a="1"/>
  <c r="P282" i="16" s="1"/>
  <c r="P245" i="16" s="1"/>
  <c r="P283" i="16" s="1" a="1"/>
  <c r="P283" i="16" s="1"/>
  <c r="P246" i="16" s="1"/>
  <c r="P280" i="16" s="1" a="1"/>
  <c r="P280" i="16" s="1"/>
  <c r="N240" i="16"/>
  <c r="N276" i="16" s="1" a="1"/>
  <c r="N276" i="16" s="1"/>
  <c r="N239" i="16" s="1"/>
  <c r="N275" i="16" s="1" a="1"/>
  <c r="N275" i="16" s="1"/>
  <c r="N238" i="16" s="1"/>
  <c r="N274" i="16" s="1" a="1"/>
  <c r="N274" i="16" s="1"/>
  <c r="I240" i="16"/>
  <c r="I276" i="16" s="1" a="1"/>
  <c r="I276" i="16" s="1"/>
  <c r="I239" i="16" s="1"/>
  <c r="I275" i="16" s="1" a="1"/>
  <c r="I275" i="16" s="1"/>
  <c r="I238" i="16" s="1"/>
  <c r="I274" i="16" s="1" a="1"/>
  <c r="I274" i="16" s="1"/>
  <c r="K247" i="16"/>
  <c r="K281" i="16" s="1" a="1"/>
  <c r="K281" i="16" s="1"/>
  <c r="K244" i="16" s="1"/>
  <c r="K282" i="16" s="1" a="1"/>
  <c r="K282" i="16" s="1"/>
  <c r="K245" i="16" s="1"/>
  <c r="K283" i="16" s="1" a="1"/>
  <c r="K283" i="16" s="1"/>
  <c r="K246" i="16" s="1"/>
  <c r="K280" i="16" s="1" a="1"/>
  <c r="K280" i="16" s="1"/>
  <c r="Z247" i="16"/>
  <c r="Z281" i="16" s="1" a="1"/>
  <c r="Z281" i="16" s="1"/>
  <c r="Z244" i="16" s="1"/>
  <c r="Z282" i="16" s="1" a="1"/>
  <c r="Z282" i="16" s="1"/>
  <c r="Z245" i="16" s="1"/>
  <c r="Z283" i="16" s="1" a="1"/>
  <c r="Z283" i="16" s="1"/>
  <c r="Z246" i="16" s="1"/>
  <c r="Z280" i="16" s="1" a="1"/>
  <c r="Z280" i="16" s="1"/>
  <c r="AE247" i="16"/>
  <c r="AE281" i="16" s="1" a="1"/>
  <c r="AE281" i="16" s="1"/>
  <c r="AE244" i="16" s="1"/>
  <c r="AE282" i="16" s="1" a="1"/>
  <c r="AE282" i="16" s="1"/>
  <c r="AE245" i="16" s="1"/>
  <c r="AE283" i="16" s="1" a="1"/>
  <c r="AE283" i="16" s="1"/>
  <c r="AE246" i="16" s="1"/>
  <c r="AE280" i="16" s="1" a="1"/>
  <c r="AE280" i="16" s="1"/>
  <c r="U240" i="16"/>
  <c r="U276" i="16" s="1" a="1"/>
  <c r="U276" i="16" s="1"/>
  <c r="U239" i="16" s="1"/>
  <c r="U275" i="16" s="1" a="1"/>
  <c r="U275" i="16" s="1"/>
  <c r="U238" i="16" s="1"/>
  <c r="U274" i="16" s="1" a="1"/>
  <c r="U274" i="16" s="1"/>
  <c r="M247" i="16"/>
  <c r="M281" i="16" s="1" a="1"/>
  <c r="M281" i="16" s="1"/>
  <c r="M244" i="16" s="1"/>
  <c r="M282" i="16" s="1" a="1"/>
  <c r="M282" i="16" s="1"/>
  <c r="M245" i="16" s="1"/>
  <c r="M283" i="16" s="1" a="1"/>
  <c r="M283" i="16" s="1"/>
  <c r="M246" i="16" s="1"/>
  <c r="M280" i="16" s="1" a="1"/>
  <c r="M280" i="16" s="1"/>
  <c r="G247" i="16"/>
  <c r="G281" i="16" s="1" a="1"/>
  <c r="G281" i="16" s="1"/>
  <c r="G244" i="16" s="1"/>
  <c r="G282" i="16" s="1" a="1"/>
  <c r="G282" i="16" s="1"/>
  <c r="G245" i="16" s="1"/>
  <c r="G283" i="16" s="1" a="1"/>
  <c r="G283" i="16" s="1"/>
  <c r="G246" i="16" s="1"/>
  <c r="G280" i="16" s="1" a="1"/>
  <c r="G280" i="16" s="1"/>
  <c r="AA247" i="16"/>
  <c r="AA281" i="16" s="1" a="1"/>
  <c r="AA281" i="16" s="1"/>
  <c r="AA244" i="16" s="1"/>
  <c r="AA282" i="16" s="1" a="1"/>
  <c r="AA282" i="16" s="1"/>
  <c r="AA245" i="16" s="1"/>
  <c r="AA283" i="16" s="1" a="1"/>
  <c r="AA283" i="16" s="1"/>
  <c r="AA246" i="16" s="1"/>
  <c r="AA280" i="16" s="1" a="1"/>
  <c r="AA280" i="16" s="1"/>
  <c r="J247" i="16"/>
  <c r="J281" i="16" s="1" a="1"/>
  <c r="J281" i="16" s="1"/>
  <c r="J244" i="16" s="1"/>
  <c r="J282" i="16" s="1" a="1"/>
  <c r="J282" i="16" s="1"/>
  <c r="J245" i="16" s="1"/>
  <c r="J283" i="16" s="1" a="1"/>
  <c r="J283" i="16" s="1"/>
  <c r="J246" i="16" s="1"/>
  <c r="J280" i="16" s="1" a="1"/>
  <c r="J280" i="16" s="1"/>
  <c r="G219" i="16"/>
  <c r="Z234" i="16"/>
  <c r="Z270" i="16" s="1" a="1"/>
  <c r="Z270" i="16" s="1"/>
  <c r="Z233" i="16" s="1"/>
  <c r="Z269" i="16" s="1" a="1"/>
  <c r="Z269" i="16" s="1"/>
  <c r="Z232" i="16" s="1"/>
  <c r="Z268" i="16" s="1" a="1"/>
  <c r="Z268" i="16" s="1"/>
  <c r="X240" i="16"/>
  <c r="X276" i="16" s="1" a="1"/>
  <c r="X276" i="16" s="1"/>
  <c r="X239" i="16" s="1"/>
  <c r="X275" i="16" s="1" a="1"/>
  <c r="X275" i="16" s="1"/>
  <c r="X238" i="16" s="1"/>
  <c r="X274" i="16" s="1" a="1"/>
  <c r="X274" i="16" s="1"/>
  <c r="V240" i="16"/>
  <c r="V276" i="16" s="1" a="1"/>
  <c r="V276" i="16" s="1"/>
  <c r="V239" i="16" s="1"/>
  <c r="V275" i="16" s="1" a="1"/>
  <c r="V275" i="16" s="1"/>
  <c r="V238" i="16" s="1"/>
  <c r="V274" i="16" s="1" a="1"/>
  <c r="V274" i="16" s="1"/>
  <c r="I247" i="16"/>
  <c r="I281" i="16" s="1" a="1"/>
  <c r="I281" i="16" s="1"/>
  <c r="I244" i="16" s="1"/>
  <c r="I282" i="16" s="1" a="1"/>
  <c r="I282" i="16" s="1"/>
  <c r="I245" i="16" s="1"/>
  <c r="I283" i="16" s="1" a="1"/>
  <c r="I283" i="16" s="1"/>
  <c r="X247" i="16"/>
  <c r="X281" i="16" s="1" a="1"/>
  <c r="X281" i="16" s="1"/>
  <c r="X244" i="16" s="1"/>
  <c r="X282" i="16" s="1" a="1"/>
  <c r="X282" i="16" s="1"/>
  <c r="X245" i="16" s="1"/>
  <c r="X283" i="16" s="1" a="1"/>
  <c r="X283" i="16" s="1"/>
  <c r="X246" i="16" s="1"/>
  <c r="X280" i="16" s="1" a="1"/>
  <c r="X280" i="16" s="1"/>
  <c r="AA240" i="16"/>
  <c r="AA276" i="16" s="1" a="1"/>
  <c r="AA276" i="16" s="1"/>
  <c r="AA239" i="16" s="1"/>
  <c r="AA275" i="16" s="1" a="1"/>
  <c r="AA275" i="16" s="1"/>
  <c r="AA238" i="16" s="1"/>
  <c r="AA274" i="16" s="1" a="1"/>
  <c r="AA274" i="16" s="1"/>
  <c r="Z240" i="16"/>
  <c r="Z276" i="16" s="1" a="1"/>
  <c r="Z276" i="16" s="1"/>
  <c r="Z239" i="16" s="1"/>
  <c r="Z275" i="16" s="1" a="1"/>
  <c r="Z275" i="16" s="1"/>
  <c r="Z238" i="16" s="1"/>
  <c r="Z274" i="16" s="1" a="1"/>
  <c r="Z274" i="16" s="1"/>
  <c r="AE240" i="16"/>
  <c r="AE276" i="16" s="1" a="1"/>
  <c r="AE276" i="16" s="1"/>
  <c r="AE239" i="16" s="1"/>
  <c r="AE275" i="16" s="1" a="1"/>
  <c r="AE275" i="16" s="1"/>
  <c r="AE238" i="16" s="1"/>
  <c r="AE274" i="16" s="1" a="1"/>
  <c r="AE274" i="16" s="1"/>
  <c r="W240" i="16"/>
  <c r="W276" i="16" s="1" a="1"/>
  <c r="W276" i="16" s="1"/>
  <c r="W239" i="16" s="1"/>
  <c r="W275" i="16" s="1" a="1"/>
  <c r="W275" i="16" s="1"/>
  <c r="W238" i="16" s="1"/>
  <c r="W274" i="16" s="1" a="1"/>
  <c r="W274" i="16" s="1"/>
  <c r="T247" i="16"/>
  <c r="T281" i="16" s="1" a="1"/>
  <c r="T281" i="16" s="1"/>
  <c r="T244" i="16" s="1"/>
  <c r="T282" i="16" s="1" a="1"/>
  <c r="T282" i="16" s="1"/>
  <c r="T245" i="16" s="1"/>
  <c r="T283" i="16" s="1" a="1"/>
  <c r="T283" i="16" s="1"/>
  <c r="T246" i="16" s="1"/>
  <c r="T280" i="16" s="1" a="1"/>
  <c r="T280" i="16" s="1"/>
  <c r="W247" i="16"/>
  <c r="W281" i="16" s="1" a="1"/>
  <c r="W281" i="16" s="1"/>
  <c r="W244" i="16" s="1"/>
  <c r="W282" i="16" s="1" a="1"/>
  <c r="W282" i="16" s="1"/>
  <c r="W245" i="16" s="1"/>
  <c r="W283" i="16" s="1" a="1"/>
  <c r="W283" i="16" s="1"/>
  <c r="W246" i="16" s="1"/>
  <c r="W280" i="16" s="1" a="1"/>
  <c r="W280" i="16" s="1"/>
  <c r="AD247" i="16"/>
  <c r="AD281" i="16" s="1" a="1"/>
  <c r="AD281" i="16" s="1"/>
  <c r="AD244" i="16" s="1"/>
  <c r="AD282" i="16" s="1" a="1"/>
  <c r="AD282" i="16" s="1"/>
  <c r="AD245" i="16" s="1"/>
  <c r="AD283" i="16" s="1" a="1"/>
  <c r="AD283" i="16" s="1"/>
  <c r="AD246" i="16" s="1"/>
  <c r="AD280" i="16" s="1" a="1"/>
  <c r="AD280" i="16" s="1"/>
  <c r="N247" i="16"/>
  <c r="N281" i="16" s="1" a="1"/>
  <c r="N281" i="16" s="1"/>
  <c r="N244" i="16" s="1"/>
  <c r="N282" i="16" s="1" a="1"/>
  <c r="N282" i="16" s="1"/>
  <c r="N245" i="16" s="1"/>
  <c r="N283" i="16" s="1" a="1"/>
  <c r="N283" i="16" s="1"/>
  <c r="N246" i="16" s="1"/>
  <c r="N280" i="16" s="1" a="1"/>
  <c r="N280" i="16" s="1"/>
  <c r="U247" i="16"/>
  <c r="U281" i="16" s="1" a="1"/>
  <c r="U281" i="16" s="1"/>
  <c r="U244" i="16" s="1"/>
  <c r="U282" i="16" s="1" a="1"/>
  <c r="U282" i="16" s="1"/>
  <c r="U245" i="16" s="1"/>
  <c r="U283" i="16" s="1" a="1"/>
  <c r="U283" i="16" s="1"/>
  <c r="U246" i="16" s="1"/>
  <c r="U280" i="16" s="1" a="1"/>
  <c r="U280" i="16" s="1"/>
  <c r="O247" i="16"/>
  <c r="O281" i="16" s="1" a="1"/>
  <c r="O281" i="16" s="1"/>
  <c r="O244" i="16" s="1"/>
  <c r="O282" i="16" s="1" a="1"/>
  <c r="O282" i="16" s="1"/>
  <c r="O245" i="16" s="1"/>
  <c r="O283" i="16" s="1" a="1"/>
  <c r="O283" i="16" s="1"/>
  <c r="O246" i="16" s="1"/>
  <c r="O280" i="16" s="1" a="1"/>
  <c r="O280" i="16" s="1"/>
  <c r="V247" i="16"/>
  <c r="V281" i="16" s="1" a="1"/>
  <c r="V281" i="16" s="1"/>
  <c r="V244" i="16" s="1"/>
  <c r="V282" i="16" s="1" a="1"/>
  <c r="V282" i="16" s="1"/>
  <c r="V245" i="16" s="1"/>
  <c r="V283" i="16" s="1" a="1"/>
  <c r="V283" i="16" s="1"/>
  <c r="V246" i="16" s="1"/>
  <c r="V280" i="16" s="1" a="1"/>
  <c r="V280" i="16" s="1"/>
  <c r="J240" i="16"/>
  <c r="J276" i="16" s="1" a="1"/>
  <c r="J276" i="16" s="1"/>
  <c r="J239" i="16" s="1"/>
  <c r="J275" i="16" s="1" a="1"/>
  <c r="J275" i="16" s="1"/>
  <c r="J238" i="16" s="1"/>
  <c r="J274" i="16" s="1" a="1"/>
  <c r="J274" i="16" s="1"/>
  <c r="AC247" i="16"/>
  <c r="AC281" i="16" s="1" a="1"/>
  <c r="AC281" i="16" s="1"/>
  <c r="AC244" i="16" s="1"/>
  <c r="AC282" i="16" s="1" a="1"/>
  <c r="AC282" i="16" s="1"/>
  <c r="AC245" i="16" s="1"/>
  <c r="AC283" i="16" s="1" a="1"/>
  <c r="AC283" i="16" s="1"/>
  <c r="AC246" i="16" s="1"/>
  <c r="AC280" i="16" s="1" a="1"/>
  <c r="AC280" i="16" s="1"/>
  <c r="AB247" i="16"/>
  <c r="AB281" i="16" s="1" a="1"/>
  <c r="AB281" i="16" s="1"/>
  <c r="AB244" i="16" s="1"/>
  <c r="AB282" i="16" s="1" a="1"/>
  <c r="AB282" i="16" s="1"/>
  <c r="AB245" i="16" s="1"/>
  <c r="AB283" i="16" s="1" a="1"/>
  <c r="AB283" i="16" s="1"/>
  <c r="AB246" i="16" s="1"/>
  <c r="AB280" i="16" s="1" a="1"/>
  <c r="AB280" i="16" s="1"/>
  <c r="Q247" i="16"/>
  <c r="Q281" i="16" s="1" a="1"/>
  <c r="Q281" i="16" s="1"/>
  <c r="Q244" i="16" s="1"/>
  <c r="Q282" i="16" s="1" a="1"/>
  <c r="Q282" i="16" s="1"/>
  <c r="Q245" i="16" s="1"/>
  <c r="Q283" i="16" s="1" a="1"/>
  <c r="Q283" i="16" s="1"/>
  <c r="Q246" i="16" s="1"/>
  <c r="Q280" i="16" s="1" a="1"/>
  <c r="Q280" i="16" s="1"/>
  <c r="S247" i="16"/>
  <c r="S281" i="16" s="1" a="1"/>
  <c r="S281" i="16" s="1"/>
  <c r="S244" i="16" s="1"/>
  <c r="S282" i="16" s="1" a="1"/>
  <c r="S282" i="16" s="1"/>
  <c r="S245" i="16" s="1"/>
  <c r="S283" i="16" s="1" a="1"/>
  <c r="S283" i="16" s="1"/>
  <c r="S246" i="16" s="1"/>
  <c r="S280" i="16" s="1" a="1"/>
  <c r="S280" i="16" s="1"/>
  <c r="S240" i="16"/>
  <c r="S276" i="16" s="1" a="1"/>
  <c r="S276" i="16" s="1"/>
  <c r="S239" i="16" s="1"/>
  <c r="S275" i="16" s="1" a="1"/>
  <c r="S275" i="16" s="1"/>
  <c r="S238" i="16" s="1"/>
  <c r="S274" i="16" s="1" a="1"/>
  <c r="S274" i="16" s="1"/>
  <c r="AF240" i="16"/>
  <c r="AF276" i="16" s="1" a="1"/>
  <c r="AF276" i="16" s="1"/>
  <c r="AF239" i="16" s="1"/>
  <c r="AF275" i="16" s="1" a="1"/>
  <c r="AF275" i="16" s="1"/>
  <c r="AF238" i="16" s="1"/>
  <c r="AF274" i="16" s="1" a="1"/>
  <c r="AF274" i="16" s="1"/>
  <c r="AF247" i="16"/>
  <c r="AF281" i="16" s="1" a="1"/>
  <c r="AF281" i="16" s="1"/>
  <c r="AF244" i="16" s="1"/>
  <c r="AF282" i="16" s="1" a="1"/>
  <c r="AF282" i="16" s="1"/>
  <c r="AF245" i="16" s="1"/>
  <c r="AF283" i="16" s="1" a="1"/>
  <c r="AF283" i="16" s="1"/>
  <c r="AF246" i="16" s="1"/>
  <c r="AF280" i="16" s="1" a="1"/>
  <c r="AF280" i="16" s="1"/>
  <c r="G214" i="16"/>
  <c r="G251" i="16" s="1"/>
  <c r="G215" i="16"/>
  <c r="G216" i="16"/>
  <c r="L240" i="16"/>
  <c r="L276" i="16" s="1" a="1"/>
  <c r="L276" i="16" s="1"/>
  <c r="L239" i="16" s="1"/>
  <c r="L275" i="16" s="1" a="1"/>
  <c r="L275" i="16" s="1"/>
  <c r="L238" i="16" s="1"/>
  <c r="L274" i="16" s="1" a="1"/>
  <c r="L274" i="16" s="1"/>
  <c r="O240" i="16"/>
  <c r="O276" i="16" s="1" a="1"/>
  <c r="O276" i="16" s="1"/>
  <c r="O239" i="16" s="1"/>
  <c r="O275" i="16" s="1" a="1"/>
  <c r="O275" i="16" s="1"/>
  <c r="O238" i="16" s="1"/>
  <c r="O274" i="16" s="1" a="1"/>
  <c r="O274" i="16" s="1"/>
  <c r="P240" i="16"/>
  <c r="P276" i="16" s="1" a="1"/>
  <c r="P276" i="16" s="1"/>
  <c r="P239" i="16" s="1"/>
  <c r="P275" i="16" s="1" a="1"/>
  <c r="P275" i="16" s="1"/>
  <c r="P238" i="16" s="1"/>
  <c r="P274" i="16" s="1" a="1"/>
  <c r="P274" i="16" s="1"/>
  <c r="H364" i="16"/>
  <c r="H374" i="16" s="1"/>
  <c r="Q240" i="16"/>
  <c r="Q276" i="16" s="1" a="1"/>
  <c r="Q276" i="16" s="1"/>
  <c r="Q239" i="16" s="1"/>
  <c r="Q275" i="16" s="1" a="1"/>
  <c r="Q275" i="16" s="1"/>
  <c r="Q238" i="16" s="1"/>
  <c r="Q274" i="16" s="1" a="1"/>
  <c r="Q274" i="16" s="1"/>
  <c r="T228" i="16"/>
  <c r="T264" i="16" s="1" a="1"/>
  <c r="T264" i="16" s="1"/>
  <c r="T227" i="16" s="1"/>
  <c r="T263" i="16" s="1" a="1"/>
  <c r="T263" i="16" s="1"/>
  <c r="T226" i="16" s="1"/>
  <c r="T262" i="16" s="1" a="1"/>
  <c r="T262" i="16" s="1"/>
  <c r="X234" i="16"/>
  <c r="X270" i="16" s="1" a="1"/>
  <c r="X270" i="16" s="1"/>
  <c r="X233" i="16" s="1"/>
  <c r="X269" i="16" s="1" a="1"/>
  <c r="X269" i="16" s="1"/>
  <c r="X232" i="16" s="1"/>
  <c r="X268" i="16" s="1" a="1"/>
  <c r="X268" i="16" s="1"/>
  <c r="N234" i="16"/>
  <c r="N270" i="16" s="1" a="1"/>
  <c r="N270" i="16" s="1"/>
  <c r="N233" i="16" s="1"/>
  <c r="N269" i="16" s="1" a="1"/>
  <c r="N269" i="16" s="1"/>
  <c r="N232" i="16" s="1"/>
  <c r="N268" i="16" s="1" a="1"/>
  <c r="N268" i="16" s="1"/>
  <c r="AE234" i="16"/>
  <c r="AE270" i="16" s="1" a="1"/>
  <c r="AE270" i="16" s="1"/>
  <c r="AE233" i="16" s="1"/>
  <c r="AE269" i="16" s="1" a="1"/>
  <c r="AE269" i="16" s="1"/>
  <c r="AE232" i="16" s="1"/>
  <c r="AE268" i="16" s="1" a="1"/>
  <c r="AE268" i="16" s="1"/>
  <c r="K240" i="16"/>
  <c r="K276" i="16" s="1" a="1"/>
  <c r="K276" i="16" s="1"/>
  <c r="K239" i="16" s="1"/>
  <c r="K275" i="16" s="1" a="1"/>
  <c r="K275" i="16" s="1"/>
  <c r="K238" i="16" s="1"/>
  <c r="K274" i="16" s="1" a="1"/>
  <c r="K274" i="16" s="1"/>
  <c r="G228" i="16"/>
  <c r="G264" i="16" s="1" a="1"/>
  <c r="G264" i="16" s="1"/>
  <c r="G227" i="16" s="1"/>
  <c r="G263" i="16" s="1" a="1"/>
  <c r="G263" i="16" s="1"/>
  <c r="G226" i="16" s="1"/>
  <c r="G262" i="16" s="1" a="1"/>
  <c r="G262" i="16" s="1"/>
  <c r="Y234" i="16"/>
  <c r="Y270" i="16" s="1" a="1"/>
  <c r="Y270" i="16" s="1"/>
  <c r="Y233" i="16" s="1"/>
  <c r="Y269" i="16" s="1" a="1"/>
  <c r="Y269" i="16" s="1"/>
  <c r="Y232" i="16" s="1"/>
  <c r="Y268" i="16" s="1" a="1"/>
  <c r="Y268" i="16" s="1"/>
  <c r="Y240" i="16"/>
  <c r="Y276" i="16" s="1" a="1"/>
  <c r="Y276" i="16" s="1"/>
  <c r="Y239" i="16" s="1"/>
  <c r="Y275" i="16" s="1" a="1"/>
  <c r="Y275" i="16" s="1"/>
  <c r="Y238" i="16" s="1"/>
  <c r="Y274" i="16" s="1" a="1"/>
  <c r="Y274" i="16" s="1"/>
  <c r="T240" i="16"/>
  <c r="T276" i="16" s="1" a="1"/>
  <c r="T276" i="16" s="1"/>
  <c r="T239" i="16" s="1"/>
  <c r="T275" i="16" s="1" a="1"/>
  <c r="T275" i="16" s="1"/>
  <c r="T238" i="16" s="1"/>
  <c r="T274" i="16" s="1" a="1"/>
  <c r="T274" i="16" s="1"/>
  <c r="AD240" i="16"/>
  <c r="AD276" i="16" s="1" a="1"/>
  <c r="AD276" i="16" s="1"/>
  <c r="AD239" i="16" s="1"/>
  <c r="AD275" i="16" s="1" a="1"/>
  <c r="AD275" i="16" s="1"/>
  <c r="AD238" i="16" s="1"/>
  <c r="AD274" i="16" s="1" a="1"/>
  <c r="AD274" i="16" s="1"/>
  <c r="M240" i="16"/>
  <c r="M276" i="16" s="1" a="1"/>
  <c r="M276" i="16" s="1"/>
  <c r="M239" i="16" s="1"/>
  <c r="M275" i="16" s="1" a="1"/>
  <c r="M275" i="16" s="1"/>
  <c r="M238" i="16" s="1"/>
  <c r="M274" i="16" s="1" a="1"/>
  <c r="M274" i="16" s="1"/>
  <c r="H240" i="16"/>
  <c r="H276" i="16" s="1" a="1"/>
  <c r="H276" i="16" s="1"/>
  <c r="H349" i="16" s="1"/>
  <c r="G234" i="16"/>
  <c r="G270" i="16" s="1" a="1"/>
  <c r="G270" i="16" s="1"/>
  <c r="G233" i="16" s="1"/>
  <c r="G269" i="16" s="1" a="1"/>
  <c r="G269" i="16" s="1"/>
  <c r="G232" i="16" s="1"/>
  <c r="G268" i="16" s="1" a="1"/>
  <c r="G268" i="16" s="1"/>
  <c r="O234" i="16"/>
  <c r="O270" i="16" s="1" a="1"/>
  <c r="O270" i="16" s="1"/>
  <c r="O233" i="16" s="1"/>
  <c r="O269" i="16" s="1" a="1"/>
  <c r="O269" i="16" s="1"/>
  <c r="O232" i="16" s="1"/>
  <c r="O268" i="16" s="1" a="1"/>
  <c r="O268" i="16" s="1"/>
  <c r="J228" i="16"/>
  <c r="J264" i="16" s="1" a="1"/>
  <c r="J264" i="16" s="1"/>
  <c r="J227" i="16" s="1"/>
  <c r="J263" i="16" s="1" a="1"/>
  <c r="J263" i="16" s="1"/>
  <c r="J226" i="16" s="1"/>
  <c r="J262" i="16" s="1" a="1"/>
  <c r="J262" i="16" s="1"/>
  <c r="X228" i="16"/>
  <c r="X264" i="16" s="1" a="1"/>
  <c r="X264" i="16" s="1"/>
  <c r="X227" i="16" s="1"/>
  <c r="X263" i="16" s="1" a="1"/>
  <c r="X263" i="16" s="1"/>
  <c r="X226" i="16" s="1"/>
  <c r="X262" i="16" s="1" a="1"/>
  <c r="X262" i="16" s="1"/>
  <c r="U234" i="16"/>
  <c r="U270" i="16" s="1" a="1"/>
  <c r="U270" i="16" s="1"/>
  <c r="U233" i="16" s="1"/>
  <c r="U269" i="16" s="1" a="1"/>
  <c r="U269" i="16" s="1"/>
  <c r="U232" i="16" s="1"/>
  <c r="U268" i="16" s="1" a="1"/>
  <c r="U268" i="16" s="1"/>
  <c r="W234" i="16"/>
  <c r="W270" i="16" s="1" a="1"/>
  <c r="W270" i="16" s="1"/>
  <c r="W233" i="16" s="1"/>
  <c r="W269" i="16" s="1" a="1"/>
  <c r="W269" i="16" s="1"/>
  <c r="W232" i="16" s="1"/>
  <c r="W268" i="16" s="1" a="1"/>
  <c r="W268" i="16" s="1"/>
  <c r="V228" i="16"/>
  <c r="V264" i="16" s="1" a="1"/>
  <c r="V264" i="16" s="1"/>
  <c r="V227" i="16" s="1"/>
  <c r="V263" i="16" s="1" a="1"/>
  <c r="V263" i="16" s="1"/>
  <c r="V226" i="16" s="1"/>
  <c r="V262" i="16" s="1" a="1"/>
  <c r="V262" i="16" s="1"/>
  <c r="L228" i="16"/>
  <c r="L264" i="16" s="1" a="1"/>
  <c r="L264" i="16" s="1"/>
  <c r="L227" i="16" s="1"/>
  <c r="L263" i="16" s="1" a="1"/>
  <c r="L263" i="16" s="1"/>
  <c r="L226" i="16" s="1"/>
  <c r="L262" i="16" s="1" a="1"/>
  <c r="L262" i="16" s="1"/>
  <c r="P234" i="16"/>
  <c r="P270" i="16" s="1" a="1"/>
  <c r="P270" i="16" s="1"/>
  <c r="P233" i="16" s="1"/>
  <c r="P269" i="16" s="1" a="1"/>
  <c r="P269" i="16" s="1"/>
  <c r="P232" i="16" s="1"/>
  <c r="P268" i="16" s="1" a="1"/>
  <c r="P268" i="16" s="1"/>
  <c r="Z228" i="16"/>
  <c r="Z264" i="16" s="1" a="1"/>
  <c r="Z264" i="16" s="1"/>
  <c r="Z227" i="16" s="1"/>
  <c r="Z263" i="16" s="1" a="1"/>
  <c r="Z263" i="16" s="1"/>
  <c r="Z226" i="16" s="1"/>
  <c r="Z262" i="16" s="1" a="1"/>
  <c r="Z262" i="16" s="1"/>
  <c r="AD234" i="16"/>
  <c r="AD270" i="16" s="1" a="1"/>
  <c r="AD270" i="16" s="1"/>
  <c r="AD233" i="16" s="1"/>
  <c r="AD269" i="16" s="1" a="1"/>
  <c r="AD269" i="16" s="1"/>
  <c r="AD232" i="16" s="1"/>
  <c r="AD268" i="16" s="1" a="1"/>
  <c r="AD268" i="16" s="1"/>
  <c r="S234" i="16"/>
  <c r="S270" i="16" s="1" a="1"/>
  <c r="S270" i="16" s="1"/>
  <c r="S233" i="16" s="1"/>
  <c r="S269" i="16" s="1" a="1"/>
  <c r="S269" i="16" s="1"/>
  <c r="S232" i="16" s="1"/>
  <c r="S268" i="16" s="1" a="1"/>
  <c r="S268" i="16" s="1"/>
  <c r="H234" i="16"/>
  <c r="H270" i="16" s="1" a="1"/>
  <c r="H270" i="16" s="1"/>
  <c r="H343" i="16" s="1"/>
  <c r="N228" i="16"/>
  <c r="N264" i="16" s="1" a="1"/>
  <c r="N264" i="16" s="1"/>
  <c r="N227" i="16" s="1"/>
  <c r="N263" i="16" s="1" a="1"/>
  <c r="N263" i="16" s="1"/>
  <c r="N226" i="16" s="1"/>
  <c r="N262" i="16" s="1" a="1"/>
  <c r="N262" i="16" s="1"/>
  <c r="AD228" i="16"/>
  <c r="AD264" i="16" s="1" a="1"/>
  <c r="AD264" i="16" s="1"/>
  <c r="AD227" i="16" s="1"/>
  <c r="AD263" i="16" s="1" a="1"/>
  <c r="AD263" i="16" s="1"/>
  <c r="AD226" i="16" s="1"/>
  <c r="AD262" i="16" s="1" a="1"/>
  <c r="AD262" i="16" s="1"/>
  <c r="U228" i="16"/>
  <c r="U264" i="16" s="1" a="1"/>
  <c r="U264" i="16" s="1"/>
  <c r="U227" i="16" s="1"/>
  <c r="U263" i="16" s="1" a="1"/>
  <c r="U263" i="16" s="1"/>
  <c r="U226" i="16" s="1"/>
  <c r="U262" i="16" s="1" a="1"/>
  <c r="U262" i="16" s="1"/>
  <c r="K228" i="16"/>
  <c r="K264" i="16" s="1" a="1"/>
  <c r="K264" i="16" s="1"/>
  <c r="K227" i="16" s="1"/>
  <c r="K263" i="16" s="1" a="1"/>
  <c r="K263" i="16" s="1"/>
  <c r="K226" i="16" s="1"/>
  <c r="K262" i="16" s="1" a="1"/>
  <c r="K262" i="16" s="1"/>
  <c r="R228" i="16"/>
  <c r="R264" i="16" s="1" a="1"/>
  <c r="R264" i="16" s="1"/>
  <c r="R227" i="16" s="1"/>
  <c r="R263" i="16" s="1" a="1"/>
  <c r="R263" i="16" s="1"/>
  <c r="R226" i="16" s="1"/>
  <c r="R262" i="16" s="1" a="1"/>
  <c r="R262" i="16" s="1"/>
  <c r="T234" i="16"/>
  <c r="T270" i="16" s="1" a="1"/>
  <c r="T270" i="16" s="1"/>
  <c r="T233" i="16" s="1"/>
  <c r="T269" i="16" s="1" a="1"/>
  <c r="T269" i="16" s="1"/>
  <c r="T232" i="16" s="1"/>
  <c r="T268" i="16" s="1" a="1"/>
  <c r="T268" i="16" s="1"/>
  <c r="O228" i="16"/>
  <c r="O264" i="16" s="1" a="1"/>
  <c r="O264" i="16" s="1"/>
  <c r="O227" i="16" s="1"/>
  <c r="O263" i="16" s="1" a="1"/>
  <c r="O263" i="16" s="1"/>
  <c r="O226" i="16" s="1"/>
  <c r="O262" i="16" s="1" a="1"/>
  <c r="O262" i="16" s="1"/>
  <c r="AA228" i="16"/>
  <c r="AA264" i="16" s="1" a="1"/>
  <c r="AA264" i="16" s="1"/>
  <c r="AA227" i="16" s="1"/>
  <c r="AA263" i="16" s="1" a="1"/>
  <c r="AA263" i="16" s="1"/>
  <c r="AA226" i="16" s="1"/>
  <c r="AA262" i="16" s="1" a="1"/>
  <c r="AA262" i="16" s="1"/>
  <c r="M234" i="16"/>
  <c r="M270" i="16" s="1" a="1"/>
  <c r="M270" i="16" s="1"/>
  <c r="M233" i="16" s="1"/>
  <c r="M269" i="16" s="1" a="1"/>
  <c r="M269" i="16" s="1"/>
  <c r="M232" i="16" s="1"/>
  <c r="M268" i="16" s="1" a="1"/>
  <c r="M268" i="16" s="1"/>
  <c r="P228" i="16"/>
  <c r="P264" i="16" s="1" a="1"/>
  <c r="P264" i="16" s="1"/>
  <c r="P227" i="16" s="1"/>
  <c r="P263" i="16" s="1" a="1"/>
  <c r="P263" i="16" s="1"/>
  <c r="P226" i="16" s="1"/>
  <c r="P262" i="16" s="1" a="1"/>
  <c r="P262" i="16" s="1"/>
  <c r="J234" i="16"/>
  <c r="J270" i="16" s="1" a="1"/>
  <c r="J270" i="16" s="1"/>
  <c r="J233" i="16" s="1"/>
  <c r="J269" i="16" s="1" a="1"/>
  <c r="J269" i="16" s="1"/>
  <c r="J232" i="16" s="1"/>
  <c r="J268" i="16" s="1" a="1"/>
  <c r="J268" i="16" s="1"/>
  <c r="I228" i="16"/>
  <c r="I264" i="16" s="1" a="1"/>
  <c r="I264" i="16" s="1"/>
  <c r="AF228" i="16"/>
  <c r="AF264" i="16" s="1" a="1"/>
  <c r="AF264" i="16" s="1"/>
  <c r="AF227" i="16" s="1"/>
  <c r="AF263" i="16" s="1" a="1"/>
  <c r="AF263" i="16" s="1"/>
  <c r="AF226" i="16" s="1"/>
  <c r="AF262" i="16" s="1" a="1"/>
  <c r="AF262" i="16" s="1"/>
  <c r="L234" i="16"/>
  <c r="L270" i="16" s="1" a="1"/>
  <c r="L270" i="16" s="1"/>
  <c r="L233" i="16" s="1"/>
  <c r="L269" i="16" s="1" a="1"/>
  <c r="L269" i="16" s="1"/>
  <c r="L232" i="16" s="1"/>
  <c r="L268" i="16" s="1" a="1"/>
  <c r="L268" i="16" s="1"/>
  <c r="AE228" i="16"/>
  <c r="AE264" i="16" s="1" a="1"/>
  <c r="AE264" i="16" s="1"/>
  <c r="AE227" i="16" s="1"/>
  <c r="AE263" i="16" s="1" a="1"/>
  <c r="AE263" i="16" s="1"/>
  <c r="AE226" i="16" s="1"/>
  <c r="AE262" i="16" s="1" a="1"/>
  <c r="AE262" i="16" s="1"/>
  <c r="Q234" i="16"/>
  <c r="Q270" i="16" s="1" a="1"/>
  <c r="Q270" i="16" s="1"/>
  <c r="Q233" i="16" s="1"/>
  <c r="Q269" i="16" s="1" a="1"/>
  <c r="Q269" i="16" s="1"/>
  <c r="Q232" i="16" s="1"/>
  <c r="Q268" i="16" s="1" a="1"/>
  <c r="Q268" i="16" s="1"/>
  <c r="Q228" i="16"/>
  <c r="Q264" i="16" s="1" a="1"/>
  <c r="Q264" i="16" s="1"/>
  <c r="Q227" i="16" s="1"/>
  <c r="Q263" i="16" s="1" a="1"/>
  <c r="Q263" i="16" s="1"/>
  <c r="Q226" i="16" s="1"/>
  <c r="Q262" i="16" s="1" a="1"/>
  <c r="Q262" i="16" s="1"/>
  <c r="Y228" i="16"/>
  <c r="Y264" i="16" s="1" a="1"/>
  <c r="Y264" i="16" s="1"/>
  <c r="Y227" i="16" s="1"/>
  <c r="Y263" i="16" s="1" a="1"/>
  <c r="Y263" i="16" s="1"/>
  <c r="Y226" i="16" s="1"/>
  <c r="Y262" i="16" s="1" a="1"/>
  <c r="Y262" i="16" s="1"/>
  <c r="V234" i="16"/>
  <c r="V270" i="16" s="1" a="1"/>
  <c r="V270" i="16" s="1"/>
  <c r="V233" i="16" s="1"/>
  <c r="V269" i="16" s="1" a="1"/>
  <c r="V269" i="16" s="1"/>
  <c r="V232" i="16" s="1"/>
  <c r="V268" i="16" s="1" a="1"/>
  <c r="V268" i="16" s="1"/>
  <c r="R234" i="16"/>
  <c r="R270" i="16" s="1" a="1"/>
  <c r="R270" i="16" s="1"/>
  <c r="R233" i="16" s="1"/>
  <c r="R269" i="16" s="1" a="1"/>
  <c r="R269" i="16" s="1"/>
  <c r="R232" i="16" s="1"/>
  <c r="R268" i="16" s="1" a="1"/>
  <c r="R268" i="16" s="1"/>
  <c r="W228" i="16"/>
  <c r="W264" i="16" s="1" a="1"/>
  <c r="W264" i="16" s="1"/>
  <c r="W227" i="16" s="1"/>
  <c r="W263" i="16" s="1" a="1"/>
  <c r="W263" i="16" s="1"/>
  <c r="W226" i="16" s="1"/>
  <c r="W262" i="16" s="1" a="1"/>
  <c r="W262" i="16" s="1"/>
  <c r="M228" i="16"/>
  <c r="M264" i="16" s="1" a="1"/>
  <c r="M264" i="16" s="1"/>
  <c r="M227" i="16" s="1"/>
  <c r="M263" i="16" s="1" a="1"/>
  <c r="M263" i="16" s="1"/>
  <c r="M226" i="16" s="1"/>
  <c r="M262" i="16" s="1" a="1"/>
  <c r="M262" i="16" s="1"/>
  <c r="K234" i="16"/>
  <c r="K270" i="16" s="1" a="1"/>
  <c r="K270" i="16" s="1"/>
  <c r="K233" i="16" s="1"/>
  <c r="K269" i="16" s="1" a="1"/>
  <c r="K269" i="16" s="1"/>
  <c r="K232" i="16" s="1"/>
  <c r="K268" i="16" s="1" a="1"/>
  <c r="K268" i="16" s="1"/>
  <c r="AC234" i="16"/>
  <c r="AC270" i="16" s="1" a="1"/>
  <c r="AC270" i="16" s="1"/>
  <c r="AC233" i="16" s="1"/>
  <c r="AC269" i="16" s="1" a="1"/>
  <c r="AC269" i="16" s="1"/>
  <c r="AC232" i="16" s="1"/>
  <c r="AC268" i="16" s="1" a="1"/>
  <c r="AC268" i="16" s="1"/>
  <c r="H228" i="16"/>
  <c r="H264" i="16" s="1" a="1"/>
  <c r="H264" i="16" s="1"/>
  <c r="H337" i="16" s="1"/>
  <c r="AF234" i="16"/>
  <c r="AF270" i="16" s="1" a="1"/>
  <c r="AF270" i="16" s="1"/>
  <c r="AF233" i="16" s="1"/>
  <c r="AF269" i="16" s="1" a="1"/>
  <c r="AF269" i="16" s="1"/>
  <c r="AF232" i="16" s="1"/>
  <c r="AF268" i="16" s="1" a="1"/>
  <c r="AF268" i="16" s="1"/>
  <c r="AA234" i="16"/>
  <c r="AA270" i="16" s="1" a="1"/>
  <c r="AA270" i="16" s="1"/>
  <c r="AA233" i="16" s="1"/>
  <c r="AA269" i="16" s="1" a="1"/>
  <c r="AA269" i="16" s="1"/>
  <c r="AA232" i="16" s="1"/>
  <c r="AA268" i="16" s="1" a="1"/>
  <c r="AA268" i="16" s="1"/>
  <c r="AC228" i="16"/>
  <c r="AC264" i="16" s="1" a="1"/>
  <c r="AC264" i="16" s="1"/>
  <c r="AC227" i="16" s="1"/>
  <c r="AC263" i="16" s="1" a="1"/>
  <c r="AC263" i="16" s="1"/>
  <c r="AC226" i="16" s="1"/>
  <c r="AC262" i="16" s="1" a="1"/>
  <c r="AC262" i="16" s="1"/>
  <c r="AB234" i="16"/>
  <c r="AB270" i="16" s="1" a="1"/>
  <c r="AB270" i="16" s="1"/>
  <c r="AB233" i="16" s="1"/>
  <c r="AB269" i="16" s="1" a="1"/>
  <c r="AB269" i="16" s="1"/>
  <c r="AB232" i="16" s="1"/>
  <c r="AB268" i="16" s="1" a="1"/>
  <c r="AB268" i="16" s="1"/>
  <c r="AB228" i="16"/>
  <c r="AB264" i="16" s="1" a="1"/>
  <c r="AB264" i="16" s="1"/>
  <c r="AB227" i="16" s="1"/>
  <c r="AB263" i="16" s="1" a="1"/>
  <c r="AB263" i="16" s="1"/>
  <c r="AB226" i="16" s="1"/>
  <c r="AB262" i="16" s="1" a="1"/>
  <c r="AB262" i="16" s="1"/>
  <c r="S228" i="16"/>
  <c r="S264" i="16" s="1" a="1"/>
  <c r="S264" i="16" s="1"/>
  <c r="S227" i="16" s="1"/>
  <c r="S263" i="16" s="1" a="1"/>
  <c r="S263" i="16" s="1"/>
  <c r="S226" i="16" s="1"/>
  <c r="S262" i="16" s="1" a="1"/>
  <c r="S262" i="16" s="1"/>
  <c r="I234" i="16"/>
  <c r="I270" i="16" s="1" a="1"/>
  <c r="I270" i="16" s="1"/>
  <c r="I233" i="16" s="1"/>
  <c r="I269" i="16" s="1" a="1"/>
  <c r="I269" i="16" s="1"/>
  <c r="H34" i="14" l="1"/>
  <c r="I324" i="16" s="1"/>
  <c r="I360" i="16" s="1"/>
  <c r="H70" i="14"/>
  <c r="H39" i="14"/>
  <c r="I39" i="19" s="1"/>
  <c r="I75" i="19" s="1"/>
  <c r="F215" i="12"/>
  <c r="H73" i="14"/>
  <c r="H121" i="14"/>
  <c r="H12" i="14"/>
  <c r="I302" i="16" s="1"/>
  <c r="H37" i="14"/>
  <c r="I37" i="19" s="1"/>
  <c r="I73" i="19" s="1"/>
  <c r="F214" i="12"/>
  <c r="N234" i="12"/>
  <c r="N270" i="12" s="1"/>
  <c r="N233" i="12" s="1"/>
  <c r="N269" i="12" s="1"/>
  <c r="N232" i="12" s="1"/>
  <c r="N268" i="12" s="1"/>
  <c r="AC240" i="12"/>
  <c r="AC276" i="12" s="1"/>
  <c r="AC239" i="12" s="1"/>
  <c r="AC275" i="12" s="1"/>
  <c r="AC238" i="12" s="1"/>
  <c r="AC274" i="12" s="1"/>
  <c r="H145" i="14"/>
  <c r="H36" i="14"/>
  <c r="I326" i="16" s="1"/>
  <c r="I362" i="16" s="1"/>
  <c r="H71" i="14"/>
  <c r="L247" i="12"/>
  <c r="L281" i="12" s="1"/>
  <c r="L244" i="12" s="1"/>
  <c r="L282" i="12" s="1"/>
  <c r="L245" i="12" s="1"/>
  <c r="L283" i="12" s="1"/>
  <c r="L246" i="12" s="1"/>
  <c r="L280" i="12" s="1"/>
  <c r="H60" i="14"/>
  <c r="H148" i="14"/>
  <c r="R247" i="12"/>
  <c r="R281" i="12" s="1"/>
  <c r="R244" i="12" s="1"/>
  <c r="R282" i="12" s="1"/>
  <c r="R245" i="12" s="1"/>
  <c r="R283" i="12" s="1"/>
  <c r="R246" i="12" s="1"/>
  <c r="R280" i="12" s="1"/>
  <c r="G234" i="12"/>
  <c r="G270" i="12" s="1"/>
  <c r="G343" i="12" s="1"/>
  <c r="H17" i="14" s="1"/>
  <c r="J228" i="12"/>
  <c r="H54" i="14"/>
  <c r="H35" i="14"/>
  <c r="H325" i="12" s="1"/>
  <c r="H361" i="12" s="1"/>
  <c r="AB228" i="12"/>
  <c r="H133" i="14"/>
  <c r="G364" i="12"/>
  <c r="H38" i="14" s="1"/>
  <c r="H18" i="14"/>
  <c r="H308" i="12" s="1"/>
  <c r="U240" i="12"/>
  <c r="U276" i="12" s="1"/>
  <c r="U239" i="12" s="1"/>
  <c r="U275" i="12" s="1"/>
  <c r="U238" i="12" s="1"/>
  <c r="U274" i="12" s="1"/>
  <c r="Z240" i="12"/>
  <c r="Z276" i="12" s="1"/>
  <c r="Z239" i="12" s="1"/>
  <c r="Z275" i="12" s="1"/>
  <c r="Z238" i="12" s="1"/>
  <c r="Z274" i="12" s="1"/>
  <c r="W247" i="12"/>
  <c r="W281" i="12" s="1"/>
  <c r="W244" i="12" s="1"/>
  <c r="W282" i="12" s="1"/>
  <c r="W245" i="12" s="1"/>
  <c r="W283" i="12" s="1"/>
  <c r="W246" i="12" s="1"/>
  <c r="W280" i="12" s="1"/>
  <c r="I234" i="12"/>
  <c r="I270" i="12" s="1"/>
  <c r="I233" i="12" s="1"/>
  <c r="I269" i="12" s="1"/>
  <c r="I232" i="12" s="1"/>
  <c r="I268" i="12" s="1"/>
  <c r="V234" i="12"/>
  <c r="V270" i="12" s="1"/>
  <c r="V233" i="12" s="1"/>
  <c r="V269" i="12" s="1"/>
  <c r="V232" i="12" s="1"/>
  <c r="V268" i="12" s="1"/>
  <c r="X240" i="12"/>
  <c r="X276" i="12" s="1"/>
  <c r="X239" i="12" s="1"/>
  <c r="X275" i="12" s="1"/>
  <c r="X238" i="12" s="1"/>
  <c r="X274" i="12" s="1"/>
  <c r="H234" i="12"/>
  <c r="H270" i="12" s="1"/>
  <c r="H233" i="12" s="1"/>
  <c r="H269" i="12" s="1"/>
  <c r="P234" i="12"/>
  <c r="P270" i="12" s="1"/>
  <c r="P233" i="12" s="1"/>
  <c r="P269" i="12" s="1"/>
  <c r="P232" i="12" s="1"/>
  <c r="P268" i="12" s="1"/>
  <c r="K247" i="12"/>
  <c r="K281" i="12" s="1"/>
  <c r="K244" i="12" s="1"/>
  <c r="K282" i="12" s="1"/>
  <c r="K245" i="12" s="1"/>
  <c r="K283" i="12" s="1"/>
  <c r="K246" i="12" s="1"/>
  <c r="K280" i="12" s="1"/>
  <c r="G228" i="12"/>
  <c r="V247" i="12"/>
  <c r="V281" i="12" s="1"/>
  <c r="V244" i="12" s="1"/>
  <c r="V282" i="12" s="1"/>
  <c r="V245" i="12" s="1"/>
  <c r="V283" i="12" s="1"/>
  <c r="V246" i="12" s="1"/>
  <c r="V280" i="12" s="1"/>
  <c r="AE247" i="12"/>
  <c r="AE281" i="12" s="1"/>
  <c r="AE244" i="12" s="1"/>
  <c r="AE282" i="12" s="1"/>
  <c r="AE245" i="12" s="1"/>
  <c r="AE283" i="12" s="1"/>
  <c r="AE246" i="12" s="1"/>
  <c r="AE280" i="12" s="1"/>
  <c r="P247" i="12"/>
  <c r="P281" i="12" s="1"/>
  <c r="P244" i="12" s="1"/>
  <c r="P282" i="12" s="1"/>
  <c r="P245" i="12" s="1"/>
  <c r="P283" i="12" s="1"/>
  <c r="P246" i="12" s="1"/>
  <c r="P280" i="12" s="1"/>
  <c r="G247" i="12"/>
  <c r="G281" i="12" s="1"/>
  <c r="G354" i="12" s="1"/>
  <c r="H28" i="14" s="1"/>
  <c r="H67" i="14"/>
  <c r="H31" i="14"/>
  <c r="H321" i="12" s="1"/>
  <c r="O247" i="12"/>
  <c r="O281" i="12" s="1"/>
  <c r="O244" i="12" s="1"/>
  <c r="O282" i="12" s="1"/>
  <c r="O245" i="12" s="1"/>
  <c r="O283" i="12" s="1"/>
  <c r="O246" i="12" s="1"/>
  <c r="O280" i="12" s="1"/>
  <c r="I247" i="12"/>
  <c r="I281" i="12" s="1"/>
  <c r="I244" i="12" s="1"/>
  <c r="I282" i="12" s="1"/>
  <c r="I245" i="12" s="1"/>
  <c r="I283" i="12" s="1"/>
  <c r="I246" i="12" s="1"/>
  <c r="I280" i="12" s="1"/>
  <c r="F234" i="12"/>
  <c r="F270" i="12" s="1"/>
  <c r="F233" i="12" s="1"/>
  <c r="F269" i="12" s="1"/>
  <c r="F232" i="12" s="1"/>
  <c r="F268" i="12" s="1"/>
  <c r="AB240" i="12"/>
  <c r="AB276" i="12" s="1"/>
  <c r="AB239" i="12" s="1"/>
  <c r="AB275" i="12" s="1"/>
  <c r="AB238" i="12" s="1"/>
  <c r="AB274" i="12" s="1"/>
  <c r="S234" i="12"/>
  <c r="S270" i="12" s="1"/>
  <c r="S233" i="12" s="1"/>
  <c r="S269" i="12" s="1"/>
  <c r="S232" i="12" s="1"/>
  <c r="S268" i="12" s="1"/>
  <c r="K234" i="12"/>
  <c r="K270" i="12" s="1"/>
  <c r="K233" i="12" s="1"/>
  <c r="K269" i="12" s="1"/>
  <c r="K232" i="12" s="1"/>
  <c r="K268" i="12" s="1"/>
  <c r="J234" i="12"/>
  <c r="J270" i="12" s="1"/>
  <c r="J233" i="12" s="1"/>
  <c r="J269" i="12" s="1"/>
  <c r="J232" i="12" s="1"/>
  <c r="J268" i="12" s="1"/>
  <c r="AB247" i="12"/>
  <c r="AB281" i="12" s="1"/>
  <c r="AB244" i="12" s="1"/>
  <c r="AB282" i="12" s="1"/>
  <c r="AB245" i="12" s="1"/>
  <c r="AB283" i="12" s="1"/>
  <c r="AB246" i="12" s="1"/>
  <c r="AB280" i="12" s="1"/>
  <c r="L234" i="12"/>
  <c r="L270" i="12" s="1"/>
  <c r="L233" i="12" s="1"/>
  <c r="L269" i="12" s="1"/>
  <c r="L232" i="12" s="1"/>
  <c r="L268" i="12" s="1"/>
  <c r="R240" i="12"/>
  <c r="R276" i="12" s="1"/>
  <c r="R239" i="12" s="1"/>
  <c r="R275" i="12" s="1"/>
  <c r="R238" i="12" s="1"/>
  <c r="R274" i="12" s="1"/>
  <c r="S247" i="12"/>
  <c r="S281" i="12" s="1"/>
  <c r="S244" i="12" s="1"/>
  <c r="S282" i="12" s="1"/>
  <c r="S245" i="12" s="1"/>
  <c r="S283" i="12" s="1"/>
  <c r="S246" i="12" s="1"/>
  <c r="S280" i="12" s="1"/>
  <c r="AD247" i="12"/>
  <c r="AD281" i="12" s="1"/>
  <c r="AD244" i="12" s="1"/>
  <c r="AD282" i="12" s="1"/>
  <c r="AD245" i="12" s="1"/>
  <c r="AD283" i="12" s="1"/>
  <c r="AD246" i="12" s="1"/>
  <c r="AD280" i="12" s="1"/>
  <c r="H244" i="16"/>
  <c r="H282" i="16" s="1" a="1"/>
  <c r="H282" i="16" s="1"/>
  <c r="H355" i="16" s="1"/>
  <c r="X247" i="12"/>
  <c r="X281" i="12" s="1"/>
  <c r="X244" i="12" s="1"/>
  <c r="X282" i="12" s="1"/>
  <c r="X245" i="12" s="1"/>
  <c r="X283" i="12" s="1"/>
  <c r="X246" i="12" s="1"/>
  <c r="X280" i="12" s="1"/>
  <c r="AE234" i="12"/>
  <c r="AE270" i="12" s="1"/>
  <c r="AE233" i="12" s="1"/>
  <c r="AE269" i="12" s="1"/>
  <c r="AE232" i="12" s="1"/>
  <c r="AE268" i="12" s="1"/>
  <c r="U234" i="12"/>
  <c r="U270" i="12" s="1"/>
  <c r="U233" i="12" s="1"/>
  <c r="U269" i="12" s="1"/>
  <c r="U232" i="12" s="1"/>
  <c r="U268" i="12" s="1"/>
  <c r="X234" i="12"/>
  <c r="X270" i="12" s="1"/>
  <c r="X233" i="12" s="1"/>
  <c r="X269" i="12" s="1"/>
  <c r="X232" i="12" s="1"/>
  <c r="X268" i="12" s="1"/>
  <c r="AD240" i="12"/>
  <c r="AD276" i="12" s="1"/>
  <c r="AD239" i="12" s="1"/>
  <c r="AD275" i="12" s="1"/>
  <c r="AD238" i="12" s="1"/>
  <c r="AD274" i="12" s="1"/>
  <c r="R234" i="12"/>
  <c r="R270" i="12" s="1"/>
  <c r="R233" i="12" s="1"/>
  <c r="R269" i="12" s="1"/>
  <c r="R232" i="12" s="1"/>
  <c r="R268" i="12" s="1"/>
  <c r="O240" i="12"/>
  <c r="O276" i="12" s="1"/>
  <c r="O239" i="12" s="1"/>
  <c r="O275" i="12" s="1"/>
  <c r="O238" i="12" s="1"/>
  <c r="O274" i="12" s="1"/>
  <c r="N240" i="12"/>
  <c r="N276" i="12" s="1"/>
  <c r="N239" i="12" s="1"/>
  <c r="N275" i="12" s="1"/>
  <c r="N238" i="12" s="1"/>
  <c r="N274" i="12" s="1"/>
  <c r="AC234" i="12"/>
  <c r="AC270" i="12" s="1"/>
  <c r="AC233" i="12" s="1"/>
  <c r="AC269" i="12" s="1"/>
  <c r="AC232" i="12" s="1"/>
  <c r="AC268" i="12" s="1"/>
  <c r="Q247" i="12"/>
  <c r="Q281" i="12" s="1"/>
  <c r="Q244" i="12" s="1"/>
  <c r="Q282" i="12" s="1"/>
  <c r="Q245" i="12" s="1"/>
  <c r="Q283" i="12" s="1"/>
  <c r="Q246" i="12" s="1"/>
  <c r="Q280" i="12" s="1"/>
  <c r="T234" i="12"/>
  <c r="T270" i="12" s="1"/>
  <c r="T233" i="12" s="1"/>
  <c r="T269" i="12" s="1"/>
  <c r="T232" i="12" s="1"/>
  <c r="T268" i="12" s="1"/>
  <c r="M240" i="12"/>
  <c r="M276" i="12" s="1"/>
  <c r="M239" i="12" s="1"/>
  <c r="M275" i="12" s="1"/>
  <c r="M238" i="12" s="1"/>
  <c r="M274" i="12" s="1"/>
  <c r="Z234" i="12"/>
  <c r="Z270" i="12" s="1"/>
  <c r="Z233" i="12" s="1"/>
  <c r="Z269" i="12" s="1"/>
  <c r="Z232" i="12" s="1"/>
  <c r="Z268" i="12" s="1"/>
  <c r="J247" i="12"/>
  <c r="J281" i="12" s="1"/>
  <c r="J244" i="12" s="1"/>
  <c r="J282" i="12" s="1"/>
  <c r="J245" i="12" s="1"/>
  <c r="J283" i="12" s="1"/>
  <c r="J246" i="12" s="1"/>
  <c r="J280" i="12" s="1"/>
  <c r="S240" i="12"/>
  <c r="S276" i="12" s="1"/>
  <c r="S239" i="12" s="1"/>
  <c r="S275" i="12" s="1"/>
  <c r="S238" i="12" s="1"/>
  <c r="S274" i="12" s="1"/>
  <c r="J240" i="12"/>
  <c r="J276" i="12" s="1"/>
  <c r="J239" i="12" s="1"/>
  <c r="J275" i="12" s="1"/>
  <c r="J238" i="12" s="1"/>
  <c r="J274" i="12" s="1"/>
  <c r="L240" i="12"/>
  <c r="L276" i="12" s="1"/>
  <c r="L239" i="12" s="1"/>
  <c r="L275" i="12" s="1"/>
  <c r="L238" i="12" s="1"/>
  <c r="L274" i="12" s="1"/>
  <c r="Y247" i="12"/>
  <c r="Y281" i="12" s="1"/>
  <c r="Y244" i="12" s="1"/>
  <c r="Y282" i="12" s="1"/>
  <c r="Y245" i="12" s="1"/>
  <c r="Y283" i="12" s="1"/>
  <c r="Y246" i="12" s="1"/>
  <c r="Y280" i="12" s="1"/>
  <c r="Q234" i="12"/>
  <c r="Q270" i="12" s="1"/>
  <c r="Q233" i="12" s="1"/>
  <c r="Q269" i="12" s="1"/>
  <c r="Q232" i="12" s="1"/>
  <c r="Q268" i="12" s="1"/>
  <c r="AD234" i="12"/>
  <c r="AD270" i="12" s="1"/>
  <c r="AD233" i="12" s="1"/>
  <c r="AD269" i="12" s="1"/>
  <c r="AD232" i="12" s="1"/>
  <c r="AD268" i="12" s="1"/>
  <c r="AC247" i="12"/>
  <c r="AC281" i="12" s="1"/>
  <c r="AC244" i="12" s="1"/>
  <c r="AC282" i="12" s="1"/>
  <c r="AC245" i="12" s="1"/>
  <c r="AC283" i="12" s="1"/>
  <c r="AC246" i="12" s="1"/>
  <c r="AC280" i="12" s="1"/>
  <c r="Y228" i="12"/>
  <c r="Q228" i="12"/>
  <c r="V228" i="12"/>
  <c r="S228" i="12"/>
  <c r="T228" i="12"/>
  <c r="N228" i="12"/>
  <c r="Y240" i="12"/>
  <c r="Y276" i="12" s="1"/>
  <c r="Y239" i="12" s="1"/>
  <c r="Y275" i="12" s="1"/>
  <c r="Y238" i="12" s="1"/>
  <c r="Y274" i="12" s="1"/>
  <c r="F247" i="12"/>
  <c r="F281" i="12" s="1"/>
  <c r="F244" i="12" s="1"/>
  <c r="F282" i="12" s="1"/>
  <c r="F245" i="12" s="1"/>
  <c r="U228" i="12"/>
  <c r="AE228" i="12"/>
  <c r="AA240" i="12"/>
  <c r="AA276" i="12" s="1"/>
  <c r="AA239" i="12" s="1"/>
  <c r="AA275" i="12" s="1"/>
  <c r="AA238" i="12" s="1"/>
  <c r="AA274" i="12" s="1"/>
  <c r="H240" i="12"/>
  <c r="H276" i="12" s="1"/>
  <c r="H239" i="12" s="1"/>
  <c r="H275" i="12" s="1"/>
  <c r="AE240" i="12"/>
  <c r="AE276" i="12" s="1"/>
  <c r="AE239" i="12" s="1"/>
  <c r="AE275" i="12" s="1"/>
  <c r="AE238" i="12" s="1"/>
  <c r="AE274" i="12" s="1"/>
  <c r="Q240" i="12"/>
  <c r="Q276" i="12" s="1"/>
  <c r="Q239" i="12" s="1"/>
  <c r="Q275" i="12" s="1"/>
  <c r="Q238" i="12" s="1"/>
  <c r="Q274" i="12" s="1"/>
  <c r="O228" i="12"/>
  <c r="M234" i="12"/>
  <c r="M270" i="12" s="1"/>
  <c r="M233" i="12" s="1"/>
  <c r="M269" i="12" s="1"/>
  <c r="M232" i="12" s="1"/>
  <c r="M268" i="12" s="1"/>
  <c r="Y234" i="12"/>
  <c r="Y270" i="12" s="1"/>
  <c r="Y233" i="12" s="1"/>
  <c r="Y269" i="12" s="1"/>
  <c r="Y232" i="12" s="1"/>
  <c r="Y268" i="12" s="1"/>
  <c r="U247" i="12"/>
  <c r="U281" i="12" s="1"/>
  <c r="U244" i="12" s="1"/>
  <c r="U282" i="12" s="1"/>
  <c r="U245" i="12" s="1"/>
  <c r="U283" i="12" s="1"/>
  <c r="U246" i="12" s="1"/>
  <c r="U280" i="12" s="1"/>
  <c r="K228" i="12"/>
  <c r="O234" i="12"/>
  <c r="O270" i="12" s="1"/>
  <c r="O233" i="12" s="1"/>
  <c r="O269" i="12" s="1"/>
  <c r="O232" i="12" s="1"/>
  <c r="O268" i="12" s="1"/>
  <c r="W240" i="12"/>
  <c r="W276" i="12" s="1"/>
  <c r="W239" i="12" s="1"/>
  <c r="W275" i="12" s="1"/>
  <c r="W238" i="12" s="1"/>
  <c r="W274" i="12" s="1"/>
  <c r="AA234" i="12"/>
  <c r="AA270" i="12" s="1"/>
  <c r="AA233" i="12" s="1"/>
  <c r="AA269" i="12" s="1"/>
  <c r="AA232" i="12" s="1"/>
  <c r="AA268" i="12" s="1"/>
  <c r="X228" i="12"/>
  <c r="T247" i="12"/>
  <c r="T281" i="12" s="1"/>
  <c r="T244" i="12" s="1"/>
  <c r="T282" i="12" s="1"/>
  <c r="T245" i="12" s="1"/>
  <c r="T283" i="12" s="1"/>
  <c r="T246" i="12" s="1"/>
  <c r="T280" i="12" s="1"/>
  <c r="W234" i="12"/>
  <c r="W270" i="12" s="1"/>
  <c r="W233" i="12" s="1"/>
  <c r="W269" i="12" s="1"/>
  <c r="W232" i="12" s="1"/>
  <c r="W268" i="12" s="1"/>
  <c r="M228" i="12"/>
  <c r="AB234" i="12"/>
  <c r="AB270" i="12" s="1"/>
  <c r="AB233" i="12" s="1"/>
  <c r="AB269" i="12" s="1"/>
  <c r="AB232" i="12" s="1"/>
  <c r="AB268" i="12" s="1"/>
  <c r="I240" i="12"/>
  <c r="I276" i="12" s="1"/>
  <c r="I239" i="12" s="1"/>
  <c r="I275" i="12" s="1"/>
  <c r="I238" i="12" s="1"/>
  <c r="I274" i="12" s="1"/>
  <c r="Z228" i="12"/>
  <c r="AC228" i="12"/>
  <c r="Z247" i="12"/>
  <c r="Z281" i="12" s="1"/>
  <c r="Z244" i="12" s="1"/>
  <c r="Z282" i="12" s="1"/>
  <c r="Z245" i="12" s="1"/>
  <c r="Z283" i="12" s="1"/>
  <c r="Z246" i="12" s="1"/>
  <c r="Z280" i="12" s="1"/>
  <c r="H247" i="12"/>
  <c r="H281" i="12" s="1"/>
  <c r="H244" i="12" s="1"/>
  <c r="H282" i="12" s="1"/>
  <c r="H245" i="12" s="1"/>
  <c r="H283" i="12" s="1"/>
  <c r="H246" i="12" s="1"/>
  <c r="H280" i="12" s="1"/>
  <c r="K240" i="12"/>
  <c r="K276" i="12" s="1"/>
  <c r="K239" i="12" s="1"/>
  <c r="K275" i="12" s="1"/>
  <c r="K238" i="12" s="1"/>
  <c r="K274" i="12" s="1"/>
  <c r="R228" i="12"/>
  <c r="W228" i="12"/>
  <c r="P228" i="12"/>
  <c r="L228" i="12"/>
  <c r="AD228" i="12"/>
  <c r="P240" i="12"/>
  <c r="P276" i="12" s="1"/>
  <c r="P239" i="12" s="1"/>
  <c r="P275" i="12" s="1"/>
  <c r="P238" i="12" s="1"/>
  <c r="P274" i="12" s="1"/>
  <c r="F240" i="12"/>
  <c r="F276" i="12" s="1"/>
  <c r="F239" i="12" s="1"/>
  <c r="F275" i="12" s="1"/>
  <c r="F238" i="12" s="1"/>
  <c r="F274" i="12" s="1"/>
  <c r="M247" i="12"/>
  <c r="M281" i="12" s="1"/>
  <c r="M244" i="12" s="1"/>
  <c r="M282" i="12" s="1"/>
  <c r="M245" i="12" s="1"/>
  <c r="M283" i="12" s="1"/>
  <c r="M246" i="12" s="1"/>
  <c r="M280" i="12" s="1"/>
  <c r="V240" i="12"/>
  <c r="V276" i="12" s="1"/>
  <c r="V239" i="12" s="1"/>
  <c r="V275" i="12" s="1"/>
  <c r="V238" i="12" s="1"/>
  <c r="V274" i="12" s="1"/>
  <c r="F216" i="12"/>
  <c r="AA228" i="12"/>
  <c r="F217" i="12"/>
  <c r="G240" i="12"/>
  <c r="G276" i="12" s="1"/>
  <c r="G349" i="12" s="1"/>
  <c r="H132" i="14" s="1"/>
  <c r="I228" i="12"/>
  <c r="T240" i="12"/>
  <c r="T276" i="12" s="1"/>
  <c r="T239" i="12" s="1"/>
  <c r="T275" i="12" s="1"/>
  <c r="T238" i="12" s="1"/>
  <c r="T274" i="12" s="1"/>
  <c r="N247" i="12"/>
  <c r="N281" i="12" s="1"/>
  <c r="N244" i="12" s="1"/>
  <c r="N282" i="12" s="1"/>
  <c r="N245" i="12" s="1"/>
  <c r="N283" i="12" s="1"/>
  <c r="N246" i="12" s="1"/>
  <c r="N280" i="12" s="1"/>
  <c r="AA247" i="12"/>
  <c r="AA281" i="12" s="1"/>
  <c r="AA244" i="12" s="1"/>
  <c r="AA282" i="12" s="1"/>
  <c r="AA245" i="12" s="1"/>
  <c r="AA283" i="12" s="1"/>
  <c r="AA246" i="12" s="1"/>
  <c r="AA280" i="12" s="1"/>
  <c r="F228" i="12"/>
  <c r="F264" i="12" s="1" a="1"/>
  <c r="F264" i="12" s="1"/>
  <c r="F227" i="12" s="1"/>
  <c r="F263" i="12" s="1" a="1"/>
  <c r="F263" i="12" s="1"/>
  <c r="F226" i="12" s="1"/>
  <c r="F262" i="12" s="1" a="1"/>
  <c r="F262" i="12" s="1"/>
  <c r="H228" i="12"/>
  <c r="G255" i="16"/>
  <c r="H214" i="16"/>
  <c r="H251" i="16" s="1"/>
  <c r="G254" i="16"/>
  <c r="G253" i="16"/>
  <c r="G252" i="16"/>
  <c r="H217" i="16"/>
  <c r="H215" i="16"/>
  <c r="H216" i="16"/>
  <c r="H219" i="16"/>
  <c r="H233" i="16"/>
  <c r="H269" i="16" s="1" a="1"/>
  <c r="H269" i="16" s="1"/>
  <c r="H342" i="16" s="1"/>
  <c r="H239" i="16"/>
  <c r="H275" i="16" s="1" a="1"/>
  <c r="H275" i="16" s="1"/>
  <c r="H314" i="12"/>
  <c r="I314" i="16"/>
  <c r="I232" i="16"/>
  <c r="I268" i="16" s="1" a="1"/>
  <c r="I268" i="16" s="1"/>
  <c r="I246" i="16"/>
  <c r="I280" i="16" s="1" a="1"/>
  <c r="I280" i="16" s="1"/>
  <c r="H227" i="16"/>
  <c r="H263" i="16" s="1" a="1"/>
  <c r="H263" i="16" s="1"/>
  <c r="I227" i="16"/>
  <c r="I263" i="16" s="1" a="1"/>
  <c r="I263" i="16" s="1"/>
  <c r="H264" i="12" l="1" a="1"/>
  <c r="H264" i="12" s="1"/>
  <c r="H227" i="12" s="1"/>
  <c r="H263" i="12" s="1" a="1"/>
  <c r="H263" i="12" s="1"/>
  <c r="H226" i="12" s="1"/>
  <c r="AA264" i="12" a="1"/>
  <c r="AA264" i="12" s="1"/>
  <c r="AA227" i="12" s="1"/>
  <c r="AA263" i="12" s="1" a="1"/>
  <c r="AA263" i="12" s="1"/>
  <c r="AA226" i="12" s="1"/>
  <c r="AA262" i="12" s="1" a="1"/>
  <c r="AA262" i="12" s="1"/>
  <c r="P264" i="12" a="1"/>
  <c r="P264" i="12" s="1"/>
  <c r="P227" i="12" s="1"/>
  <c r="P263" i="12" s="1" a="1"/>
  <c r="P263" i="12" s="1"/>
  <c r="P226" i="12" s="1"/>
  <c r="P262" i="12" s="1" a="1"/>
  <c r="P262" i="12" s="1"/>
  <c r="S264" i="12" a="1"/>
  <c r="S264" i="12" s="1"/>
  <c r="S227" i="12" s="1"/>
  <c r="S263" i="12" s="1" a="1"/>
  <c r="S263" i="12" s="1"/>
  <c r="S226" i="12" s="1"/>
  <c r="S262" i="12" s="1" a="1"/>
  <c r="S262" i="12" s="1"/>
  <c r="K264" i="12" a="1"/>
  <c r="K264" i="12" s="1"/>
  <c r="K227" i="12" s="1"/>
  <c r="K263" i="12" s="1" a="1"/>
  <c r="K263" i="12" s="1"/>
  <c r="K226" i="12" s="1"/>
  <c r="K262" i="12" s="1" a="1"/>
  <c r="K262" i="12" s="1"/>
  <c r="AE264" i="12" a="1"/>
  <c r="AE264" i="12" s="1"/>
  <c r="AE227" i="12" s="1"/>
  <c r="AE263" i="12" s="1" a="1"/>
  <c r="AE263" i="12" s="1"/>
  <c r="AE226" i="12" s="1"/>
  <c r="AE262" i="12" s="1" a="1"/>
  <c r="AE262" i="12" s="1"/>
  <c r="U264" i="12" a="1"/>
  <c r="U264" i="12" s="1"/>
  <c r="U227" i="12" s="1"/>
  <c r="U263" i="12" s="1" a="1"/>
  <c r="U263" i="12" s="1"/>
  <c r="U226" i="12" s="1"/>
  <c r="U262" i="12" s="1" a="1"/>
  <c r="U262" i="12" s="1"/>
  <c r="Y264" i="12" a="1"/>
  <c r="Y264" i="12" s="1"/>
  <c r="Y227" i="12" s="1"/>
  <c r="Y263" i="12" s="1" a="1"/>
  <c r="Y263" i="12" s="1"/>
  <c r="Y226" i="12" s="1"/>
  <c r="Y262" i="12" s="1" a="1"/>
  <c r="Y262" i="12" s="1"/>
  <c r="V264" i="12" a="1"/>
  <c r="V264" i="12" s="1"/>
  <c r="V227" i="12" s="1"/>
  <c r="V263" i="12" s="1" a="1"/>
  <c r="V263" i="12" s="1"/>
  <c r="V226" i="12" s="1"/>
  <c r="V262" i="12" s="1" a="1"/>
  <c r="V262" i="12" s="1"/>
  <c r="Q264" i="12" a="1"/>
  <c r="Q264" i="12" s="1"/>
  <c r="Q227" i="12" s="1"/>
  <c r="Q263" i="12" s="1" a="1"/>
  <c r="Q263" i="12" s="1"/>
  <c r="Q226" i="12" s="1"/>
  <c r="Q262" i="12" s="1" a="1"/>
  <c r="Q262" i="12" s="1"/>
  <c r="G264" i="12" a="1"/>
  <c r="G264" i="12" s="1"/>
  <c r="G337" i="12" s="1"/>
  <c r="H120" i="14" s="1"/>
  <c r="J264" i="12" a="1"/>
  <c r="J264" i="12" s="1"/>
  <c r="J227" i="12" s="1"/>
  <c r="J263" i="12" s="1" a="1"/>
  <c r="J263" i="12" s="1"/>
  <c r="J226" i="12" s="1"/>
  <c r="J262" i="12" s="1" a="1"/>
  <c r="J262" i="12" s="1"/>
  <c r="W264" i="12" a="1"/>
  <c r="W264" i="12" s="1"/>
  <c r="W227" i="12" s="1"/>
  <c r="W263" i="12" s="1" a="1"/>
  <c r="W263" i="12" s="1"/>
  <c r="W226" i="12" s="1"/>
  <c r="W262" i="12" s="1" a="1"/>
  <c r="W262" i="12" s="1"/>
  <c r="AB264" i="12" a="1"/>
  <c r="AB264" i="12" s="1"/>
  <c r="AB227" i="12" s="1"/>
  <c r="AB263" i="12" s="1" a="1"/>
  <c r="AB263" i="12" s="1"/>
  <c r="AB226" i="12" s="1"/>
  <c r="AB262" i="12" s="1" a="1"/>
  <c r="AB262" i="12" s="1"/>
  <c r="M264" i="12" a="1"/>
  <c r="M264" i="12" s="1"/>
  <c r="M227" i="12" s="1"/>
  <c r="M263" i="12" s="1" a="1"/>
  <c r="M263" i="12" s="1"/>
  <c r="M226" i="12" s="1"/>
  <c r="M262" i="12" s="1" a="1"/>
  <c r="M262" i="12" s="1"/>
  <c r="I264" i="12" a="1"/>
  <c r="I264" i="12" s="1"/>
  <c r="I227" i="12" s="1"/>
  <c r="I263" i="12" s="1" a="1"/>
  <c r="I263" i="12" s="1"/>
  <c r="I226" i="12" s="1"/>
  <c r="I262" i="12" s="1" a="1"/>
  <c r="I262" i="12" s="1"/>
  <c r="X264" i="12" a="1"/>
  <c r="X264" i="12" s="1"/>
  <c r="X227" i="12" s="1"/>
  <c r="X263" i="12" s="1" a="1"/>
  <c r="X263" i="12" s="1"/>
  <c r="X226" i="12" s="1"/>
  <c r="X262" i="12" s="1" a="1"/>
  <c r="X262" i="12" s="1"/>
  <c r="O264" i="12" a="1"/>
  <c r="O264" i="12" s="1"/>
  <c r="O227" i="12" s="1"/>
  <c r="O263" i="12" s="1" a="1"/>
  <c r="O263" i="12" s="1"/>
  <c r="O226" i="12" s="1"/>
  <c r="O262" i="12" s="1" a="1"/>
  <c r="O262" i="12" s="1"/>
  <c r="R264" i="12" a="1"/>
  <c r="R264" i="12" s="1"/>
  <c r="R227" i="12" s="1"/>
  <c r="R263" i="12" s="1" a="1"/>
  <c r="R263" i="12" s="1"/>
  <c r="R226" i="12" s="1"/>
  <c r="R262" i="12" s="1" a="1"/>
  <c r="R262" i="12" s="1"/>
  <c r="AD264" i="12" a="1"/>
  <c r="AD264" i="12" s="1"/>
  <c r="AD227" i="12" s="1"/>
  <c r="AD263" i="12" s="1" a="1"/>
  <c r="AD263" i="12" s="1"/>
  <c r="AD226" i="12" s="1"/>
  <c r="AD262" i="12" s="1" a="1"/>
  <c r="AD262" i="12" s="1"/>
  <c r="AC264" i="12" a="1"/>
  <c r="AC264" i="12" s="1"/>
  <c r="AC227" i="12" s="1"/>
  <c r="AC263" i="12" s="1" a="1"/>
  <c r="AC263" i="12" s="1"/>
  <c r="AC226" i="12" s="1"/>
  <c r="AC262" i="12" s="1" a="1"/>
  <c r="AC262" i="12" s="1"/>
  <c r="N264" i="12" a="1"/>
  <c r="N264" i="12" s="1"/>
  <c r="N227" i="12" s="1"/>
  <c r="N263" i="12" s="1" a="1"/>
  <c r="N263" i="12" s="1"/>
  <c r="N226" i="12" s="1"/>
  <c r="N262" i="12" s="1" a="1"/>
  <c r="N262" i="12" s="1"/>
  <c r="L264" i="12" a="1"/>
  <c r="L264" i="12" s="1"/>
  <c r="L227" i="12" s="1"/>
  <c r="L263" i="12" s="1" a="1"/>
  <c r="L263" i="12" s="1"/>
  <c r="L226" i="12" s="1"/>
  <c r="L262" i="12" s="1" a="1"/>
  <c r="L262" i="12" s="1"/>
  <c r="Z264" i="12" a="1"/>
  <c r="Z264" i="12" s="1"/>
  <c r="Z227" i="12" s="1"/>
  <c r="Z263" i="12" s="1" a="1"/>
  <c r="Z263" i="12" s="1"/>
  <c r="Z226" i="12" s="1"/>
  <c r="Z262" i="12" s="1" a="1"/>
  <c r="Z262" i="12" s="1"/>
  <c r="T264" i="12" a="1"/>
  <c r="T264" i="12" s="1"/>
  <c r="T227" i="12" s="1"/>
  <c r="T263" i="12" s="1" a="1"/>
  <c r="T263" i="12" s="1"/>
  <c r="T226" i="12" s="1"/>
  <c r="T262" i="12" s="1" a="1"/>
  <c r="T262" i="12" s="1"/>
  <c r="H324" i="12"/>
  <c r="H360" i="12" s="1"/>
  <c r="I329" i="16"/>
  <c r="I365" i="16" s="1"/>
  <c r="H326" i="12"/>
  <c r="H362" i="12" s="1"/>
  <c r="I145" i="14" s="1"/>
  <c r="I327" i="16"/>
  <c r="I363" i="16" s="1"/>
  <c r="H302" i="12"/>
  <c r="H53" i="14"/>
  <c r="G244" i="12"/>
  <c r="G282" i="12" s="1"/>
  <c r="G355" i="12" s="1"/>
  <c r="H137" i="14"/>
  <c r="G233" i="12"/>
  <c r="G269" i="12" s="1"/>
  <c r="G342" i="12" s="1"/>
  <c r="H126" i="14"/>
  <c r="I321" i="16"/>
  <c r="H64" i="14"/>
  <c r="H74" i="14"/>
  <c r="H111" i="14" s="1"/>
  <c r="I308" i="16"/>
  <c r="H147" i="14"/>
  <c r="H184" i="14" s="1"/>
  <c r="I325" i="16"/>
  <c r="I361" i="16" s="1"/>
  <c r="I71" i="14" s="1"/>
  <c r="H23" i="14"/>
  <c r="I313" i="16" s="1"/>
  <c r="G239" i="12"/>
  <c r="G275" i="12" s="1"/>
  <c r="G238" i="12" s="1"/>
  <c r="G274" i="12" s="1"/>
  <c r="G347" i="12" s="1"/>
  <c r="H245" i="16"/>
  <c r="H283" i="16" s="1" a="1"/>
  <c r="H283" i="16" s="1"/>
  <c r="H246" i="16" s="1"/>
  <c r="H280" i="16" s="1" a="1"/>
  <c r="H280" i="16" s="1"/>
  <c r="H353" i="16" s="1"/>
  <c r="F283" i="12"/>
  <c r="F246" i="12" s="1"/>
  <c r="F280" i="12" s="1"/>
  <c r="H59" i="14"/>
  <c r="G216" i="12"/>
  <c r="H253" i="16"/>
  <c r="G217" i="12"/>
  <c r="G219" i="12"/>
  <c r="G214" i="12"/>
  <c r="G215" i="12"/>
  <c r="H252" i="16"/>
  <c r="H255" i="16"/>
  <c r="H254" i="16"/>
  <c r="I214" i="16"/>
  <c r="I251" i="16" s="1"/>
  <c r="I217" i="16"/>
  <c r="I215" i="16"/>
  <c r="I219" i="16"/>
  <c r="I216" i="16"/>
  <c r="H232" i="16"/>
  <c r="H268" i="16" s="1" a="1"/>
  <c r="H268" i="16" s="1"/>
  <c r="H341" i="16" s="1"/>
  <c r="H238" i="16"/>
  <c r="H274" i="16" s="1" a="1"/>
  <c r="H274" i="16" s="1"/>
  <c r="H347" i="16" s="1"/>
  <c r="H348" i="16"/>
  <c r="H232" i="12"/>
  <c r="H268" i="12" s="1"/>
  <c r="H328" i="12"/>
  <c r="I328" i="16"/>
  <c r="I318" i="16"/>
  <c r="I28" i="19"/>
  <c r="I64" i="19" s="1"/>
  <c r="H238" i="12"/>
  <c r="H274" i="12" s="1"/>
  <c r="I307" i="16"/>
  <c r="H307" i="12"/>
  <c r="I226" i="16"/>
  <c r="I262" i="16" s="1" a="1"/>
  <c r="I262" i="16" s="1"/>
  <c r="H336" i="16"/>
  <c r="H226" i="16"/>
  <c r="H262" i="16" s="1" a="1"/>
  <c r="H262" i="16" s="1"/>
  <c r="H335" i="16" s="1"/>
  <c r="H329" i="12"/>
  <c r="H365" i="12" s="1"/>
  <c r="H327" i="12"/>
  <c r="H363" i="12" s="1"/>
  <c r="H47" i="14" l="1"/>
  <c r="H11" i="14"/>
  <c r="I301" i="16" s="1"/>
  <c r="I75" i="14"/>
  <c r="G227" i="12"/>
  <c r="G263" i="12" s="1" a="1"/>
  <c r="G263" i="12" s="1"/>
  <c r="G226" i="12" s="1"/>
  <c r="G262" i="12" s="1" a="1"/>
  <c r="G262" i="12" s="1"/>
  <c r="G335" i="12" s="1"/>
  <c r="H45" i="14" s="1"/>
  <c r="H262" i="12" a="1"/>
  <c r="H262" i="12" s="1"/>
  <c r="H182" i="14"/>
  <c r="H185" i="14"/>
  <c r="H183" i="14"/>
  <c r="H180" i="14"/>
  <c r="H181" i="14"/>
  <c r="H108" i="14"/>
  <c r="I36" i="14"/>
  <c r="I326" i="12" s="1"/>
  <c r="I362" i="12" s="1"/>
  <c r="I72" i="14"/>
  <c r="I23" i="19"/>
  <c r="I59" i="19" s="1"/>
  <c r="H112" i="14"/>
  <c r="G232" i="12"/>
  <c r="G268" i="12" s="1"/>
  <c r="G341" i="12" s="1"/>
  <c r="H51" i="14" s="1"/>
  <c r="G348" i="12"/>
  <c r="H22" i="14" s="1"/>
  <c r="I35" i="14"/>
  <c r="J325" i="16" s="1"/>
  <c r="J361" i="16" s="1"/>
  <c r="G245" i="12"/>
  <c r="G283" i="12" s="1"/>
  <c r="G356" i="12" s="1"/>
  <c r="I144" i="14"/>
  <c r="H107" i="14"/>
  <c r="H110" i="14"/>
  <c r="H109" i="14"/>
  <c r="I364" i="16"/>
  <c r="I374" i="16" s="1"/>
  <c r="H356" i="16"/>
  <c r="H367" i="16" s="1"/>
  <c r="H215" i="12"/>
  <c r="H216" i="12"/>
  <c r="H219" i="12"/>
  <c r="H217" i="12"/>
  <c r="H214" i="12"/>
  <c r="I253" i="16"/>
  <c r="J219" i="16"/>
  <c r="I254" i="16"/>
  <c r="J215" i="16"/>
  <c r="J216" i="16"/>
  <c r="J214" i="16"/>
  <c r="J251" i="16" s="1"/>
  <c r="I252" i="16"/>
  <c r="I255" i="16"/>
  <c r="J217" i="16"/>
  <c r="H318" i="12"/>
  <c r="H16" i="14"/>
  <c r="H52" i="14"/>
  <c r="H125" i="14"/>
  <c r="H65" i="14"/>
  <c r="H138" i="14"/>
  <c r="H29" i="14"/>
  <c r="I70" i="14"/>
  <c r="I34" i="14"/>
  <c r="I143" i="14"/>
  <c r="H57" i="14"/>
  <c r="H21" i="14"/>
  <c r="H130" i="14"/>
  <c r="I146" i="14"/>
  <c r="I73" i="14"/>
  <c r="I37" i="14"/>
  <c r="I39" i="14"/>
  <c r="I148" i="14"/>
  <c r="H364" i="12"/>
  <c r="H301" i="12" l="1"/>
  <c r="G336" i="12"/>
  <c r="H46" i="14" s="1"/>
  <c r="H85" i="14" s="1"/>
  <c r="H9" i="14"/>
  <c r="I299" i="16" s="1"/>
  <c r="H118" i="14"/>
  <c r="J326" i="16"/>
  <c r="J362" i="16" s="1"/>
  <c r="J145" i="14" s="1"/>
  <c r="H313" i="12"/>
  <c r="H58" i="14"/>
  <c r="H95" i="14" s="1"/>
  <c r="H131" i="14"/>
  <c r="H168" i="14" s="1"/>
  <c r="I325" i="12"/>
  <c r="I361" i="12" s="1"/>
  <c r="J35" i="14" s="1"/>
  <c r="H124" i="14"/>
  <c r="H162" i="14" s="1"/>
  <c r="G246" i="12"/>
  <c r="G280" i="12" s="1"/>
  <c r="G353" i="12" s="1"/>
  <c r="H63" i="14" s="1"/>
  <c r="H15" i="14"/>
  <c r="I305" i="16" s="1"/>
  <c r="I219" i="12"/>
  <c r="I214" i="12"/>
  <c r="I217" i="12"/>
  <c r="I215" i="12"/>
  <c r="J252" i="16"/>
  <c r="I216" i="12"/>
  <c r="J253" i="16"/>
  <c r="J254" i="16"/>
  <c r="K217" i="16"/>
  <c r="K215" i="16"/>
  <c r="K214" i="16"/>
  <c r="K251" i="16" s="1"/>
  <c r="K216" i="16"/>
  <c r="K219" i="16"/>
  <c r="J255" i="16"/>
  <c r="H89" i="14"/>
  <c r="J37" i="19"/>
  <c r="J73" i="19" s="1"/>
  <c r="J327" i="16"/>
  <c r="J363" i="16" s="1"/>
  <c r="I311" i="16"/>
  <c r="I21" i="19"/>
  <c r="I57" i="19" s="1"/>
  <c r="I312" i="16"/>
  <c r="I22" i="19"/>
  <c r="I58" i="19" s="1"/>
  <c r="I147" i="14"/>
  <c r="I184" i="14" s="1"/>
  <c r="I74" i="14"/>
  <c r="I110" i="14" s="1"/>
  <c r="I38" i="14"/>
  <c r="J39" i="19"/>
  <c r="J75" i="19" s="1"/>
  <c r="J329" i="16"/>
  <c r="J365" i="16" s="1"/>
  <c r="I324" i="12"/>
  <c r="I360" i="12" s="1"/>
  <c r="J324" i="16"/>
  <c r="H90" i="14"/>
  <c r="H88" i="14"/>
  <c r="H91" i="14"/>
  <c r="H66" i="14"/>
  <c r="H139" i="14"/>
  <c r="H30" i="14"/>
  <c r="I29" i="19"/>
  <c r="I65" i="19" s="1"/>
  <c r="I319" i="16"/>
  <c r="H306" i="12"/>
  <c r="I306" i="16"/>
  <c r="H299" i="12" l="1"/>
  <c r="H10" i="14"/>
  <c r="I300" i="16" s="1"/>
  <c r="I338" i="16" s="1"/>
  <c r="H84" i="14"/>
  <c r="H83" i="14"/>
  <c r="H82" i="14"/>
  <c r="H119" i="14"/>
  <c r="H157" i="14" s="1"/>
  <c r="G367" i="12"/>
  <c r="I181" i="14"/>
  <c r="H169" i="14"/>
  <c r="H170" i="14"/>
  <c r="H167" i="14"/>
  <c r="I183" i="14"/>
  <c r="I182" i="14"/>
  <c r="H161" i="14"/>
  <c r="H164" i="14"/>
  <c r="H163" i="14"/>
  <c r="I185" i="14"/>
  <c r="I180" i="14"/>
  <c r="J72" i="14"/>
  <c r="J36" i="14"/>
  <c r="J326" i="12" s="1"/>
  <c r="J362" i="12" s="1"/>
  <c r="H96" i="14"/>
  <c r="H305" i="12"/>
  <c r="H344" i="12" s="1"/>
  <c r="H94" i="14"/>
  <c r="H97" i="14"/>
  <c r="J144" i="14"/>
  <c r="J71" i="14"/>
  <c r="C7" i="20"/>
  <c r="H27" i="14"/>
  <c r="I317" i="16" s="1"/>
  <c r="H136" i="14"/>
  <c r="H176" i="14" s="1"/>
  <c r="J214" i="12"/>
  <c r="J216" i="12"/>
  <c r="J217" i="12"/>
  <c r="J219" i="12"/>
  <c r="J215" i="12"/>
  <c r="K252" i="16"/>
  <c r="K255" i="16"/>
  <c r="K254" i="16"/>
  <c r="L219" i="16"/>
  <c r="K253" i="16"/>
  <c r="L216" i="16"/>
  <c r="L214" i="16"/>
  <c r="L251" i="16" s="1"/>
  <c r="L215" i="16"/>
  <c r="L217" i="16"/>
  <c r="H319" i="12"/>
  <c r="I329" i="12"/>
  <c r="I365" i="12" s="1"/>
  <c r="J39" i="14" s="1"/>
  <c r="H312" i="12"/>
  <c r="J325" i="12"/>
  <c r="J361" i="12" s="1"/>
  <c r="K325" i="16"/>
  <c r="K361" i="16" s="1"/>
  <c r="I320" i="16"/>
  <c r="I30" i="19"/>
  <c r="I66" i="19" s="1"/>
  <c r="J360" i="16"/>
  <c r="J34" i="14" s="1"/>
  <c r="I350" i="16"/>
  <c r="I348" i="16"/>
  <c r="I349" i="16"/>
  <c r="I347" i="16"/>
  <c r="H100" i="14"/>
  <c r="H104" i="14"/>
  <c r="H101" i="14"/>
  <c r="I111" i="14"/>
  <c r="I109" i="14"/>
  <c r="I328" i="12"/>
  <c r="J328" i="16"/>
  <c r="I327" i="12"/>
  <c r="I363" i="12" s="1"/>
  <c r="H102" i="14"/>
  <c r="I108" i="14"/>
  <c r="H103" i="14"/>
  <c r="I107" i="14"/>
  <c r="I344" i="16"/>
  <c r="I342" i="16"/>
  <c r="I343" i="16"/>
  <c r="I341" i="16"/>
  <c r="I112" i="14"/>
  <c r="H311" i="12"/>
  <c r="I335" i="16" l="1"/>
  <c r="H155" i="14"/>
  <c r="I337" i="16"/>
  <c r="I336" i="16"/>
  <c r="H300" i="12"/>
  <c r="H336" i="12" s="1"/>
  <c r="H156" i="14"/>
  <c r="H158" i="14"/>
  <c r="K326" i="16"/>
  <c r="K362" i="16" s="1"/>
  <c r="K72" i="14" s="1"/>
  <c r="H188" i="14"/>
  <c r="H191" i="14"/>
  <c r="H192" i="14"/>
  <c r="H190" i="14"/>
  <c r="H189" i="14"/>
  <c r="H173" i="14"/>
  <c r="H177" i="14"/>
  <c r="H174" i="14"/>
  <c r="H175" i="14"/>
  <c r="I27" i="19"/>
  <c r="I63" i="19" s="1"/>
  <c r="D10" i="20" s="1"/>
  <c r="H342" i="12"/>
  <c r="I52" i="14" s="1"/>
  <c r="H343" i="12"/>
  <c r="I53" i="14" s="1"/>
  <c r="H341" i="12"/>
  <c r="I15" i="14" s="1"/>
  <c r="I305" i="12" s="1"/>
  <c r="C4" i="20"/>
  <c r="C13" i="20" s="1"/>
  <c r="J70" i="14"/>
  <c r="K219" i="12"/>
  <c r="K216" i="12"/>
  <c r="K215" i="12"/>
  <c r="K214" i="12"/>
  <c r="K217" i="12"/>
  <c r="M219" i="16"/>
  <c r="L252" i="16"/>
  <c r="M215" i="16"/>
  <c r="L255" i="16"/>
  <c r="L254" i="16"/>
  <c r="M217" i="16"/>
  <c r="M214" i="16"/>
  <c r="L253" i="16"/>
  <c r="M216" i="16"/>
  <c r="J148" i="14"/>
  <c r="J75" i="14"/>
  <c r="J364" i="16"/>
  <c r="J374" i="16" s="1"/>
  <c r="H347" i="12"/>
  <c r="I57" i="14" s="1"/>
  <c r="J143" i="14"/>
  <c r="H320" i="12"/>
  <c r="I127" i="14"/>
  <c r="I54" i="14"/>
  <c r="I18" i="14"/>
  <c r="J324" i="12"/>
  <c r="J360" i="12" s="1"/>
  <c r="K324" i="16"/>
  <c r="K360" i="16" s="1"/>
  <c r="I357" i="16"/>
  <c r="I354" i="16"/>
  <c r="I355" i="16"/>
  <c r="I356" i="16"/>
  <c r="I353" i="16"/>
  <c r="K329" i="16"/>
  <c r="K365" i="16" s="1"/>
  <c r="K39" i="19"/>
  <c r="K75" i="19" s="1"/>
  <c r="K71" i="14"/>
  <c r="K144" i="14"/>
  <c r="H350" i="12"/>
  <c r="H349" i="12"/>
  <c r="H348" i="12"/>
  <c r="J37" i="14"/>
  <c r="J73" i="14"/>
  <c r="J146" i="14"/>
  <c r="I364" i="12"/>
  <c r="K35" i="14"/>
  <c r="I46" i="14" l="1"/>
  <c r="I119" i="14"/>
  <c r="I10" i="14"/>
  <c r="I300" i="12" s="1"/>
  <c r="H337" i="12"/>
  <c r="I11" i="14" s="1"/>
  <c r="J301" i="16" s="1"/>
  <c r="H338" i="12"/>
  <c r="I12" i="14" s="1"/>
  <c r="J302" i="16" s="1"/>
  <c r="H335" i="12"/>
  <c r="I9" i="14" s="1"/>
  <c r="J299" i="16" s="1"/>
  <c r="K145" i="14"/>
  <c r="K36" i="14"/>
  <c r="K326" i="12" s="1"/>
  <c r="K362" i="12" s="1"/>
  <c r="I367" i="16"/>
  <c r="I77" i="19"/>
  <c r="H193" i="14"/>
  <c r="I124" i="14"/>
  <c r="H317" i="12"/>
  <c r="H356" i="12" s="1"/>
  <c r="I125" i="14"/>
  <c r="I16" i="14"/>
  <c r="J306" i="16" s="1"/>
  <c r="I17" i="14"/>
  <c r="J307" i="16" s="1"/>
  <c r="I126" i="14"/>
  <c r="I51" i="14"/>
  <c r="I88" i="14" s="1"/>
  <c r="L217" i="12"/>
  <c r="L219" i="12"/>
  <c r="L214" i="12"/>
  <c r="L216" i="12"/>
  <c r="L215" i="12"/>
  <c r="N216" i="16"/>
  <c r="N217" i="16"/>
  <c r="N214" i="16"/>
  <c r="N251" i="16" s="1"/>
  <c r="I21" i="14"/>
  <c r="J21" i="19" s="1"/>
  <c r="J57" i="19" s="1"/>
  <c r="M254" i="16"/>
  <c r="N215" i="16"/>
  <c r="M252" i="16"/>
  <c r="M253" i="16"/>
  <c r="N219" i="16"/>
  <c r="M251" i="16"/>
  <c r="M255" i="16"/>
  <c r="I130" i="14"/>
  <c r="J329" i="12"/>
  <c r="J365" i="12" s="1"/>
  <c r="K148" i="14" s="1"/>
  <c r="J74" i="14"/>
  <c r="J110" i="14" s="1"/>
  <c r="J147" i="14"/>
  <c r="J184" i="14" s="1"/>
  <c r="J38" i="14"/>
  <c r="J308" i="16"/>
  <c r="I308" i="12"/>
  <c r="L325" i="16"/>
  <c r="L361" i="16" s="1"/>
  <c r="K325" i="12"/>
  <c r="K361" i="12" s="1"/>
  <c r="K37" i="19"/>
  <c r="K73" i="19" s="1"/>
  <c r="K327" i="16"/>
  <c r="K363" i="16" s="1"/>
  <c r="J305" i="16"/>
  <c r="I131" i="14"/>
  <c r="I58" i="14"/>
  <c r="I22" i="14"/>
  <c r="K34" i="14"/>
  <c r="K143" i="14"/>
  <c r="K70" i="14"/>
  <c r="I60" i="14"/>
  <c r="I133" i="14"/>
  <c r="I24" i="14"/>
  <c r="I132" i="14"/>
  <c r="I59" i="14"/>
  <c r="I23" i="14"/>
  <c r="J300" i="16" l="1"/>
  <c r="J335" i="16" s="1"/>
  <c r="I301" i="12"/>
  <c r="I120" i="14"/>
  <c r="I47" i="14"/>
  <c r="I45" i="14"/>
  <c r="I302" i="12"/>
  <c r="I118" i="14"/>
  <c r="L326" i="16"/>
  <c r="L362" i="16" s="1"/>
  <c r="L36" i="14" s="1"/>
  <c r="L326" i="12" s="1"/>
  <c r="L362" i="12" s="1"/>
  <c r="I48" i="14"/>
  <c r="I121" i="14"/>
  <c r="I168" i="14"/>
  <c r="I162" i="14"/>
  <c r="J182" i="14"/>
  <c r="I163" i="14"/>
  <c r="J180" i="14"/>
  <c r="I170" i="14"/>
  <c r="I167" i="14"/>
  <c r="J181" i="14"/>
  <c r="J185" i="14"/>
  <c r="I161" i="14"/>
  <c r="I164" i="14"/>
  <c r="I169" i="14"/>
  <c r="J183" i="14"/>
  <c r="H354" i="12"/>
  <c r="I64" i="14" s="1"/>
  <c r="I90" i="14"/>
  <c r="I89" i="14"/>
  <c r="H355" i="12"/>
  <c r="I29" i="14" s="1"/>
  <c r="H357" i="12"/>
  <c r="I67" i="14" s="1"/>
  <c r="H353" i="12"/>
  <c r="I91" i="14"/>
  <c r="I299" i="12"/>
  <c r="I307" i="12"/>
  <c r="I306" i="12"/>
  <c r="J311" i="16"/>
  <c r="M219" i="12"/>
  <c r="M216" i="12"/>
  <c r="M217" i="12"/>
  <c r="O219" i="16"/>
  <c r="M215" i="12"/>
  <c r="M214" i="12"/>
  <c r="N255" i="16"/>
  <c r="O217" i="16"/>
  <c r="N254" i="16"/>
  <c r="N252" i="16"/>
  <c r="O216" i="16"/>
  <c r="N253" i="16"/>
  <c r="O214" i="16"/>
  <c r="O251" i="16" s="1"/>
  <c r="O215" i="16"/>
  <c r="K39" i="14"/>
  <c r="K75" i="14"/>
  <c r="I94" i="14"/>
  <c r="J108" i="14"/>
  <c r="I311" i="12"/>
  <c r="I95" i="14"/>
  <c r="J313" i="16"/>
  <c r="J23" i="19"/>
  <c r="J59" i="19" s="1"/>
  <c r="J341" i="16"/>
  <c r="J343" i="16"/>
  <c r="J344" i="16"/>
  <c r="J342" i="16"/>
  <c r="K328" i="16"/>
  <c r="K364" i="16" s="1"/>
  <c r="K374" i="16" s="1"/>
  <c r="J328" i="12"/>
  <c r="J314" i="16"/>
  <c r="I314" i="12"/>
  <c r="L324" i="16"/>
  <c r="K324" i="12"/>
  <c r="K360" i="12" s="1"/>
  <c r="J312" i="16"/>
  <c r="J22" i="19"/>
  <c r="J58" i="19" s="1"/>
  <c r="I66" i="14"/>
  <c r="I139" i="14"/>
  <c r="F139" i="14" s="1"/>
  <c r="I30" i="14"/>
  <c r="L35" i="14"/>
  <c r="L71" i="14"/>
  <c r="L144" i="14"/>
  <c r="J111" i="14"/>
  <c r="J112" i="14"/>
  <c r="J109" i="14"/>
  <c r="J107" i="14"/>
  <c r="I96" i="14"/>
  <c r="I97" i="14"/>
  <c r="J327" i="12"/>
  <c r="J337" i="16" l="1"/>
  <c r="J338" i="16"/>
  <c r="J336" i="16"/>
  <c r="L145" i="14"/>
  <c r="L72" i="14"/>
  <c r="I336" i="12"/>
  <c r="I83" i="14"/>
  <c r="I156" i="14"/>
  <c r="I85" i="14"/>
  <c r="I82" i="14"/>
  <c r="I84" i="14"/>
  <c r="I155" i="14"/>
  <c r="I157" i="14"/>
  <c r="I158" i="14"/>
  <c r="I27" i="14"/>
  <c r="J27" i="19" s="1"/>
  <c r="J63" i="19" s="1"/>
  <c r="H367" i="12"/>
  <c r="I28" i="14"/>
  <c r="J28" i="19" s="1"/>
  <c r="J64" i="19" s="1"/>
  <c r="I137" i="14"/>
  <c r="F137" i="14" s="1"/>
  <c r="I63" i="14"/>
  <c r="D7" i="20"/>
  <c r="I138" i="14"/>
  <c r="F138" i="14" s="1"/>
  <c r="I65" i="14"/>
  <c r="I140" i="14"/>
  <c r="F140" i="14" s="1"/>
  <c r="I136" i="14"/>
  <c r="F136" i="14" s="1"/>
  <c r="I31" i="14"/>
  <c r="I342" i="12"/>
  <c r="J16" i="14" s="1"/>
  <c r="I337" i="12"/>
  <c r="I341" i="12"/>
  <c r="J124" i="14" s="1"/>
  <c r="I338" i="12"/>
  <c r="I335" i="12"/>
  <c r="I343" i="12"/>
  <c r="J126" i="14" s="1"/>
  <c r="I344" i="12"/>
  <c r="J18" i="14" s="1"/>
  <c r="N214" i="12"/>
  <c r="N215" i="12"/>
  <c r="N217" i="12"/>
  <c r="N219" i="12"/>
  <c r="O252" i="16"/>
  <c r="N216" i="12"/>
  <c r="P215" i="16"/>
  <c r="P217" i="16"/>
  <c r="P219" i="16"/>
  <c r="O255" i="16"/>
  <c r="P216" i="16"/>
  <c r="P214" i="16"/>
  <c r="P251" i="16" s="1"/>
  <c r="O254" i="16"/>
  <c r="O253" i="16"/>
  <c r="M326" i="16"/>
  <c r="M362" i="16" s="1"/>
  <c r="M36" i="14" s="1"/>
  <c r="J349" i="16"/>
  <c r="L329" i="16"/>
  <c r="L365" i="16" s="1"/>
  <c r="L39" i="19"/>
  <c r="I313" i="12"/>
  <c r="I312" i="12"/>
  <c r="J350" i="16"/>
  <c r="J320" i="16"/>
  <c r="J30" i="19"/>
  <c r="J66" i="19" s="1"/>
  <c r="J319" i="16"/>
  <c r="J29" i="19"/>
  <c r="J65" i="19" s="1"/>
  <c r="M325" i="16"/>
  <c r="M361" i="16" s="1"/>
  <c r="L325" i="12"/>
  <c r="L361" i="12" s="1"/>
  <c r="J347" i="16"/>
  <c r="L360" i="16"/>
  <c r="L143" i="14" s="1"/>
  <c r="J363" i="12"/>
  <c r="J364" i="12" s="1"/>
  <c r="J348" i="16"/>
  <c r="J120" i="14" l="1"/>
  <c r="J10" i="14"/>
  <c r="K300" i="16" s="1"/>
  <c r="J48" i="14"/>
  <c r="J46" i="14"/>
  <c r="J119" i="14"/>
  <c r="J317" i="16"/>
  <c r="J118" i="14"/>
  <c r="J77" i="19"/>
  <c r="I174" i="14"/>
  <c r="I173" i="14"/>
  <c r="I191" i="14"/>
  <c r="I190" i="14"/>
  <c r="I188" i="14"/>
  <c r="I189" i="14"/>
  <c r="I177" i="14"/>
  <c r="I192" i="14"/>
  <c r="I176" i="14"/>
  <c r="I175" i="14"/>
  <c r="D4" i="20"/>
  <c r="D13" i="20" s="1"/>
  <c r="J318" i="16"/>
  <c r="I103" i="14"/>
  <c r="I101" i="14"/>
  <c r="I100" i="14"/>
  <c r="I104" i="14"/>
  <c r="I102" i="14"/>
  <c r="J47" i="14"/>
  <c r="J321" i="16"/>
  <c r="I321" i="12"/>
  <c r="J15" i="14"/>
  <c r="K305" i="16" s="1"/>
  <c r="J51" i="14"/>
  <c r="J9" i="14"/>
  <c r="K299" i="16" s="1"/>
  <c r="J125" i="14"/>
  <c r="J52" i="14"/>
  <c r="J45" i="14"/>
  <c r="J11" i="14"/>
  <c r="J301" i="12" s="1"/>
  <c r="J12" i="14"/>
  <c r="K302" i="16" s="1"/>
  <c r="J121" i="14"/>
  <c r="J17" i="14"/>
  <c r="J307" i="12" s="1"/>
  <c r="J127" i="14"/>
  <c r="J54" i="14"/>
  <c r="J53" i="14"/>
  <c r="O217" i="12"/>
  <c r="O214" i="12"/>
  <c r="O216" i="12"/>
  <c r="O215" i="12"/>
  <c r="O219" i="12"/>
  <c r="Q217" i="16"/>
  <c r="Q219" i="16"/>
  <c r="P253" i="16"/>
  <c r="P252" i="16"/>
  <c r="Q215" i="16"/>
  <c r="Q216" i="16"/>
  <c r="P255" i="16"/>
  <c r="Q214" i="16"/>
  <c r="P254" i="16"/>
  <c r="M145" i="14"/>
  <c r="M72" i="14"/>
  <c r="I350" i="12"/>
  <c r="J24" i="14" s="1"/>
  <c r="I347" i="12"/>
  <c r="J57" i="14" s="1"/>
  <c r="L75" i="19"/>
  <c r="K329" i="12"/>
  <c r="K365" i="12" s="1"/>
  <c r="L39" i="14" s="1"/>
  <c r="M35" i="14"/>
  <c r="M325" i="12" s="1"/>
  <c r="M361" i="12" s="1"/>
  <c r="I318" i="12"/>
  <c r="I348" i="12"/>
  <c r="J22" i="14" s="1"/>
  <c r="K312" i="16" s="1"/>
  <c r="I349" i="12"/>
  <c r="I317" i="12"/>
  <c r="K147" i="14"/>
  <c r="K74" i="14"/>
  <c r="K38" i="14"/>
  <c r="K306" i="16"/>
  <c r="J306" i="12"/>
  <c r="N326" i="16"/>
  <c r="N362" i="16" s="1"/>
  <c r="M326" i="12"/>
  <c r="M362" i="12" s="1"/>
  <c r="J308" i="12"/>
  <c r="K308" i="16"/>
  <c r="K146" i="14"/>
  <c r="K73" i="14"/>
  <c r="K37" i="14"/>
  <c r="M71" i="14"/>
  <c r="M144" i="14"/>
  <c r="I319" i="12"/>
  <c r="L34" i="14"/>
  <c r="E10" i="20"/>
  <c r="L70" i="14"/>
  <c r="I320" i="12"/>
  <c r="J300" i="12" l="1"/>
  <c r="J162" i="14"/>
  <c r="I193" i="14"/>
  <c r="K183" i="14"/>
  <c r="K181" i="14"/>
  <c r="K182" i="14"/>
  <c r="K185" i="14"/>
  <c r="K180" i="14"/>
  <c r="K184" i="14"/>
  <c r="J163" i="14"/>
  <c r="J164" i="14"/>
  <c r="J161" i="14"/>
  <c r="J158" i="14"/>
  <c r="J155" i="14"/>
  <c r="J156" i="14"/>
  <c r="J157" i="14"/>
  <c r="J83" i="14"/>
  <c r="J305" i="12"/>
  <c r="J343" i="12" s="1"/>
  <c r="J356" i="16"/>
  <c r="J355" i="16"/>
  <c r="J357" i="16"/>
  <c r="J353" i="16"/>
  <c r="J354" i="16"/>
  <c r="J85" i="14"/>
  <c r="J82" i="14"/>
  <c r="J84" i="14"/>
  <c r="J88" i="14"/>
  <c r="K307" i="16"/>
  <c r="K343" i="16" s="1"/>
  <c r="J299" i="12"/>
  <c r="K301" i="16"/>
  <c r="K338" i="16" s="1"/>
  <c r="J91" i="14"/>
  <c r="J302" i="12"/>
  <c r="J89" i="14"/>
  <c r="J90" i="14"/>
  <c r="P216" i="12"/>
  <c r="P214" i="12"/>
  <c r="P215" i="12"/>
  <c r="P219" i="12"/>
  <c r="J133" i="14"/>
  <c r="P217" i="12"/>
  <c r="Q254" i="16"/>
  <c r="Q253" i="16"/>
  <c r="Q251" i="16"/>
  <c r="Q255" i="16"/>
  <c r="R216" i="16"/>
  <c r="R217" i="16"/>
  <c r="Q252" i="16"/>
  <c r="R215" i="16"/>
  <c r="R219" i="16"/>
  <c r="R214" i="16"/>
  <c r="J60" i="14"/>
  <c r="J21" i="14"/>
  <c r="K21" i="19" s="1"/>
  <c r="K57" i="19" s="1"/>
  <c r="J130" i="14"/>
  <c r="I354" i="12"/>
  <c r="N36" i="14"/>
  <c r="O326" i="16" s="1"/>
  <c r="O362" i="16" s="1"/>
  <c r="M329" i="16"/>
  <c r="M365" i="16" s="1"/>
  <c r="M39" i="19"/>
  <c r="L148" i="14"/>
  <c r="L75" i="14"/>
  <c r="I356" i="12"/>
  <c r="N325" i="16"/>
  <c r="N361" i="16" s="1"/>
  <c r="N71" i="14" s="1"/>
  <c r="I357" i="12"/>
  <c r="J131" i="14"/>
  <c r="J58" i="14"/>
  <c r="K22" i="19"/>
  <c r="K58" i="19" s="1"/>
  <c r="J59" i="14"/>
  <c r="J132" i="14"/>
  <c r="J23" i="14"/>
  <c r="I353" i="12"/>
  <c r="M324" i="16"/>
  <c r="M360" i="16" s="1"/>
  <c r="L324" i="12"/>
  <c r="K328" i="12"/>
  <c r="L328" i="16"/>
  <c r="N145" i="14"/>
  <c r="N72" i="14"/>
  <c r="I355" i="12"/>
  <c r="K110" i="14"/>
  <c r="K108" i="14"/>
  <c r="K109" i="14"/>
  <c r="K107" i="14"/>
  <c r="K112" i="14"/>
  <c r="L37" i="19"/>
  <c r="L73" i="19" s="1"/>
  <c r="L327" i="16"/>
  <c r="J314" i="12"/>
  <c r="K314" i="16"/>
  <c r="K111" i="14"/>
  <c r="J367" i="16" l="1"/>
  <c r="I367" i="12"/>
  <c r="J169" i="14"/>
  <c r="J170" i="14"/>
  <c r="J168" i="14"/>
  <c r="J167" i="14"/>
  <c r="K342" i="16"/>
  <c r="J342" i="12"/>
  <c r="J341" i="12"/>
  <c r="J344" i="12"/>
  <c r="J140" i="14"/>
  <c r="J30" i="14"/>
  <c r="K30" i="19" s="1"/>
  <c r="K66" i="19" s="1"/>
  <c r="J64" i="14"/>
  <c r="J63" i="14"/>
  <c r="K341" i="16"/>
  <c r="K344" i="16"/>
  <c r="J335" i="12"/>
  <c r="K335" i="16"/>
  <c r="K336" i="16"/>
  <c r="K337" i="16"/>
  <c r="J336" i="12"/>
  <c r="J337" i="12"/>
  <c r="J338" i="12"/>
  <c r="K12" i="14" s="1"/>
  <c r="Q217" i="12"/>
  <c r="Q215" i="12"/>
  <c r="Q216" i="12"/>
  <c r="Q214" i="12"/>
  <c r="Q219" i="12"/>
  <c r="J66" i="14"/>
  <c r="S215" i="16"/>
  <c r="J137" i="14"/>
  <c r="R253" i="16"/>
  <c r="S216" i="16"/>
  <c r="S217" i="16"/>
  <c r="S219" i="16"/>
  <c r="R251" i="16"/>
  <c r="J139" i="14"/>
  <c r="R255" i="16"/>
  <c r="J28" i="14"/>
  <c r="K318" i="16" s="1"/>
  <c r="R254" i="16"/>
  <c r="S214" i="16"/>
  <c r="S251" i="16" s="1"/>
  <c r="R252" i="16"/>
  <c r="N35" i="14"/>
  <c r="N325" i="12" s="1"/>
  <c r="N361" i="12" s="1"/>
  <c r="N144" i="14"/>
  <c r="N326" i="12"/>
  <c r="N362" i="12" s="1"/>
  <c r="O145" i="14" s="1"/>
  <c r="J97" i="14"/>
  <c r="J27" i="14"/>
  <c r="K317" i="16" s="1"/>
  <c r="J312" i="12"/>
  <c r="K311" i="16"/>
  <c r="J96" i="14"/>
  <c r="M75" i="19"/>
  <c r="L329" i="12"/>
  <c r="L365" i="12" s="1"/>
  <c r="J67" i="14"/>
  <c r="J136" i="14"/>
  <c r="J31" i="14"/>
  <c r="J321" i="12" s="1"/>
  <c r="J94" i="14"/>
  <c r="K313" i="16"/>
  <c r="K23" i="19"/>
  <c r="K59" i="19" s="1"/>
  <c r="J95" i="14"/>
  <c r="K327" i="12"/>
  <c r="K363" i="12" s="1"/>
  <c r="J65" i="14"/>
  <c r="J138" i="14"/>
  <c r="J29" i="14"/>
  <c r="K53" i="14"/>
  <c r="K126" i="14"/>
  <c r="K17" i="14"/>
  <c r="E7" i="20"/>
  <c r="J311" i="12"/>
  <c r="L363" i="16"/>
  <c r="L364" i="16" s="1"/>
  <c r="L374" i="16" s="1"/>
  <c r="L360" i="12"/>
  <c r="J175" i="14" l="1"/>
  <c r="J189" i="14"/>
  <c r="J176" i="14"/>
  <c r="J177" i="14"/>
  <c r="J192" i="14"/>
  <c r="J173" i="14"/>
  <c r="J191" i="14"/>
  <c r="J188" i="14"/>
  <c r="J174" i="14"/>
  <c r="J190" i="14"/>
  <c r="K16" i="14"/>
  <c r="K306" i="12" s="1"/>
  <c r="K52" i="14"/>
  <c r="K320" i="16"/>
  <c r="K125" i="14"/>
  <c r="K51" i="14"/>
  <c r="K18" i="14"/>
  <c r="L308" i="16" s="1"/>
  <c r="K127" i="14"/>
  <c r="K124" i="14"/>
  <c r="K15" i="14"/>
  <c r="K305" i="12" s="1"/>
  <c r="K54" i="14"/>
  <c r="O72" i="14"/>
  <c r="K9" i="14"/>
  <c r="K299" i="12" s="1"/>
  <c r="K46" i="14"/>
  <c r="K45" i="14"/>
  <c r="K119" i="14"/>
  <c r="K118" i="14"/>
  <c r="K10" i="14"/>
  <c r="K300" i="12" s="1"/>
  <c r="K121" i="14"/>
  <c r="K11" i="14"/>
  <c r="K301" i="12" s="1"/>
  <c r="K47" i="14"/>
  <c r="K48" i="14"/>
  <c r="K120" i="14"/>
  <c r="K364" i="12"/>
  <c r="L38" i="14" s="1"/>
  <c r="R216" i="12"/>
  <c r="R214" i="12"/>
  <c r="S253" i="16"/>
  <c r="R215" i="12"/>
  <c r="R219" i="12"/>
  <c r="R217" i="12"/>
  <c r="K321" i="16"/>
  <c r="K348" i="16"/>
  <c r="S252" i="16"/>
  <c r="K347" i="16"/>
  <c r="O36" i="14"/>
  <c r="O326" i="12" s="1"/>
  <c r="O362" i="12" s="1"/>
  <c r="S254" i="16"/>
  <c r="S255" i="16"/>
  <c r="T215" i="16"/>
  <c r="T219" i="16"/>
  <c r="T217" i="16"/>
  <c r="K28" i="19"/>
  <c r="K64" i="19" s="1"/>
  <c r="T216" i="16"/>
  <c r="T214" i="16"/>
  <c r="O325" i="16"/>
  <c r="O361" i="16" s="1"/>
  <c r="O144" i="14" s="1"/>
  <c r="J101" i="14"/>
  <c r="J102" i="14"/>
  <c r="K27" i="19"/>
  <c r="K63" i="19" s="1"/>
  <c r="J104" i="14"/>
  <c r="J100" i="14"/>
  <c r="J103" i="14"/>
  <c r="M148" i="14"/>
  <c r="M75" i="14"/>
  <c r="M39" i="14"/>
  <c r="J320" i="12"/>
  <c r="K349" i="16"/>
  <c r="K350" i="16"/>
  <c r="L146" i="14"/>
  <c r="J313" i="12"/>
  <c r="J350" i="12" s="1"/>
  <c r="L307" i="16"/>
  <c r="K307" i="12"/>
  <c r="K302" i="12"/>
  <c r="L302" i="16"/>
  <c r="M70" i="14"/>
  <c r="M34" i="14"/>
  <c r="M143" i="14"/>
  <c r="K319" i="16"/>
  <c r="K29" i="19"/>
  <c r="K65" i="19" s="1"/>
  <c r="E4" i="20"/>
  <c r="E13" i="20" s="1"/>
  <c r="L37" i="14"/>
  <c r="L73" i="14"/>
  <c r="K77" i="19" l="1"/>
  <c r="J193" i="14"/>
  <c r="K163" i="14"/>
  <c r="K161" i="14"/>
  <c r="K162" i="14"/>
  <c r="K164" i="14"/>
  <c r="K155" i="14"/>
  <c r="K157" i="14"/>
  <c r="K158" i="14"/>
  <c r="K156" i="14"/>
  <c r="L306" i="16"/>
  <c r="L305" i="16"/>
  <c r="K308" i="12"/>
  <c r="K344" i="12" s="1"/>
  <c r="K89" i="14"/>
  <c r="K91" i="14"/>
  <c r="K90" i="14"/>
  <c r="K88" i="14"/>
  <c r="L299" i="16"/>
  <c r="L300" i="16"/>
  <c r="L301" i="16"/>
  <c r="K82" i="14"/>
  <c r="K85" i="14"/>
  <c r="K83" i="14"/>
  <c r="K84" i="14"/>
  <c r="L147" i="14"/>
  <c r="L184" i="14" s="1"/>
  <c r="L74" i="14"/>
  <c r="L108" i="14" s="1"/>
  <c r="S214" i="12"/>
  <c r="S217" i="12"/>
  <c r="K357" i="16"/>
  <c r="S219" i="12"/>
  <c r="T254" i="16"/>
  <c r="S215" i="12"/>
  <c r="S216" i="12"/>
  <c r="T253" i="16"/>
  <c r="T252" i="16"/>
  <c r="J317" i="12"/>
  <c r="U215" i="16"/>
  <c r="P326" i="16"/>
  <c r="P362" i="16" s="1"/>
  <c r="P36" i="14" s="1"/>
  <c r="P326" i="12" s="1"/>
  <c r="P362" i="12" s="1"/>
  <c r="U217" i="16"/>
  <c r="U219" i="16"/>
  <c r="T255" i="16"/>
  <c r="U214" i="16"/>
  <c r="U251" i="16" s="1"/>
  <c r="J318" i="12"/>
  <c r="T251" i="16"/>
  <c r="U216" i="16"/>
  <c r="O71" i="14"/>
  <c r="O35" i="14"/>
  <c r="P325" i="16" s="1"/>
  <c r="P361" i="16" s="1"/>
  <c r="F10" i="20"/>
  <c r="J347" i="12"/>
  <c r="K353" i="16"/>
  <c r="K354" i="16"/>
  <c r="K356" i="16"/>
  <c r="N329" i="16"/>
  <c r="N365" i="16" s="1"/>
  <c r="N39" i="19"/>
  <c r="N75" i="19" s="1"/>
  <c r="K355" i="16"/>
  <c r="J348" i="12"/>
  <c r="K58" i="14" s="1"/>
  <c r="J349" i="12"/>
  <c r="K59" i="14" s="1"/>
  <c r="M327" i="16"/>
  <c r="M363" i="16" s="1"/>
  <c r="M37" i="19"/>
  <c r="M73" i="19" s="1"/>
  <c r="K338" i="12"/>
  <c r="K335" i="12"/>
  <c r="K336" i="12"/>
  <c r="K337" i="12"/>
  <c r="M328" i="16"/>
  <c r="L328" i="12"/>
  <c r="M324" i="12"/>
  <c r="N324" i="16"/>
  <c r="J319" i="12"/>
  <c r="K60" i="14"/>
  <c r="K133" i="14"/>
  <c r="K24" i="14"/>
  <c r="K367" i="16" l="1"/>
  <c r="K21" i="14"/>
  <c r="L21" i="19" s="1"/>
  <c r="L57" i="19" s="1"/>
  <c r="L181" i="14"/>
  <c r="L183" i="14"/>
  <c r="L180" i="14"/>
  <c r="L185" i="14"/>
  <c r="L182" i="14"/>
  <c r="L111" i="14"/>
  <c r="L342" i="16"/>
  <c r="L343" i="16"/>
  <c r="L344" i="16"/>
  <c r="L127" i="14" s="1"/>
  <c r="L341" i="16"/>
  <c r="K341" i="12"/>
  <c r="K343" i="12"/>
  <c r="K342" i="12"/>
  <c r="L335" i="16"/>
  <c r="L338" i="16"/>
  <c r="L48" i="14" s="1"/>
  <c r="L336" i="16"/>
  <c r="L119" i="14" s="1"/>
  <c r="L337" i="16"/>
  <c r="L120" i="14" s="1"/>
  <c r="L109" i="14"/>
  <c r="L107" i="14"/>
  <c r="L110" i="14"/>
  <c r="T217" i="12"/>
  <c r="L112" i="14"/>
  <c r="P72" i="14"/>
  <c r="P145" i="14"/>
  <c r="T216" i="12"/>
  <c r="T219" i="12"/>
  <c r="T214" i="12"/>
  <c r="Q326" i="16"/>
  <c r="Q362" i="16" s="1"/>
  <c r="Q36" i="14" s="1"/>
  <c r="R326" i="16" s="1"/>
  <c r="R362" i="16" s="1"/>
  <c r="T215" i="12"/>
  <c r="U253" i="16"/>
  <c r="O325" i="12"/>
  <c r="O361" i="12" s="1"/>
  <c r="P35" i="14" s="1"/>
  <c r="U255" i="16"/>
  <c r="U252" i="16"/>
  <c r="U254" i="16"/>
  <c r="K132" i="14"/>
  <c r="V215" i="16"/>
  <c r="K23" i="14"/>
  <c r="L313" i="16" s="1"/>
  <c r="J354" i="12"/>
  <c r="K64" i="14" s="1"/>
  <c r="V216" i="16"/>
  <c r="V217" i="16"/>
  <c r="V219" i="16"/>
  <c r="V214" i="16"/>
  <c r="M364" i="16"/>
  <c r="M374" i="16" s="1"/>
  <c r="K22" i="14"/>
  <c r="L22" i="19" s="1"/>
  <c r="L58" i="19" s="1"/>
  <c r="K131" i="14"/>
  <c r="K130" i="14"/>
  <c r="K57" i="14"/>
  <c r="K97" i="14" s="1"/>
  <c r="M329" i="12"/>
  <c r="M365" i="12" s="1"/>
  <c r="N75" i="14" s="1"/>
  <c r="L314" i="16"/>
  <c r="K314" i="12"/>
  <c r="M360" i="12"/>
  <c r="J355" i="12"/>
  <c r="J356" i="12"/>
  <c r="N360" i="16"/>
  <c r="J357" i="12"/>
  <c r="J353" i="12"/>
  <c r="L327" i="12"/>
  <c r="L311" i="16" l="1"/>
  <c r="L45" i="14"/>
  <c r="J367" i="12"/>
  <c r="K168" i="14"/>
  <c r="K167" i="14"/>
  <c r="K169" i="14"/>
  <c r="K170" i="14"/>
  <c r="L16" i="14"/>
  <c r="L306" i="12" s="1"/>
  <c r="L18" i="14"/>
  <c r="L308" i="12" s="1"/>
  <c r="L15" i="14"/>
  <c r="L305" i="12" s="1"/>
  <c r="L54" i="14"/>
  <c r="L53" i="14"/>
  <c r="L51" i="14"/>
  <c r="L124" i="14"/>
  <c r="L52" i="14"/>
  <c r="L125" i="14"/>
  <c r="L126" i="14"/>
  <c r="L17" i="14"/>
  <c r="M307" i="16" s="1"/>
  <c r="L11" i="14"/>
  <c r="M301" i="16" s="1"/>
  <c r="L9" i="14"/>
  <c r="L299" i="12" s="1"/>
  <c r="L118" i="14"/>
  <c r="L46" i="14"/>
  <c r="L121" i="14"/>
  <c r="L12" i="14"/>
  <c r="M302" i="16" s="1"/>
  <c r="L10" i="14"/>
  <c r="M300" i="16" s="1"/>
  <c r="L47" i="14"/>
  <c r="Q72" i="14"/>
  <c r="P71" i="14"/>
  <c r="Q145" i="14"/>
  <c r="U216" i="12"/>
  <c r="U219" i="12"/>
  <c r="U217" i="12"/>
  <c r="U214" i="12"/>
  <c r="U215" i="12"/>
  <c r="V253" i="16"/>
  <c r="L312" i="16"/>
  <c r="Q325" i="16"/>
  <c r="Q361" i="16" s="1"/>
  <c r="P325" i="12"/>
  <c r="P361" i="12" s="1"/>
  <c r="P144" i="14"/>
  <c r="W215" i="16"/>
  <c r="V252" i="16"/>
  <c r="V255" i="16"/>
  <c r="V251" i="16"/>
  <c r="L23" i="19"/>
  <c r="L59" i="19" s="1"/>
  <c r="K137" i="14"/>
  <c r="K28" i="14"/>
  <c r="L318" i="16" s="1"/>
  <c r="W214" i="16"/>
  <c r="K95" i="14"/>
  <c r="W217" i="16"/>
  <c r="V254" i="16"/>
  <c r="W219" i="16"/>
  <c r="W216" i="16"/>
  <c r="Q326" i="12"/>
  <c r="Q362" i="12" s="1"/>
  <c r="R72" i="14" s="1"/>
  <c r="K96" i="14"/>
  <c r="K94" i="14"/>
  <c r="N39" i="14"/>
  <c r="N148" i="14"/>
  <c r="K67" i="14"/>
  <c r="K140" i="14"/>
  <c r="K31" i="14"/>
  <c r="K65" i="14"/>
  <c r="K138" i="14"/>
  <c r="K29" i="14"/>
  <c r="K63" i="14"/>
  <c r="K136" i="14"/>
  <c r="K27" i="14"/>
  <c r="F7" i="20"/>
  <c r="K66" i="14"/>
  <c r="K139" i="14"/>
  <c r="K30" i="14"/>
  <c r="L363" i="12"/>
  <c r="L364" i="12" s="1"/>
  <c r="N70" i="14"/>
  <c r="K311" i="12"/>
  <c r="K312" i="12"/>
  <c r="N143" i="14"/>
  <c r="N34" i="14"/>
  <c r="L350" i="16" l="1"/>
  <c r="L163" i="14"/>
  <c r="K189" i="14"/>
  <c r="K176" i="14"/>
  <c r="K175" i="14"/>
  <c r="L161" i="14"/>
  <c r="L164" i="14"/>
  <c r="K190" i="14"/>
  <c r="K174" i="14"/>
  <c r="K177" i="14"/>
  <c r="K192" i="14"/>
  <c r="K173" i="14"/>
  <c r="K191" i="14"/>
  <c r="K188" i="14"/>
  <c r="L162" i="14"/>
  <c r="L155" i="14"/>
  <c r="L158" i="14"/>
  <c r="L156" i="14"/>
  <c r="L157" i="14"/>
  <c r="M306" i="16"/>
  <c r="M308" i="16"/>
  <c r="M305" i="16"/>
  <c r="L90" i="14"/>
  <c r="L89" i="14"/>
  <c r="L91" i="14"/>
  <c r="L301" i="12"/>
  <c r="L88" i="14"/>
  <c r="L307" i="12"/>
  <c r="L343" i="12" s="1"/>
  <c r="L83" i="14"/>
  <c r="M299" i="16"/>
  <c r="M335" i="16" s="1"/>
  <c r="L302" i="12"/>
  <c r="L300" i="12"/>
  <c r="L82" i="14"/>
  <c r="L85" i="14"/>
  <c r="L84" i="14"/>
  <c r="L348" i="16"/>
  <c r="V219" i="12"/>
  <c r="Q35" i="14"/>
  <c r="Q325" i="12" s="1"/>
  <c r="Q361" i="12" s="1"/>
  <c r="V217" i="12"/>
  <c r="V216" i="12"/>
  <c r="V214" i="12"/>
  <c r="L28" i="19"/>
  <c r="L64" i="19" s="1"/>
  <c r="Q144" i="14"/>
  <c r="V215" i="12"/>
  <c r="X215" i="16"/>
  <c r="L347" i="16"/>
  <c r="W253" i="16"/>
  <c r="L349" i="16"/>
  <c r="Q71" i="14"/>
  <c r="W251" i="16"/>
  <c r="W255" i="16"/>
  <c r="K313" i="12"/>
  <c r="K347" i="12" s="1"/>
  <c r="W252" i="16"/>
  <c r="X219" i="16"/>
  <c r="W254" i="16"/>
  <c r="X217" i="16"/>
  <c r="X216" i="16"/>
  <c r="X214" i="16"/>
  <c r="X251" i="16" s="1"/>
  <c r="R145" i="14"/>
  <c r="R36" i="14"/>
  <c r="S326" i="16" s="1"/>
  <c r="S362" i="16" s="1"/>
  <c r="O329" i="16"/>
  <c r="O365" i="16" s="1"/>
  <c r="O39" i="19"/>
  <c r="O75" i="19" s="1"/>
  <c r="K104" i="14"/>
  <c r="M74" i="14"/>
  <c r="M147" i="14"/>
  <c r="M38" i="14"/>
  <c r="L320" i="16"/>
  <c r="L30" i="19"/>
  <c r="L66" i="19" s="1"/>
  <c r="L27" i="19"/>
  <c r="L63" i="19" s="1"/>
  <c r="L317" i="16"/>
  <c r="F4" i="20"/>
  <c r="F13" i="20" s="1"/>
  <c r="N324" i="12"/>
  <c r="O324" i="16"/>
  <c r="L319" i="16"/>
  <c r="L29" i="19"/>
  <c r="L65" i="19" s="1"/>
  <c r="K321" i="12"/>
  <c r="L321" i="16"/>
  <c r="K101" i="14"/>
  <c r="K103" i="14"/>
  <c r="K100" i="14"/>
  <c r="M146" i="14"/>
  <c r="M73" i="14"/>
  <c r="M37" i="14"/>
  <c r="K102" i="14"/>
  <c r="L77" i="19" l="1"/>
  <c r="K193" i="14"/>
  <c r="M184" i="14"/>
  <c r="M183" i="14"/>
  <c r="M185" i="14"/>
  <c r="M180" i="14"/>
  <c r="M182" i="14"/>
  <c r="M181" i="14"/>
  <c r="M341" i="16"/>
  <c r="M343" i="16"/>
  <c r="M53" i="14" s="1"/>
  <c r="M344" i="16"/>
  <c r="M342" i="16"/>
  <c r="L342" i="12"/>
  <c r="L341" i="12"/>
  <c r="L344" i="12"/>
  <c r="M336" i="16"/>
  <c r="L338" i="12"/>
  <c r="L335" i="12"/>
  <c r="L337" i="12"/>
  <c r="M338" i="16"/>
  <c r="L336" i="12"/>
  <c r="M337" i="16"/>
  <c r="W219" i="12"/>
  <c r="W216" i="12"/>
  <c r="R325" i="16"/>
  <c r="R361" i="16" s="1"/>
  <c r="R144" i="14" s="1"/>
  <c r="K318" i="12"/>
  <c r="W215" i="12"/>
  <c r="W217" i="12"/>
  <c r="K350" i="12"/>
  <c r="L24" i="14" s="1"/>
  <c r="Y216" i="16"/>
  <c r="W214" i="12"/>
  <c r="R326" i="12"/>
  <c r="R362" i="12" s="1"/>
  <c r="S36" i="14" s="1"/>
  <c r="K349" i="12"/>
  <c r="L132" i="14" s="1"/>
  <c r="Y214" i="16"/>
  <c r="K348" i="12"/>
  <c r="L131" i="14" s="1"/>
  <c r="X252" i="16"/>
  <c r="Y219" i="16"/>
  <c r="X254" i="16"/>
  <c r="Y217" i="16"/>
  <c r="X255" i="16"/>
  <c r="Y215" i="16"/>
  <c r="X253" i="16"/>
  <c r="N329" i="12"/>
  <c r="N365" i="12" s="1"/>
  <c r="K320" i="12"/>
  <c r="L355" i="16"/>
  <c r="L353" i="16"/>
  <c r="L354" i="16"/>
  <c r="L357" i="16"/>
  <c r="L356" i="16"/>
  <c r="M328" i="12"/>
  <c r="N328" i="16"/>
  <c r="M110" i="14"/>
  <c r="M107" i="14"/>
  <c r="M108" i="14"/>
  <c r="M112" i="14"/>
  <c r="M109" i="14"/>
  <c r="N360" i="12"/>
  <c r="N37" i="19"/>
  <c r="N73" i="19" s="1"/>
  <c r="N327" i="16"/>
  <c r="L57" i="14"/>
  <c r="L130" i="14"/>
  <c r="L21" i="14"/>
  <c r="O360" i="16"/>
  <c r="K319" i="12"/>
  <c r="G10" i="20"/>
  <c r="K317" i="12"/>
  <c r="M111" i="14"/>
  <c r="L367" i="16" l="1"/>
  <c r="M9" i="14"/>
  <c r="M299" i="12" s="1"/>
  <c r="M127" i="14"/>
  <c r="M126" i="14"/>
  <c r="M124" i="14"/>
  <c r="M18" i="14"/>
  <c r="N308" i="16" s="1"/>
  <c r="M17" i="14"/>
  <c r="N307" i="16" s="1"/>
  <c r="M125" i="14"/>
  <c r="M54" i="14"/>
  <c r="M15" i="14"/>
  <c r="M305" i="12" s="1"/>
  <c r="M51" i="14"/>
  <c r="M16" i="14"/>
  <c r="N306" i="16" s="1"/>
  <c r="M52" i="14"/>
  <c r="M118" i="14"/>
  <c r="M45" i="14"/>
  <c r="M119" i="14"/>
  <c r="M48" i="14"/>
  <c r="M46" i="14"/>
  <c r="M10" i="14"/>
  <c r="M300" i="12" s="1"/>
  <c r="M12" i="14"/>
  <c r="M302" i="12" s="1"/>
  <c r="M121" i="14"/>
  <c r="M11" i="14"/>
  <c r="M301" i="12" s="1"/>
  <c r="M120" i="14"/>
  <c r="M47" i="14"/>
  <c r="R35" i="14"/>
  <c r="R325" i="12" s="1"/>
  <c r="R361" i="12" s="1"/>
  <c r="R71" i="14"/>
  <c r="L60" i="14"/>
  <c r="X219" i="12"/>
  <c r="L133" i="14"/>
  <c r="L169" i="14" s="1"/>
  <c r="S145" i="14"/>
  <c r="X215" i="12"/>
  <c r="X216" i="12"/>
  <c r="X217" i="12"/>
  <c r="X214" i="12"/>
  <c r="Z214" i="16"/>
  <c r="L58" i="14"/>
  <c r="Z219" i="16"/>
  <c r="Z216" i="16"/>
  <c r="L23" i="14"/>
  <c r="M313" i="16" s="1"/>
  <c r="L59" i="14"/>
  <c r="Z215" i="16"/>
  <c r="Y251" i="16"/>
  <c r="S72" i="14"/>
  <c r="Y253" i="16"/>
  <c r="Z217" i="16"/>
  <c r="Y255" i="16"/>
  <c r="L22" i="14"/>
  <c r="M22" i="19" s="1"/>
  <c r="M58" i="19" s="1"/>
  <c r="Y252" i="16"/>
  <c r="Y254" i="16"/>
  <c r="O75" i="14"/>
  <c r="O148" i="14"/>
  <c r="O39" i="14"/>
  <c r="K354" i="12"/>
  <c r="L137" i="14" s="1"/>
  <c r="T326" i="16"/>
  <c r="T362" i="16" s="1"/>
  <c r="S326" i="12"/>
  <c r="S362" i="12" s="1"/>
  <c r="M21" i="19"/>
  <c r="M57" i="19" s="1"/>
  <c r="M311" i="16"/>
  <c r="M327" i="12"/>
  <c r="K357" i="12"/>
  <c r="K355" i="12"/>
  <c r="K353" i="12"/>
  <c r="K356" i="12"/>
  <c r="O70" i="14"/>
  <c r="O34" i="14"/>
  <c r="O143" i="14"/>
  <c r="N363" i="16"/>
  <c r="N364" i="16" s="1"/>
  <c r="N374" i="16" s="1"/>
  <c r="L314" i="12"/>
  <c r="M314" i="16"/>
  <c r="N299" i="16" l="1"/>
  <c r="M308" i="12"/>
  <c r="M162" i="14"/>
  <c r="K367" i="12"/>
  <c r="M164" i="14"/>
  <c r="L170" i="14"/>
  <c r="M161" i="14"/>
  <c r="L167" i="14"/>
  <c r="M163" i="14"/>
  <c r="L168" i="14"/>
  <c r="M156" i="14"/>
  <c r="M155" i="14"/>
  <c r="M158" i="14"/>
  <c r="M157" i="14"/>
  <c r="M307" i="12"/>
  <c r="M90" i="14"/>
  <c r="M88" i="14"/>
  <c r="M91" i="14"/>
  <c r="M89" i="14"/>
  <c r="N305" i="16"/>
  <c r="N344" i="16" s="1"/>
  <c r="M306" i="12"/>
  <c r="N302" i="16"/>
  <c r="M82" i="14"/>
  <c r="N300" i="16"/>
  <c r="M85" i="14"/>
  <c r="N301" i="16"/>
  <c r="M84" i="14"/>
  <c r="M83" i="14"/>
  <c r="M312" i="16"/>
  <c r="M347" i="16" s="1"/>
  <c r="S325" i="16"/>
  <c r="S361" i="16" s="1"/>
  <c r="S35" i="14" s="1"/>
  <c r="S325" i="12" s="1"/>
  <c r="S361" i="12" s="1"/>
  <c r="L97" i="14"/>
  <c r="L96" i="14"/>
  <c r="L94" i="14"/>
  <c r="AA214" i="16"/>
  <c r="AA251" i="16" s="1"/>
  <c r="Y216" i="12"/>
  <c r="Z255" i="16"/>
  <c r="Y215" i="12"/>
  <c r="Y217" i="12"/>
  <c r="Y214" i="12"/>
  <c r="AA219" i="16"/>
  <c r="Y219" i="12"/>
  <c r="L95" i="14"/>
  <c r="Z253" i="16"/>
  <c r="AA216" i="16"/>
  <c r="Z254" i="16"/>
  <c r="AA217" i="16"/>
  <c r="Z252" i="16"/>
  <c r="Z251" i="16"/>
  <c r="M23" i="19"/>
  <c r="M59" i="19" s="1"/>
  <c r="AA215" i="16"/>
  <c r="P39" i="19"/>
  <c r="P329" i="16"/>
  <c r="P365" i="16" s="1"/>
  <c r="L64" i="14"/>
  <c r="L28" i="14"/>
  <c r="M28" i="19" s="1"/>
  <c r="M64" i="19" s="1"/>
  <c r="L311" i="12"/>
  <c r="L312" i="12"/>
  <c r="L65" i="14"/>
  <c r="L138" i="14"/>
  <c r="L29" i="14"/>
  <c r="M337" i="12"/>
  <c r="M338" i="12"/>
  <c r="M335" i="12"/>
  <c r="M336" i="12"/>
  <c r="L63" i="14"/>
  <c r="L136" i="14"/>
  <c r="L27" i="14"/>
  <c r="G7" i="20"/>
  <c r="L139" i="14"/>
  <c r="L66" i="14"/>
  <c r="L30" i="14"/>
  <c r="M363" i="12"/>
  <c r="M364" i="12" s="1"/>
  <c r="P324" i="16"/>
  <c r="P360" i="16" s="1"/>
  <c r="O324" i="12"/>
  <c r="L67" i="14"/>
  <c r="L140" i="14"/>
  <c r="L31" i="14"/>
  <c r="T36" i="14"/>
  <c r="T145" i="14"/>
  <c r="T72" i="14"/>
  <c r="L192" i="14" l="1"/>
  <c r="L174" i="14"/>
  <c r="L176" i="14"/>
  <c r="L177" i="14"/>
  <c r="L173" i="14"/>
  <c r="L191" i="14"/>
  <c r="L190" i="14"/>
  <c r="L189" i="14"/>
  <c r="L175" i="14"/>
  <c r="L188" i="14"/>
  <c r="M341" i="12"/>
  <c r="N343" i="16"/>
  <c r="N342" i="16"/>
  <c r="N341" i="16"/>
  <c r="M343" i="12"/>
  <c r="M342" i="12"/>
  <c r="M344" i="12"/>
  <c r="N18" i="14" s="1"/>
  <c r="N308" i="12" s="1"/>
  <c r="N337" i="16"/>
  <c r="N11" i="14" s="1"/>
  <c r="N336" i="16"/>
  <c r="N46" i="14" s="1"/>
  <c r="N335" i="16"/>
  <c r="N338" i="16"/>
  <c r="N121" i="14" s="1"/>
  <c r="M348" i="16"/>
  <c r="M349" i="16"/>
  <c r="M350" i="16"/>
  <c r="T325" i="16"/>
  <c r="T361" i="16" s="1"/>
  <c r="T35" i="14" s="1"/>
  <c r="T325" i="12" s="1"/>
  <c r="T361" i="12" s="1"/>
  <c r="S71" i="14"/>
  <c r="S144" i="14"/>
  <c r="L313" i="12"/>
  <c r="L348" i="12" s="1"/>
  <c r="Z217" i="12"/>
  <c r="Z215" i="12"/>
  <c r="AA255" i="16"/>
  <c r="Z214" i="12"/>
  <c r="Z219" i="12"/>
  <c r="Z216" i="12"/>
  <c r="AB215" i="16"/>
  <c r="AB214" i="16"/>
  <c r="AA254" i="16"/>
  <c r="AA252" i="16"/>
  <c r="AA253" i="16"/>
  <c r="AB219" i="16"/>
  <c r="AB217" i="16"/>
  <c r="AB216" i="16"/>
  <c r="M318" i="16"/>
  <c r="P75" i="19"/>
  <c r="O329" i="12"/>
  <c r="O365" i="12" s="1"/>
  <c r="L100" i="14"/>
  <c r="N74" i="14"/>
  <c r="N147" i="14"/>
  <c r="N38" i="14"/>
  <c r="M319" i="16"/>
  <c r="M29" i="19"/>
  <c r="M65" i="19" s="1"/>
  <c r="L318" i="12"/>
  <c r="L103" i="14"/>
  <c r="L102" i="14"/>
  <c r="N73" i="14"/>
  <c r="N146" i="14"/>
  <c r="N37" i="14"/>
  <c r="T326" i="12"/>
  <c r="T362" i="12" s="1"/>
  <c r="U326" i="16"/>
  <c r="U362" i="16" s="1"/>
  <c r="M321" i="16"/>
  <c r="L321" i="12"/>
  <c r="O360" i="12"/>
  <c r="M30" i="19"/>
  <c r="M66" i="19" s="1"/>
  <c r="M320" i="16"/>
  <c r="M27" i="19"/>
  <c r="M63" i="19" s="1"/>
  <c r="M317" i="16"/>
  <c r="G4" i="20"/>
  <c r="G13" i="20" s="1"/>
  <c r="L104" i="14"/>
  <c r="L101" i="14"/>
  <c r="M77" i="19" l="1"/>
  <c r="N118" i="14"/>
  <c r="L193" i="14"/>
  <c r="N183" i="14"/>
  <c r="N185" i="14"/>
  <c r="N182" i="14"/>
  <c r="N180" i="14"/>
  <c r="N181" i="14"/>
  <c r="N184" i="14"/>
  <c r="N124" i="14"/>
  <c r="N52" i="14"/>
  <c r="N53" i="14"/>
  <c r="N126" i="14"/>
  <c r="N15" i="14"/>
  <c r="O305" i="16" s="1"/>
  <c r="N51" i="14"/>
  <c r="N125" i="14"/>
  <c r="N54" i="14"/>
  <c r="N16" i="14"/>
  <c r="N306" i="12" s="1"/>
  <c r="T144" i="14"/>
  <c r="N17" i="14"/>
  <c r="O307" i="16" s="1"/>
  <c r="N127" i="14"/>
  <c r="N12" i="14"/>
  <c r="N302" i="12" s="1"/>
  <c r="N48" i="14"/>
  <c r="N120" i="14"/>
  <c r="N47" i="14"/>
  <c r="N119" i="14"/>
  <c r="N10" i="14"/>
  <c r="O300" i="16" s="1"/>
  <c r="N45" i="14"/>
  <c r="N9" i="14"/>
  <c r="N299" i="12" s="1"/>
  <c r="M58" i="14"/>
  <c r="T71" i="14"/>
  <c r="L349" i="12"/>
  <c r="M59" i="14" s="1"/>
  <c r="L347" i="12"/>
  <c r="L350" i="12"/>
  <c r="M133" i="14" s="1"/>
  <c r="AA219" i="12"/>
  <c r="AA217" i="12"/>
  <c r="AB253" i="16"/>
  <c r="AA215" i="12"/>
  <c r="AA216" i="12"/>
  <c r="AA214" i="12"/>
  <c r="AB251" i="16"/>
  <c r="AC219" i="16"/>
  <c r="AB252" i="16"/>
  <c r="AC214" i="16"/>
  <c r="AB255" i="16"/>
  <c r="AC217" i="16"/>
  <c r="AC215" i="16"/>
  <c r="AB254" i="16"/>
  <c r="AC216" i="16"/>
  <c r="O308" i="16"/>
  <c r="M22" i="14"/>
  <c r="N312" i="16" s="1"/>
  <c r="M131" i="14"/>
  <c r="P75" i="14"/>
  <c r="P148" i="14"/>
  <c r="P39" i="14"/>
  <c r="U325" i="16"/>
  <c r="U361" i="16" s="1"/>
  <c r="U144" i="14" s="1"/>
  <c r="L317" i="12"/>
  <c r="L320" i="12"/>
  <c r="N111" i="14"/>
  <c r="M354" i="16"/>
  <c r="M355" i="16"/>
  <c r="M357" i="16"/>
  <c r="M353" i="16"/>
  <c r="M356" i="16"/>
  <c r="U72" i="14"/>
  <c r="U145" i="14"/>
  <c r="N110" i="14"/>
  <c r="N107" i="14"/>
  <c r="N112" i="14"/>
  <c r="N108" i="14"/>
  <c r="N109" i="14"/>
  <c r="O301" i="16"/>
  <c r="N301" i="12"/>
  <c r="P70" i="14"/>
  <c r="P143" i="14"/>
  <c r="P34" i="14"/>
  <c r="N328" i="12"/>
  <c r="O328" i="16"/>
  <c r="O327" i="16"/>
  <c r="O37" i="19"/>
  <c r="O73" i="19" s="1"/>
  <c r="U36" i="14"/>
  <c r="H10" i="20"/>
  <c r="L319" i="12"/>
  <c r="M367" i="16" l="1"/>
  <c r="M21" i="14"/>
  <c r="N21" i="19" s="1"/>
  <c r="N57" i="19" s="1"/>
  <c r="N162" i="14"/>
  <c r="N164" i="14"/>
  <c r="N163" i="14"/>
  <c r="N161" i="14"/>
  <c r="N157" i="14"/>
  <c r="N156" i="14"/>
  <c r="N155" i="14"/>
  <c r="N158" i="14"/>
  <c r="O306" i="16"/>
  <c r="O342" i="16" s="1"/>
  <c r="N305" i="12"/>
  <c r="N88" i="14"/>
  <c r="N89" i="14"/>
  <c r="N91" i="14"/>
  <c r="N90" i="14"/>
  <c r="N307" i="12"/>
  <c r="O302" i="16"/>
  <c r="N85" i="14"/>
  <c r="N82" i="14"/>
  <c r="N83" i="14"/>
  <c r="N84" i="14"/>
  <c r="N300" i="12"/>
  <c r="N336" i="12" s="1"/>
  <c r="O299" i="16"/>
  <c r="M24" i="14"/>
  <c r="M314" i="12" s="1"/>
  <c r="M57" i="14"/>
  <c r="M23" i="14"/>
  <c r="N313" i="16" s="1"/>
  <c r="M132" i="14"/>
  <c r="M130" i="14"/>
  <c r="M60" i="14"/>
  <c r="AB216" i="12"/>
  <c r="AB215" i="12"/>
  <c r="AB219" i="12"/>
  <c r="AB214" i="12"/>
  <c r="AB217" i="12"/>
  <c r="AC252" i="16"/>
  <c r="AD215" i="16"/>
  <c r="AC254" i="16"/>
  <c r="AD214" i="16"/>
  <c r="AD216" i="16"/>
  <c r="AD219" i="16"/>
  <c r="AC255" i="16"/>
  <c r="AC253" i="16"/>
  <c r="AC251" i="16"/>
  <c r="AD217" i="16"/>
  <c r="N22" i="19"/>
  <c r="N58" i="19" s="1"/>
  <c r="U35" i="14"/>
  <c r="U325" i="12" s="1"/>
  <c r="U361" i="12" s="1"/>
  <c r="U71" i="14"/>
  <c r="L354" i="12"/>
  <c r="M64" i="14" s="1"/>
  <c r="Q39" i="19"/>
  <c r="P329" i="12" s="1"/>
  <c r="P365" i="12" s="1"/>
  <c r="Q329" i="16"/>
  <c r="Q365" i="16" s="1"/>
  <c r="L355" i="12"/>
  <c r="M65" i="14" s="1"/>
  <c r="O363" i="16"/>
  <c r="O364" i="16" s="1"/>
  <c r="O374" i="16" s="1"/>
  <c r="Q324" i="16"/>
  <c r="Q360" i="16" s="1"/>
  <c r="P324" i="12"/>
  <c r="U326" i="12"/>
  <c r="U362" i="12" s="1"/>
  <c r="V326" i="16"/>
  <c r="V362" i="16" s="1"/>
  <c r="L356" i="12"/>
  <c r="L353" i="12"/>
  <c r="N327" i="12"/>
  <c r="L357" i="12"/>
  <c r="P360" i="12" l="1"/>
  <c r="Q34" i="14" s="1"/>
  <c r="N311" i="16"/>
  <c r="M169" i="14"/>
  <c r="L367" i="12"/>
  <c r="M168" i="14"/>
  <c r="M170" i="14"/>
  <c r="M167" i="14"/>
  <c r="O344" i="16"/>
  <c r="O343" i="16"/>
  <c r="O341" i="16"/>
  <c r="N341" i="12"/>
  <c r="N342" i="12"/>
  <c r="O125" i="14" s="1"/>
  <c r="N343" i="12"/>
  <c r="N344" i="12"/>
  <c r="M94" i="14"/>
  <c r="O336" i="16"/>
  <c r="O46" i="14" s="1"/>
  <c r="N338" i="12"/>
  <c r="N337" i="12"/>
  <c r="N335" i="12"/>
  <c r="N23" i="19"/>
  <c r="N59" i="19" s="1"/>
  <c r="O335" i="16"/>
  <c r="O337" i="16"/>
  <c r="O338" i="16"/>
  <c r="N314" i="16"/>
  <c r="M96" i="14"/>
  <c r="M95" i="14"/>
  <c r="M97" i="14"/>
  <c r="AC219" i="12"/>
  <c r="AE217" i="16"/>
  <c r="AE216" i="16"/>
  <c r="AC216" i="12"/>
  <c r="AC214" i="12"/>
  <c r="AC217" i="12"/>
  <c r="AC215" i="12"/>
  <c r="AE215" i="16"/>
  <c r="AD252" i="16"/>
  <c r="V325" i="16"/>
  <c r="V361" i="16" s="1"/>
  <c r="V35" i="14" s="1"/>
  <c r="V325" i="12" s="1"/>
  <c r="V361" i="12" s="1"/>
  <c r="AD255" i="16"/>
  <c r="AD253" i="16"/>
  <c r="AD254" i="16"/>
  <c r="AE214" i="16"/>
  <c r="AE251" i="16" s="1"/>
  <c r="AE219" i="16"/>
  <c r="AD251" i="16"/>
  <c r="M312" i="12"/>
  <c r="M311" i="12"/>
  <c r="V36" i="14"/>
  <c r="W326" i="16" s="1"/>
  <c r="W362" i="16" s="1"/>
  <c r="M28" i="14"/>
  <c r="N28" i="19" s="1"/>
  <c r="N64" i="19" s="1"/>
  <c r="M137" i="14"/>
  <c r="M29" i="14"/>
  <c r="N29" i="19" s="1"/>
  <c r="N65" i="19" s="1"/>
  <c r="Q75" i="19"/>
  <c r="Q148" i="14" s="1"/>
  <c r="Q39" i="14"/>
  <c r="M138" i="14"/>
  <c r="M63" i="14"/>
  <c r="M136" i="14"/>
  <c r="M27" i="14"/>
  <c r="H7" i="20"/>
  <c r="N363" i="12"/>
  <c r="M66" i="14"/>
  <c r="M139" i="14"/>
  <c r="M30" i="14"/>
  <c r="M67" i="14"/>
  <c r="M140" i="14"/>
  <c r="M31" i="14"/>
  <c r="V145" i="14"/>
  <c r="V72" i="14"/>
  <c r="Q70" i="14" l="1"/>
  <c r="Q143" i="14"/>
  <c r="N347" i="16"/>
  <c r="M190" i="14"/>
  <c r="M174" i="14"/>
  <c r="M189" i="14"/>
  <c r="M177" i="14"/>
  <c r="M192" i="14"/>
  <c r="M173" i="14"/>
  <c r="M191" i="14"/>
  <c r="M188" i="14"/>
  <c r="M175" i="14"/>
  <c r="M176" i="14"/>
  <c r="O126" i="14"/>
  <c r="O11" i="14"/>
  <c r="O301" i="12" s="1"/>
  <c r="O53" i="14"/>
  <c r="O127" i="14"/>
  <c r="O15" i="14"/>
  <c r="O305" i="12" s="1"/>
  <c r="O51" i="14"/>
  <c r="O124" i="14"/>
  <c r="O52" i="14"/>
  <c r="O17" i="14"/>
  <c r="P307" i="16" s="1"/>
  <c r="O54" i="14"/>
  <c r="O18" i="14"/>
  <c r="O308" i="12" s="1"/>
  <c r="O16" i="14"/>
  <c r="O306" i="12" s="1"/>
  <c r="O48" i="14"/>
  <c r="O10" i="14"/>
  <c r="P300" i="16" s="1"/>
  <c r="O119" i="14"/>
  <c r="O12" i="14"/>
  <c r="O302" i="12" s="1"/>
  <c r="O121" i="14"/>
  <c r="M313" i="12"/>
  <c r="M348" i="12" s="1"/>
  <c r="O118" i="14"/>
  <c r="O120" i="14"/>
  <c r="O47" i="14"/>
  <c r="O45" i="14"/>
  <c r="O9" i="14"/>
  <c r="O299" i="12" s="1"/>
  <c r="N349" i="16"/>
  <c r="N350" i="16"/>
  <c r="N348" i="16"/>
  <c r="V71" i="14"/>
  <c r="AD217" i="12"/>
  <c r="AD215" i="12"/>
  <c r="AF219" i="16"/>
  <c r="AF215" i="16"/>
  <c r="AD219" i="12"/>
  <c r="AF214" i="16"/>
  <c r="AF251" i="16" s="1"/>
  <c r="AD216" i="12"/>
  <c r="V144" i="14"/>
  <c r="AF217" i="16"/>
  <c r="AE254" i="16"/>
  <c r="AE253" i="16"/>
  <c r="AF216" i="16"/>
  <c r="AD214" i="12"/>
  <c r="AE255" i="16"/>
  <c r="AE252" i="16"/>
  <c r="N318" i="16"/>
  <c r="V326" i="12"/>
  <c r="V362" i="12" s="1"/>
  <c r="W36" i="14" s="1"/>
  <c r="N319" i="16"/>
  <c r="R39" i="19"/>
  <c r="R329" i="16"/>
  <c r="R365" i="16" s="1"/>
  <c r="Q75" i="14"/>
  <c r="M101" i="14"/>
  <c r="W325" i="16"/>
  <c r="W361" i="16" s="1"/>
  <c r="W71" i="14" s="1"/>
  <c r="M318" i="12"/>
  <c r="M102" i="14"/>
  <c r="M104" i="14"/>
  <c r="Q324" i="12"/>
  <c r="Q360" i="12" s="1"/>
  <c r="R324" i="16"/>
  <c r="R360" i="16" s="1"/>
  <c r="M321" i="12"/>
  <c r="N321" i="16"/>
  <c r="N320" i="16"/>
  <c r="N30" i="19"/>
  <c r="N66" i="19" s="1"/>
  <c r="O73" i="14"/>
  <c r="O146" i="14"/>
  <c r="O37" i="14"/>
  <c r="N317" i="16"/>
  <c r="N27" i="19"/>
  <c r="N63" i="19" s="1"/>
  <c r="H4" i="20"/>
  <c r="H13" i="20" s="1"/>
  <c r="M319" i="12"/>
  <c r="N364" i="12"/>
  <c r="M103" i="14"/>
  <c r="M100" i="14"/>
  <c r="N77" i="19" l="1"/>
  <c r="O163" i="14"/>
  <c r="O162" i="14"/>
  <c r="O161" i="14"/>
  <c r="O164" i="14"/>
  <c r="M193" i="14"/>
  <c r="O156" i="14"/>
  <c r="O157" i="14"/>
  <c r="O155" i="14"/>
  <c r="O158" i="14"/>
  <c r="P301" i="16"/>
  <c r="P305" i="16"/>
  <c r="O91" i="14"/>
  <c r="P308" i="16"/>
  <c r="O88" i="14"/>
  <c r="P306" i="16"/>
  <c r="O307" i="12"/>
  <c r="O344" i="12" s="1"/>
  <c r="O90" i="14"/>
  <c r="O89" i="14"/>
  <c r="P302" i="16"/>
  <c r="M347" i="12"/>
  <c r="M349" i="12"/>
  <c r="N23" i="14" s="1"/>
  <c r="O23" i="19" s="1"/>
  <c r="O59" i="19" s="1"/>
  <c r="M350" i="12"/>
  <c r="N60" i="14" s="1"/>
  <c r="O300" i="12"/>
  <c r="O338" i="12" s="1"/>
  <c r="P299" i="16"/>
  <c r="O82" i="14"/>
  <c r="O83" i="14"/>
  <c r="O85" i="14"/>
  <c r="O84" i="14"/>
  <c r="N131" i="14"/>
  <c r="AE217" i="12"/>
  <c r="AF253" i="16"/>
  <c r="AE216" i="12"/>
  <c r="N58" i="14"/>
  <c r="AE214" i="12"/>
  <c r="AF255" i="16"/>
  <c r="AE219" i="12"/>
  <c r="W145" i="14"/>
  <c r="AF252" i="16"/>
  <c r="W72" i="14"/>
  <c r="N22" i="14"/>
  <c r="O22" i="19" s="1"/>
  <c r="O58" i="19" s="1"/>
  <c r="AF254" i="16"/>
  <c r="AE215" i="12"/>
  <c r="W144" i="14"/>
  <c r="W35" i="14"/>
  <c r="X325" i="16" s="1"/>
  <c r="X361" i="16" s="1"/>
  <c r="R75" i="19"/>
  <c r="Q329" i="12"/>
  <c r="Q365" i="12" s="1"/>
  <c r="M320" i="12"/>
  <c r="I10" i="20"/>
  <c r="O147" i="14"/>
  <c r="O184" i="14" s="1"/>
  <c r="O74" i="14"/>
  <c r="O109" i="14" s="1"/>
  <c r="O38" i="14"/>
  <c r="R70" i="14"/>
  <c r="R34" i="14"/>
  <c r="R143" i="14"/>
  <c r="P327" i="16"/>
  <c r="P363" i="16" s="1"/>
  <c r="P37" i="19"/>
  <c r="P73" i="19" s="1"/>
  <c r="X326" i="16"/>
  <c r="X362" i="16" s="1"/>
  <c r="W326" i="12"/>
  <c r="W362" i="12" s="1"/>
  <c r="N355" i="16"/>
  <c r="N356" i="16"/>
  <c r="N354" i="16"/>
  <c r="N357" i="16"/>
  <c r="N353" i="16"/>
  <c r="M317" i="12"/>
  <c r="N367" i="16" l="1"/>
  <c r="N21" i="14"/>
  <c r="O21" i="19" s="1"/>
  <c r="O57" i="19" s="1"/>
  <c r="O181" i="14"/>
  <c r="O182" i="14"/>
  <c r="O180" i="14"/>
  <c r="O185" i="14"/>
  <c r="O183" i="14"/>
  <c r="O343" i="12"/>
  <c r="O342" i="12"/>
  <c r="P342" i="16"/>
  <c r="P344" i="16"/>
  <c r="P54" i="14" s="1"/>
  <c r="P341" i="16"/>
  <c r="P343" i="16"/>
  <c r="O341" i="12"/>
  <c r="P338" i="16"/>
  <c r="P12" i="14" s="1"/>
  <c r="N57" i="14"/>
  <c r="N132" i="14"/>
  <c r="N130" i="14"/>
  <c r="N59" i="14"/>
  <c r="N133" i="14"/>
  <c r="N24" i="14"/>
  <c r="O314" i="16" s="1"/>
  <c r="O335" i="12"/>
  <c r="O337" i="12"/>
  <c r="O336" i="12"/>
  <c r="P337" i="16"/>
  <c r="P335" i="16"/>
  <c r="P336" i="16"/>
  <c r="O312" i="16"/>
  <c r="N313" i="12"/>
  <c r="W325" i="12"/>
  <c r="W361" i="12" s="1"/>
  <c r="X35" i="14" s="1"/>
  <c r="X325" i="12" s="1"/>
  <c r="X361" i="12" s="1"/>
  <c r="O313" i="16"/>
  <c r="O112" i="14"/>
  <c r="O110" i="14"/>
  <c r="R39" i="14"/>
  <c r="R75" i="14"/>
  <c r="R148" i="14"/>
  <c r="X36" i="14"/>
  <c r="Y326" i="16" s="1"/>
  <c r="Y362" i="16" s="1"/>
  <c r="M356" i="12"/>
  <c r="M353" i="12"/>
  <c r="M355" i="12"/>
  <c r="M357" i="12"/>
  <c r="M354" i="12"/>
  <c r="R324" i="12"/>
  <c r="S324" i="16"/>
  <c r="O107" i="14"/>
  <c r="O111" i="14"/>
  <c r="X145" i="14"/>
  <c r="X72" i="14"/>
  <c r="P328" i="16"/>
  <c r="P364" i="16" s="1"/>
  <c r="P374" i="16" s="1"/>
  <c r="O328" i="12"/>
  <c r="O327" i="12"/>
  <c r="O108" i="14"/>
  <c r="N312" i="12"/>
  <c r="O311" i="16" l="1"/>
  <c r="N311" i="12"/>
  <c r="N348" i="12" s="1"/>
  <c r="M367" i="12"/>
  <c r="N169" i="14"/>
  <c r="N170" i="14"/>
  <c r="N168" i="14"/>
  <c r="N167" i="14"/>
  <c r="P126" i="14"/>
  <c r="P18" i="14"/>
  <c r="P308" i="12" s="1"/>
  <c r="P51" i="14"/>
  <c r="P53" i="14"/>
  <c r="P125" i="14"/>
  <c r="P52" i="14"/>
  <c r="P16" i="14"/>
  <c r="Q306" i="16" s="1"/>
  <c r="P124" i="14"/>
  <c r="P17" i="14"/>
  <c r="P307" i="12" s="1"/>
  <c r="P127" i="14"/>
  <c r="P9" i="14"/>
  <c r="Q299" i="16" s="1"/>
  <c r="P15" i="14"/>
  <c r="Q305" i="16" s="1"/>
  <c r="P48" i="14"/>
  <c r="P121" i="14"/>
  <c r="N94" i="14"/>
  <c r="N97" i="14"/>
  <c r="P10" i="14"/>
  <c r="Q300" i="16" s="1"/>
  <c r="N95" i="14"/>
  <c r="N96" i="14"/>
  <c r="N314" i="12"/>
  <c r="P46" i="14"/>
  <c r="P120" i="14"/>
  <c r="P11" i="14"/>
  <c r="Q301" i="16" s="1"/>
  <c r="P47" i="14"/>
  <c r="P119" i="14"/>
  <c r="P118" i="14"/>
  <c r="P45" i="14"/>
  <c r="X71" i="14"/>
  <c r="X144" i="14"/>
  <c r="X326" i="12"/>
  <c r="X362" i="12" s="1"/>
  <c r="Y145" i="14" s="1"/>
  <c r="Y325" i="16"/>
  <c r="Y361" i="16" s="1"/>
  <c r="Y144" i="14" s="1"/>
  <c r="S329" i="16"/>
  <c r="S365" i="16" s="1"/>
  <c r="S39" i="19"/>
  <c r="S75" i="19" s="1"/>
  <c r="S360" i="16"/>
  <c r="N140" i="14"/>
  <c r="N67" i="14"/>
  <c r="N31" i="14"/>
  <c r="N64" i="14"/>
  <c r="N137" i="14"/>
  <c r="N28" i="14"/>
  <c r="N66" i="14"/>
  <c r="N139" i="14"/>
  <c r="N30" i="14"/>
  <c r="P302" i="12"/>
  <c r="Q302" i="16"/>
  <c r="N63" i="14"/>
  <c r="N136" i="14"/>
  <c r="I7" i="20"/>
  <c r="N27" i="14"/>
  <c r="O363" i="12"/>
  <c r="O364" i="12" s="1"/>
  <c r="R360" i="12"/>
  <c r="N65" i="14"/>
  <c r="N138" i="14"/>
  <c r="N29" i="14"/>
  <c r="N349" i="12" l="1"/>
  <c r="O349" i="16"/>
  <c r="O350" i="16"/>
  <c r="N347" i="12"/>
  <c r="N350" i="12"/>
  <c r="N189" i="14"/>
  <c r="N177" i="14"/>
  <c r="P162" i="14"/>
  <c r="P164" i="14"/>
  <c r="N176" i="14"/>
  <c r="N173" i="14"/>
  <c r="N191" i="14"/>
  <c r="P163" i="14"/>
  <c r="N192" i="14"/>
  <c r="N175" i="14"/>
  <c r="P161" i="14"/>
  <c r="N188" i="14"/>
  <c r="N174" i="14"/>
  <c r="N190" i="14"/>
  <c r="P157" i="14"/>
  <c r="P158" i="14"/>
  <c r="P155" i="14"/>
  <c r="P156" i="14"/>
  <c r="Q307" i="16"/>
  <c r="Q308" i="16"/>
  <c r="P91" i="14"/>
  <c r="P89" i="14"/>
  <c r="P88" i="14"/>
  <c r="P90" i="14"/>
  <c r="P306" i="12"/>
  <c r="P305" i="12"/>
  <c r="P299" i="12"/>
  <c r="P301" i="12"/>
  <c r="P300" i="12"/>
  <c r="P83" i="14"/>
  <c r="O348" i="16"/>
  <c r="O22" i="14" s="1"/>
  <c r="O347" i="16"/>
  <c r="P84" i="14"/>
  <c r="P85" i="14"/>
  <c r="P82" i="14"/>
  <c r="Y36" i="14"/>
  <c r="Z326" i="16" s="1"/>
  <c r="Z362" i="16" s="1"/>
  <c r="Y72" i="14"/>
  <c r="Y35" i="14"/>
  <c r="Y325" i="12" s="1"/>
  <c r="Y361" i="12" s="1"/>
  <c r="Y71" i="14"/>
  <c r="R329" i="12"/>
  <c r="R365" i="12" s="1"/>
  <c r="N102" i="14"/>
  <c r="O27" i="19"/>
  <c r="O63" i="19" s="1"/>
  <c r="O317" i="16"/>
  <c r="I4" i="20"/>
  <c r="I13" i="20" s="1"/>
  <c r="O319" i="16"/>
  <c r="O29" i="19"/>
  <c r="O65" i="19" s="1"/>
  <c r="P73" i="14"/>
  <c r="P146" i="14"/>
  <c r="P37" i="14"/>
  <c r="O320" i="16"/>
  <c r="O30" i="19"/>
  <c r="O66" i="19" s="1"/>
  <c r="N321" i="12"/>
  <c r="O321" i="16"/>
  <c r="N103" i="14"/>
  <c r="N101" i="14"/>
  <c r="N104" i="14"/>
  <c r="N100" i="14"/>
  <c r="Q335" i="16"/>
  <c r="S34" i="14"/>
  <c r="S70" i="14"/>
  <c r="S143" i="14"/>
  <c r="P147" i="14"/>
  <c r="P74" i="14"/>
  <c r="P38" i="14"/>
  <c r="Q338" i="16"/>
  <c r="Q337" i="16"/>
  <c r="Q336" i="16"/>
  <c r="O318" i="16"/>
  <c r="O28" i="19"/>
  <c r="O64" i="19" s="1"/>
  <c r="O59" i="14" l="1"/>
  <c r="O132" i="14"/>
  <c r="O23" i="14"/>
  <c r="P23" i="19" s="1"/>
  <c r="P59" i="19" s="1"/>
  <c r="O133" i="14"/>
  <c r="O24" i="14"/>
  <c r="O314" i="12" s="1"/>
  <c r="O60" i="14"/>
  <c r="O77" i="19"/>
  <c r="O130" i="14"/>
  <c r="P184" i="14"/>
  <c r="P183" i="14"/>
  <c r="P185" i="14"/>
  <c r="P180" i="14"/>
  <c r="P182" i="14"/>
  <c r="P181" i="14"/>
  <c r="N193" i="14"/>
  <c r="Q342" i="16"/>
  <c r="Q343" i="16"/>
  <c r="Q344" i="16"/>
  <c r="Q341" i="16"/>
  <c r="P342" i="12"/>
  <c r="P344" i="12"/>
  <c r="P341" i="12"/>
  <c r="P343" i="12"/>
  <c r="P336" i="12"/>
  <c r="Q119" i="14" s="1"/>
  <c r="P337" i="12"/>
  <c r="Q120" i="14" s="1"/>
  <c r="P338" i="12"/>
  <c r="Q121" i="14" s="1"/>
  <c r="P335" i="12"/>
  <c r="O58" i="14"/>
  <c r="O57" i="14"/>
  <c r="O131" i="14"/>
  <c r="O21" i="14"/>
  <c r="P21" i="19" s="1"/>
  <c r="P57" i="19" s="1"/>
  <c r="Y326" i="12"/>
  <c r="Y362" i="12" s="1"/>
  <c r="Z36" i="14" s="1"/>
  <c r="Z325" i="16"/>
  <c r="Z361" i="16" s="1"/>
  <c r="Z71" i="14" s="1"/>
  <c r="P111" i="14"/>
  <c r="N320" i="12"/>
  <c r="S39" i="14"/>
  <c r="S148" i="14"/>
  <c r="S75" i="14"/>
  <c r="T324" i="16"/>
  <c r="T360" i="16" s="1"/>
  <c r="S324" i="12"/>
  <c r="Q328" i="16"/>
  <c r="P328" i="12"/>
  <c r="Q327" i="16"/>
  <c r="Q363" i="16" s="1"/>
  <c r="Q37" i="19"/>
  <c r="Q73" i="19" s="1"/>
  <c r="O355" i="16"/>
  <c r="O354" i="16"/>
  <c r="O357" i="16"/>
  <c r="O353" i="16"/>
  <c r="O356" i="16"/>
  <c r="P22" i="19"/>
  <c r="P58" i="19" s="1"/>
  <c r="P312" i="16"/>
  <c r="P110" i="14"/>
  <c r="P112" i="14"/>
  <c r="P108" i="14"/>
  <c r="P107" i="14"/>
  <c r="P109" i="14"/>
  <c r="J10" i="20"/>
  <c r="N318" i="12"/>
  <c r="N319" i="12"/>
  <c r="N317" i="12"/>
  <c r="P313" i="16" l="1"/>
  <c r="P314" i="16"/>
  <c r="O168" i="14"/>
  <c r="O367" i="16"/>
  <c r="Q118" i="14"/>
  <c r="Q156" i="14" s="1"/>
  <c r="O167" i="14"/>
  <c r="O169" i="14"/>
  <c r="O170" i="14"/>
  <c r="Q16" i="14"/>
  <c r="Q306" i="12" s="1"/>
  <c r="Q53" i="14"/>
  <c r="Q18" i="14"/>
  <c r="R308" i="16" s="1"/>
  <c r="Q126" i="14"/>
  <c r="Q17" i="14"/>
  <c r="R307" i="16" s="1"/>
  <c r="Q15" i="14"/>
  <c r="R305" i="16" s="1"/>
  <c r="Q54" i="14"/>
  <c r="Q127" i="14"/>
  <c r="Q52" i="14"/>
  <c r="Q51" i="14"/>
  <c r="Q125" i="14"/>
  <c r="Q124" i="14"/>
  <c r="Q46" i="14"/>
  <c r="Q10" i="14"/>
  <c r="Q300" i="12" s="1"/>
  <c r="Q47" i="14"/>
  <c r="Q9" i="14"/>
  <c r="Q299" i="12" s="1"/>
  <c r="Q11" i="14"/>
  <c r="Q301" i="12" s="1"/>
  <c r="O97" i="14"/>
  <c r="Q48" i="14"/>
  <c r="Q12" i="14"/>
  <c r="R302" i="16" s="1"/>
  <c r="Q45" i="14"/>
  <c r="O95" i="14"/>
  <c r="Z72" i="14"/>
  <c r="O96" i="14"/>
  <c r="O94" i="14"/>
  <c r="P311" i="16"/>
  <c r="O311" i="12"/>
  <c r="Z145" i="14"/>
  <c r="Z144" i="14"/>
  <c r="Z35" i="14"/>
  <c r="T39" i="19"/>
  <c r="T75" i="19" s="1"/>
  <c r="T329" i="16"/>
  <c r="T365" i="16" s="1"/>
  <c r="Q364" i="16"/>
  <c r="Q374" i="16" s="1"/>
  <c r="AA326" i="16"/>
  <c r="AA362" i="16" s="1"/>
  <c r="Z326" i="12"/>
  <c r="Z362" i="12" s="1"/>
  <c r="O312" i="12"/>
  <c r="O313" i="12"/>
  <c r="N355" i="12"/>
  <c r="N354" i="12"/>
  <c r="N357" i="12"/>
  <c r="N353" i="12"/>
  <c r="N356" i="12"/>
  <c r="S360" i="12"/>
  <c r="P327" i="12"/>
  <c r="P347" i="16" l="1"/>
  <c r="Q158" i="14"/>
  <c r="Q155" i="14"/>
  <c r="Q157" i="14"/>
  <c r="N367" i="12"/>
  <c r="Q164" i="14"/>
  <c r="Q161" i="14"/>
  <c r="Q163" i="14"/>
  <c r="Q162" i="14"/>
  <c r="R306" i="16"/>
  <c r="R341" i="16" s="1"/>
  <c r="Q307" i="12"/>
  <c r="Q308" i="12"/>
  <c r="Q305" i="12"/>
  <c r="Q88" i="14"/>
  <c r="Q89" i="14"/>
  <c r="Q90" i="14"/>
  <c r="Q91" i="14"/>
  <c r="R301" i="16"/>
  <c r="R300" i="16"/>
  <c r="R299" i="16"/>
  <c r="Q84" i="14"/>
  <c r="Q302" i="12"/>
  <c r="Q336" i="12" s="1"/>
  <c r="Q82" i="14"/>
  <c r="Q83" i="14"/>
  <c r="Q85" i="14"/>
  <c r="P349" i="16"/>
  <c r="P348" i="16"/>
  <c r="P350" i="16"/>
  <c r="Z325" i="12"/>
  <c r="Z361" i="12" s="1"/>
  <c r="AA325" i="16"/>
  <c r="AA361" i="16" s="1"/>
  <c r="S329" i="12"/>
  <c r="S365" i="12" s="1"/>
  <c r="T39" i="14" s="1"/>
  <c r="T34" i="14"/>
  <c r="T70" i="14"/>
  <c r="T143" i="14"/>
  <c r="AA145" i="14"/>
  <c r="AA72" i="14"/>
  <c r="O67" i="14"/>
  <c r="O140" i="14"/>
  <c r="O31" i="14"/>
  <c r="AA36" i="14"/>
  <c r="O63" i="14"/>
  <c r="O136" i="14"/>
  <c r="O27" i="14"/>
  <c r="J7" i="20"/>
  <c r="P363" i="12"/>
  <c r="P364" i="12" s="1"/>
  <c r="O139" i="14"/>
  <c r="O66" i="14"/>
  <c r="O30" i="14"/>
  <c r="O65" i="14"/>
  <c r="O138" i="14"/>
  <c r="O29" i="14"/>
  <c r="O137" i="14"/>
  <c r="O64" i="14"/>
  <c r="O28" i="14"/>
  <c r="O350" i="12"/>
  <c r="O347" i="12"/>
  <c r="O348" i="12"/>
  <c r="O349" i="12"/>
  <c r="O175" i="14" l="1"/>
  <c r="O173" i="14"/>
  <c r="O191" i="14"/>
  <c r="O189" i="14"/>
  <c r="O190" i="14"/>
  <c r="O188" i="14"/>
  <c r="O177" i="14"/>
  <c r="O192" i="14"/>
  <c r="O176" i="14"/>
  <c r="O174" i="14"/>
  <c r="R342" i="16"/>
  <c r="R344" i="16"/>
  <c r="R343" i="16"/>
  <c r="Q341" i="12"/>
  <c r="R124" i="14" s="1"/>
  <c r="Q344" i="12"/>
  <c r="Q342" i="12"/>
  <c r="Q343" i="12"/>
  <c r="R338" i="16"/>
  <c r="R337" i="16"/>
  <c r="R335" i="16"/>
  <c r="R336" i="16"/>
  <c r="R46" i="14" s="1"/>
  <c r="Q337" i="12"/>
  <c r="Q338" i="12"/>
  <c r="Q335" i="12"/>
  <c r="AA71" i="14"/>
  <c r="AA144" i="14"/>
  <c r="AA35" i="14"/>
  <c r="T75" i="14"/>
  <c r="T148" i="14"/>
  <c r="U39" i="19"/>
  <c r="U75" i="19" s="1"/>
  <c r="U329" i="16"/>
  <c r="U365" i="16" s="1"/>
  <c r="O103" i="14"/>
  <c r="P59" i="14"/>
  <c r="P132" i="14"/>
  <c r="P23" i="14"/>
  <c r="P28" i="19"/>
  <c r="P64" i="19" s="1"/>
  <c r="P318" i="16"/>
  <c r="P27" i="19"/>
  <c r="P63" i="19" s="1"/>
  <c r="P317" i="16"/>
  <c r="J4" i="20"/>
  <c r="J13" i="20" s="1"/>
  <c r="AA326" i="12"/>
  <c r="AA362" i="12" s="1"/>
  <c r="AB326" i="16"/>
  <c r="AB362" i="16" s="1"/>
  <c r="U324" i="16"/>
  <c r="T324" i="12"/>
  <c r="T360" i="12" s="1"/>
  <c r="O104" i="14"/>
  <c r="P60" i="14"/>
  <c r="P133" i="14"/>
  <c r="P24" i="14"/>
  <c r="P319" i="16"/>
  <c r="P29" i="19"/>
  <c r="P65" i="19" s="1"/>
  <c r="P57" i="14"/>
  <c r="P130" i="14"/>
  <c r="P21" i="14"/>
  <c r="P30" i="19"/>
  <c r="P66" i="19" s="1"/>
  <c r="P320" i="16"/>
  <c r="Q73" i="14"/>
  <c r="Q146" i="14"/>
  <c r="Q37" i="14"/>
  <c r="P58" i="14"/>
  <c r="P131" i="14"/>
  <c r="P22" i="14"/>
  <c r="O321" i="12"/>
  <c r="P321" i="16"/>
  <c r="O100" i="14"/>
  <c r="O101" i="14"/>
  <c r="O102" i="14"/>
  <c r="P77" i="19" l="1"/>
  <c r="P168" i="14"/>
  <c r="P169" i="14"/>
  <c r="O193" i="14"/>
  <c r="P167" i="14"/>
  <c r="P170" i="14"/>
  <c r="R53" i="14"/>
  <c r="R16" i="14"/>
  <c r="R306" i="12" s="1"/>
  <c r="R17" i="14"/>
  <c r="S307" i="16" s="1"/>
  <c r="R54" i="14"/>
  <c r="R51" i="14"/>
  <c r="R15" i="14"/>
  <c r="R305" i="12" s="1"/>
  <c r="R127" i="14"/>
  <c r="R52" i="14"/>
  <c r="R126" i="14"/>
  <c r="R18" i="14"/>
  <c r="R308" i="12" s="1"/>
  <c r="R125" i="14"/>
  <c r="R121" i="14"/>
  <c r="R47" i="14"/>
  <c r="R9" i="14"/>
  <c r="S299" i="16" s="1"/>
  <c r="R11" i="14"/>
  <c r="R301" i="12" s="1"/>
  <c r="R10" i="14"/>
  <c r="R300" i="12" s="1"/>
  <c r="R119" i="14"/>
  <c r="R45" i="14"/>
  <c r="R120" i="14"/>
  <c r="R118" i="14"/>
  <c r="R48" i="14"/>
  <c r="R12" i="14"/>
  <c r="S302" i="16" s="1"/>
  <c r="AB325" i="16"/>
  <c r="AB361" i="16" s="1"/>
  <c r="AA325" i="12"/>
  <c r="AA361" i="12" s="1"/>
  <c r="T329" i="12"/>
  <c r="T365" i="12" s="1"/>
  <c r="O320" i="12"/>
  <c r="P97" i="14"/>
  <c r="O317" i="12"/>
  <c r="Q312" i="16"/>
  <c r="Q22" i="19"/>
  <c r="Q58" i="19" s="1"/>
  <c r="Q21" i="19"/>
  <c r="Q57" i="19" s="1"/>
  <c r="Q311" i="16"/>
  <c r="AB72" i="14"/>
  <c r="AB145" i="14"/>
  <c r="Q313" i="16"/>
  <c r="Q23" i="19"/>
  <c r="Q59" i="19" s="1"/>
  <c r="U360" i="16"/>
  <c r="U143" i="14" s="1"/>
  <c r="AB36" i="14"/>
  <c r="P356" i="16"/>
  <c r="P354" i="16"/>
  <c r="P357" i="16"/>
  <c r="P355" i="16"/>
  <c r="P353" i="16"/>
  <c r="P94" i="14"/>
  <c r="O319" i="12"/>
  <c r="R327" i="16"/>
  <c r="R37" i="19"/>
  <c r="R73" i="19" s="1"/>
  <c r="Q314" i="16"/>
  <c r="P314" i="12"/>
  <c r="P95" i="14"/>
  <c r="P96" i="14"/>
  <c r="Q74" i="14"/>
  <c r="Q111" i="14" s="1"/>
  <c r="Q147" i="14"/>
  <c r="Q184" i="14" s="1"/>
  <c r="Q38" i="14"/>
  <c r="K10" i="20"/>
  <c r="O318" i="12"/>
  <c r="P367" i="16" l="1"/>
  <c r="R161" i="14"/>
  <c r="R164" i="14"/>
  <c r="Q181" i="14"/>
  <c r="Q185" i="14"/>
  <c r="Q182" i="14"/>
  <c r="Q180" i="14"/>
  <c r="Q183" i="14"/>
  <c r="R162" i="14"/>
  <c r="R163" i="14"/>
  <c r="R155" i="14"/>
  <c r="R158" i="14"/>
  <c r="R157" i="14"/>
  <c r="R156" i="14"/>
  <c r="S306" i="16"/>
  <c r="R307" i="12"/>
  <c r="R342" i="12" s="1"/>
  <c r="R88" i="14"/>
  <c r="S305" i="16"/>
  <c r="R89" i="14"/>
  <c r="R90" i="14"/>
  <c r="R91" i="14"/>
  <c r="S308" i="16"/>
  <c r="S301" i="16"/>
  <c r="S300" i="16"/>
  <c r="R299" i="12"/>
  <c r="R85" i="14"/>
  <c r="R302" i="12"/>
  <c r="R83" i="14"/>
  <c r="R82" i="14"/>
  <c r="R84" i="14"/>
  <c r="AB144" i="14"/>
  <c r="AB71" i="14"/>
  <c r="AB35" i="14"/>
  <c r="U39" i="14"/>
  <c r="U148" i="14"/>
  <c r="U75" i="14"/>
  <c r="U70" i="14"/>
  <c r="O354" i="12"/>
  <c r="P28" i="14" s="1"/>
  <c r="P313" i="12"/>
  <c r="P311" i="12"/>
  <c r="O356" i="12"/>
  <c r="P139" i="14" s="1"/>
  <c r="O355" i="12"/>
  <c r="P29" i="14" s="1"/>
  <c r="Q319" i="16" s="1"/>
  <c r="Q350" i="16"/>
  <c r="Q347" i="16"/>
  <c r="Q348" i="16"/>
  <c r="Q349" i="16"/>
  <c r="R328" i="16"/>
  <c r="Q328" i="12"/>
  <c r="AC326" i="16"/>
  <c r="AC362" i="16" s="1"/>
  <c r="AB326" i="12"/>
  <c r="AB362" i="12" s="1"/>
  <c r="R363" i="16"/>
  <c r="Q109" i="14"/>
  <c r="Q327" i="12"/>
  <c r="Q108" i="14"/>
  <c r="U34" i="14"/>
  <c r="O357" i="12"/>
  <c r="Q112" i="14"/>
  <c r="Q110" i="14"/>
  <c r="O353" i="12"/>
  <c r="Q107" i="14"/>
  <c r="P312" i="12"/>
  <c r="O367" i="12" l="1"/>
  <c r="R341" i="12"/>
  <c r="R364" i="16"/>
  <c r="R374" i="16" s="1"/>
  <c r="R344" i="12"/>
  <c r="R343" i="12"/>
  <c r="S343" i="16"/>
  <c r="S341" i="16"/>
  <c r="S342" i="16"/>
  <c r="S16" i="14" s="1"/>
  <c r="S344" i="16"/>
  <c r="S336" i="16"/>
  <c r="S337" i="16"/>
  <c r="S338" i="16"/>
  <c r="S335" i="16"/>
  <c r="R335" i="12"/>
  <c r="R336" i="12"/>
  <c r="R337" i="12"/>
  <c r="R338" i="12"/>
  <c r="P66" i="14"/>
  <c r="P30" i="14"/>
  <c r="Q320" i="16" s="1"/>
  <c r="AC325" i="16"/>
  <c r="AC361" i="16" s="1"/>
  <c r="AB325" i="12"/>
  <c r="AB361" i="12" s="1"/>
  <c r="P349" i="12"/>
  <c r="Q132" i="14" s="1"/>
  <c r="P64" i="14"/>
  <c r="P137" i="14"/>
  <c r="P65" i="14"/>
  <c r="V329" i="16"/>
  <c r="V365" i="16" s="1"/>
  <c r="V39" i="19"/>
  <c r="V75" i="19" s="1"/>
  <c r="P138" i="14"/>
  <c r="Q29" i="19"/>
  <c r="Q65" i="19" s="1"/>
  <c r="P67" i="14"/>
  <c r="P140" i="14"/>
  <c r="P31" i="14"/>
  <c r="P63" i="14"/>
  <c r="P136" i="14"/>
  <c r="K7" i="20"/>
  <c r="P27" i="14"/>
  <c r="AC145" i="14"/>
  <c r="AC72" i="14"/>
  <c r="Q28" i="19"/>
  <c r="Q64" i="19" s="1"/>
  <c r="Q318" i="16"/>
  <c r="U324" i="12"/>
  <c r="V324" i="16"/>
  <c r="Q363" i="12"/>
  <c r="P347" i="12"/>
  <c r="P348" i="12"/>
  <c r="P350" i="12"/>
  <c r="AC36" i="14"/>
  <c r="P175" i="14" l="1"/>
  <c r="P173" i="14"/>
  <c r="P191" i="14"/>
  <c r="P188" i="14"/>
  <c r="P189" i="14"/>
  <c r="P190" i="14"/>
  <c r="P174" i="14"/>
  <c r="P176" i="14"/>
  <c r="P177" i="14"/>
  <c r="P192" i="14"/>
  <c r="S53" i="14"/>
  <c r="S124" i="14"/>
  <c r="S18" i="14"/>
  <c r="S308" i="12" s="1"/>
  <c r="S126" i="14"/>
  <c r="S17" i="14"/>
  <c r="S307" i="12" s="1"/>
  <c r="S54" i="14"/>
  <c r="S125" i="14"/>
  <c r="S51" i="14"/>
  <c r="S15" i="14"/>
  <c r="T305" i="16" s="1"/>
  <c r="S127" i="14"/>
  <c r="S52" i="14"/>
  <c r="S46" i="14"/>
  <c r="S47" i="14"/>
  <c r="S121" i="14"/>
  <c r="S118" i="14"/>
  <c r="S9" i="14"/>
  <c r="T299" i="16" s="1"/>
  <c r="S45" i="14"/>
  <c r="S10" i="14"/>
  <c r="S300" i="12" s="1"/>
  <c r="S12" i="14"/>
  <c r="T302" i="16" s="1"/>
  <c r="S11" i="14"/>
  <c r="T301" i="16" s="1"/>
  <c r="S119" i="14"/>
  <c r="S48" i="14"/>
  <c r="S120" i="14"/>
  <c r="Q30" i="19"/>
  <c r="Q66" i="19" s="1"/>
  <c r="AC71" i="14"/>
  <c r="AC144" i="14"/>
  <c r="AC35" i="14"/>
  <c r="U329" i="12"/>
  <c r="U365" i="12" s="1"/>
  <c r="V75" i="14" s="1"/>
  <c r="P100" i="14"/>
  <c r="Q23" i="14"/>
  <c r="R313" i="16" s="1"/>
  <c r="Q59" i="14"/>
  <c r="P319" i="12"/>
  <c r="P318" i="12"/>
  <c r="P103" i="14"/>
  <c r="P101" i="14"/>
  <c r="P102" i="14"/>
  <c r="R73" i="14"/>
  <c r="R146" i="14"/>
  <c r="R37" i="14"/>
  <c r="AC326" i="12"/>
  <c r="AC362" i="12" s="1"/>
  <c r="AD326" i="16"/>
  <c r="AD362" i="16" s="1"/>
  <c r="Q364" i="12"/>
  <c r="Q27" i="19"/>
  <c r="Q63" i="19" s="1"/>
  <c r="Q317" i="16"/>
  <c r="K4" i="20"/>
  <c r="K13" i="20" s="1"/>
  <c r="Q321" i="16"/>
  <c r="P321" i="12"/>
  <c r="Q60" i="14"/>
  <c r="Q133" i="14"/>
  <c r="Q24" i="14"/>
  <c r="Q131" i="14"/>
  <c r="Q58" i="14"/>
  <c r="Q22" i="14"/>
  <c r="U360" i="12"/>
  <c r="Q57" i="14"/>
  <c r="Q130" i="14"/>
  <c r="Q21" i="14"/>
  <c r="V360" i="16"/>
  <c r="S306" i="12"/>
  <c r="T306" i="16"/>
  <c r="P104" i="14"/>
  <c r="Q77" i="19" l="1"/>
  <c r="Q168" i="14"/>
  <c r="S163" i="14"/>
  <c r="Q169" i="14"/>
  <c r="S164" i="14"/>
  <c r="S161" i="14"/>
  <c r="P193" i="14"/>
  <c r="S162" i="14"/>
  <c r="Q170" i="14"/>
  <c r="Q167" i="14"/>
  <c r="S157" i="14"/>
  <c r="S155" i="14"/>
  <c r="S158" i="14"/>
  <c r="S156" i="14"/>
  <c r="T307" i="16"/>
  <c r="T308" i="16"/>
  <c r="S305" i="12"/>
  <c r="S341" i="12" s="1"/>
  <c r="S91" i="14"/>
  <c r="S90" i="14"/>
  <c r="S88" i="14"/>
  <c r="S89" i="14"/>
  <c r="S299" i="12"/>
  <c r="S85" i="14"/>
  <c r="S302" i="12"/>
  <c r="T300" i="16"/>
  <c r="T336" i="16" s="1"/>
  <c r="S301" i="12"/>
  <c r="S84" i="14"/>
  <c r="S82" i="14"/>
  <c r="S83" i="14"/>
  <c r="L10" i="20"/>
  <c r="P320" i="12"/>
  <c r="AD325" i="16"/>
  <c r="AD361" i="16" s="1"/>
  <c r="AC325" i="12"/>
  <c r="AC361" i="12" s="1"/>
  <c r="V39" i="14"/>
  <c r="W329" i="16" s="1"/>
  <c r="W365" i="16" s="1"/>
  <c r="Q94" i="14"/>
  <c r="V148" i="14"/>
  <c r="R23" i="19"/>
  <c r="R59" i="19" s="1"/>
  <c r="AD36" i="14"/>
  <c r="AD326" i="12" s="1"/>
  <c r="AD362" i="12" s="1"/>
  <c r="V34" i="14"/>
  <c r="V324" i="12" s="1"/>
  <c r="V360" i="12" s="1"/>
  <c r="R312" i="16"/>
  <c r="R22" i="19"/>
  <c r="R58" i="19" s="1"/>
  <c r="R311" i="16"/>
  <c r="R21" i="19"/>
  <c r="R57" i="19" s="1"/>
  <c r="V70" i="14"/>
  <c r="V143" i="14"/>
  <c r="R314" i="16"/>
  <c r="Q314" i="12"/>
  <c r="AD72" i="14"/>
  <c r="Q354" i="16"/>
  <c r="Q357" i="16"/>
  <c r="Q353" i="16"/>
  <c r="Q356" i="16"/>
  <c r="Q355" i="16"/>
  <c r="S37" i="19"/>
  <c r="S73" i="19" s="1"/>
  <c r="S327" i="16"/>
  <c r="R147" i="14"/>
  <c r="R184" i="14" s="1"/>
  <c r="R74" i="14"/>
  <c r="R111" i="14" s="1"/>
  <c r="R38" i="14"/>
  <c r="AD145" i="14"/>
  <c r="P317" i="12"/>
  <c r="Q96" i="14"/>
  <c r="Q95" i="14"/>
  <c r="Q97" i="14"/>
  <c r="Q367" i="16" l="1"/>
  <c r="R181" i="14"/>
  <c r="R182" i="14"/>
  <c r="R185" i="14"/>
  <c r="R180" i="14"/>
  <c r="R183" i="14"/>
  <c r="T342" i="16"/>
  <c r="T343" i="16"/>
  <c r="T344" i="16"/>
  <c r="T341" i="16"/>
  <c r="T51" i="14" s="1"/>
  <c r="S344" i="12"/>
  <c r="S342" i="12"/>
  <c r="S343" i="12"/>
  <c r="S337" i="12"/>
  <c r="T338" i="16"/>
  <c r="S336" i="12"/>
  <c r="T119" i="14" s="1"/>
  <c r="T337" i="16"/>
  <c r="T335" i="16"/>
  <c r="S338" i="12"/>
  <c r="S335" i="12"/>
  <c r="AE326" i="16"/>
  <c r="AE362" i="16" s="1"/>
  <c r="AE72" i="14" s="1"/>
  <c r="W39" i="19"/>
  <c r="V329" i="12" s="1"/>
  <c r="V365" i="12" s="1"/>
  <c r="W39" i="14" s="1"/>
  <c r="AD35" i="14"/>
  <c r="AD71" i="14"/>
  <c r="AD144" i="14"/>
  <c r="Q313" i="12"/>
  <c r="R327" i="12"/>
  <c r="R363" i="12" s="1"/>
  <c r="W324" i="16"/>
  <c r="W360" i="16" s="1"/>
  <c r="Q311" i="12"/>
  <c r="R110" i="14"/>
  <c r="R112" i="14"/>
  <c r="R109" i="14"/>
  <c r="S363" i="16"/>
  <c r="P353" i="12"/>
  <c r="P354" i="12"/>
  <c r="P355" i="12"/>
  <c r="P356" i="12"/>
  <c r="P357" i="12"/>
  <c r="R348" i="16"/>
  <c r="R349" i="16"/>
  <c r="R350" i="16"/>
  <c r="R347" i="16"/>
  <c r="R328" i="12"/>
  <c r="S328" i="16"/>
  <c r="R108" i="14"/>
  <c r="R107" i="14"/>
  <c r="Q312" i="12"/>
  <c r="P367" i="12" l="1"/>
  <c r="T125" i="14"/>
  <c r="T124" i="14"/>
  <c r="T15" i="14"/>
  <c r="T305" i="12" s="1"/>
  <c r="T17" i="14"/>
  <c r="T307" i="12" s="1"/>
  <c r="T18" i="14"/>
  <c r="T308" i="12" s="1"/>
  <c r="S364" i="16"/>
  <c r="S374" i="16" s="1"/>
  <c r="T52" i="14"/>
  <c r="T54" i="14"/>
  <c r="T127" i="14"/>
  <c r="T10" i="14"/>
  <c r="U300" i="16" s="1"/>
  <c r="T16" i="14"/>
  <c r="U306" i="16" s="1"/>
  <c r="T53" i="14"/>
  <c r="T126" i="14"/>
  <c r="AE145" i="14"/>
  <c r="T121" i="14"/>
  <c r="T46" i="14"/>
  <c r="T9" i="14"/>
  <c r="T299" i="12" s="1"/>
  <c r="T11" i="14"/>
  <c r="U301" i="16" s="1"/>
  <c r="T48" i="14"/>
  <c r="T47" i="14"/>
  <c r="T120" i="14"/>
  <c r="T45" i="14"/>
  <c r="T118" i="14"/>
  <c r="T12" i="14"/>
  <c r="U302" i="16" s="1"/>
  <c r="W75" i="19"/>
  <c r="W148" i="14" s="1"/>
  <c r="AE36" i="14"/>
  <c r="AE326" i="12" s="1"/>
  <c r="AE362" i="12" s="1"/>
  <c r="W143" i="14"/>
  <c r="W70" i="14"/>
  <c r="AE325" i="16"/>
  <c r="AE361" i="16" s="1"/>
  <c r="AD325" i="12"/>
  <c r="AD361" i="12" s="1"/>
  <c r="R364" i="12"/>
  <c r="W34" i="14"/>
  <c r="X324" i="16" s="1"/>
  <c r="Q348" i="12"/>
  <c r="R58" i="14" s="1"/>
  <c r="X329" i="16"/>
  <c r="X365" i="16" s="1"/>
  <c r="X39" i="19"/>
  <c r="Q347" i="12"/>
  <c r="Q67" i="14"/>
  <c r="Q140" i="14"/>
  <c r="Q31" i="14"/>
  <c r="Q64" i="14"/>
  <c r="Q137" i="14"/>
  <c r="Q28" i="14"/>
  <c r="S37" i="14"/>
  <c r="S146" i="14"/>
  <c r="S73" i="14"/>
  <c r="Q349" i="12"/>
  <c r="Q136" i="14"/>
  <c r="Q63" i="14"/>
  <c r="L7" i="20"/>
  <c r="Q27" i="14"/>
  <c r="Q65" i="14"/>
  <c r="Q138" i="14"/>
  <c r="Q29" i="14"/>
  <c r="Q66" i="14"/>
  <c r="Q139" i="14"/>
  <c r="Q30" i="14"/>
  <c r="Q350" i="12"/>
  <c r="T163" i="14" l="1"/>
  <c r="R130" i="14"/>
  <c r="Q176" i="14"/>
  <c r="Q173" i="14"/>
  <c r="Q191" i="14"/>
  <c r="Q190" i="14"/>
  <c r="Q189" i="14"/>
  <c r="Q188" i="14"/>
  <c r="T161" i="14"/>
  <c r="T164" i="14"/>
  <c r="T162" i="14"/>
  <c r="Q177" i="14"/>
  <c r="Q192" i="14"/>
  <c r="Q175" i="14"/>
  <c r="Q174" i="14"/>
  <c r="T155" i="14"/>
  <c r="T158" i="14"/>
  <c r="T157" i="14"/>
  <c r="T156" i="14"/>
  <c r="U308" i="16"/>
  <c r="U305" i="16"/>
  <c r="U307" i="16"/>
  <c r="S147" i="14"/>
  <c r="S184" i="14" s="1"/>
  <c r="T306" i="12"/>
  <c r="T343" i="12" s="1"/>
  <c r="T88" i="14"/>
  <c r="T300" i="12"/>
  <c r="T90" i="14"/>
  <c r="T89" i="14"/>
  <c r="T91" i="14"/>
  <c r="U299" i="16"/>
  <c r="U338" i="16" s="1"/>
  <c r="T301" i="12"/>
  <c r="T302" i="12"/>
  <c r="T82" i="14"/>
  <c r="T85" i="14"/>
  <c r="T83" i="14"/>
  <c r="T84" i="14"/>
  <c r="AF326" i="16"/>
  <c r="AF362" i="16" s="1"/>
  <c r="AD186" i="43" s="1" a="1"/>
  <c r="AD186" i="43" s="1"/>
  <c r="W75" i="14"/>
  <c r="W324" i="12"/>
  <c r="W360" i="12" s="1"/>
  <c r="R57" i="14"/>
  <c r="S38" i="14"/>
  <c r="S328" i="12" s="1"/>
  <c r="S74" i="14"/>
  <c r="S110" i="14" s="1"/>
  <c r="AE35" i="14"/>
  <c r="AE71" i="14"/>
  <c r="AE144" i="14"/>
  <c r="R22" i="14"/>
  <c r="S312" i="16" s="1"/>
  <c r="R131" i="14"/>
  <c r="R21" i="14"/>
  <c r="S311" i="16" s="1"/>
  <c r="X75" i="19"/>
  <c r="W329" i="12"/>
  <c r="W365" i="12" s="1"/>
  <c r="Q103" i="14"/>
  <c r="R132" i="14"/>
  <c r="R59" i="14"/>
  <c r="R23" i="14"/>
  <c r="R318" i="16"/>
  <c r="R28" i="19"/>
  <c r="R64" i="19" s="1"/>
  <c r="R60" i="14"/>
  <c r="R133" i="14"/>
  <c r="R24" i="14"/>
  <c r="Q100" i="14"/>
  <c r="Q102" i="14"/>
  <c r="R317" i="16"/>
  <c r="R27" i="19"/>
  <c r="R63" i="19" s="1"/>
  <c r="L4" i="20"/>
  <c r="L13" i="20" s="1"/>
  <c r="T37" i="19"/>
  <c r="T73" i="19" s="1"/>
  <c r="T327" i="16"/>
  <c r="R320" i="16"/>
  <c r="R30" i="19"/>
  <c r="R66" i="19" s="1"/>
  <c r="R29" i="19"/>
  <c r="R65" i="19" s="1"/>
  <c r="R319" i="16"/>
  <c r="R321" i="16"/>
  <c r="Q321" i="12"/>
  <c r="X360" i="16"/>
  <c r="Q104" i="14"/>
  <c r="Q101" i="14"/>
  <c r="R77" i="19" l="1"/>
  <c r="R168" i="14"/>
  <c r="S181" i="14"/>
  <c r="S183" i="14"/>
  <c r="S182" i="14"/>
  <c r="S180" i="14"/>
  <c r="R169" i="14"/>
  <c r="R170" i="14"/>
  <c r="Q193" i="14"/>
  <c r="R167" i="14"/>
  <c r="S185" i="14"/>
  <c r="V186" i="43" a="1"/>
  <c r="V186" i="43" s="1"/>
  <c r="U341" i="16"/>
  <c r="U342" i="16"/>
  <c r="U343" i="16"/>
  <c r="U53" i="14" s="1"/>
  <c r="U344" i="16"/>
  <c r="T342" i="12"/>
  <c r="T344" i="12"/>
  <c r="T341" i="12"/>
  <c r="U337" i="16"/>
  <c r="U336" i="16"/>
  <c r="T338" i="12"/>
  <c r="U48" i="14" s="1"/>
  <c r="U335" i="16"/>
  <c r="S21" i="19"/>
  <c r="S57" i="19" s="1"/>
  <c r="T335" i="12"/>
  <c r="T336" i="12"/>
  <c r="T337" i="12"/>
  <c r="T328" i="16"/>
  <c r="Z223" i="43" a="1"/>
  <c r="Z223" i="43" s="1"/>
  <c r="R186" i="43" a="1"/>
  <c r="R186" i="43" s="1"/>
  <c r="U223" i="43" a="1"/>
  <c r="U223" i="43" s="1"/>
  <c r="P186" i="43" a="1"/>
  <c r="P186" i="43" s="1"/>
  <c r="S223" i="43" a="1"/>
  <c r="S223" i="43" s="1"/>
  <c r="P223" i="43" a="1"/>
  <c r="P223" i="43" s="1"/>
  <c r="AF36" i="14"/>
  <c r="AA223" i="43" a="1"/>
  <c r="AA223" i="43" s="1"/>
  <c r="M186" i="43" a="1"/>
  <c r="M186" i="43" s="1"/>
  <c r="Y223" i="43" a="1"/>
  <c r="Y223" i="43" s="1"/>
  <c r="K186" i="43" a="1"/>
  <c r="K186" i="43" s="1"/>
  <c r="O223" i="43" a="1"/>
  <c r="O223" i="43" s="1"/>
  <c r="AC186" i="43" a="1"/>
  <c r="AC186" i="43" s="1"/>
  <c r="AA186" i="43" a="1"/>
  <c r="AA186" i="43" s="1"/>
  <c r="L223" i="43" a="1"/>
  <c r="L223" i="43" s="1"/>
  <c r="V223" i="43" a="1"/>
  <c r="V223" i="43" s="1"/>
  <c r="AE223" i="43" a="1"/>
  <c r="AE223" i="43" s="1"/>
  <c r="Y186" i="43" a="1"/>
  <c r="Y186" i="43" s="1"/>
  <c r="X223" i="43" a="1"/>
  <c r="X223" i="43" s="1"/>
  <c r="Q223" i="43" a="1"/>
  <c r="Q223" i="43" s="1"/>
  <c r="AE186" i="43" a="1"/>
  <c r="AE186" i="43" s="1"/>
  <c r="W186" i="43" a="1"/>
  <c r="W186" i="43" s="1"/>
  <c r="H186" i="43" a="1"/>
  <c r="H186" i="43" s="1"/>
  <c r="S111" i="14"/>
  <c r="X186" i="43" a="1"/>
  <c r="X186" i="43" s="1"/>
  <c r="L186" i="43" a="1"/>
  <c r="L186" i="43" s="1"/>
  <c r="J223" i="43" a="1"/>
  <c r="J223" i="43" s="1"/>
  <c r="O186" i="43" a="1"/>
  <c r="O186" i="43" s="1"/>
  <c r="W223" i="43" a="1"/>
  <c r="W223" i="43" s="1"/>
  <c r="AF186" i="43" a="1"/>
  <c r="AF186" i="43" s="1"/>
  <c r="AC223" i="43" a="1"/>
  <c r="AC223" i="43" s="1"/>
  <c r="AF72" i="14"/>
  <c r="AB223" i="43" a="1"/>
  <c r="AB223" i="43" s="1"/>
  <c r="U186" i="43" a="1"/>
  <c r="U186" i="43" s="1"/>
  <c r="Q186" i="43" a="1"/>
  <c r="Q186" i="43" s="1"/>
  <c r="N223" i="43" a="1"/>
  <c r="N223" i="43" s="1"/>
  <c r="T186" i="43" a="1"/>
  <c r="T186" i="43" s="1"/>
  <c r="H223" i="43" a="1"/>
  <c r="H223" i="43" s="1"/>
  <c r="Z186" i="43" a="1"/>
  <c r="Z186" i="43" s="1"/>
  <c r="AF223" i="43" a="1"/>
  <c r="AF223" i="43" s="1"/>
  <c r="N186" i="43" a="1"/>
  <c r="N186" i="43" s="1"/>
  <c r="AB186" i="43" a="1"/>
  <c r="AB186" i="43" s="1"/>
  <c r="R223" i="43" a="1"/>
  <c r="R223" i="43" s="1"/>
  <c r="I223" i="43" a="1"/>
  <c r="I223" i="43" s="1"/>
  <c r="T223" i="43" a="1"/>
  <c r="T223" i="43" s="1"/>
  <c r="I186" i="43" a="1"/>
  <c r="I186" i="43" s="1"/>
  <c r="M223" i="43" a="1"/>
  <c r="M223" i="43" s="1"/>
  <c r="J186" i="43" a="1"/>
  <c r="J186" i="43" s="1"/>
  <c r="K223" i="43" a="1"/>
  <c r="K223" i="43" s="1"/>
  <c r="S186" i="43" a="1"/>
  <c r="S186" i="43" s="1"/>
  <c r="AF145" i="14"/>
  <c r="AD223" i="43" a="1"/>
  <c r="AD223" i="43" s="1"/>
  <c r="S108" i="14"/>
  <c r="S112" i="14"/>
  <c r="S107" i="14"/>
  <c r="S109" i="14"/>
  <c r="AE325" i="12"/>
  <c r="AE361" i="12" s="1"/>
  <c r="AF325" i="16"/>
  <c r="AF361" i="16" s="1"/>
  <c r="S22" i="19"/>
  <c r="S58" i="19" s="1"/>
  <c r="X39" i="14"/>
  <c r="X148" i="14"/>
  <c r="X75" i="14"/>
  <c r="R97" i="14"/>
  <c r="Q318" i="12"/>
  <c r="Q320" i="12"/>
  <c r="R95" i="14"/>
  <c r="R354" i="16"/>
  <c r="R357" i="16"/>
  <c r="R353" i="16"/>
  <c r="R355" i="16"/>
  <c r="S314" i="16"/>
  <c r="R314" i="12"/>
  <c r="T363" i="16"/>
  <c r="R356" i="16"/>
  <c r="R94" i="14"/>
  <c r="R96" i="14"/>
  <c r="X34" i="14"/>
  <c r="X70" i="14"/>
  <c r="X143" i="14"/>
  <c r="S23" i="19"/>
  <c r="S59" i="19" s="1"/>
  <c r="S313" i="16"/>
  <c r="Q319" i="12"/>
  <c r="M10" i="20"/>
  <c r="S327" i="12"/>
  <c r="Q317" i="12"/>
  <c r="R367" i="16" l="1"/>
  <c r="U124" i="14"/>
  <c r="U125" i="14"/>
  <c r="U126" i="14"/>
  <c r="U15" i="14"/>
  <c r="U305" i="12" s="1"/>
  <c r="U17" i="14"/>
  <c r="V307" i="16" s="1"/>
  <c r="U127" i="14"/>
  <c r="U51" i="14"/>
  <c r="U16" i="14"/>
  <c r="V306" i="16" s="1"/>
  <c r="U52" i="14"/>
  <c r="U12" i="14"/>
  <c r="U302" i="12" s="1"/>
  <c r="U54" i="14"/>
  <c r="U18" i="14"/>
  <c r="V308" i="16" s="1"/>
  <c r="U47" i="14"/>
  <c r="U11" i="14"/>
  <c r="V301" i="16" s="1"/>
  <c r="U119" i="14"/>
  <c r="U121" i="14"/>
  <c r="U46" i="14"/>
  <c r="U118" i="14"/>
  <c r="U10" i="14"/>
  <c r="U300" i="12" s="1"/>
  <c r="R311" i="12"/>
  <c r="U45" i="14"/>
  <c r="U9" i="14"/>
  <c r="V299" i="16" s="1"/>
  <c r="U120" i="14"/>
  <c r="T364" i="16"/>
  <c r="T374" i="16" s="1"/>
  <c r="AF71" i="14"/>
  <c r="AF144" i="14"/>
  <c r="Y222" i="43" a="1"/>
  <c r="Y222" i="43" s="1"/>
  <c r="J222" i="43" a="1"/>
  <c r="J222" i="43" s="1"/>
  <c r="T222" i="43" a="1"/>
  <c r="T222" i="43" s="1"/>
  <c r="I222" i="43" a="1"/>
  <c r="I222" i="43" s="1"/>
  <c r="O222" i="43" a="1"/>
  <c r="O222" i="43" s="1"/>
  <c r="AC222" i="43" a="1"/>
  <c r="AC222" i="43" s="1"/>
  <c r="AD222" i="43" a="1"/>
  <c r="AD222" i="43" s="1"/>
  <c r="L222" i="43" a="1"/>
  <c r="L222" i="43" s="1"/>
  <c r="Q222" i="43" a="1"/>
  <c r="Q222" i="43" s="1"/>
  <c r="H222" i="43" a="1"/>
  <c r="H222" i="43" s="1"/>
  <c r="AB222" i="43" a="1"/>
  <c r="AB222" i="43" s="1"/>
  <c r="R222" i="43" a="1"/>
  <c r="R222" i="43" s="1"/>
  <c r="AA222" i="43" a="1"/>
  <c r="AA222" i="43" s="1"/>
  <c r="N222" i="43" a="1"/>
  <c r="N222" i="43" s="1"/>
  <c r="V222" i="43" a="1"/>
  <c r="V222" i="43" s="1"/>
  <c r="W222" i="43" a="1"/>
  <c r="W222" i="43" s="1"/>
  <c r="P222" i="43" a="1"/>
  <c r="P222" i="43" s="1"/>
  <c r="K222" i="43" a="1"/>
  <c r="K222" i="43" s="1"/>
  <c r="AF222" i="43" a="1"/>
  <c r="AF222" i="43" s="1"/>
  <c r="S222" i="43" a="1"/>
  <c r="S222" i="43" s="1"/>
  <c r="U222" i="43" a="1"/>
  <c r="U222" i="43" s="1"/>
  <c r="M222" i="43" a="1"/>
  <c r="M222" i="43" s="1"/>
  <c r="Z222" i="43" a="1"/>
  <c r="Z222" i="43" s="1"/>
  <c r="AE222" i="43" a="1"/>
  <c r="AE222" i="43" s="1"/>
  <c r="X222" i="43" a="1"/>
  <c r="X222" i="43" s="1"/>
  <c r="R185" i="43" a="1"/>
  <c r="R185" i="43" s="1"/>
  <c r="AE185" i="43" a="1"/>
  <c r="AE185" i="43" s="1"/>
  <c r="X185" i="43" a="1"/>
  <c r="X185" i="43" s="1"/>
  <c r="I185" i="43" a="1"/>
  <c r="I185" i="43" s="1"/>
  <c r="P185" i="43" a="1"/>
  <c r="P185" i="43" s="1"/>
  <c r="W185" i="43" a="1"/>
  <c r="W185" i="43" s="1"/>
  <c r="T185" i="43" a="1"/>
  <c r="T185" i="43" s="1"/>
  <c r="U185" i="43" a="1"/>
  <c r="U185" i="43" s="1"/>
  <c r="AD185" i="43" a="1"/>
  <c r="AD185" i="43" s="1"/>
  <c r="AF185" i="43" a="1"/>
  <c r="AF185" i="43" s="1"/>
  <c r="AA185" i="43" a="1"/>
  <c r="AA185" i="43" s="1"/>
  <c r="AC185" i="43" a="1"/>
  <c r="AC185" i="43" s="1"/>
  <c r="O185" i="43" a="1"/>
  <c r="O185" i="43" s="1"/>
  <c r="K185" i="43" a="1"/>
  <c r="K185" i="43" s="1"/>
  <c r="V185" i="43" a="1"/>
  <c r="V185" i="43" s="1"/>
  <c r="Y185" i="43" a="1"/>
  <c r="Y185" i="43" s="1"/>
  <c r="M185" i="43" a="1"/>
  <c r="M185" i="43" s="1"/>
  <c r="J185" i="43" a="1"/>
  <c r="J185" i="43" s="1"/>
  <c r="Z185" i="43" a="1"/>
  <c r="Z185" i="43" s="1"/>
  <c r="AB185" i="43" a="1"/>
  <c r="AB185" i="43" s="1"/>
  <c r="N185" i="43" a="1"/>
  <c r="N185" i="43" s="1"/>
  <c r="H185" i="43" a="1"/>
  <c r="H185" i="43" s="1"/>
  <c r="Q185" i="43" a="1"/>
  <c r="Q185" i="43" s="1"/>
  <c r="S185" i="43" a="1"/>
  <c r="S185" i="43" s="1"/>
  <c r="L185" i="43" a="1"/>
  <c r="L185" i="43" s="1"/>
  <c r="AF35" i="14"/>
  <c r="R312" i="12"/>
  <c r="S349" i="16"/>
  <c r="Y329" i="16"/>
  <c r="Y365" i="16" s="1"/>
  <c r="Y39" i="19"/>
  <c r="Y75" i="19" s="1"/>
  <c r="Q353" i="12"/>
  <c r="S348" i="16"/>
  <c r="S350" i="16"/>
  <c r="S347" i="16"/>
  <c r="Q354" i="12"/>
  <c r="Q355" i="12"/>
  <c r="Q357" i="12"/>
  <c r="Q356" i="12"/>
  <c r="S363" i="12"/>
  <c r="S364" i="12" s="1"/>
  <c r="X324" i="12"/>
  <c r="Y324" i="16"/>
  <c r="Y360" i="16" s="1"/>
  <c r="R313" i="12"/>
  <c r="R63" i="14" l="1"/>
  <c r="Q367" i="12"/>
  <c r="U161" i="14"/>
  <c r="U163" i="14"/>
  <c r="U162" i="14"/>
  <c r="U164" i="14"/>
  <c r="U158" i="14"/>
  <c r="U157" i="14"/>
  <c r="U156" i="14"/>
  <c r="U155" i="14"/>
  <c r="U307" i="12"/>
  <c r="V302" i="16"/>
  <c r="V305" i="16"/>
  <c r="V344" i="16" s="1"/>
  <c r="U306" i="12"/>
  <c r="U308" i="12"/>
  <c r="U90" i="14"/>
  <c r="U88" i="14"/>
  <c r="U91" i="14"/>
  <c r="U89" i="14"/>
  <c r="U85" i="14"/>
  <c r="U301" i="12"/>
  <c r="U299" i="12"/>
  <c r="V300" i="16"/>
  <c r="U84" i="14"/>
  <c r="U83" i="14"/>
  <c r="U82" i="14"/>
  <c r="R350" i="12"/>
  <c r="S24" i="14" s="1"/>
  <c r="X329" i="12"/>
  <c r="X365" i="12" s="1"/>
  <c r="Y39" i="14" s="1"/>
  <c r="R27" i="14"/>
  <c r="S317" i="16" s="1"/>
  <c r="R136" i="14"/>
  <c r="R348" i="12"/>
  <c r="S22" i="14" s="1"/>
  <c r="R139" i="14"/>
  <c r="R66" i="14"/>
  <c r="R30" i="14"/>
  <c r="R137" i="14"/>
  <c r="R64" i="14"/>
  <c r="R28" i="14"/>
  <c r="T146" i="14"/>
  <c r="T73" i="14"/>
  <c r="T37" i="14"/>
  <c r="R140" i="14"/>
  <c r="R67" i="14"/>
  <c r="R31" i="14"/>
  <c r="M7" i="20"/>
  <c r="R347" i="12"/>
  <c r="R349" i="12"/>
  <c r="X360" i="12"/>
  <c r="T74" i="14"/>
  <c r="T147" i="14"/>
  <c r="T38" i="14"/>
  <c r="R138" i="14"/>
  <c r="R65" i="14"/>
  <c r="R29" i="14"/>
  <c r="R175" i="14" l="1"/>
  <c r="T184" i="14"/>
  <c r="R176" i="14"/>
  <c r="R174" i="14"/>
  <c r="R177" i="14"/>
  <c r="R192" i="14"/>
  <c r="T183" i="14"/>
  <c r="T181" i="14"/>
  <c r="T180" i="14"/>
  <c r="T182" i="14"/>
  <c r="T185" i="14"/>
  <c r="R173" i="14"/>
  <c r="R191" i="14"/>
  <c r="R190" i="14"/>
  <c r="R188" i="14"/>
  <c r="R189" i="14"/>
  <c r="V341" i="16"/>
  <c r="V335" i="16"/>
  <c r="V342" i="16"/>
  <c r="V343" i="16"/>
  <c r="U343" i="12"/>
  <c r="U344" i="12"/>
  <c r="V18" i="14" s="1"/>
  <c r="V336" i="16"/>
  <c r="U341" i="12"/>
  <c r="U342" i="12"/>
  <c r="U335" i="12"/>
  <c r="U336" i="12"/>
  <c r="U337" i="12"/>
  <c r="U338" i="12"/>
  <c r="V338" i="16"/>
  <c r="V337" i="16"/>
  <c r="S27" i="19"/>
  <c r="S63" i="19" s="1"/>
  <c r="T111" i="14"/>
  <c r="S60" i="14"/>
  <c r="S133" i="14"/>
  <c r="S131" i="14"/>
  <c r="Z39" i="19"/>
  <c r="Z75" i="19" s="1"/>
  <c r="Z329" i="16"/>
  <c r="Z365" i="16" s="1"/>
  <c r="Y148" i="14"/>
  <c r="Y75" i="14"/>
  <c r="R100" i="14"/>
  <c r="S58" i="14"/>
  <c r="M4" i="20"/>
  <c r="M13" i="20" s="1"/>
  <c r="T22" i="19"/>
  <c r="T58" i="19" s="1"/>
  <c r="T312" i="16"/>
  <c r="S59" i="14"/>
  <c r="S132" i="14"/>
  <c r="S23" i="14"/>
  <c r="S320" i="16"/>
  <c r="S30" i="19"/>
  <c r="S66" i="19" s="1"/>
  <c r="R104" i="14"/>
  <c r="S130" i="14"/>
  <c r="S57" i="14"/>
  <c r="S21" i="14"/>
  <c r="R101" i="14"/>
  <c r="R103" i="14"/>
  <c r="T328" i="12"/>
  <c r="U328" i="16"/>
  <c r="Y70" i="14"/>
  <c r="Y34" i="14"/>
  <c r="Y143" i="14"/>
  <c r="S321" i="16"/>
  <c r="R321" i="12"/>
  <c r="T110" i="14"/>
  <c r="T107" i="14"/>
  <c r="T108" i="14"/>
  <c r="T112" i="14"/>
  <c r="T109" i="14"/>
  <c r="S314" i="12"/>
  <c r="T314" i="16"/>
  <c r="S29" i="19"/>
  <c r="S65" i="19" s="1"/>
  <c r="S319" i="16"/>
  <c r="S318" i="16"/>
  <c r="S28" i="19"/>
  <c r="S64" i="19" s="1"/>
  <c r="U37" i="19"/>
  <c r="U73" i="19" s="1"/>
  <c r="U327" i="16"/>
  <c r="R102" i="14"/>
  <c r="S77" i="19" l="1"/>
  <c r="S169" i="14"/>
  <c r="R193" i="14"/>
  <c r="S168" i="14"/>
  <c r="S167" i="14"/>
  <c r="S170" i="14"/>
  <c r="V51" i="14"/>
  <c r="V15" i="14"/>
  <c r="V305" i="12" s="1"/>
  <c r="V9" i="14"/>
  <c r="W299" i="16" s="1"/>
  <c r="V52" i="14"/>
  <c r="V53" i="14"/>
  <c r="V124" i="14"/>
  <c r="V126" i="14"/>
  <c r="V17" i="14"/>
  <c r="W307" i="16" s="1"/>
  <c r="V54" i="14"/>
  <c r="V127" i="14"/>
  <c r="V46" i="14"/>
  <c r="V125" i="14"/>
  <c r="V16" i="14"/>
  <c r="W306" i="16" s="1"/>
  <c r="V118" i="14"/>
  <c r="V45" i="14"/>
  <c r="V12" i="14"/>
  <c r="V302" i="12" s="1"/>
  <c r="V119" i="14"/>
  <c r="V121" i="14"/>
  <c r="V48" i="14"/>
  <c r="V10" i="14"/>
  <c r="V300" i="12" s="1"/>
  <c r="V11" i="14"/>
  <c r="V301" i="12" s="1"/>
  <c r="V120" i="14"/>
  <c r="V47" i="14"/>
  <c r="R317" i="12"/>
  <c r="S94" i="14"/>
  <c r="Y329" i="12"/>
  <c r="Y365" i="12" s="1"/>
  <c r="S353" i="16"/>
  <c r="R319" i="12"/>
  <c r="S356" i="16"/>
  <c r="S355" i="16"/>
  <c r="N10" i="20"/>
  <c r="S312" i="12"/>
  <c r="T327" i="12"/>
  <c r="T363" i="12" s="1"/>
  <c r="R318" i="12"/>
  <c r="T313" i="16"/>
  <c r="T23" i="19"/>
  <c r="T59" i="19" s="1"/>
  <c r="Y324" i="12"/>
  <c r="Z324" i="16"/>
  <c r="Z360" i="16" s="1"/>
  <c r="T21" i="19"/>
  <c r="T57" i="19" s="1"/>
  <c r="T311" i="16"/>
  <c r="S97" i="14"/>
  <c r="S95" i="14"/>
  <c r="S354" i="16"/>
  <c r="S357" i="16"/>
  <c r="R320" i="12"/>
  <c r="S96" i="14"/>
  <c r="W308" i="16"/>
  <c r="V308" i="12"/>
  <c r="U363" i="16"/>
  <c r="S367" i="16" l="1"/>
  <c r="V164" i="14"/>
  <c r="V162" i="14"/>
  <c r="V163" i="14"/>
  <c r="V161" i="14"/>
  <c r="V157" i="14"/>
  <c r="V155" i="14"/>
  <c r="V158" i="14"/>
  <c r="V156" i="14"/>
  <c r="V299" i="12"/>
  <c r="V336" i="12" s="1"/>
  <c r="W305" i="16"/>
  <c r="W342" i="16" s="1"/>
  <c r="V91" i="14"/>
  <c r="V90" i="14"/>
  <c r="V307" i="12"/>
  <c r="V88" i="14"/>
  <c r="V306" i="12"/>
  <c r="V89" i="14"/>
  <c r="V83" i="14"/>
  <c r="W302" i="16"/>
  <c r="W300" i="16"/>
  <c r="W301" i="16"/>
  <c r="V84" i="14"/>
  <c r="V82" i="14"/>
  <c r="V85" i="14"/>
  <c r="T364" i="12"/>
  <c r="U73" i="14"/>
  <c r="R354" i="12"/>
  <c r="S137" i="14" s="1"/>
  <c r="Z148" i="14"/>
  <c r="Z39" i="14"/>
  <c r="Z75" i="14"/>
  <c r="U364" i="16"/>
  <c r="U374" i="16" s="1"/>
  <c r="R357" i="12"/>
  <c r="S31" i="14" s="1"/>
  <c r="S313" i="12"/>
  <c r="U146" i="14"/>
  <c r="S311" i="12"/>
  <c r="U37" i="14"/>
  <c r="V37" i="19" s="1"/>
  <c r="V73" i="19" s="1"/>
  <c r="T348" i="16"/>
  <c r="T349" i="16"/>
  <c r="T350" i="16"/>
  <c r="T347" i="16"/>
  <c r="R356" i="12"/>
  <c r="Y360" i="12"/>
  <c r="R355" i="12"/>
  <c r="R353" i="12"/>
  <c r="R367" i="12" l="1"/>
  <c r="V337" i="12"/>
  <c r="V335" i="12"/>
  <c r="V338" i="12"/>
  <c r="W344" i="16"/>
  <c r="W341" i="16"/>
  <c r="W343" i="16"/>
  <c r="V341" i="12"/>
  <c r="V342" i="12"/>
  <c r="W52" i="14" s="1"/>
  <c r="V343" i="12"/>
  <c r="V344" i="12"/>
  <c r="W338" i="16"/>
  <c r="W335" i="16"/>
  <c r="W337" i="16"/>
  <c r="W336" i="16"/>
  <c r="W119" i="14" s="1"/>
  <c r="U74" i="14"/>
  <c r="U108" i="14" s="1"/>
  <c r="S348" i="12"/>
  <c r="T131" i="14" s="1"/>
  <c r="U147" i="14"/>
  <c r="U184" i="14" s="1"/>
  <c r="S28" i="14"/>
  <c r="T28" i="19" s="1"/>
  <c r="T64" i="19" s="1"/>
  <c r="S349" i="12"/>
  <c r="T23" i="14" s="1"/>
  <c r="S64" i="14"/>
  <c r="S347" i="12"/>
  <c r="U38" i="14"/>
  <c r="V328" i="16" s="1"/>
  <c r="S350" i="12"/>
  <c r="T60" i="14" s="1"/>
  <c r="S140" i="14"/>
  <c r="V327" i="16"/>
  <c r="V363" i="16" s="1"/>
  <c r="S67" i="14"/>
  <c r="AA329" i="16"/>
  <c r="AA365" i="16" s="1"/>
  <c r="AA39" i="19"/>
  <c r="AA75" i="19" s="1"/>
  <c r="S63" i="14"/>
  <c r="S136" i="14"/>
  <c r="S27" i="14"/>
  <c r="N7" i="20"/>
  <c r="T321" i="16"/>
  <c r="S321" i="12"/>
  <c r="S66" i="14"/>
  <c r="S139" i="14"/>
  <c r="S30" i="14"/>
  <c r="Z34" i="14"/>
  <c r="Z143" i="14"/>
  <c r="Z70" i="14"/>
  <c r="S65" i="14"/>
  <c r="S138" i="14"/>
  <c r="S29" i="14"/>
  <c r="U327" i="12"/>
  <c r="T21" i="14" l="1"/>
  <c r="U311" i="16" s="1"/>
  <c r="U185" i="14"/>
  <c r="U182" i="14"/>
  <c r="S174" i="14"/>
  <c r="U181" i="14"/>
  <c r="S177" i="14"/>
  <c r="S192" i="14"/>
  <c r="U180" i="14"/>
  <c r="S176" i="14"/>
  <c r="U183" i="14"/>
  <c r="S175" i="14"/>
  <c r="S173" i="14"/>
  <c r="S191" i="14"/>
  <c r="S189" i="14"/>
  <c r="S188" i="14"/>
  <c r="S190" i="14"/>
  <c r="W11" i="14"/>
  <c r="X301" i="16" s="1"/>
  <c r="W118" i="14"/>
  <c r="W48" i="14"/>
  <c r="W127" i="14"/>
  <c r="W54" i="14"/>
  <c r="W15" i="14"/>
  <c r="X305" i="16" s="1"/>
  <c r="W17" i="14"/>
  <c r="W307" i="12" s="1"/>
  <c r="W51" i="14"/>
  <c r="W124" i="14"/>
  <c r="W53" i="14"/>
  <c r="W16" i="14"/>
  <c r="W306" i="12" s="1"/>
  <c r="W125" i="14"/>
  <c r="W18" i="14"/>
  <c r="W308" i="12" s="1"/>
  <c r="W126" i="14"/>
  <c r="W10" i="14"/>
  <c r="W300" i="12" s="1"/>
  <c r="W120" i="14"/>
  <c r="W47" i="14"/>
  <c r="W9" i="14"/>
  <c r="X299" i="16" s="1"/>
  <c r="W121" i="14"/>
  <c r="W12" i="14"/>
  <c r="X302" i="16" s="1"/>
  <c r="W45" i="14"/>
  <c r="W46" i="14"/>
  <c r="U110" i="14"/>
  <c r="U109" i="14"/>
  <c r="U111" i="14"/>
  <c r="U107" i="14"/>
  <c r="U112" i="14"/>
  <c r="T58" i="14"/>
  <c r="T22" i="14"/>
  <c r="U22" i="19" s="1"/>
  <c r="U58" i="19" s="1"/>
  <c r="T57" i="14"/>
  <c r="T318" i="16"/>
  <c r="U328" i="12"/>
  <c r="T130" i="14"/>
  <c r="T59" i="14"/>
  <c r="T132" i="14"/>
  <c r="T133" i="14"/>
  <c r="T24" i="14"/>
  <c r="U314" i="16" s="1"/>
  <c r="S102" i="14"/>
  <c r="Z329" i="12"/>
  <c r="Z365" i="12" s="1"/>
  <c r="AA148" i="14" s="1"/>
  <c r="S104" i="14"/>
  <c r="V364" i="16"/>
  <c r="V374" i="16" s="1"/>
  <c r="S318" i="12"/>
  <c r="S101" i="14"/>
  <c r="U23" i="19"/>
  <c r="U59" i="19" s="1"/>
  <c r="U313" i="16"/>
  <c r="Z324" i="12"/>
  <c r="Z360" i="12" s="1"/>
  <c r="AA324" i="16"/>
  <c r="AA360" i="16" s="1"/>
  <c r="T320" i="16"/>
  <c r="T30" i="19"/>
  <c r="T66" i="19" s="1"/>
  <c r="T317" i="16"/>
  <c r="T27" i="19"/>
  <c r="T63" i="19" s="1"/>
  <c r="N4" i="20"/>
  <c r="N13" i="20" s="1"/>
  <c r="U363" i="12"/>
  <c r="T319" i="16"/>
  <c r="T29" i="19"/>
  <c r="T65" i="19" s="1"/>
  <c r="S103" i="14"/>
  <c r="S100" i="14"/>
  <c r="U21" i="19" l="1"/>
  <c r="U57" i="19" s="1"/>
  <c r="T77" i="19"/>
  <c r="W163" i="14"/>
  <c r="T168" i="14"/>
  <c r="W162" i="14"/>
  <c r="W164" i="14"/>
  <c r="T169" i="14"/>
  <c r="T170" i="14"/>
  <c r="S193" i="14"/>
  <c r="T167" i="14"/>
  <c r="W161" i="14"/>
  <c r="W158" i="14"/>
  <c r="W155" i="14"/>
  <c r="W157" i="14"/>
  <c r="W156" i="14"/>
  <c r="W301" i="12"/>
  <c r="W305" i="12"/>
  <c r="W344" i="12" s="1"/>
  <c r="X307" i="16"/>
  <c r="W90" i="14"/>
  <c r="X306" i="16"/>
  <c r="W89" i="14"/>
  <c r="W88" i="14"/>
  <c r="W91" i="14"/>
  <c r="X308" i="16"/>
  <c r="X300" i="16"/>
  <c r="X335" i="16" s="1"/>
  <c r="W302" i="12"/>
  <c r="W299" i="12"/>
  <c r="W85" i="14"/>
  <c r="W82" i="14"/>
  <c r="W84" i="14"/>
  <c r="W83" i="14"/>
  <c r="T314" i="12"/>
  <c r="U312" i="16"/>
  <c r="T94" i="14"/>
  <c r="U364" i="12"/>
  <c r="V147" i="14" s="1"/>
  <c r="T97" i="14"/>
  <c r="T96" i="14"/>
  <c r="T95" i="14"/>
  <c r="AA75" i="14"/>
  <c r="AA39" i="14"/>
  <c r="T356" i="16"/>
  <c r="T357" i="16"/>
  <c r="T353" i="16"/>
  <c r="T355" i="16"/>
  <c r="T354" i="16"/>
  <c r="AA34" i="14"/>
  <c r="AA143" i="14"/>
  <c r="AA70" i="14"/>
  <c r="T313" i="12"/>
  <c r="V73" i="14"/>
  <c r="V146" i="14"/>
  <c r="V37" i="14"/>
  <c r="O10" i="20"/>
  <c r="T312" i="12"/>
  <c r="S319" i="12"/>
  <c r="S317" i="12"/>
  <c r="S320" i="12"/>
  <c r="T311" i="12" l="1"/>
  <c r="T349" i="12" s="1"/>
  <c r="T367" i="16"/>
  <c r="V183" i="14"/>
  <c r="V181" i="14"/>
  <c r="V180" i="14"/>
  <c r="V182" i="14"/>
  <c r="V185" i="14"/>
  <c r="V184" i="14"/>
  <c r="W343" i="12"/>
  <c r="W341" i="12"/>
  <c r="W342" i="12"/>
  <c r="X342" i="16"/>
  <c r="X341" i="16"/>
  <c r="X343" i="16"/>
  <c r="X344" i="16"/>
  <c r="X18" i="14" s="1"/>
  <c r="X338" i="16"/>
  <c r="X337" i="16"/>
  <c r="X336" i="16"/>
  <c r="W338" i="12"/>
  <c r="W335" i="12"/>
  <c r="W336" i="12"/>
  <c r="W337" i="12"/>
  <c r="U349" i="16"/>
  <c r="U347" i="16"/>
  <c r="U348" i="16"/>
  <c r="U350" i="16"/>
  <c r="V38" i="14"/>
  <c r="V328" i="12" s="1"/>
  <c r="V74" i="14"/>
  <c r="V108" i="14" s="1"/>
  <c r="AB39" i="19"/>
  <c r="AB75" i="19" s="1"/>
  <c r="AB329" i="16"/>
  <c r="AB365" i="16" s="1"/>
  <c r="AA324" i="12"/>
  <c r="AA360" i="12" s="1"/>
  <c r="AB324" i="16"/>
  <c r="AB360" i="16" s="1"/>
  <c r="S356" i="12"/>
  <c r="S353" i="12"/>
  <c r="S355" i="12"/>
  <c r="S354" i="12"/>
  <c r="S357" i="12"/>
  <c r="W327" i="16"/>
  <c r="W37" i="19"/>
  <c r="W73" i="19" s="1"/>
  <c r="T350" i="12" l="1"/>
  <c r="U133" i="14" s="1"/>
  <c r="T347" i="12"/>
  <c r="U21" i="14" s="1"/>
  <c r="T348" i="12"/>
  <c r="U58" i="14" s="1"/>
  <c r="S367" i="12"/>
  <c r="X118" i="14"/>
  <c r="X52" i="14"/>
  <c r="X17" i="14"/>
  <c r="Y307" i="16" s="1"/>
  <c r="X15" i="14"/>
  <c r="X305" i="12" s="1"/>
  <c r="X125" i="14"/>
  <c r="X16" i="14"/>
  <c r="X306" i="12" s="1"/>
  <c r="X51" i="14"/>
  <c r="X53" i="14"/>
  <c r="X124" i="14"/>
  <c r="X126" i="14"/>
  <c r="X127" i="14"/>
  <c r="X54" i="14"/>
  <c r="X12" i="14"/>
  <c r="X302" i="12" s="1"/>
  <c r="X10" i="14"/>
  <c r="X300" i="12" s="1"/>
  <c r="X120" i="14"/>
  <c r="X46" i="14"/>
  <c r="X121" i="14"/>
  <c r="X48" i="14"/>
  <c r="X47" i="14"/>
  <c r="X9" i="14"/>
  <c r="X299" i="12" s="1"/>
  <c r="X11" i="14"/>
  <c r="X301" i="12" s="1"/>
  <c r="X45" i="14"/>
  <c r="X119" i="14"/>
  <c r="V107" i="14"/>
  <c r="W328" i="16"/>
  <c r="V109" i="14"/>
  <c r="V110" i="14"/>
  <c r="V112" i="14"/>
  <c r="V111" i="14"/>
  <c r="AA329" i="12"/>
  <c r="AA365" i="12" s="1"/>
  <c r="AB75" i="14" s="1"/>
  <c r="V327" i="12"/>
  <c r="V363" i="12" s="1"/>
  <c r="T67" i="14"/>
  <c r="T140" i="14"/>
  <c r="T31" i="14"/>
  <c r="T66" i="14"/>
  <c r="T139" i="14"/>
  <c r="T30" i="14"/>
  <c r="T63" i="14"/>
  <c r="T136" i="14"/>
  <c r="O7" i="20"/>
  <c r="T27" i="14"/>
  <c r="X308" i="12"/>
  <c r="Y308" i="16"/>
  <c r="W363" i="16"/>
  <c r="T138" i="14"/>
  <c r="T65" i="14"/>
  <c r="T29" i="14"/>
  <c r="T64" i="14"/>
  <c r="T137" i="14"/>
  <c r="T28" i="14"/>
  <c r="AB143" i="14"/>
  <c r="AB70" i="14"/>
  <c r="AB34" i="14"/>
  <c r="U59" i="14"/>
  <c r="U132" i="14"/>
  <c r="U23" i="14"/>
  <c r="U24" i="14" l="1"/>
  <c r="V314" i="16" s="1"/>
  <c r="U60" i="14"/>
  <c r="U131" i="14"/>
  <c r="U22" i="14"/>
  <c r="V312" i="16" s="1"/>
  <c r="U130" i="14"/>
  <c r="U57" i="14"/>
  <c r="X161" i="14"/>
  <c r="X162" i="14"/>
  <c r="X164" i="14"/>
  <c r="T177" i="14"/>
  <c r="T192" i="14"/>
  <c r="T176" i="14"/>
  <c r="T175" i="14"/>
  <c r="T174" i="14"/>
  <c r="T173" i="14"/>
  <c r="T191" i="14"/>
  <c r="T189" i="14"/>
  <c r="T188" i="14"/>
  <c r="T190" i="14"/>
  <c r="X163" i="14"/>
  <c r="X156" i="14"/>
  <c r="X157" i="14"/>
  <c r="X158" i="14"/>
  <c r="X155" i="14"/>
  <c r="Y305" i="16"/>
  <c r="X307" i="12"/>
  <c r="X342" i="12" s="1"/>
  <c r="Y306" i="16"/>
  <c r="X89" i="14"/>
  <c r="X90" i="14"/>
  <c r="X91" i="14"/>
  <c r="X88" i="14"/>
  <c r="Y300" i="16"/>
  <c r="Y302" i="16"/>
  <c r="X83" i="14"/>
  <c r="X82" i="14"/>
  <c r="X85" i="14"/>
  <c r="Y299" i="16"/>
  <c r="X84" i="14"/>
  <c r="Y301" i="16"/>
  <c r="W37" i="14"/>
  <c r="X327" i="16" s="1"/>
  <c r="AB39" i="14"/>
  <c r="AB148" i="14"/>
  <c r="T100" i="14"/>
  <c r="V364" i="12"/>
  <c r="V313" i="16"/>
  <c r="V23" i="19"/>
  <c r="V59" i="19" s="1"/>
  <c r="U30" i="19"/>
  <c r="U66" i="19" s="1"/>
  <c r="U320" i="16"/>
  <c r="T103" i="14"/>
  <c r="W73" i="14"/>
  <c r="AC324" i="16"/>
  <c r="AC360" i="16" s="1"/>
  <c r="AB324" i="12"/>
  <c r="AB360" i="12" s="1"/>
  <c r="U27" i="19"/>
  <c r="U63" i="19" s="1"/>
  <c r="U317" i="16"/>
  <c r="O4" i="20"/>
  <c r="O13" i="20" s="1"/>
  <c r="U321" i="16"/>
  <c r="T321" i="12"/>
  <c r="T101" i="14"/>
  <c r="T102" i="14"/>
  <c r="W146" i="14"/>
  <c r="U29" i="19"/>
  <c r="U65" i="19" s="1"/>
  <c r="U319" i="16"/>
  <c r="U318" i="16"/>
  <c r="U28" i="19"/>
  <c r="U64" i="19" s="1"/>
  <c r="X335" i="12"/>
  <c r="X336" i="12"/>
  <c r="X337" i="12"/>
  <c r="X338" i="12"/>
  <c r="V311" i="16"/>
  <c r="V21" i="19"/>
  <c r="V57" i="19" s="1"/>
  <c r="W364" i="16"/>
  <c r="W374" i="16" s="1"/>
  <c r="T104" i="14"/>
  <c r="U169" i="14" l="1"/>
  <c r="V22" i="19"/>
  <c r="V58" i="19" s="1"/>
  <c r="U97" i="14"/>
  <c r="U314" i="12"/>
  <c r="V349" i="16" s="1"/>
  <c r="U168" i="14"/>
  <c r="U95" i="14"/>
  <c r="U94" i="14"/>
  <c r="U96" i="14"/>
  <c r="U167" i="14"/>
  <c r="U170" i="14"/>
  <c r="U77" i="19"/>
  <c r="T193" i="14"/>
  <c r="Y341" i="16"/>
  <c r="X341" i="12"/>
  <c r="X344" i="12"/>
  <c r="X343" i="12"/>
  <c r="Y343" i="16"/>
  <c r="Y342" i="16"/>
  <c r="Y125" i="14" s="1"/>
  <c r="Y344" i="16"/>
  <c r="Y337" i="16"/>
  <c r="Y47" i="14" s="1"/>
  <c r="Y338" i="16"/>
  <c r="Y121" i="14" s="1"/>
  <c r="Y335" i="16"/>
  <c r="Y336" i="16"/>
  <c r="Y119" i="14" s="1"/>
  <c r="X37" i="19"/>
  <c r="X73" i="19" s="1"/>
  <c r="AC39" i="19"/>
  <c r="AC329" i="16"/>
  <c r="AC365" i="16" s="1"/>
  <c r="T317" i="12"/>
  <c r="T318" i="12"/>
  <c r="P10" i="20"/>
  <c r="T320" i="12"/>
  <c r="U313" i="12"/>
  <c r="W38" i="14"/>
  <c r="W74" i="14"/>
  <c r="W111" i="14" s="1"/>
  <c r="W147" i="14"/>
  <c r="W184" i="14" s="1"/>
  <c r="U356" i="16"/>
  <c r="U353" i="16"/>
  <c r="U355" i="16"/>
  <c r="U354" i="16"/>
  <c r="U357" i="16"/>
  <c r="X363" i="16"/>
  <c r="U311" i="12"/>
  <c r="T319" i="12"/>
  <c r="AC34" i="14"/>
  <c r="AC143" i="14"/>
  <c r="AC70" i="14"/>
  <c r="V350" i="16" l="1"/>
  <c r="V347" i="16"/>
  <c r="U312" i="12"/>
  <c r="U349" i="12" s="1"/>
  <c r="V348" i="16"/>
  <c r="U367" i="16"/>
  <c r="Y118" i="14"/>
  <c r="W181" i="14"/>
  <c r="W185" i="14"/>
  <c r="W180" i="14"/>
  <c r="W183" i="14"/>
  <c r="W182" i="14"/>
  <c r="Y54" i="14"/>
  <c r="Y124" i="14"/>
  <c r="Y52" i="14"/>
  <c r="Y51" i="14"/>
  <c r="Y15" i="14"/>
  <c r="Z305" i="16" s="1"/>
  <c r="Y126" i="14"/>
  <c r="Y53" i="14"/>
  <c r="Y17" i="14"/>
  <c r="Y307" i="12" s="1"/>
  <c r="Y18" i="14"/>
  <c r="Z308" i="16" s="1"/>
  <c r="Y127" i="14"/>
  <c r="Y16" i="14"/>
  <c r="Y306" i="12" s="1"/>
  <c r="Y9" i="14"/>
  <c r="Y299" i="12" s="1"/>
  <c r="Y45" i="14"/>
  <c r="Y12" i="14"/>
  <c r="Z302" i="16" s="1"/>
  <c r="Y48" i="14"/>
  <c r="Y11" i="14"/>
  <c r="Y301" i="12" s="1"/>
  <c r="Y120" i="14"/>
  <c r="Y10" i="14"/>
  <c r="Z300" i="16" s="1"/>
  <c r="Y46" i="14"/>
  <c r="W327" i="12"/>
  <c r="W363" i="12" s="1"/>
  <c r="X146" i="14" s="1"/>
  <c r="W109" i="14"/>
  <c r="W107" i="14"/>
  <c r="W112" i="14"/>
  <c r="AC75" i="19"/>
  <c r="AB329" i="12"/>
  <c r="AB365" i="12" s="1"/>
  <c r="AC39" i="14" s="1"/>
  <c r="T356" i="12"/>
  <c r="U139" i="14" s="1"/>
  <c r="T354" i="12"/>
  <c r="U64" i="14" s="1"/>
  <c r="AD324" i="16"/>
  <c r="AC324" i="12"/>
  <c r="T357" i="12"/>
  <c r="W108" i="14"/>
  <c r="W110" i="14"/>
  <c r="X328" i="16"/>
  <c r="X364" i="16" s="1"/>
  <c r="X374" i="16" s="1"/>
  <c r="W328" i="12"/>
  <c r="T353" i="12"/>
  <c r="T355" i="12"/>
  <c r="U348" i="12" l="1"/>
  <c r="V131" i="14" s="1"/>
  <c r="U347" i="12"/>
  <c r="V57" i="14" s="1"/>
  <c r="U350" i="12"/>
  <c r="V60" i="14" s="1"/>
  <c r="T367" i="12"/>
  <c r="Y163" i="14"/>
  <c r="Y164" i="14"/>
  <c r="Y161" i="14"/>
  <c r="Y162" i="14"/>
  <c r="Y157" i="14"/>
  <c r="Y158" i="14"/>
  <c r="Y155" i="14"/>
  <c r="Y156" i="14"/>
  <c r="Y305" i="12"/>
  <c r="Y91" i="14"/>
  <c r="Y88" i="14"/>
  <c r="Y89" i="14"/>
  <c r="Y90" i="14"/>
  <c r="Z307" i="16"/>
  <c r="Y308" i="12"/>
  <c r="Z306" i="16"/>
  <c r="Y83" i="14"/>
  <c r="Y302" i="12"/>
  <c r="Z301" i="16"/>
  <c r="Z299" i="16"/>
  <c r="Y300" i="12"/>
  <c r="Y84" i="14"/>
  <c r="Y82" i="14"/>
  <c r="Y85" i="14"/>
  <c r="U30" i="14"/>
  <c r="V320" i="16" s="1"/>
  <c r="W364" i="12"/>
  <c r="X38" i="14" s="1"/>
  <c r="X328" i="12" s="1"/>
  <c r="X73" i="14"/>
  <c r="X37" i="14"/>
  <c r="Y327" i="16" s="1"/>
  <c r="Y363" i="16" s="1"/>
  <c r="AC75" i="14"/>
  <c r="AD39" i="19"/>
  <c r="AD329" i="16"/>
  <c r="AD365" i="16" s="1"/>
  <c r="AC148" i="14"/>
  <c r="U66" i="14"/>
  <c r="U28" i="14"/>
  <c r="V28" i="19" s="1"/>
  <c r="V64" i="19" s="1"/>
  <c r="U137" i="14"/>
  <c r="U65" i="14"/>
  <c r="U138" i="14"/>
  <c r="U29" i="14"/>
  <c r="U67" i="14"/>
  <c r="U140" i="14"/>
  <c r="U31" i="14"/>
  <c r="V132" i="14"/>
  <c r="V59" i="14"/>
  <c r="V23" i="14"/>
  <c r="AD360" i="16"/>
  <c r="AC360" i="12"/>
  <c r="U63" i="14"/>
  <c r="U136" i="14"/>
  <c r="P7" i="20"/>
  <c r="U27" i="14"/>
  <c r="V130" i="14" l="1"/>
  <c r="V58" i="14"/>
  <c r="V96" i="14" s="1"/>
  <c r="V22" i="14"/>
  <c r="W312" i="16" s="1"/>
  <c r="V21" i="14"/>
  <c r="W311" i="16" s="1"/>
  <c r="V24" i="14"/>
  <c r="W314" i="16" s="1"/>
  <c r="V133" i="14"/>
  <c r="U174" i="14"/>
  <c r="U173" i="14"/>
  <c r="U191" i="14"/>
  <c r="U189" i="14"/>
  <c r="U190" i="14"/>
  <c r="U188" i="14"/>
  <c r="U177" i="14"/>
  <c r="U192" i="14"/>
  <c r="U175" i="14"/>
  <c r="U176" i="14"/>
  <c r="Y341" i="12"/>
  <c r="Z342" i="16"/>
  <c r="Y343" i="12"/>
  <c r="Y344" i="12"/>
  <c r="Y342" i="12"/>
  <c r="Z343" i="16"/>
  <c r="Z344" i="16"/>
  <c r="Z341" i="16"/>
  <c r="Y338" i="12"/>
  <c r="Y337" i="12"/>
  <c r="Y335" i="12"/>
  <c r="Y336" i="12"/>
  <c r="Z335" i="16"/>
  <c r="Z336" i="16"/>
  <c r="Z337" i="16"/>
  <c r="Z338" i="16"/>
  <c r="V30" i="19"/>
  <c r="V66" i="19" s="1"/>
  <c r="X147" i="14"/>
  <c r="X74" i="14"/>
  <c r="X111" i="14" s="1"/>
  <c r="Y37" i="19"/>
  <c r="Y73" i="19" s="1"/>
  <c r="V318" i="16"/>
  <c r="AD75" i="19"/>
  <c r="AC329" i="12"/>
  <c r="AC365" i="12" s="1"/>
  <c r="U103" i="14"/>
  <c r="Y328" i="16"/>
  <c r="Y364" i="16" s="1"/>
  <c r="Y374" i="16" s="1"/>
  <c r="U101" i="14"/>
  <c r="U104" i="14"/>
  <c r="AD143" i="14"/>
  <c r="AD70" i="14"/>
  <c r="AD34" i="14"/>
  <c r="V321" i="16"/>
  <c r="U321" i="12"/>
  <c r="U318" i="12"/>
  <c r="U102" i="14"/>
  <c r="V29" i="19"/>
  <c r="V65" i="19" s="1"/>
  <c r="V319" i="16"/>
  <c r="V317" i="16"/>
  <c r="V27" i="19"/>
  <c r="V63" i="19" s="1"/>
  <c r="P4" i="20"/>
  <c r="P13" i="20" s="1"/>
  <c r="W313" i="16"/>
  <c r="W23" i="19"/>
  <c r="W59" i="19" s="1"/>
  <c r="U100" i="14"/>
  <c r="V168" i="14" l="1"/>
  <c r="V97" i="14"/>
  <c r="V94" i="14"/>
  <c r="V95" i="14"/>
  <c r="V314" i="12"/>
  <c r="W348" i="16" s="1"/>
  <c r="W21" i="19"/>
  <c r="W57" i="19" s="1"/>
  <c r="V169" i="14"/>
  <c r="V170" i="14"/>
  <c r="W22" i="19"/>
  <c r="W58" i="19" s="1"/>
  <c r="V167" i="14"/>
  <c r="V77" i="19"/>
  <c r="U193" i="14"/>
  <c r="X184" i="14"/>
  <c r="X181" i="14"/>
  <c r="X182" i="14"/>
  <c r="X185" i="14"/>
  <c r="X183" i="14"/>
  <c r="X180" i="14"/>
  <c r="Z124" i="14"/>
  <c r="Z16" i="14"/>
  <c r="Z306" i="12" s="1"/>
  <c r="Z15" i="14"/>
  <c r="Z305" i="12" s="1"/>
  <c r="Z51" i="14"/>
  <c r="Z127" i="14"/>
  <c r="Z52" i="14"/>
  <c r="Z125" i="14"/>
  <c r="Z17" i="14"/>
  <c r="AA307" i="16" s="1"/>
  <c r="Z54" i="14"/>
  <c r="Z53" i="14"/>
  <c r="Z126" i="14"/>
  <c r="Z18" i="14"/>
  <c r="AA308" i="16" s="1"/>
  <c r="Z118" i="14"/>
  <c r="Z48" i="14"/>
  <c r="Z47" i="14"/>
  <c r="Z10" i="14"/>
  <c r="AA300" i="16" s="1"/>
  <c r="Z45" i="14"/>
  <c r="Z9" i="14"/>
  <c r="AA299" i="16" s="1"/>
  <c r="Z46" i="14"/>
  <c r="Z119" i="14"/>
  <c r="Z12" i="14"/>
  <c r="AA302" i="16" s="1"/>
  <c r="Z11" i="14"/>
  <c r="Z301" i="12" s="1"/>
  <c r="Z121" i="14"/>
  <c r="Z120" i="14"/>
  <c r="X108" i="14"/>
  <c r="U320" i="12"/>
  <c r="X110" i="14"/>
  <c r="X109" i="14"/>
  <c r="X107" i="14"/>
  <c r="X112" i="14"/>
  <c r="X327" i="12"/>
  <c r="X363" i="12" s="1"/>
  <c r="X364" i="12" s="1"/>
  <c r="Y74" i="14" s="1"/>
  <c r="AD75" i="14"/>
  <c r="AD39" i="14"/>
  <c r="AD148" i="14"/>
  <c r="V313" i="12"/>
  <c r="Q10" i="20"/>
  <c r="V357" i="16"/>
  <c r="V354" i="16"/>
  <c r="V353" i="16"/>
  <c r="V355" i="16"/>
  <c r="V356" i="16"/>
  <c r="AE324" i="16"/>
  <c r="AD324" i="12"/>
  <c r="U319" i="12"/>
  <c r="U317" i="12"/>
  <c r="W347" i="16" l="1"/>
  <c r="W349" i="16"/>
  <c r="V312" i="12"/>
  <c r="W350" i="16"/>
  <c r="V311" i="12"/>
  <c r="V367" i="16"/>
  <c r="Z162" i="14"/>
  <c r="Z163" i="14"/>
  <c r="Z161" i="14"/>
  <c r="Z164" i="14"/>
  <c r="Z157" i="14"/>
  <c r="Z158" i="14"/>
  <c r="Z156" i="14"/>
  <c r="Z155" i="14"/>
  <c r="AA306" i="16"/>
  <c r="Z88" i="14"/>
  <c r="Z307" i="12"/>
  <c r="AA305" i="16"/>
  <c r="Z90" i="14"/>
  <c r="Z91" i="14"/>
  <c r="Z89" i="14"/>
  <c r="Z308" i="12"/>
  <c r="AA301" i="16"/>
  <c r="AA335" i="16" s="1"/>
  <c r="Z299" i="12"/>
  <c r="Z300" i="12"/>
  <c r="Z85" i="14"/>
  <c r="Z84" i="14"/>
  <c r="Z83" i="14"/>
  <c r="Z82" i="14"/>
  <c r="Z302" i="12"/>
  <c r="Y147" i="14"/>
  <c r="Y146" i="14"/>
  <c r="Y38" i="14"/>
  <c r="Z328" i="16" s="1"/>
  <c r="Y73" i="14"/>
  <c r="Y112" i="14" s="1"/>
  <c r="Y37" i="14"/>
  <c r="Z37" i="19" s="1"/>
  <c r="Z73" i="19" s="1"/>
  <c r="AE329" i="16"/>
  <c r="AE365" i="16" s="1"/>
  <c r="AE39" i="19"/>
  <c r="U357" i="12"/>
  <c r="V31" i="14" s="1"/>
  <c r="U356" i="12"/>
  <c r="AE360" i="16"/>
  <c r="U354" i="12"/>
  <c r="U355" i="12"/>
  <c r="U353" i="12"/>
  <c r="AD360" i="12"/>
  <c r="V348" i="12" l="1"/>
  <c r="W131" i="14" s="1"/>
  <c r="V347" i="12"/>
  <c r="W130" i="14" s="1"/>
  <c r="V349" i="12"/>
  <c r="W23" i="14" s="1"/>
  <c r="X313" i="16" s="1"/>
  <c r="V350" i="12"/>
  <c r="W133" i="14" s="1"/>
  <c r="U367" i="12"/>
  <c r="Y183" i="14"/>
  <c r="Y185" i="14"/>
  <c r="Y180" i="14"/>
  <c r="Y181" i="14"/>
  <c r="Y182" i="14"/>
  <c r="Y184" i="14"/>
  <c r="AA341" i="16"/>
  <c r="Z343" i="12"/>
  <c r="AA342" i="16"/>
  <c r="AA343" i="16"/>
  <c r="AA344" i="16"/>
  <c r="Z344" i="12"/>
  <c r="Z341" i="12"/>
  <c r="Z342" i="12"/>
  <c r="AA338" i="16"/>
  <c r="AA337" i="16"/>
  <c r="AA336" i="16"/>
  <c r="Z338" i="12"/>
  <c r="Z336" i="12"/>
  <c r="Z337" i="12"/>
  <c r="Z335" i="12"/>
  <c r="Y111" i="14"/>
  <c r="Y108" i="14"/>
  <c r="Y107" i="14"/>
  <c r="Y109" i="14"/>
  <c r="Y110" i="14"/>
  <c r="Z327" i="16"/>
  <c r="Z363" i="16" s="1"/>
  <c r="Y328" i="12"/>
  <c r="AE75" i="19"/>
  <c r="AD329" i="12"/>
  <c r="AD365" i="12" s="1"/>
  <c r="V67" i="14"/>
  <c r="V140" i="14"/>
  <c r="AE34" i="14"/>
  <c r="AE70" i="14"/>
  <c r="AE143" i="14"/>
  <c r="V64" i="14"/>
  <c r="V137" i="14"/>
  <c r="V28" i="14"/>
  <c r="V65" i="14"/>
  <c r="V138" i="14"/>
  <c r="V29" i="14"/>
  <c r="W321" i="16"/>
  <c r="V321" i="12"/>
  <c r="V63" i="14"/>
  <c r="V136" i="14"/>
  <c r="Q7" i="20"/>
  <c r="V27" i="14"/>
  <c r="V66" i="14"/>
  <c r="V139" i="14"/>
  <c r="V30" i="14"/>
  <c r="Y327" i="12"/>
  <c r="W58" i="14" l="1"/>
  <c r="W57" i="14"/>
  <c r="W22" i="14"/>
  <c r="X312" i="16" s="1"/>
  <c r="W60" i="14"/>
  <c r="W59" i="14"/>
  <c r="W132" i="14"/>
  <c r="W167" i="14" s="1"/>
  <c r="W21" i="14"/>
  <c r="X21" i="19" s="1"/>
  <c r="X57" i="19" s="1"/>
  <c r="X23" i="19"/>
  <c r="X59" i="19" s="1"/>
  <c r="W24" i="14"/>
  <c r="X314" i="16" s="1"/>
  <c r="AA9" i="14"/>
  <c r="AB299" i="16" s="1"/>
  <c r="V173" i="14"/>
  <c r="V191" i="14"/>
  <c r="V189" i="14"/>
  <c r="V190" i="14"/>
  <c r="V188" i="14"/>
  <c r="V174" i="14"/>
  <c r="V177" i="14"/>
  <c r="V192" i="14"/>
  <c r="V175" i="14"/>
  <c r="V176" i="14"/>
  <c r="AA124" i="14"/>
  <c r="AA52" i="14"/>
  <c r="AA15" i="14"/>
  <c r="AA305" i="12" s="1"/>
  <c r="AA53" i="14"/>
  <c r="AA17" i="14"/>
  <c r="AB307" i="16" s="1"/>
  <c r="AA125" i="14"/>
  <c r="AA126" i="14"/>
  <c r="AA54" i="14"/>
  <c r="AA16" i="14"/>
  <c r="AB306" i="16" s="1"/>
  <c r="AA18" i="14"/>
  <c r="AA308" i="12" s="1"/>
  <c r="AA51" i="14"/>
  <c r="AA127" i="14"/>
  <c r="AA11" i="14"/>
  <c r="AA301" i="12" s="1"/>
  <c r="AA12" i="14"/>
  <c r="AB302" i="16" s="1"/>
  <c r="AA10" i="14"/>
  <c r="AA300" i="12" s="1"/>
  <c r="AA119" i="14"/>
  <c r="AA121" i="14"/>
  <c r="AA48" i="14"/>
  <c r="AA120" i="14"/>
  <c r="AA46" i="14"/>
  <c r="AA45" i="14"/>
  <c r="AA47" i="14"/>
  <c r="AA118" i="14"/>
  <c r="Z364" i="16"/>
  <c r="Z374" i="16" s="1"/>
  <c r="AE75" i="14"/>
  <c r="AE148" i="14"/>
  <c r="AE39" i="14"/>
  <c r="AE324" i="12"/>
  <c r="AF324" i="16"/>
  <c r="AF360" i="16" s="1"/>
  <c r="V101" i="14"/>
  <c r="W317" i="16"/>
  <c r="W27" i="19"/>
  <c r="W63" i="19" s="1"/>
  <c r="Q4" i="20"/>
  <c r="Q13" i="20" s="1"/>
  <c r="W319" i="16"/>
  <c r="W29" i="19"/>
  <c r="W65" i="19" s="1"/>
  <c r="V103" i="14"/>
  <c r="W318" i="16"/>
  <c r="W28" i="19"/>
  <c r="W64" i="19" s="1"/>
  <c r="Y363" i="12"/>
  <c r="Y364" i="12" s="1"/>
  <c r="W320" i="16"/>
  <c r="W30" i="19"/>
  <c r="W66" i="19" s="1"/>
  <c r="V104" i="14"/>
  <c r="V100" i="14"/>
  <c r="V102" i="14"/>
  <c r="X22" i="19" l="1"/>
  <c r="X58" i="19" s="1"/>
  <c r="W97" i="14"/>
  <c r="W170" i="14"/>
  <c r="W94" i="14"/>
  <c r="W96" i="14"/>
  <c r="W95" i="14"/>
  <c r="X311" i="16"/>
  <c r="W313" i="12"/>
  <c r="W314" i="12"/>
  <c r="W169" i="14"/>
  <c r="W168" i="14"/>
  <c r="AA299" i="12"/>
  <c r="W77" i="19"/>
  <c r="AA164" i="14"/>
  <c r="AA161" i="14"/>
  <c r="V193" i="14"/>
  <c r="AA163" i="14"/>
  <c r="AA162" i="14"/>
  <c r="AA156" i="14"/>
  <c r="AA155" i="14"/>
  <c r="AA157" i="14"/>
  <c r="AA158" i="14"/>
  <c r="AA307" i="12"/>
  <c r="AB305" i="16"/>
  <c r="AA306" i="12"/>
  <c r="AA91" i="14"/>
  <c r="AA89" i="14"/>
  <c r="AA90" i="14"/>
  <c r="AA88" i="14"/>
  <c r="AB308" i="16"/>
  <c r="AB301" i="16"/>
  <c r="AA302" i="12"/>
  <c r="AB300" i="16"/>
  <c r="AA82" i="14"/>
  <c r="AA84" i="14"/>
  <c r="AA85" i="14"/>
  <c r="AA83" i="14"/>
  <c r="AF329" i="16"/>
  <c r="AF365" i="16" s="1"/>
  <c r="AF39" i="19"/>
  <c r="V320" i="12"/>
  <c r="AE360" i="12"/>
  <c r="Z74" i="14"/>
  <c r="Z147" i="14"/>
  <c r="Z38" i="14"/>
  <c r="W357" i="16"/>
  <c r="W353" i="16"/>
  <c r="W354" i="16"/>
  <c r="W356" i="16"/>
  <c r="W355" i="16"/>
  <c r="U184" i="43" a="1"/>
  <c r="U184" i="43" s="1"/>
  <c r="K184" i="43" a="1"/>
  <c r="K184" i="43" s="1"/>
  <c r="O184" i="43" a="1"/>
  <c r="O184" i="43" s="1"/>
  <c r="I184" i="43" a="1"/>
  <c r="I184" i="43" s="1"/>
  <c r="T184" i="43" a="1"/>
  <c r="T184" i="43" s="1"/>
  <c r="AE184" i="43" a="1"/>
  <c r="AE184" i="43" s="1"/>
  <c r="P184" i="43" a="1"/>
  <c r="P184" i="43" s="1"/>
  <c r="H184" i="43" a="1"/>
  <c r="H184" i="43" s="1"/>
  <c r="X184" i="43" a="1"/>
  <c r="X184" i="43" s="1"/>
  <c r="Y184" i="43" a="1"/>
  <c r="Y184" i="43" s="1"/>
  <c r="R184" i="43" a="1"/>
  <c r="R184" i="43" s="1"/>
  <c r="AB184" i="43" a="1"/>
  <c r="AB184" i="43" s="1"/>
  <c r="V184" i="43" a="1"/>
  <c r="V184" i="43" s="1"/>
  <c r="AC184" i="43" a="1"/>
  <c r="AC184" i="43" s="1"/>
  <c r="W184" i="43" a="1"/>
  <c r="W184" i="43" s="1"/>
  <c r="L184" i="43" a="1"/>
  <c r="L184" i="43" s="1"/>
  <c r="AF184" i="43" a="1"/>
  <c r="AF184" i="43" s="1"/>
  <c r="AA184" i="43" a="1"/>
  <c r="AA184" i="43" s="1"/>
  <c r="Q184" i="43" a="1"/>
  <c r="Q184" i="43" s="1"/>
  <c r="S184" i="43" a="1"/>
  <c r="S184" i="43" s="1"/>
  <c r="Z184" i="43" a="1"/>
  <c r="Z184" i="43" s="1"/>
  <c r="M184" i="43" a="1"/>
  <c r="M184" i="43" s="1"/>
  <c r="J184" i="43" a="1"/>
  <c r="J184" i="43" s="1"/>
  <c r="AD184" i="43" a="1"/>
  <c r="AD184" i="43" s="1"/>
  <c r="N184" i="43" a="1"/>
  <c r="N184" i="43" s="1"/>
  <c r="V318" i="12"/>
  <c r="V319" i="12"/>
  <c r="V317" i="12"/>
  <c r="Z146" i="14"/>
  <c r="Z73" i="14"/>
  <c r="Z37" i="14"/>
  <c r="W311" i="12"/>
  <c r="R10" i="20"/>
  <c r="W312" i="12" l="1"/>
  <c r="W349" i="12" s="1"/>
  <c r="X350" i="16"/>
  <c r="X349" i="16"/>
  <c r="X348" i="16"/>
  <c r="X347" i="16"/>
  <c r="AA337" i="12"/>
  <c r="W367" i="16"/>
  <c r="Z184" i="14"/>
  <c r="Z183" i="14"/>
  <c r="Z182" i="14"/>
  <c r="Z185" i="14"/>
  <c r="Z180" i="14"/>
  <c r="Z181" i="14"/>
  <c r="AA341" i="12"/>
  <c r="AA342" i="12"/>
  <c r="AA344" i="12"/>
  <c r="AA343" i="12"/>
  <c r="AB342" i="16"/>
  <c r="AB344" i="16"/>
  <c r="AB341" i="16"/>
  <c r="AB343" i="16"/>
  <c r="AA335" i="12"/>
  <c r="AB336" i="16"/>
  <c r="AA338" i="12"/>
  <c r="AA336" i="12"/>
  <c r="AB337" i="16"/>
  <c r="AB338" i="16"/>
  <c r="AB335" i="16"/>
  <c r="AF75" i="19"/>
  <c r="AE329" i="12"/>
  <c r="AE365" i="12" s="1"/>
  <c r="AF143" i="14"/>
  <c r="AF70" i="14"/>
  <c r="AF34" i="14"/>
  <c r="H221" i="43" a="1"/>
  <c r="H221" i="43" s="1"/>
  <c r="I221" i="43" s="1" a="1"/>
  <c r="I221" i="43" s="1"/>
  <c r="J221" i="43" s="1" a="1"/>
  <c r="J221" i="43" s="1"/>
  <c r="K221" i="43" s="1" a="1"/>
  <c r="K221" i="43" s="1"/>
  <c r="L221" i="43" s="1" a="1"/>
  <c r="L221" i="43" s="1"/>
  <c r="M221" i="43" s="1" a="1"/>
  <c r="M221" i="43" s="1"/>
  <c r="N221" i="43" s="1" a="1"/>
  <c r="N221" i="43" s="1"/>
  <c r="O221" i="43" s="1" a="1"/>
  <c r="O221" i="43" s="1"/>
  <c r="P221" i="43" s="1" a="1"/>
  <c r="P221" i="43" s="1"/>
  <c r="Q221" i="43" s="1" a="1"/>
  <c r="Q221" i="43" s="1"/>
  <c r="R221" i="43" s="1" a="1"/>
  <c r="R221" i="43" s="1"/>
  <c r="S221" i="43" s="1" a="1"/>
  <c r="S221" i="43" s="1"/>
  <c r="T221" i="43" s="1" a="1"/>
  <c r="T221" i="43" s="1"/>
  <c r="U221" i="43" s="1" a="1"/>
  <c r="U221" i="43" s="1"/>
  <c r="V221" i="43" s="1" a="1"/>
  <c r="V221" i="43" s="1"/>
  <c r="W221" i="43" s="1" a="1"/>
  <c r="W221" i="43" s="1"/>
  <c r="X221" i="43" s="1" a="1"/>
  <c r="X221" i="43" s="1"/>
  <c r="Y221" i="43" s="1" a="1"/>
  <c r="Y221" i="43" s="1"/>
  <c r="Z221" i="43" s="1" a="1"/>
  <c r="Z221" i="43" s="1"/>
  <c r="AA221" i="43" s="1" a="1"/>
  <c r="AA221" i="43" s="1"/>
  <c r="AB221" i="43" s="1" a="1"/>
  <c r="AB221" i="43" s="1"/>
  <c r="AC221" i="43" s="1" a="1"/>
  <c r="AC221" i="43" s="1"/>
  <c r="AD221" i="43" s="1" a="1"/>
  <c r="AD221" i="43" s="1"/>
  <c r="AE221" i="43" s="1" a="1"/>
  <c r="AE221" i="43" s="1"/>
  <c r="AF221" i="43" s="1" a="1"/>
  <c r="AF221" i="43" s="1"/>
  <c r="Z111" i="14"/>
  <c r="AA37" i="19"/>
  <c r="AA73" i="19" s="1"/>
  <c r="AA327" i="16"/>
  <c r="AA363" i="16" s="1"/>
  <c r="V354" i="12"/>
  <c r="V357" i="12"/>
  <c r="V353" i="12"/>
  <c r="V356" i="12"/>
  <c r="V355" i="12"/>
  <c r="Z328" i="12"/>
  <c r="AA328" i="16"/>
  <c r="Z110" i="14"/>
  <c r="Z107" i="14"/>
  <c r="Z109" i="14"/>
  <c r="Z108" i="14"/>
  <c r="Z112" i="14"/>
  <c r="W347" i="12" l="1"/>
  <c r="X21" i="14" s="1"/>
  <c r="W350" i="12"/>
  <c r="X24" i="14" s="1"/>
  <c r="W348" i="12"/>
  <c r="X58" i="14" s="1"/>
  <c r="AB11" i="14"/>
  <c r="AB301" i="12" s="1"/>
  <c r="V367" i="12"/>
  <c r="AB124" i="14"/>
  <c r="AB126" i="14"/>
  <c r="AB54" i="14"/>
  <c r="AB127" i="14"/>
  <c r="AB52" i="14"/>
  <c r="AB125" i="14"/>
  <c r="AB16" i="14"/>
  <c r="AB306" i="12" s="1"/>
  <c r="AB18" i="14"/>
  <c r="AC308" i="16" s="1"/>
  <c r="AB51" i="14"/>
  <c r="AB15" i="14"/>
  <c r="AB305" i="12" s="1"/>
  <c r="AB17" i="14"/>
  <c r="AC307" i="16" s="1"/>
  <c r="AB53" i="14"/>
  <c r="AB46" i="14"/>
  <c r="AB9" i="14"/>
  <c r="AC299" i="16" s="1"/>
  <c r="AB47" i="14"/>
  <c r="AB118" i="14"/>
  <c r="AB121" i="14"/>
  <c r="AB45" i="14"/>
  <c r="AB119" i="14"/>
  <c r="AB10" i="14"/>
  <c r="AB300" i="12" s="1"/>
  <c r="AB120" i="14"/>
  <c r="AB12" i="14"/>
  <c r="AB302" i="12" s="1"/>
  <c r="AB48" i="14"/>
  <c r="AA364" i="16"/>
  <c r="AA374" i="16" s="1"/>
  <c r="AF75" i="14"/>
  <c r="W189" i="43" a="1"/>
  <c r="W189" i="43" s="1"/>
  <c r="AD189" i="43" a="1"/>
  <c r="AD189" i="43" s="1"/>
  <c r="H189" i="43" a="1"/>
  <c r="H189" i="43" s="1"/>
  <c r="O189" i="43" a="1"/>
  <c r="O189" i="43" s="1"/>
  <c r="L189" i="43" a="1"/>
  <c r="L189" i="43" s="1"/>
  <c r="M189" i="43" a="1"/>
  <c r="M189" i="43" s="1"/>
  <c r="AE189" i="43" a="1"/>
  <c r="AE189" i="43" s="1"/>
  <c r="U189" i="43" a="1"/>
  <c r="U189" i="43" s="1"/>
  <c r="AF189" i="43" a="1"/>
  <c r="AF189" i="43" s="1"/>
  <c r="AC189" i="43" a="1"/>
  <c r="AC189" i="43" s="1"/>
  <c r="X189" i="43" a="1"/>
  <c r="X189" i="43" s="1"/>
  <c r="Z189" i="43" a="1"/>
  <c r="Z189" i="43" s="1"/>
  <c r="Y189" i="43" a="1"/>
  <c r="Y189" i="43" s="1"/>
  <c r="AA189" i="43" a="1"/>
  <c r="AA189" i="43" s="1"/>
  <c r="AB189" i="43" a="1"/>
  <c r="AB189" i="43" s="1"/>
  <c r="I189" i="43" a="1"/>
  <c r="I189" i="43" s="1"/>
  <c r="Q189" i="43" a="1"/>
  <c r="Q189" i="43" s="1"/>
  <c r="V189" i="43" a="1"/>
  <c r="V189" i="43" s="1"/>
  <c r="J189" i="43" a="1"/>
  <c r="J189" i="43" s="1"/>
  <c r="S189" i="43" a="1"/>
  <c r="S189" i="43" s="1"/>
  <c r="N189" i="43" a="1"/>
  <c r="N189" i="43" s="1"/>
  <c r="R189" i="43" a="1"/>
  <c r="R189" i="43" s="1"/>
  <c r="P189" i="43" a="1"/>
  <c r="P189" i="43" s="1"/>
  <c r="T189" i="43" a="1"/>
  <c r="T189" i="43" s="1"/>
  <c r="K189" i="43" a="1"/>
  <c r="K189" i="43" s="1"/>
  <c r="AF39" i="14"/>
  <c r="H226" i="43" a="1"/>
  <c r="H226" i="43" s="1"/>
  <c r="I226" i="43" s="1" a="1"/>
  <c r="I226" i="43" s="1"/>
  <c r="J226" i="43" s="1" a="1"/>
  <c r="J226" i="43" s="1"/>
  <c r="K226" i="43" s="1" a="1"/>
  <c r="K226" i="43" s="1"/>
  <c r="L226" i="43" s="1" a="1"/>
  <c r="L226" i="43" s="1"/>
  <c r="M226" i="43" s="1" a="1"/>
  <c r="M226" i="43" s="1"/>
  <c r="N226" i="43" s="1" a="1"/>
  <c r="N226" i="43" s="1"/>
  <c r="O226" i="43" s="1" a="1"/>
  <c r="O226" i="43" s="1"/>
  <c r="P226" i="43" s="1" a="1"/>
  <c r="P226" i="43" s="1"/>
  <c r="Q226" i="43" s="1" a="1"/>
  <c r="Q226" i="43" s="1"/>
  <c r="R226" i="43" s="1" a="1"/>
  <c r="R226" i="43" s="1"/>
  <c r="S226" i="43" s="1" a="1"/>
  <c r="S226" i="43" s="1"/>
  <c r="T226" i="43" s="1" a="1"/>
  <c r="T226" i="43" s="1"/>
  <c r="U226" i="43" s="1" a="1"/>
  <c r="U226" i="43" s="1"/>
  <c r="V226" i="43" s="1" a="1"/>
  <c r="V226" i="43" s="1"/>
  <c r="W226" i="43" s="1" a="1"/>
  <c r="W226" i="43" s="1"/>
  <c r="X226" i="43" s="1" a="1"/>
  <c r="X226" i="43" s="1"/>
  <c r="Y226" i="43" s="1" a="1"/>
  <c r="Y226" i="43" s="1"/>
  <c r="Z226" i="43" s="1" a="1"/>
  <c r="Z226" i="43" s="1"/>
  <c r="AA226" i="43" s="1" a="1"/>
  <c r="AA226" i="43" s="1"/>
  <c r="AB226" i="43" s="1" a="1"/>
  <c r="AB226" i="43" s="1"/>
  <c r="AC226" i="43" s="1" a="1"/>
  <c r="AC226" i="43" s="1"/>
  <c r="AD226" i="43" s="1" a="1"/>
  <c r="AD226" i="43" s="1"/>
  <c r="AE226" i="43" s="1" a="1"/>
  <c r="AE226" i="43" s="1"/>
  <c r="AF226" i="43" s="1" a="1"/>
  <c r="AF226" i="43" s="1"/>
  <c r="AF148" i="14"/>
  <c r="W65" i="14"/>
  <c r="W138" i="14"/>
  <c r="W29" i="14"/>
  <c r="W137" i="14"/>
  <c r="W64" i="14"/>
  <c r="W28" i="14"/>
  <c r="W67" i="14"/>
  <c r="W140" i="14"/>
  <c r="W31" i="14"/>
  <c r="W63" i="14"/>
  <c r="W136" i="14"/>
  <c r="R7" i="20"/>
  <c r="W27" i="14"/>
  <c r="X59" i="14"/>
  <c r="X132" i="14"/>
  <c r="X23" i="14"/>
  <c r="W139" i="14"/>
  <c r="W66" i="14"/>
  <c r="W30" i="14"/>
  <c r="Z327" i="12"/>
  <c r="Z363" i="12" s="1"/>
  <c r="X60" i="14" l="1"/>
  <c r="X133" i="14"/>
  <c r="X131" i="14"/>
  <c r="X57" i="14"/>
  <c r="X22" i="14"/>
  <c r="Y312" i="16" s="1"/>
  <c r="X130" i="14"/>
  <c r="AC301" i="16"/>
  <c r="W175" i="14"/>
  <c r="AB164" i="14"/>
  <c r="W177" i="14"/>
  <c r="W192" i="14"/>
  <c r="AB163" i="14"/>
  <c r="AB161" i="14"/>
  <c r="W176" i="14"/>
  <c r="W174" i="14"/>
  <c r="W173" i="14"/>
  <c r="W191" i="14"/>
  <c r="W189" i="14"/>
  <c r="W190" i="14"/>
  <c r="W188" i="14"/>
  <c r="AB162" i="14"/>
  <c r="AB155" i="14"/>
  <c r="AB157" i="14"/>
  <c r="AB156" i="14"/>
  <c r="AB158" i="14"/>
  <c r="AB89" i="14"/>
  <c r="AB308" i="12"/>
  <c r="AC305" i="16"/>
  <c r="AC306" i="16"/>
  <c r="AB88" i="14"/>
  <c r="AB90" i="14"/>
  <c r="AB91" i="14"/>
  <c r="AB307" i="12"/>
  <c r="AB299" i="12"/>
  <c r="AB335" i="12" s="1"/>
  <c r="AC300" i="16"/>
  <c r="AC302" i="16"/>
  <c r="AB84" i="14"/>
  <c r="AB83" i="14"/>
  <c r="AB85" i="14"/>
  <c r="AB82" i="14"/>
  <c r="W104" i="14"/>
  <c r="Z364" i="12"/>
  <c r="AA38" i="14" s="1"/>
  <c r="X320" i="16"/>
  <c r="X30" i="19"/>
  <c r="X66" i="19" s="1"/>
  <c r="X314" i="12"/>
  <c r="Y314" i="16"/>
  <c r="X317" i="16"/>
  <c r="X27" i="19"/>
  <c r="X63" i="19" s="1"/>
  <c r="R4" i="20"/>
  <c r="R13" i="20" s="1"/>
  <c r="X321" i="16"/>
  <c r="W321" i="12"/>
  <c r="AA73" i="14"/>
  <c r="AA37" i="14"/>
  <c r="Y23" i="19"/>
  <c r="Y59" i="19" s="1"/>
  <c r="Y313" i="16"/>
  <c r="X28" i="19"/>
  <c r="X64" i="19" s="1"/>
  <c r="X318" i="16"/>
  <c r="X319" i="16"/>
  <c r="X29" i="19"/>
  <c r="X65" i="19" s="1"/>
  <c r="X95" i="14"/>
  <c r="W103" i="14"/>
  <c r="AA146" i="14"/>
  <c r="Y21" i="19"/>
  <c r="Y57" i="19" s="1"/>
  <c r="Y311" i="16"/>
  <c r="W100" i="14"/>
  <c r="W101" i="14"/>
  <c r="W102" i="14"/>
  <c r="X96" i="14" l="1"/>
  <c r="X94" i="14"/>
  <c r="Y22" i="19"/>
  <c r="Y58" i="19" s="1"/>
  <c r="X169" i="14"/>
  <c r="X167" i="14"/>
  <c r="X168" i="14"/>
  <c r="X97" i="14"/>
  <c r="X170" i="14"/>
  <c r="X77" i="19"/>
  <c r="W193" i="14"/>
  <c r="AB343" i="12"/>
  <c r="AC344" i="16"/>
  <c r="AC342" i="16"/>
  <c r="AC341" i="16"/>
  <c r="AC343" i="16"/>
  <c r="AB344" i="12"/>
  <c r="AB336" i="12"/>
  <c r="AB342" i="12"/>
  <c r="AB341" i="12"/>
  <c r="AB338" i="12"/>
  <c r="AB337" i="12"/>
  <c r="AC338" i="16"/>
  <c r="AC335" i="16"/>
  <c r="AC336" i="16"/>
  <c r="AC337" i="16"/>
  <c r="AA147" i="14"/>
  <c r="AA184" i="14" s="1"/>
  <c r="W318" i="12"/>
  <c r="AA74" i="14"/>
  <c r="AA111" i="14" s="1"/>
  <c r="S10" i="20"/>
  <c r="X311" i="12"/>
  <c r="X313" i="12"/>
  <c r="AB37" i="19"/>
  <c r="AB73" i="19" s="1"/>
  <c r="AB327" i="16"/>
  <c r="AB363" i="16" s="1"/>
  <c r="W317" i="12"/>
  <c r="W320" i="12"/>
  <c r="Y349" i="16"/>
  <c r="Y347" i="16"/>
  <c r="AA328" i="12"/>
  <c r="AB328" i="16"/>
  <c r="X355" i="16"/>
  <c r="X354" i="16"/>
  <c r="X357" i="16"/>
  <c r="X353" i="16"/>
  <c r="X356" i="16"/>
  <c r="W319" i="12"/>
  <c r="Y350" i="16"/>
  <c r="Y348" i="16"/>
  <c r="X312" i="12" l="1"/>
  <c r="X350" i="12" s="1"/>
  <c r="Y24" i="14" s="1"/>
  <c r="AC118" i="14"/>
  <c r="X367" i="16"/>
  <c r="AA182" i="14"/>
  <c r="AA181" i="14"/>
  <c r="AA180" i="14"/>
  <c r="AA185" i="14"/>
  <c r="AA183" i="14"/>
  <c r="AC126" i="14"/>
  <c r="AC120" i="14"/>
  <c r="AC127" i="14"/>
  <c r="AC54" i="14"/>
  <c r="AC53" i="14"/>
  <c r="AC18" i="14"/>
  <c r="AC308" i="12" s="1"/>
  <c r="AC17" i="14"/>
  <c r="AC307" i="12" s="1"/>
  <c r="AC16" i="14"/>
  <c r="AD306" i="16" s="1"/>
  <c r="AC15" i="14"/>
  <c r="AC305" i="12" s="1"/>
  <c r="AC51" i="14"/>
  <c r="AC46" i="14"/>
  <c r="AC52" i="14"/>
  <c r="AC125" i="14"/>
  <c r="AC124" i="14"/>
  <c r="AC12" i="14"/>
  <c r="AC302" i="12" s="1"/>
  <c r="AC47" i="14"/>
  <c r="AC9" i="14"/>
  <c r="AD299" i="16" s="1"/>
  <c r="AC45" i="14"/>
  <c r="AC121" i="14"/>
  <c r="AC48" i="14"/>
  <c r="AC10" i="14"/>
  <c r="AC300" i="12" s="1"/>
  <c r="AC11" i="14"/>
  <c r="AD301" i="16" s="1"/>
  <c r="AC119" i="14"/>
  <c r="AB364" i="16"/>
  <c r="AB374" i="16" s="1"/>
  <c r="AA112" i="14"/>
  <c r="AA107" i="14"/>
  <c r="AA110" i="14"/>
  <c r="AA108" i="14"/>
  <c r="AA109" i="14"/>
  <c r="W357" i="12"/>
  <c r="W353" i="12"/>
  <c r="W355" i="12"/>
  <c r="W354" i="12"/>
  <c r="W356" i="12"/>
  <c r="AA327" i="12"/>
  <c r="AA363" i="12" s="1"/>
  <c r="AB37" i="14" s="1"/>
  <c r="X349" i="12" l="1"/>
  <c r="Y132" i="14" s="1"/>
  <c r="X347" i="12"/>
  <c r="Y130" i="14" s="1"/>
  <c r="X348" i="12"/>
  <c r="Y22" i="14" s="1"/>
  <c r="Z312" i="16" s="1"/>
  <c r="W367" i="12"/>
  <c r="AC163" i="14"/>
  <c r="AC164" i="14"/>
  <c r="AC161" i="14"/>
  <c r="AC162" i="14"/>
  <c r="AC156" i="14"/>
  <c r="AC158" i="14"/>
  <c r="AC157" i="14"/>
  <c r="AC155" i="14"/>
  <c r="AD307" i="16"/>
  <c r="AD308" i="16"/>
  <c r="AC306" i="12"/>
  <c r="AC343" i="12" s="1"/>
  <c r="AD305" i="16"/>
  <c r="AC88" i="14"/>
  <c r="AC90" i="14"/>
  <c r="AC91" i="14"/>
  <c r="AC89" i="14"/>
  <c r="AD302" i="16"/>
  <c r="Y133" i="14"/>
  <c r="AC299" i="12"/>
  <c r="AC85" i="14"/>
  <c r="AC83" i="14"/>
  <c r="AC82" i="14"/>
  <c r="AC84" i="14"/>
  <c r="AD300" i="16"/>
  <c r="AC301" i="12"/>
  <c r="Y60" i="14"/>
  <c r="AC327" i="16"/>
  <c r="AC363" i="16" s="1"/>
  <c r="AC37" i="19"/>
  <c r="AC73" i="19" s="1"/>
  <c r="Z314" i="16"/>
  <c r="Y314" i="12"/>
  <c r="X63" i="14"/>
  <c r="X136" i="14"/>
  <c r="S7" i="20"/>
  <c r="X27" i="14"/>
  <c r="AB146" i="14"/>
  <c r="X138" i="14"/>
  <c r="X65" i="14"/>
  <c r="X29" i="14"/>
  <c r="AB73" i="14"/>
  <c r="X64" i="14"/>
  <c r="X137" i="14"/>
  <c r="X28" i="14"/>
  <c r="X66" i="14"/>
  <c r="X139" i="14"/>
  <c r="X30" i="14"/>
  <c r="X67" i="14"/>
  <c r="X140" i="14"/>
  <c r="X31" i="14"/>
  <c r="AA364" i="12"/>
  <c r="Y59" i="14" l="1"/>
  <c r="Y23" i="14"/>
  <c r="Z313" i="16" s="1"/>
  <c r="Y57" i="14"/>
  <c r="Y21" i="14"/>
  <c r="Z311" i="16" s="1"/>
  <c r="Z22" i="19"/>
  <c r="Z58" i="19" s="1"/>
  <c r="Y131" i="14"/>
  <c r="Y168" i="14" s="1"/>
  <c r="Y58" i="14"/>
  <c r="X176" i="14"/>
  <c r="X177" i="14"/>
  <c r="X192" i="14"/>
  <c r="X173" i="14"/>
  <c r="X191" i="14"/>
  <c r="X189" i="14"/>
  <c r="X190" i="14"/>
  <c r="X188" i="14"/>
  <c r="X175" i="14"/>
  <c r="X174" i="14"/>
  <c r="AD341" i="16"/>
  <c r="AD343" i="16"/>
  <c r="AD17" i="14" s="1"/>
  <c r="AC341" i="12"/>
  <c r="AC342" i="12"/>
  <c r="AC344" i="12"/>
  <c r="AD342" i="16"/>
  <c r="AD344" i="16"/>
  <c r="AD336" i="16"/>
  <c r="AD335" i="16"/>
  <c r="AC336" i="12"/>
  <c r="AD337" i="16"/>
  <c r="AD338" i="16"/>
  <c r="AC338" i="12"/>
  <c r="AC337" i="12"/>
  <c r="AC335" i="12"/>
  <c r="Z23" i="19"/>
  <c r="Z59" i="19" s="1"/>
  <c r="X104" i="14"/>
  <c r="Y320" i="16"/>
  <c r="Y30" i="19"/>
  <c r="Y66" i="19" s="1"/>
  <c r="AB74" i="14"/>
  <c r="AB111" i="14" s="1"/>
  <c r="AB147" i="14"/>
  <c r="AB184" i="14" s="1"/>
  <c r="AB38" i="14"/>
  <c r="Y28" i="19"/>
  <c r="Y64" i="19" s="1"/>
  <c r="Y318" i="16"/>
  <c r="X102" i="14"/>
  <c r="Y319" i="16"/>
  <c r="Y29" i="19"/>
  <c r="Y65" i="19" s="1"/>
  <c r="Y27" i="19"/>
  <c r="Y63" i="19" s="1"/>
  <c r="Y317" i="16"/>
  <c r="S4" i="20"/>
  <c r="S13" i="20" s="1"/>
  <c r="X103" i="14"/>
  <c r="AB327" i="12"/>
  <c r="AB363" i="12" s="1"/>
  <c r="AC73" i="14" s="1"/>
  <c r="Y321" i="16"/>
  <c r="X321" i="12"/>
  <c r="X101" i="14"/>
  <c r="X100" i="14"/>
  <c r="Z349" i="16" l="1"/>
  <c r="Y94" i="14"/>
  <c r="Z347" i="16"/>
  <c r="Z21" i="19"/>
  <c r="Z57" i="19" s="1"/>
  <c r="Z350" i="16"/>
  <c r="Z348" i="16"/>
  <c r="Y97" i="14"/>
  <c r="Y95" i="14"/>
  <c r="Y96" i="14"/>
  <c r="Y312" i="12"/>
  <c r="Y167" i="14"/>
  <c r="Y169" i="14"/>
  <c r="Y170" i="14"/>
  <c r="Y77" i="19"/>
  <c r="AB185" i="14"/>
  <c r="AB182" i="14"/>
  <c r="X193" i="14"/>
  <c r="AB181" i="14"/>
  <c r="AB180" i="14"/>
  <c r="AB183" i="14"/>
  <c r="AD18" i="14"/>
  <c r="AD308" i="12" s="1"/>
  <c r="AD124" i="14"/>
  <c r="AD51" i="14"/>
  <c r="AD54" i="14"/>
  <c r="AD53" i="14"/>
  <c r="AD126" i="14"/>
  <c r="AD15" i="14"/>
  <c r="AE305" i="16" s="1"/>
  <c r="AD127" i="14"/>
  <c r="AD16" i="14"/>
  <c r="AE306" i="16" s="1"/>
  <c r="AD52" i="14"/>
  <c r="AD125" i="14"/>
  <c r="AD119" i="14"/>
  <c r="AD118" i="14"/>
  <c r="AD10" i="14"/>
  <c r="AD300" i="12" s="1"/>
  <c r="AD48" i="14"/>
  <c r="AD120" i="14"/>
  <c r="AD9" i="14"/>
  <c r="AE299" i="16" s="1"/>
  <c r="AD46" i="14"/>
  <c r="AD45" i="14"/>
  <c r="AD121" i="14"/>
  <c r="AD12" i="14"/>
  <c r="AD302" i="12" s="1"/>
  <c r="AD47" i="14"/>
  <c r="AD11" i="14"/>
  <c r="AD301" i="12" s="1"/>
  <c r="Y313" i="12"/>
  <c r="AC37" i="14"/>
  <c r="AD37" i="19" s="1"/>
  <c r="AD73" i="19" s="1"/>
  <c r="X317" i="12"/>
  <c r="X320" i="12"/>
  <c r="AD307" i="12"/>
  <c r="AE307" i="16"/>
  <c r="AB328" i="12"/>
  <c r="AB364" i="12" s="1"/>
  <c r="AC328" i="16"/>
  <c r="AC364" i="16" s="1"/>
  <c r="AC374" i="16" s="1"/>
  <c r="T10" i="20"/>
  <c r="X319" i="12"/>
  <c r="AB107" i="14"/>
  <c r="AB110" i="14"/>
  <c r="Y356" i="16"/>
  <c r="Y355" i="16"/>
  <c r="Y357" i="16"/>
  <c r="Y354" i="16"/>
  <c r="Y353" i="16"/>
  <c r="AB112" i="14"/>
  <c r="AC146" i="14"/>
  <c r="AB109" i="14"/>
  <c r="X318" i="12"/>
  <c r="AB108" i="14"/>
  <c r="Y311" i="12" l="1"/>
  <c r="Y347" i="12" s="1"/>
  <c r="Y367" i="16"/>
  <c r="AD162" i="14"/>
  <c r="AD164" i="14"/>
  <c r="AD163" i="14"/>
  <c r="AD161" i="14"/>
  <c r="AD157" i="14"/>
  <c r="AD158" i="14"/>
  <c r="AD156" i="14"/>
  <c r="AD155" i="14"/>
  <c r="AE308" i="16"/>
  <c r="AE341" i="16" s="1"/>
  <c r="AD88" i="14"/>
  <c r="AD91" i="14"/>
  <c r="AD90" i="14"/>
  <c r="AD306" i="12"/>
  <c r="AD305" i="12"/>
  <c r="AD89" i="14"/>
  <c r="AD299" i="12"/>
  <c r="AD336" i="12" s="1"/>
  <c r="AE300" i="16"/>
  <c r="AD82" i="14"/>
  <c r="AE301" i="16"/>
  <c r="AD85" i="14"/>
  <c r="AD84" i="14"/>
  <c r="AD83" i="14"/>
  <c r="AE302" i="16"/>
  <c r="AD327" i="16"/>
  <c r="AD363" i="16" s="1"/>
  <c r="X356" i="12"/>
  <c r="Y30" i="14" s="1"/>
  <c r="AC38" i="14"/>
  <c r="AC328" i="12" s="1"/>
  <c r="X354" i="12"/>
  <c r="Y137" i="14" s="1"/>
  <c r="X357" i="12"/>
  <c r="X355" i="12"/>
  <c r="AC74" i="14"/>
  <c r="AC147" i="14"/>
  <c r="AC184" i="14" s="1"/>
  <c r="X353" i="12"/>
  <c r="AC327" i="12"/>
  <c r="Y350" i="12" l="1"/>
  <c r="Z60" i="14" s="1"/>
  <c r="Y349" i="12"/>
  <c r="Z132" i="14" s="1"/>
  <c r="Y348" i="12"/>
  <c r="Z22" i="14" s="1"/>
  <c r="AA312" i="16" s="1"/>
  <c r="X367" i="12"/>
  <c r="Z21" i="14"/>
  <c r="AA311" i="16" s="1"/>
  <c r="AC185" i="14"/>
  <c r="AC182" i="14"/>
  <c r="AC180" i="14"/>
  <c r="AC181" i="14"/>
  <c r="AC183" i="14"/>
  <c r="AE344" i="16"/>
  <c r="AD343" i="12"/>
  <c r="AE343" i="16"/>
  <c r="AE342" i="16"/>
  <c r="AD342" i="12"/>
  <c r="AD341" i="12"/>
  <c r="AE15" i="14" s="1"/>
  <c r="AD344" i="12"/>
  <c r="AD335" i="12"/>
  <c r="AD337" i="12"/>
  <c r="AD338" i="12"/>
  <c r="AE337" i="16"/>
  <c r="AE335" i="16"/>
  <c r="AE336" i="16"/>
  <c r="AE46" i="14" s="1"/>
  <c r="AE338" i="16"/>
  <c r="Z57" i="14"/>
  <c r="Z130" i="14"/>
  <c r="Y28" i="14"/>
  <c r="Z318" i="16" s="1"/>
  <c r="Y64" i="14"/>
  <c r="AD328" i="16"/>
  <c r="AD364" i="16" s="1"/>
  <c r="AD374" i="16" s="1"/>
  <c r="Y139" i="14"/>
  <c r="Y66" i="14"/>
  <c r="Z30" i="19"/>
  <c r="Z66" i="19" s="1"/>
  <c r="Z320" i="16"/>
  <c r="Y65" i="14"/>
  <c r="Y138" i="14"/>
  <c r="Y29" i="14"/>
  <c r="Y67" i="14"/>
  <c r="Y140" i="14"/>
  <c r="Y31" i="14"/>
  <c r="Y63" i="14"/>
  <c r="Y136" i="14"/>
  <c r="T7" i="20"/>
  <c r="Y27" i="14"/>
  <c r="AC363" i="12"/>
  <c r="AC111" i="14"/>
  <c r="AC109" i="14"/>
  <c r="AC112" i="14"/>
  <c r="AC110" i="14"/>
  <c r="AC108" i="14"/>
  <c r="AC107" i="14"/>
  <c r="Z58" i="14" l="1"/>
  <c r="AA22" i="19"/>
  <c r="AA58" i="19" s="1"/>
  <c r="Z131" i="14"/>
  <c r="Z59" i="14"/>
  <c r="Z133" i="14"/>
  <c r="Z23" i="14"/>
  <c r="AA313" i="16" s="1"/>
  <c r="Z24" i="14"/>
  <c r="Z314" i="12" s="1"/>
  <c r="AA21" i="19"/>
  <c r="AA57" i="19" s="1"/>
  <c r="Y174" i="14"/>
  <c r="Y173" i="14"/>
  <c r="Y191" i="14"/>
  <c r="Y188" i="14"/>
  <c r="Y189" i="14"/>
  <c r="Y190" i="14"/>
  <c r="Y177" i="14"/>
  <c r="Y192" i="14"/>
  <c r="Y176" i="14"/>
  <c r="Y175" i="14"/>
  <c r="AE127" i="14"/>
  <c r="AE54" i="14"/>
  <c r="AE18" i="14"/>
  <c r="AF308" i="16" s="1"/>
  <c r="AE124" i="14"/>
  <c r="AE53" i="14"/>
  <c r="AE17" i="14"/>
  <c r="AE307" i="12" s="1"/>
  <c r="AE126" i="14"/>
  <c r="AE16" i="14"/>
  <c r="AE306" i="12" s="1"/>
  <c r="AE51" i="14"/>
  <c r="AE125" i="14"/>
  <c r="AE52" i="14"/>
  <c r="AE12" i="14"/>
  <c r="AF302" i="16" s="1"/>
  <c r="AE118" i="14"/>
  <c r="AE47" i="14"/>
  <c r="AE121" i="14"/>
  <c r="AE48" i="14"/>
  <c r="AE120" i="14"/>
  <c r="AE11" i="14"/>
  <c r="AF301" i="16" s="1"/>
  <c r="AE9" i="14"/>
  <c r="AE299" i="12" s="1"/>
  <c r="AE45" i="14"/>
  <c r="AE10" i="14"/>
  <c r="AF300" i="16" s="1"/>
  <c r="AE119" i="14"/>
  <c r="Z94" i="14"/>
  <c r="Z95" i="14"/>
  <c r="Z96" i="14"/>
  <c r="Z28" i="19"/>
  <c r="Z64" i="19" s="1"/>
  <c r="Y101" i="14"/>
  <c r="Y100" i="14"/>
  <c r="AD73" i="14"/>
  <c r="AD146" i="14"/>
  <c r="AD37" i="14"/>
  <c r="Y104" i="14"/>
  <c r="Z29" i="19"/>
  <c r="Z65" i="19" s="1"/>
  <c r="Z319" i="16"/>
  <c r="AC364" i="12"/>
  <c r="Z312" i="12"/>
  <c r="Z321" i="16"/>
  <c r="Y321" i="12"/>
  <c r="Z27" i="19"/>
  <c r="Z63" i="19" s="1"/>
  <c r="Z317" i="16"/>
  <c r="T4" i="20"/>
  <c r="T13" i="20" s="1"/>
  <c r="AE305" i="12"/>
  <c r="AF305" i="16"/>
  <c r="Y102" i="14"/>
  <c r="Y320" i="12"/>
  <c r="Y103" i="14"/>
  <c r="Z168" i="14" l="1"/>
  <c r="Z97" i="14"/>
  <c r="AA314" i="16"/>
  <c r="AA347" i="16" s="1"/>
  <c r="AA23" i="19"/>
  <c r="AA59" i="19" s="1"/>
  <c r="Z170" i="14"/>
  <c r="Z167" i="14"/>
  <c r="AA348" i="16"/>
  <c r="Z169" i="14"/>
  <c r="Z311" i="12"/>
  <c r="Z77" i="19"/>
  <c r="AE163" i="14"/>
  <c r="AE161" i="14"/>
  <c r="AE162" i="14"/>
  <c r="AE164" i="14"/>
  <c r="Y193" i="14"/>
  <c r="AE158" i="14"/>
  <c r="AE156" i="14"/>
  <c r="AE157" i="14"/>
  <c r="AE155" i="14"/>
  <c r="AF307" i="16"/>
  <c r="AE308" i="12"/>
  <c r="AE341" i="12" s="1"/>
  <c r="AF306" i="16"/>
  <c r="AE89" i="14"/>
  <c r="AE90" i="14"/>
  <c r="AE91" i="14"/>
  <c r="AE88" i="14"/>
  <c r="AE302" i="12"/>
  <c r="Z313" i="12"/>
  <c r="AE82" i="14"/>
  <c r="AE301" i="12"/>
  <c r="AF299" i="16"/>
  <c r="AF338" i="16" s="1"/>
  <c r="AE84" i="14"/>
  <c r="AE83" i="14"/>
  <c r="AE85" i="14"/>
  <c r="AE300" i="12"/>
  <c r="AA349" i="16"/>
  <c r="AA350" i="16"/>
  <c r="Y318" i="12"/>
  <c r="U10" i="20"/>
  <c r="AE327" i="16"/>
  <c r="AE37" i="19"/>
  <c r="AE73" i="19" s="1"/>
  <c r="Y317" i="12"/>
  <c r="Z354" i="16"/>
  <c r="Z356" i="16"/>
  <c r="Z357" i="16"/>
  <c r="Z353" i="16"/>
  <c r="Z355" i="16"/>
  <c r="AD147" i="14"/>
  <c r="AD184" i="14" s="1"/>
  <c r="AD74" i="14"/>
  <c r="AD111" i="14" s="1"/>
  <c r="AD38" i="14"/>
  <c r="Y319" i="12"/>
  <c r="Z349" i="12" l="1"/>
  <c r="AA132" i="14" s="1"/>
  <c r="Z367" i="16"/>
  <c r="AD181" i="14"/>
  <c r="AD182" i="14"/>
  <c r="AD185" i="14"/>
  <c r="AD180" i="14"/>
  <c r="AD183" i="14"/>
  <c r="AF344" i="16"/>
  <c r="AE344" i="12"/>
  <c r="AE343" i="12"/>
  <c r="AE342" i="12"/>
  <c r="AF343" i="16"/>
  <c r="AF341" i="16"/>
  <c r="N165" i="43" s="1" a="1"/>
  <c r="N165" i="43" s="1"/>
  <c r="AF342" i="16"/>
  <c r="Z348" i="12"/>
  <c r="AA22" i="14" s="1"/>
  <c r="AB22" i="19" s="1"/>
  <c r="AB58" i="19" s="1"/>
  <c r="Z347" i="12"/>
  <c r="Z350" i="12"/>
  <c r="AA60" i="14" s="1"/>
  <c r="AE337" i="12"/>
  <c r="AF335" i="16"/>
  <c r="AE335" i="12"/>
  <c r="AF336" i="16"/>
  <c r="AF337" i="16"/>
  <c r="AE338" i="12"/>
  <c r="AF48" i="14" s="1"/>
  <c r="AE336" i="12"/>
  <c r="AD327" i="12"/>
  <c r="AD363" i="12" s="1"/>
  <c r="AD109" i="14"/>
  <c r="AD107" i="14"/>
  <c r="AD108" i="14"/>
  <c r="Y354" i="12"/>
  <c r="Y357" i="12"/>
  <c r="Y353" i="12"/>
  <c r="Y356" i="12"/>
  <c r="Z30" i="14" s="1"/>
  <c r="Y355" i="12"/>
  <c r="AE363" i="16"/>
  <c r="AD112" i="14"/>
  <c r="AD110" i="14"/>
  <c r="AD328" i="12"/>
  <c r="AE328" i="16"/>
  <c r="AA59" i="14" l="1"/>
  <c r="AD161" i="43" a="1"/>
  <c r="AD161" i="43" s="1"/>
  <c r="AA23" i="14"/>
  <c r="AB313" i="16" s="1"/>
  <c r="Y367" i="12"/>
  <c r="AA57" i="14"/>
  <c r="J168" i="43" a="1"/>
  <c r="J168" i="43" s="1"/>
  <c r="M168" i="43" a="1"/>
  <c r="M168" i="43" s="1"/>
  <c r="AF168" i="43" a="1"/>
  <c r="AF168" i="43" s="1"/>
  <c r="I165" i="43" a="1"/>
  <c r="I165" i="43" s="1"/>
  <c r="H165" i="43" a="1"/>
  <c r="H165" i="43" s="1"/>
  <c r="Y165" i="43" a="1"/>
  <c r="Y165" i="43" s="1"/>
  <c r="T168" i="43" a="1"/>
  <c r="T168" i="43" s="1"/>
  <c r="O168" i="43" a="1"/>
  <c r="O168" i="43" s="1"/>
  <c r="X165" i="43" a="1"/>
  <c r="X165" i="43" s="1"/>
  <c r="N168" i="43" a="1"/>
  <c r="N168" i="43" s="1"/>
  <c r="K168" i="43" a="1"/>
  <c r="K168" i="43" s="1"/>
  <c r="U165" i="43" a="1"/>
  <c r="U165" i="43" s="1"/>
  <c r="H168" i="43" a="1"/>
  <c r="H168" i="43" s="1"/>
  <c r="AD168" i="43" a="1"/>
  <c r="AD168" i="43" s="1"/>
  <c r="AA165" i="43" a="1"/>
  <c r="AA165" i="43" s="1"/>
  <c r="J165" i="43" a="1"/>
  <c r="J165" i="43" s="1"/>
  <c r="AF18" i="14"/>
  <c r="S168" i="43" a="1"/>
  <c r="S168" i="43" s="1"/>
  <c r="AE168" i="43" a="1"/>
  <c r="AE168" i="43" s="1"/>
  <c r="U168" i="43" a="1"/>
  <c r="U168" i="43" s="1"/>
  <c r="H205" i="43" a="1"/>
  <c r="H205" i="43" s="1"/>
  <c r="I205" i="43" s="1" a="1"/>
  <c r="I205" i="43" s="1"/>
  <c r="J205" i="43" s="1" a="1"/>
  <c r="J205" i="43" s="1"/>
  <c r="K205" i="43" s="1" a="1"/>
  <c r="K205" i="43" s="1"/>
  <c r="L205" i="43" s="1" a="1"/>
  <c r="L205" i="43" s="1"/>
  <c r="M205" i="43" s="1" a="1"/>
  <c r="M205" i="43" s="1"/>
  <c r="N205" i="43" s="1" a="1"/>
  <c r="N205" i="43" s="1"/>
  <c r="O205" i="43" s="1" a="1"/>
  <c r="O205" i="43" s="1"/>
  <c r="P205" i="43" s="1" a="1"/>
  <c r="P205" i="43" s="1"/>
  <c r="Q205" i="43" s="1" a="1"/>
  <c r="Q205" i="43" s="1"/>
  <c r="R205" i="43" s="1" a="1"/>
  <c r="R205" i="43" s="1"/>
  <c r="S205" i="43" s="1" a="1"/>
  <c r="S205" i="43" s="1"/>
  <c r="T205" i="43" s="1" a="1"/>
  <c r="T205" i="43" s="1"/>
  <c r="U205" i="43" s="1" a="1"/>
  <c r="U205" i="43" s="1"/>
  <c r="V205" i="43" s="1" a="1"/>
  <c r="V205" i="43" s="1"/>
  <c r="W205" i="43" s="1" a="1"/>
  <c r="W205" i="43" s="1"/>
  <c r="X205" i="43" s="1" a="1"/>
  <c r="X205" i="43" s="1"/>
  <c r="Y205" i="43" s="1" a="1"/>
  <c r="Y205" i="43" s="1"/>
  <c r="Z205" i="43" s="1" a="1"/>
  <c r="Z205" i="43" s="1"/>
  <c r="AA205" i="43" s="1" a="1"/>
  <c r="AA205" i="43" s="1"/>
  <c r="AB205" i="43" s="1" a="1"/>
  <c r="AB205" i="43" s="1"/>
  <c r="AC205" i="43" s="1" a="1"/>
  <c r="AC205" i="43" s="1"/>
  <c r="AD205" i="43" s="1" a="1"/>
  <c r="AD205" i="43" s="1"/>
  <c r="AE205" i="43" s="1" a="1"/>
  <c r="AE205" i="43" s="1"/>
  <c r="AF205" i="43" s="1" a="1"/>
  <c r="AF205" i="43" s="1"/>
  <c r="AB168" i="43" a="1"/>
  <c r="AB168" i="43" s="1"/>
  <c r="AA168" i="43" a="1"/>
  <c r="AA168" i="43" s="1"/>
  <c r="AF127" i="14"/>
  <c r="AF124" i="14"/>
  <c r="I168" i="43" a="1"/>
  <c r="I168" i="43" s="1"/>
  <c r="V168" i="43" a="1"/>
  <c r="V168" i="43" s="1"/>
  <c r="W168" i="43" a="1"/>
  <c r="W168" i="43" s="1"/>
  <c r="Z168" i="43" a="1"/>
  <c r="Z168" i="43" s="1"/>
  <c r="AC168" i="43" a="1"/>
  <c r="AC168" i="43" s="1"/>
  <c r="P168" i="43" a="1"/>
  <c r="P168" i="43" s="1"/>
  <c r="AF54" i="14"/>
  <c r="Y168" i="43" a="1"/>
  <c r="Y168" i="43" s="1"/>
  <c r="X168" i="43" a="1"/>
  <c r="X168" i="43" s="1"/>
  <c r="Q168" i="43" a="1"/>
  <c r="Q168" i="43" s="1"/>
  <c r="L168" i="43" a="1"/>
  <c r="L168" i="43" s="1"/>
  <c r="R168" i="43" a="1"/>
  <c r="R168" i="43" s="1"/>
  <c r="R167" i="43" a="1"/>
  <c r="R167" i="43" s="1"/>
  <c r="AD167" i="43" a="1"/>
  <c r="AD167" i="43" s="1"/>
  <c r="U167" i="43" a="1"/>
  <c r="U167" i="43" s="1"/>
  <c r="V167" i="43" a="1"/>
  <c r="V167" i="43" s="1"/>
  <c r="AF53" i="14"/>
  <c r="O167" i="43" a="1"/>
  <c r="O167" i="43" s="1"/>
  <c r="S166" i="43" a="1"/>
  <c r="S166" i="43" s="1"/>
  <c r="AB167" i="43" a="1"/>
  <c r="AB167" i="43" s="1"/>
  <c r="Y167" i="43" a="1"/>
  <c r="Y167" i="43" s="1"/>
  <c r="H167" i="43" a="1"/>
  <c r="H167" i="43" s="1"/>
  <c r="AF126" i="14"/>
  <c r="N166" i="43" a="1"/>
  <c r="N166" i="43" s="1"/>
  <c r="H204" i="43" a="1"/>
  <c r="H204" i="43" s="1"/>
  <c r="I204" i="43" s="1" a="1"/>
  <c r="I204" i="43" s="1"/>
  <c r="J204" i="43" s="1" a="1"/>
  <c r="J204" i="43" s="1"/>
  <c r="K204" i="43" s="1" a="1"/>
  <c r="K204" i="43" s="1"/>
  <c r="L204" i="43" s="1" a="1"/>
  <c r="L204" i="43" s="1"/>
  <c r="M204" i="43" s="1" a="1"/>
  <c r="M204" i="43" s="1"/>
  <c r="N204" i="43" s="1" a="1"/>
  <c r="N204" i="43" s="1"/>
  <c r="O204" i="43" s="1" a="1"/>
  <c r="O204" i="43" s="1"/>
  <c r="P204" i="43" s="1" a="1"/>
  <c r="P204" i="43" s="1"/>
  <c r="Q204" i="43" s="1" a="1"/>
  <c r="Q204" i="43" s="1"/>
  <c r="R204" i="43" s="1" a="1"/>
  <c r="R204" i="43" s="1"/>
  <c r="S204" i="43" s="1" a="1"/>
  <c r="S204" i="43" s="1"/>
  <c r="T204" i="43" s="1" a="1"/>
  <c r="T204" i="43" s="1"/>
  <c r="U204" i="43" s="1" a="1"/>
  <c r="U204" i="43" s="1"/>
  <c r="V204" i="43" s="1" a="1"/>
  <c r="V204" i="43" s="1"/>
  <c r="W204" i="43" s="1" a="1"/>
  <c r="W204" i="43" s="1"/>
  <c r="X204" i="43" s="1" a="1"/>
  <c r="X204" i="43" s="1"/>
  <c r="Y204" i="43" s="1" a="1"/>
  <c r="Y204" i="43" s="1"/>
  <c r="Z204" i="43" s="1" a="1"/>
  <c r="Z204" i="43" s="1"/>
  <c r="AA204" i="43" s="1" a="1"/>
  <c r="AA204" i="43" s="1"/>
  <c r="AB204" i="43" s="1" a="1"/>
  <c r="AB204" i="43" s="1"/>
  <c r="AC204" i="43" s="1" a="1"/>
  <c r="AC204" i="43" s="1"/>
  <c r="AD204" i="43" s="1" a="1"/>
  <c r="AD204" i="43" s="1"/>
  <c r="AE204" i="43" s="1" a="1"/>
  <c r="AE204" i="43" s="1"/>
  <c r="AF204" i="43" s="1" a="1"/>
  <c r="AF204" i="43" s="1"/>
  <c r="AF167" i="43" a="1"/>
  <c r="AF167" i="43" s="1"/>
  <c r="AF17" i="14"/>
  <c r="AE167" i="43" a="1"/>
  <c r="AE167" i="43" s="1"/>
  <c r="N167" i="43" a="1"/>
  <c r="N167" i="43" s="1"/>
  <c r="Y166" i="43" a="1"/>
  <c r="Y166" i="43" s="1"/>
  <c r="H203" i="43" a="1"/>
  <c r="H203" i="43" s="1"/>
  <c r="I203" i="43" s="1" a="1"/>
  <c r="I203" i="43" s="1"/>
  <c r="J203" i="43" s="1" a="1"/>
  <c r="J203" i="43" s="1"/>
  <c r="K203" i="43" s="1" a="1"/>
  <c r="K203" i="43" s="1"/>
  <c r="L203" i="43" s="1" a="1"/>
  <c r="L203" i="43" s="1"/>
  <c r="M203" i="43" s="1" a="1"/>
  <c r="M203" i="43" s="1"/>
  <c r="N203" i="43" s="1" a="1"/>
  <c r="N203" i="43" s="1"/>
  <c r="O203" i="43" s="1" a="1"/>
  <c r="O203" i="43" s="1"/>
  <c r="P203" i="43" s="1" a="1"/>
  <c r="P203" i="43" s="1"/>
  <c r="Q203" i="43" s="1" a="1"/>
  <c r="Q203" i="43" s="1"/>
  <c r="R203" i="43" s="1" a="1"/>
  <c r="R203" i="43" s="1"/>
  <c r="S203" i="43" s="1" a="1"/>
  <c r="S203" i="43" s="1"/>
  <c r="T203" i="43" s="1" a="1"/>
  <c r="T203" i="43" s="1"/>
  <c r="U203" i="43" s="1" a="1"/>
  <c r="U203" i="43" s="1"/>
  <c r="V203" i="43" s="1" a="1"/>
  <c r="V203" i="43" s="1"/>
  <c r="W203" i="43" s="1" a="1"/>
  <c r="W203" i="43" s="1"/>
  <c r="X203" i="43" s="1" a="1"/>
  <c r="X203" i="43" s="1"/>
  <c r="Y203" i="43" s="1" a="1"/>
  <c r="Y203" i="43" s="1"/>
  <c r="Z203" i="43" s="1" a="1"/>
  <c r="Z203" i="43" s="1"/>
  <c r="AA203" i="43" s="1" a="1"/>
  <c r="AA203" i="43" s="1"/>
  <c r="AB203" i="43" s="1" a="1"/>
  <c r="AB203" i="43" s="1"/>
  <c r="AC203" i="43" s="1" a="1"/>
  <c r="AC203" i="43" s="1"/>
  <c r="AD203" i="43" s="1" a="1"/>
  <c r="AD203" i="43" s="1"/>
  <c r="AE203" i="43" s="1" a="1"/>
  <c r="AE203" i="43" s="1"/>
  <c r="AF203" i="43" s="1" a="1"/>
  <c r="AF203" i="43" s="1"/>
  <c r="AA166" i="43" a="1"/>
  <c r="AA166" i="43" s="1"/>
  <c r="I166" i="43" a="1"/>
  <c r="I166" i="43" s="1"/>
  <c r="AF16" i="14"/>
  <c r="Z167" i="43" a="1"/>
  <c r="Z167" i="43" s="1"/>
  <c r="K167" i="43" a="1"/>
  <c r="K167" i="43" s="1"/>
  <c r="X167" i="43" a="1"/>
  <c r="X167" i="43" s="1"/>
  <c r="L167" i="43" a="1"/>
  <c r="L167" i="43" s="1"/>
  <c r="AB166" i="43" a="1"/>
  <c r="AB166" i="43" s="1"/>
  <c r="AA167" i="43" a="1"/>
  <c r="AA167" i="43" s="1"/>
  <c r="T167" i="43" a="1"/>
  <c r="T167" i="43" s="1"/>
  <c r="M167" i="43" a="1"/>
  <c r="M167" i="43" s="1"/>
  <c r="Q167" i="43" a="1"/>
  <c r="Q167" i="43" s="1"/>
  <c r="S167" i="43" a="1"/>
  <c r="S167" i="43" s="1"/>
  <c r="P167" i="43" a="1"/>
  <c r="P167" i="43" s="1"/>
  <c r="W167" i="43" a="1"/>
  <c r="W167" i="43" s="1"/>
  <c r="J167" i="43" a="1"/>
  <c r="J167" i="43" s="1"/>
  <c r="AC167" i="43" a="1"/>
  <c r="AC167" i="43" s="1"/>
  <c r="I167" i="43" a="1"/>
  <c r="I167" i="43" s="1"/>
  <c r="V166" i="43" a="1"/>
  <c r="V166" i="43" s="1"/>
  <c r="P166" i="43" a="1"/>
  <c r="P166" i="43" s="1"/>
  <c r="O166" i="43" a="1"/>
  <c r="O166" i="43" s="1"/>
  <c r="K166" i="43" a="1"/>
  <c r="K166" i="43" s="1"/>
  <c r="Q166" i="43" a="1"/>
  <c r="Q166" i="43" s="1"/>
  <c r="AC166" i="43" a="1"/>
  <c r="AC166" i="43" s="1"/>
  <c r="R166" i="43" a="1"/>
  <c r="R166" i="43" s="1"/>
  <c r="AF52" i="14"/>
  <c r="T166" i="43" a="1"/>
  <c r="T166" i="43" s="1"/>
  <c r="M166" i="43" a="1"/>
  <c r="M166" i="43" s="1"/>
  <c r="W166" i="43" a="1"/>
  <c r="W166" i="43" s="1"/>
  <c r="AF166" i="43" a="1"/>
  <c r="AF166" i="43" s="1"/>
  <c r="L166" i="43" a="1"/>
  <c r="L166" i="43" s="1"/>
  <c r="X166" i="43" a="1"/>
  <c r="X166" i="43" s="1"/>
  <c r="AF125" i="14"/>
  <c r="AE166" i="43" a="1"/>
  <c r="AE166" i="43" s="1"/>
  <c r="U166" i="43" a="1"/>
  <c r="U166" i="43" s="1"/>
  <c r="J166" i="43" a="1"/>
  <c r="J166" i="43" s="1"/>
  <c r="H166" i="43" a="1"/>
  <c r="H166" i="43" s="1"/>
  <c r="AD166" i="43" a="1"/>
  <c r="AD166" i="43" s="1"/>
  <c r="Z166" i="43" a="1"/>
  <c r="Z166" i="43" s="1"/>
  <c r="AC165" i="43" a="1"/>
  <c r="AC165" i="43" s="1"/>
  <c r="W165" i="43" a="1"/>
  <c r="W165" i="43" s="1"/>
  <c r="H202" i="43" a="1"/>
  <c r="H202" i="43" s="1"/>
  <c r="I202" i="43" s="1" a="1"/>
  <c r="I202" i="43" s="1"/>
  <c r="J202" i="43" s="1" a="1"/>
  <c r="J202" i="43" s="1"/>
  <c r="K202" i="43" s="1" a="1"/>
  <c r="K202" i="43" s="1"/>
  <c r="L202" i="43" s="1" a="1"/>
  <c r="L202" i="43" s="1"/>
  <c r="M202" i="43" s="1" a="1"/>
  <c r="M202" i="43" s="1"/>
  <c r="N202" i="43" s="1" a="1"/>
  <c r="N202" i="43" s="1"/>
  <c r="O202" i="43" s="1" a="1"/>
  <c r="O202" i="43" s="1"/>
  <c r="P202" i="43" s="1" a="1"/>
  <c r="P202" i="43" s="1"/>
  <c r="Q202" i="43" s="1" a="1"/>
  <c r="Q202" i="43" s="1"/>
  <c r="R202" i="43" s="1" a="1"/>
  <c r="R202" i="43" s="1"/>
  <c r="S202" i="43" s="1" a="1"/>
  <c r="S202" i="43" s="1"/>
  <c r="T202" i="43" s="1" a="1"/>
  <c r="T202" i="43" s="1"/>
  <c r="U202" i="43" s="1" a="1"/>
  <c r="U202" i="43" s="1"/>
  <c r="V202" i="43" s="1" a="1"/>
  <c r="V202" i="43" s="1"/>
  <c r="W202" i="43" s="1" a="1"/>
  <c r="W202" i="43" s="1"/>
  <c r="X202" i="43" s="1" a="1"/>
  <c r="X202" i="43" s="1"/>
  <c r="Y202" i="43" s="1" a="1"/>
  <c r="Y202" i="43" s="1"/>
  <c r="Z202" i="43" s="1" a="1"/>
  <c r="Z202" i="43" s="1"/>
  <c r="AA202" i="43" s="1" a="1"/>
  <c r="AA202" i="43" s="1"/>
  <c r="AB202" i="43" s="1" a="1"/>
  <c r="AB202" i="43" s="1"/>
  <c r="AC202" i="43" s="1" a="1"/>
  <c r="AC202" i="43" s="1"/>
  <c r="AD202" i="43" s="1" a="1"/>
  <c r="AD202" i="43" s="1"/>
  <c r="AE202" i="43" s="1" a="1"/>
  <c r="AE202" i="43" s="1"/>
  <c r="AF202" i="43" s="1" a="1"/>
  <c r="AF202" i="43" s="1"/>
  <c r="L165" i="43" a="1"/>
  <c r="L165" i="43" s="1"/>
  <c r="S165" i="43" a="1"/>
  <c r="S165" i="43" s="1"/>
  <c r="AB165" i="43" a="1"/>
  <c r="AB165" i="43" s="1"/>
  <c r="AF51" i="14"/>
  <c r="K165" i="43" a="1"/>
  <c r="K165" i="43" s="1"/>
  <c r="P165" i="43" a="1"/>
  <c r="P165" i="43" s="1"/>
  <c r="AF165" i="43" a="1"/>
  <c r="AF165" i="43" s="1"/>
  <c r="T165" i="43" a="1"/>
  <c r="T165" i="43" s="1"/>
  <c r="AD165" i="43" a="1"/>
  <c r="AD165" i="43" s="1"/>
  <c r="AE165" i="43" a="1"/>
  <c r="AE165" i="43" s="1"/>
  <c r="AF15" i="14"/>
  <c r="O165" i="43" a="1"/>
  <c r="O165" i="43" s="1"/>
  <c r="R165" i="43" a="1"/>
  <c r="R165" i="43" s="1"/>
  <c r="M165" i="43" a="1"/>
  <c r="M165" i="43" s="1"/>
  <c r="V165" i="43" a="1"/>
  <c r="V165" i="43" s="1"/>
  <c r="Q165" i="43" a="1"/>
  <c r="Q165" i="43" s="1"/>
  <c r="Z165" i="43" a="1"/>
  <c r="Z165" i="43" s="1"/>
  <c r="H161" i="43" a="1"/>
  <c r="H161" i="43" s="1"/>
  <c r="AA133" i="14"/>
  <c r="AA21" i="14"/>
  <c r="AB311" i="16" s="1"/>
  <c r="AA130" i="14"/>
  <c r="AB312" i="16"/>
  <c r="AA58" i="14"/>
  <c r="AA131" i="14"/>
  <c r="AA24" i="14"/>
  <c r="AB314" i="16" s="1"/>
  <c r="T161" i="43" a="1"/>
  <c r="T161" i="43" s="1"/>
  <c r="AE161" i="43" a="1"/>
  <c r="AE161" i="43" s="1"/>
  <c r="P161" i="43" a="1"/>
  <c r="P161" i="43" s="1"/>
  <c r="Q161" i="43" a="1"/>
  <c r="Q161" i="43" s="1"/>
  <c r="M161" i="43" a="1"/>
  <c r="M161" i="43" s="1"/>
  <c r="X161" i="43" a="1"/>
  <c r="X161" i="43" s="1"/>
  <c r="AF11" i="14"/>
  <c r="AC161" i="43" a="1"/>
  <c r="AC161" i="43" s="1"/>
  <c r="H198" i="43" a="1"/>
  <c r="H198" i="43" s="1"/>
  <c r="I198" i="43" s="1" a="1"/>
  <c r="I198" i="43" s="1"/>
  <c r="J198" i="43" s="1" a="1"/>
  <c r="J198" i="43" s="1"/>
  <c r="K198" i="43" s="1" a="1"/>
  <c r="K198" i="43" s="1"/>
  <c r="L198" i="43" s="1" a="1"/>
  <c r="L198" i="43" s="1"/>
  <c r="M198" i="43" s="1" a="1"/>
  <c r="M198" i="43" s="1"/>
  <c r="N198" i="43" s="1" a="1"/>
  <c r="N198" i="43" s="1"/>
  <c r="O198" i="43" s="1" a="1"/>
  <c r="O198" i="43" s="1"/>
  <c r="P198" i="43" s="1" a="1"/>
  <c r="P198" i="43" s="1"/>
  <c r="Q198" i="43" s="1" a="1"/>
  <c r="Q198" i="43" s="1"/>
  <c r="R198" i="43" s="1" a="1"/>
  <c r="R198" i="43" s="1"/>
  <c r="S198" i="43" s="1" a="1"/>
  <c r="S198" i="43" s="1"/>
  <c r="T198" i="43" s="1" a="1"/>
  <c r="T198" i="43" s="1"/>
  <c r="U198" i="43" s="1" a="1"/>
  <c r="U198" i="43" s="1"/>
  <c r="V198" i="43" s="1" a="1"/>
  <c r="V198" i="43" s="1"/>
  <c r="W198" i="43" s="1" a="1"/>
  <c r="W198" i="43" s="1"/>
  <c r="X198" i="43" s="1" a="1"/>
  <c r="X198" i="43" s="1"/>
  <c r="Y198" i="43" s="1" a="1"/>
  <c r="Y198" i="43" s="1"/>
  <c r="Z198" i="43" s="1" a="1"/>
  <c r="Z198" i="43" s="1"/>
  <c r="AA198" i="43" s="1" a="1"/>
  <c r="AA198" i="43" s="1"/>
  <c r="AB198" i="43" s="1" a="1"/>
  <c r="AB198" i="43" s="1"/>
  <c r="AC198" i="43" s="1" a="1"/>
  <c r="AC198" i="43" s="1"/>
  <c r="AD198" i="43" s="1" a="1"/>
  <c r="AD198" i="43" s="1"/>
  <c r="AE198" i="43" s="1" a="1"/>
  <c r="AE198" i="43" s="1"/>
  <c r="AF198" i="43" s="1" a="1"/>
  <c r="AF198" i="43" s="1"/>
  <c r="AF161" i="43" a="1"/>
  <c r="AF161" i="43" s="1"/>
  <c r="S161" i="43" a="1"/>
  <c r="S161" i="43" s="1"/>
  <c r="O161" i="43" a="1"/>
  <c r="O161" i="43" s="1"/>
  <c r="U161" i="43" a="1"/>
  <c r="U161" i="43" s="1"/>
  <c r="AF47" i="14"/>
  <c r="V161" i="43" a="1"/>
  <c r="V161" i="43" s="1"/>
  <c r="W161" i="43" a="1"/>
  <c r="W161" i="43" s="1"/>
  <c r="K161" i="43" a="1"/>
  <c r="K161" i="43" s="1"/>
  <c r="Z161" i="43" a="1"/>
  <c r="Z161" i="43" s="1"/>
  <c r="N161" i="43" a="1"/>
  <c r="N161" i="43" s="1"/>
  <c r="J161" i="43" a="1"/>
  <c r="J161" i="43" s="1"/>
  <c r="AF120" i="14"/>
  <c r="L161" i="43" a="1"/>
  <c r="L161" i="43" s="1"/>
  <c r="Y161" i="43" a="1"/>
  <c r="Y161" i="43" s="1"/>
  <c r="AB161" i="43" a="1"/>
  <c r="AB161" i="43" s="1"/>
  <c r="I161" i="43" a="1"/>
  <c r="I161" i="43" s="1"/>
  <c r="AA161" i="43" a="1"/>
  <c r="AA161" i="43" s="1"/>
  <c r="R161" i="43" a="1"/>
  <c r="R161" i="43" s="1"/>
  <c r="T160" i="43" a="1"/>
  <c r="T160" i="43" s="1"/>
  <c r="R159" i="43" a="1"/>
  <c r="R159" i="43" s="1"/>
  <c r="S162" i="43" a="1"/>
  <c r="S162" i="43" s="1"/>
  <c r="AE159" i="43" a="1"/>
  <c r="AE159" i="43" s="1"/>
  <c r="J159" i="43" a="1"/>
  <c r="J159" i="43" s="1"/>
  <c r="H197" i="43" a="1"/>
  <c r="H197" i="43" s="1"/>
  <c r="I197" i="43" s="1" a="1"/>
  <c r="I197" i="43" s="1"/>
  <c r="J197" i="43" s="1" a="1"/>
  <c r="J197" i="43" s="1"/>
  <c r="K197" i="43" s="1" a="1"/>
  <c r="K197" i="43" s="1"/>
  <c r="L197" i="43" s="1" a="1"/>
  <c r="L197" i="43" s="1"/>
  <c r="M197" i="43" s="1" a="1"/>
  <c r="M197" i="43" s="1"/>
  <c r="N197" i="43" s="1" a="1"/>
  <c r="N197" i="43" s="1"/>
  <c r="O197" i="43" s="1" a="1"/>
  <c r="O197" i="43" s="1"/>
  <c r="P197" i="43" s="1" a="1"/>
  <c r="P197" i="43" s="1"/>
  <c r="Q197" i="43" s="1" a="1"/>
  <c r="Q197" i="43" s="1"/>
  <c r="R197" i="43" s="1" a="1"/>
  <c r="R197" i="43" s="1"/>
  <c r="S197" i="43" s="1" a="1"/>
  <c r="S197" i="43" s="1"/>
  <c r="T197" i="43" s="1" a="1"/>
  <c r="T197" i="43" s="1"/>
  <c r="U197" i="43" s="1" a="1"/>
  <c r="U197" i="43" s="1"/>
  <c r="V197" i="43" s="1" a="1"/>
  <c r="V197" i="43" s="1"/>
  <c r="W197" i="43" s="1" a="1"/>
  <c r="W197" i="43" s="1"/>
  <c r="X197" i="43" s="1" a="1"/>
  <c r="X197" i="43" s="1"/>
  <c r="Y197" i="43" s="1" a="1"/>
  <c r="Y197" i="43" s="1"/>
  <c r="Z197" i="43" s="1" a="1"/>
  <c r="Z197" i="43" s="1"/>
  <c r="AA197" i="43" s="1" a="1"/>
  <c r="AA197" i="43" s="1"/>
  <c r="AB197" i="43" s="1" a="1"/>
  <c r="AB197" i="43" s="1"/>
  <c r="AC197" i="43" s="1" a="1"/>
  <c r="AC197" i="43" s="1"/>
  <c r="AD197" i="43" s="1" a="1"/>
  <c r="AD197" i="43" s="1"/>
  <c r="AE197" i="43" s="1" a="1"/>
  <c r="AE197" i="43" s="1"/>
  <c r="AF197" i="43" s="1" a="1"/>
  <c r="AF197" i="43" s="1"/>
  <c r="AF160" i="43" a="1"/>
  <c r="AF160" i="43" s="1"/>
  <c r="AB160" i="43" a="1"/>
  <c r="AB160" i="43" s="1"/>
  <c r="AC160" i="43" a="1"/>
  <c r="AC160" i="43" s="1"/>
  <c r="AF45" i="14"/>
  <c r="Y159" i="43" a="1"/>
  <c r="Y159" i="43" s="1"/>
  <c r="S160" i="43" a="1"/>
  <c r="S160" i="43" s="1"/>
  <c r="AF119" i="14"/>
  <c r="M160" i="43" a="1"/>
  <c r="M160" i="43" s="1"/>
  <c r="Y160" i="43" a="1"/>
  <c r="Y160" i="43" s="1"/>
  <c r="W159" i="43" a="1"/>
  <c r="W159" i="43" s="1"/>
  <c r="M159" i="43" a="1"/>
  <c r="M159" i="43" s="1"/>
  <c r="M162" i="43" a="1"/>
  <c r="M162" i="43" s="1"/>
  <c r="Z159" i="43" a="1"/>
  <c r="Z159" i="43" s="1"/>
  <c r="N159" i="43" a="1"/>
  <c r="N159" i="43" s="1"/>
  <c r="L159" i="43" a="1"/>
  <c r="L159" i="43" s="1"/>
  <c r="P159" i="43" a="1"/>
  <c r="P159" i="43" s="1"/>
  <c r="I159" i="43" a="1"/>
  <c r="I159" i="43" s="1"/>
  <c r="N162" i="43" a="1"/>
  <c r="N162" i="43" s="1"/>
  <c r="J162" i="43" a="1"/>
  <c r="J162" i="43" s="1"/>
  <c r="N160" i="43" a="1"/>
  <c r="N160" i="43" s="1"/>
  <c r="J160" i="43" a="1"/>
  <c r="J160" i="43" s="1"/>
  <c r="L160" i="43" a="1"/>
  <c r="L160" i="43" s="1"/>
  <c r="L162" i="43" a="1"/>
  <c r="L162" i="43" s="1"/>
  <c r="X159" i="43" a="1"/>
  <c r="X159" i="43" s="1"/>
  <c r="AD159" i="43" a="1"/>
  <c r="AD159" i="43" s="1"/>
  <c r="H159" i="43" a="1"/>
  <c r="H159" i="43" s="1"/>
  <c r="K159" i="43" a="1"/>
  <c r="K159" i="43" s="1"/>
  <c r="AB159" i="43" a="1"/>
  <c r="AB159" i="43" s="1"/>
  <c r="V159" i="43" a="1"/>
  <c r="V159" i="43" s="1"/>
  <c r="U159" i="43" a="1"/>
  <c r="U159" i="43" s="1"/>
  <c r="AC159" i="43" a="1"/>
  <c r="AC159" i="43" s="1"/>
  <c r="H196" i="43" a="1"/>
  <c r="H196" i="43" s="1"/>
  <c r="I196" i="43" s="1" a="1"/>
  <c r="I196" i="43" s="1"/>
  <c r="J196" i="43" s="1" a="1"/>
  <c r="J196" i="43" s="1"/>
  <c r="K196" i="43" s="1" a="1"/>
  <c r="K196" i="43" s="1"/>
  <c r="L196" i="43" s="1" a="1"/>
  <c r="L196" i="43" s="1"/>
  <c r="M196" i="43" s="1" a="1"/>
  <c r="M196" i="43" s="1"/>
  <c r="N196" i="43" s="1" a="1"/>
  <c r="N196" i="43" s="1"/>
  <c r="O196" i="43" s="1" a="1"/>
  <c r="O196" i="43" s="1"/>
  <c r="P196" i="43" s="1" a="1"/>
  <c r="P196" i="43" s="1"/>
  <c r="Q196" i="43" s="1" a="1"/>
  <c r="Q196" i="43" s="1"/>
  <c r="R196" i="43" s="1" a="1"/>
  <c r="R196" i="43" s="1"/>
  <c r="S196" i="43" s="1" a="1"/>
  <c r="S196" i="43" s="1"/>
  <c r="T196" i="43" s="1" a="1"/>
  <c r="T196" i="43" s="1"/>
  <c r="U196" i="43" s="1" a="1"/>
  <c r="U196" i="43" s="1"/>
  <c r="V196" i="43" s="1" a="1"/>
  <c r="V196" i="43" s="1"/>
  <c r="W196" i="43" s="1" a="1"/>
  <c r="W196" i="43" s="1"/>
  <c r="X196" i="43" s="1" a="1"/>
  <c r="X196" i="43" s="1"/>
  <c r="Y196" i="43" s="1" a="1"/>
  <c r="Y196" i="43" s="1"/>
  <c r="Z196" i="43" s="1" a="1"/>
  <c r="Z196" i="43" s="1"/>
  <c r="AA196" i="43" s="1" a="1"/>
  <c r="AA196" i="43" s="1"/>
  <c r="AB196" i="43" s="1" a="1"/>
  <c r="AB196" i="43" s="1"/>
  <c r="AC196" i="43" s="1" a="1"/>
  <c r="AC196" i="43" s="1"/>
  <c r="AD196" i="43" s="1" a="1"/>
  <c r="AD196" i="43" s="1"/>
  <c r="AE196" i="43" s="1" a="1"/>
  <c r="AE196" i="43" s="1"/>
  <c r="AF196" i="43" s="1" a="1"/>
  <c r="AF196" i="43" s="1"/>
  <c r="AA159" i="43" a="1"/>
  <c r="AA159" i="43" s="1"/>
  <c r="T159" i="43" a="1"/>
  <c r="T159" i="43" s="1"/>
  <c r="AE160" i="43" a="1"/>
  <c r="AE160" i="43" s="1"/>
  <c r="U160" i="43" a="1"/>
  <c r="U160" i="43" s="1"/>
  <c r="AD162" i="43" a="1"/>
  <c r="AD162" i="43" s="1"/>
  <c r="AF121" i="14"/>
  <c r="AF159" i="43" a="1"/>
  <c r="AF159" i="43" s="1"/>
  <c r="Q159" i="43" a="1"/>
  <c r="Q159" i="43" s="1"/>
  <c r="AF9" i="14"/>
  <c r="AB162" i="43" a="1"/>
  <c r="AB162" i="43" s="1"/>
  <c r="K162" i="43" a="1"/>
  <c r="K162" i="43" s="1"/>
  <c r="V162" i="43" a="1"/>
  <c r="V162" i="43" s="1"/>
  <c r="H162" i="43" a="1"/>
  <c r="H162" i="43" s="1"/>
  <c r="Z162" i="43" a="1"/>
  <c r="Z162" i="43" s="1"/>
  <c r="AE162" i="43" a="1"/>
  <c r="AE162" i="43" s="1"/>
  <c r="H199" i="43" a="1"/>
  <c r="H199" i="43" s="1"/>
  <c r="I199" i="43" s="1" a="1"/>
  <c r="I199" i="43" s="1"/>
  <c r="J199" i="43" s="1" a="1"/>
  <c r="J199" i="43" s="1"/>
  <c r="K199" i="43" s="1" a="1"/>
  <c r="K199" i="43" s="1"/>
  <c r="L199" i="43" s="1" a="1"/>
  <c r="L199" i="43" s="1"/>
  <c r="M199" i="43" s="1" a="1"/>
  <c r="M199" i="43" s="1"/>
  <c r="N199" i="43" s="1" a="1"/>
  <c r="N199" i="43" s="1"/>
  <c r="O199" i="43" s="1" a="1"/>
  <c r="O199" i="43" s="1"/>
  <c r="P199" i="43" s="1" a="1"/>
  <c r="P199" i="43" s="1"/>
  <c r="Q199" i="43" s="1" a="1"/>
  <c r="Q199" i="43" s="1"/>
  <c r="R199" i="43" s="1" a="1"/>
  <c r="R199" i="43" s="1"/>
  <c r="S199" i="43" s="1" a="1"/>
  <c r="S199" i="43" s="1"/>
  <c r="T199" i="43" s="1" a="1"/>
  <c r="T199" i="43" s="1"/>
  <c r="U199" i="43" s="1" a="1"/>
  <c r="U199" i="43" s="1"/>
  <c r="V199" i="43" s="1" a="1"/>
  <c r="V199" i="43" s="1"/>
  <c r="W199" i="43" s="1" a="1"/>
  <c r="W199" i="43" s="1"/>
  <c r="X199" i="43" s="1" a="1"/>
  <c r="X199" i="43" s="1"/>
  <c r="Y199" i="43" s="1" a="1"/>
  <c r="Y199" i="43" s="1"/>
  <c r="Z199" i="43" s="1" a="1"/>
  <c r="Z199" i="43" s="1"/>
  <c r="AA199" i="43" s="1" a="1"/>
  <c r="AA199" i="43" s="1"/>
  <c r="AB199" i="43" s="1" a="1"/>
  <c r="AB199" i="43" s="1"/>
  <c r="AC199" i="43" s="1" a="1"/>
  <c r="AC199" i="43" s="1"/>
  <c r="AD199" i="43" s="1" a="1"/>
  <c r="AD199" i="43" s="1"/>
  <c r="AE199" i="43" s="1" a="1"/>
  <c r="AE199" i="43" s="1"/>
  <c r="AF199" i="43" s="1" a="1"/>
  <c r="AF199" i="43" s="1"/>
  <c r="AF46" i="14"/>
  <c r="O159" i="43" a="1"/>
  <c r="O159" i="43" s="1"/>
  <c r="AF118" i="14"/>
  <c r="O162" i="43" a="1"/>
  <c r="O162" i="43" s="1"/>
  <c r="W162" i="43" a="1"/>
  <c r="W162" i="43" s="1"/>
  <c r="P162" i="43" a="1"/>
  <c r="P162" i="43" s="1"/>
  <c r="U162" i="43" a="1"/>
  <c r="U162" i="43" s="1"/>
  <c r="AC162" i="43" a="1"/>
  <c r="AC162" i="43" s="1"/>
  <c r="T162" i="43" a="1"/>
  <c r="T162" i="43" s="1"/>
  <c r="AA162" i="43" a="1"/>
  <c r="AA162" i="43" s="1"/>
  <c r="S159" i="43" a="1"/>
  <c r="S159" i="43" s="1"/>
  <c r="AF12" i="14"/>
  <c r="Y162" i="43" a="1"/>
  <c r="Y162" i="43" s="1"/>
  <c r="Q162" i="43" a="1"/>
  <c r="Q162" i="43" s="1"/>
  <c r="I162" i="43" a="1"/>
  <c r="I162" i="43" s="1"/>
  <c r="X162" i="43" a="1"/>
  <c r="X162" i="43" s="1"/>
  <c r="R162" i="43" a="1"/>
  <c r="R162" i="43" s="1"/>
  <c r="AF162" i="43" a="1"/>
  <c r="AF162" i="43" s="1"/>
  <c r="O160" i="43" a="1"/>
  <c r="O160" i="43" s="1"/>
  <c r="I160" i="43" a="1"/>
  <c r="I160" i="43" s="1"/>
  <c r="P160" i="43" a="1"/>
  <c r="P160" i="43" s="1"/>
  <c r="W160" i="43" a="1"/>
  <c r="W160" i="43" s="1"/>
  <c r="H160" i="43" a="1"/>
  <c r="H160" i="43" s="1"/>
  <c r="X160" i="43" a="1"/>
  <c r="X160" i="43" s="1"/>
  <c r="AD160" i="43" a="1"/>
  <c r="AD160" i="43" s="1"/>
  <c r="AF10" i="14"/>
  <c r="Q160" i="43" a="1"/>
  <c r="Q160" i="43" s="1"/>
  <c r="K160" i="43" a="1"/>
  <c r="K160" i="43" s="1"/>
  <c r="AA160" i="43" a="1"/>
  <c r="AA160" i="43" s="1"/>
  <c r="R160" i="43" a="1"/>
  <c r="R160" i="43" s="1"/>
  <c r="Z160" i="43" a="1"/>
  <c r="Z160" i="43" s="1"/>
  <c r="V160" i="43" a="1"/>
  <c r="V160" i="43" s="1"/>
  <c r="AD364" i="12"/>
  <c r="AB23" i="19"/>
  <c r="AB59" i="19" s="1"/>
  <c r="AE364" i="16"/>
  <c r="AE374" i="16" s="1"/>
  <c r="AA312" i="12"/>
  <c r="Z66" i="14"/>
  <c r="Z139" i="14"/>
  <c r="Z138" i="14"/>
  <c r="Z65" i="14"/>
  <c r="Z29" i="14"/>
  <c r="Z64" i="14"/>
  <c r="Z137" i="14"/>
  <c r="Z28" i="14"/>
  <c r="AE146" i="14"/>
  <c r="AE73" i="14"/>
  <c r="AE37" i="14"/>
  <c r="Z140" i="14"/>
  <c r="Z67" i="14"/>
  <c r="Z31" i="14"/>
  <c r="Z136" i="14"/>
  <c r="Z63" i="14"/>
  <c r="U7" i="20"/>
  <c r="Z27" i="14"/>
  <c r="AA320" i="16"/>
  <c r="AA30" i="19"/>
  <c r="AA66" i="19" s="1"/>
  <c r="AA94" i="14" l="1"/>
  <c r="AF162" i="14"/>
  <c r="Z177" i="14"/>
  <c r="Z192" i="14"/>
  <c r="Z173" i="14"/>
  <c r="Z191" i="14"/>
  <c r="Z189" i="14"/>
  <c r="Z188" i="14"/>
  <c r="Z190" i="14"/>
  <c r="Z174" i="14"/>
  <c r="AA167" i="14"/>
  <c r="AA170" i="14"/>
  <c r="Z175" i="14"/>
  <c r="Z176" i="14"/>
  <c r="AA168" i="14"/>
  <c r="AF161" i="14"/>
  <c r="AF163" i="14"/>
  <c r="AF164" i="14"/>
  <c r="AA169" i="14"/>
  <c r="AF157" i="14"/>
  <c r="AF155" i="14"/>
  <c r="AF156" i="14"/>
  <c r="AF158" i="14"/>
  <c r="AA97" i="14"/>
  <c r="AF88" i="14"/>
  <c r="AF90" i="14"/>
  <c r="AF91" i="14"/>
  <c r="AF89" i="14"/>
  <c r="AA314" i="12"/>
  <c r="AB348" i="16" s="1"/>
  <c r="AF83" i="14"/>
  <c r="AA96" i="14"/>
  <c r="AA95" i="14"/>
  <c r="AF82" i="14"/>
  <c r="AB21" i="19"/>
  <c r="AB57" i="19" s="1"/>
  <c r="AF85" i="14"/>
  <c r="AF84" i="14"/>
  <c r="AA313" i="12"/>
  <c r="AE38" i="14"/>
  <c r="AE328" i="12" s="1"/>
  <c r="AE147" i="14"/>
  <c r="AE184" i="14" s="1"/>
  <c r="AE74" i="14"/>
  <c r="AE111" i="14" s="1"/>
  <c r="Z100" i="14"/>
  <c r="AF37" i="19"/>
  <c r="AF73" i="19" s="1"/>
  <c r="AF327" i="16"/>
  <c r="AA318" i="16"/>
  <c r="AA28" i="19"/>
  <c r="AA64" i="19" s="1"/>
  <c r="Z320" i="12"/>
  <c r="Z104" i="14"/>
  <c r="Z102" i="14"/>
  <c r="AA321" i="16"/>
  <c r="Z321" i="12"/>
  <c r="AA29" i="19"/>
  <c r="AA65" i="19" s="1"/>
  <c r="AA319" i="16"/>
  <c r="AA317" i="16"/>
  <c r="AA27" i="19"/>
  <c r="AA63" i="19" s="1"/>
  <c r="U4" i="20"/>
  <c r="U13" i="20" s="1"/>
  <c r="Z101" i="14"/>
  <c r="Z103" i="14"/>
  <c r="AA77" i="19" l="1"/>
  <c r="AE185" i="14"/>
  <c r="AE181" i="14"/>
  <c r="Z193" i="14"/>
  <c r="AE182" i="14"/>
  <c r="AE180" i="14"/>
  <c r="AE183" i="14"/>
  <c r="AB347" i="16"/>
  <c r="AB349" i="16"/>
  <c r="AB350" i="16"/>
  <c r="AA311" i="12"/>
  <c r="AA350" i="12" s="1"/>
  <c r="AE109" i="14"/>
  <c r="AE110" i="14"/>
  <c r="AE107" i="14"/>
  <c r="AE108" i="14"/>
  <c r="AF328" i="16"/>
  <c r="AE112" i="14"/>
  <c r="Z319" i="12"/>
  <c r="AE327" i="12"/>
  <c r="AE363" i="12" s="1"/>
  <c r="Z317" i="12"/>
  <c r="AF363" i="16"/>
  <c r="V10" i="20"/>
  <c r="AA355" i="16"/>
  <c r="AA357" i="16"/>
  <c r="AA353" i="16"/>
  <c r="AA356" i="16"/>
  <c r="AA354" i="16"/>
  <c r="Z318" i="12"/>
  <c r="AA367" i="16" l="1"/>
  <c r="AB24" i="14"/>
  <c r="AC314" i="16" s="1"/>
  <c r="AA349" i="12"/>
  <c r="AB23" i="14" s="1"/>
  <c r="AC23" i="19" s="1"/>
  <c r="AC59" i="19" s="1"/>
  <c r="AA347" i="12"/>
  <c r="AA348" i="12"/>
  <c r="AB131" i="14" s="1"/>
  <c r="AB60" i="14"/>
  <c r="AB133" i="14"/>
  <c r="Z356" i="12"/>
  <c r="AA139" i="14" s="1"/>
  <c r="AF364" i="16"/>
  <c r="AF374" i="16" s="1"/>
  <c r="AA187" i="43" a="1"/>
  <c r="AA187" i="43" s="1"/>
  <c r="W187" i="43" a="1"/>
  <c r="W187" i="43" s="1"/>
  <c r="L187" i="43" a="1"/>
  <c r="L187" i="43" s="1"/>
  <c r="P187" i="43" a="1"/>
  <c r="P187" i="43" s="1"/>
  <c r="X187" i="43" a="1"/>
  <c r="X187" i="43" s="1"/>
  <c r="H187" i="43" a="1"/>
  <c r="H187" i="43" s="1"/>
  <c r="AB187" i="43" a="1"/>
  <c r="AB187" i="43" s="1"/>
  <c r="M187" i="43" a="1"/>
  <c r="M187" i="43" s="1"/>
  <c r="R187" i="43" a="1"/>
  <c r="R187" i="43" s="1"/>
  <c r="Q187" i="43" a="1"/>
  <c r="Q187" i="43" s="1"/>
  <c r="AE187" i="43" a="1"/>
  <c r="AE187" i="43" s="1"/>
  <c r="U187" i="43" a="1"/>
  <c r="U187" i="43" s="1"/>
  <c r="I187" i="43" a="1"/>
  <c r="I187" i="43" s="1"/>
  <c r="Z187" i="43" a="1"/>
  <c r="Z187" i="43" s="1"/>
  <c r="Y187" i="43" a="1"/>
  <c r="Y187" i="43" s="1"/>
  <c r="K187" i="43" a="1"/>
  <c r="K187" i="43" s="1"/>
  <c r="N187" i="43" a="1"/>
  <c r="N187" i="43" s="1"/>
  <c r="S187" i="43" a="1"/>
  <c r="S187" i="43" s="1"/>
  <c r="AD187" i="43" a="1"/>
  <c r="AD187" i="43" s="1"/>
  <c r="AC187" i="43" a="1"/>
  <c r="AC187" i="43" s="1"/>
  <c r="T187" i="43" a="1"/>
  <c r="T187" i="43" s="1"/>
  <c r="J187" i="43" a="1"/>
  <c r="J187" i="43" s="1"/>
  <c r="AF187" i="43" a="1"/>
  <c r="AF187" i="43" s="1"/>
  <c r="O187" i="43" a="1"/>
  <c r="O187" i="43" s="1"/>
  <c r="V187" i="43" a="1"/>
  <c r="V187" i="43" s="1"/>
  <c r="AF73" i="14"/>
  <c r="AF146" i="14"/>
  <c r="M224" i="43" a="1"/>
  <c r="M224" i="43" s="1"/>
  <c r="P224" i="43" a="1"/>
  <c r="P224" i="43" s="1"/>
  <c r="N224" i="43" a="1"/>
  <c r="N224" i="43" s="1"/>
  <c r="AC224" i="43" a="1"/>
  <c r="AC224" i="43" s="1"/>
  <c r="AF224" i="43" a="1"/>
  <c r="AF224" i="43" s="1"/>
  <c r="J224" i="43" a="1"/>
  <c r="J224" i="43" s="1"/>
  <c r="H224" i="43" a="1"/>
  <c r="H224" i="43" s="1"/>
  <c r="AD224" i="43" a="1"/>
  <c r="AD224" i="43" s="1"/>
  <c r="X224" i="43" a="1"/>
  <c r="X224" i="43" s="1"/>
  <c r="W224" i="43" a="1"/>
  <c r="W224" i="43" s="1"/>
  <c r="Q224" i="43" a="1"/>
  <c r="Q224" i="43" s="1"/>
  <c r="AE224" i="43" a="1"/>
  <c r="AE224" i="43" s="1"/>
  <c r="T224" i="43" a="1"/>
  <c r="T224" i="43" s="1"/>
  <c r="K224" i="43" a="1"/>
  <c r="K224" i="43" s="1"/>
  <c r="U224" i="43" a="1"/>
  <c r="U224" i="43" s="1"/>
  <c r="O224" i="43" a="1"/>
  <c r="O224" i="43" s="1"/>
  <c r="Z224" i="43" a="1"/>
  <c r="Z224" i="43" s="1"/>
  <c r="AB224" i="43" a="1"/>
  <c r="AB224" i="43" s="1"/>
  <c r="V224" i="43" a="1"/>
  <c r="V224" i="43" s="1"/>
  <c r="R224" i="43" a="1"/>
  <c r="R224" i="43" s="1"/>
  <c r="I224" i="43" a="1"/>
  <c r="I224" i="43" s="1"/>
  <c r="L224" i="43" a="1"/>
  <c r="L224" i="43" s="1"/>
  <c r="S224" i="43" a="1"/>
  <c r="S224" i="43" s="1"/>
  <c r="Y224" i="43" a="1"/>
  <c r="Y224" i="43" s="1"/>
  <c r="AA224" i="43" a="1"/>
  <c r="AA224" i="43" s="1"/>
  <c r="AF37" i="14"/>
  <c r="Z354" i="12"/>
  <c r="Z357" i="12"/>
  <c r="Z353" i="12"/>
  <c r="AE364" i="12"/>
  <c r="Z355" i="12"/>
  <c r="Z367" i="12" l="1"/>
  <c r="AB21" i="14"/>
  <c r="AC311" i="16" s="1"/>
  <c r="AB314" i="12"/>
  <c r="AB58" i="14"/>
  <c r="AB59" i="14"/>
  <c r="AC313" i="16"/>
  <c r="AB132" i="14"/>
  <c r="AB313" i="12"/>
  <c r="AB130" i="14"/>
  <c r="AB57" i="14"/>
  <c r="AB22" i="14"/>
  <c r="AC312" i="16" s="1"/>
  <c r="P188" i="43" a="1"/>
  <c r="P188" i="43" s="1"/>
  <c r="AA30" i="14"/>
  <c r="AB30" i="19" s="1"/>
  <c r="AB66" i="19" s="1"/>
  <c r="AA66" i="14"/>
  <c r="S188" i="43" a="1"/>
  <c r="S188" i="43" s="1"/>
  <c r="T188" i="43" a="1"/>
  <c r="T188" i="43" s="1"/>
  <c r="AC188" i="43" a="1"/>
  <c r="AC188" i="43" s="1"/>
  <c r="M188" i="43" a="1"/>
  <c r="M188" i="43" s="1"/>
  <c r="AA188" i="43" a="1"/>
  <c r="AA188" i="43" s="1"/>
  <c r="I188" i="43" a="1"/>
  <c r="I188" i="43" s="1"/>
  <c r="V188" i="43" a="1"/>
  <c r="V188" i="43" s="1"/>
  <c r="AE188" i="43" a="1"/>
  <c r="AE188" i="43" s="1"/>
  <c r="N188" i="43" a="1"/>
  <c r="N188" i="43" s="1"/>
  <c r="AB188" i="43" a="1"/>
  <c r="AB188" i="43" s="1"/>
  <c r="U188" i="43" a="1"/>
  <c r="U188" i="43" s="1"/>
  <c r="J188" i="43" a="1"/>
  <c r="J188" i="43" s="1"/>
  <c r="Z188" i="43" a="1"/>
  <c r="Z188" i="43" s="1"/>
  <c r="Y188" i="43" a="1"/>
  <c r="Y188" i="43" s="1"/>
  <c r="K188" i="43" a="1"/>
  <c r="K188" i="43" s="1"/>
  <c r="O188" i="43" a="1"/>
  <c r="O188" i="43" s="1"/>
  <c r="X188" i="43" a="1"/>
  <c r="X188" i="43" s="1"/>
  <c r="Q188" i="43" a="1"/>
  <c r="Q188" i="43" s="1"/>
  <c r="R188" i="43" a="1"/>
  <c r="R188" i="43" s="1"/>
  <c r="AD188" i="43" a="1"/>
  <c r="AD188" i="43" s="1"/>
  <c r="H188" i="43" a="1"/>
  <c r="H188" i="43" s="1"/>
  <c r="L188" i="43" a="1"/>
  <c r="L188" i="43" s="1"/>
  <c r="AF188" i="43" a="1"/>
  <c r="AF188" i="43" s="1"/>
  <c r="W188" i="43" a="1"/>
  <c r="W188" i="43" s="1"/>
  <c r="AA63" i="14"/>
  <c r="AA136" i="14"/>
  <c r="V7" i="20"/>
  <c r="AA27" i="14"/>
  <c r="AA28" i="14"/>
  <c r="AA137" i="14"/>
  <c r="AA64" i="14"/>
  <c r="AA225" i="43" a="1"/>
  <c r="AA225" i="43" s="1"/>
  <c r="AF147" i="14"/>
  <c r="AF184" i="14" s="1"/>
  <c r="AF74" i="14"/>
  <c r="AF110" i="14" s="1"/>
  <c r="M225" i="43" a="1"/>
  <c r="M225" i="43" s="1"/>
  <c r="J225" i="43" a="1"/>
  <c r="J225" i="43" s="1"/>
  <c r="R225" i="43" a="1"/>
  <c r="R225" i="43" s="1"/>
  <c r="AF225" i="43" a="1"/>
  <c r="AF225" i="43" s="1"/>
  <c r="X225" i="43" a="1"/>
  <c r="X225" i="43" s="1"/>
  <c r="Q225" i="43" a="1"/>
  <c r="Q225" i="43" s="1"/>
  <c r="T225" i="43" a="1"/>
  <c r="T225" i="43" s="1"/>
  <c r="U225" i="43" a="1"/>
  <c r="U225" i="43" s="1"/>
  <c r="AB225" i="43" a="1"/>
  <c r="AB225" i="43" s="1"/>
  <c r="Y225" i="43" a="1"/>
  <c r="Y225" i="43" s="1"/>
  <c r="V225" i="43" a="1"/>
  <c r="V225" i="43" s="1"/>
  <c r="Z225" i="43" a="1"/>
  <c r="Z225" i="43" s="1"/>
  <c r="W225" i="43" a="1"/>
  <c r="W225" i="43" s="1"/>
  <c r="AE225" i="43" a="1"/>
  <c r="AE225" i="43" s="1"/>
  <c r="I225" i="43" a="1"/>
  <c r="I225" i="43" s="1"/>
  <c r="P225" i="43" a="1"/>
  <c r="P225" i="43" s="1"/>
  <c r="L225" i="43" a="1"/>
  <c r="L225" i="43" s="1"/>
  <c r="AC225" i="43" a="1"/>
  <c r="AC225" i="43" s="1"/>
  <c r="O225" i="43" a="1"/>
  <c r="O225" i="43" s="1"/>
  <c r="N225" i="43" a="1"/>
  <c r="N225" i="43" s="1"/>
  <c r="H225" i="43" a="1"/>
  <c r="H225" i="43" s="1"/>
  <c r="K225" i="43" a="1"/>
  <c r="K225" i="43" s="1"/>
  <c r="AD225" i="43" a="1"/>
  <c r="AD225" i="43" s="1"/>
  <c r="S225" i="43" a="1"/>
  <c r="S225" i="43" s="1"/>
  <c r="AF38" i="14"/>
  <c r="AA138" i="14"/>
  <c r="AA65" i="14"/>
  <c r="AA29" i="14"/>
  <c r="AA67" i="14"/>
  <c r="AA140" i="14"/>
  <c r="AA31" i="14"/>
  <c r="AC21" i="19" l="1"/>
  <c r="AC57" i="19" s="1"/>
  <c r="AB169" i="14"/>
  <c r="AB168" i="14"/>
  <c r="AF181" i="14"/>
  <c r="AF182" i="14"/>
  <c r="AA173" i="14"/>
  <c r="AA191" i="14"/>
  <c r="AA189" i="14"/>
  <c r="AA188" i="14"/>
  <c r="AA190" i="14"/>
  <c r="AB170" i="14"/>
  <c r="AF185" i="14"/>
  <c r="AA174" i="14"/>
  <c r="AF180" i="14"/>
  <c r="AF183" i="14"/>
  <c r="AA175" i="14"/>
  <c r="AA177" i="14"/>
  <c r="AA192" i="14"/>
  <c r="AB167" i="14"/>
  <c r="AA176" i="14"/>
  <c r="AB95" i="14"/>
  <c r="AC22" i="19"/>
  <c r="AC58" i="19" s="1"/>
  <c r="AB96" i="14"/>
  <c r="AC350" i="16"/>
  <c r="AB94" i="14"/>
  <c r="AB97" i="14"/>
  <c r="AC348" i="16"/>
  <c r="AC347" i="16"/>
  <c r="AC349" i="16"/>
  <c r="AB320" i="16"/>
  <c r="AA104" i="14"/>
  <c r="AF108" i="14"/>
  <c r="AA321" i="12"/>
  <c r="AB321" i="16"/>
  <c r="AB29" i="19"/>
  <c r="AB65" i="19" s="1"/>
  <c r="AB319" i="16"/>
  <c r="AA320" i="12"/>
  <c r="AA101" i="14"/>
  <c r="AB27" i="19"/>
  <c r="AB63" i="19" s="1"/>
  <c r="AB317" i="16"/>
  <c r="V4" i="20"/>
  <c r="V13" i="20" s="1"/>
  <c r="AA103" i="14"/>
  <c r="AF112" i="14"/>
  <c r="AB318" i="16"/>
  <c r="AB28" i="19"/>
  <c r="AB64" i="19" s="1"/>
  <c r="AF107" i="14"/>
  <c r="AA100" i="14"/>
  <c r="AF111" i="14"/>
  <c r="AA102" i="14"/>
  <c r="AF109" i="14"/>
  <c r="AB311" i="12" l="1"/>
  <c r="AB77" i="19"/>
  <c r="AA193" i="14"/>
  <c r="AB312" i="12"/>
  <c r="AA319" i="12"/>
  <c r="AA318" i="12"/>
  <c r="AB353" i="16"/>
  <c r="AB357" i="16"/>
  <c r="AB354" i="16"/>
  <c r="AB356" i="16"/>
  <c r="AB355" i="16"/>
  <c r="AA317" i="12"/>
  <c r="W10" i="20"/>
  <c r="AB349" i="12" l="1"/>
  <c r="AC132" i="14" s="1"/>
  <c r="AB367" i="16"/>
  <c r="AB350" i="12"/>
  <c r="AC24" i="14" s="1"/>
  <c r="AB348" i="12"/>
  <c r="AC22" i="14" s="1"/>
  <c r="AB347" i="12"/>
  <c r="AA355" i="12"/>
  <c r="AB29" i="14" s="1"/>
  <c r="AA356" i="12"/>
  <c r="AA354" i="12"/>
  <c r="AA353" i="12"/>
  <c r="AA357" i="12"/>
  <c r="AC23" i="14" l="1"/>
  <c r="AD313" i="16" s="1"/>
  <c r="AC59" i="14"/>
  <c r="AA367" i="12"/>
  <c r="AC130" i="14"/>
  <c r="AC60" i="14"/>
  <c r="AC133" i="14"/>
  <c r="AC58" i="14"/>
  <c r="AC57" i="14"/>
  <c r="AC21" i="14"/>
  <c r="AD311" i="16" s="1"/>
  <c r="AC131" i="14"/>
  <c r="AD312" i="16"/>
  <c r="AD22" i="19"/>
  <c r="AC314" i="12"/>
  <c r="AD314" i="16"/>
  <c r="AB138" i="14"/>
  <c r="AB65" i="14"/>
  <c r="AB64" i="14"/>
  <c r="AB137" i="14"/>
  <c r="AB28" i="14"/>
  <c r="AB136" i="14"/>
  <c r="AB63" i="14"/>
  <c r="W7" i="20"/>
  <c r="AB27" i="14"/>
  <c r="AC319" i="16"/>
  <c r="AC29" i="19"/>
  <c r="AC65" i="19" s="1"/>
  <c r="AB67" i="14"/>
  <c r="AB140" i="14"/>
  <c r="AB31" i="14"/>
  <c r="AB139" i="14"/>
  <c r="AB66" i="14"/>
  <c r="AB30" i="14"/>
  <c r="AD23" i="19" l="1"/>
  <c r="AD59" i="19" s="1"/>
  <c r="AB176" i="14"/>
  <c r="AB173" i="14"/>
  <c r="AB191" i="14"/>
  <c r="AB189" i="14"/>
  <c r="AB190" i="14"/>
  <c r="AB188" i="14"/>
  <c r="AC170" i="14"/>
  <c r="AC168" i="14"/>
  <c r="AB177" i="14"/>
  <c r="AB192" i="14"/>
  <c r="AB175" i="14"/>
  <c r="AC167" i="14"/>
  <c r="AB174" i="14"/>
  <c r="AC169" i="14"/>
  <c r="AD21" i="19"/>
  <c r="AD57" i="19" s="1"/>
  <c r="AC95" i="14"/>
  <c r="AC97" i="14"/>
  <c r="AC96" i="14"/>
  <c r="AC94" i="14"/>
  <c r="AD349" i="16"/>
  <c r="AD347" i="16"/>
  <c r="AD348" i="16"/>
  <c r="AD350" i="16"/>
  <c r="AD58" i="19"/>
  <c r="AC312" i="12"/>
  <c r="AB319" i="12"/>
  <c r="AB102" i="14"/>
  <c r="AB103" i="14"/>
  <c r="AB104" i="14"/>
  <c r="AB100" i="14"/>
  <c r="AB101" i="14"/>
  <c r="AC30" i="19"/>
  <c r="AC66" i="19" s="1"/>
  <c r="AC320" i="16"/>
  <c r="AB321" i="12"/>
  <c r="AC321" i="16"/>
  <c r="AC27" i="19"/>
  <c r="AC63" i="19" s="1"/>
  <c r="AC317" i="16"/>
  <c r="W4" i="20"/>
  <c r="W13" i="20" s="1"/>
  <c r="AC28" i="19"/>
  <c r="AC64" i="19" s="1"/>
  <c r="AC318" i="16"/>
  <c r="AC313" i="12" l="1"/>
  <c r="AC77" i="19"/>
  <c r="AB193" i="14"/>
  <c r="AC311" i="12"/>
  <c r="AB320" i="12"/>
  <c r="AC357" i="16"/>
  <c r="AC353" i="16"/>
  <c r="AC356" i="16"/>
  <c r="AC355" i="16"/>
  <c r="AC354" i="16"/>
  <c r="AB318" i="12"/>
  <c r="X10" i="20"/>
  <c r="AB317" i="12"/>
  <c r="AC350" i="12" l="1"/>
  <c r="AD24" i="14" s="1"/>
  <c r="AC367" i="16"/>
  <c r="AC348" i="12"/>
  <c r="AD22" i="14" s="1"/>
  <c r="AC349" i="12"/>
  <c r="AD23" i="14" s="1"/>
  <c r="AC347" i="12"/>
  <c r="AB353" i="12"/>
  <c r="AC27" i="14" s="1"/>
  <c r="AB354" i="12"/>
  <c r="AB357" i="12"/>
  <c r="AB356" i="12"/>
  <c r="AB355" i="12"/>
  <c r="AD133" i="14" l="1"/>
  <c r="AD60" i="14"/>
  <c r="AB367" i="12"/>
  <c r="AD130" i="14"/>
  <c r="AD58" i="14"/>
  <c r="AD131" i="14"/>
  <c r="AD132" i="14"/>
  <c r="AD21" i="14"/>
  <c r="AE21" i="19" s="1"/>
  <c r="AD59" i="14"/>
  <c r="AD57" i="14"/>
  <c r="AE23" i="19"/>
  <c r="AE59" i="19" s="1"/>
  <c r="AE313" i="16"/>
  <c r="AE312" i="16"/>
  <c r="AE22" i="19"/>
  <c r="AE314" i="16"/>
  <c r="AD314" i="12"/>
  <c r="AC63" i="14"/>
  <c r="AC136" i="14"/>
  <c r="AC137" i="14"/>
  <c r="AC64" i="14"/>
  <c r="AC28" i="14"/>
  <c r="AC140" i="14"/>
  <c r="AC67" i="14"/>
  <c r="AC31" i="14"/>
  <c r="AC139" i="14"/>
  <c r="AC66" i="14"/>
  <c r="AC30" i="14"/>
  <c r="X7" i="20"/>
  <c r="AC138" i="14"/>
  <c r="AC65" i="14"/>
  <c r="AC29" i="14"/>
  <c r="AD27" i="19"/>
  <c r="AD63" i="19" s="1"/>
  <c r="AD317" i="16"/>
  <c r="AC174" i="14" l="1"/>
  <c r="AD168" i="14"/>
  <c r="AC177" i="14"/>
  <c r="AC192" i="14"/>
  <c r="AC175" i="14"/>
  <c r="AC173" i="14"/>
  <c r="AC191" i="14"/>
  <c r="AC190" i="14"/>
  <c r="AC188" i="14"/>
  <c r="AC189" i="14"/>
  <c r="AC176" i="14"/>
  <c r="AD167" i="14"/>
  <c r="AD169" i="14"/>
  <c r="AD170" i="14"/>
  <c r="AD97" i="14"/>
  <c r="AE311" i="16"/>
  <c r="AE349" i="16" s="1"/>
  <c r="AD95" i="14"/>
  <c r="AD96" i="14"/>
  <c r="AD94" i="14"/>
  <c r="AD313" i="12"/>
  <c r="AE57" i="19"/>
  <c r="AD311" i="12"/>
  <c r="AE58" i="19"/>
  <c r="AD312" i="12"/>
  <c r="AC104" i="14"/>
  <c r="AD29" i="19"/>
  <c r="AD65" i="19" s="1"/>
  <c r="AD319" i="16"/>
  <c r="AD320" i="16"/>
  <c r="AD30" i="19"/>
  <c r="AD66" i="19" s="1"/>
  <c r="X4" i="20"/>
  <c r="X13" i="20" s="1"/>
  <c r="AC100" i="14"/>
  <c r="AC317" i="12"/>
  <c r="AC102" i="14"/>
  <c r="AC103" i="14"/>
  <c r="AC101" i="14"/>
  <c r="AD318" i="16"/>
  <c r="AD28" i="19"/>
  <c r="AD64" i="19" s="1"/>
  <c r="AD321" i="16"/>
  <c r="AC321" i="12"/>
  <c r="AD77" i="19" l="1"/>
  <c r="AC193" i="14"/>
  <c r="AE350" i="16"/>
  <c r="AE347" i="16"/>
  <c r="AE348" i="16"/>
  <c r="AD350" i="12"/>
  <c r="AD348" i="12"/>
  <c r="AD349" i="12"/>
  <c r="AD347" i="12"/>
  <c r="AD354" i="16"/>
  <c r="AC319" i="12"/>
  <c r="AC318" i="12"/>
  <c r="AD355" i="16"/>
  <c r="AD353" i="16"/>
  <c r="Y10" i="20"/>
  <c r="AD356" i="16"/>
  <c r="AD357" i="16"/>
  <c r="AC320" i="12"/>
  <c r="AD367" i="16" l="1"/>
  <c r="AE133" i="14"/>
  <c r="AE24" i="14"/>
  <c r="AE60" i="14"/>
  <c r="AE22" i="14"/>
  <c r="AE58" i="14"/>
  <c r="AE131" i="14"/>
  <c r="AE23" i="14"/>
  <c r="AE132" i="14"/>
  <c r="AE59" i="14"/>
  <c r="AE21" i="14"/>
  <c r="AE130" i="14"/>
  <c r="AE57" i="14"/>
  <c r="AC357" i="12"/>
  <c r="AD140" i="14" s="1"/>
  <c r="AC353" i="12"/>
  <c r="AC354" i="12"/>
  <c r="AC355" i="12"/>
  <c r="AC356" i="12"/>
  <c r="AC367" i="12" l="1"/>
  <c r="AE169" i="14"/>
  <c r="AE168" i="14"/>
  <c r="AE167" i="14"/>
  <c r="AE170" i="14"/>
  <c r="AE94" i="14"/>
  <c r="AE96" i="14"/>
  <c r="AE95" i="14"/>
  <c r="AF311" i="16"/>
  <c r="AF21" i="19"/>
  <c r="AF57" i="19" s="1"/>
  <c r="AE314" i="12"/>
  <c r="AF314" i="16"/>
  <c r="AF23" i="19"/>
  <c r="AF59" i="19" s="1"/>
  <c r="AF313" i="16"/>
  <c r="AE97" i="14"/>
  <c r="AF22" i="19"/>
  <c r="AF58" i="19" s="1"/>
  <c r="AF312" i="16"/>
  <c r="AD31" i="14"/>
  <c r="AE321" i="16" s="1"/>
  <c r="AD67" i="14"/>
  <c r="AD63" i="14"/>
  <c r="AD136" i="14"/>
  <c r="Y7" i="20"/>
  <c r="AD27" i="14"/>
  <c r="AD66" i="14"/>
  <c r="AD139" i="14"/>
  <c r="AD30" i="14"/>
  <c r="AD64" i="14"/>
  <c r="AD137" i="14"/>
  <c r="AD28" i="14"/>
  <c r="AD138" i="14"/>
  <c r="AD65" i="14"/>
  <c r="AD29" i="14"/>
  <c r="AD192" i="14" l="1"/>
  <c r="AD174" i="14"/>
  <c r="AD176" i="14"/>
  <c r="AD175" i="14"/>
  <c r="AD173" i="14"/>
  <c r="AD191" i="14"/>
  <c r="AD190" i="14"/>
  <c r="AD188" i="14"/>
  <c r="AD189" i="14"/>
  <c r="AD177" i="14"/>
  <c r="AE311" i="12"/>
  <c r="AE312" i="12"/>
  <c r="AE313" i="12"/>
  <c r="AF349" i="16"/>
  <c r="Y173" i="43" s="1" a="1"/>
  <c r="Y173" i="43" s="1"/>
  <c r="AF348" i="16"/>
  <c r="O172" i="43" s="1" a="1"/>
  <c r="O172" i="43" s="1"/>
  <c r="AF347" i="16"/>
  <c r="AF350" i="16"/>
  <c r="AD321" i="12"/>
  <c r="AD102" i="14"/>
  <c r="AE317" i="16"/>
  <c r="AE27" i="19"/>
  <c r="AE63" i="19" s="1"/>
  <c r="Y4" i="20"/>
  <c r="Y13" i="20" s="1"/>
  <c r="AD100" i="14"/>
  <c r="AE320" i="16"/>
  <c r="AE30" i="19"/>
  <c r="AE66" i="19" s="1"/>
  <c r="AE29" i="19"/>
  <c r="AE65" i="19" s="1"/>
  <c r="AE319" i="16"/>
  <c r="AE318" i="16"/>
  <c r="AE28" i="19"/>
  <c r="AE64" i="19" s="1"/>
  <c r="AD103" i="14"/>
  <c r="AD101" i="14"/>
  <c r="AD104" i="14"/>
  <c r="X171" i="43" l="1" a="1"/>
  <c r="X171" i="43" s="1"/>
  <c r="AE77" i="19"/>
  <c r="AD193" i="14"/>
  <c r="J173" i="43" a="1"/>
  <c r="J173" i="43" s="1"/>
  <c r="L173" i="43" a="1"/>
  <c r="L173" i="43" s="1"/>
  <c r="AE173" i="43" a="1"/>
  <c r="AE173" i="43" s="1"/>
  <c r="O173" i="43" a="1"/>
  <c r="O173" i="43" s="1"/>
  <c r="M173" i="43" a="1"/>
  <c r="M173" i="43" s="1"/>
  <c r="X173" i="43" a="1"/>
  <c r="X173" i="43" s="1"/>
  <c r="S173" i="43" a="1"/>
  <c r="S173" i="43" s="1"/>
  <c r="V173" i="43" a="1"/>
  <c r="V173" i="43" s="1"/>
  <c r="N173" i="43" a="1"/>
  <c r="N173" i="43" s="1"/>
  <c r="AD173" i="43" a="1"/>
  <c r="AD173" i="43" s="1"/>
  <c r="K173" i="43" a="1"/>
  <c r="K173" i="43" s="1"/>
  <c r="R173" i="43" a="1"/>
  <c r="R173" i="43" s="1"/>
  <c r="P173" i="43" a="1"/>
  <c r="P173" i="43" s="1"/>
  <c r="AF173" i="43" a="1"/>
  <c r="AF173" i="43" s="1"/>
  <c r="U173" i="43" a="1"/>
  <c r="U173" i="43" s="1"/>
  <c r="H173" i="43" a="1"/>
  <c r="H173" i="43" s="1"/>
  <c r="AB173" i="43" a="1"/>
  <c r="AB173" i="43" s="1"/>
  <c r="W173" i="43" a="1"/>
  <c r="W173" i="43" s="1"/>
  <c r="I173" i="43" a="1"/>
  <c r="I173" i="43" s="1"/>
  <c r="Q173" i="43" a="1"/>
  <c r="Q173" i="43" s="1"/>
  <c r="AA173" i="43" a="1"/>
  <c r="AA173" i="43" s="1"/>
  <c r="Z173" i="43" a="1"/>
  <c r="Z173" i="43" s="1"/>
  <c r="AC173" i="43" a="1"/>
  <c r="AC173" i="43" s="1"/>
  <c r="T173" i="43" a="1"/>
  <c r="T173" i="43" s="1"/>
  <c r="AD171" i="43" a="1"/>
  <c r="AD171" i="43" s="1"/>
  <c r="M171" i="43" a="1"/>
  <c r="M171" i="43" s="1"/>
  <c r="S172" i="43" a="1"/>
  <c r="S172" i="43" s="1"/>
  <c r="AD172" i="43" a="1"/>
  <c r="AD172" i="43" s="1"/>
  <c r="V172" i="43" a="1"/>
  <c r="V172" i="43" s="1"/>
  <c r="P172" i="43" a="1"/>
  <c r="P172" i="43" s="1"/>
  <c r="AE172" i="43" a="1"/>
  <c r="AE172" i="43" s="1"/>
  <c r="N171" i="43" a="1"/>
  <c r="N171" i="43" s="1"/>
  <c r="Y172" i="43" a="1"/>
  <c r="Y172" i="43" s="1"/>
  <c r="J172" i="43" a="1"/>
  <c r="J172" i="43" s="1"/>
  <c r="AB172" i="43" a="1"/>
  <c r="AB172" i="43" s="1"/>
  <c r="U172" i="43" a="1"/>
  <c r="U172" i="43" s="1"/>
  <c r="V171" i="43" a="1"/>
  <c r="V171" i="43" s="1"/>
  <c r="N172" i="43" a="1"/>
  <c r="N172" i="43" s="1"/>
  <c r="AA172" i="43" a="1"/>
  <c r="AA172" i="43" s="1"/>
  <c r="H172" i="43" a="1"/>
  <c r="H172" i="43" s="1"/>
  <c r="AE171" i="43" a="1"/>
  <c r="AE171" i="43" s="1"/>
  <c r="K171" i="43" a="1"/>
  <c r="K171" i="43" s="1"/>
  <c r="T171" i="43" a="1"/>
  <c r="T171" i="43" s="1"/>
  <c r="AC171" i="43" a="1"/>
  <c r="AC171" i="43" s="1"/>
  <c r="Q171" i="43" a="1"/>
  <c r="Q171" i="43" s="1"/>
  <c r="U171" i="43" a="1"/>
  <c r="U171" i="43" s="1"/>
  <c r="Z171" i="43" a="1"/>
  <c r="Z171" i="43" s="1"/>
  <c r="S171" i="43" a="1"/>
  <c r="S171" i="43" s="1"/>
  <c r="AF171" i="43" a="1"/>
  <c r="AF171" i="43" s="1"/>
  <c r="W171" i="43" a="1"/>
  <c r="W171" i="43" s="1"/>
  <c r="I171" i="43" a="1"/>
  <c r="I171" i="43" s="1"/>
  <c r="R171" i="43" a="1"/>
  <c r="R171" i="43" s="1"/>
  <c r="AA171" i="43" a="1"/>
  <c r="AA171" i="43" s="1"/>
  <c r="O171" i="43" a="1"/>
  <c r="O171" i="43" s="1"/>
  <c r="AB171" i="43" a="1"/>
  <c r="AB171" i="43" s="1"/>
  <c r="J171" i="43" a="1"/>
  <c r="J171" i="43" s="1"/>
  <c r="H171" i="43" a="1"/>
  <c r="H171" i="43" s="1"/>
  <c r="Y171" i="43" a="1"/>
  <c r="Y171" i="43" s="1"/>
  <c r="P171" i="43" a="1"/>
  <c r="P171" i="43" s="1"/>
  <c r="L171" i="43" a="1"/>
  <c r="L171" i="43" s="1"/>
  <c r="AC172" i="43" a="1"/>
  <c r="AC172" i="43" s="1"/>
  <c r="AF172" i="43" a="1"/>
  <c r="AF172" i="43" s="1"/>
  <c r="T172" i="43" a="1"/>
  <c r="T172" i="43" s="1"/>
  <c r="W172" i="43" a="1"/>
  <c r="W172" i="43" s="1"/>
  <c r="Q172" i="43" a="1"/>
  <c r="Q172" i="43" s="1"/>
  <c r="Z172" i="43" a="1"/>
  <c r="Z172" i="43" s="1"/>
  <c r="M172" i="43" a="1"/>
  <c r="M172" i="43" s="1"/>
  <c r="I172" i="43" a="1"/>
  <c r="I172" i="43" s="1"/>
  <c r="L172" i="43" a="1"/>
  <c r="L172" i="43" s="1"/>
  <c r="K172" i="43" a="1"/>
  <c r="K172" i="43" s="1"/>
  <c r="X172" i="43" a="1"/>
  <c r="X172" i="43" s="1"/>
  <c r="R172" i="43" a="1"/>
  <c r="R172" i="43" s="1"/>
  <c r="AE349" i="12"/>
  <c r="AF23" i="14" s="1"/>
  <c r="AE348" i="12"/>
  <c r="V174" i="43" a="1"/>
  <c r="V174" i="43" s="1"/>
  <c r="H174" i="43" a="1"/>
  <c r="H174" i="43" s="1"/>
  <c r="L174" i="43" a="1"/>
  <c r="L174" i="43" s="1"/>
  <c r="AE174" i="43" a="1"/>
  <c r="AE174" i="43" s="1"/>
  <c r="Q174" i="43" a="1"/>
  <c r="Q174" i="43" s="1"/>
  <c r="M174" i="43" a="1"/>
  <c r="M174" i="43" s="1"/>
  <c r="S174" i="43" a="1"/>
  <c r="S174" i="43" s="1"/>
  <c r="Y174" i="43" a="1"/>
  <c r="Y174" i="43" s="1"/>
  <c r="J174" i="43" a="1"/>
  <c r="J174" i="43" s="1"/>
  <c r="K174" i="43" a="1"/>
  <c r="K174" i="43" s="1"/>
  <c r="AD174" i="43" a="1"/>
  <c r="AD174" i="43" s="1"/>
  <c r="P174" i="43" a="1"/>
  <c r="P174" i="43" s="1"/>
  <c r="Z174" i="43" a="1"/>
  <c r="Z174" i="43" s="1"/>
  <c r="AA174" i="43" a="1"/>
  <c r="AA174" i="43" s="1"/>
  <c r="T174" i="43" a="1"/>
  <c r="T174" i="43" s="1"/>
  <c r="O174" i="43" a="1"/>
  <c r="O174" i="43" s="1"/>
  <c r="AB174" i="43" a="1"/>
  <c r="AB174" i="43" s="1"/>
  <c r="AC174" i="43" a="1"/>
  <c r="AC174" i="43" s="1"/>
  <c r="AF174" i="43" a="1"/>
  <c r="AF174" i="43" s="1"/>
  <c r="R174" i="43" a="1"/>
  <c r="R174" i="43" s="1"/>
  <c r="U174" i="43" a="1"/>
  <c r="U174" i="43" s="1"/>
  <c r="N174" i="43" a="1"/>
  <c r="N174" i="43" s="1"/>
  <c r="W174" i="43" a="1"/>
  <c r="W174" i="43" s="1"/>
  <c r="I174" i="43" a="1"/>
  <c r="I174" i="43" s="1"/>
  <c r="X174" i="43" a="1"/>
  <c r="X174" i="43" s="1"/>
  <c r="AE347" i="12"/>
  <c r="AE350" i="12"/>
  <c r="AD317" i="12"/>
  <c r="AD320" i="12"/>
  <c r="Z10" i="20"/>
  <c r="AE356" i="16"/>
  <c r="AE357" i="16"/>
  <c r="AE353" i="16"/>
  <c r="AE355" i="16"/>
  <c r="AE354" i="16"/>
  <c r="AD318" i="12"/>
  <c r="AD319" i="12"/>
  <c r="AE367" i="16" l="1"/>
  <c r="H210" i="43" a="1"/>
  <c r="H210" i="43" s="1"/>
  <c r="I210" i="43" s="1" a="1"/>
  <c r="I210" i="43" s="1"/>
  <c r="J210" i="43" s="1" a="1"/>
  <c r="J210" i="43" s="1"/>
  <c r="K210" i="43" s="1" a="1"/>
  <c r="K210" i="43" s="1"/>
  <c r="L210" i="43" s="1" a="1"/>
  <c r="L210" i="43" s="1"/>
  <c r="M210" i="43" s="1" a="1"/>
  <c r="M210" i="43" s="1"/>
  <c r="N210" i="43" s="1" a="1"/>
  <c r="N210" i="43" s="1"/>
  <c r="O210" i="43" s="1" a="1"/>
  <c r="O210" i="43" s="1"/>
  <c r="P210" i="43" s="1" a="1"/>
  <c r="P210" i="43" s="1"/>
  <c r="Q210" i="43" s="1" a="1"/>
  <c r="Q210" i="43" s="1"/>
  <c r="R210" i="43" s="1" a="1"/>
  <c r="R210" i="43" s="1"/>
  <c r="S210" i="43" s="1" a="1"/>
  <c r="S210" i="43" s="1"/>
  <c r="T210" i="43" s="1" a="1"/>
  <c r="T210" i="43" s="1"/>
  <c r="U210" i="43" s="1" a="1"/>
  <c r="U210" i="43" s="1"/>
  <c r="V210" i="43" s="1" a="1"/>
  <c r="V210" i="43" s="1"/>
  <c r="W210" i="43" s="1" a="1"/>
  <c r="W210" i="43" s="1"/>
  <c r="X210" i="43" s="1" a="1"/>
  <c r="X210" i="43" s="1"/>
  <c r="Y210" i="43" s="1" a="1"/>
  <c r="Y210" i="43" s="1"/>
  <c r="AF59" i="14"/>
  <c r="AF132" i="14"/>
  <c r="AF21" i="14"/>
  <c r="AF130" i="14"/>
  <c r="H208" i="43" a="1"/>
  <c r="H208" i="43" s="1"/>
  <c r="I208" i="43" s="1" a="1"/>
  <c r="I208" i="43" s="1"/>
  <c r="J208" i="43" s="1" a="1"/>
  <c r="J208" i="43" s="1"/>
  <c r="K208" i="43" s="1" a="1"/>
  <c r="K208" i="43" s="1"/>
  <c r="L208" i="43" s="1" a="1"/>
  <c r="L208" i="43" s="1"/>
  <c r="M208" i="43" s="1" a="1"/>
  <c r="M208" i="43" s="1"/>
  <c r="N208" i="43" s="1" a="1"/>
  <c r="N208" i="43" s="1"/>
  <c r="O208" i="43" s="1" a="1"/>
  <c r="O208" i="43" s="1"/>
  <c r="P208" i="43" s="1" a="1"/>
  <c r="P208" i="43" s="1"/>
  <c r="Q208" i="43" s="1" a="1"/>
  <c r="Q208" i="43" s="1"/>
  <c r="R208" i="43" s="1" a="1"/>
  <c r="R208" i="43" s="1"/>
  <c r="S208" i="43" s="1" a="1"/>
  <c r="S208" i="43" s="1"/>
  <c r="T208" i="43" s="1" a="1"/>
  <c r="T208" i="43" s="1"/>
  <c r="U208" i="43" s="1" a="1"/>
  <c r="U208" i="43" s="1"/>
  <c r="V208" i="43" s="1" a="1"/>
  <c r="V208" i="43" s="1"/>
  <c r="W208" i="43" s="1" a="1"/>
  <c r="W208" i="43" s="1"/>
  <c r="X208" i="43" s="1" a="1"/>
  <c r="X208" i="43" s="1"/>
  <c r="AF57" i="14"/>
  <c r="H211" i="43" a="1"/>
  <c r="H211" i="43" s="1"/>
  <c r="I211" i="43" s="1" a="1"/>
  <c r="I211" i="43" s="1"/>
  <c r="J211" i="43" s="1" a="1"/>
  <c r="J211" i="43" s="1"/>
  <c r="K211" i="43" s="1" a="1"/>
  <c r="K211" i="43" s="1"/>
  <c r="L211" i="43" s="1" a="1"/>
  <c r="L211" i="43" s="1"/>
  <c r="M211" i="43" s="1" a="1"/>
  <c r="M211" i="43" s="1"/>
  <c r="N211" i="43" s="1" a="1"/>
  <c r="N211" i="43" s="1"/>
  <c r="O211" i="43" s="1" a="1"/>
  <c r="O211" i="43" s="1"/>
  <c r="P211" i="43" s="1" a="1"/>
  <c r="P211" i="43" s="1"/>
  <c r="Q211" i="43" s="1" a="1"/>
  <c r="Q211" i="43" s="1"/>
  <c r="R211" i="43" s="1" a="1"/>
  <c r="R211" i="43" s="1"/>
  <c r="S211" i="43" s="1" a="1"/>
  <c r="S211" i="43" s="1"/>
  <c r="T211" i="43" s="1" a="1"/>
  <c r="T211" i="43" s="1"/>
  <c r="U211" i="43" s="1" a="1"/>
  <c r="U211" i="43" s="1"/>
  <c r="V211" i="43" s="1" a="1"/>
  <c r="V211" i="43" s="1"/>
  <c r="W211" i="43" s="1" a="1"/>
  <c r="W211" i="43" s="1"/>
  <c r="X211" i="43" s="1" a="1"/>
  <c r="X211" i="43" s="1"/>
  <c r="Y211" i="43" s="1" a="1"/>
  <c r="Y211" i="43" s="1"/>
  <c r="Z211" i="43" s="1" a="1"/>
  <c r="Z211" i="43" s="1"/>
  <c r="AA211" i="43" s="1" a="1"/>
  <c r="AA211" i="43" s="1"/>
  <c r="AB211" i="43" s="1" a="1"/>
  <c r="AB211" i="43" s="1"/>
  <c r="AC211" i="43" s="1" a="1"/>
  <c r="AC211" i="43" s="1"/>
  <c r="AD211" i="43" s="1" a="1"/>
  <c r="AD211" i="43" s="1"/>
  <c r="AE211" i="43" s="1" a="1"/>
  <c r="AE211" i="43" s="1"/>
  <c r="AF211" i="43" s="1" a="1"/>
  <c r="AF211" i="43" s="1"/>
  <c r="AF133" i="14"/>
  <c r="AF60" i="14"/>
  <c r="AF24" i="14"/>
  <c r="AF58" i="14"/>
  <c r="AF22" i="14"/>
  <c r="H209" i="43" a="1"/>
  <c r="H209" i="43" s="1"/>
  <c r="I209" i="43" s="1" a="1"/>
  <c r="I209" i="43" s="1"/>
  <c r="J209" i="43" s="1" a="1"/>
  <c r="J209" i="43" s="1"/>
  <c r="K209" i="43" s="1" a="1"/>
  <c r="K209" i="43" s="1"/>
  <c r="L209" i="43" s="1" a="1"/>
  <c r="L209" i="43" s="1"/>
  <c r="M209" i="43" s="1" a="1"/>
  <c r="M209" i="43" s="1"/>
  <c r="N209" i="43" s="1" a="1"/>
  <c r="N209" i="43" s="1"/>
  <c r="O209" i="43" s="1" a="1"/>
  <c r="O209" i="43" s="1"/>
  <c r="AF131" i="14"/>
  <c r="AD354" i="12"/>
  <c r="AE137" i="14" s="1"/>
  <c r="AD353" i="12"/>
  <c r="AD357" i="12"/>
  <c r="AD356" i="12"/>
  <c r="AD355" i="12"/>
  <c r="AE27" i="14" l="1"/>
  <c r="AF27" i="19" s="1"/>
  <c r="AF63" i="19" s="1"/>
  <c r="AD367" i="12"/>
  <c r="AF167" i="14"/>
  <c r="AF170" i="14"/>
  <c r="AF168" i="14"/>
  <c r="AF169" i="14"/>
  <c r="Y208" i="43" a="1"/>
  <c r="Y208" i="43" s="1"/>
  <c r="P209" i="43" a="1"/>
  <c r="P209" i="43" s="1"/>
  <c r="AF95" i="14"/>
  <c r="AF97" i="14"/>
  <c r="AF94" i="14"/>
  <c r="AF96" i="14"/>
  <c r="AE28" i="14"/>
  <c r="AF28" i="19" s="1"/>
  <c r="AF64" i="19" s="1"/>
  <c r="AE64" i="14"/>
  <c r="Z7" i="20"/>
  <c r="AE63" i="14"/>
  <c r="AE136" i="14"/>
  <c r="AE66" i="14"/>
  <c r="AE139" i="14"/>
  <c r="AE30" i="14"/>
  <c r="AE65" i="14"/>
  <c r="AE138" i="14"/>
  <c r="AE29" i="14"/>
  <c r="AE67" i="14"/>
  <c r="AE140" i="14"/>
  <c r="AE31" i="14"/>
  <c r="Z210" i="43" a="1"/>
  <c r="Z210" i="43" s="1"/>
  <c r="AF317" i="16" l="1"/>
  <c r="AE174" i="14"/>
  <c r="AE176" i="14"/>
  <c r="AE177" i="14"/>
  <c r="AE192" i="14"/>
  <c r="AE173" i="14"/>
  <c r="AE191" i="14"/>
  <c r="AE190" i="14"/>
  <c r="AE189" i="14"/>
  <c r="AE188" i="14"/>
  <c r="AE175" i="14"/>
  <c r="Q209" i="43" a="1"/>
  <c r="Q209" i="43" s="1"/>
  <c r="Z208" i="43" a="1"/>
  <c r="Z208" i="43" s="1"/>
  <c r="AF318" i="16"/>
  <c r="AE104" i="14"/>
  <c r="AE317" i="12"/>
  <c r="AE100" i="14"/>
  <c r="AE101" i="14"/>
  <c r="AF30" i="19"/>
  <c r="AF66" i="19" s="1"/>
  <c r="AF320" i="16"/>
  <c r="AF29" i="19"/>
  <c r="AF65" i="19" s="1"/>
  <c r="AF319" i="16"/>
  <c r="Z4" i="20"/>
  <c r="Z13" i="20" s="1"/>
  <c r="AE321" i="12"/>
  <c r="AF321" i="16"/>
  <c r="AE102" i="14"/>
  <c r="AE318" i="12"/>
  <c r="AE103" i="14"/>
  <c r="AA210" i="43" a="1"/>
  <c r="AA210" i="43" s="1"/>
  <c r="AF77" i="19" l="1"/>
  <c r="AE193" i="14"/>
  <c r="AA208" i="43" a="1"/>
  <c r="AA208" i="43" s="1"/>
  <c r="R209" i="43" a="1"/>
  <c r="R209" i="43" s="1"/>
  <c r="AA10" i="20"/>
  <c r="AF353" i="16"/>
  <c r="AE319" i="12"/>
  <c r="AF354" i="16"/>
  <c r="X178" i="43" s="1" a="1"/>
  <c r="X178" i="43" s="1"/>
  <c r="AE320" i="12"/>
  <c r="AF355" i="16"/>
  <c r="Z179" i="43" s="1" a="1"/>
  <c r="Z179" i="43" s="1"/>
  <c r="AF357" i="16"/>
  <c r="AF356" i="16"/>
  <c r="R180" i="43" s="1" a="1"/>
  <c r="R180" i="43" s="1"/>
  <c r="AB210" i="43" a="1"/>
  <c r="AB210" i="43" s="1"/>
  <c r="AF177" i="43" l="1" a="1"/>
  <c r="AF177" i="43" s="1"/>
  <c r="AF367" i="16"/>
  <c r="S209" i="43" a="1"/>
  <c r="S209" i="43" s="1"/>
  <c r="AB208" i="43" a="1"/>
  <c r="AB208" i="43" s="1"/>
  <c r="Q178" i="43" a="1"/>
  <c r="Q178" i="43" s="1"/>
  <c r="O178" i="43" a="1"/>
  <c r="O178" i="43" s="1"/>
  <c r="J178" i="43" a="1"/>
  <c r="J178" i="43" s="1"/>
  <c r="U178" i="43" a="1"/>
  <c r="U178" i="43" s="1"/>
  <c r="L178" i="43" a="1"/>
  <c r="L178" i="43" s="1"/>
  <c r="P177" i="43" a="1"/>
  <c r="P177" i="43" s="1"/>
  <c r="Y177" i="43" a="1"/>
  <c r="Y177" i="43" s="1"/>
  <c r="AE355" i="12"/>
  <c r="AC216" i="43" s="1" a="1"/>
  <c r="AC216" i="43" s="1"/>
  <c r="AF178" i="43" a="1"/>
  <c r="AF178" i="43" s="1"/>
  <c r="H178" i="43" a="1"/>
  <c r="H178" i="43" s="1"/>
  <c r="AE178" i="43" a="1"/>
  <c r="AE178" i="43" s="1"/>
  <c r="AD178" i="43" a="1"/>
  <c r="AD178" i="43" s="1"/>
  <c r="P178" i="43" a="1"/>
  <c r="P178" i="43" s="1"/>
  <c r="S178" i="43" a="1"/>
  <c r="S178" i="43" s="1"/>
  <c r="K178" i="43" a="1"/>
  <c r="K178" i="43" s="1"/>
  <c r="N178" i="43" a="1"/>
  <c r="N178" i="43" s="1"/>
  <c r="AA178" i="43" a="1"/>
  <c r="AA178" i="43" s="1"/>
  <c r="V178" i="43" a="1"/>
  <c r="V178" i="43" s="1"/>
  <c r="T178" i="43" a="1"/>
  <c r="T178" i="43" s="1"/>
  <c r="AC178" i="43" a="1"/>
  <c r="AC178" i="43" s="1"/>
  <c r="M178" i="43" a="1"/>
  <c r="M178" i="43" s="1"/>
  <c r="Y178" i="43" a="1"/>
  <c r="Y178" i="43" s="1"/>
  <c r="U177" i="43" a="1"/>
  <c r="U177" i="43" s="1"/>
  <c r="AB177" i="43" a="1"/>
  <c r="AB177" i="43" s="1"/>
  <c r="J179" i="43" a="1"/>
  <c r="J179" i="43" s="1"/>
  <c r="X177" i="43" a="1"/>
  <c r="X177" i="43" s="1"/>
  <c r="AC177" i="43" a="1"/>
  <c r="AC177" i="43" s="1"/>
  <c r="AB179" i="43" a="1"/>
  <c r="AB179" i="43" s="1"/>
  <c r="P179" i="43" a="1"/>
  <c r="P179" i="43" s="1"/>
  <c r="L179" i="43" a="1"/>
  <c r="L179" i="43" s="1"/>
  <c r="S179" i="43" a="1"/>
  <c r="S179" i="43" s="1"/>
  <c r="AE179" i="43" a="1"/>
  <c r="AE179" i="43" s="1"/>
  <c r="AC179" i="43" a="1"/>
  <c r="AC179" i="43" s="1"/>
  <c r="AD179" i="43" a="1"/>
  <c r="AD179" i="43" s="1"/>
  <c r="AF179" i="43" a="1"/>
  <c r="AF179" i="43" s="1"/>
  <c r="Q179" i="43" a="1"/>
  <c r="Q179" i="43" s="1"/>
  <c r="I179" i="43" a="1"/>
  <c r="I179" i="43" s="1"/>
  <c r="W179" i="43" a="1"/>
  <c r="W179" i="43" s="1"/>
  <c r="U179" i="43" a="1"/>
  <c r="U179" i="43" s="1"/>
  <c r="AE356" i="12"/>
  <c r="AF30" i="14" s="1"/>
  <c r="V179" i="43" a="1"/>
  <c r="V179" i="43" s="1"/>
  <c r="O179" i="43" a="1"/>
  <c r="O179" i="43" s="1"/>
  <c r="K179" i="43" a="1"/>
  <c r="K179" i="43" s="1"/>
  <c r="M179" i="43" a="1"/>
  <c r="M179" i="43" s="1"/>
  <c r="R179" i="43" a="1"/>
  <c r="R179" i="43" s="1"/>
  <c r="AE353" i="12"/>
  <c r="J177" i="43" a="1"/>
  <c r="J177" i="43" s="1"/>
  <c r="L177" i="43" a="1"/>
  <c r="L177" i="43" s="1"/>
  <c r="M177" i="43" a="1"/>
  <c r="M177" i="43" s="1"/>
  <c r="AD177" i="43" a="1"/>
  <c r="AD177" i="43" s="1"/>
  <c r="AE177" i="43" a="1"/>
  <c r="AE177" i="43" s="1"/>
  <c r="N177" i="43" a="1"/>
  <c r="N177" i="43" s="1"/>
  <c r="O177" i="43" a="1"/>
  <c r="O177" i="43" s="1"/>
  <c r="AE357" i="12"/>
  <c r="AF140" i="14" s="1"/>
  <c r="Q177" i="43" a="1"/>
  <c r="Q177" i="43" s="1"/>
  <c r="K177" i="43" a="1"/>
  <c r="K177" i="43" s="1"/>
  <c r="Z177" i="43" a="1"/>
  <c r="Z177" i="43" s="1"/>
  <c r="S177" i="43" a="1"/>
  <c r="S177" i="43" s="1"/>
  <c r="R177" i="43" a="1"/>
  <c r="R177" i="43" s="1"/>
  <c r="AA177" i="43" a="1"/>
  <c r="AA177" i="43" s="1"/>
  <c r="H179" i="43" a="1"/>
  <c r="H179" i="43" s="1"/>
  <c r="T179" i="43" a="1"/>
  <c r="T179" i="43" s="1"/>
  <c r="Y179" i="43" a="1"/>
  <c r="Y179" i="43" s="1"/>
  <c r="N179" i="43" a="1"/>
  <c r="N179" i="43" s="1"/>
  <c r="AA179" i="43" a="1"/>
  <c r="AA179" i="43" s="1"/>
  <c r="X179" i="43" a="1"/>
  <c r="X179" i="43" s="1"/>
  <c r="AE354" i="12"/>
  <c r="Q215" i="43" s="1" a="1"/>
  <c r="Q215" i="43" s="1"/>
  <c r="T177" i="43" a="1"/>
  <c r="T177" i="43" s="1"/>
  <c r="I177" i="43" a="1"/>
  <c r="I177" i="43" s="1"/>
  <c r="W177" i="43" a="1"/>
  <c r="W177" i="43" s="1"/>
  <c r="H177" i="43" a="1"/>
  <c r="H177" i="43" s="1"/>
  <c r="V177" i="43" a="1"/>
  <c r="V177" i="43" s="1"/>
  <c r="AB178" i="43" a="1"/>
  <c r="AB178" i="43" s="1"/>
  <c r="R178" i="43" a="1"/>
  <c r="R178" i="43" s="1"/>
  <c r="Z178" i="43" a="1"/>
  <c r="Z178" i="43" s="1"/>
  <c r="W178" i="43" a="1"/>
  <c r="W178" i="43" s="1"/>
  <c r="I178" i="43" a="1"/>
  <c r="I178" i="43" s="1"/>
  <c r="Z181" i="43" a="1"/>
  <c r="Z181" i="43" s="1"/>
  <c r="V181" i="43" a="1"/>
  <c r="V181" i="43" s="1"/>
  <c r="AE181" i="43" a="1"/>
  <c r="AE181" i="43" s="1"/>
  <c r="J181" i="43" a="1"/>
  <c r="J181" i="43" s="1"/>
  <c r="AD181" i="43" a="1"/>
  <c r="AD181" i="43" s="1"/>
  <c r="W181" i="43" a="1"/>
  <c r="W181" i="43" s="1"/>
  <c r="Y181" i="43" a="1"/>
  <c r="Y181" i="43" s="1"/>
  <c r="S181" i="43" a="1"/>
  <c r="S181" i="43" s="1"/>
  <c r="T181" i="43" a="1"/>
  <c r="T181" i="43" s="1"/>
  <c r="AA181" i="43" a="1"/>
  <c r="AA181" i="43" s="1"/>
  <c r="K181" i="43" a="1"/>
  <c r="K181" i="43" s="1"/>
  <c r="O181" i="43" a="1"/>
  <c r="O181" i="43" s="1"/>
  <c r="AB181" i="43" a="1"/>
  <c r="AB181" i="43" s="1"/>
  <c r="AC181" i="43" a="1"/>
  <c r="AC181" i="43" s="1"/>
  <c r="L181" i="43" a="1"/>
  <c r="L181" i="43" s="1"/>
  <c r="I181" i="43" a="1"/>
  <c r="I181" i="43" s="1"/>
  <c r="H181" i="43" a="1"/>
  <c r="H181" i="43" s="1"/>
  <c r="Q181" i="43" a="1"/>
  <c r="Q181" i="43" s="1"/>
  <c r="P181" i="43" a="1"/>
  <c r="P181" i="43" s="1"/>
  <c r="R181" i="43" a="1"/>
  <c r="R181" i="43" s="1"/>
  <c r="M181" i="43" a="1"/>
  <c r="M181" i="43" s="1"/>
  <c r="N181" i="43" a="1"/>
  <c r="N181" i="43" s="1"/>
  <c r="AF181" i="43" a="1"/>
  <c r="AF181" i="43" s="1"/>
  <c r="U181" i="43" a="1"/>
  <c r="U181" i="43" s="1"/>
  <c r="X181" i="43" a="1"/>
  <c r="X181" i="43" s="1"/>
  <c r="AD180" i="43" a="1"/>
  <c r="AD180" i="43" s="1"/>
  <c r="M180" i="43" a="1"/>
  <c r="M180" i="43" s="1"/>
  <c r="O180" i="43" a="1"/>
  <c r="O180" i="43" s="1"/>
  <c r="P180" i="43" a="1"/>
  <c r="P180" i="43" s="1"/>
  <c r="S180" i="43" a="1"/>
  <c r="S180" i="43" s="1"/>
  <c r="AF180" i="43" a="1"/>
  <c r="AF180" i="43" s="1"/>
  <c r="J180" i="43" a="1"/>
  <c r="J180" i="43" s="1"/>
  <c r="AD218" i="43" a="1"/>
  <c r="AD218" i="43" s="1"/>
  <c r="W180" i="43" a="1"/>
  <c r="W180" i="43" s="1"/>
  <c r="AC180" i="43" a="1"/>
  <c r="AC180" i="43" s="1"/>
  <c r="Y180" i="43" a="1"/>
  <c r="Y180" i="43" s="1"/>
  <c r="AA180" i="43" a="1"/>
  <c r="AA180" i="43" s="1"/>
  <c r="H180" i="43" a="1"/>
  <c r="H180" i="43" s="1"/>
  <c r="X180" i="43" a="1"/>
  <c r="X180" i="43" s="1"/>
  <c r="T180" i="43" a="1"/>
  <c r="T180" i="43" s="1"/>
  <c r="AE180" i="43" a="1"/>
  <c r="AE180" i="43" s="1"/>
  <c r="K180" i="43" a="1"/>
  <c r="K180" i="43" s="1"/>
  <c r="U180" i="43" a="1"/>
  <c r="U180" i="43" s="1"/>
  <c r="N180" i="43" a="1"/>
  <c r="N180" i="43" s="1"/>
  <c r="V180" i="43" a="1"/>
  <c r="V180" i="43" s="1"/>
  <c r="I180" i="43" a="1"/>
  <c r="I180" i="43" s="1"/>
  <c r="Q180" i="43" a="1"/>
  <c r="Q180" i="43" s="1"/>
  <c r="L180" i="43" a="1"/>
  <c r="L180" i="43" s="1"/>
  <c r="Z180" i="43" a="1"/>
  <c r="Z180" i="43" s="1"/>
  <c r="AB180" i="43" a="1"/>
  <c r="AB180" i="43" s="1"/>
  <c r="AC210" i="43" a="1"/>
  <c r="AC210" i="43" s="1"/>
  <c r="AF136" i="14" l="1"/>
  <c r="AE367" i="12"/>
  <c r="AC208" i="43" a="1"/>
  <c r="AC208" i="43" s="1"/>
  <c r="T209" i="43" a="1"/>
  <c r="T209" i="43" s="1"/>
  <c r="S214" i="43" a="1"/>
  <c r="S214" i="43" s="1"/>
  <c r="Z218" i="43" a="1"/>
  <c r="Z218" i="43" s="1"/>
  <c r="U214" i="43" a="1"/>
  <c r="U214" i="43" s="1"/>
  <c r="AA214" i="43" a="1"/>
  <c r="AA214" i="43" s="1"/>
  <c r="AD214" i="43" a="1"/>
  <c r="AD214" i="43" s="1"/>
  <c r="N218" i="43" a="1"/>
  <c r="N218" i="43" s="1"/>
  <c r="T214" i="43" a="1"/>
  <c r="T214" i="43" s="1"/>
  <c r="X214" i="43" a="1"/>
  <c r="X214" i="43" s="1"/>
  <c r="U218" i="43" a="1"/>
  <c r="U218" i="43" s="1"/>
  <c r="K218" i="43" a="1"/>
  <c r="K218" i="43" s="1"/>
  <c r="AE214" i="43" a="1"/>
  <c r="AE214" i="43" s="1"/>
  <c r="H218" i="43" a="1"/>
  <c r="H218" i="43" s="1"/>
  <c r="Q218" i="43" a="1"/>
  <c r="Q218" i="43" s="1"/>
  <c r="AF139" i="14"/>
  <c r="H216" i="43" a="1"/>
  <c r="H216" i="43" s="1"/>
  <c r="I216" i="43" a="1"/>
  <c r="I216" i="43" s="1"/>
  <c r="K216" i="43" a="1"/>
  <c r="K216" i="43" s="1"/>
  <c r="N216" i="43" a="1"/>
  <c r="N216" i="43" s="1"/>
  <c r="AF66" i="14"/>
  <c r="R216" i="43" a="1"/>
  <c r="R216" i="43" s="1"/>
  <c r="S216" i="43" a="1"/>
  <c r="S216" i="43" s="1"/>
  <c r="AF65" i="14"/>
  <c r="AF27" i="14"/>
  <c r="W214" i="43" a="1"/>
  <c r="W214" i="43" s="1"/>
  <c r="J214" i="43" a="1"/>
  <c r="J214" i="43" s="1"/>
  <c r="H214" i="43" a="1"/>
  <c r="H214" i="43" s="1"/>
  <c r="AB214" i="43" a="1"/>
  <c r="AB214" i="43" s="1"/>
  <c r="L214" i="43" a="1"/>
  <c r="L214" i="43" s="1"/>
  <c r="R214" i="43" a="1"/>
  <c r="R214" i="43" s="1"/>
  <c r="AF31" i="14"/>
  <c r="AB218" i="43" a="1"/>
  <c r="AB218" i="43" s="1"/>
  <c r="AE218" i="43" a="1"/>
  <c r="AE218" i="43" s="1"/>
  <c r="S218" i="43" a="1"/>
  <c r="S218" i="43" s="1"/>
  <c r="AC218" i="43" a="1"/>
  <c r="AC218" i="43" s="1"/>
  <c r="M218" i="43" a="1"/>
  <c r="M218" i="43" s="1"/>
  <c r="V218" i="43" a="1"/>
  <c r="V218" i="43" s="1"/>
  <c r="AF214" i="43" a="1"/>
  <c r="AF214" i="43" s="1"/>
  <c r="I214" i="43" a="1"/>
  <c r="I214" i="43" s="1"/>
  <c r="M214" i="43" a="1"/>
  <c r="M214" i="43" s="1"/>
  <c r="N214" i="43" a="1"/>
  <c r="N214" i="43" s="1"/>
  <c r="P214" i="43" a="1"/>
  <c r="P214" i="43" s="1"/>
  <c r="AF63" i="14"/>
  <c r="R218" i="43" a="1"/>
  <c r="R218" i="43" s="1"/>
  <c r="I218" i="43" a="1"/>
  <c r="I218" i="43" s="1"/>
  <c r="X218" i="43" a="1"/>
  <c r="X218" i="43" s="1"/>
  <c r="AF218" i="43" a="1"/>
  <c r="AF218" i="43" s="1"/>
  <c r="O218" i="43" a="1"/>
  <c r="O218" i="43" s="1"/>
  <c r="Y218" i="43" a="1"/>
  <c r="Y218" i="43" s="1"/>
  <c r="AF67" i="14"/>
  <c r="Z214" i="43" a="1"/>
  <c r="Z214" i="43" s="1"/>
  <c r="O214" i="43" a="1"/>
  <c r="O214" i="43" s="1"/>
  <c r="K214" i="43" a="1"/>
  <c r="K214" i="43" s="1"/>
  <c r="V214" i="43" a="1"/>
  <c r="V214" i="43" s="1"/>
  <c r="Q214" i="43" a="1"/>
  <c r="Q214" i="43" s="1"/>
  <c r="AC214" i="43" a="1"/>
  <c r="AC214" i="43" s="1"/>
  <c r="Y214" i="43" a="1"/>
  <c r="Y214" i="43" s="1"/>
  <c r="L218" i="43" a="1"/>
  <c r="L218" i="43" s="1"/>
  <c r="T218" i="43" a="1"/>
  <c r="T218" i="43" s="1"/>
  <c r="AA218" i="43" a="1"/>
  <c r="AA218" i="43" s="1"/>
  <c r="J218" i="43" a="1"/>
  <c r="J218" i="43" s="1"/>
  <c r="P218" i="43" a="1"/>
  <c r="P218" i="43" s="1"/>
  <c r="W218" i="43" a="1"/>
  <c r="W218" i="43" s="1"/>
  <c r="Z216" i="43" a="1"/>
  <c r="Z216" i="43" s="1"/>
  <c r="M216" i="43" a="1"/>
  <c r="M216" i="43" s="1"/>
  <c r="Y216" i="43" a="1"/>
  <c r="Y216" i="43" s="1"/>
  <c r="T216" i="43" a="1"/>
  <c r="T216" i="43" s="1"/>
  <c r="X216" i="43" a="1"/>
  <c r="X216" i="43" s="1"/>
  <c r="W216" i="43" a="1"/>
  <c r="W216" i="43" s="1"/>
  <c r="AF138" i="14"/>
  <c r="AD216" i="43" a="1"/>
  <c r="AD216" i="43" s="1"/>
  <c r="J216" i="43" a="1"/>
  <c r="J216" i="43" s="1"/>
  <c r="AE216" i="43" a="1"/>
  <c r="AE216" i="43" s="1"/>
  <c r="AB216" i="43" a="1"/>
  <c r="AB216" i="43" s="1"/>
  <c r="L216" i="43" a="1"/>
  <c r="L216" i="43" s="1"/>
  <c r="P216" i="43" a="1"/>
  <c r="P216" i="43" s="1"/>
  <c r="Q216" i="43" a="1"/>
  <c r="Q216" i="43" s="1"/>
  <c r="AF29" i="14"/>
  <c r="V216" i="43" a="1"/>
  <c r="V216" i="43" s="1"/>
  <c r="U216" i="43" a="1"/>
  <c r="U216" i="43" s="1"/>
  <c r="AA216" i="43" a="1"/>
  <c r="AA216" i="43" s="1"/>
  <c r="AF216" i="43" a="1"/>
  <c r="AF216" i="43" s="1"/>
  <c r="O216" i="43" a="1"/>
  <c r="O216" i="43" s="1"/>
  <c r="R215" i="43" a="1"/>
  <c r="R215" i="43" s="1"/>
  <c r="L215" i="43" a="1"/>
  <c r="L215" i="43" s="1"/>
  <c r="AF64" i="14"/>
  <c r="X215" i="43" a="1"/>
  <c r="X215" i="43" s="1"/>
  <c r="V215" i="43" a="1"/>
  <c r="V215" i="43" s="1"/>
  <c r="AD215" i="43" a="1"/>
  <c r="AD215" i="43" s="1"/>
  <c r="M215" i="43" a="1"/>
  <c r="M215" i="43" s="1"/>
  <c r="H217" i="43" a="1"/>
  <c r="H217" i="43" s="1"/>
  <c r="I217" i="43" s="1" a="1"/>
  <c r="I217" i="43" s="1"/>
  <c r="J217" i="43" s="1" a="1"/>
  <c r="J217" i="43" s="1"/>
  <c r="K217" i="43" s="1" a="1"/>
  <c r="K217" i="43" s="1"/>
  <c r="L217" i="43" s="1" a="1"/>
  <c r="L217" i="43" s="1"/>
  <c r="M217" i="43" s="1" a="1"/>
  <c r="M217" i="43" s="1"/>
  <c r="N217" i="43" s="1" a="1"/>
  <c r="N217" i="43" s="1"/>
  <c r="O217" i="43" s="1" a="1"/>
  <c r="O217" i="43" s="1"/>
  <c r="P217" i="43" s="1" a="1"/>
  <c r="P217" i="43" s="1"/>
  <c r="Q217" i="43" s="1" a="1"/>
  <c r="Q217" i="43" s="1"/>
  <c r="R217" i="43" s="1" a="1"/>
  <c r="R217" i="43" s="1"/>
  <c r="AE215" i="43" a="1"/>
  <c r="AE215" i="43" s="1"/>
  <c r="Y215" i="43" a="1"/>
  <c r="Y215" i="43" s="1"/>
  <c r="AC215" i="43" a="1"/>
  <c r="AC215" i="43" s="1"/>
  <c r="AB215" i="43" a="1"/>
  <c r="AB215" i="43" s="1"/>
  <c r="J215" i="43" a="1"/>
  <c r="J215" i="43" s="1"/>
  <c r="AA215" i="43" a="1"/>
  <c r="AA215" i="43" s="1"/>
  <c r="AF137" i="14"/>
  <c r="AA7" i="20"/>
  <c r="I215" i="43" a="1"/>
  <c r="I215" i="43" s="1"/>
  <c r="AF215" i="43" a="1"/>
  <c r="AF215" i="43" s="1"/>
  <c r="T215" i="43" a="1"/>
  <c r="T215" i="43" s="1"/>
  <c r="O215" i="43" a="1"/>
  <c r="O215" i="43" s="1"/>
  <c r="W215" i="43" a="1"/>
  <c r="W215" i="43" s="1"/>
  <c r="S215" i="43" a="1"/>
  <c r="S215" i="43" s="1"/>
  <c r="U215" i="43" a="1"/>
  <c r="U215" i="43" s="1"/>
  <c r="AF28" i="14"/>
  <c r="K215" i="43" a="1"/>
  <c r="K215" i="43" s="1"/>
  <c r="Z215" i="43" a="1"/>
  <c r="Z215" i="43" s="1"/>
  <c r="H215" i="43" a="1"/>
  <c r="H215" i="43" s="1"/>
  <c r="N215" i="43" a="1"/>
  <c r="N215" i="43" s="1"/>
  <c r="P215" i="43" a="1"/>
  <c r="P215" i="43" s="1"/>
  <c r="AD210" i="43" a="1"/>
  <c r="AD210" i="43" s="1"/>
  <c r="AF192" i="14" l="1"/>
  <c r="AF175" i="14"/>
  <c r="AF176" i="14"/>
  <c r="AF190" i="14"/>
  <c r="AF189" i="14"/>
  <c r="AF191" i="14"/>
  <c r="AF188" i="14"/>
  <c r="AF173" i="14"/>
  <c r="AF174" i="14"/>
  <c r="AF177" i="14"/>
  <c r="U209" i="43" a="1"/>
  <c r="U209" i="43" s="1"/>
  <c r="AD208" i="43" a="1"/>
  <c r="AD208" i="43" s="1"/>
  <c r="S217" i="43" a="1"/>
  <c r="S217" i="43" s="1"/>
  <c r="AF100" i="14"/>
  <c r="AF103" i="14"/>
  <c r="AF104" i="14"/>
  <c r="AF101" i="14"/>
  <c r="G9" i="22" a="1"/>
  <c r="AF31" i="22" s="1"/>
  <c r="AF179" i="22" s="1"/>
  <c r="AF102" i="14"/>
  <c r="H120" i="22" a="1"/>
  <c r="T144" i="22" s="1"/>
  <c r="AA4" i="20"/>
  <c r="AA13" i="20" s="1"/>
  <c r="AE210" i="43" a="1"/>
  <c r="AE210" i="43" s="1"/>
  <c r="AF193" i="14" l="1"/>
  <c r="AE208" i="43" a="1"/>
  <c r="AE208" i="43" s="1"/>
  <c r="V209" i="43" a="1"/>
  <c r="V209" i="43" s="1"/>
  <c r="T217" i="43" a="1"/>
  <c r="T217" i="43" s="1"/>
  <c r="AF22" i="22"/>
  <c r="AF170" i="22" s="1"/>
  <c r="AE28" i="22"/>
  <c r="AE176" i="22" s="1"/>
  <c r="AD27" i="22"/>
  <c r="AD175" i="22" s="1"/>
  <c r="AF17" i="22"/>
  <c r="AF165" i="22" s="1"/>
  <c r="AD24" i="22"/>
  <c r="AD172" i="22" s="1"/>
  <c r="AB30" i="22"/>
  <c r="AB178" i="22" s="1"/>
  <c r="AA31" i="22"/>
  <c r="AA179" i="22" s="1"/>
  <c r="AA27" i="22"/>
  <c r="AA175" i="22" s="1"/>
  <c r="Z31" i="22"/>
  <c r="Z179" i="22" s="1"/>
  <c r="AA21" i="22"/>
  <c r="AA169" i="22" s="1"/>
  <c r="Y30" i="22"/>
  <c r="Y178" i="22" s="1"/>
  <c r="Z21" i="22"/>
  <c r="Z169" i="22" s="1"/>
  <c r="AC18" i="22"/>
  <c r="AC166" i="22" s="1"/>
  <c r="X31" i="22"/>
  <c r="X179" i="22" s="1"/>
  <c r="AB12" i="22"/>
  <c r="AB160" i="22" s="1"/>
  <c r="X23" i="22"/>
  <c r="X171" i="22" s="1"/>
  <c r="W28" i="22"/>
  <c r="W176" i="22" s="1"/>
  <c r="AD34" i="22"/>
  <c r="AD182" i="22" s="1"/>
  <c r="Z11" i="22"/>
  <c r="Z159" i="22" s="1"/>
  <c r="Z16" i="22"/>
  <c r="Z164" i="22" s="1"/>
  <c r="AB34" i="22"/>
  <c r="AB182" i="22" s="1"/>
  <c r="Y17" i="22"/>
  <c r="Y165" i="22" s="1"/>
  <c r="V24" i="22"/>
  <c r="V172" i="22" s="1"/>
  <c r="X12" i="22"/>
  <c r="X160" i="22" s="1"/>
  <c r="X18" i="22"/>
  <c r="X166" i="22" s="1"/>
  <c r="T31" i="22"/>
  <c r="T179" i="22" s="1"/>
  <c r="W12" i="22"/>
  <c r="W160" i="22" s="1"/>
  <c r="Y34" i="22"/>
  <c r="Y182" i="22" s="1"/>
  <c r="V9" i="22"/>
  <c r="V157" i="22" s="1"/>
  <c r="V18" i="22"/>
  <c r="V166" i="22" s="1"/>
  <c r="S24" i="22"/>
  <c r="S172" i="22" s="1"/>
  <c r="U11" i="22"/>
  <c r="U159" i="22" s="1"/>
  <c r="U15" i="22"/>
  <c r="U163" i="22" s="1"/>
  <c r="V38" i="22"/>
  <c r="V186" i="22" s="1"/>
  <c r="R23" i="22"/>
  <c r="R171" i="22" s="1"/>
  <c r="AE35" i="22"/>
  <c r="AE183" i="22" s="1"/>
  <c r="S10" i="22"/>
  <c r="S158" i="22" s="1"/>
  <c r="W37" i="22"/>
  <c r="W185" i="22" s="1"/>
  <c r="R11" i="22"/>
  <c r="R159" i="22" s="1"/>
  <c r="R17" i="22"/>
  <c r="R165" i="22" s="1"/>
  <c r="AB35" i="22"/>
  <c r="AB183" i="22" s="1"/>
  <c r="O27" i="22"/>
  <c r="O175" i="22" s="1"/>
  <c r="Q11" i="22"/>
  <c r="Q159" i="22" s="1"/>
  <c r="Q15" i="22"/>
  <c r="Q163" i="22" s="1"/>
  <c r="AA36" i="22"/>
  <c r="AA184" i="22" s="1"/>
  <c r="P16" i="22"/>
  <c r="P164" i="22" s="1"/>
  <c r="P18" i="22"/>
  <c r="P166" i="22" s="1"/>
  <c r="Q34" i="22"/>
  <c r="Q182" i="22" s="1"/>
  <c r="S37" i="22"/>
  <c r="S185" i="22" s="1"/>
  <c r="W36" i="22"/>
  <c r="W184" i="22" s="1"/>
  <c r="N17" i="22"/>
  <c r="N165" i="22" s="1"/>
  <c r="N9" i="22"/>
  <c r="N157" i="22" s="1"/>
  <c r="N18" i="22"/>
  <c r="N166" i="22" s="1"/>
  <c r="L28" i="22"/>
  <c r="L176" i="22" s="1"/>
  <c r="Q37" i="22"/>
  <c r="Q185" i="22" s="1"/>
  <c r="K27" i="22"/>
  <c r="K175" i="22" s="1"/>
  <c r="L11" i="22"/>
  <c r="L159" i="22" s="1"/>
  <c r="L10" i="22"/>
  <c r="L158" i="22" s="1"/>
  <c r="P35" i="22"/>
  <c r="P183" i="22" s="1"/>
  <c r="K16" i="22"/>
  <c r="K164" i="22" s="1"/>
  <c r="K12" i="22"/>
  <c r="K160" i="22" s="1"/>
  <c r="K23" i="22"/>
  <c r="K171" i="22" s="1"/>
  <c r="J16" i="22"/>
  <c r="J164" i="22" s="1"/>
  <c r="J10" i="22"/>
  <c r="J158" i="22" s="1"/>
  <c r="I27" i="22"/>
  <c r="I175" i="22" s="1"/>
  <c r="I24" i="22"/>
  <c r="I172" i="22" s="1"/>
  <c r="I18" i="22"/>
  <c r="I166" i="22" s="1"/>
  <c r="J34" i="22"/>
  <c r="J182" i="22" s="1"/>
  <c r="J35" i="22"/>
  <c r="J183" i="22" s="1"/>
  <c r="J36" i="22"/>
  <c r="J184" i="22" s="1"/>
  <c r="H31" i="22"/>
  <c r="H179" i="22" s="1"/>
  <c r="H39" i="22"/>
  <c r="H187" i="22" s="1"/>
  <c r="G29" i="22"/>
  <c r="G177" i="22" s="1"/>
  <c r="K33" i="22"/>
  <c r="G33" i="22"/>
  <c r="K25" i="22"/>
  <c r="W20" i="22"/>
  <c r="AD26" i="22"/>
  <c r="S25" i="22"/>
  <c r="S26" i="22"/>
  <c r="M14" i="22"/>
  <c r="S33" i="22"/>
  <c r="G38" i="22"/>
  <c r="G186" i="22" s="1"/>
  <c r="U25" i="22"/>
  <c r="W33" i="22"/>
  <c r="M13" i="22"/>
  <c r="U14" i="22"/>
  <c r="AF23" i="22"/>
  <c r="AF171" i="22" s="1"/>
  <c r="AE27" i="22"/>
  <c r="AE175" i="22" s="1"/>
  <c r="AD28" i="22"/>
  <c r="AD176" i="22" s="1"/>
  <c r="AF10" i="22"/>
  <c r="AF158" i="22" s="1"/>
  <c r="AF15" i="22"/>
  <c r="AF163" i="22" s="1"/>
  <c r="AB27" i="22"/>
  <c r="AB175" i="22" s="1"/>
  <c r="AF9" i="22"/>
  <c r="AF157" i="22" s="1"/>
  <c r="AA28" i="22"/>
  <c r="AA176" i="22" s="1"/>
  <c r="Z29" i="22"/>
  <c r="Z177" i="22" s="1"/>
  <c r="Z28" i="22"/>
  <c r="Z176" i="22" s="1"/>
  <c r="Y31" i="22"/>
  <c r="Y179" i="22" s="1"/>
  <c r="AD15" i="22"/>
  <c r="AD163" i="22" s="1"/>
  <c r="AC9" i="22"/>
  <c r="AC157" i="22" s="1"/>
  <c r="Y21" i="22"/>
  <c r="Y169" i="22" s="1"/>
  <c r="AB9" i="22"/>
  <c r="AB157" i="22" s="1"/>
  <c r="AF39" i="22"/>
  <c r="AF187" i="22" s="1"/>
  <c r="AA10" i="22"/>
  <c r="AA158" i="22" s="1"/>
  <c r="AA15" i="22"/>
  <c r="AA163" i="22" s="1"/>
  <c r="AC34" i="22"/>
  <c r="AC182" i="22" s="1"/>
  <c r="AE39" i="22"/>
  <c r="AE187" i="22" s="1"/>
  <c r="V28" i="22"/>
  <c r="V176" i="22" s="1"/>
  <c r="U31" i="22"/>
  <c r="U179" i="22" s="1"/>
  <c r="Y16" i="22"/>
  <c r="Y164" i="22" s="1"/>
  <c r="AA34" i="22"/>
  <c r="AA182" i="22" s="1"/>
  <c r="X17" i="22"/>
  <c r="X165" i="22" s="1"/>
  <c r="T28" i="22"/>
  <c r="T176" i="22" s="1"/>
  <c r="W10" i="22"/>
  <c r="W158" i="22" s="1"/>
  <c r="W15" i="22"/>
  <c r="W163" i="22" s="1"/>
  <c r="S29" i="22"/>
  <c r="S177" i="22" s="1"/>
  <c r="S27" i="22"/>
  <c r="S175" i="22" s="1"/>
  <c r="Z39" i="22"/>
  <c r="Z187" i="22" s="1"/>
  <c r="S23" i="22"/>
  <c r="S171" i="22" s="1"/>
  <c r="R30" i="22"/>
  <c r="R178" i="22" s="1"/>
  <c r="T10" i="22"/>
  <c r="T158" i="22" s="1"/>
  <c r="T15" i="22"/>
  <c r="T163" i="22" s="1"/>
  <c r="Q29" i="22"/>
  <c r="Q177" i="22" s="1"/>
  <c r="Q27" i="22"/>
  <c r="Q175" i="22" s="1"/>
  <c r="AD35" i="22"/>
  <c r="AD183" i="22" s="1"/>
  <c r="P30" i="22"/>
  <c r="P178" i="22" s="1"/>
  <c r="P28" i="22"/>
  <c r="P176" i="22" s="1"/>
  <c r="V39" i="22"/>
  <c r="V187" i="22" s="1"/>
  <c r="O28" i="22"/>
  <c r="O176" i="22" s="1"/>
  <c r="O31" i="22"/>
  <c r="O179" i="22" s="1"/>
  <c r="U39" i="22"/>
  <c r="U187" i="22" s="1"/>
  <c r="R38" i="22"/>
  <c r="R186" i="22" s="1"/>
  <c r="N27" i="22"/>
  <c r="N175" i="22" s="1"/>
  <c r="Z36" i="22"/>
  <c r="Z184" i="22" s="1"/>
  <c r="W35" i="22"/>
  <c r="W183" i="22" s="1"/>
  <c r="M27" i="22"/>
  <c r="M175" i="22" s="1"/>
  <c r="M31" i="22"/>
  <c r="M179" i="22" s="1"/>
  <c r="O17" i="22"/>
  <c r="O165" i="22" s="1"/>
  <c r="N10" i="22"/>
  <c r="N158" i="22" s="1"/>
  <c r="L31" i="22"/>
  <c r="L179" i="22" s="1"/>
  <c r="O38" i="22"/>
  <c r="O186" i="22" s="1"/>
  <c r="M11" i="22"/>
  <c r="M159" i="22" s="1"/>
  <c r="N38" i="22"/>
  <c r="N186" i="22" s="1"/>
  <c r="Q35" i="22"/>
  <c r="Q183" i="22" s="1"/>
  <c r="R36" i="22"/>
  <c r="R184" i="22" s="1"/>
  <c r="L15" i="22"/>
  <c r="L163" i="22" s="1"/>
  <c r="N39" i="22"/>
  <c r="N187" i="22" s="1"/>
  <c r="K9" i="22"/>
  <c r="K157" i="22" s="1"/>
  <c r="P36" i="22"/>
  <c r="P184" i="22" s="1"/>
  <c r="J11" i="22"/>
  <c r="J159" i="22" s="1"/>
  <c r="J18" i="22"/>
  <c r="J166" i="22" s="1"/>
  <c r="K34" i="22"/>
  <c r="K182" i="22" s="1"/>
  <c r="I23" i="22"/>
  <c r="I171" i="22" s="1"/>
  <c r="I15" i="22"/>
  <c r="I163" i="22" s="1"/>
  <c r="J38" i="22"/>
  <c r="J186" i="22" s="1"/>
  <c r="H22" i="22"/>
  <c r="H170" i="22" s="1"/>
  <c r="I38" i="22"/>
  <c r="I186" i="22" s="1"/>
  <c r="H17" i="22"/>
  <c r="H165" i="22" s="1"/>
  <c r="H36" i="22"/>
  <c r="H184" i="22" s="1"/>
  <c r="G22" i="22"/>
  <c r="G170" i="22" s="1"/>
  <c r="T26" i="22"/>
  <c r="AF20" i="22"/>
  <c r="AA32" i="22"/>
  <c r="Y14" i="22"/>
  <c r="K26" i="22"/>
  <c r="AD13" i="22"/>
  <c r="V13" i="22"/>
  <c r="Z20" i="22"/>
  <c r="L26" i="22"/>
  <c r="J19" i="22"/>
  <c r="I13" i="22"/>
  <c r="L25" i="22"/>
  <c r="W26" i="22"/>
  <c r="AB13" i="22"/>
  <c r="AF29" i="22"/>
  <c r="AF177" i="22" s="1"/>
  <c r="AD29" i="22"/>
  <c r="AD177" i="22" s="1"/>
  <c r="AE23" i="22"/>
  <c r="AE171" i="22" s="1"/>
  <c r="AC30" i="22"/>
  <c r="AC178" i="22" s="1"/>
  <c r="AD23" i="22"/>
  <c r="AD171" i="22" s="1"/>
  <c r="AC21" i="22"/>
  <c r="AC169" i="22" s="1"/>
  <c r="AA30" i="22"/>
  <c r="AA178" i="22" s="1"/>
  <c r="AE10" i="22"/>
  <c r="AE158" i="22" s="1"/>
  <c r="AE16" i="22"/>
  <c r="AE164" i="22" s="1"/>
  <c r="AD12" i="22"/>
  <c r="AD160" i="22" s="1"/>
  <c r="AD17" i="22"/>
  <c r="AD165" i="22" s="1"/>
  <c r="AC11" i="22"/>
  <c r="AC159" i="22" s="1"/>
  <c r="X27" i="22"/>
  <c r="X175" i="22" s="1"/>
  <c r="AB11" i="22"/>
  <c r="AB159" i="22" s="1"/>
  <c r="AB18" i="22"/>
  <c r="AB166" i="22" s="1"/>
  <c r="W31" i="22"/>
  <c r="W179" i="22" s="1"/>
  <c r="AD38" i="22"/>
  <c r="AD186" i="22" s="1"/>
  <c r="W21" i="22"/>
  <c r="W169" i="22" s="1"/>
  <c r="W22" i="22"/>
  <c r="W170" i="22" s="1"/>
  <c r="V30" i="22"/>
  <c r="V178" i="22" s="1"/>
  <c r="Y10" i="22"/>
  <c r="Y158" i="22" s="1"/>
  <c r="U29" i="22"/>
  <c r="U177" i="22" s="1"/>
  <c r="V23" i="22"/>
  <c r="V171" i="22" s="1"/>
  <c r="X10" i="22"/>
  <c r="X158" i="22" s="1"/>
  <c r="U24" i="22"/>
  <c r="U172" i="22" s="1"/>
  <c r="U21" i="22"/>
  <c r="U169" i="22" s="1"/>
  <c r="W17" i="22"/>
  <c r="W165" i="22" s="1"/>
  <c r="T21" i="22"/>
  <c r="T169" i="22" s="1"/>
  <c r="V10" i="22"/>
  <c r="V158" i="22" s="1"/>
  <c r="X38" i="22"/>
  <c r="X186" i="22" s="1"/>
  <c r="S22" i="22"/>
  <c r="S170" i="22" s="1"/>
  <c r="U18" i="22"/>
  <c r="U166" i="22" s="1"/>
  <c r="R31" i="22"/>
  <c r="R179" i="22" s="1"/>
  <c r="X39" i="22"/>
  <c r="X187" i="22" s="1"/>
  <c r="Q30" i="22"/>
  <c r="Q178" i="22" s="1"/>
  <c r="S11" i="22"/>
  <c r="S159" i="22" s="1"/>
  <c r="S17" i="22"/>
  <c r="S165" i="22" s="1"/>
  <c r="Q24" i="22"/>
  <c r="Q172" i="22" s="1"/>
  <c r="P27" i="22"/>
  <c r="P175" i="22" s="1"/>
  <c r="AC35" i="22"/>
  <c r="AC183" i="22" s="1"/>
  <c r="P22" i="22"/>
  <c r="P170" i="22" s="1"/>
  <c r="AC36" i="22"/>
  <c r="AC184" i="22" s="1"/>
  <c r="AA35" i="22"/>
  <c r="AA183" i="22" s="1"/>
  <c r="R34" i="22"/>
  <c r="R182" i="22" s="1"/>
  <c r="Z35" i="22"/>
  <c r="Z183" i="22" s="1"/>
  <c r="N29" i="22"/>
  <c r="N177" i="22" s="1"/>
  <c r="X35" i="22"/>
  <c r="X183" i="22" s="1"/>
  <c r="X36" i="22"/>
  <c r="X184" i="22" s="1"/>
  <c r="N24" i="22"/>
  <c r="N172" i="22" s="1"/>
  <c r="V35" i="22"/>
  <c r="V183" i="22" s="1"/>
  <c r="U35" i="22"/>
  <c r="U183" i="22" s="1"/>
  <c r="L30" i="22"/>
  <c r="L178" i="22" s="1"/>
  <c r="M22" i="22"/>
  <c r="M170" i="22" s="1"/>
  <c r="M9" i="22"/>
  <c r="M157" i="22" s="1"/>
  <c r="S36" i="22"/>
  <c r="S184" i="22" s="1"/>
  <c r="P39" i="22"/>
  <c r="P187" i="22" s="1"/>
  <c r="L23" i="22"/>
  <c r="L171" i="22" s="1"/>
  <c r="O39" i="22"/>
  <c r="O187" i="22" s="1"/>
  <c r="K15" i="22"/>
  <c r="K163" i="22" s="1"/>
  <c r="K10" i="22"/>
  <c r="K158" i="22" s="1"/>
  <c r="J31" i="22"/>
  <c r="J179" i="22" s="1"/>
  <c r="O36" i="22"/>
  <c r="O184" i="22" s="1"/>
  <c r="J9" i="22"/>
  <c r="J157" i="22" s="1"/>
  <c r="I31" i="22"/>
  <c r="I179" i="22" s="1"/>
  <c r="I29" i="22"/>
  <c r="I177" i="22" s="1"/>
  <c r="I16" i="22"/>
  <c r="I164" i="22" s="1"/>
  <c r="I22" i="22"/>
  <c r="I170" i="22" s="1"/>
  <c r="H30" i="22"/>
  <c r="H178" i="22" s="1"/>
  <c r="H9" i="22"/>
  <c r="H157" i="22" s="1"/>
  <c r="I35" i="22"/>
  <c r="I183" i="22" s="1"/>
  <c r="H24" i="22"/>
  <c r="H172" i="22" s="1"/>
  <c r="G28" i="22"/>
  <c r="G176" i="22" s="1"/>
  <c r="G21" i="22"/>
  <c r="G169" i="22" s="1"/>
  <c r="K32" i="22"/>
  <c r="J20" i="22"/>
  <c r="O13" i="22"/>
  <c r="AE26" i="22"/>
  <c r="W14" i="22"/>
  <c r="V33" i="22"/>
  <c r="H20" i="22"/>
  <c r="X32" i="22"/>
  <c r="AD33" i="22"/>
  <c r="Z32" i="22"/>
  <c r="R25" i="22"/>
  <c r="X19" i="22"/>
  <c r="L20" i="22"/>
  <c r="Y20" i="22"/>
  <c r="AF27" i="22"/>
  <c r="AF175" i="22" s="1"/>
  <c r="AF38" i="22"/>
  <c r="AF186" i="22" s="1"/>
  <c r="AE22" i="22"/>
  <c r="AE170" i="22" s="1"/>
  <c r="AF18" i="22"/>
  <c r="AF166" i="22" s="1"/>
  <c r="AC28" i="22"/>
  <c r="AC176" i="22" s="1"/>
  <c r="AC23" i="22"/>
  <c r="AC171" i="22" s="1"/>
  <c r="AB21" i="22"/>
  <c r="AB169" i="22" s="1"/>
  <c r="AE12" i="22"/>
  <c r="AE160" i="22" s="1"/>
  <c r="AA23" i="22"/>
  <c r="AA171" i="22" s="1"/>
  <c r="AD11" i="22"/>
  <c r="AD159" i="22" s="1"/>
  <c r="Y29" i="22"/>
  <c r="Y177" i="22" s="1"/>
  <c r="Z22" i="22"/>
  <c r="Z170" i="22" s="1"/>
  <c r="AC16" i="22"/>
  <c r="AC164" i="22" s="1"/>
  <c r="Y23" i="22"/>
  <c r="Y171" i="22" s="1"/>
  <c r="AB17" i="22"/>
  <c r="AB165" i="22" s="1"/>
  <c r="AA11" i="22"/>
  <c r="AA159" i="22" s="1"/>
  <c r="W27" i="22"/>
  <c r="W175" i="22" s="1"/>
  <c r="Z9" i="22"/>
  <c r="Z157" i="22" s="1"/>
  <c r="W23" i="22"/>
  <c r="W171" i="22" s="1"/>
  <c r="Z18" i="22"/>
  <c r="Z166" i="22" s="1"/>
  <c r="Y9" i="22"/>
  <c r="Y157" i="22" s="1"/>
  <c r="Y18" i="22"/>
  <c r="Y166" i="22" s="1"/>
  <c r="U28" i="22"/>
  <c r="U176" i="22" s="1"/>
  <c r="Z38" i="22"/>
  <c r="Z186" i="22" s="1"/>
  <c r="T29" i="22"/>
  <c r="T177" i="22" s="1"/>
  <c r="T27" i="22"/>
  <c r="T175" i="22" s="1"/>
  <c r="W16" i="22"/>
  <c r="W164" i="22" s="1"/>
  <c r="T24" i="22"/>
  <c r="T172" i="22" s="1"/>
  <c r="S31" i="22"/>
  <c r="S179" i="22" s="1"/>
  <c r="V16" i="22"/>
  <c r="V164" i="22" s="1"/>
  <c r="U12" i="22"/>
  <c r="U160" i="22" s="1"/>
  <c r="W38" i="22"/>
  <c r="W186" i="22" s="1"/>
  <c r="R27" i="22"/>
  <c r="R175" i="22" s="1"/>
  <c r="R24" i="22"/>
  <c r="R172" i="22" s="1"/>
  <c r="V34" i="22"/>
  <c r="V182" i="22" s="1"/>
  <c r="U34" i="22"/>
  <c r="U182" i="22" s="1"/>
  <c r="S18" i="22"/>
  <c r="S166" i="22" s="1"/>
  <c r="Q21" i="22"/>
  <c r="Q169" i="22" s="1"/>
  <c r="R12" i="22"/>
  <c r="R160" i="22" s="1"/>
  <c r="R15" i="22"/>
  <c r="R163" i="22" s="1"/>
  <c r="AD36" i="22"/>
  <c r="AD184" i="22" s="1"/>
  <c r="Q12" i="22"/>
  <c r="Q160" i="22" s="1"/>
  <c r="Q17" i="22"/>
  <c r="Q165" i="22" s="1"/>
  <c r="O24" i="22"/>
  <c r="O172" i="22" s="1"/>
  <c r="P10" i="22"/>
  <c r="P158" i="22" s="1"/>
  <c r="O23" i="22"/>
  <c r="O171" i="22" s="1"/>
  <c r="N30" i="22"/>
  <c r="N178" i="22" s="1"/>
  <c r="S39" i="22"/>
  <c r="S187" i="22" s="1"/>
  <c r="M29" i="22"/>
  <c r="M177" i="22" s="1"/>
  <c r="R39" i="22"/>
  <c r="R187" i="22" s="1"/>
  <c r="N16" i="22"/>
  <c r="N164" i="22" s="1"/>
  <c r="L27" i="22"/>
  <c r="L175" i="22" s="1"/>
  <c r="Q39" i="22"/>
  <c r="Q187" i="22" s="1"/>
  <c r="M17" i="22"/>
  <c r="M165" i="22" s="1"/>
  <c r="M15" i="22"/>
  <c r="M163" i="22" s="1"/>
  <c r="K29" i="22"/>
  <c r="K177" i="22" s="1"/>
  <c r="L22" i="22"/>
  <c r="L170" i="22" s="1"/>
  <c r="L16" i="22"/>
  <c r="L164" i="22" s="1"/>
  <c r="M38" i="22"/>
  <c r="M186" i="22" s="1"/>
  <c r="J28" i="22"/>
  <c r="J176" i="22" s="1"/>
  <c r="K24" i="22"/>
  <c r="K172" i="22" s="1"/>
  <c r="N35" i="22"/>
  <c r="N183" i="22" s="1"/>
  <c r="J24" i="22"/>
  <c r="J172" i="22" s="1"/>
  <c r="I30" i="22"/>
  <c r="I178" i="22" s="1"/>
  <c r="M35" i="22"/>
  <c r="M183" i="22" s="1"/>
  <c r="I17" i="22"/>
  <c r="I165" i="22" s="1"/>
  <c r="L35" i="22"/>
  <c r="L183" i="22" s="1"/>
  <c r="H27" i="22"/>
  <c r="H175" i="22" s="1"/>
  <c r="J39" i="22"/>
  <c r="J187" i="22" s="1"/>
  <c r="H23" i="22"/>
  <c r="H171" i="22" s="1"/>
  <c r="H11" i="22"/>
  <c r="H159" i="22" s="1"/>
  <c r="H34" i="22"/>
  <c r="H182" i="22" s="1"/>
  <c r="G30" i="22"/>
  <c r="G178" i="22" s="1"/>
  <c r="AB33" i="22"/>
  <c r="L13" i="22"/>
  <c r="G15" i="22"/>
  <c r="G163" i="22" s="1"/>
  <c r="AE33" i="22"/>
  <c r="G32" i="22"/>
  <c r="Q13" i="22"/>
  <c r="I19" i="22"/>
  <c r="R20" i="22"/>
  <c r="P32" i="22"/>
  <c r="AA20" i="22"/>
  <c r="T13" i="22"/>
  <c r="P20" i="22"/>
  <c r="AF32" i="22"/>
  <c r="AF26" i="22"/>
  <c r="V25" i="22"/>
  <c r="L33" i="22"/>
  <c r="R26" i="22"/>
  <c r="N20" i="22"/>
  <c r="G26" i="22"/>
  <c r="AE25" i="22"/>
  <c r="AA25" i="22"/>
  <c r="M20" i="22"/>
  <c r="AD32" i="22"/>
  <c r="U20" i="22"/>
  <c r="S32" i="22"/>
  <c r="I33" i="22"/>
  <c r="K13" i="22"/>
  <c r="U26" i="22"/>
  <c r="G11" i="22"/>
  <c r="G159" i="22" s="1"/>
  <c r="U32" i="22"/>
  <c r="G14" i="22"/>
  <c r="X14" i="22"/>
  <c r="G12" i="22"/>
  <c r="G160" i="22" s="1"/>
  <c r="O32" i="22"/>
  <c r="AC19" i="22"/>
  <c r="AC25" i="22"/>
  <c r="V14" i="22"/>
  <c r="X33" i="22"/>
  <c r="Q14" i="22"/>
  <c r="AC26" i="22"/>
  <c r="L19" i="22"/>
  <c r="AE14" i="22"/>
  <c r="P13" i="22"/>
  <c r="H32" i="22"/>
  <c r="I25" i="22"/>
  <c r="J25" i="22"/>
  <c r="O19" i="22"/>
  <c r="Y13" i="22"/>
  <c r="H14" i="22"/>
  <c r="Q20" i="22"/>
  <c r="AF19" i="22"/>
  <c r="G16" i="22"/>
  <c r="G164" i="22" s="1"/>
  <c r="AB19" i="22"/>
  <c r="Q32" i="22"/>
  <c r="K20" i="22"/>
  <c r="J33" i="22"/>
  <c r="AB25" i="22"/>
  <c r="I20" i="22"/>
  <c r="Y26" i="22"/>
  <c r="S14" i="22"/>
  <c r="G34" i="22"/>
  <c r="G182" i="22" s="1"/>
  <c r="Z33" i="22"/>
  <c r="U19" i="22"/>
  <c r="X13" i="22"/>
  <c r="O33" i="22"/>
  <c r="AD19" i="22"/>
  <c r="K19" i="22"/>
  <c r="K14" i="22"/>
  <c r="AF30" i="22"/>
  <c r="AF178" i="22" s="1"/>
  <c r="AF28" i="22"/>
  <c r="AF176" i="22" s="1"/>
  <c r="AE31" i="22"/>
  <c r="AE179" i="22" s="1"/>
  <c r="AF21" i="22"/>
  <c r="AF169" i="22" s="1"/>
  <c r="AD31" i="22"/>
  <c r="AD179" i="22" s="1"/>
  <c r="AE21" i="22"/>
  <c r="AE169" i="22" s="1"/>
  <c r="AC29" i="22"/>
  <c r="AC177" i="22" s="1"/>
  <c r="AF11" i="22"/>
  <c r="AF159" i="22" s="1"/>
  <c r="AF12" i="22"/>
  <c r="AF160" i="22" s="1"/>
  <c r="AD22" i="22"/>
  <c r="AD170" i="22" s="1"/>
  <c r="AB28" i="22"/>
  <c r="AB176" i="22" s="1"/>
  <c r="AC24" i="22"/>
  <c r="AC172" i="22" s="1"/>
  <c r="AC22" i="22"/>
  <c r="AC170" i="22" s="1"/>
  <c r="AA29" i="22"/>
  <c r="AA177" i="22" s="1"/>
  <c r="AB22" i="22"/>
  <c r="AB170" i="22" s="1"/>
  <c r="AE11" i="22"/>
  <c r="AE159" i="22" s="1"/>
  <c r="AE18" i="22"/>
  <c r="AE166" i="22" s="1"/>
  <c r="AE15" i="22"/>
  <c r="AE163" i="22" s="1"/>
  <c r="AA24" i="22"/>
  <c r="AA172" i="22" s="1"/>
  <c r="AF34" i="22"/>
  <c r="AF182" i="22" s="1"/>
  <c r="AD10" i="22"/>
  <c r="AD158" i="22" s="1"/>
  <c r="Y28" i="22"/>
  <c r="Y176" i="22" s="1"/>
  <c r="AD16" i="22"/>
  <c r="AD164" i="22" s="1"/>
  <c r="Z24" i="22"/>
  <c r="Z172" i="22" s="1"/>
  <c r="AC12" i="22"/>
  <c r="AC160" i="22" s="1"/>
  <c r="AC17" i="22"/>
  <c r="AC165" i="22" s="1"/>
  <c r="X28" i="22"/>
  <c r="X176" i="22" s="1"/>
  <c r="X30" i="22"/>
  <c r="X178" i="22" s="1"/>
  <c r="Y22" i="22"/>
  <c r="Y170" i="22" s="1"/>
  <c r="AB15" i="22"/>
  <c r="AB163" i="22" s="1"/>
  <c r="AE34" i="22"/>
  <c r="AE182" i="22" s="1"/>
  <c r="X22" i="22"/>
  <c r="X170" i="22" s="1"/>
  <c r="X21" i="22"/>
  <c r="X169" i="22" s="1"/>
  <c r="W29" i="22"/>
  <c r="W177" i="22" s="1"/>
  <c r="AA16" i="22"/>
  <c r="AA164" i="22" s="1"/>
  <c r="AA18" i="22"/>
  <c r="AA166" i="22" s="1"/>
  <c r="Z10" i="22"/>
  <c r="Z158" i="22" s="1"/>
  <c r="AC38" i="22"/>
  <c r="AC186" i="22" s="1"/>
  <c r="W24" i="22"/>
  <c r="W172" i="22" s="1"/>
  <c r="AE37" i="22"/>
  <c r="AE185" i="22" s="1"/>
  <c r="Z15" i="22"/>
  <c r="Z163" i="22" s="1"/>
  <c r="AD39" i="22"/>
  <c r="AD187" i="22" s="1"/>
  <c r="Y11" i="22"/>
  <c r="Y159" i="22" s="1"/>
  <c r="V21" i="22"/>
  <c r="V169" i="22" s="1"/>
  <c r="AA38" i="22"/>
  <c r="AA186" i="22" s="1"/>
  <c r="V22" i="22"/>
  <c r="V170" i="22" s="1"/>
  <c r="AC39" i="22"/>
  <c r="AC187" i="22" s="1"/>
  <c r="X11" i="22"/>
  <c r="X159" i="22" s="1"/>
  <c r="Z34" i="22"/>
  <c r="Z182" i="22" s="1"/>
  <c r="AC37" i="22"/>
  <c r="AC185" i="22" s="1"/>
  <c r="U23" i="22"/>
  <c r="U171" i="22" s="1"/>
  <c r="T30" i="22"/>
  <c r="T178" i="22" s="1"/>
  <c r="W9" i="22"/>
  <c r="W157" i="22" s="1"/>
  <c r="AB37" i="22"/>
  <c r="AB185" i="22" s="1"/>
  <c r="Y38" i="22"/>
  <c r="Y186" i="22" s="1"/>
  <c r="T23" i="22"/>
  <c r="T171" i="22" s="1"/>
  <c r="S30" i="22"/>
  <c r="S178" i="22" s="1"/>
  <c r="V12" i="22"/>
  <c r="V160" i="22" s="1"/>
  <c r="T22" i="22"/>
  <c r="T170" i="22" s="1"/>
  <c r="V15" i="22"/>
  <c r="V163" i="22" s="1"/>
  <c r="X34" i="22"/>
  <c r="X182" i="22" s="1"/>
  <c r="U9" i="22"/>
  <c r="U157" i="22" s="1"/>
  <c r="Z37" i="22"/>
  <c r="Z185" i="22" s="1"/>
  <c r="Y39" i="22"/>
  <c r="Y187" i="22" s="1"/>
  <c r="U16" i="22"/>
  <c r="U164" i="22" s="1"/>
  <c r="Y37" i="22"/>
  <c r="Y185" i="22" s="1"/>
  <c r="R29" i="22"/>
  <c r="R177" i="22" s="1"/>
  <c r="T12" i="22"/>
  <c r="T160" i="22" s="1"/>
  <c r="T16" i="22"/>
  <c r="T164" i="22" s="1"/>
  <c r="R21" i="22"/>
  <c r="R169" i="22" s="1"/>
  <c r="R22" i="22"/>
  <c r="R170" i="22" s="1"/>
  <c r="Q31" i="22"/>
  <c r="Q179" i="22" s="1"/>
  <c r="U38" i="22"/>
  <c r="U186" i="22" s="1"/>
  <c r="W39" i="22"/>
  <c r="W187" i="22" s="1"/>
  <c r="S15" i="22"/>
  <c r="S163" i="22" s="1"/>
  <c r="Q22" i="22"/>
  <c r="Q170" i="22" s="1"/>
  <c r="R10" i="22"/>
  <c r="R158" i="22" s="1"/>
  <c r="T34" i="22"/>
  <c r="T182" i="22" s="1"/>
  <c r="R9" i="22"/>
  <c r="R157" i="22" s="1"/>
  <c r="R16" i="22"/>
  <c r="R164" i="22" s="1"/>
  <c r="AE36" i="22"/>
  <c r="AE184" i="22" s="1"/>
  <c r="P23" i="22"/>
  <c r="P171" i="22" s="1"/>
  <c r="O29" i="22"/>
  <c r="O177" i="22" s="1"/>
  <c r="S34" i="22"/>
  <c r="S182" i="22" s="1"/>
  <c r="Q9" i="22"/>
  <c r="Q157" i="22" s="1"/>
  <c r="Q18" i="22"/>
  <c r="Q166" i="22" s="1"/>
  <c r="Q16" i="22"/>
  <c r="Q164" i="22" s="1"/>
  <c r="P9" i="22"/>
  <c r="P157" i="22" s="1"/>
  <c r="O22" i="22"/>
  <c r="O170" i="22" s="1"/>
  <c r="P11" i="22"/>
  <c r="P159" i="22" s="1"/>
  <c r="N28" i="22"/>
  <c r="N176" i="22" s="1"/>
  <c r="P17" i="22"/>
  <c r="P165" i="22" s="1"/>
  <c r="N31" i="22"/>
  <c r="N179" i="22" s="1"/>
  <c r="Y36" i="22"/>
  <c r="Y184" i="22" s="1"/>
  <c r="O12" i="22"/>
  <c r="O160" i="22" s="1"/>
  <c r="O9" i="22"/>
  <c r="O157" i="22" s="1"/>
  <c r="O18" i="22"/>
  <c r="O166" i="22" s="1"/>
  <c r="M28" i="22"/>
  <c r="M176" i="22" s="1"/>
  <c r="N21" i="22"/>
  <c r="N169" i="22" s="1"/>
  <c r="N22" i="22"/>
  <c r="N170" i="22" s="1"/>
  <c r="N23" i="22"/>
  <c r="N171" i="22" s="1"/>
  <c r="N11" i="22"/>
  <c r="N159" i="22" s="1"/>
  <c r="N12" i="22"/>
  <c r="N160" i="22" s="1"/>
  <c r="T35" i="22"/>
  <c r="T183" i="22" s="1"/>
  <c r="U36" i="22"/>
  <c r="U184" i="22" s="1"/>
  <c r="M23" i="22"/>
  <c r="M171" i="22" s="1"/>
  <c r="M21" i="22"/>
  <c r="M169" i="22" s="1"/>
  <c r="T36" i="22"/>
  <c r="T184" i="22" s="1"/>
  <c r="M10" i="22"/>
  <c r="M158" i="22" s="1"/>
  <c r="M18" i="22"/>
  <c r="M166" i="22" s="1"/>
  <c r="R35" i="22"/>
  <c r="R183" i="22" s="1"/>
  <c r="N34" i="22"/>
  <c r="N182" i="22" s="1"/>
  <c r="K30" i="22"/>
  <c r="K178" i="22" s="1"/>
  <c r="L12" i="22"/>
  <c r="L160" i="22" s="1"/>
  <c r="L21" i="22"/>
  <c r="L169" i="22" s="1"/>
  <c r="P37" i="22"/>
  <c r="P185" i="22" s="1"/>
  <c r="L18" i="22"/>
  <c r="L166" i="22" s="1"/>
  <c r="Q36" i="22"/>
  <c r="Q184" i="22" s="1"/>
  <c r="K11" i="22"/>
  <c r="K159" i="22" s="1"/>
  <c r="J29" i="22"/>
  <c r="J177" i="22" s="1"/>
  <c r="K17" i="22"/>
  <c r="K165" i="22" s="1"/>
  <c r="L38" i="22"/>
  <c r="L186" i="22" s="1"/>
  <c r="K21" i="22"/>
  <c r="K169" i="22" s="1"/>
  <c r="L34" i="22"/>
  <c r="L182" i="22" s="1"/>
  <c r="M37" i="22"/>
  <c r="M185" i="22" s="1"/>
  <c r="J15" i="22"/>
  <c r="J163" i="22" s="1"/>
  <c r="J17" i="22"/>
  <c r="J165" i="22" s="1"/>
  <c r="J23" i="22"/>
  <c r="J171" i="22" s="1"/>
  <c r="I28" i="22"/>
  <c r="I176" i="22" s="1"/>
  <c r="N36" i="22"/>
  <c r="N184" i="22" s="1"/>
  <c r="M36" i="22"/>
  <c r="M184" i="22" s="1"/>
  <c r="K39" i="22"/>
  <c r="K187" i="22" s="1"/>
  <c r="I10" i="22"/>
  <c r="I158" i="22" s="1"/>
  <c r="I11" i="22"/>
  <c r="I159" i="22" s="1"/>
  <c r="K37" i="22"/>
  <c r="K185" i="22" s="1"/>
  <c r="I21" i="22"/>
  <c r="I169" i="22" s="1"/>
  <c r="H21" i="22"/>
  <c r="H169" i="22" s="1"/>
  <c r="J37" i="22"/>
  <c r="J185" i="22" s="1"/>
  <c r="H10" i="22"/>
  <c r="H158" i="22" s="1"/>
  <c r="I34" i="22"/>
  <c r="I182" i="22" s="1"/>
  <c r="I36" i="22"/>
  <c r="I184" i="22" s="1"/>
  <c r="I39" i="22"/>
  <c r="I187" i="22" s="1"/>
  <c r="H35" i="22"/>
  <c r="H183" i="22" s="1"/>
  <c r="H18" i="22"/>
  <c r="H166" i="22" s="1"/>
  <c r="G31" i="22"/>
  <c r="G179" i="22" s="1"/>
  <c r="G27" i="22"/>
  <c r="G175" i="22" s="1"/>
  <c r="AA19" i="22"/>
  <c r="H33" i="22"/>
  <c r="G35" i="22"/>
  <c r="G183" i="22" s="1"/>
  <c r="Q33" i="22"/>
  <c r="H19" i="22"/>
  <c r="AD25" i="22"/>
  <c r="M26" i="22"/>
  <c r="AE20" i="22"/>
  <c r="J32" i="22"/>
  <c r="AC14" i="22"/>
  <c r="AC13" i="22"/>
  <c r="O20" i="22"/>
  <c r="H25" i="22"/>
  <c r="N26" i="22"/>
  <c r="Y19" i="22"/>
  <c r="Y32" i="22"/>
  <c r="AA33" i="22"/>
  <c r="AB26" i="22"/>
  <c r="H13" i="22"/>
  <c r="U33" i="22"/>
  <c r="Z26" i="22"/>
  <c r="N13" i="22"/>
  <c r="AF33" i="22"/>
  <c r="V19" i="22"/>
  <c r="X20" i="22"/>
  <c r="Y33" i="22"/>
  <c r="G37" i="22"/>
  <c r="G185" i="22" s="1"/>
  <c r="J14" i="22"/>
  <c r="V26" i="22"/>
  <c r="N25" i="22"/>
  <c r="M33" i="22"/>
  <c r="AE19" i="22"/>
  <c r="N32" i="22"/>
  <c r="AF25" i="22"/>
  <c r="T25" i="22"/>
  <c r="X26" i="22"/>
  <c r="T19" i="22"/>
  <c r="AE13" i="22"/>
  <c r="M32" i="22"/>
  <c r="P33" i="22"/>
  <c r="R32" i="22"/>
  <c r="N19" i="22"/>
  <c r="G25" i="22"/>
  <c r="AE32" i="22"/>
  <c r="G19" i="22"/>
  <c r="Y25" i="22"/>
  <c r="G39" i="22"/>
  <c r="G187" i="22" s="1"/>
  <c r="Q19" i="22"/>
  <c r="T14" i="22"/>
  <c r="U13" i="22"/>
  <c r="G13" i="22"/>
  <c r="AF13" i="22"/>
  <c r="AD14" i="22"/>
  <c r="T20" i="22"/>
  <c r="M25" i="22"/>
  <c r="P19" i="22"/>
  <c r="AF24" i="22"/>
  <c r="AF172" i="22" s="1"/>
  <c r="AE30" i="22"/>
  <c r="AE178" i="22" s="1"/>
  <c r="AE29" i="22"/>
  <c r="AE177" i="22" s="1"/>
  <c r="AD30" i="22"/>
  <c r="AD178" i="22" s="1"/>
  <c r="AF37" i="22"/>
  <c r="AF185" i="22" s="1"/>
  <c r="AE24" i="22"/>
  <c r="AE172" i="22" s="1"/>
  <c r="AF16" i="22"/>
  <c r="AF164" i="22" s="1"/>
  <c r="AC31" i="22"/>
  <c r="AC179" i="22" s="1"/>
  <c r="AC27" i="22"/>
  <c r="AC175" i="22" s="1"/>
  <c r="AD21" i="22"/>
  <c r="AD169" i="22" s="1"/>
  <c r="AB29" i="22"/>
  <c r="AB177" i="22" s="1"/>
  <c r="AB31" i="22"/>
  <c r="AB179" i="22" s="1"/>
  <c r="AB24" i="22"/>
  <c r="AB172" i="22" s="1"/>
  <c r="AB23" i="22"/>
  <c r="AB171" i="22" s="1"/>
  <c r="AE9" i="22"/>
  <c r="AE157" i="22" s="1"/>
  <c r="AE17" i="22"/>
  <c r="AE165" i="22" s="1"/>
  <c r="AA22" i="22"/>
  <c r="AA170" i="22" s="1"/>
  <c r="Z27" i="22"/>
  <c r="Z175" i="22" s="1"/>
  <c r="Z30" i="22"/>
  <c r="Z178" i="22" s="1"/>
  <c r="AD9" i="22"/>
  <c r="AD157" i="22" s="1"/>
  <c r="Y27" i="22"/>
  <c r="Y175" i="22" s="1"/>
  <c r="AD18" i="22"/>
  <c r="AD166" i="22" s="1"/>
  <c r="Z23" i="22"/>
  <c r="Z171" i="22" s="1"/>
  <c r="AC10" i="22"/>
  <c r="AC158" i="22" s="1"/>
  <c r="AC15" i="22"/>
  <c r="AC163" i="22" s="1"/>
  <c r="Y24" i="22"/>
  <c r="Y172" i="22" s="1"/>
  <c r="X29" i="22"/>
  <c r="X177" i="22" s="1"/>
  <c r="AB10" i="22"/>
  <c r="AB158" i="22" s="1"/>
  <c r="AE38" i="22"/>
  <c r="AE186" i="22" s="1"/>
  <c r="AB16" i="22"/>
  <c r="AB164" i="22" s="1"/>
  <c r="X24" i="22"/>
  <c r="X172" i="22" s="1"/>
  <c r="W30" i="22"/>
  <c r="W178" i="22" s="1"/>
  <c r="AA12" i="22"/>
  <c r="AA160" i="22" s="1"/>
  <c r="AA9" i="22"/>
  <c r="AA157" i="22" s="1"/>
  <c r="AA17" i="22"/>
  <c r="AA165" i="22" s="1"/>
  <c r="V27" i="22"/>
  <c r="V175" i="22" s="1"/>
  <c r="Z12" i="22"/>
  <c r="Z160" i="22" s="1"/>
  <c r="V29" i="22"/>
  <c r="V177" i="22" s="1"/>
  <c r="Z17" i="22"/>
  <c r="Z165" i="22" s="1"/>
  <c r="V31" i="22"/>
  <c r="V179" i="22" s="1"/>
  <c r="AB38" i="22"/>
  <c r="AB186" i="22" s="1"/>
  <c r="Y12" i="22"/>
  <c r="Y160" i="22" s="1"/>
  <c r="AD37" i="22"/>
  <c r="AD185" i="22" s="1"/>
  <c r="U30" i="22"/>
  <c r="U178" i="22" s="1"/>
  <c r="U27" i="22"/>
  <c r="U175" i="22" s="1"/>
  <c r="Y15" i="22"/>
  <c r="Y163" i="22" s="1"/>
  <c r="X9" i="22"/>
  <c r="X157" i="22" s="1"/>
  <c r="X16" i="22"/>
  <c r="X164" i="22" s="1"/>
  <c r="X15" i="22"/>
  <c r="X163" i="22" s="1"/>
  <c r="AB39" i="22"/>
  <c r="AB187" i="22" s="1"/>
  <c r="U22" i="22"/>
  <c r="U170" i="22" s="1"/>
  <c r="W11" i="22"/>
  <c r="W159" i="22" s="1"/>
  <c r="AF36" i="22"/>
  <c r="AF184" i="22" s="1"/>
  <c r="W18" i="22"/>
  <c r="W166" i="22" s="1"/>
  <c r="AA39" i="22"/>
  <c r="AA187" i="22" s="1"/>
  <c r="V11" i="22"/>
  <c r="V159" i="22" s="1"/>
  <c r="AF35" i="22"/>
  <c r="AF183" i="22" s="1"/>
  <c r="S28" i="22"/>
  <c r="S176" i="22" s="1"/>
  <c r="AA37" i="22"/>
  <c r="AA185" i="22" s="1"/>
  <c r="V17" i="22"/>
  <c r="V165" i="22" s="1"/>
  <c r="S21" i="22"/>
  <c r="S169" i="22" s="1"/>
  <c r="U10" i="22"/>
  <c r="U158" i="22" s="1"/>
  <c r="W34" i="22"/>
  <c r="W182" i="22" s="1"/>
  <c r="U17" i="22"/>
  <c r="U165" i="22" s="1"/>
  <c r="R28" i="22"/>
  <c r="R176" i="22" s="1"/>
  <c r="T11" i="22"/>
  <c r="T159" i="22" s="1"/>
  <c r="T9" i="22"/>
  <c r="T157" i="22" s="1"/>
  <c r="T18" i="22"/>
  <c r="T166" i="22" s="1"/>
  <c r="T17" i="22"/>
  <c r="T165" i="22" s="1"/>
  <c r="X37" i="22"/>
  <c r="X185" i="22" s="1"/>
  <c r="S9" i="22"/>
  <c r="S157" i="22" s="1"/>
  <c r="S12" i="22"/>
  <c r="S160" i="22" s="1"/>
  <c r="Q28" i="22"/>
  <c r="Q176" i="22" s="1"/>
  <c r="S16" i="22"/>
  <c r="S164" i="22" s="1"/>
  <c r="T38" i="22"/>
  <c r="T186" i="22" s="1"/>
  <c r="Q23" i="22"/>
  <c r="Q171" i="22" s="1"/>
  <c r="P29" i="22"/>
  <c r="P177" i="22" s="1"/>
  <c r="P31" i="22"/>
  <c r="P179" i="22" s="1"/>
  <c r="R18" i="22"/>
  <c r="R166" i="22" s="1"/>
  <c r="V37" i="22"/>
  <c r="V185" i="22" s="1"/>
  <c r="P24" i="22"/>
  <c r="P172" i="22" s="1"/>
  <c r="P21" i="22"/>
  <c r="P169" i="22" s="1"/>
  <c r="O30" i="22"/>
  <c r="O178" i="22" s="1"/>
  <c r="Q10" i="22"/>
  <c r="Q158" i="22" s="1"/>
  <c r="S38" i="22"/>
  <c r="S186" i="22" s="1"/>
  <c r="U37" i="22"/>
  <c r="U185" i="22" s="1"/>
  <c r="AB36" i="22"/>
  <c r="AB184" i="22" s="1"/>
  <c r="T39" i="22"/>
  <c r="T187" i="22" s="1"/>
  <c r="P12" i="22"/>
  <c r="P160" i="22" s="1"/>
  <c r="O21" i="22"/>
  <c r="O169" i="22" s="1"/>
  <c r="Y35" i="22"/>
  <c r="Y183" i="22" s="1"/>
  <c r="T37" i="22"/>
  <c r="T185" i="22" s="1"/>
  <c r="P15" i="22"/>
  <c r="P163" i="22" s="1"/>
  <c r="O11" i="22"/>
  <c r="O159" i="22" s="1"/>
  <c r="Q38" i="22"/>
  <c r="Q186" i="22" s="1"/>
  <c r="O15" i="22"/>
  <c r="O163" i="22" s="1"/>
  <c r="O10" i="22"/>
  <c r="O158" i="22" s="1"/>
  <c r="M30" i="22"/>
  <c r="M178" i="22" s="1"/>
  <c r="O16" i="22"/>
  <c r="O164" i="22" s="1"/>
  <c r="P38" i="22"/>
  <c r="P186" i="22" s="1"/>
  <c r="P34" i="22"/>
  <c r="P182" i="22" s="1"/>
  <c r="R37" i="22"/>
  <c r="R185" i="22" s="1"/>
  <c r="V36" i="22"/>
  <c r="V184" i="22" s="1"/>
  <c r="L29" i="22"/>
  <c r="L177" i="22" s="1"/>
  <c r="N15" i="22"/>
  <c r="N163" i="22" s="1"/>
  <c r="M24" i="22"/>
  <c r="M172" i="22" s="1"/>
  <c r="O34" i="22"/>
  <c r="O182" i="22" s="1"/>
  <c r="M12" i="22"/>
  <c r="M160" i="22" s="1"/>
  <c r="S35" i="22"/>
  <c r="S183" i="22" s="1"/>
  <c r="M16" i="22"/>
  <c r="M164" i="22" s="1"/>
  <c r="K31" i="22"/>
  <c r="K179" i="22" s="1"/>
  <c r="K28" i="22"/>
  <c r="K176" i="22" s="1"/>
  <c r="L24" i="22"/>
  <c r="L172" i="22" s="1"/>
  <c r="L17" i="22"/>
  <c r="L165" i="22" s="1"/>
  <c r="L9" i="22"/>
  <c r="L157" i="22" s="1"/>
  <c r="O37" i="22"/>
  <c r="O185" i="22" s="1"/>
  <c r="M34" i="22"/>
  <c r="M182" i="22" s="1"/>
  <c r="K18" i="22"/>
  <c r="K166" i="22" s="1"/>
  <c r="J27" i="22"/>
  <c r="J175" i="22" s="1"/>
  <c r="J30" i="22"/>
  <c r="J178" i="22" s="1"/>
  <c r="N37" i="22"/>
  <c r="N185" i="22" s="1"/>
  <c r="O35" i="22"/>
  <c r="O183" i="22" s="1"/>
  <c r="K22" i="22"/>
  <c r="K170" i="22" s="1"/>
  <c r="J12" i="22"/>
  <c r="J160" i="22" s="1"/>
  <c r="J22" i="22"/>
  <c r="J170" i="22" s="1"/>
  <c r="M39" i="22"/>
  <c r="M187" i="22" s="1"/>
  <c r="J21" i="22"/>
  <c r="J169" i="22" s="1"/>
  <c r="K38" i="22"/>
  <c r="K186" i="22" s="1"/>
  <c r="L39" i="22"/>
  <c r="L187" i="22" s="1"/>
  <c r="L37" i="22"/>
  <c r="L185" i="22" s="1"/>
  <c r="L36" i="22"/>
  <c r="L184" i="22" s="1"/>
  <c r="I12" i="22"/>
  <c r="I160" i="22" s="1"/>
  <c r="I9" i="22"/>
  <c r="I157" i="22" s="1"/>
  <c r="K36" i="22"/>
  <c r="K184" i="22" s="1"/>
  <c r="K35" i="22"/>
  <c r="K183" i="22" s="1"/>
  <c r="H29" i="22"/>
  <c r="H177" i="22" s="1"/>
  <c r="H15" i="22"/>
  <c r="H163" i="22" s="1"/>
  <c r="H16" i="22"/>
  <c r="H164" i="22" s="1"/>
  <c r="H28" i="22"/>
  <c r="H176" i="22" s="1"/>
  <c r="I37" i="22"/>
  <c r="I185" i="22" s="1"/>
  <c r="H38" i="22"/>
  <c r="H186" i="22" s="1"/>
  <c r="H12" i="22"/>
  <c r="H160" i="22" s="1"/>
  <c r="H37" i="22"/>
  <c r="H185" i="22" s="1"/>
  <c r="G23" i="22"/>
  <c r="G171" i="22" s="1"/>
  <c r="G24" i="22"/>
  <c r="G172" i="22" s="1"/>
  <c r="AB20" i="22"/>
  <c r="G18" i="22"/>
  <c r="G166" i="22" s="1"/>
  <c r="AA26" i="22"/>
  <c r="AA13" i="22"/>
  <c r="L32" i="22"/>
  <c r="S13" i="22"/>
  <c r="P14" i="22"/>
  <c r="L14" i="22"/>
  <c r="N14" i="22"/>
  <c r="G10" i="22"/>
  <c r="G158" i="22" s="1"/>
  <c r="O14" i="22"/>
  <c r="N33" i="22"/>
  <c r="O26" i="22"/>
  <c r="Z14" i="22"/>
  <c r="R19" i="22"/>
  <c r="I26" i="22"/>
  <c r="R33" i="22"/>
  <c r="AB32" i="22"/>
  <c r="AF14" i="22"/>
  <c r="W25" i="22"/>
  <c r="Z25" i="22"/>
  <c r="V20" i="22"/>
  <c r="Q25" i="22"/>
  <c r="Z13" i="22"/>
  <c r="G9" i="22"/>
  <c r="G157" i="22" s="1"/>
  <c r="X25" i="22"/>
  <c r="AA14" i="22"/>
  <c r="O25" i="22"/>
  <c r="T33" i="22"/>
  <c r="AC20" i="22"/>
  <c r="I14" i="22"/>
  <c r="J26" i="22"/>
  <c r="W32" i="22"/>
  <c r="H26" i="22"/>
  <c r="J13" i="22"/>
  <c r="T32" i="22"/>
  <c r="W13" i="22"/>
  <c r="G36" i="22"/>
  <c r="G184" i="22" s="1"/>
  <c r="AC32" i="22"/>
  <c r="R14" i="22"/>
  <c r="Q26" i="22"/>
  <c r="I32" i="22"/>
  <c r="S20" i="22"/>
  <c r="W19" i="22"/>
  <c r="Z19" i="22"/>
  <c r="V32" i="22"/>
  <c r="P26" i="22"/>
  <c r="G17" i="22"/>
  <c r="G165" i="22" s="1"/>
  <c r="AC33" i="22"/>
  <c r="AB14" i="22"/>
  <c r="AD20" i="22"/>
  <c r="R13" i="22"/>
  <c r="P25" i="22"/>
  <c r="M19" i="22"/>
  <c r="S19" i="22"/>
  <c r="G20" i="22"/>
  <c r="AE139" i="22"/>
  <c r="AC140" i="22"/>
  <c r="AC148" i="22"/>
  <c r="AB133" i="22"/>
  <c r="Z142" i="22"/>
  <c r="Z133" i="22"/>
  <c r="X140" i="22"/>
  <c r="AE145" i="22"/>
  <c r="AA127" i="22"/>
  <c r="W135" i="22"/>
  <c r="Y128" i="22"/>
  <c r="Z149" i="22"/>
  <c r="T138" i="22"/>
  <c r="T135" i="22"/>
  <c r="X149" i="22"/>
  <c r="R141" i="22"/>
  <c r="T121" i="22"/>
  <c r="Q142" i="22"/>
  <c r="Q135" i="22"/>
  <c r="R128" i="22"/>
  <c r="O140" i="22"/>
  <c r="Z147" i="22"/>
  <c r="N138" i="22"/>
  <c r="N132" i="22"/>
  <c r="P149" i="22"/>
  <c r="N126" i="22"/>
  <c r="M126" i="22"/>
  <c r="L126" i="22"/>
  <c r="J138" i="22"/>
  <c r="K135" i="22"/>
  <c r="J127" i="22"/>
  <c r="H146" i="22"/>
  <c r="K147" i="22"/>
  <c r="AE140" i="22"/>
  <c r="AE135" i="22"/>
  <c r="AC135" i="22"/>
  <c r="AB132" i="22"/>
  <c r="AA134" i="22"/>
  <c r="Y141" i="22"/>
  <c r="AF145" i="22"/>
  <c r="AE149" i="22"/>
  <c r="AA123" i="22"/>
  <c r="Z121" i="22"/>
  <c r="Y122" i="22"/>
  <c r="Y127" i="22"/>
  <c r="U132" i="22"/>
  <c r="Y149" i="22"/>
  <c r="V122" i="22"/>
  <c r="U121" i="22"/>
  <c r="T120" i="22"/>
  <c r="Q141" i="22"/>
  <c r="AD146" i="22"/>
  <c r="AC146" i="22"/>
  <c r="O142" i="22"/>
  <c r="U148" i="22"/>
  <c r="O134" i="22"/>
  <c r="O122" i="22"/>
  <c r="N134" i="22"/>
  <c r="L141" i="22"/>
  <c r="M123" i="22"/>
  <c r="L123" i="22"/>
  <c r="M145" i="22"/>
  <c r="J142" i="22"/>
  <c r="J120" i="22"/>
  <c r="I140" i="22"/>
  <c r="I129" i="22"/>
  <c r="AF139" i="22"/>
  <c r="AD139" i="22"/>
  <c r="AB141" i="22"/>
  <c r="AB135" i="22"/>
  <c r="AE126" i="22"/>
  <c r="AD128" i="22"/>
  <c r="AC121" i="22"/>
  <c r="AB120" i="22"/>
  <c r="AA121" i="22"/>
  <c r="W132" i="22"/>
  <c r="AE148" i="22"/>
  <c r="U141" i="22"/>
  <c r="Z145" i="22"/>
  <c r="W128" i="22"/>
  <c r="S140" i="22"/>
  <c r="S134" i="22"/>
  <c r="R138" i="22"/>
  <c r="R132" i="22"/>
  <c r="S128" i="22"/>
  <c r="R123" i="22"/>
  <c r="P133" i="22"/>
  <c r="Q128" i="22"/>
  <c r="N142" i="22"/>
  <c r="O123" i="22"/>
  <c r="N135" i="22"/>
  <c r="N128" i="22"/>
  <c r="T146" i="22"/>
  <c r="K138" i="22"/>
  <c r="L122" i="22"/>
  <c r="J140" i="22"/>
  <c r="J133" i="22"/>
  <c r="I138" i="22"/>
  <c r="I135" i="22"/>
  <c r="AF133" i="22"/>
  <c r="AD135" i="22"/>
  <c r="AF121" i="22"/>
  <c r="AE122" i="22"/>
  <c r="AD122" i="22"/>
  <c r="AC123" i="22"/>
  <c r="X139" i="22"/>
  <c r="AA122" i="22"/>
  <c r="AA126" i="22"/>
  <c r="V141" i="22"/>
  <c r="V133" i="22"/>
  <c r="X123" i="22"/>
  <c r="W121" i="22"/>
  <c r="V123" i="22"/>
  <c r="S121" i="22"/>
  <c r="W149" i="22"/>
  <c r="T129" i="22"/>
  <c r="U149" i="22"/>
  <c r="P141" i="22"/>
  <c r="P134" i="22"/>
  <c r="Q122" i="22"/>
  <c r="O133" i="22"/>
  <c r="X146" i="22"/>
  <c r="M140" i="22"/>
  <c r="N127" i="22"/>
  <c r="M135" i="22"/>
  <c r="M127" i="22"/>
  <c r="L134" i="22"/>
  <c r="J139" i="22"/>
  <c r="L145" i="22"/>
  <c r="J121" i="22"/>
  <c r="I122" i="22"/>
  <c r="J147" i="22"/>
  <c r="H126" i="22"/>
  <c r="I149" i="22"/>
  <c r="H134" i="22"/>
  <c r="H139" i="22"/>
  <c r="H122" i="22"/>
  <c r="H148" i="22"/>
  <c r="M130" i="22"/>
  <c r="AE143" i="22"/>
  <c r="Y130" i="22"/>
  <c r="H136" i="22"/>
  <c r="Z150" i="22"/>
  <c r="V137" i="22"/>
  <c r="AA130" i="22"/>
  <c r="I137" i="22"/>
  <c r="AD143" i="22"/>
  <c r="Q143" i="22"/>
  <c r="S130" i="22"/>
  <c r="O137" i="22"/>
  <c r="K137" i="22"/>
  <c r="U136" i="22"/>
  <c r="K143" i="22"/>
  <c r="W150" i="22"/>
  <c r="Z125" i="22"/>
  <c r="V130" i="22"/>
  <c r="L124" i="22"/>
  <c r="Z137" i="22"/>
  <c r="X130" i="22"/>
  <c r="T130" i="22"/>
  <c r="AA143" i="22"/>
  <c r="Y131" i="22"/>
  <c r="V131" i="22"/>
  <c r="AB144" i="22"/>
  <c r="X144" i="22"/>
  <c r="I131" i="22"/>
  <c r="AD150" i="22"/>
  <c r="M143" i="22"/>
  <c r="U144" i="22"/>
  <c r="T143" i="22"/>
  <c r="K124" i="22"/>
  <c r="N136" i="22"/>
  <c r="K136" i="22"/>
  <c r="S124" i="22"/>
  <c r="N124" i="22"/>
  <c r="V136" i="22"/>
  <c r="AC143" i="22"/>
  <c r="AE136" i="22"/>
  <c r="Z136" i="22"/>
  <c r="Q144" i="22"/>
  <c r="Q124" i="22"/>
  <c r="J125" i="22"/>
  <c r="I144" i="22"/>
  <c r="AE125" i="22"/>
  <c r="Q136" i="22"/>
  <c r="Y125" i="22"/>
  <c r="W144" i="22"/>
  <c r="H144" i="22"/>
  <c r="L137" i="22"/>
  <c r="I136" i="22"/>
  <c r="Q137" i="22"/>
  <c r="AB131" i="22"/>
  <c r="R131" i="22"/>
  <c r="AF143" i="22"/>
  <c r="AF138" i="22"/>
  <c r="AF140" i="22"/>
  <c r="AE141" i="22"/>
  <c r="AF132" i="22"/>
  <c r="AD140" i="22"/>
  <c r="AE134" i="22"/>
  <c r="AC141" i="22"/>
  <c r="AC138" i="22"/>
  <c r="AB139" i="22"/>
  <c r="AB142" i="22"/>
  <c r="AB140" i="22"/>
  <c r="AF123" i="22"/>
  <c r="AF127" i="22"/>
  <c r="AA139" i="22"/>
  <c r="AA141" i="22"/>
  <c r="AE123" i="22"/>
  <c r="Z138" i="22"/>
  <c r="Z141" i="22"/>
  <c r="Z140" i="22"/>
  <c r="AD120" i="22"/>
  <c r="Y142" i="22"/>
  <c r="Y139" i="22"/>
  <c r="Y140" i="22"/>
  <c r="Z135" i="22"/>
  <c r="AF149" i="22"/>
  <c r="AC128" i="22"/>
  <c r="X138" i="22"/>
  <c r="Y133" i="22"/>
  <c r="AB121" i="22"/>
  <c r="AB129" i="22"/>
  <c r="AB128" i="22"/>
  <c r="X135" i="22"/>
  <c r="W139" i="22"/>
  <c r="X132" i="22"/>
  <c r="W140" i="22"/>
  <c r="AF148" i="22"/>
  <c r="Z122" i="22"/>
  <c r="V138" i="22"/>
  <c r="V140" i="22"/>
  <c r="Z126" i="22"/>
  <c r="Z127" i="22"/>
  <c r="AB145" i="22"/>
  <c r="Y123" i="22"/>
  <c r="V135" i="22"/>
  <c r="U139" i="22"/>
  <c r="U142" i="22"/>
  <c r="AD148" i="22"/>
  <c r="X121" i="22"/>
  <c r="X128" i="22"/>
  <c r="T142" i="22"/>
  <c r="T139" i="22"/>
  <c r="W122" i="22"/>
  <c r="W129" i="22"/>
  <c r="AB148" i="22"/>
  <c r="T132" i="22"/>
  <c r="S141" i="22"/>
  <c r="T133" i="22"/>
  <c r="S138" i="22"/>
  <c r="V128" i="22"/>
  <c r="X145" i="22"/>
  <c r="U123" i="22"/>
  <c r="S133" i="22"/>
  <c r="U128" i="22"/>
  <c r="U127" i="22"/>
  <c r="R139" i="22"/>
  <c r="V145" i="22"/>
  <c r="T122" i="22"/>
  <c r="R135" i="22"/>
  <c r="T128" i="22"/>
  <c r="Q140" i="22"/>
  <c r="S122" i="22"/>
  <c r="S120" i="22"/>
  <c r="S129" i="22"/>
  <c r="X147" i="22"/>
  <c r="T149" i="22"/>
  <c r="AE147" i="22"/>
  <c r="P140" i="22"/>
  <c r="T145" i="22"/>
  <c r="O148" i="22"/>
  <c r="V148" i="22"/>
  <c r="P135" i="22"/>
  <c r="Q120" i="22"/>
  <c r="O141" i="22"/>
  <c r="AC147" i="22"/>
  <c r="AB147" i="22"/>
  <c r="Q129" i="22"/>
  <c r="R149" i="22"/>
  <c r="R145" i="22"/>
  <c r="P123" i="22"/>
  <c r="Y146" i="22"/>
  <c r="P126" i="22"/>
  <c r="T148" i="22"/>
  <c r="Y147" i="22"/>
  <c r="O121" i="22"/>
  <c r="O129" i="22"/>
  <c r="O126" i="22"/>
  <c r="M142" i="22"/>
  <c r="W146" i="22"/>
  <c r="U146" i="22"/>
  <c r="P145" i="22"/>
  <c r="N120" i="22"/>
  <c r="L140" i="22"/>
  <c r="L142" i="22"/>
  <c r="O149" i="22"/>
  <c r="T147" i="22"/>
  <c r="M120" i="22"/>
  <c r="M121" i="22"/>
  <c r="S147" i="22"/>
  <c r="K139" i="22"/>
  <c r="K140" i="22"/>
  <c r="L132" i="22"/>
  <c r="L129" i="22"/>
  <c r="Q146" i="22"/>
  <c r="P146" i="22"/>
  <c r="K120" i="22"/>
  <c r="K122" i="22"/>
  <c r="K127" i="22"/>
  <c r="K129" i="22"/>
  <c r="K133" i="22"/>
  <c r="N146" i="22"/>
  <c r="I148" i="22"/>
  <c r="J129" i="22"/>
  <c r="J126" i="22"/>
  <c r="J135" i="22"/>
  <c r="I142" i="22"/>
  <c r="M147" i="22"/>
  <c r="L146" i="22"/>
  <c r="I133" i="22"/>
  <c r="I132" i="22"/>
  <c r="I126" i="22"/>
  <c r="J149" i="22"/>
  <c r="K148" i="22"/>
  <c r="H141" i="22"/>
  <c r="H133" i="22"/>
  <c r="H128" i="22"/>
  <c r="I147" i="22"/>
  <c r="H149" i="22"/>
  <c r="H123" i="22"/>
  <c r="L125" i="22"/>
  <c r="U125" i="22"/>
  <c r="AC124" i="22"/>
  <c r="P130" i="22"/>
  <c r="T137" i="22"/>
  <c r="AC130" i="22"/>
  <c r="S150" i="22"/>
  <c r="M124" i="22"/>
  <c r="U130" i="22"/>
  <c r="AD137" i="22"/>
  <c r="M137" i="22"/>
  <c r="AC144" i="22"/>
  <c r="V143" i="22"/>
  <c r="R143" i="22"/>
  <c r="I125" i="22"/>
  <c r="AD144" i="22"/>
  <c r="W136" i="22"/>
  <c r="S137" i="22"/>
  <c r="J143" i="22"/>
  <c r="AD130" i="22"/>
  <c r="X150" i="22"/>
  <c r="T125" i="22"/>
  <c r="H150" i="22"/>
  <c r="X143" i="22"/>
  <c r="P137" i="22"/>
  <c r="R144" i="22"/>
  <c r="M144" i="22"/>
  <c r="U137" i="22"/>
  <c r="H125" i="22"/>
  <c r="AA137" i="22"/>
  <c r="N131" i="22"/>
  <c r="H130" i="22"/>
  <c r="Y124" i="22"/>
  <c r="AE137" i="22"/>
  <c r="AE150" i="22"/>
  <c r="S144" i="22"/>
  <c r="N150" i="22"/>
  <c r="AA144" i="22"/>
  <c r="N144" i="22"/>
  <c r="AB143" i="22"/>
  <c r="W143" i="22"/>
  <c r="R136" i="22"/>
  <c r="Y143" i="22"/>
  <c r="AB125" i="22"/>
  <c r="R130" i="22"/>
  <c r="L150" i="22"/>
  <c r="W130" i="22"/>
  <c r="O130" i="22"/>
  <c r="I124" i="22"/>
  <c r="S125" i="22"/>
  <c r="P150" i="22"/>
  <c r="AD124" i="22"/>
  <c r="O144" i="22"/>
  <c r="H143" i="22"/>
  <c r="AF137" i="22"/>
  <c r="M125" i="22"/>
  <c r="AF142" i="22"/>
  <c r="AE138" i="22"/>
  <c r="AF134" i="22"/>
  <c r="AD138" i="22"/>
  <c r="AE132" i="22"/>
  <c r="AC142" i="22"/>
  <c r="AD134" i="22"/>
  <c r="AD132" i="22"/>
  <c r="AC132" i="22"/>
  <c r="AC134" i="22"/>
  <c r="AF120" i="22"/>
  <c r="AF128" i="22"/>
  <c r="AB134" i="22"/>
  <c r="AA138" i="22"/>
  <c r="AE120" i="22"/>
  <c r="AE127" i="22"/>
  <c r="AA133" i="22"/>
  <c r="Z139" i="22"/>
  <c r="AE128" i="22"/>
  <c r="AD123" i="22"/>
  <c r="AD127" i="22"/>
  <c r="Y138" i="22"/>
  <c r="Z134" i="22"/>
  <c r="AC120" i="22"/>
  <c r="AC126" i="22"/>
  <c r="Y135" i="22"/>
  <c r="Y134" i="22"/>
  <c r="Y132" i="22"/>
  <c r="AB123" i="22"/>
  <c r="AB126" i="22"/>
  <c r="X133" i="22"/>
  <c r="AD149" i="22"/>
  <c r="W148" i="22"/>
  <c r="W141" i="22"/>
  <c r="AD145" i="22"/>
  <c r="Z120" i="22"/>
  <c r="Z123" i="22"/>
  <c r="W133" i="22"/>
  <c r="V142" i="22"/>
  <c r="V139" i="22"/>
  <c r="AB149" i="22"/>
  <c r="Y121" i="22"/>
  <c r="Y129" i="22"/>
  <c r="Y126" i="22"/>
  <c r="AA149" i="22"/>
  <c r="AA145" i="22"/>
  <c r="X122" i="22"/>
  <c r="X127" i="22"/>
  <c r="T140" i="22"/>
  <c r="U134" i="22"/>
  <c r="U133" i="22"/>
  <c r="W123" i="22"/>
  <c r="W126" i="22"/>
  <c r="AA150" i="22"/>
  <c r="V121" i="22"/>
  <c r="AA148" i="22"/>
  <c r="S139" i="22"/>
  <c r="R148" i="22"/>
  <c r="V126" i="22"/>
  <c r="S135" i="22"/>
  <c r="Z148" i="22"/>
  <c r="U120" i="22"/>
  <c r="U129" i="22"/>
  <c r="W145" i="22"/>
  <c r="T123" i="22"/>
  <c r="AA147" i="22"/>
  <c r="R134" i="22"/>
  <c r="T126" i="22"/>
  <c r="X148" i="22"/>
  <c r="Q139" i="22"/>
  <c r="Q138" i="22"/>
  <c r="S127" i="22"/>
  <c r="Q134" i="22"/>
  <c r="Q132" i="22"/>
  <c r="R121" i="22"/>
  <c r="R122" i="22"/>
  <c r="P138" i="22"/>
  <c r="R129" i="22"/>
  <c r="R127" i="22"/>
  <c r="AB146" i="22"/>
  <c r="AD147" i="22"/>
  <c r="O139" i="22"/>
  <c r="S145" i="22"/>
  <c r="S149" i="22"/>
  <c r="Q127" i="22"/>
  <c r="Z146" i="22"/>
  <c r="P122" i="22"/>
  <c r="P127" i="22"/>
  <c r="O132" i="22"/>
  <c r="N140" i="22"/>
  <c r="S146" i="22"/>
  <c r="N139" i="22"/>
  <c r="S148" i="22"/>
  <c r="Q145" i="22"/>
  <c r="M138" i="22"/>
  <c r="O127" i="22"/>
  <c r="N133" i="22"/>
  <c r="O128" i="22"/>
  <c r="N129" i="22"/>
  <c r="N123" i="22"/>
  <c r="N122" i="22"/>
  <c r="U147" i="22"/>
  <c r="M133" i="22"/>
  <c r="M132" i="22"/>
  <c r="O145" i="22"/>
  <c r="M122" i="22"/>
  <c r="R146" i="22"/>
  <c r="N149" i="22"/>
  <c r="K142" i="22"/>
  <c r="L127" i="22"/>
  <c r="N145" i="22"/>
  <c r="L121" i="22"/>
  <c r="R147" i="22"/>
  <c r="J141" i="22"/>
  <c r="K123" i="22"/>
  <c r="P147" i="22"/>
  <c r="K126" i="22"/>
  <c r="O146" i="22"/>
  <c r="K134" i="22"/>
  <c r="O147" i="22"/>
  <c r="J134" i="22"/>
  <c r="J122" i="22"/>
  <c r="M148" i="22"/>
  <c r="J132" i="22"/>
  <c r="K145" i="22"/>
  <c r="I139" i="22"/>
  <c r="L148" i="22"/>
  <c r="I134" i="22"/>
  <c r="I128" i="22"/>
  <c r="I123" i="22"/>
  <c r="K146" i="22"/>
  <c r="H138" i="22"/>
  <c r="H127" i="22"/>
  <c r="H120" i="22"/>
  <c r="I145" i="22"/>
  <c r="H135" i="22"/>
  <c r="H147" i="22"/>
  <c r="T150" i="22"/>
  <c r="V125" i="22"/>
  <c r="AB124" i="22"/>
  <c r="Q150" i="22"/>
  <c r="AE144" i="22"/>
  <c r="Q130" i="22"/>
  <c r="P136" i="22"/>
  <c r="O131" i="22"/>
  <c r="P131" i="22"/>
  <c r="AF124" i="22"/>
  <c r="W131" i="22"/>
  <c r="N137" i="22"/>
  <c r="AC136" i="22"/>
  <c r="Q125" i="22"/>
  <c r="AC125" i="22"/>
  <c r="Z131" i="22"/>
  <c r="V144" i="22"/>
  <c r="U150" i="22"/>
  <c r="U131" i="22"/>
  <c r="Z144" i="22"/>
  <c r="X131" i="22"/>
  <c r="AC137" i="22"/>
  <c r="W137" i="22"/>
  <c r="N143" i="22"/>
  <c r="K131" i="22"/>
  <c r="S131" i="22"/>
  <c r="V124" i="22"/>
  <c r="AF131" i="22"/>
  <c r="X136" i="22"/>
  <c r="X137" i="22"/>
  <c r="H137" i="22"/>
  <c r="V150" i="22"/>
  <c r="U124" i="22"/>
  <c r="N130" i="22"/>
  <c r="M131" i="22"/>
  <c r="J124" i="22"/>
  <c r="Q131" i="22"/>
  <c r="P125" i="22"/>
  <c r="L136" i="22"/>
  <c r="AA131" i="22"/>
  <c r="Z124" i="22"/>
  <c r="I143" i="22"/>
  <c r="AC150" i="22"/>
  <c r="Z143" i="22"/>
  <c r="AC131" i="22"/>
  <c r="AB150" i="22"/>
  <c r="R137" i="22"/>
  <c r="L143" i="22"/>
  <c r="AE131" i="22"/>
  <c r="AA124" i="22"/>
  <c r="AD131" i="22"/>
  <c r="H131" i="22"/>
  <c r="O136" i="22"/>
  <c r="AF144" i="22"/>
  <c r="AE130" i="22"/>
  <c r="AD136" i="22"/>
  <c r="AF141" i="22"/>
  <c r="AE142" i="22"/>
  <c r="AF135" i="22"/>
  <c r="AD142" i="22"/>
  <c r="AD141" i="22"/>
  <c r="AE133" i="22"/>
  <c r="AC139" i="22"/>
  <c r="AD133" i="22"/>
  <c r="AB138" i="22"/>
  <c r="AC133" i="22"/>
  <c r="AF122" i="22"/>
  <c r="AA140" i="22"/>
  <c r="AF126" i="22"/>
  <c r="AF129" i="22"/>
  <c r="AA142" i="22"/>
  <c r="AE121" i="22"/>
  <c r="AE129" i="22"/>
  <c r="AA132" i="22"/>
  <c r="AA135" i="22"/>
  <c r="AD121" i="22"/>
  <c r="AD126" i="22"/>
  <c r="AD129" i="22"/>
  <c r="Z132" i="22"/>
  <c r="AC122" i="22"/>
  <c r="AC129" i="22"/>
  <c r="AC127" i="22"/>
  <c r="X141" i="22"/>
  <c r="X142" i="22"/>
  <c r="AB122" i="22"/>
  <c r="AB127" i="22"/>
  <c r="X134" i="22"/>
  <c r="W142" i="22"/>
  <c r="AA120" i="22"/>
  <c r="W138" i="22"/>
  <c r="AA128" i="22"/>
  <c r="AA129" i="22"/>
  <c r="AC149" i="22"/>
  <c r="W134" i="22"/>
  <c r="AC145" i="22"/>
  <c r="Z128" i="22"/>
  <c r="Z129" i="22"/>
  <c r="Y120" i="22"/>
  <c r="U140" i="22"/>
  <c r="U138" i="22"/>
  <c r="V132" i="22"/>
  <c r="V134" i="22"/>
  <c r="X120" i="22"/>
  <c r="X126" i="22"/>
  <c r="X129" i="22"/>
  <c r="U135" i="22"/>
  <c r="T141" i="22"/>
  <c r="W120" i="22"/>
  <c r="Y145" i="22"/>
  <c r="W127" i="22"/>
  <c r="T134" i="22"/>
  <c r="S142" i="22"/>
  <c r="V120" i="22"/>
  <c r="V127" i="22"/>
  <c r="V129" i="22"/>
  <c r="AE146" i="22"/>
  <c r="U122" i="22"/>
  <c r="S132" i="22"/>
  <c r="U126" i="22"/>
  <c r="R142" i="22"/>
  <c r="R140" i="22"/>
  <c r="V149" i="22"/>
  <c r="Y148" i="22"/>
  <c r="AF146" i="22"/>
  <c r="T127" i="22"/>
  <c r="R133" i="22"/>
  <c r="S123" i="22"/>
  <c r="U145" i="22"/>
  <c r="S126" i="22"/>
  <c r="AF147" i="22"/>
  <c r="Q133" i="22"/>
  <c r="P139" i="22"/>
  <c r="P142" i="22"/>
  <c r="R120" i="22"/>
  <c r="R126" i="22"/>
  <c r="P132" i="22"/>
  <c r="V146" i="22"/>
  <c r="Q123" i="22"/>
  <c r="O138" i="22"/>
  <c r="Q121" i="22"/>
  <c r="Q126" i="22"/>
  <c r="AA146" i="22"/>
  <c r="O135" i="22"/>
  <c r="P120" i="22"/>
  <c r="P128" i="22"/>
  <c r="P121" i="22"/>
  <c r="P129" i="22"/>
  <c r="N141" i="22"/>
  <c r="Q149" i="22"/>
  <c r="O120" i="22"/>
  <c r="W147" i="22"/>
  <c r="M141" i="22"/>
  <c r="M139" i="22"/>
  <c r="V147" i="22"/>
  <c r="Q147" i="22"/>
  <c r="K132" i="22"/>
  <c r="N121" i="22"/>
  <c r="L138" i="22"/>
  <c r="L139" i="22"/>
  <c r="M134" i="22"/>
  <c r="M128" i="22"/>
  <c r="Q148" i="22"/>
  <c r="M129" i="22"/>
  <c r="K141" i="22"/>
  <c r="P148" i="22"/>
  <c r="L128" i="22"/>
  <c r="L133" i="22"/>
  <c r="L135" i="22"/>
  <c r="L120" i="22"/>
  <c r="M149" i="22"/>
  <c r="K128" i="22"/>
  <c r="K121" i="22"/>
  <c r="N148" i="22"/>
  <c r="J146" i="22"/>
  <c r="L149" i="22"/>
  <c r="H121" i="22"/>
  <c r="J128" i="22"/>
  <c r="J123" i="22"/>
  <c r="N147" i="22"/>
  <c r="M146" i="22"/>
  <c r="K149" i="22"/>
  <c r="I141" i="22"/>
  <c r="L147" i="22"/>
  <c r="I121" i="22"/>
  <c r="I120" i="22"/>
  <c r="I127" i="22"/>
  <c r="J145" i="22"/>
  <c r="J148" i="22"/>
  <c r="H140" i="22"/>
  <c r="H132" i="22"/>
  <c r="I146" i="22"/>
  <c r="H142" i="22"/>
  <c r="H129" i="22"/>
  <c r="H145" i="22"/>
  <c r="J144" i="22"/>
  <c r="AF130" i="22"/>
  <c r="AE124" i="22"/>
  <c r="M136" i="22"/>
  <c r="I150" i="22"/>
  <c r="AB136" i="22"/>
  <c r="L144" i="22"/>
  <c r="S143" i="22"/>
  <c r="U143" i="22"/>
  <c r="P124" i="22"/>
  <c r="P143" i="22"/>
  <c r="L131" i="22"/>
  <c r="J137" i="22"/>
  <c r="AA125" i="22"/>
  <c r="R150" i="22"/>
  <c r="T124" i="22"/>
  <c r="R125" i="22"/>
  <c r="O143" i="22"/>
  <c r="K150" i="22"/>
  <c r="H124" i="22"/>
  <c r="W124" i="22"/>
  <c r="L130" i="22"/>
  <c r="J136" i="22"/>
  <c r="Y137" i="22"/>
  <c r="T131" i="22"/>
  <c r="R124" i="22"/>
  <c r="AB130" i="22"/>
  <c r="O125" i="22"/>
  <c r="AF150" i="22"/>
  <c r="AB137" i="22"/>
  <c r="X124" i="22"/>
  <c r="K130" i="22"/>
  <c r="M150" i="22"/>
  <c r="O124" i="22"/>
  <c r="J130" i="22"/>
  <c r="J131" i="22"/>
  <c r="AA136" i="22"/>
  <c r="K125" i="22"/>
  <c r="J150" i="22"/>
  <c r="I130" i="22"/>
  <c r="AF125" i="22"/>
  <c r="AF136" i="22"/>
  <c r="X125" i="22"/>
  <c r="Y136" i="22"/>
  <c r="P144" i="22"/>
  <c r="K144" i="22"/>
  <c r="Y150" i="22"/>
  <c r="T136" i="22"/>
  <c r="Y144" i="22"/>
  <c r="N125" i="22"/>
  <c r="S136" i="22"/>
  <c r="Z130" i="22"/>
  <c r="O150" i="22"/>
  <c r="AD125" i="22"/>
  <c r="W125" i="22"/>
  <c r="AF210" i="43" a="1"/>
  <c r="AF210" i="43" s="1"/>
  <c r="U217" i="43" l="1" a="1"/>
  <c r="U217" i="43" s="1"/>
  <c r="W209" i="43" a="1"/>
  <c r="W209" i="43" s="1"/>
  <c r="AF208" i="43" a="1"/>
  <c r="AF208" i="43" s="1"/>
  <c r="X209" i="43" l="1" a="1"/>
  <c r="X209" i="43" s="1"/>
  <c r="V217" i="43" a="1"/>
  <c r="V217" i="43" s="1"/>
  <c r="W217" i="43" l="1" a="1"/>
  <c r="W217" i="43" s="1"/>
  <c r="Y209" i="43" a="1"/>
  <c r="Y209" i="43" s="1"/>
  <c r="Z209" i="43" l="1" a="1"/>
  <c r="Z209" i="43" s="1"/>
  <c r="X217" i="43" a="1"/>
  <c r="X217" i="43" s="1"/>
  <c r="Y217" i="43" l="1" a="1"/>
  <c r="Y217" i="43" s="1"/>
  <c r="AA209" i="43" a="1"/>
  <c r="AA209" i="43" s="1"/>
  <c r="AB209" i="43" l="1" a="1"/>
  <c r="AB209" i="43" s="1"/>
  <c r="Z217" i="43" a="1"/>
  <c r="Z217" i="43" s="1"/>
  <c r="AA217" i="43" l="1" a="1"/>
  <c r="AA217" i="43" s="1"/>
  <c r="AC209" i="43" a="1"/>
  <c r="AC209" i="43" s="1"/>
  <c r="AD209" i="43" l="1" a="1"/>
  <c r="AD209" i="43" s="1"/>
  <c r="AB217" i="43" a="1"/>
  <c r="AB217" i="43" s="1"/>
  <c r="AC217" i="43" l="1" a="1"/>
  <c r="AC217" i="43" s="1"/>
  <c r="AE209" i="43" a="1"/>
  <c r="AE209" i="43" s="1"/>
  <c r="AF209" i="43" l="1" a="1"/>
  <c r="AF209" i="43" s="1"/>
  <c r="AD217" i="43" a="1"/>
  <c r="AD217" i="43" s="1"/>
  <c r="AE217" i="43" l="1" a="1"/>
  <c r="AE217" i="43" s="1"/>
  <c r="G46" i="22" l="1" a="1"/>
  <c r="AE67" i="22" s="1"/>
  <c r="AF217" i="43" a="1"/>
  <c r="AF217" i="43" s="1"/>
  <c r="AF67" i="22" l="1"/>
  <c r="V70" i="22"/>
  <c r="G57" i="22"/>
  <c r="J57" i="22"/>
  <c r="AF50" i="22"/>
  <c r="R56" i="22"/>
  <c r="M51" i="22"/>
  <c r="O69" i="22"/>
  <c r="P51" i="22"/>
  <c r="T51" i="22"/>
  <c r="S50" i="22"/>
  <c r="L63" i="22"/>
  <c r="V62" i="22"/>
  <c r="X51" i="22"/>
  <c r="S63" i="22"/>
  <c r="L70" i="22"/>
  <c r="T62" i="22"/>
  <c r="H56" i="22"/>
  <c r="U69" i="22"/>
  <c r="AC57" i="22"/>
  <c r="Q51" i="22"/>
  <c r="AE63" i="22"/>
  <c r="O50" i="22"/>
  <c r="S57" i="22"/>
  <c r="AE69" i="22"/>
  <c r="S51" i="22"/>
  <c r="K63" i="22"/>
  <c r="AF69" i="22"/>
  <c r="X62" i="22"/>
  <c r="T56" i="22"/>
  <c r="AF57" i="22"/>
  <c r="G69" i="22"/>
  <c r="X69" i="22"/>
  <c r="P69" i="22"/>
  <c r="AD57" i="22"/>
  <c r="Y63" i="22"/>
  <c r="Y70" i="22"/>
  <c r="AE50" i="22"/>
  <c r="G62" i="22"/>
  <c r="Q56" i="22"/>
  <c r="Z62" i="22"/>
  <c r="H51" i="22"/>
  <c r="L57" i="22"/>
  <c r="O62" i="22"/>
  <c r="T50" i="22"/>
  <c r="R70" i="22"/>
  <c r="AB69" i="22"/>
  <c r="V57" i="22"/>
  <c r="Q63" i="22"/>
  <c r="Q70" i="22"/>
  <c r="O51" i="22"/>
  <c r="AE70" i="22"/>
  <c r="T69" i="22"/>
  <c r="I69" i="22"/>
  <c r="AA63" i="22"/>
  <c r="J69" i="22"/>
  <c r="Y69" i="22"/>
  <c r="P62" i="22"/>
  <c r="U51" i="22"/>
  <c r="R57" i="22"/>
  <c r="Z63" i="22"/>
  <c r="AA70" i="22"/>
  <c r="W56" i="22"/>
  <c r="Y62" i="22"/>
  <c r="AF62" i="22"/>
  <c r="K57" i="22"/>
  <c r="L51" i="22"/>
  <c r="Z69" i="22"/>
  <c r="N62" i="22"/>
  <c r="R69" i="22"/>
  <c r="AA50" i="22"/>
  <c r="V50" i="22"/>
  <c r="AC70" i="22"/>
  <c r="AF56" i="22"/>
  <c r="AA62" i="22"/>
  <c r="AA69" i="22"/>
  <c r="M56" i="22"/>
  <c r="Q50" i="22"/>
  <c r="U70" i="22"/>
  <c r="AD51" i="22"/>
  <c r="J50" i="22"/>
  <c r="H63" i="22"/>
  <c r="P50" i="22"/>
  <c r="AF51" i="22"/>
  <c r="AD50" i="22"/>
  <c r="AB70" i="22"/>
  <c r="H50" i="22"/>
  <c r="AC62" i="22"/>
  <c r="Z57" i="22"/>
  <c r="K56" i="22"/>
  <c r="Y57" i="22"/>
  <c r="AE51" i="22"/>
  <c r="J70" i="22"/>
  <c r="U56" i="22"/>
  <c r="I56" i="22"/>
  <c r="P63" i="22"/>
  <c r="M70" i="22"/>
  <c r="N63" i="22"/>
  <c r="L56" i="22"/>
  <c r="AD63" i="22"/>
  <c r="AD69" i="22"/>
  <c r="L62" i="22"/>
  <c r="Z51" i="22"/>
  <c r="M69" i="22"/>
  <c r="U57" i="22"/>
  <c r="I51" i="22"/>
  <c r="W63" i="22"/>
  <c r="W50" i="22"/>
  <c r="AE57" i="22"/>
  <c r="P70" i="22"/>
  <c r="AC51" i="22"/>
  <c r="V63" i="22"/>
  <c r="X57" i="22"/>
  <c r="M62" i="22"/>
  <c r="H62" i="22"/>
  <c r="V51" i="22"/>
  <c r="Z56" i="22"/>
  <c r="R50" i="22"/>
  <c r="V56" i="22"/>
  <c r="V69" i="22"/>
  <c r="R51" i="22"/>
  <c r="M57" i="22"/>
  <c r="O63" i="22"/>
  <c r="AD70" i="22"/>
  <c r="H69" i="22"/>
  <c r="K50" i="22"/>
  <c r="AD62" i="22"/>
  <c r="X63" i="22"/>
  <c r="AC56" i="22"/>
  <c r="P57" i="22"/>
  <c r="AC50" i="22"/>
  <c r="H57" i="22"/>
  <c r="N69" i="22"/>
  <c r="J51" i="22"/>
  <c r="AE56" i="22"/>
  <c r="G63" i="22"/>
  <c r="U62" i="22"/>
  <c r="AA56" i="22"/>
  <c r="X50" i="22"/>
  <c r="AD56" i="22"/>
  <c r="AA57" i="22"/>
  <c r="AC63" i="22"/>
  <c r="U63" i="22"/>
  <c r="N50" i="22"/>
  <c r="O70" i="22"/>
  <c r="N57" i="22"/>
  <c r="I63" i="22"/>
  <c r="I70" i="22"/>
  <c r="AA51" i="22"/>
  <c r="I50" i="22"/>
  <c r="G70" i="22"/>
  <c r="W70" i="22"/>
  <c r="L69" i="22"/>
  <c r="X70" i="22"/>
  <c r="W51" i="22"/>
  <c r="M63" i="22"/>
  <c r="J56" i="22"/>
  <c r="AB57" i="22"/>
  <c r="R63" i="22"/>
  <c r="S70" i="22"/>
  <c r="O56" i="22"/>
  <c r="Q62" i="22"/>
  <c r="T63" i="22"/>
  <c r="W57" i="22"/>
  <c r="U50" i="22"/>
  <c r="H70" i="22"/>
  <c r="L50" i="22"/>
  <c r="N56" i="22"/>
  <c r="W69" i="22"/>
  <c r="AB56" i="22"/>
  <c r="R62" i="22"/>
  <c r="AB51" i="22"/>
  <c r="N70" i="22"/>
  <c r="X56" i="22"/>
  <c r="S69" i="22"/>
  <c r="Y50" i="22"/>
  <c r="S56" i="22"/>
  <c r="O57" i="22"/>
  <c r="P56" i="22"/>
  <c r="K69" i="22"/>
  <c r="G51" i="22"/>
  <c r="Z70" i="22"/>
  <c r="Q57" i="22"/>
  <c r="K70" i="22"/>
  <c r="I62" i="22"/>
  <c r="J62" i="22"/>
  <c r="K51" i="22"/>
  <c r="N51" i="22"/>
  <c r="AC69" i="22"/>
  <c r="G50" i="22"/>
  <c r="W62" i="22"/>
  <c r="Z50" i="22"/>
  <c r="AE62" i="22"/>
  <c r="S62" i="22"/>
  <c r="Y56" i="22"/>
  <c r="AF70" i="22"/>
  <c r="AB63" i="22"/>
  <c r="T70" i="22"/>
  <c r="K62" i="22"/>
  <c r="I57" i="22"/>
  <c r="M50" i="22"/>
  <c r="J63" i="22"/>
  <c r="G56" i="22"/>
  <c r="AF63" i="22"/>
  <c r="T57" i="22"/>
  <c r="AB50" i="22"/>
  <c r="AB62" i="22"/>
  <c r="Y51" i="22"/>
  <c r="Q69" i="22"/>
  <c r="G58" i="22"/>
  <c r="G48" i="22"/>
  <c r="G53" i="22"/>
  <c r="G74" i="22"/>
  <c r="G67" i="22"/>
  <c r="G66" i="22"/>
  <c r="G71" i="22"/>
  <c r="G49" i="22"/>
  <c r="G47" i="22"/>
  <c r="G68" i="22"/>
  <c r="G76" i="22"/>
  <c r="G65" i="22"/>
  <c r="G61" i="22"/>
  <c r="G54" i="22"/>
  <c r="G59" i="22"/>
  <c r="G60" i="22"/>
  <c r="G52" i="22"/>
  <c r="G46" i="22"/>
  <c r="G73" i="22"/>
  <c r="G75" i="22"/>
  <c r="G64" i="22"/>
  <c r="G72" i="22"/>
  <c r="G55" i="22"/>
  <c r="V73" i="22"/>
  <c r="AE73" i="22"/>
  <c r="Q73" i="22"/>
  <c r="H73" i="22"/>
  <c r="AB73" i="22"/>
  <c r="AC73" i="22"/>
  <c r="Z73" i="22"/>
  <c r="AD73" i="22"/>
  <c r="L73" i="22"/>
  <c r="S73" i="22"/>
  <c r="N73" i="22"/>
  <c r="AA73" i="22"/>
  <c r="I73" i="22"/>
  <c r="O73" i="22"/>
  <c r="W73" i="22"/>
  <c r="X73" i="22"/>
  <c r="J73" i="22"/>
  <c r="P73" i="22"/>
  <c r="M73" i="22"/>
  <c r="U73" i="22"/>
  <c r="AF73" i="22"/>
  <c r="K73" i="22"/>
  <c r="Y73" i="22"/>
  <c r="T73" i="22"/>
  <c r="R73" i="22"/>
  <c r="M72" i="22"/>
  <c r="AE72" i="22"/>
  <c r="Q72" i="22"/>
  <c r="H72" i="22"/>
  <c r="AA72" i="22"/>
  <c r="S72" i="22"/>
  <c r="V72" i="22"/>
  <c r="J72" i="22"/>
  <c r="K72" i="22"/>
  <c r="R72" i="22"/>
  <c r="L72" i="22"/>
  <c r="Y72" i="22"/>
  <c r="N72" i="22"/>
  <c r="P72" i="22"/>
  <c r="T72" i="22"/>
  <c r="O72" i="22"/>
  <c r="X72" i="22"/>
  <c r="I72" i="22"/>
  <c r="AB72" i="22"/>
  <c r="AD72" i="22"/>
  <c r="AF72" i="22"/>
  <c r="Z72" i="22"/>
  <c r="U72" i="22"/>
  <c r="AC72" i="22"/>
  <c r="W72" i="22"/>
  <c r="K71" i="22"/>
  <c r="O71" i="22"/>
  <c r="U71" i="22"/>
  <c r="N71" i="22"/>
  <c r="J71" i="22"/>
  <c r="AD71" i="22"/>
  <c r="V71" i="22"/>
  <c r="S71" i="22"/>
  <c r="AF71" i="22"/>
  <c r="Z71" i="22"/>
  <c r="I71" i="22"/>
  <c r="T71" i="22"/>
  <c r="X71" i="22"/>
  <c r="AB71" i="22"/>
  <c r="Q71" i="22"/>
  <c r="Y71" i="22"/>
  <c r="L71" i="22"/>
  <c r="M71" i="22"/>
  <c r="R71" i="22"/>
  <c r="AE71" i="22"/>
  <c r="AA71" i="22"/>
  <c r="P71" i="22"/>
  <c r="H71" i="22"/>
  <c r="AC71" i="22"/>
  <c r="W71" i="22"/>
  <c r="J76" i="22"/>
  <c r="I76" i="22"/>
  <c r="N76" i="22"/>
  <c r="H76" i="22"/>
  <c r="K76" i="22"/>
  <c r="U76" i="22"/>
  <c r="Y76" i="22"/>
  <c r="AB76" i="22"/>
  <c r="AE76" i="22"/>
  <c r="AC76" i="22"/>
  <c r="R76" i="22"/>
  <c r="Z76" i="22"/>
  <c r="W76" i="22"/>
  <c r="Q76" i="22"/>
  <c r="P76" i="22"/>
  <c r="L76" i="22"/>
  <c r="AF76" i="22"/>
  <c r="V76" i="22"/>
  <c r="S76" i="22"/>
  <c r="AD76" i="22"/>
  <c r="AA76" i="22"/>
  <c r="O76" i="22"/>
  <c r="T76" i="22"/>
  <c r="M76" i="22"/>
  <c r="X76" i="22"/>
  <c r="M52" i="22"/>
  <c r="H53" i="22"/>
  <c r="I55" i="22"/>
  <c r="M54" i="22"/>
  <c r="AC54" i="22"/>
  <c r="P55" i="22"/>
  <c r="W53" i="22"/>
  <c r="L52" i="22"/>
  <c r="AA52" i="22"/>
  <c r="AB54" i="22"/>
  <c r="I52" i="22"/>
  <c r="N55" i="22"/>
  <c r="J55" i="22"/>
  <c r="I47" i="22"/>
  <c r="AD47" i="22"/>
  <c r="V49" i="22"/>
  <c r="Q46" i="22"/>
  <c r="T47" i="22"/>
  <c r="H46" i="22"/>
  <c r="T49" i="22"/>
  <c r="AF48" i="22"/>
  <c r="U49" i="22"/>
  <c r="W48" i="22"/>
  <c r="N46" i="22"/>
  <c r="AD49" i="22"/>
  <c r="AD48" i="22"/>
  <c r="V46" i="22"/>
  <c r="AE54" i="22"/>
  <c r="AA47" i="22"/>
  <c r="AF49" i="22"/>
  <c r="P46" i="22"/>
  <c r="Q49" i="22"/>
  <c r="Z46" i="22"/>
  <c r="L49" i="22"/>
  <c r="Z55" i="22"/>
  <c r="AB55" i="22"/>
  <c r="O55" i="22"/>
  <c r="R47" i="22"/>
  <c r="J49" i="22"/>
  <c r="S48" i="22"/>
  <c r="H48" i="22"/>
  <c r="S49" i="22"/>
  <c r="AC49" i="22"/>
  <c r="X53" i="22"/>
  <c r="S54" i="22"/>
  <c r="R52" i="22"/>
  <c r="Q55" i="22"/>
  <c r="AA54" i="22"/>
  <c r="AB53" i="22"/>
  <c r="O53" i="22"/>
  <c r="U53" i="22"/>
  <c r="T55" i="22"/>
  <c r="H55" i="22"/>
  <c r="AD52" i="22"/>
  <c r="M55" i="22"/>
  <c r="P52" i="22"/>
  <c r="J48" i="22"/>
  <c r="X47" i="22"/>
  <c r="U47" i="22"/>
  <c r="S46" i="22"/>
  <c r="O48" i="22"/>
  <c r="N49" i="22"/>
  <c r="AA46" i="22"/>
  <c r="AE48" i="22"/>
  <c r="AE49" i="22"/>
  <c r="AC48" i="22"/>
  <c r="S47" i="22"/>
  <c r="J54" i="22"/>
  <c r="L54" i="22"/>
  <c r="T54" i="22"/>
  <c r="N53" i="22"/>
  <c r="AD53" i="22"/>
  <c r="M53" i="22"/>
  <c r="V53" i="22"/>
  <c r="R54" i="22"/>
  <c r="AE52" i="22"/>
  <c r="O54" i="22"/>
  <c r="AF52" i="22"/>
  <c r="U54" i="22"/>
  <c r="M47" i="22"/>
  <c r="N47" i="22"/>
  <c r="AE47" i="22"/>
  <c r="AB47" i="22"/>
  <c r="I46" i="22"/>
  <c r="AC46" i="22"/>
  <c r="Y48" i="22"/>
  <c r="L55" i="22"/>
  <c r="R55" i="22"/>
  <c r="H54" i="22"/>
  <c r="K48" i="22"/>
  <c r="Z53" i="22"/>
  <c r="AF53" i="22"/>
  <c r="P53" i="22"/>
  <c r="V55" i="22"/>
  <c r="AC55" i="22"/>
  <c r="S52" i="22"/>
  <c r="AE55" i="22"/>
  <c r="W52" i="22"/>
  <c r="J52" i="22"/>
  <c r="P47" i="22"/>
  <c r="Z47" i="22"/>
  <c r="M49" i="22"/>
  <c r="K46" i="22"/>
  <c r="AA49" i="22"/>
  <c r="N48" i="22"/>
  <c r="Y47" i="22"/>
  <c r="T48" i="22"/>
  <c r="P49" i="22"/>
  <c r="V48" i="22"/>
  <c r="Y46" i="22"/>
  <c r="AC53" i="22"/>
  <c r="T52" i="22"/>
  <c r="L53" i="22"/>
  <c r="K53" i="22"/>
  <c r="S53" i="22"/>
  <c r="I53" i="22"/>
  <c r="K55" i="22"/>
  <c r="V54" i="22"/>
  <c r="Q47" i="22"/>
  <c r="R46" i="22"/>
  <c r="AF47" i="22"/>
  <c r="L46" i="22"/>
  <c r="I54" i="22"/>
  <c r="K54" i="22"/>
  <c r="W54" i="22"/>
  <c r="Q52" i="22"/>
  <c r="AA53" i="22"/>
  <c r="O52" i="22"/>
  <c r="J53" i="22"/>
  <c r="T53" i="22"/>
  <c r="Y54" i="22"/>
  <c r="H52" i="22"/>
  <c r="AF54" i="22"/>
  <c r="V52" i="22"/>
  <c r="AC52" i="22"/>
  <c r="V47" i="22"/>
  <c r="H47" i="22"/>
  <c r="AB46" i="22"/>
  <c r="K49" i="22"/>
  <c r="Q48" i="22"/>
  <c r="W46" i="22"/>
  <c r="AD46" i="22"/>
  <c r="X46" i="22"/>
  <c r="AF46" i="22"/>
  <c r="X49" i="22"/>
  <c r="AE46" i="22"/>
  <c r="J47" i="22"/>
  <c r="Z54" i="22"/>
  <c r="Z49" i="22"/>
  <c r="AB52" i="22"/>
  <c r="X55" i="22"/>
  <c r="Q54" i="22"/>
  <c r="R53" i="22"/>
  <c r="Y53" i="22"/>
  <c r="N54" i="22"/>
  <c r="Z52" i="22"/>
  <c r="AA55" i="22"/>
  <c r="Y52" i="22"/>
  <c r="U52" i="22"/>
  <c r="S55" i="22"/>
  <c r="X52" i="22"/>
  <c r="K47" i="22"/>
  <c r="R48" i="22"/>
  <c r="O49" i="22"/>
  <c r="M48" i="22"/>
  <c r="AC47" i="22"/>
  <c r="T46" i="22"/>
  <c r="R49" i="22"/>
  <c r="Z48" i="22"/>
  <c r="I49" i="22"/>
  <c r="AB48" i="22"/>
  <c r="L47" i="22"/>
  <c r="H49" i="22"/>
  <c r="X48" i="22"/>
  <c r="K52" i="22"/>
  <c r="O46" i="22"/>
  <c r="Y49" i="22"/>
  <c r="I48" i="22"/>
  <c r="P54" i="22"/>
  <c r="AE53" i="22"/>
  <c r="Q53" i="22"/>
  <c r="X54" i="22"/>
  <c r="W55" i="22"/>
  <c r="AD54" i="22"/>
  <c r="AD55" i="22"/>
  <c r="U55" i="22"/>
  <c r="AF55" i="22"/>
  <c r="Y55" i="22"/>
  <c r="N52" i="22"/>
  <c r="O47" i="22"/>
  <c r="W47" i="22"/>
  <c r="U48" i="22"/>
  <c r="M46" i="22"/>
  <c r="AB49" i="22"/>
  <c r="P48" i="22"/>
  <c r="AA48" i="22"/>
  <c r="J46" i="22"/>
  <c r="U46" i="22"/>
  <c r="W49" i="22"/>
  <c r="L48" i="22"/>
  <c r="V74" i="22"/>
  <c r="Z74" i="22"/>
  <c r="AD74" i="22"/>
  <c r="AA74" i="22"/>
  <c r="AF74" i="22"/>
  <c r="X74" i="22"/>
  <c r="Q74" i="22"/>
  <c r="O74" i="22"/>
  <c r="H74" i="22"/>
  <c r="AE74" i="22"/>
  <c r="M74" i="22"/>
  <c r="I74" i="22"/>
  <c r="S74" i="22"/>
  <c r="K74" i="22"/>
  <c r="T74" i="22"/>
  <c r="L74" i="22"/>
  <c r="Y74" i="22"/>
  <c r="AC74" i="22"/>
  <c r="W74" i="22"/>
  <c r="AB74" i="22"/>
  <c r="U74" i="22"/>
  <c r="N74" i="22"/>
  <c r="J74" i="22"/>
  <c r="P74" i="22"/>
  <c r="R74" i="22"/>
  <c r="L75" i="22"/>
  <c r="N75" i="22"/>
  <c r="Y75" i="22"/>
  <c r="M75" i="22"/>
  <c r="R75" i="22"/>
  <c r="S75" i="22"/>
  <c r="I75" i="22"/>
  <c r="U75" i="22"/>
  <c r="W75" i="22"/>
  <c r="P75" i="22"/>
  <c r="AC75" i="22"/>
  <c r="O75" i="22"/>
  <c r="H75" i="22"/>
  <c r="Q75" i="22"/>
  <c r="AE75" i="22"/>
  <c r="Z75" i="22"/>
  <c r="V75" i="22"/>
  <c r="AB75" i="22"/>
  <c r="AF75" i="22"/>
  <c r="AA75" i="22"/>
  <c r="T75" i="22"/>
  <c r="K75" i="22"/>
  <c r="AD75" i="22"/>
  <c r="X75" i="22"/>
  <c r="J75" i="22"/>
  <c r="Y60" i="22"/>
  <c r="I58" i="22"/>
  <c r="N61" i="22"/>
  <c r="N59" i="22"/>
  <c r="R61" i="22"/>
  <c r="J61" i="22"/>
  <c r="P60" i="22"/>
  <c r="K59" i="22"/>
  <c r="R60" i="22"/>
  <c r="H58" i="22"/>
  <c r="O59" i="22"/>
  <c r="S60" i="22"/>
  <c r="U58" i="22"/>
  <c r="M60" i="22"/>
  <c r="L61" i="22"/>
  <c r="H60" i="22"/>
  <c r="N58" i="22"/>
  <c r="V61" i="22"/>
  <c r="R58" i="22"/>
  <c r="AF61" i="22"/>
  <c r="H61" i="22"/>
  <c r="M58" i="22"/>
  <c r="Z61" i="22"/>
  <c r="S58" i="22"/>
  <c r="U60" i="22"/>
  <c r="L59" i="22"/>
  <c r="V60" i="22"/>
  <c r="M61" i="22"/>
  <c r="T60" i="22"/>
  <c r="AE61" i="22"/>
  <c r="V58" i="22"/>
  <c r="I61" i="22"/>
  <c r="H59" i="22"/>
  <c r="N60" i="22"/>
  <c r="Q61" i="22"/>
  <c r="O58" i="22"/>
  <c r="L60" i="22"/>
  <c r="Y61" i="22"/>
  <c r="P58" i="22"/>
  <c r="J60" i="22"/>
  <c r="S61" i="22"/>
  <c r="J58" i="22"/>
  <c r="U61" i="22"/>
  <c r="X61" i="22"/>
  <c r="T58" i="22"/>
  <c r="AA61" i="22"/>
  <c r="X58" i="22"/>
  <c r="Q60" i="22"/>
  <c r="J59" i="22"/>
  <c r="K58" i="22"/>
  <c r="T61" i="22"/>
  <c r="W61" i="22"/>
  <c r="L58" i="22"/>
  <c r="O60" i="22"/>
  <c r="W60" i="22"/>
  <c r="P61" i="22"/>
  <c r="K61" i="22"/>
  <c r="M59" i="22"/>
  <c r="K60" i="22"/>
  <c r="W58" i="22"/>
  <c r="AB61" i="22"/>
  <c r="AD61" i="22"/>
  <c r="I59" i="22"/>
  <c r="O61" i="22"/>
  <c r="Q58" i="22"/>
  <c r="AC61" i="22"/>
  <c r="I60" i="22"/>
  <c r="X60" i="22"/>
  <c r="Y58" i="22"/>
  <c r="P59" i="22"/>
  <c r="Z60" i="22"/>
  <c r="AA60" i="22"/>
  <c r="Z58" i="22"/>
  <c r="Q59" i="22"/>
  <c r="AB60" i="22"/>
  <c r="AA58" i="22"/>
  <c r="R59" i="22"/>
  <c r="AD68" i="22"/>
  <c r="Q65" i="22"/>
  <c r="AB58" i="22"/>
  <c r="AC60" i="22"/>
  <c r="S59" i="22"/>
  <c r="AC66" i="22"/>
  <c r="Z66" i="22"/>
  <c r="W66" i="22"/>
  <c r="R65" i="22"/>
  <c r="AE64" i="22"/>
  <c r="V64" i="22"/>
  <c r="J66" i="22"/>
  <c r="Q66" i="22"/>
  <c r="M65" i="22"/>
  <c r="U68" i="22"/>
  <c r="N68" i="22"/>
  <c r="AD60" i="22"/>
  <c r="Y68" i="22"/>
  <c r="AF68" i="22"/>
  <c r="AC58" i="22"/>
  <c r="J67" i="22"/>
  <c r="AB68" i="22"/>
  <c r="I68" i="22"/>
  <c r="P66" i="22"/>
  <c r="U64" i="22"/>
  <c r="Q68" i="22"/>
  <c r="O68" i="22"/>
  <c r="K64" i="22"/>
  <c r="AB66" i="22"/>
  <c r="S64" i="22"/>
  <c r="AC65" i="22"/>
  <c r="S65" i="22"/>
  <c r="N64" i="22"/>
  <c r="AF66" i="22"/>
  <c r="P67" i="22"/>
  <c r="N67" i="22"/>
  <c r="O65" i="22"/>
  <c r="R66" i="22"/>
  <c r="X66" i="22"/>
  <c r="W65" i="22"/>
  <c r="Y65" i="22"/>
  <c r="T64" i="22"/>
  <c r="L64" i="22"/>
  <c r="Y66" i="22"/>
  <c r="P65" i="22"/>
  <c r="AD64" i="22"/>
  <c r="AA65" i="22"/>
  <c r="AE68" i="22"/>
  <c r="K67" i="22"/>
  <c r="AD66" i="22"/>
  <c r="H68" i="22"/>
  <c r="E68" i="22" s="1"/>
  <c r="AA68" i="22"/>
  <c r="U66" i="22"/>
  <c r="T66" i="22"/>
  <c r="X65" i="22"/>
  <c r="L66" i="22"/>
  <c r="L68" i="22"/>
  <c r="V65" i="22"/>
  <c r="L65" i="22"/>
  <c r="AD65" i="22"/>
  <c r="W64" i="22"/>
  <c r="O67" i="22"/>
  <c r="R67" i="22"/>
  <c r="I64" i="22"/>
  <c r="AA64" i="22"/>
  <c r="O64" i="22"/>
  <c r="M64" i="22"/>
  <c r="AC68" i="22"/>
  <c r="Q64" i="22"/>
  <c r="Z64" i="22"/>
  <c r="P64" i="22"/>
  <c r="AC64" i="22"/>
  <c r="J68" i="22"/>
  <c r="AA66" i="22"/>
  <c r="I66" i="22"/>
  <c r="M67" i="22"/>
  <c r="T65" i="22"/>
  <c r="K65" i="22"/>
  <c r="R68" i="22"/>
  <c r="N65" i="22"/>
  <c r="N66" i="22"/>
  <c r="P68" i="22"/>
  <c r="H64" i="22"/>
  <c r="E64" i="22" s="1"/>
  <c r="S68" i="22"/>
  <c r="H66" i="22"/>
  <c r="E66" i="22" s="1"/>
  <c r="V68" i="22"/>
  <c r="AE66" i="22"/>
  <c r="X64" i="22"/>
  <c r="T59" i="22"/>
  <c r="H67" i="22"/>
  <c r="E67" i="22" s="1"/>
  <c r="S66" i="22"/>
  <c r="AE65" i="22"/>
  <c r="AB64" i="22"/>
  <c r="H65" i="22"/>
  <c r="E65" i="22" s="1"/>
  <c r="J65" i="22"/>
  <c r="Z65" i="22"/>
  <c r="U65" i="22"/>
  <c r="K66" i="22"/>
  <c r="W68" i="22"/>
  <c r="T68" i="22"/>
  <c r="Y64" i="22"/>
  <c r="AF64" i="22"/>
  <c r="L67" i="22"/>
  <c r="X68" i="22"/>
  <c r="I65" i="22"/>
  <c r="M68" i="22"/>
  <c r="V66" i="22"/>
  <c r="Z68" i="22"/>
  <c r="R64" i="22"/>
  <c r="K68" i="22"/>
  <c r="J64" i="22"/>
  <c r="AB65" i="22"/>
  <c r="O66" i="22"/>
  <c r="M66" i="22"/>
  <c r="AF65" i="22"/>
  <c r="Q67" i="22"/>
  <c r="I67" i="22"/>
  <c r="AE60" i="22"/>
  <c r="AD58" i="22"/>
  <c r="S67" i="22"/>
  <c r="U59" i="22"/>
  <c r="AF60" i="22"/>
  <c r="T67" i="22"/>
  <c r="V59" i="22"/>
  <c r="AE58" i="22"/>
  <c r="AF58" i="22"/>
  <c r="W59" i="22"/>
  <c r="U67" i="22"/>
  <c r="V67" i="22"/>
  <c r="X59" i="22"/>
  <c r="Y59" i="22"/>
  <c r="W67" i="22"/>
  <c r="X67" i="22"/>
  <c r="Z59" i="22"/>
  <c r="AA59" i="22"/>
  <c r="Y67" i="22"/>
  <c r="Z67" i="22"/>
  <c r="AB59" i="22"/>
  <c r="AC59" i="22"/>
  <c r="AA67" i="22"/>
  <c r="AB67" i="22"/>
  <c r="AD59" i="22"/>
  <c r="AE59" i="22"/>
  <c r="AC67" i="22"/>
  <c r="AF59" i="22"/>
  <c r="AD67" i="22"/>
  <c r="G194" i="22" l="1" a="1"/>
  <c r="G83" i="22" a="1"/>
  <c r="AF94" i="22" l="1"/>
  <c r="T87" i="22"/>
  <c r="AD107" i="22"/>
  <c r="AF107" i="22"/>
  <c r="H93" i="22"/>
  <c r="T107" i="22"/>
  <c r="Y88" i="22"/>
  <c r="J87" i="22"/>
  <c r="V88" i="22"/>
  <c r="AD87" i="22"/>
  <c r="N87" i="22"/>
  <c r="S94" i="22"/>
  <c r="I106" i="22"/>
  <c r="G85" i="22"/>
  <c r="AF87" i="22"/>
  <c r="N93" i="22"/>
  <c r="O88" i="22"/>
  <c r="AF88" i="22"/>
  <c r="T99" i="22"/>
  <c r="G111" i="22"/>
  <c r="S93" i="22"/>
  <c r="Y87" i="22"/>
  <c r="G90" i="22"/>
  <c r="X87" i="22"/>
  <c r="S88" i="22"/>
  <c r="N99" i="22"/>
  <c r="Y107" i="22"/>
  <c r="I94" i="22"/>
  <c r="G98" i="22"/>
  <c r="AC110" i="22"/>
  <c r="Z110" i="22"/>
  <c r="AB110" i="22"/>
  <c r="R109" i="22"/>
  <c r="Q109" i="22"/>
  <c r="X109" i="22"/>
  <c r="H113" i="22"/>
  <c r="AE113" i="22"/>
  <c r="O113" i="22"/>
  <c r="P111" i="22"/>
  <c r="R111" i="22"/>
  <c r="X111" i="22"/>
  <c r="V108" i="22"/>
  <c r="J108" i="22"/>
  <c r="AA108" i="22"/>
  <c r="U112" i="22"/>
  <c r="Q112" i="22"/>
  <c r="J112" i="22"/>
  <c r="AF112" i="22"/>
  <c r="U92" i="22"/>
  <c r="AF89" i="22"/>
  <c r="AB89" i="22"/>
  <c r="AD89" i="22"/>
  <c r="V92" i="22"/>
  <c r="K84" i="22"/>
  <c r="AA84" i="22"/>
  <c r="Z84" i="22"/>
  <c r="Y92" i="22"/>
  <c r="R91" i="22"/>
  <c r="AC84" i="22"/>
  <c r="AE90" i="22"/>
  <c r="M90" i="22"/>
  <c r="X83" i="22"/>
  <c r="N92" i="22"/>
  <c r="T86" i="22"/>
  <c r="H90" i="22"/>
  <c r="H83" i="22"/>
  <c r="Z85" i="22"/>
  <c r="S83" i="22"/>
  <c r="K83" i="22"/>
  <c r="AE83" i="22"/>
  <c r="S86" i="22"/>
  <c r="R83" i="22"/>
  <c r="P85" i="22"/>
  <c r="P96" i="22"/>
  <c r="I95" i="22"/>
  <c r="AD95" i="22"/>
  <c r="S96" i="22"/>
  <c r="W96" i="22"/>
  <c r="J96" i="22"/>
  <c r="Y98" i="22"/>
  <c r="S98" i="22"/>
  <c r="Z98" i="22"/>
  <c r="AE98" i="22"/>
  <c r="K102" i="22"/>
  <c r="T88" i="22"/>
  <c r="H94" i="22"/>
  <c r="H87" i="22"/>
  <c r="AC93" i="22"/>
  <c r="I100" i="22"/>
  <c r="AD99" i="22"/>
  <c r="U88" i="22"/>
  <c r="R93" i="22"/>
  <c r="K99" i="22"/>
  <c r="AD88" i="22"/>
  <c r="J99" i="22"/>
  <c r="AD100" i="22"/>
  <c r="I107" i="22"/>
  <c r="L87" i="22"/>
  <c r="N94" i="22"/>
  <c r="AB99" i="22"/>
  <c r="L94" i="22"/>
  <c r="AF99" i="22"/>
  <c r="R106" i="22"/>
  <c r="U94" i="22"/>
  <c r="G83" i="22"/>
  <c r="G94" i="22"/>
  <c r="W99" i="22"/>
  <c r="AB93" i="22"/>
  <c r="Z99" i="22"/>
  <c r="M106" i="22"/>
  <c r="G112" i="22"/>
  <c r="G97" i="22"/>
  <c r="G102" i="22"/>
  <c r="Q110" i="22"/>
  <c r="H110" i="22"/>
  <c r="O110" i="22"/>
  <c r="AB109" i="22"/>
  <c r="H109" i="22"/>
  <c r="L109" i="22"/>
  <c r="K113" i="22"/>
  <c r="W113" i="22"/>
  <c r="U113" i="22"/>
  <c r="O111" i="22"/>
  <c r="Z111" i="22"/>
  <c r="W111" i="22"/>
  <c r="L108" i="22"/>
  <c r="AF108" i="22"/>
  <c r="S108" i="22"/>
  <c r="O112" i="22"/>
  <c r="P112" i="22"/>
  <c r="W112" i="22"/>
  <c r="T89" i="22"/>
  <c r="V89" i="22"/>
  <c r="S92" i="22"/>
  <c r="K92" i="22"/>
  <c r="S91" i="22"/>
  <c r="Y89" i="22"/>
  <c r="P91" i="22"/>
  <c r="AE91" i="22"/>
  <c r="N86" i="22"/>
  <c r="L86" i="22"/>
  <c r="AA91" i="22"/>
  <c r="I84" i="22"/>
  <c r="J91" i="22"/>
  <c r="M92" i="22"/>
  <c r="O84" i="22"/>
  <c r="O92" i="22"/>
  <c r="AE86" i="22"/>
  <c r="P84" i="22"/>
  <c r="AA85" i="22"/>
  <c r="Y85" i="22"/>
  <c r="R86" i="22"/>
  <c r="AF85" i="22"/>
  <c r="U83" i="22"/>
  <c r="AF83" i="22"/>
  <c r="N83" i="22"/>
  <c r="AF95" i="22"/>
  <c r="K95" i="22"/>
  <c r="AB95" i="22"/>
  <c r="AC96" i="22"/>
  <c r="AC95" i="22"/>
  <c r="AD96" i="22"/>
  <c r="K97" i="22"/>
  <c r="AB98" i="22"/>
  <c r="AC98" i="22"/>
  <c r="P98" i="22"/>
  <c r="N97" i="22"/>
  <c r="AE102" i="22"/>
  <c r="K94" i="22"/>
  <c r="AA100" i="22"/>
  <c r="N107" i="22"/>
  <c r="K107" i="22"/>
  <c r="P87" i="22"/>
  <c r="W94" i="22"/>
  <c r="AC94" i="22"/>
  <c r="AA94" i="22"/>
  <c r="I87" i="22"/>
  <c r="Z107" i="22"/>
  <c r="AA107" i="22"/>
  <c r="G92" i="22"/>
  <c r="Y106" i="22"/>
  <c r="G93" i="22"/>
  <c r="M99" i="22"/>
  <c r="K88" i="22"/>
  <c r="U87" i="22"/>
  <c r="G110" i="22"/>
  <c r="AD93" i="22"/>
  <c r="Y100" i="22"/>
  <c r="S87" i="22"/>
  <c r="I99" i="22"/>
  <c r="AC87" i="22"/>
  <c r="M87" i="22"/>
  <c r="G109" i="22"/>
  <c r="T93" i="22"/>
  <c r="V99" i="22"/>
  <c r="I88" i="22"/>
  <c r="G104" i="22"/>
  <c r="P110" i="22"/>
  <c r="V110" i="22"/>
  <c r="I110" i="22"/>
  <c r="I109" i="22"/>
  <c r="S109" i="22"/>
  <c r="O109" i="22"/>
  <c r="V113" i="22"/>
  <c r="T113" i="22"/>
  <c r="R113" i="22"/>
  <c r="AD111" i="22"/>
  <c r="M111" i="22"/>
  <c r="AE111" i="22"/>
  <c r="Q108" i="22"/>
  <c r="AD108" i="22"/>
  <c r="I108" i="22"/>
  <c r="Z112" i="22"/>
  <c r="M112" i="22"/>
  <c r="T112" i="22"/>
  <c r="L112" i="22"/>
  <c r="J92" i="22"/>
  <c r="J89" i="22"/>
  <c r="P89" i="22"/>
  <c r="AD92" i="22"/>
  <c r="T92" i="22"/>
  <c r="X91" i="22"/>
  <c r="U86" i="22"/>
  <c r="M84" i="22"/>
  <c r="J90" i="22"/>
  <c r="R90" i="22"/>
  <c r="AB86" i="22"/>
  <c r="U84" i="22"/>
  <c r="L84" i="22"/>
  <c r="AD90" i="22"/>
  <c r="AB84" i="22"/>
  <c r="N90" i="22"/>
  <c r="O90" i="22"/>
  <c r="H86" i="22"/>
  <c r="Y84" i="22"/>
  <c r="I85" i="22"/>
  <c r="N85" i="22"/>
  <c r="M85" i="22"/>
  <c r="L83" i="22"/>
  <c r="K85" i="22"/>
  <c r="V83" i="22"/>
  <c r="X96" i="22"/>
  <c r="O96" i="22"/>
  <c r="V95" i="22"/>
  <c r="AB96" i="22"/>
  <c r="M95" i="22"/>
  <c r="U95" i="22"/>
  <c r="U98" i="22"/>
  <c r="M98" i="22"/>
  <c r="X98" i="22"/>
  <c r="O98" i="22"/>
  <c r="H103" i="22"/>
  <c r="W102" i="22"/>
  <c r="V87" i="22"/>
  <c r="AE88" i="22"/>
  <c r="L100" i="22"/>
  <c r="G106" i="22"/>
  <c r="AC88" i="22"/>
  <c r="Q99" i="22"/>
  <c r="Z88" i="22"/>
  <c r="L107" i="22"/>
  <c r="AE93" i="22"/>
  <c r="V94" i="22"/>
  <c r="P106" i="22"/>
  <c r="R88" i="22"/>
  <c r="R99" i="22"/>
  <c r="O106" i="22"/>
  <c r="AC106" i="22"/>
  <c r="Y94" i="22"/>
  <c r="G100" i="22"/>
  <c r="X94" i="22"/>
  <c r="G108" i="22"/>
  <c r="AA87" i="22"/>
  <c r="L93" i="22"/>
  <c r="AF106" i="22"/>
  <c r="U99" i="22"/>
  <c r="M93" i="22"/>
  <c r="Q107" i="22"/>
  <c r="O93" i="22"/>
  <c r="N88" i="22"/>
  <c r="T106" i="22"/>
  <c r="N100" i="22"/>
  <c r="O107" i="22"/>
  <c r="AB88" i="22"/>
  <c r="Z94" i="22"/>
  <c r="Z106" i="22"/>
  <c r="M107" i="22"/>
  <c r="W93" i="22"/>
  <c r="Y99" i="22"/>
  <c r="Z87" i="22"/>
  <c r="W107" i="22"/>
  <c r="G89" i="22"/>
  <c r="G101" i="22"/>
  <c r="T110" i="22"/>
  <c r="W110" i="22"/>
  <c r="N109" i="22"/>
  <c r="Z109" i="22"/>
  <c r="N113" i="22"/>
  <c r="L113" i="22"/>
  <c r="K111" i="22"/>
  <c r="Q111" i="22"/>
  <c r="Y108" i="22"/>
  <c r="U108" i="22"/>
  <c r="X112" i="22"/>
  <c r="M91" i="22"/>
  <c r="AC92" i="22"/>
  <c r="N89" i="22"/>
  <c r="P92" i="22"/>
  <c r="AD91" i="22"/>
  <c r="N91" i="22"/>
  <c r="K90" i="22"/>
  <c r="Z92" i="22"/>
  <c r="AC90" i="22"/>
  <c r="V90" i="22"/>
  <c r="P86" i="22"/>
  <c r="Q86" i="22"/>
  <c r="AE84" i="22"/>
  <c r="W85" i="22"/>
  <c r="U85" i="22"/>
  <c r="AC83" i="22"/>
  <c r="Y96" i="22"/>
  <c r="H95" i="22"/>
  <c r="V96" i="22"/>
  <c r="O95" i="22"/>
  <c r="AF98" i="22"/>
  <c r="J98" i="22"/>
  <c r="O97" i="22"/>
  <c r="Y102" i="22"/>
  <c r="M101" i="22"/>
  <c r="V105" i="22"/>
  <c r="X101" i="22"/>
  <c r="M105" i="22"/>
  <c r="AB102" i="22"/>
  <c r="Y105" i="22"/>
  <c r="R101" i="22"/>
  <c r="V102" i="22"/>
  <c r="AA105" i="22"/>
  <c r="M102" i="22"/>
  <c r="Q97" i="22"/>
  <c r="T97" i="22"/>
  <c r="X97" i="22"/>
  <c r="AB97" i="22"/>
  <c r="V104" i="22"/>
  <c r="AD104" i="22"/>
  <c r="X106" i="22"/>
  <c r="X107" i="22"/>
  <c r="AF93" i="22"/>
  <c r="J106" i="22"/>
  <c r="I93" i="22"/>
  <c r="S100" i="22"/>
  <c r="AD94" i="22"/>
  <c r="Q100" i="22"/>
  <c r="U93" i="22"/>
  <c r="L106" i="22"/>
  <c r="AB100" i="22"/>
  <c r="AF100" i="22"/>
  <c r="G96" i="22"/>
  <c r="S110" i="22"/>
  <c r="AA109" i="22"/>
  <c r="J109" i="22"/>
  <c r="X113" i="22"/>
  <c r="S113" i="22"/>
  <c r="AC111" i="22"/>
  <c r="V111" i="22"/>
  <c r="X108" i="22"/>
  <c r="AA112" i="22"/>
  <c r="N112" i="22"/>
  <c r="H91" i="22"/>
  <c r="AE92" i="22"/>
  <c r="S89" i="22"/>
  <c r="AF84" i="22"/>
  <c r="Y91" i="22"/>
  <c r="Z90" i="22"/>
  <c r="AB92" i="22"/>
  <c r="AB91" i="22"/>
  <c r="J84" i="22"/>
  <c r="H92" i="22"/>
  <c r="J85" i="22"/>
  <c r="S85" i="22"/>
  <c r="AF86" i="22"/>
  <c r="O85" i="22"/>
  <c r="I96" i="22"/>
  <c r="AE95" i="22"/>
  <c r="Q96" i="22"/>
  <c r="Q98" i="22"/>
  <c r="L97" i="22"/>
  <c r="Z101" i="22"/>
  <c r="I105" i="22"/>
  <c r="Z105" i="22"/>
  <c r="M103" i="22"/>
  <c r="S101" i="22"/>
  <c r="N105" i="22"/>
  <c r="AA102" i="22"/>
  <c r="S105" i="22"/>
  <c r="Z102" i="22"/>
  <c r="U105" i="22"/>
  <c r="Y101" i="22"/>
  <c r="J104" i="22"/>
  <c r="O104" i="22"/>
  <c r="T104" i="22"/>
  <c r="Y104" i="22"/>
  <c r="P93" i="22"/>
  <c r="G84" i="22"/>
  <c r="J94" i="22"/>
  <c r="T94" i="22"/>
  <c r="AE106" i="22"/>
  <c r="K93" i="22"/>
  <c r="G86" i="22"/>
  <c r="K106" i="22"/>
  <c r="N106" i="22"/>
  <c r="P94" i="22"/>
  <c r="AB106" i="22"/>
  <c r="AA106" i="22"/>
  <c r="Q94" i="22"/>
  <c r="L110" i="22"/>
  <c r="K110" i="22"/>
  <c r="AF109" i="22"/>
  <c r="P109" i="22"/>
  <c r="P113" i="22"/>
  <c r="J113" i="22"/>
  <c r="T111" i="22"/>
  <c r="R108" i="22"/>
  <c r="Z108" i="22"/>
  <c r="Y112" i="22"/>
  <c r="AD112" i="22"/>
  <c r="I89" i="22"/>
  <c r="AA89" i="22"/>
  <c r="W91" i="22"/>
  <c r="L85" i="22"/>
  <c r="Z89" i="22"/>
  <c r="O91" i="22"/>
  <c r="Q90" i="22"/>
  <c r="AF91" i="22"/>
  <c r="M89" i="22"/>
  <c r="T91" i="22"/>
  <c r="Q83" i="22"/>
  <c r="AD84" i="22"/>
  <c r="T83" i="22"/>
  <c r="T95" i="22"/>
  <c r="Z96" i="22"/>
  <c r="L95" i="22"/>
  <c r="W95" i="22"/>
  <c r="L98" i="22"/>
  <c r="K98" i="22"/>
  <c r="AF101" i="22"/>
  <c r="T103" i="22"/>
  <c r="I101" i="22"/>
  <c r="AC102" i="22"/>
  <c r="AA101" i="22"/>
  <c r="AB103" i="22"/>
  <c r="Q101" i="22"/>
  <c r="AD103" i="22"/>
  <c r="P105" i="22"/>
  <c r="L101" i="22"/>
  <c r="AF105" i="22"/>
  <c r="K104" i="22"/>
  <c r="P104" i="22"/>
  <c r="AC97" i="22"/>
  <c r="Z104" i="22"/>
  <c r="R87" i="22"/>
  <c r="H99" i="22"/>
  <c r="AD106" i="22"/>
  <c r="W100" i="22"/>
  <c r="Q93" i="22"/>
  <c r="G87" i="22"/>
  <c r="X100" i="22"/>
  <c r="G107" i="22"/>
  <c r="Q88" i="22"/>
  <c r="AA88" i="22"/>
  <c r="R107" i="22"/>
  <c r="J88" i="22"/>
  <c r="M88" i="22"/>
  <c r="AA110" i="22"/>
  <c r="M110" i="22"/>
  <c r="Y109" i="22"/>
  <c r="V109" i="22"/>
  <c r="AC113" i="22"/>
  <c r="M113" i="22"/>
  <c r="J111" i="22"/>
  <c r="O108" i="22"/>
  <c r="AE108" i="22"/>
  <c r="AC112" i="22"/>
  <c r="I112" i="22"/>
  <c r="AF92" i="22"/>
  <c r="K89" i="22"/>
  <c r="I91" i="22"/>
  <c r="U91" i="22"/>
  <c r="U89" i="22"/>
  <c r="R92" i="22"/>
  <c r="L90" i="22"/>
  <c r="T90" i="22"/>
  <c r="P90" i="22"/>
  <c r="P83" i="22"/>
  <c r="M83" i="22"/>
  <c r="X85" i="22"/>
  <c r="AB83" i="22"/>
  <c r="H96" i="22"/>
  <c r="Y95" i="22"/>
  <c r="N96" i="22"/>
  <c r="Z95" i="22"/>
  <c r="I97" i="22"/>
  <c r="J97" i="22"/>
  <c r="J101" i="22"/>
  <c r="H105" i="22"/>
  <c r="X102" i="22"/>
  <c r="O101" i="22"/>
  <c r="Q105" i="22"/>
  <c r="W103" i="22"/>
  <c r="AB101" i="22"/>
  <c r="N103" i="22"/>
  <c r="X103" i="22"/>
  <c r="AC101" i="22"/>
  <c r="AF102" i="22"/>
  <c r="U97" i="22"/>
  <c r="Y97" i="22"/>
  <c r="AD97" i="22"/>
  <c r="AA104" i="22"/>
  <c r="K100" i="22"/>
  <c r="U100" i="22"/>
  <c r="Q87" i="22"/>
  <c r="AC100" i="22"/>
  <c r="W106" i="22"/>
  <c r="Z93" i="22"/>
  <c r="X99" i="22"/>
  <c r="V100" i="22"/>
  <c r="O87" i="22"/>
  <c r="AE100" i="22"/>
  <c r="U106" i="22"/>
  <c r="AC107" i="22"/>
  <c r="G103" i="22"/>
  <c r="AD110" i="22"/>
  <c r="X110" i="22"/>
  <c r="M109" i="22"/>
  <c r="AD113" i="22"/>
  <c r="Z113" i="22"/>
  <c r="Y111" i="22"/>
  <c r="H111" i="22"/>
  <c r="N108" i="22"/>
  <c r="AC108" i="22"/>
  <c r="K112" i="22"/>
  <c r="H89" i="22"/>
  <c r="Q91" i="22"/>
  <c r="Q92" i="22"/>
  <c r="Y86" i="22"/>
  <c r="AB90" i="22"/>
  <c r="Z91" i="22"/>
  <c r="T84" i="22"/>
  <c r="Y90" i="22"/>
  <c r="K86" i="22"/>
  <c r="W84" i="22"/>
  <c r="AA86" i="22"/>
  <c r="Y83" i="22"/>
  <c r="AC85" i="22"/>
  <c r="AD83" i="22"/>
  <c r="J95" i="22"/>
  <c r="Q95" i="22"/>
  <c r="S95" i="22"/>
  <c r="AF96" i="22"/>
  <c r="V98" i="22"/>
  <c r="M97" i="22"/>
  <c r="J103" i="22"/>
  <c r="V101" i="22"/>
  <c r="AA103" i="22"/>
  <c r="H102" i="22"/>
  <c r="Y103" i="22"/>
  <c r="R102" i="22"/>
  <c r="AC105" i="22"/>
  <c r="AD101" i="22"/>
  <c r="U102" i="22"/>
  <c r="K101" i="22"/>
  <c r="I104" i="22"/>
  <c r="M104" i="22"/>
  <c r="R104" i="22"/>
  <c r="AE97" i="22"/>
  <c r="AE94" i="22"/>
  <c r="AE99" i="22"/>
  <c r="AC99" i="22"/>
  <c r="S106" i="22"/>
  <c r="R100" i="22"/>
  <c r="O99" i="22"/>
  <c r="U110" i="22"/>
  <c r="AE109" i="22"/>
  <c r="Q113" i="22"/>
  <c r="S111" i="22"/>
  <c r="R112" i="22"/>
  <c r="X89" i="22"/>
  <c r="AA92" i="22"/>
  <c r="K91" i="22"/>
  <c r="U90" i="22"/>
  <c r="Q84" i="22"/>
  <c r="J86" i="22"/>
  <c r="AE85" i="22"/>
  <c r="U96" i="22"/>
  <c r="AE96" i="22"/>
  <c r="T98" i="22"/>
  <c r="AE105" i="22"/>
  <c r="P103" i="22"/>
  <c r="W101" i="22"/>
  <c r="AD102" i="22"/>
  <c r="S102" i="22"/>
  <c r="S97" i="22"/>
  <c r="S104" i="22"/>
  <c r="Y93" i="22"/>
  <c r="AE107" i="22"/>
  <c r="Q106" i="22"/>
  <c r="V107" i="22"/>
  <c r="AA93" i="22"/>
  <c r="P99" i="22"/>
  <c r="M94" i="22"/>
  <c r="N110" i="22"/>
  <c r="W109" i="22"/>
  <c r="AF111" i="22"/>
  <c r="H108" i="22"/>
  <c r="S112" i="22"/>
  <c r="L92" i="22"/>
  <c r="X86" i="22"/>
  <c r="AC91" i="22"/>
  <c r="AA90" i="22"/>
  <c r="W83" i="22"/>
  <c r="Q85" i="22"/>
  <c r="V85" i="22"/>
  <c r="R96" i="22"/>
  <c r="M96" i="22"/>
  <c r="I98" i="22"/>
  <c r="K105" i="22"/>
  <c r="Z103" i="22"/>
  <c r="AD105" i="22"/>
  <c r="U101" i="22"/>
  <c r="I103" i="22"/>
  <c r="L104" i="22"/>
  <c r="U104" i="22"/>
  <c r="M100" i="22"/>
  <c r="L88" i="22"/>
  <c r="S107" i="22"/>
  <c r="Z100" i="22"/>
  <c r="AB87" i="22"/>
  <c r="P107" i="22"/>
  <c r="G105" i="22"/>
  <c r="Y110" i="22"/>
  <c r="AF113" i="22"/>
  <c r="L111" i="22"/>
  <c r="T108" i="22"/>
  <c r="V112" i="22"/>
  <c r="AE89" i="22"/>
  <c r="X84" i="22"/>
  <c r="Q89" i="22"/>
  <c r="V86" i="22"/>
  <c r="J83" i="22"/>
  <c r="S84" i="22"/>
  <c r="O83" i="22"/>
  <c r="T96" i="22"/>
  <c r="W98" i="22"/>
  <c r="U103" i="22"/>
  <c r="S103" i="22"/>
  <c r="H101" i="22"/>
  <c r="AB105" i="22"/>
  <c r="X105" i="22"/>
  <c r="R103" i="22"/>
  <c r="N104" i="22"/>
  <c r="W104" i="22"/>
  <c r="S99" i="22"/>
  <c r="H100" i="22"/>
  <c r="G88" i="22"/>
  <c r="X88" i="22"/>
  <c r="O100" i="22"/>
  <c r="H107" i="22"/>
  <c r="AF110" i="22"/>
  <c r="U109" i="22"/>
  <c r="Y113" i="22"/>
  <c r="I111" i="22"/>
  <c r="K108" i="22"/>
  <c r="W89" i="22"/>
  <c r="I92" i="22"/>
  <c r="V91" i="22"/>
  <c r="H84" i="22"/>
  <c r="R84" i="22"/>
  <c r="R85" i="22"/>
  <c r="T85" i="22"/>
  <c r="K96" i="22"/>
  <c r="AA96" i="22"/>
  <c r="R98" i="22"/>
  <c r="N101" i="22"/>
  <c r="P97" i="22"/>
  <c r="L105" i="22"/>
  <c r="AE101" i="22"/>
  <c r="T105" i="22"/>
  <c r="H104" i="22"/>
  <c r="Q104" i="22"/>
  <c r="AC104" i="22"/>
  <c r="J107" i="22"/>
  <c r="G113" i="22"/>
  <c r="J100" i="22"/>
  <c r="AC109" i="22"/>
  <c r="U111" i="22"/>
  <c r="O89" i="22"/>
  <c r="I83" i="22"/>
  <c r="S90" i="22"/>
  <c r="AA83" i="22"/>
  <c r="X95" i="22"/>
  <c r="R105" i="22"/>
  <c r="Q103" i="22"/>
  <c r="J105" i="22"/>
  <c r="AA97" i="22"/>
  <c r="H88" i="22"/>
  <c r="P108" i="22"/>
  <c r="AD85" i="22"/>
  <c r="O102" i="22"/>
  <c r="AB104" i="22"/>
  <c r="R94" i="22"/>
  <c r="R89" i="22"/>
  <c r="O103" i="22"/>
  <c r="R110" i="22"/>
  <c r="AC86" i="22"/>
  <c r="P101" i="22"/>
  <c r="AB94" i="22"/>
  <c r="AA99" i="22"/>
  <c r="W87" i="22"/>
  <c r="AE87" i="22"/>
  <c r="AD109" i="22"/>
  <c r="AB108" i="22"/>
  <c r="X92" i="22"/>
  <c r="W90" i="22"/>
  <c r="AF90" i="22"/>
  <c r="W86" i="22"/>
  <c r="AA98" i="22"/>
  <c r="W105" i="22"/>
  <c r="T102" i="22"/>
  <c r="AC103" i="22"/>
  <c r="AF97" i="22"/>
  <c r="G99" i="22"/>
  <c r="J110" i="22"/>
  <c r="L91" i="22"/>
  <c r="L96" i="22"/>
  <c r="Q102" i="22"/>
  <c r="L99" i="22"/>
  <c r="AE110" i="22"/>
  <c r="H112" i="22"/>
  <c r="AD86" i="22"/>
  <c r="N98" i="22"/>
  <c r="R97" i="22"/>
  <c r="P88" i="22"/>
  <c r="W108" i="22"/>
  <c r="N95" i="22"/>
  <c r="V97" i="22"/>
  <c r="H106" i="22"/>
  <c r="V93" i="22"/>
  <c r="W88" i="22"/>
  <c r="G95" i="22"/>
  <c r="AA113" i="22"/>
  <c r="M108" i="22"/>
  <c r="L89" i="22"/>
  <c r="N84" i="22"/>
  <c r="V84" i="22"/>
  <c r="Z86" i="22"/>
  <c r="H98" i="22"/>
  <c r="V103" i="22"/>
  <c r="T101" i="22"/>
  <c r="L103" i="22"/>
  <c r="X104" i="22"/>
  <c r="G91" i="22"/>
  <c r="AB113" i="22"/>
  <c r="X90" i="22"/>
  <c r="AD98" i="22"/>
  <c r="AF103" i="22"/>
  <c r="V106" i="22"/>
  <c r="I113" i="22"/>
  <c r="H85" i="22"/>
  <c r="P102" i="22"/>
  <c r="T100" i="22"/>
  <c r="I86" i="22"/>
  <c r="J93" i="22"/>
  <c r="U107" i="22"/>
  <c r="O94" i="22"/>
  <c r="K109" i="22"/>
  <c r="AA111" i="22"/>
  <c r="AB112" i="22"/>
  <c r="I90" i="22"/>
  <c r="M86" i="22"/>
  <c r="AB85" i="22"/>
  <c r="R95" i="22"/>
  <c r="AE103" i="22"/>
  <c r="K103" i="22"/>
  <c r="I102" i="22"/>
  <c r="W97" i="22"/>
  <c r="X93" i="22"/>
  <c r="AB107" i="22"/>
  <c r="P100" i="22"/>
  <c r="T109" i="22"/>
  <c r="AB111" i="22"/>
  <c r="AE112" i="22"/>
  <c r="O86" i="22"/>
  <c r="W92" i="22"/>
  <c r="Z83" i="22"/>
  <c r="P95" i="22"/>
  <c r="N102" i="22"/>
  <c r="O105" i="22"/>
  <c r="J102" i="22"/>
  <c r="Z97" i="22"/>
  <c r="AA95" i="22"/>
  <c r="K87" i="22"/>
  <c r="N111" i="22"/>
  <c r="AC89" i="22"/>
  <c r="H97" i="22"/>
  <c r="L102" i="22"/>
  <c r="AE104" i="22"/>
  <c r="AF104" i="22"/>
  <c r="AA198" i="22"/>
  <c r="Y210" i="22"/>
  <c r="S204" i="22"/>
  <c r="T205" i="22"/>
  <c r="G200" i="22"/>
  <c r="O205" i="22"/>
  <c r="AF205" i="22"/>
  <c r="Q210" i="22"/>
  <c r="Z217" i="22"/>
  <c r="G198" i="22"/>
  <c r="M199" i="22"/>
  <c r="Q204" i="22"/>
  <c r="U204" i="22"/>
  <c r="AD211" i="22"/>
  <c r="Y204" i="22"/>
  <c r="AB210" i="22"/>
  <c r="G196" i="22"/>
  <c r="AB204" i="22"/>
  <c r="AC199" i="22"/>
  <c r="V217" i="22"/>
  <c r="J204" i="22"/>
  <c r="O198" i="22"/>
  <c r="L217" i="22"/>
  <c r="U198" i="22"/>
  <c r="T217" i="22"/>
  <c r="Z211" i="22"/>
  <c r="I211" i="22"/>
  <c r="Y217" i="22"/>
  <c r="N218" i="22"/>
  <c r="G204" i="22"/>
  <c r="AE217" i="22"/>
  <c r="S211" i="22"/>
  <c r="G221" i="22"/>
  <c r="J199" i="22"/>
  <c r="V199" i="22"/>
  <c r="G222" i="22"/>
  <c r="O211" i="22"/>
  <c r="R210" i="22"/>
  <c r="AF211" i="22"/>
  <c r="U199" i="22"/>
  <c r="AE199" i="22"/>
  <c r="N205" i="22"/>
  <c r="G207" i="22"/>
  <c r="AC221" i="22"/>
  <c r="J221" i="22"/>
  <c r="M221" i="22"/>
  <c r="H220" i="22"/>
  <c r="W220" i="22"/>
  <c r="Y220" i="22"/>
  <c r="H224" i="22"/>
  <c r="I224" i="22"/>
  <c r="N224" i="22"/>
  <c r="Z222" i="22"/>
  <c r="AC222" i="22"/>
  <c r="Q222" i="22"/>
  <c r="N219" i="22"/>
  <c r="U219" i="22"/>
  <c r="I219" i="22"/>
  <c r="W223" i="22"/>
  <c r="J223" i="22"/>
  <c r="W219" i="22"/>
  <c r="O223" i="22"/>
  <c r="X203" i="22"/>
  <c r="O200" i="22"/>
  <c r="L203" i="22"/>
  <c r="AE203" i="22"/>
  <c r="AD203" i="22"/>
  <c r="J194" i="22"/>
  <c r="R202" i="22"/>
  <c r="H203" i="22"/>
  <c r="Y200" i="22"/>
  <c r="AB195" i="22"/>
  <c r="S201" i="22"/>
  <c r="V197" i="22"/>
  <c r="V201" i="22"/>
  <c r="U195" i="22"/>
  <c r="H195" i="22"/>
  <c r="I202" i="22"/>
  <c r="M195" i="22"/>
  <c r="S195" i="22"/>
  <c r="V194" i="22"/>
  <c r="T196" i="22"/>
  <c r="AE196" i="22"/>
  <c r="Y194" i="22"/>
  <c r="R204" i="22"/>
  <c r="R217" i="22"/>
  <c r="AA210" i="22"/>
  <c r="Z205" i="22"/>
  <c r="T210" i="22"/>
  <c r="S205" i="22"/>
  <c r="AF210" i="22"/>
  <c r="M198" i="22"/>
  <c r="S218" i="22"/>
  <c r="L204" i="22"/>
  <c r="AD218" i="22"/>
  <c r="L218" i="22"/>
  <c r="G211" i="22"/>
  <c r="AD217" i="22"/>
  <c r="N211" i="22"/>
  <c r="G220" i="22"/>
  <c r="J205" i="22"/>
  <c r="S210" i="22"/>
  <c r="V210" i="22"/>
  <c r="G201" i="22"/>
  <c r="T204" i="22"/>
  <c r="J210" i="22"/>
  <c r="M205" i="22"/>
  <c r="T218" i="22"/>
  <c r="V205" i="22"/>
  <c r="AA204" i="22"/>
  <c r="G212" i="22"/>
  <c r="G202" i="22"/>
  <c r="G224" i="22"/>
  <c r="O217" i="22"/>
  <c r="K218" i="22"/>
  <c r="U218" i="22"/>
  <c r="G203" i="22"/>
  <c r="G194" i="22"/>
  <c r="X211" i="22"/>
  <c r="Z204" i="22"/>
  <c r="Z198" i="22"/>
  <c r="P198" i="22"/>
  <c r="O204" i="22"/>
  <c r="S217" i="22"/>
  <c r="L198" i="22"/>
  <c r="AD204" i="22"/>
  <c r="G199" i="22"/>
  <c r="K211" i="22"/>
  <c r="M210" i="22"/>
  <c r="AB205" i="22"/>
  <c r="O218" i="22"/>
  <c r="R198" i="22"/>
  <c r="P199" i="22"/>
  <c r="S198" i="22"/>
  <c r="M217" i="22"/>
  <c r="AE211" i="22"/>
  <c r="U217" i="22"/>
  <c r="G213" i="22"/>
  <c r="Q221" i="22"/>
  <c r="H221" i="22"/>
  <c r="R221" i="22"/>
  <c r="J220" i="22"/>
  <c r="Z220" i="22"/>
  <c r="V220" i="22"/>
  <c r="AE224" i="22"/>
  <c r="R224" i="22"/>
  <c r="L224" i="22"/>
  <c r="J222" i="22"/>
  <c r="R222" i="22"/>
  <c r="AD222" i="22"/>
  <c r="AE219" i="22"/>
  <c r="V219" i="22"/>
  <c r="J219" i="22"/>
  <c r="Y223" i="22"/>
  <c r="AC223" i="22"/>
  <c r="X223" i="22"/>
  <c r="AF203" i="22"/>
  <c r="Q202" i="22"/>
  <c r="J203" i="22"/>
  <c r="P203" i="22"/>
  <c r="W200" i="22"/>
  <c r="I200" i="22"/>
  <c r="Q200" i="22"/>
  <c r="AC202" i="22"/>
  <c r="X201" i="22"/>
  <c r="K195" i="22"/>
  <c r="AE197" i="22"/>
  <c r="P201" i="22"/>
  <c r="AB202" i="22"/>
  <c r="J195" i="22"/>
  <c r="AB203" i="22"/>
  <c r="Z203" i="22"/>
  <c r="AC197" i="22"/>
  <c r="R195" i="22"/>
  <c r="K196" i="22"/>
  <c r="U196" i="22"/>
  <c r="U194" i="22"/>
  <c r="AC194" i="22"/>
  <c r="Q196" i="22"/>
  <c r="V198" i="22"/>
  <c r="AC218" i="22"/>
  <c r="K199" i="22"/>
  <c r="W218" i="22"/>
  <c r="G217" i="22"/>
  <c r="W199" i="22"/>
  <c r="K198" i="22"/>
  <c r="X210" i="22"/>
  <c r="K210" i="22"/>
  <c r="AE198" i="22"/>
  <c r="AF199" i="22"/>
  <c r="AA205" i="22"/>
  <c r="Z218" i="22"/>
  <c r="Q199" i="22"/>
  <c r="G218" i="22"/>
  <c r="Y199" i="22"/>
  <c r="X199" i="22"/>
  <c r="W210" i="22"/>
  <c r="T198" i="22"/>
  <c r="G216" i="22"/>
  <c r="T221" i="22"/>
  <c r="W221" i="22"/>
  <c r="AE220" i="22"/>
  <c r="AA220" i="22"/>
  <c r="Y224" i="22"/>
  <c r="Q224" i="22"/>
  <c r="O224" i="22"/>
  <c r="L222" i="22"/>
  <c r="AF222" i="22"/>
  <c r="S219" i="22"/>
  <c r="X219" i="22"/>
  <c r="N217" i="22"/>
  <c r="M211" i="22"/>
  <c r="R211" i="22"/>
  <c r="P205" i="22"/>
  <c r="M204" i="22"/>
  <c r="AB198" i="22"/>
  <c r="Z199" i="22"/>
  <c r="AF198" i="22"/>
  <c r="X217" i="22"/>
  <c r="V218" i="22"/>
  <c r="X205" i="22"/>
  <c r="J217" i="22"/>
  <c r="L210" i="22"/>
  <c r="AA217" i="22"/>
  <c r="U205" i="22"/>
  <c r="M218" i="22"/>
  <c r="G208" i="22"/>
  <c r="AF221" i="22"/>
  <c r="K221" i="22"/>
  <c r="P220" i="22"/>
  <c r="AF220" i="22"/>
  <c r="J224" i="22"/>
  <c r="M224" i="22"/>
  <c r="S224" i="22"/>
  <c r="AA222" i="22"/>
  <c r="P222" i="22"/>
  <c r="P219" i="22"/>
  <c r="Z219" i="22"/>
  <c r="K205" i="22"/>
  <c r="W198" i="22"/>
  <c r="X204" i="22"/>
  <c r="V204" i="22"/>
  <c r="AC211" i="22"/>
  <c r="L199" i="22"/>
  <c r="J218" i="22"/>
  <c r="V211" i="22"/>
  <c r="P204" i="22"/>
  <c r="K217" i="22"/>
  <c r="G223" i="22"/>
  <c r="AA211" i="22"/>
  <c r="H198" i="22"/>
  <c r="U211" i="22"/>
  <c r="AE218" i="22"/>
  <c r="AD198" i="22"/>
  <c r="S221" i="22"/>
  <c r="AA221" i="22"/>
  <c r="I221" i="22"/>
  <c r="N220" i="22"/>
  <c r="R220" i="22"/>
  <c r="AB224" i="22"/>
  <c r="AF224" i="22"/>
  <c r="X222" i="22"/>
  <c r="K222" i="22"/>
  <c r="O222" i="22"/>
  <c r="AC219" i="22"/>
  <c r="T219" i="22"/>
  <c r="Z210" i="22"/>
  <c r="AD210" i="22"/>
  <c r="R218" i="22"/>
  <c r="AD205" i="22"/>
  <c r="P210" i="22"/>
  <c r="AB199" i="22"/>
  <c r="AF204" i="22"/>
  <c r="I205" i="22"/>
  <c r="I204" i="22"/>
  <c r="AB217" i="22"/>
  <c r="J198" i="22"/>
  <c r="Y218" i="22"/>
  <c r="H211" i="22"/>
  <c r="W205" i="22"/>
  <c r="R205" i="22"/>
  <c r="G206" i="22"/>
  <c r="L221" i="22"/>
  <c r="X221" i="22"/>
  <c r="Q220" i="22"/>
  <c r="L220" i="22"/>
  <c r="X220" i="22"/>
  <c r="V224" i="22"/>
  <c r="U224" i="22"/>
  <c r="I222" i="22"/>
  <c r="U222" i="22"/>
  <c r="AD219" i="22"/>
  <c r="Y219" i="22"/>
  <c r="O219" i="22"/>
  <c r="AB223" i="22"/>
  <c r="Q223" i="22"/>
  <c r="J200" i="22"/>
  <c r="X200" i="22"/>
  <c r="V203" i="22"/>
  <c r="L202" i="22"/>
  <c r="P195" i="22"/>
  <c r="AA202" i="22"/>
  <c r="Z202" i="22"/>
  <c r="K197" i="22"/>
  <c r="M201" i="22"/>
  <c r="O195" i="22"/>
  <c r="AE201" i="22"/>
  <c r="Q197" i="22"/>
  <c r="V202" i="22"/>
  <c r="W196" i="22"/>
  <c r="H194" i="22"/>
  <c r="T194" i="22"/>
  <c r="I196" i="22"/>
  <c r="I197" i="22"/>
  <c r="H196" i="22"/>
  <c r="U207" i="22"/>
  <c r="S206" i="22"/>
  <c r="K207" i="22"/>
  <c r="O206" i="22"/>
  <c r="V206" i="22"/>
  <c r="T207" i="22"/>
  <c r="AA209" i="22"/>
  <c r="I210" i="22"/>
  <c r="Q211" i="22"/>
  <c r="AC210" i="22"/>
  <c r="I198" i="22"/>
  <c r="Q198" i="22"/>
  <c r="N204" i="22"/>
  <c r="AE204" i="22"/>
  <c r="Q218" i="22"/>
  <c r="AE221" i="22"/>
  <c r="AC220" i="22"/>
  <c r="U220" i="22"/>
  <c r="W224" i="22"/>
  <c r="S222" i="22"/>
  <c r="M219" i="22"/>
  <c r="AA223" i="22"/>
  <c r="R223" i="22"/>
  <c r="AA203" i="22"/>
  <c r="U203" i="22"/>
  <c r="AE200" i="22"/>
  <c r="O201" i="22"/>
  <c r="U200" i="22"/>
  <c r="L197" i="22"/>
  <c r="U197" i="22"/>
  <c r="AF201" i="22"/>
  <c r="T201" i="22"/>
  <c r="Q201" i="22"/>
  <c r="T195" i="22"/>
  <c r="O203" i="22"/>
  <c r="X196" i="22"/>
  <c r="AF194" i="22"/>
  <c r="R197" i="22"/>
  <c r="M196" i="22"/>
  <c r="Y196" i="22"/>
  <c r="O207" i="22"/>
  <c r="AE207" i="22"/>
  <c r="P206" i="22"/>
  <c r="N206" i="22"/>
  <c r="AA206" i="22"/>
  <c r="J207" i="22"/>
  <c r="H209" i="22"/>
  <c r="O209" i="22"/>
  <c r="AD209" i="22"/>
  <c r="N208" i="22"/>
  <c r="P216" i="22"/>
  <c r="S213" i="22"/>
  <c r="AA214" i="22"/>
  <c r="O212" i="22"/>
  <c r="J212" i="22"/>
  <c r="H216" i="22"/>
  <c r="Q212" i="22"/>
  <c r="AD214" i="22"/>
  <c r="Z213" i="22"/>
  <c r="Y214" i="22"/>
  <c r="H214" i="22"/>
  <c r="V212" i="22"/>
  <c r="AF213" i="22"/>
  <c r="L215" i="22"/>
  <c r="P215" i="22"/>
  <c r="T215" i="22"/>
  <c r="Y215" i="22"/>
  <c r="G195" i="22"/>
  <c r="Y198" i="22"/>
  <c r="G215" i="22"/>
  <c r="X224" i="22"/>
  <c r="L219" i="22"/>
  <c r="M202" i="22"/>
  <c r="H201" i="22"/>
  <c r="P202" i="22"/>
  <c r="AC201" i="22"/>
  <c r="W195" i="22"/>
  <c r="W197" i="22"/>
  <c r="Q194" i="22"/>
  <c r="Y207" i="22"/>
  <c r="V207" i="22"/>
  <c r="AF209" i="22"/>
  <c r="Q213" i="22"/>
  <c r="P214" i="22"/>
  <c r="J214" i="22"/>
  <c r="U212" i="22"/>
  <c r="N212" i="22"/>
  <c r="R215" i="22"/>
  <c r="AB211" i="22"/>
  <c r="O199" i="22"/>
  <c r="G197" i="22"/>
  <c r="AB221" i="22"/>
  <c r="AB219" i="22"/>
  <c r="H223" i="22"/>
  <c r="N200" i="22"/>
  <c r="Y197" i="22"/>
  <c r="W194" i="22"/>
  <c r="AE194" i="22"/>
  <c r="AD196" i="22"/>
  <c r="AB207" i="22"/>
  <c r="L206" i="22"/>
  <c r="S209" i="22"/>
  <c r="O213" i="22"/>
  <c r="R216" i="22"/>
  <c r="AA212" i="22"/>
  <c r="J215" i="22"/>
  <c r="AC215" i="22"/>
  <c r="AC205" i="22"/>
  <c r="N199" i="22"/>
  <c r="I220" i="22"/>
  <c r="N223" i="22"/>
  <c r="AB200" i="22"/>
  <c r="Y202" i="22"/>
  <c r="AD201" i="22"/>
  <c r="AF196" i="22"/>
  <c r="AB196" i="22"/>
  <c r="S207" i="22"/>
  <c r="H207" i="22"/>
  <c r="R209" i="22"/>
  <c r="Q217" i="22"/>
  <c r="AF217" i="22"/>
  <c r="X198" i="22"/>
  <c r="O210" i="22"/>
  <c r="J211" i="22"/>
  <c r="H199" i="22"/>
  <c r="N198" i="22"/>
  <c r="H218" i="22"/>
  <c r="AD221" i="22"/>
  <c r="T220" i="22"/>
  <c r="AA224" i="22"/>
  <c r="T224" i="22"/>
  <c r="N222" i="22"/>
  <c r="AA219" i="22"/>
  <c r="V223" i="22"/>
  <c r="AE223" i="22"/>
  <c r="AF200" i="22"/>
  <c r="H202" i="22"/>
  <c r="L200" i="22"/>
  <c r="N202" i="22"/>
  <c r="J201" i="22"/>
  <c r="AB197" i="22"/>
  <c r="U202" i="22"/>
  <c r="AC200" i="22"/>
  <c r="W203" i="22"/>
  <c r="L201" i="22"/>
  <c r="X197" i="22"/>
  <c r="Q195" i="22"/>
  <c r="P196" i="22"/>
  <c r="AC196" i="22"/>
  <c r="AB194" i="22"/>
  <c r="L194" i="22"/>
  <c r="AE195" i="22"/>
  <c r="I206" i="22"/>
  <c r="T206" i="22"/>
  <c r="AD207" i="22"/>
  <c r="Q206" i="22"/>
  <c r="AC207" i="22"/>
  <c r="K208" i="22"/>
  <c r="U209" i="22"/>
  <c r="AE209" i="22"/>
  <c r="M209" i="22"/>
  <c r="O208" i="22"/>
  <c r="J213" i="22"/>
  <c r="X213" i="22"/>
  <c r="O214" i="22"/>
  <c r="AC214" i="22"/>
  <c r="N213" i="22"/>
  <c r="S214" i="22"/>
  <c r="AB212" i="22"/>
  <c r="N214" i="22"/>
  <c r="X214" i="22"/>
  <c r="W212" i="22"/>
  <c r="K213" i="22"/>
  <c r="Q214" i="22"/>
  <c r="R208" i="22"/>
  <c r="M215" i="22"/>
  <c r="Z208" i="22"/>
  <c r="AD208" i="22"/>
  <c r="Z215" i="22"/>
  <c r="Y211" i="22"/>
  <c r="R199" i="22"/>
  <c r="L211" i="22"/>
  <c r="S220" i="22"/>
  <c r="V222" i="22"/>
  <c r="U223" i="22"/>
  <c r="H200" i="22"/>
  <c r="AC195" i="22"/>
  <c r="P197" i="22"/>
  <c r="S197" i="22"/>
  <c r="AF207" i="22"/>
  <c r="V216" i="22"/>
  <c r="T213" i="22"/>
  <c r="AB214" i="22"/>
  <c r="S208" i="22"/>
  <c r="AB215" i="22"/>
  <c r="P211" i="22"/>
  <c r="W217" i="22"/>
  <c r="G209" i="22"/>
  <c r="Z224" i="22"/>
  <c r="H219" i="22"/>
  <c r="P200" i="22"/>
  <c r="K202" i="22"/>
  <c r="AD202" i="22"/>
  <c r="I195" i="22"/>
  <c r="S196" i="22"/>
  <c r="M194" i="22"/>
  <c r="Z206" i="22"/>
  <c r="K209" i="22"/>
  <c r="K212" i="22"/>
  <c r="H213" i="22"/>
  <c r="L214" i="22"/>
  <c r="AF216" i="22"/>
  <c r="V215" i="22"/>
  <c r="G210" i="22"/>
  <c r="L205" i="22"/>
  <c r="AD224" i="22"/>
  <c r="AF223" i="22"/>
  <c r="O202" i="22"/>
  <c r="AD197" i="22"/>
  <c r="R196" i="22"/>
  <c r="T209" i="22"/>
  <c r="X218" i="22"/>
  <c r="I218" i="22"/>
  <c r="AA199" i="22"/>
  <c r="AF218" i="22"/>
  <c r="T199" i="22"/>
  <c r="K204" i="22"/>
  <c r="H217" i="22"/>
  <c r="G214" i="22"/>
  <c r="O221" i="22"/>
  <c r="M220" i="22"/>
  <c r="K224" i="22"/>
  <c r="T222" i="22"/>
  <c r="AE222" i="22"/>
  <c r="AF219" i="22"/>
  <c r="T223" i="22"/>
  <c r="Z223" i="22"/>
  <c r="S203" i="22"/>
  <c r="AD200" i="22"/>
  <c r="T200" i="22"/>
  <c r="N197" i="22"/>
  <c r="Y203" i="22"/>
  <c r="W201" i="22"/>
  <c r="X202" i="22"/>
  <c r="M203" i="22"/>
  <c r="N201" i="22"/>
  <c r="AA201" i="22"/>
  <c r="L196" i="22"/>
  <c r="M200" i="22"/>
  <c r="H197" i="22"/>
  <c r="AA194" i="22"/>
  <c r="V196" i="22"/>
  <c r="P194" i="22"/>
  <c r="J196" i="22"/>
  <c r="Y206" i="22"/>
  <c r="AF206" i="22"/>
  <c r="Q207" i="22"/>
  <c r="AD206" i="22"/>
  <c r="R206" i="22"/>
  <c r="W209" i="22"/>
  <c r="L208" i="22"/>
  <c r="Y209" i="22"/>
  <c r="V209" i="22"/>
  <c r="R213" i="22"/>
  <c r="AA216" i="22"/>
  <c r="U216" i="22"/>
  <c r="M213" i="22"/>
  <c r="Z214" i="22"/>
  <c r="Y213" i="22"/>
  <c r="V214" i="22"/>
  <c r="AE212" i="22"/>
  <c r="R214" i="22"/>
  <c r="S212" i="22"/>
  <c r="N216" i="22"/>
  <c r="AF212" i="22"/>
  <c r="AB213" i="22"/>
  <c r="I215" i="22"/>
  <c r="V208" i="22"/>
  <c r="Q215" i="22"/>
  <c r="U215" i="22"/>
  <c r="AA215" i="22"/>
  <c r="W211" i="22"/>
  <c r="AC198" i="22"/>
  <c r="N221" i="22"/>
  <c r="AB222" i="22"/>
  <c r="AD223" i="22"/>
  <c r="Q203" i="22"/>
  <c r="N195" i="22"/>
  <c r="Y201" i="22"/>
  <c r="AE202" i="22"/>
  <c r="K194" i="22"/>
  <c r="AA196" i="22"/>
  <c r="AB206" i="22"/>
  <c r="W206" i="22"/>
  <c r="AE206" i="22"/>
  <c r="P209" i="22"/>
  <c r="N209" i="22"/>
  <c r="Z216" i="22"/>
  <c r="P212" i="22"/>
  <c r="AC216" i="22"/>
  <c r="M216" i="22"/>
  <c r="W214" i="22"/>
  <c r="W208" i="22"/>
  <c r="AE208" i="22"/>
  <c r="AB218" i="22"/>
  <c r="I217" i="22"/>
  <c r="S199" i="22"/>
  <c r="K220" i="22"/>
  <c r="Y222" i="22"/>
  <c r="I223" i="22"/>
  <c r="S202" i="22"/>
  <c r="Z201" i="22"/>
  <c r="M197" i="22"/>
  <c r="O197" i="22"/>
  <c r="N196" i="22"/>
  <c r="H206" i="22"/>
  <c r="X207" i="22"/>
  <c r="AB209" i="22"/>
  <c r="I214" i="22"/>
  <c r="R212" i="22"/>
  <c r="W213" i="22"/>
  <c r="AA208" i="22"/>
  <c r="G205" i="22"/>
  <c r="H205" i="22"/>
  <c r="U221" i="22"/>
  <c r="M222" i="22"/>
  <c r="L223" i="22"/>
  <c r="K200" i="22"/>
  <c r="AA195" i="22"/>
  <c r="I194" i="22"/>
  <c r="AD195" i="22"/>
  <c r="X206" i="22"/>
  <c r="P207" i="22"/>
  <c r="J208" i="22"/>
  <c r="H210" i="22"/>
  <c r="AA218" i="22"/>
  <c r="P218" i="22"/>
  <c r="AD199" i="22"/>
  <c r="N210" i="22"/>
  <c r="G219" i="22"/>
  <c r="W204" i="22"/>
  <c r="U210" i="22"/>
  <c r="P221" i="22"/>
  <c r="Z221" i="22"/>
  <c r="AB220" i="22"/>
  <c r="P224" i="22"/>
  <c r="H222" i="22"/>
  <c r="Q219" i="22"/>
  <c r="M223" i="22"/>
  <c r="S223" i="22"/>
  <c r="AC203" i="22"/>
  <c r="AA200" i="22"/>
  <c r="T203" i="22"/>
  <c r="I203" i="22"/>
  <c r="Z200" i="22"/>
  <c r="V195" i="22"/>
  <c r="I201" i="22"/>
  <c r="AB201" i="22"/>
  <c r="X194" i="22"/>
  <c r="U201" i="22"/>
  <c r="T202" i="22"/>
  <c r="Z195" i="22"/>
  <c r="N194" i="22"/>
  <c r="Y195" i="22"/>
  <c r="Z197" i="22"/>
  <c r="O194" i="22"/>
  <c r="AA197" i="22"/>
  <c r="I207" i="22"/>
  <c r="M206" i="22"/>
  <c r="N207" i="22"/>
  <c r="R207" i="22"/>
  <c r="J206" i="22"/>
  <c r="L207" i="22"/>
  <c r="X209" i="22"/>
  <c r="I209" i="22"/>
  <c r="L209" i="22"/>
  <c r="AC209" i="22"/>
  <c r="X216" i="22"/>
  <c r="J216" i="22"/>
  <c r="P208" i="22"/>
  <c r="AC213" i="22"/>
  <c r="K214" i="22"/>
  <c r="I216" i="22"/>
  <c r="T212" i="22"/>
  <c r="AD213" i="22"/>
  <c r="V213" i="22"/>
  <c r="O216" i="22"/>
  <c r="AE214" i="22"/>
  <c r="M212" i="22"/>
  <c r="AF214" i="22"/>
  <c r="T208" i="22"/>
  <c r="O215" i="22"/>
  <c r="S215" i="22"/>
  <c r="W215" i="22"/>
  <c r="Y205" i="22"/>
  <c r="I199" i="22"/>
  <c r="P217" i="22"/>
  <c r="AE210" i="22"/>
  <c r="AC204" i="22"/>
  <c r="H204" i="22"/>
  <c r="AE205" i="22"/>
  <c r="T211" i="22"/>
  <c r="V221" i="22"/>
  <c r="AD220" i="22"/>
  <c r="O220" i="22"/>
  <c r="AC224" i="22"/>
  <c r="W222" i="22"/>
  <c r="R219" i="22"/>
  <c r="K223" i="22"/>
  <c r="P223" i="22"/>
  <c r="R200" i="22"/>
  <c r="K203" i="22"/>
  <c r="W202" i="22"/>
  <c r="V200" i="22"/>
  <c r="R201" i="22"/>
  <c r="R203" i="22"/>
  <c r="AF195" i="22"/>
  <c r="T197" i="22"/>
  <c r="AF202" i="22"/>
  <c r="J202" i="22"/>
  <c r="L195" i="22"/>
  <c r="N203" i="22"/>
  <c r="AD194" i="22"/>
  <c r="J197" i="22"/>
  <c r="Z194" i="22"/>
  <c r="O196" i="22"/>
  <c r="Z196" i="22"/>
  <c r="Z207" i="22"/>
  <c r="W207" i="22"/>
  <c r="AC206" i="22"/>
  <c r="AA207" i="22"/>
  <c r="K206" i="22"/>
  <c r="M207" i="22"/>
  <c r="Z209" i="22"/>
  <c r="H208" i="22"/>
  <c r="I208" i="22"/>
  <c r="M208" i="22"/>
  <c r="I213" i="22"/>
  <c r="I212" i="22"/>
  <c r="AC212" i="22"/>
  <c r="X212" i="22"/>
  <c r="AE213" i="22"/>
  <c r="T214" i="22"/>
  <c r="AA213" i="22"/>
  <c r="S216" i="22"/>
  <c r="AD212" i="22"/>
  <c r="L216" i="22"/>
  <c r="Z212" i="22"/>
  <c r="W216" i="22"/>
  <c r="H215" i="22"/>
  <c r="U208" i="22"/>
  <c r="Y208" i="22"/>
  <c r="AC208" i="22"/>
  <c r="X215" i="22"/>
  <c r="R194" i="22"/>
  <c r="J209" i="22"/>
  <c r="T216" i="22"/>
  <c r="AB216" i="22"/>
  <c r="AD216" i="22"/>
  <c r="N215" i="22"/>
  <c r="Q205" i="22"/>
  <c r="AC217" i="22"/>
  <c r="Y221" i="22"/>
  <c r="K219" i="22"/>
  <c r="S200" i="22"/>
  <c r="X195" i="22"/>
  <c r="K201" i="22"/>
  <c r="AF197" i="22"/>
  <c r="S194" i="22"/>
  <c r="U206" i="22"/>
  <c r="Y216" i="22"/>
  <c r="X208" i="22"/>
  <c r="L213" i="22"/>
  <c r="U213" i="22"/>
  <c r="AD215" i="22"/>
  <c r="U214" i="22"/>
  <c r="M214" i="22"/>
  <c r="Q208" i="22"/>
  <c r="K215" i="22"/>
  <c r="Q209" i="22"/>
  <c r="P213" i="22"/>
  <c r="AB208" i="22"/>
  <c r="Y212" i="22"/>
  <c r="AF208" i="22"/>
  <c r="Q216" i="22"/>
  <c r="L212" i="22"/>
  <c r="K216" i="22"/>
  <c r="H212" i="22"/>
  <c r="AE216" i="22"/>
  <c r="AF215" i="22"/>
  <c r="AE215" i="22"/>
  <c r="G231" i="22" l="1" a="1"/>
  <c r="H242" i="22" l="1"/>
  <c r="O241" i="22"/>
  <c r="V254" i="22"/>
  <c r="AD241" i="22"/>
  <c r="V236" i="22"/>
  <c r="W248" i="22"/>
  <c r="U247" i="22"/>
  <c r="G240" i="22"/>
  <c r="M241" i="22"/>
  <c r="S242" i="22"/>
  <c r="K248" i="22"/>
  <c r="V255" i="22"/>
  <c r="Y242" i="22"/>
  <c r="V241" i="22"/>
  <c r="U236" i="22"/>
  <c r="AD235" i="22"/>
  <c r="R241" i="22"/>
  <c r="G237" i="22"/>
  <c r="AE248" i="22"/>
  <c r="Y235" i="22"/>
  <c r="T241" i="22"/>
  <c r="K255" i="22"/>
  <c r="P236" i="22"/>
  <c r="J254" i="22"/>
  <c r="Q241" i="22"/>
  <c r="P242" i="22"/>
  <c r="K247" i="22"/>
  <c r="K258" i="22"/>
  <c r="H260" i="22"/>
  <c r="T232" i="22"/>
  <c r="J246" i="22"/>
  <c r="AF253" i="22"/>
  <c r="P249" i="22"/>
  <c r="Q256" i="22"/>
  <c r="N244" i="22"/>
  <c r="W257" i="22"/>
  <c r="H232" i="22"/>
  <c r="K253" i="22"/>
  <c r="AD240" i="22"/>
  <c r="N250" i="22"/>
  <c r="S260" i="22"/>
  <c r="M253" i="22"/>
  <c r="J253" i="22"/>
  <c r="Q237" i="22"/>
  <c r="Q261" i="22"/>
  <c r="W252" i="22"/>
  <c r="AF238" i="22"/>
  <c r="AD251" i="22"/>
  <c r="N257" i="22"/>
  <c r="Q252" i="22"/>
  <c r="AB243" i="22"/>
  <c r="X258" i="22"/>
  <c r="T233" i="22"/>
  <c r="P258" i="22"/>
  <c r="V260" i="22"/>
  <c r="AD234" i="22"/>
  <c r="AA250" i="22"/>
  <c r="W239" i="22"/>
  <c r="AC246" i="22"/>
  <c r="R257" i="22"/>
  <c r="S239" i="22"/>
  <c r="X233" i="22"/>
  <c r="S246" i="22"/>
  <c r="AA245" i="22"/>
  <c r="AD249" i="22"/>
  <c r="S240" i="22"/>
  <c r="Y246" i="22"/>
  <c r="AC259" i="22"/>
  <c r="AE233" i="22"/>
  <c r="AD252" i="22"/>
  <c r="Q238" i="22"/>
  <c r="K250" i="22"/>
  <c r="L239" i="22"/>
  <c r="L257" i="22"/>
  <c r="T245" i="22"/>
  <c r="AB239" i="22"/>
  <c r="AA240" i="22"/>
  <c r="P257" i="22"/>
  <c r="N240" i="22"/>
  <c r="L252" i="22"/>
  <c r="AB260" i="22"/>
  <c r="I261" i="22"/>
  <c r="V257" i="22"/>
  <c r="P240" i="22"/>
  <c r="AE231" i="22"/>
  <c r="AA248" i="22"/>
  <c r="G255" i="22"/>
  <c r="Y248" i="22"/>
  <c r="R235" i="22"/>
  <c r="Z255" i="22"/>
  <c r="AA247" i="22"/>
  <c r="S254" i="22"/>
  <c r="N255" i="22"/>
  <c r="W255" i="22"/>
  <c r="M254" i="22"/>
  <c r="S248" i="22"/>
  <c r="G254" i="22"/>
  <c r="O248" i="22"/>
  <c r="AE242" i="22"/>
  <c r="J235" i="22"/>
  <c r="V235" i="22"/>
  <c r="M255" i="22"/>
  <c r="U255" i="22"/>
  <c r="G259" i="22"/>
  <c r="T248" i="22"/>
  <c r="AB241" i="22"/>
  <c r="AC255" i="22"/>
  <c r="AC235" i="22"/>
  <c r="Z247" i="22"/>
  <c r="U235" i="22"/>
  <c r="O242" i="22"/>
  <c r="I255" i="22"/>
  <c r="AD242" i="22"/>
  <c r="S257" i="22"/>
  <c r="K240" i="22"/>
  <c r="W232" i="22"/>
  <c r="AB246" i="22"/>
  <c r="N252" i="22"/>
  <c r="AC253" i="22"/>
  <c r="R260" i="22"/>
  <c r="W246" i="22"/>
  <c r="N261" i="22"/>
  <c r="AF233" i="22"/>
  <c r="AB245" i="22"/>
  <c r="Y237" i="22"/>
  <c r="X251" i="22"/>
  <c r="Q240" i="22"/>
  <c r="L258" i="22"/>
  <c r="N253" i="22"/>
  <c r="AE234" i="22"/>
  <c r="L256" i="22"/>
  <c r="N258" i="22"/>
  <c r="K238" i="22"/>
  <c r="V249" i="22"/>
  <c r="AD256" i="22"/>
  <c r="H257" i="22"/>
  <c r="K243" i="22"/>
  <c r="X257" i="22"/>
  <c r="S244" i="22"/>
  <c r="W258" i="22"/>
  <c r="U260" i="22"/>
  <c r="L232" i="22"/>
  <c r="N249" i="22"/>
  <c r="Z238" i="22"/>
  <c r="AC250" i="22"/>
  <c r="Z261" i="22"/>
  <c r="I240" i="22"/>
  <c r="AA231" i="22"/>
  <c r="T253" i="22"/>
  <c r="AC252" i="22"/>
  <c r="H252" i="22"/>
  <c r="V237" i="22"/>
  <c r="U253" i="22"/>
  <c r="I256" i="22"/>
  <c r="M231" i="22"/>
  <c r="T258" i="22"/>
  <c r="V231" i="22"/>
  <c r="Z245" i="22"/>
  <c r="Z239" i="22"/>
  <c r="O259" i="22"/>
  <c r="R258" i="22"/>
  <c r="AC234" i="22"/>
  <c r="W238" i="22"/>
  <c r="M261" i="22"/>
  <c r="S233" i="22"/>
  <c r="U233" i="22"/>
  <c r="P232" i="22"/>
  <c r="W260" i="22"/>
  <c r="R261" i="22"/>
  <c r="I237" i="22"/>
  <c r="Z231" i="22"/>
  <c r="L247" i="22"/>
  <c r="AA236" i="22"/>
  <c r="I248" i="22"/>
  <c r="AA235" i="22"/>
  <c r="AF255" i="22"/>
  <c r="X248" i="22"/>
  <c r="G236" i="22"/>
  <c r="P248" i="22"/>
  <c r="AF236" i="22"/>
  <c r="J241" i="22"/>
  <c r="AD247" i="22"/>
  <c r="AF241" i="22"/>
  <c r="J242" i="22"/>
  <c r="W236" i="22"/>
  <c r="L235" i="22"/>
  <c r="Z254" i="22"/>
  <c r="K241" i="22"/>
  <c r="O235" i="22"/>
  <c r="G247" i="22"/>
  <c r="AE241" i="22"/>
  <c r="AF247" i="22"/>
  <c r="Q236" i="22"/>
  <c r="AD248" i="22"/>
  <c r="AA255" i="22"/>
  <c r="AC254" i="22"/>
  <c r="V248" i="22"/>
  <c r="AB242" i="22"/>
  <c r="R255" i="22"/>
  <c r="J261" i="22"/>
  <c r="L237" i="22"/>
  <c r="AF234" i="22"/>
  <c r="K249" i="22"/>
  <c r="V252" i="22"/>
  <c r="Z249" i="22"/>
  <c r="S237" i="22"/>
  <c r="R250" i="22"/>
  <c r="N256" i="22"/>
  <c r="O231" i="22"/>
  <c r="G244" i="22"/>
  <c r="M232" i="22"/>
  <c r="R245" i="22"/>
  <c r="U237" i="22"/>
  <c r="U261" i="22"/>
  <c r="Q258" i="22"/>
  <c r="AB240" i="22"/>
  <c r="K237" i="22"/>
  <c r="O257" i="22"/>
  <c r="H234" i="22"/>
  <c r="T252" i="22"/>
  <c r="X237" i="22"/>
  <c r="Q259" i="22"/>
  <c r="Q246" i="22"/>
  <c r="I259" i="22"/>
  <c r="K245" i="22"/>
  <c r="M257" i="22"/>
  <c r="AA237" i="22"/>
  <c r="M237" i="22"/>
  <c r="X252" i="22"/>
  <c r="AC237" i="22"/>
  <c r="R251" i="22"/>
  <c r="X259" i="22"/>
  <c r="J238" i="22"/>
  <c r="AB233" i="22"/>
  <c r="I251" i="22"/>
  <c r="S243" i="22"/>
  <c r="AC245" i="22"/>
  <c r="Y234" i="22"/>
  <c r="I253" i="22"/>
  <c r="O260" i="22"/>
  <c r="N243" i="22"/>
  <c r="AA257" i="22"/>
  <c r="V233" i="22"/>
  <c r="G246" i="22"/>
  <c r="O232" i="22"/>
  <c r="AB237" i="22"/>
  <c r="AE261" i="22"/>
  <c r="T231" i="22"/>
  <c r="X234" i="22"/>
  <c r="P259" i="22"/>
  <c r="I244" i="22"/>
  <c r="T244" i="22"/>
  <c r="L238" i="22"/>
  <c r="N239" i="22"/>
  <c r="J259" i="22"/>
  <c r="AC239" i="22"/>
  <c r="H233" i="22"/>
  <c r="AC248" i="22"/>
  <c r="AE247" i="22"/>
  <c r="AA242" i="22"/>
  <c r="J236" i="22"/>
  <c r="L254" i="22"/>
  <c r="P255" i="22"/>
  <c r="H247" i="22"/>
  <c r="L236" i="22"/>
  <c r="M242" i="22"/>
  <c r="J248" i="22"/>
  <c r="N254" i="22"/>
  <c r="AD255" i="22"/>
  <c r="O236" i="22"/>
  <c r="X236" i="22"/>
  <c r="G235" i="22"/>
  <c r="P247" i="22"/>
  <c r="R248" i="22"/>
  <c r="R242" i="22"/>
  <c r="Y241" i="22"/>
  <c r="AB255" i="22"/>
  <c r="P254" i="22"/>
  <c r="AF248" i="22"/>
  <c r="G257" i="22"/>
  <c r="X242" i="22"/>
  <c r="L241" i="22"/>
  <c r="T236" i="22"/>
  <c r="AE255" i="22"/>
  <c r="Q242" i="22"/>
  <c r="AC261" i="22"/>
  <c r="K239" i="22"/>
  <c r="R234" i="22"/>
  <c r="O250" i="22"/>
  <c r="AA233" i="22"/>
  <c r="W245" i="22"/>
  <c r="Y240" i="22"/>
  <c r="Z251" i="22"/>
  <c r="J260" i="22"/>
  <c r="AF243" i="22"/>
  <c r="Z258" i="22"/>
  <c r="AF231" i="22"/>
  <c r="Z252" i="22"/>
  <c r="AA232" i="22"/>
  <c r="AA260" i="22"/>
  <c r="Z257" i="22"/>
  <c r="K233" i="22"/>
  <c r="AF239" i="22"/>
  <c r="AB259" i="22"/>
  <c r="M233" i="22"/>
  <c r="AE244" i="22"/>
  <c r="K234" i="22"/>
  <c r="X240" i="22"/>
  <c r="L249" i="22"/>
  <c r="Y256" i="22"/>
  <c r="O245" i="22"/>
  <c r="Y261" i="22"/>
  <c r="AE237" i="22"/>
  <c r="U231" i="22"/>
  <c r="Y258" i="22"/>
  <c r="I232" i="22"/>
  <c r="M249" i="22"/>
  <c r="S259" i="22"/>
  <c r="AC232" i="22"/>
  <c r="Q231" i="22"/>
  <c r="R253" i="22"/>
  <c r="V243" i="22"/>
  <c r="G243" i="22"/>
  <c r="W231" i="22"/>
  <c r="O253" i="22"/>
  <c r="N237" i="22"/>
  <c r="J245" i="22"/>
  <c r="O261" i="22"/>
  <c r="M243" i="22"/>
  <c r="Q257" i="22"/>
  <c r="V239" i="22"/>
  <c r="AF232" i="22"/>
  <c r="R259" i="22"/>
  <c r="I243" i="22"/>
  <c r="AA234" i="22"/>
  <c r="M260" i="22"/>
  <c r="AD243" i="22"/>
  <c r="I250" i="22"/>
  <c r="W234" i="22"/>
  <c r="O240" i="22"/>
  <c r="AD259" i="22"/>
  <c r="K232" i="22"/>
  <c r="X254" i="22"/>
  <c r="G231" i="22"/>
  <c r="O254" i="22"/>
  <c r="V242" i="22"/>
  <c r="J255" i="22"/>
  <c r="G239" i="22"/>
  <c r="M248" i="22"/>
  <c r="G232" i="22"/>
  <c r="S235" i="22"/>
  <c r="N236" i="22"/>
  <c r="Y254" i="22"/>
  <c r="V247" i="22"/>
  <c r="K242" i="22"/>
  <c r="K235" i="22"/>
  <c r="AA259" i="22"/>
  <c r="AD233" i="22"/>
  <c r="AC243" i="22"/>
  <c r="T234" i="22"/>
  <c r="O237" i="22"/>
  <c r="K261" i="22"/>
  <c r="AD258" i="22"/>
  <c r="N234" i="22"/>
  <c r="N233" i="22"/>
  <c r="R256" i="22"/>
  <c r="H245" i="22"/>
  <c r="I238" i="22"/>
  <c r="Q260" i="22"/>
  <c r="P261" i="22"/>
  <c r="Q233" i="22"/>
  <c r="S234" i="22"/>
  <c r="AC256" i="22"/>
  <c r="T243" i="22"/>
  <c r="Z246" i="22"/>
  <c r="Z232" i="22"/>
  <c r="AB234" i="22"/>
  <c r="S256" i="22"/>
  <c r="V261" i="22"/>
  <c r="Q232" i="22"/>
  <c r="I249" i="22"/>
  <c r="M239" i="22"/>
  <c r="T250" i="22"/>
  <c r="L231" i="22"/>
  <c r="P238" i="22"/>
  <c r="R252" i="22"/>
  <c r="AD239" i="22"/>
  <c r="AE249" i="22"/>
  <c r="W261" i="22"/>
  <c r="Y239" i="22"/>
  <c r="AB231" i="22"/>
  <c r="AA251" i="22"/>
  <c r="U244" i="22"/>
  <c r="Y245" i="22"/>
  <c r="R240" i="22"/>
  <c r="K251" i="22"/>
  <c r="W256" i="22"/>
  <c r="AD244" i="22"/>
  <c r="T257" i="22"/>
  <c r="AD232" i="22"/>
  <c r="W235" i="22"/>
  <c r="G260" i="22"/>
  <c r="Z248" i="22"/>
  <c r="I235" i="22"/>
  <c r="Z256" i="22"/>
  <c r="AF246" i="22"/>
  <c r="P239" i="22"/>
  <c r="T261" i="22"/>
  <c r="S253" i="22"/>
  <c r="L253" i="22"/>
  <c r="H240" i="22"/>
  <c r="Y244" i="22"/>
  <c r="H244" i="22"/>
  <c r="O244" i="22"/>
  <c r="H239" i="22"/>
  <c r="I246" i="22"/>
  <c r="X232" i="22"/>
  <c r="H258" i="22"/>
  <c r="AB257" i="22"/>
  <c r="O252" i="22"/>
  <c r="X239" i="22"/>
  <c r="Q249" i="22"/>
  <c r="AB258" i="22"/>
  <c r="I252" i="22"/>
  <c r="Y249" i="22"/>
  <c r="AB252" i="22"/>
  <c r="J258" i="22"/>
  <c r="G256" i="22"/>
  <c r="S251" i="22"/>
  <c r="K254" i="22"/>
  <c r="X241" i="22"/>
  <c r="J247" i="22"/>
  <c r="Z242" i="22"/>
  <c r="U248" i="22"/>
  <c r="L248" i="22"/>
  <c r="I241" i="22"/>
  <c r="X235" i="22"/>
  <c r="AC242" i="22"/>
  <c r="U241" i="22"/>
  <c r="Z235" i="22"/>
  <c r="AF242" i="22"/>
  <c r="N248" i="22"/>
  <c r="R236" i="22"/>
  <c r="V259" i="22"/>
  <c r="Y243" i="22"/>
  <c r="L243" i="22"/>
  <c r="T239" i="22"/>
  <c r="Z237" i="22"/>
  <c r="H259" i="22"/>
  <c r="I257" i="22"/>
  <c r="W240" i="22"/>
  <c r="AA246" i="22"/>
  <c r="AE260" i="22"/>
  <c r="P251" i="22"/>
  <c r="V234" i="22"/>
  <c r="V240" i="22"/>
  <c r="L259" i="22"/>
  <c r="J233" i="22"/>
  <c r="O233" i="22"/>
  <c r="H256" i="22"/>
  <c r="AA244" i="22"/>
  <c r="M245" i="22"/>
  <c r="Z234" i="22"/>
  <c r="M238" i="22"/>
  <c r="I260" i="22"/>
  <c r="U259" i="22"/>
  <c r="S231" i="22"/>
  <c r="W251" i="22"/>
  <c r="O238" i="22"/>
  <c r="S245" i="22"/>
  <c r="G250" i="22"/>
  <c r="J232" i="22"/>
  <c r="O258" i="22"/>
  <c r="AE238" i="22"/>
  <c r="AE251" i="22"/>
  <c r="K259" i="22"/>
  <c r="L234" i="22"/>
  <c r="Z233" i="22"/>
  <c r="J249" i="22"/>
  <c r="O243" i="22"/>
  <c r="AE252" i="22"/>
  <c r="M234" i="22"/>
  <c r="V250" i="22"/>
  <c r="L240" i="22"/>
  <c r="T246" i="22"/>
  <c r="AD261" i="22"/>
  <c r="Z244" i="22"/>
  <c r="T247" i="22"/>
  <c r="Q248" i="22"/>
  <c r="S247" i="22"/>
  <c r="G248" i="22"/>
  <c r="P243" i="22"/>
  <c r="P233" i="22"/>
  <c r="AF256" i="22"/>
  <c r="K231" i="22"/>
  <c r="T240" i="22"/>
  <c r="U232" i="22"/>
  <c r="AE259" i="22"/>
  <c r="P260" i="22"/>
  <c r="AC249" i="22"/>
  <c r="P234" i="22"/>
  <c r="O256" i="22"/>
  <c r="AE257" i="22"/>
  <c r="S258" i="22"/>
  <c r="Z240" i="22"/>
  <c r="N231" i="22"/>
  <c r="AB256" i="22"/>
  <c r="X243" i="22"/>
  <c r="AF244" i="22"/>
  <c r="O234" i="22"/>
  <c r="AA239" i="22"/>
  <c r="N259" i="22"/>
  <c r="H250" i="22"/>
  <c r="Y259" i="22"/>
  <c r="U239" i="22"/>
  <c r="K236" i="22"/>
  <c r="S236" i="22"/>
  <c r="Q235" i="22"/>
  <c r="T235" i="22"/>
  <c r="G241" i="22"/>
  <c r="Y247" i="22"/>
  <c r="P244" i="22"/>
  <c r="V244" i="22"/>
  <c r="T254" i="22"/>
  <c r="AD250" i="22"/>
  <c r="Y233" i="22"/>
  <c r="AA238" i="22"/>
  <c r="Y232" i="22"/>
  <c r="AB244" i="22"/>
  <c r="W233" i="22"/>
  <c r="AC251" i="22"/>
  <c r="H238" i="22"/>
  <c r="AA261" i="22"/>
  <c r="AB238" i="22"/>
  <c r="R249" i="22"/>
  <c r="AD257" i="22"/>
  <c r="U250" i="22"/>
  <c r="R243" i="22"/>
  <c r="J256" i="22"/>
  <c r="X246" i="22"/>
  <c r="AE243" i="22"/>
  <c r="V256" i="22"/>
  <c r="P256" i="22"/>
  <c r="H243" i="22"/>
  <c r="AD260" i="22"/>
  <c r="J239" i="22"/>
  <c r="AC244" i="22"/>
  <c r="V253" i="22"/>
  <c r="AE232" i="22"/>
  <c r="L250" i="22"/>
  <c r="P237" i="22"/>
  <c r="X250" i="22"/>
  <c r="AB253" i="22"/>
  <c r="AE254" i="22"/>
  <c r="AB236" i="22"/>
  <c r="Z241" i="22"/>
  <c r="N242" i="22"/>
  <c r="AA254" i="22"/>
  <c r="R247" i="22"/>
  <c r="H235" i="22"/>
  <c r="T255" i="22"/>
  <c r="P235" i="22"/>
  <c r="L242" i="22"/>
  <c r="M236" i="22"/>
  <c r="O247" i="22"/>
  <c r="T242" i="22"/>
  <c r="U242" i="22"/>
  <c r="T260" i="22"/>
  <c r="J243" i="22"/>
  <c r="Z253" i="22"/>
  <c r="P231" i="22"/>
  <c r="X231" i="22"/>
  <c r="R237" i="22"/>
  <c r="K256" i="22"/>
  <c r="Q243" i="22"/>
  <c r="G249" i="22"/>
  <c r="N232" i="22"/>
  <c r="AE245" i="22"/>
  <c r="Y231" i="22"/>
  <c r="I239" i="22"/>
  <c r="X256" i="22"/>
  <c r="Q250" i="22"/>
  <c r="M244" i="22"/>
  <c r="AF237" i="22"/>
  <c r="K246" i="22"/>
  <c r="T251" i="22"/>
  <c r="X244" i="22"/>
  <c r="AE239" i="22"/>
  <c r="R239" i="22"/>
  <c r="J237" i="22"/>
  <c r="V251" i="22"/>
  <c r="W259" i="22"/>
  <c r="N238" i="22"/>
  <c r="AF261" i="22"/>
  <c r="J257" i="22"/>
  <c r="R232" i="22"/>
  <c r="T259" i="22"/>
  <c r="I233" i="22"/>
  <c r="G251" i="22"/>
  <c r="T256" i="22"/>
  <c r="AD238" i="22"/>
  <c r="W243" i="22"/>
  <c r="Z250" i="22"/>
  <c r="N246" i="22"/>
  <c r="U257" i="22"/>
  <c r="AC233" i="22"/>
  <c r="AF252" i="22"/>
  <c r="S238" i="22"/>
  <c r="H249" i="22"/>
  <c r="K260" i="22"/>
  <c r="AE246" i="22"/>
  <c r="U254" i="22"/>
  <c r="Q255" i="22"/>
  <c r="AC247" i="22"/>
  <c r="H241" i="22"/>
  <c r="AD236" i="22"/>
  <c r="N241" i="22"/>
  <c r="W247" i="22"/>
  <c r="AA241" i="22"/>
  <c r="G261" i="22"/>
  <c r="H236" i="22"/>
  <c r="N235" i="22"/>
  <c r="H254" i="22"/>
  <c r="P241" i="22"/>
  <c r="V232" i="22"/>
  <c r="L244" i="22"/>
  <c r="L261" i="22"/>
  <c r="Y253" i="22"/>
  <c r="S252" i="22"/>
  <c r="V245" i="22"/>
  <c r="AC231" i="22"/>
  <c r="O246" i="22"/>
  <c r="R244" i="22"/>
  <c r="AE258" i="22"/>
  <c r="H251" i="22"/>
  <c r="V238" i="22"/>
  <c r="W241" i="22"/>
  <c r="G258" i="22"/>
  <c r="AB248" i="22"/>
  <c r="AB235" i="22"/>
  <c r="X255" i="22"/>
  <c r="X247" i="22"/>
  <c r="W242" i="22"/>
  <c r="L255" i="22"/>
  <c r="H255" i="22"/>
  <c r="Q254" i="22"/>
  <c r="I247" i="22"/>
  <c r="AF254" i="22"/>
  <c r="R254" i="22"/>
  <c r="AF258" i="22"/>
  <c r="AB250" i="22"/>
  <c r="R246" i="22"/>
  <c r="Z243" i="22"/>
  <c r="AD231" i="22"/>
  <c r="AE256" i="22"/>
  <c r="Q244" i="22"/>
  <c r="J244" i="22"/>
  <c r="W244" i="22"/>
  <c r="U251" i="22"/>
  <c r="N251" i="22"/>
  <c r="O239" i="22"/>
  <c r="M259" i="22"/>
  <c r="G253" i="22"/>
  <c r="T238" i="22"/>
  <c r="AA249" i="22"/>
  <c r="X261" i="22"/>
  <c r="AE240" i="22"/>
  <c r="AE253" i="22"/>
  <c r="M246" i="22"/>
  <c r="K244" i="22"/>
  <c r="AF240" i="22"/>
  <c r="Y250" i="22"/>
  <c r="S250" i="22"/>
  <c r="M250" i="22"/>
  <c r="Y260" i="22"/>
  <c r="I245" i="22"/>
  <c r="L260" i="22"/>
  <c r="AA243" i="22"/>
  <c r="I258" i="22"/>
  <c r="AC240" i="22"/>
  <c r="L233" i="22"/>
  <c r="H246" i="22"/>
  <c r="AF250" i="22"/>
  <c r="AE250" i="22"/>
  <c r="AA256" i="22"/>
  <c r="U243" i="22"/>
  <c r="Y257" i="22"/>
  <c r="Q234" i="22"/>
  <c r="Q245" i="22"/>
  <c r="J231" i="22"/>
  <c r="Z236" i="22"/>
  <c r="AB254" i="22"/>
  <c r="G233" i="22"/>
  <c r="AF235" i="22"/>
  <c r="W254" i="22"/>
  <c r="I236" i="22"/>
  <c r="Y236" i="22"/>
  <c r="AB247" i="22"/>
  <c r="Q247" i="22"/>
  <c r="N247" i="22"/>
  <c r="O255" i="22"/>
  <c r="I254" i="22"/>
  <c r="Y238" i="22"/>
  <c r="L251" i="22"/>
  <c r="AF257" i="22"/>
  <c r="U252" i="22"/>
  <c r="M251" i="22"/>
  <c r="U246" i="22"/>
  <c r="I234" i="22"/>
  <c r="AC260" i="22"/>
  <c r="X253" i="22"/>
  <c r="N245" i="22"/>
  <c r="V246" i="22"/>
  <c r="X245" i="22"/>
  <c r="Q251" i="22"/>
  <c r="U234" i="22"/>
  <c r="M256" i="22"/>
  <c r="AA258" i="22"/>
  <c r="AC238" i="22"/>
  <c r="W250" i="22"/>
  <c r="AF259" i="22"/>
  <c r="M258" i="22"/>
  <c r="AE236" i="22"/>
  <c r="M235" i="22"/>
  <c r="AD253" i="22"/>
  <c r="O249" i="22"/>
  <c r="J252" i="22"/>
  <c r="U245" i="22"/>
  <c r="G252" i="22"/>
  <c r="P245" i="22"/>
  <c r="P253" i="22"/>
  <c r="AA253" i="22"/>
  <c r="S232" i="22"/>
  <c r="M240" i="22"/>
  <c r="H253" i="22"/>
  <c r="J234" i="22"/>
  <c r="S241" i="22"/>
  <c r="I242" i="22"/>
  <c r="S261" i="22"/>
  <c r="T249" i="22"/>
  <c r="N260" i="22"/>
  <c r="W237" i="22"/>
  <c r="X260" i="22"/>
  <c r="K257" i="22"/>
  <c r="P252" i="22"/>
  <c r="Z259" i="22"/>
  <c r="W249" i="22"/>
  <c r="AD254" i="22"/>
  <c r="R231" i="22"/>
  <c r="AB249" i="22"/>
  <c r="S255" i="22"/>
  <c r="G245" i="22"/>
  <c r="AF260" i="22"/>
  <c r="R238" i="22"/>
  <c r="H248" i="22"/>
  <c r="G234" i="22"/>
  <c r="U238" i="22"/>
  <c r="S249" i="22"/>
  <c r="I231" i="22"/>
  <c r="X249" i="22"/>
  <c r="AF249" i="22"/>
  <c r="L246" i="22"/>
  <c r="AD246" i="22"/>
  <c r="L245" i="22"/>
  <c r="AB232" i="22"/>
  <c r="Y255" i="22"/>
  <c r="AE235" i="22"/>
  <c r="AC258" i="22"/>
  <c r="AA252" i="22"/>
  <c r="H261" i="22"/>
  <c r="X238" i="22"/>
  <c r="Q239" i="22"/>
  <c r="AB261" i="22"/>
  <c r="Y252" i="22"/>
  <c r="U256" i="22"/>
  <c r="M252" i="22"/>
  <c r="G238" i="22"/>
  <c r="P250" i="22"/>
  <c r="AD245" i="22"/>
  <c r="Q253" i="22"/>
  <c r="AF251" i="22"/>
  <c r="J251" i="22"/>
  <c r="U240" i="22"/>
  <c r="U249" i="22"/>
  <c r="H231" i="22"/>
  <c r="G242" i="22"/>
  <c r="J250" i="22"/>
  <c r="K252" i="22"/>
  <c r="AB251" i="22"/>
  <c r="H237" i="22"/>
  <c r="W253" i="22"/>
  <c r="R233" i="22"/>
  <c r="AC241" i="22"/>
  <c r="AC236" i="22"/>
  <c r="P246" i="22"/>
  <c r="Z260" i="22"/>
  <c r="O251" i="22"/>
  <c r="AD237" i="22"/>
  <c r="AF245" i="22"/>
  <c r="M247" i="22"/>
  <c r="V258" i="22"/>
  <c r="J240" i="22"/>
  <c r="AC257" i="22"/>
  <c r="Y251" i="22"/>
  <c r="T237" i="22"/>
  <c r="U258" i="22"/>
  <c r="G426" i="70" l="1"/>
  <c r="G421" i="70" l="1"/>
  <c r="H426" i="70" l="1"/>
  <c r="H421" i="70" l="1"/>
  <c r="I426" i="70" l="1"/>
  <c r="I421" i="70" l="1"/>
  <c r="J426" i="70" l="1"/>
  <c r="J421" i="70"/>
  <c r="K426" i="70" l="1"/>
  <c r="K421" i="70" l="1"/>
</calcChain>
</file>

<file path=xl/comments1.xml><?xml version="1.0" encoding="utf-8"?>
<comments xmlns="http://schemas.openxmlformats.org/spreadsheetml/2006/main">
  <authors>
    <author>Mahima Gupta</author>
  </authors>
  <commentList>
    <comment ref="G5" authorId="0">
      <text>
        <r>
          <rPr>
            <b/>
            <sz val="9"/>
            <color indexed="81"/>
            <rFont val="Tahoma"/>
            <family val="2"/>
          </rPr>
          <t>These can either be "lamp", "lamp+ballast", or "luminaire" (for LED only)</t>
        </r>
      </text>
    </comment>
    <comment ref="L5" authorId="0">
      <text>
        <r>
          <rPr>
            <b/>
            <sz val="9"/>
            <color indexed="81"/>
            <rFont val="Tahoma"/>
            <family val="2"/>
          </rPr>
          <t>Mahima Gupta:</t>
        </r>
        <r>
          <rPr>
            <sz val="9"/>
            <color indexed="81"/>
            <rFont val="Tahoma"/>
            <family val="2"/>
          </rPr>
          <t xml:space="preserve">
Only applicable to non-LED technologies.</t>
        </r>
      </text>
    </comment>
  </commentList>
</comments>
</file>

<file path=xl/comments2.xml><?xml version="1.0" encoding="utf-8"?>
<comments xmlns="http://schemas.openxmlformats.org/spreadsheetml/2006/main">
  <authors>
    <author>rcarmichael</author>
  </authors>
  <commentList>
    <comment ref="BM28" authorId="0">
      <text>
        <r>
          <rPr>
            <b/>
            <sz val="9"/>
            <color indexed="81"/>
            <rFont val="Tahoma"/>
            <family val="2"/>
          </rPr>
          <t>Different formula because outdoor HID fixture price is differen.</t>
        </r>
      </text>
    </comment>
  </commentList>
</comments>
</file>

<file path=xl/comments3.xml><?xml version="1.0" encoding="utf-8"?>
<comments xmlns="http://schemas.openxmlformats.org/spreadsheetml/2006/main">
  <authors>
    <author>Rachel Kane</author>
  </authors>
  <commentList>
    <comment ref="AB20" authorId="0">
      <text>
        <r>
          <rPr>
            <b/>
            <sz val="9"/>
            <color indexed="81"/>
            <rFont val="Tahoma"/>
            <family val="2"/>
          </rPr>
          <t>Rachel Kane:</t>
        </r>
        <r>
          <rPr>
            <sz val="9"/>
            <color indexed="81"/>
            <rFont val="Tahoma"/>
            <family val="2"/>
          </rPr>
          <t xml:space="preserve">
Projected using linearly projected annual growth
</t>
        </r>
      </text>
    </comment>
    <comment ref="AB21" authorId="0">
      <text>
        <r>
          <rPr>
            <b/>
            <sz val="9"/>
            <color indexed="81"/>
            <rFont val="Tahoma"/>
            <family val="2"/>
          </rPr>
          <t>Rachel Kane:</t>
        </r>
        <r>
          <rPr>
            <sz val="9"/>
            <color indexed="81"/>
            <rFont val="Tahoma"/>
            <family val="2"/>
          </rPr>
          <t xml:space="preserve">
linear projection using trend function</t>
        </r>
      </text>
    </comment>
    <comment ref="AB24" authorId="0">
      <text>
        <r>
          <rPr>
            <b/>
            <sz val="9"/>
            <color indexed="81"/>
            <rFont val="Tahoma"/>
            <family val="2"/>
          </rPr>
          <t>Rachel Kane:</t>
        </r>
        <r>
          <rPr>
            <sz val="9"/>
            <color indexed="81"/>
            <rFont val="Tahoma"/>
            <family val="2"/>
          </rPr>
          <t xml:space="preserve">
linear projection using trend function</t>
        </r>
      </text>
    </comment>
    <comment ref="AB28" authorId="0">
      <text>
        <r>
          <rPr>
            <b/>
            <sz val="9"/>
            <color indexed="81"/>
            <rFont val="Tahoma"/>
            <family val="2"/>
          </rPr>
          <t>Rachel Kane:</t>
        </r>
        <r>
          <rPr>
            <sz val="9"/>
            <color indexed="81"/>
            <rFont val="Tahoma"/>
            <family val="2"/>
          </rPr>
          <t xml:space="preserve">
Projected using linearly projected annual growth
</t>
        </r>
      </text>
    </comment>
    <comment ref="AB29" authorId="0">
      <text>
        <r>
          <rPr>
            <b/>
            <sz val="9"/>
            <color indexed="81"/>
            <rFont val="Tahoma"/>
            <family val="2"/>
          </rPr>
          <t>Rachel Kane:</t>
        </r>
        <r>
          <rPr>
            <sz val="9"/>
            <color indexed="81"/>
            <rFont val="Tahoma"/>
            <family val="2"/>
          </rPr>
          <t xml:space="preserve">
linear projection using trend function</t>
        </r>
      </text>
    </comment>
  </commentList>
</comments>
</file>

<file path=xl/comments4.xml><?xml version="1.0" encoding="utf-8"?>
<comments xmlns="http://schemas.openxmlformats.org/spreadsheetml/2006/main">
  <authors>
    <author>Rachel Kane</author>
  </authors>
  <commentList>
    <comment ref="C7" authorId="0">
      <text>
        <r>
          <rPr>
            <b/>
            <sz val="9"/>
            <color indexed="81"/>
            <rFont val="Tahoma"/>
            <family val="2"/>
          </rPr>
          <t>Rachel Kane:</t>
        </r>
        <r>
          <rPr>
            <sz val="9"/>
            <color indexed="81"/>
            <rFont val="Tahoma"/>
            <family val="2"/>
          </rPr>
          <t xml:space="preserve">
Assume equal to conventional lighting for now</t>
        </r>
      </text>
    </comment>
  </commentList>
</comments>
</file>

<file path=xl/comments5.xml><?xml version="1.0" encoding="utf-8"?>
<comments xmlns="http://schemas.openxmlformats.org/spreadsheetml/2006/main">
  <authors>
    <author>Mahima Gupta</author>
  </authors>
  <commentList>
    <comment ref="A1" authorId="0">
      <text>
        <r>
          <rPr>
            <b/>
            <sz val="9"/>
            <color indexed="81"/>
            <rFont val="Tahoma"/>
            <family val="2"/>
          </rPr>
          <t>Mahima Gupta:</t>
        </r>
        <r>
          <rPr>
            <sz val="9"/>
            <color indexed="81"/>
            <rFont val="Tahoma"/>
            <family val="2"/>
          </rPr>
          <t xml:space="preserve">
Be more precise on savings terminology - first year, cumulative, annual</t>
        </r>
      </text>
    </comment>
  </commentList>
</comments>
</file>

<file path=xl/sharedStrings.xml><?xml version="1.0" encoding="utf-8"?>
<sst xmlns="http://schemas.openxmlformats.org/spreadsheetml/2006/main" count="15327" uniqueCount="777">
  <si>
    <t>Model Case</t>
  </si>
  <si>
    <t>Date Inputs</t>
  </si>
  <si>
    <t>Base year for inputs</t>
  </si>
  <si>
    <t>First year of forecast period</t>
  </si>
  <si>
    <t>Final year of forecast period</t>
  </si>
  <si>
    <t>Baseline</t>
  </si>
  <si>
    <t>Standards</t>
  </si>
  <si>
    <t>Year of Market Introduction</t>
  </si>
  <si>
    <t>Tech Diffusion Rank</t>
  </si>
  <si>
    <t>Tech Improvement Curve Shape</t>
  </si>
  <si>
    <t>Unit of Replacement</t>
  </si>
  <si>
    <t>Technology Improvement Percentage</t>
  </si>
  <si>
    <t>Submarket</t>
  </si>
  <si>
    <t>Res</t>
  </si>
  <si>
    <t>Com</t>
  </si>
  <si>
    <t>Ind</t>
  </si>
  <si>
    <t>Out</t>
  </si>
  <si>
    <t>Efficacy</t>
  </si>
  <si>
    <t>Lamp Life</t>
  </si>
  <si>
    <t>Lamp Price</t>
  </si>
  <si>
    <t>Lamp Type</t>
  </si>
  <si>
    <t>GSL - Medium Screw</t>
  </si>
  <si>
    <t>Incandescent MSB</t>
  </si>
  <si>
    <t>Step</t>
  </si>
  <si>
    <t>lamp</t>
  </si>
  <si>
    <t>Yes</t>
  </si>
  <si>
    <t>Halogen MSB</t>
  </si>
  <si>
    <t>CFL MSB</t>
  </si>
  <si>
    <t>Linear</t>
  </si>
  <si>
    <t>LED</t>
  </si>
  <si>
    <t>Logistic</t>
  </si>
  <si>
    <t>No</t>
  </si>
  <si>
    <t>Reflectors</t>
  </si>
  <si>
    <t>Incandescent Reflector</t>
  </si>
  <si>
    <t>Halogen Reflector - screw</t>
  </si>
  <si>
    <t>CFL Reflector</t>
  </si>
  <si>
    <t>Linear Fluorescent</t>
  </si>
  <si>
    <t>T12</t>
  </si>
  <si>
    <t>lamp+ballast</t>
  </si>
  <si>
    <t>T8</t>
  </si>
  <si>
    <t>T5*</t>
  </si>
  <si>
    <t>luminaire</t>
  </si>
  <si>
    <t>HID</t>
  </si>
  <si>
    <t>Mercury Vapor</t>
  </si>
  <si>
    <t>Metal Halide</t>
  </si>
  <si>
    <t>High Pressure Sodium</t>
  </si>
  <si>
    <t>Low Pressure Sodium</t>
  </si>
  <si>
    <t>Miscellaneous</t>
  </si>
  <si>
    <t>Incandescent Other</t>
  </si>
  <si>
    <t>N/A</t>
  </si>
  <si>
    <t>Halogen Reflector Other</t>
  </si>
  <si>
    <t>CFL Other</t>
  </si>
  <si>
    <t>Linear Fluorescent Other</t>
  </si>
  <si>
    <t>T5 less than 4 ft. (res. only)</t>
  </si>
  <si>
    <t>Residential</t>
  </si>
  <si>
    <t>Commercial</t>
  </si>
  <si>
    <t>Industrial</t>
  </si>
  <si>
    <t>Outdoor</t>
  </si>
  <si>
    <t xml:space="preserve">Labor Costs </t>
  </si>
  <si>
    <t>All screw-base - lamp ($/lamp) =</t>
  </si>
  <si>
    <t>All screw-base - fixture ($/lamp) =</t>
  </si>
  <si>
    <t>All fluorescent - lamp ($/klm) =</t>
  </si>
  <si>
    <t>All fluorescent - lamp + ballast ($/klm) =</t>
  </si>
  <si>
    <t>All fluorescent - ballast ($/klm) =</t>
  </si>
  <si>
    <t>All fluorescent - fixture ($/klm) =</t>
  </si>
  <si>
    <t>HID (outdoor) - lamp ($/lamp) =</t>
  </si>
  <si>
    <t>HID (outdoor) - lamp + ballast ($/lamp) =</t>
  </si>
  <si>
    <t>HID (outdoor) - ballast ($/lamp) =</t>
  </si>
  <si>
    <t>HID (outdoor) - fixture ($/lamp) =</t>
  </si>
  <si>
    <t>HID (indoor) - lamp ($/lamp) =</t>
  </si>
  <si>
    <t>HID (indoor) - lamp + ballast ($/lamp) =</t>
  </si>
  <si>
    <t>HID (indoor) - ballast ($/lamp) =</t>
  </si>
  <si>
    <t>HID (indoor) - fixture ($/lamp) =</t>
  </si>
  <si>
    <t/>
  </si>
  <si>
    <t>Scaling Factor</t>
  </si>
  <si>
    <t>Projected Electricity Price</t>
  </si>
  <si>
    <t>Outdoor*</t>
  </si>
  <si>
    <t>2011 dollars per kWh</t>
  </si>
  <si>
    <t>*Outdoor stationary sector assumed to have commercial electricity prices</t>
  </si>
  <si>
    <t>Base Year</t>
  </si>
  <si>
    <t>Installed Tlm-hrs</t>
  </si>
  <si>
    <t>Projected Floorspace Growth</t>
  </si>
  <si>
    <t>FLOORSPACE GROWTH RATE SUMMARY</t>
  </si>
  <si>
    <t>Residential Sector Floorspace</t>
  </si>
  <si>
    <t>Average House Square Footage</t>
  </si>
  <si>
    <t>Percent growth per annum</t>
  </si>
  <si>
    <t>Cumulative percent growth</t>
  </si>
  <si>
    <t>Commercial Sector Floorspace</t>
  </si>
  <si>
    <t>Industrial Sector Floorspace</t>
  </si>
  <si>
    <t>Total floorspace (million square feet)</t>
  </si>
  <si>
    <t>Outdoor Stationary Sector Floorspace</t>
  </si>
  <si>
    <t>Wattage</t>
  </si>
  <si>
    <t>Lumens</t>
  </si>
  <si>
    <t>Lifetime</t>
  </si>
  <si>
    <t>Price</t>
  </si>
  <si>
    <t>Annual Efficacy Increase</t>
  </si>
  <si>
    <t>Annual Price Decrease</t>
  </si>
  <si>
    <t xml:space="preserve">Wattage </t>
  </si>
  <si>
    <t>Technology Diffusion Curves</t>
  </si>
  <si>
    <t>Technology Diffusion</t>
  </si>
  <si>
    <t>Bass</t>
  </si>
  <si>
    <t>Live Case</t>
  </si>
  <si>
    <t>Conventional Lighting</t>
  </si>
  <si>
    <t>LED Sensitivity Curve</t>
  </si>
  <si>
    <t>PNNL Curve (slow)</t>
  </si>
  <si>
    <t>Average (reference)</t>
  </si>
  <si>
    <t>SSL (rapid)</t>
  </si>
  <si>
    <t>p</t>
  </si>
  <si>
    <t>b</t>
  </si>
  <si>
    <t>q</t>
  </si>
  <si>
    <t>t</t>
  </si>
  <si>
    <t>F(t)</t>
  </si>
  <si>
    <t>TECHNOLOGY IMPROVEMENT INPUTS AND SUMMARY</t>
  </si>
  <si>
    <t>Efficiency and Wattage</t>
  </si>
  <si>
    <t>Labor Costs</t>
  </si>
  <si>
    <t>Mean System Wattage (W)</t>
  </si>
  <si>
    <t>Lamps per fixture</t>
  </si>
  <si>
    <t>Ballast Factor</t>
  </si>
  <si>
    <t>Ballast Efficiency</t>
  </si>
  <si>
    <t>Fixture Efficiency</t>
  </si>
  <si>
    <t>Median Lamp Life (1000 hrs)</t>
  </si>
  <si>
    <t>Ballast Life (1000 hrs)</t>
  </si>
  <si>
    <t>Fixture Life (1000 hrs)</t>
  </si>
  <si>
    <t>Lamp Price ea. ($)</t>
  </si>
  <si>
    <t>Ballast Price</t>
  </si>
  <si>
    <t>Fixture Price</t>
  </si>
  <si>
    <t>Lamp Labor Rate ($/klm)</t>
  </si>
  <si>
    <t>Ballast Labor Rate ($/klm)</t>
  </si>
  <si>
    <t>Fixture Labor Rate ($/klm)</t>
  </si>
  <si>
    <t>n/a</t>
  </si>
  <si>
    <t>LAMP LIFETIME (hr)</t>
  </si>
  <si>
    <t xml:space="preserve">Solid-State Lighting Price and Performance Characteristics </t>
  </si>
  <si>
    <t>LED Price and Performance</t>
  </si>
  <si>
    <t>Efficacy (lm/W)</t>
  </si>
  <si>
    <t>Lamp (warm)</t>
  </si>
  <si>
    <t>Luminaire (cool)</t>
  </si>
  <si>
    <t>Cost ($/klm)</t>
  </si>
  <si>
    <t>Lamp</t>
  </si>
  <si>
    <t>Luminaire</t>
  </si>
  <si>
    <t>Lifetime (hr)</t>
  </si>
  <si>
    <t>Luminaire (Outdoor)</t>
  </si>
  <si>
    <t>Other</t>
  </si>
  <si>
    <t>Package to luminaire losses</t>
  </si>
  <si>
    <t>Luminaire equivalent years on market</t>
  </si>
  <si>
    <t>LED Commercial Warm White, Best-in-class</t>
  </si>
  <si>
    <t>Warm</t>
  </si>
  <si>
    <t>Cool</t>
  </si>
  <si>
    <t>Lifetime- Outdoor Luminaire</t>
  </si>
  <si>
    <t>Po</t>
  </si>
  <si>
    <t>d</t>
  </si>
  <si>
    <t>Plimit</t>
  </si>
  <si>
    <t>Plimit - High</t>
  </si>
  <si>
    <t>Plimit - Low</t>
  </si>
  <si>
    <t>% Change to Plimit =</t>
  </si>
  <si>
    <t>Market Delay Factor (Lamp)=</t>
  </si>
  <si>
    <t>Market Delay Factor (Luminaire)=</t>
  </si>
  <si>
    <t>Cost decrease (Lamp to Luminaire)</t>
  </si>
  <si>
    <t>LED Luminaire Efficiency</t>
  </si>
  <si>
    <t>Year</t>
  </si>
  <si>
    <t>Constant</t>
  </si>
  <si>
    <t>Ballast Tech Improvement Curve Shape</t>
  </si>
  <si>
    <t>Total Installed Stock, Sales, and Shipments</t>
  </si>
  <si>
    <t>Commercial Sector</t>
  </si>
  <si>
    <t>INSTALLED BASE (Tlm-hr)</t>
  </si>
  <si>
    <t>Fixture Efficacy</t>
  </si>
  <si>
    <t>Residential Sector</t>
  </si>
  <si>
    <t>MARKET SHARE %</t>
  </si>
  <si>
    <t>ANNUAL MARKET (Tlm-hr)</t>
  </si>
  <si>
    <t>Replacement Rate</t>
  </si>
  <si>
    <t>ANNUAL REPLACEMENT RATE</t>
  </si>
  <si>
    <t>= 1 / system lifetime in years</t>
  </si>
  <si>
    <t>ANNUAL SALES (Tlm-hr)</t>
  </si>
  <si>
    <t>ANNUAL LAMP REPLACEMENT SALES (Tlm-hr)</t>
  </si>
  <si>
    <t>ANNUAL LAMP REPLACEMENT LAMP MARKET (Tlm-hr)</t>
  </si>
  <si>
    <t>Total Stock (Tlm-hr)</t>
  </si>
  <si>
    <t>Total Lamp Sales (Tlm-hr)</t>
  </si>
  <si>
    <t>AVERAGE EFFICACY OF INSTALLED LAMP STOCK</t>
  </si>
  <si>
    <t>BALLAST LIFETIME (hr)</t>
  </si>
  <si>
    <t>FIXTURE LIFETIME (hr)</t>
  </si>
  <si>
    <t>LAMP/LUMINAIRE PRICE ($/lamp or luminaire) - labor not included</t>
  </si>
  <si>
    <t>BALLAST PRICE ($/ballast) - labor not included</t>
  </si>
  <si>
    <t>AVERAGE SYSTEM LIFETIME OF INSTALLED STOCK (years)</t>
  </si>
  <si>
    <t>SYSTEM LIFETIME (years) - new products</t>
  </si>
  <si>
    <t>LAMP LIFE (years) - new products</t>
  </si>
  <si>
    <t>BALLAST LIFE (years) - new products</t>
  </si>
  <si>
    <t>AVERAGE LAMP LIFETIME OF INSTALLED STOCK (years)</t>
  </si>
  <si>
    <t>ANNUAL LAMP REPLACEMENT RATE</t>
  </si>
  <si>
    <t>Lamp Replacement Rate</t>
  </si>
  <si>
    <t>LAMPS COST PER KLM - includes labor</t>
  </si>
  <si>
    <t>FIXTURE COST PER KLM - includes labor</t>
  </si>
  <si>
    <t>SYSTEM COST ($/klm) - includes labor</t>
  </si>
  <si>
    <t>SYSTEM + FIXTURE FIRST COST ($/klm) - includes labor</t>
  </si>
  <si>
    <t>= lamp cost ($/klm) + ballast cost ($/klm) + fixture cost ($/klm)</t>
  </si>
  <si>
    <t>ANNUAL ENERGY COST ($/klm)</t>
  </si>
  <si>
    <t>TOTAL ANNUAL O&amp;M COSTS FOR REPLACEMENT SEGMENT ($/klm)</t>
  </si>
  <si>
    <t>=energy cost + maintenance cost</t>
  </si>
  <si>
    <t>TOTAL ANNUAL O&amp;M COSTS FOR NEW CONSTRUCTION SEGMENT ($/klm)</t>
  </si>
  <si>
    <t>BALLAST COST PER KLM - includes labor</t>
  </si>
  <si>
    <t>= fixture cost / application lumens + fixture labor ($/klm)</t>
  </si>
  <si>
    <t>= lamp cost ($/klm) + ballast cost ($/klm)</t>
  </si>
  <si>
    <t>= (system replacement cost + lamp cost * (ballast life/lamp life - 1)) / new system lifetime</t>
  </si>
  <si>
    <t>ANNUAL MAINTENANCE FOR NEW CONSTRUCTION SEGMENT ($/klm) (includes system and fixture)</t>
  </si>
  <si>
    <t>ANNUAL MAINTENANCE FOR REPLACEMENT SEGMENT ($/klm) (system only)</t>
  </si>
  <si>
    <t>= op. hours/day * 365 * electricity cost ($/kWh) / system efficacy</t>
  </si>
  <si>
    <t>A</t>
  </si>
  <si>
    <t>B</t>
  </si>
  <si>
    <t>FIRST COST ($/klm)</t>
  </si>
  <si>
    <t>ANNUAL O&amp;M COST ($/klm)</t>
  </si>
  <si>
    <t>LOGIT</t>
  </si>
  <si>
    <t>DIFFUSION %</t>
  </si>
  <si>
    <t>MARKET POTENTIAL %</t>
  </si>
  <si>
    <t>ACCEPTANCE FACTOR %</t>
  </si>
  <si>
    <t>intermediate calculation</t>
  </si>
  <si>
    <t>General Service Fluorescent Lamp</t>
  </si>
  <si>
    <t>Fluorescent Ballast</t>
  </si>
  <si>
    <t>General Service Incandescent</t>
  </si>
  <si>
    <t>Candelabra</t>
  </si>
  <si>
    <t>Standards Included</t>
  </si>
  <si>
    <t>User Input</t>
  </si>
  <si>
    <t>LAMP EFFICACY</t>
  </si>
  <si>
    <t>LAMP REPLACEMENT SALES ACCEPTANCE RATE</t>
  </si>
  <si>
    <t>TECHNOLOGY ACCEPTANCE RATE</t>
  </si>
  <si>
    <t>BALLAST ACCEPTANCE RATE</t>
  </si>
  <si>
    <t>=ballast rate * lamp rate</t>
  </si>
  <si>
    <t>With Standard</t>
  </si>
  <si>
    <t>No Standard</t>
  </si>
  <si>
    <t>Ballast Submarket Standard</t>
  </si>
  <si>
    <t>Effective Year</t>
  </si>
  <si>
    <t>New Acceptance Rate</t>
  </si>
  <si>
    <t>Lamp or Fixture Submarket Standard</t>
  </si>
  <si>
    <t>* currently assumes no improvement after standard increase and no tech improvement (constant) before standard</t>
  </si>
  <si>
    <t>Operating Hours</t>
  </si>
  <si>
    <t>Distributor Sales</t>
  </si>
  <si>
    <t>Historical Market Penetration</t>
  </si>
  <si>
    <t>MARKET SHARE BY LAMP UNITS</t>
  </si>
  <si>
    <t>cents per kilowatthour</t>
  </si>
  <si>
    <t>Sector:</t>
  </si>
  <si>
    <t>Sector</t>
  </si>
  <si>
    <t>Active</t>
  </si>
  <si>
    <t xml:space="preserve">Active </t>
  </si>
  <si>
    <t>Number of Lamps</t>
  </si>
  <si>
    <t>Regional Data</t>
  </si>
  <si>
    <t xml:space="preserve">Total </t>
  </si>
  <si>
    <t>Total (millions)</t>
  </si>
  <si>
    <t>Commercial + Industrial</t>
  </si>
  <si>
    <t>System Efficacy (w/o fixture efficiency)</t>
  </si>
  <si>
    <t>Total Ballast (Ballast+Lamp) Sales (Tlm-hr)</t>
  </si>
  <si>
    <t>Model Sales - Commercial</t>
  </si>
  <si>
    <t>Model Sales</t>
  </si>
  <si>
    <t>Model Market Penetration</t>
  </si>
  <si>
    <t>Model Sales - Industrial</t>
  </si>
  <si>
    <t xml:space="preserve">Residential </t>
  </si>
  <si>
    <t xml:space="preserve">Commercial + Industrial </t>
  </si>
  <si>
    <r>
      <t xml:space="preserve">NW Region Projected Electricity Prices </t>
    </r>
    <r>
      <rPr>
        <b/>
        <vertAlign val="superscript"/>
        <sz val="10"/>
        <rFont val="Arial"/>
        <family val="2"/>
      </rPr>
      <t>1</t>
    </r>
  </si>
  <si>
    <t>Regional Data (Assumed -1% growth rate)</t>
  </si>
  <si>
    <t>Frozen Efficiency</t>
  </si>
  <si>
    <t>Savings Case</t>
  </si>
  <si>
    <t>Halogen Reflector</t>
  </si>
  <si>
    <t>Notes</t>
  </si>
  <si>
    <t>Eff = 5.9*New Wattage^0.27</t>
  </si>
  <si>
    <t>Phased In</t>
  </si>
  <si>
    <t>Multiplier of Acceptance Rate</t>
  </si>
  <si>
    <t>Efficiency</t>
  </si>
  <si>
    <t xml:space="preserve">Eff from TSE; Price increase rate equals TSE manufacturing selling price increase </t>
  </si>
  <si>
    <t>Eff increases at same rate as Commercial T8s; price increase rate equal to TSE manufacturing selling price</t>
  </si>
  <si>
    <t>Active Case/Case 1</t>
  </si>
  <si>
    <t>Case 2</t>
  </si>
  <si>
    <t>Active/Case 1</t>
  </si>
  <si>
    <t>Multiplier to Acceptance Rate</t>
  </si>
  <si>
    <t>Acceptance Rate Increment</t>
  </si>
  <si>
    <t>AVERAGE EFFICIENCY OF INSTALLED BALLAST STOCK</t>
  </si>
  <si>
    <t>Active Case</t>
  </si>
  <si>
    <t>ANNUAL SHIPMENTS (1000 units)</t>
  </si>
  <si>
    <t>Active Case Unit Sales (1000 units)</t>
  </si>
  <si>
    <t>Active Case Installed Stock (1000 units)</t>
  </si>
  <si>
    <t>Industrial Sector</t>
  </si>
  <si>
    <t>Outdoor Sector</t>
  </si>
  <si>
    <t>Energy Consumption (TWh)</t>
  </si>
  <si>
    <t>Model User Inputs to Model</t>
  </si>
  <si>
    <t>Logit Parameters</t>
  </si>
  <si>
    <t>Technology Price and Performance Characteristics</t>
  </si>
  <si>
    <t>Technology Price and Performance Inputs - All Sectors</t>
  </si>
  <si>
    <t>Standards Inputs - All Sectors</t>
  </si>
  <si>
    <t>Sales for Calibration of Model - All Sectors</t>
  </si>
  <si>
    <t>Lamp Replacement Market</t>
  </si>
  <si>
    <t>System (Ballast+Lamp) Replacement Market</t>
  </si>
  <si>
    <t>New Construction Market (Fixtures)</t>
  </si>
  <si>
    <t>Total Market</t>
  </si>
  <si>
    <t>Energy Consumption and Sales</t>
  </si>
  <si>
    <t>Energy Data for Savings Calculation</t>
  </si>
  <si>
    <t>Macros</t>
  </si>
  <si>
    <t>Technology Improvements and Price Changes</t>
  </si>
  <si>
    <t>Lamp Standard</t>
  </si>
  <si>
    <t>Ballast Standard</t>
  </si>
  <si>
    <t>Value</t>
  </si>
  <si>
    <t>Efficiency Case:</t>
  </si>
  <si>
    <t>Case 2 Savings (Case 1 - Case 2)</t>
  </si>
  <si>
    <t>Frozen Efficiency, 6th Plan Standards</t>
  </si>
  <si>
    <t>Frozen Efficiency, All Standards</t>
  </si>
  <si>
    <t>Technology Market Specifications and Inputs - All Sectors</t>
  </si>
  <si>
    <t>Sample Graphs</t>
  </si>
  <si>
    <t>Relevant Technology</t>
  </si>
  <si>
    <t>Year Active</t>
  </si>
  <si>
    <t>Active Case Energy Density (kWh/sq2)</t>
  </si>
  <si>
    <t>Active - Floorspace (million sq ft)</t>
  </si>
  <si>
    <t>Technology Price and Performance Projections</t>
  </si>
  <si>
    <t>Standards Inputs - Active Case</t>
  </si>
  <si>
    <t>Acceptance Rate with Standards</t>
  </si>
  <si>
    <t>Tab Name</t>
  </si>
  <si>
    <t>User Inputs</t>
  </si>
  <si>
    <t>Tech Specs</t>
  </si>
  <si>
    <t>Perform SSL</t>
  </si>
  <si>
    <t>Perform Sectors</t>
  </si>
  <si>
    <t>Perform Active</t>
  </si>
  <si>
    <t>Perform Proj</t>
  </si>
  <si>
    <t>Electricity Prices</t>
  </si>
  <si>
    <t>Floor Growth</t>
  </si>
  <si>
    <t>Standards Sectors</t>
  </si>
  <si>
    <t>Standards Active</t>
  </si>
  <si>
    <t>Standards Acceptance</t>
  </si>
  <si>
    <t>Costs</t>
  </si>
  <si>
    <t>Tech Diff</t>
  </si>
  <si>
    <t>Logit</t>
  </si>
  <si>
    <t>Sales Calibration</t>
  </si>
  <si>
    <t>Lamp Mkt Repl</t>
  </si>
  <si>
    <t>System Mkt Repl</t>
  </si>
  <si>
    <t>System Mkt NC</t>
  </si>
  <si>
    <t>Results</t>
  </si>
  <si>
    <t>Savings Data</t>
  </si>
  <si>
    <t>Results Com</t>
  </si>
  <si>
    <t>Results Out</t>
  </si>
  <si>
    <t>Results Ind</t>
  </si>
  <si>
    <t>Results Total</t>
  </si>
  <si>
    <t>Content/Description</t>
  </si>
  <si>
    <t xml:space="preserve">Input active model settings: efficiency case, sector, and standards; Macros for running model and savings </t>
  </si>
  <si>
    <t>General model and market inputs; conversion factors</t>
  </si>
  <si>
    <t>Type of Page</t>
  </si>
  <si>
    <t>User inputs</t>
  </si>
  <si>
    <t>Inputs</t>
  </si>
  <si>
    <t>Technology price and performance inputs for each sector - includes efficiencies, lifetimes, prices, and labor rates</t>
  </si>
  <si>
    <t>Inputs - Projected</t>
  </si>
  <si>
    <t>System Total Mkt</t>
  </si>
  <si>
    <t>Calculations</t>
  </si>
  <si>
    <t>Results Res</t>
  </si>
  <si>
    <t>Calculations and Documentation</t>
  </si>
  <si>
    <t>NW (see below calculation)</t>
  </si>
  <si>
    <t xml:space="preserve"> </t>
  </si>
  <si>
    <t>U.S. (Raw LMC data)</t>
  </si>
  <si>
    <t>/</t>
  </si>
  <si>
    <t>=</t>
  </si>
  <si>
    <t>Million SF (6P Commercial Forecast, "Floor Area and Population Forecast"version 2009, New SF tab. http://www.nwcouncil.org/energy/powerplan/6/supply-curves)</t>
  </si>
  <si>
    <t>Hours (PC-LPDPackage-6P-D16.xls)</t>
  </si>
  <si>
    <t>hours/day</t>
  </si>
  <si>
    <t>SF*hrs/day</t>
  </si>
  <si>
    <t>Large Off</t>
  </si>
  <si>
    <t>Medium Off</t>
  </si>
  <si>
    <t>Small Off</t>
  </si>
  <si>
    <t>Big Box</t>
  </si>
  <si>
    <t>Small Box</t>
  </si>
  <si>
    <t>High End</t>
  </si>
  <si>
    <t>Anchor</t>
  </si>
  <si>
    <t>K-12</t>
  </si>
  <si>
    <t>University</t>
  </si>
  <si>
    <t>Warehouse</t>
  </si>
  <si>
    <t>Supermarket</t>
  </si>
  <si>
    <t>MIniMart</t>
  </si>
  <si>
    <t>Restaurant</t>
  </si>
  <si>
    <t>Lodging</t>
  </si>
  <si>
    <t>Hospital</t>
  </si>
  <si>
    <t>OtherHealth</t>
  </si>
  <si>
    <t>Assembly</t>
  </si>
  <si>
    <t>sum:</t>
  </si>
  <si>
    <t>Total Regional Stock</t>
  </si>
  <si>
    <t>average:</t>
  </si>
  <si>
    <t>No NW-specific data - use same ratio as commercial</t>
  </si>
  <si>
    <t>Residential and Outdoor</t>
  </si>
  <si>
    <t>No NW-specific data - use LMC national data</t>
  </si>
  <si>
    <t>Residential (# households, 2010)</t>
  </si>
  <si>
    <t>NW (6P supply curve, Residential Supply Curve Housing and Appliance Units workbook. Total Housing Units Tab. http://www.nwcouncil.org/energy/powerplan/6/supply-curves)</t>
  </si>
  <si>
    <t>U.S. (National Building Stocks from Model)</t>
  </si>
  <si>
    <t>Commercial (million sqft, 2010)</t>
  </si>
  <si>
    <t>NW (6P Commercial Forecast, "Floor Area and Population Forecast"version 2009, New SF tab. http://www.nwcouncil.org/energy/powerplan/6/supply-curves)</t>
  </si>
  <si>
    <t>Industrial (million sqft, 2010)</t>
  </si>
  <si>
    <t>NW (Manufacturing Sq Footage)</t>
  </si>
  <si>
    <t>U.S. (Energy Consumption by Sector and Source, United States, Reference case - EIA 2011)</t>
  </si>
  <si>
    <t>Industrial (GWh)</t>
  </si>
  <si>
    <t>Inc and Hal Scaler</t>
  </si>
  <si>
    <t>CFL Scaler</t>
  </si>
  <si>
    <t>Scaled DOE's Lighting Market Characterization (LMC) technology specific operating hour data to the NW territory using a scaling factor calculated with the national and NW total operating hour averages</t>
  </si>
  <si>
    <t>Efficacy and Wattage</t>
  </si>
  <si>
    <t>BALLAST EFFICIENCY</t>
  </si>
  <si>
    <t>Average lamp efficacy backed out of system wattage given in Tech Specs tab</t>
  </si>
  <si>
    <t>Efficiency projections to 2035 done using on linear interpolation based on percent improvements in Tech Specs tab</t>
  </si>
  <si>
    <t>Lifetime projections to 2035 done using on linear interpolation based on percent improvements in Tech Specs tab</t>
  </si>
  <si>
    <t>Price projections to 2035 done using on linear interpolation based on percent improvements in Tech Specs tab</t>
  </si>
  <si>
    <t>* efficiency increase over time depends on technology improvement curve type (Tech Specs) and whether a standard is in place</t>
  </si>
  <si>
    <t>Operating Hours - National data scaled to NW</t>
  </si>
  <si>
    <t>Operating Hours - Weighted average within submarket</t>
  </si>
  <si>
    <t>Energy Consumption</t>
  </si>
  <si>
    <t>Unit Sales</t>
  </si>
  <si>
    <t>Incandescent</t>
  </si>
  <si>
    <t>Halogen</t>
  </si>
  <si>
    <t>CFL</t>
  </si>
  <si>
    <t>Energy Density (kWh/sq2)</t>
  </si>
  <si>
    <t>Power Density (W/sq2)</t>
  </si>
  <si>
    <t>Stock (Tlm)</t>
  </si>
  <si>
    <t>T5</t>
  </si>
  <si>
    <t>Energy and Power Density</t>
  </si>
  <si>
    <t>Unit Stock</t>
  </si>
  <si>
    <t>Sales outputted from macro used to calibrate logit parameters to distributor sales</t>
  </si>
  <si>
    <t>Standards Active in Model</t>
  </si>
  <si>
    <t>Efficiency Case</t>
  </si>
  <si>
    <t>Plot Data</t>
  </si>
  <si>
    <t>Plot Energy</t>
  </si>
  <si>
    <t>Plot Sales</t>
  </si>
  <si>
    <t>Plot Density</t>
  </si>
  <si>
    <t>Plot Stock</t>
  </si>
  <si>
    <r>
      <t xml:space="preserve">DOE. </t>
    </r>
    <r>
      <rPr>
        <i/>
        <sz val="11"/>
        <color theme="1"/>
        <rFont val="Calibri"/>
        <family val="2"/>
        <scheme val="minor"/>
      </rPr>
      <t xml:space="preserve">Energy Savings Potential of Solid-State Lighting in General Illumination Applications. </t>
    </r>
    <r>
      <rPr>
        <sz val="11"/>
        <color theme="1"/>
        <rFont val="Calibri"/>
        <family val="2"/>
        <scheme val="minor"/>
      </rPr>
      <t>2012.</t>
    </r>
  </si>
  <si>
    <t>Equal to lamp replacement (switching out same lamp for a new one), except if a standard in place, part of market shifts to the ballast/fixture market</t>
  </si>
  <si>
    <t>Case 1</t>
  </si>
  <si>
    <t>Savings Between Case 1 and Case 2</t>
  </si>
  <si>
    <t xml:space="preserve">Case 1 </t>
  </si>
  <si>
    <t>Plot Savings</t>
  </si>
  <si>
    <t>Macro 1 Results - Data</t>
  </si>
  <si>
    <t>Macro 1 Results - Plot</t>
  </si>
  <si>
    <t>Macro 2 Results - Data</t>
  </si>
  <si>
    <t>Macro 2 Results - Plot</t>
  </si>
  <si>
    <t>= if year is equal to start year, then installed stock equals efficinecy of sales of base year; otherwise calculates the weighted average efficacy based on the sales and efficacy over the lifetime of the product (sales * efficacy / total sales)</t>
  </si>
  <si>
    <t>Electricity prices calcualted as a weighted average by population of electricity prices in the states making up the NW</t>
  </si>
  <si>
    <t>Price data from EIA Annual Energy Outlook 2013</t>
  </si>
  <si>
    <t>Population data from U.S. Census</t>
  </si>
  <si>
    <t>Outdoor stationary sector growth rate assumed equal to commercial building growth rate</t>
  </si>
  <si>
    <t>Residential number of households and commercial square footage from 6th Plan Forecast</t>
  </si>
  <si>
    <t>Industrial 2010 floorspace from NW Manufacturing Sq Footage</t>
  </si>
  <si>
    <t>Cost to operate and maintain system</t>
  </si>
  <si>
    <t>Bass Diffusion Curve</t>
  </si>
  <si>
    <t>Cost to install new system</t>
  </si>
  <si>
    <t>Technology share of new sales</t>
  </si>
  <si>
    <t>Technology Shift</t>
  </si>
  <si>
    <t>Scaled DOE's LMC technology specific stock data to the NW territory using a scaling factor calculated from national and NW building stocks. Re-distributed select technologies to better reflect distributor sales data</t>
  </si>
  <si>
    <t>Miscellaneous Inputs</t>
  </si>
  <si>
    <t>Misc Inputs</t>
  </si>
  <si>
    <t>Lamp Submarket Standard</t>
  </si>
  <si>
    <t>Technology Shift, All Standards</t>
  </si>
  <si>
    <t>Average Lamp Efficacy</t>
  </si>
  <si>
    <t>Change in ballast effciency to result in approximately 2W overall savings.</t>
  </si>
  <si>
    <t>Step 1:</t>
  </si>
  <si>
    <t>Relavant Sheets: "Tech Specs"</t>
  </si>
  <si>
    <t>Develop Initial (2010) Lighting Inventory</t>
  </si>
  <si>
    <t>Step 2:</t>
  </si>
  <si>
    <t>Calculate Installed Base of Lumen-hrs</t>
  </si>
  <si>
    <t>Relevant Sheets: "Tech Specs"</t>
  </si>
  <si>
    <t>After developing the installed base of lamps, we next convert that into installed Tlm-hrs (the main unit of lighting tracked in the model). See AJ9:AM39 in "Tech Specs". The equation for calculating lm-hrs is as follows:
lm-hrs = Installed Lamps * Average Wattage Per Lamp * Average Efficacy * Operating Hours
Average wattages come from the LMC. Average efficacies come from the LMC, with modifications as warrants by the BPA non-residential lighting market characterization. NW specific operating hours for each submarket were developed by starting with LMC operating hours. Then, we scaled the LMC operating hours so that the avergae operating hours in commercial buildings was equivalent to the average operating hours used in the 6th Plan.</t>
  </si>
  <si>
    <t>Step 3:</t>
  </si>
  <si>
    <t>Relevant sheets: "Floor Growth" and "Misc Inputs"</t>
  </si>
  <si>
    <t>Calculate Annual Lumen Demand (i.e. New construction growth) and Renovation rates</t>
  </si>
  <si>
    <t>Step 4:</t>
  </si>
  <si>
    <t>Lamp Repl Rate</t>
  </si>
  <si>
    <t>Sys Repl Rate</t>
  </si>
  <si>
    <t>Relevant Sheets: "Tech Specs", "Perform Sectors", "Costs", "Perform_Proj", and "Standards_Sectors"</t>
  </si>
  <si>
    <t>A key input into the market share and energy use calculations are efficacy, lifetime, and prices. Initial lifetime and price values ( See "Perform Sectors") were taken from the DOE model. Conventional technology projections (L9:N39 in "Tech Specs") are kept constant under the Frozen Efficiency scenario and allowed to change under the Technology Shift scenario. The  projections under Technology Shift are taken from the DOE model. Another key input into these values are changes due to standards (See "Standards_Sectors").
The time series for all of these are then calculated in "Perform_Proj" and "Standards_Sectors"</t>
  </si>
  <si>
    <t>Relevant sheets: "Lamp_Repl_Rate" and "Sys_Repl_Rate"</t>
  </si>
  <si>
    <t xml:space="preserve">To determine the replacement market for lamps and ballasts, we use the reciprocal of the lifetimes of technologies (see Step 3). </t>
  </si>
  <si>
    <t>Step 5:</t>
  </si>
  <si>
    <t>Step 6:</t>
  </si>
  <si>
    <t>Calculate Ballast and Lamp Replacement Rates (Market Turnover)</t>
  </si>
  <si>
    <t>Calculate the Annual Available Market</t>
  </si>
  <si>
    <t>Relevant Sheets: "Lamp_Mkt_Repl", "System_Mkt_Repl", "System_Mkt_NC", System_Total_Mkt</t>
  </si>
  <si>
    <t xml:space="preserve">The annual available market (stemming from lamp replacement, ballast replacement, renovation, and new construction) is calculated (Rows 295:329 in "System Mkt Repl" and "System Mkt NC")  by multiplying the replacement rates (Step 5) and new construction and retrofit rates (step 4) by the installed base of lighting (Rows 5:40 in "System_Total_Mkt"). </t>
  </si>
  <si>
    <t>Step 7:</t>
  </si>
  <si>
    <t>Determine the Market Share of Sales</t>
  </si>
  <si>
    <t>Relevant Sheets: "System_Mkt_Repl", "System_Mkt_NC", "Tech Diff", "Logit"</t>
  </si>
  <si>
    <t>Model Flow Description</t>
  </si>
  <si>
    <t>Model Flow Diagram</t>
  </si>
  <si>
    <t>Step 8:</t>
  </si>
  <si>
    <t>Calculate Lumens Shipped by Technology</t>
  </si>
  <si>
    <t xml:space="preserve">The market shares (Step 7) are multiplied by the available market (Step 6)  to calculate the total lumens shipped by technology for each marekt segment (Rows 331:365 in "System_Mkt_Repl", "System_Mkt_NC"). </t>
  </si>
  <si>
    <t>Recalculate Next Year's Installed Base of Lighting</t>
  </si>
  <si>
    <t>Relevant Sheets: "System_Total_Mkt"</t>
  </si>
  <si>
    <t>By applying the lighting turnover (replacement and renovation) as calculated in Step 6 and the new sales in Step 8, we calculate the new stock in Rows 8:39 of "System_Total_Mkt".</t>
  </si>
  <si>
    <t>Step 9:</t>
  </si>
  <si>
    <t>Instructions:</t>
  </si>
  <si>
    <t>Table of Contents</t>
  </si>
  <si>
    <t>High level diagram of calculation flow</t>
  </si>
  <si>
    <t>High level description of calculation flow</t>
  </si>
  <si>
    <t>Intro</t>
  </si>
  <si>
    <t>The model is set up to calculate results for a single sector and scenario at a time. To modify the scenario or sector currently being calculated, use the inputs marked "Active Case". No macro is necessary to view a single sector. To view results for all sectors simulateneously, click the first macro button (Calculate Case 1 Energy for All Sectors and Total Market). The macro will cycle through all of the sectors and paste results in the "Results(-Sector)" tabs. To compare the energy use of two scenarios, use the second macro button (Calculate Case 2 Savings). The model will cycle through all sectors under the Case 1 settings and then all sectors using the Case 2 settings. The results will be pasted in the "Savings Data" sheet.</t>
  </si>
  <si>
    <t>To calculate the growth due to new construction in the commercial and residential sectors, we used inputs from the 6th plan. The outdoor sector was assumed to be the same as the commercial sector. The industrial sector was assumed to have a 1% annual decrease in floor space. See "Floor Growth".
For building renovation or fixture replacements (these are treated identically in the model) we used the average lighting turnover rate assumed in the 6th plan. See cell D15 in "Misc Inputs".</t>
  </si>
  <si>
    <t>Energy Consumption (aMW)</t>
  </si>
  <si>
    <t>=NC System Cost + Ballast Cost *( Fixture Lifetime / Ballast Lifetime - 1) + Lamp Cost * (Fixture Lifetime / Lamp Lifetime -1)/Fixture Lifetime / (DailyOpHours * 365.25)</t>
  </si>
  <si>
    <t>SYSTEM COST  - Ballast Price +Lamp Price</t>
  </si>
  <si>
    <t>Linear Fl</t>
  </si>
  <si>
    <t>Daily Operating Hours</t>
  </si>
  <si>
    <t>Develop Initial and Projected (for future sales) Technology Performance, Lifetime, and Price values</t>
  </si>
  <si>
    <t>Renovation Rate Assumptions</t>
  </si>
  <si>
    <t>Renovation Rate</t>
  </si>
  <si>
    <t>System Lumens (lm)</t>
  </si>
  <si>
    <t>ANNUAL SHIPMENTS (Tlmhr)</t>
  </si>
  <si>
    <t>Luminaire EFFICACY (including lamp and ballast and fixture)</t>
  </si>
  <si>
    <t>= Lamp efficacy * Ballast efficiency*Fixture efficiency</t>
  </si>
  <si>
    <t>Data for First Year Savings Calculation</t>
  </si>
  <si>
    <t>Case 1 Sales (Tlmhr)</t>
  </si>
  <si>
    <t>Case 2 Sales (Tlmhr)</t>
  </si>
  <si>
    <t>First Year Energy Savings</t>
  </si>
  <si>
    <t>GSL-MSB</t>
  </si>
  <si>
    <t>ACTIVE CASE</t>
  </si>
  <si>
    <t>Case 2 Average Fixture Efficacy of Sales (lm/W)</t>
  </si>
  <si>
    <t>Case 1 Average Fixture Efficacy of Sales (lm/W)</t>
  </si>
  <si>
    <t>The model's first main input is the initial lighting inventory (total lamps installed in the Northwest).  (See AD5:AG39 on"Tech Specs") To calculate the initial lighting inventory, we started with the lighting inventory developed in the "2010 U.S. Lighting Market Characterization" (LMC) and scaled that down to the Northwest (See row 161:183 of "Tec h Specs") by using ratios of national vs. Northwest floorspace. National floorspace estimates were taken from the LMC, and Northwest floorspace estimates were taken from the 6th Power Plan. 
Then, to account for a Northwest specific technology distribution, we compared the inventory to the latest RBSA (2013) and CBSA (2009) results for the commercial and residential sectors. These comparisons warranted a slight redistribution of CFLs and incandescents in the commercial and industrial sectors.  In addition, after development of the model the initial stock values (for T12s and T8s) to align with distributor sales</t>
  </si>
  <si>
    <t>Source: Energy Savings Potential of Solid-State Lighting in General Illumination Applications, DOE, 2012</t>
  </si>
  <si>
    <t>TECHNOLOGY SHIFT CASE</t>
  </si>
  <si>
    <t>Lifetime -Indoor</t>
  </si>
  <si>
    <t>Luminaire (Indoor)</t>
  </si>
  <si>
    <t>Lifetime- Indoor Luminaire</t>
  </si>
  <si>
    <t>Solid state lighting efficacy and cost projections from the 2011 DOE Solid-State Lighting Multiyear Program Plan</t>
  </si>
  <si>
    <t>Lifetime projoections from Energy Savings Potential of Solid-State Lighting in General Illumination Applications, 2012, DOE</t>
  </si>
  <si>
    <t>20 Year</t>
  </si>
  <si>
    <t>25 Year</t>
  </si>
  <si>
    <t>Source: Energy Savings Potential of Solid-State Lighting in General Illumination Applications, DOE 2012</t>
  </si>
  <si>
    <t>Note: DOE report projects performance improvements over 20 years. Improvements are scaled to 25 year forecast</t>
  </si>
  <si>
    <t>Source: DOE U.S. Lighting Market Chracterization and BPA Non-residential Lighting Baseline</t>
  </si>
  <si>
    <t>Note: LED efficacy values found on Perform_Proj sheet</t>
  </si>
  <si>
    <t>Efficiency and Lifetime Assumptions</t>
  </si>
  <si>
    <t>= (lamp cost * lamps per fixture) / application lumens + lamp labor ($/klm)</t>
  </si>
  <si>
    <t>Note: This sheet is only applicable to ballasted technologies</t>
  </si>
  <si>
    <t>= 1 / lamp lifetime in years</t>
  </si>
  <si>
    <t>Active Case Lighting Consumption (Tlm-hr)</t>
  </si>
  <si>
    <t>Active Case Site Consumption (TWh)</t>
  </si>
  <si>
    <t>Active Case Source Consumption (aMW)</t>
  </si>
  <si>
    <t>Site to Source Ratio</t>
  </si>
  <si>
    <t>Busbar</t>
  </si>
  <si>
    <t>Linear Fluorescent Sales (Com + Ind)</t>
  </si>
  <si>
    <t>HID Sales (Com + Ind)</t>
  </si>
  <si>
    <t>MSB and Reflector Sales (Res)</t>
  </si>
  <si>
    <t>Case 1 Site Energy Consumption (TWh)</t>
  </si>
  <si>
    <t>Case 2 Site Energy Consumption (TWh)</t>
  </si>
  <si>
    <t xml:space="preserve"> Energy Site Savings (TWh)</t>
  </si>
  <si>
    <t>Cumulative Energy Savings</t>
  </si>
  <si>
    <t xml:space="preserve"> First Year Site Energy Savings (TWh)</t>
  </si>
  <si>
    <t>Site Energy Consumption (Twhr)</t>
  </si>
  <si>
    <t>Sales Data</t>
  </si>
  <si>
    <t>Average Efficacy Data</t>
  </si>
  <si>
    <t>Cumul Savings Total</t>
  </si>
  <si>
    <t>First Yr Savings Total</t>
  </si>
  <si>
    <t>Northwest Lighting Market Model</t>
  </si>
  <si>
    <t>Last Updated:</t>
  </si>
  <si>
    <t>Developed by Navigant Consulting, Inc.</t>
  </si>
  <si>
    <t>Key Sources of the Data for the model:</t>
  </si>
  <si>
    <t>BPA Non-residential Lighting Market Characterization</t>
  </si>
  <si>
    <t>DOE 2010 U.S. Lighting Market Characterization</t>
  </si>
  <si>
    <t>DOE Energy Savings Potential of Solid State Lighting in General Illumination Applications</t>
  </si>
  <si>
    <t>http://apps1.eere.energy.gov/buildings/publications/pdfs/ssl/ssl_energy-savings-report_jan-2012.pdf</t>
  </si>
  <si>
    <t>http://apps1.eere.energy.gov/buildings/publications/pdfs/ssl/2010-lmc-final-jan-2012.pdf</t>
  </si>
  <si>
    <t>Step 10:</t>
  </si>
  <si>
    <t>Iterate for each Sector using the macro</t>
  </si>
  <si>
    <t>The model calculates results for only one sector at a time. Sheets and columns labelled "active" indicate that those inputs or outputs are specific to the "active" case or sector being run by the model. In order to calculate results for all sectors, use macro 1.</t>
  </si>
  <si>
    <t>DOE 2011 Solid-State Lighting Multiyear Program Plan</t>
  </si>
  <si>
    <t>http://apps1.eere.energy.gov/buildings/publications/pdfs/ssl/ssl_mypp2011_web.pdf</t>
  </si>
  <si>
    <t>The market share calculation (Rows 258:295 in "System_Mkt_Repl", "System_Mkt_NC") has three main inputs : technology diffusion (Row 113:150), econometric logit (Row 77:114), and technology acceptance (Rows 139:176). The technology diffusion, which characterizes the rate at which new technologies diffuse into a market, not accounting for economic considerations are based on a Bass diffusion curve (see "Tech Diff") and the year of technology introduction. The Econometric Logit, which evaluates cost competitiveness, is based on a calibrated logistic curve for each sector. The logit parameters are calibrated and found in A3:K5 of "Logit". The market acceptance parameters are developed to account for non-cost factors that guide the purchase of lighting (e.g., color characteristics, dimmability). The market acceptance value is also used to phase in and phase out technologies due to standards (in the "Multiplier of Acceptance Rate" in the "Standards_Sector" sheet.</t>
  </si>
  <si>
    <t>Technology Costs (2011$)</t>
  </si>
  <si>
    <t>NW Lamp Inventory</t>
  </si>
  <si>
    <t>LMC Lamp Inventory</t>
  </si>
  <si>
    <t>% to redistrubute (T12 to T8)</t>
  </si>
  <si>
    <t>Redistribution to match sales</t>
  </si>
  <si>
    <t>NW Scaled down data</t>
  </si>
  <si>
    <t>Commercial and Industrial Re-distribution Scalers from CBSA data</t>
  </si>
  <si>
    <t>Additional Redistribution to Calibrate Commercial/Industrial Sales</t>
  </si>
  <si>
    <t>Commercial/Industrial/Outdoor Installed Base Calculation</t>
  </si>
  <si>
    <t>Residential Installed Base Calculation</t>
  </si>
  <si>
    <t xml:space="preserve">TOTAL </t>
  </si>
  <si>
    <t xml:space="preserve">  Miscellaneous</t>
  </si>
  <si>
    <t xml:space="preserve">  LED</t>
  </si>
  <si>
    <t>LPS</t>
  </si>
  <si>
    <t xml:space="preserve">  Low Pressure Sodium</t>
  </si>
  <si>
    <t>HPS</t>
  </si>
  <si>
    <t xml:space="preserve">  High Pressure Sodium</t>
  </si>
  <si>
    <t>T5 Misc.</t>
  </si>
  <si>
    <t>MH</t>
  </si>
  <si>
    <t xml:space="preserve">  Metal Halide</t>
  </si>
  <si>
    <t>MV</t>
  </si>
  <si>
    <t xml:space="preserve">  Mercury Vapor</t>
  </si>
  <si>
    <t>LFL Other</t>
  </si>
  <si>
    <t>High Intensity Discharge</t>
  </si>
  <si>
    <t>All Other</t>
  </si>
  <si>
    <t>HAL Other</t>
  </si>
  <si>
    <t>IND Other</t>
  </si>
  <si>
    <t xml:space="preserve">  T12 U-Shaped</t>
  </si>
  <si>
    <t xml:space="preserve">  T8  U-Shaped</t>
  </si>
  <si>
    <t xml:space="preserve">  T12 Greater than 4ft</t>
  </si>
  <si>
    <t xml:space="preserve">  T12 4ft</t>
  </si>
  <si>
    <t xml:space="preserve">  T12 Less than 4ft</t>
  </si>
  <si>
    <t xml:space="preserve">  T8 Greater than 4ft</t>
  </si>
  <si>
    <t xml:space="preserve">  T8 4ft</t>
  </si>
  <si>
    <t xml:space="preserve">  T8 Less than 4ft</t>
  </si>
  <si>
    <t xml:space="preserve">  T5</t>
  </si>
  <si>
    <t xml:space="preserve">  Reflector</t>
  </si>
  <si>
    <t xml:space="preserve">  General Service - Pin</t>
  </si>
  <si>
    <t xml:space="preserve">  General Service - Screw</t>
  </si>
  <si>
    <t>Compact Fluorescent</t>
  </si>
  <si>
    <t xml:space="preserve">  Low Voltage Display</t>
  </si>
  <si>
    <t>HAL Reflector</t>
  </si>
  <si>
    <t>HAL MSB</t>
  </si>
  <si>
    <t xml:space="preserve">  General Service</t>
  </si>
  <si>
    <t>IRL</t>
  </si>
  <si>
    <t xml:space="preserve">  General Service - Decorative</t>
  </si>
  <si>
    <t>IND MSB</t>
  </si>
  <si>
    <t xml:space="preserve">  General Service - A-type</t>
  </si>
  <si>
    <t>Total Lamps</t>
  </si>
  <si>
    <t>Multifamily</t>
  </si>
  <si>
    <t>SF</t>
  </si>
  <si>
    <t>Mfred</t>
  </si>
  <si>
    <t>LMC</t>
  </si>
  <si>
    <t>Lamp Category</t>
  </si>
  <si>
    <t>Inventory</t>
  </si>
  <si>
    <t>Average Number of Lamps per Building by End-Use Sector in 2010</t>
  </si>
  <si>
    <t>LMC - MF</t>
  </si>
  <si>
    <t>LMC  - SF</t>
  </si>
  <si>
    <t>LMC  - Mfred Homes</t>
  </si>
  <si>
    <t>Single Family</t>
  </si>
  <si>
    <t>Mfred Homes</t>
  </si>
  <si>
    <t>Total</t>
  </si>
  <si>
    <t>LF</t>
  </si>
  <si>
    <t>Inc</t>
  </si>
  <si>
    <t>CFLs</t>
  </si>
  <si>
    <t># of Homes In NW</t>
  </si>
  <si>
    <t>Average Lamps Per Home</t>
  </si>
  <si>
    <t>% Distribution</t>
  </si>
  <si>
    <t>Sources: RBSA, 2010 U.S. Lighting Market Characterization, Note: MF data was not available, so scaled from national</t>
  </si>
  <si>
    <t>Total Lighting Consumption (Tlm-hr)</t>
  </si>
  <si>
    <t>Total Site Consumption (TWh)</t>
  </si>
  <si>
    <t>Total Source Consumption (aMW)</t>
  </si>
  <si>
    <t>Total Unit Sales (1000 units)</t>
  </si>
  <si>
    <t>Total Installed Stock (1000 units)</t>
  </si>
  <si>
    <t>Total Energy Density (kWh/sq2)</t>
  </si>
  <si>
    <t>Total Power Density (W/sq2)</t>
  </si>
  <si>
    <t>Specifications of installed technologies - includes market and technology characteristics such as technology introduction date, system wattage, system efficacy, number of units, operating hours, and stock. Forms basis of incumbent system performance (not for SSL).  Source is DOE 2012.  Data flow to 'Perform Sectors'.</t>
  </si>
  <si>
    <t>Performance of solid state lighting - includes lifetime, efficacy, cost. Forms basis of SSL performance.  Uses DOE MYPP forecast to estimate tech improvement in SSL cost and performance for lamps and luminaires.  Data flow to 'Perform Sectors'.</t>
  </si>
  <si>
    <t>Technology price and performance inputs for active sector. An intermediate tab.  Summary for active case.  Data from Perform Sectors.</t>
  </si>
  <si>
    <t>Technology price and performance inputs for active sector - includes efficiencies (new units and stock average), lifetimes, prices, and labor rates. Year by year projections which result from "Perform" tabs.</t>
  </si>
  <si>
    <t>Projected electricity prices in each sector. PNW-specific.  Data flow to Cost tab.</t>
  </si>
  <si>
    <t>Projected floor area growth in each sector. PNW-specific.  Data flow to SystemMktNC and Results tab to calcualte kWh/sf and kW/sf.</t>
  </si>
  <si>
    <t>Effects of standards for each sector. Includes effective dates, phase-in, efficacy, performance, acceptance factors.</t>
  </si>
  <si>
    <t>Effects of standards for active sector. Intermediate tab for active case.</t>
  </si>
  <si>
    <t>Projected acceptance rate of technologies with impact of standards. Year-by-year projections for active case.</t>
  </si>
  <si>
    <t>Projected lamp replacement rate of technologies with lamp + ballast system. Based on 1/lamp life and annual operating hours for the Active case.</t>
  </si>
  <si>
    <t>Projected  system replacement rate of all technologies . Based on 1/system life and annual operating hours for the Active case.</t>
  </si>
  <si>
    <t>Projected system and fixture costs and O&amp;M costs. Year-by-year projections by submarket and cost component.  Data go to Lamp and System Mkt tabs.</t>
  </si>
  <si>
    <t>Bass diffusion curves for technology diffusion in the market. Data go to System Mkt tabs</t>
  </si>
  <si>
    <t>Parameters for the logit function. Data go to System Mkt tabs</t>
  </si>
  <si>
    <t xml:space="preserve">Lamp replacement market size and sales for technologies with lamp + ballast system. Calculates Active Case market share by year, by submarket by technology based on cost, performance and acceptance projections. </t>
  </si>
  <si>
    <t xml:space="preserve">System replacement market size and sales for all technologies. Calculates Active Case market share by year, by submarket by technology based on cost, performance and acceptance projections. </t>
  </si>
  <si>
    <t xml:space="preserve">Installed stock and sales of lighting system technologies. Calculates Active Case market share by year, by submarket by technology based on cost, performance and acceptance projections. </t>
  </si>
  <si>
    <t xml:space="preserve">System new construction market size and sales for all technologies. Calculates Active Case market share by year, by submarket by technology based on cost, performance and acceptance projections. </t>
  </si>
  <si>
    <t>Projected stock and sales values - includes installed lumens, energy consumption, unit sales, unit stock, energy density, and lighting power density. Single Sector Results Only</t>
  </si>
  <si>
    <t xml:space="preserve">Model results for commercial sector after running macro. Only updates on macro execution.  </t>
  </si>
  <si>
    <t xml:space="preserve">Model results for industrial sector after running macro. Only updates on macro execution.  </t>
  </si>
  <si>
    <t xml:space="preserve">Model results for outdoor sector after running macro. Only updates on macro execution.  </t>
  </si>
  <si>
    <t xml:space="preserve">Model results for residential sector after running macro. Only updates on macro execution.  </t>
  </si>
  <si>
    <t xml:space="preserve">Model results for total market (all sectors) after running macro. Only updates on macro execution.  </t>
  </si>
  <si>
    <t xml:space="preserve">Raw data used to make plots . Only updates on macro execution.  </t>
  </si>
  <si>
    <t xml:space="preserve">Energy consumption plotted by sector. Only updates on macro execution.  </t>
  </si>
  <si>
    <t xml:space="preserve">Unit sales within major sub-markets plotted by technology type. Only updates on macro execution.  </t>
  </si>
  <si>
    <t xml:space="preserve">Energy density and power density plotted for each sector. Only updates on macro execution.  </t>
  </si>
  <si>
    <t xml:space="preserve">Total lighting stock plotted by lighting technology. Only updates on macro execution.  </t>
  </si>
  <si>
    <t xml:space="preserve">Stores energy consumption results for each sector to calculate savings with macro. Only updates on macro execution.  </t>
  </si>
  <si>
    <t xml:space="preserve">Calculates the Total Sales in Case 2 for the purposes of calculating first year savings. Only updates on macro execution.  </t>
  </si>
  <si>
    <t xml:space="preserve">Calculates the average efficacy of sales in case 1 and case 2 for the purposes of calculating first year savings. Only updates on macro execution.  </t>
  </si>
  <si>
    <t xml:space="preserve">Total cumulative energy savings between Case 1 and Case 2 by sector. Only updates on macro execution.  </t>
  </si>
  <si>
    <t xml:space="preserve">Total first year energy savings between Case 1 and Case 2 by Sector. Only updates on macro execution.  </t>
  </si>
  <si>
    <t xml:space="preserve">Total energy savings between Case 1 and Case 2 plotted by sector. Only updates on macro execution.  </t>
  </si>
  <si>
    <t>See steps 1-3 on 'Model Flow Description'</t>
  </si>
  <si>
    <t>See step 3 on 'Model Flow Description'</t>
  </si>
  <si>
    <t>See step 7 on 'Model Flow Description'</t>
  </si>
  <si>
    <t>See step 4 on 'Model Flow Description'</t>
  </si>
  <si>
    <t>See step 5 on 'Model Flow Description'</t>
  </si>
  <si>
    <t>See steps 6-9 on 'Model Flow Description'</t>
  </si>
  <si>
    <t>System Wattage per lamp (W)</t>
  </si>
  <si>
    <t>Scaler to adjust DOE lamp count to PNW lamp count based on ratio of  PNW to US lpd.  Commercial sector only. (Sources: 6th Power Plan, 2010 DOE LMC)</t>
  </si>
  <si>
    <t>Scaler to adjust DOE lamp count to PNW lamp count based on ratio of  PNW to US lpd.  Commercial sector only. (Sources: 6th Power Plan Warehouse, 2010 DOE LMC)</t>
  </si>
  <si>
    <t>Source: Scalers developed from comparing 2009 CBSA lamp data to DOE LMC data</t>
  </si>
  <si>
    <t>See Chapter 5 of the Energy Savings Potential of Solid State Lighting in General Illumination Applications report for a in depth description of how the above projections were developed.</t>
  </si>
  <si>
    <t>BPA Non residential lighting characterization</t>
  </si>
  <si>
    <t>Note: LED wattage and efficacy assumptions in 2010 are 0 because installed base of LEDs is zero in 2010.</t>
  </si>
  <si>
    <t xml:space="preserve"> = if year is equal to start year, then installed stock equals efficiency of sales of base year; otherwise calculates the weighted average efficacy based on the sales and efficacy over the lifetime of the product (sales * efficacy / total sales)</t>
  </si>
  <si>
    <t>Projection of lifetime based on initial lifetime and projection of changes (tech specs)</t>
  </si>
  <si>
    <t>Projection of cost based on initial cost and projection of changes (tech specs)</t>
  </si>
  <si>
    <t>Note: Values are set to 1000 when technology is eliminated from market.</t>
  </si>
  <si>
    <t>Source: DOE Energy Savings Potential of Solid State Lighting in General illumination Applications</t>
  </si>
  <si>
    <t>Source: Energy Savings Potential of Solids State Lighting in general Illumination Applications, 2012</t>
  </si>
  <si>
    <t>Pink Curves indicate active curves. Curves used in System_Mkt tabs</t>
  </si>
  <si>
    <t>Only applies to technologies with lamps and ballasts; = Lamp Turnover Rate* Lamp Stock</t>
  </si>
  <si>
    <t>A*First Cost/Average First Cost of All Technologies + B*Lifetime Cost/Average Lifetime Cost of All Technologies</t>
  </si>
  <si>
    <t>Implemenation of the logit (Z) function to calculation market potential = exp(Za)/(exp(Za)+exp(Zb)+exp(Zc)+exp(Zd))</t>
  </si>
  <si>
    <t>Calculation to account for interaction between several technologies simultaneously diffusing into the market</t>
  </si>
  <si>
    <t>Not including LED luminaire replacements/market because go into the new construction market (replacing fixture so follows new construction market share);  = Market share*Annual Market</t>
  </si>
  <si>
    <t>If lamp standard in place, add the lamp replacement market here; = Replacement Rate* Stock</t>
  </si>
  <si>
    <t xml:space="preserve"> = (Growth Rate+Renovation Rate)* Stock</t>
  </si>
  <si>
    <t>LED luminaire replacement market follows the new construction market share; included here; = Market share*Annual Market</t>
  </si>
  <si>
    <t xml:space="preserve"> = Previous Year's Stock - Product Failures - Renovations + Sales</t>
  </si>
  <si>
    <t xml:space="preserve"> = Sum of Lmhr sales/(Lumens*ophrs)</t>
  </si>
  <si>
    <t>From System_Total_Mkt</t>
  </si>
  <si>
    <t>Tlm-hr/(effic iency lamp * efficiency ballast *fixture efficiency)</t>
  </si>
  <si>
    <t>Site Consumption * Busbar</t>
  </si>
  <si>
    <t>Installed Stock in Tlmhr/(lumens*operating hours)</t>
  </si>
  <si>
    <t>Site Energy/Square_Feet</t>
  </si>
  <si>
    <t>Active Case Power Density (W/ft2)</t>
  </si>
  <si>
    <t>Energy Density/Hours of Operation</t>
  </si>
  <si>
    <t>Site Energy Consumption (aMW)</t>
  </si>
  <si>
    <t>Site First Year Energy Savings (aMW)</t>
  </si>
  <si>
    <t>Site Energy Savings (aMW)</t>
  </si>
  <si>
    <t>Cumulative Site Energy Savings (aMW)</t>
  </si>
  <si>
    <t xml:space="preserve"> First Year Site Energy Savings (aMW)</t>
  </si>
  <si>
    <t>GSL-Medium Screw</t>
  </si>
  <si>
    <t>Not used in model. Calculated for QC purposes.</t>
  </si>
  <si>
    <t>Source text for the Renovation rate… page 9 of the DOE study</t>
  </si>
  <si>
    <t>Note: Ballast Improvement is assumed constant for unballasted technologies.</t>
  </si>
  <si>
    <t>LFL</t>
  </si>
  <si>
    <t>First Year Savings</t>
  </si>
  <si>
    <t>HVAC interaction factor</t>
  </si>
  <si>
    <t>Pre-case Frozen</t>
  </si>
  <si>
    <t>Post-case Frozen</t>
  </si>
  <si>
    <t>2010-2015</t>
  </si>
  <si>
    <t>2016-2020</t>
  </si>
  <si>
    <t>2021-2025</t>
  </si>
  <si>
    <t>2026-2030</t>
  </si>
  <si>
    <t>2031-2035</t>
  </si>
  <si>
    <t>Bins</t>
  </si>
  <si>
    <t>Post-case Tech Shift</t>
  </si>
  <si>
    <t>NOT DYNAMICALLY UPDATED</t>
  </si>
  <si>
    <t>These results show the impact of standards relative to the Sixth Plan by keeping everything besides the standards constant.</t>
  </si>
  <si>
    <t>Pre-case Tech Shift</t>
  </si>
  <si>
    <t>Cumulative (DOE)</t>
  </si>
  <si>
    <t>Cumulative First-Year</t>
  </si>
  <si>
    <t>These results show the impact of standards on the real world "technology shift scenario"</t>
  </si>
  <si>
    <t>These results show the impact of standards of the real world "technology shift scenario" and the standards on the 6th Plan.</t>
  </si>
  <si>
    <t>Compare #1</t>
  </si>
  <si>
    <t>Compare #2</t>
  </si>
  <si>
    <t>Compare #3</t>
  </si>
  <si>
    <t>Regional First Year Savings From Lighting Standards</t>
  </si>
  <si>
    <t>MARKET SHARE BY TERALUMENS</t>
  </si>
  <si>
    <t>Within Submarket</t>
  </si>
  <si>
    <t>By Technology</t>
  </si>
  <si>
    <t>RESIDENTIAL</t>
  </si>
  <si>
    <t>COMMERCIAL</t>
  </si>
  <si>
    <t>INDUSTRIAL</t>
  </si>
  <si>
    <t>OUTDOOR</t>
  </si>
  <si>
    <t>TOTAL MARKET</t>
  </si>
  <si>
    <t>SALES AND MARKET SHARE</t>
  </si>
  <si>
    <t>% LED Sales</t>
  </si>
  <si>
    <t>BPA</t>
  </si>
  <si>
    <t>DOE</t>
  </si>
  <si>
    <t>Comm</t>
  </si>
  <si>
    <t xml:space="preserve">   Total</t>
  </si>
  <si>
    <t>La mp Replacement Market</t>
  </si>
  <si>
    <t>System Replacement Market</t>
  </si>
  <si>
    <t>New Construction Replacement Market</t>
  </si>
  <si>
    <t>Annual Market Segment, by Total</t>
  </si>
  <si>
    <t>Lamp Replacment Share</t>
  </si>
  <si>
    <t>% LED SALES (of tlhrs), SECTOR</t>
  </si>
  <si>
    <t>% LED SALES (of tlhrs), SUBMARKET</t>
  </si>
  <si>
    <t>MSB</t>
  </si>
  <si>
    <t>Reflector</t>
  </si>
  <si>
    <t>Misc.</t>
  </si>
  <si>
    <t>Total Lumen Hours by Sector</t>
  </si>
  <si>
    <t xml:space="preserve">Industrial </t>
  </si>
  <si>
    <t xml:space="preserve">  Total</t>
  </si>
  <si>
    <t>Average System (with Fixture) Efficacy</t>
  </si>
  <si>
    <t>Commerical</t>
  </si>
  <si>
    <t>TOTAL</t>
  </si>
  <si>
    <t>LED SHARE</t>
  </si>
  <si>
    <t>Oujtdoor</t>
  </si>
  <si>
    <t>By Submarket</t>
  </si>
  <si>
    <t>(Avg. SYSTEM with fixture) efficacy</t>
  </si>
  <si>
    <t>Average Lamp Efficacy (lm/W)</t>
  </si>
  <si>
    <t>= Lamp efficacy * Ballast efficiency * Fixture efficiency</t>
  </si>
  <si>
    <t>mh STD ON</t>
  </si>
  <si>
    <t>INC</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</si>
</sst>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6" formatCode="&quot;$&quot;#,##0_);[Red]\(&quot;$&quot;#,##0\)"/>
    <numFmt numFmtId="8" formatCode="&quot;$&quot;#,##0.00_);[Red]\(&quot;$&quot;#,##0.00\)"/>
    <numFmt numFmtId="44" formatCode="_(&quot;$&quot;* #,##0.00_);_(&quot;$&quot;* \(#,##0.00\);_(&quot;$&quot;* &quot;-&quot;??_);_(@_)"/>
    <numFmt numFmtId="43" formatCode="_(* #,##0.00_);_(* \(#,##0.00\);_(* &quot;-&quot;??_);_(@_)"/>
    <numFmt numFmtId="164" formatCode="0.0%"/>
    <numFmt numFmtId="165" formatCode="_(&quot;$&quot;* #,##0_);_(&quot;$&quot;* \(#,##0\);_(&quot;$&quot;* &quot;-&quot;??_);_(@_)"/>
    <numFmt numFmtId="166" formatCode="_(* #,##0_);_(* \(#,##0\);_(* &quot;-&quot;??_);_(@_)"/>
    <numFmt numFmtId="167" formatCode="0.0"/>
    <numFmt numFmtId="168" formatCode="_(* #,##0.0_);_(* \(#,##0.0\);_(* &quot;-&quot;??_);_(@_)"/>
    <numFmt numFmtId="169" formatCode="&quot;$&quot;#,##0.00"/>
    <numFmt numFmtId="170" formatCode="&quot;$&quot;#,##0.0_);[Red]\(&quot;$&quot;#,##0.0\)"/>
    <numFmt numFmtId="171" formatCode="0.000"/>
    <numFmt numFmtId="172" formatCode="0.0000"/>
    <numFmt numFmtId="173" formatCode="_(* #,##0.000_);_(* \(#,##0.000\);_(* &quot;-&quot;??_);_(@_)"/>
    <numFmt numFmtId="174" formatCode="0.000%"/>
    <numFmt numFmtId="175" formatCode="#,##0.000"/>
    <numFmt numFmtId="176" formatCode="0.000000"/>
    <numFmt numFmtId="177" formatCode="###0.00_)"/>
    <numFmt numFmtId="178" formatCode="#,##0.000000"/>
    <numFmt numFmtId="179" formatCode="&quot;$&quot;#,##0.000"/>
    <numFmt numFmtId="180" formatCode="0.00000"/>
  </numFmts>
  <fonts count="73" x14ac:knownFonts="1">
    <font>
      <sz val="11"/>
      <color theme="1"/>
      <name val="Calibri"/>
      <family val="2"/>
      <scheme val="minor"/>
    </font>
    <font>
      <sz val="10"/>
      <color theme="1"/>
      <name val="Arial"/>
      <family val="2"/>
    </font>
    <font>
      <sz val="11"/>
      <color theme="1"/>
      <name val="Calibri"/>
      <family val="2"/>
      <scheme val="minor"/>
    </font>
    <font>
      <sz val="10"/>
      <color theme="1"/>
      <name val="Arial"/>
      <family val="2"/>
    </font>
    <font>
      <sz val="10"/>
      <name val="Arial"/>
      <family val="2"/>
    </font>
    <font>
      <b/>
      <sz val="10"/>
      <name val="Arial"/>
      <family val="2"/>
    </font>
    <font>
      <b/>
      <sz val="10"/>
      <color theme="1"/>
      <name val="Arial"/>
      <family val="2"/>
    </font>
    <font>
      <sz val="10"/>
      <color rgb="FFFF0000"/>
      <name val="Arial"/>
      <family val="2"/>
    </font>
    <font>
      <sz val="10"/>
      <color rgb="FF0070C0"/>
      <name val="Arial"/>
      <family val="2"/>
    </font>
    <font>
      <sz val="10"/>
      <name val="MS Sans Serif"/>
      <family val="2"/>
    </font>
    <font>
      <u/>
      <sz val="10"/>
      <color indexed="12"/>
      <name val="Arial"/>
      <family val="2"/>
    </font>
    <font>
      <b/>
      <sz val="10"/>
      <color rgb="FF0070C0"/>
      <name val="Arial"/>
      <family val="2"/>
    </font>
    <font>
      <sz val="9"/>
      <color indexed="81"/>
      <name val="Tahoma"/>
      <family val="2"/>
    </font>
    <font>
      <b/>
      <sz val="9"/>
      <color indexed="81"/>
      <name val="Tahoma"/>
      <family val="2"/>
    </font>
    <font>
      <b/>
      <sz val="10"/>
      <color rgb="FFFF0000"/>
      <name val="Arial"/>
      <family val="2"/>
    </font>
    <font>
      <b/>
      <sz val="14"/>
      <color theme="1"/>
      <name val="Arial"/>
      <family val="2"/>
    </font>
    <font>
      <b/>
      <sz val="14"/>
      <name val="Arial"/>
      <family val="2"/>
    </font>
    <font>
      <sz val="10"/>
      <color theme="0"/>
      <name val="Arial"/>
      <family val="2"/>
    </font>
    <font>
      <sz val="11"/>
      <name val="Arial"/>
      <family val="2"/>
    </font>
    <font>
      <sz val="11"/>
      <color theme="1"/>
      <name val="Arial"/>
      <family val="2"/>
    </font>
    <font>
      <b/>
      <sz val="12"/>
      <color theme="0"/>
      <name val="Arial"/>
      <family val="2"/>
    </font>
    <font>
      <b/>
      <sz val="11"/>
      <color theme="0"/>
      <name val="Arial"/>
      <family val="2"/>
    </font>
    <font>
      <sz val="11"/>
      <color theme="0"/>
      <name val="Arial"/>
      <family val="2"/>
    </font>
    <font>
      <b/>
      <sz val="11"/>
      <color theme="1"/>
      <name val="Calibri"/>
      <family val="2"/>
      <scheme val="minor"/>
    </font>
    <font>
      <b/>
      <i/>
      <sz val="10"/>
      <color theme="1"/>
      <name val="Arial"/>
      <family val="2"/>
    </font>
    <font>
      <sz val="10"/>
      <color indexed="8"/>
      <name val="Arial"/>
      <family val="2"/>
    </font>
    <font>
      <sz val="11"/>
      <color rgb="FF0070C0"/>
      <name val="Calibri"/>
      <family val="2"/>
      <scheme val="minor"/>
    </font>
    <font>
      <sz val="11"/>
      <name val="Calibri"/>
      <family val="2"/>
      <scheme val="minor"/>
    </font>
    <font>
      <b/>
      <sz val="10"/>
      <color theme="0"/>
      <name val="Arial"/>
      <family val="2"/>
    </font>
    <font>
      <b/>
      <sz val="12"/>
      <color theme="1"/>
      <name val="Arial"/>
      <family val="2"/>
    </font>
    <font>
      <sz val="11"/>
      <color rgb="FF000000"/>
      <name val="Calibri"/>
      <family val="2"/>
    </font>
    <font>
      <u/>
      <sz val="11"/>
      <color theme="10"/>
      <name val="Calibri"/>
      <family val="2"/>
    </font>
    <font>
      <b/>
      <vertAlign val="superscript"/>
      <sz val="10"/>
      <name val="Arial"/>
      <family val="2"/>
    </font>
    <font>
      <sz val="10"/>
      <color theme="3"/>
      <name val="Arial"/>
      <family val="2"/>
    </font>
    <font>
      <b/>
      <sz val="11"/>
      <color rgb="FF000000"/>
      <name val="Calibri"/>
      <family val="2"/>
    </font>
    <font>
      <b/>
      <i/>
      <sz val="10"/>
      <color theme="3" tint="-0.49998474074526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u/>
      <sz val="10"/>
      <color indexed="12"/>
      <name val="Times New Roman"/>
      <family val="1"/>
    </font>
    <font>
      <sz val="10"/>
      <name val="Helv"/>
    </font>
    <font>
      <sz val="8"/>
      <name val="Helv"/>
    </font>
    <font>
      <b/>
      <sz val="12"/>
      <name val="Helv"/>
    </font>
    <font>
      <b/>
      <sz val="10"/>
      <name val="Helv"/>
    </font>
    <font>
      <vertAlign val="superscript"/>
      <sz val="12"/>
      <name val="Helv"/>
    </font>
    <font>
      <i/>
      <sz val="11"/>
      <color theme="1"/>
      <name val="Calibri"/>
      <family val="2"/>
      <scheme val="minor"/>
    </font>
    <font>
      <sz val="10"/>
      <color rgb="FF0070C0"/>
      <name val="Calibri"/>
      <family val="2"/>
      <scheme val="minor"/>
    </font>
    <font>
      <sz val="10"/>
      <name val="Calibri"/>
      <family val="2"/>
      <scheme val="minor"/>
    </font>
    <font>
      <sz val="11"/>
      <color rgb="FF1F497D"/>
      <name val="Georgia"/>
      <family val="1"/>
    </font>
    <font>
      <sz val="16"/>
      <color theme="1"/>
      <name val="Calibri"/>
      <family val="2"/>
      <scheme val="minor"/>
    </font>
    <font>
      <b/>
      <sz val="16"/>
      <color theme="1"/>
      <name val="Calibri"/>
      <family val="2"/>
      <scheme val="minor"/>
    </font>
    <font>
      <sz val="11"/>
      <color theme="1"/>
      <name val="Palatino Linotype"/>
      <family val="1"/>
    </font>
    <font>
      <sz val="11"/>
      <color theme="0"/>
      <name val="Calibri"/>
      <family val="2"/>
      <scheme val="minor"/>
    </font>
    <font>
      <sz val="10"/>
      <color theme="1"/>
      <name val="Calibri"/>
      <family val="2"/>
      <scheme val="minor"/>
    </font>
    <font>
      <b/>
      <sz val="10"/>
      <color theme="0"/>
      <name val="Calibri"/>
      <family val="2"/>
      <scheme val="minor"/>
    </font>
    <font>
      <sz val="1"/>
      <color theme="0"/>
      <name val="Calibri"/>
      <family val="2"/>
      <scheme val="minor"/>
    </font>
    <font>
      <b/>
      <sz val="10"/>
      <color rgb="FF0070C0"/>
      <name val="Calibri"/>
      <family val="2"/>
      <scheme val="minor"/>
    </font>
    <font>
      <b/>
      <sz val="11"/>
      <color rgb="FF0070C0"/>
      <name val="Calibri"/>
      <family val="2"/>
      <scheme val="minor"/>
    </font>
    <font>
      <b/>
      <sz val="10"/>
      <color rgb="FF000000"/>
      <name val="Arial"/>
      <family val="2"/>
    </font>
  </fonts>
  <fills count="62">
    <fill>
      <patternFill patternType="none"/>
    </fill>
    <fill>
      <patternFill patternType="gray125"/>
    </fill>
    <fill>
      <patternFill patternType="solid">
        <fgColor theme="8" tint="0.59999389629810485"/>
        <bgColor indexed="64"/>
      </patternFill>
    </fill>
    <fill>
      <patternFill patternType="solid">
        <fgColor rgb="FFFFC000"/>
        <bgColor indexed="64"/>
      </patternFill>
    </fill>
    <fill>
      <patternFill patternType="solid">
        <fgColor rgb="FFBCE9B9"/>
        <bgColor indexed="64"/>
      </patternFill>
    </fill>
    <fill>
      <patternFill patternType="solid">
        <fgColor theme="8" tint="-0.249977111117893"/>
        <bgColor indexed="64"/>
      </patternFill>
    </fill>
    <fill>
      <patternFill patternType="solid">
        <fgColor rgb="FF92D050"/>
        <bgColor indexed="64"/>
      </patternFill>
    </fill>
    <fill>
      <patternFill patternType="solid">
        <fgColor theme="8" tint="0.39997558519241921"/>
        <bgColor indexed="64"/>
      </patternFill>
    </fill>
    <fill>
      <patternFill patternType="solid">
        <fgColor theme="5" tint="0.79998168889431442"/>
        <bgColor indexed="64"/>
      </patternFill>
    </fill>
    <fill>
      <patternFill patternType="solid">
        <fgColor theme="7" tint="0.39997558519241921"/>
        <bgColor indexed="64"/>
      </patternFill>
    </fill>
    <fill>
      <patternFill patternType="solid">
        <fgColor indexed="9"/>
        <bgColor indexed="64"/>
      </patternFill>
    </fill>
    <fill>
      <patternFill patternType="solid">
        <fgColor theme="0"/>
        <bgColor indexed="64"/>
      </patternFill>
    </fill>
    <fill>
      <patternFill patternType="solid">
        <fgColor theme="7" tint="0.79998168889431442"/>
        <bgColor indexed="64"/>
      </patternFill>
    </fill>
    <fill>
      <patternFill patternType="solid">
        <fgColor theme="9"/>
        <bgColor indexed="64"/>
      </patternFill>
    </fill>
    <fill>
      <patternFill patternType="solid">
        <fgColor theme="4" tint="0.59999389629810485"/>
        <bgColor indexed="64"/>
      </patternFill>
    </fill>
    <fill>
      <patternFill patternType="solid">
        <fgColor theme="8"/>
        <bgColor indexed="64"/>
      </patternFill>
    </fill>
    <fill>
      <patternFill patternType="solid">
        <fgColor theme="4"/>
        <bgColor indexed="64"/>
      </patternFill>
    </fill>
    <fill>
      <patternFill patternType="solid">
        <fgColor theme="7" tint="0.59999389629810485"/>
        <bgColor indexed="64"/>
      </patternFill>
    </fill>
    <fill>
      <patternFill patternType="solid">
        <fgColor theme="6"/>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indexed="44"/>
        <bgColor indexed="64"/>
      </patternFill>
    </fill>
    <fill>
      <patternFill patternType="solid">
        <fgColor indexed="4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9"/>
      </patternFill>
    </fill>
    <fill>
      <patternFill patternType="solid">
        <fgColor theme="5"/>
        <bgColor indexed="64"/>
      </patternFill>
    </fill>
    <fill>
      <patternFill patternType="solid">
        <fgColor theme="5" tint="0.39997558519241921"/>
        <bgColor indexed="64"/>
      </patternFill>
    </fill>
    <fill>
      <patternFill patternType="solid">
        <fgColor rgb="FF00B0F0"/>
        <bgColor indexed="64"/>
      </patternFill>
    </fill>
    <fill>
      <patternFill patternType="solid">
        <fgColor rgb="FF7030A0"/>
        <bgColor indexed="64"/>
      </patternFill>
    </fill>
    <fill>
      <patternFill patternType="solid">
        <fgColor rgb="FF0070C0"/>
        <bgColor indexed="64"/>
      </patternFill>
    </fill>
    <fill>
      <patternFill patternType="solid">
        <fgColor theme="4" tint="0.39997558519241921"/>
        <bgColor indexed="64"/>
      </patternFill>
    </fill>
    <fill>
      <patternFill patternType="solid">
        <fgColor rgb="FF92CDDC"/>
        <bgColor indexed="64"/>
      </patternFill>
    </fill>
    <fill>
      <patternFill patternType="solid">
        <fgColor theme="1"/>
        <bgColor indexed="64"/>
      </patternFill>
    </fill>
    <fill>
      <patternFill patternType="solid">
        <fgColor theme="0" tint="-0.499984740745262"/>
        <bgColor indexed="64"/>
      </patternFill>
    </fill>
    <fill>
      <patternFill patternType="solid">
        <fgColor theme="6" tint="0.39997558519241921"/>
        <bgColor indexed="64"/>
      </patternFill>
    </fill>
    <fill>
      <patternFill patternType="solid">
        <fgColor theme="9" tint="-0.249977111117893"/>
        <bgColor indexed="64"/>
      </patternFill>
    </fill>
    <fill>
      <patternFill patternType="solid">
        <fgColor rgb="FFB1A0C7"/>
        <bgColor rgb="FF000000"/>
      </patternFill>
    </fill>
    <fill>
      <patternFill patternType="solid">
        <fgColor theme="5" tint="0.59999389629810485"/>
        <bgColor indexed="64"/>
      </patternFill>
    </fill>
    <fill>
      <patternFill patternType="solid">
        <fgColor rgb="FFBCE9B9"/>
        <bgColor rgb="FF000000"/>
      </patternFill>
    </fill>
    <fill>
      <patternFill patternType="solid">
        <fgColor theme="2" tint="-0.249977111117893"/>
        <bgColor indexed="64"/>
      </patternFill>
    </fill>
  </fills>
  <borders count="4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22"/>
      </bottom>
      <diagonal/>
    </border>
    <border>
      <left/>
      <right/>
      <top/>
      <bottom style="hair">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style="thin">
        <color theme="0"/>
      </left>
      <right/>
      <top style="thin">
        <color theme="0"/>
      </top>
      <bottom style="thin">
        <color theme="0"/>
      </bottom>
      <diagonal/>
    </border>
    <border>
      <left/>
      <right/>
      <top style="thick">
        <color rgb="FF808080"/>
      </top>
      <bottom/>
      <diagonal/>
    </border>
    <border>
      <left style="thick">
        <color theme="0"/>
      </left>
      <right style="thick">
        <color theme="0"/>
      </right>
      <top/>
      <bottom/>
      <diagonal/>
    </border>
    <border>
      <left style="thin">
        <color theme="0"/>
      </left>
      <right style="thin">
        <color theme="0"/>
      </right>
      <top/>
      <bottom/>
      <diagonal/>
    </border>
    <border>
      <left/>
      <right style="thick">
        <color rgb="FFFFFFFF"/>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s>
  <cellStyleXfs count="121">
    <xf numFmtId="0" fontId="0" fillId="0" borderId="0"/>
    <xf numFmtId="0" fontId="3" fillId="0" borderId="0"/>
    <xf numFmtId="0" fontId="2" fillId="0" borderId="0"/>
    <xf numFmtId="0" fontId="4" fillId="0" borderId="0"/>
    <xf numFmtId="43"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9" fontId="3" fillId="0" borderId="0" applyFont="0" applyFill="0" applyBorder="0" applyAlignment="0" applyProtection="0"/>
    <xf numFmtId="44" fontId="4" fillId="0" borderId="0" applyFont="0" applyFill="0" applyBorder="0" applyAlignment="0" applyProtection="0"/>
    <xf numFmtId="43" fontId="3"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3"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9" fillId="0" borderId="0"/>
    <xf numFmtId="43" fontId="9" fillId="0" borderId="0" applyFont="0" applyFill="0" applyBorder="0" applyAlignment="0" applyProtection="0"/>
    <xf numFmtId="0" fontId="9" fillId="0" borderId="0"/>
    <xf numFmtId="0" fontId="4" fillId="0" borderId="0"/>
    <xf numFmtId="0" fontId="9" fillId="0" borderId="0"/>
    <xf numFmtId="0" fontId="2" fillId="0" borderId="0"/>
    <xf numFmtId="0" fontId="10" fillId="0" borderId="0" applyNumberFormat="0" applyFill="0" applyBorder="0" applyAlignment="0" applyProtection="0">
      <alignment vertical="top"/>
      <protection locked="0"/>
    </xf>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31" fillId="0" borderId="0" applyNumberFormat="0" applyFill="0" applyBorder="0" applyAlignment="0" applyProtection="0">
      <alignment vertical="top"/>
      <protection locked="0"/>
    </xf>
    <xf numFmtId="0" fontId="4" fillId="0" borderId="0"/>
    <xf numFmtId="0" fontId="2" fillId="0" borderId="0"/>
    <xf numFmtId="9" fontId="2" fillId="0" borderId="0" applyFont="0" applyFill="0" applyBorder="0" applyAlignment="0" applyProtection="0"/>
    <xf numFmtId="0" fontId="4" fillId="22" borderId="0" applyNumberFormat="0" applyAlignment="0">
      <alignment horizontal="right"/>
    </xf>
    <xf numFmtId="0" fontId="4" fillId="23" borderId="0" applyNumberFormat="0" applyAlignment="0"/>
    <xf numFmtId="0" fontId="36" fillId="24" borderId="0" applyNumberFormat="0" applyBorder="0" applyAlignment="0" applyProtection="0"/>
    <xf numFmtId="0" fontId="36" fillId="25" borderId="0" applyNumberFormat="0" applyBorder="0" applyAlignment="0" applyProtection="0"/>
    <xf numFmtId="0" fontId="36" fillId="26" borderId="0" applyNumberFormat="0" applyBorder="0" applyAlignment="0" applyProtection="0"/>
    <xf numFmtId="0" fontId="36" fillId="27" borderId="0" applyNumberFormat="0" applyBorder="0" applyAlignment="0" applyProtection="0"/>
    <xf numFmtId="0" fontId="36" fillId="28" borderId="0" applyNumberFormat="0" applyBorder="0" applyAlignment="0" applyProtection="0"/>
    <xf numFmtId="0" fontId="36" fillId="29" borderId="0" applyNumberFormat="0" applyBorder="0" applyAlignment="0" applyProtection="0"/>
    <xf numFmtId="0" fontId="36" fillId="30" borderId="0" applyNumberFormat="0" applyBorder="0" applyAlignment="0" applyProtection="0"/>
    <xf numFmtId="0" fontId="36" fillId="31" borderId="0" applyNumberFormat="0" applyBorder="0" applyAlignment="0" applyProtection="0"/>
    <xf numFmtId="0" fontId="36" fillId="32" borderId="0" applyNumberFormat="0" applyBorder="0" applyAlignment="0" applyProtection="0"/>
    <xf numFmtId="0" fontId="36" fillId="27" borderId="0" applyNumberFormat="0" applyBorder="0" applyAlignment="0" applyProtection="0"/>
    <xf numFmtId="0" fontId="36" fillId="30" borderId="0" applyNumberFormat="0" applyBorder="0" applyAlignment="0" applyProtection="0"/>
    <xf numFmtId="0" fontId="36" fillId="33" borderId="0" applyNumberFormat="0" applyBorder="0" applyAlignment="0" applyProtection="0"/>
    <xf numFmtId="0" fontId="37" fillId="34" borderId="0" applyNumberFormat="0" applyBorder="0" applyAlignment="0" applyProtection="0"/>
    <xf numFmtId="0" fontId="37" fillId="31" borderId="0" applyNumberFormat="0" applyBorder="0" applyAlignment="0" applyProtection="0"/>
    <xf numFmtId="0" fontId="37" fillId="32" borderId="0" applyNumberFormat="0" applyBorder="0" applyAlignment="0" applyProtection="0"/>
    <xf numFmtId="0" fontId="37" fillId="35" borderId="0" applyNumberFormat="0" applyBorder="0" applyAlignment="0" applyProtection="0"/>
    <xf numFmtId="0" fontId="37" fillId="36" borderId="0" applyNumberFormat="0" applyBorder="0" applyAlignment="0" applyProtection="0"/>
    <xf numFmtId="0" fontId="37" fillId="37" borderId="0" applyNumberFormat="0" applyBorder="0" applyAlignment="0" applyProtection="0"/>
    <xf numFmtId="0" fontId="37" fillId="38" borderId="0" applyNumberFormat="0" applyBorder="0" applyAlignment="0" applyProtection="0"/>
    <xf numFmtId="0" fontId="37" fillId="39" borderId="0" applyNumberFormat="0" applyBorder="0" applyAlignment="0" applyProtection="0"/>
    <xf numFmtId="0" fontId="37" fillId="40" borderId="0" applyNumberFormat="0" applyBorder="0" applyAlignment="0" applyProtection="0"/>
    <xf numFmtId="0" fontId="37" fillId="35" borderId="0" applyNumberFormat="0" applyBorder="0" applyAlignment="0" applyProtection="0"/>
    <xf numFmtId="0" fontId="37" fillId="36" borderId="0" applyNumberFormat="0" applyBorder="0" applyAlignment="0" applyProtection="0"/>
    <xf numFmtId="0" fontId="37" fillId="41" borderId="0" applyNumberFormat="0" applyBorder="0" applyAlignment="0" applyProtection="0"/>
    <xf numFmtId="0" fontId="38" fillId="25" borderId="0" applyNumberFormat="0" applyBorder="0" applyAlignment="0" applyProtection="0"/>
    <xf numFmtId="0" fontId="39" fillId="42" borderId="16" applyNumberFormat="0" applyAlignment="0" applyProtection="0"/>
    <xf numFmtId="0" fontId="40" fillId="43" borderId="17" applyNumberFormat="0" applyAlignment="0" applyProtection="0"/>
    <xf numFmtId="0" fontId="41" fillId="0" borderId="0" applyNumberFormat="0" applyFill="0" applyBorder="0" applyAlignment="0" applyProtection="0"/>
    <xf numFmtId="0" fontId="42" fillId="26" borderId="0" applyNumberFormat="0" applyBorder="0" applyAlignment="0" applyProtection="0"/>
    <xf numFmtId="0" fontId="43" fillId="0" borderId="18" applyNumberFormat="0" applyFill="0" applyAlignment="0" applyProtection="0"/>
    <xf numFmtId="0" fontId="44" fillId="0" borderId="19" applyNumberFormat="0" applyFill="0" applyAlignment="0" applyProtection="0"/>
    <xf numFmtId="0" fontId="45" fillId="0" borderId="20" applyNumberFormat="0" applyFill="0" applyAlignment="0" applyProtection="0"/>
    <xf numFmtId="0" fontId="45" fillId="0" borderId="0" applyNumberFormat="0" applyFill="0" applyBorder="0" applyAlignment="0" applyProtection="0"/>
    <xf numFmtId="0" fontId="46" fillId="29" borderId="16" applyNumberFormat="0" applyAlignment="0" applyProtection="0"/>
    <xf numFmtId="0" fontId="47" fillId="0" borderId="21" applyNumberFormat="0" applyFill="0" applyAlignment="0" applyProtection="0"/>
    <xf numFmtId="0" fontId="48" fillId="44" borderId="0" applyNumberFormat="0" applyBorder="0" applyAlignment="0" applyProtection="0"/>
    <xf numFmtId="0" fontId="4" fillId="0" borderId="0"/>
    <xf numFmtId="0" fontId="36" fillId="45" borderId="22" applyNumberFormat="0" applyFont="0" applyAlignment="0" applyProtection="0"/>
    <xf numFmtId="0" fontId="49" fillId="42" borderId="23" applyNumberFormat="0" applyAlignment="0" applyProtection="0"/>
    <xf numFmtId="0" fontId="50" fillId="0" borderId="0" applyNumberFormat="0" applyFill="0" applyBorder="0" applyAlignment="0" applyProtection="0"/>
    <xf numFmtId="0" fontId="51" fillId="0" borderId="24" applyNumberFormat="0" applyFill="0" applyAlignment="0" applyProtection="0"/>
    <xf numFmtId="0" fontId="52" fillId="0" borderId="0" applyNumberForma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9" fillId="0" borderId="0"/>
    <xf numFmtId="0" fontId="4" fillId="0" borderId="0"/>
    <xf numFmtId="0" fontId="2" fillId="0" borderId="0"/>
    <xf numFmtId="0" fontId="4" fillId="0" borderId="0"/>
    <xf numFmtId="0" fontId="4" fillId="0" borderId="0"/>
    <xf numFmtId="0" fontId="9" fillId="0" borderId="0"/>
    <xf numFmtId="0" fontId="4" fillId="0" borderId="0"/>
    <xf numFmtId="0" fontId="58" fillId="0" borderId="0">
      <alignment horizontal="right"/>
    </xf>
    <xf numFmtId="0" fontId="57" fillId="46" borderId="0">
      <alignment horizontal="centerContinuous" wrapText="1"/>
    </xf>
    <xf numFmtId="0" fontId="57" fillId="0" borderId="26">
      <alignment horizontal="left" vertical="center"/>
    </xf>
    <xf numFmtId="0" fontId="56" fillId="0" borderId="0">
      <alignment horizontal="left"/>
    </xf>
    <xf numFmtId="0" fontId="55" fillId="0" borderId="0">
      <alignment horizontal="left"/>
    </xf>
    <xf numFmtId="0" fontId="4" fillId="0" borderId="0"/>
    <xf numFmtId="0" fontId="4" fillId="0" borderId="0"/>
    <xf numFmtId="0" fontId="53" fillId="0" borderId="0" applyNumberFormat="0" applyFill="0" applyBorder="0" applyAlignment="0" applyProtection="0">
      <alignment vertical="top"/>
      <protection locked="0"/>
    </xf>
    <xf numFmtId="43" fontId="4" fillId="0" borderId="0" applyFont="0" applyFill="0" applyBorder="0" applyAlignment="0" applyProtection="0"/>
    <xf numFmtId="0" fontId="9" fillId="0" borderId="0"/>
    <xf numFmtId="0" fontId="4" fillId="0" borderId="0"/>
    <xf numFmtId="43" fontId="9" fillId="0" borderId="0" applyFont="0" applyFill="0" applyBorder="0" applyAlignment="0" applyProtection="0"/>
    <xf numFmtId="43" fontId="9" fillId="0" borderId="0" applyFont="0" applyFill="0" applyBorder="0" applyAlignment="0" applyProtection="0"/>
    <xf numFmtId="177" fontId="54" fillId="0" borderId="25" applyNumberFormat="0" applyFill="0">
      <alignment horizontal="right"/>
    </xf>
    <xf numFmtId="0" fontId="2" fillId="0" borderId="0"/>
    <xf numFmtId="0" fontId="3" fillId="0" borderId="0"/>
    <xf numFmtId="0" fontId="2" fillId="0" borderId="0"/>
    <xf numFmtId="9" fontId="3"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cellStyleXfs>
  <cellXfs count="1252">
    <xf numFmtId="0" fontId="0" fillId="0" borderId="0" xfId="0"/>
    <xf numFmtId="0" fontId="3" fillId="0" borderId="0" xfId="1"/>
    <xf numFmtId="0" fontId="6" fillId="0" borderId="0" xfId="1" applyFont="1"/>
    <xf numFmtId="0" fontId="8" fillId="0" borderId="0" xfId="1" applyFont="1"/>
    <xf numFmtId="0" fontId="6" fillId="3" borderId="0" xfId="1" applyFont="1" applyFill="1"/>
    <xf numFmtId="0" fontId="3" fillId="3" borderId="0" xfId="1" applyFill="1"/>
    <xf numFmtId="0" fontId="3" fillId="0" borderId="0" xfId="1" applyFill="1"/>
    <xf numFmtId="0" fontId="3" fillId="0" borderId="0" xfId="1" applyFont="1" applyFill="1" applyBorder="1"/>
    <xf numFmtId="0" fontId="6" fillId="0" borderId="0" xfId="1" applyFont="1" applyFill="1" applyBorder="1" applyAlignment="1">
      <alignment horizontal="left"/>
    </xf>
    <xf numFmtId="0" fontId="6" fillId="0" borderId="0" xfId="1" applyFont="1" applyBorder="1" applyAlignment="1">
      <alignment horizontal="center" vertical="center" wrapText="1"/>
    </xf>
    <xf numFmtId="0" fontId="3" fillId="2" borderId="0" xfId="1" applyFill="1" applyAlignment="1">
      <alignment horizontal="center" vertical="center" wrapText="1"/>
    </xf>
    <xf numFmtId="0" fontId="6" fillId="2" borderId="0" xfId="1" applyFont="1" applyFill="1" applyAlignment="1">
      <alignment horizontal="left" vertical="center"/>
    </xf>
    <xf numFmtId="0" fontId="5" fillId="2" borderId="0" xfId="1" applyFont="1" applyFill="1"/>
    <xf numFmtId="0" fontId="11" fillId="3" borderId="0" xfId="1" applyFont="1" applyFill="1" applyBorder="1" applyAlignment="1">
      <alignment horizontal="center"/>
    </xf>
    <xf numFmtId="0" fontId="6" fillId="0" borderId="0" xfId="1" applyFont="1"/>
    <xf numFmtId="0" fontId="6" fillId="3" borderId="0" xfId="1" applyFont="1" applyFill="1"/>
    <xf numFmtId="0" fontId="3" fillId="3" borderId="0" xfId="1" applyFill="1"/>
    <xf numFmtId="0" fontId="3" fillId="0" borderId="0" xfId="1"/>
    <xf numFmtId="0" fontId="6" fillId="0" borderId="0" xfId="1" applyFont="1"/>
    <xf numFmtId="0" fontId="8" fillId="0" borderId="0" xfId="1" applyFont="1"/>
    <xf numFmtId="0" fontId="6" fillId="3" borderId="0" xfId="1" applyFont="1" applyFill="1"/>
    <xf numFmtId="44" fontId="8" fillId="0" borderId="0" xfId="13" applyFont="1"/>
    <xf numFmtId="44" fontId="8" fillId="0" borderId="0" xfId="13" applyNumberFormat="1" applyFont="1" applyFill="1"/>
    <xf numFmtId="165" fontId="8" fillId="0" borderId="0" xfId="13" applyNumberFormat="1" applyFont="1"/>
    <xf numFmtId="165" fontId="8" fillId="0" borderId="0" xfId="1" applyNumberFormat="1" applyFont="1"/>
    <xf numFmtId="0" fontId="3" fillId="0" borderId="0" xfId="1"/>
    <xf numFmtId="0" fontId="6" fillId="0" borderId="0" xfId="1" applyFont="1"/>
    <xf numFmtId="0" fontId="3" fillId="2" borderId="0" xfId="1" applyFill="1"/>
    <xf numFmtId="0" fontId="6" fillId="2" borderId="0" xfId="1" applyFont="1" applyFill="1"/>
    <xf numFmtId="0" fontId="3" fillId="0" borderId="0" xfId="1" applyFill="1"/>
    <xf numFmtId="0" fontId="4" fillId="2" borderId="0" xfId="1" applyFont="1" applyFill="1"/>
    <xf numFmtId="0" fontId="6" fillId="0" borderId="0" xfId="1" applyFont="1" applyFill="1"/>
    <xf numFmtId="0" fontId="3" fillId="2" borderId="0" xfId="1" applyFill="1" applyBorder="1"/>
    <xf numFmtId="0" fontId="4" fillId="2" borderId="0" xfId="1" applyFont="1" applyFill="1" applyBorder="1"/>
    <xf numFmtId="0" fontId="3" fillId="0" borderId="2" xfId="1" applyBorder="1" applyAlignment="1">
      <alignment horizontal="center"/>
    </xf>
    <xf numFmtId="9" fontId="3" fillId="0" borderId="0" xfId="7" applyFont="1" applyBorder="1"/>
    <xf numFmtId="9" fontId="3" fillId="0" borderId="0" xfId="7" applyFont="1" applyFill="1" applyBorder="1"/>
    <xf numFmtId="9" fontId="7" fillId="0" borderId="0" xfId="7" applyFont="1" applyBorder="1"/>
    <xf numFmtId="9" fontId="3" fillId="0" borderId="1" xfId="7" applyFont="1" applyFill="1" applyBorder="1"/>
    <xf numFmtId="9" fontId="8" fillId="0" borderId="0" xfId="7" applyFont="1" applyFill="1" applyBorder="1"/>
    <xf numFmtId="9" fontId="8" fillId="0" borderId="0" xfId="7" applyFont="1" applyBorder="1"/>
    <xf numFmtId="0" fontId="8" fillId="2" borderId="0" xfId="1" applyFont="1" applyFill="1" applyBorder="1"/>
    <xf numFmtId="9" fontId="8" fillId="0" borderId="1" xfId="7" applyFont="1" applyBorder="1"/>
    <xf numFmtId="0" fontId="3" fillId="0" borderId="0" xfId="1"/>
    <xf numFmtId="0" fontId="5" fillId="0" borderId="0" xfId="3" applyFont="1"/>
    <xf numFmtId="0" fontId="16" fillId="0" borderId="0" xfId="3" applyFont="1"/>
    <xf numFmtId="0" fontId="4" fillId="4" borderId="0" xfId="3" applyFill="1"/>
    <xf numFmtId="0" fontId="5" fillId="4" borderId="0" xfId="3" applyFont="1" applyFill="1"/>
    <xf numFmtId="169" fontId="4" fillId="4" borderId="0" xfId="3" applyNumberFormat="1" applyFill="1"/>
    <xf numFmtId="169" fontId="5" fillId="4" borderId="0" xfId="3" applyNumberFormat="1" applyFont="1" applyFill="1" applyAlignment="1">
      <alignment horizontal="right"/>
    </xf>
    <xf numFmtId="169" fontId="8" fillId="4" borderId="0" xfId="6" applyNumberFormat="1" applyFont="1" applyFill="1"/>
    <xf numFmtId="0" fontId="3" fillId="0" borderId="0" xfId="1"/>
    <xf numFmtId="0" fontId="15" fillId="0" borderId="0" xfId="1" applyFont="1"/>
    <xf numFmtId="0" fontId="3" fillId="0" borderId="0" xfId="1"/>
    <xf numFmtId="0" fontId="6" fillId="0" borderId="0" xfId="1" applyFont="1"/>
    <xf numFmtId="0" fontId="3" fillId="0" borderId="0" xfId="1" applyBorder="1"/>
    <xf numFmtId="0" fontId="3" fillId="0" borderId="7" xfId="1" applyBorder="1"/>
    <xf numFmtId="0" fontId="3" fillId="2" borderId="0" xfId="1" applyFill="1"/>
    <xf numFmtId="0" fontId="6" fillId="2" borderId="0" xfId="1" applyFont="1" applyFill="1"/>
    <xf numFmtId="0" fontId="3" fillId="0" borderId="0" xfId="1" applyFill="1"/>
    <xf numFmtId="0" fontId="6" fillId="0" borderId="0" xfId="1" applyFont="1" applyFill="1"/>
    <xf numFmtId="0" fontId="3" fillId="0" borderId="6" xfId="1" applyBorder="1"/>
    <xf numFmtId="0" fontId="3" fillId="2" borderId="11" xfId="1" applyFill="1" applyBorder="1"/>
    <xf numFmtId="1" fontId="4" fillId="0" borderId="0" xfId="1" applyNumberFormat="1" applyFont="1" applyBorder="1"/>
    <xf numFmtId="167" fontId="3" fillId="0" borderId="0" xfId="1" applyNumberFormat="1" applyBorder="1"/>
    <xf numFmtId="0" fontId="4" fillId="0" borderId="0" xfId="1" applyFont="1" applyBorder="1"/>
    <xf numFmtId="0" fontId="3" fillId="2" borderId="0" xfId="1" applyFill="1" applyBorder="1"/>
    <xf numFmtId="0" fontId="4" fillId="0" borderId="11" xfId="1" applyFont="1" applyBorder="1"/>
    <xf numFmtId="0" fontId="4" fillId="2" borderId="11" xfId="1" applyFont="1" applyFill="1" applyBorder="1"/>
    <xf numFmtId="0" fontId="4" fillId="2" borderId="0" xfId="1" applyFont="1" applyFill="1" applyBorder="1"/>
    <xf numFmtId="0" fontId="4" fillId="0" borderId="12" xfId="1" applyFont="1" applyBorder="1"/>
    <xf numFmtId="0" fontId="4" fillId="2" borderId="12" xfId="1" applyFont="1" applyFill="1" applyBorder="1"/>
    <xf numFmtId="167" fontId="4" fillId="0" borderId="0" xfId="1" applyNumberFormat="1" applyFont="1" applyBorder="1"/>
    <xf numFmtId="167" fontId="7" fillId="0" borderId="0" xfId="1" applyNumberFormat="1" applyFont="1" applyBorder="1"/>
    <xf numFmtId="0" fontId="3" fillId="0" borderId="1" xfId="1" applyBorder="1"/>
    <xf numFmtId="0" fontId="3" fillId="0" borderId="0" xfId="1"/>
    <xf numFmtId="0" fontId="5" fillId="0" borderId="0" xfId="3" applyFont="1"/>
    <xf numFmtId="0" fontId="16" fillId="0" borderId="0" xfId="3" applyFont="1"/>
    <xf numFmtId="0" fontId="3" fillId="0" borderId="0" xfId="1"/>
    <xf numFmtId="0" fontId="4" fillId="0" borderId="0" xfId="3" applyFont="1"/>
    <xf numFmtId="0" fontId="16" fillId="0" borderId="0" xfId="3" applyFont="1"/>
    <xf numFmtId="0" fontId="3" fillId="0" borderId="0" xfId="1"/>
    <xf numFmtId="0" fontId="14" fillId="0" borderId="0" xfId="1" applyFont="1"/>
    <xf numFmtId="0" fontId="7" fillId="0" borderId="0" xfId="1" applyFont="1"/>
    <xf numFmtId="0" fontId="4" fillId="0" borderId="0" xfId="3" applyFont="1"/>
    <xf numFmtId="2" fontId="8" fillId="0" borderId="0" xfId="3" applyNumberFormat="1" applyFont="1"/>
    <xf numFmtId="0" fontId="5" fillId="0" borderId="0" xfId="3" applyFont="1"/>
    <xf numFmtId="0" fontId="5" fillId="0" borderId="0" xfId="3" applyFont="1" applyAlignment="1">
      <alignment horizontal="right"/>
    </xf>
    <xf numFmtId="0" fontId="8" fillId="0" borderId="0" xfId="1" applyFont="1"/>
    <xf numFmtId="164" fontId="3" fillId="0" borderId="0" xfId="6" applyFont="1"/>
    <xf numFmtId="164" fontId="4" fillId="0" borderId="0" xfId="6" applyFont="1"/>
    <xf numFmtId="0" fontId="5" fillId="0" borderId="0" xfId="1" applyFont="1"/>
    <xf numFmtId="2" fontId="3" fillId="0" borderId="0" xfId="1" applyNumberFormat="1"/>
    <xf numFmtId="2" fontId="8" fillId="0" borderId="0" xfId="1" applyNumberFormat="1" applyFont="1"/>
    <xf numFmtId="164" fontId="3" fillId="0" borderId="0" xfId="7" applyNumberFormat="1" applyFont="1"/>
    <xf numFmtId="0" fontId="4" fillId="0" borderId="0" xfId="1" applyFont="1"/>
    <xf numFmtId="0" fontId="3" fillId="0" borderId="0" xfId="1" applyFont="1"/>
    <xf numFmtId="164" fontId="4" fillId="0" borderId="0" xfId="6" applyNumberFormat="1" applyFont="1"/>
    <xf numFmtId="1" fontId="4" fillId="0" borderId="0" xfId="1" applyNumberFormat="1" applyFont="1"/>
    <xf numFmtId="2" fontId="7" fillId="0" borderId="0" xfId="1" applyNumberFormat="1" applyFont="1"/>
    <xf numFmtId="0" fontId="7" fillId="0" borderId="0" xfId="3" applyFont="1"/>
    <xf numFmtId="0" fontId="3" fillId="0" borderId="0" xfId="1" applyFill="1"/>
    <xf numFmtId="164" fontId="7" fillId="0" borderId="0" xfId="7" applyNumberFormat="1" applyFont="1"/>
    <xf numFmtId="0" fontId="3" fillId="0" borderId="0" xfId="1" applyFont="1" applyFill="1"/>
    <xf numFmtId="0" fontId="4" fillId="0" borderId="0" xfId="3" applyFill="1"/>
    <xf numFmtId="0" fontId="17" fillId="5" borderId="0" xfId="1" applyFont="1" applyFill="1"/>
    <xf numFmtId="0" fontId="4" fillId="2" borderId="0" xfId="3" applyFill="1"/>
    <xf numFmtId="0" fontId="5" fillId="2" borderId="0" xfId="3" applyFont="1" applyFill="1"/>
    <xf numFmtId="164" fontId="4" fillId="2" borderId="0" xfId="3" applyNumberFormat="1" applyFill="1"/>
    <xf numFmtId="0" fontId="20" fillId="5" borderId="0" xfId="1" applyFont="1" applyFill="1"/>
    <xf numFmtId="0" fontId="19" fillId="0" borderId="0" xfId="1" applyFont="1" applyFill="1"/>
    <xf numFmtId="164" fontId="8" fillId="0" borderId="0" xfId="6" applyFont="1" applyFill="1"/>
    <xf numFmtId="0" fontId="8" fillId="0" borderId="0" xfId="1" applyFont="1" applyFill="1"/>
    <xf numFmtId="0" fontId="18" fillId="0" borderId="0" xfId="3" applyFont="1" applyFill="1"/>
    <xf numFmtId="0" fontId="5" fillId="0" borderId="0" xfId="3" applyFont="1" applyFill="1" applyAlignment="1">
      <alignment horizontal="right"/>
    </xf>
    <xf numFmtId="164" fontId="4" fillId="0" borderId="0" xfId="6" applyFont="1" applyFill="1"/>
    <xf numFmtId="164" fontId="3" fillId="0" borderId="0" xfId="6" applyFont="1" applyFill="1"/>
    <xf numFmtId="0" fontId="21" fillId="5" borderId="0" xfId="1" applyFont="1" applyFill="1"/>
    <xf numFmtId="0" fontId="22" fillId="5" borderId="0" xfId="1" applyFont="1" applyFill="1"/>
    <xf numFmtId="0" fontId="21" fillId="5" borderId="0" xfId="3" applyFont="1" applyFill="1"/>
    <xf numFmtId="0" fontId="22" fillId="5" borderId="0" xfId="3" applyFont="1" applyFill="1"/>
    <xf numFmtId="164" fontId="4" fillId="0" borderId="0" xfId="7" applyNumberFormat="1" applyFont="1" applyFill="1"/>
    <xf numFmtId="3" fontId="8" fillId="0" borderId="0" xfId="1" applyNumberFormat="1" applyFont="1"/>
    <xf numFmtId="0" fontId="6" fillId="0" borderId="0" xfId="1" applyFont="1" applyAlignment="1"/>
    <xf numFmtId="0" fontId="6" fillId="0" borderId="0" xfId="1" applyFont="1" applyAlignment="1">
      <alignment vertical="center"/>
    </xf>
    <xf numFmtId="0" fontId="3" fillId="0" borderId="0" xfId="1" applyAlignment="1"/>
    <xf numFmtId="0" fontId="3" fillId="0" borderId="0" xfId="1" applyAlignment="1">
      <alignment vertical="center"/>
    </xf>
    <xf numFmtId="0" fontId="3" fillId="0" borderId="0" xfId="1" applyAlignment="1">
      <alignment vertical="center" wrapText="1"/>
    </xf>
    <xf numFmtId="167" fontId="3" fillId="0" borderId="0" xfId="1" applyNumberFormat="1"/>
    <xf numFmtId="9" fontId="3" fillId="0" borderId="0" xfId="1" applyNumberFormat="1"/>
    <xf numFmtId="0" fontId="7" fillId="2" borderId="0" xfId="1" applyFont="1" applyFill="1"/>
    <xf numFmtId="9" fontId="3" fillId="3" borderId="0" xfId="1" applyNumberFormat="1" applyFill="1"/>
    <xf numFmtId="9" fontId="6" fillId="3" borderId="0" xfId="1" applyNumberFormat="1" applyFont="1" applyFill="1"/>
    <xf numFmtId="9" fontId="6" fillId="7" borderId="0" xfId="1" applyNumberFormat="1" applyFont="1" applyFill="1"/>
    <xf numFmtId="9" fontId="3" fillId="7" borderId="0" xfId="1" quotePrefix="1" applyNumberFormat="1" applyFill="1"/>
    <xf numFmtId="9" fontId="3" fillId="0" borderId="0" xfId="1" applyNumberFormat="1" applyFill="1"/>
    <xf numFmtId="9" fontId="6" fillId="0" borderId="0" xfId="1" applyNumberFormat="1" applyFont="1" applyFill="1"/>
    <xf numFmtId="9" fontId="3" fillId="8" borderId="0" xfId="1" applyNumberFormat="1" applyFill="1"/>
    <xf numFmtId="9" fontId="6" fillId="8" borderId="0" xfId="1" applyNumberFormat="1" applyFont="1" applyFill="1" applyAlignment="1">
      <alignment horizontal="center" vertical="center" wrapText="1"/>
    </xf>
    <xf numFmtId="9" fontId="6" fillId="8" borderId="0" xfId="1" applyNumberFormat="1" applyFont="1" applyFill="1" applyAlignment="1">
      <alignment horizontal="center" wrapText="1"/>
    </xf>
    <xf numFmtId="9" fontId="6" fillId="0" borderId="0" xfId="1" applyNumberFormat="1" applyFont="1" applyAlignment="1">
      <alignment horizontal="center" vertical="center" wrapText="1"/>
    </xf>
    <xf numFmtId="0" fontId="3" fillId="0" borderId="0" xfId="1" applyNumberFormat="1"/>
    <xf numFmtId="9" fontId="6" fillId="8" borderId="0" xfId="1" applyNumberFormat="1" applyFont="1" applyFill="1"/>
    <xf numFmtId="0" fontId="3" fillId="8" borderId="0" xfId="1" applyFill="1"/>
    <xf numFmtId="0" fontId="3" fillId="8" borderId="0" xfId="1" applyNumberFormat="1" applyFill="1"/>
    <xf numFmtId="0" fontId="6" fillId="8" borderId="0" xfId="1" applyFont="1" applyFill="1" applyAlignment="1">
      <alignment horizontal="center"/>
    </xf>
    <xf numFmtId="9" fontId="6" fillId="8" borderId="0" xfId="1" applyNumberFormat="1" applyFont="1" applyFill="1" applyAlignment="1">
      <alignment horizontal="center"/>
    </xf>
    <xf numFmtId="9" fontId="0" fillId="0" borderId="0" xfId="7" applyFont="1"/>
    <xf numFmtId="0" fontId="3" fillId="8" borderId="0" xfId="1" applyFill="1" applyAlignment="1">
      <alignment horizontal="center"/>
    </xf>
    <xf numFmtId="9" fontId="3" fillId="8" borderId="0" xfId="1" applyNumberFormat="1" applyFill="1" applyAlignment="1">
      <alignment horizontal="center"/>
    </xf>
    <xf numFmtId="0" fontId="0" fillId="0" borderId="0" xfId="0" quotePrefix="1"/>
    <xf numFmtId="0" fontId="23" fillId="0" borderId="0" xfId="14" applyFont="1"/>
    <xf numFmtId="0" fontId="2" fillId="0" borderId="0" xfId="14"/>
    <xf numFmtId="0" fontId="3" fillId="9" borderId="0" xfId="1" applyFill="1"/>
    <xf numFmtId="0" fontId="6" fillId="9" borderId="0" xfId="1" applyFont="1" applyFill="1"/>
    <xf numFmtId="0" fontId="3" fillId="0" borderId="14" xfId="1" applyBorder="1"/>
    <xf numFmtId="0" fontId="3" fillId="2" borderId="14" xfId="1" applyFill="1" applyBorder="1"/>
    <xf numFmtId="0" fontId="4" fillId="0" borderId="11" xfId="1" applyFont="1" applyBorder="1" applyAlignment="1">
      <alignment horizontal="center"/>
    </xf>
    <xf numFmtId="0" fontId="4" fillId="0" borderId="12" xfId="1" applyFont="1" applyBorder="1" applyAlignment="1">
      <alignment horizontal="center"/>
    </xf>
    <xf numFmtId="167" fontId="4" fillId="0" borderId="0" xfId="1" applyNumberFormat="1" applyFont="1" applyFill="1" applyBorder="1" applyAlignment="1">
      <alignment horizontal="center"/>
    </xf>
    <xf numFmtId="1" fontId="4" fillId="0" borderId="14" xfId="1" applyNumberFormat="1" applyFont="1" applyFill="1" applyBorder="1" applyAlignment="1">
      <alignment horizontal="center"/>
    </xf>
    <xf numFmtId="0" fontId="8" fillId="0" borderId="0" xfId="14" applyFont="1" applyBorder="1" applyAlignment="1">
      <alignment horizontal="center"/>
    </xf>
    <xf numFmtId="169" fontId="4" fillId="0" borderId="12" xfId="24" applyNumberFormat="1" applyFont="1" applyFill="1" applyBorder="1" applyAlignment="1">
      <alignment horizontal="center"/>
    </xf>
    <xf numFmtId="0" fontId="8" fillId="0" borderId="0" xfId="14" applyFont="1" applyFill="1" applyBorder="1" applyAlignment="1">
      <alignment horizontal="center"/>
    </xf>
    <xf numFmtId="2" fontId="8" fillId="0" borderId="11" xfId="1" applyNumberFormat="1" applyFont="1" applyFill="1" applyBorder="1" applyAlignment="1">
      <alignment horizontal="center"/>
    </xf>
    <xf numFmtId="169" fontId="4" fillId="0" borderId="12" xfId="1" applyNumberFormat="1" applyFont="1" applyBorder="1" applyAlignment="1">
      <alignment horizontal="center"/>
    </xf>
    <xf numFmtId="0" fontId="4" fillId="2" borderId="11" xfId="1" applyFont="1" applyFill="1" applyBorder="1" applyAlignment="1">
      <alignment horizontal="center"/>
    </xf>
    <xf numFmtId="167" fontId="4" fillId="2" borderId="0" xfId="1" applyNumberFormat="1" applyFont="1" applyFill="1" applyBorder="1" applyAlignment="1">
      <alignment horizontal="center"/>
    </xf>
    <xf numFmtId="0" fontId="3" fillId="2" borderId="14" xfId="1" applyFill="1" applyBorder="1" applyAlignment="1">
      <alignment horizontal="center"/>
    </xf>
    <xf numFmtId="0" fontId="4" fillId="2" borderId="14" xfId="1" applyFont="1" applyFill="1" applyBorder="1" applyAlignment="1">
      <alignment horizontal="center"/>
    </xf>
    <xf numFmtId="0" fontId="8" fillId="2" borderId="0" xfId="1" applyFont="1" applyFill="1" applyBorder="1" applyAlignment="1">
      <alignment horizontal="center"/>
    </xf>
    <xf numFmtId="0" fontId="8" fillId="2" borderId="11" xfId="1" applyFont="1" applyFill="1" applyBorder="1" applyAlignment="1">
      <alignment horizontal="center"/>
    </xf>
    <xf numFmtId="2" fontId="8" fillId="2" borderId="11" xfId="1" applyNumberFormat="1" applyFont="1" applyFill="1" applyBorder="1" applyAlignment="1">
      <alignment horizontal="center"/>
    </xf>
    <xf numFmtId="169" fontId="4" fillId="2" borderId="12" xfId="1" applyNumberFormat="1" applyFont="1" applyFill="1" applyBorder="1" applyAlignment="1">
      <alignment horizontal="center"/>
    </xf>
    <xf numFmtId="169" fontId="8" fillId="2" borderId="0" xfId="1" applyNumberFormat="1" applyFont="1" applyFill="1" applyBorder="1" applyAlignment="1">
      <alignment horizontal="center"/>
    </xf>
    <xf numFmtId="169" fontId="4" fillId="0" borderId="12" xfId="24" applyNumberFormat="1" applyFont="1" applyBorder="1" applyAlignment="1">
      <alignment horizontal="center"/>
    </xf>
    <xf numFmtId="169" fontId="27" fillId="0" borderId="12" xfId="24" applyNumberFormat="1" applyFont="1" applyBorder="1" applyAlignment="1">
      <alignment horizontal="center"/>
    </xf>
    <xf numFmtId="1" fontId="4" fillId="0" borderId="0" xfId="1" applyNumberFormat="1" applyFont="1" applyBorder="1" applyAlignment="1">
      <alignment horizontal="center"/>
    </xf>
    <xf numFmtId="0" fontId="8" fillId="0" borderId="7" xfId="14" applyFont="1" applyFill="1" applyBorder="1" applyAlignment="1">
      <alignment horizontal="center"/>
    </xf>
    <xf numFmtId="0" fontId="7" fillId="0" borderId="0" xfId="1" applyFont="1" applyFill="1" applyBorder="1"/>
    <xf numFmtId="1" fontId="7" fillId="0" borderId="0" xfId="1" applyNumberFormat="1" applyFont="1" applyFill="1"/>
    <xf numFmtId="1" fontId="7" fillId="0" borderId="0" xfId="1" applyNumberFormat="1" applyFont="1" applyFill="1" applyBorder="1"/>
    <xf numFmtId="0" fontId="7" fillId="0" borderId="0" xfId="1" applyFont="1" applyFill="1"/>
    <xf numFmtId="167" fontId="7" fillId="0" borderId="0" xfId="1" applyNumberFormat="1" applyFont="1"/>
    <xf numFmtId="2" fontId="7" fillId="0" borderId="0" xfId="1" applyNumberFormat="1" applyFont="1" applyFill="1" applyBorder="1"/>
    <xf numFmtId="0" fontId="0" fillId="0" borderId="0" xfId="13" applyNumberFormat="1" applyFont="1" applyFill="1" applyBorder="1"/>
    <xf numFmtId="0" fontId="3" fillId="0" borderId="0" xfId="1" applyFill="1" applyBorder="1"/>
    <xf numFmtId="43" fontId="3" fillId="0" borderId="0" xfId="9" applyNumberFormat="1" applyFont="1" applyFill="1" applyBorder="1"/>
    <xf numFmtId="167" fontId="3" fillId="2" borderId="0" xfId="1" applyNumberFormat="1" applyFill="1"/>
    <xf numFmtId="167" fontId="4" fillId="0" borderId="0" xfId="1" applyNumberFormat="1" applyFont="1" applyFill="1"/>
    <xf numFmtId="166" fontId="4" fillId="0" borderId="0" xfId="9" applyNumberFormat="1" applyFont="1" applyFill="1"/>
    <xf numFmtId="0" fontId="3" fillId="2" borderId="0" xfId="1" applyNumberFormat="1" applyFill="1"/>
    <xf numFmtId="169" fontId="3" fillId="2" borderId="0" xfId="1" applyNumberFormat="1" applyFill="1"/>
    <xf numFmtId="0" fontId="28" fillId="5" borderId="0" xfId="1" applyFont="1" applyFill="1"/>
    <xf numFmtId="9" fontId="4" fillId="0" borderId="0" xfId="7" applyFont="1"/>
    <xf numFmtId="0" fontId="4" fillId="0" borderId="0" xfId="1" applyFont="1" applyFill="1"/>
    <xf numFmtId="169" fontId="4" fillId="0" borderId="0" xfId="1" applyNumberFormat="1" applyFont="1" applyAlignment="1">
      <alignment horizontal="right"/>
    </xf>
    <xf numFmtId="169" fontId="4" fillId="0" borderId="0" xfId="1" applyNumberFormat="1" applyFont="1" applyFill="1" applyAlignment="1">
      <alignment horizontal="right"/>
    </xf>
    <xf numFmtId="8" fontId="4" fillId="0" borderId="0" xfId="1" applyNumberFormat="1" applyFont="1"/>
    <xf numFmtId="167" fontId="0" fillId="0" borderId="0" xfId="0" applyNumberFormat="1"/>
    <xf numFmtId="173" fontId="0" fillId="0" borderId="0" xfId="0" applyNumberFormat="1"/>
    <xf numFmtId="9" fontId="0" fillId="0" borderId="0" xfId="0" applyNumberFormat="1"/>
    <xf numFmtId="0" fontId="5" fillId="0" borderId="0" xfId="1" applyFont="1" applyFill="1"/>
    <xf numFmtId="43" fontId="0" fillId="0" borderId="0" xfId="0" applyNumberFormat="1"/>
    <xf numFmtId="0" fontId="23" fillId="0" borderId="0" xfId="0" applyFont="1"/>
    <xf numFmtId="3" fontId="0" fillId="0" borderId="0" xfId="0" applyNumberFormat="1"/>
    <xf numFmtId="0" fontId="3" fillId="0" borderId="0" xfId="1"/>
    <xf numFmtId="10" fontId="3" fillId="0" borderId="0" xfId="7" applyNumberFormat="1" applyFont="1"/>
    <xf numFmtId="0" fontId="6" fillId="12" borderId="0" xfId="1" applyFont="1" applyFill="1" applyBorder="1"/>
    <xf numFmtId="0" fontId="15" fillId="0" borderId="0" xfId="1" applyFont="1" applyFill="1" applyBorder="1"/>
    <xf numFmtId="0" fontId="3" fillId="0" borderId="0" xfId="1"/>
    <xf numFmtId="0" fontId="6" fillId="0" borderId="0" xfId="1" applyFont="1"/>
    <xf numFmtId="0" fontId="3" fillId="0" borderId="0" xfId="1" applyFill="1"/>
    <xf numFmtId="0" fontId="3" fillId="6" borderId="0" xfId="1" applyFont="1" applyFill="1" applyBorder="1"/>
    <xf numFmtId="0" fontId="6" fillId="6" borderId="0" xfId="1" applyFont="1" applyFill="1" applyBorder="1"/>
    <xf numFmtId="0" fontId="3" fillId="6" borderId="0" xfId="2" applyFont="1" applyFill="1" applyBorder="1" applyAlignment="1">
      <alignment horizontal="left" vertical="center" wrapText="1"/>
    </xf>
    <xf numFmtId="0" fontId="5" fillId="2" borderId="0" xfId="1" applyFont="1" applyFill="1"/>
    <xf numFmtId="168" fontId="3" fillId="6" borderId="0" xfId="1" applyNumberFormat="1" applyFont="1" applyFill="1" applyBorder="1"/>
    <xf numFmtId="0" fontId="4" fillId="2" borderId="0" xfId="1" applyFont="1" applyFill="1" applyBorder="1"/>
    <xf numFmtId="9" fontId="8" fillId="0" borderId="11" xfId="1" applyNumberFormat="1" applyFont="1" applyBorder="1" applyAlignment="1">
      <alignment horizontal="center"/>
    </xf>
    <xf numFmtId="0" fontId="8" fillId="2" borderId="11" xfId="1" applyFont="1" applyFill="1" applyBorder="1" applyAlignment="1">
      <alignment horizontal="center"/>
    </xf>
    <xf numFmtId="0" fontId="0" fillId="0" borderId="0" xfId="0" applyFill="1"/>
    <xf numFmtId="0" fontId="3" fillId="0" borderId="0" xfId="1"/>
    <xf numFmtId="0" fontId="6" fillId="0" borderId="0" xfId="2" applyFont="1" applyBorder="1" applyAlignment="1">
      <alignment horizontal="left" vertical="center" wrapText="1"/>
    </xf>
    <xf numFmtId="0" fontId="6" fillId="0" borderId="0" xfId="2" applyFont="1" applyBorder="1"/>
    <xf numFmtId="0" fontId="6" fillId="0" borderId="0" xfId="2" applyFont="1" applyBorder="1" applyAlignment="1">
      <alignment horizontal="right" vertical="center" wrapText="1"/>
    </xf>
    <xf numFmtId="0" fontId="15" fillId="0" borderId="0" xfId="1" applyFont="1" applyFill="1" applyBorder="1"/>
    <xf numFmtId="0" fontId="3" fillId="0" borderId="0" xfId="1"/>
    <xf numFmtId="0" fontId="6" fillId="0" borderId="0" xfId="1" applyFont="1"/>
    <xf numFmtId="0" fontId="3" fillId="0" borderId="0" xfId="1" applyFill="1"/>
    <xf numFmtId="0" fontId="6" fillId="6" borderId="0" xfId="1" applyFont="1" applyFill="1" applyBorder="1"/>
    <xf numFmtId="0" fontId="3" fillId="6" borderId="0" xfId="2" applyFont="1" applyFill="1" applyBorder="1" applyAlignment="1">
      <alignment horizontal="left" vertical="center" wrapText="1"/>
    </xf>
    <xf numFmtId="0" fontId="5" fillId="2" borderId="0" xfId="1" applyFont="1" applyFill="1"/>
    <xf numFmtId="9" fontId="3" fillId="6" borderId="0" xfId="7" applyFont="1" applyFill="1" applyBorder="1" applyAlignment="1">
      <alignment horizontal="left" vertical="center" wrapText="1"/>
    </xf>
    <xf numFmtId="0" fontId="5" fillId="2" borderId="0" xfId="1" applyFont="1" applyFill="1"/>
    <xf numFmtId="0" fontId="3" fillId="0" borderId="0" xfId="1"/>
    <xf numFmtId="0" fontId="6" fillId="0" borderId="0" xfId="1" applyFont="1"/>
    <xf numFmtId="0" fontId="3" fillId="0" borderId="0" xfId="1" applyFill="1"/>
    <xf numFmtId="0" fontId="6" fillId="6" borderId="0" xfId="1" applyFont="1" applyFill="1" applyBorder="1"/>
    <xf numFmtId="0" fontId="3" fillId="6" borderId="0" xfId="2" applyFont="1" applyFill="1" applyBorder="1" applyAlignment="1">
      <alignment horizontal="left" vertical="center" wrapText="1"/>
    </xf>
    <xf numFmtId="0" fontId="5" fillId="2" borderId="0" xfId="1" applyFont="1" applyFill="1"/>
    <xf numFmtId="173" fontId="5" fillId="2" borderId="0" xfId="1" applyNumberFormat="1" applyFont="1" applyFill="1"/>
    <xf numFmtId="0" fontId="3" fillId="0" borderId="0" xfId="1"/>
    <xf numFmtId="0" fontId="6" fillId="0" borderId="0" xfId="1" applyFont="1"/>
    <xf numFmtId="0" fontId="15" fillId="0" borderId="0" xfId="1" applyFont="1"/>
    <xf numFmtId="0" fontId="3" fillId="0" borderId="0" xfId="1"/>
    <xf numFmtId="0" fontId="6" fillId="0" borderId="0" xfId="1" applyFont="1"/>
    <xf numFmtId="0" fontId="6" fillId="3" borderId="0" xfId="1" applyFont="1" applyFill="1"/>
    <xf numFmtId="0" fontId="3" fillId="3" borderId="0" xfId="1" applyFill="1"/>
    <xf numFmtId="0" fontId="3" fillId="0" borderId="0" xfId="1" applyFill="1"/>
    <xf numFmtId="0" fontId="6" fillId="3" borderId="0" xfId="1" quotePrefix="1" applyFont="1" applyFill="1"/>
    <xf numFmtId="0" fontId="5" fillId="2" borderId="0" xfId="1" applyFont="1" applyFill="1"/>
    <xf numFmtId="0" fontId="3" fillId="0" borderId="0" xfId="1"/>
    <xf numFmtId="0" fontId="6" fillId="0" borderId="0" xfId="1" applyFont="1"/>
    <xf numFmtId="0" fontId="6" fillId="2" borderId="0" xfId="1" applyFont="1" applyFill="1"/>
    <xf numFmtId="0" fontId="6" fillId="3" borderId="0" xfId="1" applyFont="1" applyFill="1"/>
    <xf numFmtId="0" fontId="3" fillId="3" borderId="0" xfId="1" applyFill="1"/>
    <xf numFmtId="0" fontId="3" fillId="0" borderId="0" xfId="1" applyFill="1"/>
    <xf numFmtId="0" fontId="4" fillId="2" borderId="0" xfId="1" applyFont="1" applyFill="1"/>
    <xf numFmtId="0" fontId="15" fillId="0" borderId="0" xfId="1" applyFont="1"/>
    <xf numFmtId="0" fontId="29" fillId="0" borderId="0" xfId="1" applyFont="1"/>
    <xf numFmtId="0" fontId="6" fillId="0" borderId="0" xfId="2" applyFont="1" applyBorder="1" applyAlignment="1">
      <alignment horizontal="left" vertical="center" wrapText="1"/>
    </xf>
    <xf numFmtId="0" fontId="6" fillId="0" borderId="0" xfId="2" applyFont="1" applyBorder="1"/>
    <xf numFmtId="0" fontId="6" fillId="0" borderId="0" xfId="2" applyFont="1" applyBorder="1" applyAlignment="1">
      <alignment horizontal="right" vertical="center" wrapText="1"/>
    </xf>
    <xf numFmtId="0" fontId="6" fillId="6" borderId="0" xfId="1" applyFont="1" applyFill="1" applyBorder="1"/>
    <xf numFmtId="0" fontId="3" fillId="6" borderId="0" xfId="2" applyFont="1" applyFill="1" applyBorder="1" applyAlignment="1">
      <alignment horizontal="left" vertical="center" wrapText="1"/>
    </xf>
    <xf numFmtId="0" fontId="6" fillId="2" borderId="0" xfId="1" applyFont="1" applyFill="1" applyAlignment="1">
      <alignment horizontal="left" vertical="center"/>
    </xf>
    <xf numFmtId="0" fontId="5" fillId="2" borderId="0" xfId="1" applyFont="1" applyFill="1"/>
    <xf numFmtId="0" fontId="15" fillId="0" borderId="0" xfId="1" applyFont="1" applyFill="1" applyBorder="1"/>
    <xf numFmtId="0" fontId="29" fillId="0" borderId="0" xfId="1" applyFont="1" applyFill="1" applyBorder="1"/>
    <xf numFmtId="9" fontId="3" fillId="6" borderId="0" xfId="7" applyFont="1" applyFill="1" applyBorder="1" applyAlignment="1">
      <alignment horizontal="left" vertical="center" wrapText="1"/>
    </xf>
    <xf numFmtId="4" fontId="3" fillId="0" borderId="0" xfId="9" applyNumberFormat="1" applyFont="1" applyFill="1" applyBorder="1"/>
    <xf numFmtId="4" fontId="4" fillId="0" borderId="0" xfId="9" applyNumberFormat="1" applyFont="1" applyFill="1"/>
    <xf numFmtId="0" fontId="3" fillId="3" borderId="0" xfId="1" quotePrefix="1" applyFill="1"/>
    <xf numFmtId="4" fontId="5" fillId="2" borderId="0" xfId="1" applyNumberFormat="1" applyFont="1" applyFill="1"/>
    <xf numFmtId="2" fontId="5" fillId="2" borderId="0" xfId="1" applyNumberFormat="1" applyFont="1" applyFill="1"/>
    <xf numFmtId="4" fontId="0" fillId="0" borderId="0" xfId="0" applyNumberFormat="1"/>
    <xf numFmtId="0" fontId="6" fillId="0" borderId="0" xfId="1" applyFont="1" applyFill="1" applyBorder="1"/>
    <xf numFmtId="0" fontId="3" fillId="0" borderId="0" xfId="1"/>
    <xf numFmtId="0" fontId="6" fillId="0" borderId="0" xfId="1" applyFont="1"/>
    <xf numFmtId="0" fontId="3" fillId="2" borderId="0" xfId="1" applyFill="1"/>
    <xf numFmtId="0" fontId="6" fillId="2" borderId="0" xfId="1" applyFont="1" applyFill="1"/>
    <xf numFmtId="0" fontId="3" fillId="0" borderId="0" xfId="1" applyFill="1"/>
    <xf numFmtId="0" fontId="4" fillId="2" borderId="0" xfId="1" applyFont="1" applyFill="1"/>
    <xf numFmtId="167" fontId="3" fillId="0" borderId="0" xfId="1" applyNumberFormat="1"/>
    <xf numFmtId="3" fontId="3" fillId="0" borderId="0" xfId="1" applyNumberFormat="1"/>
    <xf numFmtId="167" fontId="3" fillId="0" borderId="0" xfId="1" applyNumberFormat="1" applyFill="1"/>
    <xf numFmtId="0" fontId="3" fillId="0" borderId="0" xfId="1" applyNumberFormat="1"/>
    <xf numFmtId="166" fontId="4" fillId="0" borderId="0" xfId="9" applyNumberFormat="1" applyFont="1" applyFill="1"/>
    <xf numFmtId="0" fontId="3" fillId="6" borderId="0" xfId="1" applyFont="1" applyFill="1" applyBorder="1"/>
    <xf numFmtId="0" fontId="6" fillId="6" borderId="0" xfId="1" applyFont="1" applyFill="1" applyBorder="1"/>
    <xf numFmtId="0" fontId="3" fillId="6" borderId="0" xfId="2" applyFont="1" applyFill="1" applyBorder="1" applyAlignment="1">
      <alignment horizontal="left" vertical="center" wrapText="1"/>
    </xf>
    <xf numFmtId="0" fontId="3" fillId="2" borderId="0" xfId="1" applyNumberFormat="1" applyFill="1"/>
    <xf numFmtId="0" fontId="3" fillId="2" borderId="0" xfId="1" applyFill="1" applyAlignment="1">
      <alignment horizontal="center" vertical="center" wrapText="1"/>
    </xf>
    <xf numFmtId="0" fontId="6" fillId="2" borderId="0" xfId="1" applyFont="1" applyFill="1" applyAlignment="1">
      <alignment horizontal="left" vertical="center"/>
    </xf>
    <xf numFmtId="0" fontId="5" fillId="2" borderId="0" xfId="1" applyFont="1" applyFill="1"/>
    <xf numFmtId="169" fontId="3" fillId="0" borderId="0" xfId="1" applyNumberFormat="1"/>
    <xf numFmtId="169" fontId="3" fillId="2" borderId="0" xfId="1" applyNumberFormat="1" applyFill="1"/>
    <xf numFmtId="0" fontId="3" fillId="9" borderId="0" xfId="1" applyFill="1"/>
    <xf numFmtId="0" fontId="6" fillId="9" borderId="0" xfId="1" applyFont="1" applyFill="1"/>
    <xf numFmtId="168" fontId="3" fillId="6" borderId="0" xfId="1" applyNumberFormat="1" applyFont="1" applyFill="1" applyBorder="1"/>
    <xf numFmtId="172" fontId="3" fillId="0" borderId="0" xfId="1" applyNumberFormat="1"/>
    <xf numFmtId="0" fontId="3" fillId="0" borderId="0" xfId="1"/>
    <xf numFmtId="0" fontId="6" fillId="0" borderId="0" xfId="1" applyFont="1"/>
    <xf numFmtId="0" fontId="3" fillId="2" borderId="0" xfId="1" applyFill="1"/>
    <xf numFmtId="0" fontId="6" fillId="2" borderId="0" xfId="1" applyFont="1" applyFill="1"/>
    <xf numFmtId="0" fontId="3" fillId="0" borderId="0" xfId="1" applyFill="1"/>
    <xf numFmtId="0" fontId="4" fillId="2" borderId="0" xfId="1" applyFont="1" applyFill="1"/>
    <xf numFmtId="3" fontId="3" fillId="0" borderId="0" xfId="1" applyNumberFormat="1"/>
    <xf numFmtId="166" fontId="4" fillId="0" borderId="0" xfId="9" applyNumberFormat="1" applyFont="1" applyFill="1"/>
    <xf numFmtId="0" fontId="3" fillId="2" borderId="0" xfId="1" applyFill="1" applyAlignment="1">
      <alignment horizontal="center" vertical="center" wrapText="1"/>
    </xf>
    <xf numFmtId="0" fontId="6" fillId="2" borderId="0" xfId="1" applyFont="1" applyFill="1" applyAlignment="1">
      <alignment horizontal="left" vertical="center"/>
    </xf>
    <xf numFmtId="0" fontId="5" fillId="2" borderId="0" xfId="1" applyFont="1" applyFill="1"/>
    <xf numFmtId="169" fontId="3" fillId="0" borderId="0" xfId="1" applyNumberFormat="1"/>
    <xf numFmtId="169" fontId="3" fillId="2" borderId="0" xfId="1" applyNumberFormat="1" applyFill="1"/>
    <xf numFmtId="0" fontId="3" fillId="9" borderId="0" xfId="1" applyFill="1"/>
    <xf numFmtId="0" fontId="6" fillId="9" borderId="0" xfId="1" applyFont="1" applyFill="1"/>
    <xf numFmtId="0" fontId="2" fillId="0" borderId="0" xfId="14"/>
    <xf numFmtId="0" fontId="23" fillId="0" borderId="0" xfId="14" applyFont="1"/>
    <xf numFmtId="1" fontId="4" fillId="0" borderId="14" xfId="1" applyNumberFormat="1" applyFont="1" applyBorder="1" applyAlignment="1">
      <alignment horizontal="center"/>
    </xf>
    <xf numFmtId="4" fontId="3" fillId="2" borderId="0" xfId="1" applyNumberFormat="1" applyFill="1"/>
    <xf numFmtId="2" fontId="0" fillId="0" borderId="0" xfId="0" applyNumberFormat="1"/>
    <xf numFmtId="0" fontId="3" fillId="0" borderId="0" xfId="1"/>
    <xf numFmtId="0" fontId="6" fillId="0" borderId="0" xfId="1" applyFont="1"/>
    <xf numFmtId="0" fontId="3" fillId="2" borderId="0" xfId="1" applyFill="1"/>
    <xf numFmtId="0" fontId="6" fillId="2" borderId="0" xfId="1" applyFont="1" applyFill="1"/>
    <xf numFmtId="0" fontId="6" fillId="3" borderId="0" xfId="1" applyFont="1" applyFill="1"/>
    <xf numFmtId="0" fontId="3" fillId="3" borderId="0" xfId="1" applyFill="1"/>
    <xf numFmtId="0" fontId="3" fillId="0" borderId="0" xfId="1" applyFill="1"/>
    <xf numFmtId="0" fontId="4" fillId="2" borderId="0" xfId="1" applyFont="1" applyFill="1"/>
    <xf numFmtId="0" fontId="15" fillId="0" borderId="0" xfId="1" applyFont="1"/>
    <xf numFmtId="0" fontId="6" fillId="3" borderId="0" xfId="1" quotePrefix="1" applyFont="1" applyFill="1"/>
    <xf numFmtId="166" fontId="4" fillId="0" borderId="0" xfId="9" applyNumberFormat="1" applyFont="1" applyFill="1"/>
    <xf numFmtId="0" fontId="3" fillId="2" borderId="0" xfId="1" applyFill="1" applyAlignment="1">
      <alignment horizontal="center" vertical="center" wrapText="1"/>
    </xf>
    <xf numFmtId="0" fontId="6" fillId="2" borderId="0" xfId="1" applyFont="1" applyFill="1" applyAlignment="1">
      <alignment horizontal="left" vertical="center"/>
    </xf>
    <xf numFmtId="0" fontId="5" fillId="2" borderId="0" xfId="1" applyFont="1" applyFill="1"/>
    <xf numFmtId="0" fontId="3" fillId="9" borderId="0" xfId="1" applyFill="1"/>
    <xf numFmtId="0" fontId="6" fillId="9" borderId="0" xfId="1" applyFont="1" applyFill="1"/>
    <xf numFmtId="43" fontId="3" fillId="0" borderId="0" xfId="9" applyNumberFormat="1" applyFont="1" applyFill="1" applyBorder="1"/>
    <xf numFmtId="0" fontId="4" fillId="0" borderId="6" xfId="1" applyFont="1" applyBorder="1" applyAlignment="1">
      <alignment horizontal="center"/>
    </xf>
    <xf numFmtId="0" fontId="4" fillId="0" borderId="7" xfId="1" applyFont="1" applyBorder="1" applyAlignment="1">
      <alignment horizontal="center"/>
    </xf>
    <xf numFmtId="4" fontId="3" fillId="0" borderId="0" xfId="1" applyNumberFormat="1"/>
    <xf numFmtId="0" fontId="3" fillId="0" borderId="0" xfId="1"/>
    <xf numFmtId="0" fontId="6" fillId="0" borderId="0" xfId="1" applyFont="1"/>
    <xf numFmtId="0" fontId="6" fillId="3" borderId="0" xfId="1" applyFont="1" applyFill="1"/>
    <xf numFmtId="0" fontId="3" fillId="3" borderId="0" xfId="1" applyFill="1"/>
    <xf numFmtId="0" fontId="3" fillId="0" borderId="0" xfId="1" applyFill="1"/>
    <xf numFmtId="0" fontId="6" fillId="3" borderId="0" xfId="1" quotePrefix="1" applyFont="1" applyFill="1"/>
    <xf numFmtId="0" fontId="5" fillId="2" borderId="0" xfId="1" applyFont="1" applyFill="1"/>
    <xf numFmtId="0" fontId="6" fillId="0" borderId="8" xfId="1" applyFont="1" applyBorder="1"/>
    <xf numFmtId="167" fontId="4" fillId="0" borderId="12" xfId="1" applyNumberFormat="1" applyFont="1" applyBorder="1"/>
    <xf numFmtId="167" fontId="4" fillId="0" borderId="0" xfId="1" applyNumberFormat="1" applyFont="1" applyBorder="1"/>
    <xf numFmtId="1" fontId="4" fillId="0" borderId="14" xfId="1" applyNumberFormat="1" applyFont="1" applyFill="1" applyBorder="1" applyAlignment="1">
      <alignment horizontal="center"/>
    </xf>
    <xf numFmtId="2" fontId="0" fillId="0" borderId="0" xfId="0" quotePrefix="1" applyNumberFormat="1"/>
    <xf numFmtId="0" fontId="6" fillId="3" borderId="0" xfId="1" quotePrefix="1" applyFont="1" applyFill="1"/>
    <xf numFmtId="0" fontId="6" fillId="3" borderId="0" xfId="1" quotePrefix="1" applyFont="1" applyFill="1"/>
    <xf numFmtId="0" fontId="3" fillId="0" borderId="0" xfId="1"/>
    <xf numFmtId="0" fontId="6" fillId="0" borderId="0" xfId="1" applyFont="1"/>
    <xf numFmtId="0" fontId="3" fillId="0" borderId="0" xfId="1" applyFill="1"/>
    <xf numFmtId="0" fontId="6" fillId="0" borderId="0" xfId="2" applyFont="1" applyBorder="1" applyAlignment="1">
      <alignment horizontal="left" vertical="center" wrapText="1"/>
    </xf>
    <xf numFmtId="0" fontId="6" fillId="0" borderId="0" xfId="2" applyFont="1" applyBorder="1"/>
    <xf numFmtId="0" fontId="6" fillId="0" borderId="0" xfId="2" applyFont="1" applyBorder="1" applyAlignment="1">
      <alignment horizontal="right" vertical="center" wrapText="1"/>
    </xf>
    <xf numFmtId="0" fontId="6" fillId="6" borderId="0" xfId="1" applyFont="1" applyFill="1" applyBorder="1"/>
    <xf numFmtId="0" fontId="3" fillId="6" borderId="0" xfId="2" applyFont="1" applyFill="1" applyBorder="1" applyAlignment="1">
      <alignment horizontal="left" vertical="center" wrapText="1"/>
    </xf>
    <xf numFmtId="0" fontId="5" fillId="2" borderId="0" xfId="1" applyFont="1" applyFill="1"/>
    <xf numFmtId="9" fontId="3" fillId="6" borderId="0" xfId="7" applyFont="1" applyFill="1" applyBorder="1" applyAlignment="1">
      <alignment horizontal="left" vertical="center" wrapText="1"/>
    </xf>
    <xf numFmtId="0" fontId="3" fillId="0" borderId="0" xfId="1" quotePrefix="1" applyFill="1"/>
    <xf numFmtId="0" fontId="27" fillId="0" borderId="0" xfId="0" applyFont="1"/>
    <xf numFmtId="9" fontId="27" fillId="0" borderId="0" xfId="0" applyNumberFormat="1" applyFont="1"/>
    <xf numFmtId="0" fontId="5" fillId="6" borderId="0" xfId="1" applyFont="1" applyFill="1" applyBorder="1"/>
    <xf numFmtId="9" fontId="4" fillId="0" borderId="0" xfId="1" applyNumberFormat="1" applyFont="1"/>
    <xf numFmtId="0" fontId="4" fillId="6" borderId="0" xfId="2" applyFont="1" applyFill="1" applyBorder="1" applyAlignment="1">
      <alignment horizontal="left" vertical="center" wrapText="1"/>
    </xf>
    <xf numFmtId="9" fontId="8" fillId="0" borderId="0" xfId="13" applyNumberFormat="1" applyFont="1" applyFill="1"/>
    <xf numFmtId="167" fontId="3" fillId="0" borderId="0" xfId="1" quotePrefix="1" applyNumberFormat="1" applyFill="1"/>
    <xf numFmtId="9" fontId="0" fillId="0" borderId="0" xfId="0" quotePrefix="1" applyNumberFormat="1"/>
    <xf numFmtId="9" fontId="4" fillId="0" borderId="0" xfId="13" applyNumberFormat="1" applyFont="1" applyFill="1"/>
    <xf numFmtId="0" fontId="3" fillId="0" borderId="0" xfId="1"/>
    <xf numFmtId="9" fontId="3" fillId="0" borderId="0" xfId="1" applyNumberFormat="1"/>
    <xf numFmtId="0" fontId="6" fillId="0" borderId="0" xfId="1" applyFont="1"/>
    <xf numFmtId="0" fontId="7" fillId="0" borderId="0" xfId="1" applyFont="1"/>
    <xf numFmtId="0" fontId="4" fillId="0" borderId="0" xfId="1" applyFont="1"/>
    <xf numFmtId="0" fontId="3" fillId="0" borderId="10" xfId="1" applyBorder="1"/>
    <xf numFmtId="0" fontId="3" fillId="0" borderId="0" xfId="1" applyBorder="1"/>
    <xf numFmtId="0" fontId="3" fillId="2" borderId="0" xfId="1" applyFill="1"/>
    <xf numFmtId="0" fontId="6" fillId="2" borderId="0" xfId="1" applyFont="1" applyFill="1"/>
    <xf numFmtId="0" fontId="6" fillId="3" borderId="0" xfId="1" applyFont="1" applyFill="1"/>
    <xf numFmtId="0" fontId="3" fillId="3" borderId="0" xfId="1" applyFill="1"/>
    <xf numFmtId="0" fontId="7" fillId="2" borderId="0" xfId="1" applyFont="1" applyFill="1"/>
    <xf numFmtId="0" fontId="3" fillId="0" borderId="0" xfId="1" applyFill="1"/>
    <xf numFmtId="0" fontId="4" fillId="2" borderId="0" xfId="1" applyFont="1" applyFill="1"/>
    <xf numFmtId="167" fontId="3" fillId="0" borderId="0" xfId="1" applyNumberFormat="1"/>
    <xf numFmtId="167" fontId="3" fillId="2" borderId="0" xfId="1" applyNumberFormat="1" applyFill="1"/>
    <xf numFmtId="0" fontId="6" fillId="3" borderId="0" xfId="1" quotePrefix="1" applyFont="1" applyFill="1"/>
    <xf numFmtId="0" fontId="3" fillId="0" borderId="0" xfId="1" applyNumberFormat="1"/>
    <xf numFmtId="0" fontId="3" fillId="6" borderId="0" xfId="1" applyFont="1" applyFill="1" applyBorder="1"/>
    <xf numFmtId="0" fontId="6" fillId="0" borderId="0" xfId="2" applyFont="1" applyBorder="1" applyAlignment="1">
      <alignment horizontal="left" vertical="center" wrapText="1"/>
    </xf>
    <xf numFmtId="0" fontId="6" fillId="0" borderId="0" xfId="2" applyFont="1" applyBorder="1"/>
    <xf numFmtId="0" fontId="6" fillId="0" borderId="0" xfId="2" applyFont="1" applyBorder="1" applyAlignment="1">
      <alignment horizontal="right" vertical="center" wrapText="1"/>
    </xf>
    <xf numFmtId="0" fontId="6" fillId="6" borderId="0" xfId="1" applyFont="1" applyFill="1" applyBorder="1"/>
    <xf numFmtId="0" fontId="3" fillId="6" borderId="0" xfId="2" applyFont="1" applyFill="1" applyBorder="1" applyAlignment="1">
      <alignment horizontal="left" vertical="center" wrapText="1"/>
    </xf>
    <xf numFmtId="0" fontId="3" fillId="2" borderId="0" xfId="1" applyFill="1" applyAlignment="1">
      <alignment horizontal="center" vertical="center" wrapText="1"/>
    </xf>
    <xf numFmtId="0" fontId="6" fillId="2" borderId="0" xfId="1" applyFont="1" applyFill="1" applyAlignment="1">
      <alignment horizontal="left" vertical="center"/>
    </xf>
    <xf numFmtId="0" fontId="5" fillId="2" borderId="0" xfId="1" applyFont="1" applyFill="1"/>
    <xf numFmtId="0" fontId="3" fillId="9" borderId="0" xfId="1" applyFill="1"/>
    <xf numFmtId="0" fontId="6" fillId="9" borderId="0" xfId="1" applyFont="1" applyFill="1"/>
    <xf numFmtId="43" fontId="3" fillId="0" borderId="0" xfId="9" applyNumberFormat="1" applyFont="1" applyFill="1" applyBorder="1"/>
    <xf numFmtId="168" fontId="3" fillId="0" borderId="0" xfId="9" applyNumberFormat="1" applyFont="1" applyFill="1" applyBorder="1"/>
    <xf numFmtId="168" fontId="3" fillId="6" borderId="0" xfId="1" applyNumberFormat="1" applyFont="1" applyFill="1" applyBorder="1"/>
    <xf numFmtId="0" fontId="3" fillId="0" borderId="0" xfId="1" quotePrefix="1"/>
    <xf numFmtId="9" fontId="3" fillId="6" borderId="0" xfId="7" applyFont="1" applyFill="1" applyBorder="1" applyAlignment="1">
      <alignment horizontal="left" vertical="center" wrapText="1"/>
    </xf>
    <xf numFmtId="0" fontId="3" fillId="0" borderId="12" xfId="1" applyBorder="1"/>
    <xf numFmtId="0" fontId="3" fillId="0" borderId="11" xfId="1" applyBorder="1"/>
    <xf numFmtId="0" fontId="3" fillId="2" borderId="0" xfId="1" applyFill="1" applyBorder="1"/>
    <xf numFmtId="0" fontId="4" fillId="2" borderId="11" xfId="1" applyFont="1" applyFill="1" applyBorder="1"/>
    <xf numFmtId="0" fontId="7" fillId="0" borderId="0" xfId="1" applyFont="1" applyBorder="1"/>
    <xf numFmtId="0" fontId="7" fillId="0" borderId="12" xfId="1" applyFont="1" applyBorder="1"/>
    <xf numFmtId="0" fontId="7" fillId="2" borderId="0" xfId="1" applyFont="1" applyFill="1" applyBorder="1"/>
    <xf numFmtId="0" fontId="7" fillId="2" borderId="12" xfId="1" applyFont="1" applyFill="1" applyBorder="1"/>
    <xf numFmtId="0" fontId="6" fillId="0" borderId="10" xfId="1" applyFont="1" applyBorder="1"/>
    <xf numFmtId="0" fontId="4" fillId="4" borderId="0" xfId="3" applyFill="1"/>
    <xf numFmtId="169" fontId="4" fillId="4" borderId="0" xfId="3" applyNumberFormat="1" applyFill="1"/>
    <xf numFmtId="0" fontId="3" fillId="9" borderId="0" xfId="1" quotePrefix="1" applyFill="1"/>
    <xf numFmtId="169" fontId="4" fillId="0" borderId="12" xfId="1" applyNumberFormat="1" applyFont="1" applyFill="1" applyBorder="1" applyAlignment="1">
      <alignment horizontal="center"/>
    </xf>
    <xf numFmtId="0" fontId="4" fillId="2" borderId="12" xfId="1" applyFont="1" applyFill="1" applyBorder="1" applyAlignment="1">
      <alignment horizontal="center"/>
    </xf>
    <xf numFmtId="9" fontId="8" fillId="0" borderId="0" xfId="1" applyNumberFormat="1" applyFont="1"/>
    <xf numFmtId="0" fontId="6" fillId="3" borderId="0" xfId="1" applyFont="1" applyFill="1" applyBorder="1" applyAlignment="1">
      <alignment horizontal="left"/>
    </xf>
    <xf numFmtId="4" fontId="3" fillId="0" borderId="0" xfId="1" applyNumberFormat="1"/>
    <xf numFmtId="0" fontId="6" fillId="0" borderId="8" xfId="1" applyFont="1" applyBorder="1" applyAlignment="1"/>
    <xf numFmtId="0" fontId="6" fillId="0" borderId="10" xfId="1" applyFont="1" applyBorder="1" applyAlignment="1"/>
    <xf numFmtId="0" fontId="6" fillId="0" borderId="9" xfId="1" applyFont="1" applyBorder="1" applyAlignment="1"/>
    <xf numFmtId="0" fontId="3" fillId="0" borderId="6" xfId="1" applyBorder="1" applyAlignment="1">
      <alignment vertical="center" wrapText="1"/>
    </xf>
    <xf numFmtId="0" fontId="3" fillId="0" borderId="1" xfId="1" applyBorder="1" applyAlignment="1">
      <alignment vertical="center" wrapText="1"/>
    </xf>
    <xf numFmtId="0" fontId="3" fillId="0" borderId="1" xfId="1" applyBorder="1" applyAlignment="1">
      <alignment vertical="center"/>
    </xf>
    <xf numFmtId="0" fontId="3" fillId="0" borderId="7" xfId="1" applyBorder="1" applyAlignment="1">
      <alignment vertical="center" wrapText="1"/>
    </xf>
    <xf numFmtId="0" fontId="6" fillId="0" borderId="9" xfId="1" applyFont="1" applyBorder="1"/>
    <xf numFmtId="9" fontId="8" fillId="0" borderId="0" xfId="1" applyNumberFormat="1" applyFont="1" applyBorder="1" applyAlignment="1">
      <alignment horizontal="center"/>
    </xf>
    <xf numFmtId="3" fontId="4" fillId="0" borderId="0" xfId="1" applyNumberFormat="1" applyFont="1" applyBorder="1"/>
    <xf numFmtId="175" fontId="3" fillId="0" borderId="12" xfId="1" applyNumberFormat="1" applyFill="1" applyBorder="1"/>
    <xf numFmtId="37" fontId="0" fillId="0" borderId="0" xfId="0" quotePrefix="1" applyNumberFormat="1"/>
    <xf numFmtId="175" fontId="3" fillId="0" borderId="7" xfId="1" applyNumberFormat="1" applyFill="1" applyBorder="1"/>
    <xf numFmtId="175" fontId="3" fillId="0" borderId="1" xfId="1" applyNumberFormat="1" applyFill="1" applyBorder="1"/>
    <xf numFmtId="175" fontId="3" fillId="0" borderId="6" xfId="1" applyNumberFormat="1" applyFill="1" applyBorder="1"/>
    <xf numFmtId="175" fontId="3" fillId="0" borderId="0" xfId="1" applyNumberFormat="1" applyFill="1" applyBorder="1"/>
    <xf numFmtId="175" fontId="3" fillId="0" borderId="11" xfId="1" applyNumberFormat="1" applyFill="1" applyBorder="1"/>
    <xf numFmtId="0" fontId="3" fillId="0" borderId="0" xfId="1"/>
    <xf numFmtId="0" fontId="3" fillId="0" borderId="0" xfId="1" applyFill="1"/>
    <xf numFmtId="0" fontId="6" fillId="0" borderId="0" xfId="1" applyFont="1"/>
    <xf numFmtId="167" fontId="4" fillId="0" borderId="15" xfId="1" applyNumberFormat="1" applyFont="1" applyBorder="1"/>
    <xf numFmtId="167" fontId="4" fillId="0" borderId="14" xfId="1" applyNumberFormat="1" applyFont="1" applyBorder="1"/>
    <xf numFmtId="167" fontId="7" fillId="0" borderId="14" xfId="1" applyNumberFormat="1" applyFont="1" applyBorder="1"/>
    <xf numFmtId="167" fontId="7" fillId="2" borderId="14" xfId="1" applyNumberFormat="1" applyFont="1" applyFill="1" applyBorder="1"/>
    <xf numFmtId="167" fontId="3" fillId="0" borderId="14" xfId="1" applyNumberFormat="1" applyBorder="1"/>
    <xf numFmtId="3" fontId="4" fillId="0" borderId="14" xfId="1" applyNumberFormat="1" applyFont="1" applyBorder="1"/>
    <xf numFmtId="3" fontId="7" fillId="0" borderId="14" xfId="1" applyNumberFormat="1" applyFont="1" applyBorder="1"/>
    <xf numFmtId="3" fontId="7" fillId="2" borderId="14" xfId="1" applyNumberFormat="1" applyFont="1" applyFill="1" applyBorder="1"/>
    <xf numFmtId="3" fontId="3" fillId="0" borderId="14" xfId="1" applyNumberFormat="1" applyBorder="1"/>
    <xf numFmtId="0" fontId="4" fillId="2" borderId="14" xfId="1" applyFont="1" applyFill="1" applyBorder="1"/>
    <xf numFmtId="175" fontId="3" fillId="0" borderId="14" xfId="1" applyNumberFormat="1" applyFill="1" applyBorder="1"/>
    <xf numFmtId="0" fontId="7" fillId="0" borderId="14" xfId="1" applyFont="1" applyBorder="1"/>
    <xf numFmtId="0" fontId="7" fillId="2" borderId="14" xfId="1" applyFont="1" applyFill="1" applyBorder="1"/>
    <xf numFmtId="175" fontId="3" fillId="0" borderId="15" xfId="1" applyNumberFormat="1" applyFill="1" applyBorder="1"/>
    <xf numFmtId="0" fontId="3" fillId="11" borderId="14" xfId="1" applyFill="1" applyBorder="1" applyAlignment="1">
      <alignment horizontal="center" vertical="center" wrapText="1"/>
    </xf>
    <xf numFmtId="0" fontId="3" fillId="0" borderId="13" xfId="1" applyFill="1" applyBorder="1" applyAlignment="1">
      <alignment horizontal="center" vertical="center" wrapText="1"/>
    </xf>
    <xf numFmtId="1" fontId="25" fillId="10" borderId="14" xfId="1" applyNumberFormat="1" applyFont="1" applyFill="1" applyBorder="1" applyAlignment="1">
      <alignment horizontal="center" wrapText="1"/>
    </xf>
    <xf numFmtId="0" fontId="8" fillId="0" borderId="7" xfId="1" applyFont="1" applyBorder="1" applyAlignment="1">
      <alignment horizontal="center"/>
    </xf>
    <xf numFmtId="0" fontId="0" fillId="0" borderId="14" xfId="0" applyBorder="1"/>
    <xf numFmtId="0" fontId="8" fillId="0" borderId="12" xfId="1" applyFont="1" applyBorder="1" applyAlignment="1">
      <alignment horizontal="center"/>
    </xf>
    <xf numFmtId="0" fontId="8" fillId="2" borderId="12" xfId="1" applyFont="1" applyFill="1" applyBorder="1" applyAlignment="1">
      <alignment horizontal="center"/>
    </xf>
    <xf numFmtId="1" fontId="8" fillId="0" borderId="12" xfId="1" applyNumberFormat="1" applyFont="1" applyFill="1" applyBorder="1" applyAlignment="1">
      <alignment horizontal="center"/>
    </xf>
    <xf numFmtId="169" fontId="4" fillId="0" borderId="15" xfId="1" applyNumberFormat="1" applyFont="1" applyFill="1" applyBorder="1" applyAlignment="1">
      <alignment horizontal="center"/>
    </xf>
    <xf numFmtId="1" fontId="25" fillId="10" borderId="0" xfId="1" applyNumberFormat="1" applyFont="1" applyFill="1" applyBorder="1" applyAlignment="1">
      <alignment horizontal="center" wrapText="1"/>
    </xf>
    <xf numFmtId="0" fontId="8" fillId="0" borderId="11" xfId="1" applyFont="1" applyBorder="1" applyAlignment="1">
      <alignment horizontal="center"/>
    </xf>
    <xf numFmtId="0" fontId="8" fillId="0" borderId="0" xfId="1" applyFont="1" applyBorder="1" applyAlignment="1">
      <alignment horizontal="center"/>
    </xf>
    <xf numFmtId="0" fontId="8" fillId="2" borderId="0" xfId="1" applyFont="1" applyFill="1" applyBorder="1" applyAlignment="1">
      <alignment horizontal="center"/>
    </xf>
    <xf numFmtId="1" fontId="8" fillId="0" borderId="0" xfId="1" applyNumberFormat="1" applyFont="1" applyFill="1" applyBorder="1" applyAlignment="1">
      <alignment horizontal="center"/>
    </xf>
    <xf numFmtId="1" fontId="25" fillId="10" borderId="0" xfId="1" applyNumberFormat="1" applyFont="1" applyFill="1" applyBorder="1" applyAlignment="1">
      <alignment horizontal="center" wrapText="1"/>
    </xf>
    <xf numFmtId="1" fontId="25" fillId="10" borderId="11" xfId="1" applyNumberFormat="1" applyFont="1" applyFill="1" applyBorder="1" applyAlignment="1">
      <alignment horizontal="center" wrapText="1"/>
    </xf>
    <xf numFmtId="0" fontId="8" fillId="0" borderId="11" xfId="1" applyFont="1" applyBorder="1" applyAlignment="1">
      <alignment horizontal="center"/>
    </xf>
    <xf numFmtId="0" fontId="8" fillId="2" borderId="11" xfId="1" applyFont="1" applyFill="1" applyBorder="1" applyAlignment="1">
      <alignment horizontal="center"/>
    </xf>
    <xf numFmtId="0" fontId="8" fillId="0" borderId="0" xfId="1" applyFont="1" applyBorder="1" applyAlignment="1">
      <alignment horizontal="center"/>
    </xf>
    <xf numFmtId="0" fontId="8" fillId="2" borderId="0" xfId="1" applyFont="1" applyFill="1" applyBorder="1" applyAlignment="1">
      <alignment horizontal="center"/>
    </xf>
    <xf numFmtId="0" fontId="3" fillId="0" borderId="14" xfId="1" applyFill="1" applyBorder="1" applyAlignment="1">
      <alignment horizontal="center" vertical="center" wrapText="1"/>
    </xf>
    <xf numFmtId="1" fontId="25" fillId="10" borderId="11" xfId="1" applyNumberFormat="1" applyFont="1" applyFill="1" applyBorder="1" applyAlignment="1">
      <alignment horizontal="center" wrapText="1"/>
    </xf>
    <xf numFmtId="1" fontId="25" fillId="10" borderId="11" xfId="1" applyNumberFormat="1" applyFont="1" applyFill="1" applyBorder="1" applyAlignment="1">
      <alignment horizontal="center" wrapText="1"/>
    </xf>
    <xf numFmtId="1" fontId="25" fillId="10" borderId="11" xfId="1" applyNumberFormat="1" applyFont="1" applyFill="1" applyBorder="1" applyAlignment="1">
      <alignment horizontal="center" wrapText="1"/>
    </xf>
    <xf numFmtId="169" fontId="8" fillId="0" borderId="11" xfId="24" applyNumberFormat="1" applyFont="1" applyBorder="1" applyAlignment="1">
      <alignment horizontal="center"/>
    </xf>
    <xf numFmtId="169" fontId="8" fillId="0" borderId="6" xfId="1" applyNumberFormat="1" applyFont="1" applyFill="1" applyBorder="1" applyAlignment="1">
      <alignment horizontal="center"/>
    </xf>
    <xf numFmtId="1" fontId="25" fillId="10" borderId="14" xfId="1" applyNumberFormat="1" applyFont="1" applyFill="1" applyBorder="1" applyAlignment="1">
      <alignment horizontal="center" wrapText="1"/>
    </xf>
    <xf numFmtId="0" fontId="3" fillId="11" borderId="14" xfId="1" applyFill="1" applyBorder="1"/>
    <xf numFmtId="1" fontId="25" fillId="10" borderId="14" xfId="1" applyNumberFormat="1" applyFont="1" applyFill="1" applyBorder="1" applyAlignment="1">
      <alignment horizontal="center" wrapText="1"/>
    </xf>
    <xf numFmtId="169" fontId="8" fillId="0" borderId="6" xfId="1" applyNumberFormat="1" applyFont="1" applyBorder="1" applyAlignment="1">
      <alignment horizontal="center"/>
    </xf>
    <xf numFmtId="2" fontId="4" fillId="0" borderId="1" xfId="1" applyNumberFormat="1" applyFont="1" applyBorder="1" applyAlignment="1">
      <alignment horizontal="center"/>
    </xf>
    <xf numFmtId="0" fontId="3" fillId="11" borderId="11" xfId="1" applyFill="1" applyBorder="1"/>
    <xf numFmtId="0" fontId="3" fillId="11" borderId="12" xfId="1" applyFill="1" applyBorder="1"/>
    <xf numFmtId="169" fontId="8" fillId="0" borderId="12" xfId="24" applyNumberFormat="1" applyFont="1" applyBorder="1" applyAlignment="1">
      <alignment horizontal="center"/>
    </xf>
    <xf numFmtId="169" fontId="8" fillId="0" borderId="12" xfId="24" applyNumberFormat="1" applyFont="1" applyFill="1" applyBorder="1" applyAlignment="1">
      <alignment horizontal="center"/>
    </xf>
    <xf numFmtId="169" fontId="8" fillId="2" borderId="12" xfId="1" applyNumberFormat="1" applyFont="1" applyFill="1" applyBorder="1" applyAlignment="1">
      <alignment horizontal="center"/>
    </xf>
    <xf numFmtId="169" fontId="8" fillId="0" borderId="12" xfId="1" applyNumberFormat="1" applyFont="1" applyBorder="1" applyAlignment="1">
      <alignment horizontal="center"/>
    </xf>
    <xf numFmtId="0" fontId="3" fillId="11" borderId="14" xfId="1" applyFill="1" applyBorder="1"/>
    <xf numFmtId="0" fontId="3" fillId="0" borderId="0" xfId="1"/>
    <xf numFmtId="0" fontId="6" fillId="0" borderId="0" xfId="1" applyFont="1"/>
    <xf numFmtId="0" fontId="3" fillId="2" borderId="0" xfId="1" applyFill="1"/>
    <xf numFmtId="0" fontId="6" fillId="2" borderId="0" xfId="1" applyFont="1" applyFill="1"/>
    <xf numFmtId="0" fontId="3" fillId="0" borderId="0" xfId="1" applyFill="1"/>
    <xf numFmtId="0" fontId="4" fillId="2" borderId="0" xfId="1" applyFont="1" applyFill="1"/>
    <xf numFmtId="0" fontId="3" fillId="2" borderId="0" xfId="1" applyFill="1" applyAlignment="1">
      <alignment horizontal="center" vertical="center" wrapText="1"/>
    </xf>
    <xf numFmtId="0" fontId="6" fillId="2" borderId="0" xfId="1" applyFont="1" applyFill="1" applyAlignment="1">
      <alignment horizontal="left" vertical="center"/>
    </xf>
    <xf numFmtId="0" fontId="5" fillId="2" borderId="0" xfId="1" applyFont="1" applyFill="1"/>
    <xf numFmtId="1" fontId="25" fillId="10" borderId="0" xfId="1" applyNumberFormat="1" applyFont="1" applyFill="1" applyBorder="1" applyAlignment="1">
      <alignment horizontal="center" wrapText="1"/>
    </xf>
    <xf numFmtId="0" fontId="3" fillId="2" borderId="14" xfId="1" applyFill="1" applyBorder="1"/>
    <xf numFmtId="0" fontId="3" fillId="0" borderId="14" xfId="1" applyBorder="1"/>
    <xf numFmtId="0" fontId="3" fillId="0" borderId="11" xfId="1" applyBorder="1"/>
    <xf numFmtId="0" fontId="3" fillId="2" borderId="0" xfId="1" applyFill="1" applyBorder="1"/>
    <xf numFmtId="169" fontId="4" fillId="0" borderId="7" xfId="1" applyNumberFormat="1" applyFont="1" applyFill="1" applyBorder="1" applyAlignment="1">
      <alignment horizontal="center"/>
    </xf>
    <xf numFmtId="169" fontId="4" fillId="0" borderId="14" xfId="1" applyNumberFormat="1" applyFont="1" applyFill="1" applyBorder="1" applyAlignment="1">
      <alignment horizontal="center"/>
    </xf>
    <xf numFmtId="169" fontId="4" fillId="2" borderId="14" xfId="1" applyNumberFormat="1" applyFont="1" applyFill="1" applyBorder="1" applyAlignment="1">
      <alignment horizontal="center"/>
    </xf>
    <xf numFmtId="167" fontId="4" fillId="0" borderId="0" xfId="1" applyNumberFormat="1" applyFont="1" applyFill="1" applyBorder="1" applyAlignment="1">
      <alignment horizontal="center"/>
    </xf>
    <xf numFmtId="169" fontId="8" fillId="0" borderId="11" xfId="24" applyNumberFormat="1" applyFont="1" applyFill="1" applyBorder="1" applyAlignment="1">
      <alignment horizontal="center"/>
    </xf>
    <xf numFmtId="169" fontId="8" fillId="0" borderId="11" xfId="1" applyNumberFormat="1" applyFont="1" applyFill="1" applyBorder="1" applyAlignment="1">
      <alignment horizontal="center"/>
    </xf>
    <xf numFmtId="169" fontId="8" fillId="0" borderId="11" xfId="1" applyNumberFormat="1" applyFont="1" applyBorder="1" applyAlignment="1">
      <alignment horizontal="center"/>
    </xf>
    <xf numFmtId="169" fontId="8" fillId="2" borderId="11" xfId="1" applyNumberFormat="1" applyFont="1" applyFill="1" applyBorder="1" applyAlignment="1">
      <alignment horizontal="center"/>
    </xf>
    <xf numFmtId="169" fontId="8" fillId="2" borderId="14" xfId="1" applyNumberFormat="1" applyFont="1" applyFill="1" applyBorder="1" applyAlignment="1">
      <alignment horizontal="center"/>
    </xf>
    <xf numFmtId="169" fontId="8" fillId="0" borderId="0" xfId="24" applyNumberFormat="1" applyFont="1" applyFill="1" applyBorder="1" applyAlignment="1">
      <alignment horizontal="center"/>
    </xf>
    <xf numFmtId="169" fontId="8" fillId="0" borderId="1" xfId="24" applyNumberFormat="1" applyFont="1" applyFill="1" applyBorder="1" applyAlignment="1">
      <alignment horizontal="center"/>
    </xf>
    <xf numFmtId="2" fontId="8" fillId="0" borderId="11" xfId="1" applyNumberFormat="1" applyFont="1" applyBorder="1" applyAlignment="1">
      <alignment horizontal="center"/>
    </xf>
    <xf numFmtId="9" fontId="8" fillId="0" borderId="6" xfId="1" applyNumberFormat="1" applyFont="1" applyBorder="1" applyAlignment="1">
      <alignment horizontal="center"/>
    </xf>
    <xf numFmtId="2" fontId="4" fillId="0" borderId="0" xfId="1" applyNumberFormat="1" applyFont="1" applyBorder="1" applyAlignment="1">
      <alignment horizontal="center"/>
    </xf>
    <xf numFmtId="2" fontId="4" fillId="2" borderId="0" xfId="1" applyNumberFormat="1" applyFont="1" applyFill="1" applyBorder="1" applyAlignment="1">
      <alignment horizontal="center"/>
    </xf>
    <xf numFmtId="1" fontId="4" fillId="0" borderId="15" xfId="1" applyNumberFormat="1" applyFont="1" applyFill="1" applyBorder="1" applyAlignment="1">
      <alignment horizontal="center"/>
    </xf>
    <xf numFmtId="0" fontId="3" fillId="2" borderId="12" xfId="1" applyFill="1" applyBorder="1" applyAlignment="1">
      <alignment horizontal="center" vertical="center"/>
    </xf>
    <xf numFmtId="0" fontId="8" fillId="0" borderId="12" xfId="1" applyFont="1" applyFill="1" applyBorder="1" applyAlignment="1">
      <alignment horizontal="center" vertical="center"/>
    </xf>
    <xf numFmtId="0" fontId="8" fillId="2" borderId="12" xfId="1" applyFont="1" applyFill="1" applyBorder="1" applyAlignment="1">
      <alignment horizontal="center" vertical="center"/>
    </xf>
    <xf numFmtId="0" fontId="8" fillId="0" borderId="7" xfId="1" applyFont="1" applyFill="1" applyBorder="1" applyAlignment="1">
      <alignment horizontal="center" vertical="center"/>
    </xf>
    <xf numFmtId="0" fontId="4" fillId="0" borderId="0" xfId="1" applyFont="1" applyFill="1" applyBorder="1" applyAlignment="1">
      <alignment horizontal="center" vertical="center" wrapText="1"/>
    </xf>
    <xf numFmtId="169" fontId="4" fillId="0" borderId="0" xfId="3" applyNumberFormat="1" applyFill="1"/>
    <xf numFmtId="0" fontId="4" fillId="14" borderId="0" xfId="3" applyFill="1"/>
    <xf numFmtId="169" fontId="4" fillId="14" borderId="0" xfId="3" applyNumberFormat="1" applyFill="1"/>
    <xf numFmtId="0" fontId="0" fillId="14" borderId="0" xfId="0" applyFill="1"/>
    <xf numFmtId="0" fontId="5" fillId="14" borderId="0" xfId="3" applyFont="1" applyFill="1"/>
    <xf numFmtId="0" fontId="0" fillId="0" borderId="0" xfId="0"/>
    <xf numFmtId="3" fontId="0" fillId="0" borderId="0" xfId="0" applyNumberFormat="1"/>
    <xf numFmtId="0" fontId="6" fillId="15" borderId="0" xfId="1" applyFont="1" applyFill="1" applyBorder="1"/>
    <xf numFmtId="0" fontId="3" fillId="15" borderId="0" xfId="2" applyFont="1" applyFill="1" applyBorder="1" applyAlignment="1">
      <alignment horizontal="left" vertical="center" wrapText="1"/>
    </xf>
    <xf numFmtId="0" fontId="3" fillId="15" borderId="0" xfId="1" applyFont="1" applyFill="1" applyBorder="1"/>
    <xf numFmtId="168" fontId="3" fillId="15" borderId="0" xfId="1" applyNumberFormat="1" applyFont="1" applyFill="1" applyBorder="1"/>
    <xf numFmtId="0" fontId="0" fillId="15" borderId="0" xfId="0" applyFill="1"/>
    <xf numFmtId="0" fontId="0" fillId="16" borderId="0" xfId="0" applyFill="1"/>
    <xf numFmtId="3" fontId="5" fillId="2" borderId="0" xfId="1" applyNumberFormat="1" applyFont="1" applyFill="1"/>
    <xf numFmtId="0" fontId="23" fillId="16" borderId="0" xfId="0" applyFont="1" applyFill="1"/>
    <xf numFmtId="171" fontId="0" fillId="0" borderId="0" xfId="0" applyNumberFormat="1"/>
    <xf numFmtId="0" fontId="3" fillId="0" borderId="0" xfId="1"/>
    <xf numFmtId="0" fontId="6" fillId="0" borderId="0" xfId="1" applyFont="1"/>
    <xf numFmtId="0" fontId="3" fillId="0" borderId="0" xfId="1" applyFill="1"/>
    <xf numFmtId="0" fontId="3" fillId="6" borderId="0" xfId="1" applyFont="1" applyFill="1" applyBorder="1"/>
    <xf numFmtId="0" fontId="6" fillId="6" borderId="0" xfId="1" applyFont="1" applyFill="1" applyBorder="1"/>
    <xf numFmtId="0" fontId="3" fillId="6" borderId="0" xfId="2" applyFont="1" applyFill="1" applyBorder="1" applyAlignment="1">
      <alignment horizontal="left" vertical="center" wrapText="1"/>
    </xf>
    <xf numFmtId="0" fontId="5" fillId="2" borderId="0" xfId="1" applyFont="1" applyFill="1"/>
    <xf numFmtId="1" fontId="25" fillId="10" borderId="11" xfId="1" applyNumberFormat="1" applyFont="1" applyFill="1" applyBorder="1" applyAlignment="1">
      <alignment horizontal="center" wrapText="1"/>
    </xf>
    <xf numFmtId="0" fontId="3" fillId="2" borderId="11" xfId="1" applyFill="1" applyBorder="1"/>
    <xf numFmtId="0" fontId="3" fillId="2" borderId="12" xfId="1" applyFill="1" applyBorder="1"/>
    <xf numFmtId="168" fontId="3" fillId="6" borderId="0" xfId="1" applyNumberFormat="1" applyFont="1" applyFill="1" applyBorder="1"/>
    <xf numFmtId="1" fontId="25" fillId="10" borderId="12" xfId="1" applyNumberFormat="1" applyFont="1" applyFill="1" applyBorder="1" applyAlignment="1">
      <alignment horizontal="center" wrapText="1"/>
    </xf>
    <xf numFmtId="164" fontId="4" fillId="2" borderId="0" xfId="3" applyNumberFormat="1" applyFill="1"/>
    <xf numFmtId="0" fontId="8" fillId="0" borderId="11" xfId="1" applyFont="1" applyBorder="1" applyAlignment="1">
      <alignment horizontal="center"/>
    </xf>
    <xf numFmtId="0" fontId="8" fillId="2" borderId="11" xfId="1" applyFont="1" applyFill="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167" fontId="8" fillId="0" borderId="11" xfId="1" applyNumberFormat="1" applyFont="1" applyBorder="1" applyAlignment="1">
      <alignment horizontal="right"/>
    </xf>
    <xf numFmtId="167" fontId="8" fillId="0" borderId="0" xfId="1" applyNumberFormat="1" applyFont="1" applyBorder="1" applyAlignment="1">
      <alignment horizontal="right"/>
    </xf>
    <xf numFmtId="167" fontId="8" fillId="0" borderId="12" xfId="1" applyNumberFormat="1" applyFont="1" applyBorder="1" applyAlignment="1">
      <alignment horizontal="right"/>
    </xf>
    <xf numFmtId="167" fontId="8" fillId="0" borderId="6" xfId="1" applyNumberFormat="1" applyFont="1" applyBorder="1" applyAlignment="1">
      <alignment horizontal="right"/>
    </xf>
    <xf numFmtId="167" fontId="8" fillId="0" borderId="1" xfId="1" applyNumberFormat="1" applyFont="1" applyBorder="1" applyAlignment="1">
      <alignment horizontal="right"/>
    </xf>
    <xf numFmtId="167" fontId="8" fillId="0" borderId="7" xfId="1" applyNumberFormat="1" applyFont="1" applyBorder="1" applyAlignment="1">
      <alignment horizontal="right"/>
    </xf>
    <xf numFmtId="3" fontId="8" fillId="0" borderId="0" xfId="1" applyNumberFormat="1" applyFont="1" applyBorder="1" applyAlignment="1">
      <alignment horizontal="right"/>
    </xf>
    <xf numFmtId="3" fontId="4" fillId="0" borderId="11" xfId="1" applyNumberFormat="1" applyFont="1" applyBorder="1"/>
    <xf numFmtId="3" fontId="4" fillId="0" borderId="12" xfId="1" applyNumberFormat="1" applyFont="1" applyBorder="1"/>
    <xf numFmtId="3" fontId="4" fillId="2" borderId="11" xfId="1" applyNumberFormat="1" applyFont="1" applyFill="1" applyBorder="1"/>
    <xf numFmtId="3" fontId="4" fillId="2" borderId="0" xfId="1" applyNumberFormat="1" applyFont="1" applyFill="1" applyBorder="1"/>
    <xf numFmtId="3" fontId="4" fillId="2" borderId="12" xfId="1" applyNumberFormat="1" applyFont="1" applyFill="1" applyBorder="1"/>
    <xf numFmtId="3" fontId="4" fillId="0" borderId="15" xfId="1" applyNumberFormat="1" applyFont="1" applyBorder="1"/>
    <xf numFmtId="0" fontId="4" fillId="0" borderId="0" xfId="3" applyFont="1" applyFill="1"/>
    <xf numFmtId="9" fontId="8" fillId="0" borderId="6" xfId="1" applyNumberFormat="1" applyFont="1" applyFill="1" applyBorder="1" applyAlignment="1">
      <alignment horizontal="center"/>
    </xf>
    <xf numFmtId="0" fontId="0" fillId="0" borderId="0" xfId="0" applyNumberFormat="1"/>
    <xf numFmtId="0" fontId="6" fillId="0" borderId="0" xfId="1" applyFont="1" applyBorder="1"/>
    <xf numFmtId="0" fontId="0" fillId="0" borderId="0" xfId="0" applyBorder="1"/>
    <xf numFmtId="0" fontId="0" fillId="0" borderId="9" xfId="0" applyBorder="1"/>
    <xf numFmtId="0" fontId="3" fillId="0" borderId="7" xfId="1" applyFill="1" applyBorder="1" applyAlignment="1">
      <alignment vertical="center"/>
    </xf>
    <xf numFmtId="0" fontId="0" fillId="17" borderId="0" xfId="0" applyFill="1"/>
    <xf numFmtId="0" fontId="6" fillId="17" borderId="0" xfId="1" applyFont="1" applyFill="1"/>
    <xf numFmtId="0" fontId="3" fillId="17" borderId="0" xfId="1" applyFill="1"/>
    <xf numFmtId="0" fontId="3" fillId="0" borderId="7" xfId="1" applyBorder="1" applyAlignment="1">
      <alignment vertical="center"/>
    </xf>
    <xf numFmtId="0" fontId="6" fillId="0" borderId="11" xfId="1" applyFont="1" applyBorder="1"/>
    <xf numFmtId="0" fontId="6" fillId="0" borderId="12" xfId="1" applyFont="1" applyBorder="1"/>
    <xf numFmtId="0" fontId="33" fillId="0" borderId="11" xfId="1" applyFont="1" applyBorder="1"/>
    <xf numFmtId="0" fontId="33" fillId="0" borderId="0" xfId="1" applyFont="1" applyBorder="1"/>
    <xf numFmtId="0" fontId="3" fillId="13" borderId="0" xfId="1" applyFill="1" applyBorder="1"/>
    <xf numFmtId="9" fontId="3" fillId="0" borderId="0" xfId="1" applyNumberFormat="1" applyBorder="1"/>
    <xf numFmtId="1" fontId="3" fillId="0" borderId="0" xfId="1" applyNumberFormat="1" applyFill="1" applyBorder="1"/>
    <xf numFmtId="169" fontId="7" fillId="0" borderId="0" xfId="1" applyNumberFormat="1" applyFont="1" applyBorder="1"/>
    <xf numFmtId="10" fontId="3" fillId="0" borderId="0" xfId="1" applyNumberFormat="1" applyBorder="1"/>
    <xf numFmtId="10" fontId="3" fillId="0" borderId="12" xfId="1" applyNumberFormat="1" applyBorder="1"/>
    <xf numFmtId="169" fontId="33" fillId="0" borderId="0" xfId="1" applyNumberFormat="1" applyFont="1" applyBorder="1"/>
    <xf numFmtId="9" fontId="3" fillId="0" borderId="0" xfId="1" applyNumberFormat="1" applyFill="1" applyBorder="1"/>
    <xf numFmtId="167" fontId="33" fillId="0" borderId="0" xfId="1" applyNumberFormat="1" applyFont="1" applyBorder="1"/>
    <xf numFmtId="0" fontId="7" fillId="0" borderId="11" xfId="1" applyFont="1" applyFill="1" applyBorder="1"/>
    <xf numFmtId="167" fontId="7" fillId="0" borderId="0" xfId="1" applyNumberFormat="1" applyFont="1" applyFill="1" applyBorder="1"/>
    <xf numFmtId="0" fontId="3" fillId="0" borderId="11" xfId="1" applyFill="1" applyBorder="1"/>
    <xf numFmtId="0" fontId="3" fillId="0" borderId="12" xfId="1" applyFill="1" applyBorder="1"/>
    <xf numFmtId="0" fontId="33" fillId="0" borderId="11" xfId="1" applyFont="1" applyFill="1" applyBorder="1"/>
    <xf numFmtId="0" fontId="0" fillId="0" borderId="12" xfId="0" applyBorder="1"/>
    <xf numFmtId="6" fontId="3" fillId="0" borderId="0" xfId="1" applyNumberFormat="1" applyBorder="1"/>
    <xf numFmtId="170" fontId="3" fillId="0" borderId="0" xfId="1" applyNumberFormat="1" applyBorder="1"/>
    <xf numFmtId="174" fontId="3" fillId="0" borderId="0" xfId="1" applyNumberFormat="1" applyBorder="1"/>
    <xf numFmtId="171" fontId="33" fillId="0" borderId="0" xfId="1" applyNumberFormat="1" applyFont="1" applyBorder="1"/>
    <xf numFmtId="0" fontId="0" fillId="0" borderId="7" xfId="0" applyBorder="1"/>
    <xf numFmtId="9" fontId="33" fillId="0" borderId="0" xfId="1" applyNumberFormat="1" applyFont="1" applyFill="1" applyBorder="1"/>
    <xf numFmtId="169" fontId="4" fillId="0" borderId="0" xfId="1" applyNumberFormat="1" applyFont="1" applyBorder="1"/>
    <xf numFmtId="169" fontId="3" fillId="0" borderId="0" xfId="1" applyNumberFormat="1" applyBorder="1"/>
    <xf numFmtId="171" fontId="3" fillId="0" borderId="0" xfId="1" applyNumberFormat="1" applyBorder="1"/>
    <xf numFmtId="8" fontId="3" fillId="0" borderId="0" xfId="1" applyNumberFormat="1" applyBorder="1"/>
    <xf numFmtId="9" fontId="3" fillId="0" borderId="12" xfId="1" applyNumberFormat="1" applyBorder="1"/>
    <xf numFmtId="0" fontId="3" fillId="0" borderId="1" xfId="1" applyFill="1" applyBorder="1"/>
    <xf numFmtId="9" fontId="8" fillId="0" borderId="0" xfId="1" quotePrefix="1" applyNumberFormat="1" applyFont="1"/>
    <xf numFmtId="0" fontId="3" fillId="0" borderId="8" xfId="1" applyFill="1" applyBorder="1" applyAlignment="1">
      <alignment horizontal="center" vertical="center" wrapText="1"/>
    </xf>
    <xf numFmtId="0" fontId="3" fillId="0" borderId="9" xfId="1" applyFill="1" applyBorder="1" applyAlignment="1">
      <alignment horizontal="center" vertical="center" wrapText="1"/>
    </xf>
    <xf numFmtId="43" fontId="3" fillId="0" borderId="0" xfId="9" quotePrefix="1" applyNumberFormat="1" applyFont="1" applyFill="1" applyBorder="1"/>
    <xf numFmtId="0" fontId="4" fillId="0" borderId="8" xfId="1" applyFont="1" applyFill="1" applyBorder="1" applyAlignment="1">
      <alignment horizontal="center" vertical="center" wrapText="1"/>
    </xf>
    <xf numFmtId="0" fontId="4" fillId="0" borderId="10" xfId="1" applyFont="1" applyFill="1" applyBorder="1" applyAlignment="1">
      <alignment horizontal="center" vertical="center" wrapText="1"/>
    </xf>
    <xf numFmtId="0" fontId="3" fillId="0" borderId="9" xfId="1" applyFill="1" applyBorder="1" applyAlignment="1">
      <alignment horizontal="center" vertical="center"/>
    </xf>
    <xf numFmtId="0" fontId="3" fillId="11" borderId="11" xfId="1" applyFill="1" applyBorder="1" applyAlignment="1">
      <alignment horizontal="center" vertical="center" wrapText="1"/>
    </xf>
    <xf numFmtId="0" fontId="3" fillId="11" borderId="12" xfId="1" applyFill="1" applyBorder="1" applyAlignment="1">
      <alignment horizontal="center" vertical="center" wrapText="1"/>
    </xf>
    <xf numFmtId="176" fontId="0" fillId="0" borderId="0" xfId="0" applyNumberFormat="1"/>
    <xf numFmtId="171" fontId="5" fillId="2" borderId="0" xfId="1" applyNumberFormat="1" applyFont="1" applyFill="1"/>
    <xf numFmtId="0" fontId="23" fillId="18" borderId="0" xfId="0" applyFont="1" applyFill="1" applyBorder="1" applyAlignment="1">
      <alignment horizontal="center"/>
    </xf>
    <xf numFmtId="0" fontId="23" fillId="18" borderId="0" xfId="0" applyFont="1" applyFill="1" applyAlignment="1">
      <alignment horizontal="center"/>
    </xf>
    <xf numFmtId="0" fontId="6" fillId="9" borderId="0" xfId="1" applyFont="1" applyFill="1" applyBorder="1" applyAlignment="1">
      <alignment horizontal="left"/>
    </xf>
    <xf numFmtId="0" fontId="0" fillId="9" borderId="0" xfId="0" applyFill="1"/>
    <xf numFmtId="0" fontId="3" fillId="0" borderId="6" xfId="1" applyFill="1" applyBorder="1"/>
    <xf numFmtId="0" fontId="3" fillId="0" borderId="7" xfId="1" applyFill="1" applyBorder="1"/>
    <xf numFmtId="171" fontId="3" fillId="0" borderId="0" xfId="1" applyNumberFormat="1" applyFill="1" applyBorder="1"/>
    <xf numFmtId="171" fontId="3" fillId="0" borderId="1" xfId="1" applyNumberFormat="1" applyFill="1" applyBorder="1"/>
    <xf numFmtId="0" fontId="6" fillId="0" borderId="3" xfId="1" applyFont="1" applyBorder="1" applyAlignment="1"/>
    <xf numFmtId="0" fontId="6" fillId="0" borderId="5" xfId="1" applyFont="1" applyBorder="1" applyAlignment="1"/>
    <xf numFmtId="9" fontId="5" fillId="2" borderId="0" xfId="1" applyNumberFormat="1" applyFont="1" applyFill="1"/>
    <xf numFmtId="4" fontId="0" fillId="0" borderId="0" xfId="0" quotePrefix="1" applyNumberFormat="1"/>
    <xf numFmtId="0" fontId="23" fillId="0" borderId="2" xfId="2" applyFont="1" applyBorder="1" applyAlignment="1">
      <alignment horizontal="center" vertical="center"/>
    </xf>
    <xf numFmtId="171" fontId="30" fillId="6" borderId="2" xfId="1" applyNumberFormat="1" applyFont="1" applyFill="1" applyBorder="1"/>
    <xf numFmtId="0" fontId="23" fillId="0" borderId="2" xfId="0" applyFont="1" applyBorder="1"/>
    <xf numFmtId="0" fontId="23" fillId="0" borderId="2" xfId="2" applyFont="1" applyBorder="1" applyAlignment="1">
      <alignment horizontal="left" vertical="center"/>
    </xf>
    <xf numFmtId="171" fontId="34" fillId="0" borderId="2" xfId="1" applyNumberFormat="1" applyFont="1" applyFill="1" applyBorder="1"/>
    <xf numFmtId="0" fontId="3" fillId="2" borderId="13" xfId="1" applyFill="1" applyBorder="1"/>
    <xf numFmtId="0" fontId="8" fillId="0" borderId="11" xfId="1" applyFont="1" applyFill="1" applyBorder="1" applyAlignment="1">
      <alignment horizontal="center"/>
    </xf>
    <xf numFmtId="0" fontId="26" fillId="0" borderId="11" xfId="14" applyFont="1" applyFill="1" applyBorder="1" applyAlignment="1">
      <alignment horizontal="center"/>
    </xf>
    <xf numFmtId="0" fontId="8" fillId="0" borderId="6" xfId="1" applyFont="1" applyFill="1" applyBorder="1" applyAlignment="1">
      <alignment horizontal="center"/>
    </xf>
    <xf numFmtId="0" fontId="4" fillId="0" borderId="12" xfId="1" applyFont="1" applyFill="1" applyBorder="1" applyAlignment="1">
      <alignment horizontal="center"/>
    </xf>
    <xf numFmtId="171" fontId="4" fillId="0" borderId="12" xfId="1" applyNumberFormat="1" applyFont="1" applyFill="1" applyBorder="1" applyAlignment="1">
      <alignment horizontal="center"/>
    </xf>
    <xf numFmtId="0" fontId="27" fillId="0" borderId="12" xfId="14" applyFont="1" applyFill="1" applyBorder="1" applyAlignment="1">
      <alignment horizontal="center"/>
    </xf>
    <xf numFmtId="1" fontId="26" fillId="0" borderId="11" xfId="14" applyNumberFormat="1" applyFont="1" applyFill="1" applyBorder="1" applyAlignment="1">
      <alignment horizontal="center"/>
    </xf>
    <xf numFmtId="0" fontId="4" fillId="0" borderId="7" xfId="1" applyFont="1" applyFill="1" applyBorder="1" applyAlignment="1">
      <alignment horizontal="center"/>
    </xf>
    <xf numFmtId="0" fontId="8" fillId="0" borderId="0" xfId="1" applyFont="1" applyFill="1" applyBorder="1" applyAlignment="1">
      <alignment horizontal="center"/>
    </xf>
    <xf numFmtId="0" fontId="8" fillId="0" borderId="1" xfId="1" applyFont="1" applyFill="1" applyBorder="1" applyAlignment="1">
      <alignment horizontal="center"/>
    </xf>
    <xf numFmtId="2" fontId="8" fillId="0" borderId="0" xfId="1" applyNumberFormat="1" applyFont="1" applyBorder="1" applyAlignment="1">
      <alignment horizontal="center"/>
    </xf>
    <xf numFmtId="2" fontId="8" fillId="0" borderId="0" xfId="1" applyNumberFormat="1" applyFont="1" applyFill="1" applyBorder="1" applyAlignment="1">
      <alignment horizontal="center"/>
    </xf>
    <xf numFmtId="2" fontId="8" fillId="2" borderId="0" xfId="1" applyNumberFormat="1" applyFont="1" applyFill="1" applyBorder="1" applyAlignment="1">
      <alignment horizontal="center"/>
    </xf>
    <xf numFmtId="0" fontId="8" fillId="0" borderId="0" xfId="1" applyFont="1" applyFill="1" applyBorder="1" applyAlignment="1">
      <alignment horizontal="center" vertical="center"/>
    </xf>
    <xf numFmtId="0" fontId="8" fillId="2" borderId="0" xfId="1" applyFont="1" applyFill="1" applyBorder="1" applyAlignment="1">
      <alignment horizontal="center" vertical="center"/>
    </xf>
    <xf numFmtId="169" fontId="8" fillId="0" borderId="0" xfId="1" applyNumberFormat="1" applyFont="1" applyFill="1" applyBorder="1" applyAlignment="1">
      <alignment horizontal="center"/>
    </xf>
    <xf numFmtId="169" fontId="8" fillId="0" borderId="0" xfId="24" applyNumberFormat="1" applyFont="1" applyBorder="1" applyAlignment="1">
      <alignment horizontal="center"/>
    </xf>
    <xf numFmtId="169" fontId="8" fillId="0" borderId="0" xfId="1" applyNumberFormat="1" applyFont="1" applyBorder="1" applyAlignment="1">
      <alignment horizontal="center"/>
    </xf>
    <xf numFmtId="169" fontId="4" fillId="0" borderId="0" xfId="1" applyNumberFormat="1" applyFont="1" applyFill="1" applyBorder="1" applyAlignment="1">
      <alignment horizontal="center"/>
    </xf>
    <xf numFmtId="169" fontId="4" fillId="2" borderId="0" xfId="1" applyNumberFormat="1" applyFont="1" applyFill="1" applyBorder="1" applyAlignment="1">
      <alignment horizontal="center"/>
    </xf>
    <xf numFmtId="0" fontId="3" fillId="2" borderId="8" xfId="1" applyFill="1" applyBorder="1"/>
    <xf numFmtId="0" fontId="3" fillId="2" borderId="10" xfId="1" applyFill="1" applyBorder="1"/>
    <xf numFmtId="0" fontId="8" fillId="2" borderId="10" xfId="1" applyFont="1" applyFill="1" applyBorder="1"/>
    <xf numFmtId="0" fontId="3" fillId="2" borderId="9" xfId="1" applyFill="1" applyBorder="1"/>
    <xf numFmtId="9" fontId="8" fillId="0" borderId="12" xfId="1" applyNumberFormat="1" applyFont="1" applyBorder="1" applyAlignment="1">
      <alignment horizontal="center"/>
    </xf>
    <xf numFmtId="9" fontId="8" fillId="0" borderId="1" xfId="1" applyNumberFormat="1" applyFont="1" applyBorder="1" applyAlignment="1">
      <alignment horizontal="center"/>
    </xf>
    <xf numFmtId="9" fontId="8" fillId="0" borderId="7" xfId="1" applyNumberFormat="1" applyFont="1" applyBorder="1" applyAlignment="1">
      <alignment horizontal="center"/>
    </xf>
    <xf numFmtId="2" fontId="8" fillId="0" borderId="12" xfId="1" applyNumberFormat="1" applyFont="1" applyBorder="1" applyAlignment="1">
      <alignment horizontal="center"/>
    </xf>
    <xf numFmtId="2" fontId="8" fillId="0" borderId="12" xfId="1" applyNumberFormat="1" applyFont="1" applyFill="1" applyBorder="1" applyAlignment="1">
      <alignment horizontal="center"/>
    </xf>
    <xf numFmtId="2" fontId="8" fillId="2" borderId="12" xfId="1" applyNumberFormat="1" applyFont="1" applyFill="1" applyBorder="1" applyAlignment="1">
      <alignment horizontal="center"/>
    </xf>
    <xf numFmtId="2" fontId="8" fillId="0" borderId="6" xfId="1" applyNumberFormat="1" applyFont="1" applyFill="1" applyBorder="1" applyAlignment="1">
      <alignment horizontal="center"/>
    </xf>
    <xf numFmtId="2" fontId="8" fillId="0" borderId="1" xfId="1" applyNumberFormat="1" applyFont="1" applyFill="1" applyBorder="1" applyAlignment="1">
      <alignment horizontal="center"/>
    </xf>
    <xf numFmtId="2" fontId="8" fillId="0" borderId="7" xfId="1" applyNumberFormat="1" applyFont="1" applyFill="1" applyBorder="1" applyAlignment="1">
      <alignment horizontal="center"/>
    </xf>
    <xf numFmtId="0" fontId="3" fillId="2" borderId="8" xfId="1" applyFill="1" applyBorder="1" applyAlignment="1">
      <alignment horizontal="center" vertical="center"/>
    </xf>
    <xf numFmtId="0" fontId="3" fillId="2" borderId="10" xfId="1" applyFill="1" applyBorder="1" applyAlignment="1">
      <alignment horizontal="center" vertical="center"/>
    </xf>
    <xf numFmtId="0" fontId="3" fillId="2" borderId="9" xfId="1" applyFill="1" applyBorder="1" applyAlignment="1">
      <alignment horizontal="center" vertical="center"/>
    </xf>
    <xf numFmtId="0" fontId="8" fillId="0" borderId="11" xfId="1" applyFont="1" applyFill="1" applyBorder="1" applyAlignment="1">
      <alignment horizontal="center" vertical="center"/>
    </xf>
    <xf numFmtId="0" fontId="8" fillId="2" borderId="11"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1" xfId="1" applyFont="1" applyFill="1" applyBorder="1" applyAlignment="1">
      <alignment horizontal="center" vertical="center"/>
    </xf>
    <xf numFmtId="169" fontId="8" fillId="0" borderId="12" xfId="1" applyNumberFormat="1" applyFont="1" applyFill="1" applyBorder="1" applyAlignment="1">
      <alignment horizontal="center"/>
    </xf>
    <xf numFmtId="169" fontId="8" fillId="0" borderId="1" xfId="1" applyNumberFormat="1" applyFont="1" applyFill="1" applyBorder="1" applyAlignment="1">
      <alignment horizontal="center"/>
    </xf>
    <xf numFmtId="169" fontId="8" fillId="0" borderId="7" xfId="1" applyNumberFormat="1" applyFont="1" applyFill="1" applyBorder="1" applyAlignment="1">
      <alignment horizontal="center"/>
    </xf>
    <xf numFmtId="44" fontId="8" fillId="0" borderId="12" xfId="24" applyFont="1" applyFill="1" applyBorder="1" applyAlignment="1">
      <alignment horizontal="center"/>
    </xf>
    <xf numFmtId="44" fontId="8" fillId="0" borderId="12" xfId="24" applyFont="1" applyBorder="1" applyAlignment="1">
      <alignment horizontal="center"/>
    </xf>
    <xf numFmtId="8" fontId="8" fillId="0" borderId="12" xfId="1" applyNumberFormat="1" applyFont="1" applyFill="1" applyBorder="1" applyAlignment="1">
      <alignment horizontal="center"/>
    </xf>
    <xf numFmtId="44" fontId="8" fillId="0" borderId="7" xfId="24" applyFont="1" applyFill="1" applyBorder="1" applyAlignment="1">
      <alignment horizontal="center"/>
    </xf>
    <xf numFmtId="169" fontId="8" fillId="0" borderId="7" xfId="24" applyNumberFormat="1" applyFont="1" applyFill="1" applyBorder="1" applyAlignment="1">
      <alignment horizontal="center"/>
    </xf>
    <xf numFmtId="169" fontId="4" fillId="0" borderId="1" xfId="1" applyNumberFormat="1" applyFont="1" applyFill="1" applyBorder="1" applyAlignment="1">
      <alignment horizontal="center"/>
    </xf>
    <xf numFmtId="169" fontId="4" fillId="0" borderId="1" xfId="1" applyNumberFormat="1" applyFont="1" applyBorder="1" applyAlignment="1">
      <alignment horizontal="center"/>
    </xf>
    <xf numFmtId="169" fontId="4" fillId="0" borderId="7" xfId="1" applyNumberFormat="1" applyFont="1" applyBorder="1" applyAlignment="1">
      <alignment horizontal="center"/>
    </xf>
    <xf numFmtId="169" fontId="4" fillId="0" borderId="11" xfId="1" applyNumberFormat="1" applyFont="1" applyFill="1" applyBorder="1" applyAlignment="1">
      <alignment horizontal="center"/>
    </xf>
    <xf numFmtId="169" fontId="4" fillId="2" borderId="11" xfId="1" applyNumberFormat="1" applyFont="1" applyFill="1" applyBorder="1" applyAlignment="1">
      <alignment horizontal="center"/>
    </xf>
    <xf numFmtId="169" fontId="4" fillId="0" borderId="6" xfId="1" applyNumberFormat="1" applyFont="1" applyBorder="1" applyAlignment="1">
      <alignment horizontal="center"/>
    </xf>
    <xf numFmtId="1" fontId="25" fillId="10" borderId="6" xfId="1" applyNumberFormat="1" applyFont="1" applyFill="1" applyBorder="1" applyAlignment="1">
      <alignment horizontal="center" wrapText="1"/>
    </xf>
    <xf numFmtId="1" fontId="25" fillId="10" borderId="7" xfId="1" applyNumberFormat="1" applyFont="1" applyFill="1" applyBorder="1" applyAlignment="1">
      <alignment horizontal="center" wrapText="1"/>
    </xf>
    <xf numFmtId="2" fontId="25" fillId="0" borderId="8" xfId="1" applyNumberFormat="1" applyFont="1" applyFill="1" applyBorder="1" applyAlignment="1">
      <alignment horizontal="center" vertical="center" wrapText="1"/>
    </xf>
    <xf numFmtId="2" fontId="25" fillId="0" borderId="9" xfId="1" applyNumberFormat="1" applyFont="1" applyFill="1" applyBorder="1" applyAlignment="1">
      <alignment horizontal="center" vertical="center" wrapText="1"/>
    </xf>
    <xf numFmtId="169" fontId="3" fillId="2" borderId="13" xfId="1" applyNumberFormat="1" applyFill="1" applyBorder="1"/>
    <xf numFmtId="169" fontId="8" fillId="0" borderId="14" xfId="1" applyNumberFormat="1" applyFont="1" applyFill="1" applyBorder="1" applyAlignment="1">
      <alignment horizontal="center" vertical="center"/>
    </xf>
    <xf numFmtId="169" fontId="0" fillId="0" borderId="14" xfId="0" applyNumberFormat="1" applyBorder="1"/>
    <xf numFmtId="169" fontId="8" fillId="0" borderId="15" xfId="1" applyNumberFormat="1" applyFont="1" applyFill="1" applyBorder="1" applyAlignment="1">
      <alignment horizontal="center" vertical="center"/>
    </xf>
    <xf numFmtId="0" fontId="6" fillId="0" borderId="2" xfId="1" applyFont="1" applyBorder="1" applyAlignment="1">
      <alignment horizontal="center" vertical="center" wrapText="1"/>
    </xf>
    <xf numFmtId="1" fontId="0" fillId="0" borderId="0" xfId="0" applyNumberFormat="1"/>
    <xf numFmtId="0" fontId="3" fillId="0" borderId="0" xfId="2" applyFont="1" applyFill="1" applyBorder="1" applyAlignment="1">
      <alignment horizontal="left" vertical="center" wrapText="1"/>
    </xf>
    <xf numFmtId="168" fontId="3" fillId="0" borderId="0" xfId="1" applyNumberFormat="1" applyFont="1" applyFill="1" applyBorder="1"/>
    <xf numFmtId="0" fontId="23" fillId="18" borderId="0" xfId="0" applyFont="1" applyFill="1" applyAlignment="1">
      <alignment horizontal="left"/>
    </xf>
    <xf numFmtId="0" fontId="6" fillId="3" borderId="0" xfId="1" applyFont="1" applyFill="1" applyAlignment="1">
      <alignment horizontal="center"/>
    </xf>
    <xf numFmtId="3" fontId="4" fillId="2" borderId="0" xfId="3" applyNumberFormat="1" applyFill="1"/>
    <xf numFmtId="3" fontId="8" fillId="0" borderId="0" xfId="3" applyNumberFormat="1" applyFont="1"/>
    <xf numFmtId="3" fontId="4" fillId="0" borderId="0" xfId="3" applyNumberFormat="1" applyFont="1" applyFill="1"/>
    <xf numFmtId="3" fontId="4" fillId="0" borderId="0" xfId="3" applyNumberFormat="1" applyFont="1"/>
    <xf numFmtId="175" fontId="0" fillId="0" borderId="0" xfId="0" applyNumberFormat="1"/>
    <xf numFmtId="175" fontId="5" fillId="2" borderId="0" xfId="1" applyNumberFormat="1" applyFont="1" applyFill="1"/>
    <xf numFmtId="0" fontId="8" fillId="0" borderId="14" xfId="1" applyFont="1" applyBorder="1" applyAlignment="1">
      <alignment horizontal="center"/>
    </xf>
    <xf numFmtId="0" fontId="3" fillId="0" borderId="14" xfId="1" applyBorder="1" applyAlignment="1">
      <alignment horizontal="center"/>
    </xf>
    <xf numFmtId="0" fontId="8" fillId="0" borderId="15" xfId="1" applyFont="1" applyBorder="1" applyAlignment="1">
      <alignment horizontal="center"/>
    </xf>
    <xf numFmtId="9" fontId="3" fillId="0" borderId="11" xfId="7" applyFont="1" applyFill="1" applyBorder="1" applyAlignment="1">
      <alignment horizontal="center"/>
    </xf>
    <xf numFmtId="9" fontId="3" fillId="0" borderId="12" xfId="7" applyFont="1" applyFill="1" applyBorder="1" applyAlignment="1">
      <alignment horizontal="center"/>
    </xf>
    <xf numFmtId="9" fontId="3" fillId="0" borderId="11" xfId="7" applyFont="1" applyBorder="1" applyAlignment="1">
      <alignment horizontal="center"/>
    </xf>
    <xf numFmtId="9" fontId="3" fillId="0" borderId="0" xfId="7" applyFont="1" applyBorder="1" applyAlignment="1">
      <alignment horizontal="center"/>
    </xf>
    <xf numFmtId="9" fontId="3" fillId="0" borderId="12" xfId="7" applyFont="1" applyBorder="1" applyAlignment="1">
      <alignment horizontal="center"/>
    </xf>
    <xf numFmtId="0" fontId="3" fillId="2" borderId="11" xfId="1" applyFill="1" applyBorder="1" applyAlignment="1">
      <alignment horizontal="center"/>
    </xf>
    <xf numFmtId="0" fontId="3" fillId="2" borderId="0" xfId="1" applyFill="1" applyBorder="1" applyAlignment="1">
      <alignment horizontal="center"/>
    </xf>
    <xf numFmtId="0" fontId="3" fillId="2" borderId="12" xfId="1" applyFill="1" applyBorder="1" applyAlignment="1">
      <alignment horizontal="center"/>
    </xf>
    <xf numFmtId="9" fontId="3" fillId="0" borderId="6" xfId="7" applyFont="1" applyFill="1" applyBorder="1" applyAlignment="1">
      <alignment horizontal="center"/>
    </xf>
    <xf numFmtId="9" fontId="3" fillId="0" borderId="7" xfId="7" applyFont="1" applyFill="1" applyBorder="1" applyAlignment="1">
      <alignment horizontal="center"/>
    </xf>
    <xf numFmtId="0" fontId="6" fillId="0" borderId="10" xfId="1" applyFont="1" applyBorder="1" applyAlignment="1">
      <alignment horizontal="center" vertical="center" wrapText="1"/>
    </xf>
    <xf numFmtId="0" fontId="6" fillId="0" borderId="2" xfId="1" applyFont="1" applyFill="1" applyBorder="1" applyAlignment="1">
      <alignment horizontal="center" vertical="center" wrapText="1"/>
    </xf>
    <xf numFmtId="0" fontId="0" fillId="6" borderId="0" xfId="0" applyFill="1"/>
    <xf numFmtId="0" fontId="0" fillId="19" borderId="0" xfId="0" applyFill="1"/>
    <xf numFmtId="0" fontId="0" fillId="20" borderId="0" xfId="0" applyFill="1"/>
    <xf numFmtId="0" fontId="0" fillId="0" borderId="0" xfId="0" applyAlignment="1">
      <alignment horizontal="left" wrapText="1"/>
    </xf>
    <xf numFmtId="9" fontId="3" fillId="0" borderId="0" xfId="7" applyFont="1" applyFill="1" applyBorder="1" applyAlignment="1">
      <alignment horizontal="center"/>
    </xf>
    <xf numFmtId="9" fontId="8" fillId="0" borderId="0" xfId="1" applyNumberFormat="1" applyFont="1" applyFill="1" applyBorder="1" applyAlignment="1">
      <alignment horizontal="center"/>
    </xf>
    <xf numFmtId="0" fontId="6" fillId="3" borderId="10" xfId="1" applyFont="1" applyFill="1" applyBorder="1" applyAlignment="1">
      <alignment horizontal="left" wrapText="1"/>
    </xf>
    <xf numFmtId="0" fontId="0" fillId="49" borderId="0" xfId="0" applyFill="1"/>
    <xf numFmtId="0" fontId="6" fillId="13" borderId="0" xfId="1" applyFont="1" applyFill="1" applyBorder="1" applyAlignment="1">
      <alignment horizontal="left" wrapText="1"/>
    </xf>
    <xf numFmtId="3" fontId="7" fillId="0" borderId="11" xfId="1" applyNumberFormat="1" applyFont="1" applyBorder="1"/>
    <xf numFmtId="168" fontId="3" fillId="49" borderId="0" xfId="1" applyNumberFormat="1" applyFont="1" applyFill="1" applyBorder="1"/>
    <xf numFmtId="0" fontId="0" fillId="13" borderId="0" xfId="0" applyFill="1"/>
    <xf numFmtId="167" fontId="4" fillId="0" borderId="7" xfId="1" applyNumberFormat="1" applyFont="1" applyBorder="1" applyAlignment="1">
      <alignment horizontal="right"/>
    </xf>
    <xf numFmtId="0" fontId="3" fillId="0" borderId="0" xfId="1"/>
    <xf numFmtId="167" fontId="3" fillId="0" borderId="0" xfId="1" applyNumberFormat="1"/>
    <xf numFmtId="0" fontId="3" fillId="2" borderId="0" xfId="1" applyFill="1"/>
    <xf numFmtId="0" fontId="3" fillId="0" borderId="0" xfId="1" applyAlignment="1"/>
    <xf numFmtId="0" fontId="3" fillId="0" borderId="0" xfId="1" quotePrefix="1"/>
    <xf numFmtId="0" fontId="3" fillId="0" borderId="0" xfId="1" quotePrefix="1" applyAlignment="1">
      <alignment horizontal="center"/>
    </xf>
    <xf numFmtId="10" fontId="35" fillId="0" borderId="0" xfId="7" applyNumberFormat="1" applyFont="1"/>
    <xf numFmtId="171" fontId="3" fillId="0" borderId="0" xfId="1" applyNumberFormat="1"/>
    <xf numFmtId="1" fontId="4" fillId="0" borderId="0" xfId="1" applyNumberFormat="1" applyFont="1" applyFill="1" applyBorder="1" applyAlignment="1">
      <alignment horizontal="center"/>
    </xf>
    <xf numFmtId="167" fontId="4" fillId="0" borderId="6" xfId="1" applyNumberFormat="1" applyFont="1" applyBorder="1" applyAlignment="1">
      <alignment horizontal="right"/>
    </xf>
    <xf numFmtId="167" fontId="4" fillId="0" borderId="1" xfId="1" applyNumberFormat="1" applyFont="1" applyBorder="1" applyAlignment="1">
      <alignment horizontal="right"/>
    </xf>
    <xf numFmtId="0" fontId="6" fillId="3" borderId="0" xfId="1" applyFont="1" applyFill="1" applyBorder="1" applyAlignment="1">
      <alignment horizontal="left" wrapText="1"/>
    </xf>
    <xf numFmtId="0" fontId="3" fillId="49" borderId="0" xfId="1" applyFont="1" applyFill="1" applyBorder="1"/>
    <xf numFmtId="0" fontId="0" fillId="52" borderId="0" xfId="0" applyFill="1"/>
    <xf numFmtId="0" fontId="6" fillId="49" borderId="0" xfId="1" applyFont="1" applyFill="1" applyBorder="1"/>
    <xf numFmtId="167" fontId="4" fillId="0" borderId="12" xfId="1" applyNumberFormat="1" applyFont="1" applyBorder="1" applyAlignment="1">
      <alignment horizontal="right"/>
    </xf>
    <xf numFmtId="3" fontId="7" fillId="2" borderId="11" xfId="1" applyNumberFormat="1" applyFont="1" applyFill="1" applyBorder="1"/>
    <xf numFmtId="0" fontId="0" fillId="0" borderId="0" xfId="0" applyFill="1" applyAlignment="1">
      <alignment horizontal="left" wrapText="1"/>
    </xf>
    <xf numFmtId="0" fontId="6" fillId="0" borderId="4" xfId="1" applyFont="1" applyFill="1" applyBorder="1"/>
    <xf numFmtId="0" fontId="6" fillId="0" borderId="3" xfId="1" applyFont="1" applyBorder="1"/>
    <xf numFmtId="0" fontId="0" fillId="48" borderId="0" xfId="0" applyFill="1"/>
    <xf numFmtId="3" fontId="4" fillId="0" borderId="6" xfId="1" applyNumberFormat="1" applyFont="1" applyBorder="1"/>
    <xf numFmtId="0" fontId="0" fillId="0" borderId="1" xfId="0" applyBorder="1"/>
    <xf numFmtId="0" fontId="4" fillId="0" borderId="0" xfId="1" applyFont="1" applyBorder="1" applyAlignment="1">
      <alignment horizontal="center"/>
    </xf>
    <xf numFmtId="0" fontId="6" fillId="13" borderId="9" xfId="1" applyFont="1" applyFill="1" applyBorder="1" applyAlignment="1">
      <alignment horizontal="left" wrapText="1"/>
    </xf>
    <xf numFmtId="0" fontId="4" fillId="0" borderId="14" xfId="1" applyFont="1" applyBorder="1"/>
    <xf numFmtId="0" fontId="4" fillId="0" borderId="0" xfId="1" applyFont="1" applyFill="1" applyBorder="1" applyAlignment="1">
      <alignment horizontal="center"/>
    </xf>
    <xf numFmtId="0" fontId="3" fillId="49" borderId="0" xfId="2" applyFont="1" applyFill="1" applyBorder="1" applyAlignment="1">
      <alignment horizontal="left" vertical="center" wrapText="1"/>
    </xf>
    <xf numFmtId="0" fontId="0" fillId="47" borderId="0" xfId="0" applyFill="1"/>
    <xf numFmtId="0" fontId="6" fillId="13" borderId="10" xfId="1" applyFont="1" applyFill="1" applyBorder="1" applyAlignment="1">
      <alignment horizontal="left" wrapText="1"/>
    </xf>
    <xf numFmtId="0" fontId="3" fillId="0" borderId="0" xfId="1"/>
    <xf numFmtId="0" fontId="3" fillId="0" borderId="13" xfId="1" applyBorder="1"/>
    <xf numFmtId="0" fontId="3" fillId="0" borderId="0" xfId="1" applyFill="1"/>
    <xf numFmtId="0" fontId="6" fillId="0" borderId="0" xfId="1" applyFont="1"/>
    <xf numFmtId="0" fontId="3" fillId="2" borderId="0" xfId="1" applyFill="1"/>
    <xf numFmtId="0" fontId="6" fillId="2" borderId="0" xfId="1" applyFont="1" applyFill="1"/>
    <xf numFmtId="0" fontId="3" fillId="0" borderId="0" xfId="1" quotePrefix="1"/>
    <xf numFmtId="0" fontId="3" fillId="0" borderId="0" xfId="1" quotePrefix="1" applyAlignment="1">
      <alignment horizontal="center"/>
    </xf>
    <xf numFmtId="10" fontId="35" fillId="0" borderId="0" xfId="7" applyNumberFormat="1" applyFont="1"/>
    <xf numFmtId="167" fontId="4" fillId="0" borderId="0" xfId="1" applyNumberFormat="1" applyFont="1" applyBorder="1" applyAlignment="1">
      <alignment horizontal="right"/>
    </xf>
    <xf numFmtId="0" fontId="0" fillId="51" borderId="0" xfId="0" applyFill="1"/>
    <xf numFmtId="0" fontId="0" fillId="21" borderId="0" xfId="0" applyFill="1"/>
    <xf numFmtId="0" fontId="0" fillId="50" borderId="0" xfId="0" applyFill="1"/>
    <xf numFmtId="167" fontId="4" fillId="0" borderId="11" xfId="1" applyNumberFormat="1" applyFont="1" applyBorder="1" applyAlignment="1">
      <alignment horizontal="right"/>
    </xf>
    <xf numFmtId="0" fontId="3" fillId="0" borderId="0" xfId="1"/>
    <xf numFmtId="167" fontId="3" fillId="0" borderId="0" xfId="1" applyNumberFormat="1"/>
    <xf numFmtId="0" fontId="4" fillId="0" borderId="0" xfId="30"/>
    <xf numFmtId="0" fontId="4" fillId="0" borderId="0" xfId="30" applyFill="1"/>
    <xf numFmtId="0" fontId="3" fillId="0" borderId="0" xfId="1"/>
    <xf numFmtId="0" fontId="3" fillId="0" borderId="0" xfId="1" applyFill="1"/>
    <xf numFmtId="0" fontId="3" fillId="2" borderId="0" xfId="1" applyFill="1"/>
    <xf numFmtId="0" fontId="3" fillId="0" borderId="0" xfId="1" quotePrefix="1"/>
    <xf numFmtId="0" fontId="3" fillId="0" borderId="0" xfId="1" quotePrefix="1" applyAlignment="1">
      <alignment horizontal="center"/>
    </xf>
    <xf numFmtId="0" fontId="3" fillId="0" borderId="0" xfId="1"/>
    <xf numFmtId="3" fontId="3" fillId="0" borderId="11" xfId="1" applyNumberFormat="1" applyBorder="1"/>
    <xf numFmtId="0" fontId="3" fillId="0" borderId="0" xfId="1" applyFill="1"/>
    <xf numFmtId="167" fontId="4" fillId="0" borderId="7" xfId="1" applyNumberFormat="1" applyFont="1" applyBorder="1"/>
    <xf numFmtId="167" fontId="4" fillId="0" borderId="12" xfId="1" applyNumberFormat="1" applyFont="1" applyBorder="1"/>
    <xf numFmtId="167" fontId="4" fillId="0" borderId="0" xfId="1" applyNumberFormat="1" applyFont="1" applyBorder="1"/>
    <xf numFmtId="0" fontId="6" fillId="0" borderId="0" xfId="1" applyFont="1"/>
    <xf numFmtId="0" fontId="4" fillId="2" borderId="11" xfId="1" applyFont="1" applyFill="1" applyBorder="1"/>
    <xf numFmtId="0" fontId="4" fillId="2" borderId="12" xfId="1" applyFont="1" applyFill="1" applyBorder="1"/>
    <xf numFmtId="0" fontId="4" fillId="2" borderId="0" xfId="1" applyFont="1" applyFill="1" applyBorder="1"/>
    <xf numFmtId="0" fontId="3" fillId="2" borderId="0" xfId="1" applyFill="1"/>
    <xf numFmtId="0" fontId="6" fillId="2" borderId="0" xfId="1" applyFont="1" applyFill="1"/>
    <xf numFmtId="0" fontId="4" fillId="0" borderId="12" xfId="1" applyFont="1" applyBorder="1"/>
    <xf numFmtId="0" fontId="4" fillId="0" borderId="0" xfId="1" applyFont="1" applyBorder="1"/>
    <xf numFmtId="0" fontId="4" fillId="0" borderId="11" xfId="1" applyFont="1" applyBorder="1"/>
    <xf numFmtId="0" fontId="3" fillId="2" borderId="0" xfId="1" applyFill="1" applyBorder="1"/>
    <xf numFmtId="0" fontId="3" fillId="2" borderId="12" xfId="1" applyFill="1" applyBorder="1"/>
    <xf numFmtId="0" fontId="3" fillId="2" borderId="11" xfId="1" applyFill="1" applyBorder="1"/>
    <xf numFmtId="0" fontId="6" fillId="0" borderId="0" xfId="1" applyFont="1" applyFill="1" applyBorder="1"/>
    <xf numFmtId="0" fontId="3" fillId="0" borderId="0" xfId="1" quotePrefix="1" applyAlignment="1">
      <alignment horizontal="center"/>
    </xf>
    <xf numFmtId="10" fontId="35" fillId="0" borderId="0" xfId="7" applyNumberFormat="1" applyFont="1"/>
    <xf numFmtId="0" fontId="3" fillId="0" borderId="10" xfId="1" applyFill="1" applyBorder="1" applyAlignment="1">
      <alignment horizontal="center" vertical="center" wrapText="1"/>
    </xf>
    <xf numFmtId="0" fontId="3" fillId="6" borderId="0" xfId="2" applyFont="1" applyFill="1" applyBorder="1" applyAlignment="1">
      <alignment horizontal="left" vertical="center"/>
    </xf>
    <xf numFmtId="9" fontId="3" fillId="6" borderId="0" xfId="7" applyFont="1" applyFill="1" applyBorder="1" applyAlignment="1">
      <alignment horizontal="left" vertical="center"/>
    </xf>
    <xf numFmtId="0" fontId="3" fillId="0" borderId="0" xfId="1"/>
    <xf numFmtId="0" fontId="3" fillId="2" borderId="0" xfId="1" applyFill="1" applyBorder="1"/>
    <xf numFmtId="0" fontId="7" fillId="0" borderId="11" xfId="1" applyFont="1" applyBorder="1"/>
    <xf numFmtId="167" fontId="3" fillId="0" borderId="0" xfId="1" applyNumberFormat="1" applyFont="1" applyFill="1" applyBorder="1"/>
    <xf numFmtId="167" fontId="3" fillId="6" borderId="0" xfId="1" applyNumberFormat="1" applyFont="1" applyFill="1" applyBorder="1"/>
    <xf numFmtId="0" fontId="0" fillId="0" borderId="0" xfId="0" applyAlignment="1"/>
    <xf numFmtId="0" fontId="0" fillId="0" borderId="0" xfId="0" applyAlignment="1">
      <alignment wrapText="1"/>
    </xf>
    <xf numFmtId="0" fontId="23" fillId="0" borderId="0" xfId="0" applyFont="1" applyAlignment="1"/>
    <xf numFmtId="0" fontId="0" fillId="0" borderId="0" xfId="0"/>
    <xf numFmtId="0" fontId="3" fillId="0" borderId="0" xfId="1"/>
    <xf numFmtId="0" fontId="6" fillId="0" borderId="0" xfId="1" applyFont="1"/>
    <xf numFmtId="0" fontId="6" fillId="3" borderId="0" xfId="1" applyFont="1" applyFill="1"/>
    <xf numFmtId="0" fontId="3" fillId="0" borderId="0" xfId="1" applyFill="1"/>
    <xf numFmtId="0" fontId="5" fillId="2" borderId="0" xfId="1" applyFont="1" applyFill="1"/>
    <xf numFmtId="0" fontId="11" fillId="3" borderId="0" xfId="1" applyFont="1" applyFill="1" applyBorder="1" applyAlignment="1">
      <alignment horizontal="center"/>
    </xf>
    <xf numFmtId="0" fontId="16" fillId="0" borderId="0" xfId="3" applyFont="1"/>
    <xf numFmtId="164" fontId="3" fillId="0" borderId="0" xfId="7" applyNumberFormat="1" applyFont="1"/>
    <xf numFmtId="0" fontId="3" fillId="9" borderId="0" xfId="1" applyFill="1"/>
    <xf numFmtId="1" fontId="25" fillId="10" borderId="14" xfId="1" applyNumberFormat="1" applyFont="1" applyFill="1" applyBorder="1" applyAlignment="1">
      <alignment horizontal="center" wrapText="1"/>
    </xf>
    <xf numFmtId="167" fontId="4" fillId="0" borderId="0" xfId="1" applyNumberFormat="1" applyFont="1" applyFill="1" applyBorder="1" applyAlignment="1">
      <alignment horizontal="center"/>
    </xf>
    <xf numFmtId="0" fontId="8" fillId="2" borderId="0" xfId="1" applyFont="1" applyFill="1" applyBorder="1" applyAlignment="1">
      <alignment horizontal="center"/>
    </xf>
    <xf numFmtId="0" fontId="8" fillId="2" borderId="11" xfId="1" applyFont="1" applyFill="1" applyBorder="1" applyAlignment="1">
      <alignment horizontal="center"/>
    </xf>
    <xf numFmtId="0" fontId="3" fillId="0" borderId="0" xfId="1" applyFill="1" applyBorder="1"/>
    <xf numFmtId="167" fontId="0" fillId="0" borderId="0" xfId="0" applyNumberFormat="1"/>
    <xf numFmtId="173" fontId="0" fillId="0" borderId="0" xfId="0" applyNumberFormat="1"/>
    <xf numFmtId="9" fontId="0" fillId="0" borderId="0" xfId="0" applyNumberFormat="1"/>
    <xf numFmtId="0" fontId="5" fillId="0" borderId="0" xfId="1" applyFont="1" applyFill="1"/>
    <xf numFmtId="43" fontId="0" fillId="0" borderId="0" xfId="0" applyNumberFormat="1"/>
    <xf numFmtId="0" fontId="23" fillId="0" borderId="0" xfId="0" applyFont="1"/>
    <xf numFmtId="0" fontId="3" fillId="6" borderId="0" xfId="1" applyFont="1" applyFill="1" applyBorder="1"/>
    <xf numFmtId="0" fontId="6" fillId="6" borderId="0" xfId="1" applyFont="1" applyFill="1" applyBorder="1"/>
    <xf numFmtId="0" fontId="3" fillId="6" borderId="0" xfId="2" applyFont="1" applyFill="1" applyBorder="1" applyAlignment="1">
      <alignment horizontal="left" vertical="center" wrapText="1"/>
    </xf>
    <xf numFmtId="168" fontId="3" fillId="6" borderId="0" xfId="1" applyNumberFormat="1" applyFont="1" applyFill="1" applyBorder="1"/>
    <xf numFmtId="9" fontId="8" fillId="0" borderId="11" xfId="1" applyNumberFormat="1" applyFont="1" applyBorder="1" applyAlignment="1">
      <alignment horizontal="center"/>
    </xf>
    <xf numFmtId="0" fontId="0" fillId="0" borderId="0" xfId="0" applyFill="1"/>
    <xf numFmtId="173" fontId="5" fillId="2" borderId="0" xfId="1" applyNumberFormat="1" applyFont="1" applyFill="1"/>
    <xf numFmtId="0" fontId="6" fillId="3" borderId="0" xfId="1" quotePrefix="1" applyFont="1" applyFill="1"/>
    <xf numFmtId="0" fontId="27" fillId="0" borderId="0" xfId="0" applyFont="1"/>
    <xf numFmtId="9" fontId="8" fillId="0" borderId="0" xfId="1" applyNumberFormat="1" applyFont="1" applyBorder="1" applyAlignment="1">
      <alignment horizontal="center"/>
    </xf>
    <xf numFmtId="0" fontId="3" fillId="11" borderId="14" xfId="1" applyFill="1" applyBorder="1" applyAlignment="1">
      <alignment horizontal="center" vertical="center" wrapText="1"/>
    </xf>
    <xf numFmtId="0" fontId="8" fillId="2" borderId="12" xfId="1" applyFont="1" applyFill="1" applyBorder="1" applyAlignment="1">
      <alignment horizontal="center"/>
    </xf>
    <xf numFmtId="0" fontId="3" fillId="0" borderId="14" xfId="1" applyFill="1" applyBorder="1" applyAlignment="1">
      <alignment horizontal="center" vertical="center" wrapText="1"/>
    </xf>
    <xf numFmtId="9" fontId="8" fillId="0" borderId="6" xfId="1" applyNumberFormat="1" applyFont="1" applyBorder="1" applyAlignment="1">
      <alignment horizontal="center"/>
    </xf>
    <xf numFmtId="164" fontId="3" fillId="0" borderId="0" xfId="7" applyNumberFormat="1" applyFont="1" applyFill="1"/>
    <xf numFmtId="0" fontId="0" fillId="16" borderId="0" xfId="0" applyFill="1"/>
    <xf numFmtId="171" fontId="0" fillId="0" borderId="0" xfId="0" applyNumberFormat="1"/>
    <xf numFmtId="10" fontId="3" fillId="0" borderId="0" xfId="1" applyNumberFormat="1" applyBorder="1"/>
    <xf numFmtId="0" fontId="3" fillId="11" borderId="12" xfId="1" applyFill="1" applyBorder="1" applyAlignment="1">
      <alignment horizontal="center" vertical="center" wrapText="1"/>
    </xf>
    <xf numFmtId="171" fontId="5" fillId="2" borderId="0" xfId="1" applyNumberFormat="1" applyFont="1" applyFill="1"/>
    <xf numFmtId="0" fontId="3" fillId="2" borderId="13" xfId="1" applyFill="1" applyBorder="1"/>
    <xf numFmtId="2" fontId="8" fillId="0" borderId="0" xfId="1" applyNumberFormat="1" applyFont="1" applyBorder="1" applyAlignment="1">
      <alignment horizontal="center"/>
    </xf>
    <xf numFmtId="0" fontId="3" fillId="2" borderId="8" xfId="1" applyFill="1" applyBorder="1"/>
    <xf numFmtId="0" fontId="3" fillId="2" borderId="10" xfId="1" applyFill="1" applyBorder="1"/>
    <xf numFmtId="0" fontId="3" fillId="2" borderId="9" xfId="1" applyFill="1" applyBorder="1"/>
    <xf numFmtId="9" fontId="8" fillId="0" borderId="12" xfId="1" applyNumberFormat="1" applyFont="1" applyBorder="1" applyAlignment="1">
      <alignment horizontal="center"/>
    </xf>
    <xf numFmtId="9" fontId="8" fillId="0" borderId="1" xfId="1" applyNumberFormat="1" applyFont="1" applyBorder="1" applyAlignment="1">
      <alignment horizontal="center"/>
    </xf>
    <xf numFmtId="9" fontId="8" fillId="0" borderId="7" xfId="1" applyNumberFormat="1" applyFont="1" applyBorder="1" applyAlignment="1">
      <alignment horizontal="center"/>
    </xf>
    <xf numFmtId="1" fontId="0" fillId="0" borderId="0" xfId="0" applyNumberFormat="1"/>
    <xf numFmtId="0" fontId="6" fillId="3" borderId="0" xfId="1" applyFont="1" applyFill="1" applyAlignment="1">
      <alignment horizontal="center"/>
    </xf>
    <xf numFmtId="3" fontId="4" fillId="2" borderId="0" xfId="3" applyNumberFormat="1" applyFill="1"/>
    <xf numFmtId="175" fontId="0" fillId="0" borderId="0" xfId="0" applyNumberFormat="1"/>
    <xf numFmtId="175" fontId="5" fillId="2" borderId="0" xfId="1" applyNumberFormat="1" applyFont="1" applyFill="1"/>
    <xf numFmtId="0" fontId="0" fillId="0" borderId="0" xfId="0" applyAlignment="1">
      <alignment horizontal="left" wrapText="1"/>
    </xf>
    <xf numFmtId="0" fontId="0" fillId="49" borderId="0" xfId="0" applyFill="1"/>
    <xf numFmtId="168" fontId="3" fillId="49" borderId="0" xfId="1" applyNumberFormat="1" applyFont="1" applyFill="1" applyBorder="1"/>
    <xf numFmtId="171" fontId="3" fillId="0" borderId="0" xfId="1" applyNumberFormat="1"/>
    <xf numFmtId="0" fontId="3" fillId="49" borderId="0" xfId="1" applyFont="1" applyFill="1" applyBorder="1"/>
    <xf numFmtId="0" fontId="6" fillId="49" borderId="0" xfId="1" applyFont="1" applyFill="1" applyBorder="1"/>
    <xf numFmtId="0" fontId="3" fillId="49" borderId="0" xfId="2" applyFont="1" applyFill="1" applyBorder="1" applyAlignment="1">
      <alignment horizontal="left" vertical="center" wrapText="1"/>
    </xf>
    <xf numFmtId="0" fontId="3" fillId="0" borderId="0" xfId="1" applyFill="1" applyBorder="1" applyAlignment="1">
      <alignment horizontal="center" vertical="center"/>
    </xf>
    <xf numFmtId="172" fontId="0" fillId="0" borderId="0" xfId="0" applyNumberFormat="1"/>
    <xf numFmtId="178" fontId="0" fillId="0" borderId="0" xfId="0" applyNumberFormat="1"/>
    <xf numFmtId="0" fontId="0" fillId="0" borderId="0" xfId="0" applyAlignment="1">
      <alignment horizontal="left" wrapText="1"/>
    </xf>
    <xf numFmtId="0" fontId="4" fillId="0" borderId="14" xfId="1" applyFont="1" applyBorder="1" applyAlignment="1">
      <alignment horizontal="center"/>
    </xf>
    <xf numFmtId="0" fontId="4" fillId="0" borderId="15" xfId="1" applyFont="1" applyBorder="1" applyAlignment="1">
      <alignment horizontal="center"/>
    </xf>
    <xf numFmtId="167" fontId="4" fillId="0" borderId="0" xfId="1" applyNumberFormat="1" applyFont="1" applyAlignment="1">
      <alignment horizontal="center"/>
    </xf>
    <xf numFmtId="167" fontId="4" fillId="2" borderId="0" xfId="1" applyNumberFormat="1" applyFont="1" applyFill="1" applyAlignment="1">
      <alignment horizontal="center"/>
    </xf>
    <xf numFmtId="167" fontId="4" fillId="0" borderId="7" xfId="1" applyNumberFormat="1" applyFont="1" applyBorder="1" applyAlignment="1">
      <alignment horizontal="center"/>
    </xf>
    <xf numFmtId="0" fontId="3" fillId="0" borderId="0" xfId="1" applyFill="1" applyBorder="1" applyAlignment="1">
      <alignment horizontal="center" vertical="center" wrapText="1"/>
    </xf>
    <xf numFmtId="2" fontId="25" fillId="0" borderId="13" xfId="1" applyNumberFormat="1" applyFont="1" applyFill="1" applyBorder="1" applyAlignment="1">
      <alignment horizontal="center" vertical="center" wrapText="1"/>
    </xf>
    <xf numFmtId="2" fontId="25" fillId="0" borderId="0" xfId="1" applyNumberFormat="1" applyFont="1" applyFill="1" applyBorder="1" applyAlignment="1">
      <alignment horizontal="center" vertical="center" wrapText="1"/>
    </xf>
    <xf numFmtId="0" fontId="3" fillId="0" borderId="11" xfId="1" applyFill="1" applyBorder="1" applyAlignment="1">
      <alignment horizontal="center" vertical="center" wrapText="1"/>
    </xf>
    <xf numFmtId="0" fontId="3" fillId="0" borderId="12" xfId="1" applyFill="1" applyBorder="1" applyAlignment="1">
      <alignment horizontal="center" vertical="center" wrapText="1"/>
    </xf>
    <xf numFmtId="1" fontId="25" fillId="0" borderId="0" xfId="1" applyNumberFormat="1" applyFont="1" applyFill="1" applyBorder="1" applyAlignment="1">
      <alignment horizontal="center" wrapText="1"/>
    </xf>
    <xf numFmtId="1" fontId="25" fillId="0" borderId="14" xfId="1" applyNumberFormat="1" applyFont="1" applyFill="1" applyBorder="1" applyAlignment="1">
      <alignment horizontal="center" wrapText="1"/>
    </xf>
    <xf numFmtId="1" fontId="25" fillId="0" borderId="11" xfId="1" applyNumberFormat="1" applyFont="1" applyFill="1" applyBorder="1" applyAlignment="1">
      <alignment horizontal="center" wrapText="1"/>
    </xf>
    <xf numFmtId="1" fontId="25" fillId="0" borderId="12" xfId="1" applyNumberFormat="1" applyFont="1" applyFill="1" applyBorder="1" applyAlignment="1">
      <alignment horizontal="center" wrapText="1"/>
    </xf>
    <xf numFmtId="0" fontId="3" fillId="0" borderId="12" xfId="1" applyFill="1" applyBorder="1" applyAlignment="1">
      <alignment horizontal="center" vertical="center"/>
    </xf>
    <xf numFmtId="0" fontId="3" fillId="0" borderId="14" xfId="1" applyFill="1" applyBorder="1"/>
    <xf numFmtId="0" fontId="4" fillId="0" borderId="0" xfId="1" applyFont="1" applyAlignment="1">
      <alignment wrapText="1"/>
    </xf>
    <xf numFmtId="3" fontId="4" fillId="0" borderId="0" xfId="1" applyNumberFormat="1" applyFont="1"/>
    <xf numFmtId="176" fontId="4" fillId="0" borderId="0" xfId="3" applyNumberFormat="1" applyFont="1"/>
    <xf numFmtId="9" fontId="4" fillId="0" borderId="0" xfId="1" applyNumberFormat="1" applyFont="1" applyFill="1"/>
    <xf numFmtId="164" fontId="27" fillId="0" borderId="0" xfId="7" applyNumberFormat="1" applyFont="1" applyFill="1"/>
    <xf numFmtId="0" fontId="4" fillId="0" borderId="0" xfId="1" applyFont="1" applyAlignment="1">
      <alignment horizontal="right"/>
    </xf>
    <xf numFmtId="1" fontId="4" fillId="0" borderId="0" xfId="1" applyNumberFormat="1" applyFont="1" applyAlignment="1">
      <alignment horizontal="right"/>
    </xf>
    <xf numFmtId="0" fontId="4" fillId="0" borderId="0" xfId="1" applyFont="1" applyAlignment="1">
      <alignment horizontal="left"/>
    </xf>
    <xf numFmtId="9" fontId="4" fillId="0" borderId="0" xfId="7" applyFont="1" applyAlignment="1">
      <alignment horizontal="right"/>
    </xf>
    <xf numFmtId="3" fontId="4" fillId="0" borderId="11" xfId="1" applyNumberFormat="1" applyFont="1" applyBorder="1" applyAlignment="1">
      <alignment horizontal="right"/>
    </xf>
    <xf numFmtId="3" fontId="4" fillId="0" borderId="0" xfId="1" applyNumberFormat="1" applyFont="1" applyBorder="1" applyAlignment="1">
      <alignment horizontal="right"/>
    </xf>
    <xf numFmtId="3" fontId="4" fillId="0" borderId="12" xfId="1" applyNumberFormat="1" applyFont="1" applyBorder="1" applyAlignment="1">
      <alignment horizontal="right"/>
    </xf>
    <xf numFmtId="3" fontId="4" fillId="0" borderId="6" xfId="1" applyNumberFormat="1" applyFont="1" applyBorder="1" applyAlignment="1">
      <alignment horizontal="right"/>
    </xf>
    <xf numFmtId="3" fontId="4" fillId="0" borderId="1" xfId="1" applyNumberFormat="1" applyFont="1" applyBorder="1" applyAlignment="1">
      <alignment horizontal="right"/>
    </xf>
    <xf numFmtId="3" fontId="4" fillId="0" borderId="7" xfId="1" applyNumberFormat="1" applyFont="1" applyBorder="1" applyAlignment="1">
      <alignment horizontal="right"/>
    </xf>
    <xf numFmtId="3" fontId="4" fillId="2" borderId="14" xfId="1" applyNumberFormat="1" applyFont="1" applyFill="1" applyBorder="1"/>
    <xf numFmtId="169" fontId="60" fillId="0" borderId="11" xfId="24" applyNumberFormat="1" applyFont="1" applyBorder="1" applyAlignment="1">
      <alignment horizontal="center"/>
    </xf>
    <xf numFmtId="169" fontId="60" fillId="0" borderId="0" xfId="24" applyNumberFormat="1" applyFont="1" applyBorder="1" applyAlignment="1">
      <alignment horizontal="center"/>
    </xf>
    <xf numFmtId="169" fontId="60" fillId="0" borderId="12" xfId="24" applyNumberFormat="1" applyFont="1" applyBorder="1" applyAlignment="1">
      <alignment horizontal="center"/>
    </xf>
    <xf numFmtId="44" fontId="60" fillId="0" borderId="12" xfId="24" applyFont="1" applyBorder="1" applyAlignment="1">
      <alignment horizontal="center"/>
    </xf>
    <xf numFmtId="169" fontId="60" fillId="0" borderId="0" xfId="24" applyNumberFormat="1" applyFont="1" applyFill="1" applyBorder="1" applyAlignment="1">
      <alignment horizontal="center"/>
    </xf>
    <xf numFmtId="44" fontId="60" fillId="0" borderId="12" xfId="24" applyFont="1" applyFill="1" applyBorder="1" applyAlignment="1">
      <alignment horizontal="center"/>
    </xf>
    <xf numFmtId="169" fontId="60" fillId="0" borderId="1" xfId="24" applyNumberFormat="1" applyFont="1" applyFill="1" applyBorder="1" applyAlignment="1">
      <alignment horizontal="center"/>
    </xf>
    <xf numFmtId="1" fontId="4" fillId="10" borderId="12" xfId="1" applyNumberFormat="1" applyFont="1" applyFill="1" applyBorder="1" applyAlignment="1">
      <alignment horizontal="center" wrapText="1"/>
    </xf>
    <xf numFmtId="0" fontId="4" fillId="2" borderId="13" xfId="1" applyFont="1" applyFill="1" applyBorder="1"/>
    <xf numFmtId="9" fontId="4" fillId="0" borderId="14" xfId="1" applyNumberFormat="1" applyFont="1" applyBorder="1" applyAlignment="1">
      <alignment horizontal="center"/>
    </xf>
    <xf numFmtId="9" fontId="4" fillId="0" borderId="15" xfId="1" applyNumberFormat="1" applyFont="1" applyBorder="1" applyAlignment="1">
      <alignment horizontal="center"/>
    </xf>
    <xf numFmtId="2" fontId="4" fillId="0" borderId="14" xfId="1" applyNumberFormat="1" applyFont="1" applyBorder="1" applyAlignment="1">
      <alignment horizontal="center"/>
    </xf>
    <xf numFmtId="2" fontId="4" fillId="0" borderId="14" xfId="1" applyNumberFormat="1" applyFont="1" applyFill="1" applyBorder="1" applyAlignment="1">
      <alignment horizontal="center"/>
    </xf>
    <xf numFmtId="2" fontId="4" fillId="2" borderId="14" xfId="1" applyNumberFormat="1" applyFont="1" applyFill="1" applyBorder="1" applyAlignment="1">
      <alignment horizontal="center"/>
    </xf>
    <xf numFmtId="2" fontId="4" fillId="0" borderId="15" xfId="1" applyNumberFormat="1" applyFont="1" applyFill="1" applyBorder="1" applyAlignment="1">
      <alignment horizontal="center"/>
    </xf>
    <xf numFmtId="0" fontId="4" fillId="2" borderId="12" xfId="1" applyFont="1" applyFill="1" applyBorder="1" applyAlignment="1">
      <alignment horizontal="center" vertical="center"/>
    </xf>
    <xf numFmtId="0" fontId="4" fillId="2" borderId="0" xfId="1" applyFont="1" applyFill="1" applyBorder="1" applyAlignment="1">
      <alignment horizontal="center"/>
    </xf>
    <xf numFmtId="0" fontId="27" fillId="0" borderId="7" xfId="0" applyFont="1" applyBorder="1"/>
    <xf numFmtId="0" fontId="4" fillId="0" borderId="14" xfId="1" applyFont="1" applyFill="1" applyBorder="1" applyAlignment="1">
      <alignment horizontal="center" vertical="center"/>
    </xf>
    <xf numFmtId="0" fontId="27" fillId="0" borderId="14" xfId="0" applyFont="1" applyBorder="1"/>
    <xf numFmtId="0" fontId="4" fillId="0" borderId="15" xfId="1" applyFont="1" applyFill="1" applyBorder="1" applyAlignment="1">
      <alignment horizontal="center" vertical="center"/>
    </xf>
    <xf numFmtId="0" fontId="61" fillId="0" borderId="0" xfId="0" applyFont="1"/>
    <xf numFmtId="169" fontId="4" fillId="0" borderId="15" xfId="24" applyNumberFormat="1" applyFont="1" applyFill="1" applyBorder="1" applyAlignment="1">
      <alignment horizontal="center"/>
    </xf>
    <xf numFmtId="0" fontId="61" fillId="0" borderId="14" xfId="0" applyFont="1" applyBorder="1"/>
    <xf numFmtId="169" fontId="4" fillId="0" borderId="14" xfId="1" applyNumberFormat="1" applyFont="1" applyFill="1" applyBorder="1" applyAlignment="1">
      <alignment horizontal="center" vertical="center"/>
    </xf>
    <xf numFmtId="169" fontId="27" fillId="0" borderId="14" xfId="0" applyNumberFormat="1" applyFont="1" applyBorder="1"/>
    <xf numFmtId="169" fontId="4" fillId="0" borderId="15" xfId="1" applyNumberFormat="1" applyFont="1" applyFill="1" applyBorder="1" applyAlignment="1">
      <alignment horizontal="center" vertical="center"/>
    </xf>
    <xf numFmtId="167" fontId="8" fillId="0" borderId="0" xfId="1" applyNumberFormat="1" applyFont="1" applyFill="1" applyBorder="1" applyAlignment="1">
      <alignment horizontal="center"/>
    </xf>
    <xf numFmtId="169" fontId="27" fillId="0" borderId="12" xfId="24" applyNumberFormat="1" applyFont="1" applyFill="1" applyBorder="1" applyAlignment="1">
      <alignment horizontal="center"/>
    </xf>
    <xf numFmtId="169" fontId="4" fillId="0" borderId="7" xfId="24" applyNumberFormat="1" applyFont="1" applyFill="1" applyBorder="1" applyAlignment="1">
      <alignment horizontal="center"/>
    </xf>
    <xf numFmtId="169" fontId="4" fillId="0" borderId="11" xfId="24" applyNumberFormat="1" applyFont="1" applyFill="1" applyBorder="1" applyAlignment="1">
      <alignment horizontal="center"/>
    </xf>
    <xf numFmtId="169" fontId="27" fillId="0" borderId="11" xfId="24" applyNumberFormat="1" applyFont="1" applyBorder="1" applyAlignment="1">
      <alignment horizontal="center"/>
    </xf>
    <xf numFmtId="169" fontId="27" fillId="0" borderId="11" xfId="24" applyNumberFormat="1" applyFont="1" applyFill="1" applyBorder="1" applyAlignment="1">
      <alignment horizontal="center"/>
    </xf>
    <xf numFmtId="169" fontId="4" fillId="0" borderId="6" xfId="24" applyNumberFormat="1" applyFont="1" applyFill="1" applyBorder="1" applyAlignment="1">
      <alignment horizontal="center"/>
    </xf>
    <xf numFmtId="0" fontId="4" fillId="0" borderId="11" xfId="1" applyFont="1" applyFill="1" applyBorder="1" applyAlignment="1">
      <alignment horizontal="center"/>
    </xf>
    <xf numFmtId="171" fontId="4" fillId="0" borderId="11" xfId="1" applyNumberFormat="1" applyFont="1" applyFill="1" applyBorder="1" applyAlignment="1">
      <alignment horizontal="center"/>
    </xf>
    <xf numFmtId="0" fontId="27" fillId="0" borderId="11" xfId="14" applyFont="1" applyFill="1" applyBorder="1" applyAlignment="1">
      <alignment horizontal="center"/>
    </xf>
    <xf numFmtId="0" fontId="4" fillId="0" borderId="6" xfId="1" applyFont="1" applyFill="1" applyBorder="1" applyAlignment="1">
      <alignment horizontal="center"/>
    </xf>
    <xf numFmtId="2" fontId="4" fillId="0" borderId="11" xfId="1" applyNumberFormat="1" applyFont="1" applyBorder="1" applyAlignment="1">
      <alignment horizontal="center"/>
    </xf>
    <xf numFmtId="2" fontId="4" fillId="0" borderId="11" xfId="1" applyNumberFormat="1" applyFont="1" applyFill="1" applyBorder="1" applyAlignment="1">
      <alignment horizontal="center"/>
    </xf>
    <xf numFmtId="2" fontId="4" fillId="2" borderId="11" xfId="1" applyNumberFormat="1" applyFont="1" applyFill="1" applyBorder="1" applyAlignment="1">
      <alignment horizontal="center"/>
    </xf>
    <xf numFmtId="2" fontId="4" fillId="0" borderId="6" xfId="1" applyNumberFormat="1" applyFont="1" applyBorder="1" applyAlignment="1">
      <alignment horizontal="center"/>
    </xf>
    <xf numFmtId="0" fontId="4" fillId="0" borderId="12" xfId="1" applyFont="1" applyFill="1" applyBorder="1" applyAlignment="1">
      <alignment horizontal="center" vertical="center"/>
    </xf>
    <xf numFmtId="0" fontId="4" fillId="0" borderId="7" xfId="1" applyFont="1" applyFill="1" applyBorder="1" applyAlignment="1">
      <alignment horizontal="center" vertical="center"/>
    </xf>
    <xf numFmtId="0" fontId="62" fillId="0" borderId="0" xfId="0" applyFont="1"/>
    <xf numFmtId="2" fontId="3" fillId="6" borderId="0" xfId="1" applyNumberFormat="1" applyFont="1" applyFill="1" applyBorder="1"/>
    <xf numFmtId="2" fontId="3" fillId="49" borderId="0" xfId="1" applyNumberFormat="1" applyFont="1" applyFill="1" applyBorder="1"/>
    <xf numFmtId="166" fontId="0" fillId="0" borderId="0" xfId="0" applyNumberFormat="1"/>
    <xf numFmtId="0" fontId="63" fillId="0" borderId="0" xfId="0" applyFont="1"/>
    <xf numFmtId="0" fontId="64" fillId="0" borderId="0" xfId="0" applyFont="1"/>
    <xf numFmtId="14" fontId="63" fillId="0" borderId="0" xfId="0" applyNumberFormat="1" applyFont="1"/>
    <xf numFmtId="164" fontId="8" fillId="0" borderId="0" xfId="7" applyNumberFormat="1" applyFont="1" applyFill="1"/>
    <xf numFmtId="3" fontId="6" fillId="2" borderId="0" xfId="0" applyNumberFormat="1" applyFont="1" applyFill="1"/>
    <xf numFmtId="3" fontId="3" fillId="11" borderId="0" xfId="26" applyNumberFormat="1" applyFont="1" applyFill="1" applyAlignment="1">
      <alignment horizontal="center" vertical="center" wrapText="1"/>
    </xf>
    <xf numFmtId="0" fontId="3" fillId="2" borderId="0" xfId="0" applyFont="1" applyFill="1" applyAlignment="1">
      <alignment horizontal="center" vertical="center"/>
    </xf>
    <xf numFmtId="0" fontId="3" fillId="11" borderId="0" xfId="0" applyFont="1" applyFill="1" applyAlignment="1">
      <alignment horizontal="center" vertical="center"/>
    </xf>
    <xf numFmtId="0" fontId="0" fillId="2" borderId="0" xfId="0" applyFill="1"/>
    <xf numFmtId="0" fontId="6" fillId="53" borderId="27" xfId="26" applyFont="1" applyFill="1" applyBorder="1" applyAlignment="1">
      <alignment horizontal="center"/>
    </xf>
    <xf numFmtId="9" fontId="65" fillId="0" borderId="0" xfId="83" applyNumberFormat="1" applyFont="1" applyFill="1" applyBorder="1" applyAlignment="1">
      <alignment horizontal="center"/>
    </xf>
    <xf numFmtId="10" fontId="35" fillId="0" borderId="0" xfId="105" applyNumberFormat="1" applyFont="1"/>
    <xf numFmtId="0" fontId="0" fillId="0" borderId="0" xfId="0" applyAlignment="1">
      <alignment vertical="top" wrapText="1"/>
    </xf>
    <xf numFmtId="0" fontId="0" fillId="0" borderId="0" xfId="0" applyAlignment="1">
      <alignment vertical="top"/>
    </xf>
    <xf numFmtId="3" fontId="4" fillId="0" borderId="14" xfId="1" applyNumberFormat="1" applyFont="1" applyBorder="1" applyAlignment="1">
      <alignment horizontal="right"/>
    </xf>
    <xf numFmtId="3" fontId="4" fillId="0" borderId="15" xfId="1" applyNumberFormat="1" applyFont="1" applyBorder="1" applyAlignment="1">
      <alignment horizontal="right"/>
    </xf>
    <xf numFmtId="3" fontId="8" fillId="0" borderId="0" xfId="31" applyNumberFormat="1" applyFont="1" applyBorder="1" applyAlignment="1">
      <alignment horizontal="right"/>
    </xf>
    <xf numFmtId="3" fontId="8" fillId="11" borderId="0" xfId="26" applyNumberFormat="1" applyFont="1" applyFill="1" applyAlignment="1">
      <alignment horizontal="center" vertical="center" wrapText="1"/>
    </xf>
    <xf numFmtId="0" fontId="8" fillId="11" borderId="0" xfId="0" applyFont="1" applyFill="1" applyAlignment="1">
      <alignment horizontal="center" vertical="center"/>
    </xf>
    <xf numFmtId="0" fontId="8" fillId="2" borderId="0" xfId="0" applyFont="1" applyFill="1" applyAlignment="1">
      <alignment horizontal="center" vertical="center"/>
    </xf>
    <xf numFmtId="0" fontId="26" fillId="0" borderId="0" xfId="0" applyFont="1"/>
    <xf numFmtId="3" fontId="11" fillId="2" borderId="0" xfId="0" applyNumberFormat="1" applyFont="1" applyFill="1"/>
    <xf numFmtId="0" fontId="3" fillId="2" borderId="0" xfId="1" applyFont="1" applyFill="1"/>
    <xf numFmtId="167" fontId="23" fillId="11" borderId="31" xfId="119" applyNumberFormat="1" applyFont="1" applyFill="1" applyBorder="1" applyAlignment="1">
      <alignment horizontal="center" vertical="center" wrapText="1"/>
    </xf>
    <xf numFmtId="0" fontId="23" fillId="11" borderId="31" xfId="0" applyFont="1" applyFill="1" applyBorder="1" applyAlignment="1">
      <alignment vertical="center" wrapText="1"/>
    </xf>
    <xf numFmtId="167" fontId="61" fillId="11" borderId="0" xfId="119" applyNumberFormat="1" applyFont="1" applyFill="1" applyAlignment="1">
      <alignment horizontal="center" vertical="center"/>
    </xf>
    <xf numFmtId="0" fontId="67" fillId="11" borderId="0" xfId="86" applyFont="1" applyFill="1" applyAlignment="1">
      <alignment vertical="top"/>
    </xf>
    <xf numFmtId="0" fontId="67" fillId="11" borderId="0" xfId="0" applyFont="1" applyFill="1" applyAlignment="1">
      <alignment vertical="center" wrapText="1"/>
    </xf>
    <xf numFmtId="167" fontId="68" fillId="55" borderId="0" xfId="118" applyNumberFormat="1" applyFont="1" applyFill="1" applyAlignment="1">
      <alignment horizontal="center" vertical="center"/>
    </xf>
    <xf numFmtId="0" fontId="68" fillId="55" borderId="0" xfId="86" applyFont="1" applyFill="1" applyAlignment="1">
      <alignment vertical="top"/>
    </xf>
    <xf numFmtId="0" fontId="68" fillId="55" borderId="0" xfId="0" applyFont="1" applyFill="1" applyAlignment="1">
      <alignment vertical="center" wrapText="1"/>
    </xf>
    <xf numFmtId="167" fontId="61" fillId="11" borderId="32" xfId="119" applyNumberFormat="1" applyFont="1" applyFill="1" applyBorder="1" applyAlignment="1">
      <alignment horizontal="center" vertical="center"/>
    </xf>
    <xf numFmtId="0" fontId="3" fillId="11" borderId="0" xfId="86" applyFont="1" applyFill="1"/>
    <xf numFmtId="0" fontId="3" fillId="11" borderId="0" xfId="0" applyFont="1" applyFill="1"/>
    <xf numFmtId="0" fontId="6" fillId="0" borderId="0" xfId="0" applyFont="1"/>
    <xf numFmtId="0" fontId="6" fillId="0" borderId="0" xfId="0" applyFont="1" applyFill="1"/>
    <xf numFmtId="0" fontId="3" fillId="2" borderId="0" xfId="0" applyFont="1" applyFill="1"/>
    <xf numFmtId="0" fontId="6" fillId="2" borderId="0" xfId="0" applyFont="1" applyFill="1"/>
    <xf numFmtId="0" fontId="67" fillId="11" borderId="0" xfId="0" applyFont="1" applyFill="1" applyAlignment="1">
      <alignment vertical="center"/>
    </xf>
    <xf numFmtId="0" fontId="23" fillId="53" borderId="33" xfId="0" applyFont="1" applyFill="1" applyBorder="1" applyAlignment="1">
      <alignment horizontal="center"/>
    </xf>
    <xf numFmtId="0" fontId="0" fillId="11" borderId="0" xfId="0" applyFont="1" applyFill="1" applyAlignment="1">
      <alignment vertical="top" wrapText="1"/>
    </xf>
    <xf numFmtId="0" fontId="9" fillId="7" borderId="27" xfId="86" applyFill="1" applyBorder="1" applyAlignment="1">
      <alignment horizontal="center"/>
    </xf>
    <xf numFmtId="0" fontId="66" fillId="54" borderId="0" xfId="0" applyFont="1" applyFill="1"/>
    <xf numFmtId="0" fontId="6" fillId="7" borderId="27" xfId="86" applyFont="1" applyFill="1" applyBorder="1" applyAlignment="1">
      <alignment horizontal="center"/>
    </xf>
    <xf numFmtId="0" fontId="69" fillId="54" borderId="34" xfId="0" applyFont="1" applyFill="1" applyBorder="1" applyAlignment="1">
      <alignment vertical="top" wrapText="1"/>
    </xf>
    <xf numFmtId="1" fontId="0" fillId="0" borderId="0" xfId="0" applyNumberFormat="1" applyAlignment="1">
      <alignment horizontal="center"/>
    </xf>
    <xf numFmtId="167" fontId="0" fillId="0" borderId="0" xfId="0" applyNumberFormat="1" applyAlignment="1">
      <alignment horizontal="center"/>
    </xf>
    <xf numFmtId="167" fontId="26" fillId="0" borderId="0" xfId="0" applyNumberFormat="1" applyFont="1" applyAlignment="1">
      <alignment horizontal="center"/>
    </xf>
    <xf numFmtId="9" fontId="0" fillId="0" borderId="0" xfId="119" applyFont="1"/>
    <xf numFmtId="167" fontId="70" fillId="55" borderId="0" xfId="118" applyNumberFormat="1" applyFont="1" applyFill="1" applyAlignment="1">
      <alignment horizontal="center" vertical="center"/>
    </xf>
    <xf numFmtId="167" fontId="60" fillId="11" borderId="0" xfId="119" applyNumberFormat="1" applyFont="1" applyFill="1" applyAlignment="1">
      <alignment horizontal="center" vertical="center"/>
    </xf>
    <xf numFmtId="167" fontId="60" fillId="11" borderId="32" xfId="119" applyNumberFormat="1" applyFont="1" applyFill="1" applyBorder="1" applyAlignment="1">
      <alignment horizontal="center" vertical="center"/>
    </xf>
    <xf numFmtId="167" fontId="60" fillId="11" borderId="0" xfId="119" applyNumberFormat="1" applyFont="1" applyFill="1" applyBorder="1" applyAlignment="1">
      <alignment horizontal="center" vertical="center"/>
    </xf>
    <xf numFmtId="167" fontId="71" fillId="11" borderId="31" xfId="119" applyNumberFormat="1" applyFont="1" applyFill="1" applyBorder="1" applyAlignment="1">
      <alignment horizontal="center" vertical="center" wrapText="1"/>
    </xf>
    <xf numFmtId="0" fontId="4" fillId="0" borderId="0" xfId="1" applyFont="1" applyBorder="1" applyAlignment="1">
      <alignment horizontal="left"/>
    </xf>
    <xf numFmtId="171" fontId="3" fillId="6" borderId="0" xfId="1" applyNumberFormat="1" applyFont="1" applyFill="1" applyBorder="1"/>
    <xf numFmtId="0" fontId="3" fillId="0" borderId="0" xfId="1" applyAlignment="1">
      <alignment wrapText="1"/>
    </xf>
    <xf numFmtId="0" fontId="0" fillId="0" borderId="0" xfId="0"/>
    <xf numFmtId="0" fontId="3" fillId="0" borderId="0" xfId="1"/>
    <xf numFmtId="0" fontId="6" fillId="0" borderId="0" xfId="1" applyFont="1"/>
    <xf numFmtId="0" fontId="3" fillId="0" borderId="0" xfId="1" applyFill="1"/>
    <xf numFmtId="0" fontId="3" fillId="9" borderId="0" xfId="1" applyFill="1"/>
    <xf numFmtId="173" fontId="0" fillId="0" borderId="0" xfId="0" applyNumberFormat="1"/>
    <xf numFmtId="0" fontId="3" fillId="6" borderId="0" xfId="1" applyFont="1" applyFill="1" applyBorder="1"/>
    <xf numFmtId="0" fontId="6" fillId="6" borderId="0" xfId="1" applyFont="1" applyFill="1" applyBorder="1"/>
    <xf numFmtId="0" fontId="3" fillId="6" borderId="0" xfId="2" applyFont="1" applyFill="1" applyBorder="1" applyAlignment="1">
      <alignment horizontal="left" vertical="center" wrapText="1"/>
    </xf>
    <xf numFmtId="2" fontId="0" fillId="0" borderId="0" xfId="0" applyNumberFormat="1"/>
    <xf numFmtId="171" fontId="0" fillId="0" borderId="0" xfId="0" applyNumberFormat="1"/>
    <xf numFmtId="0" fontId="3" fillId="49" borderId="0" xfId="1" applyFont="1" applyFill="1" applyBorder="1"/>
    <xf numFmtId="0" fontId="6" fillId="49" borderId="0" xfId="1" applyFont="1" applyFill="1" applyBorder="1"/>
    <xf numFmtId="0" fontId="3" fillId="49" borderId="0" xfId="2" applyFont="1" applyFill="1" applyBorder="1" applyAlignment="1">
      <alignment horizontal="left" vertical="center" wrapText="1"/>
    </xf>
    <xf numFmtId="0" fontId="3" fillId="6" borderId="0" xfId="2" applyFont="1" applyFill="1" applyBorder="1" applyAlignment="1">
      <alignment horizontal="left" vertical="center"/>
    </xf>
    <xf numFmtId="9" fontId="3" fillId="6" borderId="0" xfId="7" applyFont="1" applyFill="1" applyBorder="1" applyAlignment="1">
      <alignment horizontal="left" vertical="center"/>
    </xf>
    <xf numFmtId="2" fontId="3" fillId="6" borderId="0" xfId="1" applyNumberFormat="1" applyFont="1" applyFill="1" applyBorder="1"/>
    <xf numFmtId="2" fontId="3" fillId="49" borderId="0" xfId="1" applyNumberFormat="1" applyFont="1" applyFill="1" applyBorder="1"/>
    <xf numFmtId="0" fontId="0" fillId="56" borderId="0" xfId="0" applyFill="1"/>
    <xf numFmtId="0" fontId="0" fillId="0" borderId="0" xfId="0"/>
    <xf numFmtId="0" fontId="15" fillId="3" borderId="0" xfId="1" applyFont="1" applyFill="1"/>
    <xf numFmtId="10" fontId="15" fillId="3" borderId="0" xfId="7" applyNumberFormat="1" applyFont="1" applyFill="1"/>
    <xf numFmtId="0" fontId="0" fillId="0" borderId="2" xfId="0" applyBorder="1"/>
    <xf numFmtId="168" fontId="0" fillId="0" borderId="0" xfId="0" applyNumberFormat="1"/>
    <xf numFmtId="0" fontId="0" fillId="0" borderId="8" xfId="0" applyBorder="1"/>
    <xf numFmtId="0" fontId="0" fillId="0" borderId="11" xfId="0" applyBorder="1"/>
    <xf numFmtId="0" fontId="0" fillId="0" borderId="6" xfId="0" applyBorder="1"/>
    <xf numFmtId="0" fontId="0" fillId="0" borderId="0" xfId="0" applyAlignment="1">
      <alignment horizontal="center"/>
    </xf>
    <xf numFmtId="43" fontId="0" fillId="0" borderId="0" xfId="118" applyFont="1"/>
    <xf numFmtId="166" fontId="0" fillId="0" borderId="0" xfId="118" applyNumberFormat="1" applyFont="1"/>
    <xf numFmtId="0" fontId="0" fillId="0" borderId="0" xfId="0" applyAlignment="1">
      <alignment horizontal="right"/>
    </xf>
    <xf numFmtId="43" fontId="0" fillId="0" borderId="0" xfId="118" applyFont="1" applyAlignment="1">
      <alignment horizontal="center"/>
    </xf>
    <xf numFmtId="43" fontId="0" fillId="0" borderId="0" xfId="0" applyNumberFormat="1" applyAlignment="1">
      <alignment horizontal="center"/>
    </xf>
    <xf numFmtId="43" fontId="23" fillId="0" borderId="0" xfId="118" applyFont="1"/>
    <xf numFmtId="9" fontId="0" fillId="0" borderId="0" xfId="119" applyFont="1" applyBorder="1"/>
    <xf numFmtId="0" fontId="3" fillId="0" borderId="35" xfId="1" applyFill="1" applyBorder="1"/>
    <xf numFmtId="0" fontId="0" fillId="0" borderId="36" xfId="0" applyBorder="1"/>
    <xf numFmtId="9" fontId="0" fillId="0" borderId="36" xfId="119" applyFont="1" applyBorder="1"/>
    <xf numFmtId="0" fontId="3" fillId="0" borderId="37" xfId="1" applyFill="1" applyBorder="1"/>
    <xf numFmtId="0" fontId="3" fillId="0" borderId="38" xfId="1" applyFill="1" applyBorder="1"/>
    <xf numFmtId="0" fontId="0" fillId="0" borderId="39" xfId="0" applyBorder="1"/>
    <xf numFmtId="9" fontId="0" fillId="0" borderId="39" xfId="119" applyFont="1" applyBorder="1"/>
    <xf numFmtId="0" fontId="0" fillId="57" borderId="0" xfId="0" applyFill="1"/>
    <xf numFmtId="0" fontId="72" fillId="58" borderId="0" xfId="0" applyFont="1" applyFill="1" applyBorder="1"/>
    <xf numFmtId="0" fontId="1" fillId="58" borderId="0" xfId="0" applyFont="1" applyFill="1" applyBorder="1" applyAlignment="1">
      <alignment horizontal="center"/>
    </xf>
    <xf numFmtId="167" fontId="1" fillId="58" borderId="0" xfId="0" applyNumberFormat="1" applyFont="1" applyFill="1" applyBorder="1" applyAlignment="1">
      <alignment horizontal="center"/>
    </xf>
    <xf numFmtId="2" fontId="1" fillId="58" borderId="0" xfId="0" applyNumberFormat="1" applyFont="1" applyFill="1" applyBorder="1"/>
    <xf numFmtId="0" fontId="1" fillId="0" borderId="0" xfId="0" applyFont="1" applyFill="1" applyBorder="1"/>
    <xf numFmtId="0" fontId="1" fillId="0" borderId="0" xfId="0" applyFont="1" applyFill="1" applyBorder="1" applyAlignment="1">
      <alignment horizontal="center"/>
    </xf>
    <xf numFmtId="167" fontId="1" fillId="0" borderId="0" xfId="0" applyNumberFormat="1" applyFont="1" applyFill="1" applyBorder="1" applyAlignment="1">
      <alignment horizontal="center"/>
    </xf>
    <xf numFmtId="2" fontId="1" fillId="0" borderId="0" xfId="0" applyNumberFormat="1" applyFont="1" applyFill="1" applyBorder="1"/>
    <xf numFmtId="164" fontId="1" fillId="0" borderId="0" xfId="119" applyNumberFormat="1" applyFont="1" applyFill="1" applyBorder="1"/>
    <xf numFmtId="1" fontId="6" fillId="0" borderId="13" xfId="0" applyNumberFormat="1" applyFont="1" applyBorder="1" applyAlignment="1">
      <alignment horizontal="center"/>
    </xf>
    <xf numFmtId="0" fontId="6" fillId="0" borderId="13" xfId="0" applyFont="1" applyBorder="1" applyAlignment="1">
      <alignment horizontal="center"/>
    </xf>
    <xf numFmtId="164" fontId="0" fillId="0" borderId="8" xfId="119" applyNumberFormat="1" applyFont="1" applyBorder="1" applyAlignment="1">
      <alignment horizontal="center"/>
    </xf>
    <xf numFmtId="164" fontId="0" fillId="0" borderId="10" xfId="119" applyNumberFormat="1" applyFont="1" applyBorder="1" applyAlignment="1">
      <alignment horizontal="center"/>
    </xf>
    <xf numFmtId="164" fontId="0" fillId="0" borderId="9" xfId="119" applyNumberFormat="1" applyFont="1" applyBorder="1" applyAlignment="1">
      <alignment horizontal="center"/>
    </xf>
    <xf numFmtId="164" fontId="0" fillId="0" borderId="11" xfId="119" applyNumberFormat="1" applyFont="1" applyBorder="1" applyAlignment="1">
      <alignment horizontal="center"/>
    </xf>
    <xf numFmtId="164" fontId="0" fillId="0" borderId="0" xfId="119" applyNumberFormat="1" applyFont="1" applyBorder="1" applyAlignment="1">
      <alignment horizontal="center"/>
    </xf>
    <xf numFmtId="164" fontId="0" fillId="0" borderId="12" xfId="119" applyNumberFormat="1" applyFont="1" applyBorder="1" applyAlignment="1">
      <alignment horizontal="center"/>
    </xf>
    <xf numFmtId="164" fontId="0" fillId="0" borderId="6" xfId="119" applyNumberFormat="1" applyFont="1" applyFill="1" applyBorder="1" applyAlignment="1">
      <alignment horizontal="center"/>
    </xf>
    <xf numFmtId="164" fontId="0" fillId="0" borderId="1" xfId="119" applyNumberFormat="1" applyFont="1" applyFill="1" applyBorder="1" applyAlignment="1">
      <alignment horizontal="center"/>
    </xf>
    <xf numFmtId="164" fontId="0" fillId="0" borderId="7" xfId="119" applyNumberFormat="1" applyFont="1" applyFill="1" applyBorder="1" applyAlignment="1">
      <alignment horizontal="center"/>
    </xf>
    <xf numFmtId="164" fontId="0" fillId="57" borderId="10" xfId="119" applyNumberFormat="1" applyFont="1" applyFill="1" applyBorder="1" applyAlignment="1">
      <alignment horizontal="center"/>
    </xf>
    <xf numFmtId="164" fontId="0" fillId="57" borderId="0" xfId="119" applyNumberFormat="1" applyFont="1" applyFill="1" applyBorder="1" applyAlignment="1">
      <alignment horizontal="center"/>
    </xf>
    <xf numFmtId="164" fontId="0" fillId="57" borderId="1" xfId="119" applyNumberFormat="1" applyFont="1" applyFill="1" applyBorder="1" applyAlignment="1">
      <alignment horizontal="center"/>
    </xf>
    <xf numFmtId="9" fontId="0" fillId="0" borderId="12" xfId="119" applyFont="1" applyBorder="1"/>
    <xf numFmtId="0" fontId="72" fillId="0" borderId="2" xfId="0" applyFont="1" applyFill="1" applyBorder="1" applyAlignment="1"/>
    <xf numFmtId="164" fontId="0" fillId="0" borderId="6" xfId="119" applyNumberFormat="1" applyFont="1" applyBorder="1" applyAlignment="1">
      <alignment horizontal="center"/>
    </xf>
    <xf numFmtId="164" fontId="0" fillId="0" borderId="1" xfId="119" applyNumberFormat="1" applyFont="1" applyBorder="1" applyAlignment="1">
      <alignment horizontal="center"/>
    </xf>
    <xf numFmtId="164" fontId="0" fillId="0" borderId="7" xfId="119" applyNumberFormat="1" applyFont="1" applyBorder="1" applyAlignment="1">
      <alignment horizontal="center"/>
    </xf>
    <xf numFmtId="9" fontId="1" fillId="0" borderId="0" xfId="1" applyNumberFormat="1" applyFont="1"/>
    <xf numFmtId="9" fontId="5" fillId="2" borderId="0" xfId="119" applyFont="1" applyFill="1"/>
    <xf numFmtId="164" fontId="4" fillId="0" borderId="0" xfId="13" applyNumberFormat="1" applyFont="1" applyFill="1"/>
    <xf numFmtId="0" fontId="0" fillId="0" borderId="3" xfId="0" applyBorder="1"/>
    <xf numFmtId="164" fontId="0" fillId="57" borderId="5" xfId="119" applyNumberFormat="1" applyFont="1" applyFill="1" applyBorder="1" applyAlignment="1">
      <alignment horizontal="center"/>
    </xf>
    <xf numFmtId="1" fontId="6" fillId="0" borderId="9" xfId="0" applyNumberFormat="1" applyFont="1" applyBorder="1" applyAlignment="1">
      <alignment horizontal="center"/>
    </xf>
    <xf numFmtId="0" fontId="0" fillId="0" borderId="13" xfId="0" applyBorder="1"/>
    <xf numFmtId="9" fontId="0" fillId="59" borderId="0" xfId="0" applyNumberFormat="1" applyFill="1"/>
    <xf numFmtId="164" fontId="0" fillId="0" borderId="5" xfId="119" applyNumberFormat="1" applyFont="1" applyBorder="1" applyAlignment="1">
      <alignment horizontal="center"/>
    </xf>
    <xf numFmtId="164" fontId="0" fillId="0" borderId="4" xfId="119" applyNumberFormat="1" applyFont="1" applyBorder="1" applyAlignment="1">
      <alignment horizontal="center"/>
    </xf>
    <xf numFmtId="0" fontId="6" fillId="12" borderId="8" xfId="1" applyFont="1" applyFill="1" applyBorder="1"/>
    <xf numFmtId="0" fontId="6" fillId="12" borderId="10" xfId="1" applyFont="1" applyFill="1" applyBorder="1"/>
    <xf numFmtId="0" fontId="6" fillId="12" borderId="9" xfId="1" applyFont="1" applyFill="1" applyBorder="1"/>
    <xf numFmtId="3" fontId="0" fillId="0" borderId="0" xfId="0" applyNumberFormat="1" applyBorder="1"/>
    <xf numFmtId="3" fontId="0" fillId="0" borderId="12" xfId="0" applyNumberFormat="1" applyBorder="1"/>
    <xf numFmtId="3" fontId="0" fillId="0" borderId="1" xfId="0" applyNumberFormat="1" applyBorder="1"/>
    <xf numFmtId="3" fontId="0" fillId="0" borderId="7" xfId="0" applyNumberFormat="1" applyBorder="1"/>
    <xf numFmtId="3" fontId="0" fillId="0" borderId="5" xfId="0" applyNumberFormat="1" applyBorder="1"/>
    <xf numFmtId="3" fontId="0" fillId="0" borderId="4" xfId="0" applyNumberFormat="1" applyBorder="1"/>
    <xf numFmtId="9" fontId="0" fillId="0" borderId="5" xfId="119" applyFont="1" applyBorder="1"/>
    <xf numFmtId="9" fontId="0" fillId="0" borderId="4" xfId="119" applyFont="1" applyBorder="1"/>
    <xf numFmtId="9" fontId="0" fillId="0" borderId="10" xfId="119" applyFont="1" applyBorder="1"/>
    <xf numFmtId="9" fontId="0" fillId="0" borderId="9" xfId="119" applyFont="1" applyBorder="1"/>
    <xf numFmtId="0" fontId="6" fillId="19" borderId="0" xfId="1" applyFont="1" applyFill="1" applyBorder="1"/>
    <xf numFmtId="168" fontId="3" fillId="19" borderId="0" xfId="1" applyNumberFormat="1" applyFont="1" applyFill="1" applyBorder="1"/>
    <xf numFmtId="0" fontId="5" fillId="19" borderId="0" xfId="1" applyFont="1" applyFill="1"/>
    <xf numFmtId="9" fontId="0" fillId="19" borderId="0" xfId="0" applyNumberFormat="1" applyFill="1"/>
    <xf numFmtId="9" fontId="0" fillId="0" borderId="1" xfId="119" applyFont="1" applyBorder="1"/>
    <xf numFmtId="0" fontId="23" fillId="0" borderId="0" xfId="0" applyFont="1" applyBorder="1"/>
    <xf numFmtId="167" fontId="4" fillId="0" borderId="14" xfId="1" applyNumberFormat="1" applyFont="1" applyFill="1" applyBorder="1" applyAlignment="1">
      <alignment horizontal="center"/>
    </xf>
    <xf numFmtId="1" fontId="3" fillId="2" borderId="14" xfId="1" applyNumberFormat="1" applyFill="1" applyBorder="1" applyAlignment="1">
      <alignment horizontal="center"/>
    </xf>
    <xf numFmtId="174" fontId="0" fillId="19" borderId="0" xfId="0" applyNumberFormat="1" applyFill="1"/>
    <xf numFmtId="169" fontId="0" fillId="0" borderId="0" xfId="0" applyNumberFormat="1"/>
    <xf numFmtId="179" fontId="4" fillId="4" borderId="0" xfId="3" applyNumberFormat="1" applyFont="1" applyFill="1"/>
    <xf numFmtId="0" fontId="1" fillId="0" borderId="0" xfId="1" applyFont="1"/>
    <xf numFmtId="164" fontId="0" fillId="0" borderId="0" xfId="119" applyNumberFormat="1" applyFont="1"/>
    <xf numFmtId="179" fontId="4" fillId="60" borderId="0" xfId="3" applyNumberFormat="1" applyFont="1" applyFill="1" applyBorder="1"/>
    <xf numFmtId="169" fontId="4" fillId="60" borderId="0" xfId="3" applyNumberFormat="1" applyFont="1" applyFill="1" applyBorder="1"/>
    <xf numFmtId="164" fontId="23" fillId="0" borderId="0" xfId="119" applyNumberFormat="1" applyFont="1"/>
    <xf numFmtId="164" fontId="0" fillId="0" borderId="0" xfId="0" applyNumberFormat="1"/>
    <xf numFmtId="164" fontId="0" fillId="0" borderId="0" xfId="0" applyNumberFormat="1" applyFill="1"/>
    <xf numFmtId="9" fontId="0" fillId="0" borderId="0" xfId="119" applyFont="1" applyFill="1"/>
    <xf numFmtId="9" fontId="5" fillId="0" borderId="0" xfId="119" applyFont="1" applyFill="1"/>
    <xf numFmtId="10" fontId="0" fillId="0" borderId="0" xfId="0" applyNumberFormat="1"/>
    <xf numFmtId="0" fontId="4" fillId="19" borderId="14" xfId="1" applyFont="1" applyFill="1" applyBorder="1" applyAlignment="1">
      <alignment horizontal="center"/>
    </xf>
    <xf numFmtId="169" fontId="4" fillId="61" borderId="12" xfId="1" applyNumberFormat="1" applyFont="1" applyFill="1" applyBorder="1" applyAlignment="1">
      <alignment horizontal="center"/>
    </xf>
    <xf numFmtId="167" fontId="3" fillId="61" borderId="0" xfId="1" applyNumberFormat="1" applyFont="1" applyFill="1" applyBorder="1"/>
    <xf numFmtId="167" fontId="0" fillId="61" borderId="0" xfId="0" applyNumberFormat="1" applyFill="1"/>
    <xf numFmtId="167" fontId="5" fillId="61" borderId="0" xfId="1" applyNumberFormat="1" applyFont="1" applyFill="1"/>
    <xf numFmtId="164" fontId="0" fillId="61" borderId="0" xfId="119" applyNumberFormat="1" applyFont="1" applyFill="1"/>
    <xf numFmtId="164" fontId="5" fillId="61" borderId="0" xfId="119" applyNumberFormat="1" applyFont="1" applyFill="1"/>
    <xf numFmtId="0" fontId="0" fillId="61" borderId="0" xfId="0" applyFill="1"/>
    <xf numFmtId="167" fontId="4" fillId="0" borderId="11" xfId="1" applyNumberFormat="1" applyFont="1" applyBorder="1" applyAlignment="1">
      <alignment horizontal="center"/>
    </xf>
    <xf numFmtId="167" fontId="4" fillId="0" borderId="0" xfId="1" applyNumberFormat="1" applyFont="1" applyBorder="1" applyAlignment="1">
      <alignment horizontal="center"/>
    </xf>
    <xf numFmtId="167" fontId="4" fillId="0" borderId="12" xfId="1" applyNumberFormat="1" applyFont="1" applyBorder="1" applyAlignment="1">
      <alignment horizontal="center"/>
    </xf>
    <xf numFmtId="167" fontId="4" fillId="2" borderId="11" xfId="1" applyNumberFormat="1" applyFont="1" applyFill="1" applyBorder="1" applyAlignment="1">
      <alignment horizontal="center"/>
    </xf>
    <xf numFmtId="167" fontId="4" fillId="2" borderId="12" xfId="1" applyNumberFormat="1" applyFont="1" applyFill="1" applyBorder="1" applyAlignment="1">
      <alignment horizontal="center"/>
    </xf>
    <xf numFmtId="0" fontId="1" fillId="61" borderId="4" xfId="1" applyFont="1" applyFill="1" applyBorder="1" applyAlignment="1">
      <alignment vertical="center" wrapText="1"/>
    </xf>
    <xf numFmtId="0" fontId="3" fillId="61" borderId="12" xfId="1" applyFill="1" applyBorder="1" applyAlignment="1">
      <alignment horizontal="center" vertical="center" wrapText="1"/>
    </xf>
    <xf numFmtId="1" fontId="25" fillId="61" borderId="12" xfId="1" applyNumberFormat="1" applyFont="1" applyFill="1" applyBorder="1" applyAlignment="1">
      <alignment horizontal="center" wrapText="1"/>
    </xf>
    <xf numFmtId="0" fontId="3" fillId="61" borderId="13" xfId="1" applyFill="1" applyBorder="1"/>
    <xf numFmtId="167" fontId="4" fillId="61" borderId="14" xfId="1" applyNumberFormat="1" applyFont="1" applyFill="1" applyBorder="1" applyAlignment="1">
      <alignment horizontal="center"/>
    </xf>
    <xf numFmtId="0" fontId="1" fillId="9" borderId="0" xfId="1" quotePrefix="1" applyFont="1" applyFill="1"/>
    <xf numFmtId="164" fontId="0" fillId="0" borderId="14" xfId="119" applyNumberFormat="1" applyFont="1" applyBorder="1"/>
    <xf numFmtId="164" fontId="0" fillId="0" borderId="2" xfId="119" applyNumberFormat="1" applyFont="1" applyBorder="1"/>
    <xf numFmtId="164" fontId="0" fillId="0" borderId="0" xfId="119" applyNumberFormat="1" applyFont="1" applyFill="1"/>
    <xf numFmtId="164" fontId="0" fillId="0" borderId="13" xfId="119" applyNumberFormat="1" applyFont="1" applyBorder="1"/>
    <xf numFmtId="172" fontId="3" fillId="0" borderId="0" xfId="1" quotePrefix="1" applyNumberFormat="1" applyFill="1"/>
    <xf numFmtId="180" fontId="3" fillId="0" borderId="0" xfId="1" quotePrefix="1" applyNumberFormat="1" applyFill="1"/>
    <xf numFmtId="9" fontId="8" fillId="0" borderId="12" xfId="1" applyNumberFormat="1" applyFont="1" applyFill="1" applyBorder="1" applyAlignment="1">
      <alignment horizontal="center"/>
    </xf>
    <xf numFmtId="0" fontId="0" fillId="0" borderId="0" xfId="0" applyFill="1" applyBorder="1"/>
    <xf numFmtId="43" fontId="0" fillId="0" borderId="0" xfId="0" applyNumberFormat="1" applyFill="1"/>
    <xf numFmtId="173" fontId="0" fillId="0" borderId="0" xfId="0" applyNumberFormat="1" applyFill="1"/>
    <xf numFmtId="1" fontId="6" fillId="61" borderId="0" xfId="1" applyNumberFormat="1" applyFont="1" applyFill="1" applyBorder="1"/>
    <xf numFmtId="0" fontId="0" fillId="0" borderId="0" xfId="0" applyAlignment="1">
      <alignment horizontal="left" wrapText="1"/>
    </xf>
    <xf numFmtId="0" fontId="0" fillId="0" borderId="0" xfId="0" applyAlignment="1">
      <alignment horizontal="left" vertical="center" wrapText="1"/>
    </xf>
    <xf numFmtId="0" fontId="0" fillId="0" borderId="0" xfId="0" applyAlignment="1">
      <alignment horizontal="left" vertical="top" wrapText="1"/>
    </xf>
    <xf numFmtId="0" fontId="0" fillId="0" borderId="0" xfId="0" applyAlignment="1">
      <alignment horizontal="center"/>
    </xf>
    <xf numFmtId="0" fontId="6" fillId="7" borderId="30" xfId="26" applyFont="1" applyFill="1" applyBorder="1" applyAlignment="1">
      <alignment horizontal="center"/>
    </xf>
    <xf numFmtId="0" fontId="6" fillId="7" borderId="29" xfId="26" applyFont="1" applyFill="1" applyBorder="1" applyAlignment="1">
      <alignment horizontal="center"/>
    </xf>
    <xf numFmtId="0" fontId="6" fillId="7" borderId="28" xfId="26" applyFont="1" applyFill="1" applyBorder="1" applyAlignment="1">
      <alignment horizontal="center"/>
    </xf>
    <xf numFmtId="0" fontId="6" fillId="7" borderId="27" xfId="26" applyFont="1" applyFill="1" applyBorder="1" applyAlignment="1">
      <alignment horizontal="center"/>
    </xf>
    <xf numFmtId="0" fontId="6" fillId="0" borderId="13" xfId="1" applyFont="1" applyBorder="1" applyAlignment="1">
      <alignment horizontal="center" vertical="center" wrapText="1"/>
    </xf>
    <xf numFmtId="0" fontId="6" fillId="0" borderId="14" xfId="1" applyFont="1" applyBorder="1" applyAlignment="1">
      <alignment horizontal="center" vertical="center" wrapText="1"/>
    </xf>
    <xf numFmtId="0" fontId="6" fillId="0" borderId="13" xfId="1" applyFont="1" applyBorder="1" applyAlignment="1">
      <alignment horizontal="center" vertical="center"/>
    </xf>
    <xf numFmtId="0" fontId="6" fillId="0" borderId="14" xfId="1" applyFont="1" applyBorder="1" applyAlignment="1">
      <alignment horizontal="center" vertical="center"/>
    </xf>
    <xf numFmtId="0" fontId="6" fillId="0" borderId="2" xfId="1" applyFont="1" applyBorder="1" applyAlignment="1">
      <alignment horizontal="center" vertical="center" wrapText="1"/>
    </xf>
    <xf numFmtId="0" fontId="6" fillId="0" borderId="9" xfId="1" applyFont="1" applyBorder="1" applyAlignment="1">
      <alignment horizontal="center" vertical="center" wrapText="1"/>
    </xf>
    <xf numFmtId="0" fontId="6" fillId="0" borderId="12" xfId="1" applyFont="1" applyBorder="1" applyAlignment="1">
      <alignment horizontal="center" vertical="center" wrapText="1"/>
    </xf>
    <xf numFmtId="0" fontId="6" fillId="0" borderId="8" xfId="1" applyFont="1" applyBorder="1" applyAlignment="1">
      <alignment horizontal="center" vertical="center" wrapText="1"/>
    </xf>
    <xf numFmtId="0" fontId="6" fillId="0" borderId="11" xfId="1" applyFont="1" applyBorder="1" applyAlignment="1">
      <alignment horizontal="center" vertical="center" wrapText="1"/>
    </xf>
    <xf numFmtId="0" fontId="6" fillId="0" borderId="10" xfId="1" applyFont="1" applyBorder="1" applyAlignment="1">
      <alignment horizontal="center" vertical="center" wrapText="1"/>
    </xf>
    <xf numFmtId="0" fontId="6" fillId="0" borderId="0" xfId="1" applyFont="1" applyBorder="1" applyAlignment="1">
      <alignment horizontal="center" vertical="center" wrapText="1"/>
    </xf>
    <xf numFmtId="0" fontId="6" fillId="0" borderId="3" xfId="1" applyFont="1" applyBorder="1" applyAlignment="1">
      <alignment horizontal="center" vertical="center" wrapText="1"/>
    </xf>
    <xf numFmtId="0" fontId="6" fillId="0" borderId="5" xfId="1" applyFont="1" applyBorder="1" applyAlignment="1">
      <alignment horizontal="center" vertical="center" wrapText="1"/>
    </xf>
    <xf numFmtId="0" fontId="6" fillId="0" borderId="4" xfId="1" applyFont="1" applyBorder="1" applyAlignment="1">
      <alignment horizontal="center" vertical="center" wrapText="1"/>
    </xf>
    <xf numFmtId="0" fontId="6" fillId="0" borderId="3" xfId="1" applyFont="1" applyBorder="1" applyAlignment="1">
      <alignment horizontal="center" vertical="center"/>
    </xf>
    <xf numFmtId="0" fontId="6" fillId="0" borderId="5" xfId="1" applyFont="1" applyBorder="1" applyAlignment="1">
      <alignment horizontal="center" vertical="center"/>
    </xf>
    <xf numFmtId="0" fontId="6" fillId="0" borderId="4" xfId="1" applyFont="1" applyBorder="1" applyAlignment="1">
      <alignment horizontal="center" vertical="center"/>
    </xf>
    <xf numFmtId="0" fontId="5" fillId="0" borderId="3" xfId="3" applyFont="1" applyFill="1" applyBorder="1" applyAlignment="1">
      <alignment horizontal="center" vertical="center"/>
    </xf>
    <xf numFmtId="0" fontId="5" fillId="0" borderId="5" xfId="3" applyFont="1" applyFill="1" applyBorder="1" applyAlignment="1">
      <alignment horizontal="center" vertical="center"/>
    </xf>
    <xf numFmtId="0" fontId="5" fillId="0" borderId="4" xfId="3" applyFont="1" applyFill="1" applyBorder="1" applyAlignment="1">
      <alignment horizontal="center" vertical="center"/>
    </xf>
    <xf numFmtId="0" fontId="5" fillId="0" borderId="3" xfId="3" applyFont="1" applyFill="1" applyBorder="1" applyAlignment="1">
      <alignment horizontal="center" vertical="center" wrapText="1"/>
    </xf>
    <xf numFmtId="0" fontId="5" fillId="0" borderId="5" xfId="3" applyFont="1" applyFill="1" applyBorder="1" applyAlignment="1">
      <alignment horizontal="center" vertical="center" wrapText="1"/>
    </xf>
    <xf numFmtId="0" fontId="5" fillId="0" borderId="4" xfId="3" applyFont="1" applyFill="1" applyBorder="1" applyAlignment="1">
      <alignment horizontal="center" vertical="center" wrapText="1"/>
    </xf>
    <xf numFmtId="0" fontId="1" fillId="11" borderId="3" xfId="1" applyFont="1" applyFill="1" applyBorder="1" applyAlignment="1">
      <alignment horizontal="center" vertical="center" wrapText="1"/>
    </xf>
    <xf numFmtId="0" fontId="3" fillId="11" borderId="5" xfId="1" applyFill="1" applyBorder="1" applyAlignment="1">
      <alignment horizontal="center" vertical="center" wrapText="1"/>
    </xf>
    <xf numFmtId="0" fontId="3" fillId="11" borderId="3" xfId="1" applyFill="1" applyBorder="1" applyAlignment="1">
      <alignment horizontal="center" vertical="center" wrapText="1"/>
    </xf>
    <xf numFmtId="0" fontId="3" fillId="11" borderId="4" xfId="1" applyFill="1" applyBorder="1" applyAlignment="1">
      <alignment horizontal="center" vertical="center" wrapText="1"/>
    </xf>
    <xf numFmtId="0" fontId="3" fillId="0" borderId="3" xfId="1" applyBorder="1" applyAlignment="1">
      <alignment horizontal="center" vertical="center" wrapText="1"/>
    </xf>
    <xf numFmtId="0" fontId="3" fillId="0" borderId="5" xfId="1" applyBorder="1" applyAlignment="1">
      <alignment horizontal="center" vertical="center" wrapText="1"/>
    </xf>
    <xf numFmtId="0" fontId="3" fillId="0" borderId="4" xfId="1" applyBorder="1" applyAlignment="1">
      <alignment horizontal="center" vertical="center" wrapText="1"/>
    </xf>
    <xf numFmtId="0" fontId="4" fillId="10" borderId="3" xfId="1" applyFont="1" applyFill="1" applyBorder="1" applyAlignment="1">
      <alignment horizontal="center" vertical="center" wrapText="1"/>
    </xf>
    <xf numFmtId="0" fontId="4" fillId="10" borderId="5" xfId="1" applyFont="1" applyFill="1" applyBorder="1" applyAlignment="1">
      <alignment horizontal="center" vertical="center" wrapText="1"/>
    </xf>
    <xf numFmtId="0" fontId="4" fillId="10" borderId="4" xfId="1" applyFont="1" applyFill="1" applyBorder="1" applyAlignment="1">
      <alignment horizontal="center" vertical="center" wrapText="1"/>
    </xf>
    <xf numFmtId="0" fontId="3" fillId="11" borderId="8" xfId="1" applyFill="1" applyBorder="1" applyAlignment="1">
      <alignment horizontal="center" vertical="center" wrapText="1"/>
    </xf>
    <xf numFmtId="0" fontId="3" fillId="11" borderId="9" xfId="1" applyFill="1" applyBorder="1" applyAlignment="1">
      <alignment horizontal="center" vertical="center" wrapText="1"/>
    </xf>
    <xf numFmtId="0" fontId="3" fillId="11" borderId="11" xfId="1" applyFill="1" applyBorder="1" applyAlignment="1">
      <alignment horizontal="center" vertical="center" wrapText="1"/>
    </xf>
    <xf numFmtId="0" fontId="3" fillId="11" borderId="0" xfId="1" applyFill="1" applyBorder="1" applyAlignment="1">
      <alignment horizontal="center" vertical="center" wrapText="1"/>
    </xf>
    <xf numFmtId="0" fontId="3" fillId="11" borderId="12" xfId="1" applyFill="1" applyBorder="1" applyAlignment="1">
      <alignment horizontal="center" vertical="center" wrapText="1"/>
    </xf>
    <xf numFmtId="0" fontId="0" fillId="0" borderId="3"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2" fontId="25" fillId="10" borderId="3" xfId="1" applyNumberFormat="1" applyFont="1" applyFill="1" applyBorder="1" applyAlignment="1">
      <alignment horizontal="center" vertical="center" wrapText="1"/>
    </xf>
    <xf numFmtId="2" fontId="25" fillId="10" borderId="5" xfId="1" applyNumberFormat="1" applyFont="1" applyFill="1" applyBorder="1" applyAlignment="1">
      <alignment horizontal="center" vertical="center" wrapText="1"/>
    </xf>
    <xf numFmtId="2" fontId="25" fillId="10" borderId="4" xfId="1" applyNumberFormat="1" applyFont="1" applyFill="1" applyBorder="1" applyAlignment="1">
      <alignment horizontal="center" vertical="center" wrapText="1"/>
    </xf>
    <xf numFmtId="0" fontId="6" fillId="0" borderId="2" xfId="1" applyFont="1" applyBorder="1" applyAlignment="1">
      <alignment horizontal="center"/>
    </xf>
    <xf numFmtId="0" fontId="5" fillId="10" borderId="2" xfId="1" applyFont="1" applyFill="1" applyBorder="1" applyAlignment="1">
      <alignment horizontal="center"/>
    </xf>
    <xf numFmtId="0" fontId="6" fillId="0" borderId="3" xfId="1" applyFont="1" applyBorder="1" applyAlignment="1">
      <alignment horizontal="center"/>
    </xf>
    <xf numFmtId="0" fontId="6" fillId="0" borderId="5" xfId="1" applyFont="1" applyBorder="1" applyAlignment="1">
      <alignment horizontal="center"/>
    </xf>
    <xf numFmtId="0" fontId="6" fillId="0" borderId="4" xfId="1" applyFont="1" applyBorder="1" applyAlignment="1">
      <alignment horizontal="center"/>
    </xf>
    <xf numFmtId="0" fontId="5" fillId="0" borderId="2" xfId="1" applyFont="1" applyFill="1" applyBorder="1" applyAlignment="1">
      <alignment horizontal="center"/>
    </xf>
    <xf numFmtId="9" fontId="24" fillId="8" borderId="0" xfId="1" applyNumberFormat="1" applyFont="1" applyFill="1" applyAlignment="1">
      <alignment horizontal="center"/>
    </xf>
    <xf numFmtId="0" fontId="23" fillId="0" borderId="2" xfId="0" applyFont="1" applyBorder="1" applyAlignment="1">
      <alignment horizontal="center"/>
    </xf>
    <xf numFmtId="0" fontId="72" fillId="0" borderId="4" xfId="0" applyFont="1" applyFill="1" applyBorder="1" applyAlignment="1">
      <alignment horizontal="left" vertical="center"/>
    </xf>
    <xf numFmtId="0" fontId="72" fillId="0" borderId="2" xfId="0" applyFont="1" applyFill="1" applyBorder="1" applyAlignment="1">
      <alignment horizontal="left" vertical="center"/>
    </xf>
    <xf numFmtId="0" fontId="6" fillId="9" borderId="0" xfId="1" applyFont="1" applyFill="1" applyBorder="1" applyAlignment="1">
      <alignment horizontal="center" vertical="center" wrapText="1"/>
    </xf>
    <xf numFmtId="0" fontId="3" fillId="0" borderId="13" xfId="1" applyFill="1" applyBorder="1" applyAlignment="1">
      <alignment horizontal="center" vertical="center"/>
    </xf>
    <xf numFmtId="0" fontId="3" fillId="0" borderId="15" xfId="1" applyFill="1" applyBorder="1" applyAlignment="1">
      <alignment horizontal="center" vertical="center"/>
    </xf>
    <xf numFmtId="0" fontId="0" fillId="20" borderId="0" xfId="0" applyFill="1" applyAlignment="1">
      <alignment horizontal="center"/>
    </xf>
    <xf numFmtId="0" fontId="6" fillId="3" borderId="0" xfId="1" applyFont="1" applyFill="1" applyBorder="1" applyAlignment="1">
      <alignment horizontal="center" wrapText="1"/>
    </xf>
  </cellXfs>
  <cellStyles count="121">
    <cellStyle name="20% - Accent1 2" xfId="35"/>
    <cellStyle name="20% - Accent2 2" xfId="36"/>
    <cellStyle name="20% - Accent3 2" xfId="37"/>
    <cellStyle name="20% - Accent4 2" xfId="38"/>
    <cellStyle name="20% - Accent5 2" xfId="39"/>
    <cellStyle name="20% - Accent6 2" xfId="40"/>
    <cellStyle name="40% - Accent1 2" xfId="41"/>
    <cellStyle name="40% - Accent2 2" xfId="42"/>
    <cellStyle name="40% - Accent3 2" xfId="43"/>
    <cellStyle name="40% - Accent4 2" xfId="44"/>
    <cellStyle name="40% - Accent5 2" xfId="45"/>
    <cellStyle name="40% - Accent6 2" xfId="46"/>
    <cellStyle name="60% - Accent1 2" xfId="47"/>
    <cellStyle name="60% - Accent2 2" xfId="48"/>
    <cellStyle name="60% - Accent3 2" xfId="49"/>
    <cellStyle name="60% - Accent4 2" xfId="50"/>
    <cellStyle name="60% - Accent5 2" xfId="51"/>
    <cellStyle name="60% - Accent6 2" xfId="52"/>
    <cellStyle name="Accent1 2" xfId="53"/>
    <cellStyle name="Accent2 2" xfId="54"/>
    <cellStyle name="Accent3 2" xfId="55"/>
    <cellStyle name="Accent4 2" xfId="56"/>
    <cellStyle name="Accent5 2" xfId="57"/>
    <cellStyle name="Accent6 2" xfId="58"/>
    <cellStyle name="Bad 2" xfId="59"/>
    <cellStyle name="Calculation 2" xfId="60"/>
    <cellStyle name="Check Cell 2" xfId="61"/>
    <cellStyle name="Comma" xfId="118" builtinId="3"/>
    <cellStyle name="Comma 2" xfId="4"/>
    <cellStyle name="Comma 2 2" xfId="18"/>
    <cellStyle name="Comma 2 2 2" xfId="96"/>
    <cellStyle name="Comma 2 3" xfId="100"/>
    <cellStyle name="Comma 2 4" xfId="99"/>
    <cellStyle name="Comma 3" xfId="11"/>
    <cellStyle name="Comma 3 2" xfId="27"/>
    <cellStyle name="Comma 3 2 2" xfId="116"/>
    <cellStyle name="Comma 3 3" xfId="77"/>
    <cellStyle name="Comma 3 4" xfId="107"/>
    <cellStyle name="Comma 4" xfId="15"/>
    <cellStyle name="Comma 4 2" xfId="110"/>
    <cellStyle name="Comma 5" xfId="9"/>
    <cellStyle name="Currency 2" xfId="8"/>
    <cellStyle name="Currency 3" xfId="12"/>
    <cellStyle name="Currency 3 2" xfId="28"/>
    <cellStyle name="Currency 3 2 2" xfId="117"/>
    <cellStyle name="Currency 3 3" xfId="108"/>
    <cellStyle name="Currency 4" xfId="24"/>
    <cellStyle name="Currency 4 2" xfId="113"/>
    <cellStyle name="Currency 5" xfId="13"/>
    <cellStyle name="Data" xfId="101"/>
    <cellStyle name="Data Field" xfId="33"/>
    <cellStyle name="Data Name" xfId="34"/>
    <cellStyle name="Explanatory Text 2" xfId="62"/>
    <cellStyle name="Good 2" xfId="63"/>
    <cellStyle name="Heading 1 2" xfId="64"/>
    <cellStyle name="Heading 2 2" xfId="65"/>
    <cellStyle name="Heading 3 2" xfId="66"/>
    <cellStyle name="Heading 4 2" xfId="67"/>
    <cellStyle name="Hed Side_Sheet1" xfId="90"/>
    <cellStyle name="Hed Top" xfId="89"/>
    <cellStyle name="Hyperlink 2" xfId="23"/>
    <cellStyle name="Hyperlink 2 2" xfId="95"/>
    <cellStyle name="Hyperlink 3" xfId="29"/>
    <cellStyle name="Input 2" xfId="68"/>
    <cellStyle name="Linked Cell 2" xfId="69"/>
    <cellStyle name="Neutral 2" xfId="70"/>
    <cellStyle name="Normal" xfId="0" builtinId="0"/>
    <cellStyle name="Normal 2" xfId="3"/>
    <cellStyle name="Normal 2 2" xfId="19"/>
    <cellStyle name="Normal 2 2 2" xfId="81"/>
    <cellStyle name="Normal 2 2 3" xfId="87"/>
    <cellStyle name="Normal 2 3" xfId="20"/>
    <cellStyle name="Normal 2 4" xfId="17"/>
    <cellStyle name="Normal 2 4 2" xfId="82"/>
    <cellStyle name="Normal 3" xfId="2"/>
    <cellStyle name="Normal 3 2" xfId="21"/>
    <cellStyle name="Normal 3 2 2" xfId="79"/>
    <cellStyle name="Normal 3 3" xfId="26"/>
    <cellStyle name="Normal 3 3 2" xfId="86"/>
    <cellStyle name="Normal 3 3 3" xfId="115"/>
    <cellStyle name="Normal 3 3 4" xfId="120"/>
    <cellStyle name="Normal 3 4" xfId="97"/>
    <cellStyle name="Normal 3 5" xfId="71"/>
    <cellStyle name="Normal 3 6" xfId="104"/>
    <cellStyle name="Normal 4" xfId="14"/>
    <cellStyle name="Normal 4 2" xfId="93"/>
    <cellStyle name="Normal 4 3" xfId="80"/>
    <cellStyle name="Normal 4 3 2" xfId="85"/>
    <cellStyle name="Normal 4 3 2 2" xfId="84"/>
    <cellStyle name="Normal 4 4" xfId="94"/>
    <cellStyle name="Normal 4 5" xfId="109"/>
    <cellStyle name="Normal 5" xfId="22"/>
    <cellStyle name="Normal 5 2" xfId="83"/>
    <cellStyle name="Normal 5 3" xfId="112"/>
    <cellStyle name="Normal 6" xfId="1"/>
    <cellStyle name="Normal 6 2" xfId="103"/>
    <cellStyle name="Normal 6 3" xfId="31"/>
    <cellStyle name="Normal 7" xfId="98"/>
    <cellStyle name="Normal 8" xfId="102"/>
    <cellStyle name="Normal_PC-LPDPackageNew-5P" xfId="30"/>
    <cellStyle name="Note 2" xfId="72"/>
    <cellStyle name="Output 2" xfId="73"/>
    <cellStyle name="Percent" xfId="119" builtinId="5"/>
    <cellStyle name="Percent 2" xfId="5"/>
    <cellStyle name="Percent 3" xfId="6"/>
    <cellStyle name="Percent 3 2" xfId="78"/>
    <cellStyle name="Percent 4" xfId="10"/>
    <cellStyle name="Percent 4 2" xfId="25"/>
    <cellStyle name="Percent 4 2 2" xfId="114"/>
    <cellStyle name="Percent 4 3" xfId="106"/>
    <cellStyle name="Percent 5" xfId="16"/>
    <cellStyle name="Percent 5 2" xfId="111"/>
    <cellStyle name="Percent 6" xfId="7"/>
    <cellStyle name="Percent 6 2" xfId="105"/>
    <cellStyle name="Percent 6 3" xfId="32"/>
    <cellStyle name="Source Superscript" xfId="88"/>
    <cellStyle name="Source Text" xfId="92"/>
    <cellStyle name="Title 2" xfId="74"/>
    <cellStyle name="Title-2" xfId="91"/>
    <cellStyle name="Total 2" xfId="75"/>
    <cellStyle name="Warning Text 2" xfId="76"/>
  </cellStyles>
  <dxfs count="11">
    <dxf>
      <fill>
        <patternFill patternType="solid">
          <fgColor rgb="FFDBE5F1"/>
          <bgColor rgb="FFDBE5F1"/>
        </patternFill>
      </fill>
      <border>
        <bottom style="thin">
          <color rgb="FF95B3D7"/>
        </bottom>
      </border>
    </dxf>
    <dxf>
      <fill>
        <patternFill patternType="solid">
          <fgColor rgb="FFDBE5F1"/>
          <bgColor rgb="FFDBE5F1"/>
        </patternFill>
      </fill>
      <border>
        <bottom style="thin">
          <color rgb="FF95B3D7"/>
        </bottom>
      </border>
    </dxf>
    <dxf>
      <font>
        <b/>
        <color rgb="FF000000"/>
      </font>
    </dxf>
    <dxf>
      <font>
        <b/>
        <color rgb="FF000000"/>
      </font>
      <border>
        <bottom style="thin">
          <color rgb="FF95B3D7"/>
        </bottom>
      </border>
    </dxf>
    <dxf>
      <font>
        <b/>
        <color rgb="FF000000"/>
      </font>
    </dxf>
    <dxf>
      <font>
        <b/>
        <color rgb="FF000000"/>
      </font>
      <border>
        <top style="thin">
          <color rgb="FF4F81BD"/>
        </top>
        <bottom style="thin">
          <color rgb="FF4F81BD"/>
        </bottom>
      </border>
    </dxf>
    <dxf>
      <fill>
        <patternFill patternType="solid">
          <fgColor rgb="FFD8D8D8"/>
          <bgColor rgb="FFD8D8D8"/>
        </patternFill>
      </fill>
    </dxf>
    <dxf>
      <fill>
        <patternFill patternType="solid">
          <fgColor rgb="FFD8D8D8"/>
          <bgColor rgb="FFD8D8D8"/>
        </patternFill>
      </fill>
      <border>
        <left style="thin">
          <color rgb="FFBFBFBF"/>
        </left>
        <right style="thin">
          <color rgb="FFBFBFBF"/>
        </right>
      </border>
    </dxf>
    <dxf>
      <fill>
        <patternFill patternType="solid">
          <fgColor rgb="FFD8D8D8"/>
          <bgColor rgb="FFD8D8D8"/>
        </patternFill>
      </fill>
    </dxf>
    <dxf>
      <font>
        <b/>
        <color rgb="FF000000"/>
      </font>
      <fill>
        <patternFill patternType="solid">
          <fgColor rgb="FFDBE5F1"/>
          <bgColor rgb="FFDBE5F1"/>
        </patternFill>
      </fill>
      <border>
        <top style="thin">
          <color rgb="FF95B3D7"/>
        </top>
      </border>
    </dxf>
    <dxf>
      <font>
        <b/>
        <color rgb="FF000000"/>
      </font>
      <fill>
        <patternFill patternType="solid">
          <fgColor rgb="FFDBE5F1"/>
          <bgColor rgb="FFDBE5F1"/>
        </patternFill>
      </fill>
      <border>
        <bottom style="thin">
          <color rgb="FF95B3D7"/>
        </bottom>
      </border>
    </dxf>
  </dxfs>
  <tableStyles count="1" defaultTableStyle="TableStyleMedium2" defaultPivotStyle="PivotStyleLight16">
    <tableStyle name="PivotStyleLight16 2" table="0" count="11">
      <tableStyleElement type="headerRow" dxfId="10"/>
      <tableStyleElement type="totalRow" dxfId="9"/>
      <tableStyleElement type="firstRowStripe" dxfId="8"/>
      <tableStyleElement type="firstColumnStripe" dxfId="7"/>
      <tableStyleElement type="firstSubtotalColumn"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CDF3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3.xml"/><Relationship Id="rId55"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s>
</file>

<file path=xl/charts/_rels/chart8.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9.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10.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17.xml.rels><?xml version="1.0" encoding="UTF-8" standalone="yes"?>
<Relationships xmlns="http://schemas.openxmlformats.org/package/2006/relationships"><Relationship Id="rId3" Type="http://schemas.microsoft.com/office/2011/relationships/chartStyle" Target="style4.xml"/><Relationship Id="rId2" Type="http://schemas.microsoft.com/office/2011/relationships/chartColorStyle" Target="colors4.xml"/><Relationship Id="rId1" Type="http://schemas.openxmlformats.org/officeDocument/2006/relationships/chartUserShapes" Target="../drawings/drawing1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161071011956838"/>
          <c:y val="3.8194444444444448E-2"/>
          <c:w val="0.82005012394284049"/>
          <c:h val="0.744444717847769"/>
        </c:manualLayout>
      </c:layout>
      <c:scatterChart>
        <c:scatterStyle val="lineMarker"/>
        <c:varyColors val="0"/>
        <c:ser>
          <c:idx val="2"/>
          <c:order val="0"/>
          <c:tx>
            <c:v>Slow Diffusion</c:v>
          </c:tx>
          <c:marker>
            <c:symbol val="none"/>
          </c:marker>
          <c:xVal>
            <c:numRef>
              <c:f>Tech_Diff!$A$14:$A$79</c:f>
              <c:numCache>
                <c:formatCode>General</c:formatCode>
                <c:ptCount val="6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numCache>
            </c:numRef>
          </c:xVal>
          <c:yVal>
            <c:numRef>
              <c:f>Tech_Diff!$D$14:$D$79</c:f>
              <c:numCache>
                <c:formatCode>0%</c:formatCode>
                <c:ptCount val="66"/>
                <c:pt idx="0">
                  <c:v>0</c:v>
                </c:pt>
                <c:pt idx="1">
                  <c:v>5.6630728539726217E-3</c:v>
                </c:pt>
                <c:pt idx="2">
                  <c:v>1.2876946583647011E-2</c:v>
                </c:pt>
                <c:pt idx="3">
                  <c:v>2.2032915273504095E-2</c:v>
                </c:pt>
                <c:pt idx="4">
                  <c:v>3.3600292191806207E-2</c:v>
                </c:pt>
                <c:pt idx="5">
                  <c:v>4.8129225648149025E-2</c:v>
                </c:pt>
                <c:pt idx="6">
                  <c:v>6.6244921247948604E-2</c:v>
                </c:pt>
                <c:pt idx="7">
                  <c:v>8.8627898069074729E-2</c:v>
                </c:pt>
                <c:pt idx="8">
                  <c:v>0.11597397378513044</c:v>
                </c:pt>
                <c:pt idx="9">
                  <c:v>0.14892816029934289</c:v>
                </c:pt>
                <c:pt idx="10">
                  <c:v>0.18798994176709999</c:v>
                </c:pt>
                <c:pt idx="11">
                  <c:v>0.2333948350290812</c:v>
                </c:pt>
                <c:pt idx="12">
                  <c:v>0.28498883139725428</c:v>
                </c:pt>
                <c:pt idx="13">
                  <c:v>0.34212557973697216</c:v>
                </c:pt>
                <c:pt idx="14">
                  <c:v>0.40362451168310121</c:v>
                </c:pt>
                <c:pt idx="15">
                  <c:v>0.46782312731083936</c:v>
                </c:pt>
                <c:pt idx="16">
                  <c:v>0.53273369870371201</c:v>
                </c:pt>
                <c:pt idx="17">
                  <c:v>0.5962793065739046</c:v>
                </c:pt>
                <c:pt idx="18">
                  <c:v>0.65655277477828644</c:v>
                </c:pt>
                <c:pt idx="19">
                  <c:v>0.71203243990812337</c:v>
                </c:pt>
                <c:pt idx="20">
                  <c:v>0.76170663721571541</c:v>
                </c:pt>
                <c:pt idx="21">
                  <c:v>0.80509353747946322</c:v>
                </c:pt>
                <c:pt idx="22">
                  <c:v>0.84217574073145229</c:v>
                </c:pt>
                <c:pt idx="23">
                  <c:v>0.87328630791186734</c:v>
                </c:pt>
                <c:pt idx="24">
                  <c:v>0.89898283529103462</c:v>
                </c:pt>
                <c:pt idx="25">
                  <c:v>0.91993537446436968</c:v>
                </c:pt>
                <c:pt idx="26">
                  <c:v>0.93684071072496411</c:v>
                </c:pt>
                <c:pt idx="27">
                  <c:v>0.95036504416147904</c:v>
                </c:pt>
                <c:pt idx="28">
                  <c:v>0.96111110570431846</c:v>
                </c:pt>
                <c:pt idx="29">
                  <c:v>0.96960350315321209</c:v>
                </c:pt>
                <c:pt idx="30">
                  <c:v>0.97628619041143383</c:v>
                </c:pt>
                <c:pt idx="31">
                  <c:v>0.98152711040554985</c:v>
                </c:pt>
                <c:pt idx="32">
                  <c:v>0.9856264605852727</c:v>
                </c:pt>
                <c:pt idx="33">
                  <c:v>0.98882626620860492</c:v>
                </c:pt>
                <c:pt idx="34">
                  <c:v>0.99131988670816118</c:v>
                </c:pt>
                <c:pt idx="35">
                  <c:v>0.99326072832555046</c:v>
                </c:pt>
                <c:pt idx="36">
                  <c:v>0.99476984914628785</c:v>
                </c:pt>
                <c:pt idx="37">
                  <c:v>0.99594238677137348</c:v>
                </c:pt>
                <c:pt idx="38">
                  <c:v>0.99685287064631256</c:v>
                </c:pt>
                <c:pt idx="39">
                  <c:v>0.99755954270029346</c:v>
                </c:pt>
                <c:pt idx="40">
                  <c:v>0.99810783037450868</c:v>
                </c:pt>
                <c:pt idx="41">
                  <c:v>0.99853311404898937</c:v>
                </c:pt>
                <c:pt idx="42">
                  <c:v>0.99886291780485037</c:v>
                </c:pt>
                <c:pt idx="43">
                  <c:v>0.99911863509532217</c:v>
                </c:pt>
                <c:pt idx="44">
                  <c:v>0.99931688293460086</c:v>
                </c:pt>
                <c:pt idx="45">
                  <c:v>0.9994705615065661</c:v>
                </c:pt>
                <c:pt idx="46">
                  <c:v>0.99958968143875404</c:v>
                </c:pt>
                <c:pt idx="47">
                  <c:v>0.99968200858492606</c:v>
                </c:pt>
                <c:pt idx="48">
                  <c:v>0.99975356591367437</c:v>
                </c:pt>
                <c:pt idx="49">
                  <c:v>0.99980902377543779</c:v>
                </c:pt>
                <c:pt idx="50">
                  <c:v>0.99985200313587486</c:v>
                </c:pt>
                <c:pt idx="51">
                  <c:v>0.99988531104277556</c:v>
                </c:pt>
                <c:pt idx="52">
                  <c:v>0.99991112338558596</c:v>
                </c:pt>
                <c:pt idx="53">
                  <c:v>0.99993112669443596</c:v>
                </c:pt>
                <c:pt idx="54">
                  <c:v>0.99994662812808865</c:v>
                </c:pt>
                <c:pt idx="55">
                  <c:v>0.99995864076881724</c:v>
                </c:pt>
                <c:pt idx="56">
                  <c:v>0.99996794975689918</c:v>
                </c:pt>
                <c:pt idx="57">
                  <c:v>0.99997516356220117</c:v>
                </c:pt>
                <c:pt idx="58">
                  <c:v>0.99998075372911688</c:v>
                </c:pt>
                <c:pt idx="59">
                  <c:v>0.99998508568382605</c:v>
                </c:pt>
                <c:pt idx="60">
                  <c:v>0.99998844261230391</c:v>
                </c:pt>
                <c:pt idx="61">
                  <c:v>0.99999104396675975</c:v>
                </c:pt>
                <c:pt idx="62">
                  <c:v>0.99999305980836983</c:v>
                </c:pt>
                <c:pt idx="63">
                  <c:v>0.99999462192277033</c:v>
                </c:pt>
                <c:pt idx="64">
                  <c:v>0.99999583243428136</c:v>
                </c:pt>
                <c:pt idx="65">
                  <c:v>0.99999677048159819</c:v>
                </c:pt>
              </c:numCache>
            </c:numRef>
          </c:yVal>
          <c:smooth val="0"/>
        </c:ser>
        <c:ser>
          <c:idx val="0"/>
          <c:order val="1"/>
          <c:tx>
            <c:v>Reference Diffusion</c:v>
          </c:tx>
          <c:marker>
            <c:symbol val="none"/>
          </c:marker>
          <c:xVal>
            <c:numRef>
              <c:f>Tech_Diff!$A$14:$A$79</c:f>
              <c:numCache>
                <c:formatCode>General</c:formatCode>
                <c:ptCount val="6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numCache>
            </c:numRef>
          </c:xVal>
          <c:yVal>
            <c:numRef>
              <c:f>Tech_Diff!$E$14:$E$79</c:f>
              <c:numCache>
                <c:formatCode>0%</c:formatCode>
                <c:ptCount val="66"/>
                <c:pt idx="0">
                  <c:v>0</c:v>
                </c:pt>
                <c:pt idx="1">
                  <c:v>1.0701629929633919E-2</c:v>
                </c:pt>
                <c:pt idx="2">
                  <c:v>2.573359512642789E-2</c:v>
                </c:pt>
                <c:pt idx="3">
                  <c:v>4.6539757716903177E-2</c:v>
                </c:pt>
                <c:pt idx="4">
                  <c:v>7.4754332929684128E-2</c:v>
                </c:pt>
                <c:pt idx="5">
                  <c:v>0.11197478620001509</c:v>
                </c:pt>
                <c:pt idx="6">
                  <c:v>0.15936056895239697</c:v>
                </c:pt>
                <c:pt idx="7">
                  <c:v>0.21712504966565391</c:v>
                </c:pt>
                <c:pt idx="8">
                  <c:v>0.28414080977412093</c:v>
                </c:pt>
                <c:pt idx="9">
                  <c:v>0.35795009041805559</c:v>
                </c:pt>
                <c:pt idx="10">
                  <c:v>0.43528730962994305</c:v>
                </c:pt>
                <c:pt idx="11">
                  <c:v>0.51284484369923866</c:v>
                </c:pt>
                <c:pt idx="12">
                  <c:v>0.58783004379238735</c:v>
                </c:pt>
                <c:pt idx="13">
                  <c:v>0.65810308249900329</c:v>
                </c:pt>
                <c:pt idx="14">
                  <c:v>0.72206467330281499</c:v>
                </c:pt>
                <c:pt idx="15">
                  <c:v>0.77856976904215913</c:v>
                </c:pt>
                <c:pt idx="16">
                  <c:v>0.82696350840215249</c:v>
                </c:pt>
                <c:pt idx="17">
                  <c:v>0.86714658256559263</c:v>
                </c:pt>
                <c:pt idx="18">
                  <c:v>0.89955419985356344</c:v>
                </c:pt>
                <c:pt idx="19">
                  <c:v>0.92502432100062038</c:v>
                </c:pt>
                <c:pt idx="20">
                  <c:v>0.94461059131409331</c:v>
                </c:pt>
                <c:pt idx="21">
                  <c:v>0.95940876722590474</c:v>
                </c:pt>
                <c:pt idx="22">
                  <c:v>0.97043561397505118</c:v>
                </c:pt>
                <c:pt idx="23">
                  <c:v>0.97856563119743434</c:v>
                </c:pt>
                <c:pt idx="24">
                  <c:v>0.98451232141945333</c:v>
                </c:pt>
                <c:pt idx="25">
                  <c:v>0.98883650057565198</c:v>
                </c:pt>
                <c:pt idx="26">
                  <c:v>0.99196738407609564</c:v>
                </c:pt>
                <c:pt idx="27">
                  <c:v>0.99422726069133227</c:v>
                </c:pt>
                <c:pt idx="28">
                  <c:v>0.99585484432697347</c:v>
                </c:pt>
                <c:pt idx="29">
                  <c:v>0.99702522404198501</c:v>
                </c:pt>
                <c:pt idx="30">
                  <c:v>0.99786592697261467</c:v>
                </c:pt>
                <c:pt idx="31">
                  <c:v>0.9984693766950139</c:v>
                </c:pt>
                <c:pt idx="32">
                  <c:v>0.99890231984592681</c:v>
                </c:pt>
                <c:pt idx="33">
                  <c:v>0.99921283993037913</c:v>
                </c:pt>
                <c:pt idx="34">
                  <c:v>0.99943551570827049</c:v>
                </c:pt>
                <c:pt idx="35">
                  <c:v>0.99959518445151951</c:v>
                </c:pt>
                <c:pt idx="36">
                  <c:v>0.99970967191209748</c:v>
                </c:pt>
                <c:pt idx="37">
                  <c:v>0.99979176488656052</c:v>
                </c:pt>
                <c:pt idx="38">
                  <c:v>0.99985063257548779</c:v>
                </c:pt>
                <c:pt idx="39">
                  <c:v>0.99989284880158935</c:v>
                </c:pt>
                <c:pt idx="40">
                  <c:v>0.99992312620537604</c:v>
                </c:pt>
                <c:pt idx="41">
                  <c:v>0.9999448431048531</c:v>
                </c:pt>
                <c:pt idx="42">
                  <c:v>0.99996042135098673</c:v>
                </c:pt>
                <c:pt idx="43">
                  <c:v>0.99997159722102513</c:v>
                </c:pt>
                <c:pt idx="44">
                  <c:v>0.9999796155873415</c:v>
                </c:pt>
                <c:pt idx="45">
                  <c:v>0.99998536907810021</c:v>
                </c:pt>
                <c:pt idx="46">
                  <c:v>0.99998949781098223</c:v>
                </c:pt>
                <c:pt idx="47">
                  <c:v>0.99999246087225968</c:v>
                </c:pt>
                <c:pt idx="48">
                  <c:v>0.99999458754894088</c:v>
                </c:pt>
                <c:pt idx="49">
                  <c:v>0.99999611405218891</c:v>
                </c:pt>
                <c:pt idx="50">
                  <c:v>0.99999720984345863</c:v>
                </c:pt>
                <c:pt idx="51">
                  <c:v>0.99999799650912424</c:v>
                </c:pt>
                <c:pt idx="52">
                  <c:v>0.99999856129425391</c:v>
                </c:pt>
                <c:pt idx="53">
                  <c:v>0.99999896680791711</c:v>
                </c:pt>
                <c:pt idx="54">
                  <c:v>0.99999925798382638</c:v>
                </c:pt>
                <c:pt idx="55">
                  <c:v>0.99999946707306653</c:v>
                </c:pt>
                <c:pt idx="56">
                  <c:v>0.99999961722567021</c:v>
                </c:pt>
                <c:pt idx="57">
                  <c:v>0.99999972506016011</c:v>
                </c:pt>
                <c:pt idx="58">
                  <c:v>0.99999980250721576</c:v>
                </c:pt>
                <c:pt idx="59">
                  <c:v>0.99999985813264225</c:v>
                </c:pt>
                <c:pt idx="60">
                  <c:v>0.99999989808679191</c:v>
                </c:pt>
                <c:pt idx="61">
                  <c:v>0.99999992678597005</c:v>
                </c:pt>
                <c:pt idx="62">
                  <c:v>0.99999994740152531</c:v>
                </c:pt>
                <c:pt idx="63">
                  <c:v>0.99999996221093224</c:v>
                </c:pt>
                <c:pt idx="64">
                  <c:v>0.99999997284982522</c:v>
                </c:pt>
                <c:pt idx="65">
                  <c:v>0.99999998049294159</c:v>
                </c:pt>
              </c:numCache>
            </c:numRef>
          </c:yVal>
          <c:smooth val="0"/>
        </c:ser>
        <c:ser>
          <c:idx val="1"/>
          <c:order val="2"/>
          <c:tx>
            <c:v>Rapid Diffusion</c:v>
          </c:tx>
          <c:marker>
            <c:symbol val="none"/>
          </c:marker>
          <c:xVal>
            <c:numRef>
              <c:f>Tech_Diff!$A$14:$A$79</c:f>
              <c:numCache>
                <c:formatCode>General</c:formatCode>
                <c:ptCount val="6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numCache>
            </c:numRef>
          </c:xVal>
          <c:yVal>
            <c:numRef>
              <c:f>Tech_Diff!$F$14:$F$79</c:f>
              <c:numCache>
                <c:formatCode>0%</c:formatCode>
                <c:ptCount val="66"/>
                <c:pt idx="0">
                  <c:v>0</c:v>
                </c:pt>
                <c:pt idx="1">
                  <c:v>1.3085365680332849E-2</c:v>
                </c:pt>
                <c:pt idx="2">
                  <c:v>3.2577195904801182E-2</c:v>
                </c:pt>
                <c:pt idx="3">
                  <c:v>6.1128734358068981E-2</c:v>
                </c:pt>
                <c:pt idx="4">
                  <c:v>0.10193900403919449</c:v>
                </c:pt>
                <c:pt idx="5">
                  <c:v>0.15827476931216483</c:v>
                </c:pt>
                <c:pt idx="6">
                  <c:v>0.23241520945724889</c:v>
                </c:pt>
                <c:pt idx="7">
                  <c:v>0.32408520368542054</c:v>
                </c:pt>
                <c:pt idx="8">
                  <c:v>0.42907157901747933</c:v>
                </c:pt>
                <c:pt idx="9">
                  <c:v>0.5392623305896489</c:v>
                </c:pt>
                <c:pt idx="10">
                  <c:v>0.64481487142010085</c:v>
                </c:pt>
                <c:pt idx="11">
                  <c:v>0.73743450513809794</c:v>
                </c:pt>
                <c:pt idx="12">
                  <c:v>0.81265557363673457</c:v>
                </c:pt>
                <c:pt idx="13">
                  <c:v>0.87000040507526633</c:v>
                </c:pt>
                <c:pt idx="14">
                  <c:v>0.91164346379731476</c:v>
                </c:pt>
                <c:pt idx="15">
                  <c:v>0.94082865303636154</c:v>
                </c:pt>
                <c:pt idx="16">
                  <c:v>0.96077724851146518</c:v>
                </c:pt>
                <c:pt idx="17">
                  <c:v>0.97418027581961053</c:v>
                </c:pt>
                <c:pt idx="18">
                  <c:v>0.98308186796683972</c:v>
                </c:pt>
                <c:pt idx="19">
                  <c:v>0.98894849036290411</c:v>
                </c:pt>
                <c:pt idx="20">
                  <c:v>0.99279530789948189</c:v>
                </c:pt>
                <c:pt idx="21">
                  <c:v>0.99530931569892289</c:v>
                </c:pt>
                <c:pt idx="22">
                  <c:v>0.99694871416365483</c:v>
                </c:pt>
                <c:pt idx="23">
                  <c:v>0.99801625516549386</c:v>
                </c:pt>
                <c:pt idx="24">
                  <c:v>0.99871077102198957</c:v>
                </c:pt>
                <c:pt idx="25">
                  <c:v>0.99916233356235162</c:v>
                </c:pt>
                <c:pt idx="26">
                  <c:v>0.99945581684980145</c:v>
                </c:pt>
                <c:pt idx="27">
                  <c:v>0.9996465113505264</c:v>
                </c:pt>
                <c:pt idx="28">
                  <c:v>0.99977039701309545</c:v>
                </c:pt>
                <c:pt idx="29">
                  <c:v>0.99985087131269645</c:v>
                </c:pt>
                <c:pt idx="30">
                  <c:v>0.9999031425780277</c:v>
                </c:pt>
                <c:pt idx="31">
                  <c:v>0.99993709330726688</c:v>
                </c:pt>
                <c:pt idx="32">
                  <c:v>0.99995914400807118</c:v>
                </c:pt>
                <c:pt idx="33">
                  <c:v>0.9999734654705541</c:v>
                </c:pt>
                <c:pt idx="34">
                  <c:v>0.99998276684100007</c:v>
                </c:pt>
                <c:pt idx="35">
                  <c:v>0.99998880775989696</c:v>
                </c:pt>
                <c:pt idx="36">
                  <c:v>0.99999273110752518</c:v>
                </c:pt>
                <c:pt idx="37">
                  <c:v>0.99999527916427433</c:v>
                </c:pt>
                <c:pt idx="38">
                  <c:v>0.99999693402115797</c:v>
                </c:pt>
                <c:pt idx="39">
                  <c:v>0.9999980087803334</c:v>
                </c:pt>
                <c:pt idx="40">
                  <c:v>0.99999870679006342</c:v>
                </c:pt>
                <c:pt idx="41">
                  <c:v>0.99999916011700329</c:v>
                </c:pt>
                <c:pt idx="42">
                  <c:v>0.99999945453300421</c:v>
                </c:pt>
                <c:pt idx="43">
                  <c:v>0.99999964574325872</c:v>
                </c:pt>
                <c:pt idx="44">
                  <c:v>0.99999976992589568</c:v>
                </c:pt>
                <c:pt idx="45">
                  <c:v>0.99999985057703888</c:v>
                </c:pt>
                <c:pt idx="46">
                  <c:v>0.99999990295639418</c:v>
                </c:pt>
                <c:pt idx="47">
                  <c:v>0.99999993697447032</c:v>
                </c:pt>
                <c:pt idx="48">
                  <c:v>0.99999995906770678</c:v>
                </c:pt>
                <c:pt idx="49">
                  <c:v>0.99999997341628644</c:v>
                </c:pt>
                <c:pt idx="50">
                  <c:v>0.9999999827350543</c:v>
                </c:pt>
                <c:pt idx="51">
                  <c:v>0.99999998878718177</c:v>
                </c:pt>
                <c:pt idx="52">
                  <c:v>0.99999999271777051</c:v>
                </c:pt>
                <c:pt idx="53">
                  <c:v>0.99999999527051431</c:v>
                </c:pt>
                <c:pt idx="54">
                  <c:v>0.99999999692840835</c:v>
                </c:pt>
                <c:pt idx="55">
                  <c:v>0.99999999800513717</c:v>
                </c:pt>
                <c:pt idx="56">
                  <c:v>0.99999999870442491</c:v>
                </c:pt>
                <c:pt idx="57">
                  <c:v>0.99999999915858129</c:v>
                </c:pt>
                <c:pt idx="58">
                  <c:v>0.99999999945353568</c:v>
                </c:pt>
                <c:pt idx="59">
                  <c:v>0.99999999964509567</c:v>
                </c:pt>
                <c:pt idx="60">
                  <c:v>0.99999999976950538</c:v>
                </c:pt>
                <c:pt idx="61">
                  <c:v>0.99999999985030397</c:v>
                </c:pt>
                <c:pt idx="62">
                  <c:v>0.99999999990277899</c:v>
                </c:pt>
                <c:pt idx="63">
                  <c:v>0.99999999993685929</c:v>
                </c:pt>
                <c:pt idx="64">
                  <c:v>0.99999999995899291</c:v>
                </c:pt>
                <c:pt idx="65">
                  <c:v>0.99999999997336764</c:v>
                </c:pt>
              </c:numCache>
            </c:numRef>
          </c:yVal>
          <c:smooth val="0"/>
        </c:ser>
        <c:dLbls>
          <c:showLegendKey val="0"/>
          <c:showVal val="0"/>
          <c:showCatName val="0"/>
          <c:showSerName val="0"/>
          <c:showPercent val="0"/>
          <c:showBubbleSize val="0"/>
        </c:dLbls>
        <c:axId val="309213824"/>
        <c:axId val="309224192"/>
      </c:scatterChart>
      <c:valAx>
        <c:axId val="309213824"/>
        <c:scaling>
          <c:orientation val="minMax"/>
          <c:max val="40"/>
          <c:min val="0"/>
        </c:scaling>
        <c:delete val="0"/>
        <c:axPos val="b"/>
        <c:title>
          <c:tx>
            <c:rich>
              <a:bodyPr/>
              <a:lstStyle/>
              <a:p>
                <a:pPr>
                  <a:defRPr b="0"/>
                </a:pPr>
                <a:r>
                  <a:rPr lang="en-US" b="0"/>
                  <a:t>Time since market introduction (years)</a:t>
                </a:r>
              </a:p>
            </c:rich>
          </c:tx>
          <c:overlay val="0"/>
        </c:title>
        <c:numFmt formatCode="General" sourceLinked="1"/>
        <c:majorTickMark val="out"/>
        <c:minorTickMark val="none"/>
        <c:tickLblPos val="nextTo"/>
        <c:crossAx val="309224192"/>
        <c:crosses val="autoZero"/>
        <c:crossBetween val="midCat"/>
      </c:valAx>
      <c:valAx>
        <c:axId val="309224192"/>
        <c:scaling>
          <c:orientation val="minMax"/>
          <c:max val="1"/>
        </c:scaling>
        <c:delete val="0"/>
        <c:axPos val="l"/>
        <c:majorGridlines>
          <c:spPr>
            <a:ln>
              <a:prstDash val="dash"/>
            </a:ln>
          </c:spPr>
        </c:majorGridlines>
        <c:title>
          <c:tx>
            <c:rich>
              <a:bodyPr rot="-5400000" vert="horz"/>
              <a:lstStyle/>
              <a:p>
                <a:pPr>
                  <a:defRPr b="0"/>
                </a:pPr>
                <a:r>
                  <a:rPr lang="en-US" b="0"/>
                  <a:t>Cumulative Adoption</a:t>
                </a:r>
              </a:p>
            </c:rich>
          </c:tx>
          <c:overlay val="0"/>
        </c:title>
        <c:numFmt formatCode="0%" sourceLinked="1"/>
        <c:majorTickMark val="out"/>
        <c:minorTickMark val="none"/>
        <c:tickLblPos val="nextTo"/>
        <c:crossAx val="309213824"/>
        <c:crosses val="autoZero"/>
        <c:crossBetween val="midCat"/>
      </c:valAx>
      <c:spPr>
        <a:ln>
          <a:solidFill>
            <a:sysClr val="window" lastClr="FFFFFF">
              <a:lumMod val="85000"/>
            </a:sysClr>
          </a:solidFill>
        </a:ln>
      </c:spPr>
    </c:plotArea>
    <c:legend>
      <c:legendPos val="b"/>
      <c:overlay val="0"/>
      <c:spPr>
        <a:solidFill>
          <a:schemeClr val="bg1"/>
        </a:solidFill>
        <a:ln>
          <a:noFill/>
        </a:ln>
      </c:spPr>
    </c:legend>
    <c:plotVisOnly val="1"/>
    <c:dispBlanksAs val="gap"/>
    <c:showDLblsOverMax val="0"/>
  </c:chart>
  <c:spPr>
    <a:ln>
      <a:noFill/>
    </a:ln>
  </c:spPr>
  <c:txPr>
    <a:bodyPr/>
    <a:lstStyle/>
    <a:p>
      <a:pPr>
        <a:defRPr sz="1000">
          <a:latin typeface="Arial" pitchFamily="34" charset="0"/>
          <a:cs typeface="Arial" pitchFamily="34" charset="0"/>
        </a:defRPr>
      </a:pPr>
      <a:endParaRPr lang="en-US"/>
    </a:p>
  </c:txPr>
  <c:printSettings>
    <c:headerFooter/>
    <c:pageMargins b="0.75000000000000511" l="0.70000000000000062" r="0.70000000000000062" t="0.75000000000000511"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Market</a:t>
            </a:r>
            <a:r>
              <a:rPr lang="en-US" sz="1400" baseline="0"/>
              <a:t> Share - Linear Fluorescent</a:t>
            </a:r>
          </a:p>
        </c:rich>
      </c:tx>
      <c:layout>
        <c:manualLayout>
          <c:xMode val="edge"/>
          <c:yMode val="edge"/>
          <c:x val="0.23758750673128703"/>
          <c:y val="2.16216154865248E-2"/>
        </c:manualLayout>
      </c:layout>
      <c:overlay val="0"/>
    </c:title>
    <c:autoTitleDeleted val="0"/>
    <c:plotArea>
      <c:layout/>
      <c:lineChart>
        <c:grouping val="standard"/>
        <c:varyColors val="0"/>
        <c:ser>
          <c:idx val="0"/>
          <c:order val="0"/>
          <c:tx>
            <c:v>Historical T12</c:v>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Sales_Calibration!$M$203:$O$203</c:f>
              <c:numCache>
                <c:formatCode>0%</c:formatCode>
                <c:ptCount val="3"/>
                <c:pt idx="0">
                  <c:v>0.12259373273080557</c:v>
                </c:pt>
                <c:pt idx="1">
                  <c:v>0.11408419790719647</c:v>
                </c:pt>
                <c:pt idx="2">
                  <c:v>7.0500372123286456E-2</c:v>
                </c:pt>
              </c:numCache>
            </c:numRef>
          </c:val>
          <c:smooth val="0"/>
        </c:ser>
        <c:ser>
          <c:idx val="1"/>
          <c:order val="1"/>
          <c:tx>
            <c:v>Historical T8</c:v>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Sales_Calibration!$M$204:$O$204</c:f>
              <c:numCache>
                <c:formatCode>0%</c:formatCode>
                <c:ptCount val="3"/>
                <c:pt idx="0">
                  <c:v>0.78431862443624434</c:v>
                </c:pt>
                <c:pt idx="1">
                  <c:v>0.91406709583400181</c:v>
                </c:pt>
                <c:pt idx="2">
                  <c:v>0.79409382409041485</c:v>
                </c:pt>
              </c:numCache>
            </c:numRef>
          </c:val>
          <c:smooth val="0"/>
        </c:ser>
        <c:ser>
          <c:idx val="2"/>
          <c:order val="2"/>
          <c:tx>
            <c:v>Historical T5</c:v>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Sales_Calibration!$M$205:$O$205</c:f>
              <c:numCache>
                <c:formatCode>0%</c:formatCode>
                <c:ptCount val="3"/>
                <c:pt idx="0">
                  <c:v>9.3087642832950068E-2</c:v>
                </c:pt>
                <c:pt idx="1">
                  <c:v>0.10898672166069487</c:v>
                </c:pt>
                <c:pt idx="2">
                  <c:v>9.5574685366418888E-2</c:v>
                </c:pt>
              </c:numCache>
            </c:numRef>
          </c:val>
          <c:smooth val="0"/>
        </c:ser>
        <c:ser>
          <c:idx val="3"/>
          <c:order val="3"/>
          <c:tx>
            <c:v>Historical LED</c:v>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Sales_Calibration!$M$206:$O$206</c:f>
              <c:numCache>
                <c:formatCode>0%</c:formatCode>
                <c:ptCount val="3"/>
                <c:pt idx="0">
                  <c:v>0</c:v>
                </c:pt>
                <c:pt idx="1">
                  <c:v>0</c:v>
                </c:pt>
                <c:pt idx="2">
                  <c:v>0</c:v>
                </c:pt>
              </c:numCache>
            </c:numRef>
          </c:val>
          <c:smooth val="0"/>
        </c:ser>
        <c:ser>
          <c:idx val="4"/>
          <c:order val="4"/>
          <c:tx>
            <c:strRef>
              <c:f>Sales_Calibration!$B$311</c:f>
              <c:strCache>
                <c:ptCount val="1"/>
                <c:pt idx="0">
                  <c:v>T12</c:v>
                </c:pt>
              </c:strCache>
            </c:strRef>
          </c:tx>
          <c:val>
            <c:numRef>
              <c:f>Sales_Calibration!$M$311:$AL$311</c:f>
              <c:numCache>
                <c:formatCode>0%</c:formatCode>
                <c:ptCount val="26"/>
                <c:pt idx="1">
                  <c:v>0.10888996589961596</c:v>
                </c:pt>
                <c:pt idx="2">
                  <c:v>6.8280359445929251E-2</c:v>
                </c:pt>
                <c:pt idx="3">
                  <c:v>3.3736324313790769E-2</c:v>
                </c:pt>
                <c:pt idx="4">
                  <c:v>6.9151357836630574E-3</c:v>
                </c:pt>
                <c:pt idx="5">
                  <c:v>5.2723965114516826E-3</c:v>
                </c:pt>
                <c:pt idx="6">
                  <c:v>4.0665206063990643E-3</c:v>
                </c:pt>
                <c:pt idx="7">
                  <c:v>3.2093650181220946E-3</c:v>
                </c:pt>
                <c:pt idx="8">
                  <c:v>2.5603961431573865E-3</c:v>
                </c:pt>
                <c:pt idx="9">
                  <c:v>2.0689560815200661E-3</c:v>
                </c:pt>
                <c:pt idx="10">
                  <c:v>1.6887905512981203E-3</c:v>
                </c:pt>
                <c:pt idx="11">
                  <c:v>1.3924970202957544E-3</c:v>
                </c:pt>
                <c:pt idx="12">
                  <c:v>1.1617568967231063E-3</c:v>
                </c:pt>
                <c:pt idx="13">
                  <c:v>9.8005348216589449E-4</c:v>
                </c:pt>
                <c:pt idx="14">
                  <c:v>8.3595309074812024E-4</c:v>
                </c:pt>
                <c:pt idx="15">
                  <c:v>7.2124549938939618E-4</c:v>
                </c:pt>
                <c:pt idx="16">
                  <c:v>6.2921783441071083E-4</c:v>
                </c:pt>
                <c:pt idx="17">
                  <c:v>5.5568745300601456E-4</c:v>
                </c:pt>
                <c:pt idx="18">
                  <c:v>4.9428517462013651E-4</c:v>
                </c:pt>
                <c:pt idx="19">
                  <c:v>4.4443358428888463E-4</c:v>
                </c:pt>
                <c:pt idx="20">
                  <c:v>4.0401931304293682E-4</c:v>
                </c:pt>
                <c:pt idx="21">
                  <c:v>3.6975083621430051E-4</c:v>
                </c:pt>
                <c:pt idx="22">
                  <c:v>3.4091806760925511E-4</c:v>
                </c:pt>
                <c:pt idx="23">
                  <c:v>3.1591454881474499E-4</c:v>
                </c:pt>
                <c:pt idx="24">
                  <c:v>2.9407275177227815E-4</c:v>
                </c:pt>
                <c:pt idx="25">
                  <c:v>2.7265920773324165E-4</c:v>
                </c:pt>
              </c:numCache>
            </c:numRef>
          </c:val>
          <c:smooth val="0"/>
        </c:ser>
        <c:ser>
          <c:idx val="5"/>
          <c:order val="5"/>
          <c:tx>
            <c:strRef>
              <c:f>Sales_Calibration!$B$312</c:f>
              <c:strCache>
                <c:ptCount val="1"/>
                <c:pt idx="0">
                  <c:v>T8</c:v>
                </c:pt>
              </c:strCache>
            </c:strRef>
          </c:tx>
          <c:val>
            <c:numRef>
              <c:f>Sales_Calibration!$M$312:$AL$312</c:f>
              <c:numCache>
                <c:formatCode>0%</c:formatCode>
                <c:ptCount val="26"/>
                <c:pt idx="1">
                  <c:v>0.78497668296262824</c:v>
                </c:pt>
                <c:pt idx="2">
                  <c:v>0.80120475096193999</c:v>
                </c:pt>
                <c:pt idx="3">
                  <c:v>0.80769275436332777</c:v>
                </c:pt>
                <c:pt idx="4">
                  <c:v>0.81217028743500208</c:v>
                </c:pt>
                <c:pt idx="5">
                  <c:v>0.79549653902902639</c:v>
                </c:pt>
                <c:pt idx="6">
                  <c:v>0.77841634942875459</c:v>
                </c:pt>
                <c:pt idx="7">
                  <c:v>0.75651130378336739</c:v>
                </c:pt>
                <c:pt idx="8">
                  <c:v>0.73423245753414379</c:v>
                </c:pt>
                <c:pt idx="9">
                  <c:v>0.71257168050869713</c:v>
                </c:pt>
                <c:pt idx="10">
                  <c:v>0.69153752369304999</c:v>
                </c:pt>
                <c:pt idx="11">
                  <c:v>0.67194602902566636</c:v>
                </c:pt>
                <c:pt idx="12">
                  <c:v>0.65286962519334968</c:v>
                </c:pt>
                <c:pt idx="13">
                  <c:v>0.6351701898825135</c:v>
                </c:pt>
                <c:pt idx="14">
                  <c:v>0.61787303594713705</c:v>
                </c:pt>
                <c:pt idx="15">
                  <c:v>0.60229819624690173</c:v>
                </c:pt>
                <c:pt idx="16">
                  <c:v>0.58789444847319761</c:v>
                </c:pt>
                <c:pt idx="17">
                  <c:v>0.57348393131061992</c:v>
                </c:pt>
                <c:pt idx="18">
                  <c:v>0.56057598585305723</c:v>
                </c:pt>
                <c:pt idx="19">
                  <c:v>0.54883838103792659</c:v>
                </c:pt>
                <c:pt idx="20">
                  <c:v>0.53779454280644468</c:v>
                </c:pt>
                <c:pt idx="21">
                  <c:v>0.5272989166319173</c:v>
                </c:pt>
                <c:pt idx="22">
                  <c:v>0.51740314883041172</c:v>
                </c:pt>
                <c:pt idx="23">
                  <c:v>0.5080880004622409</c:v>
                </c:pt>
                <c:pt idx="24">
                  <c:v>0.4993752999665178</c:v>
                </c:pt>
                <c:pt idx="25">
                  <c:v>0.49074093896164278</c:v>
                </c:pt>
              </c:numCache>
            </c:numRef>
          </c:val>
          <c:smooth val="0"/>
        </c:ser>
        <c:ser>
          <c:idx val="6"/>
          <c:order val="6"/>
          <c:tx>
            <c:strRef>
              <c:f>Sales_Calibration!$B$313</c:f>
              <c:strCache>
                <c:ptCount val="1"/>
                <c:pt idx="0">
                  <c:v>T5*</c:v>
                </c:pt>
              </c:strCache>
            </c:strRef>
          </c:tx>
          <c:val>
            <c:numRef>
              <c:f>Sales_Calibration!$M$313:$AL$313</c:f>
              <c:numCache>
                <c:formatCode>0%</c:formatCode>
                <c:ptCount val="26"/>
                <c:pt idx="1">
                  <c:v>0.10612988791173829</c:v>
                </c:pt>
                <c:pt idx="2">
                  <c:v>0.13043237686805073</c:v>
                </c:pt>
                <c:pt idx="3">
                  <c:v>0.15804708584040764</c:v>
                </c:pt>
                <c:pt idx="4">
                  <c:v>0.17921033271500045</c:v>
                </c:pt>
                <c:pt idx="5">
                  <c:v>0.19526855151652048</c:v>
                </c:pt>
                <c:pt idx="6">
                  <c:v>0.2100100663315228</c:v>
                </c:pt>
                <c:pt idx="7">
                  <c:v>0.22727692415382159</c:v>
                </c:pt>
                <c:pt idx="8">
                  <c:v>0.24305997969205803</c:v>
                </c:pt>
                <c:pt idx="9">
                  <c:v>0.25665178873397138</c:v>
                </c:pt>
                <c:pt idx="10">
                  <c:v>0.2680705191225532</c:v>
                </c:pt>
                <c:pt idx="11">
                  <c:v>0.27738811450188078</c:v>
                </c:pt>
                <c:pt idx="12">
                  <c:v>0.28478155911703729</c:v>
                </c:pt>
                <c:pt idx="13">
                  <c:v>0.29050706805639143</c:v>
                </c:pt>
                <c:pt idx="14">
                  <c:v>0.29480139196959376</c:v>
                </c:pt>
                <c:pt idx="15">
                  <c:v>0.29808775063680004</c:v>
                </c:pt>
                <c:pt idx="16">
                  <c:v>0.3002805307842274</c:v>
                </c:pt>
                <c:pt idx="17">
                  <c:v>0.30152482980981377</c:v>
                </c:pt>
                <c:pt idx="18">
                  <c:v>0.30238517998005754</c:v>
                </c:pt>
                <c:pt idx="19">
                  <c:v>0.30271841007335321</c:v>
                </c:pt>
                <c:pt idx="20">
                  <c:v>0.30276448965645208</c:v>
                </c:pt>
                <c:pt idx="21">
                  <c:v>0.30224401632833831</c:v>
                </c:pt>
                <c:pt idx="22">
                  <c:v>0.30155400648960368</c:v>
                </c:pt>
                <c:pt idx="23">
                  <c:v>0.30065962642513627</c:v>
                </c:pt>
                <c:pt idx="24">
                  <c:v>0.29935429355684284</c:v>
                </c:pt>
                <c:pt idx="25">
                  <c:v>0.29773809484988478</c:v>
                </c:pt>
              </c:numCache>
            </c:numRef>
          </c:val>
          <c:smooth val="0"/>
        </c:ser>
        <c:ser>
          <c:idx val="7"/>
          <c:order val="7"/>
          <c:tx>
            <c:strRef>
              <c:f>Sales_Calibration!$B$314</c:f>
              <c:strCache>
                <c:ptCount val="1"/>
                <c:pt idx="0">
                  <c:v>LED</c:v>
                </c:pt>
              </c:strCache>
            </c:strRef>
          </c:tx>
          <c:val>
            <c:numRef>
              <c:f>Sales_Calibration!$M$314:$AL$314</c:f>
              <c:numCache>
                <c:formatCode>0%</c:formatCode>
                <c:ptCount val="26"/>
                <c:pt idx="1">
                  <c:v>3.4632260175065257E-6</c:v>
                </c:pt>
                <c:pt idx="2">
                  <c:v>8.2512724080148012E-5</c:v>
                </c:pt>
                <c:pt idx="3">
                  <c:v>5.2383548247397196E-4</c:v>
                </c:pt>
                <c:pt idx="4">
                  <c:v>1.7042440663345916E-3</c:v>
                </c:pt>
                <c:pt idx="5">
                  <c:v>3.9625129430013754E-3</c:v>
                </c:pt>
                <c:pt idx="6">
                  <c:v>7.5070636333234809E-3</c:v>
                </c:pt>
                <c:pt idx="7">
                  <c:v>1.3002407044688911E-2</c:v>
                </c:pt>
                <c:pt idx="8">
                  <c:v>2.014716663064087E-2</c:v>
                </c:pt>
                <c:pt idx="9">
                  <c:v>2.8707574675811611E-2</c:v>
                </c:pt>
                <c:pt idx="10">
                  <c:v>3.8703166633098557E-2</c:v>
                </c:pt>
                <c:pt idx="11">
                  <c:v>4.9273359452157037E-2</c:v>
                </c:pt>
                <c:pt idx="12">
                  <c:v>6.1187058792890034E-2</c:v>
                </c:pt>
                <c:pt idx="13">
                  <c:v>7.3342688578929019E-2</c:v>
                </c:pt>
                <c:pt idx="14">
                  <c:v>8.6489618992520959E-2</c:v>
                </c:pt>
                <c:pt idx="15">
                  <c:v>9.8892807616908843E-2</c:v>
                </c:pt>
                <c:pt idx="16">
                  <c:v>0.11119580290816418</c:v>
                </c:pt>
                <c:pt idx="17">
                  <c:v>0.12443555142656032</c:v>
                </c:pt>
                <c:pt idx="18">
                  <c:v>0.13654454899226512</c:v>
                </c:pt>
                <c:pt idx="19">
                  <c:v>0.14799877530443151</c:v>
                </c:pt>
                <c:pt idx="20">
                  <c:v>0.15903694822406034</c:v>
                </c:pt>
                <c:pt idx="21">
                  <c:v>0.17008731620353004</c:v>
                </c:pt>
                <c:pt idx="22">
                  <c:v>0.1807019266123755</c:v>
                </c:pt>
                <c:pt idx="23">
                  <c:v>0.19093645856380814</c:v>
                </c:pt>
                <c:pt idx="24">
                  <c:v>0.20097633372486698</c:v>
                </c:pt>
                <c:pt idx="25">
                  <c:v>0.21124830698073918</c:v>
                </c:pt>
              </c:numCache>
            </c:numRef>
          </c:val>
          <c:smooth val="0"/>
        </c:ser>
        <c:dLbls>
          <c:showLegendKey val="0"/>
          <c:showVal val="0"/>
          <c:showCatName val="0"/>
          <c:showSerName val="0"/>
          <c:showPercent val="0"/>
          <c:showBubbleSize val="0"/>
        </c:dLbls>
        <c:marker val="1"/>
        <c:smooth val="0"/>
        <c:axId val="339528704"/>
        <c:axId val="340001536"/>
      </c:lineChart>
      <c:catAx>
        <c:axId val="339528704"/>
        <c:scaling>
          <c:orientation val="minMax"/>
        </c:scaling>
        <c:delete val="0"/>
        <c:axPos val="b"/>
        <c:numFmt formatCode="General" sourceLinked="1"/>
        <c:majorTickMark val="out"/>
        <c:minorTickMark val="none"/>
        <c:tickLblPos val="nextTo"/>
        <c:crossAx val="340001536"/>
        <c:crosses val="autoZero"/>
        <c:auto val="1"/>
        <c:lblAlgn val="ctr"/>
        <c:lblOffset val="100"/>
        <c:noMultiLvlLbl val="0"/>
      </c:catAx>
      <c:valAx>
        <c:axId val="340001536"/>
        <c:scaling>
          <c:orientation val="minMax"/>
        </c:scaling>
        <c:delete val="0"/>
        <c:axPos val="l"/>
        <c:majorGridlines/>
        <c:numFmt formatCode="0%" sourceLinked="1"/>
        <c:majorTickMark val="out"/>
        <c:minorTickMark val="none"/>
        <c:tickLblPos val="nextTo"/>
        <c:crossAx val="339528704"/>
        <c:crosses val="autoZero"/>
        <c:crossBetween val="between"/>
      </c:valAx>
    </c:plotArea>
    <c:legend>
      <c:legendPos val="r"/>
      <c:overlay val="0"/>
    </c:legend>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Market</a:t>
            </a:r>
            <a:r>
              <a:rPr lang="en-US" sz="1400" baseline="0"/>
              <a:t> Share - HID</a:t>
            </a:r>
          </a:p>
        </c:rich>
      </c:tx>
      <c:overlay val="0"/>
    </c:title>
    <c:autoTitleDeleted val="0"/>
    <c:plotArea>
      <c:layout/>
      <c:lineChart>
        <c:grouping val="standard"/>
        <c:varyColors val="0"/>
        <c:ser>
          <c:idx val="4"/>
          <c:order val="0"/>
          <c:tx>
            <c:strRef>
              <c:f>Sales_Calibration!$B$317</c:f>
              <c:strCache>
                <c:ptCount val="1"/>
                <c:pt idx="0">
                  <c:v>Mercury Vapor</c:v>
                </c:pt>
              </c:strCache>
            </c:strRef>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Sales_Calibration!$M$317:$AL$317</c:f>
              <c:numCache>
                <c:formatCode>0%</c:formatCode>
                <c:ptCount val="26"/>
                <c:pt idx="1">
                  <c:v>7.6686407216686042E-2</c:v>
                </c:pt>
                <c:pt idx="2">
                  <c:v>8.1263906978250491E-2</c:v>
                </c:pt>
                <c:pt idx="3">
                  <c:v>8.4600260066281116E-2</c:v>
                </c:pt>
                <c:pt idx="4">
                  <c:v>8.6608857920255036E-2</c:v>
                </c:pt>
                <c:pt idx="5">
                  <c:v>8.7929935818568866E-2</c:v>
                </c:pt>
                <c:pt idx="6">
                  <c:v>8.8528568233077018E-2</c:v>
                </c:pt>
                <c:pt idx="7">
                  <c:v>8.85167184961132E-2</c:v>
                </c:pt>
                <c:pt idx="8">
                  <c:v>8.8257828429711416E-2</c:v>
                </c:pt>
                <c:pt idx="9">
                  <c:v>8.798898586358829E-2</c:v>
                </c:pt>
                <c:pt idx="10">
                  <c:v>8.7564432298419093E-2</c:v>
                </c:pt>
                <c:pt idx="11">
                  <c:v>8.730952715753526E-2</c:v>
                </c:pt>
                <c:pt idx="12">
                  <c:v>8.6904863921807379E-2</c:v>
                </c:pt>
                <c:pt idx="13">
                  <c:v>8.6705188323182067E-2</c:v>
                </c:pt>
                <c:pt idx="14">
                  <c:v>8.634657402086196E-2</c:v>
                </c:pt>
                <c:pt idx="15">
                  <c:v>8.6212097378796718E-2</c:v>
                </c:pt>
                <c:pt idx="16">
                  <c:v>8.6268756327357032E-2</c:v>
                </c:pt>
                <c:pt idx="17">
                  <c:v>8.6048293284488861E-2</c:v>
                </c:pt>
                <c:pt idx="18">
                  <c:v>8.608651443965934E-2</c:v>
                </c:pt>
                <c:pt idx="19">
                  <c:v>8.6247228240405496E-2</c:v>
                </c:pt>
                <c:pt idx="20">
                  <c:v>8.6420062393447059E-2</c:v>
                </c:pt>
                <c:pt idx="21">
                  <c:v>8.6566619102755579E-2</c:v>
                </c:pt>
                <c:pt idx="22">
                  <c:v>8.6735879950114406E-2</c:v>
                </c:pt>
                <c:pt idx="23">
                  <c:v>8.6873561105945893E-2</c:v>
                </c:pt>
                <c:pt idx="24">
                  <c:v>8.7028461551093297E-2</c:v>
                </c:pt>
                <c:pt idx="25">
                  <c:v>8.7146425529578908E-2</c:v>
                </c:pt>
              </c:numCache>
            </c:numRef>
          </c:val>
          <c:smooth val="0"/>
        </c:ser>
        <c:ser>
          <c:idx val="5"/>
          <c:order val="1"/>
          <c:tx>
            <c:strRef>
              <c:f>Sales_Calibration!$B$318</c:f>
              <c:strCache>
                <c:ptCount val="1"/>
                <c:pt idx="0">
                  <c:v>Metal Halide</c:v>
                </c:pt>
              </c:strCache>
            </c:strRef>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Sales_Calibration!$M$318:$AL$318</c:f>
              <c:numCache>
                <c:formatCode>0%</c:formatCode>
                <c:ptCount val="26"/>
                <c:pt idx="1">
                  <c:v>0.86558323321485675</c:v>
                </c:pt>
                <c:pt idx="2">
                  <c:v>0.86345431983013532</c:v>
                </c:pt>
                <c:pt idx="3">
                  <c:v>0.859442674073435</c:v>
                </c:pt>
                <c:pt idx="4">
                  <c:v>0.85255852422446832</c:v>
                </c:pt>
                <c:pt idx="5">
                  <c:v>0.84182531518475467</c:v>
                </c:pt>
                <c:pt idx="6">
                  <c:v>0.82745012544395247</c:v>
                </c:pt>
                <c:pt idx="7">
                  <c:v>0.80994475889505713</c:v>
                </c:pt>
                <c:pt idx="8">
                  <c:v>0.79056988684106766</c:v>
                </c:pt>
                <c:pt idx="9">
                  <c:v>0.77025424416086929</c:v>
                </c:pt>
                <c:pt idx="10">
                  <c:v>0.74941541780544518</c:v>
                </c:pt>
                <c:pt idx="11">
                  <c:v>0.729383000587422</c:v>
                </c:pt>
                <c:pt idx="12">
                  <c:v>0.70909888221382766</c:v>
                </c:pt>
                <c:pt idx="13">
                  <c:v>0.69026041044507092</c:v>
                </c:pt>
                <c:pt idx="14">
                  <c:v>0.67142762099521591</c:v>
                </c:pt>
                <c:pt idx="15">
                  <c:v>0.65514273596783179</c:v>
                </c:pt>
                <c:pt idx="16">
                  <c:v>0.63938838865738445</c:v>
                </c:pt>
                <c:pt idx="17">
                  <c:v>0.62324022484825681</c:v>
                </c:pt>
                <c:pt idx="18">
                  <c:v>0.60880264615611523</c:v>
                </c:pt>
                <c:pt idx="19">
                  <c:v>0.59543920422758079</c:v>
                </c:pt>
                <c:pt idx="20">
                  <c:v>0.58291926106209879</c:v>
                </c:pt>
                <c:pt idx="21">
                  <c:v>0.57079462630979594</c:v>
                </c:pt>
                <c:pt idx="22">
                  <c:v>0.55939046356164279</c:v>
                </c:pt>
                <c:pt idx="23">
                  <c:v>0.54839957662825711</c:v>
                </c:pt>
                <c:pt idx="24">
                  <c:v>0.5379544055206773</c:v>
                </c:pt>
                <c:pt idx="25">
                  <c:v>0.52740036119692213</c:v>
                </c:pt>
              </c:numCache>
            </c:numRef>
          </c:val>
          <c:smooth val="0"/>
        </c:ser>
        <c:ser>
          <c:idx val="6"/>
          <c:order val="2"/>
          <c:tx>
            <c:strRef>
              <c:f>Sales_Calibration!$B$319</c:f>
              <c:strCache>
                <c:ptCount val="1"/>
                <c:pt idx="0">
                  <c:v>High Pressure Sodium</c:v>
                </c:pt>
              </c:strCache>
            </c:strRef>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Sales_Calibration!$M$319:$AL$319</c:f>
              <c:numCache>
                <c:formatCode>0%</c:formatCode>
                <c:ptCount val="26"/>
                <c:pt idx="1">
                  <c:v>4.9453277026941425E-2</c:v>
                </c:pt>
                <c:pt idx="2">
                  <c:v>4.3191824617730461E-2</c:v>
                </c:pt>
                <c:pt idx="3">
                  <c:v>3.7982888137436104E-2</c:v>
                </c:pt>
                <c:pt idx="4">
                  <c:v>3.3517956445981503E-2</c:v>
                </c:pt>
                <c:pt idx="5">
                  <c:v>2.9685320800691164E-2</c:v>
                </c:pt>
                <c:pt idx="6">
                  <c:v>2.6480927908384917E-2</c:v>
                </c:pt>
                <c:pt idx="7">
                  <c:v>2.3617563045681321E-2</c:v>
                </c:pt>
                <c:pt idx="8">
                  <c:v>2.1161456991292901E-2</c:v>
                </c:pt>
                <c:pt idx="9">
                  <c:v>1.9021608225877694E-2</c:v>
                </c:pt>
                <c:pt idx="10">
                  <c:v>1.7162566489629195E-2</c:v>
                </c:pt>
                <c:pt idx="11">
                  <c:v>1.5572376300975002E-2</c:v>
                </c:pt>
                <c:pt idx="12">
                  <c:v>1.4136392929669733E-2</c:v>
                </c:pt>
                <c:pt idx="13">
                  <c:v>1.2892595720574603E-2</c:v>
                </c:pt>
                <c:pt idx="14">
                  <c:v>1.1767148828238053E-2</c:v>
                </c:pt>
                <c:pt idx="15">
                  <c:v>1.0783108016689769E-2</c:v>
                </c:pt>
                <c:pt idx="16">
                  <c:v>9.9171804573733435E-3</c:v>
                </c:pt>
                <c:pt idx="17">
                  <c:v>9.1173691015756838E-3</c:v>
                </c:pt>
                <c:pt idx="18">
                  <c:v>8.4187915900885181E-3</c:v>
                </c:pt>
                <c:pt idx="19">
                  <c:v>7.7949402865742611E-3</c:v>
                </c:pt>
                <c:pt idx="20">
                  <c:v>7.2355853179591877E-3</c:v>
                </c:pt>
                <c:pt idx="21">
                  <c:v>6.7304885177440765E-3</c:v>
                </c:pt>
                <c:pt idx="22">
                  <c:v>6.276372070861575E-3</c:v>
                </c:pt>
                <c:pt idx="23">
                  <c:v>5.8667138840775967E-3</c:v>
                </c:pt>
                <c:pt idx="24">
                  <c:v>5.4986039853221385E-3</c:v>
                </c:pt>
                <c:pt idx="25">
                  <c:v>5.1632080724183403E-3</c:v>
                </c:pt>
              </c:numCache>
            </c:numRef>
          </c:val>
          <c:smooth val="0"/>
        </c:ser>
        <c:ser>
          <c:idx val="7"/>
          <c:order val="3"/>
          <c:tx>
            <c:strRef>
              <c:f>Sales_Calibration!$B$320</c:f>
              <c:strCache>
                <c:ptCount val="1"/>
                <c:pt idx="0">
                  <c:v>Low Pressure Sodium</c:v>
                </c:pt>
              </c:strCache>
            </c:strRef>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Sales_Calibration!$M$320:$AL$320</c:f>
              <c:numCache>
                <c:formatCode>0%</c:formatCode>
                <c:ptCount val="26"/>
                <c:pt idx="1">
                  <c:v>3.2829974730828459E-4</c:v>
                </c:pt>
                <c:pt idx="2">
                  <c:v>2.8777773487773014E-4</c:v>
                </c:pt>
                <c:pt idx="3">
                  <c:v>2.5354378891700855E-4</c:v>
                </c:pt>
                <c:pt idx="4">
                  <c:v>2.2362400779161941E-4</c:v>
                </c:pt>
                <c:pt idx="5">
                  <c:v>1.9774076801679514E-4</c:v>
                </c:pt>
                <c:pt idx="6">
                  <c:v>1.7606909668542757E-4</c:v>
                </c:pt>
                <c:pt idx="7">
                  <c:v>1.5644645884926384E-4</c:v>
                </c:pt>
                <c:pt idx="8">
                  <c:v>1.3909266153066418E-4</c:v>
                </c:pt>
                <c:pt idx="9">
                  <c:v>1.2406350129795331E-4</c:v>
                </c:pt>
                <c:pt idx="10">
                  <c:v>1.1096790918517091E-4</c:v>
                </c:pt>
                <c:pt idx="11">
                  <c:v>9.9757188750720878E-5</c:v>
                </c:pt>
                <c:pt idx="12">
                  <c:v>8.9517299516747806E-5</c:v>
                </c:pt>
                <c:pt idx="13">
                  <c:v>8.0615765281417189E-5</c:v>
                </c:pt>
                <c:pt idx="14">
                  <c:v>7.2438227380277909E-5</c:v>
                </c:pt>
                <c:pt idx="15">
                  <c:v>6.5247124231715038E-5</c:v>
                </c:pt>
                <c:pt idx="16">
                  <c:v>5.8836226871386454E-5</c:v>
                </c:pt>
                <c:pt idx="17">
                  <c:v>5.2835783672333195E-5</c:v>
                </c:pt>
                <c:pt idx="18">
                  <c:v>4.7719384080923887E-5</c:v>
                </c:pt>
                <c:pt idx="19">
                  <c:v>4.295918959987945E-5</c:v>
                </c:pt>
                <c:pt idx="20">
                  <c:v>3.8655236738346728E-5</c:v>
                </c:pt>
                <c:pt idx="21">
                  <c:v>3.47573171821547E-5</c:v>
                </c:pt>
                <c:pt idx="22">
                  <c:v>3.1246568586888637E-5</c:v>
                </c:pt>
                <c:pt idx="23">
                  <c:v>2.8062316477071796E-5</c:v>
                </c:pt>
                <c:pt idx="24">
                  <c:v>2.5202549932136975E-5</c:v>
                </c:pt>
                <c:pt idx="25">
                  <c:v>2.262312670622024E-5</c:v>
                </c:pt>
              </c:numCache>
            </c:numRef>
          </c:val>
          <c:smooth val="0"/>
        </c:ser>
        <c:ser>
          <c:idx val="0"/>
          <c:order val="4"/>
          <c:tx>
            <c:strRef>
              <c:f>Sales_Calibration!$B$321</c:f>
              <c:strCache>
                <c:ptCount val="1"/>
                <c:pt idx="0">
                  <c:v>LED</c:v>
                </c:pt>
              </c:strCache>
            </c:strRef>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Sales_Calibration!$M$321:$AL$321</c:f>
              <c:numCache>
                <c:formatCode>0%</c:formatCode>
                <c:ptCount val="26"/>
                <c:pt idx="1">
                  <c:v>7.9487827942072778E-3</c:v>
                </c:pt>
                <c:pt idx="2">
                  <c:v>1.1802170839005954E-2</c:v>
                </c:pt>
                <c:pt idx="3">
                  <c:v>1.7720633933930877E-2</c:v>
                </c:pt>
                <c:pt idx="4">
                  <c:v>2.7091037401503364E-2</c:v>
                </c:pt>
                <c:pt idx="5">
                  <c:v>4.0361687427968557E-2</c:v>
                </c:pt>
                <c:pt idx="6">
                  <c:v>5.7364309317900243E-2</c:v>
                </c:pt>
                <c:pt idx="7">
                  <c:v>7.7764513104299118E-2</c:v>
                </c:pt>
                <c:pt idx="8">
                  <c:v>9.9871735076397364E-2</c:v>
                </c:pt>
                <c:pt idx="9">
                  <c:v>0.12261109824836659</c:v>
                </c:pt>
                <c:pt idx="10">
                  <c:v>0.14574661549732129</c:v>
                </c:pt>
                <c:pt idx="11">
                  <c:v>0.16763533876531697</c:v>
                </c:pt>
                <c:pt idx="12">
                  <c:v>0.1897703436351785</c:v>
                </c:pt>
                <c:pt idx="13">
                  <c:v>0.21006118974589108</c:v>
                </c:pt>
                <c:pt idx="14">
                  <c:v>0.23038621792830369</c:v>
                </c:pt>
                <c:pt idx="15">
                  <c:v>0.24779681151245003</c:v>
                </c:pt>
                <c:pt idx="16">
                  <c:v>0.26436683833101382</c:v>
                </c:pt>
                <c:pt idx="17">
                  <c:v>0.28154127698200626</c:v>
                </c:pt>
                <c:pt idx="18">
                  <c:v>0.29664432843005595</c:v>
                </c:pt>
                <c:pt idx="19">
                  <c:v>0.31047566805583965</c:v>
                </c:pt>
                <c:pt idx="20">
                  <c:v>0.32338643598975658</c:v>
                </c:pt>
                <c:pt idx="21">
                  <c:v>0.3358735087525222</c:v>
                </c:pt>
                <c:pt idx="22">
                  <c:v>0.34756603784879442</c:v>
                </c:pt>
                <c:pt idx="23">
                  <c:v>0.35883208606524231</c:v>
                </c:pt>
                <c:pt idx="24">
                  <c:v>0.36949332639297516</c:v>
                </c:pt>
                <c:pt idx="25">
                  <c:v>0.38026738207437455</c:v>
                </c:pt>
              </c:numCache>
            </c:numRef>
          </c:val>
          <c:smooth val="0"/>
        </c:ser>
        <c:ser>
          <c:idx val="1"/>
          <c:order val="5"/>
          <c:tx>
            <c:v>Historical Mercury Vapor</c:v>
          </c:tx>
          <c:val>
            <c:numRef>
              <c:f>Sales_Calibration!$M$209:$O$209</c:f>
              <c:numCache>
                <c:formatCode>0%</c:formatCode>
                <c:ptCount val="3"/>
                <c:pt idx="0">
                  <c:v>2.2003500916044513E-2</c:v>
                </c:pt>
                <c:pt idx="1">
                  <c:v>2.1070145844615234E-2</c:v>
                </c:pt>
                <c:pt idx="2">
                  <c:v>1.789029463528017E-2</c:v>
                </c:pt>
              </c:numCache>
            </c:numRef>
          </c:val>
          <c:smooth val="0"/>
        </c:ser>
        <c:ser>
          <c:idx val="2"/>
          <c:order val="6"/>
          <c:tx>
            <c:v>Historical Metal Halide</c:v>
          </c:tx>
          <c:val>
            <c:numRef>
              <c:f>Sales_Calibration!$M$210:$O$210</c:f>
              <c:numCache>
                <c:formatCode>0%</c:formatCode>
                <c:ptCount val="3"/>
                <c:pt idx="0">
                  <c:v>0.90706937514770936</c:v>
                </c:pt>
                <c:pt idx="1">
                  <c:v>0.93700807855157542</c:v>
                </c:pt>
                <c:pt idx="2">
                  <c:v>0.94667176771693851</c:v>
                </c:pt>
              </c:numCache>
            </c:numRef>
          </c:val>
          <c:smooth val="0"/>
        </c:ser>
        <c:ser>
          <c:idx val="3"/>
          <c:order val="7"/>
          <c:tx>
            <c:v>Historical High Pressure Sodium</c:v>
          </c:tx>
          <c:val>
            <c:numRef>
              <c:f>Sales_Calibration!$M$211:$O$211</c:f>
              <c:numCache>
                <c:formatCode>0%</c:formatCode>
                <c:ptCount val="3"/>
                <c:pt idx="0">
                  <c:v>7.09271239362462E-2</c:v>
                </c:pt>
                <c:pt idx="1">
                  <c:v>4.1921775603809316E-2</c:v>
                </c:pt>
                <c:pt idx="2">
                  <c:v>3.5437937647781199E-2</c:v>
                </c:pt>
              </c:numCache>
            </c:numRef>
          </c:val>
          <c:smooth val="0"/>
        </c:ser>
        <c:dLbls>
          <c:showLegendKey val="0"/>
          <c:showVal val="0"/>
          <c:showCatName val="0"/>
          <c:showSerName val="0"/>
          <c:showPercent val="0"/>
          <c:showBubbleSize val="0"/>
        </c:dLbls>
        <c:marker val="1"/>
        <c:smooth val="0"/>
        <c:axId val="340032128"/>
        <c:axId val="340046208"/>
      </c:lineChart>
      <c:catAx>
        <c:axId val="340032128"/>
        <c:scaling>
          <c:orientation val="minMax"/>
        </c:scaling>
        <c:delete val="0"/>
        <c:axPos val="b"/>
        <c:numFmt formatCode="General" sourceLinked="1"/>
        <c:majorTickMark val="out"/>
        <c:minorTickMark val="none"/>
        <c:tickLblPos val="nextTo"/>
        <c:crossAx val="340046208"/>
        <c:crosses val="autoZero"/>
        <c:auto val="1"/>
        <c:lblAlgn val="ctr"/>
        <c:lblOffset val="100"/>
        <c:noMultiLvlLbl val="0"/>
      </c:catAx>
      <c:valAx>
        <c:axId val="340046208"/>
        <c:scaling>
          <c:orientation val="minMax"/>
        </c:scaling>
        <c:delete val="0"/>
        <c:axPos val="l"/>
        <c:majorGridlines/>
        <c:numFmt formatCode="_(* #,##0.000_);_(* \(#,##0.000\);_(* &quot;-&quot;??_);_(@_)" sourceLinked="1"/>
        <c:majorTickMark val="out"/>
        <c:minorTickMark val="none"/>
        <c:tickLblPos val="nextTo"/>
        <c:crossAx val="340032128"/>
        <c:crosses val="autoZero"/>
        <c:crossBetween val="between"/>
      </c:valAx>
    </c:plotArea>
    <c:legend>
      <c:legendPos val="r"/>
      <c:overlay val="0"/>
    </c:legend>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Market</a:t>
            </a:r>
            <a:r>
              <a:rPr lang="en-US" sz="1400" baseline="0"/>
              <a:t> Share - Reflectors (Com)</a:t>
            </a:r>
          </a:p>
        </c:rich>
      </c:tx>
      <c:overlay val="0"/>
    </c:title>
    <c:autoTitleDeleted val="0"/>
    <c:plotArea>
      <c:layout/>
      <c:lineChart>
        <c:grouping val="standard"/>
        <c:varyColors val="0"/>
        <c:ser>
          <c:idx val="4"/>
          <c:order val="0"/>
          <c:tx>
            <c:strRef>
              <c:f>Sales_Calibration!$B$305</c:f>
              <c:strCache>
                <c:ptCount val="1"/>
                <c:pt idx="0">
                  <c:v>Incandescent Reflector</c:v>
                </c:pt>
              </c:strCache>
            </c:strRef>
          </c:tx>
          <c:cat>
            <c:numRef>
              <c:f>System_Total_Mkt!$H$4:$AF$4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Sales_Calibration!$N$305:$AL$305</c:f>
              <c:numCache>
                <c:formatCode>0%</c:formatCode>
                <c:ptCount val="25"/>
                <c:pt idx="0">
                  <c:v>0.4925087972996654</c:v>
                </c:pt>
                <c:pt idx="1">
                  <c:v>0.48622990855396375</c:v>
                </c:pt>
                <c:pt idx="2">
                  <c:v>0.46962130934716445</c:v>
                </c:pt>
                <c:pt idx="3">
                  <c:v>0.443413703207094</c:v>
                </c:pt>
                <c:pt idx="4">
                  <c:v>0.41437457368693165</c:v>
                </c:pt>
                <c:pt idx="5">
                  <c:v>0.37730303753863415</c:v>
                </c:pt>
                <c:pt idx="6">
                  <c:v>0.33898678253409159</c:v>
                </c:pt>
                <c:pt idx="7">
                  <c:v>0.30049373217224423</c:v>
                </c:pt>
                <c:pt idx="8">
                  <c:v>0.2639498014339231</c:v>
                </c:pt>
                <c:pt idx="9">
                  <c:v>0.22842987207464541</c:v>
                </c:pt>
                <c:pt idx="10">
                  <c:v>0.19502666602257848</c:v>
                </c:pt>
                <c:pt idx="11">
                  <c:v>0.16519572348726205</c:v>
                </c:pt>
                <c:pt idx="12">
                  <c:v>0.13932572035019805</c:v>
                </c:pt>
                <c:pt idx="13">
                  <c:v>0.11712522634872224</c:v>
                </c:pt>
                <c:pt idx="14">
                  <c:v>9.9172748794964322E-2</c:v>
                </c:pt>
                <c:pt idx="15">
                  <c:v>8.4396268910663971E-2</c:v>
                </c:pt>
                <c:pt idx="16">
                  <c:v>7.2300263031735146E-2</c:v>
                </c:pt>
                <c:pt idx="17">
                  <c:v>6.2490467031185541E-2</c:v>
                </c:pt>
                <c:pt idx="18">
                  <c:v>5.4671343895995254E-2</c:v>
                </c:pt>
                <c:pt idx="19">
                  <c:v>4.8484823498832957E-2</c:v>
                </c:pt>
                <c:pt idx="20">
                  <c:v>4.3231654308502475E-2</c:v>
                </c:pt>
                <c:pt idx="21">
                  <c:v>3.8875231250297869E-2</c:v>
                </c:pt>
                <c:pt idx="22">
                  <c:v>3.5149501992462404E-2</c:v>
                </c:pt>
                <c:pt idx="23">
                  <c:v>3.1861225166236407E-2</c:v>
                </c:pt>
                <c:pt idx="24">
                  <c:v>2.8515013694335296E-2</c:v>
                </c:pt>
              </c:numCache>
            </c:numRef>
          </c:val>
          <c:smooth val="0"/>
        </c:ser>
        <c:ser>
          <c:idx val="5"/>
          <c:order val="1"/>
          <c:tx>
            <c:strRef>
              <c:f>Sales_Calibration!$B$306</c:f>
              <c:strCache>
                <c:ptCount val="1"/>
                <c:pt idx="0">
                  <c:v>Halogen Reflector - screw</c:v>
                </c:pt>
              </c:strCache>
            </c:strRef>
          </c:tx>
          <c:cat>
            <c:numRef>
              <c:f>System_Total_Mkt!$H$4:$AF$4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Sales_Calibration!$N$306:$AL$306</c:f>
              <c:numCache>
                <c:formatCode>0%</c:formatCode>
                <c:ptCount val="25"/>
                <c:pt idx="0">
                  <c:v>0.34305285469667118</c:v>
                </c:pt>
                <c:pt idx="1">
                  <c:v>0.34060946294093752</c:v>
                </c:pt>
                <c:pt idx="2">
                  <c:v>0.33266511278713423</c:v>
                </c:pt>
                <c:pt idx="3">
                  <c:v>0.31962387249115293</c:v>
                </c:pt>
                <c:pt idx="4">
                  <c:v>0.30346584311979458</c:v>
                </c:pt>
                <c:pt idx="5">
                  <c:v>0.2825814735435877</c:v>
                </c:pt>
                <c:pt idx="6">
                  <c:v>0.25955600333202566</c:v>
                </c:pt>
                <c:pt idx="7">
                  <c:v>0.23524630910980179</c:v>
                </c:pt>
                <c:pt idx="8">
                  <c:v>0.2110547616523919</c:v>
                </c:pt>
                <c:pt idx="9">
                  <c:v>0.18701837202398408</c:v>
                </c:pt>
                <c:pt idx="10">
                  <c:v>0.16386895715231006</c:v>
                </c:pt>
                <c:pt idx="11">
                  <c:v>0.14264368624756849</c:v>
                </c:pt>
                <c:pt idx="12">
                  <c:v>0.12363108691277361</c:v>
                </c:pt>
                <c:pt idx="13">
                  <c:v>0.10696698828090082</c:v>
                </c:pt>
                <c:pt idx="14">
                  <c:v>9.3057059116497823E-2</c:v>
                </c:pt>
                <c:pt idx="15">
                  <c:v>8.1377902711522718E-2</c:v>
                </c:pt>
                <c:pt idx="16">
                  <c:v>7.1754427854774885E-2</c:v>
                </c:pt>
                <c:pt idx="17">
                  <c:v>6.3807101199672117E-2</c:v>
                </c:pt>
                <c:pt idx="18">
                  <c:v>5.7421355736225525E-2</c:v>
                </c:pt>
                <c:pt idx="19">
                  <c:v>5.2351506999324345E-2</c:v>
                </c:pt>
                <c:pt idx="20">
                  <c:v>4.8057669910571685E-2</c:v>
                </c:pt>
                <c:pt idx="21">
                  <c:v>4.4491437824693399E-2</c:v>
                </c:pt>
                <c:pt idx="22">
                  <c:v>4.1445950470396231E-2</c:v>
                </c:pt>
                <c:pt idx="23">
                  <c:v>3.8746846156794093E-2</c:v>
                </c:pt>
                <c:pt idx="24">
                  <c:v>3.5920600472171681E-2</c:v>
                </c:pt>
              </c:numCache>
            </c:numRef>
          </c:val>
          <c:smooth val="0"/>
        </c:ser>
        <c:ser>
          <c:idx val="6"/>
          <c:order val="2"/>
          <c:tx>
            <c:strRef>
              <c:f>Sales_Calibration!$B$307</c:f>
              <c:strCache>
                <c:ptCount val="1"/>
                <c:pt idx="0">
                  <c:v>CFL Reflector</c:v>
                </c:pt>
              </c:strCache>
            </c:strRef>
          </c:tx>
          <c:cat>
            <c:numRef>
              <c:f>System_Total_Mkt!$H$4:$AF$4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Sales_Calibration!$N$307:$AL$307</c:f>
              <c:numCache>
                <c:formatCode>0%</c:formatCode>
                <c:ptCount val="25"/>
                <c:pt idx="0">
                  <c:v>0.15932100427115867</c:v>
                </c:pt>
                <c:pt idx="1">
                  <c:v>0.1521856781178838</c:v>
                </c:pt>
                <c:pt idx="2">
                  <c:v>0.14804115303429308</c:v>
                </c:pt>
                <c:pt idx="3">
                  <c:v>0.14647204110704426</c:v>
                </c:pt>
                <c:pt idx="4">
                  <c:v>0.14131918795202084</c:v>
                </c:pt>
                <c:pt idx="5">
                  <c:v>0.13809574425641941</c:v>
                </c:pt>
                <c:pt idx="6">
                  <c:v>0.1319769704967137</c:v>
                </c:pt>
                <c:pt idx="7">
                  <c:v>0.1239508358257215</c:v>
                </c:pt>
                <c:pt idx="8">
                  <c:v>0.11423220003183614</c:v>
                </c:pt>
                <c:pt idx="9">
                  <c:v>0.10482359372893864</c:v>
                </c:pt>
                <c:pt idx="10">
                  <c:v>9.5876415221472985E-2</c:v>
                </c:pt>
                <c:pt idx="11">
                  <c:v>8.7218769168709326E-2</c:v>
                </c:pt>
                <c:pt idx="12">
                  <c:v>7.8901908643869492E-2</c:v>
                </c:pt>
                <c:pt idx="13">
                  <c:v>7.1489700791379632E-2</c:v>
                </c:pt>
                <c:pt idx="14">
                  <c:v>6.4686798074043581E-2</c:v>
                </c:pt>
                <c:pt idx="15">
                  <c:v>5.8868534357116815E-2</c:v>
                </c:pt>
                <c:pt idx="16">
                  <c:v>5.4212094562549447E-2</c:v>
                </c:pt>
                <c:pt idx="17">
                  <c:v>5.0308093473654669E-2</c:v>
                </c:pt>
                <c:pt idx="18">
                  <c:v>4.7167126611782059E-2</c:v>
                </c:pt>
                <c:pt idx="19">
                  <c:v>4.467373783250557E-2</c:v>
                </c:pt>
                <c:pt idx="20">
                  <c:v>4.2756043406180354E-2</c:v>
                </c:pt>
                <c:pt idx="21">
                  <c:v>4.1234064879320964E-2</c:v>
                </c:pt>
                <c:pt idx="22">
                  <c:v>4.0052245533385024E-2</c:v>
                </c:pt>
                <c:pt idx="23">
                  <c:v>3.9117017980344844E-2</c:v>
                </c:pt>
                <c:pt idx="24">
                  <c:v>3.832356917162693E-2</c:v>
                </c:pt>
              </c:numCache>
            </c:numRef>
          </c:val>
          <c:smooth val="0"/>
        </c:ser>
        <c:ser>
          <c:idx val="7"/>
          <c:order val="3"/>
          <c:tx>
            <c:strRef>
              <c:f>Sales_Calibration!$B$308</c:f>
              <c:strCache>
                <c:ptCount val="1"/>
                <c:pt idx="0">
                  <c:v>LED</c:v>
                </c:pt>
              </c:strCache>
            </c:strRef>
          </c:tx>
          <c:cat>
            <c:numRef>
              <c:f>System_Total_Mkt!$H$4:$AF$4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Sales_Calibration!$N$308:$AL$308</c:f>
              <c:numCache>
                <c:formatCode>0%</c:formatCode>
                <c:ptCount val="25"/>
                <c:pt idx="0">
                  <c:v>5.1173437325048379E-3</c:v>
                </c:pt>
                <c:pt idx="1">
                  <c:v>2.0974950387214863E-2</c:v>
                </c:pt>
                <c:pt idx="2">
                  <c:v>4.9672424831408317E-2</c:v>
                </c:pt>
                <c:pt idx="3">
                  <c:v>9.0490383194708743E-2</c:v>
                </c:pt>
                <c:pt idx="4">
                  <c:v>0.14084039524125286</c:v>
                </c:pt>
                <c:pt idx="5">
                  <c:v>0.20201974466135869</c:v>
                </c:pt>
                <c:pt idx="6">
                  <c:v>0.2694802436371691</c:v>
                </c:pt>
                <c:pt idx="7">
                  <c:v>0.34030912289223242</c:v>
                </c:pt>
                <c:pt idx="8">
                  <c:v>0.41076323688184874</c:v>
                </c:pt>
                <c:pt idx="9">
                  <c:v>0.47972816217243175</c:v>
                </c:pt>
                <c:pt idx="10">
                  <c:v>0.5452279616036384</c:v>
                </c:pt>
                <c:pt idx="11">
                  <c:v>0.60494182109646022</c:v>
                </c:pt>
                <c:pt idx="12">
                  <c:v>0.65814128409315875</c:v>
                </c:pt>
                <c:pt idx="13">
                  <c:v>0.70441808457899724</c:v>
                </c:pt>
                <c:pt idx="14">
                  <c:v>0.74308339401449419</c:v>
                </c:pt>
                <c:pt idx="15">
                  <c:v>0.77535729402069642</c:v>
                </c:pt>
                <c:pt idx="16">
                  <c:v>0.80173321455094071</c:v>
                </c:pt>
                <c:pt idx="17">
                  <c:v>0.82339433829548758</c:v>
                </c:pt>
                <c:pt idx="18">
                  <c:v>0.84074017375599719</c:v>
                </c:pt>
                <c:pt idx="19">
                  <c:v>0.85448993166933707</c:v>
                </c:pt>
                <c:pt idx="20">
                  <c:v>0.86595463237474546</c:v>
                </c:pt>
                <c:pt idx="21">
                  <c:v>0.87539926604568774</c:v>
                </c:pt>
                <c:pt idx="22">
                  <c:v>0.88335230200375636</c:v>
                </c:pt>
                <c:pt idx="23">
                  <c:v>0.89027491069662457</c:v>
                </c:pt>
                <c:pt idx="24">
                  <c:v>0.89724081666186606</c:v>
                </c:pt>
              </c:numCache>
            </c:numRef>
          </c:val>
          <c:smooth val="0"/>
        </c:ser>
        <c:dLbls>
          <c:showLegendKey val="0"/>
          <c:showVal val="0"/>
          <c:showCatName val="0"/>
          <c:showSerName val="0"/>
          <c:showPercent val="0"/>
          <c:showBubbleSize val="0"/>
        </c:dLbls>
        <c:marker val="1"/>
        <c:smooth val="0"/>
        <c:axId val="340064896"/>
        <c:axId val="340459904"/>
      </c:lineChart>
      <c:catAx>
        <c:axId val="340064896"/>
        <c:scaling>
          <c:orientation val="minMax"/>
        </c:scaling>
        <c:delete val="0"/>
        <c:axPos val="b"/>
        <c:numFmt formatCode="General" sourceLinked="1"/>
        <c:majorTickMark val="out"/>
        <c:minorTickMark val="none"/>
        <c:tickLblPos val="nextTo"/>
        <c:crossAx val="340459904"/>
        <c:crosses val="autoZero"/>
        <c:auto val="1"/>
        <c:lblAlgn val="ctr"/>
        <c:lblOffset val="100"/>
        <c:noMultiLvlLbl val="0"/>
      </c:catAx>
      <c:valAx>
        <c:axId val="340459904"/>
        <c:scaling>
          <c:orientation val="minMax"/>
        </c:scaling>
        <c:delete val="0"/>
        <c:axPos val="l"/>
        <c:majorGridlines/>
        <c:numFmt formatCode="0%" sourceLinked="1"/>
        <c:majorTickMark val="out"/>
        <c:minorTickMark val="none"/>
        <c:tickLblPos val="nextTo"/>
        <c:crossAx val="340064896"/>
        <c:crosses val="autoZero"/>
        <c:crossBetween val="between"/>
      </c:valAx>
    </c:plotArea>
    <c:legend>
      <c:legendPos val="r"/>
      <c:overlay val="0"/>
    </c:legend>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Market</a:t>
            </a:r>
            <a:r>
              <a:rPr lang="en-US" sz="1400" baseline="0"/>
              <a:t> Share - GSL MSB</a:t>
            </a:r>
          </a:p>
        </c:rich>
      </c:tx>
      <c:layout>
        <c:manualLayout>
          <c:xMode val="edge"/>
          <c:yMode val="edge"/>
          <c:x val="0.23758750673128703"/>
          <c:y val="2.16216154865248E-2"/>
        </c:manualLayout>
      </c:layout>
      <c:overlay val="0"/>
    </c:title>
    <c:autoTitleDeleted val="0"/>
    <c:plotArea>
      <c:layout/>
      <c:lineChart>
        <c:grouping val="standard"/>
        <c:varyColors val="0"/>
        <c:ser>
          <c:idx val="0"/>
          <c:order val="0"/>
          <c:tx>
            <c:v>Historical Incandescent</c:v>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Sales_Calibration!$D$46:$AL$46</c:f>
              <c:numCache>
                <c:formatCode>0%</c:formatCode>
                <c:ptCount val="35"/>
                <c:pt idx="0">
                  <c:v>0.95781321085315552</c:v>
                </c:pt>
                <c:pt idx="1">
                  <c:v>0.96728019156771439</c:v>
                </c:pt>
                <c:pt idx="2">
                  <c:v>0.95909796525313429</c:v>
                </c:pt>
                <c:pt idx="3">
                  <c:v>0.94019762912257376</c:v>
                </c:pt>
                <c:pt idx="4">
                  <c:v>0.92672838958182291</c:v>
                </c:pt>
                <c:pt idx="5">
                  <c:v>0.86949032821004835</c:v>
                </c:pt>
                <c:pt idx="6">
                  <c:v>0.72036515504972798</c:v>
                </c:pt>
                <c:pt idx="7">
                  <c:v>0.70542000502387925</c:v>
                </c:pt>
                <c:pt idx="8">
                  <c:v>0.72714871508541923</c:v>
                </c:pt>
                <c:pt idx="9">
                  <c:v>0.67728846762433115</c:v>
                </c:pt>
              </c:numCache>
            </c:numRef>
          </c:val>
          <c:smooth val="0"/>
        </c:ser>
        <c:ser>
          <c:idx val="1"/>
          <c:order val="1"/>
          <c:tx>
            <c:v>Historical Halogen</c:v>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Sales_Calibration!$D$47:$AL$47</c:f>
              <c:numCache>
                <c:formatCode>0%</c:formatCode>
                <c:ptCount val="35"/>
                <c:pt idx="0">
                  <c:v>0</c:v>
                </c:pt>
                <c:pt idx="1">
                  <c:v>0</c:v>
                </c:pt>
                <c:pt idx="2">
                  <c:v>0</c:v>
                </c:pt>
                <c:pt idx="3">
                  <c:v>0</c:v>
                </c:pt>
                <c:pt idx="4">
                  <c:v>6.4047080059774809E-3</c:v>
                </c:pt>
                <c:pt idx="5">
                  <c:v>6.5404039450175453E-3</c:v>
                </c:pt>
                <c:pt idx="6">
                  <c:v>6.6967868444139621E-3</c:v>
                </c:pt>
                <c:pt idx="7">
                  <c:v>9.4368104547403152E-3</c:v>
                </c:pt>
                <c:pt idx="8">
                  <c:v>1.0278591524784639E-2</c:v>
                </c:pt>
                <c:pt idx="9">
                  <c:v>1.0187991284894395E-2</c:v>
                </c:pt>
              </c:numCache>
            </c:numRef>
          </c:val>
          <c:smooth val="0"/>
        </c:ser>
        <c:ser>
          <c:idx val="2"/>
          <c:order val="2"/>
          <c:tx>
            <c:v>Historical CFL</c:v>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Sales_Calibration!$D$48:$AL$48</c:f>
              <c:numCache>
                <c:formatCode>0%</c:formatCode>
                <c:ptCount val="35"/>
                <c:pt idx="0">
                  <c:v>4.2186789146844428E-2</c:v>
                </c:pt>
                <c:pt idx="1">
                  <c:v>3.2719808432285606E-2</c:v>
                </c:pt>
                <c:pt idx="2">
                  <c:v>4.0902034746865684E-2</c:v>
                </c:pt>
                <c:pt idx="3">
                  <c:v>5.9802370877426264E-2</c:v>
                </c:pt>
                <c:pt idx="4">
                  <c:v>6.6866902412199586E-2</c:v>
                </c:pt>
                <c:pt idx="5">
                  <c:v>0.12396926784493406</c:v>
                </c:pt>
                <c:pt idx="6">
                  <c:v>0.27293805810585808</c:v>
                </c:pt>
                <c:pt idx="7">
                  <c:v>0.28514318452138043</c:v>
                </c:pt>
                <c:pt idx="8">
                  <c:v>0.26257269338979611</c:v>
                </c:pt>
                <c:pt idx="9">
                  <c:v>0.31252354109077446</c:v>
                </c:pt>
              </c:numCache>
            </c:numRef>
          </c:val>
          <c:smooth val="0"/>
        </c:ser>
        <c:ser>
          <c:idx val="3"/>
          <c:order val="3"/>
          <c:tx>
            <c:v>Historical LED</c:v>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Sales_Calibration!$D$49:$AL$49</c:f>
              <c:numCache>
                <c:formatCode>0%</c:formatCode>
                <c:ptCount val="35"/>
                <c:pt idx="0">
                  <c:v>0</c:v>
                </c:pt>
                <c:pt idx="1">
                  <c:v>0</c:v>
                </c:pt>
                <c:pt idx="2">
                  <c:v>0</c:v>
                </c:pt>
                <c:pt idx="3">
                  <c:v>0</c:v>
                </c:pt>
                <c:pt idx="4">
                  <c:v>0</c:v>
                </c:pt>
                <c:pt idx="5">
                  <c:v>0</c:v>
                </c:pt>
                <c:pt idx="6">
                  <c:v>0</c:v>
                </c:pt>
                <c:pt idx="7">
                  <c:v>0</c:v>
                </c:pt>
                <c:pt idx="8">
                  <c:v>0</c:v>
                </c:pt>
                <c:pt idx="9">
                  <c:v>0</c:v>
                </c:pt>
              </c:numCache>
            </c:numRef>
          </c:val>
          <c:smooth val="0"/>
        </c:ser>
        <c:ser>
          <c:idx val="4"/>
          <c:order val="4"/>
          <c:tx>
            <c:strRef>
              <c:f>Sales_Calibration!$B$82</c:f>
              <c:strCache>
                <c:ptCount val="1"/>
                <c:pt idx="0">
                  <c:v>Incandescent MSB</c:v>
                </c:pt>
              </c:strCache>
            </c:strRef>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Sales_Calibration!$D$118:$AL$118</c:f>
              <c:numCache>
                <c:formatCode>0%</c:formatCode>
                <c:ptCount val="35"/>
                <c:pt idx="10">
                  <c:v>0.69588353707298689</c:v>
                </c:pt>
                <c:pt idx="11">
                  <c:v>0.67742740371188659</c:v>
                </c:pt>
                <c:pt idx="12">
                  <c:v>0.56349809947484697</c:v>
                </c:pt>
                <c:pt idx="13">
                  <c:v>0.52372690582109038</c:v>
                </c:pt>
                <c:pt idx="14">
                  <c:v>0.51066922013572946</c:v>
                </c:pt>
                <c:pt idx="15">
                  <c:v>0.48961899440105461</c:v>
                </c:pt>
                <c:pt idx="16">
                  <c:v>0.4678678577120699</c:v>
                </c:pt>
                <c:pt idx="17">
                  <c:v>0.44327027680536174</c:v>
                </c:pt>
                <c:pt idx="18">
                  <c:v>0.41664139004499373</c:v>
                </c:pt>
                <c:pt idx="19">
                  <c:v>0.38506237334151278</c:v>
                </c:pt>
                <c:pt idx="20">
                  <c:v>0.34928604343524478</c:v>
                </c:pt>
                <c:pt idx="21">
                  <c:v>0.31212350326323329</c:v>
                </c:pt>
                <c:pt idx="22">
                  <c:v>0.27496475868401438</c:v>
                </c:pt>
                <c:pt idx="23">
                  <c:v>0.23900743084222029</c:v>
                </c:pt>
                <c:pt idx="24">
                  <c:v>0.20658085064015175</c:v>
                </c:pt>
                <c:pt idx="25">
                  <c:v>0.17736070014362945</c:v>
                </c:pt>
                <c:pt idx="26">
                  <c:v>0.15179082396505045</c:v>
                </c:pt>
                <c:pt idx="27">
                  <c:v>0.12979628804197638</c:v>
                </c:pt>
                <c:pt idx="28">
                  <c:v>0.11149678182370981</c:v>
                </c:pt>
                <c:pt idx="29">
                  <c:v>9.6589817312016879E-2</c:v>
                </c:pt>
                <c:pt idx="30">
                  <c:v>8.3859485454631649E-2</c:v>
                </c:pt>
                <c:pt idx="31">
                  <c:v>7.3427366254432316E-2</c:v>
                </c:pt>
                <c:pt idx="32">
                  <c:v>6.4637374753158547E-2</c:v>
                </c:pt>
                <c:pt idx="33">
                  <c:v>5.7058851794777384E-2</c:v>
                </c:pt>
                <c:pt idx="34">
                  <c:v>4.9763758046228644E-2</c:v>
                </c:pt>
              </c:numCache>
            </c:numRef>
          </c:val>
          <c:smooth val="0"/>
        </c:ser>
        <c:ser>
          <c:idx val="5"/>
          <c:order val="5"/>
          <c:tx>
            <c:strRef>
              <c:f>Sales_Calibration!$B$119</c:f>
              <c:strCache>
                <c:ptCount val="1"/>
                <c:pt idx="0">
                  <c:v>Halogen MSB</c:v>
                </c:pt>
              </c:strCache>
            </c:strRef>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Sales_Calibration!$D$119:$AL$119</c:f>
              <c:numCache>
                <c:formatCode>0%</c:formatCode>
                <c:ptCount val="35"/>
                <c:pt idx="10">
                  <c:v>9.392152163089227E-3</c:v>
                </c:pt>
                <c:pt idx="11">
                  <c:v>3.7598947795163637E-2</c:v>
                </c:pt>
                <c:pt idx="12">
                  <c:v>0.10988100578102214</c:v>
                </c:pt>
                <c:pt idx="13">
                  <c:v>0.14937718657787941</c:v>
                </c:pt>
                <c:pt idx="14">
                  <c:v>0.14883229939433748</c:v>
                </c:pt>
                <c:pt idx="15">
                  <c:v>0.14580012425088229</c:v>
                </c:pt>
                <c:pt idx="16">
                  <c:v>0.14222918393208867</c:v>
                </c:pt>
                <c:pt idx="17">
                  <c:v>0.13765370429347296</c:v>
                </c:pt>
                <c:pt idx="18">
                  <c:v>0.13230231340864773</c:v>
                </c:pt>
                <c:pt idx="19">
                  <c:v>0.12537084129911619</c:v>
                </c:pt>
                <c:pt idx="20">
                  <c:v>0.1170233534942151</c:v>
                </c:pt>
                <c:pt idx="21">
                  <c:v>0.10805852226847426</c:v>
                </c:pt>
                <c:pt idx="22">
                  <c:v>9.8773080991030812E-2</c:v>
                </c:pt>
                <c:pt idx="23">
                  <c:v>8.9485078287509554E-2</c:v>
                </c:pt>
                <c:pt idx="24">
                  <c:v>8.0931638816273313E-2</c:v>
                </c:pt>
                <c:pt idx="25">
                  <c:v>7.2982421133685776E-2</c:v>
                </c:pt>
                <c:pt idx="26">
                  <c:v>6.5818728679096078E-2</c:v>
                </c:pt>
                <c:pt idx="27">
                  <c:v>5.945693250783534E-2</c:v>
                </c:pt>
                <c:pt idx="28">
                  <c:v>5.4032074036152206E-2</c:v>
                </c:pt>
                <c:pt idx="29">
                  <c:v>4.9523548007982462E-2</c:v>
                </c:pt>
                <c:pt idx="30">
                  <c:v>4.551045705483233E-2</c:v>
                </c:pt>
                <c:pt idx="31">
                  <c:v>4.209097484425138E-2</c:v>
                </c:pt>
                <c:pt idx="32">
                  <c:v>3.90948361895114E-2</c:v>
                </c:pt>
                <c:pt idx="33">
                  <c:v>3.6379482729931363E-2</c:v>
                </c:pt>
                <c:pt idx="34">
                  <c:v>3.3502491793935933E-2</c:v>
                </c:pt>
              </c:numCache>
            </c:numRef>
          </c:val>
          <c:smooth val="0"/>
        </c:ser>
        <c:ser>
          <c:idx val="6"/>
          <c:order val="6"/>
          <c:tx>
            <c:strRef>
              <c:f>Sales_Calibration!$B$120</c:f>
              <c:strCache>
                <c:ptCount val="1"/>
                <c:pt idx="0">
                  <c:v>CFL MSB</c:v>
                </c:pt>
              </c:strCache>
            </c:strRef>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Sales_Calibration!$D$120:$AL$120</c:f>
              <c:numCache>
                <c:formatCode>0%</c:formatCode>
                <c:ptCount val="35"/>
                <c:pt idx="10">
                  <c:v>0.29107121587162171</c:v>
                </c:pt>
                <c:pt idx="11">
                  <c:v>0.27578918577457578</c:v>
                </c:pt>
                <c:pt idx="12">
                  <c:v>0.31151038996894731</c:v>
                </c:pt>
                <c:pt idx="13">
                  <c:v>0.30187816384411842</c:v>
                </c:pt>
                <c:pt idx="14">
                  <c:v>0.30150836950208576</c:v>
                </c:pt>
                <c:pt idx="15">
                  <c:v>0.30609813140493775</c:v>
                </c:pt>
                <c:pt idx="16">
                  <c:v>0.30533981052098885</c:v>
                </c:pt>
                <c:pt idx="17">
                  <c:v>0.3005147699104842</c:v>
                </c:pt>
                <c:pt idx="18">
                  <c:v>0.29077846563013277</c:v>
                </c:pt>
                <c:pt idx="19">
                  <c:v>0.27976453759331055</c:v>
                </c:pt>
                <c:pt idx="20">
                  <c:v>0.26801258664183158</c:v>
                </c:pt>
                <c:pt idx="21">
                  <c:v>0.25443650239217136</c:v>
                </c:pt>
                <c:pt idx="22">
                  <c:v>0.24012216750829324</c:v>
                </c:pt>
                <c:pt idx="23">
                  <c:v>0.22595576491326383</c:v>
                </c:pt>
                <c:pt idx="24">
                  <c:v>0.2121391773034744</c:v>
                </c:pt>
                <c:pt idx="25">
                  <c:v>0.19970814560395364</c:v>
                </c:pt>
                <c:pt idx="26">
                  <c:v>0.18882865364062107</c:v>
                </c:pt>
                <c:pt idx="27">
                  <c:v>0.17954981847614557</c:v>
                </c:pt>
                <c:pt idx="28">
                  <c:v>0.171733016815346</c:v>
                </c:pt>
                <c:pt idx="29">
                  <c:v>0.16525833350790609</c:v>
                </c:pt>
                <c:pt idx="30">
                  <c:v>0.15997582011202494</c:v>
                </c:pt>
                <c:pt idx="31">
                  <c:v>0.15561254699883464</c:v>
                </c:pt>
                <c:pt idx="32">
                  <c:v>0.15200630585700772</c:v>
                </c:pt>
                <c:pt idx="33">
                  <c:v>0.14897178493317687</c:v>
                </c:pt>
                <c:pt idx="34">
                  <c:v>0.14623544767012894</c:v>
                </c:pt>
              </c:numCache>
            </c:numRef>
          </c:val>
          <c:smooth val="0"/>
        </c:ser>
        <c:ser>
          <c:idx val="7"/>
          <c:order val="7"/>
          <c:tx>
            <c:strRef>
              <c:f>Sales_Calibration!$B$121</c:f>
              <c:strCache>
                <c:ptCount val="1"/>
                <c:pt idx="0">
                  <c:v>LED</c:v>
                </c:pt>
              </c:strCache>
            </c:strRef>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Sales_Calibration!$D$121:$AL$121</c:f>
              <c:numCache>
                <c:formatCode>0%</c:formatCode>
                <c:ptCount val="35"/>
                <c:pt idx="10">
                  <c:v>3.6530948923021922E-3</c:v>
                </c:pt>
                <c:pt idx="11">
                  <c:v>9.1844627183739133E-3</c:v>
                </c:pt>
                <c:pt idx="12">
                  <c:v>1.5110504775183525E-2</c:v>
                </c:pt>
                <c:pt idx="13">
                  <c:v>2.5017743756911872E-2</c:v>
                </c:pt>
                <c:pt idx="14">
                  <c:v>3.8990110967847234E-2</c:v>
                </c:pt>
                <c:pt idx="15">
                  <c:v>5.8482749943125203E-2</c:v>
                </c:pt>
                <c:pt idx="16">
                  <c:v>8.4563147834852526E-2</c:v>
                </c:pt>
                <c:pt idx="17">
                  <c:v>0.11856124899068113</c:v>
                </c:pt>
                <c:pt idx="18">
                  <c:v>0.16027783091622574</c:v>
                </c:pt>
                <c:pt idx="19">
                  <c:v>0.20980224776606049</c:v>
                </c:pt>
                <c:pt idx="20">
                  <c:v>0.26567801642870859</c:v>
                </c:pt>
                <c:pt idx="21">
                  <c:v>0.32538147207612111</c:v>
                </c:pt>
                <c:pt idx="22">
                  <c:v>0.38613999281666161</c:v>
                </c:pt>
                <c:pt idx="23">
                  <c:v>0.44555172595700632</c:v>
                </c:pt>
                <c:pt idx="24">
                  <c:v>0.50034833324010064</c:v>
                </c:pt>
                <c:pt idx="25">
                  <c:v>0.54994873311873116</c:v>
                </c:pt>
                <c:pt idx="26">
                  <c:v>0.59356179371523254</c:v>
                </c:pt>
                <c:pt idx="27">
                  <c:v>0.63119696097404276</c:v>
                </c:pt>
                <c:pt idx="28">
                  <c:v>0.66273812732479198</c:v>
                </c:pt>
                <c:pt idx="29">
                  <c:v>0.68862830117209461</c:v>
                </c:pt>
                <c:pt idx="30">
                  <c:v>0.71065423737851108</c:v>
                </c:pt>
                <c:pt idx="31">
                  <c:v>0.7288691119024816</c:v>
                </c:pt>
                <c:pt idx="32">
                  <c:v>0.74426148320032237</c:v>
                </c:pt>
                <c:pt idx="33">
                  <c:v>0.7575898805421144</c:v>
                </c:pt>
                <c:pt idx="34">
                  <c:v>0.77049830248970652</c:v>
                </c:pt>
              </c:numCache>
            </c:numRef>
          </c:val>
          <c:smooth val="0"/>
        </c:ser>
        <c:dLbls>
          <c:showLegendKey val="0"/>
          <c:showVal val="0"/>
          <c:showCatName val="0"/>
          <c:showSerName val="0"/>
          <c:showPercent val="0"/>
          <c:showBubbleSize val="0"/>
        </c:dLbls>
        <c:marker val="1"/>
        <c:smooth val="0"/>
        <c:axId val="340510592"/>
        <c:axId val="340512128"/>
      </c:lineChart>
      <c:dateAx>
        <c:axId val="340510592"/>
        <c:scaling>
          <c:orientation val="minMax"/>
        </c:scaling>
        <c:delete val="0"/>
        <c:axPos val="b"/>
        <c:numFmt formatCode="General" sourceLinked="1"/>
        <c:majorTickMark val="out"/>
        <c:minorTickMark val="none"/>
        <c:tickLblPos val="nextTo"/>
        <c:crossAx val="340512128"/>
        <c:crosses val="autoZero"/>
        <c:auto val="0"/>
        <c:lblOffset val="100"/>
        <c:baseTimeUnit val="days"/>
        <c:minorUnit val="5"/>
      </c:dateAx>
      <c:valAx>
        <c:axId val="340512128"/>
        <c:scaling>
          <c:orientation val="minMax"/>
        </c:scaling>
        <c:delete val="0"/>
        <c:axPos val="l"/>
        <c:majorGridlines/>
        <c:numFmt formatCode="0%" sourceLinked="1"/>
        <c:majorTickMark val="out"/>
        <c:minorTickMark val="none"/>
        <c:tickLblPos val="nextTo"/>
        <c:crossAx val="340510592"/>
        <c:crosses val="autoZero"/>
        <c:crossBetween val="midCat"/>
      </c:valAx>
    </c:plotArea>
    <c:legend>
      <c:legendPos val="r"/>
      <c:layout>
        <c:manualLayout>
          <c:xMode val="edge"/>
          <c:yMode val="edge"/>
          <c:x val="0.82298636199886654"/>
          <c:y val="0.32112206013541145"/>
          <c:w val="0.16263455303381164"/>
          <c:h val="0.37894775923147195"/>
        </c:manualLayout>
      </c:layout>
      <c:overlay val="1"/>
    </c:legend>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n-US" sz="1400"/>
              <a:t>Market</a:t>
            </a:r>
            <a:r>
              <a:rPr lang="en-US" sz="1400" baseline="0"/>
              <a:t> Share - HID</a:t>
            </a:r>
          </a:p>
        </c:rich>
      </c:tx>
      <c:overlay val="0"/>
    </c:title>
    <c:autoTitleDeleted val="0"/>
    <c:plotArea>
      <c:layout/>
      <c:lineChart>
        <c:grouping val="standard"/>
        <c:varyColors val="0"/>
        <c:ser>
          <c:idx val="4"/>
          <c:order val="0"/>
          <c:tx>
            <c:strRef>
              <c:f>Sales_Calibration!$B$462</c:f>
              <c:strCache>
                <c:ptCount val="1"/>
                <c:pt idx="0">
                  <c:v>Mercury Vapor</c:v>
                </c:pt>
              </c:strCache>
            </c:strRef>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Sales_Calibration!$M$462:$AL$462</c:f>
              <c:numCache>
                <c:formatCode>0%</c:formatCode>
                <c:ptCount val="26"/>
                <c:pt idx="1">
                  <c:v>5.9311798333350693E-2</c:v>
                </c:pt>
                <c:pt idx="2">
                  <c:v>5.9779959738175702E-2</c:v>
                </c:pt>
                <c:pt idx="3">
                  <c:v>5.957876642356276E-2</c:v>
                </c:pt>
                <c:pt idx="4">
                  <c:v>5.8876172664419441E-2</c:v>
                </c:pt>
                <c:pt idx="5">
                  <c:v>5.8053800343770223E-2</c:v>
                </c:pt>
                <c:pt idx="6">
                  <c:v>5.6966578303923862E-2</c:v>
                </c:pt>
                <c:pt idx="7">
                  <c:v>5.5838498320207049E-2</c:v>
                </c:pt>
                <c:pt idx="8">
                  <c:v>5.4692630058890933E-2</c:v>
                </c:pt>
                <c:pt idx="9">
                  <c:v>5.3604446281120391E-2</c:v>
                </c:pt>
                <c:pt idx="10">
                  <c:v>5.2509245778474746E-2</c:v>
                </c:pt>
                <c:pt idx="11">
                  <c:v>5.1443782085264546E-2</c:v>
                </c:pt>
                <c:pt idx="12">
                  <c:v>5.0396633150177117E-2</c:v>
                </c:pt>
                <c:pt idx="13">
                  <c:v>4.9434535513675132E-2</c:v>
                </c:pt>
                <c:pt idx="14">
                  <c:v>4.8438047665680439E-2</c:v>
                </c:pt>
                <c:pt idx="15">
                  <c:v>4.7591243216777927E-2</c:v>
                </c:pt>
                <c:pt idx="16">
                  <c:v>4.677831303926392E-2</c:v>
                </c:pt>
                <c:pt idx="17">
                  <c:v>4.5882759443710966E-2</c:v>
                </c:pt>
                <c:pt idx="18">
                  <c:v>4.508176971167116E-2</c:v>
                </c:pt>
                <c:pt idx="19">
                  <c:v>4.4321887844556596E-2</c:v>
                </c:pt>
                <c:pt idx="20">
                  <c:v>4.3596344011900455E-2</c:v>
                </c:pt>
                <c:pt idx="21">
                  <c:v>4.2837872572520683E-2</c:v>
                </c:pt>
                <c:pt idx="22">
                  <c:v>4.2100908925663531E-2</c:v>
                </c:pt>
                <c:pt idx="23">
                  <c:v>4.1367030119760222E-2</c:v>
                </c:pt>
                <c:pt idx="24">
                  <c:v>4.0639230234913476E-2</c:v>
                </c:pt>
                <c:pt idx="25">
                  <c:v>3.9844905588298438E-2</c:v>
                </c:pt>
              </c:numCache>
            </c:numRef>
          </c:val>
          <c:smooth val="0"/>
        </c:ser>
        <c:ser>
          <c:idx val="5"/>
          <c:order val="1"/>
          <c:tx>
            <c:strRef>
              <c:f>Sales_Calibration!$B$463</c:f>
              <c:strCache>
                <c:ptCount val="1"/>
                <c:pt idx="0">
                  <c:v>Metal Halide</c:v>
                </c:pt>
              </c:strCache>
            </c:strRef>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Sales_Calibration!$M$463:$AL$463</c:f>
              <c:numCache>
                <c:formatCode>0%</c:formatCode>
                <c:ptCount val="26"/>
                <c:pt idx="1">
                  <c:v>0.66595570511586366</c:v>
                </c:pt>
                <c:pt idx="2">
                  <c:v>0.69882625697618361</c:v>
                </c:pt>
                <c:pt idx="3">
                  <c:v>0.71918796794720763</c:v>
                </c:pt>
                <c:pt idx="4">
                  <c:v>0.731145484548959</c:v>
                </c:pt>
                <c:pt idx="5">
                  <c:v>0.73652667845510489</c:v>
                </c:pt>
                <c:pt idx="6">
                  <c:v>0.73648684050850077</c:v>
                </c:pt>
                <c:pt idx="7">
                  <c:v>0.73263445554479834</c:v>
                </c:pt>
                <c:pt idx="8">
                  <c:v>0.72617281089445207</c:v>
                </c:pt>
                <c:pt idx="9">
                  <c:v>0.7181110297422939</c:v>
                </c:pt>
                <c:pt idx="10">
                  <c:v>0.70902587417973517</c:v>
                </c:pt>
                <c:pt idx="11">
                  <c:v>0.69981659669534257</c:v>
                </c:pt>
                <c:pt idx="12">
                  <c:v>0.6900330410358978</c:v>
                </c:pt>
                <c:pt idx="13">
                  <c:v>0.68093292281683615</c:v>
                </c:pt>
                <c:pt idx="14">
                  <c:v>0.67123519673898513</c:v>
                </c:pt>
                <c:pt idx="15">
                  <c:v>0.663195969475322</c:v>
                </c:pt>
                <c:pt idx="16">
                  <c:v>0.65569574086439497</c:v>
                </c:pt>
                <c:pt idx="17">
                  <c:v>0.64730196917839633</c:v>
                </c:pt>
                <c:pt idx="18">
                  <c:v>0.64063020127939119</c:v>
                </c:pt>
                <c:pt idx="19">
                  <c:v>0.63459573695383598</c:v>
                </c:pt>
                <c:pt idx="20">
                  <c:v>0.62920977283484758</c:v>
                </c:pt>
                <c:pt idx="21">
                  <c:v>0.62370246134331242</c:v>
                </c:pt>
                <c:pt idx="22">
                  <c:v>0.61865159733784469</c:v>
                </c:pt>
                <c:pt idx="23">
                  <c:v>0.61371885078606636</c:v>
                </c:pt>
                <c:pt idx="24">
                  <c:v>0.60914646946896334</c:v>
                </c:pt>
                <c:pt idx="25">
                  <c:v>0.60451483914987025</c:v>
                </c:pt>
              </c:numCache>
            </c:numRef>
          </c:val>
          <c:smooth val="0"/>
        </c:ser>
        <c:ser>
          <c:idx val="6"/>
          <c:order val="2"/>
          <c:tx>
            <c:strRef>
              <c:f>Sales_Calibration!$B$464</c:f>
              <c:strCache>
                <c:ptCount val="1"/>
                <c:pt idx="0">
                  <c:v>High Pressure Sodium</c:v>
                </c:pt>
              </c:strCache>
            </c:strRef>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Sales_Calibration!$M$464:$AL$464</c:f>
              <c:numCache>
                <c:formatCode>0%</c:formatCode>
                <c:ptCount val="26"/>
                <c:pt idx="1">
                  <c:v>0.26402642541585197</c:v>
                </c:pt>
                <c:pt idx="2">
                  <c:v>0.22251564031651255</c:v>
                </c:pt>
                <c:pt idx="3">
                  <c:v>0.19034595323945255</c:v>
                </c:pt>
                <c:pt idx="4">
                  <c:v>0.16395548964463441</c:v>
                </c:pt>
                <c:pt idx="5">
                  <c:v>0.14220715110031279</c:v>
                </c:pt>
                <c:pt idx="6">
                  <c:v>0.12482931357792217</c:v>
                </c:pt>
                <c:pt idx="7">
                  <c:v>0.10962913974049697</c:v>
                </c:pt>
                <c:pt idx="8">
                  <c:v>9.6684042304424275E-2</c:v>
                </c:pt>
                <c:pt idx="9">
                  <c:v>8.5767810750234943E-2</c:v>
                </c:pt>
                <c:pt idx="10">
                  <c:v>7.6455280832194675E-2</c:v>
                </c:pt>
                <c:pt idx="11">
                  <c:v>6.8518137242402244E-2</c:v>
                </c:pt>
                <c:pt idx="12">
                  <c:v>6.1397122104272589E-2</c:v>
                </c:pt>
                <c:pt idx="13">
                  <c:v>5.5222573364103231E-2</c:v>
                </c:pt>
                <c:pt idx="14">
                  <c:v>4.9522750406772696E-2</c:v>
                </c:pt>
                <c:pt idx="15">
                  <c:v>4.4624836236977869E-2</c:v>
                </c:pt>
                <c:pt idx="16">
                  <c:v>4.0247732608382832E-2</c:v>
                </c:pt>
                <c:pt idx="17">
                  <c:v>3.6123112064827254E-2</c:v>
                </c:pt>
                <c:pt idx="18">
                  <c:v>3.2578922012019888E-2</c:v>
                </c:pt>
                <c:pt idx="19">
                  <c:v>2.9424792093721484E-2</c:v>
                </c:pt>
                <c:pt idx="20">
                  <c:v>2.6615755587918833E-2</c:v>
                </c:pt>
                <c:pt idx="21">
                  <c:v>2.4050760993807485E-2</c:v>
                </c:pt>
                <c:pt idx="22">
                  <c:v>2.1761205987774784E-2</c:v>
                </c:pt>
                <c:pt idx="23">
                  <c:v>1.9703943208995149E-2</c:v>
                </c:pt>
                <c:pt idx="24">
                  <c:v>1.7872088050845867E-2</c:v>
                </c:pt>
                <c:pt idx="25">
                  <c:v>1.6227708612503642E-2</c:v>
                </c:pt>
              </c:numCache>
            </c:numRef>
          </c:val>
          <c:smooth val="0"/>
        </c:ser>
        <c:ser>
          <c:idx val="7"/>
          <c:order val="3"/>
          <c:tx>
            <c:strRef>
              <c:f>Sales_Calibration!$B$465</c:f>
              <c:strCache>
                <c:ptCount val="1"/>
                <c:pt idx="0">
                  <c:v>Low Pressure Sodium</c:v>
                </c:pt>
              </c:strCache>
            </c:strRef>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Sales_Calibration!$M$465:$AL$465</c:f>
              <c:numCache>
                <c:formatCode>0%</c:formatCode>
                <c:ptCount val="26"/>
                <c:pt idx="1">
                  <c:v>5.9779804401411864E-3</c:v>
                </c:pt>
                <c:pt idx="2">
                  <c:v>5.037371114666663E-3</c:v>
                </c:pt>
                <c:pt idx="3">
                  <c:v>4.3081231439666299E-3</c:v>
                </c:pt>
                <c:pt idx="4">
                  <c:v>3.709068118954256E-3</c:v>
                </c:pt>
                <c:pt idx="5">
                  <c:v>3.2149770246607781E-3</c:v>
                </c:pt>
                <c:pt idx="6">
                  <c:v>2.8200622705732269E-3</c:v>
                </c:pt>
                <c:pt idx="7">
                  <c:v>2.4649331675557313E-3</c:v>
                </c:pt>
                <c:pt idx="8">
                  <c:v>2.1658581452068042E-3</c:v>
                </c:pt>
                <c:pt idx="9">
                  <c:v>1.9208864166046589E-3</c:v>
                </c:pt>
                <c:pt idx="10">
                  <c:v>1.7053908368521802E-3</c:v>
                </c:pt>
                <c:pt idx="11">
                  <c:v>1.5218546856954629E-3</c:v>
                </c:pt>
                <c:pt idx="12">
                  <c:v>1.3572457903365102E-3</c:v>
                </c:pt>
                <c:pt idx="13">
                  <c:v>1.2145517771225197E-3</c:v>
                </c:pt>
                <c:pt idx="14">
                  <c:v>1.0828362318605058E-3</c:v>
                </c:pt>
                <c:pt idx="15">
                  <c:v>9.6962533092723961E-4</c:v>
                </c:pt>
                <c:pt idx="16">
                  <c:v>8.6843349520989083E-4</c:v>
                </c:pt>
                <c:pt idx="17">
                  <c:v>7.7310649065569855E-4</c:v>
                </c:pt>
                <c:pt idx="18">
                  <c:v>6.9087589449026601E-4</c:v>
                </c:pt>
                <c:pt idx="19">
                  <c:v>6.1767548669436248E-4</c:v>
                </c:pt>
                <c:pt idx="20">
                  <c:v>5.5229100820300902E-4</c:v>
                </c:pt>
                <c:pt idx="21">
                  <c:v>4.9285333927053692E-4</c:v>
                </c:pt>
                <c:pt idx="22">
                  <c:v>4.3981002017762412E-4</c:v>
                </c:pt>
                <c:pt idx="23">
                  <c:v>3.9216689892090792E-4</c:v>
                </c:pt>
                <c:pt idx="24">
                  <c:v>3.4976507749965056E-4</c:v>
                </c:pt>
                <c:pt idx="25">
                  <c:v>3.1177070702519312E-4</c:v>
                </c:pt>
              </c:numCache>
            </c:numRef>
          </c:val>
          <c:smooth val="0"/>
        </c:ser>
        <c:ser>
          <c:idx val="0"/>
          <c:order val="4"/>
          <c:tx>
            <c:strRef>
              <c:f>Sales_Calibration!$B$466</c:f>
              <c:strCache>
                <c:ptCount val="1"/>
                <c:pt idx="0">
                  <c:v>LED</c:v>
                </c:pt>
              </c:strCache>
            </c:strRef>
          </c:tx>
          <c:cat>
            <c:numRef>
              <c:f>System_Total_Mkt!$G$4:$AF$4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System_Total_Mkt!$G$104:$AF$104</c:f>
              <c:numCache>
                <c:formatCode>0%</c:formatCode>
                <c:ptCount val="26"/>
                <c:pt idx="1">
                  <c:v>2.7163407747429126E-2</c:v>
                </c:pt>
                <c:pt idx="2">
                  <c:v>3.7857462100228001E-2</c:v>
                </c:pt>
                <c:pt idx="3">
                  <c:v>5.0266597900642848E-2</c:v>
                </c:pt>
                <c:pt idx="4">
                  <c:v>6.4074848043503996E-2</c:v>
                </c:pt>
                <c:pt idx="5">
                  <c:v>7.9036783435269237E-2</c:v>
                </c:pt>
                <c:pt idx="6">
                  <c:v>9.4567939247286556E-2</c:v>
                </c:pt>
                <c:pt idx="7">
                  <c:v>0.11008553845001763</c:v>
                </c:pt>
                <c:pt idx="8">
                  <c:v>0.12525617375505418</c:v>
                </c:pt>
                <c:pt idx="9">
                  <c:v>0.13969059304438006</c:v>
                </c:pt>
                <c:pt idx="10">
                  <c:v>0.1530058328941229</c:v>
                </c:pt>
                <c:pt idx="11">
                  <c:v>0.16478023829616115</c:v>
                </c:pt>
                <c:pt idx="12">
                  <c:v>0.1751406572222178</c:v>
                </c:pt>
                <c:pt idx="13">
                  <c:v>0.18384445345519379</c:v>
                </c:pt>
                <c:pt idx="14">
                  <c:v>0.190967295965765</c:v>
                </c:pt>
                <c:pt idx="15">
                  <c:v>0.19678437556067727</c:v>
                </c:pt>
                <c:pt idx="16">
                  <c:v>0.20131507667876844</c:v>
                </c:pt>
                <c:pt idx="17">
                  <c:v>0.20475919208226079</c:v>
                </c:pt>
                <c:pt idx="18">
                  <c:v>0.20736485764334031</c:v>
                </c:pt>
                <c:pt idx="19">
                  <c:v>0.2094573462154134</c:v>
                </c:pt>
                <c:pt idx="20">
                  <c:v>0.21121581274709358</c:v>
                </c:pt>
                <c:pt idx="21">
                  <c:v>0.21301979457527156</c:v>
                </c:pt>
                <c:pt idx="22">
                  <c:v>0.21404868227610971</c:v>
                </c:pt>
                <c:pt idx="23">
                  <c:v>0.21506091080581646</c:v>
                </c:pt>
                <c:pt idx="24">
                  <c:v>0.21590601911325555</c:v>
                </c:pt>
                <c:pt idx="25">
                  <c:v>0.21663247407838163</c:v>
                </c:pt>
              </c:numCache>
            </c:numRef>
          </c:val>
          <c:smooth val="0"/>
        </c:ser>
        <c:ser>
          <c:idx val="1"/>
          <c:order val="5"/>
          <c:tx>
            <c:v>Historical Mercury Vapor</c:v>
          </c:tx>
          <c:val>
            <c:numRef>
              <c:f>Sales_Calibration!$M$390:$O$390</c:f>
              <c:numCache>
                <c:formatCode>0%</c:formatCode>
                <c:ptCount val="3"/>
                <c:pt idx="0">
                  <c:v>1.6156134926932301E-2</c:v>
                </c:pt>
                <c:pt idx="1">
                  <c:v>1.4839887395471938E-2</c:v>
                </c:pt>
                <c:pt idx="2">
                  <c:v>1.2840207962033771E-2</c:v>
                </c:pt>
              </c:numCache>
            </c:numRef>
          </c:val>
          <c:smooth val="0"/>
        </c:ser>
        <c:ser>
          <c:idx val="2"/>
          <c:order val="6"/>
          <c:tx>
            <c:v>Historical Metal Halide</c:v>
          </c:tx>
          <c:val>
            <c:numRef>
              <c:f>Sales_Calibration!$M$391:$O$391</c:f>
              <c:numCache>
                <c:formatCode>0%</c:formatCode>
                <c:ptCount val="3"/>
                <c:pt idx="0">
                  <c:v>0.59199990183875806</c:v>
                </c:pt>
                <c:pt idx="1">
                  <c:v>0.71195277127638801</c:v>
                </c:pt>
                <c:pt idx="2">
                  <c:v>0.75555047525025565</c:v>
                </c:pt>
              </c:numCache>
            </c:numRef>
          </c:val>
          <c:smooth val="0"/>
        </c:ser>
        <c:ser>
          <c:idx val="3"/>
          <c:order val="7"/>
          <c:tx>
            <c:v>Historical High Pressure Sodium</c:v>
          </c:tx>
          <c:val>
            <c:numRef>
              <c:f>Sales_Calibration!$M$392:$O$392</c:f>
              <c:numCache>
                <c:formatCode>0%</c:formatCode>
                <c:ptCount val="3"/>
                <c:pt idx="0">
                  <c:v>0.39184396323430953</c:v>
                </c:pt>
                <c:pt idx="1">
                  <c:v>0.27320734132814001</c:v>
                </c:pt>
                <c:pt idx="2">
                  <c:v>0.23160931678771066</c:v>
                </c:pt>
              </c:numCache>
            </c:numRef>
          </c:val>
          <c:smooth val="0"/>
        </c:ser>
        <c:ser>
          <c:idx val="8"/>
          <c:order val="8"/>
          <c:tx>
            <c:v>Historical Low Pressure Sodium</c:v>
          </c:tx>
          <c:val>
            <c:numRef>
              <c:f>Sales_Calibration!$M$393:$O$393</c:f>
              <c:numCache>
                <c:formatCode>0%</c:formatCode>
                <c:ptCount val="3"/>
                <c:pt idx="0">
                  <c:v>0</c:v>
                </c:pt>
                <c:pt idx="1">
                  <c:v>0</c:v>
                </c:pt>
                <c:pt idx="2">
                  <c:v>0</c:v>
                </c:pt>
              </c:numCache>
            </c:numRef>
          </c:val>
          <c:smooth val="0"/>
        </c:ser>
        <c:ser>
          <c:idx val="9"/>
          <c:order val="9"/>
          <c:tx>
            <c:v>Historical LED</c:v>
          </c:tx>
          <c:val>
            <c:numRef>
              <c:f>Sales_Calibration!$M$394:$O$394</c:f>
              <c:numCache>
                <c:formatCode>0%</c:formatCode>
                <c:ptCount val="3"/>
                <c:pt idx="0">
                  <c:v>0</c:v>
                </c:pt>
                <c:pt idx="1">
                  <c:v>0</c:v>
                </c:pt>
                <c:pt idx="2">
                  <c:v>0</c:v>
                </c:pt>
              </c:numCache>
            </c:numRef>
          </c:val>
          <c:smooth val="0"/>
        </c:ser>
        <c:dLbls>
          <c:showLegendKey val="0"/>
          <c:showVal val="0"/>
          <c:showCatName val="0"/>
          <c:showSerName val="0"/>
          <c:showPercent val="0"/>
          <c:showBubbleSize val="0"/>
        </c:dLbls>
        <c:marker val="1"/>
        <c:smooth val="0"/>
        <c:axId val="341347328"/>
        <c:axId val="341357312"/>
      </c:lineChart>
      <c:catAx>
        <c:axId val="341347328"/>
        <c:scaling>
          <c:orientation val="minMax"/>
        </c:scaling>
        <c:delete val="0"/>
        <c:axPos val="b"/>
        <c:numFmt formatCode="General" sourceLinked="1"/>
        <c:majorTickMark val="out"/>
        <c:minorTickMark val="none"/>
        <c:tickLblPos val="nextTo"/>
        <c:crossAx val="341357312"/>
        <c:crosses val="autoZero"/>
        <c:auto val="1"/>
        <c:lblAlgn val="ctr"/>
        <c:lblOffset val="100"/>
        <c:noMultiLvlLbl val="0"/>
      </c:catAx>
      <c:valAx>
        <c:axId val="341357312"/>
        <c:scaling>
          <c:orientation val="minMax"/>
        </c:scaling>
        <c:delete val="0"/>
        <c:axPos val="l"/>
        <c:majorGridlines/>
        <c:numFmt formatCode="0%" sourceLinked="1"/>
        <c:majorTickMark val="out"/>
        <c:minorTickMark val="none"/>
        <c:tickLblPos val="nextTo"/>
        <c:crossAx val="341347328"/>
        <c:crosses val="autoZero"/>
        <c:crossBetween val="between"/>
      </c:valAx>
    </c:plotArea>
    <c:legend>
      <c:legendPos val="r"/>
      <c:overlay val="0"/>
    </c:legend>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Test_Plots!$A$2</c:f>
              <c:strCache>
                <c:ptCount val="1"/>
                <c:pt idx="0">
                  <c:v>Total Stock (Tlm-hr)</c:v>
                </c:pt>
              </c:strCache>
            </c:strRef>
          </c:tx>
          <c:marker>
            <c:symbol val="none"/>
          </c:marker>
          <c:cat>
            <c:numRef>
              <c:f>Test_Plots!$B$3:$AA$3</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Test_Plots!$B$4:$AA$4</c:f>
              <c:numCache>
                <c:formatCode>General</c:formatCode>
                <c:ptCount val="26"/>
                <c:pt idx="0">
                  <c:v>167.60276427164692</c:v>
                </c:pt>
                <c:pt idx="1">
                  <c:v>171.73850099739823</c:v>
                </c:pt>
                <c:pt idx="2">
                  <c:v>176.04395311309963</c:v>
                </c:pt>
                <c:pt idx="3">
                  <c:v>180.4725167004803</c:v>
                </c:pt>
                <c:pt idx="4">
                  <c:v>184.85940119468484</c:v>
                </c:pt>
                <c:pt idx="5">
                  <c:v>189.29582432442513</c:v>
                </c:pt>
                <c:pt idx="6">
                  <c:v>193.75507164508929</c:v>
                </c:pt>
                <c:pt idx="7">
                  <c:v>198.17413454563143</c:v>
                </c:pt>
                <c:pt idx="8">
                  <c:v>202.5633603996983</c:v>
                </c:pt>
                <c:pt idx="9">
                  <c:v>206.93446386046119</c:v>
                </c:pt>
                <c:pt idx="10">
                  <c:v>211.28231247999318</c:v>
                </c:pt>
                <c:pt idx="11">
                  <c:v>215.55816479767677</c:v>
                </c:pt>
                <c:pt idx="12">
                  <c:v>219.82528680786962</c:v>
                </c:pt>
                <c:pt idx="13">
                  <c:v>224.07481286308888</c:v>
                </c:pt>
                <c:pt idx="14">
                  <c:v>228.29814264788351</c:v>
                </c:pt>
                <c:pt idx="15">
                  <c:v>232.52304356647304</c:v>
                </c:pt>
                <c:pt idx="16">
                  <c:v>236.71787469892109</c:v>
                </c:pt>
                <c:pt idx="17">
                  <c:v>240.84752668581226</c:v>
                </c:pt>
                <c:pt idx="18">
                  <c:v>244.89159590428491</c:v>
                </c:pt>
                <c:pt idx="19">
                  <c:v>248.87659761552962</c:v>
                </c:pt>
                <c:pt idx="20">
                  <c:v>252.84188710215804</c:v>
                </c:pt>
                <c:pt idx="21">
                  <c:v>256.84689802107255</c:v>
                </c:pt>
                <c:pt idx="22">
                  <c:v>260.79996151510801</c:v>
                </c:pt>
                <c:pt idx="23">
                  <c:v>264.69670296398505</c:v>
                </c:pt>
                <c:pt idx="24">
                  <c:v>268.53275436044044</c:v>
                </c:pt>
                <c:pt idx="25">
                  <c:v>272.30376226418917</c:v>
                </c:pt>
              </c:numCache>
            </c:numRef>
          </c:val>
          <c:smooth val="0"/>
        </c:ser>
        <c:ser>
          <c:idx val="1"/>
          <c:order val="1"/>
          <c:tx>
            <c:strRef>
              <c:f>Test_Plots!$A$5</c:f>
              <c:strCache>
                <c:ptCount val="1"/>
                <c:pt idx="0">
                  <c:v>Total Ballast (Ballast+Lamp) Sales (Tlm-hr)</c:v>
                </c:pt>
              </c:strCache>
            </c:strRef>
          </c:tx>
          <c:marker>
            <c:symbol val="none"/>
          </c:marker>
          <c:cat>
            <c:numRef>
              <c:f>Test_Plots!$B$3:$AA$3</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Test_Plots!$B$7:$AA$7</c:f>
              <c:numCache>
                <c:formatCode>General</c:formatCode>
                <c:ptCount val="26"/>
                <c:pt idx="1">
                  <c:v>57.937012997524292</c:v>
                </c:pt>
                <c:pt idx="2">
                  <c:v>56.347433156836935</c:v>
                </c:pt>
                <c:pt idx="3">
                  <c:v>53.426726849632935</c:v>
                </c:pt>
                <c:pt idx="4">
                  <c:v>48.68573325084482</c:v>
                </c:pt>
                <c:pt idx="5">
                  <c:v>44.29013421378756</c:v>
                </c:pt>
                <c:pt idx="6">
                  <c:v>40.590995724858011</c:v>
                </c:pt>
                <c:pt idx="7">
                  <c:v>37.244358686742423</c:v>
                </c:pt>
                <c:pt idx="8">
                  <c:v>35.077569907435851</c:v>
                </c:pt>
                <c:pt idx="9">
                  <c:v>33.531782196262057</c:v>
                </c:pt>
                <c:pt idx="10">
                  <c:v>32.293480639786779</c:v>
                </c:pt>
                <c:pt idx="11">
                  <c:v>31.142340402270602</c:v>
                </c:pt>
                <c:pt idx="12">
                  <c:v>30.112932649590054</c:v>
                </c:pt>
                <c:pt idx="13">
                  <c:v>29.138235666977632</c:v>
                </c:pt>
                <c:pt idx="14">
                  <c:v>28.228069955183635</c:v>
                </c:pt>
                <c:pt idx="15">
                  <c:v>27.431842727813546</c:v>
                </c:pt>
                <c:pt idx="16">
                  <c:v>26.711421144987522</c:v>
                </c:pt>
                <c:pt idx="17">
                  <c:v>26.051325822546563</c:v>
                </c:pt>
                <c:pt idx="18">
                  <c:v>25.471561150714169</c:v>
                </c:pt>
                <c:pt idx="19">
                  <c:v>25.010394547519127</c:v>
                </c:pt>
                <c:pt idx="20">
                  <c:v>24.67590925466515</c:v>
                </c:pt>
                <c:pt idx="21">
                  <c:v>24.482010467163256</c:v>
                </c:pt>
                <c:pt idx="22">
                  <c:v>24.275360796092738</c:v>
                </c:pt>
                <c:pt idx="23">
                  <c:v>24.111514020398989</c:v>
                </c:pt>
                <c:pt idx="24">
                  <c:v>23.986494631590286</c:v>
                </c:pt>
                <c:pt idx="25">
                  <c:v>23.892948649055878</c:v>
                </c:pt>
              </c:numCache>
            </c:numRef>
          </c:val>
          <c:smooth val="0"/>
        </c:ser>
        <c:ser>
          <c:idx val="2"/>
          <c:order val="2"/>
          <c:tx>
            <c:strRef>
              <c:f>Test_Plots!$A$8</c:f>
              <c:strCache>
                <c:ptCount val="1"/>
                <c:pt idx="0">
                  <c:v>Total Lamp Sales (Tlm-hr)</c:v>
                </c:pt>
              </c:strCache>
            </c:strRef>
          </c:tx>
          <c:marker>
            <c:symbol val="none"/>
          </c:marker>
          <c:cat>
            <c:numRef>
              <c:f>Test_Plots!$B$3:$AA$3</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Test_Plots!$B$10:$AA$10</c:f>
              <c:numCache>
                <c:formatCode>General</c:formatCode>
                <c:ptCount val="26"/>
                <c:pt idx="1">
                  <c:v>0.88383322555717259</c:v>
                </c:pt>
                <c:pt idx="2">
                  <c:v>0.80936901560724528</c:v>
                </c:pt>
                <c:pt idx="3">
                  <c:v>0.7482367666374462</c:v>
                </c:pt>
                <c:pt idx="4">
                  <c:v>0.69999268979861562</c:v>
                </c:pt>
                <c:pt idx="5">
                  <c:v>0.74315710323382267</c:v>
                </c:pt>
                <c:pt idx="6">
                  <c:v>0.78267721882118435</c:v>
                </c:pt>
                <c:pt idx="7">
                  <c:v>0.81787480351433794</c:v>
                </c:pt>
                <c:pt idx="8">
                  <c:v>0.84794827083482749</c:v>
                </c:pt>
                <c:pt idx="9">
                  <c:v>0.87258722329134764</c:v>
                </c:pt>
                <c:pt idx="10">
                  <c:v>0.89177153058392822</c:v>
                </c:pt>
                <c:pt idx="11">
                  <c:v>0.90549825022673258</c:v>
                </c:pt>
                <c:pt idx="12">
                  <c:v>0.91386555511173484</c:v>
                </c:pt>
                <c:pt idx="13">
                  <c:v>0.91745735293639474</c:v>
                </c:pt>
                <c:pt idx="14">
                  <c:v>0.91669670633336997</c:v>
                </c:pt>
                <c:pt idx="15">
                  <c:v>0.91208523522854368</c:v>
                </c:pt>
                <c:pt idx="16">
                  <c:v>0.90432256908024933</c:v>
                </c:pt>
                <c:pt idx="17">
                  <c:v>0.89390097760157772</c:v>
                </c:pt>
                <c:pt idx="18">
                  <c:v>0.88129644648122851</c:v>
                </c:pt>
                <c:pt idx="19">
                  <c:v>0.86696485587806249</c:v>
                </c:pt>
                <c:pt idx="20">
                  <c:v>0.85141694750111552</c:v>
                </c:pt>
                <c:pt idx="21">
                  <c:v>0.83508448869468799</c:v>
                </c:pt>
                <c:pt idx="22">
                  <c:v>0.81838792145131289</c:v>
                </c:pt>
                <c:pt idx="23">
                  <c:v>0.80135038695313554</c:v>
                </c:pt>
                <c:pt idx="24">
                  <c:v>0.78418258381669292</c:v>
                </c:pt>
                <c:pt idx="25">
                  <c:v>0.7659915666854844</c:v>
                </c:pt>
              </c:numCache>
            </c:numRef>
          </c:val>
          <c:smooth val="0"/>
        </c:ser>
        <c:dLbls>
          <c:showLegendKey val="0"/>
          <c:showVal val="0"/>
          <c:showCatName val="0"/>
          <c:showSerName val="0"/>
          <c:showPercent val="0"/>
          <c:showBubbleSize val="0"/>
        </c:dLbls>
        <c:marker val="1"/>
        <c:smooth val="0"/>
        <c:axId val="343266432"/>
        <c:axId val="343267968"/>
      </c:lineChart>
      <c:catAx>
        <c:axId val="343266432"/>
        <c:scaling>
          <c:orientation val="minMax"/>
        </c:scaling>
        <c:delete val="0"/>
        <c:axPos val="b"/>
        <c:numFmt formatCode="General" sourceLinked="1"/>
        <c:majorTickMark val="out"/>
        <c:minorTickMark val="none"/>
        <c:tickLblPos val="nextTo"/>
        <c:crossAx val="343267968"/>
        <c:crosses val="autoZero"/>
        <c:auto val="1"/>
        <c:lblAlgn val="ctr"/>
        <c:lblOffset val="100"/>
        <c:noMultiLvlLbl val="0"/>
      </c:catAx>
      <c:valAx>
        <c:axId val="343267968"/>
        <c:scaling>
          <c:orientation val="minMax"/>
        </c:scaling>
        <c:delete val="0"/>
        <c:axPos val="l"/>
        <c:majorGridlines/>
        <c:numFmt formatCode="General" sourceLinked="1"/>
        <c:majorTickMark val="out"/>
        <c:minorTickMark val="none"/>
        <c:tickLblPos val="nextTo"/>
        <c:crossAx val="343266432"/>
        <c:crosses val="autoZero"/>
        <c:crossBetween val="between"/>
      </c:valAx>
    </c:plotArea>
    <c:legend>
      <c:legendPos val="r"/>
      <c:overlay val="0"/>
    </c:legend>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areaChart>
        <c:grouping val="stacked"/>
        <c:varyColors val="0"/>
        <c:ser>
          <c:idx val="0"/>
          <c:order val="0"/>
          <c:tx>
            <c:strRef>
              <c:f>Plot_Data!$B$7</c:f>
              <c:strCache>
                <c:ptCount val="1"/>
                <c:pt idx="0">
                  <c:v>Commercial</c:v>
                </c:pt>
              </c:strCache>
            </c:strRef>
          </c:tx>
          <c:spPr>
            <a:solidFill>
              <a:schemeClr val="accent1"/>
            </a:solidFill>
            <a:ln>
              <a:noFill/>
            </a:ln>
            <a:effectLst/>
          </c:spPr>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Plot_Data!$G$7:$AF$7</c:f>
              <c:numCache>
                <c:formatCode>0</c:formatCode>
                <c:ptCount val="26"/>
                <c:pt idx="0">
                  <c:v>1653.700174848829</c:v>
                </c:pt>
                <c:pt idx="1">
                  <c:v>1636.5891894222491</c:v>
                </c:pt>
                <c:pt idx="2">
                  <c:v>1631.4485695405867</c:v>
                </c:pt>
                <c:pt idx="3">
                  <c:v>1624.04708747528</c:v>
                </c:pt>
                <c:pt idx="4">
                  <c:v>1619.4488866145598</c:v>
                </c:pt>
                <c:pt idx="5">
                  <c:v>1617.7938166400884</c:v>
                </c:pt>
                <c:pt idx="6">
                  <c:v>1617.7559840076456</c:v>
                </c:pt>
                <c:pt idx="7">
                  <c:v>1623.4724860424396</c:v>
                </c:pt>
                <c:pt idx="8">
                  <c:v>1633.8963460614254</c:v>
                </c:pt>
                <c:pt idx="9">
                  <c:v>1646.167464933279</c:v>
                </c:pt>
                <c:pt idx="10">
                  <c:v>1660.8946950837603</c:v>
                </c:pt>
                <c:pt idx="11">
                  <c:v>1676.5135957777682</c:v>
                </c:pt>
                <c:pt idx="12">
                  <c:v>1693.2648938331729</c:v>
                </c:pt>
                <c:pt idx="13">
                  <c:v>1711.0726397027388</c:v>
                </c:pt>
                <c:pt idx="14">
                  <c:v>1729.2045900993014</c:v>
                </c:pt>
                <c:pt idx="15">
                  <c:v>1747.5155447818295</c:v>
                </c:pt>
                <c:pt idx="16">
                  <c:v>1765.187180592106</c:v>
                </c:pt>
                <c:pt idx="17">
                  <c:v>1783.6981374721586</c:v>
                </c:pt>
                <c:pt idx="18">
                  <c:v>1803.1491237852752</c:v>
                </c:pt>
                <c:pt idx="19">
                  <c:v>1822.8091415389288</c:v>
                </c:pt>
                <c:pt idx="20">
                  <c:v>1842.0628003039383</c:v>
                </c:pt>
                <c:pt idx="21">
                  <c:v>1861.0836771292222</c:v>
                </c:pt>
                <c:pt idx="22">
                  <c:v>1880.0722262668442</c:v>
                </c:pt>
                <c:pt idx="23">
                  <c:v>1899.0116942852469</c:v>
                </c:pt>
                <c:pt idx="24">
                  <c:v>1917.8880111572678</c:v>
                </c:pt>
                <c:pt idx="25">
                  <c:v>1936.6887558901888</c:v>
                </c:pt>
              </c:numCache>
            </c:numRef>
          </c:val>
        </c:ser>
        <c:ser>
          <c:idx val="1"/>
          <c:order val="1"/>
          <c:tx>
            <c:strRef>
              <c:f>Plot_Data!$B$8</c:f>
              <c:strCache>
                <c:ptCount val="1"/>
                <c:pt idx="0">
                  <c:v>Industrial</c:v>
                </c:pt>
              </c:strCache>
            </c:strRef>
          </c:tx>
          <c:spPr>
            <a:solidFill>
              <a:schemeClr val="accent2"/>
            </a:solidFill>
            <a:ln>
              <a:noFill/>
            </a:ln>
            <a:effectLst/>
          </c:spPr>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Plot_Data!$G$8:$AF$8</c:f>
              <c:numCache>
                <c:formatCode>0</c:formatCode>
                <c:ptCount val="26"/>
                <c:pt idx="0">
                  <c:v>291.45193498011133</c:v>
                </c:pt>
                <c:pt idx="1">
                  <c:v>286.17729320024142</c:v>
                </c:pt>
                <c:pt idx="2">
                  <c:v>281.61763151320781</c:v>
                </c:pt>
                <c:pt idx="3">
                  <c:v>276.98238534349218</c:v>
                </c:pt>
                <c:pt idx="4">
                  <c:v>272.36535771128871</c:v>
                </c:pt>
                <c:pt idx="5">
                  <c:v>268.08357804319598</c:v>
                </c:pt>
                <c:pt idx="6">
                  <c:v>264.09668800145624</c:v>
                </c:pt>
                <c:pt idx="7">
                  <c:v>260.34479597137357</c:v>
                </c:pt>
                <c:pt idx="8">
                  <c:v>256.88783874206285</c:v>
                </c:pt>
                <c:pt idx="9">
                  <c:v>253.64283381110766</c:v>
                </c:pt>
                <c:pt idx="10">
                  <c:v>250.62588560332219</c:v>
                </c:pt>
                <c:pt idx="11">
                  <c:v>247.79866654617169</c:v>
                </c:pt>
                <c:pt idx="12">
                  <c:v>245.13534239742441</c:v>
                </c:pt>
                <c:pt idx="13">
                  <c:v>242.54432521616832</c:v>
                </c:pt>
                <c:pt idx="14">
                  <c:v>240.01250073530153</c:v>
                </c:pt>
                <c:pt idx="15">
                  <c:v>237.52995882997669</c:v>
                </c:pt>
                <c:pt idx="16">
                  <c:v>235.09065212261945</c:v>
                </c:pt>
                <c:pt idx="17">
                  <c:v>232.68914623437817</c:v>
                </c:pt>
                <c:pt idx="18">
                  <c:v>230.32189816452515</c:v>
                </c:pt>
                <c:pt idx="19">
                  <c:v>227.98604695833833</c:v>
                </c:pt>
                <c:pt idx="20">
                  <c:v>225.67865719108903</c:v>
                </c:pt>
                <c:pt idx="21">
                  <c:v>223.3990948795398</c:v>
                </c:pt>
                <c:pt idx="22">
                  <c:v>221.14602293927757</c:v>
                </c:pt>
                <c:pt idx="23">
                  <c:v>218.9183558469889</c:v>
                </c:pt>
                <c:pt idx="24">
                  <c:v>216.7152746728419</c:v>
                </c:pt>
                <c:pt idx="25">
                  <c:v>214.53608410122735</c:v>
                </c:pt>
              </c:numCache>
            </c:numRef>
          </c:val>
        </c:ser>
        <c:ser>
          <c:idx val="2"/>
          <c:order val="2"/>
          <c:tx>
            <c:strRef>
              <c:f>Plot_Data!$B$9</c:f>
              <c:strCache>
                <c:ptCount val="1"/>
                <c:pt idx="0">
                  <c:v>Outdoor</c:v>
                </c:pt>
              </c:strCache>
            </c:strRef>
          </c:tx>
          <c:spPr>
            <a:solidFill>
              <a:schemeClr val="accent3"/>
            </a:solidFill>
            <a:ln>
              <a:noFill/>
            </a:ln>
            <a:effectLst/>
          </c:spPr>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Plot_Data!$G$9:$AF$9</c:f>
              <c:numCache>
                <c:formatCode>0</c:formatCode>
                <c:ptCount val="26"/>
                <c:pt idx="0">
                  <c:v>525.30883853820546</c:v>
                </c:pt>
                <c:pt idx="1">
                  <c:v>524.68366148919188</c:v>
                </c:pt>
                <c:pt idx="2">
                  <c:v>540.10022862986989</c:v>
                </c:pt>
                <c:pt idx="3">
                  <c:v>556.6547932508679</c:v>
                </c:pt>
                <c:pt idx="4">
                  <c:v>572.47401874352181</c:v>
                </c:pt>
                <c:pt idx="5">
                  <c:v>587.47215705844872</c:v>
                </c:pt>
                <c:pt idx="6">
                  <c:v>601.0392296576058</c:v>
                </c:pt>
                <c:pt idx="7">
                  <c:v>613.97781605677176</c:v>
                </c:pt>
                <c:pt idx="8">
                  <c:v>627.33705084225949</c:v>
                </c:pt>
                <c:pt idx="9">
                  <c:v>640.14242121036136</c:v>
                </c:pt>
                <c:pt idx="10">
                  <c:v>652.95013326479716</c:v>
                </c:pt>
                <c:pt idx="11">
                  <c:v>665.01389741193361</c:v>
                </c:pt>
                <c:pt idx="12">
                  <c:v>676.57674679901288</c:v>
                </c:pt>
                <c:pt idx="13">
                  <c:v>687.7118742135309</c:v>
                </c:pt>
                <c:pt idx="14">
                  <c:v>698.53780390592237</c:v>
                </c:pt>
                <c:pt idx="15">
                  <c:v>709.06455670759408</c:v>
                </c:pt>
                <c:pt idx="16">
                  <c:v>719.01139611789756</c:v>
                </c:pt>
                <c:pt idx="17">
                  <c:v>729.0383321451493</c:v>
                </c:pt>
                <c:pt idx="18">
                  <c:v>739.22000675207994</c:v>
                </c:pt>
                <c:pt idx="19">
                  <c:v>749.28772879649796</c:v>
                </c:pt>
                <c:pt idx="20">
                  <c:v>759.01719977395737</c:v>
                </c:pt>
                <c:pt idx="21">
                  <c:v>768.49618946021724</c:v>
                </c:pt>
                <c:pt idx="22">
                  <c:v>777.82721174895721</c:v>
                </c:pt>
                <c:pt idx="23">
                  <c:v>787.01997826819445</c:v>
                </c:pt>
                <c:pt idx="24">
                  <c:v>796.08505357403487</c:v>
                </c:pt>
                <c:pt idx="25">
                  <c:v>805.02647136821008</c:v>
                </c:pt>
              </c:numCache>
            </c:numRef>
          </c:val>
        </c:ser>
        <c:ser>
          <c:idx val="3"/>
          <c:order val="3"/>
          <c:tx>
            <c:strRef>
              <c:f>Plot_Data!$B$10</c:f>
              <c:strCache>
                <c:ptCount val="1"/>
                <c:pt idx="0">
                  <c:v>Residential</c:v>
                </c:pt>
              </c:strCache>
            </c:strRef>
          </c:tx>
          <c:spPr>
            <a:solidFill>
              <a:schemeClr val="accent4"/>
            </a:solidFill>
            <a:ln>
              <a:noFill/>
            </a:ln>
            <a:effectLst/>
          </c:spPr>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Plot_Data!$G$10:$AF$10</c:f>
              <c:numCache>
                <c:formatCode>0</c:formatCode>
                <c:ptCount val="26"/>
                <c:pt idx="0">
                  <c:v>972.84499853508805</c:v>
                </c:pt>
                <c:pt idx="1">
                  <c:v>958.42512831229772</c:v>
                </c:pt>
                <c:pt idx="2">
                  <c:v>940.93315748324608</c:v>
                </c:pt>
                <c:pt idx="3">
                  <c:v>911.90911593672172</c:v>
                </c:pt>
                <c:pt idx="4">
                  <c:v>888.4680874718689</c:v>
                </c:pt>
                <c:pt idx="5">
                  <c:v>866.65340805330959</c:v>
                </c:pt>
                <c:pt idx="6">
                  <c:v>842.93107451903006</c:v>
                </c:pt>
                <c:pt idx="7">
                  <c:v>831.41857830107779</c:v>
                </c:pt>
                <c:pt idx="8">
                  <c:v>829.29739647385566</c:v>
                </c:pt>
                <c:pt idx="9">
                  <c:v>833.38075038117688</c:v>
                </c:pt>
                <c:pt idx="10">
                  <c:v>841.6759443633822</c:v>
                </c:pt>
                <c:pt idx="11">
                  <c:v>851.96891202930465</c:v>
                </c:pt>
                <c:pt idx="12">
                  <c:v>863.7727911485847</c:v>
                </c:pt>
                <c:pt idx="13">
                  <c:v>876.55099990822782</c:v>
                </c:pt>
                <c:pt idx="14">
                  <c:v>889.93711539096796</c:v>
                </c:pt>
                <c:pt idx="15">
                  <c:v>903.8273324839322</c:v>
                </c:pt>
                <c:pt idx="16">
                  <c:v>917.93390404658987</c:v>
                </c:pt>
                <c:pt idx="17">
                  <c:v>932.00668823024535</c:v>
                </c:pt>
                <c:pt idx="18">
                  <c:v>945.89367586423577</c:v>
                </c:pt>
                <c:pt idx="19">
                  <c:v>959.66344292889642</c:v>
                </c:pt>
                <c:pt idx="20">
                  <c:v>973.44826187979504</c:v>
                </c:pt>
                <c:pt idx="21">
                  <c:v>987.4695243895676</c:v>
                </c:pt>
                <c:pt idx="22">
                  <c:v>1001.3141814176364</c:v>
                </c:pt>
                <c:pt idx="23">
                  <c:v>1014.9556132876543</c:v>
                </c:pt>
                <c:pt idx="24">
                  <c:v>1028.3703561832078</c:v>
                </c:pt>
                <c:pt idx="25">
                  <c:v>1041.5371689382021</c:v>
                </c:pt>
              </c:numCache>
            </c:numRef>
          </c:val>
        </c:ser>
        <c:dLbls>
          <c:showLegendKey val="0"/>
          <c:showVal val="0"/>
          <c:showCatName val="0"/>
          <c:showSerName val="0"/>
          <c:showPercent val="0"/>
          <c:showBubbleSize val="0"/>
        </c:dLbls>
        <c:axId val="345896832"/>
        <c:axId val="345898368"/>
      </c:areaChart>
      <c:catAx>
        <c:axId val="345896832"/>
        <c:scaling>
          <c:orientation val="minMax"/>
        </c:scaling>
        <c:delete val="0"/>
        <c:axPos val="b"/>
        <c:numFmt formatCode="General" sourceLinked="1"/>
        <c:majorTickMark val="out"/>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100" b="0" i="0" u="none" strike="noStrike" kern="1200" baseline="0">
                <a:solidFill>
                  <a:schemeClr val="tx1"/>
                </a:solidFill>
                <a:latin typeface="Palatino Linotype" panose="02040502050505030304" pitchFamily="18" charset="0"/>
                <a:ea typeface="+mn-ea"/>
                <a:cs typeface="+mn-cs"/>
              </a:defRPr>
            </a:pPr>
            <a:endParaRPr lang="en-US"/>
          </a:p>
        </c:txPr>
        <c:crossAx val="345898368"/>
        <c:crosses val="autoZero"/>
        <c:auto val="1"/>
        <c:lblAlgn val="ctr"/>
        <c:lblOffset val="100"/>
        <c:noMultiLvlLbl val="0"/>
      </c:catAx>
      <c:valAx>
        <c:axId val="345898368"/>
        <c:scaling>
          <c:orientation val="minMax"/>
        </c:scaling>
        <c:delete val="0"/>
        <c:axPos val="l"/>
        <c:majorGridlines>
          <c:spPr>
            <a:ln w="9525" cap="flat" cmpd="sng" algn="ctr">
              <a:solidFill>
                <a:schemeClr val="tx1">
                  <a:tint val="75000"/>
                  <a:shade val="95000"/>
                  <a:satMod val="105000"/>
                </a:schemeClr>
              </a:solidFill>
              <a:prstDash val="sysDash"/>
              <a:round/>
            </a:ln>
            <a:effectLst/>
          </c:spPr>
        </c:majorGridlines>
        <c:title>
          <c:tx>
            <c:rich>
              <a:bodyPr rot="-5400000" spcFirstLastPara="1" vertOverflow="ellipsis" vert="horz" wrap="square" anchor="ctr" anchorCtr="1"/>
              <a:lstStyle/>
              <a:p>
                <a:pPr>
                  <a:defRPr sz="1200" b="1" i="0" u="none" strike="noStrike" kern="1200" baseline="0">
                    <a:solidFill>
                      <a:schemeClr val="tx1"/>
                    </a:solidFill>
                    <a:latin typeface="Palatino Linotype" panose="02040502050505030304" pitchFamily="18" charset="0"/>
                    <a:ea typeface="+mn-ea"/>
                    <a:cs typeface="+mn-cs"/>
                  </a:defRPr>
                </a:pPr>
                <a:r>
                  <a:rPr lang="en-US" sz="1200"/>
                  <a:t>Energy Consumption (aMW)</a:t>
                </a:r>
              </a:p>
            </c:rich>
          </c:tx>
          <c:overlay val="0"/>
          <c:spPr>
            <a:noFill/>
            <a:ln>
              <a:noFill/>
            </a:ln>
            <a:effectLst/>
          </c:spPr>
        </c:title>
        <c:numFmt formatCode="0" sourceLinked="1"/>
        <c:majorTickMark val="out"/>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1"/>
                </a:solidFill>
                <a:latin typeface="Palatino Linotype" panose="02040502050505030304" pitchFamily="18" charset="0"/>
                <a:ea typeface="+mn-ea"/>
                <a:cs typeface="+mn-cs"/>
              </a:defRPr>
            </a:pPr>
            <a:endParaRPr lang="en-US"/>
          </a:p>
        </c:txPr>
        <c:crossAx val="345896832"/>
        <c:crosses val="autoZero"/>
        <c:crossBetween val="midCat"/>
      </c:valAx>
      <c:spPr>
        <a:solidFill>
          <a:schemeClr val="bg1"/>
        </a:solidFill>
        <a:ln>
          <a:noFill/>
        </a:ln>
        <a:effectLst/>
      </c:spPr>
    </c:plotArea>
    <c:legend>
      <c:legendPos val="b"/>
      <c:layout>
        <c:manualLayout>
          <c:xMode val="edge"/>
          <c:yMode val="edge"/>
          <c:x val="0.12064052750170728"/>
          <c:y val="4.4624969789162514E-2"/>
          <c:w val="0.61546257859563513"/>
          <c:h val="6.2813162905815983E-2"/>
        </c:manualLayout>
      </c:layout>
      <c:overlay val="1"/>
      <c:spPr>
        <a:noFill/>
        <a:ln>
          <a:noFill/>
        </a:ln>
        <a:effectLst/>
      </c:spPr>
      <c:txPr>
        <a:bodyPr rot="0" spcFirstLastPara="1" vertOverflow="ellipsis" vert="horz" wrap="square" anchor="ctr" anchorCtr="1"/>
        <a:lstStyle/>
        <a:p>
          <a:pPr>
            <a:defRPr sz="1600" b="0" i="0" u="none" strike="noStrike" kern="1200" baseline="0">
              <a:solidFill>
                <a:schemeClr val="tx1"/>
              </a:solidFill>
              <a:latin typeface="Palatino Linotype" panose="02040502050505030304" pitchFamily="18" charset="0"/>
              <a:ea typeface="+mn-ea"/>
              <a:cs typeface="+mn-cs"/>
            </a:defRPr>
          </a:pPr>
          <a:endParaRPr lang="en-US"/>
        </a:p>
      </c:txPr>
    </c:legend>
    <c:plotVisOnly val="1"/>
    <c:dispBlanksAs val="zero"/>
    <c:showDLblsOverMax val="0"/>
  </c:chart>
  <c:spPr>
    <a:solidFill>
      <a:schemeClr val="bg1">
        <a:alpha val="15000"/>
      </a:schemeClr>
    </a:solidFill>
    <a:ln w="9525" cap="flat" cmpd="sng" algn="ctr">
      <a:noFill/>
      <a:prstDash val="solid"/>
      <a:round/>
    </a:ln>
    <a:effectLst/>
  </c:spPr>
  <c:txPr>
    <a:bodyPr/>
    <a:lstStyle/>
    <a:p>
      <a:pPr>
        <a:defRPr>
          <a:latin typeface="Palatino Linotype" panose="02040502050505030304" pitchFamily="18" charset="0"/>
        </a:defRPr>
      </a:pPr>
      <a:endParaRPr lang="en-US"/>
    </a:p>
  </c:txPr>
  <c:printSettings>
    <c:headerFooter/>
    <c:pageMargins b="0.75000000000000122" l="0.70000000000000062" r="0.70000000000000062" t="0.75000000000000122"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229472237603332"/>
          <c:y val="4.7693925596145388E-2"/>
          <c:w val="0.84756798004006273"/>
          <c:h val="0.86108781430716641"/>
        </c:manualLayout>
      </c:layout>
      <c:lineChart>
        <c:grouping val="standard"/>
        <c:varyColors val="0"/>
        <c:ser>
          <c:idx val="0"/>
          <c:order val="0"/>
          <c:tx>
            <c:strRef>
              <c:f>Plot_Energy!$A$41</c:f>
              <c:strCache>
                <c:ptCount val="1"/>
                <c:pt idx="0">
                  <c:v>Pre-case Frozen</c:v>
                </c:pt>
              </c:strCache>
            </c:strRef>
          </c:tx>
          <c:spPr>
            <a:ln w="28575" cap="rnd">
              <a:solidFill>
                <a:schemeClr val="accent6"/>
              </a:solidFill>
              <a:round/>
            </a:ln>
            <a:effectLst/>
          </c:spPr>
          <c:marker>
            <c:symbol val="none"/>
          </c:marker>
          <c:cat>
            <c:numRef>
              <c:f>Plot_Energy!$B$40:$AA$40</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Plot_Energy!$B$41:$AA$41</c:f>
              <c:numCache>
                <c:formatCode>_(* #,##0_);_(* \(#,##0\);_(* "-"??_);_(@_)</c:formatCode>
                <c:ptCount val="26"/>
                <c:pt idx="0">
                  <c:v>3447.5660055569865</c:v>
                </c:pt>
                <c:pt idx="1">
                  <c:v>3414.309608084126</c:v>
                </c:pt>
                <c:pt idx="2">
                  <c:v>3416.2093613388056</c:v>
                </c:pt>
                <c:pt idx="3">
                  <c:v>3412.039950856687</c:v>
                </c:pt>
                <c:pt idx="4">
                  <c:v>3417.2964974145139</c:v>
                </c:pt>
                <c:pt idx="5">
                  <c:v>3421.7709928496556</c:v>
                </c:pt>
                <c:pt idx="6">
                  <c:v>3420.0150666231675</c:v>
                </c:pt>
                <c:pt idx="7">
                  <c:v>3435.4307516588792</c:v>
                </c:pt>
                <c:pt idx="8">
                  <c:v>3463.2947136154489</c:v>
                </c:pt>
                <c:pt idx="9">
                  <c:v>3496.5008697453682</c:v>
                </c:pt>
                <c:pt idx="10">
                  <c:v>3534.8282070055825</c:v>
                </c:pt>
                <c:pt idx="11">
                  <c:v>3574.0112792956761</c:v>
                </c:pt>
                <c:pt idx="12">
                  <c:v>3614.2680275442735</c:v>
                </c:pt>
                <c:pt idx="13">
                  <c:v>3655.1645868285027</c:v>
                </c:pt>
                <c:pt idx="14">
                  <c:v>3696.6117494054301</c:v>
                </c:pt>
                <c:pt idx="15">
                  <c:v>3738.4388043361446</c:v>
                </c:pt>
                <c:pt idx="16">
                  <c:v>3779.2445353611383</c:v>
                </c:pt>
                <c:pt idx="17">
                  <c:v>3821.0070184169995</c:v>
                </c:pt>
                <c:pt idx="18">
                  <c:v>3863.7702085208648</c:v>
                </c:pt>
                <c:pt idx="19">
                  <c:v>3906.573720516566</c:v>
                </c:pt>
                <c:pt idx="20">
                  <c:v>3948.681066963456</c:v>
                </c:pt>
                <c:pt idx="21">
                  <c:v>3990.602392066372</c:v>
                </c:pt>
                <c:pt idx="22">
                  <c:v>4032.2168819867175</c:v>
                </c:pt>
                <c:pt idx="23">
                  <c:v>4073.4823081572604</c:v>
                </c:pt>
                <c:pt idx="24">
                  <c:v>4114.3711351916772</c:v>
                </c:pt>
                <c:pt idx="25">
                  <c:v>4154.8458561269517</c:v>
                </c:pt>
              </c:numCache>
            </c:numRef>
          </c:val>
          <c:smooth val="0"/>
        </c:ser>
        <c:ser>
          <c:idx val="1"/>
          <c:order val="1"/>
          <c:tx>
            <c:strRef>
              <c:f>Plot_Energy!$A$42</c:f>
              <c:strCache>
                <c:ptCount val="1"/>
                <c:pt idx="0">
                  <c:v>Post-case Frozen</c:v>
                </c:pt>
              </c:strCache>
            </c:strRef>
          </c:tx>
          <c:spPr>
            <a:ln w="28575" cap="rnd">
              <a:solidFill>
                <a:schemeClr val="accent5"/>
              </a:solidFill>
              <a:round/>
            </a:ln>
            <a:effectLst/>
          </c:spPr>
          <c:marker>
            <c:symbol val="none"/>
          </c:marker>
          <c:cat>
            <c:numRef>
              <c:f>Plot_Energy!$B$40:$AA$40</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Plot_Energy!$B$42:$AA$42</c:f>
              <c:numCache>
                <c:formatCode>_(* #,##0_);_(* \(#,##0\);_(* "-"??_);_(@_)</c:formatCode>
                <c:ptCount val="26"/>
                <c:pt idx="0">
                  <c:v>3447.5660055569865</c:v>
                </c:pt>
                <c:pt idx="1">
                  <c:v>3410.7037204009957</c:v>
                </c:pt>
                <c:pt idx="2">
                  <c:v>3399.8847628677627</c:v>
                </c:pt>
                <c:pt idx="3">
                  <c:v>3376.3928414422817</c:v>
                </c:pt>
                <c:pt idx="4">
                  <c:v>3360.4304326291049</c:v>
                </c:pt>
                <c:pt idx="5">
                  <c:v>3348.4244749580193</c:v>
                </c:pt>
                <c:pt idx="6">
                  <c:v>3334.8839402932535</c:v>
                </c:pt>
                <c:pt idx="7">
                  <c:v>3338.8506506117255</c:v>
                </c:pt>
                <c:pt idx="8">
                  <c:v>3357.6023353203805</c:v>
                </c:pt>
                <c:pt idx="9">
                  <c:v>3384.0378215823439</c:v>
                </c:pt>
                <c:pt idx="10">
                  <c:v>3417.3557907067011</c:v>
                </c:pt>
                <c:pt idx="11">
                  <c:v>3453.0084316397392</c:v>
                </c:pt>
                <c:pt idx="12">
                  <c:v>3490.9801266864761</c:v>
                </c:pt>
                <c:pt idx="13">
                  <c:v>3530.6450066215948</c:v>
                </c:pt>
                <c:pt idx="14">
                  <c:v>3570.9831902887554</c:v>
                </c:pt>
                <c:pt idx="15">
                  <c:v>3611.7481154534466</c:v>
                </c:pt>
                <c:pt idx="16">
                  <c:v>3651.5433404402729</c:v>
                </c:pt>
                <c:pt idx="17">
                  <c:v>3692.2610331918922</c:v>
                </c:pt>
                <c:pt idx="18">
                  <c:v>3733.9215598828309</c:v>
                </c:pt>
                <c:pt idx="19">
                  <c:v>3775.588671650481</c:v>
                </c:pt>
                <c:pt idx="20">
                  <c:v>3816.5510813038022</c:v>
                </c:pt>
                <c:pt idx="21">
                  <c:v>3857.2951545853311</c:v>
                </c:pt>
                <c:pt idx="22">
                  <c:v>3897.7074310121798</c:v>
                </c:pt>
                <c:pt idx="23">
                  <c:v>3937.7532385669992</c:v>
                </c:pt>
                <c:pt idx="24">
                  <c:v>3977.4048481276809</c:v>
                </c:pt>
                <c:pt idx="25">
                  <c:v>4016.6317476927816</c:v>
                </c:pt>
              </c:numCache>
            </c:numRef>
          </c:val>
          <c:smooth val="0"/>
        </c:ser>
        <c:dLbls>
          <c:showLegendKey val="0"/>
          <c:showVal val="0"/>
          <c:showCatName val="0"/>
          <c:showSerName val="0"/>
          <c:showPercent val="0"/>
          <c:showBubbleSize val="0"/>
        </c:dLbls>
        <c:marker val="1"/>
        <c:smooth val="0"/>
        <c:axId val="345924352"/>
        <c:axId val="345925888"/>
      </c:lineChart>
      <c:catAx>
        <c:axId val="3459243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Palatino Linotype" panose="02040502050505030304" pitchFamily="18" charset="0"/>
                <a:ea typeface="+mn-ea"/>
                <a:cs typeface="+mn-cs"/>
              </a:defRPr>
            </a:pPr>
            <a:endParaRPr lang="en-US"/>
          </a:p>
        </c:txPr>
        <c:crossAx val="345925888"/>
        <c:crosses val="autoZero"/>
        <c:auto val="1"/>
        <c:lblAlgn val="ctr"/>
        <c:lblOffset val="100"/>
        <c:noMultiLvlLbl val="0"/>
      </c:catAx>
      <c:valAx>
        <c:axId val="345925888"/>
        <c:scaling>
          <c:orientation val="minMax"/>
          <c:min val="3000"/>
        </c:scaling>
        <c:delete val="0"/>
        <c:axPos val="l"/>
        <c:majorGridlines>
          <c:spPr>
            <a:ln w="9525" cap="flat" cmpd="sng" algn="ctr">
              <a:solidFill>
                <a:schemeClr val="tx1">
                  <a:lumMod val="15000"/>
                  <a:lumOff val="85000"/>
                </a:schemeClr>
              </a:solidFill>
              <a:round/>
            </a:ln>
            <a:effectLst/>
          </c:spPr>
        </c:majorGridlines>
        <c:numFmt formatCode="_(* #,##0_);_(* \(#,##0\);_(* &quot;-&quot;??_);_(@_)"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Palatino Linotype" panose="02040502050505030304" pitchFamily="18" charset="0"/>
                <a:ea typeface="+mn-ea"/>
                <a:cs typeface="+mn-cs"/>
              </a:defRPr>
            </a:pPr>
            <a:endParaRPr lang="en-US"/>
          </a:p>
        </c:txPr>
        <c:crossAx val="345924352"/>
        <c:crosses val="autoZero"/>
        <c:crossBetween val="between"/>
      </c:valAx>
      <c:spPr>
        <a:noFill/>
        <a:ln>
          <a:noFill/>
        </a:ln>
        <a:effectLst/>
      </c:spPr>
    </c:plotArea>
    <c:legend>
      <c:legendPos val="b"/>
      <c:layout>
        <c:manualLayout>
          <c:xMode val="edge"/>
          <c:yMode val="edge"/>
          <c:x val="0.29602363777397422"/>
          <c:y val="0.22570015013295877"/>
          <c:w val="0.34758304770049581"/>
          <c:h val="7.0065003862174402E-2"/>
        </c:manualLayout>
      </c:layou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Palatino Linotype" panose="02040502050505030304" pitchFamily="18" charset="0"/>
              <a:ea typeface="+mn-ea"/>
              <a:cs typeface="+mn-cs"/>
            </a:defRPr>
          </a:pPr>
          <a:endParaRPr lang="en-US"/>
        </a:p>
      </c:txPr>
    </c:legend>
    <c:plotVisOnly val="1"/>
    <c:dispBlanksAs val="gap"/>
    <c:showDLblsOverMax val="0"/>
  </c:chart>
  <c:spPr>
    <a:solidFill>
      <a:schemeClr val="bg1">
        <a:alpha val="15000"/>
      </a:schemeClr>
    </a:solidFill>
    <a:ln w="9525" cap="flat" cmpd="sng" algn="ctr">
      <a:noFill/>
      <a:round/>
    </a:ln>
    <a:effectLst/>
  </c:spPr>
  <c:txPr>
    <a:bodyPr/>
    <a:lstStyle/>
    <a:p>
      <a:pPr>
        <a:defRPr>
          <a:latin typeface="Palatino Linotype" panose="02040502050505030304" pitchFamily="18" charset="0"/>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945625546806649"/>
          <c:y val="4.2083333333333355E-2"/>
          <c:w val="0.85998818897637797"/>
          <c:h val="0.71102617381160682"/>
        </c:manualLayout>
      </c:layout>
      <c:lineChart>
        <c:grouping val="standard"/>
        <c:varyColors val="0"/>
        <c:ser>
          <c:idx val="0"/>
          <c:order val="0"/>
          <c:tx>
            <c:strRef>
              <c:f>Plot_Energy!$A$41</c:f>
              <c:strCache>
                <c:ptCount val="1"/>
                <c:pt idx="0">
                  <c:v>Pre-case Frozen</c:v>
                </c:pt>
              </c:strCache>
            </c:strRef>
          </c:tx>
          <c:spPr>
            <a:ln w="28575" cap="rnd">
              <a:solidFill>
                <a:schemeClr val="accent1"/>
              </a:solidFill>
              <a:round/>
            </a:ln>
            <a:effectLst/>
          </c:spPr>
          <c:marker>
            <c:symbol val="none"/>
          </c:marker>
          <c:cat>
            <c:numRef>
              <c:f>Plot_Energy!$B$40:$AA$40</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Plot_Energy!$B$41:$AA$41</c:f>
              <c:numCache>
                <c:formatCode>_(* #,##0_);_(* \(#,##0\);_(* "-"??_);_(@_)</c:formatCode>
                <c:ptCount val="26"/>
                <c:pt idx="0">
                  <c:v>3447.5660055569865</c:v>
                </c:pt>
                <c:pt idx="1">
                  <c:v>3414.309608084126</c:v>
                </c:pt>
                <c:pt idx="2">
                  <c:v>3416.2093613388056</c:v>
                </c:pt>
                <c:pt idx="3">
                  <c:v>3412.039950856687</c:v>
                </c:pt>
                <c:pt idx="4">
                  <c:v>3417.2964974145139</c:v>
                </c:pt>
                <c:pt idx="5">
                  <c:v>3421.7709928496556</c:v>
                </c:pt>
                <c:pt idx="6">
                  <c:v>3420.0150666231675</c:v>
                </c:pt>
                <c:pt idx="7">
                  <c:v>3435.4307516588792</c:v>
                </c:pt>
                <c:pt idx="8">
                  <c:v>3463.2947136154489</c:v>
                </c:pt>
                <c:pt idx="9">
                  <c:v>3496.5008697453682</c:v>
                </c:pt>
                <c:pt idx="10">
                  <c:v>3534.8282070055825</c:v>
                </c:pt>
                <c:pt idx="11">
                  <c:v>3574.0112792956761</c:v>
                </c:pt>
                <c:pt idx="12">
                  <c:v>3614.2680275442735</c:v>
                </c:pt>
                <c:pt idx="13">
                  <c:v>3655.1645868285027</c:v>
                </c:pt>
                <c:pt idx="14">
                  <c:v>3696.6117494054301</c:v>
                </c:pt>
                <c:pt idx="15">
                  <c:v>3738.4388043361446</c:v>
                </c:pt>
                <c:pt idx="16">
                  <c:v>3779.2445353611383</c:v>
                </c:pt>
                <c:pt idx="17">
                  <c:v>3821.0070184169995</c:v>
                </c:pt>
                <c:pt idx="18">
                  <c:v>3863.7702085208648</c:v>
                </c:pt>
                <c:pt idx="19">
                  <c:v>3906.573720516566</c:v>
                </c:pt>
                <c:pt idx="20">
                  <c:v>3948.681066963456</c:v>
                </c:pt>
                <c:pt idx="21">
                  <c:v>3990.602392066372</c:v>
                </c:pt>
                <c:pt idx="22">
                  <c:v>4032.2168819867175</c:v>
                </c:pt>
                <c:pt idx="23">
                  <c:v>4073.4823081572604</c:v>
                </c:pt>
                <c:pt idx="24">
                  <c:v>4114.3711351916772</c:v>
                </c:pt>
                <c:pt idx="25">
                  <c:v>4154.8458561269517</c:v>
                </c:pt>
              </c:numCache>
            </c:numRef>
          </c:val>
          <c:smooth val="0"/>
        </c:ser>
        <c:ser>
          <c:idx val="1"/>
          <c:order val="1"/>
          <c:tx>
            <c:strRef>
              <c:f>Plot_Energy!$A$42</c:f>
              <c:strCache>
                <c:ptCount val="1"/>
                <c:pt idx="0">
                  <c:v>Post-case Frozen</c:v>
                </c:pt>
              </c:strCache>
            </c:strRef>
          </c:tx>
          <c:spPr>
            <a:ln w="28575" cap="rnd">
              <a:solidFill>
                <a:schemeClr val="accent2"/>
              </a:solidFill>
              <a:round/>
            </a:ln>
            <a:effectLst/>
          </c:spPr>
          <c:marker>
            <c:symbol val="none"/>
          </c:marker>
          <c:cat>
            <c:numRef>
              <c:f>Plot_Energy!$B$40:$AA$40</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Plot_Energy!$B$42:$AA$42</c:f>
              <c:numCache>
                <c:formatCode>_(* #,##0_);_(* \(#,##0\);_(* "-"??_);_(@_)</c:formatCode>
                <c:ptCount val="26"/>
                <c:pt idx="0">
                  <c:v>3447.5660055569865</c:v>
                </c:pt>
                <c:pt idx="1">
                  <c:v>3410.7037204009957</c:v>
                </c:pt>
                <c:pt idx="2">
                  <c:v>3399.8847628677627</c:v>
                </c:pt>
                <c:pt idx="3">
                  <c:v>3376.3928414422817</c:v>
                </c:pt>
                <c:pt idx="4">
                  <c:v>3360.4304326291049</c:v>
                </c:pt>
                <c:pt idx="5">
                  <c:v>3348.4244749580193</c:v>
                </c:pt>
                <c:pt idx="6">
                  <c:v>3334.8839402932535</c:v>
                </c:pt>
                <c:pt idx="7">
                  <c:v>3338.8506506117255</c:v>
                </c:pt>
                <c:pt idx="8">
                  <c:v>3357.6023353203805</c:v>
                </c:pt>
                <c:pt idx="9">
                  <c:v>3384.0378215823439</c:v>
                </c:pt>
                <c:pt idx="10">
                  <c:v>3417.3557907067011</c:v>
                </c:pt>
                <c:pt idx="11">
                  <c:v>3453.0084316397392</c:v>
                </c:pt>
                <c:pt idx="12">
                  <c:v>3490.9801266864761</c:v>
                </c:pt>
                <c:pt idx="13">
                  <c:v>3530.6450066215948</c:v>
                </c:pt>
                <c:pt idx="14">
                  <c:v>3570.9831902887554</c:v>
                </c:pt>
                <c:pt idx="15">
                  <c:v>3611.7481154534466</c:v>
                </c:pt>
                <c:pt idx="16">
                  <c:v>3651.5433404402729</c:v>
                </c:pt>
                <c:pt idx="17">
                  <c:v>3692.2610331918922</c:v>
                </c:pt>
                <c:pt idx="18">
                  <c:v>3733.9215598828309</c:v>
                </c:pt>
                <c:pt idx="19">
                  <c:v>3775.588671650481</c:v>
                </c:pt>
                <c:pt idx="20">
                  <c:v>3816.5510813038022</c:v>
                </c:pt>
                <c:pt idx="21">
                  <c:v>3857.2951545853311</c:v>
                </c:pt>
                <c:pt idx="22">
                  <c:v>3897.7074310121798</c:v>
                </c:pt>
                <c:pt idx="23">
                  <c:v>3937.7532385669992</c:v>
                </c:pt>
                <c:pt idx="24">
                  <c:v>3977.4048481276809</c:v>
                </c:pt>
                <c:pt idx="25">
                  <c:v>4016.6317476927816</c:v>
                </c:pt>
              </c:numCache>
            </c:numRef>
          </c:val>
          <c:smooth val="0"/>
        </c:ser>
        <c:dLbls>
          <c:showLegendKey val="0"/>
          <c:showVal val="0"/>
          <c:showCatName val="0"/>
          <c:showSerName val="0"/>
          <c:showPercent val="0"/>
          <c:showBubbleSize val="0"/>
        </c:dLbls>
        <c:marker val="1"/>
        <c:smooth val="0"/>
        <c:axId val="345938944"/>
        <c:axId val="347284224"/>
      </c:lineChart>
      <c:catAx>
        <c:axId val="3459389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47284224"/>
        <c:crosses val="autoZero"/>
        <c:auto val="1"/>
        <c:lblAlgn val="ctr"/>
        <c:lblOffset val="100"/>
        <c:noMultiLvlLbl val="0"/>
      </c:catAx>
      <c:valAx>
        <c:axId val="347284224"/>
        <c:scaling>
          <c:orientation val="minMax"/>
        </c:scaling>
        <c:delete val="0"/>
        <c:axPos val="l"/>
        <c:majorGridlines>
          <c:spPr>
            <a:ln w="9525" cap="flat" cmpd="sng" algn="ctr">
              <a:solidFill>
                <a:schemeClr val="tx1">
                  <a:lumMod val="15000"/>
                  <a:lumOff val="85000"/>
                </a:schemeClr>
              </a:solidFill>
              <a:round/>
            </a:ln>
            <a:effectLst/>
          </c:spPr>
        </c:majorGridlines>
        <c:numFmt formatCode="_(* #,##0_);_(* \(#,##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459389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Linear Fluorescent</a:t>
            </a:r>
            <a:r>
              <a:rPr lang="en-US" baseline="0"/>
              <a:t> Sales - Commercial and Industrial Market</a:t>
            </a:r>
            <a:endParaRPr lang="en-US"/>
          </a:p>
        </c:rich>
      </c:tx>
      <c:overlay val="0"/>
    </c:title>
    <c:autoTitleDeleted val="0"/>
    <c:plotArea>
      <c:layout/>
      <c:lineChart>
        <c:grouping val="standard"/>
        <c:varyColors val="0"/>
        <c:ser>
          <c:idx val="0"/>
          <c:order val="0"/>
          <c:tx>
            <c:strRef>
              <c:f>Plot_Data!$B$13</c:f>
              <c:strCache>
                <c:ptCount val="1"/>
                <c:pt idx="0">
                  <c:v>T12</c:v>
                </c:pt>
              </c:strCache>
            </c:strRef>
          </c:tx>
          <c:marker>
            <c:symbol val="none"/>
          </c:marker>
          <c:cat>
            <c:numRef>
              <c:f>Plot_Data!$H$4:$AF$4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Plot_Data!$H$13:$AF$13</c:f>
              <c:numCache>
                <c:formatCode>0</c:formatCode>
                <c:ptCount val="25"/>
                <c:pt idx="0">
                  <c:v>3222.4954008688205</c:v>
                </c:pt>
                <c:pt idx="1">
                  <c:v>2024.9340083994266</c:v>
                </c:pt>
                <c:pt idx="2">
                  <c:v>1001.6375716551788</c:v>
                </c:pt>
                <c:pt idx="3">
                  <c:v>236.60869361111878</c:v>
                </c:pt>
                <c:pt idx="4">
                  <c:v>179.36207687213795</c:v>
                </c:pt>
                <c:pt idx="5">
                  <c:v>135.25383585789689</c:v>
                </c:pt>
                <c:pt idx="6">
                  <c:v>103.81929382236805</c:v>
                </c:pt>
                <c:pt idx="7">
                  <c:v>87.027967160689442</c:v>
                </c:pt>
                <c:pt idx="8">
                  <c:v>74.864548130072166</c:v>
                </c:pt>
                <c:pt idx="9">
                  <c:v>66.428056412791449</c:v>
                </c:pt>
                <c:pt idx="10">
                  <c:v>60.21274371633438</c:v>
                </c:pt>
                <c:pt idx="11">
                  <c:v>55.842116142704754</c:v>
                </c:pt>
                <c:pt idx="12">
                  <c:v>52.732253498997665</c:v>
                </c:pt>
                <c:pt idx="13">
                  <c:v>50.579190221073731</c:v>
                </c:pt>
                <c:pt idx="14">
                  <c:v>48.801099325197399</c:v>
                </c:pt>
                <c:pt idx="15">
                  <c:v>47.383561821311261</c:v>
                </c:pt>
                <c:pt idx="16">
                  <c:v>46.791138866077716</c:v>
                </c:pt>
                <c:pt idx="17">
                  <c:v>46.2426261312308</c:v>
                </c:pt>
                <c:pt idx="18">
                  <c:v>45.786547785825846</c:v>
                </c:pt>
                <c:pt idx="19">
                  <c:v>45.589174617048748</c:v>
                </c:pt>
                <c:pt idx="20">
                  <c:v>45.291460431866476</c:v>
                </c:pt>
                <c:pt idx="21">
                  <c:v>45.10035549797157</c:v>
                </c:pt>
                <c:pt idx="22">
                  <c:v>45.159423557911765</c:v>
                </c:pt>
                <c:pt idx="23">
                  <c:v>45.062407556358828</c:v>
                </c:pt>
                <c:pt idx="24">
                  <c:v>45.171016827292306</c:v>
                </c:pt>
              </c:numCache>
            </c:numRef>
          </c:val>
          <c:smooth val="0"/>
        </c:ser>
        <c:ser>
          <c:idx val="1"/>
          <c:order val="1"/>
          <c:tx>
            <c:strRef>
              <c:f>Plot_Data!$B$14</c:f>
              <c:strCache>
                <c:ptCount val="1"/>
                <c:pt idx="0">
                  <c:v>T8</c:v>
                </c:pt>
              </c:strCache>
            </c:strRef>
          </c:tx>
          <c:marker>
            <c:symbol val="none"/>
          </c:marker>
          <c:cat>
            <c:numRef>
              <c:f>Plot_Data!$H$4:$AF$4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Plot_Data!$H$14:$AF$14</c:f>
              <c:numCache>
                <c:formatCode>0</c:formatCode>
                <c:ptCount val="25"/>
                <c:pt idx="0">
                  <c:v>17595.537411326393</c:v>
                </c:pt>
                <c:pt idx="1">
                  <c:v>18915.34488115133</c:v>
                </c:pt>
                <c:pt idx="2">
                  <c:v>20017.365778049414</c:v>
                </c:pt>
                <c:pt idx="3">
                  <c:v>20803.870664823589</c:v>
                </c:pt>
                <c:pt idx="4">
                  <c:v>20946.310525201894</c:v>
                </c:pt>
                <c:pt idx="5">
                  <c:v>21024.085351650989</c:v>
                </c:pt>
                <c:pt idx="6">
                  <c:v>21185.652165792948</c:v>
                </c:pt>
                <c:pt idx="7">
                  <c:v>21411.32348844461</c:v>
                </c:pt>
                <c:pt idx="8">
                  <c:v>21564.5238131683</c:v>
                </c:pt>
                <c:pt idx="9">
                  <c:v>21769.306308601084</c:v>
                </c:pt>
                <c:pt idx="10">
                  <c:v>21909.348480220771</c:v>
                </c:pt>
                <c:pt idx="11">
                  <c:v>22061.585837953979</c:v>
                </c:pt>
                <c:pt idx="12">
                  <c:v>22210.970595873358</c:v>
                </c:pt>
                <c:pt idx="13">
                  <c:v>22371.526721943937</c:v>
                </c:pt>
                <c:pt idx="14">
                  <c:v>22473.442822053272</c:v>
                </c:pt>
                <c:pt idx="15">
                  <c:v>22548.802166211739</c:v>
                </c:pt>
                <c:pt idx="16">
                  <c:v>22734.904979170904</c:v>
                </c:pt>
                <c:pt idx="17">
                  <c:v>22885.557932937747</c:v>
                </c:pt>
                <c:pt idx="18">
                  <c:v>23021.041573361355</c:v>
                </c:pt>
                <c:pt idx="19">
                  <c:v>23182.820272553487</c:v>
                </c:pt>
                <c:pt idx="20">
                  <c:v>23302.849465775293</c:v>
                </c:pt>
                <c:pt idx="21">
                  <c:v>23431.997231134104</c:v>
                </c:pt>
                <c:pt idx="22">
                  <c:v>23604.180353517564</c:v>
                </c:pt>
                <c:pt idx="23">
                  <c:v>23735.539811770494</c:v>
                </c:pt>
                <c:pt idx="24">
                  <c:v>23905.023579457764</c:v>
                </c:pt>
              </c:numCache>
            </c:numRef>
          </c:val>
          <c:smooth val="0"/>
        </c:ser>
        <c:ser>
          <c:idx val="2"/>
          <c:order val="2"/>
          <c:tx>
            <c:strRef>
              <c:f>Plot_Data!$B$15</c:f>
              <c:strCache>
                <c:ptCount val="1"/>
                <c:pt idx="0">
                  <c:v>T5</c:v>
                </c:pt>
              </c:strCache>
            </c:strRef>
          </c:tx>
          <c:marker>
            <c:symbol val="none"/>
          </c:marker>
          <c:cat>
            <c:numRef>
              <c:f>Plot_Data!$H$4:$AF$4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Plot_Data!$H$15:$AF$15</c:f>
              <c:numCache>
                <c:formatCode>0</c:formatCode>
                <c:ptCount val="25"/>
                <c:pt idx="0">
                  <c:v>2017.9434697522836</c:v>
                </c:pt>
                <c:pt idx="1">
                  <c:v>2214.7021870527756</c:v>
                </c:pt>
                <c:pt idx="2">
                  <c:v>2376.9892519234131</c:v>
                </c:pt>
                <c:pt idx="3">
                  <c:v>2521.9829987282315</c:v>
                </c:pt>
                <c:pt idx="4">
                  <c:v>2563.2067915179673</c:v>
                </c:pt>
                <c:pt idx="5">
                  <c:v>2592.6477520027456</c:v>
                </c:pt>
                <c:pt idx="6">
                  <c:v>2605.8156661596986</c:v>
                </c:pt>
                <c:pt idx="7">
                  <c:v>2647.555281736787</c:v>
                </c:pt>
                <c:pt idx="8">
                  <c:v>2678.0688864418398</c:v>
                </c:pt>
                <c:pt idx="9">
                  <c:v>2714.0807413981138</c:v>
                </c:pt>
                <c:pt idx="10">
                  <c:v>2740.3463998663569</c:v>
                </c:pt>
                <c:pt idx="11">
                  <c:v>2767.2677832430054</c:v>
                </c:pt>
                <c:pt idx="12">
                  <c:v>2793.1573021711561</c:v>
                </c:pt>
                <c:pt idx="13">
                  <c:v>2819.6438977136104</c:v>
                </c:pt>
                <c:pt idx="14">
                  <c:v>2838.3660984658331</c:v>
                </c:pt>
                <c:pt idx="15">
                  <c:v>2853.025382757658</c:v>
                </c:pt>
                <c:pt idx="16">
                  <c:v>2881.360621426933</c:v>
                </c:pt>
                <c:pt idx="17">
                  <c:v>2905.1413217294667</c:v>
                </c:pt>
                <c:pt idx="18">
                  <c:v>2926.5509025602582</c:v>
                </c:pt>
                <c:pt idx="19">
                  <c:v>2950.6467145825909</c:v>
                </c:pt>
                <c:pt idx="20">
                  <c:v>2969.4378906256575</c:v>
                </c:pt>
                <c:pt idx="21">
                  <c:v>2989.2165142200779</c:v>
                </c:pt>
                <c:pt idx="22">
                  <c:v>3014.0611578420844</c:v>
                </c:pt>
                <c:pt idx="23">
                  <c:v>3033.7487486369782</c:v>
                </c:pt>
                <c:pt idx="24">
                  <c:v>3058.0102586710805</c:v>
                </c:pt>
              </c:numCache>
            </c:numRef>
          </c:val>
          <c:smooth val="0"/>
        </c:ser>
        <c:ser>
          <c:idx val="3"/>
          <c:order val="3"/>
          <c:tx>
            <c:strRef>
              <c:f>Plot_Data!$B$16</c:f>
              <c:strCache>
                <c:ptCount val="1"/>
                <c:pt idx="0">
                  <c:v>LED</c:v>
                </c:pt>
              </c:strCache>
            </c:strRef>
          </c:tx>
          <c:marker>
            <c:symbol val="none"/>
          </c:marker>
          <c:cat>
            <c:numRef>
              <c:f>Plot_Data!$H$4:$AF$4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Plot_Data!$H$16:$AF$16</c:f>
              <c:numCache>
                <c:formatCode>0</c:formatCode>
                <c:ptCount val="25"/>
                <c:pt idx="0">
                  <c:v>1.0348730537991106E-4</c:v>
                </c:pt>
                <c:pt idx="1">
                  <c:v>1.0614309303231851E-4</c:v>
                </c:pt>
                <c:pt idx="2">
                  <c:v>1.0746017640384612E-4</c:v>
                </c:pt>
                <c:pt idx="3">
                  <c:v>1.0907607007839653E-4</c:v>
                </c:pt>
                <c:pt idx="4">
                  <c:v>1.1212012678998273E-4</c:v>
                </c:pt>
                <c:pt idx="5">
                  <c:v>1.1393325623959097E-4</c:v>
                </c:pt>
                <c:pt idx="6">
                  <c:v>1.160595183852487E-4</c:v>
                </c:pt>
                <c:pt idx="7">
                  <c:v>1.1855200449285199E-4</c:v>
                </c:pt>
                <c:pt idx="8">
                  <c:v>1.1915900635160559E-4</c:v>
                </c:pt>
                <c:pt idx="9">
                  <c:v>1.2080794559300193E-4</c:v>
                </c:pt>
                <c:pt idx="10">
                  <c:v>1.2096797542176685E-4</c:v>
                </c:pt>
                <c:pt idx="11">
                  <c:v>1.2150509917809515E-4</c:v>
                </c:pt>
                <c:pt idx="12">
                  <c:v>1.2211392302203625E-4</c:v>
                </c:pt>
                <c:pt idx="13">
                  <c:v>1.228925688648843E-4</c:v>
                </c:pt>
                <c:pt idx="14">
                  <c:v>1.2364563795161628E-4</c:v>
                </c:pt>
                <c:pt idx="15">
                  <c:v>1.2380454527227954E-4</c:v>
                </c:pt>
                <c:pt idx="16">
                  <c:v>1.2517027029546889E-4</c:v>
                </c:pt>
                <c:pt idx="17">
                  <c:v>1.2670184132666852E-4</c:v>
                </c:pt>
                <c:pt idx="18">
                  <c:v>1.2772875428362641E-4</c:v>
                </c:pt>
                <c:pt idx="19">
                  <c:v>1.2829518853753997E-4</c:v>
                </c:pt>
                <c:pt idx="20">
                  <c:v>1.2899303368049041E-4</c:v>
                </c:pt>
                <c:pt idx="21">
                  <c:v>1.298528546243879E-4</c:v>
                </c:pt>
                <c:pt idx="22">
                  <c:v>1.3071099334093932E-4</c:v>
                </c:pt>
                <c:pt idx="23">
                  <c:v>1.3156645499241105E-4</c:v>
                </c:pt>
                <c:pt idx="24">
                  <c:v>1.3241830476903036E-4</c:v>
                </c:pt>
              </c:numCache>
            </c:numRef>
          </c:val>
          <c:smooth val="0"/>
        </c:ser>
        <c:dLbls>
          <c:showLegendKey val="0"/>
          <c:showVal val="0"/>
          <c:showCatName val="0"/>
          <c:showSerName val="0"/>
          <c:showPercent val="0"/>
          <c:showBubbleSize val="0"/>
        </c:dLbls>
        <c:marker val="1"/>
        <c:smooth val="0"/>
        <c:axId val="347320320"/>
        <c:axId val="347321856"/>
      </c:lineChart>
      <c:catAx>
        <c:axId val="347320320"/>
        <c:scaling>
          <c:orientation val="minMax"/>
        </c:scaling>
        <c:delete val="0"/>
        <c:axPos val="b"/>
        <c:numFmt formatCode="General" sourceLinked="1"/>
        <c:majorTickMark val="out"/>
        <c:minorTickMark val="none"/>
        <c:tickLblPos val="nextTo"/>
        <c:crossAx val="347321856"/>
        <c:crosses val="autoZero"/>
        <c:auto val="1"/>
        <c:lblAlgn val="ctr"/>
        <c:lblOffset val="100"/>
        <c:noMultiLvlLbl val="0"/>
      </c:catAx>
      <c:valAx>
        <c:axId val="347321856"/>
        <c:scaling>
          <c:orientation val="minMax"/>
        </c:scaling>
        <c:delete val="0"/>
        <c:axPos val="l"/>
        <c:majorGridlines/>
        <c:title>
          <c:tx>
            <c:rich>
              <a:bodyPr rot="-5400000" vert="horz"/>
              <a:lstStyle/>
              <a:p>
                <a:pPr>
                  <a:defRPr/>
                </a:pPr>
                <a:r>
                  <a:rPr lang="en-US"/>
                  <a:t>Lighting Units (1000)</a:t>
                </a:r>
              </a:p>
            </c:rich>
          </c:tx>
          <c:overlay val="0"/>
        </c:title>
        <c:numFmt formatCode="#,##0" sourceLinked="0"/>
        <c:majorTickMark val="out"/>
        <c:minorTickMark val="none"/>
        <c:tickLblPos val="nextTo"/>
        <c:crossAx val="347320320"/>
        <c:crosses val="autoZero"/>
        <c:crossBetween val="between"/>
      </c:valAx>
    </c:plotArea>
    <c:legend>
      <c:legendPos val="r"/>
      <c:overlay val="0"/>
    </c:legend>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HID Sales </a:t>
            </a:r>
            <a:r>
              <a:rPr lang="en-US" baseline="0"/>
              <a:t>- Commercial and Industrial Market</a:t>
            </a:r>
            <a:endParaRPr lang="en-US"/>
          </a:p>
        </c:rich>
      </c:tx>
      <c:overlay val="0"/>
    </c:title>
    <c:autoTitleDeleted val="0"/>
    <c:plotArea>
      <c:layout/>
      <c:lineChart>
        <c:grouping val="standard"/>
        <c:varyColors val="0"/>
        <c:ser>
          <c:idx val="0"/>
          <c:order val="0"/>
          <c:tx>
            <c:strRef>
              <c:f>Plot_Data!$B$19</c:f>
              <c:strCache>
                <c:ptCount val="1"/>
                <c:pt idx="0">
                  <c:v>Mercury Vapor</c:v>
                </c:pt>
              </c:strCache>
            </c:strRef>
          </c:tx>
          <c:marker>
            <c:symbol val="none"/>
          </c:marker>
          <c:cat>
            <c:numRef>
              <c:f>Plot_Data!$H$4:$AF$4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Plot_Data!$H$19:$AF$19</c:f>
              <c:numCache>
                <c:formatCode>0</c:formatCode>
                <c:ptCount val="25"/>
                <c:pt idx="0">
                  <c:v>23.86440978642986</c:v>
                </c:pt>
                <c:pt idx="1">
                  <c:v>21.436999994782276</c:v>
                </c:pt>
                <c:pt idx="2">
                  <c:v>19.312087785578555</c:v>
                </c:pt>
                <c:pt idx="3">
                  <c:v>17.450497375074139</c:v>
                </c:pt>
                <c:pt idx="4">
                  <c:v>15.8196327140395</c:v>
                </c:pt>
                <c:pt idx="5">
                  <c:v>14.386702193507539</c:v>
                </c:pt>
                <c:pt idx="6">
                  <c:v>13.130750159093036</c:v>
                </c:pt>
                <c:pt idx="7">
                  <c:v>12.031107306594084</c:v>
                </c:pt>
                <c:pt idx="8">
                  <c:v>11.061610975226662</c:v>
                </c:pt>
                <c:pt idx="9">
                  <c:v>10.210354997724087</c:v>
                </c:pt>
                <c:pt idx="10">
                  <c:v>9.4580627108564741</c:v>
                </c:pt>
                <c:pt idx="11">
                  <c:v>8.7950582938882977</c:v>
                </c:pt>
                <c:pt idx="12">
                  <c:v>8.2098201173930754</c:v>
                </c:pt>
                <c:pt idx="13">
                  <c:v>7.6914931508331623</c:v>
                </c:pt>
                <c:pt idx="14">
                  <c:v>7.2352868576297205</c:v>
                </c:pt>
                <c:pt idx="15">
                  <c:v>6.8282815163354051</c:v>
                </c:pt>
                <c:pt idx="16">
                  <c:v>6.4699618781637582</c:v>
                </c:pt>
                <c:pt idx="17">
                  <c:v>6.1528919642506814</c:v>
                </c:pt>
                <c:pt idx="18">
                  <c:v>5.8706556168144663</c:v>
                </c:pt>
                <c:pt idx="19">
                  <c:v>5.6203628537938863</c:v>
                </c:pt>
                <c:pt idx="20">
                  <c:v>5.3947507445736731</c:v>
                </c:pt>
                <c:pt idx="21">
                  <c:v>5.1936269516027931</c:v>
                </c:pt>
                <c:pt idx="22">
                  <c:v>5.0143655847625599</c:v>
                </c:pt>
                <c:pt idx="23">
                  <c:v>4.8530642515661482</c:v>
                </c:pt>
                <c:pt idx="24">
                  <c:v>4.7082015938257893</c:v>
                </c:pt>
              </c:numCache>
            </c:numRef>
          </c:val>
          <c:smooth val="0"/>
        </c:ser>
        <c:ser>
          <c:idx val="1"/>
          <c:order val="1"/>
          <c:tx>
            <c:strRef>
              <c:f>Plot_Data!$B$20</c:f>
              <c:strCache>
                <c:ptCount val="1"/>
                <c:pt idx="0">
                  <c:v>Metal Halide</c:v>
                </c:pt>
              </c:strCache>
            </c:strRef>
          </c:tx>
          <c:marker>
            <c:symbol val="none"/>
          </c:marker>
          <c:cat>
            <c:numRef>
              <c:f>Plot_Data!$H$4:$AF$4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Plot_Data!$H$20:$AF$20</c:f>
              <c:numCache>
                <c:formatCode>0</c:formatCode>
                <c:ptCount val="25"/>
                <c:pt idx="0">
                  <c:v>621.36432702461047</c:v>
                </c:pt>
                <c:pt idx="1">
                  <c:v>634.28299554252953</c:v>
                </c:pt>
                <c:pt idx="2">
                  <c:v>645.10932709883627</c:v>
                </c:pt>
                <c:pt idx="3">
                  <c:v>654.27205556746594</c:v>
                </c:pt>
                <c:pt idx="4">
                  <c:v>662.92996218441635</c:v>
                </c:pt>
                <c:pt idx="5">
                  <c:v>669.33963284205481</c:v>
                </c:pt>
                <c:pt idx="6">
                  <c:v>676.4667502625714</c:v>
                </c:pt>
                <c:pt idx="7">
                  <c:v>685.41809900448686</c:v>
                </c:pt>
                <c:pt idx="8">
                  <c:v>692.21056435906746</c:v>
                </c:pt>
                <c:pt idx="9">
                  <c:v>699.83375589154548</c:v>
                </c:pt>
                <c:pt idx="10">
                  <c:v>705.56736552185771</c:v>
                </c:pt>
                <c:pt idx="11">
                  <c:v>711.26352973347775</c:v>
                </c:pt>
                <c:pt idx="12">
                  <c:v>716.70553591786427</c:v>
                </c:pt>
                <c:pt idx="13">
                  <c:v>721.9173433329147</c:v>
                </c:pt>
                <c:pt idx="14">
                  <c:v>727.04019380373416</c:v>
                </c:pt>
                <c:pt idx="15">
                  <c:v>731.09226070508566</c:v>
                </c:pt>
                <c:pt idx="16">
                  <c:v>736.29808350999417</c:v>
                </c:pt>
                <c:pt idx="17">
                  <c:v>741.75008742453213</c:v>
                </c:pt>
                <c:pt idx="18">
                  <c:v>746.66309695876282</c:v>
                </c:pt>
                <c:pt idx="19">
                  <c:v>751.06087437839665</c:v>
                </c:pt>
                <c:pt idx="20">
                  <c:v>754.90285813081084</c:v>
                </c:pt>
                <c:pt idx="21">
                  <c:v>758.82315884449793</c:v>
                </c:pt>
                <c:pt idx="22">
                  <c:v>763.07072978603128</c:v>
                </c:pt>
                <c:pt idx="23">
                  <c:v>766.85494040287585</c:v>
                </c:pt>
                <c:pt idx="24">
                  <c:v>770.5812725416738</c:v>
                </c:pt>
              </c:numCache>
            </c:numRef>
          </c:val>
          <c:smooth val="0"/>
        </c:ser>
        <c:ser>
          <c:idx val="2"/>
          <c:order val="2"/>
          <c:tx>
            <c:strRef>
              <c:f>Plot_Data!$B$21</c:f>
              <c:strCache>
                <c:ptCount val="1"/>
                <c:pt idx="0">
                  <c:v>High Pressure Sodium</c:v>
                </c:pt>
              </c:strCache>
            </c:strRef>
          </c:tx>
          <c:marker>
            <c:symbol val="none"/>
          </c:marker>
          <c:cat>
            <c:numRef>
              <c:f>Plot_Data!$H$4:$AF$4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Plot_Data!$H$21:$AF$21</c:f>
              <c:numCache>
                <c:formatCode>0</c:formatCode>
                <c:ptCount val="25"/>
                <c:pt idx="0">
                  <c:v>33.787679153157789</c:v>
                </c:pt>
                <c:pt idx="1">
                  <c:v>30.214088654967185</c:v>
                </c:pt>
                <c:pt idx="2">
                  <c:v>27.08525814116944</c:v>
                </c:pt>
                <c:pt idx="3">
                  <c:v>24.345886349960281</c:v>
                </c:pt>
                <c:pt idx="4">
                  <c:v>21.954801502367772</c:v>
                </c:pt>
                <c:pt idx="5">
                  <c:v>19.850561109612684</c:v>
                </c:pt>
                <c:pt idx="6">
                  <c:v>18.021690635249627</c:v>
                </c:pt>
                <c:pt idx="7">
                  <c:v>16.44294584529608</c:v>
                </c:pt>
                <c:pt idx="8">
                  <c:v>15.047110204812601</c:v>
                </c:pt>
                <c:pt idx="9">
                  <c:v>13.836956380369925</c:v>
                </c:pt>
                <c:pt idx="10">
                  <c:v>12.764637262917361</c:v>
                </c:pt>
                <c:pt idx="11">
                  <c:v>11.828531155684463</c:v>
                </c:pt>
                <c:pt idx="12">
                  <c:v>11.00935569466095</c:v>
                </c:pt>
                <c:pt idx="13">
                  <c:v>10.294796134063461</c:v>
                </c:pt>
                <c:pt idx="14">
                  <c:v>9.6698156394401238</c:v>
                </c:pt>
                <c:pt idx="15">
                  <c:v>9.1166404595073836</c:v>
                </c:pt>
                <c:pt idx="16">
                  <c:v>8.6450536403101506</c:v>
                </c:pt>
                <c:pt idx="17">
                  <c:v>8.2369822271310085</c:v>
                </c:pt>
                <c:pt idx="18">
                  <c:v>7.8774952301567751</c:v>
                </c:pt>
                <c:pt idx="19">
                  <c:v>7.5593556780691813</c:v>
                </c:pt>
                <c:pt idx="20">
                  <c:v>7.2781717055104558</c:v>
                </c:pt>
                <c:pt idx="21">
                  <c:v>7.0344236771822164</c:v>
                </c:pt>
                <c:pt idx="22">
                  <c:v>6.8259131050540098</c:v>
                </c:pt>
                <c:pt idx="23">
                  <c:v>6.6409288280911474</c:v>
                </c:pt>
                <c:pt idx="24">
                  <c:v>6.4801172123909225</c:v>
                </c:pt>
              </c:numCache>
            </c:numRef>
          </c:val>
          <c:smooth val="0"/>
        </c:ser>
        <c:ser>
          <c:idx val="3"/>
          <c:order val="3"/>
          <c:tx>
            <c:strRef>
              <c:f>Plot_Data!$B$22</c:f>
              <c:strCache>
                <c:ptCount val="1"/>
                <c:pt idx="0">
                  <c:v>Low Pressure Sodium</c:v>
                </c:pt>
              </c:strCache>
            </c:strRef>
          </c:tx>
          <c:marker>
            <c:symbol val="none"/>
          </c:marker>
          <c:cat>
            <c:numRef>
              <c:f>Plot_Data!$H$4:$AF$4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Plot_Data!$H$22:$AF$22</c:f>
              <c:numCache>
                <c:formatCode>0</c:formatCode>
                <c:ptCount val="25"/>
                <c:pt idx="0">
                  <c:v>0.27129979897226009</c:v>
                </c:pt>
                <c:pt idx="1">
                  <c:v>0.2379729196660875</c:v>
                </c:pt>
                <c:pt idx="2">
                  <c:v>0.20882773658012924</c:v>
                </c:pt>
                <c:pt idx="3">
                  <c:v>0.18332786104418153</c:v>
                </c:pt>
                <c:pt idx="4">
                  <c:v>0.16100729412866163</c:v>
                </c:pt>
                <c:pt idx="5">
                  <c:v>0.14146096979922582</c:v>
                </c:pt>
                <c:pt idx="6">
                  <c:v>0.12433659962158609</c:v>
                </c:pt>
                <c:pt idx="7">
                  <c:v>0.10932763541105978</c:v>
                </c:pt>
                <c:pt idx="8">
                  <c:v>9.6167192780356542E-2</c:v>
                </c:pt>
                <c:pt idx="9">
                  <c:v>8.4622801157268071E-2</c:v>
                </c:pt>
                <c:pt idx="10">
                  <c:v>7.4491865121226311E-2</c:v>
                </c:pt>
                <c:pt idx="11">
                  <c:v>6.5597738350351681E-2</c:v>
                </c:pt>
                <c:pt idx="12">
                  <c:v>5.7786325506151752E-2</c:v>
                </c:pt>
                <c:pt idx="13">
                  <c:v>5.0923139372823598E-2</c:v>
                </c:pt>
                <c:pt idx="14">
                  <c:v>4.489075081789607E-2</c:v>
                </c:pt>
                <c:pt idx="15">
                  <c:v>3.9586577909595071E-2</c:v>
                </c:pt>
                <c:pt idx="16">
                  <c:v>3.4920968033204401E-2</c:v>
                </c:pt>
                <c:pt idx="17">
                  <c:v>3.0815533279902385E-2</c:v>
                </c:pt>
                <c:pt idx="18">
                  <c:v>2.7201704895015919E-2</c:v>
                </c:pt>
                <c:pt idx="19">
                  <c:v>2.4019477302528285E-2</c:v>
                </c:pt>
                <c:pt idx="20">
                  <c:v>2.1223012726528486E-2</c:v>
                </c:pt>
                <c:pt idx="21">
                  <c:v>1.8763719932539384E-2</c:v>
                </c:pt>
                <c:pt idx="22">
                  <c:v>1.6594428471330889E-2</c:v>
                </c:pt>
                <c:pt idx="23">
                  <c:v>1.468463709292726E-2</c:v>
                </c:pt>
                <c:pt idx="24">
                  <c:v>1.3002139390055324E-2</c:v>
                </c:pt>
              </c:numCache>
            </c:numRef>
          </c:val>
          <c:smooth val="0"/>
        </c:ser>
        <c:ser>
          <c:idx val="4"/>
          <c:order val="4"/>
          <c:tx>
            <c:strRef>
              <c:f>Plot_Data!$B$23</c:f>
              <c:strCache>
                <c:ptCount val="1"/>
                <c:pt idx="0">
                  <c:v>LED</c:v>
                </c:pt>
              </c:strCache>
            </c:strRef>
          </c:tx>
          <c:marker>
            <c:symbol val="none"/>
          </c:marker>
          <c:cat>
            <c:numRef>
              <c:f>Plot_Data!$H$4:$AF$4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Plot_Data!$H$23:$AF$23</c:f>
              <c:numCache>
                <c:formatCode>0</c:formatCode>
                <c:ptCount val="25"/>
                <c:pt idx="0">
                  <c:v>2.6772021025173065</c:v>
                </c:pt>
                <c:pt idx="1">
                  <c:v>2.6549460435526386</c:v>
                </c:pt>
                <c:pt idx="2">
                  <c:v>2.6285884707319527</c:v>
                </c:pt>
                <c:pt idx="3">
                  <c:v>2.599375217364011</c:v>
                </c:pt>
                <c:pt idx="4">
                  <c:v>2.5682239929793504</c:v>
                </c:pt>
                <c:pt idx="5">
                  <c:v>2.5358086625844294</c:v>
                </c:pt>
                <c:pt idx="6">
                  <c:v>2.5026253553585036</c:v>
                </c:pt>
                <c:pt idx="7">
                  <c:v>2.4690366582816785</c:v>
                </c:pt>
                <c:pt idx="8">
                  <c:v>2.435305406408792</c:v>
                </c:pt>
                <c:pt idx="9">
                  <c:v>2.4016247469836531</c:v>
                </c:pt>
                <c:pt idx="10">
                  <c:v>2.368132189961174</c:v>
                </c:pt>
                <c:pt idx="11">
                  <c:v>2.334927586702304</c:v>
                </c:pt>
                <c:pt idx="12">
                  <c:v>2.3020808473098819</c:v>
                </c:pt>
                <c:pt idx="13">
                  <c:v>2.2602104041921587</c:v>
                </c:pt>
                <c:pt idx="14">
                  <c:v>2.2283722685482794</c:v>
                </c:pt>
                <c:pt idx="15">
                  <c:v>2.1881519156790685</c:v>
                </c:pt>
                <c:pt idx="16">
                  <c:v>2.1488930229706606</c:v>
                </c:pt>
                <c:pt idx="17">
                  <c:v>2.1105865636787589</c:v>
                </c:pt>
                <c:pt idx="18">
                  <c:v>2.0732170368009117</c:v>
                </c:pt>
                <c:pt idx="19">
                  <c:v>2.0443860043727851</c:v>
                </c:pt>
                <c:pt idx="20">
                  <c:v>2.0086094122004869</c:v>
                </c:pt>
                <c:pt idx="21">
                  <c:v>1.9736998271348352</c:v>
                </c:pt>
                <c:pt idx="22">
                  <c:v>1.9396352930290659</c:v>
                </c:pt>
                <c:pt idx="23">
                  <c:v>1.9063925262620043</c:v>
                </c:pt>
                <c:pt idx="24">
                  <c:v>1.8739475423354577</c:v>
                </c:pt>
              </c:numCache>
            </c:numRef>
          </c:val>
          <c:smooth val="0"/>
        </c:ser>
        <c:dLbls>
          <c:showLegendKey val="0"/>
          <c:showVal val="0"/>
          <c:showCatName val="0"/>
          <c:showSerName val="0"/>
          <c:showPercent val="0"/>
          <c:showBubbleSize val="0"/>
        </c:dLbls>
        <c:marker val="1"/>
        <c:smooth val="0"/>
        <c:axId val="347382912"/>
        <c:axId val="347384448"/>
      </c:lineChart>
      <c:catAx>
        <c:axId val="347382912"/>
        <c:scaling>
          <c:orientation val="minMax"/>
        </c:scaling>
        <c:delete val="0"/>
        <c:axPos val="b"/>
        <c:numFmt formatCode="General" sourceLinked="1"/>
        <c:majorTickMark val="out"/>
        <c:minorTickMark val="none"/>
        <c:tickLblPos val="nextTo"/>
        <c:crossAx val="347384448"/>
        <c:crosses val="autoZero"/>
        <c:auto val="1"/>
        <c:lblAlgn val="ctr"/>
        <c:lblOffset val="100"/>
        <c:noMultiLvlLbl val="0"/>
      </c:catAx>
      <c:valAx>
        <c:axId val="347384448"/>
        <c:scaling>
          <c:orientation val="minMax"/>
        </c:scaling>
        <c:delete val="0"/>
        <c:axPos val="l"/>
        <c:majorGridlines/>
        <c:title>
          <c:tx>
            <c:rich>
              <a:bodyPr rot="-5400000" vert="horz"/>
              <a:lstStyle/>
              <a:p>
                <a:pPr>
                  <a:defRPr/>
                </a:pPr>
                <a:r>
                  <a:rPr lang="en-US"/>
                  <a:t>Lighting Units (1000)</a:t>
                </a:r>
              </a:p>
            </c:rich>
          </c:tx>
          <c:overlay val="0"/>
        </c:title>
        <c:numFmt formatCode="0" sourceLinked="1"/>
        <c:majorTickMark val="out"/>
        <c:minorTickMark val="none"/>
        <c:tickLblPos val="nextTo"/>
        <c:crossAx val="347382912"/>
        <c:crosses val="autoZero"/>
        <c:crossBetween val="between"/>
      </c:valAx>
    </c:plotArea>
    <c:legend>
      <c:legendPos val="r"/>
      <c:overlay val="0"/>
    </c:legend>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MSB and Reflector Sales </a:t>
            </a:r>
            <a:r>
              <a:rPr lang="en-US" baseline="0"/>
              <a:t>- Residential Market</a:t>
            </a:r>
            <a:endParaRPr lang="en-US"/>
          </a:p>
        </c:rich>
      </c:tx>
      <c:overlay val="0"/>
    </c:title>
    <c:autoTitleDeleted val="0"/>
    <c:plotArea>
      <c:layout/>
      <c:lineChart>
        <c:grouping val="standard"/>
        <c:varyColors val="0"/>
        <c:ser>
          <c:idx val="0"/>
          <c:order val="0"/>
          <c:tx>
            <c:strRef>
              <c:f>Plot_Data!$B$26</c:f>
              <c:strCache>
                <c:ptCount val="1"/>
                <c:pt idx="0">
                  <c:v>Incandescent</c:v>
                </c:pt>
              </c:strCache>
            </c:strRef>
          </c:tx>
          <c:marker>
            <c:symbol val="none"/>
          </c:marker>
          <c:cat>
            <c:numRef>
              <c:f>Plot_Data!$H$4:$AF$4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Plot_Data!$H$26:$AF$26</c:f>
              <c:numCache>
                <c:formatCode>0</c:formatCode>
                <c:ptCount val="25"/>
                <c:pt idx="0">
                  <c:v>89675.829225314272</c:v>
                </c:pt>
                <c:pt idx="1">
                  <c:v>77999.01415383954</c:v>
                </c:pt>
                <c:pt idx="2">
                  <c:v>53134.445165239165</c:v>
                </c:pt>
                <c:pt idx="3">
                  <c:v>37967.136583389161</c:v>
                </c:pt>
                <c:pt idx="4">
                  <c:v>25287.282562507375</c:v>
                </c:pt>
                <c:pt idx="5">
                  <c:v>10086.339401797577</c:v>
                </c:pt>
                <c:pt idx="6">
                  <c:v>9141.0679052301002</c:v>
                </c:pt>
                <c:pt idx="7">
                  <c:v>8578.466756304073</c:v>
                </c:pt>
                <c:pt idx="8">
                  <c:v>8255.8003837208762</c:v>
                </c:pt>
                <c:pt idx="9">
                  <c:v>8086.177177660129</c:v>
                </c:pt>
                <c:pt idx="10">
                  <c:v>8012.7687798865309</c:v>
                </c:pt>
                <c:pt idx="11">
                  <c:v>8007.9857924870348</c:v>
                </c:pt>
                <c:pt idx="12">
                  <c:v>8047.717442754456</c:v>
                </c:pt>
                <c:pt idx="13">
                  <c:v>8117.0295578164405</c:v>
                </c:pt>
                <c:pt idx="14">
                  <c:v>8208.5674191379658</c:v>
                </c:pt>
                <c:pt idx="15">
                  <c:v>8312.626020067597</c:v>
                </c:pt>
                <c:pt idx="16">
                  <c:v>8422.8712133056761</c:v>
                </c:pt>
                <c:pt idx="17">
                  <c:v>8535.7370113177785</c:v>
                </c:pt>
                <c:pt idx="18">
                  <c:v>8651.869415261026</c:v>
                </c:pt>
                <c:pt idx="19">
                  <c:v>8772.2436050829165</c:v>
                </c:pt>
                <c:pt idx="20">
                  <c:v>8899.2661680422243</c:v>
                </c:pt>
                <c:pt idx="21">
                  <c:v>9023.4880620827134</c:v>
                </c:pt>
                <c:pt idx="22">
                  <c:v>9146.3291147105101</c:v>
                </c:pt>
                <c:pt idx="23">
                  <c:v>9267.3734430644745</c:v>
                </c:pt>
                <c:pt idx="24">
                  <c:v>9386.2908533282007</c:v>
                </c:pt>
              </c:numCache>
            </c:numRef>
          </c:val>
          <c:smooth val="0"/>
        </c:ser>
        <c:ser>
          <c:idx val="1"/>
          <c:order val="1"/>
          <c:tx>
            <c:strRef>
              <c:f>Plot_Data!$B$27</c:f>
              <c:strCache>
                <c:ptCount val="1"/>
                <c:pt idx="0">
                  <c:v>Halogen</c:v>
                </c:pt>
              </c:strCache>
            </c:strRef>
          </c:tx>
          <c:marker>
            <c:symbol val="none"/>
          </c:marker>
          <c:cat>
            <c:numRef>
              <c:f>Plot_Data!$H$4:$AF$4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Plot_Data!$H$27:$AF$27</c:f>
              <c:numCache>
                <c:formatCode>0</c:formatCode>
                <c:ptCount val="25"/>
                <c:pt idx="0">
                  <c:v>1666.1327994684505</c:v>
                </c:pt>
                <c:pt idx="1">
                  <c:v>7070.1821098990922</c:v>
                </c:pt>
                <c:pt idx="2">
                  <c:v>21251.265332667506</c:v>
                </c:pt>
                <c:pt idx="3">
                  <c:v>30211.587853544897</c:v>
                </c:pt>
                <c:pt idx="4">
                  <c:v>33009.729278444902</c:v>
                </c:pt>
                <c:pt idx="5">
                  <c:v>36714.875983919148</c:v>
                </c:pt>
                <c:pt idx="6">
                  <c:v>33813.529975158592</c:v>
                </c:pt>
                <c:pt idx="7">
                  <c:v>32116.580244072175</c:v>
                </c:pt>
                <c:pt idx="8">
                  <c:v>31176.599738735076</c:v>
                </c:pt>
                <c:pt idx="9">
                  <c:v>30714.900049867982</c:v>
                </c:pt>
                <c:pt idx="10">
                  <c:v>30537.164377756857</c:v>
                </c:pt>
                <c:pt idx="11">
                  <c:v>30596.511560027218</c:v>
                </c:pt>
                <c:pt idx="12">
                  <c:v>30792.236699190427</c:v>
                </c:pt>
                <c:pt idx="13">
                  <c:v>31077.390247763236</c:v>
                </c:pt>
                <c:pt idx="14">
                  <c:v>31441.914799713308</c:v>
                </c:pt>
                <c:pt idx="15">
                  <c:v>31834.301856466907</c:v>
                </c:pt>
                <c:pt idx="16">
                  <c:v>32232.834218949425</c:v>
                </c:pt>
                <c:pt idx="17">
                  <c:v>32631.012907208544</c:v>
                </c:pt>
                <c:pt idx="18">
                  <c:v>33047.510559035843</c:v>
                </c:pt>
                <c:pt idx="19">
                  <c:v>33490.525731190697</c:v>
                </c:pt>
                <c:pt idx="20">
                  <c:v>33975.608510395447</c:v>
                </c:pt>
                <c:pt idx="21">
                  <c:v>34419.37647684291</c:v>
                </c:pt>
                <c:pt idx="22">
                  <c:v>34856.281067686054</c:v>
                </c:pt>
                <c:pt idx="23">
                  <c:v>35284.939719735288</c:v>
                </c:pt>
                <c:pt idx="24">
                  <c:v>35704.241890150312</c:v>
                </c:pt>
              </c:numCache>
            </c:numRef>
          </c:val>
          <c:smooth val="0"/>
        </c:ser>
        <c:ser>
          <c:idx val="2"/>
          <c:order val="2"/>
          <c:tx>
            <c:strRef>
              <c:f>Plot_Data!$B$28</c:f>
              <c:strCache>
                <c:ptCount val="1"/>
                <c:pt idx="0">
                  <c:v>CFL</c:v>
                </c:pt>
              </c:strCache>
            </c:strRef>
          </c:tx>
          <c:marker>
            <c:symbol val="none"/>
          </c:marker>
          <c:cat>
            <c:numRef>
              <c:f>Plot_Data!$H$4:$AF$4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Plot_Data!$H$28:$AF$28</c:f>
              <c:numCache>
                <c:formatCode>0</c:formatCode>
                <c:ptCount val="25"/>
                <c:pt idx="0">
                  <c:v>35682.269368646383</c:v>
                </c:pt>
                <c:pt idx="1">
                  <c:v>37855.471161249618</c:v>
                </c:pt>
                <c:pt idx="2">
                  <c:v>44810.293152191625</c:v>
                </c:pt>
                <c:pt idx="3">
                  <c:v>44635.122258523021</c:v>
                </c:pt>
                <c:pt idx="4">
                  <c:v>48687.238981212024</c:v>
                </c:pt>
                <c:pt idx="5">
                  <c:v>53915.476657805608</c:v>
                </c:pt>
                <c:pt idx="6">
                  <c:v>50421.685906929204</c:v>
                </c:pt>
                <c:pt idx="7">
                  <c:v>48428.551902266205</c:v>
                </c:pt>
                <c:pt idx="8">
                  <c:v>47381.565823324301</c:v>
                </c:pt>
                <c:pt idx="9">
                  <c:v>46924.921695012148</c:v>
                </c:pt>
                <c:pt idx="10">
                  <c:v>46791.093153561844</c:v>
                </c:pt>
                <c:pt idx="11">
                  <c:v>46987.342517319077</c:v>
                </c:pt>
                <c:pt idx="12">
                  <c:v>47347.393028385428</c:v>
                </c:pt>
                <c:pt idx="13">
                  <c:v>47812.834271464373</c:v>
                </c:pt>
                <c:pt idx="14">
                  <c:v>48392.653599832571</c:v>
                </c:pt>
                <c:pt idx="15">
                  <c:v>48988.211542568897</c:v>
                </c:pt>
                <c:pt idx="16">
                  <c:v>49569.520429302705</c:v>
                </c:pt>
                <c:pt idx="17">
                  <c:v>50136.248874001583</c:v>
                </c:pt>
                <c:pt idx="18">
                  <c:v>50739.015389138302</c:v>
                </c:pt>
                <c:pt idx="19">
                  <c:v>51396.467070305924</c:v>
                </c:pt>
                <c:pt idx="20">
                  <c:v>52141.089932935902</c:v>
                </c:pt>
                <c:pt idx="21">
                  <c:v>52780.809959636099</c:v>
                </c:pt>
                <c:pt idx="22">
                  <c:v>53407.840134229329</c:v>
                </c:pt>
                <c:pt idx="23">
                  <c:v>54020.336761311395</c:v>
                </c:pt>
                <c:pt idx="24">
                  <c:v>54616.798903671195</c:v>
                </c:pt>
              </c:numCache>
            </c:numRef>
          </c:val>
          <c:smooth val="0"/>
        </c:ser>
        <c:ser>
          <c:idx val="3"/>
          <c:order val="3"/>
          <c:tx>
            <c:strRef>
              <c:f>Plot_Data!$B$29</c:f>
              <c:strCache>
                <c:ptCount val="1"/>
                <c:pt idx="0">
                  <c:v>LED</c:v>
                </c:pt>
              </c:strCache>
            </c:strRef>
          </c:tx>
          <c:marker>
            <c:symbol val="none"/>
          </c:marker>
          <c:cat>
            <c:numRef>
              <c:f>Plot_Data!$H$4:$AF$4</c:f>
              <c:numCache>
                <c:formatCode>General</c:formatCode>
                <c:ptCount val="25"/>
                <c:pt idx="0">
                  <c:v>2011</c:v>
                </c:pt>
                <c:pt idx="1">
                  <c:v>2012</c:v>
                </c:pt>
                <c:pt idx="2">
                  <c:v>2013</c:v>
                </c:pt>
                <c:pt idx="3">
                  <c:v>2014</c:v>
                </c:pt>
                <c:pt idx="4">
                  <c:v>2015</c:v>
                </c:pt>
                <c:pt idx="5">
                  <c:v>2016</c:v>
                </c:pt>
                <c:pt idx="6">
                  <c:v>2017</c:v>
                </c:pt>
                <c:pt idx="7">
                  <c:v>2018</c:v>
                </c:pt>
                <c:pt idx="8">
                  <c:v>2019</c:v>
                </c:pt>
                <c:pt idx="9">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Plot_Data!$H$29:$AF$29</c:f>
              <c:numCache>
                <c:formatCode>0</c:formatCode>
                <c:ptCount val="25"/>
                <c:pt idx="0">
                  <c:v>45.902830767643401</c:v>
                </c:pt>
                <c:pt idx="1">
                  <c:v>48.625317332301357</c:v>
                </c:pt>
                <c:pt idx="2">
                  <c:v>38.689136214295687</c:v>
                </c:pt>
                <c:pt idx="3">
                  <c:v>38.76977912191338</c:v>
                </c:pt>
                <c:pt idx="4">
                  <c:v>41.841963840482613</c:v>
                </c:pt>
                <c:pt idx="5">
                  <c:v>45.213955265681761</c:v>
                </c:pt>
                <c:pt idx="6">
                  <c:v>45.807469352822821</c:v>
                </c:pt>
                <c:pt idx="7">
                  <c:v>46.428058998279859</c:v>
                </c:pt>
                <c:pt idx="8">
                  <c:v>47.081843992461422</c:v>
                </c:pt>
                <c:pt idx="9">
                  <c:v>47.716020630329474</c:v>
                </c:pt>
                <c:pt idx="10">
                  <c:v>48.188148997856935</c:v>
                </c:pt>
                <c:pt idx="11">
                  <c:v>48.854024600718446</c:v>
                </c:pt>
                <c:pt idx="12">
                  <c:v>49.489694344473186</c:v>
                </c:pt>
                <c:pt idx="13">
                  <c:v>50.094580391022141</c:v>
                </c:pt>
                <c:pt idx="14">
                  <c:v>50.785379180338438</c:v>
                </c:pt>
                <c:pt idx="15">
                  <c:v>51.37368907985514</c:v>
                </c:pt>
                <c:pt idx="16">
                  <c:v>51.843110219321545</c:v>
                </c:pt>
                <c:pt idx="17">
                  <c:v>52.235694540463847</c:v>
                </c:pt>
                <c:pt idx="18">
                  <c:v>52.700483707817071</c:v>
                </c:pt>
                <c:pt idx="19">
                  <c:v>53.28347667021886</c:v>
                </c:pt>
                <c:pt idx="20">
                  <c:v>54.056261358033964</c:v>
                </c:pt>
                <c:pt idx="21">
                  <c:v>54.537829283832842</c:v>
                </c:pt>
                <c:pt idx="22">
                  <c:v>54.996757850388853</c:v>
                </c:pt>
                <c:pt idx="23">
                  <c:v>55.43235827086724</c:v>
                </c:pt>
                <c:pt idx="24">
                  <c:v>55.843968660043522</c:v>
                </c:pt>
              </c:numCache>
            </c:numRef>
          </c:val>
          <c:smooth val="0"/>
        </c:ser>
        <c:dLbls>
          <c:showLegendKey val="0"/>
          <c:showVal val="0"/>
          <c:showCatName val="0"/>
          <c:showSerName val="0"/>
          <c:showPercent val="0"/>
          <c:showBubbleSize val="0"/>
        </c:dLbls>
        <c:marker val="1"/>
        <c:smooth val="0"/>
        <c:axId val="347428352"/>
        <c:axId val="347429888"/>
      </c:lineChart>
      <c:catAx>
        <c:axId val="347428352"/>
        <c:scaling>
          <c:orientation val="minMax"/>
        </c:scaling>
        <c:delete val="0"/>
        <c:axPos val="b"/>
        <c:numFmt formatCode="General" sourceLinked="1"/>
        <c:majorTickMark val="out"/>
        <c:minorTickMark val="none"/>
        <c:tickLblPos val="nextTo"/>
        <c:crossAx val="347429888"/>
        <c:crosses val="autoZero"/>
        <c:auto val="1"/>
        <c:lblAlgn val="ctr"/>
        <c:lblOffset val="100"/>
        <c:noMultiLvlLbl val="0"/>
      </c:catAx>
      <c:valAx>
        <c:axId val="347429888"/>
        <c:scaling>
          <c:orientation val="minMax"/>
        </c:scaling>
        <c:delete val="0"/>
        <c:axPos val="l"/>
        <c:majorGridlines/>
        <c:title>
          <c:tx>
            <c:rich>
              <a:bodyPr rot="-5400000" vert="horz"/>
              <a:lstStyle/>
              <a:p>
                <a:pPr>
                  <a:defRPr/>
                </a:pPr>
                <a:r>
                  <a:rPr lang="en-US"/>
                  <a:t>Lighting Units (1000)</a:t>
                </a:r>
              </a:p>
            </c:rich>
          </c:tx>
          <c:overlay val="0"/>
        </c:title>
        <c:numFmt formatCode="#,##0" sourceLinked="0"/>
        <c:majorTickMark val="out"/>
        <c:minorTickMark val="none"/>
        <c:tickLblPos val="nextTo"/>
        <c:crossAx val="347428352"/>
        <c:crosses val="autoZero"/>
        <c:crossBetween val="between"/>
      </c:valAx>
    </c:plotArea>
    <c:legend>
      <c:legendPos val="r"/>
      <c:overlay val="0"/>
    </c:legend>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Energy Density</a:t>
            </a:r>
          </a:p>
        </c:rich>
      </c:tx>
      <c:overlay val="0"/>
    </c:title>
    <c:autoTitleDeleted val="0"/>
    <c:plotArea>
      <c:layout/>
      <c:lineChart>
        <c:grouping val="standard"/>
        <c:varyColors val="0"/>
        <c:ser>
          <c:idx val="0"/>
          <c:order val="0"/>
          <c:tx>
            <c:strRef>
              <c:f>Plot_Data!$B$33</c:f>
              <c:strCache>
                <c:ptCount val="1"/>
                <c:pt idx="0">
                  <c:v>Commercial</c:v>
                </c:pt>
              </c:strCache>
            </c:strRef>
          </c:tx>
          <c:marker>
            <c:symbol val="none"/>
          </c:marker>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Plot_Data!$G$33:$AF$33</c:f>
              <c:numCache>
                <c:formatCode>0.0</c:formatCode>
                <c:ptCount val="26"/>
                <c:pt idx="0">
                  <c:v>4.5057859829374411</c:v>
                </c:pt>
                <c:pt idx="1">
                  <c:v>4.4007619294678006</c:v>
                </c:pt>
                <c:pt idx="2">
                  <c:v>4.3237905481660377</c:v>
                </c:pt>
                <c:pt idx="3">
                  <c:v>4.2422314857097163</c:v>
                </c:pt>
                <c:pt idx="4">
                  <c:v>4.1720536427975912</c:v>
                </c:pt>
                <c:pt idx="5">
                  <c:v>4.1120360077661271</c:v>
                </c:pt>
                <c:pt idx="6">
                  <c:v>4.0624471511717442</c:v>
                </c:pt>
                <c:pt idx="7">
                  <c:v>4.0284185012915854</c:v>
                </c:pt>
                <c:pt idx="8">
                  <c:v>4.0011237403409066</c:v>
                </c:pt>
                <c:pt idx="9">
                  <c:v>3.9794828994260132</c:v>
                </c:pt>
                <c:pt idx="10">
                  <c:v>3.9617485249804916</c:v>
                </c:pt>
                <c:pt idx="11">
                  <c:v>3.9486056954159592</c:v>
                </c:pt>
                <c:pt idx="12">
                  <c:v>3.9392765875253128</c:v>
                </c:pt>
                <c:pt idx="13">
                  <c:v>3.9332360473388057</c:v>
                </c:pt>
                <c:pt idx="14">
                  <c:v>3.9282341432419714</c:v>
                </c:pt>
                <c:pt idx="15">
                  <c:v>3.924010868365424</c:v>
                </c:pt>
                <c:pt idx="16">
                  <c:v>3.9203630304669437</c:v>
                </c:pt>
                <c:pt idx="17">
                  <c:v>3.9171578225089907</c:v>
                </c:pt>
                <c:pt idx="18">
                  <c:v>3.9142950524701203</c:v>
                </c:pt>
                <c:pt idx="19">
                  <c:v>3.9116898877611801</c:v>
                </c:pt>
                <c:pt idx="20">
                  <c:v>3.9092832473007726</c:v>
                </c:pt>
                <c:pt idx="21">
                  <c:v>3.9070437131963041</c:v>
                </c:pt>
                <c:pt idx="22">
                  <c:v>3.9049440542379754</c:v>
                </c:pt>
                <c:pt idx="23">
                  <c:v>3.9029599313078451</c:v>
                </c:pt>
                <c:pt idx="24">
                  <c:v>3.9010735525700726</c:v>
                </c:pt>
                <c:pt idx="25">
                  <c:v>3.8992712424189087</c:v>
                </c:pt>
              </c:numCache>
            </c:numRef>
          </c:val>
          <c:smooth val="0"/>
        </c:ser>
        <c:ser>
          <c:idx val="1"/>
          <c:order val="1"/>
          <c:tx>
            <c:strRef>
              <c:f>Plot_Data!$B$34</c:f>
              <c:strCache>
                <c:ptCount val="1"/>
                <c:pt idx="0">
                  <c:v>Industrial</c:v>
                </c:pt>
              </c:strCache>
            </c:strRef>
          </c:tx>
          <c:marker>
            <c:symbol val="none"/>
          </c:marker>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Plot_Data!$G$34:$AF$34</c:f>
              <c:numCache>
                <c:formatCode>0.0</c:formatCode>
                <c:ptCount val="26"/>
                <c:pt idx="0">
                  <c:v>5.814079713964813</c:v>
                </c:pt>
                <c:pt idx="1">
                  <c:v>5.7088576032491467</c:v>
                </c:pt>
                <c:pt idx="2">
                  <c:v>5.6178983975093271</c:v>
                </c:pt>
                <c:pt idx="3">
                  <c:v>5.5254313815452161</c:v>
                </c:pt>
                <c:pt idx="4">
                  <c:v>5.4333278012514663</c:v>
                </c:pt>
                <c:pt idx="5">
                  <c:v>5.3479119733907803</c:v>
                </c:pt>
                <c:pt idx="6">
                  <c:v>5.2683788026294724</c:v>
                </c:pt>
                <c:pt idx="7">
                  <c:v>5.1935335306549391</c:v>
                </c:pt>
                <c:pt idx="8">
                  <c:v>5.1245718169495538</c:v>
                </c:pt>
                <c:pt idx="9">
                  <c:v>5.0598382706031551</c:v>
                </c:pt>
                <c:pt idx="10">
                  <c:v>4.9996541535405434</c:v>
                </c:pt>
                <c:pt idx="11">
                  <c:v>4.9432548815019626</c:v>
                </c:pt>
                <c:pt idx="12">
                  <c:v>4.890125095604331</c:v>
                </c:pt>
                <c:pt idx="13">
                  <c:v>4.838437737848059</c:v>
                </c:pt>
                <c:pt idx="14">
                  <c:v>4.7879311959905406</c:v>
                </c:pt>
                <c:pt idx="15">
                  <c:v>4.7384077761793062</c:v>
                </c:pt>
                <c:pt idx="16">
                  <c:v>4.6897468412489829</c:v>
                </c:pt>
                <c:pt idx="17">
                  <c:v>4.6418399825460437</c:v>
                </c:pt>
                <c:pt idx="18">
                  <c:v>4.5946165219030588</c:v>
                </c:pt>
                <c:pt idx="19">
                  <c:v>4.5480193870662022</c:v>
                </c:pt>
                <c:pt idx="20">
                  <c:v>4.5019900202037375</c:v>
                </c:pt>
                <c:pt idx="21">
                  <c:v>4.4565157741905796</c:v>
                </c:pt>
                <c:pt idx="22">
                  <c:v>4.4115699759653033</c:v>
                </c:pt>
                <c:pt idx="23">
                  <c:v>4.367130970776933</c:v>
                </c:pt>
                <c:pt idx="24">
                  <c:v>4.3231824220610013</c:v>
                </c:pt>
                <c:pt idx="25">
                  <c:v>4.2797104591929109</c:v>
                </c:pt>
              </c:numCache>
            </c:numRef>
          </c:val>
          <c:smooth val="0"/>
        </c:ser>
        <c:ser>
          <c:idx val="2"/>
          <c:order val="2"/>
          <c:tx>
            <c:strRef>
              <c:f>Plot_Data!$B$35</c:f>
              <c:strCache>
                <c:ptCount val="1"/>
                <c:pt idx="0">
                  <c:v>Residential</c:v>
                </c:pt>
              </c:strCache>
            </c:strRef>
          </c:tx>
          <c:marker>
            <c:symbol val="none"/>
          </c:marker>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Plot_Data!$G$35:$AF$35</c:f>
              <c:numCache>
                <c:formatCode>0.0</c:formatCode>
                <c:ptCount val="26"/>
                <c:pt idx="0">
                  <c:v>0.80002015999550691</c:v>
                </c:pt>
                <c:pt idx="1">
                  <c:v>0.76918176449249298</c:v>
                </c:pt>
                <c:pt idx="2">
                  <c:v>0.73667531074298331</c:v>
                </c:pt>
                <c:pt idx="3">
                  <c:v>0.69643234919101682</c:v>
                </c:pt>
                <c:pt idx="4">
                  <c:v>0.66242809557130933</c:v>
                </c:pt>
                <c:pt idx="5">
                  <c:v>0.63101962680315127</c:v>
                </c:pt>
                <c:pt idx="6">
                  <c:v>0.59962183226204979</c:v>
                </c:pt>
                <c:pt idx="7">
                  <c:v>0.57824409486662631</c:v>
                </c:pt>
                <c:pt idx="8">
                  <c:v>0.56427116867534621</c:v>
                </c:pt>
                <c:pt idx="9">
                  <c:v>0.55507170593516253</c:v>
                </c:pt>
                <c:pt idx="10">
                  <c:v>0.54906053000912214</c:v>
                </c:pt>
                <c:pt idx="11">
                  <c:v>0.54475060580370038</c:v>
                </c:pt>
                <c:pt idx="12">
                  <c:v>0.54157713774070315</c:v>
                </c:pt>
                <c:pt idx="13">
                  <c:v>0.53916612527073648</c:v>
                </c:pt>
                <c:pt idx="14">
                  <c:v>0.53727346596717196</c:v>
                </c:pt>
                <c:pt idx="15">
                  <c:v>0.53574474896623059</c:v>
                </c:pt>
                <c:pt idx="16">
                  <c:v>0.53446443268815325</c:v>
                </c:pt>
                <c:pt idx="17">
                  <c:v>0.53335367202193673</c:v>
                </c:pt>
                <c:pt idx="18">
                  <c:v>0.53236180848179715</c:v>
                </c:pt>
                <c:pt idx="19">
                  <c:v>0.53146337564096258</c:v>
                </c:pt>
                <c:pt idx="20">
                  <c:v>0.53064283220741182</c:v>
                </c:pt>
                <c:pt idx="21">
                  <c:v>0.52989256683628749</c:v>
                </c:pt>
                <c:pt idx="22">
                  <c:v>0.52917740877870989</c:v>
                </c:pt>
                <c:pt idx="23">
                  <c:v>0.52849023756010161</c:v>
                </c:pt>
                <c:pt idx="24">
                  <c:v>0.52782594509013059</c:v>
                </c:pt>
                <c:pt idx="25">
                  <c:v>0.52718079727498157</c:v>
                </c:pt>
              </c:numCache>
            </c:numRef>
          </c:val>
          <c:smooth val="0"/>
        </c:ser>
        <c:dLbls>
          <c:showLegendKey val="0"/>
          <c:showVal val="0"/>
          <c:showCatName val="0"/>
          <c:showSerName val="0"/>
          <c:showPercent val="0"/>
          <c:showBubbleSize val="0"/>
        </c:dLbls>
        <c:marker val="1"/>
        <c:smooth val="0"/>
        <c:axId val="347109632"/>
        <c:axId val="347123712"/>
      </c:lineChart>
      <c:catAx>
        <c:axId val="347109632"/>
        <c:scaling>
          <c:orientation val="minMax"/>
        </c:scaling>
        <c:delete val="0"/>
        <c:axPos val="b"/>
        <c:numFmt formatCode="General" sourceLinked="1"/>
        <c:majorTickMark val="out"/>
        <c:minorTickMark val="none"/>
        <c:tickLblPos val="nextTo"/>
        <c:crossAx val="347123712"/>
        <c:crosses val="autoZero"/>
        <c:auto val="1"/>
        <c:lblAlgn val="ctr"/>
        <c:lblOffset val="100"/>
        <c:noMultiLvlLbl val="0"/>
      </c:catAx>
      <c:valAx>
        <c:axId val="347123712"/>
        <c:scaling>
          <c:orientation val="minMax"/>
        </c:scaling>
        <c:delete val="0"/>
        <c:axPos val="l"/>
        <c:majorGridlines/>
        <c:title>
          <c:tx>
            <c:rich>
              <a:bodyPr rot="-5400000" vert="horz"/>
              <a:lstStyle/>
              <a:p>
                <a:pPr>
                  <a:defRPr/>
                </a:pPr>
                <a:r>
                  <a:rPr lang="en-US"/>
                  <a:t>kWh/sq</a:t>
                </a:r>
                <a:r>
                  <a:rPr lang="en-US" baseline="30000"/>
                  <a:t>2</a:t>
                </a:r>
                <a:endParaRPr lang="en-US"/>
              </a:p>
            </c:rich>
          </c:tx>
          <c:overlay val="0"/>
        </c:title>
        <c:numFmt formatCode="0.0" sourceLinked="1"/>
        <c:majorTickMark val="out"/>
        <c:minorTickMark val="none"/>
        <c:tickLblPos val="nextTo"/>
        <c:crossAx val="347109632"/>
        <c:crosses val="autoZero"/>
        <c:crossBetween val="between"/>
      </c:valAx>
    </c:plotArea>
    <c:legend>
      <c:legendPos val="r"/>
      <c:overlay val="0"/>
    </c:legend>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Power Density</a:t>
            </a:r>
          </a:p>
        </c:rich>
      </c:tx>
      <c:overlay val="0"/>
    </c:title>
    <c:autoTitleDeleted val="0"/>
    <c:plotArea>
      <c:layout/>
      <c:lineChart>
        <c:grouping val="standard"/>
        <c:varyColors val="0"/>
        <c:ser>
          <c:idx val="0"/>
          <c:order val="0"/>
          <c:tx>
            <c:strRef>
              <c:f>Plot_Data!$B$39</c:f>
              <c:strCache>
                <c:ptCount val="1"/>
                <c:pt idx="0">
                  <c:v>Commercial</c:v>
                </c:pt>
              </c:strCache>
            </c:strRef>
          </c:tx>
          <c:marker>
            <c:symbol val="none"/>
          </c:marker>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Plot_Data!$G$39:$AF$39</c:f>
              <c:numCache>
                <c:formatCode>0.0</c:formatCode>
                <c:ptCount val="26"/>
                <c:pt idx="0">
                  <c:v>1.1844191909170325</c:v>
                </c:pt>
                <c:pt idx="1">
                  <c:v>1.1562767217569587</c:v>
                </c:pt>
                <c:pt idx="2">
                  <c:v>1.1358813498857852</c:v>
                </c:pt>
                <c:pt idx="3">
                  <c:v>1.1142737812785126</c:v>
                </c:pt>
                <c:pt idx="4">
                  <c:v>1.0957790982079079</c:v>
                </c:pt>
                <c:pt idx="5">
                  <c:v>1.0799449806556929</c:v>
                </c:pt>
                <c:pt idx="6">
                  <c:v>1.0668567621809226</c:v>
                </c:pt>
                <c:pt idx="7">
                  <c:v>1.0579333801004847</c:v>
                </c:pt>
                <c:pt idx="8">
                  <c:v>1.0507827137935799</c:v>
                </c:pt>
                <c:pt idx="9">
                  <c:v>1.0451127882500817</c:v>
                </c:pt>
                <c:pt idx="10">
                  <c:v>1.0404654854137647</c:v>
                </c:pt>
                <c:pt idx="11">
                  <c:v>1.037019533034881</c:v>
                </c:pt>
                <c:pt idx="12">
                  <c:v>1.0345716011808224</c:v>
                </c:pt>
                <c:pt idx="13">
                  <c:v>1.032984290556074</c:v>
                </c:pt>
                <c:pt idx="14">
                  <c:v>1.0316689038710416</c:v>
                </c:pt>
                <c:pt idx="15">
                  <c:v>1.0305573756110731</c:v>
                </c:pt>
                <c:pt idx="16">
                  <c:v>1.0295964282746042</c:v>
                </c:pt>
                <c:pt idx="17">
                  <c:v>1.0287515865818746</c:v>
                </c:pt>
                <c:pt idx="18">
                  <c:v>1.0279965339982897</c:v>
                </c:pt>
                <c:pt idx="19">
                  <c:v>1.0273089193613025</c:v>
                </c:pt>
                <c:pt idx="20">
                  <c:v>1.0266732460140617</c:v>
                </c:pt>
                <c:pt idx="21">
                  <c:v>1.026081383531714</c:v>
                </c:pt>
                <c:pt idx="22">
                  <c:v>1.0255262388554856</c:v>
                </c:pt>
                <c:pt idx="23">
                  <c:v>1.0250014240184002</c:v>
                </c:pt>
                <c:pt idx="24">
                  <c:v>1.0245022759507101</c:v>
                </c:pt>
                <c:pt idx="25">
                  <c:v>1.024025212473757</c:v>
                </c:pt>
              </c:numCache>
            </c:numRef>
          </c:val>
          <c:smooth val="0"/>
        </c:ser>
        <c:ser>
          <c:idx val="1"/>
          <c:order val="1"/>
          <c:tx>
            <c:strRef>
              <c:f>Plot_Data!$B$40</c:f>
              <c:strCache>
                <c:ptCount val="1"/>
                <c:pt idx="0">
                  <c:v>Industrial</c:v>
                </c:pt>
              </c:strCache>
            </c:strRef>
          </c:tx>
          <c:marker>
            <c:symbol val="none"/>
          </c:marker>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Plot_Data!$G$40:$AF$40</c:f>
              <c:numCache>
                <c:formatCode>0.0</c:formatCode>
                <c:ptCount val="26"/>
                <c:pt idx="0">
                  <c:v>1.1370015017927477</c:v>
                </c:pt>
                <c:pt idx="1">
                  <c:v>1.1160343316032983</c:v>
                </c:pt>
                <c:pt idx="2">
                  <c:v>1.0972362049528392</c:v>
                </c:pt>
                <c:pt idx="3">
                  <c:v>1.078012450865397</c:v>
                </c:pt>
                <c:pt idx="4">
                  <c:v>1.0588106087295532</c:v>
                </c:pt>
                <c:pt idx="5">
                  <c:v>1.0411051711893413</c:v>
                </c:pt>
                <c:pt idx="6">
                  <c:v>1.0247186466860356</c:v>
                </c:pt>
                <c:pt idx="7">
                  <c:v>1.0093794269806418</c:v>
                </c:pt>
                <c:pt idx="8">
                  <c:v>0.99536944444026587</c:v>
                </c:pt>
                <c:pt idx="9">
                  <c:v>0.98230964311078584</c:v>
                </c:pt>
                <c:pt idx="10">
                  <c:v>0.97027671820208417</c:v>
                </c:pt>
                <c:pt idx="11">
                  <c:v>0.95909585045624834</c:v>
                </c:pt>
                <c:pt idx="12">
                  <c:v>0.9486493428905941</c:v>
                </c:pt>
                <c:pt idx="13">
                  <c:v>0.93851610224218474</c:v>
                </c:pt>
                <c:pt idx="14">
                  <c:v>0.92863549544173807</c:v>
                </c:pt>
                <c:pt idx="15">
                  <c:v>0.91896372526484749</c:v>
                </c:pt>
                <c:pt idx="16">
                  <c:v>0.90947240080432268</c:v>
                </c:pt>
                <c:pt idx="17">
                  <c:v>0.90013710744744979</c:v>
                </c:pt>
                <c:pt idx="18">
                  <c:v>0.8909420119684297</c:v>
                </c:pt>
                <c:pt idx="19">
                  <c:v>0.88187432550690292</c:v>
                </c:pt>
                <c:pt idx="20">
                  <c:v>0.8729216468310218</c:v>
                </c:pt>
                <c:pt idx="21">
                  <c:v>0.86408028337037868</c:v>
                </c:pt>
                <c:pt idx="22">
                  <c:v>0.85534437198239499</c:v>
                </c:pt>
                <c:pt idx="23">
                  <c:v>0.84670916434618293</c:v>
                </c:pt>
                <c:pt idx="24">
                  <c:v>0.83817110845047937</c:v>
                </c:pt>
                <c:pt idx="25">
                  <c:v>0.82972719838118736</c:v>
                </c:pt>
              </c:numCache>
            </c:numRef>
          </c:val>
          <c:smooth val="0"/>
        </c:ser>
        <c:ser>
          <c:idx val="2"/>
          <c:order val="2"/>
          <c:tx>
            <c:strRef>
              <c:f>Plot_Data!$B$41</c:f>
              <c:strCache>
                <c:ptCount val="1"/>
                <c:pt idx="0">
                  <c:v>Residential</c:v>
                </c:pt>
              </c:strCache>
            </c:strRef>
          </c:tx>
          <c:marker>
            <c:symbol val="none"/>
          </c:marker>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Plot_Data!$G$41:$AF$41</c:f>
              <c:numCache>
                <c:formatCode>0.0</c:formatCode>
                <c:ptCount val="26"/>
                <c:pt idx="0">
                  <c:v>1.2090565133066407</c:v>
                </c:pt>
                <c:pt idx="1">
                  <c:v>1.1621572122938444</c:v>
                </c:pt>
                <c:pt idx="2">
                  <c:v>1.1127395680682997</c:v>
                </c:pt>
                <c:pt idx="3">
                  <c:v>1.0516158459561784</c:v>
                </c:pt>
                <c:pt idx="4">
                  <c:v>0.99999381798453013</c:v>
                </c:pt>
                <c:pt idx="5">
                  <c:v>0.95230107017271426</c:v>
                </c:pt>
                <c:pt idx="6">
                  <c:v>0.90459980265036644</c:v>
                </c:pt>
                <c:pt idx="7">
                  <c:v>0.87210376471538487</c:v>
                </c:pt>
                <c:pt idx="8">
                  <c:v>0.85087769534333257</c:v>
                </c:pt>
                <c:pt idx="9">
                  <c:v>0.83691993140507559</c:v>
                </c:pt>
                <c:pt idx="10">
                  <c:v>0.82781932446853268</c:v>
                </c:pt>
                <c:pt idx="11">
                  <c:v>0.82130311387509625</c:v>
                </c:pt>
                <c:pt idx="12">
                  <c:v>0.81651292021979993</c:v>
                </c:pt>
                <c:pt idx="13">
                  <c:v>0.81288029388107852</c:v>
                </c:pt>
                <c:pt idx="14">
                  <c:v>0.81003425345498248</c:v>
                </c:pt>
                <c:pt idx="15">
                  <c:v>0.80774020463889684</c:v>
                </c:pt>
                <c:pt idx="16">
                  <c:v>0.80582256710886413</c:v>
                </c:pt>
                <c:pt idx="17">
                  <c:v>0.80416154015084695</c:v>
                </c:pt>
                <c:pt idx="18">
                  <c:v>0.8026801838347396</c:v>
                </c:pt>
                <c:pt idx="19">
                  <c:v>0.80133989394195093</c:v>
                </c:pt>
                <c:pt idx="20">
                  <c:v>0.80011715757115009</c:v>
                </c:pt>
                <c:pt idx="21">
                  <c:v>0.79900052454148918</c:v>
                </c:pt>
                <c:pt idx="22">
                  <c:v>0.79793651841813162</c:v>
                </c:pt>
                <c:pt idx="23">
                  <c:v>0.79691436701350082</c:v>
                </c:pt>
                <c:pt idx="24">
                  <c:v>0.79592635324633376</c:v>
                </c:pt>
                <c:pt idx="25">
                  <c:v>0.79496684481017355</c:v>
                </c:pt>
              </c:numCache>
            </c:numRef>
          </c:val>
          <c:smooth val="0"/>
        </c:ser>
        <c:dLbls>
          <c:showLegendKey val="0"/>
          <c:showVal val="0"/>
          <c:showCatName val="0"/>
          <c:showSerName val="0"/>
          <c:showPercent val="0"/>
          <c:showBubbleSize val="0"/>
        </c:dLbls>
        <c:marker val="1"/>
        <c:smooth val="0"/>
        <c:axId val="347162496"/>
        <c:axId val="347164032"/>
      </c:lineChart>
      <c:catAx>
        <c:axId val="347162496"/>
        <c:scaling>
          <c:orientation val="minMax"/>
        </c:scaling>
        <c:delete val="0"/>
        <c:axPos val="b"/>
        <c:numFmt formatCode="General" sourceLinked="1"/>
        <c:majorTickMark val="out"/>
        <c:minorTickMark val="none"/>
        <c:tickLblPos val="nextTo"/>
        <c:crossAx val="347164032"/>
        <c:crosses val="autoZero"/>
        <c:auto val="1"/>
        <c:lblAlgn val="ctr"/>
        <c:lblOffset val="100"/>
        <c:noMultiLvlLbl val="0"/>
      </c:catAx>
      <c:valAx>
        <c:axId val="347164032"/>
        <c:scaling>
          <c:orientation val="minMax"/>
        </c:scaling>
        <c:delete val="0"/>
        <c:axPos val="l"/>
        <c:majorGridlines/>
        <c:title>
          <c:tx>
            <c:rich>
              <a:bodyPr rot="-5400000" vert="horz"/>
              <a:lstStyle/>
              <a:p>
                <a:pPr>
                  <a:defRPr/>
                </a:pPr>
                <a:r>
                  <a:rPr lang="en-US"/>
                  <a:t>W/sq</a:t>
                </a:r>
                <a:r>
                  <a:rPr lang="en-US" baseline="30000"/>
                  <a:t>2</a:t>
                </a:r>
                <a:endParaRPr lang="en-US"/>
              </a:p>
            </c:rich>
          </c:tx>
          <c:overlay val="0"/>
        </c:title>
        <c:numFmt formatCode="0.0" sourceLinked="1"/>
        <c:majorTickMark val="out"/>
        <c:minorTickMark val="none"/>
        <c:tickLblPos val="nextTo"/>
        <c:crossAx val="347162496"/>
        <c:crosses val="autoZero"/>
        <c:crossBetween val="between"/>
      </c:valAx>
    </c:plotArea>
    <c:legend>
      <c:legendPos val="r"/>
      <c:overlay val="0"/>
    </c:legend>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Total Installed Lighting</a:t>
            </a:r>
            <a:r>
              <a:rPr lang="en-US" baseline="0"/>
              <a:t> Stock</a:t>
            </a:r>
            <a:endParaRPr lang="en-US"/>
          </a:p>
        </c:rich>
      </c:tx>
      <c:overlay val="0"/>
    </c:title>
    <c:autoTitleDeleted val="0"/>
    <c:plotArea>
      <c:layout/>
      <c:areaChart>
        <c:grouping val="stacked"/>
        <c:varyColors val="0"/>
        <c:ser>
          <c:idx val="0"/>
          <c:order val="0"/>
          <c:tx>
            <c:strRef>
              <c:f>Plot_Data!$B$44</c:f>
              <c:strCache>
                <c:ptCount val="1"/>
                <c:pt idx="0">
                  <c:v>Incandescent</c:v>
                </c:pt>
              </c:strCache>
            </c:strRef>
          </c:tx>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Plot_Data!$G$44:$AF$44</c:f>
              <c:numCache>
                <c:formatCode>0</c:formatCode>
                <c:ptCount val="26"/>
                <c:pt idx="0">
                  <c:v>95.813329813793132</c:v>
                </c:pt>
                <c:pt idx="1">
                  <c:v>86.012115745753519</c:v>
                </c:pt>
                <c:pt idx="2">
                  <c:v>79.531719650498587</c:v>
                </c:pt>
                <c:pt idx="3">
                  <c:v>69.33900320999355</c:v>
                </c:pt>
                <c:pt idx="4">
                  <c:v>60.695974221258112</c:v>
                </c:pt>
                <c:pt idx="5">
                  <c:v>53.005288253983466</c:v>
                </c:pt>
                <c:pt idx="6">
                  <c:v>45.081653411154861</c:v>
                </c:pt>
                <c:pt idx="7">
                  <c:v>41.42409465952322</c:v>
                </c:pt>
                <c:pt idx="8">
                  <c:v>39.748447340840315</c:v>
                </c:pt>
                <c:pt idx="9">
                  <c:v>39.100857865320975</c:v>
                </c:pt>
                <c:pt idx="10">
                  <c:v>38.997234366906575</c:v>
                </c:pt>
                <c:pt idx="11">
                  <c:v>39.175604939231988</c:v>
                </c:pt>
                <c:pt idx="12">
                  <c:v>39.513167905014342</c:v>
                </c:pt>
                <c:pt idx="13">
                  <c:v>39.938485794769676</c:v>
                </c:pt>
                <c:pt idx="14">
                  <c:v>40.412013300953056</c:v>
                </c:pt>
                <c:pt idx="15">
                  <c:v>40.915934239578071</c:v>
                </c:pt>
                <c:pt idx="16">
                  <c:v>41.431479403556139</c:v>
                </c:pt>
                <c:pt idx="17">
                  <c:v>41.949006488385862</c:v>
                </c:pt>
                <c:pt idx="18">
                  <c:v>42.461834666109162</c:v>
                </c:pt>
                <c:pt idx="19">
                  <c:v>42.969238993101783</c:v>
                </c:pt>
                <c:pt idx="20">
                  <c:v>43.473486429508725</c:v>
                </c:pt>
                <c:pt idx="21">
                  <c:v>43.982247127016109</c:v>
                </c:pt>
                <c:pt idx="22">
                  <c:v>44.482598353103796</c:v>
                </c:pt>
                <c:pt idx="23">
                  <c:v>44.973213689671354</c:v>
                </c:pt>
                <c:pt idx="24">
                  <c:v>45.452995459775615</c:v>
                </c:pt>
                <c:pt idx="25">
                  <c:v>45.9210571863021</c:v>
                </c:pt>
              </c:numCache>
            </c:numRef>
          </c:val>
        </c:ser>
        <c:ser>
          <c:idx val="1"/>
          <c:order val="1"/>
          <c:tx>
            <c:strRef>
              <c:f>Plot_Data!$B$45</c:f>
              <c:strCache>
                <c:ptCount val="1"/>
                <c:pt idx="0">
                  <c:v>Halogen</c:v>
                </c:pt>
              </c:strCache>
            </c:strRef>
          </c:tx>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Plot_Data!$G$45:$AF$45</c:f>
              <c:numCache>
                <c:formatCode>0</c:formatCode>
                <c:ptCount val="26"/>
                <c:pt idx="0">
                  <c:v>23.567344732629707</c:v>
                </c:pt>
                <c:pt idx="1">
                  <c:v>26.168981142651305</c:v>
                </c:pt>
                <c:pt idx="2">
                  <c:v>28.827584321963666</c:v>
                </c:pt>
                <c:pt idx="3">
                  <c:v>34.20604328645868</c:v>
                </c:pt>
                <c:pt idx="4">
                  <c:v>39.29287232160025</c:v>
                </c:pt>
                <c:pt idx="5">
                  <c:v>42.932740612749619</c:v>
                </c:pt>
                <c:pt idx="6">
                  <c:v>46.016453145823107</c:v>
                </c:pt>
                <c:pt idx="7">
                  <c:v>47.066523026084695</c:v>
                </c:pt>
                <c:pt idx="8">
                  <c:v>47.438906188820923</c:v>
                </c:pt>
                <c:pt idx="9">
                  <c:v>47.602773862590858</c:v>
                </c:pt>
                <c:pt idx="10">
                  <c:v>47.782573356282874</c:v>
                </c:pt>
                <c:pt idx="11">
                  <c:v>48.01867917088375</c:v>
                </c:pt>
                <c:pt idx="12">
                  <c:v>48.348562410402387</c:v>
                </c:pt>
                <c:pt idx="13">
                  <c:v>48.759905927407956</c:v>
                </c:pt>
                <c:pt idx="14">
                  <c:v>49.235979974116056</c:v>
                </c:pt>
                <c:pt idx="15">
                  <c:v>49.766698511386473</c:v>
                </c:pt>
                <c:pt idx="16">
                  <c:v>50.322707685636807</c:v>
                </c:pt>
                <c:pt idx="17">
                  <c:v>50.90146202492457</c:v>
                </c:pt>
                <c:pt idx="18">
                  <c:v>51.490696653759684</c:v>
                </c:pt>
                <c:pt idx="19">
                  <c:v>52.085102892143489</c:v>
                </c:pt>
                <c:pt idx="20">
                  <c:v>52.685148916520333</c:v>
                </c:pt>
                <c:pt idx="21">
                  <c:v>53.303736298032021</c:v>
                </c:pt>
                <c:pt idx="22">
                  <c:v>53.915931161071683</c:v>
                </c:pt>
                <c:pt idx="23">
                  <c:v>54.519974899633006</c:v>
                </c:pt>
                <c:pt idx="24">
                  <c:v>55.114531636622374</c:v>
                </c:pt>
                <c:pt idx="25">
                  <c:v>55.698442185938546</c:v>
                </c:pt>
              </c:numCache>
            </c:numRef>
          </c:val>
        </c:ser>
        <c:ser>
          <c:idx val="2"/>
          <c:order val="2"/>
          <c:tx>
            <c:strRef>
              <c:f>Plot_Data!$B$46</c:f>
              <c:strCache>
                <c:ptCount val="1"/>
                <c:pt idx="0">
                  <c:v>CFL</c:v>
                </c:pt>
              </c:strCache>
            </c:strRef>
          </c:tx>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Plot_Data!$G$46:$AF$46</c:f>
              <c:numCache>
                <c:formatCode>0</c:formatCode>
                <c:ptCount val="26"/>
                <c:pt idx="0">
                  <c:v>75.121979339638813</c:v>
                </c:pt>
                <c:pt idx="1">
                  <c:v>83.658962154981992</c:v>
                </c:pt>
                <c:pt idx="2">
                  <c:v>90.905275193460881</c:v>
                </c:pt>
                <c:pt idx="3">
                  <c:v>99.530432261884158</c:v>
                </c:pt>
                <c:pt idx="4">
                  <c:v>106.90812641802917</c:v>
                </c:pt>
                <c:pt idx="5">
                  <c:v>114.8341699247766</c:v>
                </c:pt>
                <c:pt idx="6">
                  <c:v>123.51403411481515</c:v>
                </c:pt>
                <c:pt idx="7">
                  <c:v>129.92947841571748</c:v>
                </c:pt>
                <c:pt idx="8">
                  <c:v>135.08928912876578</c:v>
                </c:pt>
                <c:pt idx="9">
                  <c:v>139.40330545717748</c:v>
                </c:pt>
                <c:pt idx="10">
                  <c:v>143.16653525475974</c:v>
                </c:pt>
                <c:pt idx="11">
                  <c:v>146.49733861281578</c:v>
                </c:pt>
                <c:pt idx="12">
                  <c:v>149.5491772969128</c:v>
                </c:pt>
                <c:pt idx="13">
                  <c:v>152.40151283523596</c:v>
                </c:pt>
                <c:pt idx="14">
                  <c:v>155.11031695081942</c:v>
                </c:pt>
                <c:pt idx="15">
                  <c:v>157.7248470912279</c:v>
                </c:pt>
                <c:pt idx="16">
                  <c:v>160.24399703306241</c:v>
                </c:pt>
                <c:pt idx="17">
                  <c:v>162.70013858195864</c:v>
                </c:pt>
                <c:pt idx="18">
                  <c:v>165.09981923205379</c:v>
                </c:pt>
                <c:pt idx="19">
                  <c:v>167.44875391580129</c:v>
                </c:pt>
                <c:pt idx="20">
                  <c:v>169.75802815005486</c:v>
                </c:pt>
                <c:pt idx="21">
                  <c:v>172.0615887190923</c:v>
                </c:pt>
                <c:pt idx="22">
                  <c:v>174.32930192579275</c:v>
                </c:pt>
                <c:pt idx="23">
                  <c:v>176.56068509825255</c:v>
                </c:pt>
                <c:pt idx="24">
                  <c:v>178.75461981849872</c:v>
                </c:pt>
                <c:pt idx="25">
                  <c:v>180.90962150320598</c:v>
                </c:pt>
              </c:numCache>
            </c:numRef>
          </c:val>
        </c:ser>
        <c:ser>
          <c:idx val="3"/>
          <c:order val="3"/>
          <c:tx>
            <c:strRef>
              <c:f>Plot_Data!$B$47</c:f>
              <c:strCache>
                <c:ptCount val="1"/>
                <c:pt idx="0">
                  <c:v>LED</c:v>
                </c:pt>
              </c:strCache>
            </c:strRef>
          </c:tx>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Plot_Data!$G$47:$AF$47</c:f>
              <c:numCache>
                <c:formatCode>0</c:formatCode>
                <c:ptCount val="26"/>
                <c:pt idx="0">
                  <c:v>4.0476134408202613</c:v>
                </c:pt>
                <c:pt idx="1">
                  <c:v>7.3998102767336915</c:v>
                </c:pt>
                <c:pt idx="2">
                  <c:v>8.7908067230076572</c:v>
                </c:pt>
                <c:pt idx="3">
                  <c:v>9.8313441501802767</c:v>
                </c:pt>
                <c:pt idx="4">
                  <c:v>10.739156583382698</c:v>
                </c:pt>
                <c:pt idx="5">
                  <c:v>11.578822587114677</c:v>
                </c:pt>
                <c:pt idx="6">
                  <c:v>12.363847080168235</c:v>
                </c:pt>
                <c:pt idx="7">
                  <c:v>13.121871991362584</c:v>
                </c:pt>
                <c:pt idx="8">
                  <c:v>13.882355064603274</c:v>
                </c:pt>
                <c:pt idx="9">
                  <c:v>14.632749978990949</c:v>
                </c:pt>
                <c:pt idx="10">
                  <c:v>15.388496789187002</c:v>
                </c:pt>
                <c:pt idx="11">
                  <c:v>16.135476996648933</c:v>
                </c:pt>
                <c:pt idx="12">
                  <c:v>16.881063753725602</c:v>
                </c:pt>
                <c:pt idx="13">
                  <c:v>17.627345856126624</c:v>
                </c:pt>
                <c:pt idx="14">
                  <c:v>18.37566128427126</c:v>
                </c:pt>
                <c:pt idx="15">
                  <c:v>19.128522799333215</c:v>
                </c:pt>
                <c:pt idx="16">
                  <c:v>19.876836952013111</c:v>
                </c:pt>
                <c:pt idx="17">
                  <c:v>20.63601379043866</c:v>
                </c:pt>
                <c:pt idx="18">
                  <c:v>21.407979976160835</c:v>
                </c:pt>
                <c:pt idx="19">
                  <c:v>22.186132557239677</c:v>
                </c:pt>
                <c:pt idx="20">
                  <c:v>22.965926466081665</c:v>
                </c:pt>
                <c:pt idx="21">
                  <c:v>23.749655476881649</c:v>
                </c:pt>
                <c:pt idx="22">
                  <c:v>24.537512191508682</c:v>
                </c:pt>
                <c:pt idx="23">
                  <c:v>25.329243371451945</c:v>
                </c:pt>
                <c:pt idx="24">
                  <c:v>26.12479157727536</c:v>
                </c:pt>
                <c:pt idx="25">
                  <c:v>26.923617262829087</c:v>
                </c:pt>
              </c:numCache>
            </c:numRef>
          </c:val>
        </c:ser>
        <c:ser>
          <c:idx val="4"/>
          <c:order val="4"/>
          <c:tx>
            <c:strRef>
              <c:f>Plot_Data!$B$48</c:f>
              <c:strCache>
                <c:ptCount val="1"/>
                <c:pt idx="0">
                  <c:v>HID</c:v>
                </c:pt>
              </c:strCache>
            </c:strRef>
          </c:tx>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Plot_Data!$G$48:$AF$48</c:f>
              <c:numCache>
                <c:formatCode>0</c:formatCode>
                <c:ptCount val="26"/>
                <c:pt idx="0">
                  <c:v>337.57422114652496</c:v>
                </c:pt>
                <c:pt idx="1">
                  <c:v>340.01891542268214</c:v>
                </c:pt>
                <c:pt idx="2">
                  <c:v>342.98539340176831</c:v>
                </c:pt>
                <c:pt idx="3">
                  <c:v>346.09623503991014</c:v>
                </c:pt>
                <c:pt idx="4">
                  <c:v>349.14914296920961</c:v>
                </c:pt>
                <c:pt idx="5">
                  <c:v>352.19953165096126</c:v>
                </c:pt>
                <c:pt idx="6">
                  <c:v>354.949142887167</c:v>
                </c:pt>
                <c:pt idx="7">
                  <c:v>357.72221448319448</c:v>
                </c:pt>
                <c:pt idx="8">
                  <c:v>360.93416007223323</c:v>
                </c:pt>
                <c:pt idx="9">
                  <c:v>364.12996471308168</c:v>
                </c:pt>
                <c:pt idx="10">
                  <c:v>367.53426956500033</c:v>
                </c:pt>
                <c:pt idx="11">
                  <c:v>370.79440487445942</c:v>
                </c:pt>
                <c:pt idx="12">
                  <c:v>373.99895918394958</c:v>
                </c:pt>
                <c:pt idx="13">
                  <c:v>377.16287858169193</c:v>
                </c:pt>
                <c:pt idx="14">
                  <c:v>380.3240561763065</c:v>
                </c:pt>
                <c:pt idx="15">
                  <c:v>383.47173695363784</c:v>
                </c:pt>
                <c:pt idx="16">
                  <c:v>386.46968956654126</c:v>
                </c:pt>
                <c:pt idx="17">
                  <c:v>389.59973537293814</c:v>
                </c:pt>
                <c:pt idx="18">
                  <c:v>392.88764692067144</c:v>
                </c:pt>
                <c:pt idx="19">
                  <c:v>396.20431807646833</c:v>
                </c:pt>
                <c:pt idx="20">
                  <c:v>399.438836666344</c:v>
                </c:pt>
                <c:pt idx="21">
                  <c:v>402.62642882548323</c:v>
                </c:pt>
                <c:pt idx="22">
                  <c:v>405.80567144272203</c:v>
                </c:pt>
                <c:pt idx="23">
                  <c:v>408.97499177087013</c:v>
                </c:pt>
                <c:pt idx="24">
                  <c:v>412.13283024987555</c:v>
                </c:pt>
                <c:pt idx="25">
                  <c:v>415.27771644913292</c:v>
                </c:pt>
              </c:numCache>
            </c:numRef>
          </c:val>
        </c:ser>
        <c:ser>
          <c:idx val="5"/>
          <c:order val="5"/>
          <c:tx>
            <c:strRef>
              <c:f>Plot_Data!$B$49</c:f>
              <c:strCache>
                <c:ptCount val="1"/>
                <c:pt idx="0">
                  <c:v>Linear Fluorescent</c:v>
                </c:pt>
              </c:strCache>
            </c:strRef>
          </c:tx>
          <c:cat>
            <c:numRef>
              <c:f>Plot_Data!$G$4:$AF$4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Plot_Data!$G$49:$AF$49</c:f>
              <c:numCache>
                <c:formatCode>0</c:formatCode>
                <c:ptCount val="26"/>
                <c:pt idx="0">
                  <c:v>586.44995330933114</c:v>
                </c:pt>
                <c:pt idx="1">
                  <c:v>593.31205607324853</c:v>
                </c:pt>
                <c:pt idx="2">
                  <c:v>600.98541094157235</c:v>
                </c:pt>
                <c:pt idx="3">
                  <c:v>608.78983959415007</c:v>
                </c:pt>
                <c:pt idx="4">
                  <c:v>616.35334293874757</c:v>
                </c:pt>
                <c:pt idx="5">
                  <c:v>623.8248441758742</c:v>
                </c:pt>
                <c:pt idx="6">
                  <c:v>630.64852048094633</c:v>
                </c:pt>
                <c:pt idx="7">
                  <c:v>637.45716742754064</c:v>
                </c:pt>
                <c:pt idx="8">
                  <c:v>645.06427415455062</c:v>
                </c:pt>
                <c:pt idx="9">
                  <c:v>652.60362513924406</c:v>
                </c:pt>
                <c:pt idx="10">
                  <c:v>660.51404833804349</c:v>
                </c:pt>
                <c:pt idx="11">
                  <c:v>668.11468343426168</c:v>
                </c:pt>
                <c:pt idx="12">
                  <c:v>675.58881606401758</c:v>
                </c:pt>
                <c:pt idx="13">
                  <c:v>682.96701724877448</c:v>
                </c:pt>
                <c:pt idx="14">
                  <c:v>690.32110781843573</c:v>
                </c:pt>
                <c:pt idx="15">
                  <c:v>697.63860326422241</c:v>
                </c:pt>
                <c:pt idx="16">
                  <c:v>704.65189473846283</c:v>
                </c:pt>
                <c:pt idx="17">
                  <c:v>711.90062208334382</c:v>
                </c:pt>
                <c:pt idx="18">
                  <c:v>719.43246241766951</c:v>
                </c:pt>
                <c:pt idx="19">
                  <c:v>727.00300498883928</c:v>
                </c:pt>
                <c:pt idx="20">
                  <c:v>734.40648686710097</c:v>
                </c:pt>
                <c:pt idx="21">
                  <c:v>741.71703615324293</c:v>
                </c:pt>
                <c:pt idx="22">
                  <c:v>748.99715395676128</c:v>
                </c:pt>
                <c:pt idx="23">
                  <c:v>756.24362385809513</c:v>
                </c:pt>
                <c:pt idx="24">
                  <c:v>763.45321705834544</c:v>
                </c:pt>
                <c:pt idx="25">
                  <c:v>770.62269493372878</c:v>
                </c:pt>
              </c:numCache>
            </c:numRef>
          </c:val>
        </c:ser>
        <c:dLbls>
          <c:showLegendKey val="0"/>
          <c:showVal val="0"/>
          <c:showCatName val="0"/>
          <c:showSerName val="0"/>
          <c:showPercent val="0"/>
          <c:showBubbleSize val="0"/>
        </c:dLbls>
        <c:axId val="347222784"/>
        <c:axId val="347224320"/>
      </c:areaChart>
      <c:catAx>
        <c:axId val="347222784"/>
        <c:scaling>
          <c:orientation val="minMax"/>
        </c:scaling>
        <c:delete val="0"/>
        <c:axPos val="b"/>
        <c:numFmt formatCode="General" sourceLinked="1"/>
        <c:majorTickMark val="out"/>
        <c:minorTickMark val="none"/>
        <c:tickLblPos val="nextTo"/>
        <c:crossAx val="347224320"/>
        <c:crosses val="autoZero"/>
        <c:auto val="1"/>
        <c:lblAlgn val="ctr"/>
        <c:lblOffset val="100"/>
        <c:noMultiLvlLbl val="0"/>
      </c:catAx>
      <c:valAx>
        <c:axId val="347224320"/>
        <c:scaling>
          <c:orientation val="minMax"/>
        </c:scaling>
        <c:delete val="0"/>
        <c:axPos val="l"/>
        <c:majorGridlines/>
        <c:title>
          <c:tx>
            <c:rich>
              <a:bodyPr rot="-5400000" vert="horz"/>
              <a:lstStyle/>
              <a:p>
                <a:pPr>
                  <a:defRPr/>
                </a:pPr>
                <a:r>
                  <a:rPr lang="en-US"/>
                  <a:t>Tlm-hr</a:t>
                </a:r>
              </a:p>
            </c:rich>
          </c:tx>
          <c:overlay val="0"/>
        </c:title>
        <c:numFmt formatCode="0" sourceLinked="1"/>
        <c:majorTickMark val="out"/>
        <c:minorTickMark val="none"/>
        <c:tickLblPos val="nextTo"/>
        <c:crossAx val="347222784"/>
        <c:crosses val="autoZero"/>
        <c:crossBetween val="midCat"/>
      </c:valAx>
    </c:plotArea>
    <c:legend>
      <c:legendPos val="r"/>
      <c:overlay val="0"/>
    </c:legend>
    <c:plotVisOnly val="1"/>
    <c:dispBlanksAs val="zero"/>
    <c:showDLblsOverMax val="0"/>
  </c:chart>
  <c:printSettings>
    <c:headerFooter/>
    <c:pageMargins b="0.75000000000000122" l="0.70000000000000062" r="0.70000000000000062" t="0.75000000000000122"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areaChart>
        <c:grouping val="percentStacked"/>
        <c:varyColors val="0"/>
        <c:ser>
          <c:idx val="0"/>
          <c:order val="0"/>
          <c:tx>
            <c:strRef>
              <c:f>'Sales Data'!$AN$64</c:f>
              <c:strCache>
                <c:ptCount val="1"/>
                <c:pt idx="0">
                  <c:v>INC</c:v>
                </c:pt>
              </c:strCache>
            </c:strRef>
          </c:tx>
          <c:spPr>
            <a:solidFill>
              <a:schemeClr val="accent1"/>
            </a:solidFill>
            <a:ln>
              <a:noFill/>
            </a:ln>
            <a:effectLst/>
          </c:spPr>
          <c:cat>
            <c:numRef>
              <c:f>'Sales Data'!$AO$3:$BM$3</c:f>
              <c:numCache>
                <c:formatCode>General</c:formatCode>
                <c:ptCount val="25"/>
                <c:pt idx="0">
                  <c:v>2011</c:v>
                </c:pt>
                <c:pt idx="1">
                  <c:v>2012</c:v>
                </c:pt>
                <c:pt idx="2">
                  <c:v>2013</c:v>
                </c:pt>
                <c:pt idx="3">
                  <c:v>2014</c:v>
                </c:pt>
                <c:pt idx="4">
                  <c:v>2015</c:v>
                </c:pt>
                <c:pt idx="5">
                  <c:v>2016</c:v>
                </c:pt>
                <c:pt idx="6">
                  <c:v>2017</c:v>
                </c:pt>
                <c:pt idx="7">
                  <c:v>2018</c:v>
                </c:pt>
                <c:pt idx="8">
                  <c:v>2019</c:v>
                </c:pt>
                <c:pt idx="9" formatCode="0">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'Sales Data'!$AO$64:$BM$64</c:f>
              <c:numCache>
                <c:formatCode>0.0%</c:formatCode>
                <c:ptCount val="25"/>
                <c:pt idx="0">
                  <c:v>0.16156280296950679</c:v>
                </c:pt>
                <c:pt idx="1">
                  <c:v>0.14672588773951917</c:v>
                </c:pt>
                <c:pt idx="2">
                  <c:v>0.12446191853810577</c:v>
                </c:pt>
                <c:pt idx="3">
                  <c:v>0.10702808707255816</c:v>
                </c:pt>
                <c:pt idx="4">
                  <c:v>8.9714287217298877E-2</c:v>
                </c:pt>
                <c:pt idx="5">
                  <c:v>7.1878364905226075E-2</c:v>
                </c:pt>
                <c:pt idx="6">
                  <c:v>6.1138990398473654E-2</c:v>
                </c:pt>
                <c:pt idx="7">
                  <c:v>5.1601891417589092E-2</c:v>
                </c:pt>
                <c:pt idx="8">
                  <c:v>4.3519041289203697E-2</c:v>
                </c:pt>
                <c:pt idx="9">
                  <c:v>3.6348100404703848E-2</c:v>
                </c:pt>
                <c:pt idx="10">
                  <c:v>3.0167431962955491E-2</c:v>
                </c:pt>
                <c:pt idx="11">
                  <c:v>2.501326315400584E-2</c:v>
                </c:pt>
                <c:pt idx="12">
                  <c:v>2.077150924993015E-2</c:v>
                </c:pt>
                <c:pt idx="13">
                  <c:v>1.7293210688774117E-2</c:v>
                </c:pt>
                <c:pt idx="14">
                  <c:v>1.4590776939882335E-2</c:v>
                </c:pt>
                <c:pt idx="15">
                  <c:v>1.2435972511518066E-2</c:v>
                </c:pt>
                <c:pt idx="16">
                  <c:v>1.0686971571984685E-2</c:v>
                </c:pt>
                <c:pt idx="17">
                  <c:v>9.3083126507408718E-3</c:v>
                </c:pt>
                <c:pt idx="18">
                  <c:v>8.2448232009866718E-3</c:v>
                </c:pt>
                <c:pt idx="19">
                  <c:v>7.4236584045471081E-3</c:v>
                </c:pt>
                <c:pt idx="20">
                  <c:v>6.7662873163654566E-3</c:v>
                </c:pt>
                <c:pt idx="21">
                  <c:v>6.225140871668337E-3</c:v>
                </c:pt>
                <c:pt idx="22">
                  <c:v>5.7688974854165978E-3</c:v>
                </c:pt>
                <c:pt idx="23">
                  <c:v>5.3762936675047007E-3</c:v>
                </c:pt>
                <c:pt idx="24">
                  <c:v>4.9762160005627038E-3</c:v>
                </c:pt>
              </c:numCache>
            </c:numRef>
          </c:val>
        </c:ser>
        <c:ser>
          <c:idx val="1"/>
          <c:order val="1"/>
          <c:tx>
            <c:strRef>
              <c:f>'Sales Data'!$AN$65</c:f>
              <c:strCache>
                <c:ptCount val="1"/>
                <c:pt idx="0">
                  <c:v>CFL</c:v>
                </c:pt>
              </c:strCache>
            </c:strRef>
          </c:tx>
          <c:spPr>
            <a:solidFill>
              <a:schemeClr val="accent2"/>
            </a:solidFill>
            <a:ln>
              <a:noFill/>
            </a:ln>
            <a:effectLst/>
          </c:spPr>
          <c:cat>
            <c:numRef>
              <c:f>'Sales Data'!$AO$3:$BM$3</c:f>
              <c:numCache>
                <c:formatCode>General</c:formatCode>
                <c:ptCount val="25"/>
                <c:pt idx="0">
                  <c:v>2011</c:v>
                </c:pt>
                <c:pt idx="1">
                  <c:v>2012</c:v>
                </c:pt>
                <c:pt idx="2">
                  <c:v>2013</c:v>
                </c:pt>
                <c:pt idx="3">
                  <c:v>2014</c:v>
                </c:pt>
                <c:pt idx="4">
                  <c:v>2015</c:v>
                </c:pt>
                <c:pt idx="5">
                  <c:v>2016</c:v>
                </c:pt>
                <c:pt idx="6">
                  <c:v>2017</c:v>
                </c:pt>
                <c:pt idx="7">
                  <c:v>2018</c:v>
                </c:pt>
                <c:pt idx="8">
                  <c:v>2019</c:v>
                </c:pt>
                <c:pt idx="9" formatCode="0">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'Sales Data'!$AO$65:$BM$65</c:f>
              <c:numCache>
                <c:formatCode>0.0%</c:formatCode>
                <c:ptCount val="25"/>
                <c:pt idx="0">
                  <c:v>6.5261303486642983E-2</c:v>
                </c:pt>
                <c:pt idx="1">
                  <c:v>6.3473050259791219E-2</c:v>
                </c:pt>
                <c:pt idx="2">
                  <c:v>6.8084225010912977E-2</c:v>
                </c:pt>
                <c:pt idx="3">
                  <c:v>6.6961775093659484E-2</c:v>
                </c:pt>
                <c:pt idx="4">
                  <c:v>6.8299061231334987E-2</c:v>
                </c:pt>
                <c:pt idx="5">
                  <c:v>7.0046818211336362E-2</c:v>
                </c:pt>
                <c:pt idx="6">
                  <c:v>6.3300496178749027E-2</c:v>
                </c:pt>
                <c:pt idx="7">
                  <c:v>5.6941578054504539E-2</c:v>
                </c:pt>
                <c:pt idx="8">
                  <c:v>5.0803782646541833E-2</c:v>
                </c:pt>
                <c:pt idx="9">
                  <c:v>4.499979858533671E-2</c:v>
                </c:pt>
                <c:pt idx="10">
                  <c:v>3.968939068976287E-2</c:v>
                </c:pt>
                <c:pt idx="11">
                  <c:v>3.4753830389595959E-2</c:v>
                </c:pt>
                <c:pt idx="12">
                  <c:v>3.037147196069695E-2</c:v>
                </c:pt>
                <c:pt idx="13">
                  <c:v>2.6525980031494447E-2</c:v>
                </c:pt>
                <c:pt idx="14">
                  <c:v>2.3318537975434254E-2</c:v>
                </c:pt>
                <c:pt idx="15">
                  <c:v>2.0671178369252093E-2</c:v>
                </c:pt>
                <c:pt idx="16">
                  <c:v>1.8451988439253615E-2</c:v>
                </c:pt>
                <c:pt idx="17">
                  <c:v>1.6678309310635932E-2</c:v>
                </c:pt>
                <c:pt idx="18">
                  <c:v>1.5270604875377472E-2</c:v>
                </c:pt>
                <c:pt idx="19">
                  <c:v>1.4156364171370001E-2</c:v>
                </c:pt>
                <c:pt idx="20">
                  <c:v>1.330477840177283E-2</c:v>
                </c:pt>
                <c:pt idx="21">
                  <c:v>1.2603253681497471E-2</c:v>
                </c:pt>
                <c:pt idx="22">
                  <c:v>1.2022182913949462E-2</c:v>
                </c:pt>
                <c:pt idx="23">
                  <c:v>1.1551838676326762E-2</c:v>
                </c:pt>
                <c:pt idx="24">
                  <c:v>1.1138372145179992E-2</c:v>
                </c:pt>
              </c:numCache>
            </c:numRef>
          </c:val>
        </c:ser>
        <c:ser>
          <c:idx val="2"/>
          <c:order val="2"/>
          <c:tx>
            <c:strRef>
              <c:f>'Sales Data'!$AN$66</c:f>
              <c:strCache>
                <c:ptCount val="1"/>
                <c:pt idx="0">
                  <c:v>LFL</c:v>
                </c:pt>
              </c:strCache>
            </c:strRef>
          </c:tx>
          <c:spPr>
            <a:solidFill>
              <a:schemeClr val="accent3"/>
            </a:solidFill>
            <a:ln>
              <a:noFill/>
            </a:ln>
            <a:effectLst/>
          </c:spPr>
          <c:cat>
            <c:numRef>
              <c:f>'Sales Data'!$AO$3:$BM$3</c:f>
              <c:numCache>
                <c:formatCode>General</c:formatCode>
                <c:ptCount val="25"/>
                <c:pt idx="0">
                  <c:v>2011</c:v>
                </c:pt>
                <c:pt idx="1">
                  <c:v>2012</c:v>
                </c:pt>
                <c:pt idx="2">
                  <c:v>2013</c:v>
                </c:pt>
                <c:pt idx="3">
                  <c:v>2014</c:v>
                </c:pt>
                <c:pt idx="4">
                  <c:v>2015</c:v>
                </c:pt>
                <c:pt idx="5">
                  <c:v>2016</c:v>
                </c:pt>
                <c:pt idx="6">
                  <c:v>2017</c:v>
                </c:pt>
                <c:pt idx="7">
                  <c:v>2018</c:v>
                </c:pt>
                <c:pt idx="8">
                  <c:v>2019</c:v>
                </c:pt>
                <c:pt idx="9" formatCode="0">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'Sales Data'!$AO$66:$BM$66</c:f>
              <c:numCache>
                <c:formatCode>0.0%</c:formatCode>
                <c:ptCount val="25"/>
                <c:pt idx="0">
                  <c:v>0.48130253248067695</c:v>
                </c:pt>
                <c:pt idx="1">
                  <c:v>0.48668438405843079</c:v>
                </c:pt>
                <c:pt idx="2">
                  <c:v>0.49008800444795947</c:v>
                </c:pt>
                <c:pt idx="3">
                  <c:v>0.49496274728488632</c:v>
                </c:pt>
                <c:pt idx="4">
                  <c:v>0.49836464582973605</c:v>
                </c:pt>
                <c:pt idx="5">
                  <c:v>0.49961625933517562</c:v>
                </c:pt>
                <c:pt idx="6">
                  <c:v>0.49894736940185502</c:v>
                </c:pt>
                <c:pt idx="7">
                  <c:v>0.4949761625895121</c:v>
                </c:pt>
                <c:pt idx="8">
                  <c:v>0.48812808251710088</c:v>
                </c:pt>
                <c:pt idx="9">
                  <c:v>0.47901635600705861</c:v>
                </c:pt>
                <c:pt idx="10">
                  <c:v>0.46852153144712788</c:v>
                </c:pt>
                <c:pt idx="11">
                  <c:v>0.45666068398347087</c:v>
                </c:pt>
                <c:pt idx="12">
                  <c:v>0.44397279171733928</c:v>
                </c:pt>
                <c:pt idx="13">
                  <c:v>0.43053698070950991</c:v>
                </c:pt>
                <c:pt idx="14">
                  <c:v>0.41689297662358649</c:v>
                </c:pt>
                <c:pt idx="15">
                  <c:v>0.40400806500796133</c:v>
                </c:pt>
                <c:pt idx="16">
                  <c:v>0.39095082069599685</c:v>
                </c:pt>
                <c:pt idx="17">
                  <c:v>0.37822508562252394</c:v>
                </c:pt>
                <c:pt idx="18">
                  <c:v>0.36628903949362895</c:v>
                </c:pt>
                <c:pt idx="19">
                  <c:v>0.35524973544804589</c:v>
                </c:pt>
                <c:pt idx="20">
                  <c:v>0.3445382941441939</c:v>
                </c:pt>
                <c:pt idx="21">
                  <c:v>0.33444596272950816</c:v>
                </c:pt>
                <c:pt idx="22">
                  <c:v>0.32493837501830813</c:v>
                </c:pt>
                <c:pt idx="23">
                  <c:v>0.31578583796460796</c:v>
                </c:pt>
                <c:pt idx="24">
                  <c:v>0.30670652099612816</c:v>
                </c:pt>
              </c:numCache>
            </c:numRef>
          </c:val>
        </c:ser>
        <c:ser>
          <c:idx val="3"/>
          <c:order val="3"/>
          <c:tx>
            <c:strRef>
              <c:f>'Sales Data'!$AN$67</c:f>
              <c:strCache>
                <c:ptCount val="1"/>
                <c:pt idx="0">
                  <c:v>HID</c:v>
                </c:pt>
              </c:strCache>
            </c:strRef>
          </c:tx>
          <c:spPr>
            <a:solidFill>
              <a:schemeClr val="accent4"/>
            </a:solidFill>
            <a:ln>
              <a:noFill/>
            </a:ln>
            <a:effectLst/>
          </c:spPr>
          <c:cat>
            <c:numRef>
              <c:f>'Sales Data'!$AO$3:$BM$3</c:f>
              <c:numCache>
                <c:formatCode>General</c:formatCode>
                <c:ptCount val="25"/>
                <c:pt idx="0">
                  <c:v>2011</c:v>
                </c:pt>
                <c:pt idx="1">
                  <c:v>2012</c:v>
                </c:pt>
                <c:pt idx="2">
                  <c:v>2013</c:v>
                </c:pt>
                <c:pt idx="3">
                  <c:v>2014</c:v>
                </c:pt>
                <c:pt idx="4">
                  <c:v>2015</c:v>
                </c:pt>
                <c:pt idx="5">
                  <c:v>2016</c:v>
                </c:pt>
                <c:pt idx="6">
                  <c:v>2017</c:v>
                </c:pt>
                <c:pt idx="7">
                  <c:v>2018</c:v>
                </c:pt>
                <c:pt idx="8">
                  <c:v>2019</c:v>
                </c:pt>
                <c:pt idx="9" formatCode="0">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'Sales Data'!$AO$67:$BM$67</c:f>
              <c:numCache>
                <c:formatCode>0.0%</c:formatCode>
                <c:ptCount val="25"/>
                <c:pt idx="0">
                  <c:v>0.27315358129283229</c:v>
                </c:pt>
                <c:pt idx="1">
                  <c:v>0.27611848119865628</c:v>
                </c:pt>
                <c:pt idx="2">
                  <c:v>0.27633163805966543</c:v>
                </c:pt>
                <c:pt idx="3">
                  <c:v>0.27593040916298378</c:v>
                </c:pt>
                <c:pt idx="4">
                  <c:v>0.27345698922469514</c:v>
                </c:pt>
                <c:pt idx="5">
                  <c:v>0.26893754589829716</c:v>
                </c:pt>
                <c:pt idx="6">
                  <c:v>0.2632727587923655</c:v>
                </c:pt>
                <c:pt idx="7">
                  <c:v>0.25575078732141709</c:v>
                </c:pt>
                <c:pt idx="8">
                  <c:v>0.24764024879173374</c:v>
                </c:pt>
                <c:pt idx="9">
                  <c:v>0.23878256153969821</c:v>
                </c:pt>
                <c:pt idx="10">
                  <c:v>0.23038239392247836</c:v>
                </c:pt>
                <c:pt idx="11">
                  <c:v>0.22199086092149761</c:v>
                </c:pt>
                <c:pt idx="12">
                  <c:v>0.21405717996710438</c:v>
                </c:pt>
                <c:pt idx="13">
                  <c:v>0.20641877499609865</c:v>
                </c:pt>
                <c:pt idx="14">
                  <c:v>0.19973511907141353</c:v>
                </c:pt>
                <c:pt idx="15">
                  <c:v>0.19335412451655801</c:v>
                </c:pt>
                <c:pt idx="16">
                  <c:v>0.18706810833005852</c:v>
                </c:pt>
                <c:pt idx="17">
                  <c:v>0.1813485466200242</c:v>
                </c:pt>
                <c:pt idx="18">
                  <c:v>0.17612500566851957</c:v>
                </c:pt>
                <c:pt idx="19">
                  <c:v>0.17118575990089663</c:v>
                </c:pt>
                <c:pt idx="20">
                  <c:v>0.1666669017183699</c:v>
                </c:pt>
                <c:pt idx="21">
                  <c:v>0.16244175650779158</c:v>
                </c:pt>
                <c:pt idx="22">
                  <c:v>0.15837387547939813</c:v>
                </c:pt>
                <c:pt idx="23">
                  <c:v>0.15466148438832331</c:v>
                </c:pt>
                <c:pt idx="24">
                  <c:v>0.15099114817213541</c:v>
                </c:pt>
              </c:numCache>
            </c:numRef>
          </c:val>
        </c:ser>
        <c:ser>
          <c:idx val="4"/>
          <c:order val="4"/>
          <c:tx>
            <c:strRef>
              <c:f>'Sales Data'!$AN$68</c:f>
              <c:strCache>
                <c:ptCount val="1"/>
                <c:pt idx="0">
                  <c:v>LED</c:v>
                </c:pt>
              </c:strCache>
            </c:strRef>
          </c:tx>
          <c:spPr>
            <a:solidFill>
              <a:schemeClr val="accent5"/>
            </a:solidFill>
            <a:ln>
              <a:noFill/>
            </a:ln>
            <a:effectLst/>
          </c:spPr>
          <c:cat>
            <c:numRef>
              <c:f>'Sales Data'!$AO$3:$BM$3</c:f>
              <c:numCache>
                <c:formatCode>General</c:formatCode>
                <c:ptCount val="25"/>
                <c:pt idx="0">
                  <c:v>2011</c:v>
                </c:pt>
                <c:pt idx="1">
                  <c:v>2012</c:v>
                </c:pt>
                <c:pt idx="2">
                  <c:v>2013</c:v>
                </c:pt>
                <c:pt idx="3">
                  <c:v>2014</c:v>
                </c:pt>
                <c:pt idx="4">
                  <c:v>2015</c:v>
                </c:pt>
                <c:pt idx="5">
                  <c:v>2016</c:v>
                </c:pt>
                <c:pt idx="6">
                  <c:v>2017</c:v>
                </c:pt>
                <c:pt idx="7">
                  <c:v>2018</c:v>
                </c:pt>
                <c:pt idx="8">
                  <c:v>2019</c:v>
                </c:pt>
                <c:pt idx="9" formatCode="0">
                  <c:v>2020</c:v>
                </c:pt>
                <c:pt idx="10">
                  <c:v>2021</c:v>
                </c:pt>
                <c:pt idx="11">
                  <c:v>2022</c:v>
                </c:pt>
                <c:pt idx="12">
                  <c:v>2023</c:v>
                </c:pt>
                <c:pt idx="13">
                  <c:v>2024</c:v>
                </c:pt>
                <c:pt idx="14">
                  <c:v>2025</c:v>
                </c:pt>
                <c:pt idx="15">
                  <c:v>2026</c:v>
                </c:pt>
                <c:pt idx="16">
                  <c:v>2027</c:v>
                </c:pt>
                <c:pt idx="17">
                  <c:v>2028</c:v>
                </c:pt>
                <c:pt idx="18">
                  <c:v>2029</c:v>
                </c:pt>
                <c:pt idx="19">
                  <c:v>2030</c:v>
                </c:pt>
                <c:pt idx="20">
                  <c:v>2031</c:v>
                </c:pt>
                <c:pt idx="21">
                  <c:v>2032</c:v>
                </c:pt>
                <c:pt idx="22">
                  <c:v>2033</c:v>
                </c:pt>
                <c:pt idx="23">
                  <c:v>2034</c:v>
                </c:pt>
                <c:pt idx="24">
                  <c:v>2035</c:v>
                </c:pt>
              </c:numCache>
            </c:numRef>
          </c:cat>
          <c:val>
            <c:numRef>
              <c:f>'Sales Data'!$AO$68:$BM$68</c:f>
              <c:numCache>
                <c:formatCode>0.0%</c:formatCode>
                <c:ptCount val="25"/>
                <c:pt idx="0">
                  <c:v>1.8719779770341064E-2</c:v>
                </c:pt>
                <c:pt idx="1">
                  <c:v>2.6998196743602446E-2</c:v>
                </c:pt>
                <c:pt idx="2">
                  <c:v>4.1034213943356511E-2</c:v>
                </c:pt>
                <c:pt idx="3">
                  <c:v>5.5116981385912249E-2</c:v>
                </c:pt>
                <c:pt idx="4">
                  <c:v>7.0165016496935073E-2</c:v>
                </c:pt>
                <c:pt idx="5">
                  <c:v>8.9521011649964718E-2</c:v>
                </c:pt>
                <c:pt idx="6">
                  <c:v>0.11334038522855665</c:v>
                </c:pt>
                <c:pt idx="7">
                  <c:v>0.14072958061697718</c:v>
                </c:pt>
                <c:pt idx="8">
                  <c:v>0.16990884475541984</c:v>
                </c:pt>
                <c:pt idx="9">
                  <c:v>0.20085318346320252</c:v>
                </c:pt>
                <c:pt idx="10">
                  <c:v>0.23123925197767523</c:v>
                </c:pt>
                <c:pt idx="11">
                  <c:v>0.26158136155142986</c:v>
                </c:pt>
                <c:pt idx="12">
                  <c:v>0.29082704710492913</c:v>
                </c:pt>
                <c:pt idx="13">
                  <c:v>0.3192250535741229</c:v>
                </c:pt>
                <c:pt idx="14">
                  <c:v>0.34546258938968338</c:v>
                </c:pt>
                <c:pt idx="15">
                  <c:v>0.36953065959471054</c:v>
                </c:pt>
                <c:pt idx="16">
                  <c:v>0.39284211096270627</c:v>
                </c:pt>
                <c:pt idx="17">
                  <c:v>0.41443974579607512</c:v>
                </c:pt>
                <c:pt idx="18">
                  <c:v>0.43407052676148733</c:v>
                </c:pt>
                <c:pt idx="19">
                  <c:v>0.45198448207514025</c:v>
                </c:pt>
                <c:pt idx="20">
                  <c:v>0.4687237384192981</c:v>
                </c:pt>
                <c:pt idx="21">
                  <c:v>0.48428388620953439</c:v>
                </c:pt>
                <c:pt idx="22">
                  <c:v>0.49889666910292785</c:v>
                </c:pt>
                <c:pt idx="23">
                  <c:v>0.51262454530323742</c:v>
                </c:pt>
                <c:pt idx="24">
                  <c:v>0.52618774268599366</c:v>
                </c:pt>
              </c:numCache>
            </c:numRef>
          </c:val>
        </c:ser>
        <c:dLbls>
          <c:showLegendKey val="0"/>
          <c:showVal val="0"/>
          <c:showCatName val="0"/>
          <c:showSerName val="0"/>
          <c:showPercent val="0"/>
          <c:showBubbleSize val="0"/>
        </c:dLbls>
        <c:axId val="346791296"/>
        <c:axId val="346801280"/>
      </c:areaChart>
      <c:catAx>
        <c:axId val="346791296"/>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Palatino Linotype" panose="02040502050505030304" pitchFamily="18" charset="0"/>
                <a:ea typeface="+mn-ea"/>
                <a:cs typeface="+mn-cs"/>
              </a:defRPr>
            </a:pPr>
            <a:endParaRPr lang="en-US"/>
          </a:p>
        </c:txPr>
        <c:crossAx val="346801280"/>
        <c:crosses val="autoZero"/>
        <c:auto val="1"/>
        <c:lblAlgn val="ctr"/>
        <c:lblOffset val="100"/>
        <c:noMultiLvlLbl val="0"/>
      </c:catAx>
      <c:valAx>
        <c:axId val="346801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Palatino Linotype" panose="02040502050505030304" pitchFamily="18" charset="0"/>
                <a:ea typeface="+mn-ea"/>
                <a:cs typeface="+mn-cs"/>
              </a:defRPr>
            </a:pPr>
            <a:endParaRPr lang="en-US"/>
          </a:p>
        </c:txPr>
        <c:crossAx val="346791296"/>
        <c:crosses val="autoZero"/>
        <c:crossBetween val="midCat"/>
      </c:valAx>
      <c:spPr>
        <a:noFill/>
        <a:ln>
          <a:noFill/>
        </a:ln>
        <a:effectLst/>
      </c:spPr>
    </c:plotArea>
    <c:plotVisOnly val="1"/>
    <c:dispBlanksAs val="zero"/>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userShapes r:id="rId1"/>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Cumulative Energy</a:t>
            </a:r>
            <a:r>
              <a:rPr lang="en-US" baseline="0"/>
              <a:t> Savings by Sector</a:t>
            </a:r>
            <a:endParaRPr lang="en-US"/>
          </a:p>
        </c:rich>
      </c:tx>
      <c:overlay val="0"/>
    </c:title>
    <c:autoTitleDeleted val="0"/>
    <c:plotArea>
      <c:layout/>
      <c:areaChart>
        <c:grouping val="stacked"/>
        <c:varyColors val="0"/>
        <c:ser>
          <c:idx val="0"/>
          <c:order val="0"/>
          <c:tx>
            <c:strRef>
              <c:f>Cumul_Savings_Total!$B$190</c:f>
              <c:strCache>
                <c:ptCount val="1"/>
                <c:pt idx="0">
                  <c:v>Commercial</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Cumul_Savings_Total!$G$190:$AF$190</c:f>
              <c:numCache>
                <c:formatCode>_(* #,##0.000_);_(* \(#,##0.000\);_(* "-"??_);_(@_)</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Cumul_Savings_Total!$B$191</c:f>
              <c:strCache>
                <c:ptCount val="1"/>
                <c:pt idx="0">
                  <c:v>Industrial</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Cumul_Savings_Total!$G$191:$AF$191</c:f>
              <c:numCache>
                <c:formatCode>_(* #,##0.000_);_(* \(#,##0.000\);_(* "-"??_);_(@_)</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
          <c:order val="2"/>
          <c:tx>
            <c:strRef>
              <c:f>Cumul_Savings_Total!$B$192</c:f>
              <c:strCache>
                <c:ptCount val="1"/>
                <c:pt idx="0">
                  <c:v>Outdoor</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Cumul_Savings_Total!$G$192:$AF$192</c:f>
              <c:numCache>
                <c:formatCode>_(* #,##0.000_);_(* \(#,##0.000\);_(* "-"??_);_(@_)</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3"/>
          <c:order val="3"/>
          <c:tx>
            <c:strRef>
              <c:f>Cumul_Savings_Total!$B$193</c:f>
              <c:strCache>
                <c:ptCount val="1"/>
                <c:pt idx="0">
                  <c:v>Residential</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Cumul_Savings_Total!$G$193:$AF$193</c:f>
              <c:numCache>
                <c:formatCode>_(* #,##0.000_);_(* \(#,##0.000\);_(* "-"??_);_(@_)</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dLbls>
          <c:showLegendKey val="0"/>
          <c:showVal val="0"/>
          <c:showCatName val="0"/>
          <c:showSerName val="0"/>
          <c:showPercent val="0"/>
          <c:showBubbleSize val="0"/>
        </c:dLbls>
        <c:axId val="348985600"/>
        <c:axId val="348987392"/>
      </c:areaChart>
      <c:catAx>
        <c:axId val="348985600"/>
        <c:scaling>
          <c:orientation val="minMax"/>
        </c:scaling>
        <c:delete val="0"/>
        <c:axPos val="b"/>
        <c:numFmt formatCode="General" sourceLinked="1"/>
        <c:majorTickMark val="out"/>
        <c:minorTickMark val="none"/>
        <c:tickLblPos val="nextTo"/>
        <c:crossAx val="348987392"/>
        <c:crosses val="autoZero"/>
        <c:auto val="1"/>
        <c:lblAlgn val="ctr"/>
        <c:lblOffset val="100"/>
        <c:noMultiLvlLbl val="0"/>
      </c:catAx>
      <c:valAx>
        <c:axId val="348987392"/>
        <c:scaling>
          <c:orientation val="minMax"/>
        </c:scaling>
        <c:delete val="0"/>
        <c:axPos val="l"/>
        <c:majorGridlines/>
        <c:title>
          <c:tx>
            <c:rich>
              <a:bodyPr rot="-5400000" vert="horz"/>
              <a:lstStyle/>
              <a:p>
                <a:pPr>
                  <a:defRPr/>
                </a:pPr>
                <a:r>
                  <a:rPr lang="en-US"/>
                  <a:t>  Cumulative Source Energy Saved (aMW)</a:t>
                </a:r>
              </a:p>
            </c:rich>
          </c:tx>
          <c:overlay val="0"/>
        </c:title>
        <c:numFmt formatCode="General" sourceLinked="0"/>
        <c:majorTickMark val="out"/>
        <c:minorTickMark val="none"/>
        <c:tickLblPos val="nextTo"/>
        <c:crossAx val="348985600"/>
        <c:crosses val="autoZero"/>
        <c:crossBetween val="midCat"/>
      </c:valAx>
    </c:plotArea>
    <c:legend>
      <c:legendPos val="r"/>
      <c:overlay val="0"/>
    </c:legend>
    <c:plotVisOnly val="1"/>
    <c:dispBlanksAs val="zero"/>
    <c:showDLblsOverMax val="0"/>
  </c:chart>
  <c:printSettings>
    <c:headerFooter/>
    <c:pageMargins b="0.75000000000000122" l="0.70000000000000062" r="0.70000000000000062" t="0.75000000000000122"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First</a:t>
            </a:r>
            <a:r>
              <a:rPr lang="en-US" baseline="0"/>
              <a:t> Year</a:t>
            </a:r>
            <a:r>
              <a:rPr lang="en-US"/>
              <a:t> Energy</a:t>
            </a:r>
            <a:r>
              <a:rPr lang="en-US" baseline="0"/>
              <a:t> Savings by Sector</a:t>
            </a:r>
            <a:endParaRPr lang="en-US"/>
          </a:p>
        </c:rich>
      </c:tx>
      <c:overlay val="0"/>
    </c:title>
    <c:autoTitleDeleted val="0"/>
    <c:plotArea>
      <c:layout/>
      <c:areaChart>
        <c:grouping val="stacked"/>
        <c:varyColors val="0"/>
        <c:ser>
          <c:idx val="0"/>
          <c:order val="0"/>
          <c:tx>
            <c:strRef>
              <c:f>Cumul_Savings_Total!$B$190</c:f>
              <c:strCache>
                <c:ptCount val="1"/>
                <c:pt idx="0">
                  <c:v>Commercial</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First_Yr_Savings_Total!$G$75:$AF$75</c:f>
              <c:numCache>
                <c:formatCode>_(* #,##0.000_);_(* \(#,##0.000\);_(* "-"??_);_(@_)</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Cumul_Savings_Total!$B$191</c:f>
              <c:strCache>
                <c:ptCount val="1"/>
                <c:pt idx="0">
                  <c:v>Industrial</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First_Yr_Savings_Total!$G$76:$AF$76</c:f>
              <c:numCache>
                <c:formatCode>_(* #,##0.000_);_(* \(#,##0.000\);_(* "-"??_);_(@_)</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
          <c:order val="2"/>
          <c:tx>
            <c:strRef>
              <c:f>Cumul_Savings_Total!$B$192</c:f>
              <c:strCache>
                <c:ptCount val="1"/>
                <c:pt idx="0">
                  <c:v>Outdoor</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First_Yr_Savings_Total!$G$77:$AF$77</c:f>
              <c:numCache>
                <c:formatCode>_(* #,##0.000_);_(* \(#,##0.000\);_(* "-"??_);_(@_)</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3"/>
          <c:order val="3"/>
          <c:tx>
            <c:strRef>
              <c:f>Cumul_Savings_Total!$B$193</c:f>
              <c:strCache>
                <c:ptCount val="1"/>
                <c:pt idx="0">
                  <c:v>Residential</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First_Yr_Savings_Total!$G$78:$AF$78</c:f>
              <c:numCache>
                <c:formatCode>_(* #,##0.000_);_(* \(#,##0.000\);_(* "-"??_);_(@_)</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dLbls>
          <c:showLegendKey val="0"/>
          <c:showVal val="0"/>
          <c:showCatName val="0"/>
          <c:showSerName val="0"/>
          <c:showPercent val="0"/>
          <c:showBubbleSize val="0"/>
        </c:dLbls>
        <c:axId val="348654592"/>
        <c:axId val="349029120"/>
      </c:areaChart>
      <c:catAx>
        <c:axId val="348654592"/>
        <c:scaling>
          <c:orientation val="minMax"/>
        </c:scaling>
        <c:delete val="0"/>
        <c:axPos val="b"/>
        <c:numFmt formatCode="General" sourceLinked="1"/>
        <c:majorTickMark val="out"/>
        <c:minorTickMark val="none"/>
        <c:tickLblPos val="nextTo"/>
        <c:crossAx val="349029120"/>
        <c:crosses val="autoZero"/>
        <c:auto val="1"/>
        <c:lblAlgn val="ctr"/>
        <c:lblOffset val="100"/>
        <c:noMultiLvlLbl val="0"/>
      </c:catAx>
      <c:valAx>
        <c:axId val="349029120"/>
        <c:scaling>
          <c:orientation val="minMax"/>
        </c:scaling>
        <c:delete val="0"/>
        <c:axPos val="l"/>
        <c:majorGridlines/>
        <c:title>
          <c:tx>
            <c:rich>
              <a:bodyPr rot="-5400000" vert="horz"/>
              <a:lstStyle/>
              <a:p>
                <a:pPr>
                  <a:defRPr/>
                </a:pPr>
                <a:r>
                  <a:rPr lang="en-US"/>
                  <a:t>  First Year Source Energy Saved (aMW)</a:t>
                </a:r>
              </a:p>
            </c:rich>
          </c:tx>
          <c:overlay val="0"/>
        </c:title>
        <c:numFmt formatCode="General" sourceLinked="0"/>
        <c:majorTickMark val="out"/>
        <c:minorTickMark val="none"/>
        <c:tickLblPos val="nextTo"/>
        <c:crossAx val="348654592"/>
        <c:crosses val="autoZero"/>
        <c:crossBetween val="midCat"/>
      </c:valAx>
    </c:plotArea>
    <c:legend>
      <c:legendPos val="r"/>
      <c:overlay val="0"/>
    </c:legend>
    <c:plotVisOnly val="1"/>
    <c:dispBlanksAs val="zero"/>
    <c:showDLblsOverMax val="0"/>
  </c:chart>
  <c:printSettings>
    <c:headerFooter/>
    <c:pageMargins b="0.75000000000000122" l="0.70000000000000062" r="0.70000000000000062" t="0.75000000000000122"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strRef>
              <c:f>Savings_Data!$B$308</c:f>
              <c:strCache>
                <c:ptCount val="1"/>
                <c:pt idx="0">
                  <c:v>Case 1</c:v>
                </c:pt>
              </c:strCache>
            </c:strRef>
          </c:tx>
          <c:xVal>
            <c:numRef>
              <c:f>Savings_Data!$G$3:$AF$3</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xVal>
          <c:yVal>
            <c:numRef>
              <c:f>Savings_Data!$G$308:$AF$308</c:f>
              <c:numCache>
                <c:formatCode>_(* #,##0_);_(* \(#,##0\);_(* "-"??_);_(@_)</c:formatCode>
                <c:ptCount val="26"/>
                <c:pt idx="0">
                  <c:v>3443.3059469022332</c:v>
                </c:pt>
                <c:pt idx="1">
                  <c:v>3374.663996342756</c:v>
                </c:pt>
                <c:pt idx="2">
                  <c:v>3318.818044914256</c:v>
                </c:pt>
                <c:pt idx="3">
                  <c:v>3226.0451495732036</c:v>
                </c:pt>
                <c:pt idx="4">
                  <c:v>3128.457824415525</c:v>
                </c:pt>
                <c:pt idx="5">
                  <c:v>3033.3982886541226</c:v>
                </c:pt>
                <c:pt idx="6">
                  <c:v>2932.681587736261</c:v>
                </c:pt>
                <c:pt idx="7">
                  <c:v>2842.3274669041371</c:v>
                </c:pt>
                <c:pt idx="8">
                  <c:v>2757.3407714711834</c:v>
                </c:pt>
                <c:pt idx="9">
                  <c:v>2673.8822243529767</c:v>
                </c:pt>
                <c:pt idx="10">
                  <c:v>2590.9453485973158</c:v>
                </c:pt>
                <c:pt idx="11">
                  <c:v>2506.7321976774183</c:v>
                </c:pt>
                <c:pt idx="12">
                  <c:v>2422.8858649145322</c:v>
                </c:pt>
                <c:pt idx="13">
                  <c:v>2340.4428580682561</c:v>
                </c:pt>
                <c:pt idx="14">
                  <c:v>2260.9953628578746</c:v>
                </c:pt>
                <c:pt idx="15">
                  <c:v>2185.8964025725759</c:v>
                </c:pt>
                <c:pt idx="16">
                  <c:v>2115.5234873616564</c:v>
                </c:pt>
                <c:pt idx="17">
                  <c:v>2051.9463322170118</c:v>
                </c:pt>
                <c:pt idx="18">
                  <c:v>1992.7145686243593</c:v>
                </c:pt>
                <c:pt idx="19">
                  <c:v>1938.7392663747901</c:v>
                </c:pt>
                <c:pt idx="20">
                  <c:v>1889.8195179870206</c:v>
                </c:pt>
                <c:pt idx="21">
                  <c:v>1845.790009120562</c:v>
                </c:pt>
                <c:pt idx="22">
                  <c:v>1806.5522190321415</c:v>
                </c:pt>
                <c:pt idx="23">
                  <c:v>1771.86324534337</c:v>
                </c:pt>
                <c:pt idx="24">
                  <c:v>1741.1064433754691</c:v>
                </c:pt>
                <c:pt idx="25">
                  <c:v>1713.1342851214067</c:v>
                </c:pt>
              </c:numCache>
            </c:numRef>
          </c:yVal>
          <c:smooth val="0"/>
        </c:ser>
        <c:ser>
          <c:idx val="1"/>
          <c:order val="1"/>
          <c:tx>
            <c:strRef>
              <c:f>Savings_Data!$B$309</c:f>
              <c:strCache>
                <c:ptCount val="1"/>
                <c:pt idx="0">
                  <c:v>Case 2</c:v>
                </c:pt>
              </c:strCache>
            </c:strRef>
          </c:tx>
          <c:xVal>
            <c:numRef>
              <c:f>Savings_Data!$G$3:$AF$3</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xVal>
          <c:yVal>
            <c:numRef>
              <c:f>Savings_Data!$G$309:$AF$309</c:f>
              <c:numCache>
                <c:formatCode>_(* #,##0_);_(* \(#,##0\);_(* "-"??_);_(@_)</c:formatCode>
                <c:ptCount val="26"/>
                <c:pt idx="0">
                  <c:v>3443.3059469022332</c:v>
                </c:pt>
                <c:pt idx="1">
                  <c:v>3374.663996342756</c:v>
                </c:pt>
                <c:pt idx="2">
                  <c:v>3318.818044914256</c:v>
                </c:pt>
                <c:pt idx="3">
                  <c:v>3226.0451495732036</c:v>
                </c:pt>
                <c:pt idx="4">
                  <c:v>3128.457824415525</c:v>
                </c:pt>
                <c:pt idx="5">
                  <c:v>3033.3982886541226</c:v>
                </c:pt>
                <c:pt idx="6">
                  <c:v>2932.681587736261</c:v>
                </c:pt>
                <c:pt idx="7">
                  <c:v>2842.3274669041371</c:v>
                </c:pt>
                <c:pt idx="8">
                  <c:v>2757.3407714711834</c:v>
                </c:pt>
                <c:pt idx="9">
                  <c:v>2673.8822243529767</c:v>
                </c:pt>
                <c:pt idx="10">
                  <c:v>2590.9453485973158</c:v>
                </c:pt>
                <c:pt idx="11">
                  <c:v>2506.7321976774183</c:v>
                </c:pt>
                <c:pt idx="12">
                  <c:v>2422.8858649145322</c:v>
                </c:pt>
                <c:pt idx="13">
                  <c:v>2340.4428580682561</c:v>
                </c:pt>
                <c:pt idx="14">
                  <c:v>2260.9953628578746</c:v>
                </c:pt>
                <c:pt idx="15">
                  <c:v>2185.8964025725759</c:v>
                </c:pt>
                <c:pt idx="16">
                  <c:v>2115.5234873616564</c:v>
                </c:pt>
                <c:pt idx="17">
                  <c:v>2051.9463322170118</c:v>
                </c:pt>
                <c:pt idx="18">
                  <c:v>1992.7145686243593</c:v>
                </c:pt>
                <c:pt idx="19">
                  <c:v>1938.7392663747901</c:v>
                </c:pt>
                <c:pt idx="20">
                  <c:v>1889.8195179870206</c:v>
                </c:pt>
                <c:pt idx="21">
                  <c:v>1845.790009120562</c:v>
                </c:pt>
                <c:pt idx="22">
                  <c:v>1806.5522190321415</c:v>
                </c:pt>
                <c:pt idx="23">
                  <c:v>1771.86324534337</c:v>
                </c:pt>
                <c:pt idx="24">
                  <c:v>1741.1064433754691</c:v>
                </c:pt>
                <c:pt idx="25">
                  <c:v>1713.1342851214067</c:v>
                </c:pt>
              </c:numCache>
            </c:numRef>
          </c:yVal>
          <c:smooth val="0"/>
        </c:ser>
        <c:dLbls>
          <c:showLegendKey val="0"/>
          <c:showVal val="0"/>
          <c:showCatName val="0"/>
          <c:showSerName val="0"/>
          <c:showPercent val="0"/>
          <c:showBubbleSize val="0"/>
        </c:dLbls>
        <c:axId val="349198592"/>
        <c:axId val="313131008"/>
      </c:scatterChart>
      <c:valAx>
        <c:axId val="349198592"/>
        <c:scaling>
          <c:orientation val="minMax"/>
          <c:max val="2035"/>
          <c:min val="2010"/>
        </c:scaling>
        <c:delete val="0"/>
        <c:axPos val="b"/>
        <c:numFmt formatCode="General" sourceLinked="1"/>
        <c:majorTickMark val="out"/>
        <c:minorTickMark val="none"/>
        <c:tickLblPos val="nextTo"/>
        <c:crossAx val="313131008"/>
        <c:crosses val="autoZero"/>
        <c:crossBetween val="midCat"/>
      </c:valAx>
      <c:valAx>
        <c:axId val="313131008"/>
        <c:scaling>
          <c:orientation val="minMax"/>
          <c:min val="3400"/>
        </c:scaling>
        <c:delete val="0"/>
        <c:axPos val="l"/>
        <c:majorGridlines/>
        <c:title>
          <c:tx>
            <c:rich>
              <a:bodyPr rot="-5400000" vert="horz"/>
              <a:lstStyle/>
              <a:p>
                <a:pPr>
                  <a:defRPr/>
                </a:pPr>
                <a:r>
                  <a:rPr lang="en-US"/>
                  <a:t>Source Energy Consumption (aMW)</a:t>
                </a:r>
              </a:p>
            </c:rich>
          </c:tx>
          <c:overlay val="0"/>
        </c:title>
        <c:numFmt formatCode="_(* #,##0_);_(* \(#,##0\);_(* &quot;-&quot;??_);_(@_)" sourceLinked="1"/>
        <c:majorTickMark val="out"/>
        <c:minorTickMark val="none"/>
        <c:tickLblPos val="nextTo"/>
        <c:crossAx val="349198592"/>
        <c:crosses val="autoZero"/>
        <c:crossBetween val="midCat"/>
      </c:valAx>
    </c:plotArea>
    <c:legend>
      <c:legendPos val="r"/>
      <c:overlay val="0"/>
    </c:legend>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Commercial</a:t>
            </a:r>
            <a:r>
              <a:rPr lang="en-US" baseline="0"/>
              <a:t> </a:t>
            </a:r>
            <a:r>
              <a:rPr lang="en-US"/>
              <a:t>Cumulative Energy</a:t>
            </a:r>
            <a:r>
              <a:rPr lang="en-US" baseline="0"/>
              <a:t> Savings </a:t>
            </a:r>
            <a:endParaRPr lang="en-US"/>
          </a:p>
        </c:rich>
      </c:tx>
      <c:overlay val="0"/>
    </c:title>
    <c:autoTitleDeleted val="0"/>
    <c:plotArea>
      <c:layout/>
      <c:areaChart>
        <c:grouping val="stacked"/>
        <c:varyColors val="0"/>
        <c:ser>
          <c:idx val="0"/>
          <c:order val="0"/>
          <c:tx>
            <c:strRef>
              <c:f>Cumul_Savings_Total!$B$156</c:f>
              <c:strCache>
                <c:ptCount val="1"/>
                <c:pt idx="0">
                  <c:v>GSL-Medium Screw</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Cumul_Savings_Total!$G$156:$AF$156</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Cumul_Savings_Total!$B$157</c:f>
              <c:strCache>
                <c:ptCount val="1"/>
                <c:pt idx="0">
                  <c:v>Reflectors</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Cumul_Savings_Total!$G$157:$AF$157</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
          <c:order val="2"/>
          <c:tx>
            <c:strRef>
              <c:f>Cumul_Savings_Total!$B$158</c:f>
              <c:strCache>
                <c:ptCount val="1"/>
                <c:pt idx="0">
                  <c:v>Linear Fluorescent</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Cumul_Savings_Total!$G$158:$AF$158</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3"/>
          <c:order val="3"/>
          <c:tx>
            <c:strRef>
              <c:f>Cumul_Savings_Total!$B$159</c:f>
              <c:strCache>
                <c:ptCount val="1"/>
                <c:pt idx="0">
                  <c:v>HID</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Cumul_Savings_Total!$G$159:$AF$159</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Cumul_Savings_Total!$B$160</c:f>
              <c:strCache>
                <c:ptCount val="1"/>
                <c:pt idx="0">
                  <c:v>Miscellaneous</c:v>
                </c:pt>
              </c:strCache>
            </c:strRef>
          </c:tx>
          <c:spPr>
            <a:ln w="25400">
              <a:noFill/>
            </a:ln>
          </c:spPr>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Cumul_Savings_Total!$G$160:$AF$160</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dLbls>
          <c:showLegendKey val="0"/>
          <c:showVal val="0"/>
          <c:showCatName val="0"/>
          <c:showSerName val="0"/>
          <c:showPercent val="0"/>
          <c:showBubbleSize val="0"/>
        </c:dLbls>
        <c:axId val="313187712"/>
        <c:axId val="313193600"/>
      </c:areaChart>
      <c:catAx>
        <c:axId val="313187712"/>
        <c:scaling>
          <c:orientation val="minMax"/>
        </c:scaling>
        <c:delete val="0"/>
        <c:axPos val="b"/>
        <c:numFmt formatCode="General" sourceLinked="1"/>
        <c:majorTickMark val="out"/>
        <c:minorTickMark val="none"/>
        <c:tickLblPos val="nextTo"/>
        <c:crossAx val="313193600"/>
        <c:crosses val="autoZero"/>
        <c:auto val="1"/>
        <c:lblAlgn val="ctr"/>
        <c:lblOffset val="100"/>
        <c:noMultiLvlLbl val="0"/>
      </c:catAx>
      <c:valAx>
        <c:axId val="313193600"/>
        <c:scaling>
          <c:orientation val="minMax"/>
        </c:scaling>
        <c:delete val="0"/>
        <c:axPos val="l"/>
        <c:majorGridlines/>
        <c:title>
          <c:tx>
            <c:rich>
              <a:bodyPr rot="-5400000" vert="horz"/>
              <a:lstStyle/>
              <a:p>
                <a:pPr>
                  <a:defRPr/>
                </a:pPr>
                <a:r>
                  <a:rPr lang="en-US"/>
                  <a:t>  Cumulative Source Energy Saved (aMW)</a:t>
                </a:r>
              </a:p>
            </c:rich>
          </c:tx>
          <c:overlay val="0"/>
        </c:title>
        <c:numFmt formatCode="General" sourceLinked="0"/>
        <c:majorTickMark val="out"/>
        <c:minorTickMark val="none"/>
        <c:tickLblPos val="nextTo"/>
        <c:crossAx val="313187712"/>
        <c:crosses val="autoZero"/>
        <c:crossBetween val="midCat"/>
      </c:valAx>
    </c:plotArea>
    <c:legend>
      <c:legendPos val="r"/>
      <c:overlay val="0"/>
    </c:legend>
    <c:plotVisOnly val="1"/>
    <c:dispBlanksAs val="zero"/>
    <c:showDLblsOverMax val="0"/>
  </c:chart>
  <c:printSettings>
    <c:headerFooter/>
    <c:pageMargins b="0.75000000000000122" l="0.70000000000000062" r="0.70000000000000062" t="0.75000000000000122" header="0.30000000000000032" footer="0.3000000000000003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Industrial</a:t>
            </a:r>
            <a:r>
              <a:rPr lang="en-US" baseline="0"/>
              <a:t> </a:t>
            </a:r>
            <a:r>
              <a:rPr lang="en-US"/>
              <a:t>Cumulative Energy</a:t>
            </a:r>
            <a:r>
              <a:rPr lang="en-US" baseline="0"/>
              <a:t> Savings </a:t>
            </a:r>
            <a:endParaRPr lang="en-US"/>
          </a:p>
        </c:rich>
      </c:tx>
      <c:overlay val="0"/>
    </c:title>
    <c:autoTitleDeleted val="0"/>
    <c:plotArea>
      <c:layout/>
      <c:areaChart>
        <c:grouping val="stacked"/>
        <c:varyColors val="0"/>
        <c:ser>
          <c:idx val="0"/>
          <c:order val="0"/>
          <c:tx>
            <c:strRef>
              <c:f>Cumul_Savings_Total!$B$164</c:f>
              <c:strCache>
                <c:ptCount val="1"/>
                <c:pt idx="0">
                  <c:v>GSL-Medium Screw</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Cumul_Savings_Total!$G$164:$AF$164</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Cumul_Savings_Total!$B$165</c:f>
              <c:strCache>
                <c:ptCount val="1"/>
                <c:pt idx="0">
                  <c:v>Reflectors</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Cumul_Savings_Total!$G$165:$AF$165</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
          <c:order val="2"/>
          <c:tx>
            <c:strRef>
              <c:f>Cumul_Savings_Total!$B$166</c:f>
              <c:strCache>
                <c:ptCount val="1"/>
                <c:pt idx="0">
                  <c:v>Linear Fluorescent</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Cumul_Savings_Total!$G$166:$AF$166</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3"/>
          <c:order val="3"/>
          <c:tx>
            <c:strRef>
              <c:f>Cumul_Savings_Total!$B$167</c:f>
              <c:strCache>
                <c:ptCount val="1"/>
                <c:pt idx="0">
                  <c:v>HID</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Cumul_Savings_Total!$G$167:$AF$167</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Cumul_Savings_Total!$B$168</c:f>
              <c:strCache>
                <c:ptCount val="1"/>
                <c:pt idx="0">
                  <c:v>Miscellaneous</c:v>
                </c:pt>
              </c:strCache>
            </c:strRef>
          </c:tx>
          <c:spPr>
            <a:ln w="25400">
              <a:noFill/>
            </a:ln>
          </c:spPr>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Cumul_Savings_Total!$G$168:$AF$168</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dLbls>
          <c:showLegendKey val="0"/>
          <c:showVal val="0"/>
          <c:showCatName val="0"/>
          <c:showSerName val="0"/>
          <c:showPercent val="0"/>
          <c:showBubbleSize val="0"/>
        </c:dLbls>
        <c:axId val="350839936"/>
        <c:axId val="350841472"/>
      </c:areaChart>
      <c:catAx>
        <c:axId val="350839936"/>
        <c:scaling>
          <c:orientation val="minMax"/>
        </c:scaling>
        <c:delete val="0"/>
        <c:axPos val="b"/>
        <c:numFmt formatCode="General" sourceLinked="1"/>
        <c:majorTickMark val="out"/>
        <c:minorTickMark val="none"/>
        <c:tickLblPos val="nextTo"/>
        <c:crossAx val="350841472"/>
        <c:crosses val="autoZero"/>
        <c:auto val="1"/>
        <c:lblAlgn val="ctr"/>
        <c:lblOffset val="100"/>
        <c:noMultiLvlLbl val="0"/>
      </c:catAx>
      <c:valAx>
        <c:axId val="350841472"/>
        <c:scaling>
          <c:orientation val="minMax"/>
        </c:scaling>
        <c:delete val="0"/>
        <c:axPos val="l"/>
        <c:majorGridlines/>
        <c:title>
          <c:tx>
            <c:rich>
              <a:bodyPr rot="-5400000" vert="horz"/>
              <a:lstStyle/>
              <a:p>
                <a:pPr>
                  <a:defRPr/>
                </a:pPr>
                <a:r>
                  <a:rPr lang="en-US"/>
                  <a:t>  Cumulative Source Energy Saved (aMW)</a:t>
                </a:r>
              </a:p>
            </c:rich>
          </c:tx>
          <c:overlay val="0"/>
        </c:title>
        <c:numFmt formatCode="General" sourceLinked="0"/>
        <c:majorTickMark val="out"/>
        <c:minorTickMark val="none"/>
        <c:tickLblPos val="nextTo"/>
        <c:crossAx val="350839936"/>
        <c:crosses val="autoZero"/>
        <c:crossBetween val="midCat"/>
      </c:valAx>
    </c:plotArea>
    <c:legend>
      <c:legendPos val="r"/>
      <c:overlay val="0"/>
    </c:legend>
    <c:plotVisOnly val="1"/>
    <c:dispBlanksAs val="zero"/>
    <c:showDLblsOverMax val="0"/>
  </c:chart>
  <c:printSettings>
    <c:headerFooter/>
    <c:pageMargins b="0.75000000000000122" l="0.70000000000000062" r="0.70000000000000062" t="0.75000000000000122" header="0.30000000000000032" footer="0.3000000000000003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Outdoor</a:t>
            </a:r>
            <a:r>
              <a:rPr lang="en-US" baseline="0"/>
              <a:t> </a:t>
            </a:r>
            <a:r>
              <a:rPr lang="en-US"/>
              <a:t>Cumulative Energy</a:t>
            </a:r>
            <a:r>
              <a:rPr lang="en-US" baseline="0"/>
              <a:t> Savings </a:t>
            </a:r>
            <a:endParaRPr lang="en-US"/>
          </a:p>
        </c:rich>
      </c:tx>
      <c:overlay val="0"/>
    </c:title>
    <c:autoTitleDeleted val="0"/>
    <c:plotArea>
      <c:layout/>
      <c:areaChart>
        <c:grouping val="stacked"/>
        <c:varyColors val="0"/>
        <c:ser>
          <c:idx val="0"/>
          <c:order val="0"/>
          <c:tx>
            <c:strRef>
              <c:f>Cumul_Savings_Total!$B$172</c:f>
              <c:strCache>
                <c:ptCount val="1"/>
                <c:pt idx="0">
                  <c:v>GSL-Medium Screw</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Cumul_Savings_Total!$G$172:$AF$172</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Cumul_Savings_Total!$B$173</c:f>
              <c:strCache>
                <c:ptCount val="1"/>
                <c:pt idx="0">
                  <c:v>Reflectors</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Cumul_Savings_Total!$G$173:$AF$173</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
          <c:order val="2"/>
          <c:tx>
            <c:strRef>
              <c:f>Cumul_Savings_Total!$B$174</c:f>
              <c:strCache>
                <c:ptCount val="1"/>
                <c:pt idx="0">
                  <c:v>Linear Fluorescent</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Cumul_Savings_Total!$G$174:$AF$174</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3"/>
          <c:order val="3"/>
          <c:tx>
            <c:strRef>
              <c:f>Cumul_Savings_Total!$B$175</c:f>
              <c:strCache>
                <c:ptCount val="1"/>
                <c:pt idx="0">
                  <c:v>HID</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Cumul_Savings_Total!$G$175:$AF$175</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Cumul_Savings_Total!$B$176</c:f>
              <c:strCache>
                <c:ptCount val="1"/>
                <c:pt idx="0">
                  <c:v>Miscellaneous</c:v>
                </c:pt>
              </c:strCache>
            </c:strRef>
          </c:tx>
          <c:spPr>
            <a:ln w="25400">
              <a:noFill/>
            </a:ln>
          </c:spPr>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Cumul_Savings_Total!$G$176:$AF$176</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dLbls>
          <c:showLegendKey val="0"/>
          <c:showVal val="0"/>
          <c:showCatName val="0"/>
          <c:showSerName val="0"/>
          <c:showPercent val="0"/>
          <c:showBubbleSize val="0"/>
        </c:dLbls>
        <c:axId val="351152384"/>
        <c:axId val="351162368"/>
      </c:areaChart>
      <c:catAx>
        <c:axId val="351152384"/>
        <c:scaling>
          <c:orientation val="minMax"/>
        </c:scaling>
        <c:delete val="0"/>
        <c:axPos val="b"/>
        <c:numFmt formatCode="General" sourceLinked="1"/>
        <c:majorTickMark val="out"/>
        <c:minorTickMark val="none"/>
        <c:tickLblPos val="nextTo"/>
        <c:crossAx val="351162368"/>
        <c:crosses val="autoZero"/>
        <c:auto val="1"/>
        <c:lblAlgn val="ctr"/>
        <c:lblOffset val="100"/>
        <c:noMultiLvlLbl val="0"/>
      </c:catAx>
      <c:valAx>
        <c:axId val="351162368"/>
        <c:scaling>
          <c:orientation val="minMax"/>
        </c:scaling>
        <c:delete val="0"/>
        <c:axPos val="l"/>
        <c:majorGridlines/>
        <c:title>
          <c:tx>
            <c:rich>
              <a:bodyPr rot="-5400000" vert="horz"/>
              <a:lstStyle/>
              <a:p>
                <a:pPr>
                  <a:defRPr/>
                </a:pPr>
                <a:r>
                  <a:rPr lang="en-US"/>
                  <a:t>  Cumulative Source Energy Saved (aMW)</a:t>
                </a:r>
              </a:p>
            </c:rich>
          </c:tx>
          <c:overlay val="0"/>
        </c:title>
        <c:numFmt formatCode="General" sourceLinked="0"/>
        <c:majorTickMark val="out"/>
        <c:minorTickMark val="none"/>
        <c:tickLblPos val="nextTo"/>
        <c:crossAx val="351152384"/>
        <c:crosses val="autoZero"/>
        <c:crossBetween val="midCat"/>
      </c:valAx>
    </c:plotArea>
    <c:legend>
      <c:legendPos val="r"/>
      <c:overlay val="0"/>
    </c:legend>
    <c:plotVisOnly val="1"/>
    <c:dispBlanksAs val="zero"/>
    <c:showDLblsOverMax val="0"/>
  </c:chart>
  <c:printSettings>
    <c:headerFooter/>
    <c:pageMargins b="0.75000000000000122" l="0.70000000000000062" r="0.70000000000000062" t="0.75000000000000122" header="0.30000000000000032" footer="0.30000000000000032"/>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Residential</a:t>
            </a:r>
            <a:r>
              <a:rPr lang="en-US" baseline="0"/>
              <a:t> </a:t>
            </a:r>
            <a:r>
              <a:rPr lang="en-US"/>
              <a:t>Cumulative Energy</a:t>
            </a:r>
            <a:r>
              <a:rPr lang="en-US" baseline="0"/>
              <a:t> Savings </a:t>
            </a:r>
            <a:endParaRPr lang="en-US"/>
          </a:p>
        </c:rich>
      </c:tx>
      <c:overlay val="0"/>
    </c:title>
    <c:autoTitleDeleted val="0"/>
    <c:plotArea>
      <c:layout/>
      <c:areaChart>
        <c:grouping val="stacked"/>
        <c:varyColors val="0"/>
        <c:ser>
          <c:idx val="0"/>
          <c:order val="0"/>
          <c:tx>
            <c:strRef>
              <c:f>Cumul_Savings_Total!$B$180</c:f>
              <c:strCache>
                <c:ptCount val="1"/>
                <c:pt idx="0">
                  <c:v>GSL-Medium Screw</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Cumul_Savings_Total!$G$180:$AF$180</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1"/>
          <c:order val="1"/>
          <c:tx>
            <c:strRef>
              <c:f>Cumul_Savings_Total!$B$181</c:f>
              <c:strCache>
                <c:ptCount val="1"/>
                <c:pt idx="0">
                  <c:v>Reflectors</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Cumul_Savings_Total!$G$181:$AF$181</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2"/>
          <c:order val="2"/>
          <c:tx>
            <c:strRef>
              <c:f>Cumul_Savings_Total!$B$182</c:f>
              <c:strCache>
                <c:ptCount val="1"/>
                <c:pt idx="0">
                  <c:v>Linear Fluorescent</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Cumul_Savings_Total!$G$182:$AF$182</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3"/>
          <c:order val="3"/>
          <c:tx>
            <c:strRef>
              <c:f>Cumul_Savings_Total!$B$183</c:f>
              <c:strCache>
                <c:ptCount val="1"/>
                <c:pt idx="0">
                  <c:v>HID</c:v>
                </c:pt>
              </c:strCache>
            </c:strRef>
          </c:tx>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Cumul_Savings_Total!$G$183:$AF$183</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ser>
          <c:idx val="4"/>
          <c:order val="4"/>
          <c:tx>
            <c:strRef>
              <c:f>Cumul_Savings_Total!$B$184</c:f>
              <c:strCache>
                <c:ptCount val="1"/>
                <c:pt idx="0">
                  <c:v>Miscellaneous</c:v>
                </c:pt>
              </c:strCache>
            </c:strRef>
          </c:tx>
          <c:spPr>
            <a:ln w="25400">
              <a:noFill/>
            </a:ln>
          </c:spPr>
          <c:cat>
            <c:numRef>
              <c:f>Cumul_Savings_Total!$G$4:$AF$4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Cumul_Savings_Total!$G$184:$AF$184</c:f>
              <c:numCache>
                <c:formatCode>0.000</c:formatCode>
                <c:ptCount val="2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dLbls>
          <c:showLegendKey val="0"/>
          <c:showVal val="0"/>
          <c:showCatName val="0"/>
          <c:showSerName val="0"/>
          <c:showPercent val="0"/>
          <c:showBubbleSize val="0"/>
        </c:dLbls>
        <c:axId val="351202304"/>
        <c:axId val="350950144"/>
      </c:areaChart>
      <c:catAx>
        <c:axId val="351202304"/>
        <c:scaling>
          <c:orientation val="minMax"/>
        </c:scaling>
        <c:delete val="0"/>
        <c:axPos val="b"/>
        <c:numFmt formatCode="General" sourceLinked="1"/>
        <c:majorTickMark val="out"/>
        <c:minorTickMark val="none"/>
        <c:tickLblPos val="nextTo"/>
        <c:crossAx val="350950144"/>
        <c:crosses val="autoZero"/>
        <c:auto val="1"/>
        <c:lblAlgn val="ctr"/>
        <c:lblOffset val="100"/>
        <c:noMultiLvlLbl val="0"/>
      </c:catAx>
      <c:valAx>
        <c:axId val="350950144"/>
        <c:scaling>
          <c:orientation val="minMax"/>
        </c:scaling>
        <c:delete val="0"/>
        <c:axPos val="l"/>
        <c:majorGridlines/>
        <c:title>
          <c:tx>
            <c:rich>
              <a:bodyPr rot="-5400000" vert="horz"/>
              <a:lstStyle/>
              <a:p>
                <a:pPr>
                  <a:defRPr/>
                </a:pPr>
                <a:r>
                  <a:rPr lang="en-US"/>
                  <a:t>  Cumulative Source Energy Saved (aMW)</a:t>
                </a:r>
              </a:p>
            </c:rich>
          </c:tx>
          <c:overlay val="0"/>
        </c:title>
        <c:numFmt formatCode="General" sourceLinked="0"/>
        <c:majorTickMark val="out"/>
        <c:minorTickMark val="none"/>
        <c:tickLblPos val="nextTo"/>
        <c:crossAx val="351202304"/>
        <c:crosses val="autoZero"/>
        <c:crossBetween val="midCat"/>
      </c:valAx>
    </c:plotArea>
    <c:legend>
      <c:legendPos val="r"/>
      <c:overlay val="0"/>
    </c:legend>
    <c:plotVisOnly val="1"/>
    <c:dispBlanksAs val="zero"/>
    <c:showDLblsOverMax val="0"/>
  </c:chart>
  <c:printSettings>
    <c:headerFooter/>
    <c:pageMargins b="0.75000000000000122" l="0.70000000000000062" r="0.70000000000000062" t="0.75000000000000122" header="0.30000000000000032" footer="0.30000000000000032"/>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Total</a:t>
            </a:r>
            <a:r>
              <a:rPr lang="en-US" baseline="0"/>
              <a:t> Market Lighting Energy Consumption </a:t>
            </a:r>
            <a:endParaRPr lang="en-US"/>
          </a:p>
        </c:rich>
      </c:tx>
      <c:overlay val="0"/>
    </c:title>
    <c:autoTitleDeleted val="0"/>
    <c:plotArea>
      <c:layout/>
      <c:lineChart>
        <c:grouping val="standard"/>
        <c:varyColors val="0"/>
        <c:ser>
          <c:idx val="0"/>
          <c:order val="0"/>
          <c:tx>
            <c:strRef>
              <c:f>Case_Comparison!$B$7</c:f>
              <c:strCache>
                <c:ptCount val="1"/>
                <c:pt idx="0">
                  <c:v>Frozen Efficiency, 6th Plan Standards</c:v>
                </c:pt>
              </c:strCache>
            </c:strRef>
          </c:tx>
          <c:marker>
            <c:symbol val="none"/>
          </c:marker>
          <c:cat>
            <c:numRef>
              <c:f>Case_Comparison!$G$4:$AF$4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Case_Comparison!$G$7:$AF$7</c:f>
              <c:numCache>
                <c:formatCode>0.000</c:formatCode>
                <c:ptCount val="26"/>
                <c:pt idx="0">
                  <c:v>27.46281571112139</c:v>
                </c:pt>
                <c:pt idx="1">
                  <c:v>27.227200313355908</c:v>
                </c:pt>
                <c:pt idx="2">
                  <c:v>27.071670931269058</c:v>
                </c:pt>
                <c:pt idx="3">
                  <c:v>26.759394139610482</c:v>
                </c:pt>
                <c:pt idx="4">
                  <c:v>26.465947548606188</c:v>
                </c:pt>
                <c:pt idx="5">
                  <c:v>26.126866441770602</c:v>
                </c:pt>
                <c:pt idx="6">
                  <c:v>25.673132674473521</c:v>
                </c:pt>
                <c:pt idx="7">
                  <c:v>25.388479915664689</c:v>
                </c:pt>
                <c:pt idx="8">
                  <c:v>25.187113706919533</c:v>
                </c:pt>
                <c:pt idx="9">
                  <c:v>25.028464795836225</c:v>
                </c:pt>
                <c:pt idx="10">
                  <c:v>24.88554142104454</c:v>
                </c:pt>
                <c:pt idx="11">
                  <c:v>24.729497288525007</c:v>
                </c:pt>
                <c:pt idx="12">
                  <c:v>24.581007328583947</c:v>
                </c:pt>
                <c:pt idx="13">
                  <c:v>24.423201357402892</c:v>
                </c:pt>
                <c:pt idx="14">
                  <c:v>24.273020657862745</c:v>
                </c:pt>
                <c:pt idx="15">
                  <c:v>24.117644902219503</c:v>
                </c:pt>
                <c:pt idx="16">
                  <c:v>23.956132501309643</c:v>
                </c:pt>
                <c:pt idx="17">
                  <c:v>23.806415519283203</c:v>
                </c:pt>
                <c:pt idx="18">
                  <c:v>23.653623632941102</c:v>
                </c:pt>
                <c:pt idx="19">
                  <c:v>23.495868493795783</c:v>
                </c:pt>
                <c:pt idx="20">
                  <c:v>23.336251478987588</c:v>
                </c:pt>
                <c:pt idx="21">
                  <c:v>23.182245511086656</c:v>
                </c:pt>
                <c:pt idx="22">
                  <c:v>23.029920610518463</c:v>
                </c:pt>
                <c:pt idx="23">
                  <c:v>22.879546099004745</c:v>
                </c:pt>
                <c:pt idx="24">
                  <c:v>22.730969937045668</c:v>
                </c:pt>
                <c:pt idx="25">
                  <c:v>22.57860637696167</c:v>
                </c:pt>
              </c:numCache>
            </c:numRef>
          </c:val>
          <c:smooth val="0"/>
        </c:ser>
        <c:ser>
          <c:idx val="1"/>
          <c:order val="1"/>
          <c:tx>
            <c:strRef>
              <c:f>Case_Comparison!$B$8</c:f>
              <c:strCache>
                <c:ptCount val="1"/>
                <c:pt idx="0">
                  <c:v>Frozen Efficiency, All Standards</c:v>
                </c:pt>
              </c:strCache>
            </c:strRef>
          </c:tx>
          <c:marker>
            <c:symbol val="none"/>
          </c:marker>
          <c:cat>
            <c:numRef>
              <c:f>Case_Comparison!$G$4:$AF$4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Case_Comparison!$G$8:$AF$8</c:f>
              <c:numCache>
                <c:formatCode>0.000</c:formatCode>
                <c:ptCount val="26"/>
                <c:pt idx="0">
                  <c:v>27.46281571112139</c:v>
                </c:pt>
                <c:pt idx="1">
                  <c:v>27.181450269280585</c:v>
                </c:pt>
                <c:pt idx="2">
                  <c:v>26.93733384013645</c:v>
                </c:pt>
                <c:pt idx="3">
                  <c:v>26.526942812942305</c:v>
                </c:pt>
                <c:pt idx="4">
                  <c:v>25.870790208812984</c:v>
                </c:pt>
                <c:pt idx="5">
                  <c:v>25.086794959029387</c:v>
                </c:pt>
                <c:pt idx="6">
                  <c:v>24.167395237973526</c:v>
                </c:pt>
                <c:pt idx="7">
                  <c:v>23.412507643725185</c:v>
                </c:pt>
                <c:pt idx="8">
                  <c:v>22.817492634937064</c:v>
                </c:pt>
                <c:pt idx="9">
                  <c:v>22.328029380578855</c:v>
                </c:pt>
                <c:pt idx="10">
                  <c:v>21.976302994889142</c:v>
                </c:pt>
                <c:pt idx="11">
                  <c:v>21.714948860577355</c:v>
                </c:pt>
                <c:pt idx="12">
                  <c:v>21.552324867524081</c:v>
                </c:pt>
                <c:pt idx="13">
                  <c:v>21.386679656885292</c:v>
                </c:pt>
                <c:pt idx="14">
                  <c:v>21.231492655860812</c:v>
                </c:pt>
                <c:pt idx="15">
                  <c:v>21.075151174980721</c:v>
                </c:pt>
                <c:pt idx="16">
                  <c:v>20.915660788979558</c:v>
                </c:pt>
                <c:pt idx="17">
                  <c:v>20.767790983724034</c:v>
                </c:pt>
                <c:pt idx="18">
                  <c:v>20.618571026766606</c:v>
                </c:pt>
                <c:pt idx="19">
                  <c:v>20.46636381792932</c:v>
                </c:pt>
                <c:pt idx="20">
                  <c:v>20.314404237981844</c:v>
                </c:pt>
                <c:pt idx="21">
                  <c:v>20.168525512950083</c:v>
                </c:pt>
                <c:pt idx="22">
                  <c:v>20.025305833017562</c:v>
                </c:pt>
                <c:pt idx="23">
                  <c:v>19.885021377056948</c:v>
                </c:pt>
                <c:pt idx="24">
                  <c:v>19.746963632098783</c:v>
                </c:pt>
                <c:pt idx="25">
                  <c:v>19.606449940560765</c:v>
                </c:pt>
              </c:numCache>
            </c:numRef>
          </c:val>
          <c:smooth val="0"/>
        </c:ser>
        <c:ser>
          <c:idx val="2"/>
          <c:order val="2"/>
          <c:tx>
            <c:strRef>
              <c:f>Case_Comparison!$B$9</c:f>
              <c:strCache>
                <c:ptCount val="1"/>
                <c:pt idx="0">
                  <c:v>Technology Shift, All Standards</c:v>
                </c:pt>
              </c:strCache>
            </c:strRef>
          </c:tx>
          <c:marker>
            <c:symbol val="none"/>
          </c:marker>
          <c:cat>
            <c:numRef>
              <c:f>Case_Comparison!$G$4:$AF$4</c:f>
              <c:numCache>
                <c:formatCode>General</c:formatCode>
                <c:ptCount val="26"/>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pt idx="14">
                  <c:v>2024</c:v>
                </c:pt>
                <c:pt idx="15">
                  <c:v>2025</c:v>
                </c:pt>
                <c:pt idx="16">
                  <c:v>2026</c:v>
                </c:pt>
                <c:pt idx="17">
                  <c:v>2027</c:v>
                </c:pt>
                <c:pt idx="18">
                  <c:v>2028</c:v>
                </c:pt>
                <c:pt idx="19">
                  <c:v>2029</c:v>
                </c:pt>
                <c:pt idx="20">
                  <c:v>2030</c:v>
                </c:pt>
                <c:pt idx="21">
                  <c:v>2031</c:v>
                </c:pt>
                <c:pt idx="22">
                  <c:v>2032</c:v>
                </c:pt>
                <c:pt idx="23">
                  <c:v>2033</c:v>
                </c:pt>
                <c:pt idx="24">
                  <c:v>2034</c:v>
                </c:pt>
                <c:pt idx="25">
                  <c:v>2035</c:v>
                </c:pt>
              </c:numCache>
            </c:numRef>
          </c:cat>
          <c:val>
            <c:numRef>
              <c:f>Case_Comparison!$G$9:$AF$9</c:f>
              <c:numCache>
                <c:formatCode>0.000</c:formatCode>
                <c:ptCount val="26"/>
                <c:pt idx="0">
                  <c:v>27.46281571112139</c:v>
                </c:pt>
                <c:pt idx="1">
                  <c:v>27.041732966842645</c:v>
                </c:pt>
                <c:pt idx="2">
                  <c:v>26.633280190732794</c:v>
                </c:pt>
                <c:pt idx="3">
                  <c:v>25.962978361163501</c:v>
                </c:pt>
                <c:pt idx="4">
                  <c:v>24.966284025532659</c:v>
                </c:pt>
                <c:pt idx="5">
                  <c:v>23.694005744086219</c:v>
                </c:pt>
                <c:pt idx="6">
                  <c:v>22.115151879673004</c:v>
                </c:pt>
                <c:pt idx="7">
                  <c:v>20.531421906867347</c:v>
                </c:pt>
                <c:pt idx="8">
                  <c:v>19.055158175690345</c:v>
                </c:pt>
                <c:pt idx="9">
                  <c:v>17.88481250316271</c:v>
                </c:pt>
                <c:pt idx="10">
                  <c:v>16.727440674947303</c:v>
                </c:pt>
                <c:pt idx="11">
                  <c:v>15.751914480564967</c:v>
                </c:pt>
                <c:pt idx="12">
                  <c:v>14.937448109569459</c:v>
                </c:pt>
                <c:pt idx="13">
                  <c:v>14.241881674131724</c:v>
                </c:pt>
                <c:pt idx="14">
                  <c:v>13.625054128297851</c:v>
                </c:pt>
                <c:pt idx="15">
                  <c:v>13.063755696838168</c:v>
                </c:pt>
                <c:pt idx="16">
                  <c:v>12.554732429627455</c:v>
                </c:pt>
                <c:pt idx="17">
                  <c:v>12.104824312756383</c:v>
                </c:pt>
                <c:pt idx="18">
                  <c:v>11.703446606353779</c:v>
                </c:pt>
                <c:pt idx="19">
                  <c:v>11.341543217690534</c:v>
                </c:pt>
                <c:pt idx="20">
                  <c:v>11.01850934849989</c:v>
                </c:pt>
                <c:pt idx="21">
                  <c:v>10.732746321674002</c:v>
                </c:pt>
                <c:pt idx="22">
                  <c:v>10.478849665775682</c:v>
                </c:pt>
                <c:pt idx="23">
                  <c:v>10.253628600799708</c:v>
                </c:pt>
                <c:pt idx="24">
                  <c:v>10.053509768528178</c:v>
                </c:pt>
                <c:pt idx="25">
                  <c:v>9.8696641399500162</c:v>
                </c:pt>
              </c:numCache>
            </c:numRef>
          </c:val>
          <c:smooth val="0"/>
        </c:ser>
        <c:dLbls>
          <c:showLegendKey val="0"/>
          <c:showVal val="0"/>
          <c:showCatName val="0"/>
          <c:showSerName val="0"/>
          <c:showPercent val="0"/>
          <c:showBubbleSize val="0"/>
        </c:dLbls>
        <c:marker val="1"/>
        <c:smooth val="0"/>
        <c:axId val="349265280"/>
        <c:axId val="349267072"/>
      </c:lineChart>
      <c:catAx>
        <c:axId val="349265280"/>
        <c:scaling>
          <c:orientation val="minMax"/>
        </c:scaling>
        <c:delete val="0"/>
        <c:axPos val="b"/>
        <c:numFmt formatCode="General" sourceLinked="1"/>
        <c:majorTickMark val="out"/>
        <c:minorTickMark val="none"/>
        <c:tickLblPos val="nextTo"/>
        <c:crossAx val="349267072"/>
        <c:crosses val="autoZero"/>
        <c:auto val="1"/>
        <c:lblAlgn val="ctr"/>
        <c:lblOffset val="100"/>
        <c:noMultiLvlLbl val="0"/>
      </c:catAx>
      <c:valAx>
        <c:axId val="349267072"/>
        <c:scaling>
          <c:orientation val="minMax"/>
        </c:scaling>
        <c:delete val="0"/>
        <c:axPos val="l"/>
        <c:majorGridlines>
          <c:spPr>
            <a:ln>
              <a:prstDash val="sysDash"/>
            </a:ln>
          </c:spPr>
        </c:majorGridlines>
        <c:numFmt formatCode="0.000" sourceLinked="1"/>
        <c:majorTickMark val="out"/>
        <c:minorTickMark val="none"/>
        <c:tickLblPos val="nextTo"/>
        <c:crossAx val="349265280"/>
        <c:crosses val="autoZero"/>
        <c:crossBetween val="between"/>
      </c:valAx>
    </c:plotArea>
    <c:legend>
      <c:legendPos val="r"/>
      <c:overlay val="0"/>
    </c:legend>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7.xml"/></Relationships>
</file>

<file path=xl/drawings/_rels/drawing7.xml.rels><?xml version="1.0" encoding="UTF-8" standalone="yes"?>
<Relationships xmlns="http://schemas.openxmlformats.org/package/2006/relationships"><Relationship Id="rId3" Type="http://schemas.openxmlformats.org/officeDocument/2006/relationships/chart" Target="../charts/chart10.xml"/><Relationship Id="rId2" Type="http://schemas.openxmlformats.org/officeDocument/2006/relationships/chart" Target="../charts/chart9.xml"/><Relationship Id="rId1" Type="http://schemas.openxmlformats.org/officeDocument/2006/relationships/chart" Target="../charts/chart8.xml"/></Relationships>
</file>

<file path=xl/drawings/_rels/drawing8.xml.rels><?xml version="1.0" encoding="UTF-8" standalone="yes"?>
<Relationships xmlns="http://schemas.openxmlformats.org/package/2006/relationships"><Relationship Id="rId3" Type="http://schemas.openxmlformats.org/officeDocument/2006/relationships/chart" Target="../charts/chart13.xml"/><Relationship Id="rId2" Type="http://schemas.openxmlformats.org/officeDocument/2006/relationships/chart" Target="../charts/chart12.xml"/><Relationship Id="rId1" Type="http://schemas.openxmlformats.org/officeDocument/2006/relationships/chart" Target="../charts/chart11.xml"/></Relationships>
</file>

<file path=xl/drawings/_rels/drawing9.xml.rels><?xml version="1.0" encoding="UTF-8" standalone="yes"?>
<Relationships xmlns="http://schemas.openxmlformats.org/package/2006/relationships"><Relationship Id="rId2" Type="http://schemas.openxmlformats.org/officeDocument/2006/relationships/chart" Target="../charts/chart15.xml"/><Relationship Id="rId1" Type="http://schemas.openxmlformats.org/officeDocument/2006/relationships/chart" Target="../charts/chart14.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3.xml.rels><?xml version="1.0" encoding="UTF-8" standalone="yes"?>
<Relationships xmlns="http://schemas.openxmlformats.org/package/2006/relationships"><Relationship Id="rId3" Type="http://schemas.openxmlformats.org/officeDocument/2006/relationships/chart" Target="../charts/chart20.xml"/><Relationship Id="rId7" Type="http://schemas.openxmlformats.org/officeDocument/2006/relationships/chart" Target="../charts/chart24.xml"/><Relationship Id="rId2" Type="http://schemas.openxmlformats.org/officeDocument/2006/relationships/chart" Target="../charts/chart19.xml"/><Relationship Id="rId1" Type="http://schemas.openxmlformats.org/officeDocument/2006/relationships/chart" Target="../charts/chart18.xml"/><Relationship Id="rId6" Type="http://schemas.openxmlformats.org/officeDocument/2006/relationships/chart" Target="../charts/chart23.xml"/><Relationship Id="rId5" Type="http://schemas.openxmlformats.org/officeDocument/2006/relationships/chart" Target="../charts/chart22.xml"/><Relationship Id="rId4" Type="http://schemas.openxmlformats.org/officeDocument/2006/relationships/chart" Target="../charts/chart21.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25.xml"/></Relationships>
</file>

<file path=xl/drawings/drawing1.xml><?xml version="1.0" encoding="utf-8"?>
<xdr:wsDr xmlns:xdr="http://schemas.openxmlformats.org/drawingml/2006/spreadsheetDrawing" xmlns:a="http://schemas.openxmlformats.org/drawingml/2006/main">
  <xdr:twoCellAnchor editAs="oneCell">
    <xdr:from>
      <xdr:col>0</xdr:col>
      <xdr:colOff>200025</xdr:colOff>
      <xdr:row>2</xdr:row>
      <xdr:rowOff>2894</xdr:rowOff>
    </xdr:from>
    <xdr:to>
      <xdr:col>8</xdr:col>
      <xdr:colOff>247650</xdr:colOff>
      <xdr:row>17</xdr:row>
      <xdr:rowOff>152101</xdr:rowOff>
    </xdr:to>
    <xdr:pic>
      <xdr:nvPicPr>
        <xdr:cNvPr id="2" name="Picture 1"/>
        <xdr:cNvPicPr>
          <a:picLocks noChangeAspect="1"/>
        </xdr:cNvPicPr>
      </xdr:nvPicPr>
      <xdr:blipFill>
        <a:blip xmlns:r="http://schemas.openxmlformats.org/officeDocument/2006/relationships" r:embed="rId1" cstate="print"/>
        <a:stretch>
          <a:fillRect/>
        </a:stretch>
      </xdr:blipFill>
      <xdr:spPr>
        <a:xfrm>
          <a:off x="200025" y="421994"/>
          <a:ext cx="4924425" cy="30067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47625</xdr:colOff>
          <xdr:row>4</xdr:row>
          <xdr:rowOff>47625</xdr:rowOff>
        </xdr:from>
        <xdr:to>
          <xdr:col>12</xdr:col>
          <xdr:colOff>419100</xdr:colOff>
          <xdr:row>7</xdr:row>
          <xdr:rowOff>104775</xdr:rowOff>
        </xdr:to>
        <xdr:sp macro="" textlink="">
          <xdr:nvSpPr>
            <xdr:cNvPr id="26632" name="Button 8" hidden="1">
              <a:extLst>
                <a:ext uri="{63B3BB69-23CF-44E3-9099-C40C66FF867C}">
                  <a14:compatExt spid="_x0000_s26632"/>
                </a:ext>
              </a:extLst>
            </xdr:cNvPr>
            <xdr:cNvSpPr/>
          </xdr:nvSpPr>
          <xdr:spPr>
            <a:xfrm>
              <a:off x="0" y="0"/>
              <a:ext cx="0" cy="0"/>
            </a:xfrm>
            <a:prstGeom prst="rect">
              <a:avLst/>
            </a:prstGeom>
          </xdr:spPr>
          <xdr:txBody>
            <a:bodyPr vertOverflow="clip" wrap="square" lIns="18288" tIns="18288" rIns="18288" bIns="18288" anchor="ctr" upright="1"/>
            <a:lstStyle/>
            <a:p>
              <a:pPr algn="ctr" rtl="0">
                <a:defRPr sz="1000"/>
              </a:pPr>
              <a:r>
                <a:rPr lang="en-US" sz="1100" b="0" i="0" u="none" strike="noStrike" baseline="0">
                  <a:solidFill>
                    <a:srgbClr val="000000"/>
                  </a:solidFill>
                  <a:latin typeface="Calibri"/>
                </a:rPr>
                <a:t>Calculate Case 1 Energy for All Sectors and Total Market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xdr:row>
          <xdr:rowOff>47625</xdr:rowOff>
        </xdr:from>
        <xdr:to>
          <xdr:col>12</xdr:col>
          <xdr:colOff>409575</xdr:colOff>
          <xdr:row>12</xdr:row>
          <xdr:rowOff>104775</xdr:rowOff>
        </xdr:to>
        <xdr:sp macro="" textlink="">
          <xdr:nvSpPr>
            <xdr:cNvPr id="26633" name="Button 9" hidden="1">
              <a:extLst>
                <a:ext uri="{63B3BB69-23CF-44E3-9099-C40C66FF867C}">
                  <a14:compatExt spid="_x0000_s26633"/>
                </a:ext>
              </a:extLst>
            </xdr:cNvPr>
            <xdr:cNvSpPr/>
          </xdr:nvSpPr>
          <xdr:spPr>
            <a:xfrm>
              <a:off x="0" y="0"/>
              <a:ext cx="0" cy="0"/>
            </a:xfrm>
            <a:prstGeom prst="rect">
              <a:avLst/>
            </a:prstGeom>
          </xdr:spPr>
          <xdr:txBody>
            <a:bodyPr vertOverflow="clip" wrap="square" lIns="18288" tIns="18288" rIns="18288" bIns="18288" anchor="ctr" upright="1"/>
            <a:lstStyle/>
            <a:p>
              <a:pPr algn="ctr" rtl="0">
                <a:defRPr sz="1000"/>
              </a:pPr>
              <a:r>
                <a:rPr lang="en-US" sz="1100" b="0" i="0" u="none" strike="noStrike" baseline="0">
                  <a:solidFill>
                    <a:srgbClr val="000000"/>
                  </a:solidFill>
                  <a:latin typeface="Calibri"/>
                </a:rPr>
                <a:t>Calculate Case 2 Savings (Case 1 - Case 2)</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7</xdr:col>
      <xdr:colOff>241300</xdr:colOff>
      <xdr:row>9</xdr:row>
      <xdr:rowOff>158750</xdr:rowOff>
    </xdr:from>
    <xdr:to>
      <xdr:col>17</xdr:col>
      <xdr:colOff>340783</xdr:colOff>
      <xdr:row>24</xdr:row>
      <xdr:rowOff>98425</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5226050" y="1905000"/>
          <a:ext cx="6195483" cy="2701925"/>
        </a:xfrm>
        <a:prstGeom prst="rect">
          <a:avLst/>
        </a:prstGeom>
        <a:noFill/>
        <a:ln w="1">
          <a:noFill/>
          <a:miter lim="800000"/>
          <a:headEnd/>
          <a:tailEnd type="none" w="med" len="med"/>
        </a:ln>
        <a:effec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9</xdr:col>
      <xdr:colOff>642936</xdr:colOff>
      <xdr:row>6</xdr:row>
      <xdr:rowOff>125413</xdr:rowOff>
    </xdr:from>
    <xdr:to>
      <xdr:col>23</xdr:col>
      <xdr:colOff>74612</xdr:colOff>
      <xdr:row>25</xdr:row>
      <xdr:rowOff>41804</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247650</xdr:colOff>
      <xdr:row>43</xdr:row>
      <xdr:rowOff>114299</xdr:rowOff>
    </xdr:from>
    <xdr:to>
      <xdr:col>10</xdr:col>
      <xdr:colOff>47625</xdr:colOff>
      <xdr:row>62</xdr:row>
      <xdr:rowOff>19050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47625</xdr:colOff>
      <xdr:row>43</xdr:row>
      <xdr:rowOff>161925</xdr:rowOff>
    </xdr:from>
    <xdr:to>
      <xdr:col>21</xdr:col>
      <xdr:colOff>428625</xdr:colOff>
      <xdr:row>62</xdr:row>
      <xdr:rowOff>28575</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219075</xdr:colOff>
      <xdr:row>63</xdr:row>
      <xdr:rowOff>38101</xdr:rowOff>
    </xdr:from>
    <xdr:to>
      <xdr:col>10</xdr:col>
      <xdr:colOff>47625</xdr:colOff>
      <xdr:row>81</xdr:row>
      <xdr:rowOff>180975</xdr:rowOff>
    </xdr:to>
    <xdr:graphicFrame macro="">
      <xdr:nvGraphicFramePr>
        <xdr:cNvPr id="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10</xdr:row>
      <xdr:rowOff>1</xdr:rowOff>
    </xdr:from>
    <xdr:to>
      <xdr:col>13</xdr:col>
      <xdr:colOff>57150</xdr:colOff>
      <xdr:row>30</xdr:row>
      <xdr:rowOff>133351</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238125</xdr:colOff>
      <xdr:row>85</xdr:row>
      <xdr:rowOff>47625</xdr:rowOff>
    </xdr:from>
    <xdr:to>
      <xdr:col>10</xdr:col>
      <xdr:colOff>9525</xdr:colOff>
      <xdr:row>103</xdr:row>
      <xdr:rowOff>104775</xdr:rowOff>
    </xdr:to>
    <xdr:graphicFrame macro="">
      <xdr:nvGraphicFramePr>
        <xdr:cNvPr id="6"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6</xdr:col>
      <xdr:colOff>257175</xdr:colOff>
      <xdr:row>14</xdr:row>
      <xdr:rowOff>152400</xdr:rowOff>
    </xdr:from>
    <xdr:to>
      <xdr:col>13</xdr:col>
      <xdr:colOff>561975</xdr:colOff>
      <xdr:row>29</xdr:row>
      <xdr:rowOff>38100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2</xdr:col>
      <xdr:colOff>292098</xdr:colOff>
      <xdr:row>5</xdr:row>
      <xdr:rowOff>108478</xdr:rowOff>
    </xdr:from>
    <xdr:to>
      <xdr:col>11</xdr:col>
      <xdr:colOff>497417</xdr:colOff>
      <xdr:row>33</xdr:row>
      <xdr:rowOff>119062</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341311</xdr:colOff>
      <xdr:row>6</xdr:row>
      <xdr:rowOff>7940</xdr:rowOff>
    </xdr:from>
    <xdr:to>
      <xdr:col>19</xdr:col>
      <xdr:colOff>825500</xdr:colOff>
      <xdr:row>33</xdr:row>
      <xdr:rowOff>39688</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27</xdr:col>
      <xdr:colOff>551656</xdr:colOff>
      <xdr:row>32</xdr:row>
      <xdr:rowOff>148431</xdr:rowOff>
    </xdr:from>
    <xdr:to>
      <xdr:col>35</xdr:col>
      <xdr:colOff>234156</xdr:colOff>
      <xdr:row>47</xdr:row>
      <xdr:rowOff>153193</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2</xdr:col>
      <xdr:colOff>638173</xdr:colOff>
      <xdr:row>5</xdr:row>
      <xdr:rowOff>47624</xdr:rowOff>
    </xdr:from>
    <xdr:to>
      <xdr:col>11</xdr:col>
      <xdr:colOff>95249</xdr:colOff>
      <xdr:row>27</xdr:row>
      <xdr:rowOff>76200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647700</xdr:colOff>
      <xdr:row>28</xdr:row>
      <xdr:rowOff>57150</xdr:rowOff>
    </xdr:from>
    <xdr:to>
      <xdr:col>11</xdr:col>
      <xdr:colOff>95250</xdr:colOff>
      <xdr:row>51</xdr:row>
      <xdr:rowOff>171450</xdr:rowOff>
    </xdr:to>
    <xdr:graphicFrame macro="">
      <xdr:nvGraphicFramePr>
        <xdr:cNvPr id="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638176</xdr:colOff>
      <xdr:row>52</xdr:row>
      <xdr:rowOff>123825</xdr:rowOff>
    </xdr:from>
    <xdr:to>
      <xdr:col>11</xdr:col>
      <xdr:colOff>85725</xdr:colOff>
      <xdr:row>76</xdr:row>
      <xdr:rowOff>57150</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2</xdr:col>
      <xdr:colOff>542925</xdr:colOff>
      <xdr:row>5</xdr:row>
      <xdr:rowOff>66676</xdr:rowOff>
    </xdr:from>
    <xdr:to>
      <xdr:col>11</xdr:col>
      <xdr:colOff>361950</xdr:colOff>
      <xdr:row>25</xdr:row>
      <xdr:rowOff>152400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542924</xdr:colOff>
      <xdr:row>26</xdr:row>
      <xdr:rowOff>123824</xdr:rowOff>
    </xdr:from>
    <xdr:to>
      <xdr:col>11</xdr:col>
      <xdr:colOff>361950</xdr:colOff>
      <xdr:row>48</xdr:row>
      <xdr:rowOff>95249</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xdr:col>
      <xdr:colOff>704850</xdr:colOff>
      <xdr:row>6</xdr:row>
      <xdr:rowOff>0</xdr:rowOff>
    </xdr:from>
    <xdr:to>
      <xdr:col>11</xdr:col>
      <xdr:colOff>219075</xdr:colOff>
      <xdr:row>29</xdr:row>
      <xdr:rowOff>9524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57</xdr:col>
      <xdr:colOff>59169</xdr:colOff>
      <xdr:row>7</xdr:row>
      <xdr:rowOff>115455</xdr:rowOff>
    </xdr:from>
    <xdr:to>
      <xdr:col>70</xdr:col>
      <xdr:colOff>331932</xdr:colOff>
      <xdr:row>41</xdr:row>
      <xdr:rowOff>79954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c:userShapes xmlns:c="http://schemas.openxmlformats.org/drawingml/2006/chart">
  <cdr:relSizeAnchor xmlns:cdr="http://schemas.openxmlformats.org/drawingml/2006/chartDrawing">
    <cdr:from>
      <cdr:x>0.56507</cdr:x>
      <cdr:y>0.04423</cdr:y>
    </cdr:from>
    <cdr:to>
      <cdr:x>0.72753</cdr:x>
      <cdr:y>0.1164</cdr:y>
    </cdr:to>
    <cdr:sp macro="" textlink="">
      <cdr:nvSpPr>
        <cdr:cNvPr id="2" name="TextBox 1"/>
        <cdr:cNvSpPr txBox="1"/>
      </cdr:nvSpPr>
      <cdr:spPr>
        <a:xfrm xmlns:a="http://schemas.openxmlformats.org/drawingml/2006/main">
          <a:off x="4818786" y="274205"/>
          <a:ext cx="1385454" cy="44738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2800">
              <a:latin typeface="Palatino Linotype" panose="02040502050505030304" pitchFamily="18" charset="0"/>
            </a:rPr>
            <a:t>LED</a:t>
          </a:r>
        </a:p>
      </cdr:txBody>
    </cdr:sp>
  </cdr:relSizeAnchor>
  <cdr:relSizeAnchor xmlns:cdr="http://schemas.openxmlformats.org/drawingml/2006/chartDrawing">
    <cdr:from>
      <cdr:x>0.14642</cdr:x>
      <cdr:y>0.73455</cdr:y>
    </cdr:from>
    <cdr:to>
      <cdr:x>0.30888</cdr:x>
      <cdr:y>0.80672</cdr:y>
    </cdr:to>
    <cdr:sp macro="" textlink="">
      <cdr:nvSpPr>
        <cdr:cNvPr id="4" name="TextBox 1"/>
        <cdr:cNvSpPr txBox="1"/>
      </cdr:nvSpPr>
      <cdr:spPr>
        <a:xfrm xmlns:a="http://schemas.openxmlformats.org/drawingml/2006/main">
          <a:off x="1248641" y="4553527"/>
          <a:ext cx="1385454" cy="44738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2800">
              <a:latin typeface="Palatino Linotype" panose="02040502050505030304" pitchFamily="18" charset="0"/>
            </a:rPr>
            <a:t>CFL</a:t>
          </a:r>
        </a:p>
      </cdr:txBody>
    </cdr:sp>
  </cdr:relSizeAnchor>
  <cdr:relSizeAnchor xmlns:cdr="http://schemas.openxmlformats.org/drawingml/2006/chartDrawing">
    <cdr:from>
      <cdr:x>0.35627</cdr:x>
      <cdr:y>0.26894</cdr:y>
    </cdr:from>
    <cdr:to>
      <cdr:x>0.51873</cdr:x>
      <cdr:y>0.34111</cdr:y>
    </cdr:to>
    <cdr:sp macro="" textlink="">
      <cdr:nvSpPr>
        <cdr:cNvPr id="5" name="TextBox 1"/>
        <cdr:cNvSpPr txBox="1"/>
      </cdr:nvSpPr>
      <cdr:spPr>
        <a:xfrm xmlns:a="http://schemas.openxmlformats.org/drawingml/2006/main">
          <a:off x="3038186" y="1667164"/>
          <a:ext cx="1385454" cy="44738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2800">
              <a:latin typeface="Palatino Linotype" panose="02040502050505030304" pitchFamily="18" charset="0"/>
            </a:rPr>
            <a:t>HID</a:t>
          </a:r>
        </a:p>
      </cdr:txBody>
    </cdr:sp>
  </cdr:relSizeAnchor>
  <cdr:relSizeAnchor xmlns:cdr="http://schemas.openxmlformats.org/drawingml/2006/chartDrawing">
    <cdr:from>
      <cdr:x>0.22999</cdr:x>
      <cdr:y>0.50519</cdr:y>
    </cdr:from>
    <cdr:to>
      <cdr:x>0.48722</cdr:x>
      <cdr:y>0.60763</cdr:y>
    </cdr:to>
    <cdr:sp macro="" textlink="">
      <cdr:nvSpPr>
        <cdr:cNvPr id="6" name="TextBox 5"/>
        <cdr:cNvSpPr txBox="1"/>
      </cdr:nvSpPr>
      <cdr:spPr>
        <a:xfrm xmlns:a="http://schemas.openxmlformats.org/drawingml/2006/main">
          <a:off x="1961286" y="3131704"/>
          <a:ext cx="2193636" cy="6350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2800">
              <a:latin typeface="Palatino Linotype" panose="02040502050505030304" pitchFamily="18" charset="0"/>
            </a:rPr>
            <a:t>LFL</a:t>
          </a:r>
        </a:p>
      </cdr:txBody>
    </cdr:sp>
  </cdr:relSizeAnchor>
  <cdr:relSizeAnchor xmlns:cdr="http://schemas.openxmlformats.org/drawingml/2006/chartDrawing">
    <cdr:from>
      <cdr:x>0.10306</cdr:x>
      <cdr:y>0.81715</cdr:y>
    </cdr:from>
    <cdr:to>
      <cdr:x>0.33999</cdr:x>
      <cdr:y>0.9289</cdr:y>
    </cdr:to>
    <cdr:sp macro="" textlink="">
      <cdr:nvSpPr>
        <cdr:cNvPr id="7" name="TextBox 6"/>
        <cdr:cNvSpPr txBox="1"/>
      </cdr:nvSpPr>
      <cdr:spPr>
        <a:xfrm xmlns:a="http://schemas.openxmlformats.org/drawingml/2006/main">
          <a:off x="878899" y="5065567"/>
          <a:ext cx="2020454" cy="692727"/>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2800">
              <a:latin typeface="Palatino Linotype" panose="02040502050505030304" pitchFamily="18" charset="0"/>
            </a:rPr>
            <a:t>INC</a:t>
          </a:r>
        </a:p>
      </cdr:txBody>
    </cdr:sp>
  </cdr:relSizeAnchor>
</c:userShapes>
</file>

<file path=xl/drawings/drawing13.xml><?xml version="1.0" encoding="utf-8"?>
<xdr:wsDr xmlns:xdr="http://schemas.openxmlformats.org/drawingml/2006/spreadsheetDrawing" xmlns:a="http://schemas.openxmlformats.org/drawingml/2006/main">
  <xdr:twoCellAnchor>
    <xdr:from>
      <xdr:col>1</xdr:col>
      <xdr:colOff>104775</xdr:colOff>
      <xdr:row>7</xdr:row>
      <xdr:rowOff>142874</xdr:rowOff>
    </xdr:from>
    <xdr:to>
      <xdr:col>9</xdr:col>
      <xdr:colOff>400050</xdr:colOff>
      <xdr:row>32</xdr:row>
      <xdr:rowOff>114299</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530679</xdr:colOff>
      <xdr:row>7</xdr:row>
      <xdr:rowOff>176892</xdr:rowOff>
    </xdr:from>
    <xdr:to>
      <xdr:col>26</xdr:col>
      <xdr:colOff>145597</xdr:colOff>
      <xdr:row>32</xdr:row>
      <xdr:rowOff>148317</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549729</xdr:colOff>
      <xdr:row>7</xdr:row>
      <xdr:rowOff>168046</xdr:rowOff>
    </xdr:from>
    <xdr:to>
      <xdr:col>15</xdr:col>
      <xdr:colOff>163286</xdr:colOff>
      <xdr:row>32</xdr:row>
      <xdr:rowOff>95250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34</xdr:row>
      <xdr:rowOff>0</xdr:rowOff>
    </xdr:from>
    <xdr:to>
      <xdr:col>9</xdr:col>
      <xdr:colOff>295275</xdr:colOff>
      <xdr:row>58</xdr:row>
      <xdr:rowOff>161925</xdr:rowOff>
    </xdr:to>
    <xdr:graphicFrame macro="">
      <xdr:nvGraphicFramePr>
        <xdr:cNvPr id="6"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0</xdr:colOff>
      <xdr:row>34</xdr:row>
      <xdr:rowOff>0</xdr:rowOff>
    </xdr:from>
    <xdr:to>
      <xdr:col>18</xdr:col>
      <xdr:colOff>295275</xdr:colOff>
      <xdr:row>58</xdr:row>
      <xdr:rowOff>161925</xdr:rowOff>
    </xdr:to>
    <xdr:graphicFrame macro="">
      <xdr:nvGraphicFramePr>
        <xdr:cNvPr id="7"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0</xdr:colOff>
      <xdr:row>60</xdr:row>
      <xdr:rowOff>0</xdr:rowOff>
    </xdr:from>
    <xdr:to>
      <xdr:col>9</xdr:col>
      <xdr:colOff>295275</xdr:colOff>
      <xdr:row>84</xdr:row>
      <xdr:rowOff>161925</xdr:rowOff>
    </xdr:to>
    <xdr:graphicFrame macro="">
      <xdr:nvGraphicFramePr>
        <xdr:cNvPr id="9" name="Chart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10</xdr:col>
      <xdr:colOff>0</xdr:colOff>
      <xdr:row>60</xdr:row>
      <xdr:rowOff>0</xdr:rowOff>
    </xdr:from>
    <xdr:to>
      <xdr:col>18</xdr:col>
      <xdr:colOff>295275</xdr:colOff>
      <xdr:row>84</xdr:row>
      <xdr:rowOff>161925</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2</xdr:col>
      <xdr:colOff>114300</xdr:colOff>
      <xdr:row>12</xdr:row>
      <xdr:rowOff>66675</xdr:rowOff>
    </xdr:from>
    <xdr:to>
      <xdr:col>18</xdr:col>
      <xdr:colOff>9525</xdr:colOff>
      <xdr:row>33</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ee/AppData/Local/Microsoft/Windows/Temporary%20Internet%20Files/Content.Outlook/B3OV68YO/SSL%20Gen%20Ill%20Model%20_CADEOED_RC_6_29_Fix%20to%20labor%20rat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rogram%20Files/Addinsoft/XLSTAT2011/XLSTAT.xla"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rcarmichael/Dropbox/CADEO/03_Projects/Legacy%20Projects/BPA%20Standards/Rob's%20Analysis/Lighting%20Model/Copy%20of%20SSL%20Gen%20Ill%20Model%202012-01-17%20FINAL_published_CADEOE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To Do"/>
      <sheetName val="Data Sources"/>
      <sheetName val="Controls"/>
      <sheetName val="Elec.Price"/>
      <sheetName val="LMC2010"/>
      <sheetName val="Shipments"/>
      <sheetName val="Floor.Gr"/>
      <sheetName val="TechDiff"/>
      <sheetName val="Stds.Res"/>
      <sheetName val="Stds.Com"/>
      <sheetName val="Stds.Ind"/>
      <sheetName val="Stds.Out"/>
      <sheetName val="Perform.SSL"/>
      <sheetName val="Perform.Res"/>
      <sheetName val="Perform.Com"/>
      <sheetName val="Perform.Ind"/>
      <sheetName val="Perform.Out"/>
      <sheetName val="RR.Res"/>
      <sheetName val="RR.Com"/>
      <sheetName val="RR.Ind"/>
      <sheetName val="RR.Out"/>
      <sheetName val="Costs.Res"/>
      <sheetName val="Costs.Com"/>
      <sheetName val="Costs.Ind"/>
      <sheetName val="Costs.Out"/>
      <sheetName val="Logit.Res"/>
      <sheetName val="Logit.Com"/>
      <sheetName val="Logit.Ind"/>
      <sheetName val="Logit.Out"/>
      <sheetName val="MP.Repl.Res"/>
      <sheetName val="MP.NC.Res"/>
      <sheetName val="MP.Total.Res"/>
      <sheetName val="MP.Repl.Com"/>
      <sheetName val="MP.NC.Com"/>
      <sheetName val="MP.Total.Com"/>
      <sheetName val="MP.NC.Ind"/>
      <sheetName val="MP.Repl.Ind"/>
      <sheetName val="MP.Total.Ind"/>
      <sheetName val="MP.Repl.Out"/>
      <sheetName val="MP.NC.Out"/>
      <sheetName val="MP.Total.Out"/>
      <sheetName val="MP.All"/>
      <sheetName val="Results.Res"/>
      <sheetName val="Results.Com"/>
      <sheetName val="Results.Ind"/>
      <sheetName val="Results.Out"/>
      <sheetName val="Energy.Res"/>
      <sheetName val="Energy.Com"/>
      <sheetName val="Energy.Ind"/>
      <sheetName val="Energy.Out"/>
      <sheetName val="Energy.All Sectors"/>
      <sheetName val="Tables"/>
      <sheetName val="App A"/>
      <sheetName val="Savings.Ann"/>
      <sheetName val="Savings.Cum"/>
      <sheetName val="Energy.Sec"/>
      <sheetName val="Energy.Sub"/>
      <sheetName val="Energy.R"/>
      <sheetName val="Energy.C"/>
      <sheetName val="Energy.I"/>
      <sheetName val="Energy.O"/>
      <sheetName val="MS.R.GSL"/>
      <sheetName val="MS.R.Refl"/>
      <sheetName val="MS.R.LFL"/>
      <sheetName val="MS.I.HID"/>
      <sheetName val="MS.C.HID"/>
      <sheetName val="MS.O.HID"/>
      <sheetName val="MS.C.LFL"/>
      <sheetName val="MS.I.LFL"/>
      <sheetName val="Stock.R"/>
      <sheetName val="Stock.C"/>
      <sheetName val="Stock.I"/>
      <sheetName val="Stock.O"/>
      <sheetName val="Stock.All"/>
    </sheetNames>
    <sheetDataSet>
      <sheetData sheetId="0">
        <row r="40">
          <cell r="G40">
            <v>2.7171840200169257E-3</v>
          </cell>
        </row>
      </sheetData>
      <sheetData sheetId="1"/>
      <sheetData sheetId="2"/>
      <sheetData sheetId="3">
        <row r="117">
          <cell r="D117" t="str">
            <v>Reference</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33">
          <cell r="M133">
            <v>2.1363371668242515</v>
          </cell>
        </row>
      </sheetData>
      <sheetData sheetId="24">
        <row r="133">
          <cell r="M133">
            <v>2.8340942726802427</v>
          </cell>
        </row>
      </sheetData>
      <sheetData sheetId="25"/>
      <sheetData sheetId="26"/>
      <sheetData sheetId="27"/>
      <sheetData sheetId="28"/>
      <sheetData sheetId="29"/>
      <sheetData sheetId="30"/>
      <sheetData sheetId="31"/>
      <sheetData sheetId="32"/>
      <sheetData sheetId="33"/>
      <sheetData sheetId="34">
        <row r="12">
          <cell r="M12">
            <v>25.957194726315581</v>
          </cell>
        </row>
      </sheetData>
      <sheetData sheetId="35"/>
      <sheetData sheetId="36"/>
      <sheetData sheetId="37"/>
      <sheetData sheetId="38"/>
      <sheetData sheetId="39"/>
      <sheetData sheetId="40"/>
      <sheetData sheetId="41"/>
      <sheetData sheetId="42">
        <row r="206">
          <cell r="N206">
            <v>2.5686298601521398E-3</v>
          </cell>
        </row>
      </sheetData>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XLSTAT"/>
    </sheetNames>
    <definedNames>
      <definedName name="XLSTAT_PDFLogistic"/>
    </definedNames>
    <sheetDataSet>
      <sheetData sheetId="0"/>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To Do"/>
      <sheetName val="Data Sources"/>
      <sheetName val="Controls"/>
      <sheetName val="Elec.Price"/>
      <sheetName val="LMC2010"/>
      <sheetName val="Shipments"/>
      <sheetName val="Floor.Gr"/>
      <sheetName val="TechDiff"/>
      <sheetName val="Stds.Res"/>
      <sheetName val="Stds.Com"/>
      <sheetName val="Stds.Ind"/>
      <sheetName val="Stds.Out"/>
      <sheetName val="Perform.SSL"/>
      <sheetName val="Perform.Res"/>
      <sheetName val="Perform.Com"/>
      <sheetName val="Perform.Ind"/>
      <sheetName val="Perform.Out"/>
      <sheetName val="RR.Res"/>
      <sheetName val="RR.Com"/>
      <sheetName val="RR.Ind"/>
      <sheetName val="RR.Out"/>
      <sheetName val="Costs.Res"/>
      <sheetName val="Costs.Com"/>
      <sheetName val="Costs.Ind"/>
      <sheetName val="Costs.Out"/>
      <sheetName val="Logit.Res"/>
      <sheetName val="Logit.Com"/>
      <sheetName val="Logit.Ind"/>
      <sheetName val="Logit.Out"/>
      <sheetName val="MP.Repl.Res"/>
      <sheetName val="MP.NC.Res"/>
      <sheetName val="MP.Total.Res"/>
      <sheetName val="MP.Repl.Com"/>
      <sheetName val="MP.NC.Com"/>
      <sheetName val="MP.Total.Com"/>
      <sheetName val="MP.Repl.Ind"/>
      <sheetName val="MP.NC.Ind"/>
      <sheetName val="MP.Total.Ind"/>
      <sheetName val="MP.Repl.Out"/>
      <sheetName val="MP.NC.Out"/>
      <sheetName val="MP.Total.Out"/>
      <sheetName val="MP.All"/>
      <sheetName val="Results.Res"/>
      <sheetName val="Results.Com"/>
      <sheetName val="Results.Ind"/>
      <sheetName val="Results.Out"/>
      <sheetName val="Energy.Res"/>
      <sheetName val="Energy.Com"/>
      <sheetName val="Energy.Ind"/>
      <sheetName val="Energy.Out"/>
      <sheetName val="Energy.All Sectors"/>
      <sheetName val="Tables"/>
      <sheetName val="App A"/>
      <sheetName val="Savings.Ann"/>
      <sheetName val="Savings.Cum"/>
      <sheetName val="Energy.Sec"/>
      <sheetName val="Energy.Sub"/>
      <sheetName val="Energy.R"/>
      <sheetName val="Energy.C"/>
      <sheetName val="Energy.I"/>
      <sheetName val="Energy.O"/>
      <sheetName val="MS.R.GSL"/>
      <sheetName val="MS.R.Refl"/>
      <sheetName val="MS.R.LFL"/>
      <sheetName val="MS.I.HID"/>
      <sheetName val="MS.C.HID"/>
      <sheetName val="MS.O.HID"/>
      <sheetName val="MS.C.LFL"/>
      <sheetName val="MS.I.LFL"/>
      <sheetName val="Stock.R"/>
      <sheetName val="Stock.C"/>
      <sheetName val="Stock.I"/>
      <sheetName val="Stock.O"/>
      <sheetName val="Stock.All"/>
    </sheetNames>
    <sheetDataSet>
      <sheetData sheetId="0"/>
      <sheetData sheetId="1"/>
      <sheetData sheetId="2"/>
      <sheetData sheetId="3">
        <row r="2">
          <cell r="C2">
            <v>1</v>
          </cell>
        </row>
      </sheetData>
      <sheetData sheetId="4"/>
      <sheetData sheetId="5"/>
      <sheetData sheetId="6"/>
      <sheetData sheetId="7"/>
      <sheetData sheetId="8">
        <row r="14">
          <cell r="H14">
            <v>0</v>
          </cell>
        </row>
        <row r="15">
          <cell r="H15">
            <v>1.0701629929633919E-2</v>
          </cell>
        </row>
        <row r="16">
          <cell r="H16">
            <v>2.573359512642789E-2</v>
          </cell>
        </row>
        <row r="17">
          <cell r="H17">
            <v>4.6539757716903177E-2</v>
          </cell>
        </row>
        <row r="18">
          <cell r="H18">
            <v>7.4754332929684128E-2</v>
          </cell>
        </row>
        <row r="19">
          <cell r="H19">
            <v>0.11197478620001509</v>
          </cell>
        </row>
        <row r="20">
          <cell r="H20">
            <v>0.15936056895239697</v>
          </cell>
        </row>
        <row r="21">
          <cell r="H21">
            <v>0.21712504966565391</v>
          </cell>
        </row>
        <row r="22">
          <cell r="H22">
            <v>0.28414080977412093</v>
          </cell>
        </row>
        <row r="23">
          <cell r="H23">
            <v>0.35795009041805559</v>
          </cell>
        </row>
        <row r="24">
          <cell r="H24">
            <v>0.43528730962994305</v>
          </cell>
        </row>
        <row r="25">
          <cell r="H25">
            <v>0.51284484369923866</v>
          </cell>
        </row>
        <row r="26">
          <cell r="H26">
            <v>0.58783004379238735</v>
          </cell>
        </row>
        <row r="27">
          <cell r="H27">
            <v>0.65810308249900329</v>
          </cell>
        </row>
        <row r="28">
          <cell r="H28">
            <v>0.72206467330281499</v>
          </cell>
        </row>
        <row r="29">
          <cell r="H29">
            <v>0.77856976904215913</v>
          </cell>
        </row>
        <row r="30">
          <cell r="H30">
            <v>0.82696350840215249</v>
          </cell>
        </row>
        <row r="31">
          <cell r="H31">
            <v>0.86714658256559263</v>
          </cell>
        </row>
        <row r="32">
          <cell r="H32">
            <v>0.89955419985356344</v>
          </cell>
        </row>
        <row r="33">
          <cell r="H33">
            <v>0.92502432100062038</v>
          </cell>
        </row>
        <row r="34">
          <cell r="H34">
            <v>0.94461059131409331</v>
          </cell>
        </row>
        <row r="35">
          <cell r="H35">
            <v>0.95940876722590474</v>
          </cell>
        </row>
        <row r="36">
          <cell r="H36">
            <v>0.97043561397505118</v>
          </cell>
        </row>
        <row r="37">
          <cell r="H37">
            <v>0.97856563119743434</v>
          </cell>
        </row>
        <row r="38">
          <cell r="H38">
            <v>0.98451232141945333</v>
          </cell>
        </row>
        <row r="39">
          <cell r="H39">
            <v>0.98883650057565198</v>
          </cell>
        </row>
        <row r="40">
          <cell r="H40">
            <v>0.99196738407609564</v>
          </cell>
        </row>
        <row r="41">
          <cell r="H41">
            <v>0.99422726069133227</v>
          </cell>
        </row>
        <row r="42">
          <cell r="H42">
            <v>0.99585484432697347</v>
          </cell>
        </row>
        <row r="43">
          <cell r="H43">
            <v>0.99702522404198501</v>
          </cell>
        </row>
        <row r="44">
          <cell r="H44">
            <v>0.99786592697261467</v>
          </cell>
        </row>
        <row r="45">
          <cell r="H45">
            <v>0.9984693766950139</v>
          </cell>
        </row>
        <row r="46">
          <cell r="H46">
            <v>0.99890231984592681</v>
          </cell>
        </row>
        <row r="47">
          <cell r="H47">
            <v>0.99921283993037913</v>
          </cell>
        </row>
        <row r="48">
          <cell r="H48">
            <v>0.99943551570827049</v>
          </cell>
        </row>
        <row r="49">
          <cell r="H49">
            <v>0.99959518445151951</v>
          </cell>
        </row>
        <row r="50">
          <cell r="H50">
            <v>0.99970967191209748</v>
          </cell>
        </row>
        <row r="51">
          <cell r="H51">
            <v>0.99979176488656052</v>
          </cell>
        </row>
        <row r="52">
          <cell r="H52">
            <v>0.99985063257548779</v>
          </cell>
        </row>
        <row r="53">
          <cell r="H53">
            <v>0.99989284880158935</v>
          </cell>
        </row>
        <row r="54">
          <cell r="H54">
            <v>0.99992312620537604</v>
          </cell>
        </row>
        <row r="55">
          <cell r="H55">
            <v>0.9999448431048531</v>
          </cell>
        </row>
        <row r="56">
          <cell r="H56">
            <v>0.99996042135098673</v>
          </cell>
        </row>
        <row r="57">
          <cell r="H57">
            <v>0.99997159722102513</v>
          </cell>
        </row>
        <row r="58">
          <cell r="H58">
            <v>0.9999796155873415</v>
          </cell>
        </row>
        <row r="59">
          <cell r="H59">
            <v>0.99998536907810021</v>
          </cell>
        </row>
        <row r="60">
          <cell r="H60">
            <v>0.99998949781098223</v>
          </cell>
        </row>
        <row r="61">
          <cell r="H61">
            <v>0.99999246087225968</v>
          </cell>
        </row>
        <row r="62">
          <cell r="H62">
            <v>0.99999458754894088</v>
          </cell>
        </row>
        <row r="63">
          <cell r="H63">
            <v>0.99999611405218891</v>
          </cell>
        </row>
        <row r="64">
          <cell r="H64">
            <v>0.99999720984345863</v>
          </cell>
        </row>
        <row r="65">
          <cell r="H65">
            <v>0.99999799650912424</v>
          </cell>
        </row>
        <row r="66">
          <cell r="H66">
            <v>0.99999856129425391</v>
          </cell>
        </row>
        <row r="67">
          <cell r="H67">
            <v>0.99999896680791711</v>
          </cell>
        </row>
        <row r="68">
          <cell r="H68">
            <v>0.99999925798382638</v>
          </cell>
        </row>
        <row r="69">
          <cell r="H69">
            <v>0.99999946707306653</v>
          </cell>
        </row>
        <row r="70">
          <cell r="H70">
            <v>0.99999961722567021</v>
          </cell>
        </row>
        <row r="71">
          <cell r="H71">
            <v>0.99999972506016011</v>
          </cell>
        </row>
        <row r="72">
          <cell r="H72">
            <v>0.99999980250721576</v>
          </cell>
        </row>
        <row r="73">
          <cell r="H73">
            <v>0.99999985813264225</v>
          </cell>
        </row>
        <row r="74">
          <cell r="H74">
            <v>0.99999989808679191</v>
          </cell>
        </row>
        <row r="75">
          <cell r="H75">
            <v>0.99999992678597005</v>
          </cell>
        </row>
        <row r="76">
          <cell r="H76">
            <v>0.99999994740152531</v>
          </cell>
        </row>
        <row r="77">
          <cell r="H77">
            <v>0.99999996221093224</v>
          </cell>
        </row>
        <row r="78">
          <cell r="H78">
            <v>0.99999997284982522</v>
          </cell>
        </row>
        <row r="79">
          <cell r="H79">
            <v>0.99999998049294159</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06">
          <cell r="N206">
            <v>2.5686298601521398E-3</v>
          </cell>
          <cell r="R206">
            <v>3.4669137361903121E-2</v>
          </cell>
          <cell r="W206">
            <v>0.24392089733842331</v>
          </cell>
          <cell r="AB206">
            <v>0.53978195024030828</v>
          </cell>
          <cell r="AG206">
            <v>0.68824263388166285</v>
          </cell>
        </row>
        <row r="213">
          <cell r="N213">
            <v>3.1709745068081783E-3</v>
          </cell>
          <cell r="R213">
            <v>0.15316797537894974</v>
          </cell>
          <cell r="W213">
            <v>0.49808759986443829</v>
          </cell>
          <cell r="AB213">
            <v>0.74503084212673854</v>
          </cell>
          <cell r="AG213">
            <v>0.84044116195180063</v>
          </cell>
        </row>
        <row r="220">
          <cell r="N220">
            <v>1.2178567907198452E-6</v>
          </cell>
          <cell r="R220">
            <v>1.721512350811957E-2</v>
          </cell>
          <cell r="W220">
            <v>0.2006305565415083</v>
          </cell>
          <cell r="AB220">
            <v>0.45971033162857478</v>
          </cell>
          <cell r="AG220">
            <v>0.66120354302857032</v>
          </cell>
        </row>
        <row r="228">
          <cell r="N228">
            <v>8.0848662123136177E-3</v>
          </cell>
          <cell r="R228">
            <v>0.17431949179747541</v>
          </cell>
          <cell r="W228">
            <v>0.50950698021081897</v>
          </cell>
          <cell r="AB228">
            <v>0.74081274862370505</v>
          </cell>
          <cell r="AG228">
            <v>0.83271586846715073</v>
          </cell>
        </row>
        <row r="236">
          <cell r="N236">
            <v>2.4505692229793648E-2</v>
          </cell>
          <cell r="R236">
            <v>0.1885678696554022</v>
          </cell>
          <cell r="W236">
            <v>0.71062010703104772</v>
          </cell>
          <cell r="AB236">
            <v>0.87945805812996869</v>
          </cell>
          <cell r="AG236">
            <v>0.92869232910075417</v>
          </cell>
        </row>
        <row r="240">
          <cell r="N240">
            <v>6.2647055480234875E-3</v>
          </cell>
          <cell r="R240">
            <v>8.9663126531753026E-2</v>
          </cell>
          <cell r="W240">
            <v>0.34532182133924871</v>
          </cell>
          <cell r="AB240">
            <v>0.58154471980497624</v>
          </cell>
          <cell r="AG240">
            <v>0.73399000585473806</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14.bin"/><Relationship Id="rId4" Type="http://schemas.openxmlformats.org/officeDocument/2006/relationships/comments" Target="../comments4.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4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6.v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00B0F0"/>
  </sheetPr>
  <dimension ref="A1:J49"/>
  <sheetViews>
    <sheetView topLeftCell="C1" zoomScale="59" zoomScaleNormal="59" workbookViewId="0">
      <selection activeCell="F37" sqref="F37"/>
    </sheetView>
  </sheetViews>
  <sheetFormatPr defaultColWidth="9.140625" defaultRowHeight="15" x14ac:dyDescent="0.25"/>
  <cols>
    <col min="1" max="1" width="18.5703125" style="539" customWidth="1"/>
    <col min="2" max="2" width="22.5703125" style="539" bestFit="1" customWidth="1"/>
    <col min="3" max="3" width="21.42578125" style="539" bestFit="1" customWidth="1"/>
    <col min="4" max="4" width="114.85546875" style="539" customWidth="1"/>
    <col min="5" max="16384" width="9.140625" style="539"/>
  </cols>
  <sheetData>
    <row r="1" spans="1:10" s="838" customFormat="1" ht="30" customHeight="1" x14ac:dyDescent="0.5">
      <c r="A1" s="984" t="s">
        <v>544</v>
      </c>
    </row>
    <row r="2" spans="1:10" s="838" customFormat="1" ht="20.25" customHeight="1" x14ac:dyDescent="0.5">
      <c r="A2" s="983" t="s">
        <v>546</v>
      </c>
      <c r="B2" s="983"/>
    </row>
    <row r="3" spans="1:10" s="838" customFormat="1" ht="21" customHeight="1" x14ac:dyDescent="0.5">
      <c r="A3" s="983" t="s">
        <v>545</v>
      </c>
      <c r="B3" s="985">
        <v>41774</v>
      </c>
    </row>
    <row r="4" spans="1:10" s="838" customFormat="1" ht="30" customHeight="1" x14ac:dyDescent="0.5">
      <c r="A4" s="984"/>
    </row>
    <row r="5" spans="1:10" ht="18" x14ac:dyDescent="0.4">
      <c r="A5" s="80" t="s">
        <v>482</v>
      </c>
    </row>
    <row r="6" spans="1:10" ht="18" x14ac:dyDescent="0.4">
      <c r="A6" s="80"/>
    </row>
    <row r="7" spans="1:10" ht="14.45" x14ac:dyDescent="0.35">
      <c r="B7" s="221"/>
    </row>
    <row r="8" spans="1:10" s="221" customFormat="1" ht="14.45" x14ac:dyDescent="0.35">
      <c r="A8" s="539"/>
      <c r="B8" s="425" t="s">
        <v>308</v>
      </c>
      <c r="C8" s="425" t="s">
        <v>336</v>
      </c>
      <c r="D8" s="425" t="s">
        <v>333</v>
      </c>
      <c r="E8" s="8"/>
      <c r="F8" s="8"/>
      <c r="G8" s="8"/>
      <c r="H8" s="8"/>
      <c r="I8" s="8"/>
      <c r="J8" s="8"/>
    </row>
    <row r="9" spans="1:10" ht="30" customHeight="1" x14ac:dyDescent="0.35">
      <c r="B9" s="893" t="s">
        <v>473</v>
      </c>
      <c r="C9" s="539" t="s">
        <v>485</v>
      </c>
      <c r="D9" s="743" t="s">
        <v>483</v>
      </c>
    </row>
    <row r="10" spans="1:10" s="838" customFormat="1" ht="30" customHeight="1" x14ac:dyDescent="0.35">
      <c r="B10" s="893" t="s">
        <v>472</v>
      </c>
      <c r="C10" s="838" t="s">
        <v>485</v>
      </c>
      <c r="D10" s="892" t="s">
        <v>484</v>
      </c>
    </row>
    <row r="11" spans="1:10" s="838" customFormat="1" ht="30" customHeight="1" x14ac:dyDescent="0.35">
      <c r="B11" s="874" t="s">
        <v>309</v>
      </c>
      <c r="C11" s="838" t="s">
        <v>337</v>
      </c>
      <c r="D11" s="892" t="s">
        <v>334</v>
      </c>
    </row>
    <row r="12" spans="1:10" ht="30" customHeight="1" x14ac:dyDescent="0.35">
      <c r="B12" s="781" t="s">
        <v>441</v>
      </c>
      <c r="C12" s="539" t="s">
        <v>338</v>
      </c>
      <c r="D12" s="743" t="s">
        <v>335</v>
      </c>
    </row>
    <row r="13" spans="1:10" ht="46.5" customHeight="1" x14ac:dyDescent="0.35">
      <c r="B13" s="781" t="s">
        <v>310</v>
      </c>
      <c r="C13" s="539" t="s">
        <v>338</v>
      </c>
      <c r="D13" s="743" t="s">
        <v>635</v>
      </c>
    </row>
    <row r="14" spans="1:10" ht="30" customHeight="1" x14ac:dyDescent="0.35">
      <c r="B14" s="781" t="s">
        <v>311</v>
      </c>
      <c r="C14" s="539" t="s">
        <v>340</v>
      </c>
      <c r="D14" s="743" t="s">
        <v>636</v>
      </c>
    </row>
    <row r="15" spans="1:10" ht="30" customHeight="1" x14ac:dyDescent="0.35">
      <c r="B15" s="781" t="s">
        <v>312</v>
      </c>
      <c r="C15" s="539" t="s">
        <v>338</v>
      </c>
      <c r="D15" s="743" t="s">
        <v>339</v>
      </c>
    </row>
    <row r="16" spans="1:10" ht="30" customHeight="1" x14ac:dyDescent="0.35">
      <c r="B16" s="781" t="s">
        <v>313</v>
      </c>
      <c r="C16" s="539" t="s">
        <v>338</v>
      </c>
      <c r="D16" s="743" t="s">
        <v>637</v>
      </c>
    </row>
    <row r="17" spans="2:4" ht="30" customHeight="1" x14ac:dyDescent="0.35">
      <c r="B17" s="781" t="s">
        <v>314</v>
      </c>
      <c r="C17" s="539" t="s">
        <v>340</v>
      </c>
      <c r="D17" s="743" t="s">
        <v>638</v>
      </c>
    </row>
    <row r="18" spans="2:4" ht="30" customHeight="1" x14ac:dyDescent="0.35">
      <c r="B18" s="740" t="s">
        <v>315</v>
      </c>
      <c r="C18" s="539" t="s">
        <v>340</v>
      </c>
      <c r="D18" s="743" t="s">
        <v>639</v>
      </c>
    </row>
    <row r="19" spans="2:4" ht="30" customHeight="1" x14ac:dyDescent="0.35">
      <c r="B19" s="740" t="s">
        <v>316</v>
      </c>
      <c r="C19" s="539" t="s">
        <v>340</v>
      </c>
      <c r="D19" s="743" t="s">
        <v>640</v>
      </c>
    </row>
    <row r="20" spans="2:4" ht="30" customHeight="1" x14ac:dyDescent="0.25">
      <c r="B20" s="741" t="s">
        <v>317</v>
      </c>
      <c r="C20" s="539" t="s">
        <v>338</v>
      </c>
      <c r="D20" s="743" t="s">
        <v>641</v>
      </c>
    </row>
    <row r="21" spans="2:4" ht="30" customHeight="1" x14ac:dyDescent="0.25">
      <c r="B21" s="741" t="s">
        <v>318</v>
      </c>
      <c r="C21" s="539" t="s">
        <v>338</v>
      </c>
      <c r="D21" s="743" t="s">
        <v>642</v>
      </c>
    </row>
    <row r="22" spans="2:4" ht="30" customHeight="1" x14ac:dyDescent="0.25">
      <c r="B22" s="741" t="s">
        <v>319</v>
      </c>
      <c r="C22" s="539" t="s">
        <v>340</v>
      </c>
      <c r="D22" s="743" t="s">
        <v>643</v>
      </c>
    </row>
    <row r="23" spans="2:4" ht="30" customHeight="1" x14ac:dyDescent="0.25">
      <c r="B23" s="742" t="s">
        <v>457</v>
      </c>
      <c r="C23" s="539" t="s">
        <v>340</v>
      </c>
      <c r="D23" s="743" t="s">
        <v>644</v>
      </c>
    </row>
    <row r="24" spans="2:4" ht="30" customHeight="1" x14ac:dyDescent="0.25">
      <c r="B24" s="742" t="s">
        <v>458</v>
      </c>
      <c r="C24" s="539" t="s">
        <v>340</v>
      </c>
      <c r="D24" s="743" t="s">
        <v>645</v>
      </c>
    </row>
    <row r="25" spans="2:4" ht="30" customHeight="1" x14ac:dyDescent="0.25">
      <c r="B25" s="795" t="s">
        <v>320</v>
      </c>
      <c r="C25" s="539" t="s">
        <v>340</v>
      </c>
      <c r="D25" s="743" t="s">
        <v>646</v>
      </c>
    </row>
    <row r="26" spans="2:4" ht="30" customHeight="1" x14ac:dyDescent="0.25">
      <c r="B26" s="751" t="s">
        <v>321</v>
      </c>
      <c r="C26" s="539" t="s">
        <v>338</v>
      </c>
      <c r="D26" s="743" t="s">
        <v>647</v>
      </c>
    </row>
    <row r="27" spans="2:4" ht="30" customHeight="1" x14ac:dyDescent="0.25">
      <c r="B27" s="751" t="s">
        <v>322</v>
      </c>
      <c r="C27" s="539" t="s">
        <v>338</v>
      </c>
      <c r="D27" s="743" t="s">
        <v>648</v>
      </c>
    </row>
    <row r="28" spans="2:4" ht="30" customHeight="1" x14ac:dyDescent="0.25">
      <c r="B28" s="751" t="s">
        <v>323</v>
      </c>
      <c r="C28" s="221" t="s">
        <v>342</v>
      </c>
      <c r="D28" s="770" t="s">
        <v>409</v>
      </c>
    </row>
    <row r="29" spans="2:4" ht="30" customHeight="1" x14ac:dyDescent="0.25">
      <c r="B29" s="747" t="s">
        <v>324</v>
      </c>
      <c r="C29" s="539" t="s">
        <v>342</v>
      </c>
      <c r="D29" s="743" t="s">
        <v>649</v>
      </c>
    </row>
    <row r="30" spans="2:4" ht="30" customHeight="1" x14ac:dyDescent="0.25">
      <c r="B30" s="747" t="s">
        <v>325</v>
      </c>
      <c r="C30" s="539" t="s">
        <v>342</v>
      </c>
      <c r="D30" s="743" t="s">
        <v>650</v>
      </c>
    </row>
    <row r="31" spans="2:4" ht="30" customHeight="1" x14ac:dyDescent="0.25">
      <c r="B31" s="747" t="s">
        <v>326</v>
      </c>
      <c r="C31" s="539" t="s">
        <v>342</v>
      </c>
      <c r="D31" s="743" t="s">
        <v>652</v>
      </c>
    </row>
    <row r="32" spans="2:4" ht="30" customHeight="1" x14ac:dyDescent="0.25">
      <c r="B32" s="747" t="s">
        <v>341</v>
      </c>
      <c r="C32" s="539" t="s">
        <v>342</v>
      </c>
      <c r="D32" s="743" t="s">
        <v>651</v>
      </c>
    </row>
    <row r="33" spans="2:4" ht="30" customHeight="1" x14ac:dyDescent="0.25">
      <c r="B33" s="741" t="s">
        <v>327</v>
      </c>
      <c r="C33" s="539" t="s">
        <v>342</v>
      </c>
      <c r="D33" s="743" t="s">
        <v>653</v>
      </c>
    </row>
    <row r="34" spans="2:4" ht="30" customHeight="1" x14ac:dyDescent="0.25">
      <c r="B34" s="794" t="s">
        <v>329</v>
      </c>
      <c r="C34" s="539" t="s">
        <v>423</v>
      </c>
      <c r="D34" s="743" t="s">
        <v>654</v>
      </c>
    </row>
    <row r="35" spans="2:4" ht="30" customHeight="1" x14ac:dyDescent="0.25">
      <c r="B35" s="794" t="s">
        <v>331</v>
      </c>
      <c r="C35" s="539" t="s">
        <v>423</v>
      </c>
      <c r="D35" s="743" t="s">
        <v>655</v>
      </c>
    </row>
    <row r="36" spans="2:4" ht="30" customHeight="1" x14ac:dyDescent="0.25">
      <c r="B36" s="794" t="s">
        <v>330</v>
      </c>
      <c r="C36" s="539" t="s">
        <v>423</v>
      </c>
      <c r="D36" s="743" t="s">
        <v>656</v>
      </c>
    </row>
    <row r="37" spans="2:4" ht="30" customHeight="1" x14ac:dyDescent="0.25">
      <c r="B37" s="794" t="s">
        <v>343</v>
      </c>
      <c r="C37" s="539" t="s">
        <v>423</v>
      </c>
      <c r="D37" s="743" t="s">
        <v>657</v>
      </c>
    </row>
    <row r="38" spans="2:4" ht="30" customHeight="1" x14ac:dyDescent="0.25">
      <c r="B38" s="794" t="s">
        <v>332</v>
      </c>
      <c r="C38" s="539" t="s">
        <v>423</v>
      </c>
      <c r="D38" s="743" t="s">
        <v>658</v>
      </c>
    </row>
    <row r="39" spans="2:4" ht="30" customHeight="1" x14ac:dyDescent="0.25">
      <c r="B39" s="773" t="s">
        <v>412</v>
      </c>
      <c r="C39" s="539" t="s">
        <v>424</v>
      </c>
      <c r="D39" s="743" t="s">
        <v>659</v>
      </c>
    </row>
    <row r="40" spans="2:4" ht="30" customHeight="1" x14ac:dyDescent="0.25">
      <c r="B40" s="773" t="s">
        <v>413</v>
      </c>
      <c r="C40" s="539" t="s">
        <v>424</v>
      </c>
      <c r="D40" s="743" t="s">
        <v>660</v>
      </c>
    </row>
    <row r="41" spans="2:4" ht="30" customHeight="1" x14ac:dyDescent="0.25">
      <c r="B41" s="773" t="s">
        <v>414</v>
      </c>
      <c r="C41" s="539" t="s">
        <v>424</v>
      </c>
      <c r="D41" s="743" t="s">
        <v>661</v>
      </c>
    </row>
    <row r="42" spans="2:4" ht="30" customHeight="1" x14ac:dyDescent="0.25">
      <c r="B42" s="773" t="s">
        <v>415</v>
      </c>
      <c r="C42" s="539" t="s">
        <v>424</v>
      </c>
      <c r="D42" s="743" t="s">
        <v>662</v>
      </c>
    </row>
    <row r="43" spans="2:4" ht="30" customHeight="1" x14ac:dyDescent="0.25">
      <c r="B43" s="773" t="s">
        <v>416</v>
      </c>
      <c r="C43" s="539" t="s">
        <v>424</v>
      </c>
      <c r="D43" s="743" t="s">
        <v>663</v>
      </c>
    </row>
    <row r="44" spans="2:4" ht="30" customHeight="1" x14ac:dyDescent="0.25">
      <c r="B44" s="793" t="s">
        <v>328</v>
      </c>
      <c r="C44" s="539" t="s">
        <v>425</v>
      </c>
      <c r="D44" s="743" t="s">
        <v>664</v>
      </c>
    </row>
    <row r="45" spans="2:4" s="838" customFormat="1" ht="30" customHeight="1" x14ac:dyDescent="0.25">
      <c r="B45" s="793" t="s">
        <v>540</v>
      </c>
      <c r="C45" s="838" t="s">
        <v>425</v>
      </c>
      <c r="D45" s="902" t="s">
        <v>665</v>
      </c>
    </row>
    <row r="46" spans="2:4" s="838" customFormat="1" ht="30" customHeight="1" x14ac:dyDescent="0.25">
      <c r="B46" s="793" t="s">
        <v>541</v>
      </c>
      <c r="C46" s="838" t="s">
        <v>425</v>
      </c>
      <c r="D46" s="902" t="s">
        <v>666</v>
      </c>
    </row>
    <row r="47" spans="2:4" s="838" customFormat="1" ht="30" customHeight="1" x14ac:dyDescent="0.25">
      <c r="B47" s="793" t="s">
        <v>542</v>
      </c>
      <c r="C47" s="838" t="s">
        <v>425</v>
      </c>
      <c r="D47" s="743" t="s">
        <v>667</v>
      </c>
    </row>
    <row r="48" spans="2:4" ht="30" customHeight="1" x14ac:dyDescent="0.25">
      <c r="B48" s="793" t="s">
        <v>543</v>
      </c>
      <c r="C48" s="539" t="s">
        <v>425</v>
      </c>
      <c r="D48" s="902" t="s">
        <v>668</v>
      </c>
    </row>
    <row r="49" spans="2:4" ht="30" customHeight="1" x14ac:dyDescent="0.25">
      <c r="B49" s="766" t="s">
        <v>422</v>
      </c>
      <c r="C49" s="539" t="s">
        <v>426</v>
      </c>
      <c r="D49" s="743" t="s">
        <v>669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00B0F0"/>
  </sheetPr>
  <dimension ref="A1"/>
  <sheetViews>
    <sheetView zoomScale="59" zoomScaleNormal="59" workbookViewId="0">
      <selection activeCell="F37" sqref="F37"/>
    </sheetView>
  </sheetViews>
  <sheetFormatPr defaultRowHeight="15" x14ac:dyDescent="0.25"/>
  <sheetData>
    <row r="1" spans="1:1" ht="18" x14ac:dyDescent="0.4">
      <c r="A1" s="845" t="s">
        <v>473</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00B0F0"/>
  </sheetPr>
  <dimension ref="A1:N116"/>
  <sheetViews>
    <sheetView zoomScale="59" zoomScaleNormal="59" workbookViewId="0">
      <selection activeCell="F37" sqref="F37"/>
    </sheetView>
  </sheetViews>
  <sheetFormatPr defaultRowHeight="15" x14ac:dyDescent="0.25"/>
  <sheetData>
    <row r="1" spans="1:14" ht="18" x14ac:dyDescent="0.4">
      <c r="A1" s="845" t="s">
        <v>472</v>
      </c>
    </row>
    <row r="3" spans="1:14" ht="14.45" x14ac:dyDescent="0.35">
      <c r="B3" s="858" t="s">
        <v>446</v>
      </c>
      <c r="C3" s="858" t="s">
        <v>448</v>
      </c>
    </row>
    <row r="4" spans="1:14" ht="14.45" x14ac:dyDescent="0.35">
      <c r="C4" t="s">
        <v>447</v>
      </c>
    </row>
    <row r="5" spans="1:14" ht="171" customHeight="1" x14ac:dyDescent="0.35">
      <c r="C5" s="1185" t="s">
        <v>508</v>
      </c>
      <c r="D5" s="1185"/>
      <c r="E5" s="1185"/>
      <c r="F5" s="1185"/>
      <c r="G5" s="1185"/>
      <c r="H5" s="1185"/>
      <c r="I5" s="1185"/>
      <c r="J5" s="1185"/>
      <c r="K5" s="1185"/>
      <c r="L5" s="1185"/>
      <c r="M5" s="1185"/>
      <c r="N5" s="1185"/>
    </row>
    <row r="6" spans="1:14" ht="14.45" x14ac:dyDescent="0.35">
      <c r="C6" s="836"/>
      <c r="D6" s="836"/>
      <c r="E6" s="836"/>
      <c r="F6" s="836"/>
      <c r="G6" s="836"/>
      <c r="H6" s="836"/>
      <c r="I6" s="836"/>
      <c r="J6" s="836"/>
      <c r="K6" s="836"/>
      <c r="L6" s="836"/>
      <c r="M6" s="836"/>
    </row>
    <row r="7" spans="1:14" ht="14.45" x14ac:dyDescent="0.35">
      <c r="B7" s="858" t="s">
        <v>449</v>
      </c>
      <c r="C7" s="858" t="s">
        <v>450</v>
      </c>
      <c r="E7" s="836"/>
      <c r="F7" s="836"/>
      <c r="G7" s="836"/>
      <c r="H7" s="836"/>
      <c r="I7" s="836"/>
      <c r="J7" s="836"/>
      <c r="K7" s="836"/>
      <c r="L7" s="836"/>
      <c r="M7" s="836"/>
    </row>
    <row r="8" spans="1:14" ht="14.45" x14ac:dyDescent="0.35">
      <c r="C8" t="s">
        <v>451</v>
      </c>
      <c r="E8" s="836"/>
      <c r="F8" s="836"/>
      <c r="G8" s="836"/>
      <c r="H8" s="836"/>
      <c r="I8" s="836"/>
      <c r="J8" s="836"/>
      <c r="K8" s="836"/>
      <c r="L8" s="836"/>
      <c r="M8" s="836"/>
    </row>
    <row r="9" spans="1:14" ht="14.45" x14ac:dyDescent="0.35">
      <c r="E9" s="836"/>
      <c r="F9" s="836"/>
      <c r="G9" s="836"/>
      <c r="H9" s="836"/>
      <c r="I9" s="836"/>
      <c r="J9" s="836"/>
      <c r="K9" s="836"/>
      <c r="L9" s="836"/>
      <c r="M9" s="836"/>
    </row>
    <row r="10" spans="1:14" ht="136.5" customHeight="1" x14ac:dyDescent="0.35">
      <c r="C10" s="1185" t="s">
        <v>452</v>
      </c>
      <c r="D10" s="1185"/>
      <c r="E10" s="1185"/>
      <c r="F10" s="1185"/>
      <c r="G10" s="1185"/>
      <c r="H10" s="1185"/>
      <c r="I10" s="1185"/>
      <c r="J10" s="1185"/>
      <c r="K10" s="1185"/>
      <c r="L10" s="1185"/>
      <c r="M10" s="1185"/>
      <c r="N10" s="1185"/>
    </row>
    <row r="11" spans="1:14" ht="14.45" x14ac:dyDescent="0.35">
      <c r="C11" s="836"/>
      <c r="D11" s="836"/>
      <c r="E11" s="836"/>
      <c r="F11" s="836"/>
      <c r="G11" s="836"/>
      <c r="H11" s="836"/>
      <c r="I11" s="836"/>
      <c r="J11" s="836"/>
      <c r="K11" s="836"/>
      <c r="L11" s="836"/>
      <c r="M11" s="836"/>
    </row>
    <row r="12" spans="1:14" s="838" customFormat="1" ht="14.45" x14ac:dyDescent="0.35">
      <c r="B12" s="858" t="s">
        <v>453</v>
      </c>
      <c r="C12" s="858" t="s">
        <v>493</v>
      </c>
      <c r="D12" s="836"/>
      <c r="E12" s="836"/>
      <c r="F12" s="836"/>
      <c r="G12" s="836"/>
      <c r="H12" s="836"/>
      <c r="I12" s="836"/>
      <c r="J12" s="836"/>
      <c r="K12" s="836"/>
      <c r="L12" s="836"/>
      <c r="M12" s="836"/>
    </row>
    <row r="13" spans="1:14" s="835" customFormat="1" ht="14.45" x14ac:dyDescent="0.35">
      <c r="C13" s="835" t="s">
        <v>459</v>
      </c>
    </row>
    <row r="14" spans="1:14" s="838" customFormat="1" ht="14.45" x14ac:dyDescent="0.35">
      <c r="C14" s="836"/>
      <c r="D14" s="836"/>
      <c r="E14" s="836"/>
      <c r="F14" s="836"/>
      <c r="G14" s="836"/>
      <c r="H14" s="836"/>
      <c r="I14" s="836"/>
      <c r="J14" s="836"/>
      <c r="K14" s="836"/>
      <c r="L14" s="836"/>
      <c r="M14" s="836"/>
    </row>
    <row r="15" spans="1:14" s="838" customFormat="1" ht="119.25" customHeight="1" x14ac:dyDescent="0.35">
      <c r="C15" s="1185" t="s">
        <v>460</v>
      </c>
      <c r="D15" s="1185"/>
      <c r="E15" s="1185"/>
      <c r="F15" s="1185"/>
      <c r="G15" s="1185"/>
      <c r="H15" s="1185"/>
      <c r="I15" s="1185"/>
      <c r="J15" s="1185"/>
      <c r="K15" s="1185"/>
      <c r="L15" s="1185"/>
      <c r="M15" s="1185"/>
      <c r="N15" s="1185"/>
    </row>
    <row r="16" spans="1:14" s="838" customFormat="1" x14ac:dyDescent="0.25">
      <c r="C16" s="836"/>
      <c r="D16" s="836"/>
      <c r="E16" s="836"/>
      <c r="F16" s="836"/>
      <c r="G16" s="836"/>
      <c r="H16" s="836"/>
      <c r="I16" s="836"/>
      <c r="J16" s="836"/>
      <c r="K16" s="836"/>
      <c r="L16" s="836"/>
      <c r="M16" s="836"/>
    </row>
    <row r="17" spans="2:14" s="838" customFormat="1" x14ac:dyDescent="0.25">
      <c r="C17" s="836"/>
      <c r="D17" s="836"/>
      <c r="E17" s="836"/>
      <c r="F17" s="836"/>
      <c r="G17" s="836"/>
      <c r="H17" s="836"/>
      <c r="I17" s="836"/>
      <c r="J17" s="836"/>
      <c r="K17" s="836"/>
      <c r="L17" s="836"/>
      <c r="M17" s="836"/>
    </row>
    <row r="18" spans="2:14" x14ac:dyDescent="0.25">
      <c r="B18" s="858" t="s">
        <v>456</v>
      </c>
      <c r="C18" s="858" t="s">
        <v>455</v>
      </c>
      <c r="D18" s="836"/>
      <c r="E18" s="836"/>
      <c r="F18" s="836"/>
      <c r="G18" s="836"/>
      <c r="H18" s="836"/>
      <c r="I18" s="836"/>
      <c r="J18" s="836"/>
      <c r="K18" s="836"/>
      <c r="L18" s="836"/>
      <c r="M18" s="836"/>
    </row>
    <row r="19" spans="2:14" s="835" customFormat="1" x14ac:dyDescent="0.25">
      <c r="C19" s="835" t="s">
        <v>454</v>
      </c>
    </row>
    <row r="20" spans="2:14" s="835" customFormat="1" x14ac:dyDescent="0.25"/>
    <row r="21" spans="2:14" s="835" customFormat="1" ht="98.25" customHeight="1" x14ac:dyDescent="0.25">
      <c r="C21" s="1186" t="s">
        <v>487</v>
      </c>
      <c r="D21" s="1186"/>
      <c r="E21" s="1186"/>
      <c r="F21" s="1186"/>
      <c r="G21" s="1186"/>
      <c r="H21" s="1186"/>
      <c r="I21" s="1186"/>
      <c r="J21" s="1186"/>
      <c r="K21" s="1186"/>
      <c r="L21" s="1186"/>
      <c r="M21" s="1186"/>
      <c r="N21" s="1186"/>
    </row>
    <row r="22" spans="2:14" s="835" customFormat="1" x14ac:dyDescent="0.25"/>
    <row r="23" spans="2:14" s="835" customFormat="1" x14ac:dyDescent="0.25">
      <c r="B23" s="858" t="s">
        <v>463</v>
      </c>
      <c r="C23" s="837" t="s">
        <v>465</v>
      </c>
    </row>
    <row r="24" spans="2:14" s="835" customFormat="1" x14ac:dyDescent="0.25">
      <c r="C24" s="835" t="s">
        <v>461</v>
      </c>
    </row>
    <row r="25" spans="2:14" s="835" customFormat="1" x14ac:dyDescent="0.25"/>
    <row r="26" spans="2:14" s="835" customFormat="1" ht="30" customHeight="1" x14ac:dyDescent="0.25">
      <c r="C26" s="1186" t="s">
        <v>462</v>
      </c>
      <c r="D26" s="1186"/>
      <c r="E26" s="1186"/>
      <c r="F26" s="1186"/>
      <c r="G26" s="1186"/>
      <c r="H26" s="1186"/>
      <c r="I26" s="1186"/>
      <c r="J26" s="1186"/>
      <c r="K26" s="1186"/>
      <c r="L26" s="1186"/>
      <c r="M26" s="1186"/>
      <c r="N26" s="1186"/>
    </row>
    <row r="27" spans="2:14" s="835" customFormat="1" x14ac:dyDescent="0.25"/>
    <row r="28" spans="2:14" s="835" customFormat="1" x14ac:dyDescent="0.25">
      <c r="B28" s="858" t="s">
        <v>464</v>
      </c>
      <c r="C28" s="837" t="s">
        <v>466</v>
      </c>
    </row>
    <row r="29" spans="2:14" s="835" customFormat="1" x14ac:dyDescent="0.25">
      <c r="C29" s="835" t="s">
        <v>467</v>
      </c>
    </row>
    <row r="30" spans="2:14" s="835" customFormat="1" x14ac:dyDescent="0.25"/>
    <row r="31" spans="2:14" s="835" customFormat="1" ht="49.5" customHeight="1" x14ac:dyDescent="0.25">
      <c r="C31" s="1185" t="s">
        <v>468</v>
      </c>
      <c r="D31" s="1185"/>
      <c r="E31" s="1185"/>
      <c r="F31" s="1185"/>
      <c r="G31" s="1185"/>
      <c r="H31" s="1185"/>
      <c r="I31" s="1185"/>
      <c r="J31" s="1185"/>
      <c r="K31" s="1185"/>
      <c r="L31" s="1185"/>
      <c r="M31" s="1185"/>
      <c r="N31" s="1185"/>
    </row>
    <row r="32" spans="2:14" s="835" customFormat="1" x14ac:dyDescent="0.25"/>
    <row r="33" spans="2:14" s="835" customFormat="1" x14ac:dyDescent="0.25">
      <c r="B33" s="858" t="s">
        <v>469</v>
      </c>
      <c r="C33" s="837" t="s">
        <v>470</v>
      </c>
    </row>
    <row r="34" spans="2:14" s="835" customFormat="1" x14ac:dyDescent="0.25">
      <c r="C34" s="835" t="s">
        <v>471</v>
      </c>
    </row>
    <row r="35" spans="2:14" s="835" customFormat="1" x14ac:dyDescent="0.25"/>
    <row r="36" spans="2:14" s="835" customFormat="1" ht="138" customHeight="1" x14ac:dyDescent="0.25">
      <c r="C36" s="1186" t="s">
        <v>558</v>
      </c>
      <c r="D36" s="1186"/>
      <c r="E36" s="1186"/>
      <c r="F36" s="1186"/>
      <c r="G36" s="1186"/>
      <c r="H36" s="1186"/>
      <c r="I36" s="1186"/>
      <c r="J36" s="1186"/>
      <c r="K36" s="1186"/>
      <c r="L36" s="1186"/>
      <c r="M36" s="1186"/>
      <c r="N36" s="1186"/>
    </row>
    <row r="37" spans="2:14" s="835" customFormat="1" x14ac:dyDescent="0.25"/>
    <row r="38" spans="2:14" s="835" customFormat="1" x14ac:dyDescent="0.25">
      <c r="B38" s="837" t="s">
        <v>474</v>
      </c>
      <c r="C38" s="837" t="s">
        <v>475</v>
      </c>
    </row>
    <row r="39" spans="2:14" s="835" customFormat="1" x14ac:dyDescent="0.25">
      <c r="C39" s="835" t="s">
        <v>467</v>
      </c>
    </row>
    <row r="40" spans="2:14" s="835" customFormat="1" x14ac:dyDescent="0.25"/>
    <row r="41" spans="2:14" s="835" customFormat="1" ht="39" customHeight="1" x14ac:dyDescent="0.25">
      <c r="C41" s="1186" t="s">
        <v>476</v>
      </c>
      <c r="D41" s="1186"/>
      <c r="E41" s="1186"/>
      <c r="F41" s="1186"/>
      <c r="G41" s="1186"/>
      <c r="H41" s="1186"/>
      <c r="I41" s="1186"/>
      <c r="J41" s="1186"/>
      <c r="K41" s="1186"/>
      <c r="L41" s="1186"/>
      <c r="M41" s="1186"/>
      <c r="N41" s="1186"/>
    </row>
    <row r="42" spans="2:14" s="835" customFormat="1" x14ac:dyDescent="0.25"/>
    <row r="43" spans="2:14" s="835" customFormat="1" x14ac:dyDescent="0.25">
      <c r="B43" s="837" t="s">
        <v>480</v>
      </c>
      <c r="C43" s="837" t="s">
        <v>477</v>
      </c>
    </row>
    <row r="44" spans="2:14" s="835" customFormat="1" x14ac:dyDescent="0.25">
      <c r="C44" s="835" t="s">
        <v>478</v>
      </c>
    </row>
    <row r="45" spans="2:14" s="835" customFormat="1" x14ac:dyDescent="0.25"/>
    <row r="46" spans="2:14" s="835" customFormat="1" ht="30.75" customHeight="1" x14ac:dyDescent="0.25">
      <c r="C46" s="1185" t="s">
        <v>479</v>
      </c>
      <c r="D46" s="1185"/>
      <c r="E46" s="1185"/>
      <c r="F46" s="1185"/>
      <c r="G46" s="1185"/>
      <c r="H46" s="1185"/>
      <c r="I46" s="1185"/>
      <c r="J46" s="1185"/>
      <c r="K46" s="1185"/>
      <c r="L46" s="1185"/>
      <c r="M46" s="1185"/>
      <c r="N46" s="1185"/>
    </row>
    <row r="47" spans="2:14" s="835" customFormat="1" x14ac:dyDescent="0.25"/>
    <row r="48" spans="2:14" s="835" customFormat="1" x14ac:dyDescent="0.25">
      <c r="B48" s="837" t="s">
        <v>553</v>
      </c>
      <c r="C48" s="837" t="s">
        <v>554</v>
      </c>
    </row>
    <row r="49" spans="1:14" s="835" customFormat="1" x14ac:dyDescent="0.25"/>
    <row r="50" spans="1:14" s="835" customFormat="1" ht="45.75" customHeight="1" x14ac:dyDescent="0.25">
      <c r="C50" s="1185" t="s">
        <v>555</v>
      </c>
      <c r="D50" s="1185"/>
      <c r="E50" s="1185"/>
      <c r="F50" s="1185"/>
      <c r="G50" s="1185"/>
      <c r="H50" s="1185"/>
      <c r="I50" s="1185"/>
      <c r="J50" s="1185"/>
      <c r="K50" s="1185"/>
      <c r="L50" s="1185"/>
      <c r="M50" s="1185"/>
      <c r="N50" s="1185"/>
    </row>
    <row r="51" spans="1:14" s="835" customFormat="1" x14ac:dyDescent="0.25"/>
    <row r="52" spans="1:14" s="835" customFormat="1" x14ac:dyDescent="0.25"/>
    <row r="53" spans="1:14" s="835" customFormat="1" x14ac:dyDescent="0.25">
      <c r="A53" s="837" t="s">
        <v>547</v>
      </c>
      <c r="B53" s="837"/>
      <c r="C53" s="837"/>
    </row>
    <row r="54" spans="1:14" s="835" customFormat="1" x14ac:dyDescent="0.25"/>
    <row r="55" spans="1:14" s="835" customFormat="1" x14ac:dyDescent="0.25">
      <c r="A55" s="835" t="s">
        <v>548</v>
      </c>
    </row>
    <row r="56" spans="1:14" s="835" customFormat="1" x14ac:dyDescent="0.25">
      <c r="A56" s="835" t="s">
        <v>549</v>
      </c>
      <c r="J56" s="835" t="s">
        <v>552</v>
      </c>
    </row>
    <row r="57" spans="1:14" s="835" customFormat="1" x14ac:dyDescent="0.25">
      <c r="A57" s="835" t="s">
        <v>550</v>
      </c>
      <c r="J57" s="835" t="s">
        <v>551</v>
      </c>
    </row>
    <row r="58" spans="1:14" s="835" customFormat="1" x14ac:dyDescent="0.25">
      <c r="A58" s="835" t="s">
        <v>556</v>
      </c>
      <c r="J58" s="835" t="s">
        <v>557</v>
      </c>
    </row>
    <row r="59" spans="1:14" s="835" customFormat="1" x14ac:dyDescent="0.25"/>
    <row r="60" spans="1:14" s="835" customFormat="1" x14ac:dyDescent="0.25"/>
    <row r="61" spans="1:14" s="835" customFormat="1" x14ac:dyDescent="0.25"/>
    <row r="62" spans="1:14" s="835" customFormat="1" x14ac:dyDescent="0.25"/>
    <row r="63" spans="1:14" s="835" customFormat="1" x14ac:dyDescent="0.25"/>
    <row r="64" spans="1:14" s="835" customFormat="1" x14ac:dyDescent="0.25"/>
    <row r="65" s="835" customFormat="1" x14ac:dyDescent="0.25"/>
    <row r="66" s="835" customFormat="1" x14ac:dyDescent="0.25"/>
    <row r="67" s="835" customFormat="1" x14ac:dyDescent="0.25"/>
    <row r="68" s="835" customFormat="1" x14ac:dyDescent="0.25"/>
    <row r="69" s="835" customFormat="1" x14ac:dyDescent="0.25"/>
    <row r="70" s="835" customFormat="1" x14ac:dyDescent="0.25"/>
    <row r="71" s="835" customFormat="1" x14ac:dyDescent="0.25"/>
    <row r="72" s="835" customFormat="1" x14ac:dyDescent="0.25"/>
    <row r="73" s="835" customFormat="1" x14ac:dyDescent="0.25"/>
    <row r="74" s="835" customFormat="1" x14ac:dyDescent="0.25"/>
    <row r="75" s="835" customFormat="1" x14ac:dyDescent="0.25"/>
    <row r="76" s="835" customFormat="1" x14ac:dyDescent="0.25"/>
    <row r="77" s="835" customFormat="1" x14ac:dyDescent="0.25"/>
    <row r="78" s="835" customFormat="1" x14ac:dyDescent="0.25"/>
    <row r="79" s="835" customFormat="1" x14ac:dyDescent="0.25"/>
    <row r="80" s="835" customFormat="1" x14ac:dyDescent="0.25"/>
    <row r="81" s="835" customFormat="1" x14ac:dyDescent="0.25"/>
    <row r="82" s="835" customFormat="1" x14ac:dyDescent="0.25"/>
    <row r="83" s="835" customFormat="1" x14ac:dyDescent="0.25"/>
    <row r="84" s="835" customFormat="1" x14ac:dyDescent="0.25"/>
    <row r="85" s="835" customFormat="1" x14ac:dyDescent="0.25"/>
    <row r="86" s="835" customFormat="1" x14ac:dyDescent="0.25"/>
    <row r="87" s="835" customFormat="1" x14ac:dyDescent="0.25"/>
    <row r="88" s="835" customFormat="1" x14ac:dyDescent="0.25"/>
    <row r="89" s="835" customFormat="1" x14ac:dyDescent="0.25"/>
    <row r="90" s="835" customFormat="1" x14ac:dyDescent="0.25"/>
    <row r="91" s="835" customFormat="1" x14ac:dyDescent="0.25"/>
    <row r="92" s="835" customFormat="1" x14ac:dyDescent="0.25"/>
    <row r="93" s="835" customFormat="1" x14ac:dyDescent="0.25"/>
    <row r="94" s="835" customFormat="1" x14ac:dyDescent="0.25"/>
    <row r="95" s="835" customFormat="1" x14ac:dyDescent="0.25"/>
    <row r="96" s="835" customFormat="1" x14ac:dyDescent="0.25"/>
    <row r="97" s="835" customFormat="1" x14ac:dyDescent="0.25"/>
    <row r="98" s="835" customFormat="1" x14ac:dyDescent="0.25"/>
    <row r="99" s="835" customFormat="1" x14ac:dyDescent="0.25"/>
    <row r="100" s="835" customFormat="1" x14ac:dyDescent="0.25"/>
    <row r="101" s="835" customFormat="1" x14ac:dyDescent="0.25"/>
    <row r="102" s="835" customFormat="1" x14ac:dyDescent="0.25"/>
    <row r="103" s="835" customFormat="1" x14ac:dyDescent="0.25"/>
    <row r="104" s="835" customFormat="1" x14ac:dyDescent="0.25"/>
    <row r="105" s="835" customFormat="1" x14ac:dyDescent="0.25"/>
    <row r="106" s="835" customFormat="1" x14ac:dyDescent="0.25"/>
    <row r="107" s="835" customFormat="1" x14ac:dyDescent="0.25"/>
    <row r="108" s="835" customFormat="1" x14ac:dyDescent="0.25"/>
    <row r="109" s="835" customFormat="1" x14ac:dyDescent="0.25"/>
    <row r="110" s="835" customFormat="1" x14ac:dyDescent="0.25"/>
    <row r="111" s="835" customFormat="1" x14ac:dyDescent="0.25"/>
    <row r="112" s="835" customFormat="1" x14ac:dyDescent="0.25"/>
    <row r="113" s="835" customFormat="1" x14ac:dyDescent="0.25"/>
    <row r="114" s="835" customFormat="1" x14ac:dyDescent="0.25"/>
    <row r="115" s="835" customFormat="1" x14ac:dyDescent="0.25"/>
    <row r="116" s="835" customFormat="1" x14ac:dyDescent="0.25"/>
  </sheetData>
  <mergeCells count="10">
    <mergeCell ref="C5:N5"/>
    <mergeCell ref="C10:N10"/>
    <mergeCell ref="C21:N21"/>
    <mergeCell ref="C15:N15"/>
    <mergeCell ref="C26:N26"/>
    <mergeCell ref="C50:N50"/>
    <mergeCell ref="C31:N31"/>
    <mergeCell ref="C36:N36"/>
    <mergeCell ref="C41:N41"/>
    <mergeCell ref="C46:N4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4"/>
  </sheetPr>
  <dimension ref="A1:M19"/>
  <sheetViews>
    <sheetView tabSelected="1" zoomScale="59" zoomScaleNormal="59" workbookViewId="0">
      <selection activeCell="L47" sqref="L47"/>
    </sheetView>
  </sheetViews>
  <sheetFormatPr defaultRowHeight="15" x14ac:dyDescent="0.25"/>
  <cols>
    <col min="1" max="1" width="9.140625" style="539"/>
    <col min="2" max="2" width="13.42578125" customWidth="1"/>
    <col min="4" max="6" width="17.5703125" customWidth="1"/>
    <col min="7" max="7" width="13" customWidth="1"/>
    <col min="8" max="8" width="13.140625" bestFit="1" customWidth="1"/>
  </cols>
  <sheetData>
    <row r="1" spans="1:13" s="539" customFormat="1" ht="18" x14ac:dyDescent="0.4">
      <c r="A1" s="80" t="s">
        <v>278</v>
      </c>
    </row>
    <row r="2" spans="1:13" s="539" customFormat="1" ht="14.45" x14ac:dyDescent="0.35"/>
    <row r="3" spans="1:13" ht="14.45" x14ac:dyDescent="0.35">
      <c r="D3" s="633" t="s">
        <v>265</v>
      </c>
      <c r="E3" s="634" t="s">
        <v>266</v>
      </c>
      <c r="G3" s="221"/>
      <c r="I3" s="539"/>
      <c r="K3" s="635" t="s">
        <v>290</v>
      </c>
      <c r="L3" s="635"/>
      <c r="M3" s="635"/>
    </row>
    <row r="4" spans="1:13" ht="14.45" x14ac:dyDescent="0.35">
      <c r="B4" s="425" t="s">
        <v>295</v>
      </c>
      <c r="C4" s="385"/>
      <c r="D4" s="13" t="s">
        <v>438</v>
      </c>
      <c r="E4" s="13" t="s">
        <v>438</v>
      </c>
      <c r="F4" s="539"/>
      <c r="G4" s="539"/>
      <c r="I4" s="539"/>
    </row>
    <row r="5" spans="1:13" s="539" customFormat="1" ht="14.45" x14ac:dyDescent="0.35">
      <c r="B5" s="425" t="s">
        <v>236</v>
      </c>
      <c r="C5" s="385"/>
      <c r="D5" s="844" t="s">
        <v>13</v>
      </c>
      <c r="E5" s="888" t="s">
        <v>49</v>
      </c>
      <c r="F5"/>
      <c r="G5"/>
    </row>
    <row r="6" spans="1:13" ht="14.45" x14ac:dyDescent="0.35">
      <c r="I6" s="539"/>
    </row>
    <row r="7" spans="1:13" ht="14.45" x14ac:dyDescent="0.35">
      <c r="B7" s="635" t="s">
        <v>6</v>
      </c>
      <c r="C7" s="636"/>
      <c r="D7" s="636"/>
      <c r="E7" s="636"/>
      <c r="F7" s="636"/>
      <c r="G7" s="636"/>
      <c r="H7" s="636"/>
      <c r="I7" s="539"/>
    </row>
    <row r="8" spans="1:13" ht="14.45" x14ac:dyDescent="0.35">
      <c r="B8" s="717" t="s">
        <v>301</v>
      </c>
      <c r="C8" s="634"/>
      <c r="D8" s="634"/>
      <c r="E8" s="634" t="s">
        <v>302</v>
      </c>
      <c r="F8" s="634"/>
      <c r="G8" s="634" t="s">
        <v>267</v>
      </c>
      <c r="H8" s="634" t="s">
        <v>266</v>
      </c>
    </row>
    <row r="9" spans="1:13" ht="14.45" x14ac:dyDescent="0.35">
      <c r="B9" s="425" t="s">
        <v>213</v>
      </c>
      <c r="C9" s="385"/>
      <c r="D9" s="425"/>
      <c r="E9" s="718">
        <v>2012</v>
      </c>
      <c r="F9" s="385"/>
      <c r="G9" s="844" t="s">
        <v>25</v>
      </c>
      <c r="H9" s="844" t="s">
        <v>25</v>
      </c>
    </row>
    <row r="10" spans="1:13" ht="14.45" x14ac:dyDescent="0.35">
      <c r="B10" s="425" t="s">
        <v>214</v>
      </c>
      <c r="C10" s="385"/>
      <c r="D10" s="425"/>
      <c r="E10" s="718">
        <v>2015</v>
      </c>
      <c r="F10" s="385"/>
      <c r="G10" s="844" t="s">
        <v>25</v>
      </c>
      <c r="H10" s="844" t="s">
        <v>25</v>
      </c>
      <c r="I10" s="539"/>
    </row>
    <row r="11" spans="1:13" ht="14.45" x14ac:dyDescent="0.35">
      <c r="B11" s="425" t="s">
        <v>43</v>
      </c>
      <c r="C11" s="385"/>
      <c r="D11" s="425"/>
      <c r="E11" s="718">
        <v>2008</v>
      </c>
      <c r="F11" s="385"/>
      <c r="G11" s="844" t="s">
        <v>25</v>
      </c>
      <c r="H11" s="844" t="s">
        <v>25</v>
      </c>
      <c r="I11" s="539"/>
    </row>
    <row r="12" spans="1:13" ht="14.45" x14ac:dyDescent="0.35">
      <c r="B12" s="425" t="s">
        <v>44</v>
      </c>
      <c r="C12" s="385"/>
      <c r="D12" s="425"/>
      <c r="E12" s="718">
        <v>2010</v>
      </c>
      <c r="F12" s="385"/>
      <c r="G12" s="844" t="s">
        <v>25</v>
      </c>
      <c r="H12" s="844" t="s">
        <v>25</v>
      </c>
      <c r="I12" s="539"/>
    </row>
    <row r="13" spans="1:13" ht="14.45" x14ac:dyDescent="0.35">
      <c r="B13" s="425" t="s">
        <v>215</v>
      </c>
      <c r="C13" s="385"/>
      <c r="D13" s="425"/>
      <c r="E13" s="718">
        <v>2012</v>
      </c>
      <c r="F13" s="385"/>
      <c r="G13" s="844" t="s">
        <v>25</v>
      </c>
      <c r="H13" s="844" t="s">
        <v>25</v>
      </c>
      <c r="I13" s="539"/>
    </row>
    <row r="14" spans="1:13" ht="14.45" x14ac:dyDescent="0.35">
      <c r="B14" s="425" t="s">
        <v>257</v>
      </c>
      <c r="C14" s="385"/>
      <c r="D14" s="425"/>
      <c r="E14" s="718">
        <v>2012</v>
      </c>
      <c r="F14" s="385"/>
      <c r="G14" s="844" t="s">
        <v>25</v>
      </c>
      <c r="H14" s="844" t="s">
        <v>25</v>
      </c>
      <c r="I14" s="539"/>
    </row>
    <row r="15" spans="1:13" ht="14.45" x14ac:dyDescent="0.35">
      <c r="B15" s="425" t="s">
        <v>216</v>
      </c>
      <c r="C15" s="385"/>
      <c r="D15" s="425"/>
      <c r="E15" s="718">
        <v>2012</v>
      </c>
      <c r="F15" s="385"/>
      <c r="G15" s="844" t="s">
        <v>25</v>
      </c>
      <c r="H15" s="844" t="s">
        <v>25</v>
      </c>
      <c r="I15" s="539"/>
    </row>
    <row r="16" spans="1:13" ht="14.45" x14ac:dyDescent="0.35">
      <c r="I16" s="539"/>
    </row>
    <row r="17" spans="2:9" ht="14.45" x14ac:dyDescent="0.35">
      <c r="B17" s="858" t="s">
        <v>481</v>
      </c>
    </row>
    <row r="19" spans="2:9" ht="102.75" customHeight="1" x14ac:dyDescent="0.35">
      <c r="B19" s="1187" t="s">
        <v>486</v>
      </c>
      <c r="C19" s="1187"/>
      <c r="D19" s="1187"/>
      <c r="E19" s="1187"/>
      <c r="F19" s="1187"/>
      <c r="G19" s="1187"/>
      <c r="H19" s="1187"/>
      <c r="I19" s="1187"/>
    </row>
  </sheetData>
  <mergeCells count="1">
    <mergeCell ref="B19:I19"/>
  </mergeCells>
  <dataValidations count="3">
    <dataValidation type="list" allowBlank="1" showInputMessage="1" showErrorMessage="1" sqref="G9:H15">
      <formula1>ListInputs</formula1>
    </dataValidation>
    <dataValidation type="list" allowBlank="1" showInputMessage="1" showErrorMessage="1" sqref="D4:E4">
      <formula1>Savings_List</formula1>
    </dataValidation>
    <dataValidation type="list" allowBlank="1" showInputMessage="1" showErrorMessage="1" sqref="D5">
      <formula1>Sector_List</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632" r:id="rId4" name="Button 8">
              <controlPr defaultSize="0" print="0" autoFill="0" autoPict="0" macro="[0]!Energy.Sector">
                <anchor moveWithCells="1">
                  <from>
                    <xdr:col>10</xdr:col>
                    <xdr:colOff>47625</xdr:colOff>
                    <xdr:row>4</xdr:row>
                    <xdr:rowOff>47625</xdr:rowOff>
                  </from>
                  <to>
                    <xdr:col>12</xdr:col>
                    <xdr:colOff>419100</xdr:colOff>
                    <xdr:row>7</xdr:row>
                    <xdr:rowOff>104775</xdr:rowOff>
                  </to>
                </anchor>
              </controlPr>
            </control>
          </mc:Choice>
        </mc:AlternateContent>
        <mc:AlternateContent xmlns:mc="http://schemas.openxmlformats.org/markup-compatibility/2006">
          <mc:Choice Requires="x14">
            <control shapeId="26633" r:id="rId5" name="Button 9">
              <controlPr defaultSize="0" print="0" autoFill="0" autoPict="0" macro="[0]!Savings.Sector">
                <anchor moveWithCells="1">
                  <from>
                    <xdr:col>10</xdr:col>
                    <xdr:colOff>66675</xdr:colOff>
                    <xdr:row>9</xdr:row>
                    <xdr:rowOff>47625</xdr:rowOff>
                  </from>
                  <to>
                    <xdr:col>12</xdr:col>
                    <xdr:colOff>409575</xdr:colOff>
                    <xdr:row>12</xdr:row>
                    <xdr:rowOff>104775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List_Inputs!$C$2:$C$5</xm:f>
          </x14:formula1>
          <xm:sqref>D5</xm:sqref>
        </x14:dataValidation>
        <x14:dataValidation type="list" allowBlank="1" showInputMessage="1" showErrorMessage="1">
          <x14:formula1>
            <xm:f>List_Inputs!$E$2:$E$3</xm:f>
          </x14:formula1>
          <xm:sqref>D4:E4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4"/>
  </sheetPr>
  <dimension ref="A1:E12"/>
  <sheetViews>
    <sheetView workbookViewId="0"/>
  </sheetViews>
  <sheetFormatPr defaultRowHeight="15" x14ac:dyDescent="0.25"/>
  <sheetData>
    <row r="1" spans="1:5" x14ac:dyDescent="0.35">
      <c r="A1" t="s">
        <v>0</v>
      </c>
      <c r="C1" t="s">
        <v>237</v>
      </c>
      <c r="E1" t="s">
        <v>256</v>
      </c>
    </row>
    <row r="2" spans="1:5" x14ac:dyDescent="0.35">
      <c r="A2" t="s">
        <v>5</v>
      </c>
      <c r="C2" t="s">
        <v>13</v>
      </c>
      <c r="E2" t="s">
        <v>255</v>
      </c>
    </row>
    <row r="3" spans="1:5" x14ac:dyDescent="0.35">
      <c r="A3" t="s">
        <v>6</v>
      </c>
      <c r="C3" t="s">
        <v>14</v>
      </c>
      <c r="E3" t="s">
        <v>438</v>
      </c>
    </row>
    <row r="4" spans="1:5" x14ac:dyDescent="0.35">
      <c r="A4" t="s">
        <v>218</v>
      </c>
      <c r="C4" t="s">
        <v>15</v>
      </c>
    </row>
    <row r="5" spans="1:5" x14ac:dyDescent="0.35">
      <c r="C5" t="s">
        <v>16</v>
      </c>
    </row>
    <row r="6" spans="1:5" x14ac:dyDescent="0.35">
      <c r="A6" t="s">
        <v>217</v>
      </c>
    </row>
    <row r="7" spans="1:5" x14ac:dyDescent="0.35">
      <c r="A7" t="s">
        <v>31</v>
      </c>
    </row>
    <row r="9" spans="1:5" x14ac:dyDescent="0.35">
      <c r="A9" t="s">
        <v>25</v>
      </c>
    </row>
    <row r="11" spans="1:5" x14ac:dyDescent="0.35">
      <c r="A11" t="s">
        <v>25</v>
      </c>
    </row>
    <row r="12" spans="1:5" x14ac:dyDescent="0.35">
      <c r="A12" t="s">
        <v>31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5"/>
  </sheetPr>
  <dimension ref="A1:L42"/>
  <sheetViews>
    <sheetView zoomScale="59" zoomScaleNormal="59" workbookViewId="0">
      <selection activeCell="F37" sqref="F37"/>
    </sheetView>
  </sheetViews>
  <sheetFormatPr defaultRowHeight="15" x14ac:dyDescent="0.25"/>
  <cols>
    <col min="3" max="3" width="19" customWidth="1"/>
  </cols>
  <sheetData>
    <row r="1" spans="1:12" ht="18" x14ac:dyDescent="0.4">
      <c r="A1" s="80" t="s">
        <v>440</v>
      </c>
      <c r="H1" s="221"/>
    </row>
    <row r="2" spans="1:12" s="539" customFormat="1" ht="18" x14ac:dyDescent="0.4">
      <c r="A2" s="80"/>
      <c r="H2" s="221"/>
    </row>
    <row r="3" spans="1:12" ht="14.45" x14ac:dyDescent="0.35">
      <c r="A3" s="8"/>
      <c r="B3" s="6"/>
      <c r="C3" s="7"/>
      <c r="D3" s="6"/>
    </row>
    <row r="4" spans="1:12" ht="14.45" x14ac:dyDescent="0.35">
      <c r="A4" s="4" t="s">
        <v>1</v>
      </c>
      <c r="B4" s="5"/>
      <c r="C4" s="5"/>
      <c r="D4" s="5"/>
    </row>
    <row r="5" spans="1:12" ht="14.45" x14ac:dyDescent="0.35">
      <c r="A5" s="1"/>
      <c r="B5" s="1"/>
      <c r="C5" s="1"/>
      <c r="D5" s="1"/>
    </row>
    <row r="6" spans="1:12" ht="14.45" x14ac:dyDescent="0.35">
      <c r="A6" s="2" t="s">
        <v>2</v>
      </c>
      <c r="C6" s="1"/>
      <c r="D6" s="3">
        <v>2010</v>
      </c>
    </row>
    <row r="7" spans="1:12" ht="14.45" x14ac:dyDescent="0.35">
      <c r="A7" s="2" t="s">
        <v>3</v>
      </c>
      <c r="C7" s="1"/>
      <c r="D7" s="3">
        <v>2011</v>
      </c>
    </row>
    <row r="8" spans="1:12" ht="14.45" x14ac:dyDescent="0.35">
      <c r="A8" s="2" t="s">
        <v>4</v>
      </c>
      <c r="C8" s="1"/>
      <c r="D8" s="3">
        <v>2035</v>
      </c>
    </row>
    <row r="10" spans="1:12" ht="14.45" x14ac:dyDescent="0.35">
      <c r="A10" s="841" t="s">
        <v>529</v>
      </c>
      <c r="B10" s="386"/>
      <c r="C10" s="386"/>
      <c r="D10" s="386"/>
      <c r="L10" s="979"/>
    </row>
    <row r="11" spans="1:12" s="838" customFormat="1" ht="14.45" x14ac:dyDescent="0.35">
      <c r="L11" s="979"/>
    </row>
    <row r="12" spans="1:12" s="838" customFormat="1" ht="14.45" x14ac:dyDescent="0.35">
      <c r="A12" s="840" t="s">
        <v>530</v>
      </c>
      <c r="D12" s="88">
        <v>1.09056</v>
      </c>
      <c r="L12" s="979"/>
    </row>
    <row r="13" spans="1:12" s="838" customFormat="1" ht="14.45" x14ac:dyDescent="0.35">
      <c r="L13" s="979"/>
    </row>
    <row r="14" spans="1:12" x14ac:dyDescent="0.25">
      <c r="A14" s="15" t="s">
        <v>494</v>
      </c>
      <c r="B14" s="16"/>
      <c r="C14" s="16"/>
      <c r="D14" s="16"/>
      <c r="L14" s="1059" t="s">
        <v>714</v>
      </c>
    </row>
    <row r="15" spans="1:12" ht="14.45" x14ac:dyDescent="0.35">
      <c r="D15" t="s">
        <v>238</v>
      </c>
      <c r="E15" t="s">
        <v>13</v>
      </c>
      <c r="F15" t="s">
        <v>14</v>
      </c>
      <c r="G15" t="s">
        <v>15</v>
      </c>
      <c r="H15" t="s">
        <v>16</v>
      </c>
    </row>
    <row r="16" spans="1:12" ht="14.45" x14ac:dyDescent="0.35">
      <c r="A16" s="14" t="s">
        <v>495</v>
      </c>
      <c r="D16" s="121">
        <f>IF(Active_Case="Res",E16,IF(Active_Case="Com",F16,IF(Active_Case="Ind",G16,IF(Active_Case="Out",H16))))</f>
        <v>0.05</v>
      </c>
      <c r="E16" s="986">
        <v>0.05</v>
      </c>
      <c r="F16" s="986">
        <v>7.5999999999999998E-2</v>
      </c>
      <c r="G16" s="986">
        <v>0.05</v>
      </c>
      <c r="H16" s="986">
        <v>0.05</v>
      </c>
    </row>
    <row r="17" spans="1:5" ht="14.45" x14ac:dyDescent="0.35">
      <c r="A17" s="838" t="s">
        <v>509</v>
      </c>
    </row>
    <row r="18" spans="1:5" s="838" customFormat="1" ht="14.45" x14ac:dyDescent="0.35"/>
    <row r="19" spans="1:5" ht="14.45" x14ac:dyDescent="0.35">
      <c r="A19" s="20" t="s">
        <v>58</v>
      </c>
      <c r="B19" s="20"/>
      <c r="C19" s="20"/>
      <c r="D19" s="385"/>
      <c r="E19" s="385"/>
    </row>
    <row r="20" spans="1:5" ht="14.45" x14ac:dyDescent="0.35">
      <c r="A20" s="18"/>
      <c r="B20" s="17"/>
      <c r="C20" s="17"/>
      <c r="D20" s="17"/>
    </row>
    <row r="21" spans="1:5" ht="14.45" x14ac:dyDescent="0.35">
      <c r="A21" s="18" t="s">
        <v>59</v>
      </c>
      <c r="B21" s="17"/>
      <c r="C21" s="17"/>
      <c r="D21" s="21">
        <v>1.03</v>
      </c>
    </row>
    <row r="22" spans="1:5" ht="14.45" x14ac:dyDescent="0.35">
      <c r="A22" s="18" t="s">
        <v>60</v>
      </c>
      <c r="B22" s="17"/>
      <c r="C22" s="17"/>
      <c r="D22" s="21">
        <v>2.06</v>
      </c>
    </row>
    <row r="23" spans="1:5" ht="14.45" x14ac:dyDescent="0.35">
      <c r="A23" s="18"/>
      <c r="B23" s="17"/>
      <c r="C23" s="17"/>
      <c r="D23" s="19"/>
    </row>
    <row r="24" spans="1:5" ht="14.45" x14ac:dyDescent="0.35">
      <c r="A24" s="18" t="s">
        <v>61</v>
      </c>
      <c r="B24" s="17"/>
      <c r="C24" s="17"/>
      <c r="D24" s="22">
        <v>0.94092890425372011</v>
      </c>
    </row>
    <row r="25" spans="1:5" ht="14.45" x14ac:dyDescent="0.35">
      <c r="A25" s="18" t="s">
        <v>62</v>
      </c>
      <c r="B25" s="17"/>
      <c r="C25" s="17"/>
      <c r="D25" s="22">
        <v>4.7241845783856906</v>
      </c>
    </row>
    <row r="26" spans="1:5" ht="14.45" x14ac:dyDescent="0.35">
      <c r="A26" s="18" t="s">
        <v>63</v>
      </c>
      <c r="B26" s="17"/>
      <c r="C26" s="17"/>
      <c r="D26" s="22">
        <v>3.7832556741319703</v>
      </c>
    </row>
    <row r="27" spans="1:5" ht="14.45" x14ac:dyDescent="0.35">
      <c r="A27" s="18" t="s">
        <v>64</v>
      </c>
      <c r="B27" s="17"/>
      <c r="C27" s="17"/>
      <c r="D27" s="22">
        <v>4.7241845783856906</v>
      </c>
    </row>
    <row r="28" spans="1:5" ht="14.45" x14ac:dyDescent="0.35">
      <c r="A28" s="18"/>
      <c r="B28" s="17"/>
      <c r="C28" s="17"/>
      <c r="D28" s="22"/>
    </row>
    <row r="29" spans="1:5" ht="14.45" x14ac:dyDescent="0.35">
      <c r="A29" s="18" t="s">
        <v>65</v>
      </c>
      <c r="B29" s="17"/>
      <c r="C29" s="17"/>
      <c r="D29" s="23">
        <v>54</v>
      </c>
    </row>
    <row r="30" spans="1:5" ht="14.45" x14ac:dyDescent="0.35">
      <c r="A30" s="18" t="s">
        <v>66</v>
      </c>
      <c r="B30" s="17"/>
      <c r="C30" s="17"/>
      <c r="D30" s="24">
        <v>225</v>
      </c>
    </row>
    <row r="31" spans="1:5" ht="14.45" x14ac:dyDescent="0.35">
      <c r="A31" s="18" t="s">
        <v>67</v>
      </c>
      <c r="B31" s="17"/>
      <c r="C31" s="17"/>
      <c r="D31" s="24">
        <v>171</v>
      </c>
    </row>
    <row r="32" spans="1:5" ht="14.45" x14ac:dyDescent="0.35">
      <c r="A32" s="18" t="s">
        <v>68</v>
      </c>
      <c r="B32" s="17"/>
      <c r="C32" s="17"/>
      <c r="D32" s="24">
        <v>225</v>
      </c>
    </row>
    <row r="33" spans="1:5" ht="14.45" x14ac:dyDescent="0.35">
      <c r="A33" s="17"/>
      <c r="B33" s="17"/>
      <c r="C33" s="17"/>
      <c r="D33" s="19"/>
    </row>
    <row r="34" spans="1:5" ht="14.45" x14ac:dyDescent="0.35">
      <c r="A34" s="18" t="s">
        <v>69</v>
      </c>
      <c r="B34" s="17"/>
      <c r="C34" s="17"/>
      <c r="D34" s="23">
        <v>18</v>
      </c>
    </row>
    <row r="35" spans="1:5" ht="14.45" x14ac:dyDescent="0.35">
      <c r="A35" s="18" t="s">
        <v>70</v>
      </c>
      <c r="B35" s="17"/>
      <c r="C35" s="17"/>
      <c r="D35" s="24">
        <v>75</v>
      </c>
    </row>
    <row r="36" spans="1:5" ht="14.45" x14ac:dyDescent="0.35">
      <c r="A36" s="18" t="s">
        <v>71</v>
      </c>
      <c r="B36" s="17"/>
      <c r="C36" s="17"/>
      <c r="D36" s="24">
        <v>57</v>
      </c>
    </row>
    <row r="37" spans="1:5" x14ac:dyDescent="0.25">
      <c r="A37" s="18" t="s">
        <v>72</v>
      </c>
      <c r="B37" s="17"/>
      <c r="C37" s="17"/>
      <c r="D37" s="24">
        <v>75</v>
      </c>
    </row>
    <row r="39" spans="1:5" s="539" customFormat="1" x14ac:dyDescent="0.25">
      <c r="A39" s="838" t="s">
        <v>509</v>
      </c>
    </row>
    <row r="41" spans="1:5" x14ac:dyDescent="0.25">
      <c r="A41" s="841" t="s">
        <v>718</v>
      </c>
      <c r="B41" s="841"/>
      <c r="C41" s="841"/>
      <c r="D41" s="841"/>
      <c r="E41" s="841"/>
    </row>
    <row r="42" spans="1:5" x14ac:dyDescent="0.25">
      <c r="A42" t="s">
        <v>165</v>
      </c>
      <c r="B42">
        <v>0.85</v>
      </c>
    </row>
  </sheetData>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theme="5"/>
  </sheetPr>
  <dimension ref="A1:AQ284"/>
  <sheetViews>
    <sheetView topLeftCell="U1" zoomScale="59" zoomScaleNormal="59" workbookViewId="0">
      <selection activeCell="Z17" sqref="Z17"/>
    </sheetView>
  </sheetViews>
  <sheetFormatPr defaultRowHeight="15" x14ac:dyDescent="0.25"/>
  <cols>
    <col min="1" max="1" width="34" customWidth="1"/>
    <col min="2" max="2" width="24.42578125" customWidth="1"/>
    <col min="3" max="3" width="15.140625" customWidth="1"/>
    <col min="4" max="4" width="17.5703125" customWidth="1"/>
    <col min="5" max="10" width="15.140625" customWidth="1"/>
    <col min="11" max="11" width="9.42578125" bestFit="1" customWidth="1"/>
    <col min="12" max="12" width="11" customWidth="1"/>
    <col min="19" max="19" width="9.140625" customWidth="1"/>
    <col min="20" max="20" width="13.85546875" bestFit="1" customWidth="1"/>
    <col min="23" max="23" width="10.85546875" customWidth="1"/>
    <col min="24" max="24" width="12.5703125" customWidth="1"/>
    <col min="25" max="26" width="9.42578125" bestFit="1" customWidth="1"/>
    <col min="27" max="27" width="10.42578125" bestFit="1" customWidth="1"/>
    <col min="30" max="33" width="13.42578125" customWidth="1"/>
    <col min="34" max="34" width="12.42578125" customWidth="1"/>
    <col min="35" max="35" width="11.5703125" customWidth="1"/>
  </cols>
  <sheetData>
    <row r="1" spans="1:40" ht="18" x14ac:dyDescent="0.4">
      <c r="A1" s="52" t="s">
        <v>299</v>
      </c>
      <c r="B1" s="51"/>
      <c r="C1" s="221"/>
    </row>
    <row r="2" spans="1:40" ht="14.45" x14ac:dyDescent="0.35">
      <c r="A2" t="s">
        <v>670</v>
      </c>
      <c r="B2" s="51"/>
    </row>
    <row r="3" spans="1:40" ht="14.45" x14ac:dyDescent="0.35">
      <c r="A3" s="772" t="s">
        <v>79</v>
      </c>
      <c r="B3" s="771">
        <v>2010</v>
      </c>
    </row>
    <row r="5" spans="1:40" ht="39" x14ac:dyDescent="0.35">
      <c r="A5" s="53"/>
      <c r="B5" s="53"/>
      <c r="C5" s="713" t="s">
        <v>7</v>
      </c>
      <c r="D5" s="713" t="s">
        <v>8</v>
      </c>
      <c r="E5" s="739" t="s">
        <v>9</v>
      </c>
      <c r="F5" s="739" t="s">
        <v>160</v>
      </c>
      <c r="G5" s="1204" t="s">
        <v>10</v>
      </c>
      <c r="H5" s="1205"/>
      <c r="I5" s="1205"/>
      <c r="J5" s="1205"/>
      <c r="K5" s="1206"/>
      <c r="L5" s="1204" t="s">
        <v>11</v>
      </c>
      <c r="M5" s="1205"/>
      <c r="N5" s="1206"/>
      <c r="O5" s="1210" t="s">
        <v>492</v>
      </c>
      <c r="P5" s="1211"/>
      <c r="Q5" s="1211"/>
      <c r="R5" s="1211"/>
      <c r="S5" s="1212"/>
      <c r="T5" s="1207" t="s">
        <v>676</v>
      </c>
      <c r="U5" s="1208"/>
      <c r="V5" s="1208"/>
      <c r="W5" s="1208"/>
      <c r="X5" s="1209"/>
      <c r="Y5" s="1207" t="s">
        <v>245</v>
      </c>
      <c r="Z5" s="1208"/>
      <c r="AA5" s="1208"/>
      <c r="AB5" s="1208"/>
      <c r="AC5" s="1209"/>
      <c r="AD5" s="1207" t="s">
        <v>240</v>
      </c>
      <c r="AE5" s="1208"/>
      <c r="AF5" s="1208"/>
      <c r="AG5" s="1208"/>
      <c r="AH5" s="1209"/>
      <c r="AI5" s="738" t="s">
        <v>164</v>
      </c>
      <c r="AJ5" s="1207" t="s">
        <v>80</v>
      </c>
      <c r="AK5" s="1208"/>
      <c r="AL5" s="1208"/>
      <c r="AM5" s="1208"/>
      <c r="AN5" s="1209"/>
    </row>
    <row r="6" spans="1:40" ht="15" customHeight="1" x14ac:dyDescent="0.25">
      <c r="A6" s="786" t="s">
        <v>12</v>
      </c>
      <c r="B6" s="53" t="s">
        <v>73</v>
      </c>
      <c r="C6" s="510"/>
      <c r="D6" s="510"/>
      <c r="E6" s="784"/>
      <c r="F6" s="511"/>
      <c r="G6" s="1200" t="s">
        <v>13</v>
      </c>
      <c r="H6" s="1202" t="s">
        <v>14</v>
      </c>
      <c r="I6" s="1202" t="s">
        <v>15</v>
      </c>
      <c r="J6" s="1198" t="s">
        <v>16</v>
      </c>
      <c r="K6" s="1193" t="s">
        <v>238</v>
      </c>
      <c r="L6" s="1201" t="s">
        <v>17</v>
      </c>
      <c r="M6" s="1203" t="s">
        <v>18</v>
      </c>
      <c r="N6" s="1199" t="s">
        <v>19</v>
      </c>
      <c r="O6" s="1200" t="s">
        <v>13</v>
      </c>
      <c r="P6" s="1202" t="s">
        <v>14</v>
      </c>
      <c r="Q6" s="1202" t="s">
        <v>15</v>
      </c>
      <c r="R6" s="1198" t="s">
        <v>16</v>
      </c>
      <c r="S6" s="1198" t="s">
        <v>238</v>
      </c>
      <c r="T6" s="1200" t="s">
        <v>13</v>
      </c>
      <c r="U6" s="1202" t="s">
        <v>14</v>
      </c>
      <c r="V6" s="1202" t="s">
        <v>15</v>
      </c>
      <c r="W6" s="1198" t="s">
        <v>16</v>
      </c>
      <c r="X6" s="1193" t="s">
        <v>238</v>
      </c>
      <c r="Y6" s="1200" t="s">
        <v>13</v>
      </c>
      <c r="Z6" s="1202" t="s">
        <v>14</v>
      </c>
      <c r="AA6" s="1202" t="s">
        <v>15</v>
      </c>
      <c r="AB6" s="1198" t="s">
        <v>16</v>
      </c>
      <c r="AC6" s="1193" t="s">
        <v>238</v>
      </c>
      <c r="AD6" s="1200" t="s">
        <v>13</v>
      </c>
      <c r="AE6" s="1202" t="s">
        <v>14</v>
      </c>
      <c r="AF6" s="1202" t="s">
        <v>15</v>
      </c>
      <c r="AG6" s="1198" t="s">
        <v>16</v>
      </c>
      <c r="AH6" s="1193" t="s">
        <v>238</v>
      </c>
      <c r="AI6" s="1195" t="s">
        <v>238</v>
      </c>
      <c r="AJ6" s="1200" t="s">
        <v>13</v>
      </c>
      <c r="AK6" s="1202" t="s">
        <v>14</v>
      </c>
      <c r="AL6" s="1202" t="s">
        <v>15</v>
      </c>
      <c r="AM6" s="1198" t="s">
        <v>16</v>
      </c>
      <c r="AN6" s="1193" t="s">
        <v>238</v>
      </c>
    </row>
    <row r="7" spans="1:40" x14ac:dyDescent="0.25">
      <c r="A7" s="783"/>
      <c r="B7" s="53" t="s">
        <v>20</v>
      </c>
      <c r="C7" s="510"/>
      <c r="D7" s="510"/>
      <c r="E7" s="510"/>
      <c r="F7" s="510"/>
      <c r="G7" s="1201"/>
      <c r="H7" s="1203"/>
      <c r="I7" s="1203"/>
      <c r="J7" s="1199"/>
      <c r="K7" s="1194"/>
      <c r="L7" s="1201"/>
      <c r="M7" s="1203"/>
      <c r="N7" s="1199"/>
      <c r="O7" s="1201"/>
      <c r="P7" s="1203"/>
      <c r="Q7" s="1203"/>
      <c r="R7" s="1199"/>
      <c r="S7" s="1199"/>
      <c r="T7" s="1201"/>
      <c r="U7" s="1203"/>
      <c r="V7" s="1203"/>
      <c r="W7" s="1199"/>
      <c r="X7" s="1194"/>
      <c r="Y7" s="1201"/>
      <c r="Z7" s="1203"/>
      <c r="AA7" s="1203"/>
      <c r="AB7" s="1199"/>
      <c r="AC7" s="1194"/>
      <c r="AD7" s="1201"/>
      <c r="AE7" s="1203"/>
      <c r="AF7" s="1203"/>
      <c r="AG7" s="1199"/>
      <c r="AH7" s="1194"/>
      <c r="AI7" s="1196"/>
      <c r="AJ7" s="1201"/>
      <c r="AK7" s="1203"/>
      <c r="AL7" s="1203"/>
      <c r="AM7" s="1199"/>
      <c r="AN7" s="1194"/>
    </row>
    <row r="8" spans="1:40" ht="14.45" x14ac:dyDescent="0.35">
      <c r="A8" s="556" t="s">
        <v>21</v>
      </c>
      <c r="B8" s="57" t="s">
        <v>73</v>
      </c>
      <c r="C8" s="456"/>
      <c r="D8" s="456"/>
      <c r="E8" s="456"/>
      <c r="F8" s="456"/>
      <c r="G8" s="413"/>
      <c r="H8" s="218"/>
      <c r="I8" s="218"/>
      <c r="J8" s="218"/>
      <c r="K8" s="456"/>
      <c r="L8" s="413"/>
      <c r="M8" s="218"/>
      <c r="N8" s="71"/>
      <c r="O8" s="823"/>
      <c r="P8" s="821"/>
      <c r="Q8" s="821"/>
      <c r="R8" s="822"/>
      <c r="S8" s="412"/>
      <c r="T8" s="558"/>
      <c r="U8" s="512"/>
      <c r="V8" s="512"/>
      <c r="W8" s="559"/>
      <c r="X8" s="156"/>
      <c r="Y8" s="66"/>
      <c r="Z8" s="66"/>
      <c r="AA8" s="66"/>
      <c r="AB8" s="66"/>
      <c r="AC8" s="156"/>
      <c r="AD8" s="68"/>
      <c r="AE8" s="813"/>
      <c r="AF8" s="456"/>
      <c r="AG8" s="71"/>
      <c r="AH8" s="456"/>
      <c r="AI8" s="218"/>
      <c r="AJ8" s="68"/>
      <c r="AK8" s="69"/>
      <c r="AL8" s="69"/>
      <c r="AM8" s="71"/>
      <c r="AN8" s="456"/>
    </row>
    <row r="9" spans="1:40" ht="14.45" x14ac:dyDescent="0.35">
      <c r="A9" s="783"/>
      <c r="B9" s="59" t="s">
        <v>22</v>
      </c>
      <c r="C9" s="725">
        <v>1890</v>
      </c>
      <c r="D9" s="725">
        <v>1</v>
      </c>
      <c r="E9" s="903" t="str">
        <f>IF(LEFT(B9,3)="LED","Logistic",IF(Standards_Active!$E10="yes","Step","Linear"))</f>
        <v>Step</v>
      </c>
      <c r="F9" s="903" t="str">
        <f>IF(Standards_Active!$S10="yes","Step",IF($K9="lamp+ballast","Linear","Constant"))</f>
        <v>Constant</v>
      </c>
      <c r="G9" s="563" t="s">
        <v>24</v>
      </c>
      <c r="H9" s="479" t="s">
        <v>24</v>
      </c>
      <c r="I9" s="479" t="s">
        <v>24</v>
      </c>
      <c r="J9" s="479" t="s">
        <v>24</v>
      </c>
      <c r="K9" s="903" t="str">
        <f>IF(Active_Case="Res",G9,IF(Active_Case="Com",H9,IF(Active_Case="Ind",I9,IF(Active_Case="Out",J9))))</f>
        <v>lamp</v>
      </c>
      <c r="L9" s="728">
        <f>IF(User_Inputs!$D$4="Frozen Efficiency",0,Tech_Specs!C55)</f>
        <v>0</v>
      </c>
      <c r="M9" s="36">
        <f>IF(User_Inputs!$D$4="Frozen Efficiency",0,Tech_Specs!E55)</f>
        <v>0</v>
      </c>
      <c r="N9" s="729">
        <f>IF(User_Inputs!$D$4="Frozen Efficiency",0,Tech_Specs!G55)</f>
        <v>-0.125</v>
      </c>
      <c r="O9" s="796">
        <f ca="1">M132</f>
        <v>1.8022731871818063</v>
      </c>
      <c r="P9" s="792">
        <f t="shared" ref="P9:R12" si="0">N132</f>
        <v>9.9912231689272915</v>
      </c>
      <c r="Q9" s="792">
        <f t="shared" si="0"/>
        <v>12.029612939731535</v>
      </c>
      <c r="R9" s="768">
        <f t="shared" si="0"/>
        <v>0</v>
      </c>
      <c r="S9" s="72">
        <f ca="1">IF(Active_Case="Res",O9,IF(Active_Case="Com",P9,IF(Active_Case="Ind",Q9,IF(Active_Case="Out",R9))))</f>
        <v>1.8022731871818063</v>
      </c>
      <c r="T9" s="567">
        <v>64.400000000000006</v>
      </c>
      <c r="U9" s="568">
        <v>58.1</v>
      </c>
      <c r="V9" s="568">
        <v>45.8</v>
      </c>
      <c r="W9" s="569">
        <v>0</v>
      </c>
      <c r="X9" s="448">
        <f>IF(Active_Case="Res",T9,IF(Active_Case="Com",U9,IF(Active_Case="Ind",V9,IF(Active_Case="Out",W9))))</f>
        <v>64.400000000000006</v>
      </c>
      <c r="Y9" s="567">
        <v>12.9</v>
      </c>
      <c r="Z9" s="568">
        <v>12.4</v>
      </c>
      <c r="AA9" s="568">
        <v>11.9</v>
      </c>
      <c r="AB9" s="569">
        <v>0</v>
      </c>
      <c r="AC9" s="448">
        <f>IF(Active_Case="Res",Y9,IF(Active_Case="Com",Z9,IF(Active_Case="Ind",AA9,IF(Active_Case="Out",AB9))))</f>
        <v>12.9</v>
      </c>
      <c r="AD9" s="997">
        <f>C198</f>
        <v>101091033.45452514</v>
      </c>
      <c r="AE9" s="928">
        <f>D198*$E$176</f>
        <v>2411037.4130332177</v>
      </c>
      <c r="AF9" s="997">
        <f>E198*$E$181</f>
        <v>22450.213923359363</v>
      </c>
      <c r="AG9" s="930">
        <v>0</v>
      </c>
      <c r="AH9" s="452">
        <f>IF(Active_Case="Res",AD9,IF(Active_Case="Com",AE9,IF(Active_Case="Ind",AF9,IF(Active_Case="Out",AG9))))</f>
        <v>101091033.45452514</v>
      </c>
      <c r="AI9" s="219">
        <v>1</v>
      </c>
      <c r="AJ9" s="443">
        <f ca="1">AD9*O9*Y9*365.25*T9*$AI9/10^12</f>
        <v>55.283949334175901</v>
      </c>
      <c r="AK9" s="442">
        <f t="shared" ref="AJ9:AN12" si="1">AE9*P9*Z9*365.25*U9*$AI9/10^12</f>
        <v>6.3388525759130712</v>
      </c>
      <c r="AL9" s="442">
        <f t="shared" si="1"/>
        <v>5.3761923868028888E-2</v>
      </c>
      <c r="AM9" s="437">
        <f t="shared" si="1"/>
        <v>0</v>
      </c>
      <c r="AN9" s="457">
        <f t="shared" ca="1" si="1"/>
        <v>55.283949334175901</v>
      </c>
    </row>
    <row r="10" spans="1:40" ht="14.45" x14ac:dyDescent="0.35">
      <c r="A10" s="783"/>
      <c r="B10" s="53" t="s">
        <v>26</v>
      </c>
      <c r="C10" s="725">
        <v>1970</v>
      </c>
      <c r="D10" s="725">
        <v>2</v>
      </c>
      <c r="E10" s="903" t="str">
        <f>IF(LEFT(B10,3)="LED","Logistic",IF(Standards_Active!$E11="yes","Step","Linear"))</f>
        <v>Linear</v>
      </c>
      <c r="F10" s="903" t="str">
        <f>IF(Standards_Active!$S11="yes","Step",IF($K10="lamp+ballast","Linear","Constant"))</f>
        <v>Constant</v>
      </c>
      <c r="G10" s="563" t="s">
        <v>24</v>
      </c>
      <c r="H10" s="479" t="s">
        <v>24</v>
      </c>
      <c r="I10" s="479" t="s">
        <v>24</v>
      </c>
      <c r="J10" s="479" t="s">
        <v>24</v>
      </c>
      <c r="K10" s="903" t="str">
        <f>IF(Active_Case="Res",G10,IF(Active_Case="Com",H10,IF(Active_Case="Ind",I10,IF(Active_Case="Out",J10))))</f>
        <v>lamp</v>
      </c>
      <c r="L10" s="728">
        <f>IF(User_Inputs!$D$4="Frozen Efficiency",0,Tech_Specs!C56)</f>
        <v>0.125</v>
      </c>
      <c r="M10" s="36">
        <f>IF(User_Inputs!$D$4="Frozen Efficiency",0,Tech_Specs!E56)</f>
        <v>0.125</v>
      </c>
      <c r="N10" s="729">
        <f>IF(User_Inputs!$D$4="Frozen Efficiency",0,Tech_Specs!G56)</f>
        <v>-0.125</v>
      </c>
      <c r="O10" s="796">
        <f ca="1">M133</f>
        <v>1.8022731871818063</v>
      </c>
      <c r="P10" s="792">
        <f t="shared" si="0"/>
        <v>9.9912231689272915</v>
      </c>
      <c r="Q10" s="792">
        <f t="shared" si="0"/>
        <v>12.029612939731535</v>
      </c>
      <c r="R10" s="768">
        <f t="shared" si="0"/>
        <v>0</v>
      </c>
      <c r="S10" s="351">
        <f ca="1">IF(Active_Case="Res",O10,IF(Active_Case="Com",P10,IF(Active_Case="Ind",Q10,IF(Active_Case="Out",R10))))</f>
        <v>1.8022731871818063</v>
      </c>
      <c r="T10" s="567">
        <v>50.5</v>
      </c>
      <c r="U10" s="568">
        <v>45.5</v>
      </c>
      <c r="V10" s="568">
        <v>35.9</v>
      </c>
      <c r="W10" s="569">
        <v>0</v>
      </c>
      <c r="X10" s="448">
        <f>IF(Active_Case="Res",T10,IF(Active_Case="Com",U10,IF(Active_Case="Ind",V10,IF(Active_Case="Out",W10))))</f>
        <v>50.5</v>
      </c>
      <c r="Y10" s="567">
        <v>15</v>
      </c>
      <c r="Z10" s="568">
        <v>14.7</v>
      </c>
      <c r="AA10" s="568">
        <v>14.3</v>
      </c>
      <c r="AB10" s="569">
        <v>0</v>
      </c>
      <c r="AC10" s="448">
        <f>IF(Active_Case="Res",Y10,IF(Active_Case="Com",Z10,IF(Active_Case="Ind",AA10,IF(Active_Case="Out",AB10))))</f>
        <v>15</v>
      </c>
      <c r="AD10" s="997">
        <f>C199</f>
        <v>1915377.1978952021</v>
      </c>
      <c r="AE10" s="928">
        <f>D199*$E$176</f>
        <v>54421.040140442296</v>
      </c>
      <c r="AF10" s="997">
        <f>E199*$E$181</f>
        <v>174.03266607255318</v>
      </c>
      <c r="AG10" s="930">
        <v>0</v>
      </c>
      <c r="AH10" s="452">
        <f>IF(Active_Case="Res",AD10,IF(Active_Case="Com",AE10,IF(Active_Case="Ind",AF10,IF(Active_Case="Out",AG10))))</f>
        <v>1915377.1978952021</v>
      </c>
      <c r="AI10" s="219">
        <v>1</v>
      </c>
      <c r="AJ10" s="443">
        <f t="shared" ca="1" si="1"/>
        <v>0.95509769373585018</v>
      </c>
      <c r="AK10" s="442">
        <f t="shared" si="1"/>
        <v>0.13283253284457475</v>
      </c>
      <c r="AL10" s="442">
        <f t="shared" si="1"/>
        <v>3.9255737227948944E-4</v>
      </c>
      <c r="AM10" s="437">
        <f t="shared" si="1"/>
        <v>0</v>
      </c>
      <c r="AN10" s="457">
        <f t="shared" ca="1" si="1"/>
        <v>0.95509769373585018</v>
      </c>
    </row>
    <row r="11" spans="1:40" ht="14.45" x14ac:dyDescent="0.35">
      <c r="A11" s="783"/>
      <c r="B11" s="53" t="s">
        <v>27</v>
      </c>
      <c r="C11" s="725">
        <v>1979</v>
      </c>
      <c r="D11" s="725">
        <v>3</v>
      </c>
      <c r="E11" s="1155" t="str">
        <f>IF(LEFT(B11,3)="LED","Logistic",IF(Standards_Active!$E12="yes","Step","Linear"))</f>
        <v>Linear</v>
      </c>
      <c r="F11" s="903" t="str">
        <f>IF(Standards_Active!$S12="yes","Step",IF($K11="lamp+ballast","Linear","Constant"))</f>
        <v>Constant</v>
      </c>
      <c r="G11" s="563" t="s">
        <v>24</v>
      </c>
      <c r="H11" s="479" t="s">
        <v>24</v>
      </c>
      <c r="I11" s="479" t="s">
        <v>24</v>
      </c>
      <c r="J11" s="479" t="s">
        <v>24</v>
      </c>
      <c r="K11" s="903" t="str">
        <f>IF(Active_Case="Res",G11,IF(Active_Case="Com",H11,IF(Active_Case="Ind",I11,IF(Active_Case="Out",J11))))</f>
        <v>lamp</v>
      </c>
      <c r="L11" s="728">
        <f>IF(User_Inputs!$D$4="Frozen Efficiency",0,Tech_Specs!C57)</f>
        <v>0.125</v>
      </c>
      <c r="M11" s="36">
        <f>IF(User_Inputs!$D$4="Frozen Efficiency",0,Tech_Specs!E57)</f>
        <v>0.125</v>
      </c>
      <c r="N11" s="729">
        <f>IF(User_Inputs!$D$4="Frozen Efficiency",0,Tech_Specs!G57)</f>
        <v>-0.125</v>
      </c>
      <c r="O11" s="796">
        <f ca="1">M134</f>
        <v>1.8022731871818063</v>
      </c>
      <c r="P11" s="792">
        <f t="shared" si="0"/>
        <v>9.9912231689272915</v>
      </c>
      <c r="Q11" s="792">
        <f t="shared" si="0"/>
        <v>12.029612939731535</v>
      </c>
      <c r="R11" s="768">
        <f t="shared" si="0"/>
        <v>0</v>
      </c>
      <c r="S11" s="351">
        <f ca="1">IF(Active_Case="Res",O11,IF(Active_Case="Com",P11,IF(Active_Case="Ind",Q11,IF(Active_Case="Out",R11))))</f>
        <v>1.8022731871818063</v>
      </c>
      <c r="T11" s="567">
        <v>16.8</v>
      </c>
      <c r="U11" s="568">
        <v>20.3</v>
      </c>
      <c r="V11" s="568">
        <v>17</v>
      </c>
      <c r="W11" s="569">
        <v>0</v>
      </c>
      <c r="X11" s="448">
        <f>IF(Active_Case="Res",T11,IF(Active_Case="Com",U11,IF(Active_Case="Ind",V11,IF(Active_Case="Out",W11))))</f>
        <v>16.8</v>
      </c>
      <c r="Y11" s="567">
        <v>53</v>
      </c>
      <c r="Z11" s="568">
        <v>54.4</v>
      </c>
      <c r="AA11" s="568">
        <v>53.3</v>
      </c>
      <c r="AB11" s="569">
        <v>0</v>
      </c>
      <c r="AC11" s="448">
        <f>IF(Active_Case="Res",Y11,IF(Active_Case="Com",Z11,IF(Active_Case="Ind",AA11,IF(Active_Case="Out",AB11))))</f>
        <v>53</v>
      </c>
      <c r="AD11" s="997">
        <f>C200</f>
        <v>65512762.193773963</v>
      </c>
      <c r="AE11" s="928">
        <f>D200*$E$176</f>
        <v>1317149.721438847</v>
      </c>
      <c r="AF11" s="997">
        <f>E200*$E$181</f>
        <v>3057.0984031885378</v>
      </c>
      <c r="AG11" s="930">
        <v>0</v>
      </c>
      <c r="AH11" s="452">
        <f>IF(Active_Case="Res",AD11,IF(Active_Case="Com",AE11,IF(Active_Case="Ind",AF11,IF(Active_Case="Out",AG11))))</f>
        <v>65512762.193773963</v>
      </c>
      <c r="AI11" s="219">
        <v>1</v>
      </c>
      <c r="AJ11" s="443">
        <f t="shared" ca="1" si="1"/>
        <v>38.399176300204253</v>
      </c>
      <c r="AK11" s="442">
        <f t="shared" si="1"/>
        <v>5.3080984144585814</v>
      </c>
      <c r="AL11" s="442">
        <f t="shared" si="1"/>
        <v>1.2171032639487586E-2</v>
      </c>
      <c r="AM11" s="437">
        <f t="shared" si="1"/>
        <v>0</v>
      </c>
      <c r="AN11" s="457">
        <f t="shared" ca="1" si="1"/>
        <v>38.399176300204253</v>
      </c>
    </row>
    <row r="12" spans="1:40" ht="14.45" x14ac:dyDescent="0.35">
      <c r="A12" s="783"/>
      <c r="B12" s="53" t="s">
        <v>29</v>
      </c>
      <c r="C12" s="725">
        <v>2008</v>
      </c>
      <c r="D12" s="725">
        <v>4</v>
      </c>
      <c r="E12" s="903" t="str">
        <f>IF(LEFT(B12,3)="LED","Logistic",IF(Standards_Active!$E13="yes","Step","Linear"))</f>
        <v>Logistic</v>
      </c>
      <c r="F12" s="903" t="str">
        <f>IF(Standards_Active!$S13="yes","Step",IF($K12="lamp+ballast","Linear","Constant"))</f>
        <v>Constant</v>
      </c>
      <c r="G12" s="563" t="s">
        <v>24</v>
      </c>
      <c r="H12" s="479" t="s">
        <v>24</v>
      </c>
      <c r="I12" s="479" t="s">
        <v>24</v>
      </c>
      <c r="J12" s="479" t="s">
        <v>24</v>
      </c>
      <c r="K12" s="903" t="str">
        <f>IF(Active_Case="Res",G12,IF(Active_Case="Com",H12,IF(Active_Case="Ind",I12,IF(Active_Case="Out",J12))))</f>
        <v>lamp</v>
      </c>
      <c r="L12" s="728" t="s">
        <v>49</v>
      </c>
      <c r="M12" s="744" t="s">
        <v>49</v>
      </c>
      <c r="N12" s="744" t="s">
        <v>49</v>
      </c>
      <c r="O12" s="796">
        <f ca="1">M135</f>
        <v>1.8022731871818063</v>
      </c>
      <c r="P12" s="792">
        <f t="shared" si="0"/>
        <v>9.9912231689272915</v>
      </c>
      <c r="Q12" s="792">
        <f t="shared" si="0"/>
        <v>12.029612939731535</v>
      </c>
      <c r="R12" s="768">
        <f t="shared" si="0"/>
        <v>0</v>
      </c>
      <c r="S12" s="351">
        <f ca="1">IF(Active_Case="Res",O12,IF(Active_Case="Com",P12,IF(Active_Case="Ind",Q12,IF(Active_Case="Out",R12))))</f>
        <v>1.8022731871818063</v>
      </c>
      <c r="T12" s="567">
        <v>25.2</v>
      </c>
      <c r="U12" s="568">
        <v>39.9</v>
      </c>
      <c r="V12" s="568">
        <v>85.1</v>
      </c>
      <c r="W12" s="569">
        <v>162.6</v>
      </c>
      <c r="X12" s="448">
        <f>IF(Active_Case="Res",T12,IF(Active_Case="Com",U12,IF(Active_Case="Ind",V12,IF(Active_Case="Out",W12))))</f>
        <v>25.2</v>
      </c>
      <c r="Y12" s="567">
        <v>0</v>
      </c>
      <c r="Z12" s="568">
        <v>0</v>
      </c>
      <c r="AA12" s="568">
        <v>0</v>
      </c>
      <c r="AB12" s="569">
        <v>0</v>
      </c>
      <c r="AC12" s="448">
        <f>IF(Active_Case="Res",Y12,IF(Active_Case="Com",Z12,IF(Active_Case="Ind",AA12,IF(Active_Case="Out",AB12))))</f>
        <v>0</v>
      </c>
      <c r="AD12" s="997">
        <f>C201</f>
        <v>0</v>
      </c>
      <c r="AE12" s="928">
        <f>D201*$E$176</f>
        <v>0</v>
      </c>
      <c r="AF12" s="997">
        <f>E201*$E$181</f>
        <v>0</v>
      </c>
      <c r="AG12" s="930">
        <v>0</v>
      </c>
      <c r="AH12" s="452">
        <f>IF(Active_Case="Res",AD12,IF(Active_Case="Com",AE12,IF(Active_Case="Ind",AF12,IF(Active_Case="Out",AG12))))</f>
        <v>0</v>
      </c>
      <c r="AI12" s="219">
        <v>1</v>
      </c>
      <c r="AJ12" s="443">
        <f t="shared" ca="1" si="1"/>
        <v>0</v>
      </c>
      <c r="AK12" s="442">
        <f t="shared" si="1"/>
        <v>0</v>
      </c>
      <c r="AL12" s="442">
        <f t="shared" si="1"/>
        <v>0</v>
      </c>
      <c r="AM12" s="437">
        <f t="shared" si="1"/>
        <v>0</v>
      </c>
      <c r="AN12" s="457">
        <f t="shared" ca="1" si="1"/>
        <v>0</v>
      </c>
    </row>
    <row r="13" spans="1:40" ht="14.45" x14ac:dyDescent="0.35">
      <c r="A13" s="783"/>
      <c r="B13" s="53" t="s">
        <v>73</v>
      </c>
      <c r="C13" s="726"/>
      <c r="D13" s="726"/>
      <c r="E13" s="903"/>
      <c r="F13" s="903"/>
      <c r="G13" s="563"/>
      <c r="H13" s="479"/>
      <c r="I13" s="479"/>
      <c r="J13" s="479"/>
      <c r="K13" s="903"/>
      <c r="L13" s="730"/>
      <c r="M13" s="731"/>
      <c r="N13" s="732"/>
      <c r="O13" s="820"/>
      <c r="P13" s="819"/>
      <c r="Q13" s="819"/>
      <c r="R13" s="810"/>
      <c r="S13" s="65"/>
      <c r="T13" s="67"/>
      <c r="U13" s="65"/>
      <c r="V13" s="65"/>
      <c r="W13" s="350"/>
      <c r="X13" s="449"/>
      <c r="Y13" s="67"/>
      <c r="Z13" s="65"/>
      <c r="AA13" s="65"/>
      <c r="AB13" s="350"/>
      <c r="AC13" s="449"/>
      <c r="AD13" s="997"/>
      <c r="AE13" s="574"/>
      <c r="AF13" s="452"/>
      <c r="AG13" s="575"/>
      <c r="AH13" s="453"/>
      <c r="AI13" s="219"/>
      <c r="AJ13" s="411"/>
      <c r="AK13" s="414"/>
      <c r="AL13" s="414"/>
      <c r="AM13" s="415"/>
      <c r="AN13" s="458"/>
    </row>
    <row r="14" spans="1:40" ht="14.45" x14ac:dyDescent="0.35">
      <c r="A14" s="788" t="s">
        <v>32</v>
      </c>
      <c r="B14" s="57" t="s">
        <v>73</v>
      </c>
      <c r="C14" s="168"/>
      <c r="D14" s="168"/>
      <c r="E14" s="169"/>
      <c r="F14" s="169"/>
      <c r="G14" s="564"/>
      <c r="H14" s="480"/>
      <c r="I14" s="480"/>
      <c r="J14" s="480"/>
      <c r="K14" s="169"/>
      <c r="L14" s="733"/>
      <c r="M14" s="734"/>
      <c r="N14" s="735"/>
      <c r="O14" s="813"/>
      <c r="P14" s="815"/>
      <c r="Q14" s="815"/>
      <c r="R14" s="814"/>
      <c r="S14" s="69"/>
      <c r="T14" s="413"/>
      <c r="U14" s="218"/>
      <c r="V14" s="218"/>
      <c r="W14" s="71"/>
      <c r="X14" s="450"/>
      <c r="Y14" s="413">
        <v>0</v>
      </c>
      <c r="Z14" s="218">
        <v>0</v>
      </c>
      <c r="AA14" s="218">
        <v>0</v>
      </c>
      <c r="AB14" s="71">
        <v>0</v>
      </c>
      <c r="AC14" s="450"/>
      <c r="AD14" s="576"/>
      <c r="AE14" s="576"/>
      <c r="AF14" s="934"/>
      <c r="AG14" s="578"/>
      <c r="AH14" s="454"/>
      <c r="AI14" s="220"/>
      <c r="AJ14" s="413"/>
      <c r="AK14" s="416"/>
      <c r="AL14" s="416"/>
      <c r="AM14" s="417"/>
      <c r="AN14" s="459"/>
    </row>
    <row r="15" spans="1:40" ht="14.45" x14ac:dyDescent="0.35">
      <c r="A15" s="783"/>
      <c r="B15" s="59" t="s">
        <v>33</v>
      </c>
      <c r="C15" s="725">
        <v>1890</v>
      </c>
      <c r="D15" s="725">
        <v>1</v>
      </c>
      <c r="E15" s="903" t="str">
        <f>IF(LEFT(B15,3)="LED","Logistic",IF(Standards_Active!$E16="yes","Step","Linear"))</f>
        <v>Linear</v>
      </c>
      <c r="F15" s="903" t="str">
        <f>IF(Standards_Active!$S16="yes","Step",IF($K15="lamp+ballast","Linear","Constant"))</f>
        <v>Constant</v>
      </c>
      <c r="G15" s="563" t="s">
        <v>24</v>
      </c>
      <c r="H15" s="479" t="s">
        <v>24</v>
      </c>
      <c r="I15" s="479" t="s">
        <v>24</v>
      </c>
      <c r="J15" s="479" t="s">
        <v>24</v>
      </c>
      <c r="K15" s="903" t="str">
        <f>IF(Active_Case="Res",G15,IF(Active_Case="Com",H15,IF(Active_Case="Ind",I15,IF(Active_Case="Out",J15))))</f>
        <v>lamp</v>
      </c>
      <c r="L15" s="728">
        <f>IF(User_Inputs!$D$4="Frozen Efficiency",0,Tech_Specs!C61)</f>
        <v>0</v>
      </c>
      <c r="M15" s="36">
        <f>IF(User_Inputs!$D$4="Frozen Efficiency",0,Tech_Specs!E61)</f>
        <v>0</v>
      </c>
      <c r="N15" s="729">
        <f>IF(User_Inputs!$D$4="Frozen Efficiency",0,Tech_Specs!G61)</f>
        <v>-0.125</v>
      </c>
      <c r="O15" s="796">
        <f t="shared" ref="O15:R18" si="2">M138</f>
        <v>1.7763608496829884</v>
      </c>
      <c r="P15" s="792">
        <f t="shared" si="2"/>
        <v>10.163033244488094</v>
      </c>
      <c r="Q15" s="792">
        <f t="shared" si="2"/>
        <v>11.660497276377969</v>
      </c>
      <c r="R15" s="768">
        <f t="shared" si="2"/>
        <v>0</v>
      </c>
      <c r="S15" s="351">
        <f>IF(Active_Case="Res",O15,IF(Active_Case="Com",P15,IF(Active_Case="Ind",Q15,IF(Active_Case="Out",R15))))</f>
        <v>1.7763608496829884</v>
      </c>
      <c r="T15" s="567">
        <v>69.099999999999994</v>
      </c>
      <c r="U15" s="568">
        <v>78.900000000000006</v>
      </c>
      <c r="V15" s="568">
        <v>65</v>
      </c>
      <c r="W15" s="569">
        <v>0</v>
      </c>
      <c r="X15" s="448">
        <f>IF(Active_Case="Res",T15,IF(Active_Case="Com",U15,IF(Active_Case="Ind",V15,IF(Active_Case="Out",W15))))</f>
        <v>69.099999999999994</v>
      </c>
      <c r="Y15" s="567">
        <v>10.199999999999999</v>
      </c>
      <c r="Z15" s="568">
        <v>10.4</v>
      </c>
      <c r="AA15" s="568">
        <v>10.199999999999999</v>
      </c>
      <c r="AB15" s="569">
        <v>0</v>
      </c>
      <c r="AC15" s="448">
        <f>IF(Active_Case="Res",Y15,IF(Active_Case="Com",Z15,IF(Active_Case="Ind",AA15,IF(Active_Case="Out",AB15))))</f>
        <v>10.199999999999999</v>
      </c>
      <c r="AD15" s="997">
        <f>C204</f>
        <v>21628378.419260103</v>
      </c>
      <c r="AE15" s="928">
        <f>D204*$E$176</f>
        <v>1090723.4474381113</v>
      </c>
      <c r="AF15" s="997">
        <f>E204*$E$181</f>
        <v>870.16333036276581</v>
      </c>
      <c r="AG15" s="930">
        <v>0</v>
      </c>
      <c r="AH15" s="452">
        <f>IF(Active_Case="Res",AD15,IF(Active_Case="Com",AE15,IF(Active_Case="Ind",AF15,IF(Active_Case="Out",AG15))))</f>
        <v>21628378.419260103</v>
      </c>
      <c r="AI15" s="219">
        <v>1</v>
      </c>
      <c r="AJ15" s="443">
        <f t="shared" ref="AJ15:AN18" si="3">AD15*O15*Y15*365.25*T15*$AI15/10^12</f>
        <v>9.8906218162193458</v>
      </c>
      <c r="AK15" s="442">
        <f t="shared" si="3"/>
        <v>3.322297830919386</v>
      </c>
      <c r="AL15" s="442">
        <f t="shared" si="3"/>
        <v>2.4570930446210109E-3</v>
      </c>
      <c r="AM15" s="437">
        <f t="shared" si="3"/>
        <v>0</v>
      </c>
      <c r="AN15" s="457">
        <f t="shared" si="3"/>
        <v>9.8906218162193458</v>
      </c>
    </row>
    <row r="16" spans="1:40" ht="14.45" x14ac:dyDescent="0.35">
      <c r="A16" s="785"/>
      <c r="B16" s="59" t="s">
        <v>34</v>
      </c>
      <c r="C16" s="725">
        <v>1970</v>
      </c>
      <c r="D16" s="725">
        <v>2</v>
      </c>
      <c r="E16" s="1155" t="str">
        <f>IF(LEFT(B16,3)="LED","Logistic",IF(Standards_Active!$E17="yes","Step","Linear"))</f>
        <v>Step</v>
      </c>
      <c r="F16" s="903" t="str">
        <f>IF(Standards_Active!$S17="yes","Step",IF($K16="lamp+ballast","Linear","Constant"))</f>
        <v>Constant</v>
      </c>
      <c r="G16" s="563" t="s">
        <v>24</v>
      </c>
      <c r="H16" s="479" t="s">
        <v>24</v>
      </c>
      <c r="I16" s="479" t="s">
        <v>24</v>
      </c>
      <c r="J16" s="479" t="s">
        <v>24</v>
      </c>
      <c r="K16" s="903" t="str">
        <f>IF(Active_Case="Res",G16,IF(Active_Case="Com",H16,IF(Active_Case="Ind",I16,IF(Active_Case="Out",J16))))</f>
        <v>lamp</v>
      </c>
      <c r="L16" s="728">
        <f>IF(User_Inputs!$D$4="Frozen Efficiency",0,Tech_Specs!C62)</f>
        <v>0.125</v>
      </c>
      <c r="M16" s="36">
        <f>IF(User_Inputs!$D$4="Frozen Efficiency",0,Tech_Specs!E62)</f>
        <v>0.125</v>
      </c>
      <c r="N16" s="729">
        <f>IF(User_Inputs!$D$4="Frozen Efficiency",0,Tech_Specs!G62)</f>
        <v>-0.125</v>
      </c>
      <c r="O16" s="796">
        <f t="shared" si="2"/>
        <v>1.7763608496829884</v>
      </c>
      <c r="P16" s="792">
        <f t="shared" si="2"/>
        <v>10.163033244488094</v>
      </c>
      <c r="Q16" s="792">
        <f t="shared" si="2"/>
        <v>11.660497276377969</v>
      </c>
      <c r="R16" s="768">
        <f t="shared" si="2"/>
        <v>0</v>
      </c>
      <c r="S16" s="351">
        <f>IF(Active_Case="Res",O16,IF(Active_Case="Com",P16,IF(Active_Case="Ind",Q16,IF(Active_Case="Out",R16))))</f>
        <v>1.7763608496829884</v>
      </c>
      <c r="T16" s="567">
        <v>67.900000000000006</v>
      </c>
      <c r="U16" s="568">
        <v>77.599999999999994</v>
      </c>
      <c r="V16" s="568">
        <v>63.9</v>
      </c>
      <c r="W16" s="569">
        <v>0</v>
      </c>
      <c r="X16" s="448">
        <f>IF(Active_Case="Res",T16,IF(Active_Case="Com",U16,IF(Active_Case="Ind",V16,IF(Active_Case="Out",W16))))</f>
        <v>67.900000000000006</v>
      </c>
      <c r="Y16" s="567">
        <v>14.1</v>
      </c>
      <c r="Z16" s="568">
        <v>14.6</v>
      </c>
      <c r="AA16" s="568">
        <v>12.9</v>
      </c>
      <c r="AB16" s="569">
        <v>0</v>
      </c>
      <c r="AC16" s="448">
        <f>IF(Active_Case="Res",Y16,IF(Active_Case="Com",Z16,IF(Active_Case="Ind",AA16,IF(Active_Case="Out",AB16))))</f>
        <v>14.1</v>
      </c>
      <c r="AD16" s="997">
        <f>C205</f>
        <v>12076208.313300364</v>
      </c>
      <c r="AE16" s="928">
        <f>D205*$E$176</f>
        <v>1095104.0884401284</v>
      </c>
      <c r="AF16" s="997">
        <f>E205*$E$181</f>
        <v>3654.6859875236164</v>
      </c>
      <c r="AG16" s="930">
        <v>0</v>
      </c>
      <c r="AH16" s="452">
        <f>IF(Active_Case="Res",AD16,IF(Active_Case="Com",AE16,IF(Active_Case="Ind",AF16,IF(Active_Case="Out",AG16))))</f>
        <v>12076208.313300364</v>
      </c>
      <c r="AI16" s="219">
        <v>1</v>
      </c>
      <c r="AJ16" s="443">
        <f t="shared" si="3"/>
        <v>7.5013754087409996</v>
      </c>
      <c r="AK16" s="442">
        <f t="shared" si="3"/>
        <v>4.6055717040042952</v>
      </c>
      <c r="AL16" s="442">
        <f t="shared" si="3"/>
        <v>1.2830628573104812E-2</v>
      </c>
      <c r="AM16" s="437">
        <f t="shared" si="3"/>
        <v>0</v>
      </c>
      <c r="AN16" s="457">
        <f t="shared" si="3"/>
        <v>7.5013754087409996</v>
      </c>
    </row>
    <row r="17" spans="1:43" ht="14.45" x14ac:dyDescent="0.35">
      <c r="A17" s="783"/>
      <c r="B17" s="53" t="s">
        <v>35</v>
      </c>
      <c r="C17" s="725">
        <v>1990</v>
      </c>
      <c r="D17" s="725">
        <v>3</v>
      </c>
      <c r="E17" s="903" t="str">
        <f>IF(LEFT(B17,3)="LED","Logistic",IF(Standards_Active!$E18="yes","Step","Linear"))</f>
        <v>Linear</v>
      </c>
      <c r="F17" s="903" t="str">
        <f>IF(Standards_Active!$S18="yes","Step",IF($K17="lamp+ballast","Linear","Constant"))</f>
        <v>Constant</v>
      </c>
      <c r="G17" s="563" t="s">
        <v>24</v>
      </c>
      <c r="H17" s="479" t="s">
        <v>24</v>
      </c>
      <c r="I17" s="479" t="s">
        <v>24</v>
      </c>
      <c r="J17" s="479" t="s">
        <v>24</v>
      </c>
      <c r="K17" s="903" t="str">
        <f>IF(Active_Case="Res",G17,IF(Active_Case="Com",H17,IF(Active_Case="Ind",I17,IF(Active_Case="Out",J17))))</f>
        <v>lamp</v>
      </c>
      <c r="L17" s="728">
        <f>IF(User_Inputs!$D$4="Frozen Efficiency",0,Tech_Specs!C63)</f>
        <v>0.125</v>
      </c>
      <c r="M17" s="36">
        <f>IF(User_Inputs!$D$4="Frozen Efficiency",0,Tech_Specs!E63)</f>
        <v>0.125</v>
      </c>
      <c r="N17" s="729">
        <f>IF(User_Inputs!$D$4="Frozen Efficiency",0,Tech_Specs!G63)</f>
        <v>-0.125</v>
      </c>
      <c r="O17" s="796">
        <f t="shared" si="2"/>
        <v>1.7763608496829884</v>
      </c>
      <c r="P17" s="792">
        <f t="shared" si="2"/>
        <v>10.163033244488094</v>
      </c>
      <c r="Q17" s="792">
        <f t="shared" si="2"/>
        <v>11.660497276377969</v>
      </c>
      <c r="R17" s="768">
        <f t="shared" si="2"/>
        <v>0</v>
      </c>
      <c r="S17" s="351">
        <f>IF(Active_Case="Res",O17,IF(Active_Case="Com",P17,IF(Active_Case="Ind",Q17,IF(Active_Case="Out",R17))))</f>
        <v>1.7763608496829884</v>
      </c>
      <c r="T17" s="567">
        <v>17.2</v>
      </c>
      <c r="U17" s="568">
        <v>19.7</v>
      </c>
      <c r="V17" s="568">
        <v>16.2</v>
      </c>
      <c r="W17" s="569">
        <v>0</v>
      </c>
      <c r="X17" s="448">
        <f>IF(Active_Case="Res",T17,IF(Active_Case="Com",U17,IF(Active_Case="Ind",V17,IF(Active_Case="Out",W17))))</f>
        <v>17.2</v>
      </c>
      <c r="Y17" s="567">
        <v>43.1</v>
      </c>
      <c r="Z17" s="568">
        <v>44.9</v>
      </c>
      <c r="AA17" s="568">
        <v>41.9</v>
      </c>
      <c r="AB17" s="569">
        <v>0</v>
      </c>
      <c r="AC17" s="448">
        <f>IF(Active_Case="Res",Y17,IF(Active_Case="Com",Z17,IF(Active_Case="Ind",AA17,IF(Active_Case="Out",AB17))))</f>
        <v>43.1</v>
      </c>
      <c r="AD17" s="997">
        <f>C206</f>
        <v>6703676.5842714086</v>
      </c>
      <c r="AE17" s="928">
        <f>D206*$E$176</f>
        <v>1283975.4235508619</v>
      </c>
      <c r="AF17" s="997">
        <f>E206*$E$181</f>
        <v>3829.7716259724534</v>
      </c>
      <c r="AG17" s="930">
        <v>0</v>
      </c>
      <c r="AH17" s="452">
        <f>IF(Active_Case="Res",AD17,IF(Active_Case="Com",AE17,IF(Active_Case="Ind",AF17,IF(Active_Case="Out",AG17))))</f>
        <v>6703676.5842714086</v>
      </c>
      <c r="AI17" s="219">
        <v>1</v>
      </c>
      <c r="AJ17" s="443">
        <f t="shared" si="3"/>
        <v>3.2243352290348191</v>
      </c>
      <c r="AK17" s="442">
        <f t="shared" si="3"/>
        <v>4.2158276608085954</v>
      </c>
      <c r="AL17" s="442">
        <f t="shared" si="3"/>
        <v>1.107157002459154E-2</v>
      </c>
      <c r="AM17" s="437">
        <f t="shared" si="3"/>
        <v>0</v>
      </c>
      <c r="AN17" s="457">
        <f t="shared" si="3"/>
        <v>3.2243352290348191</v>
      </c>
    </row>
    <row r="18" spans="1:43" ht="14.45" x14ac:dyDescent="0.35">
      <c r="A18" s="783"/>
      <c r="B18" s="59" t="s">
        <v>29</v>
      </c>
      <c r="C18" s="725">
        <v>2008</v>
      </c>
      <c r="D18" s="725">
        <v>4</v>
      </c>
      <c r="E18" s="903" t="str">
        <f>IF(LEFT(B18,3)="LED","Logistic",IF(Standards_Active!$E19="yes","Step","Linear"))</f>
        <v>Logistic</v>
      </c>
      <c r="F18" s="903" t="str">
        <f>IF(Standards_Active!$S19="yes","Step",IF($K18="lamp+ballast","Linear","Constant"))</f>
        <v>Constant</v>
      </c>
      <c r="G18" s="563" t="s">
        <v>24</v>
      </c>
      <c r="H18" s="479" t="s">
        <v>24</v>
      </c>
      <c r="I18" s="479" t="s">
        <v>24</v>
      </c>
      <c r="J18" s="479" t="s">
        <v>24</v>
      </c>
      <c r="K18" s="903" t="str">
        <f>IF(Active_Case="Res",G18,IF(Active_Case="Com",H18,IF(Active_Case="Ind",I18,IF(Active_Case="Out",J18))))</f>
        <v>lamp</v>
      </c>
      <c r="L18" s="728" t="s">
        <v>49</v>
      </c>
      <c r="M18" s="744" t="s">
        <v>49</v>
      </c>
      <c r="N18" s="744" t="s">
        <v>49</v>
      </c>
      <c r="O18" s="796">
        <f t="shared" si="2"/>
        <v>1.7763608496829884</v>
      </c>
      <c r="P18" s="792">
        <f t="shared" si="2"/>
        <v>10.163033244488094</v>
      </c>
      <c r="Q18" s="792">
        <f t="shared" si="2"/>
        <v>11.660497276377969</v>
      </c>
      <c r="R18" s="768">
        <f t="shared" si="2"/>
        <v>0</v>
      </c>
      <c r="S18" s="351">
        <f>IF(Active_Case="Res",O18,IF(Active_Case="Com",P18,IF(Active_Case="Ind",Q18,IF(Active_Case="Out",R18))))</f>
        <v>1.7763608496829884</v>
      </c>
      <c r="T18" s="567">
        <v>25.2</v>
      </c>
      <c r="U18" s="568">
        <v>39.9</v>
      </c>
      <c r="V18" s="568">
        <v>85.1</v>
      </c>
      <c r="W18" s="569">
        <v>162.6</v>
      </c>
      <c r="X18" s="448">
        <f>IF(Active_Case="Res",T18,IF(Active_Case="Com",U18,IF(Active_Case="Ind",V18,IF(Active_Case="Out",W18))))</f>
        <v>25.2</v>
      </c>
      <c r="Y18" s="567">
        <v>0</v>
      </c>
      <c r="Z18" s="568">
        <v>0</v>
      </c>
      <c r="AA18" s="568">
        <v>0</v>
      </c>
      <c r="AB18" s="569">
        <v>0</v>
      </c>
      <c r="AC18" s="448">
        <f>IF(Active_Case="Res",Y18,IF(Active_Case="Com",Z18,IF(Active_Case="Ind",AA18,IF(Active_Case="Out",AB18))))</f>
        <v>0</v>
      </c>
      <c r="AD18" s="997">
        <f>C207</f>
        <v>0</v>
      </c>
      <c r="AE18" s="928">
        <f>D207*$E$176</f>
        <v>0</v>
      </c>
      <c r="AF18" s="997">
        <f>E207*$E$181</f>
        <v>0</v>
      </c>
      <c r="AG18" s="930">
        <v>0</v>
      </c>
      <c r="AH18" s="452">
        <f>IF(Active_Case="Res",AD18,IF(Active_Case="Com",AE18,IF(Active_Case="Ind",AF18,IF(Active_Case="Out",AG18))))</f>
        <v>0</v>
      </c>
      <c r="AI18" s="219">
        <v>1</v>
      </c>
      <c r="AJ18" s="443">
        <f t="shared" si="3"/>
        <v>0</v>
      </c>
      <c r="AK18" s="442">
        <f t="shared" si="3"/>
        <v>0</v>
      </c>
      <c r="AL18" s="442">
        <f t="shared" si="3"/>
        <v>0</v>
      </c>
      <c r="AM18" s="437">
        <f t="shared" si="3"/>
        <v>0</v>
      </c>
      <c r="AN18" s="457">
        <f t="shared" si="3"/>
        <v>0</v>
      </c>
    </row>
    <row r="19" spans="1:43" ht="14.45" x14ac:dyDescent="0.35">
      <c r="A19" s="783"/>
      <c r="B19" s="59" t="s">
        <v>73</v>
      </c>
      <c r="C19" s="726"/>
      <c r="D19" s="726"/>
      <c r="E19" s="903"/>
      <c r="F19" s="903"/>
      <c r="G19" s="563"/>
      <c r="H19" s="479"/>
      <c r="I19" s="479"/>
      <c r="J19" s="479"/>
      <c r="K19" s="903"/>
      <c r="L19" s="730"/>
      <c r="M19" s="731"/>
      <c r="N19" s="732"/>
      <c r="O19" s="820"/>
      <c r="P19" s="819"/>
      <c r="Q19" s="819"/>
      <c r="R19" s="818"/>
      <c r="S19" s="65"/>
      <c r="T19" s="67"/>
      <c r="U19" s="65"/>
      <c r="V19" s="65"/>
      <c r="W19" s="70"/>
      <c r="X19" s="451"/>
      <c r="Y19" s="67"/>
      <c r="Z19" s="65"/>
      <c r="AA19" s="65"/>
      <c r="AB19" s="70"/>
      <c r="AC19" s="451"/>
      <c r="AD19" s="997"/>
      <c r="AE19" s="574"/>
      <c r="AF19" s="452"/>
      <c r="AG19" s="575"/>
      <c r="AH19" s="455"/>
      <c r="AI19" s="219"/>
      <c r="AJ19" s="411"/>
      <c r="AK19" s="414"/>
      <c r="AL19" s="414"/>
      <c r="AM19" s="415"/>
      <c r="AN19" s="458"/>
    </row>
    <row r="20" spans="1:43" ht="14.45" x14ac:dyDescent="0.35">
      <c r="A20" s="788" t="s">
        <v>36</v>
      </c>
      <c r="B20" s="57" t="s">
        <v>73</v>
      </c>
      <c r="C20" s="168"/>
      <c r="D20" s="168"/>
      <c r="E20" s="169"/>
      <c r="F20" s="169"/>
      <c r="G20" s="564"/>
      <c r="H20" s="480"/>
      <c r="I20" s="480"/>
      <c r="J20" s="480"/>
      <c r="K20" s="169"/>
      <c r="L20" s="733"/>
      <c r="M20" s="734"/>
      <c r="N20" s="735"/>
      <c r="O20" s="813"/>
      <c r="P20" s="815"/>
      <c r="Q20" s="815"/>
      <c r="R20" s="814"/>
      <c r="S20" s="69"/>
      <c r="T20" s="413"/>
      <c r="U20" s="218"/>
      <c r="V20" s="218"/>
      <c r="W20" s="71"/>
      <c r="X20" s="450"/>
      <c r="Y20" s="413">
        <v>0</v>
      </c>
      <c r="Z20" s="218">
        <v>0</v>
      </c>
      <c r="AA20" s="218">
        <v>0</v>
      </c>
      <c r="AB20" s="71">
        <v>0</v>
      </c>
      <c r="AC20" s="450"/>
      <c r="AD20" s="576"/>
      <c r="AE20" s="576"/>
      <c r="AF20" s="934"/>
      <c r="AG20" s="578"/>
      <c r="AH20" s="454"/>
      <c r="AI20" s="220"/>
      <c r="AJ20" s="413"/>
      <c r="AK20" s="416"/>
      <c r="AL20" s="416"/>
      <c r="AM20" s="417"/>
      <c r="AN20" s="459"/>
    </row>
    <row r="21" spans="1:43" ht="14.45" x14ac:dyDescent="0.35">
      <c r="A21" s="783"/>
      <c r="B21" s="59" t="s">
        <v>37</v>
      </c>
      <c r="C21" s="725">
        <v>1962</v>
      </c>
      <c r="D21" s="725">
        <v>1</v>
      </c>
      <c r="E21" s="903" t="str">
        <f>IF(LEFT(B21,3)="LED","Logistic",IF(Standards_Active!$E22="yes","Step","Linear"))</f>
        <v>Step</v>
      </c>
      <c r="F21" s="903" t="str">
        <f>IF(Standards_Active!$S22="yes","Step",IF($K21="lamp+ballast","Linear","Constant"))</f>
        <v>Step</v>
      </c>
      <c r="G21" s="651" t="s">
        <v>38</v>
      </c>
      <c r="H21" s="659" t="s">
        <v>38</v>
      </c>
      <c r="I21" s="659" t="s">
        <v>38</v>
      </c>
      <c r="J21" s="659" t="s">
        <v>38</v>
      </c>
      <c r="K21" s="903" t="str">
        <f>IF(Active_Case="Res",G21,IF(Active_Case="Com",H21,IF(Active_Case="Ind",I21,IF(Active_Case="Out",J21))))</f>
        <v>lamp+ballast</v>
      </c>
      <c r="L21" s="728">
        <f>IF(User_Inputs!$D$4="Frozen Efficiency",0,Tech_Specs!C67)</f>
        <v>0</v>
      </c>
      <c r="M21" s="36">
        <f>IF(User_Inputs!$D$4="Frozen Efficiency",0,Tech_Specs!E67)</f>
        <v>0</v>
      </c>
      <c r="N21" s="729">
        <f>IF(User_Inputs!$D$4="Frozen Efficiency",0,Tech_Specs!G67)</f>
        <v>-0.125</v>
      </c>
      <c r="O21" s="796">
        <f t="shared" ref="O21:R24" si="4">M144</f>
        <v>1.9</v>
      </c>
      <c r="P21" s="792">
        <f t="shared" si="4"/>
        <v>10.470655475824051</v>
      </c>
      <c r="Q21" s="792">
        <f t="shared" si="4"/>
        <v>11.858010909601697</v>
      </c>
      <c r="R21" s="768">
        <f t="shared" si="4"/>
        <v>0</v>
      </c>
      <c r="S21" s="351">
        <f>IF(Active_Case="Res",O21,IF(Active_Case="Com",P21,IF(Active_Case="Ind",Q21,IF(Active_Case="Out",R21))))</f>
        <v>1.9</v>
      </c>
      <c r="T21" s="567">
        <v>28.2</v>
      </c>
      <c r="U21" s="568">
        <v>49.9</v>
      </c>
      <c r="V21" s="568">
        <v>52.6</v>
      </c>
      <c r="W21" s="569">
        <v>0</v>
      </c>
      <c r="X21" s="448">
        <f>IF(Active_Case="Res",T21,IF(Active_Case="Com",U21,IF(Active_Case="Ind",V21,IF(Active_Case="Out",W21))))</f>
        <v>28.2</v>
      </c>
      <c r="Y21" s="567">
        <v>67</v>
      </c>
      <c r="Z21" s="568">
        <v>60.9</v>
      </c>
      <c r="AA21" s="568">
        <v>60.9</v>
      </c>
      <c r="AB21" s="569">
        <v>0</v>
      </c>
      <c r="AC21" s="448">
        <f>IF(Active_Case="Res",Y21,IF(Active_Case="Com",Z21,IF(Active_Case="Ind",AA21,IF(Active_Case="Out",AB21))))</f>
        <v>67</v>
      </c>
      <c r="AD21" s="997">
        <f>C210</f>
        <v>21292654.54879117</v>
      </c>
      <c r="AE21" s="928">
        <f>D210*$E$176</f>
        <v>16610374.183402805</v>
      </c>
      <c r="AF21" s="997">
        <f>E210*$E$181</f>
        <v>1144699.0512787271</v>
      </c>
      <c r="AG21" s="930">
        <v>0</v>
      </c>
      <c r="AH21" s="452">
        <f>IF(Active_Case="Res",AD21,IF(Active_Case="Com",AE21,IF(Active_Case="Ind",AF21,IF(Active_Case="Out",AG21))))</f>
        <v>21292654.54879117</v>
      </c>
      <c r="AI21" s="219">
        <v>0.7</v>
      </c>
      <c r="AJ21" s="443">
        <f t="shared" ref="AJ21:AN24" si="5">AD21*O21*Y21*365.25*T21*$AI21/10^12</f>
        <v>19.543195871902984</v>
      </c>
      <c r="AK21" s="442">
        <f t="shared" si="5"/>
        <v>135.13236846915822</v>
      </c>
      <c r="AL21" s="442">
        <f t="shared" si="5"/>
        <v>11.117175709889676</v>
      </c>
      <c r="AM21" s="437">
        <f t="shared" si="5"/>
        <v>0</v>
      </c>
      <c r="AN21" s="457">
        <f t="shared" si="5"/>
        <v>19.543195871902984</v>
      </c>
      <c r="AP21" s="573"/>
      <c r="AQ21" s="573"/>
    </row>
    <row r="22" spans="1:43" ht="14.45" x14ac:dyDescent="0.35">
      <c r="A22" s="783"/>
      <c r="B22" s="53" t="s">
        <v>39</v>
      </c>
      <c r="C22" s="725">
        <v>1982</v>
      </c>
      <c r="D22" s="725">
        <v>2</v>
      </c>
      <c r="E22" s="903" t="str">
        <f>IF(LEFT(B22,3)="LED","Logistic",IF(Standards_Active!$E23="yes","Step","Linear"))</f>
        <v>Step</v>
      </c>
      <c r="F22" s="903" t="str">
        <f>IF(Standards_Active!$S23="yes","Step",IF($K22="lamp+ballast","Linear","Constant"))</f>
        <v>Linear</v>
      </c>
      <c r="G22" s="651" t="s">
        <v>38</v>
      </c>
      <c r="H22" s="659" t="s">
        <v>38</v>
      </c>
      <c r="I22" s="659" t="s">
        <v>38</v>
      </c>
      <c r="J22" s="659" t="s">
        <v>38</v>
      </c>
      <c r="K22" s="903" t="str">
        <f>IF(Active_Case="Res",G22,IF(Active_Case="Com",H22,IF(Active_Case="Ind",I22,IF(Active_Case="Out",J22))))</f>
        <v>lamp+ballast</v>
      </c>
      <c r="L22" s="728">
        <f>IF(User_Inputs!$D$4="Frozen Efficiency",0,Tech_Specs!C68)</f>
        <v>0.125</v>
      </c>
      <c r="M22" s="36">
        <f>IF(User_Inputs!$D$4="Frozen Efficiency",0,Tech_Specs!E68)</f>
        <v>0.125</v>
      </c>
      <c r="N22" s="729">
        <f>IF(User_Inputs!$D$4="Frozen Efficiency",0,Tech_Specs!G68)</f>
        <v>-0.125</v>
      </c>
      <c r="O22" s="796">
        <f t="shared" si="4"/>
        <v>1.9</v>
      </c>
      <c r="P22" s="792">
        <f t="shared" si="4"/>
        <v>10.470655475824051</v>
      </c>
      <c r="Q22" s="792">
        <f t="shared" si="4"/>
        <v>11.858010909601697</v>
      </c>
      <c r="R22" s="768">
        <f t="shared" si="4"/>
        <v>0</v>
      </c>
      <c r="S22" s="351">
        <f>IF(Active_Case="Res",O22,IF(Active_Case="Com",P22,IF(Active_Case="Ind",Q22,IF(Active_Case="Out",R22))))</f>
        <v>1.9</v>
      </c>
      <c r="T22" s="567">
        <v>25.9</v>
      </c>
      <c r="U22" s="568">
        <v>30.7</v>
      </c>
      <c r="V22" s="568">
        <v>31.7</v>
      </c>
      <c r="W22" s="569">
        <v>0</v>
      </c>
      <c r="X22" s="448">
        <f>IF(Active_Case="Res",T22,IF(Active_Case="Com",U22,IF(Active_Case="Ind",V22,IF(Active_Case="Out",W22))))</f>
        <v>25.9</v>
      </c>
      <c r="Y22" s="567">
        <v>72.5</v>
      </c>
      <c r="Z22" s="568">
        <v>86.9</v>
      </c>
      <c r="AA22" s="568">
        <v>86.9</v>
      </c>
      <c r="AB22" s="569">
        <v>0</v>
      </c>
      <c r="AC22" s="448">
        <f>IF(Active_Case="Res",Y22,IF(Active_Case="Com",Z22,IF(Active_Case="Ind",AA22,IF(Active_Case="Out",AB22))))</f>
        <v>72.5</v>
      </c>
      <c r="AD22" s="997">
        <f>C211</f>
        <v>4027135.3240239858</v>
      </c>
      <c r="AE22" s="928">
        <f>D211*$E$176</f>
        <v>46549383.592269793</v>
      </c>
      <c r="AF22" s="997">
        <f>E211*$E$181</f>
        <v>3914302.0916311215</v>
      </c>
      <c r="AG22" s="930">
        <v>0</v>
      </c>
      <c r="AH22" s="452">
        <f>IF(Active_Case="Res",AD22,IF(Active_Case="Com",AE22,IF(Active_Case="Ind",AF22,IF(Active_Case="Out",AG22))))</f>
        <v>4027135.3240239858</v>
      </c>
      <c r="AI22" s="219">
        <v>0.7</v>
      </c>
      <c r="AJ22" s="443">
        <f t="shared" si="5"/>
        <v>3.6734646055227707</v>
      </c>
      <c r="AK22" s="442">
        <f t="shared" si="5"/>
        <v>332.45603488703387</v>
      </c>
      <c r="AL22" s="442">
        <f t="shared" si="5"/>
        <v>32.69139768346389</v>
      </c>
      <c r="AM22" s="437">
        <f t="shared" si="5"/>
        <v>0</v>
      </c>
      <c r="AN22" s="457">
        <f t="shared" si="5"/>
        <v>3.6734646055227707</v>
      </c>
      <c r="AP22" s="573"/>
      <c r="AQ22" s="573"/>
    </row>
    <row r="23" spans="1:43" ht="14.45" x14ac:dyDescent="0.35">
      <c r="A23" s="783"/>
      <c r="B23" s="59" t="s">
        <v>40</v>
      </c>
      <c r="C23" s="725">
        <v>2002</v>
      </c>
      <c r="D23" s="725">
        <v>3</v>
      </c>
      <c r="E23" s="903" t="str">
        <f>IF(LEFT(B23,3)="LED","Logistic",IF(Standards_Active!$E24="yes","Step","Linear"))</f>
        <v>Linear</v>
      </c>
      <c r="F23" s="903" t="str">
        <f>IF(Standards_Active!$S24="yes","Step",IF($K23="lamp+ballast","Linear","Constant"))</f>
        <v>Linear</v>
      </c>
      <c r="G23" s="651" t="s">
        <v>38</v>
      </c>
      <c r="H23" s="659" t="s">
        <v>38</v>
      </c>
      <c r="I23" s="659" t="s">
        <v>38</v>
      </c>
      <c r="J23" s="659" t="s">
        <v>38</v>
      </c>
      <c r="K23" s="903" t="str">
        <f>IF(Active_Case="Res",G23,IF(Active_Case="Com",H23,IF(Active_Case="Ind",I23,IF(Active_Case="Out",J23))))</f>
        <v>lamp+ballast</v>
      </c>
      <c r="L23" s="728">
        <f>IF(User_Inputs!$D$4="Frozen Efficiency",0,Tech_Specs!C69)</f>
        <v>0.125</v>
      </c>
      <c r="M23" s="36">
        <f>IF(User_Inputs!$D$4="Frozen Efficiency",0,Tech_Specs!E69)</f>
        <v>0.125</v>
      </c>
      <c r="N23" s="729">
        <f>IF(User_Inputs!$D$4="Frozen Efficiency",0,Tech_Specs!G69)</f>
        <v>-0.125</v>
      </c>
      <c r="O23" s="796">
        <f t="shared" si="4"/>
        <v>1.9</v>
      </c>
      <c r="P23" s="792">
        <f t="shared" si="4"/>
        <v>10.470655475824051</v>
      </c>
      <c r="Q23" s="792">
        <f t="shared" si="4"/>
        <v>11.858010909601697</v>
      </c>
      <c r="R23" s="768">
        <f t="shared" si="4"/>
        <v>0</v>
      </c>
      <c r="S23" s="351">
        <f>IF(Active_Case="Res",O23,IF(Active_Case="Com",P23,IF(Active_Case="Ind",Q23,IF(Active_Case="Out",R23))))</f>
        <v>1.9</v>
      </c>
      <c r="T23" s="567">
        <v>36.200000000000003</v>
      </c>
      <c r="U23" s="568">
        <v>36.200000000000003</v>
      </c>
      <c r="V23" s="568">
        <v>57.7</v>
      </c>
      <c r="W23" s="569">
        <v>0</v>
      </c>
      <c r="X23" s="448">
        <f>IF(Active_Case="Res",T23,IF(Active_Case="Com",U23,IF(Active_Case="Ind",V23,IF(Active_Case="Out",W23))))</f>
        <v>36.200000000000003</v>
      </c>
      <c r="Y23" s="567">
        <v>85.7</v>
      </c>
      <c r="Z23" s="568">
        <v>80.599999999999994</v>
      </c>
      <c r="AA23" s="568">
        <v>80.599999999999994</v>
      </c>
      <c r="AB23" s="569">
        <v>0</v>
      </c>
      <c r="AC23" s="448">
        <f>IF(Active_Case="Res",Y23,IF(Active_Case="Com",Z23,IF(Active_Case="Ind",AA23,IF(Active_Case="Out",AB23))))</f>
        <v>85.7</v>
      </c>
      <c r="AD23" s="997">
        <f>C212</f>
        <v>0</v>
      </c>
      <c r="AE23" s="928">
        <f>D212*$E$176</f>
        <v>4451528.8726790445</v>
      </c>
      <c r="AF23" s="997">
        <f>E212*$E$181</f>
        <v>393362.98510670022</v>
      </c>
      <c r="AG23" s="930">
        <v>0</v>
      </c>
      <c r="AH23" s="452">
        <f>IF(Active_Case="Res",AD23,IF(Active_Case="Com",AE23,IF(Active_Case="Ind",AF23,IF(Active_Case="Out",AG23))))</f>
        <v>0</v>
      </c>
      <c r="AI23" s="219">
        <v>0.9</v>
      </c>
      <c r="AJ23" s="443">
        <f t="shared" si="5"/>
        <v>0</v>
      </c>
      <c r="AK23" s="442">
        <f t="shared" si="5"/>
        <v>44.70534089016067</v>
      </c>
      <c r="AL23" s="442">
        <f t="shared" si="5"/>
        <v>7.1309751921990614</v>
      </c>
      <c r="AM23" s="437">
        <f t="shared" si="5"/>
        <v>0</v>
      </c>
      <c r="AN23" s="457">
        <f t="shared" si="5"/>
        <v>0</v>
      </c>
    </row>
    <row r="24" spans="1:43" ht="14.45" x14ac:dyDescent="0.35">
      <c r="A24" s="783"/>
      <c r="B24" s="53" t="s">
        <v>29</v>
      </c>
      <c r="C24" s="725">
        <v>2008</v>
      </c>
      <c r="D24" s="725">
        <v>4</v>
      </c>
      <c r="E24" s="903" t="str">
        <f>IF(LEFT(B24,3)="LED","Logistic",IF(Standards_Active!$E25="yes","Step","Linear"))</f>
        <v>Logistic</v>
      </c>
      <c r="F24" s="903" t="str">
        <f>IF(Standards_Active!$S25="yes","Step",IF($K24="lamp+ballast","Linear","Constant"))</f>
        <v>Constant</v>
      </c>
      <c r="G24" s="563" t="s">
        <v>41</v>
      </c>
      <c r="H24" s="479" t="s">
        <v>41</v>
      </c>
      <c r="I24" s="479" t="s">
        <v>41</v>
      </c>
      <c r="J24" s="479" t="s">
        <v>41</v>
      </c>
      <c r="K24" s="903" t="str">
        <f>IF(Active_Case="Res",G24,IF(Active_Case="Com",H24,IF(Active_Case="Ind",I24,IF(Active_Case="Out",J24))))</f>
        <v>luminaire</v>
      </c>
      <c r="L24" s="728" t="s">
        <v>49</v>
      </c>
      <c r="M24" s="744" t="s">
        <v>49</v>
      </c>
      <c r="N24" s="744" t="s">
        <v>49</v>
      </c>
      <c r="O24" s="796">
        <f t="shared" si="4"/>
        <v>1.9</v>
      </c>
      <c r="P24" s="792">
        <f t="shared" si="4"/>
        <v>10.470655475824051</v>
      </c>
      <c r="Q24" s="792">
        <f t="shared" si="4"/>
        <v>11.858010909601697</v>
      </c>
      <c r="R24" s="768">
        <f t="shared" si="4"/>
        <v>0</v>
      </c>
      <c r="S24" s="351">
        <f>IF(Active_Case="Res",O24,IF(Active_Case="Com",P24,IF(Active_Case="Ind",Q24,IF(Active_Case="Out",R24))))</f>
        <v>1.9</v>
      </c>
      <c r="T24" s="567">
        <v>25.2</v>
      </c>
      <c r="U24" s="568">
        <v>39.9</v>
      </c>
      <c r="V24" s="568">
        <v>85.1</v>
      </c>
      <c r="W24" s="569">
        <v>162.6</v>
      </c>
      <c r="X24" s="448">
        <f>IF(Active_Case="Res",T24,IF(Active_Case="Com",U24,IF(Active_Case="Ind",V24,IF(Active_Case="Out",W24))))</f>
        <v>25.2</v>
      </c>
      <c r="Y24" s="567">
        <v>0</v>
      </c>
      <c r="Z24" s="568">
        <v>0</v>
      </c>
      <c r="AA24" s="568">
        <v>0</v>
      </c>
      <c r="AB24" s="569">
        <v>0</v>
      </c>
      <c r="AC24" s="448">
        <f>IF(Active_Case="Res",Y24,IF(Active_Case="Com",Z24,IF(Active_Case="Ind",AA24,IF(Active_Case="Out",AB24))))</f>
        <v>0</v>
      </c>
      <c r="AD24" s="997">
        <f>C213</f>
        <v>0</v>
      </c>
      <c r="AE24" s="928">
        <f>D213*$E$176</f>
        <v>0</v>
      </c>
      <c r="AF24" s="997">
        <f>E213*$E$181</f>
        <v>0</v>
      </c>
      <c r="AG24" s="930">
        <v>0</v>
      </c>
      <c r="AH24" s="452">
        <f>IF(Active_Case="Res",AD24,IF(Active_Case="Com",AE24,IF(Active_Case="Ind",AF24,IF(Active_Case="Out",AG24))))</f>
        <v>0</v>
      </c>
      <c r="AI24" s="219">
        <v>1</v>
      </c>
      <c r="AJ24" s="443">
        <f t="shared" si="5"/>
        <v>0</v>
      </c>
      <c r="AK24" s="442">
        <f t="shared" si="5"/>
        <v>0</v>
      </c>
      <c r="AL24" s="442">
        <f t="shared" si="5"/>
        <v>0</v>
      </c>
      <c r="AM24" s="437">
        <f t="shared" si="5"/>
        <v>0</v>
      </c>
      <c r="AN24" s="457">
        <f t="shared" si="5"/>
        <v>0</v>
      </c>
    </row>
    <row r="25" spans="1:43" ht="14.45" x14ac:dyDescent="0.35">
      <c r="A25" s="783"/>
      <c r="B25" s="53" t="s">
        <v>73</v>
      </c>
      <c r="C25" s="726"/>
      <c r="D25" s="726"/>
      <c r="E25" s="903"/>
      <c r="F25" s="903"/>
      <c r="G25" s="563"/>
      <c r="H25" s="479"/>
      <c r="I25" s="479"/>
      <c r="J25" s="479"/>
      <c r="K25" s="903"/>
      <c r="L25" s="730"/>
      <c r="M25" s="731"/>
      <c r="N25" s="732"/>
      <c r="O25" s="820"/>
      <c r="P25" s="819"/>
      <c r="Q25" s="819"/>
      <c r="R25" s="818"/>
      <c r="S25" s="65"/>
      <c r="T25" s="67"/>
      <c r="U25" s="65"/>
      <c r="V25" s="65"/>
      <c r="W25" s="70"/>
      <c r="X25" s="448"/>
      <c r="Y25" s="67"/>
      <c r="Z25" s="65"/>
      <c r="AA25" s="65"/>
      <c r="AB25" s="70"/>
      <c r="AC25" s="448"/>
      <c r="AD25" s="574"/>
      <c r="AE25" s="574"/>
      <c r="AF25" s="452"/>
      <c r="AG25" s="575"/>
      <c r="AH25" s="452"/>
      <c r="AI25" s="219"/>
      <c r="AJ25" s="411"/>
      <c r="AK25" s="382"/>
      <c r="AL25" s="382"/>
      <c r="AM25" s="410"/>
      <c r="AN25" s="155"/>
    </row>
    <row r="26" spans="1:43" ht="14.45" x14ac:dyDescent="0.35">
      <c r="A26" s="788" t="s">
        <v>42</v>
      </c>
      <c r="B26" s="57" t="s">
        <v>73</v>
      </c>
      <c r="C26" s="168"/>
      <c r="D26" s="168"/>
      <c r="E26" s="169"/>
      <c r="F26" s="169"/>
      <c r="G26" s="564"/>
      <c r="H26" s="480"/>
      <c r="I26" s="480"/>
      <c r="J26" s="480"/>
      <c r="K26" s="169"/>
      <c r="L26" s="733"/>
      <c r="M26" s="734"/>
      <c r="N26" s="735"/>
      <c r="O26" s="813"/>
      <c r="P26" s="815"/>
      <c r="Q26" s="815"/>
      <c r="R26" s="814"/>
      <c r="S26" s="69"/>
      <c r="T26" s="413"/>
      <c r="U26" s="218"/>
      <c r="V26" s="218"/>
      <c r="W26" s="71"/>
      <c r="X26" s="450"/>
      <c r="Y26" s="413">
        <v>0</v>
      </c>
      <c r="Z26" s="218">
        <v>0</v>
      </c>
      <c r="AA26" s="218">
        <v>0</v>
      </c>
      <c r="AB26" s="71">
        <v>0</v>
      </c>
      <c r="AC26" s="450"/>
      <c r="AD26" s="576"/>
      <c r="AE26" s="576"/>
      <c r="AF26" s="934"/>
      <c r="AG26" s="578"/>
      <c r="AH26" s="454"/>
      <c r="AI26" s="220"/>
      <c r="AJ26" s="413"/>
      <c r="AK26" s="416"/>
      <c r="AL26" s="416"/>
      <c r="AM26" s="417"/>
      <c r="AN26" s="459"/>
    </row>
    <row r="27" spans="1:43" ht="14.45" x14ac:dyDescent="0.35">
      <c r="A27" s="783"/>
      <c r="B27" s="59" t="s">
        <v>43</v>
      </c>
      <c r="C27" s="725">
        <v>1930</v>
      </c>
      <c r="D27" s="725">
        <v>1</v>
      </c>
      <c r="E27" s="903" t="str">
        <f>IF(LEFT(B27,3)="LED","Logistic",IF(Standards_Active!$E28="yes","Step","Linear"))</f>
        <v>Linear</v>
      </c>
      <c r="F27" s="903" t="str">
        <f>IF(Standards_Active!$S28="yes","Step",IF($K27="lamp+ballast","Linear","Constant"))</f>
        <v>Step</v>
      </c>
      <c r="G27" s="651" t="s">
        <v>38</v>
      </c>
      <c r="H27" s="659" t="s">
        <v>38</v>
      </c>
      <c r="I27" s="659" t="s">
        <v>38</v>
      </c>
      <c r="J27" s="659" t="s">
        <v>38</v>
      </c>
      <c r="K27" s="903" t="str">
        <f>IF(Active_Case="Res",G27,IF(Active_Case="Com",H27,IF(Active_Case="Ind",I27,IF(Active_Case="Out",J27))))</f>
        <v>lamp+ballast</v>
      </c>
      <c r="L27" s="728">
        <f>IF(User_Inputs!$D$4="Frozen Efficiency",0,Tech_Specs!C73)</f>
        <v>0</v>
      </c>
      <c r="M27" s="36">
        <f>IF(User_Inputs!$D$4="Frozen Efficiency",0,Tech_Specs!E73)</f>
        <v>0</v>
      </c>
      <c r="N27" s="729">
        <f>IF(User_Inputs!$D$4="Frozen Efficiency",0,Tech_Specs!G73)</f>
        <v>-0.125</v>
      </c>
      <c r="O27" s="796">
        <f t="shared" ref="O27:R31" si="6">M150</f>
        <v>2.4730822873082285</v>
      </c>
      <c r="P27" s="792">
        <f t="shared" si="6"/>
        <v>10.492779977619007</v>
      </c>
      <c r="Q27" s="792">
        <f t="shared" si="6"/>
        <v>15.828957965383255</v>
      </c>
      <c r="R27" s="768">
        <f t="shared" si="6"/>
        <v>12.281263764005717</v>
      </c>
      <c r="S27" s="351">
        <f>IF(Active_Case="Res",O27,IF(Active_Case="Com",P27,IF(Active_Case="Ind",Q27,IF(Active_Case="Out",R27))))</f>
        <v>2.4730822873082285</v>
      </c>
      <c r="T27" s="567">
        <v>193.4</v>
      </c>
      <c r="U27" s="568">
        <v>362.2</v>
      </c>
      <c r="V27" s="568">
        <v>450.7</v>
      </c>
      <c r="W27" s="569">
        <v>218.8</v>
      </c>
      <c r="X27" s="448">
        <f>IF(Active_Case="Res",T27,IF(Active_Case="Com",U27,IF(Active_Case="Ind",V27,IF(Active_Case="Out",W27))))</f>
        <v>193.4</v>
      </c>
      <c r="Y27" s="567">
        <v>29.3</v>
      </c>
      <c r="Z27" s="568">
        <v>37.9</v>
      </c>
      <c r="AA27" s="568">
        <v>38.799999999999997</v>
      </c>
      <c r="AB27" s="569">
        <v>30.5</v>
      </c>
      <c r="AC27" s="448">
        <f>IF(Active_Case="Res",Y27,IF(Active_Case="Com",Z27,IF(Active_Case="Ind",AA27,IF(Active_Case="Out",AB27))))</f>
        <v>29.3</v>
      </c>
      <c r="AD27" s="997">
        <f>C216</f>
        <v>8034.6905845822166</v>
      </c>
      <c r="AE27" s="928">
        <f>D216*$E$176</f>
        <v>42222.503789314127</v>
      </c>
      <c r="AF27" s="997">
        <f>E216*$E$181</f>
        <v>60589.387862838419</v>
      </c>
      <c r="AG27" s="997">
        <f>F216</f>
        <v>151647.73399014777</v>
      </c>
      <c r="AH27" s="452">
        <f>IF(Active_Case="Res",AD27,IF(Active_Case="Com",AE27,IF(Active_Case="Ind",AF27,IF(Active_Case="Out",AG27))))</f>
        <v>8034.6905845822166</v>
      </c>
      <c r="AI27" s="219">
        <v>0.65</v>
      </c>
      <c r="AJ27" s="443">
        <f t="shared" ref="AJ27:AN30" si="7">AD27*O27*Y27*365.25*T27*$AI27/10^12</f>
        <v>2.6732242680453232E-2</v>
      </c>
      <c r="AK27" s="442">
        <f t="shared" si="7"/>
        <v>1.443862332974337</v>
      </c>
      <c r="AL27" s="442">
        <f t="shared" si="7"/>
        <v>3.9817295254515006</v>
      </c>
      <c r="AM27" s="437">
        <f t="shared" si="7"/>
        <v>2.9507316991656913</v>
      </c>
      <c r="AN27" s="457">
        <f t="shared" si="7"/>
        <v>2.6732242680453232E-2</v>
      </c>
    </row>
    <row r="28" spans="1:43" ht="14.45" x14ac:dyDescent="0.35">
      <c r="A28" s="783"/>
      <c r="B28" s="59" t="s">
        <v>44</v>
      </c>
      <c r="C28" s="725">
        <v>1965</v>
      </c>
      <c r="D28" s="725">
        <v>4</v>
      </c>
      <c r="E28" s="903" t="str">
        <f>IF(LEFT(B28,3)="LED","Logistic",IF(Standards_Active!$E29="yes","Step","Linear"))</f>
        <v>Linear</v>
      </c>
      <c r="F28" s="903" t="str">
        <f>IF(Standards_Active!$S29="yes","Step",IF($K28="lamp+ballast","Linear","Constant"))</f>
        <v>Linear</v>
      </c>
      <c r="G28" s="651" t="s">
        <v>38</v>
      </c>
      <c r="H28" s="659" t="s">
        <v>38</v>
      </c>
      <c r="I28" s="659" t="s">
        <v>38</v>
      </c>
      <c r="J28" s="659" t="s">
        <v>38</v>
      </c>
      <c r="K28" s="903" t="str">
        <f>IF(Active_Case="Res",G28,IF(Active_Case="Com",H28,IF(Active_Case="Ind",I28,IF(Active_Case="Out",J28))))</f>
        <v>lamp+ballast</v>
      </c>
      <c r="L28" s="728">
        <f>IF(User_Inputs!$D$4="Frozen Efficiency",0,Tech_Specs!C74)</f>
        <v>0.1875</v>
      </c>
      <c r="M28" s="36">
        <f>IF(User_Inputs!$D$4="Frozen Efficiency",0,Tech_Specs!E74)</f>
        <v>0.1875</v>
      </c>
      <c r="N28" s="729">
        <f>IF(User_Inputs!$D$4="Frozen Efficiency",0,Tech_Specs!G74)</f>
        <v>-0.125</v>
      </c>
      <c r="O28" s="796">
        <f t="shared" si="6"/>
        <v>2.4730822873082285</v>
      </c>
      <c r="P28" s="792">
        <f t="shared" si="6"/>
        <v>10.492779977619007</v>
      </c>
      <c r="Q28" s="792">
        <f t="shared" si="6"/>
        <v>15.828957965383255</v>
      </c>
      <c r="R28" s="768">
        <f t="shared" si="6"/>
        <v>12.281263764005717</v>
      </c>
      <c r="S28" s="351">
        <f>IF(Active_Case="Res",O28,IF(Active_Case="Com",P28,IF(Active_Case="Ind",Q28,IF(Active_Case="Out",R28))))</f>
        <v>2.4730822873082285</v>
      </c>
      <c r="T28" s="567">
        <v>79</v>
      </c>
      <c r="U28" s="568">
        <v>349.5</v>
      </c>
      <c r="V28" s="568">
        <v>434.5</v>
      </c>
      <c r="W28" s="569">
        <v>246.6</v>
      </c>
      <c r="X28" s="448">
        <f>IF(Active_Case="Res",T28,IF(Active_Case="Com",U28,IF(Active_Case="Ind",V28,IF(Active_Case="Out",W28))))</f>
        <v>79</v>
      </c>
      <c r="Y28" s="567">
        <v>49</v>
      </c>
      <c r="Z28" s="568">
        <v>72.8</v>
      </c>
      <c r="AA28" s="568">
        <v>75.5</v>
      </c>
      <c r="AB28" s="569">
        <v>60</v>
      </c>
      <c r="AC28" s="448">
        <f>IF(Active_Case="Res",Y28,IF(Active_Case="Com",Z28,IF(Active_Case="Ind",AA28,IF(Active_Case="Out",AB28))))</f>
        <v>49</v>
      </c>
      <c r="AD28" s="997">
        <f>C217</f>
        <v>1755.1508558553382</v>
      </c>
      <c r="AE28" s="928">
        <f>D217*$E$176</f>
        <v>1287714.2783724896</v>
      </c>
      <c r="AF28" s="997">
        <f>E217*$E$181</f>
        <v>435613.87144644646</v>
      </c>
      <c r="AG28" s="997">
        <f>F217</f>
        <v>1071518.1280788176</v>
      </c>
      <c r="AH28" s="452">
        <f>IF(Active_Case="Res",AD28,IF(Active_Case="Com",AE28,IF(Active_Case="Ind",AF28,IF(Active_Case="Out",AG28))))</f>
        <v>1755.1508558553382</v>
      </c>
      <c r="AI28" s="219">
        <v>0.65</v>
      </c>
      <c r="AJ28" s="443">
        <f t="shared" si="7"/>
        <v>3.989144514018399E-3</v>
      </c>
      <c r="AK28" s="442">
        <f t="shared" si="7"/>
        <v>81.619178290633045</v>
      </c>
      <c r="AL28" s="442">
        <f t="shared" si="7"/>
        <v>53.702479773107257</v>
      </c>
      <c r="AM28" s="437">
        <f t="shared" si="7"/>
        <v>46.226443918491654</v>
      </c>
      <c r="AN28" s="457">
        <f t="shared" si="7"/>
        <v>3.989144514018399E-3</v>
      </c>
    </row>
    <row r="29" spans="1:43" ht="14.45" x14ac:dyDescent="0.35">
      <c r="A29" s="783"/>
      <c r="B29" s="53" t="s">
        <v>45</v>
      </c>
      <c r="C29" s="725">
        <v>1960</v>
      </c>
      <c r="D29" s="725">
        <v>3</v>
      </c>
      <c r="E29" s="903" t="str">
        <f>IF(LEFT(B29,3)="LED","Logistic",IF(Standards_Active!$E30="yes","Step","Linear"))</f>
        <v>Linear</v>
      </c>
      <c r="F29" s="903" t="str">
        <f>IF(Standards_Active!$S30="yes","Step",IF($K29="lamp+ballast","Linear","Constant"))</f>
        <v>Linear</v>
      </c>
      <c r="G29" s="651" t="s">
        <v>38</v>
      </c>
      <c r="H29" s="659" t="s">
        <v>38</v>
      </c>
      <c r="I29" s="659" t="s">
        <v>38</v>
      </c>
      <c r="J29" s="659" t="s">
        <v>38</v>
      </c>
      <c r="K29" s="903" t="str">
        <f>IF(Active_Case="Res",G29,IF(Active_Case="Com",H29,IF(Active_Case="Ind",I29,IF(Active_Case="Out",J29))))</f>
        <v>lamp+ballast</v>
      </c>
      <c r="L29" s="728">
        <f>IF(User_Inputs!$D$4="Frozen Efficiency",0,Tech_Specs!C75)</f>
        <v>6.25E-2</v>
      </c>
      <c r="M29" s="36">
        <f>IF(User_Inputs!$D$4="Frozen Efficiency",0,Tech_Specs!E75)</f>
        <v>6.25E-2</v>
      </c>
      <c r="N29" s="729">
        <f>IF(User_Inputs!$D$4="Frozen Efficiency",0,Tech_Specs!G75)</f>
        <v>-0.125</v>
      </c>
      <c r="O29" s="796">
        <f t="shared" si="6"/>
        <v>2.4730822873082285</v>
      </c>
      <c r="P29" s="792">
        <f t="shared" si="6"/>
        <v>10.492779977619007</v>
      </c>
      <c r="Q29" s="792">
        <f t="shared" si="6"/>
        <v>15.828957965383255</v>
      </c>
      <c r="R29" s="768">
        <f t="shared" si="6"/>
        <v>12.281263764005717</v>
      </c>
      <c r="S29" s="351">
        <f>IF(Active_Case="Res",O29,IF(Active_Case="Com",P29,IF(Active_Case="Ind",Q29,IF(Active_Case="Out",R29))))</f>
        <v>2.4730822873082285</v>
      </c>
      <c r="T29" s="567">
        <v>149.5</v>
      </c>
      <c r="U29" s="568">
        <v>356.3</v>
      </c>
      <c r="V29" s="568">
        <v>295.10000000000002</v>
      </c>
      <c r="W29" s="569">
        <v>240.9</v>
      </c>
      <c r="X29" s="448">
        <f>IF(Active_Case="Res",T29,IF(Active_Case="Com",U29,IF(Active_Case="Ind",V29,IF(Active_Case="Out",W29))))</f>
        <v>149.5</v>
      </c>
      <c r="Y29" s="567">
        <v>70.099999999999994</v>
      </c>
      <c r="Z29" s="568">
        <v>107.5</v>
      </c>
      <c r="AA29" s="568">
        <v>104.7</v>
      </c>
      <c r="AB29" s="569">
        <v>83.6</v>
      </c>
      <c r="AC29" s="448">
        <f>IF(Active_Case="Res",Y29,IF(Active_Case="Com",Z29,IF(Active_Case="Ind",AA29,IF(Active_Case="Out",AB29))))</f>
        <v>70.099999999999994</v>
      </c>
      <c r="AD29" s="997">
        <f>C218</f>
        <v>46140.965832819238</v>
      </c>
      <c r="AE29" s="928">
        <f>D218*$E$176</f>
        <v>103651.09771693824</v>
      </c>
      <c r="AF29" s="997">
        <f>E218*$E$181</f>
        <v>106073.97748739901</v>
      </c>
      <c r="AG29" s="997">
        <f>F218</f>
        <v>2103572.2660098523</v>
      </c>
      <c r="AH29" s="452">
        <f>IF(Active_Case="Res",AD29,IF(Active_Case="Com",AE29,IF(Active_Case="Ind",AF29,IF(Active_Case="Out",AG29))))</f>
        <v>46140.965832819238</v>
      </c>
      <c r="AI29" s="219">
        <v>0.65</v>
      </c>
      <c r="AJ29" s="443">
        <f t="shared" si="7"/>
        <v>0.28391480503906469</v>
      </c>
      <c r="AK29" s="442">
        <f t="shared" si="7"/>
        <v>9.889910011685549</v>
      </c>
      <c r="AL29" s="442">
        <f t="shared" si="7"/>
        <v>12.316311155693489</v>
      </c>
      <c r="AM29" s="437">
        <f t="shared" si="7"/>
        <v>123.5228074434654</v>
      </c>
      <c r="AN29" s="457">
        <f t="shared" si="7"/>
        <v>0.28391480503906469</v>
      </c>
    </row>
    <row r="30" spans="1:43" ht="14.45" x14ac:dyDescent="0.35">
      <c r="A30" s="783"/>
      <c r="B30" s="59" t="s">
        <v>46</v>
      </c>
      <c r="C30" s="725">
        <v>1950</v>
      </c>
      <c r="D30" s="725">
        <v>2</v>
      </c>
      <c r="E30" s="903" t="str">
        <f>IF(LEFT(B30,3)="LED","Logistic",IF(Standards_Active!$E31="yes","Step","Linear"))</f>
        <v>Linear</v>
      </c>
      <c r="F30" s="903" t="str">
        <f>IF(Standards_Active!$S31="yes","Step",IF($K30="lamp+ballast","Linear","Constant"))</f>
        <v>Linear</v>
      </c>
      <c r="G30" s="651" t="s">
        <v>38</v>
      </c>
      <c r="H30" s="659" t="s">
        <v>38</v>
      </c>
      <c r="I30" s="659" t="s">
        <v>38</v>
      </c>
      <c r="J30" s="659" t="s">
        <v>38</v>
      </c>
      <c r="K30" s="903" t="str">
        <f>IF(Active_Case="Res",G30,IF(Active_Case="Com",H30,IF(Active_Case="Ind",I30,IF(Active_Case="Out",J30))))</f>
        <v>lamp+ballast</v>
      </c>
      <c r="L30" s="728">
        <f>IF(User_Inputs!$D$4="Frozen Efficiency",0,Tech_Specs!C76)</f>
        <v>0.1875</v>
      </c>
      <c r="M30" s="36">
        <f>IF(User_Inputs!$D$4="Frozen Efficiency",0,Tech_Specs!E76)</f>
        <v>0.1875</v>
      </c>
      <c r="N30" s="729">
        <f>IF(User_Inputs!$D$4="Frozen Efficiency",0,Tech_Specs!G76)</f>
        <v>-0.125</v>
      </c>
      <c r="O30" s="796">
        <f t="shared" si="6"/>
        <v>2.4730822873082285</v>
      </c>
      <c r="P30" s="792">
        <f t="shared" si="6"/>
        <v>10.492779977619007</v>
      </c>
      <c r="Q30" s="792">
        <f t="shared" si="6"/>
        <v>15.828957965383255</v>
      </c>
      <c r="R30" s="768">
        <f t="shared" si="6"/>
        <v>12.281263764005717</v>
      </c>
      <c r="S30" s="810">
        <f>IF(Active_Case="Res",O30,IF(Active_Case="Com",P30,IF(Active_Case="Ind",Q30,IF(Active_Case="Out",R30))))</f>
        <v>2.4730822873082285</v>
      </c>
      <c r="T30" s="567">
        <v>0</v>
      </c>
      <c r="U30" s="568">
        <v>184.8</v>
      </c>
      <c r="V30" s="568">
        <v>0</v>
      </c>
      <c r="W30" s="569">
        <v>107.2</v>
      </c>
      <c r="X30" s="448">
        <f>IF(Active_Case="Res",T30,IF(Active_Case="Com",U30,IF(Active_Case="Ind",V30,IF(Active_Case="Out",W30))))</f>
        <v>0</v>
      </c>
      <c r="Y30" s="567">
        <v>0</v>
      </c>
      <c r="Z30" s="568">
        <v>143.5</v>
      </c>
      <c r="AA30" s="568">
        <v>0</v>
      </c>
      <c r="AB30" s="569">
        <v>89.2</v>
      </c>
      <c r="AC30" s="448">
        <f>IF(Active_Case="Res",Y30,IF(Active_Case="Com",Z30,IF(Active_Case="Ind",AA30,IF(Active_Case="Out",AB30))))</f>
        <v>0</v>
      </c>
      <c r="AD30" s="997">
        <f>C219</f>
        <v>0</v>
      </c>
      <c r="AE30" s="928">
        <f>D219*$E$176</f>
        <v>2018.4416445623342</v>
      </c>
      <c r="AF30" s="997">
        <f>E219*$E$181</f>
        <v>0</v>
      </c>
      <c r="AG30" s="997">
        <f>F219</f>
        <v>52824.384236453203</v>
      </c>
      <c r="AH30" s="452">
        <f>IF(Active_Case="Res",AD30,IF(Active_Case="Com",AE30,IF(Active_Case="Ind",AF30,IF(Active_Case="Out",AG30))))</f>
        <v>0</v>
      </c>
      <c r="AI30" s="219">
        <v>0.65</v>
      </c>
      <c r="AJ30" s="443">
        <f t="shared" si="7"/>
        <v>0</v>
      </c>
      <c r="AK30" s="442">
        <f t="shared" si="7"/>
        <v>0.13334115524279877</v>
      </c>
      <c r="AL30" s="442">
        <f t="shared" si="7"/>
        <v>0</v>
      </c>
      <c r="AM30" s="437">
        <f t="shared" si="7"/>
        <v>1.4727896483807588</v>
      </c>
      <c r="AN30" s="457">
        <f t="shared" si="7"/>
        <v>0</v>
      </c>
    </row>
    <row r="31" spans="1:43" ht="14.45" x14ac:dyDescent="0.35">
      <c r="A31" s="783"/>
      <c r="B31" s="53" t="s">
        <v>29</v>
      </c>
      <c r="C31" s="725">
        <v>2005</v>
      </c>
      <c r="D31" s="725">
        <v>5</v>
      </c>
      <c r="E31" s="903" t="str">
        <f>IF(LEFT(B31,3)="LED","Logistic",IF(Standards_Active!$E32="yes","Step","Linear"))</f>
        <v>Logistic</v>
      </c>
      <c r="F31" s="903" t="str">
        <f>IF(Standards_Active!$S32="yes","Step",IF($K31="lamp+ballast","Linear","Constant"))</f>
        <v>Constant</v>
      </c>
      <c r="G31" s="563" t="s">
        <v>41</v>
      </c>
      <c r="H31" s="479" t="s">
        <v>41</v>
      </c>
      <c r="I31" s="479" t="s">
        <v>41</v>
      </c>
      <c r="J31" s="479" t="s">
        <v>41</v>
      </c>
      <c r="K31" s="903" t="str">
        <f>IF(Active_Case="Res",G31,IF(Active_Case="Com",H31,IF(Active_Case="Ind",I31,IF(Active_Case="Out",J31))))</f>
        <v>luminaire</v>
      </c>
      <c r="L31" s="728" t="s">
        <v>49</v>
      </c>
      <c r="M31" s="744" t="s">
        <v>49</v>
      </c>
      <c r="N31" s="744" t="s">
        <v>49</v>
      </c>
      <c r="O31" s="796">
        <f t="shared" si="6"/>
        <v>2.4730822873082285</v>
      </c>
      <c r="P31" s="792">
        <f t="shared" si="6"/>
        <v>10.492779977619007</v>
      </c>
      <c r="Q31" s="792">
        <f t="shared" si="6"/>
        <v>15.828957965383255</v>
      </c>
      <c r="R31" s="768">
        <f t="shared" si="6"/>
        <v>12.281263764005717</v>
      </c>
      <c r="S31" s="351">
        <f>IF(Active_Case="Res",O31,IF(Active_Case="Com",P31,IF(Active_Case="Ind",Q31,IF(Active_Case="Out",R31))))</f>
        <v>2.4730822873082285</v>
      </c>
      <c r="T31" s="567">
        <v>25.2</v>
      </c>
      <c r="U31" s="568">
        <v>39.9</v>
      </c>
      <c r="V31" s="568">
        <v>85.1</v>
      </c>
      <c r="W31" s="569">
        <v>162.6</v>
      </c>
      <c r="X31" s="448">
        <f>IF(Active_Case="Res",T31,IF(Active_Case="Com",U31,IF(Active_Case="Ind",V31,IF(Active_Case="Out",W31))))</f>
        <v>25.2</v>
      </c>
      <c r="Y31" s="567">
        <v>0</v>
      </c>
      <c r="Z31" s="568">
        <v>0</v>
      </c>
      <c r="AA31" s="568">
        <v>0</v>
      </c>
      <c r="AB31" s="569">
        <v>0</v>
      </c>
      <c r="AC31" s="448">
        <f>IF(Active_Case="Res",Y31,IF(Active_Case="Com",Z31,IF(Active_Case="Ind",AA31,IF(Active_Case="Out",AB31))))</f>
        <v>0</v>
      </c>
      <c r="AD31" s="997">
        <f>C220</f>
        <v>0</v>
      </c>
      <c r="AE31" s="928">
        <f>D220*$E$176</f>
        <v>0</v>
      </c>
      <c r="AF31" s="997">
        <f>E220*$E$181</f>
        <v>0</v>
      </c>
      <c r="AG31" s="997">
        <f>F220</f>
        <v>0</v>
      </c>
      <c r="AH31" s="452">
        <f>IF(Active_Case="Res",AD31,IF(Active_Case="Com",AE31,IF(Active_Case="Ind",AF31,IF(Active_Case="Out",AG31))))</f>
        <v>0</v>
      </c>
      <c r="AI31" s="219">
        <v>1</v>
      </c>
      <c r="AJ31" s="443">
        <f>AD31*O31*Y31*365.25*T31*$AI31/10^6</f>
        <v>0</v>
      </c>
      <c r="AK31" s="442">
        <f>AE31*P31*Z31*365.25*U31*$AI31/10^6</f>
        <v>0</v>
      </c>
      <c r="AL31" s="442">
        <f>AF31*Q31*AA31*365.25*V31*$AI31/10^6</f>
        <v>0</v>
      </c>
      <c r="AM31" s="437">
        <f>AG31*R31*AB31*365.25*W31*$AI31/10^6</f>
        <v>0</v>
      </c>
      <c r="AN31" s="457">
        <f>AH31*S31*AC31*365.25*X31*$AI31/10^6</f>
        <v>0</v>
      </c>
    </row>
    <row r="32" spans="1:43" ht="14.45" x14ac:dyDescent="0.35">
      <c r="A32" s="783"/>
      <c r="B32" s="53" t="s">
        <v>73</v>
      </c>
      <c r="C32" s="726"/>
      <c r="D32" s="726"/>
      <c r="E32" s="903"/>
      <c r="F32" s="903"/>
      <c r="G32" s="563"/>
      <c r="H32" s="479"/>
      <c r="I32" s="479"/>
      <c r="J32" s="479"/>
      <c r="K32" s="903"/>
      <c r="L32" s="730"/>
      <c r="M32" s="731"/>
      <c r="N32" s="732"/>
      <c r="O32" s="820"/>
      <c r="P32" s="819"/>
      <c r="Q32" s="819"/>
      <c r="R32" s="818"/>
      <c r="S32" s="65"/>
      <c r="T32" s="67"/>
      <c r="U32" s="65"/>
      <c r="V32" s="65"/>
      <c r="W32" s="70"/>
      <c r="X32" s="451"/>
      <c r="Y32" s="67"/>
      <c r="Z32" s="65"/>
      <c r="AA32" s="65"/>
      <c r="AB32" s="70"/>
      <c r="AC32" s="451"/>
      <c r="AD32" s="574"/>
      <c r="AE32" s="574"/>
      <c r="AF32" s="452"/>
      <c r="AG32" s="575"/>
      <c r="AH32" s="455"/>
      <c r="AI32" s="219"/>
      <c r="AJ32" s="411"/>
      <c r="AK32" s="382"/>
      <c r="AL32" s="382"/>
      <c r="AM32" s="410"/>
      <c r="AN32" s="155"/>
    </row>
    <row r="33" spans="1:40" ht="14.45" x14ac:dyDescent="0.35">
      <c r="A33" s="506" t="s">
        <v>47</v>
      </c>
      <c r="B33" s="57" t="s">
        <v>73</v>
      </c>
      <c r="C33" s="168"/>
      <c r="D33" s="168"/>
      <c r="E33" s="169"/>
      <c r="F33" s="169"/>
      <c r="G33" s="564"/>
      <c r="H33" s="480"/>
      <c r="I33" s="480"/>
      <c r="J33" s="480"/>
      <c r="K33" s="169"/>
      <c r="L33" s="733"/>
      <c r="M33" s="734"/>
      <c r="N33" s="735"/>
      <c r="O33" s="813"/>
      <c r="P33" s="815"/>
      <c r="Q33" s="815"/>
      <c r="R33" s="814"/>
      <c r="S33" s="69"/>
      <c r="T33" s="413"/>
      <c r="U33" s="218"/>
      <c r="V33" s="218"/>
      <c r="W33" s="71"/>
      <c r="X33" s="450"/>
      <c r="Y33" s="413">
        <v>0</v>
      </c>
      <c r="Z33" s="218">
        <v>0</v>
      </c>
      <c r="AA33" s="218">
        <v>0</v>
      </c>
      <c r="AB33" s="71">
        <v>0</v>
      </c>
      <c r="AC33" s="450"/>
      <c r="AD33" s="576"/>
      <c r="AE33" s="576"/>
      <c r="AF33" s="934"/>
      <c r="AG33" s="578"/>
      <c r="AH33" s="454"/>
      <c r="AI33" s="220"/>
      <c r="AJ33" s="413"/>
      <c r="AK33" s="416"/>
      <c r="AL33" s="416"/>
      <c r="AM33" s="417"/>
      <c r="AN33" s="459"/>
    </row>
    <row r="34" spans="1:40" ht="14.45" x14ac:dyDescent="0.35">
      <c r="A34" s="783"/>
      <c r="B34" s="59" t="s">
        <v>48</v>
      </c>
      <c r="C34" s="725">
        <v>1890</v>
      </c>
      <c r="D34" s="725">
        <v>1</v>
      </c>
      <c r="E34" s="1155" t="str">
        <f>IF(LEFT(B34,3)="LED","Logistic",IF(Standards_Active!$E35="yes","Step","Linear"))</f>
        <v>Step</v>
      </c>
      <c r="F34" s="903" t="str">
        <f>IF(Standards_Active!$S35="yes","Step",IF($K34="lamp+ballast","Linear","Constant"))</f>
        <v>Constant</v>
      </c>
      <c r="G34" s="563" t="s">
        <v>49</v>
      </c>
      <c r="H34" s="479" t="s">
        <v>49</v>
      </c>
      <c r="I34" s="479" t="s">
        <v>49</v>
      </c>
      <c r="J34" s="479" t="s">
        <v>49</v>
      </c>
      <c r="K34" s="903" t="str">
        <f t="shared" ref="K34:K39" si="8">IF(Active_Case="Res",G34,IF(Active_Case="Com",H34,IF(Active_Case="Ind",I34,IF(Active_Case="Out",J34))))</f>
        <v>N/A</v>
      </c>
      <c r="L34" s="728">
        <f>IF(User_Inputs!$D$4="Frozen Efficiency",0,Tech_Specs!C80)</f>
        <v>6.25E-2</v>
      </c>
      <c r="M34" s="36">
        <f>IF(User_Inputs!$D$4="Frozen Efficiency",0,Tech_Specs!E80)</f>
        <v>0.125</v>
      </c>
      <c r="N34" s="729">
        <f>IF(User_Inputs!$D$4="Frozen Efficiency",0,Tech_Specs!G80)</f>
        <v>-0.125</v>
      </c>
      <c r="O34" s="796">
        <f t="shared" ref="O34:R39" si="9">M157</f>
        <v>1.8468248684276436</v>
      </c>
      <c r="P34" s="792">
        <f t="shared" si="9"/>
        <v>10.284735989760948</v>
      </c>
      <c r="Q34" s="792">
        <f t="shared" si="9"/>
        <v>11.815650399284227</v>
      </c>
      <c r="R34" s="768">
        <f t="shared" si="9"/>
        <v>10.91432914594253</v>
      </c>
      <c r="S34" s="351">
        <f t="shared" ref="S34:S39" si="10">IF(Active_Case="Res",O34,IF(Active_Case="Com",P34,IF(Active_Case="Ind",Q34,IF(Active_Case="Out",R34))))</f>
        <v>1.8468248684276436</v>
      </c>
      <c r="T34" s="567">
        <v>43.9</v>
      </c>
      <c r="U34" s="568">
        <v>7.3</v>
      </c>
      <c r="V34" s="568">
        <v>0</v>
      </c>
      <c r="W34" s="569">
        <v>67.900000000000006</v>
      </c>
      <c r="X34" s="448">
        <f t="shared" ref="X34:X39" si="11">IF(Active_Case="Res",T34,IF(Active_Case="Com",U34,IF(Active_Case="Ind",V34,IF(Active_Case="Out",W34))))</f>
        <v>43.9</v>
      </c>
      <c r="Y34" s="567">
        <v>11</v>
      </c>
      <c r="Z34" s="568">
        <v>11.3</v>
      </c>
      <c r="AA34" s="568">
        <v>0</v>
      </c>
      <c r="AB34" s="569">
        <v>12.2</v>
      </c>
      <c r="AC34" s="448">
        <f t="shared" ref="AC34:AC39" si="12">IF(Active_Case="Res",Y34,IF(Active_Case="Com",Z34,IF(Active_Case="Ind",AA34,IF(Active_Case="Out",AB34))))</f>
        <v>11</v>
      </c>
      <c r="AD34" s="997">
        <f t="shared" ref="AD34:AD39" si="13">C223</f>
        <v>56855856.025608636</v>
      </c>
      <c r="AE34" s="928">
        <f t="shared" ref="AE34:AE39" si="14">D223*$E$176</f>
        <v>856246.82970194356</v>
      </c>
      <c r="AF34" s="997">
        <f t="shared" ref="AF34:AF39" si="15">E223*$E$181</f>
        <v>0</v>
      </c>
      <c r="AG34" s="997">
        <f>F223</f>
        <v>646744.72906403942</v>
      </c>
      <c r="AH34" s="452">
        <f t="shared" ref="AH34:AH39" si="16">IF(Active_Case="Res",AD34,IF(Active_Case="Com",AE34,IF(Active_Case="Ind",AF34,IF(Active_Case="Out",AG34))))</f>
        <v>56855856.025608636</v>
      </c>
      <c r="AI34" s="219">
        <v>1</v>
      </c>
      <c r="AJ34" s="443">
        <f t="shared" ref="AJ34:AN39" si="17">AD34*O34*Y34*365.25*T34*$AI34/10^12</f>
        <v>18.520314043171304</v>
      </c>
      <c r="AK34" s="442">
        <f t="shared" si="17"/>
        <v>0.26532834769396196</v>
      </c>
      <c r="AL34" s="442">
        <f t="shared" si="17"/>
        <v>0</v>
      </c>
      <c r="AM34" s="437">
        <f t="shared" si="17"/>
        <v>2.1357468487874955</v>
      </c>
      <c r="AN34" s="457">
        <f t="shared" si="17"/>
        <v>18.520314043171304</v>
      </c>
    </row>
    <row r="35" spans="1:40" ht="14.45" x14ac:dyDescent="0.35">
      <c r="A35" s="783"/>
      <c r="B35" s="59" t="s">
        <v>50</v>
      </c>
      <c r="C35" s="725">
        <v>1970</v>
      </c>
      <c r="D35" s="725">
        <v>2</v>
      </c>
      <c r="E35" s="903" t="str">
        <f>IF(LEFT(B35,3)="LED","Logistic",IF(Standards_Active!$E36="yes","Step","Linear"))</f>
        <v>Linear</v>
      </c>
      <c r="F35" s="903" t="str">
        <f>IF(Standards_Active!$S36="yes","Step",IF($K35="lamp+ballast","Linear","Constant"))</f>
        <v>Constant</v>
      </c>
      <c r="G35" s="563" t="s">
        <v>49</v>
      </c>
      <c r="H35" s="479" t="s">
        <v>49</v>
      </c>
      <c r="I35" s="479" t="s">
        <v>49</v>
      </c>
      <c r="J35" s="479" t="s">
        <v>49</v>
      </c>
      <c r="K35" s="903" t="str">
        <f t="shared" si="8"/>
        <v>N/A</v>
      </c>
      <c r="L35" s="728">
        <f>IF(User_Inputs!$D$4="Frozen Efficiency",0,Tech_Specs!C81)</f>
        <v>6.25E-2</v>
      </c>
      <c r="M35" s="36">
        <f>IF(User_Inputs!$D$4="Frozen Efficiency",0,Tech_Specs!E81)</f>
        <v>0.125</v>
      </c>
      <c r="N35" s="729">
        <f>IF(User_Inputs!$D$4="Frozen Efficiency",0,Tech_Specs!G81)</f>
        <v>-0.125</v>
      </c>
      <c r="O35" s="796">
        <f t="shared" si="9"/>
        <v>1.8468248684276436</v>
      </c>
      <c r="P35" s="792">
        <f t="shared" si="9"/>
        <v>10.284735989760948</v>
      </c>
      <c r="Q35" s="792">
        <f t="shared" si="9"/>
        <v>11.815650399284227</v>
      </c>
      <c r="R35" s="768">
        <f t="shared" si="9"/>
        <v>10.91432914594253</v>
      </c>
      <c r="S35" s="351">
        <f t="shared" si="10"/>
        <v>1.8468248684276436</v>
      </c>
      <c r="T35" s="567">
        <v>71.400000000000006</v>
      </c>
      <c r="U35" s="568">
        <v>61.8</v>
      </c>
      <c r="V35" s="568">
        <v>144.9</v>
      </c>
      <c r="W35" s="569">
        <v>90</v>
      </c>
      <c r="X35" s="448">
        <f t="shared" si="11"/>
        <v>71.400000000000006</v>
      </c>
      <c r="Y35" s="567">
        <v>14.8</v>
      </c>
      <c r="Z35" s="568">
        <v>18</v>
      </c>
      <c r="AA35" s="568">
        <v>13</v>
      </c>
      <c r="AB35" s="569">
        <v>16.5</v>
      </c>
      <c r="AC35" s="448">
        <f t="shared" si="12"/>
        <v>14.8</v>
      </c>
      <c r="AD35" s="997">
        <f t="shared" si="13"/>
        <v>4385595.2275420893</v>
      </c>
      <c r="AE35" s="928">
        <f t="shared" si="14"/>
        <v>1523564.4756758707</v>
      </c>
      <c r="AF35" s="997">
        <f t="shared" si="15"/>
        <v>290.05444345425525</v>
      </c>
      <c r="AG35" s="997">
        <f>F224</f>
        <v>145984.08866995072</v>
      </c>
      <c r="AH35" s="452">
        <f t="shared" si="16"/>
        <v>4385595.2275420893</v>
      </c>
      <c r="AI35" s="219">
        <v>1</v>
      </c>
      <c r="AJ35" s="443">
        <f t="shared" si="17"/>
        <v>3.1261111199683898</v>
      </c>
      <c r="AK35" s="442">
        <f t="shared" si="17"/>
        <v>6.3665651909543204</v>
      </c>
      <c r="AL35" s="442">
        <f t="shared" si="17"/>
        <v>2.3579745749949524E-3</v>
      </c>
      <c r="AM35" s="437">
        <f t="shared" si="17"/>
        <v>0.86420992186090051</v>
      </c>
      <c r="AN35" s="457">
        <f t="shared" si="17"/>
        <v>3.1261111199683898</v>
      </c>
    </row>
    <row r="36" spans="1:40" x14ac:dyDescent="0.25">
      <c r="A36" s="783"/>
      <c r="B36" s="53" t="s">
        <v>51</v>
      </c>
      <c r="C36" s="725">
        <v>2000</v>
      </c>
      <c r="D36" s="725">
        <v>4</v>
      </c>
      <c r="E36" s="903" t="str">
        <f>IF(LEFT(B36,3)="LED","Logistic",IF(Standards_Active!$E37="yes","Step","Linear"))</f>
        <v>Linear</v>
      </c>
      <c r="F36" s="903" t="str">
        <f>IF(Standards_Active!$S37="yes","Step",IF($K36="lamp+ballast","Linear","Constant"))</f>
        <v>Constant</v>
      </c>
      <c r="G36" s="651" t="s">
        <v>49</v>
      </c>
      <c r="H36" s="659" t="s">
        <v>49</v>
      </c>
      <c r="I36" s="659" t="s">
        <v>49</v>
      </c>
      <c r="J36" s="659" t="s">
        <v>49</v>
      </c>
      <c r="K36" s="903" t="str">
        <f t="shared" si="8"/>
        <v>N/A</v>
      </c>
      <c r="L36" s="728">
        <f>IF(User_Inputs!$D$4="Frozen Efficiency",0,Tech_Specs!C82)</f>
        <v>6.25E-2</v>
      </c>
      <c r="M36" s="36">
        <f>IF(User_Inputs!$D$4="Frozen Efficiency",0,Tech_Specs!E82)</f>
        <v>0.125</v>
      </c>
      <c r="N36" s="729">
        <f>IF(User_Inputs!$D$4="Frozen Efficiency",0,Tech_Specs!G82)</f>
        <v>-0.125</v>
      </c>
      <c r="O36" s="796">
        <f t="shared" si="9"/>
        <v>1.8468248684276436</v>
      </c>
      <c r="P36" s="792">
        <f t="shared" si="9"/>
        <v>10.284735989760948</v>
      </c>
      <c r="Q36" s="792">
        <f t="shared" si="9"/>
        <v>11.815650399284227</v>
      </c>
      <c r="R36" s="768">
        <f t="shared" si="9"/>
        <v>10.91432914594253</v>
      </c>
      <c r="S36" s="351">
        <f t="shared" si="10"/>
        <v>1.8468248684276436</v>
      </c>
      <c r="T36" s="567">
        <v>18.100000000000001</v>
      </c>
      <c r="U36" s="568">
        <v>19.100000000000001</v>
      </c>
      <c r="V36" s="568">
        <v>45</v>
      </c>
      <c r="W36" s="569">
        <v>21.7</v>
      </c>
      <c r="X36" s="448">
        <f t="shared" si="11"/>
        <v>18.100000000000001</v>
      </c>
      <c r="Y36" s="567">
        <v>52.5</v>
      </c>
      <c r="Z36" s="568">
        <v>58.4</v>
      </c>
      <c r="AA36" s="568">
        <v>68.599999999999994</v>
      </c>
      <c r="AB36" s="569">
        <v>54.6</v>
      </c>
      <c r="AC36" s="448">
        <f t="shared" si="12"/>
        <v>52.5</v>
      </c>
      <c r="AD36" s="997">
        <f t="shared" si="13"/>
        <v>5042566.3513056058</v>
      </c>
      <c r="AE36" s="928">
        <f t="shared" si="14"/>
        <v>4429972.149439998</v>
      </c>
      <c r="AF36" s="997">
        <f t="shared" si="15"/>
        <v>6752.4920773724834</v>
      </c>
      <c r="AG36" s="997">
        <f>F225</f>
        <v>437589.21182266006</v>
      </c>
      <c r="AH36" s="452">
        <f t="shared" si="16"/>
        <v>5042566.3513056058</v>
      </c>
      <c r="AI36" s="219">
        <v>1</v>
      </c>
      <c r="AJ36" s="443">
        <f t="shared" si="17"/>
        <v>3.2322536776657591</v>
      </c>
      <c r="AK36" s="442">
        <f t="shared" si="17"/>
        <v>18.562248508605393</v>
      </c>
      <c r="AL36" s="442">
        <f t="shared" si="17"/>
        <v>8.995981838925915E-2</v>
      </c>
      <c r="AM36" s="437">
        <f t="shared" si="17"/>
        <v>2.0668371278080659</v>
      </c>
      <c r="AN36" s="457">
        <f t="shared" si="17"/>
        <v>3.2322536776657591</v>
      </c>
    </row>
    <row r="37" spans="1:40" x14ac:dyDescent="0.25">
      <c r="A37" s="783"/>
      <c r="B37" s="53" t="s">
        <v>52</v>
      </c>
      <c r="C37" s="725">
        <v>1982</v>
      </c>
      <c r="D37" s="725">
        <v>3</v>
      </c>
      <c r="E37" s="903" t="str">
        <f>IF(LEFT(B37,3)="LED","Logistic",IF(Standards_Active!$E38="yes","Step","Linear"))</f>
        <v>Linear</v>
      </c>
      <c r="F37" s="903" t="str">
        <f>IF(Standards_Active!$S38="yes","Step",IF($K37="lamp+ballast","Linear","Constant"))</f>
        <v>Linear</v>
      </c>
      <c r="G37" s="651" t="s">
        <v>38</v>
      </c>
      <c r="H37" s="659" t="s">
        <v>38</v>
      </c>
      <c r="I37" s="659" t="s">
        <v>38</v>
      </c>
      <c r="J37" s="659" t="s">
        <v>38</v>
      </c>
      <c r="K37" s="903" t="str">
        <f t="shared" si="8"/>
        <v>lamp+ballast</v>
      </c>
      <c r="L37" s="728">
        <f>IF(User_Inputs!$D$4="Frozen Efficiency",0,Tech_Specs!C83)</f>
        <v>6.25E-2</v>
      </c>
      <c r="M37" s="36">
        <f>IF(User_Inputs!$D$4="Frozen Efficiency",0,Tech_Specs!E83)</f>
        <v>0.125</v>
      </c>
      <c r="N37" s="729">
        <f>IF(User_Inputs!$D$4="Frozen Efficiency",0,Tech_Specs!G83)</f>
        <v>-0.125</v>
      </c>
      <c r="O37" s="796">
        <f t="shared" si="9"/>
        <v>1.8468248684276436</v>
      </c>
      <c r="P37" s="792">
        <f t="shared" si="9"/>
        <v>10.284735989760948</v>
      </c>
      <c r="Q37" s="792">
        <f t="shared" si="9"/>
        <v>11.815650399284227</v>
      </c>
      <c r="R37" s="768">
        <f t="shared" si="9"/>
        <v>10.91432914594253</v>
      </c>
      <c r="S37" s="351">
        <f t="shared" si="10"/>
        <v>1.8468248684276436</v>
      </c>
      <c r="T37" s="567">
        <v>16.399999999999999</v>
      </c>
      <c r="U37" s="568">
        <v>30.8</v>
      </c>
      <c r="V37" s="568">
        <v>41.7</v>
      </c>
      <c r="W37" s="569">
        <v>62.9</v>
      </c>
      <c r="X37" s="448">
        <f t="shared" si="11"/>
        <v>16.399999999999999</v>
      </c>
      <c r="Y37" s="567">
        <v>62.7</v>
      </c>
      <c r="Z37" s="568">
        <v>74.900000000000006</v>
      </c>
      <c r="AA37" s="568">
        <v>79.8</v>
      </c>
      <c r="AB37" s="569">
        <v>73.7</v>
      </c>
      <c r="AC37" s="448">
        <f t="shared" si="12"/>
        <v>62.7</v>
      </c>
      <c r="AD37" s="997">
        <f t="shared" si="13"/>
        <v>7634398.6918460047</v>
      </c>
      <c r="AE37" s="928">
        <f t="shared" si="14"/>
        <v>552435.12031072378</v>
      </c>
      <c r="AF37" s="997">
        <f t="shared" si="15"/>
        <v>20465.937894680672</v>
      </c>
      <c r="AG37" s="997">
        <f>F226</f>
        <v>1057359.0147783251</v>
      </c>
      <c r="AH37" s="452">
        <f t="shared" si="16"/>
        <v>7634398.6918460047</v>
      </c>
      <c r="AI37" s="219">
        <v>0.7</v>
      </c>
      <c r="AJ37" s="443">
        <f t="shared" si="17"/>
        <v>3.7068089574290206</v>
      </c>
      <c r="AK37" s="442">
        <f t="shared" si="17"/>
        <v>3.3511604899974232</v>
      </c>
      <c r="AL37" s="442">
        <f t="shared" si="17"/>
        <v>0.20573893881943853</v>
      </c>
      <c r="AM37" s="437">
        <f t="shared" si="17"/>
        <v>13.678104487940976</v>
      </c>
      <c r="AN37" s="457">
        <f t="shared" si="17"/>
        <v>3.7068089574290206</v>
      </c>
    </row>
    <row r="38" spans="1:40" x14ac:dyDescent="0.25">
      <c r="A38" s="783"/>
      <c r="B38" s="53" t="s">
        <v>29</v>
      </c>
      <c r="C38" s="725">
        <v>2008</v>
      </c>
      <c r="D38" s="725">
        <v>6</v>
      </c>
      <c r="E38" s="903" t="str">
        <f>IF(LEFT(B38,3)="LED","Logistic",IF(Standards_Active!$E39="yes","Step","Linear"))</f>
        <v>Logistic</v>
      </c>
      <c r="F38" s="903" t="str">
        <f>IF(Standards_Active!$S39="yes","Step",IF($K38="lamp+ballast","Linear","Constant"))</f>
        <v>Constant</v>
      </c>
      <c r="G38" s="651" t="s">
        <v>24</v>
      </c>
      <c r="H38" s="659" t="s">
        <v>41</v>
      </c>
      <c r="I38" s="659" t="s">
        <v>41</v>
      </c>
      <c r="J38" s="659" t="s">
        <v>41</v>
      </c>
      <c r="K38" s="903" t="str">
        <f t="shared" si="8"/>
        <v>lamp</v>
      </c>
      <c r="L38" s="728" t="s">
        <v>49</v>
      </c>
      <c r="M38" s="744" t="s">
        <v>49</v>
      </c>
      <c r="N38" s="744" t="s">
        <v>49</v>
      </c>
      <c r="O38" s="796">
        <f t="shared" si="9"/>
        <v>1.8468248684276436</v>
      </c>
      <c r="P38" s="792">
        <f t="shared" si="9"/>
        <v>10.284735989760948</v>
      </c>
      <c r="Q38" s="792">
        <f t="shared" si="9"/>
        <v>11.815650399284227</v>
      </c>
      <c r="R38" s="768">
        <f t="shared" si="9"/>
        <v>10.91432914594253</v>
      </c>
      <c r="S38" s="351">
        <f t="shared" si="10"/>
        <v>1.8468248684276436</v>
      </c>
      <c r="T38" s="567">
        <v>11.3</v>
      </c>
      <c r="U38" s="568">
        <v>0</v>
      </c>
      <c r="V38" s="568">
        <v>0</v>
      </c>
      <c r="W38" s="569">
        <v>20.3</v>
      </c>
      <c r="X38" s="448">
        <f t="shared" si="11"/>
        <v>11.3</v>
      </c>
      <c r="Y38" s="567">
        <v>36.9</v>
      </c>
      <c r="Z38" s="568">
        <v>0</v>
      </c>
      <c r="AA38" s="568">
        <v>0</v>
      </c>
      <c r="AB38" s="569">
        <v>69.900000000000006</v>
      </c>
      <c r="AC38" s="448">
        <f t="shared" si="12"/>
        <v>36.9</v>
      </c>
      <c r="AD38" s="997">
        <f t="shared" si="13"/>
        <v>357855.75783272739</v>
      </c>
      <c r="AE38" s="928">
        <f t="shared" si="14"/>
        <v>0</v>
      </c>
      <c r="AF38" s="997">
        <f t="shared" si="15"/>
        <v>0</v>
      </c>
      <c r="AG38" s="997">
        <f>F227</f>
        <v>697753.84236453194</v>
      </c>
      <c r="AH38" s="452">
        <f t="shared" si="16"/>
        <v>357855.75783272739</v>
      </c>
      <c r="AI38" s="219">
        <v>1</v>
      </c>
      <c r="AJ38" s="443">
        <f t="shared" si="17"/>
        <v>0.10065347134946012</v>
      </c>
      <c r="AK38" s="442">
        <f t="shared" si="17"/>
        <v>0</v>
      </c>
      <c r="AL38" s="442">
        <f t="shared" si="17"/>
        <v>0</v>
      </c>
      <c r="AM38" s="437">
        <f t="shared" si="17"/>
        <v>3.9469599694708011</v>
      </c>
      <c r="AN38" s="457">
        <f t="shared" si="17"/>
        <v>0.10065347134946012</v>
      </c>
    </row>
    <row r="39" spans="1:40" x14ac:dyDescent="0.25">
      <c r="A39" s="53" t="s">
        <v>73</v>
      </c>
      <c r="B39" s="53" t="s">
        <v>53</v>
      </c>
      <c r="C39" s="727">
        <v>2000</v>
      </c>
      <c r="D39" s="727">
        <v>4</v>
      </c>
      <c r="E39" s="904" t="str">
        <f>IF(LEFT(B39,3)="LED","Logistic",IF(Standards_Active!$E40="yes","Step","Linear"))</f>
        <v>Linear</v>
      </c>
      <c r="F39" s="904" t="str">
        <f>IF(Standards_Active!$S40="yes","Step",IF($K39="lamp+ballast","Linear","Constant"))</f>
        <v>Linear</v>
      </c>
      <c r="G39" s="653" t="s">
        <v>38</v>
      </c>
      <c r="H39" s="660" t="s">
        <v>38</v>
      </c>
      <c r="I39" s="660" t="s">
        <v>38</v>
      </c>
      <c r="J39" s="660" t="s">
        <v>38</v>
      </c>
      <c r="K39" s="904" t="str">
        <f t="shared" si="8"/>
        <v>lamp+ballast</v>
      </c>
      <c r="L39" s="736">
        <f>IF(User_Inputs!$D$4="Frozen Efficiency",0,Tech_Specs!C85)</f>
        <v>6.25E-2</v>
      </c>
      <c r="M39" s="38">
        <f>IF(User_Inputs!$D$4="Frozen Efficiency",0,Tech_Specs!E85)</f>
        <v>0.125</v>
      </c>
      <c r="N39" s="737">
        <f>IF(User_Inputs!$D$4="Frozen Efficiency",0,Tech_Specs!G85)</f>
        <v>-0.125</v>
      </c>
      <c r="O39" s="762">
        <f t="shared" si="9"/>
        <v>1.8468248684276436</v>
      </c>
      <c r="P39" s="763">
        <f t="shared" si="9"/>
        <v>10.284735989760948</v>
      </c>
      <c r="Q39" s="763">
        <f t="shared" si="9"/>
        <v>11.815650399284227</v>
      </c>
      <c r="R39" s="752">
        <f t="shared" si="9"/>
        <v>10.91432914594253</v>
      </c>
      <c r="S39" s="809">
        <f t="shared" si="10"/>
        <v>1.8468248684276436</v>
      </c>
      <c r="T39" s="570">
        <v>19.2</v>
      </c>
      <c r="U39" s="571">
        <v>0</v>
      </c>
      <c r="V39" s="571">
        <v>0</v>
      </c>
      <c r="W39" s="572">
        <v>0</v>
      </c>
      <c r="X39" s="447">
        <f t="shared" si="11"/>
        <v>19.2</v>
      </c>
      <c r="Y39" s="570">
        <v>53.3</v>
      </c>
      <c r="Z39" s="571">
        <v>0</v>
      </c>
      <c r="AA39" s="571">
        <v>0</v>
      </c>
      <c r="AB39" s="572">
        <v>0</v>
      </c>
      <c r="AC39" s="447">
        <f t="shared" si="12"/>
        <v>53.3</v>
      </c>
      <c r="AD39" s="998">
        <f t="shared" si="13"/>
        <v>210485.92758173839</v>
      </c>
      <c r="AE39" s="931">
        <f t="shared" si="14"/>
        <v>0</v>
      </c>
      <c r="AF39" s="998">
        <f t="shared" si="15"/>
        <v>0</v>
      </c>
      <c r="AG39" s="933">
        <v>0</v>
      </c>
      <c r="AH39" s="579">
        <f t="shared" si="16"/>
        <v>210485.92758173839</v>
      </c>
      <c r="AI39" s="581">
        <v>0.9</v>
      </c>
      <c r="AJ39" s="441">
        <f t="shared" si="17"/>
        <v>0.13077055029251408</v>
      </c>
      <c r="AK39" s="440">
        <f t="shared" si="17"/>
        <v>0</v>
      </c>
      <c r="AL39" s="440">
        <f t="shared" si="17"/>
        <v>0</v>
      </c>
      <c r="AM39" s="439">
        <f t="shared" si="17"/>
        <v>0</v>
      </c>
      <c r="AN39" s="460">
        <f t="shared" si="17"/>
        <v>0.13077055029251408</v>
      </c>
    </row>
    <row r="40" spans="1:40" s="539" customFormat="1" x14ac:dyDescent="0.25">
      <c r="A40" s="550"/>
      <c r="B40" s="550"/>
      <c r="C40" s="479"/>
      <c r="D40" s="479"/>
      <c r="E40" s="479"/>
      <c r="F40" s="1037" t="s">
        <v>715</v>
      </c>
      <c r="G40" s="659"/>
      <c r="H40" s="659"/>
      <c r="I40" s="659"/>
      <c r="J40" s="659"/>
      <c r="K40" s="479"/>
      <c r="L40" s="744"/>
      <c r="M40" s="36"/>
      <c r="N40" s="744"/>
      <c r="O40" s="568"/>
      <c r="P40" s="568"/>
      <c r="Q40" s="568"/>
      <c r="R40" s="568"/>
      <c r="S40" s="351"/>
      <c r="T40" s="568"/>
      <c r="U40" s="568"/>
      <c r="V40" s="568"/>
      <c r="W40" s="568"/>
      <c r="X40" s="351"/>
      <c r="Y40" s="568"/>
      <c r="Z40" s="568"/>
      <c r="AA40" s="568"/>
      <c r="AB40" s="568"/>
      <c r="AC40" s="351"/>
      <c r="AD40" s="573"/>
      <c r="AE40" s="573"/>
      <c r="AF40" s="573"/>
      <c r="AG40" s="573"/>
      <c r="AH40" s="436"/>
      <c r="AI40" s="745"/>
      <c r="AJ40" s="442"/>
      <c r="AK40" s="442"/>
      <c r="AL40" s="442"/>
      <c r="AM40" s="442"/>
      <c r="AN40" s="442"/>
    </row>
    <row r="41" spans="1:40" s="539" customFormat="1" x14ac:dyDescent="0.25">
      <c r="A41" s="550"/>
      <c r="B41" s="550"/>
      <c r="C41" s="479"/>
      <c r="D41" s="479"/>
      <c r="E41" s="479"/>
      <c r="F41" s="479"/>
      <c r="G41" s="659"/>
      <c r="H41" s="659"/>
      <c r="I41" s="659"/>
      <c r="J41" s="659"/>
      <c r="K41" s="479"/>
      <c r="L41" s="744"/>
      <c r="M41" s="36"/>
      <c r="N41" s="744"/>
      <c r="O41" s="568"/>
      <c r="P41" s="568"/>
      <c r="Q41" s="568"/>
      <c r="R41" s="568"/>
      <c r="S41" s="351"/>
      <c r="T41" s="568"/>
      <c r="U41" s="568"/>
      <c r="V41" s="568"/>
      <c r="W41" s="568"/>
      <c r="X41" s="351"/>
      <c r="Y41" s="568"/>
      <c r="Z41" s="568"/>
      <c r="AA41" s="568"/>
      <c r="AB41" s="568"/>
      <c r="AC41" s="351"/>
      <c r="AD41" s="573"/>
      <c r="AE41" s="573"/>
      <c r="AF41" s="573"/>
      <c r="AG41" s="573"/>
      <c r="AH41" s="436"/>
      <c r="AI41" s="745"/>
      <c r="AJ41" s="442"/>
      <c r="AK41" s="442"/>
      <c r="AL41" s="442"/>
      <c r="AM41" s="442"/>
      <c r="AN41" s="442"/>
    </row>
    <row r="43" spans="1:40" s="403" customFormat="1" ht="12.75" x14ac:dyDescent="0.2">
      <c r="A43" s="404" t="s">
        <v>344</v>
      </c>
    </row>
    <row r="45" spans="1:40" x14ac:dyDescent="0.25">
      <c r="A45" s="385" t="s">
        <v>389</v>
      </c>
      <c r="B45" s="385"/>
      <c r="C45" s="385"/>
      <c r="D45" s="385"/>
      <c r="E45" s="385"/>
      <c r="F45" s="385"/>
      <c r="G45" s="385"/>
    </row>
    <row r="46" spans="1:40" ht="15" customHeight="1" x14ac:dyDescent="0.25">
      <c r="A46" s="996" t="s">
        <v>520</v>
      </c>
      <c r="B46" s="995"/>
      <c r="C46" s="995"/>
      <c r="D46" s="995"/>
      <c r="E46" s="995"/>
      <c r="F46" s="995"/>
      <c r="G46" s="995"/>
    </row>
    <row r="47" spans="1:40" s="838" customFormat="1" ht="15" customHeight="1" x14ac:dyDescent="0.25">
      <c r="A47" s="996"/>
      <c r="B47" s="995"/>
      <c r="C47" s="995"/>
      <c r="D47" s="995"/>
      <c r="E47" s="995"/>
      <c r="F47" s="995"/>
      <c r="G47" s="995"/>
    </row>
    <row r="48" spans="1:40" s="539" customFormat="1" x14ac:dyDescent="0.25">
      <c r="A48" s="385" t="s">
        <v>291</v>
      </c>
      <c r="B48" s="385"/>
      <c r="C48" s="385"/>
      <c r="D48" s="385"/>
      <c r="E48" s="385"/>
      <c r="F48" s="385"/>
      <c r="G48" s="385"/>
    </row>
    <row r="49" spans="1:20" x14ac:dyDescent="0.25">
      <c r="A49" t="s">
        <v>518</v>
      </c>
    </row>
    <row r="50" spans="1:20" s="838" customFormat="1" x14ac:dyDescent="0.25">
      <c r="A50" s="838" t="s">
        <v>519</v>
      </c>
    </row>
    <row r="51" spans="1:20" ht="15" customHeight="1" x14ac:dyDescent="0.25">
      <c r="A51" s="26" t="s">
        <v>12</v>
      </c>
      <c r="B51" s="25" t="s">
        <v>73</v>
      </c>
    </row>
    <row r="52" spans="1:20" ht="25.5" customHeight="1" x14ac:dyDescent="0.25">
      <c r="A52" s="26" t="s">
        <v>74</v>
      </c>
      <c r="B52" s="25">
        <f>25/20</f>
        <v>1.25</v>
      </c>
      <c r="C52" s="1197" t="s">
        <v>17</v>
      </c>
      <c r="D52" s="1197"/>
      <c r="E52" s="1197" t="s">
        <v>18</v>
      </c>
      <c r="F52" s="1197"/>
      <c r="G52" s="1197" t="s">
        <v>19</v>
      </c>
      <c r="H52" s="1197"/>
      <c r="I52" s="9"/>
      <c r="J52" s="9"/>
      <c r="K52" s="9"/>
      <c r="L52" s="9"/>
      <c r="M52" s="9"/>
      <c r="N52" s="9"/>
      <c r="O52" s="9"/>
      <c r="P52" s="9"/>
      <c r="Q52" s="9"/>
      <c r="R52" s="9"/>
      <c r="S52" s="9"/>
      <c r="T52" s="9"/>
    </row>
    <row r="53" spans="1:20" x14ac:dyDescent="0.25">
      <c r="A53" s="25" t="s">
        <v>73</v>
      </c>
      <c r="B53" s="25" t="s">
        <v>20</v>
      </c>
      <c r="C53" s="34" t="s">
        <v>517</v>
      </c>
      <c r="D53" s="34" t="s">
        <v>516</v>
      </c>
      <c r="E53" s="34" t="s">
        <v>517</v>
      </c>
      <c r="F53" s="34" t="s">
        <v>516</v>
      </c>
      <c r="G53" s="34" t="s">
        <v>517</v>
      </c>
      <c r="H53" s="34" t="s">
        <v>516</v>
      </c>
    </row>
    <row r="54" spans="1:20" x14ac:dyDescent="0.25">
      <c r="A54" s="28" t="s">
        <v>21</v>
      </c>
      <c r="B54" s="27" t="s">
        <v>73</v>
      </c>
      <c r="C54" s="33"/>
      <c r="D54" s="33"/>
      <c r="E54" s="33"/>
      <c r="F54" s="33"/>
      <c r="G54" s="33"/>
      <c r="H54" s="33"/>
    </row>
    <row r="55" spans="1:20" x14ac:dyDescent="0.25">
      <c r="A55" s="26" t="s">
        <v>73</v>
      </c>
      <c r="B55" s="25" t="s">
        <v>22</v>
      </c>
      <c r="C55" s="36">
        <f>D55*$B$52</f>
        <v>0</v>
      </c>
      <c r="D55" s="39">
        <v>0</v>
      </c>
      <c r="E55" s="36">
        <f>F55*$B$52</f>
        <v>0</v>
      </c>
      <c r="F55" s="39">
        <v>0</v>
      </c>
      <c r="G55" s="36">
        <f>H55*$B$52</f>
        <v>-0.125</v>
      </c>
      <c r="H55" s="39">
        <v>-0.1</v>
      </c>
    </row>
    <row r="56" spans="1:20" x14ac:dyDescent="0.25">
      <c r="A56" s="26" t="s">
        <v>73</v>
      </c>
      <c r="B56" s="25" t="s">
        <v>26</v>
      </c>
      <c r="C56" s="36">
        <f>D56*$B$52</f>
        <v>0.125</v>
      </c>
      <c r="D56" s="39">
        <v>0.1</v>
      </c>
      <c r="E56" s="36">
        <f>F56*$B$52</f>
        <v>0.125</v>
      </c>
      <c r="F56" s="39">
        <v>0.1</v>
      </c>
      <c r="G56" s="36">
        <f>H56*$B$52</f>
        <v>-0.125</v>
      </c>
      <c r="H56" s="40">
        <v>-0.1</v>
      </c>
    </row>
    <row r="57" spans="1:20" x14ac:dyDescent="0.25">
      <c r="A57" s="26" t="s">
        <v>73</v>
      </c>
      <c r="B57" s="25" t="s">
        <v>27</v>
      </c>
      <c r="C57" s="36">
        <f>D57*$B$52</f>
        <v>0.125</v>
      </c>
      <c r="D57" s="39">
        <v>0.1</v>
      </c>
      <c r="E57" s="36">
        <f>F57*$B$52</f>
        <v>0.125</v>
      </c>
      <c r="F57" s="40">
        <v>0.1</v>
      </c>
      <c r="G57" s="36">
        <f>H57*$B$52</f>
        <v>-0.125</v>
      </c>
      <c r="H57" s="40">
        <v>-0.1</v>
      </c>
    </row>
    <row r="58" spans="1:20" x14ac:dyDescent="0.25">
      <c r="A58" s="26" t="s">
        <v>73</v>
      </c>
      <c r="B58" s="25" t="s">
        <v>29</v>
      </c>
      <c r="C58" s="36"/>
      <c r="D58" s="40"/>
      <c r="E58" s="36"/>
      <c r="F58" s="37"/>
      <c r="G58" s="36"/>
      <c r="H58" s="40"/>
    </row>
    <row r="59" spans="1:20" x14ac:dyDescent="0.25">
      <c r="A59" s="26" t="s">
        <v>73</v>
      </c>
      <c r="B59" s="25" t="s">
        <v>73</v>
      </c>
      <c r="C59" s="35"/>
      <c r="D59" s="40"/>
      <c r="E59" s="35"/>
      <c r="F59" s="35"/>
      <c r="G59" s="35"/>
      <c r="H59" s="40"/>
    </row>
    <row r="60" spans="1:20" x14ac:dyDescent="0.25">
      <c r="A60" s="28" t="s">
        <v>32</v>
      </c>
      <c r="B60" s="27" t="s">
        <v>73</v>
      </c>
      <c r="C60" s="32"/>
      <c r="D60" s="41"/>
      <c r="E60" s="32"/>
      <c r="F60" s="32"/>
      <c r="G60" s="32"/>
      <c r="H60" s="41"/>
    </row>
    <row r="61" spans="1:20" x14ac:dyDescent="0.25">
      <c r="A61" s="26" t="s">
        <v>73</v>
      </c>
      <c r="B61" s="25" t="s">
        <v>33</v>
      </c>
      <c r="C61" s="36">
        <f>D61*$B$52</f>
        <v>0</v>
      </c>
      <c r="D61" s="39">
        <v>0</v>
      </c>
      <c r="E61" s="36">
        <f>F61*$B$52</f>
        <v>0</v>
      </c>
      <c r="F61" s="39">
        <v>0</v>
      </c>
      <c r="G61" s="36">
        <f>H61*$B$52</f>
        <v>-0.125</v>
      </c>
      <c r="H61" s="40">
        <v>-0.1</v>
      </c>
    </row>
    <row r="62" spans="1:20" x14ac:dyDescent="0.25">
      <c r="A62" s="31" t="s">
        <v>73</v>
      </c>
      <c r="B62" s="29" t="s">
        <v>34</v>
      </c>
      <c r="C62" s="36">
        <f>D62*$B$52</f>
        <v>0.125</v>
      </c>
      <c r="D62" s="39">
        <v>0.1</v>
      </c>
      <c r="E62" s="36">
        <f>F62*$B$52</f>
        <v>0.125</v>
      </c>
      <c r="F62" s="39">
        <v>0.1</v>
      </c>
      <c r="G62" s="36">
        <f>H62*$B$52</f>
        <v>-0.125</v>
      </c>
      <c r="H62" s="40">
        <v>-0.1</v>
      </c>
    </row>
    <row r="63" spans="1:20" x14ac:dyDescent="0.25">
      <c r="A63" s="26" t="s">
        <v>73</v>
      </c>
      <c r="B63" s="25" t="s">
        <v>35</v>
      </c>
      <c r="C63" s="36">
        <f>D63*$B$52</f>
        <v>0.125</v>
      </c>
      <c r="D63" s="39">
        <v>0.1</v>
      </c>
      <c r="E63" s="36">
        <f>F63*$B$52</f>
        <v>0.125</v>
      </c>
      <c r="F63" s="40">
        <v>0.1</v>
      </c>
      <c r="G63" s="36">
        <f>H63*$B$52</f>
        <v>-0.125</v>
      </c>
      <c r="H63" s="40">
        <v>-0.1</v>
      </c>
    </row>
    <row r="64" spans="1:20" x14ac:dyDescent="0.25">
      <c r="A64" s="31" t="s">
        <v>73</v>
      </c>
      <c r="B64" s="29" t="s">
        <v>29</v>
      </c>
      <c r="C64" s="36"/>
      <c r="D64" s="39"/>
      <c r="E64" s="36"/>
      <c r="F64" s="37"/>
      <c r="G64" s="36"/>
      <c r="H64" s="40"/>
    </row>
    <row r="65" spans="1:8" x14ac:dyDescent="0.25">
      <c r="A65" s="26" t="s">
        <v>73</v>
      </c>
      <c r="B65" s="29" t="s">
        <v>73</v>
      </c>
      <c r="C65" s="35"/>
      <c r="D65" s="40"/>
      <c r="E65" s="35"/>
      <c r="F65" s="35"/>
      <c r="G65" s="35"/>
      <c r="H65" s="40"/>
    </row>
    <row r="66" spans="1:8" x14ac:dyDescent="0.25">
      <c r="A66" s="28" t="s">
        <v>36</v>
      </c>
      <c r="B66" s="27" t="s">
        <v>73</v>
      </c>
      <c r="C66" s="32"/>
      <c r="D66" s="41"/>
      <c r="E66" s="32"/>
      <c r="F66" s="32"/>
      <c r="G66" s="32"/>
      <c r="H66" s="41"/>
    </row>
    <row r="67" spans="1:8" x14ac:dyDescent="0.25">
      <c r="A67" s="26" t="s">
        <v>73</v>
      </c>
      <c r="B67" s="29" t="s">
        <v>37</v>
      </c>
      <c r="C67" s="36">
        <f>D67*$B$52</f>
        <v>0</v>
      </c>
      <c r="D67" s="39">
        <v>0</v>
      </c>
      <c r="E67" s="36">
        <f>F67*$B$52</f>
        <v>0</v>
      </c>
      <c r="F67" s="39">
        <v>0</v>
      </c>
      <c r="G67" s="36">
        <f>H67*$B$52</f>
        <v>-0.125</v>
      </c>
      <c r="H67" s="40">
        <v>-0.1</v>
      </c>
    </row>
    <row r="68" spans="1:8" x14ac:dyDescent="0.25">
      <c r="A68" s="26" t="s">
        <v>73</v>
      </c>
      <c r="B68" s="25" t="s">
        <v>39</v>
      </c>
      <c r="C68" s="36">
        <f>D68*$B$52</f>
        <v>0.125</v>
      </c>
      <c r="D68" s="39">
        <v>0.1</v>
      </c>
      <c r="E68" s="36">
        <f>F68*$B$52</f>
        <v>0.125</v>
      </c>
      <c r="F68" s="40">
        <v>0.1</v>
      </c>
      <c r="G68" s="36">
        <f>H68*$B$52</f>
        <v>-0.125</v>
      </c>
      <c r="H68" s="40">
        <v>-0.1</v>
      </c>
    </row>
    <row r="69" spans="1:8" x14ac:dyDescent="0.25">
      <c r="A69" s="31" t="s">
        <v>73</v>
      </c>
      <c r="B69" s="29" t="s">
        <v>40</v>
      </c>
      <c r="C69" s="36">
        <f>D69*$B$52</f>
        <v>0.125</v>
      </c>
      <c r="D69" s="39">
        <v>0.1</v>
      </c>
      <c r="E69" s="36">
        <f>F69*$B$52</f>
        <v>0.125</v>
      </c>
      <c r="F69" s="40">
        <v>0.1</v>
      </c>
      <c r="G69" s="36">
        <f>H69*$B$52</f>
        <v>-0.125</v>
      </c>
      <c r="H69" s="40">
        <v>-0.1</v>
      </c>
    </row>
    <row r="70" spans="1:8" x14ac:dyDescent="0.25">
      <c r="A70" s="26" t="s">
        <v>73</v>
      </c>
      <c r="B70" s="25" t="s">
        <v>29</v>
      </c>
      <c r="C70" s="36"/>
      <c r="D70" s="40"/>
      <c r="E70" s="36"/>
      <c r="F70" s="37"/>
      <c r="G70" s="36"/>
      <c r="H70" s="40"/>
    </row>
    <row r="71" spans="1:8" x14ac:dyDescent="0.25">
      <c r="A71" s="26" t="s">
        <v>73</v>
      </c>
      <c r="B71" s="25" t="s">
        <v>73</v>
      </c>
      <c r="C71" s="35"/>
      <c r="D71" s="40"/>
      <c r="E71" s="35"/>
      <c r="F71" s="35"/>
      <c r="G71" s="35"/>
      <c r="H71" s="40"/>
    </row>
    <row r="72" spans="1:8" x14ac:dyDescent="0.25">
      <c r="A72" s="28" t="s">
        <v>42</v>
      </c>
      <c r="B72" s="27" t="s">
        <v>73</v>
      </c>
      <c r="C72" s="32"/>
      <c r="D72" s="41"/>
      <c r="E72" s="32"/>
      <c r="F72" s="32"/>
      <c r="G72" s="32"/>
      <c r="H72" s="41"/>
    </row>
    <row r="73" spans="1:8" x14ac:dyDescent="0.25">
      <c r="A73" s="31" t="s">
        <v>73</v>
      </c>
      <c r="B73" s="29" t="s">
        <v>43</v>
      </c>
      <c r="C73" s="36">
        <f>D73*$B$52</f>
        <v>0</v>
      </c>
      <c r="D73" s="39">
        <v>0</v>
      </c>
      <c r="E73" s="36">
        <f>F73*$B$52</f>
        <v>0</v>
      </c>
      <c r="F73" s="39">
        <v>0</v>
      </c>
      <c r="G73" s="36">
        <f>H73*$B$52</f>
        <v>-0.125</v>
      </c>
      <c r="H73" s="40">
        <v>-0.1</v>
      </c>
    </row>
    <row r="74" spans="1:8" x14ac:dyDescent="0.25">
      <c r="A74" s="26" t="s">
        <v>73</v>
      </c>
      <c r="B74" s="25" t="s">
        <v>44</v>
      </c>
      <c r="C74" s="36">
        <f>D74*$B$52</f>
        <v>0.1875</v>
      </c>
      <c r="D74" s="39">
        <v>0.15</v>
      </c>
      <c r="E74" s="36">
        <f>F74*$B$52</f>
        <v>0.1875</v>
      </c>
      <c r="F74" s="39">
        <v>0.15</v>
      </c>
      <c r="G74" s="36">
        <f>H74*$B$52</f>
        <v>-0.125</v>
      </c>
      <c r="H74" s="40">
        <v>-0.1</v>
      </c>
    </row>
    <row r="75" spans="1:8" x14ac:dyDescent="0.25">
      <c r="A75" s="26" t="s">
        <v>73</v>
      </c>
      <c r="B75" s="25" t="s">
        <v>45</v>
      </c>
      <c r="C75" s="36">
        <f>D75*$B$52</f>
        <v>6.25E-2</v>
      </c>
      <c r="D75" s="39">
        <v>0.05</v>
      </c>
      <c r="E75" s="36">
        <f>F75*$B$52</f>
        <v>6.25E-2</v>
      </c>
      <c r="F75" s="39">
        <v>0.05</v>
      </c>
      <c r="G75" s="36">
        <f>H75*$B$52</f>
        <v>-0.125</v>
      </c>
      <c r="H75" s="40">
        <v>-0.1</v>
      </c>
    </row>
    <row r="76" spans="1:8" x14ac:dyDescent="0.25">
      <c r="A76" s="31" t="s">
        <v>73</v>
      </c>
      <c r="B76" s="29" t="s">
        <v>46</v>
      </c>
      <c r="C76" s="36">
        <f>D76*$B$52</f>
        <v>0.1875</v>
      </c>
      <c r="D76" s="40">
        <v>0.15</v>
      </c>
      <c r="E76" s="36">
        <f>F76*$B$52</f>
        <v>0.1875</v>
      </c>
      <c r="F76" s="40">
        <v>0.15</v>
      </c>
      <c r="G76" s="36">
        <f>H76*$B$52</f>
        <v>-0.125</v>
      </c>
      <c r="H76" s="40">
        <v>-0.1</v>
      </c>
    </row>
    <row r="77" spans="1:8" x14ac:dyDescent="0.25">
      <c r="A77" s="26" t="s">
        <v>73</v>
      </c>
      <c r="B77" s="25" t="s">
        <v>29</v>
      </c>
      <c r="C77" s="36"/>
      <c r="D77" s="40"/>
      <c r="E77" s="36"/>
      <c r="F77" s="37"/>
      <c r="G77" s="36"/>
      <c r="H77" s="40"/>
    </row>
    <row r="78" spans="1:8" x14ac:dyDescent="0.25">
      <c r="A78" s="26" t="s">
        <v>73</v>
      </c>
      <c r="B78" s="25" t="s">
        <v>73</v>
      </c>
      <c r="C78" s="35"/>
      <c r="D78" s="40"/>
      <c r="E78" s="35"/>
      <c r="F78" s="35"/>
      <c r="G78" s="35"/>
      <c r="H78" s="40"/>
    </row>
    <row r="79" spans="1:8" x14ac:dyDescent="0.25">
      <c r="A79" s="28" t="s">
        <v>47</v>
      </c>
      <c r="B79" s="27" t="s">
        <v>73</v>
      </c>
      <c r="C79" s="32"/>
      <c r="D79" s="41"/>
      <c r="E79" s="32"/>
      <c r="F79" s="32"/>
      <c r="G79" s="32"/>
      <c r="H79" s="41"/>
    </row>
    <row r="80" spans="1:8" x14ac:dyDescent="0.25">
      <c r="A80" s="31" t="s">
        <v>73</v>
      </c>
      <c r="B80" s="29" t="s">
        <v>48</v>
      </c>
      <c r="C80" s="36">
        <f t="shared" ref="C80:C85" si="18">D80*$B$52</f>
        <v>6.25E-2</v>
      </c>
      <c r="D80" s="40">
        <v>0.05</v>
      </c>
      <c r="E80" s="36">
        <f t="shared" ref="E80:E85" si="19">F80*$B$52</f>
        <v>0.125</v>
      </c>
      <c r="F80" s="40">
        <v>0.1</v>
      </c>
      <c r="G80" s="36">
        <f t="shared" ref="G80:G85" si="20">H80*$B$52</f>
        <v>-0.125</v>
      </c>
      <c r="H80" s="40">
        <v>-0.1</v>
      </c>
    </row>
    <row r="81" spans="1:8" x14ac:dyDescent="0.25">
      <c r="A81" s="25" t="s">
        <v>73</v>
      </c>
      <c r="B81" s="25" t="s">
        <v>50</v>
      </c>
      <c r="C81" s="36">
        <f t="shared" si="18"/>
        <v>6.25E-2</v>
      </c>
      <c r="D81" s="40">
        <v>0.05</v>
      </c>
      <c r="E81" s="36">
        <f t="shared" si="19"/>
        <v>0.125</v>
      </c>
      <c r="F81" s="40">
        <v>0.1</v>
      </c>
      <c r="G81" s="36">
        <f t="shared" si="20"/>
        <v>-0.125</v>
      </c>
      <c r="H81" s="40">
        <v>-0.1</v>
      </c>
    </row>
    <row r="82" spans="1:8" x14ac:dyDescent="0.25">
      <c r="A82" s="25" t="s">
        <v>73</v>
      </c>
      <c r="B82" s="25" t="s">
        <v>51</v>
      </c>
      <c r="C82" s="36">
        <f t="shared" si="18"/>
        <v>6.25E-2</v>
      </c>
      <c r="D82" s="40">
        <v>0.05</v>
      </c>
      <c r="E82" s="36">
        <f t="shared" si="19"/>
        <v>0.125</v>
      </c>
      <c r="F82" s="40">
        <v>0.1</v>
      </c>
      <c r="G82" s="36">
        <f t="shared" si="20"/>
        <v>-0.125</v>
      </c>
      <c r="H82" s="40">
        <v>-0.1</v>
      </c>
    </row>
    <row r="83" spans="1:8" x14ac:dyDescent="0.25">
      <c r="A83" s="25" t="s">
        <v>73</v>
      </c>
      <c r="B83" s="25" t="s">
        <v>52</v>
      </c>
      <c r="C83" s="36">
        <f t="shared" si="18"/>
        <v>6.25E-2</v>
      </c>
      <c r="D83" s="40">
        <v>0.05</v>
      </c>
      <c r="E83" s="36">
        <f t="shared" si="19"/>
        <v>0.125</v>
      </c>
      <c r="F83" s="40">
        <v>0.1</v>
      </c>
      <c r="G83" s="36">
        <f t="shared" si="20"/>
        <v>-0.125</v>
      </c>
      <c r="H83" s="40">
        <v>-0.1</v>
      </c>
    </row>
    <row r="84" spans="1:8" x14ac:dyDescent="0.25">
      <c r="A84" s="25" t="s">
        <v>73</v>
      </c>
      <c r="B84" s="25" t="s">
        <v>29</v>
      </c>
      <c r="C84" s="36"/>
      <c r="D84" s="40"/>
      <c r="E84" s="36"/>
      <c r="F84" s="37"/>
      <c r="G84" s="36"/>
      <c r="H84" s="40"/>
    </row>
    <row r="85" spans="1:8" x14ac:dyDescent="0.25">
      <c r="A85" s="25" t="s">
        <v>73</v>
      </c>
      <c r="B85" s="25" t="s">
        <v>53</v>
      </c>
      <c r="C85" s="38">
        <f t="shared" si="18"/>
        <v>6.25E-2</v>
      </c>
      <c r="D85" s="42">
        <v>0.05</v>
      </c>
      <c r="E85" s="38">
        <f t="shared" si="19"/>
        <v>0.125</v>
      </c>
      <c r="F85" s="42">
        <v>0.1</v>
      </c>
      <c r="G85" s="38">
        <f t="shared" si="20"/>
        <v>-0.125</v>
      </c>
      <c r="H85" s="42">
        <v>-0.1</v>
      </c>
    </row>
    <row r="88" spans="1:8" x14ac:dyDescent="0.25">
      <c r="A88" s="385" t="s">
        <v>231</v>
      </c>
      <c r="B88" s="385"/>
      <c r="C88" s="385"/>
      <c r="D88" s="385"/>
      <c r="E88" s="385"/>
      <c r="F88" s="385"/>
      <c r="G88" s="385"/>
    </row>
    <row r="89" spans="1:8" ht="15" customHeight="1" x14ac:dyDescent="0.25">
      <c r="A89" s="1185" t="s">
        <v>388</v>
      </c>
      <c r="B89" s="1185"/>
      <c r="C89" s="1185"/>
      <c r="D89" s="1185"/>
      <c r="E89" s="1185"/>
      <c r="F89" s="1185"/>
      <c r="G89" s="1185"/>
    </row>
    <row r="90" spans="1:8" s="539" customFormat="1" x14ac:dyDescent="0.25">
      <c r="A90" s="1185"/>
      <c r="B90" s="1185"/>
      <c r="C90" s="1185"/>
      <c r="D90" s="1185"/>
      <c r="E90" s="1185"/>
      <c r="F90" s="1185"/>
      <c r="G90" s="1185"/>
    </row>
    <row r="91" spans="1:8" s="539" customFormat="1" x14ac:dyDescent="0.25">
      <c r="A91" s="1185"/>
      <c r="B91" s="1185"/>
      <c r="C91" s="1185"/>
      <c r="D91" s="1185"/>
      <c r="E91" s="1185"/>
      <c r="F91" s="1185"/>
      <c r="G91" s="1185"/>
    </row>
    <row r="92" spans="1:8" x14ac:dyDescent="0.25">
      <c r="A92" s="755" t="s">
        <v>55</v>
      </c>
      <c r="B92" s="755"/>
      <c r="C92" s="755"/>
      <c r="D92" s="755"/>
      <c r="E92" s="755"/>
      <c r="F92" s="787"/>
      <c r="G92" s="787"/>
    </row>
    <row r="93" spans="1:8" x14ac:dyDescent="0.25">
      <c r="A93" s="753" t="s">
        <v>345</v>
      </c>
      <c r="B93" s="757" t="s">
        <v>346</v>
      </c>
      <c r="C93" s="801" t="s">
        <v>347</v>
      </c>
      <c r="D93" s="753"/>
      <c r="E93" s="753"/>
      <c r="F93" s="753"/>
      <c r="H93" s="539"/>
    </row>
    <row r="94" spans="1:8" x14ac:dyDescent="0.25">
      <c r="A94" s="754">
        <f>E117</f>
        <v>10.484901611043327</v>
      </c>
      <c r="B94" s="758" t="s">
        <v>348</v>
      </c>
      <c r="C94" s="805">
        <v>11.1</v>
      </c>
      <c r="D94" s="758" t="s">
        <v>349</v>
      </c>
      <c r="E94" s="759">
        <f>A94/C94</f>
        <v>0.94458573072462404</v>
      </c>
      <c r="F94" s="753"/>
      <c r="H94" s="539"/>
    </row>
    <row r="95" spans="1:8" x14ac:dyDescent="0.25">
      <c r="A95" s="539"/>
      <c r="B95" s="539"/>
      <c r="C95" s="539"/>
      <c r="D95" s="539"/>
      <c r="E95" s="539"/>
      <c r="G95" s="539"/>
    </row>
    <row r="96" spans="1:8" x14ac:dyDescent="0.25">
      <c r="A96" s="539"/>
      <c r="B96" s="539"/>
      <c r="C96" s="539"/>
      <c r="D96" s="539"/>
      <c r="E96" s="539"/>
      <c r="G96" s="539"/>
    </row>
    <row r="97" spans="1:8" x14ac:dyDescent="0.25">
      <c r="A97" s="753"/>
      <c r="B97" s="753" t="s">
        <v>350</v>
      </c>
      <c r="C97" s="799" t="s">
        <v>351</v>
      </c>
      <c r="D97" s="753" t="s">
        <v>352</v>
      </c>
      <c r="E97" s="753" t="s">
        <v>353</v>
      </c>
      <c r="F97" s="539"/>
      <c r="H97" s="539"/>
    </row>
    <row r="98" spans="1:8" x14ac:dyDescent="0.25">
      <c r="A98" s="753" t="s">
        <v>354</v>
      </c>
      <c r="B98" s="760">
        <v>269.07792974459096</v>
      </c>
      <c r="C98" s="800">
        <v>4300</v>
      </c>
      <c r="D98" s="754">
        <f>C98/365</f>
        <v>11.780821917808218</v>
      </c>
      <c r="E98" s="754">
        <f>D98*B98</f>
        <v>3169.959172333537</v>
      </c>
      <c r="F98" s="539"/>
      <c r="H98" s="539"/>
    </row>
    <row r="99" spans="1:8" x14ac:dyDescent="0.25">
      <c r="A99" s="753" t="s">
        <v>355</v>
      </c>
      <c r="B99" s="760">
        <v>121.23063380795446</v>
      </c>
      <c r="C99" s="800">
        <v>3800</v>
      </c>
      <c r="D99" s="798">
        <f t="shared" ref="D99:D115" si="21">C99/365</f>
        <v>10.41095890410959</v>
      </c>
      <c r="E99" s="798">
        <f t="shared" ref="E99:E115" si="22">D99*B99</f>
        <v>1262.1271464937727</v>
      </c>
      <c r="F99" s="539"/>
      <c r="H99" s="539"/>
    </row>
    <row r="100" spans="1:8" x14ac:dyDescent="0.25">
      <c r="A100" s="753" t="s">
        <v>356</v>
      </c>
      <c r="B100" s="760">
        <v>142.24850014370574</v>
      </c>
      <c r="C100" s="800">
        <v>3800</v>
      </c>
      <c r="D100" s="798">
        <f t="shared" si="21"/>
        <v>10.41095890410959</v>
      </c>
      <c r="E100" s="798">
        <f t="shared" si="22"/>
        <v>1480.9432891673475</v>
      </c>
      <c r="F100" s="539"/>
      <c r="H100" s="539"/>
    </row>
    <row r="101" spans="1:8" x14ac:dyDescent="0.25">
      <c r="A101" s="753" t="s">
        <v>357</v>
      </c>
      <c r="B101" s="760">
        <v>127.16304575990401</v>
      </c>
      <c r="C101" s="800">
        <v>4800</v>
      </c>
      <c r="D101" s="798">
        <f t="shared" si="21"/>
        <v>13.150684931506849</v>
      </c>
      <c r="E101" s="798">
        <f t="shared" si="22"/>
        <v>1672.2811497192854</v>
      </c>
      <c r="F101" s="539"/>
      <c r="H101" s="539"/>
    </row>
    <row r="102" spans="1:8" x14ac:dyDescent="0.25">
      <c r="A102" s="753" t="s">
        <v>358</v>
      </c>
      <c r="B102" s="760">
        <v>234.86802586033861</v>
      </c>
      <c r="C102" s="800">
        <v>3900</v>
      </c>
      <c r="D102" s="798">
        <f t="shared" si="21"/>
        <v>10.684931506849315</v>
      </c>
      <c r="E102" s="798">
        <f t="shared" si="22"/>
        <v>2509.5487694666317</v>
      </c>
      <c r="F102" s="539"/>
      <c r="H102" s="539"/>
    </row>
    <row r="103" spans="1:8" x14ac:dyDescent="0.25">
      <c r="A103" s="753" t="s">
        <v>359</v>
      </c>
      <c r="B103" s="760">
        <v>58.717006465084651</v>
      </c>
      <c r="C103" s="800">
        <v>3400</v>
      </c>
      <c r="D103" s="798">
        <f t="shared" si="21"/>
        <v>9.3150684931506849</v>
      </c>
      <c r="E103" s="798">
        <f t="shared" si="22"/>
        <v>546.95293693503515</v>
      </c>
      <c r="F103" s="539"/>
      <c r="H103" s="539"/>
    </row>
    <row r="104" spans="1:8" x14ac:dyDescent="0.25">
      <c r="A104" s="753" t="s">
        <v>360</v>
      </c>
      <c r="B104" s="760">
        <v>113.3659655225017</v>
      </c>
      <c r="C104" s="800">
        <v>4000</v>
      </c>
      <c r="D104" s="798">
        <f t="shared" si="21"/>
        <v>10.95890410958904</v>
      </c>
      <c r="E104" s="798">
        <f t="shared" si="22"/>
        <v>1242.3667454520732</v>
      </c>
      <c r="F104" s="539"/>
      <c r="H104" s="539"/>
    </row>
    <row r="105" spans="1:8" x14ac:dyDescent="0.25">
      <c r="A105" s="753" t="s">
        <v>361</v>
      </c>
      <c r="B105" s="760">
        <v>248.20487531223819</v>
      </c>
      <c r="C105" s="800">
        <v>2900</v>
      </c>
      <c r="D105" s="798">
        <f t="shared" si="21"/>
        <v>7.9452054794520546</v>
      </c>
      <c r="E105" s="798">
        <f t="shared" si="22"/>
        <v>1972.0387353575088</v>
      </c>
      <c r="F105" s="539"/>
      <c r="H105" s="539"/>
    </row>
    <row r="106" spans="1:8" x14ac:dyDescent="0.25">
      <c r="A106" s="753" t="s">
        <v>362</v>
      </c>
      <c r="B106" s="760">
        <v>123.39130974327722</v>
      </c>
      <c r="C106" s="800">
        <v>3000</v>
      </c>
      <c r="D106" s="798">
        <f t="shared" si="21"/>
        <v>8.2191780821917817</v>
      </c>
      <c r="E106" s="798">
        <f t="shared" si="22"/>
        <v>1014.1751485748814</v>
      </c>
      <c r="F106" s="539"/>
      <c r="H106" s="539"/>
    </row>
    <row r="107" spans="1:8" x14ac:dyDescent="0.25">
      <c r="A107" s="753" t="s">
        <v>363</v>
      </c>
      <c r="B107" s="760">
        <v>363.46665980805562</v>
      </c>
      <c r="C107" s="800">
        <v>3799.9999999999995</v>
      </c>
      <c r="D107" s="798">
        <f t="shared" si="21"/>
        <v>10.410958904109588</v>
      </c>
      <c r="E107" s="798">
        <f t="shared" si="22"/>
        <v>3784.0364582756474</v>
      </c>
      <c r="F107" s="539"/>
      <c r="H107" s="539"/>
    </row>
    <row r="108" spans="1:8" x14ac:dyDescent="0.25">
      <c r="A108" s="753" t="s">
        <v>364</v>
      </c>
      <c r="B108" s="760">
        <v>52.331326172910508</v>
      </c>
      <c r="C108" s="800">
        <v>5800</v>
      </c>
      <c r="D108" s="798">
        <f t="shared" si="21"/>
        <v>15.890410958904109</v>
      </c>
      <c r="E108" s="798">
        <f t="shared" si="22"/>
        <v>831.56627891200253</v>
      </c>
      <c r="F108" s="539"/>
      <c r="H108" s="539"/>
    </row>
    <row r="109" spans="1:8" x14ac:dyDescent="0.25">
      <c r="A109" s="753" t="s">
        <v>365</v>
      </c>
      <c r="B109" s="760">
        <v>21.624127505090684</v>
      </c>
      <c r="C109" s="800">
        <v>5800</v>
      </c>
      <c r="D109" s="798">
        <f t="shared" si="21"/>
        <v>15.890410958904109</v>
      </c>
      <c r="E109" s="798">
        <f t="shared" si="22"/>
        <v>343.61627268363276</v>
      </c>
      <c r="F109" s="539"/>
      <c r="H109" s="539"/>
    </row>
    <row r="110" spans="1:8" x14ac:dyDescent="0.25">
      <c r="A110" s="753" t="s">
        <v>366</v>
      </c>
      <c r="B110" s="760">
        <v>47.425770061315774</v>
      </c>
      <c r="C110" s="800">
        <v>5100</v>
      </c>
      <c r="D110" s="798">
        <f t="shared" si="21"/>
        <v>13.972602739726028</v>
      </c>
      <c r="E110" s="798">
        <f t="shared" si="22"/>
        <v>662.66144469235746</v>
      </c>
      <c r="F110" s="539"/>
      <c r="H110" s="539"/>
    </row>
    <row r="111" spans="1:8" x14ac:dyDescent="0.25">
      <c r="A111" s="753" t="s">
        <v>367</v>
      </c>
      <c r="B111" s="760">
        <v>160.68567596361959</v>
      </c>
      <c r="C111" s="800">
        <v>4200</v>
      </c>
      <c r="D111" s="798">
        <f t="shared" si="21"/>
        <v>11.506849315068493</v>
      </c>
      <c r="E111" s="798">
        <f t="shared" si="22"/>
        <v>1848.9858604032938</v>
      </c>
      <c r="F111" s="539"/>
      <c r="H111" s="539"/>
    </row>
    <row r="112" spans="1:8" x14ac:dyDescent="0.25">
      <c r="A112" s="753" t="s">
        <v>368</v>
      </c>
      <c r="B112" s="760">
        <v>68.062840438230054</v>
      </c>
      <c r="C112" s="800">
        <v>6400</v>
      </c>
      <c r="D112" s="798">
        <f t="shared" si="21"/>
        <v>17.534246575342465</v>
      </c>
      <c r="E112" s="798">
        <f t="shared" si="22"/>
        <v>1193.430626862116</v>
      </c>
      <c r="F112" s="753"/>
      <c r="H112" s="539"/>
    </row>
    <row r="113" spans="1:17" x14ac:dyDescent="0.25">
      <c r="A113" s="753" t="s">
        <v>369</v>
      </c>
      <c r="B113" s="760">
        <v>146.85862898462784</v>
      </c>
      <c r="C113" s="800">
        <v>3600</v>
      </c>
      <c r="D113" s="798">
        <f t="shared" si="21"/>
        <v>9.8630136986301373</v>
      </c>
      <c r="E113" s="798">
        <f t="shared" si="22"/>
        <v>1448.4686694374254</v>
      </c>
      <c r="F113" s="753"/>
      <c r="H113" s="539"/>
    </row>
    <row r="114" spans="1:17" x14ac:dyDescent="0.25">
      <c r="A114" s="753" t="s">
        <v>370</v>
      </c>
      <c r="B114" s="760">
        <v>217.83535520887148</v>
      </c>
      <c r="C114" s="800">
        <v>2800</v>
      </c>
      <c r="D114" s="798">
        <f t="shared" si="21"/>
        <v>7.6712328767123283</v>
      </c>
      <c r="E114" s="798">
        <f t="shared" si="22"/>
        <v>1671.0657385886029</v>
      </c>
      <c r="F114" s="753"/>
      <c r="H114" s="539"/>
    </row>
    <row r="115" spans="1:17" x14ac:dyDescent="0.25">
      <c r="A115" s="753" t="s">
        <v>141</v>
      </c>
      <c r="B115" s="760">
        <v>431.53243752750507</v>
      </c>
      <c r="C115" s="800">
        <v>3600</v>
      </c>
      <c r="D115" s="798">
        <f t="shared" si="21"/>
        <v>9.8630136986301373</v>
      </c>
      <c r="E115" s="798">
        <f t="shared" si="22"/>
        <v>4256.2103427370366</v>
      </c>
      <c r="F115" s="753"/>
      <c r="H115" s="539"/>
    </row>
    <row r="116" spans="1:17" x14ac:dyDescent="0.25">
      <c r="A116" s="753"/>
      <c r="B116" s="753"/>
      <c r="C116" s="797"/>
      <c r="D116" s="753" t="s">
        <v>371</v>
      </c>
      <c r="E116" s="754">
        <f>SUM(E98:E115)</f>
        <v>30910.434786092184</v>
      </c>
      <c r="F116" s="753"/>
      <c r="H116" s="539"/>
    </row>
    <row r="117" spans="1:17" x14ac:dyDescent="0.25">
      <c r="A117" s="753" t="s">
        <v>372</v>
      </c>
      <c r="B117" s="753">
        <v>2948.090114029822</v>
      </c>
      <c r="C117" s="797"/>
      <c r="D117" s="753" t="s">
        <v>373</v>
      </c>
      <c r="E117" s="754">
        <f>E116/B117</f>
        <v>10.484901611043327</v>
      </c>
      <c r="F117" s="753"/>
      <c r="H117" s="539"/>
    </row>
    <row r="118" spans="1:17" x14ac:dyDescent="0.25">
      <c r="A118" s="539"/>
      <c r="B118" s="539"/>
      <c r="C118" s="539"/>
      <c r="D118" s="539"/>
      <c r="E118" s="539"/>
      <c r="G118" s="539"/>
    </row>
    <row r="119" spans="1:17" x14ac:dyDescent="0.25">
      <c r="A119" s="755" t="s">
        <v>56</v>
      </c>
      <c r="B119" s="755"/>
      <c r="C119" s="755"/>
      <c r="D119" s="755"/>
      <c r="E119" s="755"/>
      <c r="F119" s="787"/>
      <c r="G119" s="787"/>
    </row>
    <row r="120" spans="1:17" x14ac:dyDescent="0.25">
      <c r="A120" s="539"/>
      <c r="B120" s="539"/>
      <c r="C120" s="539"/>
      <c r="D120" s="539"/>
      <c r="E120" s="539"/>
      <c r="G120" s="539"/>
    </row>
    <row r="121" spans="1:17" x14ac:dyDescent="0.25">
      <c r="A121" s="756" t="s">
        <v>374</v>
      </c>
      <c r="B121" s="753"/>
      <c r="C121" s="753"/>
      <c r="D121" s="759">
        <f>E94</f>
        <v>0.94458573072462404</v>
      </c>
      <c r="E121" s="753"/>
      <c r="G121" s="539"/>
    </row>
    <row r="122" spans="1:17" x14ac:dyDescent="0.25">
      <c r="A122" s="539"/>
      <c r="B122" s="539"/>
      <c r="C122" s="539"/>
      <c r="D122" s="539"/>
      <c r="E122" s="539"/>
      <c r="G122" s="539"/>
    </row>
    <row r="123" spans="1:17" x14ac:dyDescent="0.25">
      <c r="A123" s="755" t="s">
        <v>375</v>
      </c>
      <c r="B123" s="755"/>
      <c r="C123" s="755"/>
      <c r="D123" s="755"/>
      <c r="E123" s="755"/>
      <c r="F123" s="787"/>
      <c r="G123" s="787"/>
    </row>
    <row r="124" spans="1:17" x14ac:dyDescent="0.25">
      <c r="A124" s="539"/>
      <c r="B124" s="539"/>
      <c r="C124" s="539"/>
      <c r="D124" s="539"/>
      <c r="E124" s="539"/>
      <c r="G124" s="539"/>
    </row>
    <row r="125" spans="1:17" x14ac:dyDescent="0.25">
      <c r="A125" s="753" t="s">
        <v>376</v>
      </c>
      <c r="B125" s="753"/>
      <c r="C125" s="753"/>
      <c r="D125" s="753"/>
      <c r="E125" s="753"/>
      <c r="G125" s="539"/>
    </row>
    <row r="126" spans="1:17" s="539" customFormat="1" x14ac:dyDescent="0.25">
      <c r="A126" s="806"/>
      <c r="B126" s="806"/>
      <c r="C126" s="806"/>
      <c r="D126" s="806"/>
      <c r="E126" s="806"/>
    </row>
    <row r="127" spans="1:17" s="539" customFormat="1" x14ac:dyDescent="0.25">
      <c r="A127" s="806"/>
      <c r="B127" s="806"/>
      <c r="C127" s="806"/>
      <c r="D127" s="806"/>
      <c r="E127" s="806"/>
    </row>
    <row r="128" spans="1:17" s="539" customFormat="1" ht="25.5" customHeight="1" x14ac:dyDescent="0.25">
      <c r="A128" s="806"/>
      <c r="B128" s="806"/>
      <c r="C128" s="1210" t="s">
        <v>396</v>
      </c>
      <c r="D128" s="1211"/>
      <c r="E128" s="1211"/>
      <c r="F128" s="1211"/>
      <c r="G128" s="1212"/>
      <c r="H128" s="1207" t="s">
        <v>240</v>
      </c>
      <c r="I128" s="1208"/>
      <c r="J128" s="1208"/>
      <c r="K128" s="1208"/>
      <c r="L128" s="1209"/>
      <c r="M128" s="1213" t="s">
        <v>397</v>
      </c>
      <c r="N128" s="1214"/>
      <c r="O128" s="1214"/>
      <c r="P128" s="1214"/>
      <c r="Q128" s="1215"/>
    </row>
    <row r="129" spans="1:17" s="539" customFormat="1" ht="15" customHeight="1" x14ac:dyDescent="0.25">
      <c r="A129" s="812" t="s">
        <v>12</v>
      </c>
      <c r="B129" s="806" t="s">
        <v>73</v>
      </c>
      <c r="C129" s="1200" t="s">
        <v>13</v>
      </c>
      <c r="D129" s="1202" t="s">
        <v>14</v>
      </c>
      <c r="E129" s="1202" t="s">
        <v>15</v>
      </c>
      <c r="F129" s="1198" t="s">
        <v>16</v>
      </c>
      <c r="G129" s="1193" t="s">
        <v>238</v>
      </c>
      <c r="H129" s="1200" t="s">
        <v>13</v>
      </c>
      <c r="I129" s="1202" t="s">
        <v>14</v>
      </c>
      <c r="J129" s="1202" t="s">
        <v>15</v>
      </c>
      <c r="K129" s="1198" t="s">
        <v>16</v>
      </c>
      <c r="L129" s="1200" t="s">
        <v>238</v>
      </c>
      <c r="M129" s="1200" t="s">
        <v>13</v>
      </c>
      <c r="N129" s="1202" t="s">
        <v>14</v>
      </c>
      <c r="O129" s="1202" t="s">
        <v>15</v>
      </c>
      <c r="P129" s="1198" t="s">
        <v>16</v>
      </c>
      <c r="Q129" s="1193" t="s">
        <v>238</v>
      </c>
    </row>
    <row r="130" spans="1:17" s="539" customFormat="1" x14ac:dyDescent="0.25">
      <c r="A130" s="806"/>
      <c r="B130" s="806" t="s">
        <v>20</v>
      </c>
      <c r="C130" s="1201"/>
      <c r="D130" s="1203"/>
      <c r="E130" s="1203"/>
      <c r="F130" s="1199"/>
      <c r="G130" s="1194"/>
      <c r="H130" s="1201"/>
      <c r="I130" s="1203"/>
      <c r="J130" s="1203"/>
      <c r="K130" s="1199"/>
      <c r="L130" s="1201"/>
      <c r="M130" s="1201"/>
      <c r="N130" s="1203"/>
      <c r="O130" s="1203"/>
      <c r="P130" s="1199"/>
      <c r="Q130" s="1194"/>
    </row>
    <row r="131" spans="1:17" s="539" customFormat="1" x14ac:dyDescent="0.25">
      <c r="A131" s="556" t="s">
        <v>21</v>
      </c>
      <c r="B131" s="816" t="s">
        <v>73</v>
      </c>
      <c r="C131" s="821"/>
      <c r="D131" s="821"/>
      <c r="E131" s="821"/>
      <c r="F131" s="822"/>
      <c r="G131" s="821"/>
      <c r="H131" s="813"/>
      <c r="I131" s="815"/>
      <c r="J131" s="815"/>
      <c r="K131" s="814"/>
      <c r="L131" s="813"/>
      <c r="M131" s="823"/>
      <c r="N131" s="821"/>
      <c r="O131" s="821"/>
      <c r="P131" s="822"/>
      <c r="Q131" s="509"/>
    </row>
    <row r="132" spans="1:17" s="539" customFormat="1" x14ac:dyDescent="0.25">
      <c r="A132" s="806"/>
      <c r="B132" s="808" t="s">
        <v>22</v>
      </c>
      <c r="C132" s="568">
        <v>1.8</v>
      </c>
      <c r="D132" s="568">
        <v>9.9</v>
      </c>
      <c r="E132" s="568">
        <v>12</v>
      </c>
      <c r="F132" s="569">
        <v>0</v>
      </c>
      <c r="G132" s="811">
        <f>IF(Active_Case="Res",C132,IF(Active_Case="Com",D132,IF(Active_Case="Ind",E132,IF(Active_Case="Out",F132))))</f>
        <v>1.8</v>
      </c>
      <c r="H132" s="928">
        <f ca="1">O248</f>
        <v>101090952.50058079</v>
      </c>
      <c r="I132" s="929">
        <f t="shared" ref="I132:K135" si="23">AE9</f>
        <v>2411037.4130332177</v>
      </c>
      <c r="J132" s="929">
        <f t="shared" si="23"/>
        <v>22450.213923359363</v>
      </c>
      <c r="K132" s="930">
        <f t="shared" si="23"/>
        <v>0</v>
      </c>
      <c r="L132" s="574">
        <f ca="1">IF(Active_Case="Res",H132,IF(Active_Case="Com",I132,IF(Active_Case="Ind",J132,IF(Active_Case="Out",K132))))</f>
        <v>101090952.50058079</v>
      </c>
      <c r="M132" s="796">
        <f ca="1">IF(SUM($C$132:$C$135)=0,0,(C$132*H$132+C$133*H$133+C$134*H$134+C$135*H$135)/SUM($H$132:$H$135))</f>
        <v>1.8022731871818063</v>
      </c>
      <c r="N132" s="792">
        <f>IF(SUM($D$132:$D$135)=0,0,(D$132*I$132+D$133*I$133+D$134*I$134+D$135*I$135)/SUM($I$132:$I$135))</f>
        <v>9.9912231689272915</v>
      </c>
      <c r="O132" s="792">
        <f>IF(SUM($E$132:$E$135)=0,0,(E$132*J$132+E$133*J$133+E$134*J$134+E$135*J$135)/SUM($J$132:$J$135))</f>
        <v>12.029612939731535</v>
      </c>
      <c r="P132" s="768">
        <f>IF(SUM($F$132:$F$135)=0,0,(F$132*K$132+F$133*K$133+F$134*K$134+F$135*K$135)/SUM($K$132:$K$135))</f>
        <v>0</v>
      </c>
      <c r="Q132" s="448">
        <f ca="1">IF(Active_Case="Res",M132,IF(Active_Case="Com",N132,IF(Active_Case="Ind",O132,IF(Active_Case="Out",P132))))</f>
        <v>1.8022731871818063</v>
      </c>
    </row>
    <row r="133" spans="1:17" s="539" customFormat="1" x14ac:dyDescent="0.25">
      <c r="A133" s="806"/>
      <c r="B133" s="806" t="s">
        <v>26</v>
      </c>
      <c r="C133" s="568">
        <v>2</v>
      </c>
      <c r="D133" s="568">
        <v>11.4</v>
      </c>
      <c r="E133" s="568">
        <v>11.1</v>
      </c>
      <c r="F133" s="569">
        <v>0</v>
      </c>
      <c r="G133" s="811">
        <f>IF(Active_Case="Res",C133,IF(Active_Case="Com",D133,IF(Active_Case="Ind",E133,IF(Active_Case="Out",F133))))</f>
        <v>2</v>
      </c>
      <c r="H133" s="928">
        <f>AD10</f>
        <v>1915377.1978952021</v>
      </c>
      <c r="I133" s="929">
        <f t="shared" si="23"/>
        <v>54421.040140442296</v>
      </c>
      <c r="J133" s="929">
        <f t="shared" si="23"/>
        <v>174.03266607255318</v>
      </c>
      <c r="K133" s="930">
        <f t="shared" si="23"/>
        <v>0</v>
      </c>
      <c r="L133" s="574">
        <f>IF(Active_Case="Res",H133,IF(Active_Case="Com",I133,IF(Active_Case="Ind",J133,IF(Active_Case="Out",K133))))</f>
        <v>1915377.1978952021</v>
      </c>
      <c r="M133" s="796">
        <f ca="1">IF(SUM($C$132:$C$135)=0,0,(C$132*H$132+C$133*H$133+C$134*H$134+C$135*H$135)/SUM($H$132:$H$135))</f>
        <v>1.8022731871818063</v>
      </c>
      <c r="N133" s="792">
        <f>IF(SUM($D$132:$D$135)=0,0,(D$132*I$132+D$133*I$133+D$134*I$134+D$135*I$135)/SUM($I$132:$I$135))</f>
        <v>9.9912231689272915</v>
      </c>
      <c r="O133" s="792">
        <f>IF(SUM($E$132:$E$135)=0,0,(E$132*J$132+E$133*J$133+E$134*J$134+E$135*J$135)/SUM($J$132:$J$135))</f>
        <v>12.029612939731535</v>
      </c>
      <c r="P133" s="768">
        <f>IF(SUM($F$132:$F$135)=0,0,(F$132*K$132+F$133*K$133+F$134*K$134+F$135*K$135)/SUM($K$132:$K$135))</f>
        <v>0</v>
      </c>
      <c r="Q133" s="448">
        <f ca="1">IF(Active_Case="Res",M133,IF(Active_Case="Com",N133,IF(Active_Case="Ind",O133,IF(Active_Case="Out",P133))))</f>
        <v>1.8022731871818063</v>
      </c>
    </row>
    <row r="134" spans="1:17" s="539" customFormat="1" x14ac:dyDescent="0.25">
      <c r="A134" s="806"/>
      <c r="B134" s="806" t="s">
        <v>27</v>
      </c>
      <c r="C134" s="568">
        <v>1.8</v>
      </c>
      <c r="D134" s="568">
        <v>10.1</v>
      </c>
      <c r="E134" s="568">
        <v>12.3</v>
      </c>
      <c r="F134" s="569">
        <v>0</v>
      </c>
      <c r="G134" s="811">
        <f>IF(Active_Case="Res",C134,IF(Active_Case="Com",D134,IF(Active_Case="Ind",E134,IF(Active_Case="Out",F134))))</f>
        <v>1.8</v>
      </c>
      <c r="H134" s="928">
        <f>AD11</f>
        <v>65512762.193773963</v>
      </c>
      <c r="I134" s="929">
        <f t="shared" si="23"/>
        <v>1317149.721438847</v>
      </c>
      <c r="J134" s="929">
        <f t="shared" si="23"/>
        <v>3057.0984031885378</v>
      </c>
      <c r="K134" s="930">
        <f t="shared" si="23"/>
        <v>0</v>
      </c>
      <c r="L134" s="574">
        <f>IF(Active_Case="Res",H134,IF(Active_Case="Com",I134,IF(Active_Case="Ind",J134,IF(Active_Case="Out",K134))))</f>
        <v>65512762.193773963</v>
      </c>
      <c r="M134" s="796">
        <f ca="1">IF(SUM($C$132:$C$135)=0,0,(C$132*H$132+C$133*H$133+C$134*H$134+C$135*H$135)/SUM($H$132:$H$135))</f>
        <v>1.8022731871818063</v>
      </c>
      <c r="N134" s="792">
        <f>IF(SUM($D$132:$D$135)=0,0,(D$132*I$132+D$133*I$133+D$134*I$134+D$135*I$135)/SUM($I$132:$I$135))</f>
        <v>9.9912231689272915</v>
      </c>
      <c r="O134" s="792">
        <f>IF(SUM($E$132:$E$135)=0,0,(E$132*J$132+E$133*J$133+E$134*J$134+E$135*J$135)/SUM($J$132:$J$135))</f>
        <v>12.029612939731535</v>
      </c>
      <c r="P134" s="768">
        <f>IF(SUM($F$132:$F$135)=0,0,(F$132*K$132+F$133*K$133+F$134*K$134+F$135*K$135)/SUM($K$132:$K$135))</f>
        <v>0</v>
      </c>
      <c r="Q134" s="448">
        <f ca="1">IF(Active_Case="Res",M134,IF(Active_Case="Com",N134,IF(Active_Case="Ind",O134,IF(Active_Case="Out",P134))))</f>
        <v>1.8022731871818063</v>
      </c>
    </row>
    <row r="135" spans="1:17" s="539" customFormat="1" x14ac:dyDescent="0.25">
      <c r="A135" s="806"/>
      <c r="B135" s="806" t="s">
        <v>29</v>
      </c>
      <c r="C135" s="568">
        <v>1.8</v>
      </c>
      <c r="D135" s="568">
        <v>10</v>
      </c>
      <c r="E135" s="568">
        <v>12</v>
      </c>
      <c r="F135" s="569">
        <v>0</v>
      </c>
      <c r="G135" s="811">
        <f>IF(Active_Case="Res",C135,IF(Active_Case="Com",D135,IF(Active_Case="Ind",E135,IF(Active_Case="Out",F135))))</f>
        <v>1.8</v>
      </c>
      <c r="H135" s="928">
        <f>AD12</f>
        <v>0</v>
      </c>
      <c r="I135" s="929">
        <f t="shared" si="23"/>
        <v>0</v>
      </c>
      <c r="J135" s="929">
        <f t="shared" si="23"/>
        <v>0</v>
      </c>
      <c r="K135" s="930">
        <f t="shared" si="23"/>
        <v>0</v>
      </c>
      <c r="L135" s="574">
        <f>IF(Active_Case="Res",H135,IF(Active_Case="Com",I135,IF(Active_Case="Ind",J135,IF(Active_Case="Out",K135))))</f>
        <v>0</v>
      </c>
      <c r="M135" s="796">
        <f ca="1">IF(SUM($C$132:$C$135)=0,0,(C$132*H$132+C$133*H$133+C$134*H$134+C$135*H$135)/SUM($H$132:$H$135))</f>
        <v>1.8022731871818063</v>
      </c>
      <c r="N135" s="792">
        <f>IF(SUM($D$132:$D$135)=0,0,(D$132*I$132+D$133*I$133+D$134*I$134+D$135*I$135)/SUM($I$132:$I$135))</f>
        <v>9.9912231689272915</v>
      </c>
      <c r="O135" s="792">
        <f>IF(SUM($E$132:$E$135)=0,0,(E$132*J$132+E$133*J$133+E$134*J$134+E$135*J$135)/SUM($J$132:$J$135))</f>
        <v>12.029612939731535</v>
      </c>
      <c r="P135" s="768">
        <f>IF(SUM($F$132:$F$135)=0,0,(F$132*K$132+F$133*K$133+F$134*K$134+F$135*K$135)/SUM($K$132:$K$135))</f>
        <v>0</v>
      </c>
      <c r="Q135" s="448">
        <f ca="1">IF(Active_Case="Res",M135,IF(Active_Case="Com",N135,IF(Active_Case="Ind",O135,IF(Active_Case="Out",P135))))</f>
        <v>1.8022731871818063</v>
      </c>
    </row>
    <row r="136" spans="1:17" s="539" customFormat="1" x14ac:dyDescent="0.25">
      <c r="A136" s="806"/>
      <c r="B136" s="806" t="s">
        <v>73</v>
      </c>
      <c r="C136" s="819"/>
      <c r="D136" s="819"/>
      <c r="E136" s="819"/>
      <c r="F136" s="810"/>
      <c r="G136" s="819"/>
      <c r="H136" s="574"/>
      <c r="I136" s="436"/>
      <c r="J136" s="436"/>
      <c r="K136" s="575"/>
      <c r="L136" s="749"/>
      <c r="M136" s="820"/>
      <c r="N136" s="819"/>
      <c r="O136" s="819"/>
      <c r="P136" s="810"/>
      <c r="Q136" s="778"/>
    </row>
    <row r="137" spans="1:17" s="539" customFormat="1" x14ac:dyDescent="0.25">
      <c r="A137" s="817" t="s">
        <v>32</v>
      </c>
      <c r="B137" s="816" t="s">
        <v>73</v>
      </c>
      <c r="C137" s="815"/>
      <c r="D137" s="815"/>
      <c r="E137" s="815"/>
      <c r="F137" s="814"/>
      <c r="G137" s="815"/>
      <c r="H137" s="576"/>
      <c r="I137" s="577"/>
      <c r="J137" s="577"/>
      <c r="K137" s="578"/>
      <c r="L137" s="769"/>
      <c r="M137" s="813"/>
      <c r="N137" s="815"/>
      <c r="O137" s="815"/>
      <c r="P137" s="814"/>
      <c r="Q137" s="456"/>
    </row>
    <row r="138" spans="1:17" s="539" customFormat="1" x14ac:dyDescent="0.25">
      <c r="A138" s="806"/>
      <c r="B138" s="808" t="s">
        <v>33</v>
      </c>
      <c r="C138" s="568">
        <v>1.7</v>
      </c>
      <c r="D138" s="568">
        <v>9.3000000000000007</v>
      </c>
      <c r="E138" s="568">
        <v>11.2</v>
      </c>
      <c r="F138" s="569">
        <v>0</v>
      </c>
      <c r="G138" s="811">
        <f>IF(Active_Case="Res",C138,IF(Active_Case="Com",D138,IF(Active_Case="Ind",E138,IF(Active_Case="Out",F138))))</f>
        <v>1.7</v>
      </c>
      <c r="H138" s="928">
        <f t="shared" ref="H138:K141" si="24">AD15</f>
        <v>21628378.419260103</v>
      </c>
      <c r="I138" s="929">
        <f t="shared" si="24"/>
        <v>1090723.4474381113</v>
      </c>
      <c r="J138" s="929">
        <f t="shared" si="24"/>
        <v>870.16333036276581</v>
      </c>
      <c r="K138" s="930">
        <f t="shared" si="24"/>
        <v>0</v>
      </c>
      <c r="L138" s="574">
        <f>IF(Active_Case="Res",H138,IF(Active_Case="Com",I138,IF(Active_Case="Ind",J138,IF(Active_Case="Out",K138))))</f>
        <v>21628378.419260103</v>
      </c>
      <c r="M138" s="796">
        <f>IF(SUM($C$138:$C$141)=0,0,(C$138*H$138+C$139*H$139+C$140*H$140+C$141*H$141)/SUM($H$138:$H$141))</f>
        <v>1.7763608496829884</v>
      </c>
      <c r="N138" s="792">
        <f>IF(SUM($D$138:$D$141)=0,0,(D$138*I$138+D$139*I$139+D$140*I$140+D$141*I$141)/SUM($I$138:$I$141))</f>
        <v>10.163033244488094</v>
      </c>
      <c r="O138" s="792">
        <f>IF(SUM($E$138:$E$141)=0,0,(E$138*J$138+E$139*J$139+E$140*J$140+E$141*J$141)/SUM($J$138:$J$141))</f>
        <v>11.660497276377969</v>
      </c>
      <c r="P138" s="768">
        <f>IF(SUM($F$138:$F$141)=0,0,(F$138*K$138+F$139*K$139+F$140*K$140+F$141*K$141)/SUM($K$138:$K$141))</f>
        <v>0</v>
      </c>
      <c r="Q138" s="448">
        <f>IF(Active_Case="Res",M138,IF(Active_Case="Com",N138,IF(Active_Case="Ind",O138,IF(Active_Case="Out",P138))))</f>
        <v>1.7763608496829884</v>
      </c>
    </row>
    <row r="139" spans="1:17" s="539" customFormat="1" x14ac:dyDescent="0.25">
      <c r="A139" s="808"/>
      <c r="B139" s="808" t="s">
        <v>34</v>
      </c>
      <c r="C139" s="568">
        <v>1.9</v>
      </c>
      <c r="D139" s="568">
        <v>11.8</v>
      </c>
      <c r="E139" s="568">
        <v>11.1</v>
      </c>
      <c r="F139" s="569">
        <v>0</v>
      </c>
      <c r="G139" s="811">
        <f>IF(Active_Case="Res",C139,IF(Active_Case="Com",D139,IF(Active_Case="Ind",E139,IF(Active_Case="Out",F139))))</f>
        <v>1.9</v>
      </c>
      <c r="H139" s="928">
        <f t="shared" si="24"/>
        <v>12076208.313300364</v>
      </c>
      <c r="I139" s="929">
        <f t="shared" si="24"/>
        <v>1095104.0884401284</v>
      </c>
      <c r="J139" s="929">
        <f t="shared" si="24"/>
        <v>3654.6859875236164</v>
      </c>
      <c r="K139" s="930">
        <f t="shared" si="24"/>
        <v>0</v>
      </c>
      <c r="L139" s="574">
        <f>IF(Active_Case="Res",H139,IF(Active_Case="Com",I139,IF(Active_Case="Ind",J139,IF(Active_Case="Out",K139))))</f>
        <v>12076208.313300364</v>
      </c>
      <c r="M139" s="796">
        <f>IF(SUM($C$138:$C$141)=0,0,(C$138*H$138+C$139*H$139+C$140*H$140+C$141*H$141)/SUM($H$138:$H$141))</f>
        <v>1.7763608496829884</v>
      </c>
      <c r="N139" s="792">
        <f>IF(SUM($D$138:$D$141)=0,0,(D$138*I$138+D$139*I$139+D$140*I$140+D$141*I$141)/SUM($I$138:$I$141))</f>
        <v>10.163033244488094</v>
      </c>
      <c r="O139" s="792">
        <f>IF(SUM($E$138:$E$141)=0,0,(E$138*J$138+E$139*J$139+E$140*J$140+E$141*J$141)/SUM($J$138:$J$141))</f>
        <v>11.660497276377969</v>
      </c>
      <c r="P139" s="768">
        <f>IF(SUM($F$138:$F$141)=0,0,(F$138*K$138+F$139*K$139+F$140*K$140+F$141*K$141)/SUM($K$138:$K$141))</f>
        <v>0</v>
      </c>
      <c r="Q139" s="448">
        <f>IF(Active_Case="Res",M139,IF(Active_Case="Com",N139,IF(Active_Case="Ind",O139,IF(Active_Case="Out",P139))))</f>
        <v>1.7763608496829884</v>
      </c>
    </row>
    <row r="140" spans="1:17" s="539" customFormat="1" x14ac:dyDescent="0.25">
      <c r="A140" s="806"/>
      <c r="B140" s="806" t="s">
        <v>35</v>
      </c>
      <c r="C140" s="568">
        <v>1.8</v>
      </c>
      <c r="D140" s="568">
        <v>9.5</v>
      </c>
      <c r="E140" s="568">
        <v>12.3</v>
      </c>
      <c r="F140" s="569">
        <v>0</v>
      </c>
      <c r="G140" s="811">
        <f>IF(Active_Case="Res",C140,IF(Active_Case="Com",D140,IF(Active_Case="Ind",E140,IF(Active_Case="Out",F140))))</f>
        <v>1.8</v>
      </c>
      <c r="H140" s="928">
        <f t="shared" si="24"/>
        <v>6703676.5842714086</v>
      </c>
      <c r="I140" s="929">
        <f t="shared" si="24"/>
        <v>1283975.4235508619</v>
      </c>
      <c r="J140" s="929">
        <f t="shared" si="24"/>
        <v>3829.7716259724534</v>
      </c>
      <c r="K140" s="930">
        <f t="shared" si="24"/>
        <v>0</v>
      </c>
      <c r="L140" s="574">
        <f>IF(Active_Case="Res",H140,IF(Active_Case="Com",I140,IF(Active_Case="Ind",J140,IF(Active_Case="Out",K140))))</f>
        <v>6703676.5842714086</v>
      </c>
      <c r="M140" s="796">
        <f>IF(SUM($C$138:$C$141)=0,0,(C$138*H$138+C$139*H$139+C$140*H$140+C$141*H$141)/SUM($H$138:$H$141))</f>
        <v>1.7763608496829884</v>
      </c>
      <c r="N140" s="792">
        <f>IF(SUM($D$138:$D$141)=0,0,(D$138*I$138+D$139*I$139+D$140*I$140+D$141*I$141)/SUM($I$138:$I$141))</f>
        <v>10.163033244488094</v>
      </c>
      <c r="O140" s="792">
        <f>IF(SUM($E$138:$E$141)=0,0,(E$138*J$138+E$139*J$139+E$140*J$140+E$141*J$141)/SUM($J$138:$J$141))</f>
        <v>11.660497276377969</v>
      </c>
      <c r="P140" s="768">
        <f>IF(SUM($F$138:$F$141)=0,0,(F$138*K$138+F$139*K$139+F$140*K$140+F$141*K$141)/SUM($K$138:$K$141))</f>
        <v>0</v>
      </c>
      <c r="Q140" s="448">
        <f>IF(Active_Case="Res",M140,IF(Active_Case="Com",N140,IF(Active_Case="Ind",O140,IF(Active_Case="Out",P140))))</f>
        <v>1.7763608496829884</v>
      </c>
    </row>
    <row r="141" spans="1:17" s="539" customFormat="1" x14ac:dyDescent="0.25">
      <c r="A141" s="806"/>
      <c r="B141" s="808" t="s">
        <v>29</v>
      </c>
      <c r="C141" s="568">
        <v>1.8</v>
      </c>
      <c r="D141" s="568">
        <v>10</v>
      </c>
      <c r="E141" s="568">
        <v>11.8</v>
      </c>
      <c r="F141" s="569">
        <v>0</v>
      </c>
      <c r="G141" s="811">
        <f>IF(Active_Case="Res",C141,IF(Active_Case="Com",D141,IF(Active_Case="Ind",E141,IF(Active_Case="Out",F141))))</f>
        <v>1.8</v>
      </c>
      <c r="H141" s="928">
        <f t="shared" si="24"/>
        <v>0</v>
      </c>
      <c r="I141" s="929">
        <f t="shared" si="24"/>
        <v>0</v>
      </c>
      <c r="J141" s="929">
        <f t="shared" si="24"/>
        <v>0</v>
      </c>
      <c r="K141" s="930">
        <f t="shared" si="24"/>
        <v>0</v>
      </c>
      <c r="L141" s="574">
        <f>IF(Active_Case="Res",H141,IF(Active_Case="Com",I141,IF(Active_Case="Ind",J141,IF(Active_Case="Out",K141))))</f>
        <v>0</v>
      </c>
      <c r="M141" s="796">
        <f>IF(SUM($C$138:$C$141)=0,0,(C$138*H$138+C$139*H$139+C$140*H$140+C$141*H$141)/SUM($H$138:$H$141))</f>
        <v>1.7763608496829884</v>
      </c>
      <c r="N141" s="792">
        <f>IF(SUM($D$138:$D$141)=0,0,(D$138*I$138+D$139*I$139+D$140*I$140+D$141*I$141)/SUM($I$138:$I$141))</f>
        <v>10.163033244488094</v>
      </c>
      <c r="O141" s="792">
        <f>IF(SUM($E$138:$E$141)=0,0,(E$138*J$138+E$139*J$139+E$140*J$140+E$141*J$141)/SUM($J$138:$J$141))</f>
        <v>11.660497276377969</v>
      </c>
      <c r="P141" s="768">
        <f>IF(SUM($F$138:$F$141)=0,0,(F$138*K$138+F$139*K$139+F$140*K$140+F$141*K$141)/SUM($K$138:$K$141))</f>
        <v>0</v>
      </c>
      <c r="Q141" s="448">
        <f>IF(Active_Case="Res",M141,IF(Active_Case="Com",N141,IF(Active_Case="Ind",O141,IF(Active_Case="Out",P141))))</f>
        <v>1.7763608496829884</v>
      </c>
    </row>
    <row r="142" spans="1:17" s="539" customFormat="1" x14ac:dyDescent="0.25">
      <c r="A142" s="806"/>
      <c r="B142" s="808" t="s">
        <v>73</v>
      </c>
      <c r="C142" s="819"/>
      <c r="D142" s="819"/>
      <c r="E142" s="819"/>
      <c r="F142" s="818"/>
      <c r="G142" s="819"/>
      <c r="H142" s="574"/>
      <c r="I142" s="436"/>
      <c r="J142" s="436"/>
      <c r="K142" s="575"/>
      <c r="L142" s="807"/>
      <c r="M142" s="820"/>
      <c r="N142" s="819"/>
      <c r="O142" s="819"/>
      <c r="P142" s="818"/>
      <c r="Q142" s="778"/>
    </row>
    <row r="143" spans="1:17" s="539" customFormat="1" x14ac:dyDescent="0.25">
      <c r="A143" s="817" t="s">
        <v>36</v>
      </c>
      <c r="B143" s="816" t="s">
        <v>73</v>
      </c>
      <c r="C143" s="815"/>
      <c r="D143" s="815"/>
      <c r="E143" s="815"/>
      <c r="F143" s="814"/>
      <c r="G143" s="815"/>
      <c r="H143" s="576"/>
      <c r="I143" s="577"/>
      <c r="J143" s="577"/>
      <c r="K143" s="578"/>
      <c r="L143" s="769"/>
      <c r="M143" s="813"/>
      <c r="N143" s="815"/>
      <c r="O143" s="815"/>
      <c r="P143" s="814"/>
      <c r="Q143" s="456"/>
    </row>
    <row r="144" spans="1:17" s="539" customFormat="1" x14ac:dyDescent="0.25">
      <c r="A144" s="806"/>
      <c r="B144" s="808" t="s">
        <v>37</v>
      </c>
      <c r="C144" s="568">
        <v>1.9</v>
      </c>
      <c r="D144" s="568">
        <v>10.5</v>
      </c>
      <c r="E144" s="568">
        <v>11.7</v>
      </c>
      <c r="F144" s="569">
        <v>0</v>
      </c>
      <c r="G144" s="811">
        <f>IF(Active_Case="Res",C144,IF(Active_Case="Com",D144,IF(Active_Case="Ind",E144,IF(Active_Case="Out",F144))))</f>
        <v>1.9</v>
      </c>
      <c r="H144" s="928">
        <f t="shared" ref="H144:K147" si="25">AD21</f>
        <v>21292654.54879117</v>
      </c>
      <c r="I144" s="929">
        <f t="shared" si="25"/>
        <v>16610374.183402805</v>
      </c>
      <c r="J144" s="929">
        <f t="shared" si="25"/>
        <v>1144699.0512787271</v>
      </c>
      <c r="K144" s="930">
        <f t="shared" si="25"/>
        <v>0</v>
      </c>
      <c r="L144" s="574">
        <f>IF(Active_Case="Res",H144,IF(Active_Case="Com",I144,IF(Active_Case="Ind",J144,IF(Active_Case="Out",K144))))</f>
        <v>21292654.54879117</v>
      </c>
      <c r="M144" s="796">
        <f>IF(SUM($C$144:$C$147)=0,0,(C$144*H$144+C$145*H$145+C$146*H$146+C$147*H$147)/SUM($H$144:$H$147))</f>
        <v>1.9</v>
      </c>
      <c r="N144" s="792">
        <f>IF(SUM($D$144:$D$147)=0,0,(D$144*I$144+D$145*I$145+D$146*I$146+D$147*I$147)/SUM($I$144:$I$147))</f>
        <v>10.470655475824051</v>
      </c>
      <c r="O144" s="792">
        <f>IF(SUM($E$144:$E$147)=0,0,(E$144*J$144+E$145*J$145+E$146*J$146+E$147*J$147)/SUM($J$144:$J$147))</f>
        <v>11.858010909601697</v>
      </c>
      <c r="P144" s="768">
        <f>IF(SUM($F$144:$F$147)=0,0,(F$144*K$144+F$145*K$145+F$146*K$146+F$147*K$147)/SUM($K$144:$K$147))</f>
        <v>0</v>
      </c>
      <c r="Q144" s="448">
        <f>IF(Active_Case="Res",M144,IF(Active_Case="Com",N144,IF(Active_Case="Ind",O144,IF(Active_Case="Out",P144))))</f>
        <v>1.9</v>
      </c>
    </row>
    <row r="145" spans="1:17" s="539" customFormat="1" x14ac:dyDescent="0.25">
      <c r="A145" s="806"/>
      <c r="B145" s="806" t="s">
        <v>39</v>
      </c>
      <c r="C145" s="568">
        <v>1.9</v>
      </c>
      <c r="D145" s="568">
        <v>10.4</v>
      </c>
      <c r="E145" s="568">
        <v>11.9</v>
      </c>
      <c r="F145" s="569">
        <v>0</v>
      </c>
      <c r="G145" s="811">
        <f>IF(Active_Case="Res",C145,IF(Active_Case="Com",D145,IF(Active_Case="Ind",E145,IF(Active_Case="Out",F145))))</f>
        <v>1.9</v>
      </c>
      <c r="H145" s="928">
        <f t="shared" si="25"/>
        <v>4027135.3240239858</v>
      </c>
      <c r="I145" s="929">
        <f t="shared" si="25"/>
        <v>46549383.592269793</v>
      </c>
      <c r="J145" s="929">
        <f t="shared" si="25"/>
        <v>3914302.0916311215</v>
      </c>
      <c r="K145" s="930">
        <f t="shared" si="25"/>
        <v>0</v>
      </c>
      <c r="L145" s="574">
        <f>IF(Active_Case="Res",H145,IF(Active_Case="Com",I145,IF(Active_Case="Ind",J145,IF(Active_Case="Out",K145))))</f>
        <v>4027135.3240239858</v>
      </c>
      <c r="M145" s="796">
        <f>IF(SUM($C$144:$C$147)=0,0,(C$144*H$144+C$145*H$145+C$146*H$146+C$147*H$147)/SUM($H$144:$H$147))</f>
        <v>1.9</v>
      </c>
      <c r="N145" s="792">
        <f>IF(SUM($D$144:$D$147)=0,0,(D$144*I$144+D$145*I$145+D$146*I$146+D$147*I$147)/SUM($I$144:$I$147))</f>
        <v>10.470655475824051</v>
      </c>
      <c r="O145" s="792">
        <f>IF(SUM($E$144:$E$147)=0,0,(E$144*J$144+E$145*J$145+E$146*J$146+E$147*J$147)/SUM($J$144:$J$147))</f>
        <v>11.858010909601697</v>
      </c>
      <c r="P145" s="768">
        <f>IF(SUM($F$144:$F$147)=0,0,(F$144*K$144+F$145*K$145+F$146*K$146+F$147*K$147)/SUM($K$144:$K$147))</f>
        <v>0</v>
      </c>
      <c r="Q145" s="448">
        <f>IF(Active_Case="Res",M145,IF(Active_Case="Com",N145,IF(Active_Case="Ind",O145,IF(Active_Case="Out",P145))))</f>
        <v>1.9</v>
      </c>
    </row>
    <row r="146" spans="1:17" s="539" customFormat="1" x14ac:dyDescent="0.25">
      <c r="A146" s="806"/>
      <c r="B146" s="808" t="s">
        <v>40</v>
      </c>
      <c r="C146" s="568">
        <v>1.9</v>
      </c>
      <c r="D146" s="568">
        <v>11.1</v>
      </c>
      <c r="E146" s="568">
        <v>11.9</v>
      </c>
      <c r="F146" s="569">
        <v>0</v>
      </c>
      <c r="G146" s="811">
        <f>IF(Active_Case="Res",C146,IF(Active_Case="Com",D146,IF(Active_Case="Ind",E146,IF(Active_Case="Out",F146))))</f>
        <v>1.9</v>
      </c>
      <c r="H146" s="928">
        <f t="shared" si="25"/>
        <v>0</v>
      </c>
      <c r="I146" s="929">
        <f t="shared" si="25"/>
        <v>4451528.8726790445</v>
      </c>
      <c r="J146" s="929">
        <f t="shared" si="25"/>
        <v>393362.98510670022</v>
      </c>
      <c r="K146" s="930">
        <f t="shared" si="25"/>
        <v>0</v>
      </c>
      <c r="L146" s="574">
        <f>IF(Active_Case="Res",H146,IF(Active_Case="Com",I146,IF(Active_Case="Ind",J146,IF(Active_Case="Out",K146))))</f>
        <v>0</v>
      </c>
      <c r="M146" s="796">
        <f>IF(SUM($C$144:$C$147)=0,0,(C$144*H$144+C$145*H$145+C$146*H$146+C$147*H$147)/SUM($H$144:$H$147))</f>
        <v>1.9</v>
      </c>
      <c r="N146" s="792">
        <f>IF(SUM($D$144:$D$147)=0,0,(D$144*I$144+D$145*I$145+D$146*I$146+D$147*I$147)/SUM($I$144:$I$147))</f>
        <v>10.470655475824051</v>
      </c>
      <c r="O146" s="792">
        <f>IF(SUM($E$144:$E$147)=0,0,(E$144*J$144+E$145*J$145+E$146*J$146+E$147*J$147)/SUM($J$144:$J$147))</f>
        <v>11.858010909601697</v>
      </c>
      <c r="P146" s="768">
        <f>IF(SUM($F$144:$F$147)=0,0,(F$144*K$144+F$145*K$145+F$146*K$146+F$147*K$147)/SUM($K$144:$K$147))</f>
        <v>0</v>
      </c>
      <c r="Q146" s="448">
        <f>IF(Active_Case="Res",M146,IF(Active_Case="Com",N146,IF(Active_Case="Ind",O146,IF(Active_Case="Out",P146))))</f>
        <v>1.9</v>
      </c>
    </row>
    <row r="147" spans="1:17" s="539" customFormat="1" x14ac:dyDescent="0.25">
      <c r="A147" s="806"/>
      <c r="B147" s="806" t="s">
        <v>29</v>
      </c>
      <c r="C147" s="568">
        <v>1.9</v>
      </c>
      <c r="D147" s="568">
        <v>10.5</v>
      </c>
      <c r="E147" s="568">
        <v>11.8</v>
      </c>
      <c r="F147" s="569">
        <v>0</v>
      </c>
      <c r="G147" s="811">
        <f>IF(Active_Case="Res",C147,IF(Active_Case="Com",D147,IF(Active_Case="Ind",E147,IF(Active_Case="Out",F147))))</f>
        <v>1.9</v>
      </c>
      <c r="H147" s="928">
        <f t="shared" si="25"/>
        <v>0</v>
      </c>
      <c r="I147" s="929">
        <f t="shared" si="25"/>
        <v>0</v>
      </c>
      <c r="J147" s="929">
        <f t="shared" si="25"/>
        <v>0</v>
      </c>
      <c r="K147" s="930">
        <f t="shared" si="25"/>
        <v>0</v>
      </c>
      <c r="L147" s="574">
        <f>IF(Active_Case="Res",H147,IF(Active_Case="Com",I147,IF(Active_Case="Ind",J147,IF(Active_Case="Out",K147))))</f>
        <v>0</v>
      </c>
      <c r="M147" s="796">
        <f>IF(SUM($C$144:$C$147)=0,0,(C$144*H$144+C$145*H$145+C$146*H$146+C$147*H$147)/SUM($H$144:$H$147))</f>
        <v>1.9</v>
      </c>
      <c r="N147" s="792">
        <f>IF(SUM($D$144:$D$147)=0,0,(D$144*I$144+D$145*I$145+D$146*I$146+D$147*I$147)/SUM($I$144:$I$147))</f>
        <v>10.470655475824051</v>
      </c>
      <c r="O147" s="792">
        <f>IF(SUM($E$144:$E$147)=0,0,(E$144*J$144+E$145*J$145+E$146*J$146+E$147*J$147)/SUM($J$144:$J$147))</f>
        <v>11.858010909601697</v>
      </c>
      <c r="P147" s="768">
        <f>IF(SUM($F$144:$F$147)=0,0,(F$144*K$144+F$145*K$145+F$146*K$146+F$147*K$147)/SUM($K$144:$K$147))</f>
        <v>0</v>
      </c>
      <c r="Q147" s="448">
        <f>IF(Active_Case="Res",M147,IF(Active_Case="Com",N147,IF(Active_Case="Ind",O147,IF(Active_Case="Out",P147))))</f>
        <v>1.9</v>
      </c>
    </row>
    <row r="148" spans="1:17" s="539" customFormat="1" x14ac:dyDescent="0.25">
      <c r="A148" s="806"/>
      <c r="B148" s="806" t="s">
        <v>73</v>
      </c>
      <c r="C148" s="819"/>
      <c r="D148" s="819"/>
      <c r="E148" s="819"/>
      <c r="F148" s="818"/>
      <c r="G148" s="819"/>
      <c r="H148" s="574"/>
      <c r="I148" s="436"/>
      <c r="J148" s="436"/>
      <c r="K148" s="575"/>
      <c r="L148" s="574"/>
      <c r="M148" s="820"/>
      <c r="N148" s="819"/>
      <c r="O148" s="819"/>
      <c r="P148" s="818"/>
      <c r="Q148" s="778"/>
    </row>
    <row r="149" spans="1:17" s="539" customFormat="1" x14ac:dyDescent="0.25">
      <c r="A149" s="817" t="s">
        <v>42</v>
      </c>
      <c r="B149" s="816" t="s">
        <v>73</v>
      </c>
      <c r="C149" s="815"/>
      <c r="D149" s="815"/>
      <c r="E149" s="815"/>
      <c r="F149" s="814"/>
      <c r="G149" s="815"/>
      <c r="H149" s="576"/>
      <c r="I149" s="577"/>
      <c r="J149" s="577"/>
      <c r="K149" s="578"/>
      <c r="L149" s="769"/>
      <c r="M149" s="813"/>
      <c r="N149" s="815"/>
      <c r="O149" s="815"/>
      <c r="P149" s="814"/>
      <c r="Q149" s="456"/>
    </row>
    <row r="150" spans="1:17" s="539" customFormat="1" x14ac:dyDescent="0.25">
      <c r="A150" s="806"/>
      <c r="B150" s="808" t="s">
        <v>43</v>
      </c>
      <c r="C150" s="568">
        <v>2.4</v>
      </c>
      <c r="D150" s="568">
        <v>10.5</v>
      </c>
      <c r="E150" s="568">
        <v>15.6</v>
      </c>
      <c r="F150" s="569">
        <v>10.8</v>
      </c>
      <c r="G150" s="811">
        <f>IF(Active_Case="Res",C150,IF(Active_Case="Com",D150,IF(Active_Case="Ind",E150,IF(Active_Case="Out",F150))))</f>
        <v>2.4</v>
      </c>
      <c r="H150" s="928">
        <f t="shared" ref="H150:K154" si="26">AD27</f>
        <v>8034.6905845822166</v>
      </c>
      <c r="I150" s="929">
        <f t="shared" si="26"/>
        <v>42222.503789314127</v>
      </c>
      <c r="J150" s="929">
        <f t="shared" si="26"/>
        <v>60589.387862838419</v>
      </c>
      <c r="K150" s="930">
        <f t="shared" si="26"/>
        <v>151647.73399014777</v>
      </c>
      <c r="L150" s="574">
        <f>IF(Active_Case="Res",H150,IF(Active_Case="Com",I150,IF(Active_Case="Ind",J150,IF(Active_Case="Out",K150))))</f>
        <v>8034.6905845822166</v>
      </c>
      <c r="M150" s="796">
        <f>IF(SUM($C$150:$C$154)=0,0,(C$151*H$151+C$152*H$152+C$153*H$153+C$154*H$154+C$150*H$150)/SUM($H$150:$H$154))</f>
        <v>2.4730822873082285</v>
      </c>
      <c r="N150" s="792">
        <f>IF(SUM($D$150:$D$154)=0,0,(D$151*I$151+D$152*I$152+D$153*I$153+D$154*I$154+D$150*I$150)/SUM($I$150:$I$154))</f>
        <v>10.492779977619007</v>
      </c>
      <c r="O150" s="792">
        <f>IF(SUM($E$150:$E$154)=0,0,(E$151*J$151+E$152*J$152+E$153*J$153+E$154*J$154+E$150*J$150)/SUM($J$150:$J$154))</f>
        <v>15.828957965383255</v>
      </c>
      <c r="P150" s="768">
        <f>IF(SUM($F$150:$F$154)=0,0,(F$151*K$151+F$152*K$152+F$153*K$153+F$154*K$154+F$150*K$150)/SUM($K$150:$K$154))</f>
        <v>12.281263764005717</v>
      </c>
      <c r="Q150" s="448">
        <f>IF(Active_Case="Res",M150,IF(Active_Case="Com",N150,IF(Active_Case="Ind",O150,IF(Active_Case="Out",P150))))</f>
        <v>2.4730822873082285</v>
      </c>
    </row>
    <row r="151" spans="1:17" s="539" customFormat="1" x14ac:dyDescent="0.25">
      <c r="A151" s="806"/>
      <c r="B151" s="808" t="s">
        <v>44</v>
      </c>
      <c r="C151" s="568">
        <v>2.1</v>
      </c>
      <c r="D151" s="568">
        <v>10.5</v>
      </c>
      <c r="E151" s="568">
        <v>15.6</v>
      </c>
      <c r="F151" s="569">
        <v>12.1</v>
      </c>
      <c r="G151" s="811">
        <f>IF(Active_Case="Res",C151,IF(Active_Case="Com",D151,IF(Active_Case="Ind",E151,IF(Active_Case="Out",F151))))</f>
        <v>2.1</v>
      </c>
      <c r="H151" s="928">
        <f t="shared" si="26"/>
        <v>1755.1508558553382</v>
      </c>
      <c r="I151" s="929">
        <f t="shared" si="26"/>
        <v>1287714.2783724896</v>
      </c>
      <c r="J151" s="929">
        <f t="shared" si="26"/>
        <v>435613.87144644646</v>
      </c>
      <c r="K151" s="930">
        <f t="shared" si="26"/>
        <v>1071518.1280788176</v>
      </c>
      <c r="L151" s="574">
        <f>IF(Active_Case="Res",H151,IF(Active_Case="Com",I151,IF(Active_Case="Ind",J151,IF(Active_Case="Out",K151))))</f>
        <v>1755.1508558553382</v>
      </c>
      <c r="M151" s="796">
        <f>IF(SUM($C$150:$C$154)=0,0,(C$151*H$151+C$152*H$152+C$153*H$153+C$154*H$154+C$150*H$150)/SUM($H$150:$H$154))</f>
        <v>2.4730822873082285</v>
      </c>
      <c r="N151" s="792">
        <f>IF(SUM($D$150:$D$154)=0,0,(D$151*I$151+D$152*I$152+D$153*I$153+D$154*I$154+D$150*I$150)/SUM($I$150:$I$154))</f>
        <v>10.492779977619007</v>
      </c>
      <c r="O151" s="792">
        <f>IF(SUM($E$150:$E$154)=0,0,(E$151*J$151+E$152*J$152+E$153*J$153+E$154*J$154+E$150*J$150)/SUM($J$150:$J$154))</f>
        <v>15.828957965383255</v>
      </c>
      <c r="P151" s="768">
        <f>IF(SUM($F$150:$F$154)=0,0,(F$151*K$151+F$152*K$152+F$153*K$153+F$154*K$154+F$150*K$150)/SUM($K$150:$K$154))</f>
        <v>12.281263764005717</v>
      </c>
      <c r="Q151" s="448">
        <f>IF(Active_Case="Res",M151,IF(Active_Case="Com",N151,IF(Active_Case="Ind",O151,IF(Active_Case="Out",P151))))</f>
        <v>2.4730822873082285</v>
      </c>
    </row>
    <row r="152" spans="1:17" s="539" customFormat="1" x14ac:dyDescent="0.25">
      <c r="A152" s="806"/>
      <c r="B152" s="806" t="s">
        <v>45</v>
      </c>
      <c r="C152" s="568">
        <v>2.5</v>
      </c>
      <c r="D152" s="568">
        <v>10.4</v>
      </c>
      <c r="E152" s="568">
        <v>16.899999999999999</v>
      </c>
      <c r="F152" s="569">
        <v>12.5</v>
      </c>
      <c r="G152" s="811">
        <f>IF(Active_Case="Res",C152,IF(Active_Case="Com",D152,IF(Active_Case="Ind",E152,IF(Active_Case="Out",F152))))</f>
        <v>2.5</v>
      </c>
      <c r="H152" s="928">
        <f t="shared" si="26"/>
        <v>46140.965832819238</v>
      </c>
      <c r="I152" s="929">
        <f t="shared" si="26"/>
        <v>103651.09771693824</v>
      </c>
      <c r="J152" s="929">
        <f t="shared" si="26"/>
        <v>106073.97748739901</v>
      </c>
      <c r="K152" s="930">
        <f t="shared" si="26"/>
        <v>2103572.2660098523</v>
      </c>
      <c r="L152" s="574">
        <f>IF(Active_Case="Res",H152,IF(Active_Case="Com",I152,IF(Active_Case="Ind",J152,IF(Active_Case="Out",K152))))</f>
        <v>46140.965832819238</v>
      </c>
      <c r="M152" s="796">
        <f>IF(SUM($C$150:$C$154)=0,0,(C$151*H$151+C$152*H$152+C$153*H$153+C$154*H$154+C$150*H$150)/SUM($H$150:$H$154))</f>
        <v>2.4730822873082285</v>
      </c>
      <c r="N152" s="792">
        <f>IF(SUM($D$150:$D$154)=0,0,(D$151*I$151+D$152*I$152+D$153*I$153+D$154*I$154+D$150*I$150)/SUM($I$150:$I$154))</f>
        <v>10.492779977619007</v>
      </c>
      <c r="O152" s="792">
        <f>IF(SUM($E$150:$E$154)=0,0,(E$151*J$151+E$152*J$152+E$153*J$153+E$154*J$154+E$150*J$150)/SUM($J$150:$J$154))</f>
        <v>15.828957965383255</v>
      </c>
      <c r="P152" s="768">
        <f>IF(SUM($F$150:$F$154)=0,0,(F$151*K$151+F$152*K$152+F$153*K$153+F$154*K$154+F$150*K$150)/SUM($K$150:$K$154))</f>
        <v>12.281263764005717</v>
      </c>
      <c r="Q152" s="448">
        <f>IF(Active_Case="Res",M152,IF(Active_Case="Com",N152,IF(Active_Case="Ind",O152,IF(Active_Case="Out",P152))))</f>
        <v>2.4730822873082285</v>
      </c>
    </row>
    <row r="153" spans="1:17" s="539" customFormat="1" x14ac:dyDescent="0.25">
      <c r="A153" s="806"/>
      <c r="B153" s="808" t="s">
        <v>46</v>
      </c>
      <c r="C153" s="568">
        <v>0</v>
      </c>
      <c r="D153" s="568">
        <v>10.5</v>
      </c>
      <c r="E153" s="568">
        <v>0</v>
      </c>
      <c r="F153" s="569">
        <v>11.5</v>
      </c>
      <c r="G153" s="448">
        <f>IF(Active_Case="Res",C153,IF(Active_Case="Com",D153,IF(Active_Case="Ind",E153,IF(Active_Case="Out",F153))))</f>
        <v>0</v>
      </c>
      <c r="H153" s="928">
        <f t="shared" si="26"/>
        <v>0</v>
      </c>
      <c r="I153" s="929">
        <f t="shared" si="26"/>
        <v>2018.4416445623342</v>
      </c>
      <c r="J153" s="929">
        <f t="shared" si="26"/>
        <v>0</v>
      </c>
      <c r="K153" s="930">
        <f t="shared" si="26"/>
        <v>52824.384236453203</v>
      </c>
      <c r="L153" s="574">
        <f>IF(Active_Case="Res",H153,IF(Active_Case="Com",I153,IF(Active_Case="Ind",J153,IF(Active_Case="Out",K153))))</f>
        <v>0</v>
      </c>
      <c r="M153" s="796">
        <f>IF(SUM($C$150:$C$154)=0,0,(C$151*H$151+C$152*H$152+C$153*H$153+C$154*H$154+C$150*H$150)/SUM($H$150:$H$154))</f>
        <v>2.4730822873082285</v>
      </c>
      <c r="N153" s="792">
        <f>IF(SUM($D$150:$D$154)=0,0,(D$151*I$151+D$152*I$152+D$153*I$153+D$154*I$154+D$150*I$150)/SUM($I$150:$I$154))</f>
        <v>10.492779977619007</v>
      </c>
      <c r="O153" s="792">
        <f>IF(SUM($E$150:$E$154)=0,0,(E$151*J$151+E$152*J$152+E$153*J$153+E$154*J$154+E$150*J$150)/SUM($J$150:$J$154))</f>
        <v>15.828957965383255</v>
      </c>
      <c r="P153" s="768">
        <f>IF(SUM($F$150:$F$154)=0,0,(F$151*K$151+F$152*K$152+F$153*K$153+F$154*K$154+F$150*K$150)/SUM($K$150:$K$154))</f>
        <v>12.281263764005717</v>
      </c>
      <c r="Q153" s="448">
        <f>IF(Active_Case="Res",M153,IF(Active_Case="Com",N153,IF(Active_Case="Ind",O153,IF(Active_Case="Out",P153))))</f>
        <v>2.4730822873082285</v>
      </c>
    </row>
    <row r="154" spans="1:17" s="539" customFormat="1" x14ac:dyDescent="0.25">
      <c r="A154" s="806"/>
      <c r="B154" s="806" t="s">
        <v>29</v>
      </c>
      <c r="C154" s="568">
        <v>2.5</v>
      </c>
      <c r="D154" s="568">
        <v>10.5</v>
      </c>
      <c r="E154" s="568">
        <v>15.9</v>
      </c>
      <c r="F154" s="569">
        <v>12.3</v>
      </c>
      <c r="G154" s="811">
        <f>IF(Active_Case="Res",C154,IF(Active_Case="Com",D154,IF(Active_Case="Ind",E154,IF(Active_Case="Out",F154))))</f>
        <v>2.5</v>
      </c>
      <c r="H154" s="928">
        <f t="shared" si="26"/>
        <v>0</v>
      </c>
      <c r="I154" s="929">
        <f t="shared" si="26"/>
        <v>0</v>
      </c>
      <c r="J154" s="929">
        <f t="shared" si="26"/>
        <v>0</v>
      </c>
      <c r="K154" s="930">
        <f t="shared" si="26"/>
        <v>0</v>
      </c>
      <c r="L154" s="574">
        <f>IF(Active_Case="Res",H154,IF(Active_Case="Com",I154,IF(Active_Case="Ind",J154,IF(Active_Case="Out",K154))))</f>
        <v>0</v>
      </c>
      <c r="M154" s="796">
        <f>IF(SUM($C$150:$C$154)=0,0,(C$151*H$151+C$152*H$152+C$153*H$153+C$154*H$154+C$150*H$150)/SUM($H$150:$H$154))</f>
        <v>2.4730822873082285</v>
      </c>
      <c r="N154" s="792">
        <f>IF(SUM($D$150:$D$154)=0,0,(D$151*I$151+D$152*I$152+D$153*I$153+D$154*I$154+D$150*I$150)/SUM($I$150:$I$154))</f>
        <v>10.492779977619007</v>
      </c>
      <c r="O154" s="792">
        <f>IF(SUM($E$150:$E$154)=0,0,(E$151*J$151+E$152*J$152+E$153*J$153+E$154*J$154+E$150*J$150)/SUM($J$150:$J$154))</f>
        <v>15.828957965383255</v>
      </c>
      <c r="P154" s="768">
        <f>IF(SUM($F$150:$F$154)=0,0,(F$151*K$151+F$152*K$152+F$153*K$153+F$154*K$154+F$150*K$150)/SUM($K$150:$K$154))</f>
        <v>12.281263764005717</v>
      </c>
      <c r="Q154" s="448">
        <f>IF(Active_Case="Res",M154,IF(Active_Case="Com",N154,IF(Active_Case="Ind",O154,IF(Active_Case="Out",P154))))</f>
        <v>2.4730822873082285</v>
      </c>
    </row>
    <row r="155" spans="1:17" s="539" customFormat="1" x14ac:dyDescent="0.25">
      <c r="A155" s="806"/>
      <c r="B155" s="806" t="s">
        <v>73</v>
      </c>
      <c r="C155" s="819"/>
      <c r="D155" s="819"/>
      <c r="E155" s="819"/>
      <c r="F155" s="818"/>
      <c r="G155" s="819"/>
      <c r="H155" s="574"/>
      <c r="I155" s="436"/>
      <c r="J155" s="436"/>
      <c r="K155" s="575"/>
      <c r="L155" s="807"/>
      <c r="M155" s="820"/>
      <c r="N155" s="819"/>
      <c r="O155" s="819"/>
      <c r="P155" s="818"/>
      <c r="Q155" s="778"/>
    </row>
    <row r="156" spans="1:17" s="539" customFormat="1" x14ac:dyDescent="0.25">
      <c r="A156" s="506" t="s">
        <v>47</v>
      </c>
      <c r="B156" s="816" t="s">
        <v>73</v>
      </c>
      <c r="C156" s="815"/>
      <c r="D156" s="815"/>
      <c r="E156" s="815"/>
      <c r="F156" s="814"/>
      <c r="G156" s="815"/>
      <c r="H156" s="576"/>
      <c r="I156" s="577"/>
      <c r="J156" s="577"/>
      <c r="K156" s="578"/>
      <c r="L156" s="769"/>
      <c r="M156" s="813"/>
      <c r="N156" s="815"/>
      <c r="O156" s="815"/>
      <c r="P156" s="814"/>
      <c r="Q156" s="456"/>
    </row>
    <row r="157" spans="1:17" s="539" customFormat="1" x14ac:dyDescent="0.25">
      <c r="A157" s="806"/>
      <c r="B157" s="808" t="s">
        <v>48</v>
      </c>
      <c r="C157" s="568">
        <v>1.8</v>
      </c>
      <c r="D157" s="568">
        <v>10.199999999999999</v>
      </c>
      <c r="E157" s="568">
        <v>0</v>
      </c>
      <c r="F157" s="569">
        <v>9</v>
      </c>
      <c r="G157" s="811">
        <f t="shared" ref="G157:G162" si="27">IF(Active_Case="Res",C157,IF(Active_Case="Com",D157,IF(Active_Case="Ind",E157,IF(Active_Case="Out",F157))))</f>
        <v>1.8</v>
      </c>
      <c r="H157" s="928">
        <f t="shared" ref="H157:K162" si="28">AD34</f>
        <v>56855856.025608636</v>
      </c>
      <c r="I157" s="929">
        <f t="shared" si="28"/>
        <v>856246.82970194356</v>
      </c>
      <c r="J157" s="929">
        <f t="shared" si="28"/>
        <v>0</v>
      </c>
      <c r="K157" s="930">
        <f t="shared" si="28"/>
        <v>646744.72906403942</v>
      </c>
      <c r="L157" s="574">
        <f t="shared" ref="L157:L162" si="29">IF(Active_Case="Res",H157,IF(Active_Case="Com",I157,IF(Active_Case="Ind",J157,IF(Active_Case="Out",K157))))</f>
        <v>56855856.025608636</v>
      </c>
      <c r="M157" s="796">
        <f t="shared" ref="M157:M162" si="30">IF(SUM($C$157:$C$162)=0,0,(C$159*H$159+C$160*H$160+C$161*H$161+C$162*H$162+C$158*H$158+C$157*H$157)/SUM($H$157:$H$162))</f>
        <v>1.8468248684276436</v>
      </c>
      <c r="N157" s="792">
        <f t="shared" ref="N157:N162" si="31">IF(SUM($D$157:$D$162)=0,0,(D$159*I$159+D$160*I$160+D$161*I$161+D$162*I$162+D$158*I$158+D$157*I$157)/SUM($I$157:$I$162))</f>
        <v>10.284735989760948</v>
      </c>
      <c r="O157" s="792">
        <f t="shared" ref="O157:O162" si="32">IF(SUM($E$157:$E$162)=0,0,(E$159*J$159+E$160*J$160+E$161*J$161+E$162*J$162+E$158*J$158+E$157*J$157)/SUM($J$157:$J$162))</f>
        <v>11.815650399284227</v>
      </c>
      <c r="P157" s="768">
        <f t="shared" ref="P157:P162" si="33">IF(SUM($F$157:$F$162)=0,0,(F$159*K$159+F$160*K$160+F$161*K$161+F$162*K$162+F$158*K$158+F$157*K$157)/SUM($K$157:$K$162))</f>
        <v>10.91432914594253</v>
      </c>
      <c r="Q157" s="448">
        <f t="shared" ref="Q157:Q162" si="34">IF(Active_Case="Res",M157,IF(Active_Case="Com",N157,IF(Active_Case="Ind",O157,IF(Active_Case="Out",P157))))</f>
        <v>1.8468248684276436</v>
      </c>
    </row>
    <row r="158" spans="1:17" s="539" customFormat="1" x14ac:dyDescent="0.25">
      <c r="A158" s="806"/>
      <c r="B158" s="808" t="s">
        <v>50</v>
      </c>
      <c r="C158" s="568">
        <v>1.9</v>
      </c>
      <c r="D158" s="568">
        <v>11.7</v>
      </c>
      <c r="E158" s="568">
        <v>11.1</v>
      </c>
      <c r="F158" s="569">
        <v>10.5</v>
      </c>
      <c r="G158" s="811">
        <f t="shared" si="27"/>
        <v>1.9</v>
      </c>
      <c r="H158" s="928">
        <f t="shared" si="28"/>
        <v>4385595.2275420893</v>
      </c>
      <c r="I158" s="929">
        <f t="shared" si="28"/>
        <v>1523564.4756758707</v>
      </c>
      <c r="J158" s="929">
        <f t="shared" si="28"/>
        <v>290.05444345425525</v>
      </c>
      <c r="K158" s="930">
        <f t="shared" si="28"/>
        <v>145984.08866995072</v>
      </c>
      <c r="L158" s="574">
        <f t="shared" si="29"/>
        <v>4385595.2275420893</v>
      </c>
      <c r="M158" s="796">
        <f t="shared" si="30"/>
        <v>1.8468248684276436</v>
      </c>
      <c r="N158" s="792">
        <f t="shared" si="31"/>
        <v>10.284735989760948</v>
      </c>
      <c r="O158" s="792">
        <f t="shared" si="32"/>
        <v>11.815650399284227</v>
      </c>
      <c r="P158" s="768">
        <f t="shared" si="33"/>
        <v>10.91432914594253</v>
      </c>
      <c r="Q158" s="448">
        <f t="shared" si="34"/>
        <v>1.8468248684276436</v>
      </c>
    </row>
    <row r="159" spans="1:17" s="539" customFormat="1" x14ac:dyDescent="0.25">
      <c r="A159" s="806"/>
      <c r="B159" s="806" t="s">
        <v>51</v>
      </c>
      <c r="C159" s="568">
        <v>1.9</v>
      </c>
      <c r="D159" s="568">
        <v>9.8000000000000007</v>
      </c>
      <c r="E159" s="568">
        <v>12.5</v>
      </c>
      <c r="F159" s="569">
        <v>9</v>
      </c>
      <c r="G159" s="811">
        <f t="shared" si="27"/>
        <v>1.9</v>
      </c>
      <c r="H159" s="928">
        <f t="shared" si="28"/>
        <v>5042566.3513056058</v>
      </c>
      <c r="I159" s="929">
        <f t="shared" si="28"/>
        <v>4429972.149439998</v>
      </c>
      <c r="J159" s="929">
        <f t="shared" si="28"/>
        <v>6752.4920773724834</v>
      </c>
      <c r="K159" s="930">
        <f t="shared" si="28"/>
        <v>437589.21182266006</v>
      </c>
      <c r="L159" s="574">
        <f t="shared" si="29"/>
        <v>5042566.3513056058</v>
      </c>
      <c r="M159" s="796">
        <f t="shared" si="30"/>
        <v>1.8468248684276436</v>
      </c>
      <c r="N159" s="792">
        <f t="shared" si="31"/>
        <v>10.284735989760948</v>
      </c>
      <c r="O159" s="792">
        <f t="shared" si="32"/>
        <v>11.815650399284227</v>
      </c>
      <c r="P159" s="768">
        <f t="shared" si="33"/>
        <v>10.91432914594253</v>
      </c>
      <c r="Q159" s="448">
        <f t="shared" si="34"/>
        <v>1.8468248684276436</v>
      </c>
    </row>
    <row r="160" spans="1:17" s="539" customFormat="1" x14ac:dyDescent="0.25">
      <c r="A160" s="806"/>
      <c r="B160" s="806" t="s">
        <v>52</v>
      </c>
      <c r="C160" s="568">
        <v>2.1</v>
      </c>
      <c r="D160" s="568">
        <v>10.4</v>
      </c>
      <c r="E160" s="568">
        <v>11.6</v>
      </c>
      <c r="F160" s="569">
        <v>14</v>
      </c>
      <c r="G160" s="811">
        <f t="shared" si="27"/>
        <v>2.1</v>
      </c>
      <c r="H160" s="928">
        <f t="shared" si="28"/>
        <v>7634398.6918460047</v>
      </c>
      <c r="I160" s="929">
        <f t="shared" si="28"/>
        <v>552435.12031072378</v>
      </c>
      <c r="J160" s="929">
        <f t="shared" si="28"/>
        <v>20465.937894680672</v>
      </c>
      <c r="K160" s="930">
        <f t="shared" si="28"/>
        <v>1057359.0147783251</v>
      </c>
      <c r="L160" s="574">
        <f t="shared" si="29"/>
        <v>7634398.6918460047</v>
      </c>
      <c r="M160" s="796">
        <f t="shared" si="30"/>
        <v>1.8468248684276436</v>
      </c>
      <c r="N160" s="792">
        <f t="shared" si="31"/>
        <v>10.284735989760948</v>
      </c>
      <c r="O160" s="792">
        <f t="shared" si="32"/>
        <v>11.815650399284227</v>
      </c>
      <c r="P160" s="768">
        <f t="shared" si="33"/>
        <v>10.91432914594253</v>
      </c>
      <c r="Q160" s="448">
        <f t="shared" si="34"/>
        <v>1.8468248684276436</v>
      </c>
    </row>
    <row r="161" spans="1:17" s="539" customFormat="1" x14ac:dyDescent="0.25">
      <c r="A161" s="806"/>
      <c r="B161" s="806" t="s">
        <v>29</v>
      </c>
      <c r="C161" s="568">
        <v>2.1</v>
      </c>
      <c r="D161" s="568">
        <v>11.3</v>
      </c>
      <c r="E161" s="568">
        <v>0</v>
      </c>
      <c r="F161" s="569">
        <v>9.3000000000000007</v>
      </c>
      <c r="G161" s="811">
        <f t="shared" si="27"/>
        <v>2.1</v>
      </c>
      <c r="H161" s="928">
        <f t="shared" si="28"/>
        <v>357855.75783272739</v>
      </c>
      <c r="I161" s="929">
        <f t="shared" si="28"/>
        <v>0</v>
      </c>
      <c r="J161" s="929">
        <f t="shared" si="28"/>
        <v>0</v>
      </c>
      <c r="K161" s="930">
        <f t="shared" si="28"/>
        <v>697753.84236453194</v>
      </c>
      <c r="L161" s="574">
        <f t="shared" si="29"/>
        <v>357855.75783272739</v>
      </c>
      <c r="M161" s="796">
        <f t="shared" si="30"/>
        <v>1.8468248684276436</v>
      </c>
      <c r="N161" s="792">
        <f t="shared" si="31"/>
        <v>10.284735989760948</v>
      </c>
      <c r="O161" s="792">
        <f t="shared" si="32"/>
        <v>11.815650399284227</v>
      </c>
      <c r="P161" s="768">
        <f t="shared" si="33"/>
        <v>10.91432914594253</v>
      </c>
      <c r="Q161" s="448">
        <f t="shared" si="34"/>
        <v>1.8468248684276436</v>
      </c>
    </row>
    <row r="162" spans="1:17" s="539" customFormat="1" x14ac:dyDescent="0.25">
      <c r="A162" s="806" t="s">
        <v>73</v>
      </c>
      <c r="B162" s="806" t="s">
        <v>53</v>
      </c>
      <c r="C162" s="571">
        <v>2.5</v>
      </c>
      <c r="D162" s="571">
        <v>0</v>
      </c>
      <c r="E162" s="571">
        <v>0</v>
      </c>
      <c r="F162" s="572">
        <v>0</v>
      </c>
      <c r="G162" s="447">
        <f t="shared" si="27"/>
        <v>2.5</v>
      </c>
      <c r="H162" s="931">
        <f t="shared" si="28"/>
        <v>210485.92758173839</v>
      </c>
      <c r="I162" s="932">
        <f t="shared" si="28"/>
        <v>0</v>
      </c>
      <c r="J162" s="932">
        <f t="shared" si="28"/>
        <v>0</v>
      </c>
      <c r="K162" s="933">
        <f t="shared" si="28"/>
        <v>0</v>
      </c>
      <c r="L162" s="774">
        <f t="shared" si="29"/>
        <v>210485.92758173839</v>
      </c>
      <c r="M162" s="762">
        <f t="shared" si="30"/>
        <v>1.8468248684276436</v>
      </c>
      <c r="N162" s="763">
        <f t="shared" si="31"/>
        <v>10.284735989760948</v>
      </c>
      <c r="O162" s="763">
        <f t="shared" si="32"/>
        <v>11.815650399284227</v>
      </c>
      <c r="P162" s="752">
        <f t="shared" si="33"/>
        <v>10.91432914594253</v>
      </c>
      <c r="Q162" s="447">
        <f t="shared" si="34"/>
        <v>1.8468248684276436</v>
      </c>
    </row>
    <row r="163" spans="1:17" s="539" customFormat="1" x14ac:dyDescent="0.25">
      <c r="A163" s="783"/>
      <c r="B163" s="783"/>
      <c r="C163" s="783"/>
      <c r="D163" s="783"/>
      <c r="E163" s="783"/>
    </row>
    <row r="164" spans="1:17" x14ac:dyDescent="0.25">
      <c r="H164" s="864"/>
      <c r="I164" s="864"/>
      <c r="J164" s="864"/>
      <c r="K164" s="864"/>
      <c r="L164" s="864"/>
    </row>
    <row r="165" spans="1:17" x14ac:dyDescent="0.25">
      <c r="A165" s="385" t="s">
        <v>240</v>
      </c>
      <c r="B165" s="385"/>
      <c r="C165" s="385"/>
      <c r="D165" s="385"/>
      <c r="E165" s="385"/>
      <c r="F165" s="385"/>
      <c r="G165" s="385"/>
      <c r="H165" s="864"/>
      <c r="I165" s="864"/>
      <c r="J165" s="864"/>
      <c r="K165" s="864"/>
      <c r="L165" s="864"/>
    </row>
    <row r="166" spans="1:17" s="539" customFormat="1" ht="15" customHeight="1" x14ac:dyDescent="0.25">
      <c r="A166" s="1187" t="s">
        <v>439</v>
      </c>
      <c r="B166" s="1187"/>
      <c r="C166" s="1187"/>
      <c r="D166" s="1187"/>
      <c r="E166" s="1187"/>
      <c r="F166" s="1187"/>
      <c r="G166" s="1187"/>
      <c r="H166" s="864"/>
      <c r="I166" s="864"/>
      <c r="J166" s="864"/>
      <c r="K166" s="864"/>
      <c r="L166" s="864"/>
    </row>
    <row r="167" spans="1:17" x14ac:dyDescent="0.25">
      <c r="A167" s="1187"/>
      <c r="B167" s="1187"/>
      <c r="C167" s="1187"/>
      <c r="D167" s="1187"/>
      <c r="E167" s="1187"/>
      <c r="F167" s="1187"/>
      <c r="G167" s="1187"/>
      <c r="H167" s="864"/>
      <c r="I167" s="864"/>
      <c r="J167" s="864"/>
      <c r="K167" s="864"/>
      <c r="L167" s="864"/>
    </row>
    <row r="168" spans="1:17" x14ac:dyDescent="0.25">
      <c r="A168" s="1187"/>
      <c r="B168" s="1187"/>
      <c r="C168" s="1187"/>
      <c r="D168" s="1187"/>
      <c r="E168" s="1187"/>
      <c r="F168" s="1187"/>
      <c r="G168" s="1187"/>
      <c r="H168" s="864"/>
      <c r="I168" s="864"/>
      <c r="J168" s="864"/>
      <c r="K168" s="864"/>
      <c r="L168" s="864"/>
    </row>
    <row r="169" spans="1:17" x14ac:dyDescent="0.25">
      <c r="A169" s="787" t="s">
        <v>377</v>
      </c>
      <c r="B169" s="787"/>
      <c r="C169" s="787"/>
      <c r="D169" s="787"/>
      <c r="E169" s="787"/>
      <c r="F169" s="787"/>
      <c r="G169" s="787"/>
      <c r="H169" s="864"/>
      <c r="I169" s="864"/>
      <c r="J169" s="864"/>
      <c r="K169" s="864"/>
      <c r="L169" s="864"/>
    </row>
    <row r="170" spans="1:17" x14ac:dyDescent="0.25">
      <c r="A170" s="783" t="s">
        <v>378</v>
      </c>
      <c r="B170" s="789" t="s">
        <v>346</v>
      </c>
      <c r="C170" s="806" t="s">
        <v>379</v>
      </c>
      <c r="D170" s="783"/>
      <c r="E170" s="783"/>
      <c r="F170" s="783"/>
      <c r="G170" s="783"/>
      <c r="H170" s="842"/>
      <c r="I170" s="864"/>
      <c r="J170" s="864"/>
      <c r="K170" s="864"/>
      <c r="L170" s="864"/>
    </row>
    <row r="171" spans="1:17" x14ac:dyDescent="0.25">
      <c r="A171" s="783">
        <v>5793584</v>
      </c>
      <c r="B171" s="790" t="s">
        <v>348</v>
      </c>
      <c r="C171" s="806">
        <v>114740000</v>
      </c>
      <c r="D171" s="790" t="s">
        <v>349</v>
      </c>
      <c r="E171" s="826">
        <v>5.0493149729823952E-2</v>
      </c>
      <c r="F171" s="783"/>
      <c r="G171" s="783"/>
      <c r="H171" s="842"/>
      <c r="I171" s="864"/>
      <c r="J171" s="864"/>
      <c r="K171" s="864"/>
      <c r="L171" s="864"/>
    </row>
    <row r="172" spans="1:17" x14ac:dyDescent="0.25">
      <c r="B172" s="539"/>
      <c r="C172" s="539"/>
      <c r="D172" s="539"/>
      <c r="E172" s="539"/>
      <c r="F172" s="539"/>
      <c r="G172" s="539"/>
      <c r="H172" s="864"/>
      <c r="I172" s="864"/>
      <c r="J172" s="864"/>
      <c r="K172" s="864"/>
      <c r="L172" s="864"/>
    </row>
    <row r="173" spans="1:17" x14ac:dyDescent="0.25">
      <c r="A173" s="787" t="s">
        <v>380</v>
      </c>
      <c r="B173" s="787"/>
      <c r="C173" s="816"/>
      <c r="D173" s="787"/>
      <c r="E173" s="787"/>
      <c r="F173" s="787"/>
      <c r="G173" s="787"/>
      <c r="H173" s="842"/>
      <c r="I173" s="864"/>
      <c r="J173" s="864"/>
      <c r="K173" s="864"/>
      <c r="L173" s="864"/>
    </row>
    <row r="174" spans="1:17" x14ac:dyDescent="0.25">
      <c r="A174" s="783" t="s">
        <v>381</v>
      </c>
      <c r="B174" s="789" t="s">
        <v>346</v>
      </c>
      <c r="C174" s="806" t="s">
        <v>379</v>
      </c>
      <c r="D174" s="783"/>
      <c r="E174" s="783"/>
      <c r="F174" s="783"/>
      <c r="G174" s="783"/>
      <c r="H174" s="842"/>
      <c r="I174" s="864"/>
      <c r="J174" s="864"/>
      <c r="K174" s="864"/>
      <c r="L174" s="864"/>
    </row>
    <row r="175" spans="1:17" x14ac:dyDescent="0.25">
      <c r="A175" s="783">
        <v>2948</v>
      </c>
      <c r="B175" s="790" t="s">
        <v>348</v>
      </c>
      <c r="C175" s="825">
        <v>81200</v>
      </c>
      <c r="D175" s="790" t="s">
        <v>349</v>
      </c>
      <c r="E175" s="826">
        <v>3.6305418719211821E-2</v>
      </c>
      <c r="F175" s="783"/>
      <c r="G175" s="783"/>
      <c r="H175" s="842"/>
      <c r="I175" s="864"/>
      <c r="J175" s="864"/>
      <c r="K175" s="864"/>
      <c r="L175" s="864"/>
    </row>
    <row r="176" spans="1:17" s="838" customFormat="1" ht="57.75" customHeight="1" x14ac:dyDescent="0.25">
      <c r="A176" s="1039" t="s">
        <v>677</v>
      </c>
      <c r="B176" s="825"/>
      <c r="C176" s="825"/>
      <c r="D176" s="825"/>
      <c r="E176">
        <f>1.18/1.04</f>
        <v>1.1346153846153846</v>
      </c>
      <c r="F176" s="839"/>
      <c r="G176" s="839"/>
      <c r="H176" s="842"/>
      <c r="I176" s="864"/>
      <c r="J176" s="864"/>
      <c r="K176" s="864"/>
      <c r="L176" s="864"/>
    </row>
    <row r="177" spans="1:15" x14ac:dyDescent="0.25">
      <c r="A177" s="783"/>
      <c r="B177" s="790"/>
      <c r="C177" s="825"/>
      <c r="D177" s="790"/>
      <c r="E177" s="791"/>
      <c r="F177" s="783"/>
      <c r="G177" s="783"/>
      <c r="H177" s="842"/>
      <c r="I177" s="864"/>
      <c r="J177" s="864"/>
      <c r="K177" s="864"/>
      <c r="L177" s="864"/>
    </row>
    <row r="178" spans="1:15" x14ac:dyDescent="0.25">
      <c r="A178" s="787" t="s">
        <v>382</v>
      </c>
      <c r="B178" s="787"/>
      <c r="C178" s="816"/>
      <c r="D178" s="787"/>
      <c r="E178" s="787"/>
      <c r="F178" s="787"/>
      <c r="G178" s="787"/>
      <c r="H178" s="842"/>
      <c r="I178" s="1005" t="s">
        <v>566</v>
      </c>
      <c r="J178" s="816"/>
      <c r="K178" s="816"/>
      <c r="L178" s="816"/>
      <c r="M178" s="816"/>
      <c r="N178" s="816"/>
    </row>
    <row r="179" spans="1:15" x14ac:dyDescent="0.25">
      <c r="A179" s="783" t="s">
        <v>383</v>
      </c>
      <c r="B179" s="789" t="s">
        <v>346</v>
      </c>
      <c r="C179" s="806" t="s">
        <v>384</v>
      </c>
      <c r="D179" s="783"/>
      <c r="E179" s="783"/>
      <c r="F179" s="783"/>
      <c r="G179" s="783"/>
      <c r="H179" s="842"/>
      <c r="I179" s="864"/>
      <c r="J179" s="864"/>
      <c r="K179" s="864"/>
      <c r="L179" s="864"/>
    </row>
    <row r="180" spans="1:15" ht="15.75" customHeight="1" x14ac:dyDescent="0.25">
      <c r="A180" s="783">
        <v>402.66186699499201</v>
      </c>
      <c r="B180" s="790" t="s">
        <v>348</v>
      </c>
      <c r="C180" s="825">
        <v>9807.6756202190209</v>
      </c>
      <c r="D180" s="790" t="s">
        <v>349</v>
      </c>
      <c r="E180" s="994">
        <v>4.1055789627145102E-2</v>
      </c>
      <c r="F180" s="783"/>
      <c r="G180" s="783"/>
      <c r="H180" s="783"/>
      <c r="I180" s="838"/>
      <c r="J180" s="838" t="s">
        <v>564</v>
      </c>
      <c r="K180" s="838"/>
      <c r="L180" s="838" t="s">
        <v>563</v>
      </c>
      <c r="M180" s="838"/>
      <c r="N180" s="838"/>
      <c r="O180" s="838" t="s">
        <v>562</v>
      </c>
    </row>
    <row r="181" spans="1:15" ht="70.5" customHeight="1" x14ac:dyDescent="0.25">
      <c r="A181" s="1039" t="s">
        <v>678</v>
      </c>
      <c r="B181" s="790"/>
      <c r="C181" s="825"/>
      <c r="D181" s="790"/>
      <c r="E181">
        <f>1.14/1.1</f>
        <v>1.0363636363636362</v>
      </c>
      <c r="F181" s="783"/>
      <c r="G181" s="783"/>
      <c r="H181" s="783"/>
      <c r="I181" s="838"/>
      <c r="J181" s="838" t="s">
        <v>14</v>
      </c>
      <c r="K181" s="838" t="s">
        <v>15</v>
      </c>
      <c r="L181" s="838" t="s">
        <v>14</v>
      </c>
      <c r="M181" s="838" t="s">
        <v>15</v>
      </c>
      <c r="N181" s="838"/>
      <c r="O181" s="838">
        <v>0.25</v>
      </c>
    </row>
    <row r="182" spans="1:15" s="838" customFormat="1" x14ac:dyDescent="0.25">
      <c r="A182" s="839"/>
      <c r="B182" s="825"/>
      <c r="C182" s="825"/>
      <c r="D182" s="825"/>
      <c r="E182" s="826"/>
      <c r="F182" s="839"/>
      <c r="G182" s="839"/>
      <c r="H182" s="839"/>
      <c r="I182" s="838" t="s">
        <v>37</v>
      </c>
      <c r="J182" s="999">
        <f>Tech_Specs!H210*Tech_Specs!$E$175</f>
        <v>19519535.763546798</v>
      </c>
      <c r="K182" s="999">
        <f>Tech_Specs!I210*Tech_Specs!$E$180</f>
        <v>1472712.2297153219</v>
      </c>
      <c r="L182" s="540">
        <f>J182*(1-$O$181)</f>
        <v>14639651.8226601</v>
      </c>
      <c r="M182" s="540">
        <f>K182*(1-$O$181)</f>
        <v>1104534.1722864914</v>
      </c>
    </row>
    <row r="183" spans="1:15" x14ac:dyDescent="0.25">
      <c r="A183" s="787" t="s">
        <v>385</v>
      </c>
      <c r="B183" s="787"/>
      <c r="C183" s="816"/>
      <c r="D183" s="787"/>
      <c r="E183" s="787"/>
      <c r="F183" s="787"/>
      <c r="G183" s="787"/>
      <c r="H183" s="808"/>
      <c r="I183" s="838" t="s">
        <v>39</v>
      </c>
      <c r="J183" s="999">
        <f>Tech_Specs!H211*Tech_Specs!$E$175</f>
        <v>36146691.428571425</v>
      </c>
      <c r="K183" s="999">
        <f>Tech_Specs!I211*Tech_Specs!$E$180</f>
        <v>3408780.1011626036</v>
      </c>
      <c r="L183" s="540">
        <f>J183+J182*$O$181</f>
        <v>41026575.369458124</v>
      </c>
      <c r="M183" s="540">
        <f>K183+K182*$O$181</f>
        <v>3776958.1585914339</v>
      </c>
      <c r="N183" s="838"/>
      <c r="O183" s="838"/>
    </row>
    <row r="184" spans="1:15" x14ac:dyDescent="0.25">
      <c r="A184" s="783" t="s">
        <v>381</v>
      </c>
      <c r="B184" s="789" t="s">
        <v>346</v>
      </c>
      <c r="C184" s="806" t="s">
        <v>384</v>
      </c>
      <c r="D184" s="783"/>
      <c r="E184" s="783"/>
      <c r="F184" s="783"/>
      <c r="G184" s="783"/>
      <c r="H184" s="783"/>
      <c r="I184" s="838"/>
      <c r="J184" s="838"/>
      <c r="K184" s="838"/>
      <c r="L184" s="838"/>
      <c r="M184" s="838"/>
      <c r="N184" s="838"/>
      <c r="O184" s="838"/>
    </row>
    <row r="185" spans="1:15" x14ac:dyDescent="0.25">
      <c r="A185" s="783">
        <v>43258.591658048121</v>
      </c>
      <c r="B185" s="790" t="s">
        <v>348</v>
      </c>
      <c r="C185" s="825">
        <v>937204.131054</v>
      </c>
      <c r="D185" s="790" t="s">
        <v>349</v>
      </c>
      <c r="E185" s="826">
        <v>4.6157064640121225E-2</v>
      </c>
      <c r="F185" s="783"/>
      <c r="G185" s="783"/>
      <c r="H185" s="783"/>
      <c r="I185" s="864" t="s">
        <v>43</v>
      </c>
      <c r="J185" s="999">
        <f>Tech_Specs!H216*Tech_Specs!$E$175</f>
        <v>37213.054187192116</v>
      </c>
      <c r="K185" s="999">
        <f>Tech_Specs!I216*Tech_Specs!$E$180</f>
        <v>58463.444429054623</v>
      </c>
      <c r="L185" s="838"/>
      <c r="M185" s="838"/>
      <c r="N185" s="838"/>
      <c r="O185" s="838">
        <v>0.25</v>
      </c>
    </row>
    <row r="186" spans="1:15" x14ac:dyDescent="0.25">
      <c r="A186" s="783"/>
      <c r="B186" s="790"/>
      <c r="C186" s="805"/>
      <c r="D186" s="790"/>
      <c r="E186" s="791"/>
      <c r="F186" s="783"/>
      <c r="G186" s="783"/>
      <c r="H186" s="783"/>
      <c r="I186" s="864" t="s">
        <v>44</v>
      </c>
      <c r="J186" s="999">
        <f>Tech_Specs!H217*Tech_Specs!$E$175</f>
        <v>1104483.448275862</v>
      </c>
      <c r="K186" s="999">
        <f>Tech_Specs!I217*Tech_Specs!$E$180</f>
        <v>386211.81302255398</v>
      </c>
      <c r="L186" s="540">
        <f>J186+J187*$O$185</f>
        <v>1134934.618226601</v>
      </c>
      <c r="M186" s="540">
        <f>K186+K187*$O$185</f>
        <v>420329.17420271155</v>
      </c>
      <c r="N186" s="838"/>
      <c r="O186" s="838"/>
    </row>
    <row r="187" spans="1:15" s="838" customFormat="1" x14ac:dyDescent="0.25">
      <c r="A187" s="839"/>
      <c r="B187" s="825"/>
      <c r="C187" s="825"/>
      <c r="D187" s="825"/>
      <c r="E187" s="826"/>
      <c r="F187" s="839"/>
      <c r="G187" s="839"/>
      <c r="H187" s="839"/>
      <c r="I187" s="838" t="s">
        <v>45</v>
      </c>
      <c r="J187" s="999">
        <f>Tech_Specs!H218*Tech_Specs!$E$175</f>
        <v>121804.67980295567</v>
      </c>
      <c r="K187" s="999">
        <f>Tech_Specs!I218*Tech_Specs!$E$180</f>
        <v>136469.44472063033</v>
      </c>
      <c r="L187" s="540">
        <f>J187*(1-$O$185)</f>
        <v>91353.509852216754</v>
      </c>
      <c r="M187" s="540">
        <f>K187*(1-$O$185)</f>
        <v>102352.08354047275</v>
      </c>
    </row>
    <row r="188" spans="1:15" x14ac:dyDescent="0.25">
      <c r="A188" s="787" t="s">
        <v>565</v>
      </c>
      <c r="B188" s="787"/>
      <c r="C188" s="803"/>
      <c r="D188" s="787"/>
      <c r="E188" s="787"/>
      <c r="F188" s="787"/>
      <c r="G188" s="787"/>
      <c r="H188" s="808"/>
    </row>
    <row r="189" spans="1:15" ht="16.5" x14ac:dyDescent="0.3">
      <c r="A189" s="785" t="s">
        <v>386</v>
      </c>
      <c r="B189" s="789"/>
      <c r="C189" s="804"/>
      <c r="D189" s="783"/>
      <c r="E189" s="993">
        <v>1.3633989120797501</v>
      </c>
      <c r="F189" s="783"/>
      <c r="G189" s="783"/>
    </row>
    <row r="190" spans="1:15" ht="16.5" x14ac:dyDescent="0.3">
      <c r="A190" s="785" t="s">
        <v>387</v>
      </c>
      <c r="B190" s="785"/>
      <c r="C190" s="802"/>
      <c r="D190" s="790"/>
      <c r="E190" s="993">
        <v>0.78955329512496353</v>
      </c>
      <c r="F190" s="783"/>
    </row>
    <row r="191" spans="1:15" x14ac:dyDescent="0.25">
      <c r="A191" s="1043" t="s">
        <v>679</v>
      </c>
    </row>
    <row r="192" spans="1:15" x14ac:dyDescent="0.25">
      <c r="A192" s="539"/>
    </row>
    <row r="193" spans="1:10" x14ac:dyDescent="0.25">
      <c r="A193" s="995"/>
      <c r="B193" s="995"/>
      <c r="C193" s="1005" t="s">
        <v>567</v>
      </c>
      <c r="D193" s="816"/>
      <c r="E193" s="816"/>
      <c r="F193" s="816"/>
      <c r="G193" s="816"/>
      <c r="H193" s="816"/>
      <c r="I193" s="816"/>
      <c r="J193" s="816"/>
    </row>
    <row r="194" spans="1:10" x14ac:dyDescent="0.25">
      <c r="A194" s="995"/>
      <c r="B194" s="995"/>
      <c r="C194" s="995"/>
      <c r="D194" s="995"/>
      <c r="E194" s="995"/>
      <c r="F194" s="995"/>
      <c r="G194" s="995"/>
    </row>
    <row r="195" spans="1:10" x14ac:dyDescent="0.25">
      <c r="C195" s="1189" t="s">
        <v>560</v>
      </c>
      <c r="D195" s="1190"/>
      <c r="E195" s="1190"/>
      <c r="F195" s="1191"/>
      <c r="G195" s="1192" t="s">
        <v>561</v>
      </c>
      <c r="H195" s="1192"/>
      <c r="I195" s="1192"/>
      <c r="J195" s="1192"/>
    </row>
    <row r="196" spans="1:10" x14ac:dyDescent="0.25">
      <c r="B196" s="1058" t="s">
        <v>20</v>
      </c>
      <c r="C196" s="992" t="s">
        <v>54</v>
      </c>
      <c r="D196" s="992" t="s">
        <v>55</v>
      </c>
      <c r="E196" s="992" t="s">
        <v>56</v>
      </c>
      <c r="F196" s="992" t="s">
        <v>57</v>
      </c>
      <c r="G196" s="992" t="s">
        <v>54</v>
      </c>
      <c r="H196" s="992" t="s">
        <v>55</v>
      </c>
      <c r="I196" s="992" t="s">
        <v>56</v>
      </c>
      <c r="J196" s="992" t="s">
        <v>57</v>
      </c>
    </row>
    <row r="197" spans="1:10" x14ac:dyDescent="0.25">
      <c r="B197" s="1040" t="s">
        <v>73</v>
      </c>
      <c r="C197" s="991"/>
      <c r="D197" s="991"/>
      <c r="E197" s="991"/>
      <c r="F197" s="991"/>
      <c r="G197" s="991"/>
      <c r="H197" s="991"/>
      <c r="I197" s="991"/>
      <c r="J197" s="991"/>
    </row>
    <row r="198" spans="1:10" x14ac:dyDescent="0.25">
      <c r="B198" s="1040" t="s">
        <v>22</v>
      </c>
      <c r="C198" s="988">
        <v>101091033.45452514</v>
      </c>
      <c r="D198" s="988">
        <f>Tech_Specs!H198*Tech_Specs!$E$175*Tech_Specs!$E$189</f>
        <v>2124982.1267411411</v>
      </c>
      <c r="E198" s="988">
        <f>Tech_Specs!I198*Tech_Specs!$E$180*Tech_Specs!$E$189</f>
        <v>21662.487119030968</v>
      </c>
      <c r="F198" s="988">
        <f>Tech_Specs!J198*Tech_Specs!$E$175</f>
        <v>0</v>
      </c>
      <c r="G198" s="1000">
        <v>2028184000</v>
      </c>
      <c r="H198" s="1000">
        <v>42930000</v>
      </c>
      <c r="I198" s="1000">
        <v>387000</v>
      </c>
      <c r="J198" s="1000">
        <v>0</v>
      </c>
    </row>
    <row r="199" spans="1:10" x14ac:dyDescent="0.25">
      <c r="B199" s="1040" t="s">
        <v>26</v>
      </c>
      <c r="C199" s="988">
        <v>1915377.1978952021</v>
      </c>
      <c r="D199" s="988">
        <f>Tech_Specs!H199*Tech_Specs!$E$175*Tech_Specs!$E$189</f>
        <v>47964.30656445762</v>
      </c>
      <c r="E199" s="988">
        <f>Tech_Specs!I199*Tech_Specs!$E$180*Tech_Specs!$E$189</f>
        <v>167.92625673667416</v>
      </c>
      <c r="F199" s="988">
        <f>Tech_Specs!J199*Tech_Specs!$E$175</f>
        <v>0</v>
      </c>
      <c r="G199" s="1000">
        <v>26785000</v>
      </c>
      <c r="H199" s="1000">
        <v>969000</v>
      </c>
      <c r="I199" s="1000">
        <v>3000</v>
      </c>
      <c r="J199" s="1000">
        <v>0</v>
      </c>
    </row>
    <row r="200" spans="1:10" x14ac:dyDescent="0.25">
      <c r="B200" s="1040" t="s">
        <v>27</v>
      </c>
      <c r="C200" s="988">
        <v>65512762.193773963</v>
      </c>
      <c r="D200" s="988">
        <f>Tech_Specs!H200*Tech_Specs!$E$175*Tech_Specs!$E$190</f>
        <v>1160877.7205901702</v>
      </c>
      <c r="E200" s="988">
        <f>Tech_Specs!I200*Tech_Specs!$E$180*Tech_Specs!$E$190</f>
        <v>2949.8317925503438</v>
      </c>
      <c r="F200" s="988">
        <f>Tech_Specs!J200*Tech_Specs!$E$175</f>
        <v>0</v>
      </c>
      <c r="G200" s="1000">
        <v>1121452000</v>
      </c>
      <c r="H200" s="1000">
        <v>40498000</v>
      </c>
      <c r="I200" s="1000">
        <v>91000</v>
      </c>
      <c r="J200" s="1000">
        <v>0</v>
      </c>
    </row>
    <row r="201" spans="1:10" x14ac:dyDescent="0.25">
      <c r="B201" s="1040" t="s">
        <v>29</v>
      </c>
      <c r="C201" s="988">
        <v>0</v>
      </c>
      <c r="D201" s="988">
        <f>Tech_Specs!H201*Tech_Specs!$E$175</f>
        <v>0</v>
      </c>
      <c r="E201" s="988">
        <f>Tech_Specs!I201*Tech_Specs!$E$175</f>
        <v>0</v>
      </c>
      <c r="F201" s="988">
        <f>Tech_Specs!J201*Tech_Specs!$E$175</f>
        <v>0</v>
      </c>
      <c r="G201" s="1000">
        <v>0</v>
      </c>
      <c r="H201" s="1000">
        <v>0</v>
      </c>
      <c r="I201" s="1000">
        <v>0</v>
      </c>
      <c r="J201" s="1000">
        <v>0</v>
      </c>
    </row>
    <row r="202" spans="1:10" x14ac:dyDescent="0.25">
      <c r="B202" s="1040" t="s">
        <v>73</v>
      </c>
      <c r="C202" s="990"/>
      <c r="D202" s="990"/>
      <c r="E202" s="990"/>
      <c r="F202" s="990"/>
      <c r="G202" s="1001"/>
      <c r="H202" s="1001"/>
      <c r="I202" s="1001"/>
      <c r="J202" s="1001"/>
    </row>
    <row r="203" spans="1:10" x14ac:dyDescent="0.25">
      <c r="B203" s="1040" t="s">
        <v>73</v>
      </c>
      <c r="C203" s="989"/>
      <c r="D203" s="989"/>
      <c r="E203" s="989"/>
      <c r="F203" s="989"/>
      <c r="G203" s="1002"/>
      <c r="H203" s="1002"/>
      <c r="I203" s="1002"/>
      <c r="J203" s="1002"/>
    </row>
    <row r="204" spans="1:10" x14ac:dyDescent="0.25">
      <c r="A204" s="1031">
        <f>C204/SUM($C$204:$C$206)</f>
        <v>0.53524642347722229</v>
      </c>
      <c r="B204" s="1040" t="s">
        <v>33</v>
      </c>
      <c r="C204" s="988">
        <v>21628378.419260103</v>
      </c>
      <c r="D204" s="988">
        <f>Tech_Specs!H204*Tech_Specs!$E$175*Tech_Specs!$E$189</f>
        <v>961315.5807929117</v>
      </c>
      <c r="E204" s="988">
        <f>Tech_Specs!I204*Tech_Specs!$E$180*Tech_Specs!$E$189</f>
        <v>839.63128368337073</v>
      </c>
      <c r="F204" s="988">
        <f>Tech_Specs!J204*Tech_Specs!$E$175</f>
        <v>0</v>
      </c>
      <c r="G204" s="1000">
        <v>433929000</v>
      </c>
      <c r="H204" s="1000">
        <v>19421000</v>
      </c>
      <c r="I204" s="1000">
        <v>15000</v>
      </c>
      <c r="J204" s="1000">
        <v>0</v>
      </c>
    </row>
    <row r="205" spans="1:10" x14ac:dyDescent="0.25">
      <c r="A205" s="1031">
        <f>C205/SUM($C$204:$C$206)</f>
        <v>0.29885492030710642</v>
      </c>
      <c r="B205" s="1040" t="s">
        <v>34</v>
      </c>
      <c r="C205" s="988">
        <v>12076208.313300364</v>
      </c>
      <c r="D205" s="988">
        <f>Tech_Specs!H205*Tech_Specs!$E$175*Tech_Specs!$E$189</f>
        <v>965176.48472689278</v>
      </c>
      <c r="E205" s="988">
        <f>Tech_Specs!I205*Tech_Specs!$E$180*Tech_Specs!$E$189</f>
        <v>3526.451391470157</v>
      </c>
      <c r="F205" s="988">
        <f>Tech_Specs!J205*Tech_Specs!$E$175</f>
        <v>0</v>
      </c>
      <c r="G205" s="1000">
        <v>168876000</v>
      </c>
      <c r="H205" s="1000">
        <v>19499000</v>
      </c>
      <c r="I205" s="1000">
        <v>63000</v>
      </c>
      <c r="J205" s="1000">
        <v>0</v>
      </c>
    </row>
    <row r="206" spans="1:10" x14ac:dyDescent="0.25">
      <c r="A206" s="1031">
        <f>C206/SUM($C$204:$C$206)</f>
        <v>0.16589865621567118</v>
      </c>
      <c r="B206" s="1040" t="s">
        <v>35</v>
      </c>
      <c r="C206" s="988">
        <v>6703676.5842714086</v>
      </c>
      <c r="D206" s="988">
        <f>Tech_Specs!H206*Tech_Specs!$E$175*Tech_Specs!$E$190</f>
        <v>1131639.3563499122</v>
      </c>
      <c r="E206" s="988">
        <f>Tech_Specs!I206*Tech_Specs!$E$180*Tech_Specs!$E$190</f>
        <v>3695.393674183947</v>
      </c>
      <c r="F206" s="988">
        <f>Tech_Specs!J206*Tech_Specs!$E$175</f>
        <v>0</v>
      </c>
      <c r="G206" s="1000">
        <v>114754000</v>
      </c>
      <c r="H206" s="1000">
        <v>39478000</v>
      </c>
      <c r="I206" s="1000">
        <v>114000</v>
      </c>
      <c r="J206" s="1000">
        <v>0</v>
      </c>
    </row>
    <row r="207" spans="1:10" x14ac:dyDescent="0.25">
      <c r="A207" s="1031">
        <f>C207/SUM($C$204:$C$206)</f>
        <v>0</v>
      </c>
      <c r="B207" s="1040" t="s">
        <v>29</v>
      </c>
      <c r="C207" s="988">
        <v>0</v>
      </c>
      <c r="D207" s="988">
        <f>Tech_Specs!H207*Tech_Specs!$E$175</f>
        <v>0</v>
      </c>
      <c r="E207" s="988">
        <f>Tech_Specs!I207*Tech_Specs!$E$180</f>
        <v>0</v>
      </c>
      <c r="F207" s="988">
        <f>Tech_Specs!J207*Tech_Specs!$E$175</f>
        <v>0</v>
      </c>
      <c r="G207" s="1000">
        <v>0</v>
      </c>
      <c r="H207" s="1000">
        <v>0</v>
      </c>
      <c r="I207" s="1000">
        <v>0</v>
      </c>
      <c r="J207" s="1000">
        <v>0</v>
      </c>
    </row>
    <row r="208" spans="1:10" x14ac:dyDescent="0.25">
      <c r="B208" s="1040" t="s">
        <v>73</v>
      </c>
      <c r="C208" s="990"/>
      <c r="D208" s="990"/>
      <c r="E208" s="990"/>
      <c r="F208" s="990"/>
      <c r="G208" s="1001"/>
      <c r="H208" s="1001"/>
      <c r="I208" s="1001"/>
      <c r="J208" s="1001"/>
    </row>
    <row r="209" spans="2:10" x14ac:dyDescent="0.25">
      <c r="B209" s="1040" t="s">
        <v>73</v>
      </c>
      <c r="C209" s="989"/>
      <c r="D209" s="989"/>
      <c r="E209" s="989"/>
      <c r="F209" s="989"/>
      <c r="G209" s="1002"/>
      <c r="H209" s="1002"/>
      <c r="I209" s="1002"/>
      <c r="J209" s="1002"/>
    </row>
    <row r="210" spans="2:10" x14ac:dyDescent="0.25">
      <c r="B210" s="1040" t="s">
        <v>37</v>
      </c>
      <c r="C210" s="988">
        <v>21292654.54879117</v>
      </c>
      <c r="D210" s="988">
        <f>Tech_Specs!L182</f>
        <v>14639651.8226601</v>
      </c>
      <c r="E210" s="988">
        <f>Tech_Specs!M182</f>
        <v>1104534.1722864914</v>
      </c>
      <c r="F210" s="988">
        <f>Tech_Specs!J210*Tech_Specs!$E$175</f>
        <v>0</v>
      </c>
      <c r="G210" s="1000">
        <v>367816000</v>
      </c>
      <c r="H210" s="1000">
        <v>537648000</v>
      </c>
      <c r="I210" s="1000">
        <v>35871000</v>
      </c>
      <c r="J210" s="1000">
        <v>0</v>
      </c>
    </row>
    <row r="211" spans="2:10" x14ac:dyDescent="0.25">
      <c r="B211" s="1040" t="s">
        <v>39</v>
      </c>
      <c r="C211" s="988">
        <v>4027135.3240239858</v>
      </c>
      <c r="D211" s="988">
        <f>Tech_Specs!L183</f>
        <v>41026575.369458124</v>
      </c>
      <c r="E211" s="988">
        <f>Tech_Specs!M183</f>
        <v>3776958.1585914339</v>
      </c>
      <c r="F211" s="988">
        <f>Tech_Specs!J211*Tech_Specs!$E$175</f>
        <v>0</v>
      </c>
      <c r="G211" s="1000">
        <v>69566000</v>
      </c>
      <c r="H211" s="1000">
        <v>995628000</v>
      </c>
      <c r="I211" s="1000">
        <v>83028000</v>
      </c>
      <c r="J211" s="1000">
        <v>0</v>
      </c>
    </row>
    <row r="212" spans="2:10" x14ac:dyDescent="0.25">
      <c r="B212" s="1040" t="s">
        <v>40</v>
      </c>
      <c r="C212" s="988">
        <v>0</v>
      </c>
      <c r="D212" s="988">
        <f>Tech_Specs!H212*Tech_Specs!$E$175</f>
        <v>3923381.3793103448</v>
      </c>
      <c r="E212" s="988">
        <f>Tech_Specs!I212*Tech_Specs!$E$180</f>
        <v>379560.77510295645</v>
      </c>
      <c r="F212" s="988">
        <f>Tech_Specs!J212*Tech_Specs!$E$175</f>
        <v>0</v>
      </c>
      <c r="G212" s="1000">
        <v>0</v>
      </c>
      <c r="H212" s="1000">
        <v>108066000</v>
      </c>
      <c r="I212" s="1000">
        <v>9245000</v>
      </c>
      <c r="J212" s="1000">
        <v>0</v>
      </c>
    </row>
    <row r="213" spans="2:10" x14ac:dyDescent="0.25">
      <c r="B213" s="1040" t="s">
        <v>29</v>
      </c>
      <c r="C213" s="988">
        <v>0</v>
      </c>
      <c r="D213" s="988">
        <f>Tech_Specs!H213*Tech_Specs!$E$175</f>
        <v>0</v>
      </c>
      <c r="E213" s="988">
        <f>Tech_Specs!I213*Tech_Specs!$E$180</f>
        <v>0</v>
      </c>
      <c r="F213" s="988">
        <f>Tech_Specs!J213*Tech_Specs!$E$175</f>
        <v>0</v>
      </c>
      <c r="G213" s="1000">
        <v>0</v>
      </c>
      <c r="H213" s="1000">
        <v>0</v>
      </c>
      <c r="I213" s="1000">
        <v>0</v>
      </c>
      <c r="J213" s="1000">
        <v>0</v>
      </c>
    </row>
    <row r="214" spans="2:10" x14ac:dyDescent="0.25">
      <c r="B214" s="1040" t="s">
        <v>73</v>
      </c>
      <c r="C214" s="990"/>
      <c r="D214" s="990"/>
      <c r="E214" s="990"/>
      <c r="F214" s="990"/>
      <c r="G214" s="1001"/>
      <c r="H214" s="1001"/>
      <c r="I214" s="1001"/>
      <c r="J214" s="1001"/>
    </row>
    <row r="215" spans="2:10" x14ac:dyDescent="0.25">
      <c r="B215" s="1040" t="s">
        <v>73</v>
      </c>
      <c r="C215" s="989"/>
      <c r="D215" s="989"/>
      <c r="E215" s="989"/>
      <c r="F215" s="989"/>
      <c r="G215" s="1002"/>
      <c r="H215" s="1002"/>
      <c r="I215" s="1002"/>
      <c r="J215" s="1002"/>
    </row>
    <row r="216" spans="2:10" x14ac:dyDescent="0.25">
      <c r="B216" s="1040" t="s">
        <v>43</v>
      </c>
      <c r="C216" s="988">
        <v>8034.6905845822166</v>
      </c>
      <c r="D216" s="988">
        <f>Tech_Specs!H216*Tech_Specs!$E$175</f>
        <v>37213.054187192116</v>
      </c>
      <c r="E216" s="988">
        <f>Tech_Specs!I216*Tech_Specs!$E$180</f>
        <v>58463.444429054623</v>
      </c>
      <c r="F216" s="988">
        <f>Tech_Specs!J216*Tech_Specs!$E$175</f>
        <v>151647.73399014777</v>
      </c>
      <c r="G216" s="1000">
        <v>206000</v>
      </c>
      <c r="H216" s="1000">
        <v>1025000</v>
      </c>
      <c r="I216" s="1000">
        <v>1424000</v>
      </c>
      <c r="J216" s="1000">
        <v>4177000</v>
      </c>
    </row>
    <row r="217" spans="2:10" x14ac:dyDescent="0.25">
      <c r="B217" s="1040" t="s">
        <v>44</v>
      </c>
      <c r="C217" s="988">
        <v>1755.1508558553382</v>
      </c>
      <c r="D217" s="988">
        <f>Tech_Specs!L186</f>
        <v>1134934.618226601</v>
      </c>
      <c r="E217" s="988">
        <f>Tech_Specs!M186</f>
        <v>420329.17420271155</v>
      </c>
      <c r="F217" s="988">
        <f>Tech_Specs!J217*Tech_Specs!$E$175</f>
        <v>1071518.1280788176</v>
      </c>
      <c r="G217" s="1000">
        <v>45000</v>
      </c>
      <c r="H217" s="1000">
        <v>30422000</v>
      </c>
      <c r="I217" s="1000">
        <v>9407000</v>
      </c>
      <c r="J217" s="1000">
        <v>29514000</v>
      </c>
    </row>
    <row r="218" spans="2:10" x14ac:dyDescent="0.25">
      <c r="B218" s="1040" t="s">
        <v>45</v>
      </c>
      <c r="C218" s="988">
        <v>46140.965832819238</v>
      </c>
      <c r="D218" s="988">
        <f>Tech_Specs!L187</f>
        <v>91353.509852216754</v>
      </c>
      <c r="E218" s="988">
        <f>Tech_Specs!M187</f>
        <v>102352.08354047275</v>
      </c>
      <c r="F218" s="988">
        <f>Tech_Specs!J218*Tech_Specs!$E$175</f>
        <v>2103572.2660098523</v>
      </c>
      <c r="G218" s="1000">
        <v>1183000</v>
      </c>
      <c r="H218" s="1000">
        <v>3355000</v>
      </c>
      <c r="I218" s="1000">
        <v>3324000</v>
      </c>
      <c r="J218" s="1000">
        <v>57941000</v>
      </c>
    </row>
    <row r="219" spans="2:10" x14ac:dyDescent="0.25">
      <c r="B219" s="1040" t="s">
        <v>46</v>
      </c>
      <c r="C219" s="988">
        <v>0</v>
      </c>
      <c r="D219" s="988">
        <f>Tech_Specs!H219*Tech_Specs!$E$175</f>
        <v>1778.9655172413793</v>
      </c>
      <c r="E219" s="988">
        <f>Tech_Specs!I219*Tech_Specs!$E$180</f>
        <v>0</v>
      </c>
      <c r="F219" s="988">
        <f>Tech_Specs!J219*Tech_Specs!$E$175</f>
        <v>52824.384236453203</v>
      </c>
      <c r="G219" s="1000">
        <v>0</v>
      </c>
      <c r="H219" s="1000">
        <v>49000</v>
      </c>
      <c r="I219" s="1000">
        <v>0</v>
      </c>
      <c r="J219" s="1000">
        <v>1455000</v>
      </c>
    </row>
    <row r="220" spans="2:10" x14ac:dyDescent="0.25">
      <c r="B220" s="1040" t="s">
        <v>29</v>
      </c>
      <c r="C220" s="988">
        <v>0</v>
      </c>
      <c r="D220" s="988">
        <f>Tech_Specs!H220*Tech_Specs!$E$175</f>
        <v>0</v>
      </c>
      <c r="E220" s="988">
        <f>Tech_Specs!I220*Tech_Specs!$E$180</f>
        <v>0</v>
      </c>
      <c r="F220" s="988">
        <f>Tech_Specs!J220*Tech_Specs!$E$175</f>
        <v>0</v>
      </c>
      <c r="G220" s="1000">
        <v>0</v>
      </c>
      <c r="H220" s="1000">
        <v>0</v>
      </c>
      <c r="I220" s="1000">
        <v>0</v>
      </c>
      <c r="J220" s="1000">
        <v>0</v>
      </c>
    </row>
    <row r="221" spans="2:10" x14ac:dyDescent="0.25">
      <c r="B221" s="1040" t="s">
        <v>73</v>
      </c>
      <c r="C221" s="990"/>
      <c r="D221" s="990"/>
      <c r="E221" s="990"/>
      <c r="F221" s="990"/>
      <c r="G221" s="1001"/>
      <c r="H221" s="1001"/>
      <c r="I221" s="1001"/>
      <c r="J221" s="1001"/>
    </row>
    <row r="222" spans="2:10" x14ac:dyDescent="0.25">
      <c r="B222" s="1040" t="s">
        <v>73</v>
      </c>
      <c r="C222" s="989"/>
      <c r="D222" s="989"/>
      <c r="E222" s="989"/>
      <c r="F222" s="989"/>
      <c r="G222" s="1002"/>
      <c r="H222" s="1002"/>
      <c r="I222" s="1002"/>
      <c r="J222" s="1002"/>
    </row>
    <row r="223" spans="2:10" x14ac:dyDescent="0.25">
      <c r="B223" s="1040" t="s">
        <v>48</v>
      </c>
      <c r="C223" s="988">
        <v>56855856.025608636</v>
      </c>
      <c r="D223" s="988">
        <f>Tech_Specs!H223*Tech_Specs!$E$175*Tech_Specs!$E$189</f>
        <v>754658.22278815368</v>
      </c>
      <c r="E223" s="988">
        <f>Tech_Specs!I223*Tech_Specs!$E$180*Tech_Specs!$E$189</f>
        <v>0</v>
      </c>
      <c r="F223" s="988">
        <f>Tech_Specs!J223*Tech_Specs!$E$175</f>
        <v>646744.72906403942</v>
      </c>
      <c r="G223" s="1000">
        <v>1140696000</v>
      </c>
      <c r="H223" s="1000">
        <v>15246000</v>
      </c>
      <c r="I223" s="1000">
        <v>0</v>
      </c>
      <c r="J223" s="1000">
        <v>17814000</v>
      </c>
    </row>
    <row r="224" spans="2:10" x14ac:dyDescent="0.25">
      <c r="B224" s="1040" t="s">
        <v>50</v>
      </c>
      <c r="C224" s="988">
        <v>4385595.2275420893</v>
      </c>
      <c r="D224" s="988">
        <f>Tech_Specs!H224*Tech_Specs!$E$175*Tech_Specs!$E$189</f>
        <v>1342802.5887312759</v>
      </c>
      <c r="E224" s="988">
        <f>Tech_Specs!I224*Tech_Specs!$E$180*Tech_Specs!$E$189</f>
        <v>279.87709456112356</v>
      </c>
      <c r="F224" s="988">
        <f>Tech_Specs!J224*Tech_Specs!$E$175</f>
        <v>145984.08866995072</v>
      </c>
      <c r="G224" s="1000">
        <v>61329000</v>
      </c>
      <c r="H224" s="1000">
        <v>27128000</v>
      </c>
      <c r="I224" s="1000">
        <v>5000</v>
      </c>
      <c r="J224" s="1000">
        <v>4021000</v>
      </c>
    </row>
    <row r="225" spans="2:17" x14ac:dyDescent="0.25">
      <c r="B225" s="1040" t="s">
        <v>51</v>
      </c>
      <c r="C225" s="988">
        <v>5042566.3513056058</v>
      </c>
      <c r="D225" s="988">
        <f>Tech_Specs!H225*Tech_Specs!$E$175*Tech_Specs!$E$190</f>
        <v>3904382.2334047444</v>
      </c>
      <c r="E225" s="988">
        <f>Tech_Specs!I225*Tech_Specs!$E$180*Tech_Specs!$E$190</f>
        <v>6515.5625307980117</v>
      </c>
      <c r="F225" s="988">
        <f>Tech_Specs!J225*Tech_Specs!$E$175</f>
        <v>437589.21182266006</v>
      </c>
      <c r="G225" s="1000">
        <v>86319000</v>
      </c>
      <c r="H225" s="1000">
        <v>136207000</v>
      </c>
      <c r="I225" s="1000">
        <v>201000</v>
      </c>
      <c r="J225" s="1000">
        <v>12053000</v>
      </c>
    </row>
    <row r="226" spans="2:17" x14ac:dyDescent="0.25">
      <c r="B226" s="1040" t="s">
        <v>52</v>
      </c>
      <c r="C226" s="988">
        <v>7634398.6918460047</v>
      </c>
      <c r="D226" s="988">
        <f>Tech_Specs!H226*Tech_Specs!$E$175</f>
        <v>486891.97044334974</v>
      </c>
      <c r="E226" s="988">
        <f>Tech_Specs!I226*Tech_Specs!$E$180</f>
        <v>19747.834810656794</v>
      </c>
      <c r="F226" s="988">
        <f>Tech_Specs!J226*Tech_Specs!$E$175</f>
        <v>1057359.0147783251</v>
      </c>
      <c r="G226" s="1000">
        <v>131879000</v>
      </c>
      <c r="H226" s="1000">
        <v>13411000</v>
      </c>
      <c r="I226" s="1000">
        <v>481000</v>
      </c>
      <c r="J226" s="1000">
        <v>29124000</v>
      </c>
    </row>
    <row r="227" spans="2:17" x14ac:dyDescent="0.25">
      <c r="B227" s="1040" t="s">
        <v>29</v>
      </c>
      <c r="C227" s="988">
        <v>357855.75783272739</v>
      </c>
      <c r="D227" s="988">
        <f>Tech_Specs!H227*Tech_Specs!$E$175</f>
        <v>0</v>
      </c>
      <c r="E227" s="988">
        <f>Tech_Specs!I227*Tech_Specs!$E$180</f>
        <v>0</v>
      </c>
      <c r="F227" s="988">
        <f>Tech_Specs!J227*Tech_Specs!$E$175</f>
        <v>697753.84236453194</v>
      </c>
      <c r="G227" s="1000">
        <v>9175000</v>
      </c>
      <c r="H227" s="1000">
        <v>0</v>
      </c>
      <c r="I227" s="1000">
        <v>0</v>
      </c>
      <c r="J227" s="1000">
        <v>19219000</v>
      </c>
    </row>
    <row r="228" spans="2:17" x14ac:dyDescent="0.25">
      <c r="B228" s="1040" t="s">
        <v>53</v>
      </c>
      <c r="C228" s="988">
        <v>210485.92758173839</v>
      </c>
      <c r="D228" s="988">
        <f>Tech_Specs!H228*Tech_Specs!$E$175</f>
        <v>0</v>
      </c>
      <c r="E228" s="988">
        <f>Tech_Specs!I228*Tech_Specs!$E$180</f>
        <v>0</v>
      </c>
      <c r="F228" s="988">
        <f>Tech_Specs!J228*Tech_Specs!$E$175</f>
        <v>0</v>
      </c>
      <c r="G228" s="1000">
        <v>3636000</v>
      </c>
      <c r="H228" s="1000">
        <v>0</v>
      </c>
      <c r="I228" s="1000">
        <v>0</v>
      </c>
      <c r="J228" s="1000">
        <v>0</v>
      </c>
    </row>
    <row r="229" spans="2:17" x14ac:dyDescent="0.25">
      <c r="C229" s="838"/>
      <c r="D229" s="838"/>
      <c r="E229" s="838"/>
      <c r="F229" s="838"/>
      <c r="G229" s="1003"/>
      <c r="H229" s="1003"/>
      <c r="I229" s="1003"/>
      <c r="J229" s="1003"/>
    </row>
    <row r="230" spans="2:17" x14ac:dyDescent="0.25">
      <c r="C230" s="987">
        <f t="shared" ref="C230:J230" si="35">SUM(C198:C228)</f>
        <v>308789914.82483143</v>
      </c>
      <c r="D230" s="987">
        <f t="shared" si="35"/>
        <v>73735579.31034483</v>
      </c>
      <c r="E230" s="987">
        <f t="shared" si="35"/>
        <v>5901582.8041067915</v>
      </c>
      <c r="F230" s="987">
        <f t="shared" si="35"/>
        <v>6364993.3990147775</v>
      </c>
      <c r="G230" s="1004">
        <f t="shared" si="35"/>
        <v>5765830000</v>
      </c>
      <c r="H230" s="1004">
        <f t="shared" si="35"/>
        <v>2030980000</v>
      </c>
      <c r="I230" s="1004">
        <f t="shared" si="35"/>
        <v>143659000</v>
      </c>
      <c r="J230" s="1004">
        <f t="shared" si="35"/>
        <v>175318000</v>
      </c>
    </row>
    <row r="232" spans="2:17" s="838" customFormat="1" x14ac:dyDescent="0.25"/>
    <row r="233" spans="2:17" x14ac:dyDescent="0.25">
      <c r="C233" s="1005" t="s">
        <v>568</v>
      </c>
      <c r="D233" s="816"/>
      <c r="E233" s="816"/>
      <c r="F233" s="816"/>
      <c r="G233" s="816"/>
      <c r="H233" s="816"/>
      <c r="I233" s="816"/>
      <c r="J233" s="816"/>
    </row>
    <row r="235" spans="2:17" x14ac:dyDescent="0.25">
      <c r="C235" s="838"/>
      <c r="D235" s="838"/>
      <c r="E235" s="1188" t="s">
        <v>625</v>
      </c>
      <c r="F235" s="1188"/>
      <c r="G235" s="1188"/>
      <c r="H235" s="1188"/>
      <c r="I235" s="1188"/>
      <c r="J235" s="1188"/>
      <c r="K235" s="1188" t="s">
        <v>626</v>
      </c>
      <c r="L235" s="1188"/>
      <c r="M235" s="1188"/>
      <c r="N235" s="1188"/>
      <c r="O235" s="1188"/>
    </row>
    <row r="236" spans="2:17" x14ac:dyDescent="0.25">
      <c r="C236" s="838"/>
      <c r="D236" s="838" t="s">
        <v>624</v>
      </c>
      <c r="E236" s="838" t="s">
        <v>623</v>
      </c>
      <c r="F236" s="838" t="s">
        <v>622</v>
      </c>
      <c r="G236" s="838" t="s">
        <v>401</v>
      </c>
      <c r="H236" s="838" t="s">
        <v>621</v>
      </c>
      <c r="I236" s="838" t="s">
        <v>141</v>
      </c>
      <c r="J236" s="838" t="s">
        <v>620</v>
      </c>
      <c r="K236" s="838" t="s">
        <v>623</v>
      </c>
      <c r="L236" s="838" t="s">
        <v>622</v>
      </c>
      <c r="M236" s="838" t="s">
        <v>401</v>
      </c>
      <c r="N236" s="838" t="s">
        <v>621</v>
      </c>
      <c r="O236" s="838" t="s">
        <v>141</v>
      </c>
      <c r="Q236" s="838"/>
    </row>
    <row r="237" spans="2:17" x14ac:dyDescent="0.25">
      <c r="C237" s="838" t="s">
        <v>619</v>
      </c>
      <c r="D237" s="1028">
        <v>610680.78287129477</v>
      </c>
      <c r="E237" s="1030">
        <v>9.5299999999999994</v>
      </c>
      <c r="F237" s="1030">
        <v>20.5</v>
      </c>
      <c r="G237" s="1030">
        <v>0.748</v>
      </c>
      <c r="H237" s="1030">
        <v>3.62</v>
      </c>
      <c r="I237" s="1030">
        <v>0.106</v>
      </c>
      <c r="J237" s="1029">
        <f>SUM(E237:I237)</f>
        <v>34.504000000000005</v>
      </c>
      <c r="K237" s="1031">
        <f>E237/$J$237</f>
        <v>0.27619986088569437</v>
      </c>
      <c r="L237" s="1031">
        <f>F237/$J$237</f>
        <v>0.5941340134477161</v>
      </c>
      <c r="M237" s="1031">
        <f>G237/$J$237</f>
        <v>2.1678645954092277E-2</v>
      </c>
      <c r="N237" s="1031">
        <f>H237/$J$237</f>
        <v>0.10491537213076743</v>
      </c>
      <c r="O237" s="1031">
        <f>I237/$J$237</f>
        <v>3.0721075817296542E-3</v>
      </c>
    </row>
    <row r="238" spans="2:17" x14ac:dyDescent="0.25">
      <c r="C238" s="838" t="s">
        <v>618</v>
      </c>
      <c r="D238" s="1028">
        <v>4170267.6643383391</v>
      </c>
      <c r="E238" s="1030">
        <v>15.5</v>
      </c>
      <c r="F238" s="1030">
        <v>36.4</v>
      </c>
      <c r="G238" s="1030">
        <v>4.03</v>
      </c>
      <c r="H238" s="1030">
        <v>6.76</v>
      </c>
      <c r="I238" s="1030">
        <v>0.48</v>
      </c>
      <c r="J238" s="1029">
        <f>SUM(E238:I238)</f>
        <v>63.169999999999995</v>
      </c>
      <c r="K238" s="1031">
        <f>E238/$J$238</f>
        <v>0.24536963748614851</v>
      </c>
      <c r="L238" s="1031">
        <f>F238/$J$238</f>
        <v>0.57622289061263265</v>
      </c>
      <c r="M238" s="1031">
        <f>G238/$J$238</f>
        <v>6.3796105746398615E-2</v>
      </c>
      <c r="N238" s="1031">
        <f>H238/$J$238</f>
        <v>0.10701282254234605</v>
      </c>
      <c r="O238" s="1031">
        <f>I238/$J$238</f>
        <v>7.5985436124742763E-3</v>
      </c>
    </row>
    <row r="239" spans="2:17" x14ac:dyDescent="0.25">
      <c r="C239" s="838" t="s">
        <v>608</v>
      </c>
      <c r="D239" s="1028">
        <v>1012635.4499743914</v>
      </c>
      <c r="E239" s="1029">
        <f>K239*$J$239</f>
        <v>6.7150684888564296</v>
      </c>
      <c r="F239" s="1029">
        <f>L239*$J$239</f>
        <v>15.068033678549726</v>
      </c>
      <c r="G239" s="1029">
        <f>M239*$J$239</f>
        <v>1.1004646811758036</v>
      </c>
      <c r="H239" s="1029">
        <f>N239*$J$239</f>
        <v>2.728519107026222</v>
      </c>
      <c r="I239" s="1029">
        <f>O239*$J$239</f>
        <v>0.13738179439836146</v>
      </c>
      <c r="J239" s="1029">
        <f>AVERAGE(J237/J240,J238/J241)*J242</f>
        <v>25.749467750006545</v>
      </c>
      <c r="K239" s="1031">
        <f>AVERAGE(K237:K238)</f>
        <v>0.26078474918592143</v>
      </c>
      <c r="L239" s="1031">
        <f>AVERAGE(L237:L238)</f>
        <v>0.58517845203017438</v>
      </c>
      <c r="M239" s="1031">
        <f>AVERAGE(M237:M238)</f>
        <v>4.2737375850245445E-2</v>
      </c>
      <c r="N239" s="1031">
        <f>AVERAGE(N237:N238)</f>
        <v>0.10596409733655673</v>
      </c>
      <c r="O239" s="1031">
        <f>AVERAGE(O237:O238)</f>
        <v>5.3353255971019652E-3</v>
      </c>
    </row>
    <row r="240" spans="2:17" x14ac:dyDescent="0.25">
      <c r="C240" s="838" t="s">
        <v>617</v>
      </c>
      <c r="D240" s="1029"/>
      <c r="E240" s="1029"/>
      <c r="F240" s="1029"/>
      <c r="G240" s="1029"/>
      <c r="H240" s="1029"/>
      <c r="I240" s="1029"/>
      <c r="J240" s="1029">
        <v>34.6</v>
      </c>
      <c r="K240" s="838"/>
      <c r="L240" s="838"/>
      <c r="M240" s="838"/>
      <c r="N240" s="838"/>
      <c r="O240" s="838"/>
      <c r="P240" s="838"/>
    </row>
    <row r="241" spans="3:16" x14ac:dyDescent="0.25">
      <c r="C241" s="838" t="s">
        <v>616</v>
      </c>
      <c r="D241" s="1029"/>
      <c r="E241" s="1029"/>
      <c r="F241" s="1029"/>
      <c r="G241" s="1029"/>
      <c r="H241" s="1029"/>
      <c r="I241" s="1029"/>
      <c r="J241" s="1029">
        <f>(62.4*74004+48*6044)/(74004+6044)</f>
        <v>61.312732360583645</v>
      </c>
      <c r="K241" s="838"/>
      <c r="L241" s="838"/>
      <c r="M241" s="838"/>
      <c r="N241" s="838"/>
      <c r="O241" s="838"/>
      <c r="P241" s="838"/>
    </row>
    <row r="242" spans="3:16" x14ac:dyDescent="0.25">
      <c r="C242" s="838" t="s">
        <v>615</v>
      </c>
      <c r="D242" s="1029"/>
      <c r="E242" s="1029"/>
      <c r="F242" s="1029"/>
      <c r="G242" s="1029"/>
      <c r="H242" s="1029"/>
      <c r="I242" s="1029"/>
      <c r="J242" s="1029">
        <v>25.4</v>
      </c>
      <c r="K242" s="838"/>
      <c r="L242" s="838"/>
      <c r="M242" s="838"/>
      <c r="N242" s="838"/>
      <c r="O242" s="838"/>
      <c r="P242" s="838"/>
    </row>
    <row r="243" spans="3:16" x14ac:dyDescent="0.25">
      <c r="C243" s="838" t="s">
        <v>627</v>
      </c>
      <c r="D243" s="838"/>
      <c r="E243" s="838"/>
      <c r="F243" s="838"/>
      <c r="G243" s="838"/>
      <c r="H243" s="838"/>
      <c r="I243" s="838"/>
      <c r="J243" s="838"/>
      <c r="K243" s="838"/>
      <c r="L243" s="838"/>
      <c r="M243" s="838"/>
      <c r="N243" s="838"/>
      <c r="O243" s="838"/>
      <c r="P243" s="838"/>
    </row>
    <row r="244" spans="3:16" x14ac:dyDescent="0.25">
      <c r="C244" s="838"/>
      <c r="D244" s="838"/>
      <c r="E244" s="838"/>
      <c r="F244" s="838"/>
      <c r="G244" s="838"/>
      <c r="H244" s="838"/>
      <c r="I244" s="838"/>
      <c r="J244" s="838"/>
      <c r="K244" s="838"/>
      <c r="L244" s="838"/>
      <c r="M244" s="838"/>
      <c r="N244" s="838"/>
      <c r="O244" s="838"/>
      <c r="P244" s="838"/>
    </row>
    <row r="245" spans="3:16" x14ac:dyDescent="0.25">
      <c r="C245" s="1025" t="s">
        <v>614</v>
      </c>
      <c r="D245" s="1027"/>
      <c r="E245" s="1027"/>
      <c r="F245" s="1027"/>
      <c r="G245" s="1027"/>
      <c r="H245" s="1027"/>
      <c r="I245" s="838"/>
      <c r="J245" s="838"/>
      <c r="K245" s="838"/>
      <c r="L245" s="1017" t="s">
        <v>12</v>
      </c>
      <c r="M245" s="838" t="s">
        <v>73</v>
      </c>
      <c r="N245" s="1026" t="s">
        <v>612</v>
      </c>
      <c r="O245" s="1026" t="s">
        <v>613</v>
      </c>
      <c r="P245" s="838"/>
    </row>
    <row r="246" spans="3:16" x14ac:dyDescent="0.25">
      <c r="C246" s="1023"/>
      <c r="D246" s="1023" t="s">
        <v>612</v>
      </c>
      <c r="E246" s="1022" t="s">
        <v>611</v>
      </c>
      <c r="F246" s="1022" t="s">
        <v>610</v>
      </c>
      <c r="G246" s="1022" t="s">
        <v>609</v>
      </c>
      <c r="H246" s="1022" t="s">
        <v>608</v>
      </c>
      <c r="I246" s="1022" t="s">
        <v>607</v>
      </c>
      <c r="J246" s="838"/>
      <c r="K246" s="838"/>
      <c r="L246" s="838" t="s">
        <v>73</v>
      </c>
      <c r="M246" s="1017" t="s">
        <v>20</v>
      </c>
      <c r="N246" s="1024"/>
      <c r="O246" s="1024"/>
      <c r="P246" s="838"/>
    </row>
    <row r="247" spans="3:16" x14ac:dyDescent="0.25">
      <c r="C247" s="1013" t="s">
        <v>400</v>
      </c>
      <c r="D247" s="1013"/>
      <c r="E247" s="1032">
        <v>31.84021785031824</v>
      </c>
      <c r="F247" s="1011">
        <f t="array" ref="F247:H247">TRANSPOSE(F237:F239)</f>
        <v>20.5</v>
      </c>
      <c r="G247" s="1011">
        <v>36.4</v>
      </c>
      <c r="H247" s="1011">
        <v>15.068033678549726</v>
      </c>
      <c r="I247" s="1011">
        <f t="array" ref="I247">SUMPRODUCT(TRANSPOSE($D$237:$D$239),F247:H247)</f>
        <v>179575124.09508455</v>
      </c>
      <c r="J247" s="838"/>
      <c r="K247" s="838"/>
      <c r="L247" s="1020" t="s">
        <v>21</v>
      </c>
      <c r="M247" s="991" t="s">
        <v>73</v>
      </c>
      <c r="N247" s="991"/>
      <c r="O247" s="991"/>
      <c r="P247" s="838"/>
    </row>
    <row r="248" spans="3:16" x14ac:dyDescent="0.25">
      <c r="C248" s="1021" t="s">
        <v>606</v>
      </c>
      <c r="D248" s="1009" t="s">
        <v>605</v>
      </c>
      <c r="E248" s="1033">
        <v>17.924297513559516</v>
      </c>
      <c r="F248" s="1008">
        <f t="shared" ref="F248:H251" si="36">F$247*E248/E$247</f>
        <v>11.540376411849754</v>
      </c>
      <c r="G248" s="1008">
        <f t="shared" si="36"/>
        <v>20.491204945918586</v>
      </c>
      <c r="H248" s="1008">
        <f t="shared" si="36"/>
        <v>8.4824770944825829</v>
      </c>
      <c r="I248" s="1008">
        <f t="array" ref="I248">SUMPRODUCT(TRANSPOSE($D$237:$D$239),F248:H248)</f>
        <v>101090952.50058079</v>
      </c>
      <c r="J248" s="838"/>
      <c r="K248" s="838"/>
      <c r="L248" s="1018" t="s">
        <v>73</v>
      </c>
      <c r="M248" s="864" t="s">
        <v>22</v>
      </c>
      <c r="N248" s="1015" t="s">
        <v>605</v>
      </c>
      <c r="O248" s="838">
        <f ca="1">SUMIF($D$247:$D$281,N248,$I$247:$I$280)</f>
        <v>101090952.50058079</v>
      </c>
      <c r="P248" s="838"/>
    </row>
    <row r="249" spans="3:16" x14ac:dyDescent="0.25">
      <c r="C249" s="1021" t="s">
        <v>604</v>
      </c>
      <c r="D249" s="1009" t="s">
        <v>585</v>
      </c>
      <c r="E249" s="1033">
        <v>8.661334215906475</v>
      </c>
      <c r="F249" s="1008">
        <f t="shared" si="36"/>
        <v>5.5765118272991989</v>
      </c>
      <c r="G249" s="1008">
        <f t="shared" si="36"/>
        <v>9.9017088055458942</v>
      </c>
      <c r="H249" s="1008">
        <f t="shared" si="36"/>
        <v>4.0988813669548874</v>
      </c>
      <c r="I249" s="1008">
        <f t="array" ref="I249">SUMPRODUCT(TRANSPOSE($D$237:$D$239),F249:H249)</f>
        <v>48848917.239266366</v>
      </c>
      <c r="J249" s="838"/>
      <c r="K249" s="838"/>
      <c r="L249" s="1017" t="s">
        <v>73</v>
      </c>
      <c r="M249" s="838" t="s">
        <v>26</v>
      </c>
      <c r="N249" s="1015" t="s">
        <v>601</v>
      </c>
      <c r="O249" s="838">
        <f ca="1">SUMIF($D$247:$D$281,N249,$I$247:$I$280)</f>
        <v>1915393.5323507243</v>
      </c>
      <c r="P249" s="838"/>
    </row>
    <row r="250" spans="3:16" x14ac:dyDescent="0.25">
      <c r="C250" s="1010" t="s">
        <v>595</v>
      </c>
      <c r="D250" s="1009" t="s">
        <v>603</v>
      </c>
      <c r="E250" s="1033">
        <v>3.8348949088255146</v>
      </c>
      <c r="F250" s="1008">
        <f t="shared" si="36"/>
        <v>2.469058032218749</v>
      </c>
      <c r="G250" s="1008">
        <f t="shared" si="36"/>
        <v>4.3840835303786561</v>
      </c>
      <c r="H250" s="1008">
        <f t="shared" si="36"/>
        <v>1.8148219309154061</v>
      </c>
      <c r="I250" s="1008">
        <f t="array" ref="I250">SUMPRODUCT(TRANSPOSE($D$237:$D$239),F250:H250)</f>
        <v>21628361.099202298</v>
      </c>
      <c r="J250" s="838"/>
      <c r="K250" s="838"/>
      <c r="L250" s="1017" t="s">
        <v>73</v>
      </c>
      <c r="M250" s="838" t="s">
        <v>27</v>
      </c>
      <c r="N250" s="1015" t="s">
        <v>27</v>
      </c>
      <c r="O250" s="838">
        <f ca="1">SUMIF($D$247:$D$281,N250,$I$247:$I$280)</f>
        <v>65512633.243629165</v>
      </c>
      <c r="P250" s="838"/>
    </row>
    <row r="251" spans="3:16" x14ac:dyDescent="0.25">
      <c r="C251" s="1010" t="s">
        <v>570</v>
      </c>
      <c r="D251" s="1009" t="s">
        <v>585</v>
      </c>
      <c r="E251" s="1034">
        <v>1.4196912120267333</v>
      </c>
      <c r="F251" s="1008">
        <f t="shared" si="36"/>
        <v>0.91405372863229783</v>
      </c>
      <c r="G251" s="1008">
        <f t="shared" si="36"/>
        <v>1.6230027181568605</v>
      </c>
      <c r="H251" s="1008">
        <f t="shared" si="36"/>
        <v>0.67185328619684959</v>
      </c>
      <c r="I251" s="1014">
        <f t="array" ref="I251">SUMPRODUCT(TRANSPOSE($D$237:$D$239),F251:H251)</f>
        <v>8006893.2560351044</v>
      </c>
      <c r="J251" s="838"/>
      <c r="K251" s="838"/>
      <c r="L251" s="1017" t="s">
        <v>73</v>
      </c>
      <c r="M251" s="838" t="s">
        <v>29</v>
      </c>
      <c r="N251" s="1016"/>
      <c r="O251" s="838">
        <f ca="1">SUMIF($D$247:$D$281,N251,$I$247:$I$280)</f>
        <v>0</v>
      </c>
      <c r="P251" s="838"/>
    </row>
    <row r="252" spans="3:16" x14ac:dyDescent="0.25">
      <c r="C252" s="1013" t="s">
        <v>401</v>
      </c>
      <c r="D252" s="1012"/>
      <c r="E252" s="1032">
        <v>2.2711771801817098</v>
      </c>
      <c r="F252" s="1011">
        <f t="array" ref="F252:H252">TRANSPOSE(G237:G239)</f>
        <v>0.748</v>
      </c>
      <c r="G252" s="1011">
        <v>4.03</v>
      </c>
      <c r="H252" s="1011">
        <v>1.1004646811758036</v>
      </c>
      <c r="I252" s="1011">
        <f t="array" ref="I252">SUMPRODUCT(TRANSPOSE($D$237:$D$239),F252:H252)</f>
        <v>18377337.460474622</v>
      </c>
      <c r="J252" s="838"/>
      <c r="K252" s="838"/>
      <c r="L252" s="1017" t="s">
        <v>73</v>
      </c>
      <c r="M252" s="838" t="s">
        <v>73</v>
      </c>
      <c r="N252" s="1016"/>
      <c r="O252" s="838"/>
      <c r="P252" s="838"/>
    </row>
    <row r="253" spans="3:16" x14ac:dyDescent="0.25">
      <c r="C253" s="1010" t="s">
        <v>602</v>
      </c>
      <c r="D253" s="1009" t="s">
        <v>601</v>
      </c>
      <c r="E253" s="1033">
        <v>0.23671536157503051</v>
      </c>
      <c r="F253" s="1008">
        <f t="shared" ref="F253:H256" si="37">F$252*E253/E$252</f>
        <v>7.7960932331997343E-2</v>
      </c>
      <c r="G253" s="1008">
        <f t="shared" si="37"/>
        <v>0.42003015681544026</v>
      </c>
      <c r="H253" s="1008">
        <f t="shared" si="37"/>
        <v>0.11469686168836879</v>
      </c>
      <c r="I253" s="1008">
        <f t="array" ref="I253">SUMPRODUCT(TRANSPOSE($D$237:$D$239),F253:H253)</f>
        <v>1915393.5323507243</v>
      </c>
      <c r="J253" s="838"/>
      <c r="K253" s="838"/>
      <c r="L253" s="1020" t="s">
        <v>32</v>
      </c>
      <c r="M253" s="991" t="s">
        <v>73</v>
      </c>
      <c r="N253" s="1019"/>
      <c r="O253" s="1019"/>
      <c r="P253" s="838"/>
    </row>
    <row r="254" spans="3:16" x14ac:dyDescent="0.25">
      <c r="C254" s="1010" t="s">
        <v>595</v>
      </c>
      <c r="D254" s="1009" t="s">
        <v>600</v>
      </c>
      <c r="E254" s="1033">
        <v>1.4924600859191657</v>
      </c>
      <c r="F254" s="1008">
        <f t="shared" si="37"/>
        <v>0.49153370948285924</v>
      </c>
      <c r="G254" s="1008">
        <f t="shared" si="37"/>
        <v>2.648236429433052</v>
      </c>
      <c r="H254" s="1008">
        <f t="shared" si="37"/>
        <v>0.72314904664868296</v>
      </c>
      <c r="I254" s="1008">
        <f t="array" ref="I254">SUMPRODUCT(TRANSPOSE($D$237:$D$239),F254:H254)</f>
        <v>12076311.299953742</v>
      </c>
      <c r="J254" s="838"/>
      <c r="K254" s="838"/>
      <c r="L254" s="1018" t="s">
        <v>73</v>
      </c>
      <c r="M254" s="864" t="s">
        <v>33</v>
      </c>
      <c r="N254" s="1015" t="s">
        <v>603</v>
      </c>
      <c r="O254" s="838">
        <f ca="1">SUMIF($D$247:$D$281,N254,$I$247:$I$280)</f>
        <v>21628361.099202298</v>
      </c>
      <c r="P254" s="838"/>
    </row>
    <row r="255" spans="3:16" ht="25.5" x14ac:dyDescent="0.25">
      <c r="C255" s="1010" t="s">
        <v>599</v>
      </c>
      <c r="D255" s="1009" t="s">
        <v>584</v>
      </c>
      <c r="E255" s="1033">
        <v>0.17099006218979618</v>
      </c>
      <c r="F255" s="1008">
        <f t="shared" si="37"/>
        <v>5.6314658157904977E-2</v>
      </c>
      <c r="G255" s="1008">
        <f t="shared" si="37"/>
        <v>0.30340651387213513</v>
      </c>
      <c r="H255" s="1008">
        <f t="shared" si="37"/>
        <v>8.285065820222362E-2</v>
      </c>
      <c r="I255" s="1008">
        <f t="array" ref="I255">SUMPRODUCT(TRANSPOSE($D$237:$D$239),F255:H255)</f>
        <v>1383574.1670308688</v>
      </c>
      <c r="J255" s="838"/>
      <c r="K255" s="838"/>
      <c r="L255" s="1018" t="s">
        <v>73</v>
      </c>
      <c r="M255" s="864" t="s">
        <v>34</v>
      </c>
      <c r="N255" s="1015" t="s">
        <v>600</v>
      </c>
      <c r="O255" s="838">
        <f ca="1">SUMIF($D$247:$D$281,N255,$I$247:$I$280)</f>
        <v>12076311.299953742</v>
      </c>
      <c r="P255" s="838"/>
    </row>
    <row r="256" spans="3:16" x14ac:dyDescent="0.25">
      <c r="C256" s="1010" t="s">
        <v>570</v>
      </c>
      <c r="D256" s="1009" t="s">
        <v>584</v>
      </c>
      <c r="E256" s="1034">
        <v>0.37101167049771722</v>
      </c>
      <c r="F256" s="1008">
        <f t="shared" si="37"/>
        <v>0.12219070002723839</v>
      </c>
      <c r="G256" s="1008">
        <f t="shared" si="37"/>
        <v>0.65832689987937265</v>
      </c>
      <c r="H256" s="1008">
        <f t="shared" si="37"/>
        <v>0.17976811463652828</v>
      </c>
      <c r="I256" s="1014">
        <f t="array" ref="I256">SUMPRODUCT(TRANSPOSE($D$237:$D$239),F256:H256)</f>
        <v>3002058.461139285</v>
      </c>
      <c r="J256" s="838"/>
      <c r="K256" s="838"/>
      <c r="L256" s="1017" t="s">
        <v>73</v>
      </c>
      <c r="M256" s="838" t="s">
        <v>35</v>
      </c>
      <c r="N256" s="1015" t="s">
        <v>35</v>
      </c>
      <c r="O256" s="838">
        <f ca="1">SUMIF($D$247:$D$281,N256,$I$247:$I$280)</f>
        <v>6703663.389284092</v>
      </c>
      <c r="P256" s="838"/>
    </row>
    <row r="257" spans="3:16" ht="25.5" x14ac:dyDescent="0.25">
      <c r="C257" s="1013" t="s">
        <v>598</v>
      </c>
      <c r="D257" s="1012"/>
      <c r="E257" s="1032">
        <v>11.687959065410388</v>
      </c>
      <c r="F257" s="1011">
        <f t="array" ref="F257:H257">TRANSPOSE(E237:E239)</f>
        <v>9.5299999999999994</v>
      </c>
      <c r="G257" s="1011">
        <v>15.5</v>
      </c>
      <c r="H257" s="1011">
        <v>6.7150684888564296</v>
      </c>
      <c r="I257" s="1011">
        <f t="array" ref="I257">SUMPRODUCT(TRANSPOSE($D$237:$D$239),F257:H257)</f>
        <v>77258853.05882968</v>
      </c>
      <c r="J257" s="838"/>
      <c r="K257" s="838"/>
      <c r="L257" s="1018" t="s">
        <v>73</v>
      </c>
      <c r="M257" s="864" t="s">
        <v>29</v>
      </c>
      <c r="N257" s="1016"/>
      <c r="O257" s="838">
        <f ca="1">SUMIF($D$247:$D$281,N257,$I$247:$I$280)</f>
        <v>0</v>
      </c>
      <c r="P257" s="838"/>
    </row>
    <row r="258" spans="3:16" ht="25.5" x14ac:dyDescent="0.25">
      <c r="C258" s="1010" t="s">
        <v>597</v>
      </c>
      <c r="D258" s="1009" t="s">
        <v>27</v>
      </c>
      <c r="E258" s="1033">
        <v>9.910954477096924</v>
      </c>
      <c r="F258" s="1008">
        <f t="shared" ref="F258:H261" si="38">F$257*E258/E$257</f>
        <v>8.0810854690837584</v>
      </c>
      <c r="G258" s="1008">
        <f t="shared" si="38"/>
        <v>13.143423375739587</v>
      </c>
      <c r="H258" s="1008">
        <f t="shared" si="38"/>
        <v>5.6941282674921228</v>
      </c>
      <c r="I258" s="1008">
        <f t="array" ref="I258">SUMPRODUCT(TRANSPOSE($D$237:$D$239),F258:H258)</f>
        <v>65512633.243629165</v>
      </c>
      <c r="J258" s="838"/>
      <c r="K258" s="838"/>
      <c r="L258" s="1017" t="s">
        <v>73</v>
      </c>
      <c r="M258" s="864" t="s">
        <v>73</v>
      </c>
      <c r="N258" s="1016"/>
      <c r="O258" s="838"/>
      <c r="P258" s="838"/>
    </row>
    <row r="259" spans="3:16" ht="25.5" x14ac:dyDescent="0.25">
      <c r="C259" s="1010" t="s">
        <v>596</v>
      </c>
      <c r="D259" s="1009" t="s">
        <v>51</v>
      </c>
      <c r="E259" s="1033">
        <v>4.7599362980889091E-2</v>
      </c>
      <c r="F259" s="1008">
        <f t="shared" si="38"/>
        <v>3.8811047050150281E-2</v>
      </c>
      <c r="G259" s="1008">
        <f t="shared" si="38"/>
        <v>6.312394850758965E-2</v>
      </c>
      <c r="H259" s="1008">
        <f t="shared" si="38"/>
        <v>2.7347202420355557E-2</v>
      </c>
      <c r="I259" s="1008">
        <f t="array" ref="I259">SUMPRODUCT(TRANSPOSE($D$237:$D$239),F259:H259)</f>
        <v>314637.66853167745</v>
      </c>
      <c r="J259" s="838"/>
      <c r="K259" s="838"/>
      <c r="L259" s="1020" t="s">
        <v>36</v>
      </c>
      <c r="M259" s="991" t="s">
        <v>73</v>
      </c>
      <c r="N259" s="1019"/>
      <c r="O259" s="1019"/>
      <c r="P259" s="838"/>
    </row>
    <row r="260" spans="3:16" x14ac:dyDescent="0.25">
      <c r="C260" s="1010" t="s">
        <v>595</v>
      </c>
      <c r="D260" s="1009" t="s">
        <v>35</v>
      </c>
      <c r="E260" s="1033">
        <v>1.0141510025081595</v>
      </c>
      <c r="F260" s="1008">
        <f t="shared" si="38"/>
        <v>0.8269073325646018</v>
      </c>
      <c r="G260" s="1008">
        <f t="shared" si="38"/>
        <v>1.3449174873820913</v>
      </c>
      <c r="H260" s="1008">
        <f t="shared" si="38"/>
        <v>0.58265890578267387</v>
      </c>
      <c r="I260" s="1008">
        <f t="array" ref="I260">SUMPRODUCT(TRANSPOSE($D$237:$D$239),F260:H260)</f>
        <v>6703663.389284092</v>
      </c>
      <c r="J260" s="838"/>
      <c r="K260" s="838"/>
      <c r="L260" s="1018" t="s">
        <v>73</v>
      </c>
      <c r="M260" s="864" t="s">
        <v>37</v>
      </c>
      <c r="N260" s="1015" t="s">
        <v>37</v>
      </c>
      <c r="O260" s="838">
        <f ca="1">SUMIF($D$247:$D$281,N260,$I$247:$I$280)</f>
        <v>21292651.03457664</v>
      </c>
      <c r="P260" s="838"/>
    </row>
    <row r="261" spans="3:16" x14ac:dyDescent="0.25">
      <c r="C261" s="1010" t="s">
        <v>570</v>
      </c>
      <c r="D261" s="1009" t="s">
        <v>51</v>
      </c>
      <c r="E261" s="1034">
        <v>0.71525422282441453</v>
      </c>
      <c r="F261" s="1008">
        <f t="shared" si="38"/>
        <v>0.58319615130148761</v>
      </c>
      <c r="G261" s="1008">
        <f t="shared" si="38"/>
        <v>0.94853518837073025</v>
      </c>
      <c r="H261" s="1008">
        <f t="shared" si="38"/>
        <v>0.4109341131612767</v>
      </c>
      <c r="I261" s="1014">
        <f t="array" ref="I261">SUMPRODUCT(TRANSPOSE($D$237:$D$239),F261:H261)</f>
        <v>4727918.7573847473</v>
      </c>
      <c r="J261" s="838"/>
      <c r="K261" s="838"/>
      <c r="L261" s="1017" t="s">
        <v>73</v>
      </c>
      <c r="M261" s="838" t="s">
        <v>39</v>
      </c>
      <c r="N261" s="1015" t="s">
        <v>39</v>
      </c>
      <c r="O261" s="838">
        <f ca="1">SUMIF($D$247:$D$281,N261,$I$247:$I$280)</f>
        <v>4027134.6593714203</v>
      </c>
      <c r="P261" s="838"/>
    </row>
    <row r="262" spans="3:16" ht="25.5" x14ac:dyDescent="0.25">
      <c r="C262" s="1013" t="s">
        <v>36</v>
      </c>
      <c r="D262" s="1012"/>
      <c r="E262" s="1032">
        <v>5.063039779736803</v>
      </c>
      <c r="F262" s="1011">
        <f t="array" ref="F262:H262">TRANSPOSE(H237:H239)</f>
        <v>3.62</v>
      </c>
      <c r="G262" s="1011">
        <v>6.76</v>
      </c>
      <c r="H262" s="1011">
        <v>2.728519107026222</v>
      </c>
      <c r="I262" s="1011">
        <f t="array" ref="I262">SUMPRODUCT(TRANSPOSE($D$237:$D$239),F262:H262)</f>
        <v>33164669.018628486</v>
      </c>
      <c r="J262" s="838"/>
      <c r="K262" s="838"/>
      <c r="L262" s="1018" t="s">
        <v>73</v>
      </c>
      <c r="M262" s="864" t="s">
        <v>40</v>
      </c>
      <c r="N262" s="1015" t="s">
        <v>406</v>
      </c>
      <c r="O262" s="838">
        <f ca="1">SUMIF($D$247:$D$281,N262,$I$247:$I$280)</f>
        <v>0</v>
      </c>
      <c r="P262" s="838"/>
    </row>
    <row r="263" spans="3:16" x14ac:dyDescent="0.25">
      <c r="C263" s="1010" t="s">
        <v>594</v>
      </c>
      <c r="D263" s="1009" t="s">
        <v>576</v>
      </c>
      <c r="E263" s="1033">
        <v>3.2133546936225908E-2</v>
      </c>
      <c r="F263" s="1008">
        <f t="shared" ref="F263:H272" si="39">F$262*E263/E$262</f>
        <v>2.2975019942502752E-2</v>
      </c>
      <c r="G263" s="1008">
        <f t="shared" si="39"/>
        <v>4.2903628400916743E-2</v>
      </c>
      <c r="H263" s="1008">
        <f t="shared" si="39"/>
        <v>1.7317066546250624E-2</v>
      </c>
      <c r="I263" s="1008">
        <f t="array" ref="I263">SUMPRODUCT(TRANSPOSE($D$237:$D$239),F263:H263)</f>
        <v>210485.89284240126</v>
      </c>
      <c r="J263" s="838"/>
      <c r="K263" s="838"/>
      <c r="L263" s="1017" t="s">
        <v>73</v>
      </c>
      <c r="M263" s="838" t="s">
        <v>29</v>
      </c>
      <c r="N263" s="1016"/>
      <c r="O263" s="838">
        <f ca="1">SUMIF($D$247:$D$281,N263,$I$247:$I$280)</f>
        <v>0</v>
      </c>
      <c r="P263" s="838"/>
    </row>
    <row r="264" spans="3:16" x14ac:dyDescent="0.25">
      <c r="C264" s="1010" t="s">
        <v>593</v>
      </c>
      <c r="D264" s="1009" t="s">
        <v>39</v>
      </c>
      <c r="E264" s="1033">
        <v>2.6689579688504467E-2</v>
      </c>
      <c r="F264" s="1008">
        <f t="shared" si="39"/>
        <v>1.9082662328481385E-2</v>
      </c>
      <c r="G264" s="1008">
        <f t="shared" si="39"/>
        <v>3.5635026889650319E-2</v>
      </c>
      <c r="H264" s="1008">
        <f t="shared" si="39"/>
        <v>1.4383262092870429E-2</v>
      </c>
      <c r="I264" s="1008">
        <f t="array" ref="I264">SUMPRODUCT(TRANSPOSE($D$237:$D$239),F264:H264)</f>
        <v>174826.01660727497</v>
      </c>
      <c r="J264" s="838"/>
      <c r="K264" s="838"/>
      <c r="L264" s="1017" t="s">
        <v>73</v>
      </c>
      <c r="M264" s="838" t="s">
        <v>73</v>
      </c>
      <c r="N264" s="1016"/>
      <c r="O264" s="838"/>
      <c r="P264" s="838"/>
    </row>
    <row r="265" spans="3:16" x14ac:dyDescent="0.25">
      <c r="C265" s="1010" t="s">
        <v>592</v>
      </c>
      <c r="D265" s="1009" t="s">
        <v>39</v>
      </c>
      <c r="E265" s="1033">
        <v>0.56580141417795793</v>
      </c>
      <c r="F265" s="1008">
        <f t="shared" si="39"/>
        <v>0.40453980383908444</v>
      </c>
      <c r="G265" s="1008">
        <f t="shared" si="39"/>
        <v>0.75543897070503063</v>
      </c>
      <c r="H265" s="1008">
        <f t="shared" si="39"/>
        <v>0.30491563102971869</v>
      </c>
      <c r="I265" s="1008">
        <f t="array" ref="I265">SUMPRODUCT(TRANSPOSE($D$237:$D$239),F265:H265)</f>
        <v>3706195.7732552839</v>
      </c>
      <c r="J265" s="838"/>
      <c r="K265" s="838"/>
      <c r="L265" s="1020" t="s">
        <v>42</v>
      </c>
      <c r="M265" s="991" t="s">
        <v>73</v>
      </c>
      <c r="N265" s="1019"/>
      <c r="O265" s="1019"/>
      <c r="P265" s="838"/>
    </row>
    <row r="266" spans="3:16" ht="25.5" x14ac:dyDescent="0.25">
      <c r="C266" s="1010" t="s">
        <v>591</v>
      </c>
      <c r="D266" s="1009" t="s">
        <v>39</v>
      </c>
      <c r="E266" s="1033">
        <v>1.20986869515108E-2</v>
      </c>
      <c r="F266" s="1008">
        <f t="shared" si="39"/>
        <v>8.6503856714208651E-3</v>
      </c>
      <c r="G266" s="1008">
        <f t="shared" si="39"/>
        <v>1.615375887812294E-2</v>
      </c>
      <c r="H266" s="1008">
        <f t="shared" si="39"/>
        <v>6.5200946374634481E-3</v>
      </c>
      <c r="I266" s="1008">
        <f t="array" ref="I266">SUMPRODUCT(TRANSPOSE($D$237:$D$239),F266:H266)</f>
        <v>79250.601567999794</v>
      </c>
      <c r="J266" s="838"/>
      <c r="K266" s="838"/>
      <c r="L266" s="1018" t="s">
        <v>73</v>
      </c>
      <c r="M266" s="864" t="s">
        <v>43</v>
      </c>
      <c r="N266" s="1015" t="s">
        <v>579</v>
      </c>
      <c r="O266" s="838">
        <f ca="1">SUMIF($D$247:$D$281,N266,$I$247:$I$280)</f>
        <v>8034.7515971114926</v>
      </c>
      <c r="P266" s="838"/>
    </row>
    <row r="267" spans="3:16" x14ac:dyDescent="0.25">
      <c r="C267" s="1010" t="s">
        <v>590</v>
      </c>
      <c r="D267" s="1009" t="s">
        <v>37</v>
      </c>
      <c r="E267" s="1033">
        <v>6.2084204407862213E-2</v>
      </c>
      <c r="F267" s="1008">
        <f t="shared" si="39"/>
        <v>4.4389305581980704E-2</v>
      </c>
      <c r="G267" s="1008">
        <f t="shared" si="39"/>
        <v>8.2892736390660096E-2</v>
      </c>
      <c r="H267" s="1008">
        <f t="shared" si="39"/>
        <v>3.3457753709408865E-2</v>
      </c>
      <c r="I267" s="1008">
        <f t="array" ref="I267">SUMPRODUCT(TRANSPOSE($D$237:$D$239),F267:H267)</f>
        <v>406673.10154506844</v>
      </c>
      <c r="J267" s="838"/>
      <c r="K267" s="838"/>
      <c r="L267" s="1018" t="s">
        <v>73</v>
      </c>
      <c r="M267" s="864" t="s">
        <v>44</v>
      </c>
      <c r="N267" s="1015" t="s">
        <v>577</v>
      </c>
      <c r="O267" s="838">
        <f ca="1">SUMIF($D$247:$D$281,N267,$I$247:$I$280)</f>
        <v>1755.1641838350342</v>
      </c>
      <c r="P267" s="838"/>
    </row>
    <row r="268" spans="3:16" x14ac:dyDescent="0.25">
      <c r="C268" s="1010" t="s">
        <v>589</v>
      </c>
      <c r="D268" s="1009" t="s">
        <v>37</v>
      </c>
      <c r="E268" s="1033">
        <v>2.932230345976456</v>
      </c>
      <c r="F268" s="1008">
        <f t="shared" si="39"/>
        <v>2.0965021635651784</v>
      </c>
      <c r="G268" s="1008">
        <f t="shared" si="39"/>
        <v>3.9150150899725427</v>
      </c>
      <c r="H268" s="1008">
        <f t="shared" si="39"/>
        <v>1.5802061356932051</v>
      </c>
      <c r="I268" s="1008">
        <f t="array" ref="I268">SUMPRODUCT(TRANSPOSE($D$237:$D$239),F268:H268)</f>
        <v>19207127.168916475</v>
      </c>
      <c r="J268" s="838"/>
      <c r="K268" s="838"/>
      <c r="L268" s="1017" t="s">
        <v>73</v>
      </c>
      <c r="M268" s="838" t="s">
        <v>45</v>
      </c>
      <c r="N268" s="1015" t="s">
        <v>574</v>
      </c>
      <c r="O268" s="838">
        <f ca="1">SUMIF($D$247:$D$281,N268,$I$247:$I$280)</f>
        <v>46141.316210596582</v>
      </c>
      <c r="P268" s="838"/>
    </row>
    <row r="269" spans="3:16" ht="25.5" x14ac:dyDescent="0.25">
      <c r="C269" s="1010" t="s">
        <v>588</v>
      </c>
      <c r="D269" s="1009" t="s">
        <v>37</v>
      </c>
      <c r="E269" s="1033">
        <v>0.25350681899495053</v>
      </c>
      <c r="F269" s="1008">
        <f t="shared" si="39"/>
        <v>0.18125369830877103</v>
      </c>
      <c r="G269" s="1008">
        <f t="shared" si="39"/>
        <v>0.33847375706278787</v>
      </c>
      <c r="H269" s="1008">
        <f t="shared" si="39"/>
        <v>0.1366171765344332</v>
      </c>
      <c r="I269" s="1008">
        <f t="array" ref="I269">SUMPRODUCT(TRANSPOSE($D$237:$D$239),F269:H269)</f>
        <v>1660557.7107217493</v>
      </c>
      <c r="J269" s="838"/>
      <c r="K269" s="838"/>
      <c r="L269" s="1018" t="s">
        <v>73</v>
      </c>
      <c r="M269" s="864" t="s">
        <v>46</v>
      </c>
      <c r="N269" s="1015" t="s">
        <v>572</v>
      </c>
      <c r="O269" s="838">
        <f ca="1">SUMIF($D$247:$D$281,N269,$I$247:$I$280)</f>
        <v>0</v>
      </c>
      <c r="P269" s="838"/>
    </row>
    <row r="270" spans="3:16" x14ac:dyDescent="0.25">
      <c r="C270" s="1010" t="s">
        <v>587</v>
      </c>
      <c r="D270" s="1009" t="s">
        <v>39</v>
      </c>
      <c r="E270" s="1033">
        <v>1.0207438589477702E-2</v>
      </c>
      <c r="F270" s="1008">
        <f t="shared" si="39"/>
        <v>7.2981705262900667E-3</v>
      </c>
      <c r="G270" s="1008">
        <f t="shared" si="39"/>
        <v>1.3628627833624543E-2</v>
      </c>
      <c r="H270" s="1008">
        <f t="shared" si="39"/>
        <v>5.500883350087863E-3</v>
      </c>
      <c r="I270" s="1008">
        <f t="array" ref="I270">SUMPRODUCT(TRANSPOSE($D$237:$D$239),F270:H270)</f>
        <v>66862.267940861799</v>
      </c>
      <c r="J270" s="838"/>
      <c r="K270" s="838"/>
      <c r="L270" s="1017" t="s">
        <v>73</v>
      </c>
      <c r="M270" s="838" t="s">
        <v>29</v>
      </c>
      <c r="N270" s="1016"/>
      <c r="O270" s="838">
        <f ca="1">SUMIF($D$247:$D$281,N270,$I$247:$I$280)</f>
        <v>0</v>
      </c>
      <c r="P270" s="838"/>
    </row>
    <row r="271" spans="3:16" x14ac:dyDescent="0.25">
      <c r="C271" s="1010" t="s">
        <v>586</v>
      </c>
      <c r="D271" s="1009" t="s">
        <v>37</v>
      </c>
      <c r="E271" s="1033">
        <v>2.7926844972077521E-3</v>
      </c>
      <c r="F271" s="1008">
        <f t="shared" si="39"/>
        <v>1.9967289058940782E-3</v>
      </c>
      <c r="G271" s="1008">
        <f t="shared" si="39"/>
        <v>3.72869817785745E-3</v>
      </c>
      <c r="H271" s="1008">
        <f t="shared" si="39"/>
        <v>1.5050035832275014E-3</v>
      </c>
      <c r="I271" s="1008">
        <f t="array" ref="I271">SUMPRODUCT(TRANSPOSE($D$237:$D$239),F271:H271)</f>
        <v>18293.053393344002</v>
      </c>
      <c r="J271" s="838"/>
      <c r="K271" s="838"/>
      <c r="L271" s="1017" t="s">
        <v>73</v>
      </c>
      <c r="M271" s="838" t="s">
        <v>73</v>
      </c>
      <c r="N271" s="1016"/>
      <c r="O271" s="838"/>
      <c r="P271" s="838"/>
    </row>
    <row r="272" spans="3:16" x14ac:dyDescent="0.25">
      <c r="C272" s="1010" t="s">
        <v>570</v>
      </c>
      <c r="D272" s="1009" t="s">
        <v>581</v>
      </c>
      <c r="E272" s="1034">
        <v>1.1654950595166491</v>
      </c>
      <c r="F272" s="1008">
        <f t="shared" si="39"/>
        <v>0.83331206133039604</v>
      </c>
      <c r="G272" s="1008">
        <f t="shared" si="39"/>
        <v>1.5561297056888057</v>
      </c>
      <c r="H272" s="1008">
        <f t="shared" si="39"/>
        <v>0.62809609984955594</v>
      </c>
      <c r="I272" s="1014">
        <f t="array" ref="I272">SUMPRODUCT(TRANSPOSE($D$237:$D$239),F272:H272)</f>
        <v>7634397.431838017</v>
      </c>
      <c r="J272" s="838"/>
      <c r="K272" s="838"/>
      <c r="L272" s="1020" t="s">
        <v>47</v>
      </c>
      <c r="M272" s="991" t="s">
        <v>73</v>
      </c>
      <c r="N272" s="1019"/>
      <c r="O272" s="1019"/>
      <c r="P272" s="838"/>
    </row>
    <row r="273" spans="3:16" x14ac:dyDescent="0.25">
      <c r="C273" s="1013" t="s">
        <v>583</v>
      </c>
      <c r="D273" s="1012"/>
      <c r="E273" s="1032">
        <f>E274+E279</f>
        <v>0.49974912325349358</v>
      </c>
      <c r="F273" s="1011">
        <f t="array" ref="F273:H273">TRANSPOSE(I237:I239)</f>
        <v>0.106</v>
      </c>
      <c r="G273" s="1011">
        <v>0.48</v>
      </c>
      <c r="H273" s="1011">
        <v>0.13738179439836146</v>
      </c>
      <c r="I273" s="1011">
        <f t="array" ref="I273">SUMPRODUCT(TRANSPOSE($D$237:$D$239),F273:H273)</f>
        <v>2205578.3170556338</v>
      </c>
      <c r="J273" s="838"/>
      <c r="K273" s="838"/>
      <c r="L273" s="1018" t="s">
        <v>73</v>
      </c>
      <c r="M273" s="864" t="s">
        <v>48</v>
      </c>
      <c r="N273" s="1015" t="s">
        <v>585</v>
      </c>
      <c r="O273" s="838">
        <f t="shared" ref="O273:O278" ca="1" si="40">SUMIF($D$247:$D$281,N273,$I$247:$I$280)</f>
        <v>56855810.49530147</v>
      </c>
      <c r="P273" s="838"/>
    </row>
    <row r="274" spans="3:16" ht="25.5" x14ac:dyDescent="0.25">
      <c r="C274" s="1013" t="s">
        <v>582</v>
      </c>
      <c r="D274" s="1012"/>
      <c r="E274" s="1032">
        <v>1.2673131547455432E-2</v>
      </c>
      <c r="F274" s="1011"/>
      <c r="G274" s="1011"/>
      <c r="H274" s="1011"/>
      <c r="I274" s="1011"/>
      <c r="J274" s="838"/>
      <c r="K274" s="838"/>
      <c r="L274" s="1018" t="s">
        <v>73</v>
      </c>
      <c r="M274" s="864" t="s">
        <v>50</v>
      </c>
      <c r="N274" s="1015" t="s">
        <v>584</v>
      </c>
      <c r="O274" s="838">
        <f t="shared" ca="1" si="40"/>
        <v>4385632.6281701541</v>
      </c>
      <c r="P274" s="838"/>
    </row>
    <row r="275" spans="3:16" x14ac:dyDescent="0.25">
      <c r="C275" s="1010" t="s">
        <v>580</v>
      </c>
      <c r="D275" s="1009" t="s">
        <v>579</v>
      </c>
      <c r="E275" s="1033">
        <v>1.8205474886860663E-3</v>
      </c>
      <c r="F275" s="1008">
        <f t="shared" ref="F275:H277" si="41">F$273*E275/E$273</f>
        <v>3.8614981962226781E-4</v>
      </c>
      <c r="G275" s="1008">
        <f t="shared" si="41"/>
        <v>1.7486029567800807E-3</v>
      </c>
      <c r="H275" s="1008">
        <f t="shared" si="41"/>
        <v>5.0047127477651659E-4</v>
      </c>
      <c r="I275" s="1008">
        <f t="array" ref="I275">SUMPRODUCT(TRANSPOSE($D$237:$D$239),F275:H275)</f>
        <v>8034.7515971114926</v>
      </c>
      <c r="J275" s="838"/>
      <c r="K275" s="838"/>
      <c r="L275" s="1017" t="s">
        <v>73</v>
      </c>
      <c r="M275" s="838" t="s">
        <v>51</v>
      </c>
      <c r="N275" s="1015" t="s">
        <v>51</v>
      </c>
      <c r="O275" s="838">
        <f t="shared" ca="1" si="40"/>
        <v>5042556.425916425</v>
      </c>
      <c r="P275" s="838"/>
    </row>
    <row r="276" spans="3:16" x14ac:dyDescent="0.25">
      <c r="C276" s="1010" t="s">
        <v>578</v>
      </c>
      <c r="D276" s="1009" t="s">
        <v>577</v>
      </c>
      <c r="E276" s="1033">
        <v>3.976924125770533E-4</v>
      </c>
      <c r="F276" s="1008">
        <f t="shared" si="41"/>
        <v>8.4353115936903155E-5</v>
      </c>
      <c r="G276" s="1008">
        <f t="shared" si="41"/>
        <v>3.8197637405390104E-4</v>
      </c>
      <c r="H276" s="1008">
        <f t="shared" si="41"/>
        <v>1.0932624934438469E-4</v>
      </c>
      <c r="I276" s="1008">
        <f t="array" ref="I276">SUMPRODUCT(TRANSPOSE($D$237:$D$239),F276:H276)</f>
        <v>1755.1641838350342</v>
      </c>
      <c r="J276" s="838"/>
      <c r="K276" s="838"/>
      <c r="L276" s="838" t="s">
        <v>73</v>
      </c>
      <c r="M276" s="838" t="s">
        <v>52</v>
      </c>
      <c r="N276" s="1015" t="s">
        <v>581</v>
      </c>
      <c r="O276" s="838">
        <f t="shared" ca="1" si="40"/>
        <v>7634397.431838017</v>
      </c>
      <c r="P276" s="838"/>
    </row>
    <row r="277" spans="3:16" ht="25.5" x14ac:dyDescent="0.25">
      <c r="C277" s="1010" t="s">
        <v>575</v>
      </c>
      <c r="D277" s="1009" t="s">
        <v>574</v>
      </c>
      <c r="E277" s="1033">
        <v>1.0454891646192312E-2</v>
      </c>
      <c r="F277" s="1008">
        <f t="shared" si="41"/>
        <v>2.2175496922968098E-3</v>
      </c>
      <c r="G277" s="1008">
        <f t="shared" si="41"/>
        <v>1.0041734455683668E-2</v>
      </c>
      <c r="H277" s="1008">
        <f t="shared" si="41"/>
        <v>2.8740656216534916E-3</v>
      </c>
      <c r="I277" s="1008">
        <f t="array" ref="I277">SUMPRODUCT(TRANSPOSE($D$237:$D$239),F277:H277)</f>
        <v>46141.316210596582</v>
      </c>
      <c r="J277" s="838"/>
      <c r="K277" s="838"/>
      <c r="L277" s="838" t="s">
        <v>73</v>
      </c>
      <c r="M277" s="838" t="s">
        <v>29</v>
      </c>
      <c r="N277" s="1016" t="s">
        <v>29</v>
      </c>
      <c r="O277" s="838">
        <f t="shared" ca="1" si="40"/>
        <v>357858.47525969875</v>
      </c>
      <c r="P277" s="838"/>
    </row>
    <row r="278" spans="3:16" ht="25.5" x14ac:dyDescent="0.25">
      <c r="C278" s="1010" t="s">
        <v>573</v>
      </c>
      <c r="D278" s="1009" t="s">
        <v>572</v>
      </c>
      <c r="E278" s="1034" t="s">
        <v>73</v>
      </c>
      <c r="F278" s="1014"/>
      <c r="G278" s="1014"/>
      <c r="H278" s="1014"/>
      <c r="I278" s="1008"/>
      <c r="J278" s="838"/>
      <c r="K278" s="838"/>
      <c r="L278" s="838" t="s">
        <v>73</v>
      </c>
      <c r="M278" s="838" t="s">
        <v>53</v>
      </c>
      <c r="N278" s="1015" t="s">
        <v>576</v>
      </c>
      <c r="O278" s="838">
        <f t="shared" ca="1" si="40"/>
        <v>210485.89284240126</v>
      </c>
      <c r="P278" s="838"/>
    </row>
    <row r="279" spans="3:16" x14ac:dyDescent="0.25">
      <c r="C279" s="1013" t="s">
        <v>141</v>
      </c>
      <c r="D279" s="1012"/>
      <c r="E279" s="1032">
        <v>0.48707599170603816</v>
      </c>
      <c r="F279" s="838"/>
      <c r="G279" s="838"/>
      <c r="H279" s="838"/>
      <c r="I279" s="1008"/>
      <c r="J279" s="838"/>
      <c r="K279" s="838"/>
      <c r="L279" s="838"/>
      <c r="M279" s="838"/>
      <c r="N279" s="838"/>
      <c r="O279" s="838"/>
      <c r="P279" s="838"/>
    </row>
    <row r="280" spans="3:16" x14ac:dyDescent="0.25">
      <c r="C280" s="1010" t="s">
        <v>571</v>
      </c>
      <c r="D280" s="1009" t="s">
        <v>29</v>
      </c>
      <c r="E280" s="1035">
        <v>8.1085064119876982E-2</v>
      </c>
      <c r="F280" s="1008">
        <f t="shared" ref="F280:H281" si="42">F$273*E280/E$273</f>
        <v>1.7198663082690812E-2</v>
      </c>
      <c r="G280" s="1008">
        <f t="shared" si="42"/>
        <v>7.7880738487656517E-2</v>
      </c>
      <c r="H280" s="1008">
        <f t="shared" si="42"/>
        <v>2.2290407505216218E-2</v>
      </c>
      <c r="I280" s="1008">
        <f t="array" ref="I280">SUMPRODUCT(TRANSPOSE($D$237:$D$239),F280:H280)</f>
        <v>357858.47525969875</v>
      </c>
      <c r="J280" s="838"/>
      <c r="K280" s="838"/>
      <c r="L280" s="838"/>
      <c r="M280" s="838"/>
      <c r="N280" s="838"/>
      <c r="O280" s="838"/>
      <c r="P280" s="838"/>
    </row>
    <row r="281" spans="3:16" ht="15.75" thickBot="1" x14ac:dyDescent="0.3">
      <c r="C281" s="1010" t="s">
        <v>570</v>
      </c>
      <c r="D281" s="1009"/>
      <c r="E281" s="1033">
        <v>0.40599092758616118</v>
      </c>
      <c r="F281" s="1008">
        <f t="shared" si="42"/>
        <v>8.611328428945321E-2</v>
      </c>
      <c r="G281" s="1008">
        <f t="shared" si="42"/>
        <v>0.38994694772582583</v>
      </c>
      <c r="H281" s="1008">
        <f t="shared" si="42"/>
        <v>0.11160752374737085</v>
      </c>
      <c r="I281" s="1008">
        <f t="array" ref="I281">SUMPRODUCT(TRANSPOSE($D$237:$D$239),F281:H281)</f>
        <v>1791788.6098043921</v>
      </c>
      <c r="J281" s="838"/>
      <c r="K281" s="838"/>
      <c r="L281" s="838"/>
      <c r="M281" s="838"/>
      <c r="N281" s="838"/>
      <c r="O281" s="838"/>
      <c r="P281" s="838"/>
    </row>
    <row r="282" spans="3:16" ht="15.75" thickTop="1" x14ac:dyDescent="0.25">
      <c r="C282" s="1007" t="s">
        <v>569</v>
      </c>
      <c r="D282" s="1007"/>
      <c r="E282" s="1036">
        <v>51.362142998900609</v>
      </c>
      <c r="F282" s="1006">
        <f>SUM(F273,F262,F257,F252,F247)</f>
        <v>34.503999999999998</v>
      </c>
      <c r="G282" s="1006">
        <f>SUM(G273,G262,G257,G252,G247)</f>
        <v>63.17</v>
      </c>
      <c r="H282" s="1006">
        <f>SUM(H273,H262,H257,H252,H247)</f>
        <v>25.749467750006545</v>
      </c>
      <c r="I282" s="1006">
        <f t="array" ref="I282">SUMPRODUCT(TRANSPOSE($D$237:$D$239),F282:H282)</f>
        <v>310581561.950073</v>
      </c>
      <c r="J282" s="838"/>
      <c r="K282" s="838"/>
      <c r="L282" s="838"/>
      <c r="M282" s="838"/>
      <c r="N282" s="838"/>
      <c r="O282" s="838"/>
      <c r="P282" s="838"/>
    </row>
    <row r="283" spans="3:16" x14ac:dyDescent="0.25">
      <c r="J283" s="838"/>
      <c r="K283" s="838"/>
      <c r="L283" s="838"/>
      <c r="M283" s="838"/>
      <c r="N283" s="838"/>
      <c r="O283" s="838"/>
      <c r="P283" s="838"/>
    </row>
    <row r="284" spans="3:16" x14ac:dyDescent="0.25">
      <c r="J284" s="838"/>
      <c r="K284" s="838"/>
      <c r="L284" s="838"/>
      <c r="M284" s="838"/>
      <c r="N284" s="838"/>
      <c r="O284" s="838"/>
      <c r="P284" s="838"/>
    </row>
  </sheetData>
  <mergeCells count="68">
    <mergeCell ref="C128:G128"/>
    <mergeCell ref="M128:Q128"/>
    <mergeCell ref="H128:L128"/>
    <mergeCell ref="Q129:Q130"/>
    <mergeCell ref="A89:G91"/>
    <mergeCell ref="A166:G168"/>
    <mergeCell ref="N129:N130"/>
    <mergeCell ref="O129:O130"/>
    <mergeCell ref="P129:P130"/>
    <mergeCell ref="C129:C130"/>
    <mergeCell ref="D129:D130"/>
    <mergeCell ref="E129:E130"/>
    <mergeCell ref="F129:F130"/>
    <mergeCell ref="G129:G130"/>
    <mergeCell ref="M129:M130"/>
    <mergeCell ref="H129:H130"/>
    <mergeCell ref="I129:I130"/>
    <mergeCell ref="J129:J130"/>
    <mergeCell ref="K129:K130"/>
    <mergeCell ref="L129:L130"/>
    <mergeCell ref="L5:N5"/>
    <mergeCell ref="G5:K5"/>
    <mergeCell ref="AJ5:AN5"/>
    <mergeCell ref="AD5:AH5"/>
    <mergeCell ref="Y5:AC5"/>
    <mergeCell ref="O5:S5"/>
    <mergeCell ref="T5:X5"/>
    <mergeCell ref="G6:G7"/>
    <mergeCell ref="T6:T7"/>
    <mergeCell ref="M6:M7"/>
    <mergeCell ref="N6:N7"/>
    <mergeCell ref="L6:L7"/>
    <mergeCell ref="S6:S7"/>
    <mergeCell ref="R6:R7"/>
    <mergeCell ref="Q6:Q7"/>
    <mergeCell ref="P6:P7"/>
    <mergeCell ref="O6:O7"/>
    <mergeCell ref="Z6:Z7"/>
    <mergeCell ref="K6:K7"/>
    <mergeCell ref="J6:J7"/>
    <mergeCell ref="I6:I7"/>
    <mergeCell ref="H6:H7"/>
    <mergeCell ref="U6:U7"/>
    <mergeCell ref="V6:V7"/>
    <mergeCell ref="W6:W7"/>
    <mergeCell ref="X6:X7"/>
    <mergeCell ref="Y6:Y7"/>
    <mergeCell ref="AB6:AB7"/>
    <mergeCell ref="AC6:AC7"/>
    <mergeCell ref="AD6:AD7"/>
    <mergeCell ref="AE6:AE7"/>
    <mergeCell ref="AF6:AF7"/>
    <mergeCell ref="E235:J235"/>
    <mergeCell ref="K235:O235"/>
    <mergeCell ref="C195:F195"/>
    <mergeCell ref="G195:J195"/>
    <mergeCell ref="AN6:AN7"/>
    <mergeCell ref="AI6:AI7"/>
    <mergeCell ref="G52:H52"/>
    <mergeCell ref="E52:F52"/>
    <mergeCell ref="C52:D52"/>
    <mergeCell ref="AG6:AG7"/>
    <mergeCell ref="AH6:AH7"/>
    <mergeCell ref="AJ6:AJ7"/>
    <mergeCell ref="AK6:AK7"/>
    <mergeCell ref="AL6:AL7"/>
    <mergeCell ref="AM6:AM7"/>
    <mergeCell ref="AA6:AA7"/>
  </mergeCells>
  <pageMargins left="0.7" right="0.7" top="0.75" bottom="0.75" header="0.3" footer="0.3"/>
  <pageSetup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theme="5"/>
  </sheetPr>
  <dimension ref="A1:AF70"/>
  <sheetViews>
    <sheetView topLeftCell="C1" zoomScale="59" zoomScaleNormal="59" workbookViewId="0">
      <selection activeCell="F37" sqref="F37"/>
    </sheetView>
  </sheetViews>
  <sheetFormatPr defaultColWidth="9.140625" defaultRowHeight="12.75" x14ac:dyDescent="0.2"/>
  <cols>
    <col min="1" max="3" width="9.140625" style="81" customWidth="1"/>
    <col min="4" max="4" width="24.5703125" style="81" customWidth="1"/>
    <col min="5" max="30" width="9.140625" style="81" customWidth="1"/>
    <col min="31" max="33" width="9.140625" style="81"/>
    <col min="34" max="34" width="12" style="81" customWidth="1"/>
    <col min="35" max="35" width="11.5703125" style="81" customWidth="1"/>
    <col min="36" max="41" width="9.140625" style="81"/>
    <col min="42" max="44" width="9.5703125" style="81" bestFit="1" customWidth="1"/>
    <col min="45" max="58" width="9.140625" style="81"/>
    <col min="59" max="59" width="9.5703125" style="81" bestFit="1" customWidth="1"/>
    <col min="60" max="75" width="9.140625" style="81"/>
    <col min="76" max="84" width="9.42578125" style="81" bestFit="1" customWidth="1"/>
    <col min="85" max="85" width="9.140625" style="81"/>
    <col min="86" max="89" width="9.42578125" style="81" bestFit="1" customWidth="1"/>
    <col min="90" max="90" width="10.42578125" style="81" bestFit="1" customWidth="1"/>
    <col min="91" max="95" width="9.42578125" style="81" bestFit="1" customWidth="1"/>
    <col min="96" max="104" width="10.42578125" style="81" bestFit="1" customWidth="1"/>
    <col min="105" max="111" width="10.140625" style="81" bestFit="1" customWidth="1"/>
    <col min="112" max="16384" width="9.140625" style="81"/>
  </cols>
  <sheetData>
    <row r="1" spans="1:32" ht="18" x14ac:dyDescent="0.4">
      <c r="A1" s="52" t="s">
        <v>131</v>
      </c>
      <c r="P1" s="151"/>
      <c r="Q1" s="152"/>
    </row>
    <row r="2" spans="1:32" ht="14.45" x14ac:dyDescent="0.35">
      <c r="A2" s="1040" t="s">
        <v>671</v>
      </c>
      <c r="P2" s="152"/>
      <c r="Q2" s="152"/>
    </row>
    <row r="4" spans="1:32" s="101" customFormat="1" ht="12.95" x14ac:dyDescent="0.3">
      <c r="A4" s="193" t="s">
        <v>505</v>
      </c>
      <c r="B4" s="105"/>
      <c r="C4" s="105"/>
      <c r="D4" s="105"/>
      <c r="E4" s="105"/>
      <c r="F4" s="105"/>
      <c r="G4" s="105"/>
      <c r="H4" s="105"/>
      <c r="I4" s="105"/>
      <c r="J4" s="105"/>
      <c r="K4" s="105"/>
      <c r="L4" s="105"/>
      <c r="M4" s="105"/>
      <c r="N4" s="105"/>
      <c r="O4" s="105"/>
      <c r="P4" s="105"/>
      <c r="Q4" s="105"/>
      <c r="R4" s="105"/>
      <c r="S4" s="105"/>
      <c r="T4" s="105"/>
      <c r="U4" s="105"/>
      <c r="V4" s="105"/>
      <c r="W4" s="105"/>
      <c r="X4" s="105"/>
      <c r="Y4" s="105"/>
      <c r="Z4" s="105"/>
      <c r="AA4" s="105"/>
      <c r="AB4" s="105"/>
      <c r="AC4" s="105"/>
      <c r="AD4" s="105"/>
    </row>
    <row r="6" spans="1:32" ht="12.95" x14ac:dyDescent="0.3">
      <c r="D6" s="783"/>
      <c r="E6" s="783"/>
      <c r="F6" s="783"/>
      <c r="G6" s="54">
        <v>2010</v>
      </c>
      <c r="H6" s="54">
        <v>2011</v>
      </c>
      <c r="I6" s="54">
        <v>2012</v>
      </c>
      <c r="J6" s="54">
        <v>2013</v>
      </c>
      <c r="K6" s="54">
        <v>2014</v>
      </c>
      <c r="L6" s="54">
        <v>2015</v>
      </c>
      <c r="M6" s="54">
        <v>2016</v>
      </c>
      <c r="N6" s="54">
        <v>2017</v>
      </c>
      <c r="O6" s="54">
        <v>2018</v>
      </c>
      <c r="P6" s="54">
        <v>2019</v>
      </c>
      <c r="Q6" s="54">
        <v>2020</v>
      </c>
      <c r="R6" s="54">
        <v>2021</v>
      </c>
      <c r="S6" s="54">
        <v>2022</v>
      </c>
      <c r="T6" s="54">
        <v>2023</v>
      </c>
      <c r="U6" s="54">
        <v>2024</v>
      </c>
      <c r="V6" s="54">
        <v>2025</v>
      </c>
      <c r="W6" s="54">
        <v>2026</v>
      </c>
      <c r="X6" s="54">
        <v>2027</v>
      </c>
      <c r="Y6" s="54">
        <v>2028</v>
      </c>
      <c r="Z6" s="54">
        <v>2029</v>
      </c>
      <c r="AA6" s="54">
        <v>2030</v>
      </c>
      <c r="AB6" s="54">
        <v>2031</v>
      </c>
      <c r="AC6" s="54">
        <v>2032</v>
      </c>
      <c r="AD6" s="54">
        <v>2033</v>
      </c>
      <c r="AE6" s="54">
        <v>2034</v>
      </c>
      <c r="AF6" s="54">
        <v>2035</v>
      </c>
    </row>
    <row r="7" spans="1:32" ht="12.95" x14ac:dyDescent="0.3">
      <c r="A7" s="12" t="s">
        <v>132</v>
      </c>
      <c r="B7" s="57"/>
      <c r="C7" s="57"/>
      <c r="D7" s="787"/>
      <c r="E7" s="787"/>
      <c r="F7" s="787"/>
      <c r="G7" s="57"/>
      <c r="H7" s="57"/>
      <c r="I7" s="57"/>
      <c r="J7" s="57"/>
      <c r="K7" s="57"/>
      <c r="L7" s="57"/>
      <c r="M7" s="57"/>
      <c r="N7" s="57"/>
      <c r="O7" s="57"/>
      <c r="P7" s="57"/>
      <c r="Q7" s="57"/>
      <c r="R7" s="57"/>
      <c r="S7" s="57"/>
      <c r="T7" s="57"/>
      <c r="U7" s="57"/>
      <c r="V7" s="57"/>
      <c r="W7" s="57"/>
      <c r="X7" s="57"/>
      <c r="Y7" s="57"/>
      <c r="Z7" s="57"/>
      <c r="AA7" s="57"/>
      <c r="AB7" s="57"/>
      <c r="AC7" s="57"/>
      <c r="AD7" s="57"/>
      <c r="AE7" s="57"/>
      <c r="AF7" s="57"/>
    </row>
    <row r="8" spans="1:32" ht="12.6" x14ac:dyDescent="0.25">
      <c r="D8" s="783"/>
      <c r="E8" s="783"/>
      <c r="F8" s="783"/>
    </row>
    <row r="9" spans="1:32" ht="12.95" x14ac:dyDescent="0.3">
      <c r="A9" s="54" t="s">
        <v>133</v>
      </c>
      <c r="C9" s="83"/>
      <c r="D9" s="379"/>
      <c r="E9" s="379"/>
      <c r="F9" s="379"/>
    </row>
    <row r="10" spans="1:32" ht="12.6" x14ac:dyDescent="0.25">
      <c r="B10" s="195" t="s">
        <v>134</v>
      </c>
      <c r="C10" s="83"/>
      <c r="D10" s="379"/>
      <c r="E10" s="379"/>
      <c r="F10" s="379"/>
      <c r="G10" s="189">
        <f>IF(User_Inputs!$D$4="Frozen Efficiency",$G34,G34)</f>
        <v>36.873768202819726</v>
      </c>
      <c r="H10" s="189">
        <f>IF(User_Inputs!$D$4="Frozen Efficiency",$G34,H34)</f>
        <v>48.266272480467556</v>
      </c>
      <c r="I10" s="189">
        <f>IF(User_Inputs!$D$4="Frozen Efficiency",$G34,I34)</f>
        <v>61.701198700113544</v>
      </c>
      <c r="J10" s="189">
        <f>IF(User_Inputs!$D$4="Frozen Efficiency",$G34,J34)</f>
        <v>77.591734715380795</v>
      </c>
      <c r="K10" s="189">
        <f>IF(User_Inputs!$D$4="Frozen Efficiency",$G34,K34)</f>
        <v>94.800465488123137</v>
      </c>
      <c r="L10" s="189">
        <f>IF(User_Inputs!$D$4="Frozen Efficiency",$G34,L34)</f>
        <v>112.50003941617493</v>
      </c>
      <c r="M10" s="189">
        <f>IF(User_Inputs!$D$4="Frozen Efficiency",$G34,M34)</f>
        <v>129.3471504340618</v>
      </c>
      <c r="N10" s="189">
        <f>IF(User_Inputs!$D$4="Frozen Efficiency",$G34,N34)</f>
        <v>145.03095133963808</v>
      </c>
      <c r="O10" s="189">
        <f>IF(User_Inputs!$D$4="Frozen Efficiency",$G34,O34)</f>
        <v>159.127310954921</v>
      </c>
      <c r="P10" s="189">
        <f>IF(User_Inputs!$D$4="Frozen Efficiency",$G34,P34)</f>
        <v>171.48202098927979</v>
      </c>
      <c r="Q10" s="189">
        <f>IF(User_Inputs!$D$4="Frozen Efficiency",$G34,Q34)</f>
        <v>182.15170200680319</v>
      </c>
      <c r="R10" s="189">
        <f>IF(User_Inputs!$D$4="Frozen Efficiency",$G34,R34)</f>
        <v>187.8607232688625</v>
      </c>
      <c r="S10" s="189">
        <f>IF(User_Inputs!$D$4="Frozen Efficiency",$G34,S34)</f>
        <v>192.15160570290442</v>
      </c>
      <c r="T10" s="189">
        <f>IF(User_Inputs!$D$4="Frozen Efficiency",$G34,T34)</f>
        <v>195.33034204073093</v>
      </c>
      <c r="U10" s="189">
        <f>IF(User_Inputs!$D$4="Frozen Efficiency",$G34,U34)</f>
        <v>197.66006127320361</v>
      </c>
      <c r="V10" s="189">
        <f>IF(User_Inputs!$D$4="Frozen Efficiency",$G34,V34)</f>
        <v>199.35413887963063</v>
      </c>
      <c r="W10" s="189">
        <f>IF(User_Inputs!$D$4="Frozen Efficiency",$G34,W34)</f>
        <v>200.57896356186501</v>
      </c>
      <c r="X10" s="189">
        <f>IF(User_Inputs!$D$4="Frozen Efficiency",$G34,X34)</f>
        <v>201.46085171629713</v>
      </c>
      <c r="Y10" s="189">
        <f>IF(User_Inputs!$D$4="Frozen Efficiency",$G34,Y34)</f>
        <v>202.09392729485813</v>
      </c>
      <c r="Z10" s="189">
        <f>IF(User_Inputs!$D$4="Frozen Efficiency",$G34,Z34)</f>
        <v>202.54741526513342</v>
      </c>
      <c r="AA10" s="189">
        <f>IF(User_Inputs!$D$4="Frozen Efficiency",$G34,AA34)</f>
        <v>202.87176106409183</v>
      </c>
      <c r="AB10" s="189">
        <f>IF(User_Inputs!$D$4="Frozen Efficiency",$G34,AB34)</f>
        <v>203.10348618652321</v>
      </c>
      <c r="AC10" s="189">
        <f>IF(User_Inputs!$D$4="Frozen Efficiency",$G34,AC34)</f>
        <v>203.26890947460336</v>
      </c>
      <c r="AD10" s="189">
        <f>IF(User_Inputs!$D$4="Frozen Efficiency",$G34,AD34)</f>
        <v>203.38693514979437</v>
      </c>
      <c r="AE10" s="189">
        <f>IF(User_Inputs!$D$4="Frozen Efficiency",$G34,AE34)</f>
        <v>203.47111002115616</v>
      </c>
      <c r="AF10" s="189">
        <f>IF(User_Inputs!$D$4="Frozen Efficiency",$G34,AF34)</f>
        <v>203.53112565740346</v>
      </c>
    </row>
    <row r="11" spans="1:32" s="101" customFormat="1" ht="12.6" x14ac:dyDescent="0.25">
      <c r="B11" s="195" t="s">
        <v>135</v>
      </c>
      <c r="C11" s="81"/>
      <c r="D11" s="783"/>
      <c r="E11" s="783"/>
      <c r="F11" s="783"/>
      <c r="G11" s="189">
        <f>IF(User_Inputs!$D$4="Frozen Efficiency",$G35,G35)</f>
        <v>69.886712931315586</v>
      </c>
      <c r="H11" s="189">
        <f>IF(User_Inputs!$D$4="Frozen Efficiency",$G35,H35)</f>
        <v>84.617739005122857</v>
      </c>
      <c r="I11" s="189">
        <f>IF(User_Inputs!$D$4="Frozen Efficiency",$G35,I35)</f>
        <v>99.77020761765985</v>
      </c>
      <c r="J11" s="189">
        <f>IF(User_Inputs!$D$4="Frozen Efficiency",$G35,J35)</f>
        <v>115.81072942703476</v>
      </c>
      <c r="K11" s="189">
        <f>IF(User_Inputs!$D$4="Frozen Efficiency",$G35,K35)</f>
        <v>131.19780938437214</v>
      </c>
      <c r="L11" s="189">
        <f>IF(User_Inputs!$D$4="Frozen Efficiency",$G35,L35)</f>
        <v>145.46220447607328</v>
      </c>
      <c r="M11" s="189">
        <f>IF(User_Inputs!$D$4="Frozen Efficiency",$G35,M35)</f>
        <v>157.75364681050067</v>
      </c>
      <c r="N11" s="189">
        <f>IF(User_Inputs!$D$4="Frozen Efficiency",$G35,N35)</f>
        <v>168.55506474700036</v>
      </c>
      <c r="O11" s="189">
        <f>IF(User_Inputs!$D$4="Frozen Efficiency",$G35,O35)</f>
        <v>177.96704120423578</v>
      </c>
      <c r="P11" s="189">
        <f>IF(User_Inputs!$D$4="Frozen Efficiency",$G35,P35)</f>
        <v>186.1654499682482</v>
      </c>
      <c r="Q11" s="189">
        <f>IF(User_Inputs!$D$4="Frozen Efficiency",$G35,Q35)</f>
        <v>193.35230342395749</v>
      </c>
      <c r="R11" s="189">
        <f>IF(User_Inputs!$D$4="Frozen Efficiency",$G35,R35)</f>
        <v>196.11147215578865</v>
      </c>
      <c r="S11" s="189">
        <f>IF(User_Inputs!$D$4="Frozen Efficiency",$G35,S35)</f>
        <v>198.15456111208027</v>
      </c>
      <c r="T11" s="189">
        <f>IF(User_Inputs!$D$4="Frozen Efficiency",$G35,T35)</f>
        <v>199.65744029461996</v>
      </c>
      <c r="U11" s="189">
        <f>IF(User_Inputs!$D$4="Frozen Efficiency",$G35,U35)</f>
        <v>200.75757592848979</v>
      </c>
      <c r="V11" s="189">
        <f>IF(User_Inputs!$D$4="Frozen Efficiency",$G35,V35)</f>
        <v>201.56002861929591</v>
      </c>
      <c r="W11" s="189">
        <f>IF(User_Inputs!$D$4="Frozen Efficiency",$G35,W35)</f>
        <v>202.14382617150503</v>
      </c>
      <c r="X11" s="189">
        <f>IF(User_Inputs!$D$4="Frozen Efficiency",$G35,X35)</f>
        <v>202.5677447446416</v>
      </c>
      <c r="Y11" s="189">
        <f>IF(User_Inputs!$D$4="Frozen Efficiency",$G35,Y35)</f>
        <v>202.87514562074011</v>
      </c>
      <c r="Z11" s="189">
        <f>IF(User_Inputs!$D$4="Frozen Efficiency",$G35,Z35)</f>
        <v>203.09783237720012</v>
      </c>
      <c r="AA11" s="189">
        <f>IF(User_Inputs!$D$4="Frozen Efficiency",$G35,AA35)</f>
        <v>203.25903410630769</v>
      </c>
      <c r="AB11" s="189">
        <f>IF(User_Inputs!$D$4="Frozen Efficiency",$G35,AB35)</f>
        <v>203.37566609727986</v>
      </c>
      <c r="AC11" s="189">
        <f>IF(User_Inputs!$D$4="Frozen Efficiency",$G35,AC35)</f>
        <v>203.46001922812226</v>
      </c>
      <c r="AD11" s="189">
        <f>IF(User_Inputs!$D$4="Frozen Efficiency",$G35,AD35)</f>
        <v>203.52101022912549</v>
      </c>
      <c r="AE11" s="189">
        <f>IF(User_Inputs!$D$4="Frozen Efficiency",$G35,AE35)</f>
        <v>203.56510065539746</v>
      </c>
      <c r="AF11" s="189">
        <f>IF(User_Inputs!$D$4="Frozen Efficiency",$G35,AF35)</f>
        <v>203.59696908402657</v>
      </c>
    </row>
    <row r="12" spans="1:32" s="101" customFormat="1" ht="12.6" x14ac:dyDescent="0.25">
      <c r="B12" s="195"/>
      <c r="C12" s="81"/>
      <c r="D12" s="783"/>
      <c r="E12" s="783"/>
      <c r="F12" s="783"/>
      <c r="G12" s="189"/>
      <c r="H12" s="189"/>
      <c r="I12" s="189"/>
      <c r="J12" s="189"/>
      <c r="K12" s="189"/>
      <c r="L12" s="189"/>
      <c r="M12" s="189"/>
      <c r="N12" s="189"/>
      <c r="O12" s="189"/>
      <c r="P12" s="189"/>
      <c r="Q12" s="189"/>
      <c r="R12" s="189"/>
      <c r="S12" s="189"/>
      <c r="T12" s="189"/>
      <c r="U12" s="189"/>
      <c r="V12" s="189"/>
      <c r="W12" s="189"/>
      <c r="X12" s="189"/>
      <c r="Y12" s="189"/>
      <c r="Z12" s="189"/>
      <c r="AA12" s="189"/>
      <c r="AB12" s="189"/>
      <c r="AC12" s="189"/>
      <c r="AD12" s="189"/>
      <c r="AE12" s="189"/>
      <c r="AF12" s="189"/>
    </row>
    <row r="13" spans="1:32" s="101" customFormat="1" ht="12.95" x14ac:dyDescent="0.3">
      <c r="A13" s="60" t="s">
        <v>136</v>
      </c>
      <c r="B13" s="81"/>
      <c r="C13" s="81"/>
      <c r="D13" s="783"/>
      <c r="E13" s="783"/>
      <c r="F13" s="783"/>
      <c r="G13" s="95"/>
      <c r="H13" s="95"/>
      <c r="I13" s="95"/>
      <c r="J13" s="95"/>
      <c r="K13" s="95"/>
      <c r="L13" s="95"/>
      <c r="M13" s="95"/>
      <c r="N13" s="95"/>
      <c r="O13" s="95"/>
      <c r="P13" s="95"/>
      <c r="Q13" s="95"/>
      <c r="R13" s="95"/>
      <c r="S13" s="95"/>
      <c r="T13" s="95"/>
      <c r="U13" s="95"/>
      <c r="V13" s="95"/>
      <c r="W13" s="95"/>
      <c r="X13" s="95"/>
      <c r="Y13" s="95"/>
      <c r="Z13" s="95"/>
      <c r="AA13" s="95"/>
      <c r="AB13" s="95"/>
      <c r="AC13" s="95"/>
      <c r="AD13" s="95"/>
      <c r="AE13" s="95"/>
      <c r="AF13" s="95"/>
    </row>
    <row r="14" spans="1:32" s="101" customFormat="1" ht="12.6" x14ac:dyDescent="0.25">
      <c r="B14" s="95" t="s">
        <v>137</v>
      </c>
      <c r="D14" s="785"/>
      <c r="E14" s="785"/>
      <c r="F14" s="785"/>
      <c r="G14" s="189">
        <f>IF(User_Inputs!$D$4="Frozen Efficiency",$G38,G38)</f>
        <v>55.155329646773986</v>
      </c>
      <c r="H14" s="189">
        <f>IF(User_Inputs!$D$4="Frozen Efficiency",$G38,H38)</f>
        <v>30.953643679604006</v>
      </c>
      <c r="I14" s="189">
        <f>IF(User_Inputs!$D$4="Frozen Efficiency",$G38,I38)</f>
        <v>21.520165869313072</v>
      </c>
      <c r="J14" s="189">
        <f>IF(User_Inputs!$D$4="Frozen Efficiency",$G38,J38)</f>
        <v>16.497391851598039</v>
      </c>
      <c r="K14" s="189">
        <f>IF(User_Inputs!$D$4="Frozen Efficiency",$G38,K38)</f>
        <v>13.378071099176921</v>
      </c>
      <c r="L14" s="189">
        <f>IF(User_Inputs!$D$4="Frozen Efficiency",$G38,L38)</f>
        <v>11.252554117006511</v>
      </c>
      <c r="M14" s="189">
        <f>IF(User_Inputs!$D$4="Frozen Efficiency",$G38,M38)</f>
        <v>9.7111678707816171</v>
      </c>
      <c r="N14" s="189">
        <f>IF(User_Inputs!$D$4="Frozen Efficiency",$G38,N38)</f>
        <v>8.5422078553861791</v>
      </c>
      <c r="O14" s="189">
        <f>IF(User_Inputs!$D$4="Frozen Efficiency",$G38,O38)</f>
        <v>7.6252457176183945</v>
      </c>
      <c r="P14" s="189">
        <f>IF(User_Inputs!$D$4="Frozen Efficiency",$G38,P38)</f>
        <v>6.8867236082633205</v>
      </c>
      <c r="Q14" s="189">
        <f>IF(User_Inputs!$D$4="Frozen Efficiency",$G38,Q38)</f>
        <v>6.2791737149410762</v>
      </c>
      <c r="R14" s="189">
        <f>IF(User_Inputs!$D$4="Frozen Efficiency",$G38,R38)</f>
        <v>5.7705931532247519</v>
      </c>
      <c r="S14" s="189">
        <f>IF(User_Inputs!$D$4="Frozen Efficiency",$G38,S38)</f>
        <v>5.3386202486883541</v>
      </c>
      <c r="T14" s="189">
        <f>IF(User_Inputs!$D$4="Frozen Efficiency",$G38,T38)</f>
        <v>4.9671581811191761</v>
      </c>
      <c r="U14" s="189">
        <f>IF(User_Inputs!$D$4="Frozen Efficiency",$G38,U38)</f>
        <v>4.6443246364914899</v>
      </c>
      <c r="V14" s="189">
        <f>IF(User_Inputs!$D$4="Frozen Efficiency",$G38,V38)</f>
        <v>4.3611572297283203</v>
      </c>
      <c r="W14" s="189">
        <f>IF(User_Inputs!$D$4="Frozen Efficiency",$G38,W38)</f>
        <v>4.1107684974870597</v>
      </c>
      <c r="X14" s="189">
        <f>IF(User_Inputs!$D$4="Frozen Efficiency",$G38,X38)</f>
        <v>3.8877782829617886</v>
      </c>
      <c r="Y14" s="189">
        <f>IF(User_Inputs!$D$4="Frozen Efficiency",$G38,Y38)</f>
        <v>3.6879227869738203</v>
      </c>
      <c r="Z14" s="189">
        <f>IF(User_Inputs!$D$4="Frozen Efficiency",$G38,Z38)</f>
        <v>3.5077792984603033</v>
      </c>
      <c r="AA14" s="189">
        <f>IF(User_Inputs!$D$4="Frozen Efficiency",$G38,AA38)</f>
        <v>3.3445685475253422</v>
      </c>
      <c r="AB14" s="189">
        <f>IF(User_Inputs!$D$4="Frozen Efficiency",$G38,AB38)</f>
        <v>3.1960102906598928</v>
      </c>
      <c r="AC14" s="189">
        <f>IF(User_Inputs!$D$4="Frozen Efficiency",$G38,AC38)</f>
        <v>3.0602161202015736</v>
      </c>
      <c r="AD14" s="189">
        <f>IF(User_Inputs!$D$4="Frozen Efficiency",$G38,AD38)</f>
        <v>2.9356087650814362</v>
      </c>
      <c r="AE14" s="189">
        <f>IF(User_Inputs!$D$4="Frozen Efficiency",$G38,AE38)</f>
        <v>2.8208605467395804</v>
      </c>
      <c r="AF14" s="189">
        <f>IF(User_Inputs!$D$4="Frozen Efficiency",$G38,AF38)</f>
        <v>2.7148458875177668</v>
      </c>
    </row>
    <row r="15" spans="1:32" s="101" customFormat="1" ht="12.6" x14ac:dyDescent="0.25">
      <c r="B15" s="195" t="s">
        <v>138</v>
      </c>
      <c r="D15" s="785"/>
      <c r="E15" s="785"/>
      <c r="F15" s="785"/>
      <c r="G15" s="189">
        <f>IF(User_Inputs!$D$4="Frozen Efficiency",$G39,G39)</f>
        <v>180.88475965641618</v>
      </c>
      <c r="H15" s="189">
        <f>IF(User_Inputs!$D$4="Frozen Efficiency",$G39,H39)</f>
        <v>108.53401257778634</v>
      </c>
      <c r="I15" s="189">
        <f>IF(User_Inputs!$D$4="Frozen Efficiency",$G39,I39)</f>
        <v>77.547284636338034</v>
      </c>
      <c r="J15" s="189">
        <f>IF(User_Inputs!$D$4="Frozen Efficiency",$G39,J39)</f>
        <v>60.337807351118627</v>
      </c>
      <c r="K15" s="189">
        <f>IF(User_Inputs!$D$4="Frozen Efficiency",$G39,K39)</f>
        <v>49.388318732768845</v>
      </c>
      <c r="L15" s="189">
        <f>IF(User_Inputs!$D$4="Frozen Efficiency",$G39,L39)</f>
        <v>41.808813167273925</v>
      </c>
      <c r="M15" s="189">
        <f>IF(User_Inputs!$D$4="Frozen Efficiency",$G39,M39)</f>
        <v>36.250982020674336</v>
      </c>
      <c r="N15" s="189">
        <f>IF(User_Inputs!$D$4="Frozen Efficiency",$G39,N39)</f>
        <v>32.00114583399592</v>
      </c>
      <c r="O15" s="189">
        <f>IF(User_Inputs!$D$4="Frozen Efficiency",$G39,O39)</f>
        <v>28.646177269533947</v>
      </c>
      <c r="P15" s="189">
        <f>IF(User_Inputs!$D$4="Frozen Efficiency",$G39,P39)</f>
        <v>25.930357134543918</v>
      </c>
      <c r="Q15" s="189">
        <f>IF(User_Inputs!$D$4="Frozen Efficiency",$G39,Q39)</f>
        <v>23.686925614494992</v>
      </c>
      <c r="R15" s="189">
        <f>IF(User_Inputs!$D$4="Frozen Efficiency",$G39,R39)</f>
        <v>21.802493526572075</v>
      </c>
      <c r="S15" s="189">
        <f>IF(User_Inputs!$D$4="Frozen Efficiency",$G39,S39)</f>
        <v>20.197272849753819</v>
      </c>
      <c r="T15" s="189">
        <f>IF(User_Inputs!$D$4="Frozen Efficiency",$G39,T39)</f>
        <v>18.813488715155085</v>
      </c>
      <c r="U15" s="189">
        <f>IF(User_Inputs!$D$4="Frozen Efficiency",$G39,U39)</f>
        <v>17.608277585332416</v>
      </c>
      <c r="V15" s="189">
        <f>IF(User_Inputs!$D$4="Frozen Efficiency",$G39,V39)</f>
        <v>16.549168188473637</v>
      </c>
      <c r="W15" s="189">
        <f>IF(User_Inputs!$D$4="Frozen Efficiency",$G39,W39)</f>
        <v>15.611112001932257</v>
      </c>
      <c r="X15" s="189">
        <f>IF(User_Inputs!$D$4="Frozen Efficiency",$G39,X39)</f>
        <v>14.774476913528421</v>
      </c>
      <c r="Y15" s="189">
        <f>IF(User_Inputs!$D$4="Frozen Efficiency",$G39,Y39)</f>
        <v>14.023658273383182</v>
      </c>
      <c r="Z15" s="189">
        <f>IF(User_Inputs!$D$4="Frozen Efficiency",$G39,Z39)</f>
        <v>13.346096501962293</v>
      </c>
      <c r="AA15" s="189">
        <f>IF(User_Inputs!$D$4="Frozen Efficiency",$G39,AA39)</f>
        <v>12.731568876388808</v>
      </c>
      <c r="AB15" s="189">
        <f>IF(User_Inputs!$D$4="Frozen Efficiency",$G39,AB39)</f>
        <v>12.171670188466772</v>
      </c>
      <c r="AC15" s="189">
        <f>IF(User_Inputs!$D$4="Frozen Efficiency",$G39,AC39)</f>
        <v>11.659426010556658</v>
      </c>
      <c r="AD15" s="189">
        <f>IF(User_Inputs!$D$4="Frozen Efficiency",$G39,AD39)</f>
        <v>11.189000678631562</v>
      </c>
      <c r="AE15" s="189">
        <f>IF(User_Inputs!$D$4="Frozen Efficiency",$G39,AE39)</f>
        <v>10.755473989930337</v>
      </c>
      <c r="AF15" s="189">
        <f>IF(User_Inputs!$D$4="Frozen Efficiency",$G39,AF39)</f>
        <v>10.354668462980239</v>
      </c>
    </row>
    <row r="16" spans="1:32" s="101" customFormat="1" ht="12.6" x14ac:dyDescent="0.25">
      <c r="B16" s="195"/>
      <c r="D16" s="785"/>
      <c r="E16" s="785"/>
      <c r="F16" s="785"/>
      <c r="G16" s="198"/>
      <c r="H16" s="198"/>
      <c r="I16" s="198"/>
      <c r="J16" s="198"/>
      <c r="K16" s="198"/>
      <c r="L16" s="198"/>
      <c r="M16" s="198"/>
      <c r="N16" s="198"/>
      <c r="O16" s="198"/>
      <c r="P16" s="198"/>
      <c r="Q16" s="198"/>
      <c r="R16" s="198"/>
      <c r="S16" s="198"/>
      <c r="T16" s="198"/>
      <c r="U16" s="198"/>
      <c r="V16" s="198"/>
      <c r="W16" s="198"/>
      <c r="X16" s="198"/>
      <c r="Y16" s="198"/>
      <c r="Z16" s="198"/>
      <c r="AA16" s="198"/>
      <c r="AB16" s="198"/>
      <c r="AC16" s="198"/>
      <c r="AD16" s="198"/>
      <c r="AE16" s="198"/>
      <c r="AF16" s="198"/>
    </row>
    <row r="17" spans="1:32" s="101" customFormat="1" ht="12.95" x14ac:dyDescent="0.3">
      <c r="A17" s="60" t="s">
        <v>139</v>
      </c>
      <c r="D17" s="785"/>
      <c r="E17" s="785"/>
      <c r="F17" s="785"/>
      <c r="G17" s="198"/>
      <c r="H17" s="195"/>
      <c r="I17" s="195"/>
      <c r="J17" s="195"/>
      <c r="K17" s="195"/>
      <c r="L17" s="195"/>
      <c r="M17" s="195"/>
      <c r="N17" s="195"/>
      <c r="O17" s="195"/>
      <c r="P17" s="195"/>
      <c r="Q17" s="195"/>
      <c r="R17" s="195"/>
      <c r="S17" s="195"/>
      <c r="T17" s="195"/>
      <c r="U17" s="195"/>
      <c r="V17" s="195"/>
      <c r="W17" s="195"/>
      <c r="X17" s="195"/>
      <c r="Y17" s="195"/>
      <c r="Z17" s="195"/>
      <c r="AA17" s="195"/>
      <c r="AB17" s="195"/>
      <c r="AC17" s="195"/>
      <c r="AD17" s="195"/>
      <c r="AE17" s="195"/>
      <c r="AF17" s="195"/>
    </row>
    <row r="18" spans="1:32" s="101" customFormat="1" ht="12.6" x14ac:dyDescent="0.25">
      <c r="B18" s="195" t="s">
        <v>137</v>
      </c>
      <c r="D18" s="785"/>
      <c r="E18" s="785"/>
      <c r="F18" s="785"/>
      <c r="G18" s="189">
        <f>IF(User_Inputs!$D$4="Frozen Efficiency",$G42,G42)</f>
        <v>25000</v>
      </c>
      <c r="H18" s="189">
        <f>IF(User_Inputs!$D$4="Frozen Efficiency",$G42,H42)</f>
        <v>32995.04716202397</v>
      </c>
      <c r="I18" s="189">
        <f>IF(User_Inputs!$D$4="Frozen Efficiency",$G42,I42)</f>
        <v>36571.135449840265</v>
      </c>
      <c r="J18" s="189">
        <f>IF(User_Inputs!$D$4="Frozen Efficiency",$G42,J42)</f>
        <v>39631.507612892776</v>
      </c>
      <c r="K18" s="189">
        <f>IF(User_Inputs!$D$4="Frozen Efficiency",$G42,K42)</f>
        <v>42144.252048148839</v>
      </c>
      <c r="L18" s="189">
        <f>IF(User_Inputs!$D$4="Frozen Efficiency",$G42,L42)</f>
        <v>44138.116803365723</v>
      </c>
      <c r="M18" s="189">
        <f>IF(User_Inputs!$D$4="Frozen Efficiency",$G42,M42)</f>
        <v>45677.819537447656</v>
      </c>
      <c r="N18" s="189">
        <f>IF(User_Inputs!$D$4="Frozen Efficiency",$G42,N42)</f>
        <v>46842.034019012237</v>
      </c>
      <c r="O18" s="189">
        <f>IF(User_Inputs!$D$4="Frozen Efficiency",$G42,O42)</f>
        <v>47708.390378414646</v>
      </c>
      <c r="P18" s="189">
        <f>IF(User_Inputs!$D$4="Frozen Efficiency",$G42,P42)</f>
        <v>48345.465639105656</v>
      </c>
      <c r="Q18" s="189">
        <f>IF(User_Inputs!$D$4="Frozen Efficiency",$G42,Q42)</f>
        <v>48809.850037195916</v>
      </c>
      <c r="R18" s="189">
        <f>IF(User_Inputs!$D$4="Frozen Efficiency",$G42,R42)</f>
        <v>49146.195791508879</v>
      </c>
      <c r="S18" s="189">
        <f>IF(User_Inputs!$D$4="Frozen Efficiency",$G42,S42)</f>
        <v>49388.678095291754</v>
      </c>
      <c r="T18" s="189">
        <f>IF(User_Inputs!$D$4="Frozen Efficiency",$G42,T42)</f>
        <v>49562.907353580449</v>
      </c>
      <c r="U18" s="189">
        <f>IF(User_Inputs!$D$4="Frozen Efficiency",$G42,U42)</f>
        <v>49687.794452091533</v>
      </c>
      <c r="V18" s="189">
        <f>IF(User_Inputs!$D$4="Frozen Efficiency",$G42,V42)</f>
        <v>49777.158961987705</v>
      </c>
      <c r="W18" s="189">
        <f>IF(User_Inputs!$D$4="Frozen Efficiency",$G42,W42)</f>
        <v>49841.025959888604</v>
      </c>
      <c r="X18" s="189">
        <f>IF(User_Inputs!$D$4="Frozen Efficiency",$G42,X42)</f>
        <v>49886.63014876964</v>
      </c>
      <c r="Y18" s="189">
        <f>IF(User_Inputs!$D$4="Frozen Efficiency",$G42,Y42)</f>
        <v>49919.173278474002</v>
      </c>
      <c r="Z18" s="189">
        <f>IF(User_Inputs!$D$4="Frozen Efficiency",$G42,Z42)</f>
        <v>49942.385601358699</v>
      </c>
      <c r="AA18" s="189">
        <f>IF(User_Inputs!$D$4="Frozen Efficiency",$G42,AA42)</f>
        <v>49958.937147906508</v>
      </c>
      <c r="AB18" s="189">
        <f>IF(User_Inputs!$D$4="Frozen Efficiency",$G42,AB42)</f>
        <v>49970.736528712878</v>
      </c>
      <c r="AC18" s="189">
        <f>IF(User_Inputs!$D$4="Frozen Efficiency",$G42,AC42)</f>
        <v>49979.146781228279</v>
      </c>
      <c r="AD18" s="189">
        <f>IF(User_Inputs!$D$4="Frozen Efficiency",$G42,AD42)</f>
        <v>49985.140665785919</v>
      </c>
      <c r="AE18" s="189">
        <f>IF(User_Inputs!$D$4="Frozen Efficiency",$G42,AE42)</f>
        <v>49989.412080467839</v>
      </c>
      <c r="AF18" s="189">
        <f>IF(User_Inputs!$D$4="Frozen Efficiency",$G42,AF42)</f>
        <v>49992.455833840038</v>
      </c>
    </row>
    <row r="19" spans="1:32" s="101" customFormat="1" ht="12.6" x14ac:dyDescent="0.25">
      <c r="B19" s="195" t="s">
        <v>138</v>
      </c>
      <c r="C19" s="81"/>
      <c r="D19" s="783"/>
      <c r="E19" s="783"/>
      <c r="F19" s="783"/>
      <c r="G19" s="189">
        <f>IF(User_Inputs!$D$4="Frozen Efficiency",$G43,G43)</f>
        <v>25000</v>
      </c>
      <c r="H19" s="189">
        <f>IF(User_Inputs!$D$4="Frozen Efficiency",$G43,H43)</f>
        <v>32995.04716202397</v>
      </c>
      <c r="I19" s="189">
        <f>IF(User_Inputs!$D$4="Frozen Efficiency",$G43,I43)</f>
        <v>36571.135449840265</v>
      </c>
      <c r="J19" s="189">
        <f>IF(User_Inputs!$D$4="Frozen Efficiency",$G43,J43)</f>
        <v>39631.507612892776</v>
      </c>
      <c r="K19" s="189">
        <f>IF(User_Inputs!$D$4="Frozen Efficiency",$G43,K43)</f>
        <v>42144.252048148839</v>
      </c>
      <c r="L19" s="189">
        <f>IF(User_Inputs!$D$4="Frozen Efficiency",$G43,L43)</f>
        <v>44138.116803365723</v>
      </c>
      <c r="M19" s="189">
        <f>IF(User_Inputs!$D$4="Frozen Efficiency",$G43,M43)</f>
        <v>45677.819537447656</v>
      </c>
      <c r="N19" s="189">
        <f>IF(User_Inputs!$D$4="Frozen Efficiency",$G43,N43)</f>
        <v>46842.034019012237</v>
      </c>
      <c r="O19" s="189">
        <f>IF(User_Inputs!$D$4="Frozen Efficiency",$G43,O43)</f>
        <v>47708.390378414646</v>
      </c>
      <c r="P19" s="189">
        <f>IF(User_Inputs!$D$4="Frozen Efficiency",$G43,P43)</f>
        <v>48345.465639105656</v>
      </c>
      <c r="Q19" s="189">
        <f>IF(User_Inputs!$D$4="Frozen Efficiency",$G43,Q43)</f>
        <v>48809.850037195916</v>
      </c>
      <c r="R19" s="189">
        <f>IF(User_Inputs!$D$4="Frozen Efficiency",$G43,R43)</f>
        <v>49146.195791508879</v>
      </c>
      <c r="S19" s="189">
        <f>IF(User_Inputs!$D$4="Frozen Efficiency",$G43,S43)</f>
        <v>49388.678095291754</v>
      </c>
      <c r="T19" s="189">
        <f>IF(User_Inputs!$D$4="Frozen Efficiency",$G43,T43)</f>
        <v>49562.907353580449</v>
      </c>
      <c r="U19" s="189">
        <f>IF(User_Inputs!$D$4="Frozen Efficiency",$G43,U43)</f>
        <v>49687.794452091533</v>
      </c>
      <c r="V19" s="189">
        <f>IF(User_Inputs!$D$4="Frozen Efficiency",$G43,V43)</f>
        <v>49777.158961987705</v>
      </c>
      <c r="W19" s="189">
        <f>IF(User_Inputs!$D$4="Frozen Efficiency",$G43,W43)</f>
        <v>49841.025959888604</v>
      </c>
      <c r="X19" s="189">
        <f>IF(User_Inputs!$D$4="Frozen Efficiency",$G43,X43)</f>
        <v>49886.63014876964</v>
      </c>
      <c r="Y19" s="189">
        <f>IF(User_Inputs!$D$4="Frozen Efficiency",$G43,Y43)</f>
        <v>49919.173278474002</v>
      </c>
      <c r="Z19" s="189">
        <f>IF(User_Inputs!$D$4="Frozen Efficiency",$G43,Z43)</f>
        <v>49942.385601358699</v>
      </c>
      <c r="AA19" s="189">
        <f>IF(User_Inputs!$D$4="Frozen Efficiency",$G43,AA43)</f>
        <v>49958.937147906508</v>
      </c>
      <c r="AB19" s="189">
        <f>IF(User_Inputs!$D$4="Frozen Efficiency",$G43,AB43)</f>
        <v>49970.736528712878</v>
      </c>
      <c r="AC19" s="189">
        <f>IF(User_Inputs!$D$4="Frozen Efficiency",$G43,AC43)</f>
        <v>49979.146781228279</v>
      </c>
      <c r="AD19" s="189">
        <f>IF(User_Inputs!$D$4="Frozen Efficiency",$G43,AD43)</f>
        <v>49985.140665785919</v>
      </c>
      <c r="AE19" s="189">
        <f>IF(User_Inputs!$D$4="Frozen Efficiency",$G43,AE43)</f>
        <v>49989.412080467839</v>
      </c>
      <c r="AF19" s="189">
        <f>IF(User_Inputs!$D$4="Frozen Efficiency",$G43,AF43)</f>
        <v>49992.455833840038</v>
      </c>
    </row>
    <row r="20" spans="1:32" s="101" customFormat="1" ht="12.6" x14ac:dyDescent="0.25">
      <c r="B20" s="195" t="s">
        <v>140</v>
      </c>
      <c r="C20" s="81"/>
      <c r="D20" s="783"/>
      <c r="E20" s="783"/>
      <c r="F20" s="783"/>
      <c r="G20" s="189">
        <f>IF(User_Inputs!$D$4="Frozen Efficiency",$G44,G44)</f>
        <v>50000</v>
      </c>
      <c r="H20" s="189">
        <f>IF(User_Inputs!$D$4="Frozen Efficiency",$G44,H44)</f>
        <v>54091.705227092578</v>
      </c>
      <c r="I20" s="189">
        <f>IF(User_Inputs!$D$4="Frozen Efficiency",$G44,I44)</f>
        <v>58805.134078899653</v>
      </c>
      <c r="J20" s="189">
        <f>IF(User_Inputs!$D$4="Frozen Efficiency",$G44,J44)</f>
        <v>62697.662608321159</v>
      </c>
      <c r="K20" s="189">
        <f>IF(User_Inputs!$D$4="Frozen Efficiency",$G44,K44)</f>
        <v>65800.956728889229</v>
      </c>
      <c r="L20" s="189">
        <f>IF(User_Inputs!$D$4="Frozen Efficiency",$G44,L44)</f>
        <v>68206.260878888963</v>
      </c>
      <c r="M20" s="189">
        <f>IF(User_Inputs!$D$4="Frozen Efficiency",$G44,M44)</f>
        <v>70030.143905891222</v>
      </c>
      <c r="N20" s="189">
        <f>IF(User_Inputs!$D$4="Frozen Efficiency",$G44,N44)</f>
        <v>71390.291590203065</v>
      </c>
      <c r="O20" s="189">
        <f>IF(User_Inputs!$D$4="Frozen Efficiency",$G44,O44)</f>
        <v>72392.057242589261</v>
      </c>
      <c r="P20" s="189">
        <f>IF(User_Inputs!$D$4="Frozen Efficiency",$G44,P44)</f>
        <v>73123.122049016441</v>
      </c>
      <c r="Q20" s="189">
        <f>IF(User_Inputs!$D$4="Frozen Efficiency",$G44,Q44)</f>
        <v>73653.066024981803</v>
      </c>
      <c r="R20" s="189">
        <f>IF(User_Inputs!$D$4="Frozen Efficiency",$G44,R44)</f>
        <v>74035.352163707226</v>
      </c>
      <c r="S20" s="189">
        <f>IF(User_Inputs!$D$4="Frozen Efficiency",$G44,S44)</f>
        <v>74310.154268293118</v>
      </c>
      <c r="T20" s="189">
        <f>IF(User_Inputs!$D$4="Frozen Efficiency",$G44,T44)</f>
        <v>74507.193762954717</v>
      </c>
      <c r="U20" s="189">
        <f>IF(User_Inputs!$D$4="Frozen Efficiency",$G44,U44)</f>
        <v>74648.219619734358</v>
      </c>
      <c r="V20" s="189">
        <f>IF(User_Inputs!$D$4="Frozen Efficiency",$G44,V44)</f>
        <v>74749.024193735429</v>
      </c>
      <c r="W20" s="189">
        <f>IF(User_Inputs!$D$4="Frozen Efficiency",$G44,W44)</f>
        <v>74821.011932625945</v>
      </c>
      <c r="X20" s="189">
        <f>IF(User_Inputs!$D$4="Frozen Efficiency",$G44,X44)</f>
        <v>74872.386579816564</v>
      </c>
      <c r="Y20" s="189">
        <f>IF(User_Inputs!$D$4="Frozen Efficiency",$G44,Y44)</f>
        <v>74909.033175548742</v>
      </c>
      <c r="Z20" s="189">
        <f>IF(User_Inputs!$D$4="Frozen Efficiency",$G44,Z44)</f>
        <v>74935.165124428415</v>
      </c>
      <c r="AA20" s="189">
        <f>IF(User_Inputs!$D$4="Frozen Efficiency",$G44,AA44)</f>
        <v>74953.794804817691</v>
      </c>
      <c r="AB20" s="189">
        <f>IF(User_Inputs!$D$4="Frozen Efficiency",$G44,AB44)</f>
        <v>74967.073777130048</v>
      </c>
      <c r="AC20" s="189">
        <f>IF(User_Inputs!$D$4="Frozen Efficiency",$G44,AC44)</f>
        <v>74976.537682561873</v>
      </c>
      <c r="AD20" s="189">
        <f>IF(User_Inputs!$D$4="Frozen Efficiency",$G44,AD44)</f>
        <v>74983.282006920941</v>
      </c>
      <c r="AE20" s="189">
        <f>IF(User_Inputs!$D$4="Frozen Efficiency",$G44,AE44)</f>
        <v>74988.08795990987</v>
      </c>
      <c r="AF20" s="189">
        <f>IF(User_Inputs!$D$4="Frozen Efficiency",$G44,AF44)</f>
        <v>74991.512492915761</v>
      </c>
    </row>
    <row r="21" spans="1:32" s="101" customFormat="1" ht="12.6" x14ac:dyDescent="0.25">
      <c r="D21" s="195"/>
      <c r="E21" s="195"/>
      <c r="F21" s="195"/>
      <c r="G21" s="195"/>
      <c r="H21" s="195"/>
      <c r="I21" s="195"/>
      <c r="J21" s="195"/>
      <c r="K21" s="195"/>
      <c r="L21" s="195"/>
      <c r="M21" s="195"/>
      <c r="N21" s="195"/>
      <c r="O21" s="195"/>
      <c r="P21" s="195"/>
      <c r="Q21" s="195"/>
      <c r="R21" s="195"/>
      <c r="S21" s="195"/>
      <c r="T21" s="195"/>
      <c r="U21" s="195"/>
      <c r="V21" s="195"/>
      <c r="W21" s="195"/>
      <c r="X21" s="195"/>
      <c r="Y21" s="195"/>
      <c r="Z21" s="195"/>
      <c r="AA21" s="195"/>
      <c r="AB21" s="195"/>
      <c r="AC21" s="195"/>
    </row>
    <row r="22" spans="1:32" s="101" customFormat="1" ht="12.95" x14ac:dyDescent="0.3">
      <c r="C22" s="60"/>
      <c r="E22" s="195"/>
      <c r="F22" s="195"/>
      <c r="G22" s="195"/>
      <c r="H22" s="195"/>
      <c r="I22" s="195"/>
      <c r="J22" s="195"/>
      <c r="K22" s="195"/>
      <c r="L22" s="195"/>
      <c r="M22" s="195"/>
      <c r="N22" s="195"/>
      <c r="O22" s="195"/>
      <c r="P22" s="195"/>
      <c r="Q22" s="195"/>
      <c r="R22" s="195"/>
      <c r="S22" s="195"/>
      <c r="T22" s="195"/>
      <c r="U22" s="195"/>
      <c r="V22" s="195"/>
      <c r="W22" s="195"/>
      <c r="X22" s="195"/>
      <c r="Y22" s="195"/>
      <c r="Z22" s="195"/>
      <c r="AA22" s="195"/>
      <c r="AB22" s="195"/>
      <c r="AC22" s="195"/>
      <c r="AD22" s="195"/>
    </row>
    <row r="23" spans="1:32" ht="12.6" x14ac:dyDescent="0.25">
      <c r="B23" s="101"/>
      <c r="C23" s="195"/>
      <c r="E23" s="190"/>
      <c r="F23" s="190"/>
      <c r="G23" s="190"/>
      <c r="H23" s="190"/>
      <c r="I23" s="190"/>
      <c r="J23" s="190"/>
      <c r="K23" s="190"/>
      <c r="L23" s="190"/>
      <c r="M23" s="190"/>
      <c r="N23" s="190"/>
      <c r="O23" s="190"/>
      <c r="P23" s="190"/>
      <c r="Q23" s="190"/>
      <c r="R23" s="190"/>
      <c r="S23" s="190"/>
      <c r="T23" s="190"/>
      <c r="U23" s="190"/>
      <c r="V23" s="190"/>
      <c r="W23" s="190"/>
      <c r="X23" s="190"/>
      <c r="Y23" s="190"/>
      <c r="Z23" s="190"/>
      <c r="AA23" s="190"/>
      <c r="AB23" s="190"/>
      <c r="AC23" s="190"/>
      <c r="AD23" s="190"/>
    </row>
    <row r="24" spans="1:32" s="842" customFormat="1" ht="12.95" x14ac:dyDescent="0.3">
      <c r="A24" s="193" t="s">
        <v>510</v>
      </c>
      <c r="B24" s="105"/>
      <c r="C24" s="105"/>
      <c r="D24" s="105"/>
      <c r="E24" s="105"/>
      <c r="F24" s="105"/>
      <c r="G24" s="105"/>
      <c r="H24" s="105"/>
      <c r="I24" s="105"/>
      <c r="J24" s="105"/>
      <c r="K24" s="105"/>
      <c r="L24" s="105"/>
      <c r="M24" s="105"/>
      <c r="N24" s="105"/>
      <c r="O24" s="105"/>
      <c r="P24" s="105"/>
      <c r="Q24" s="105"/>
      <c r="R24" s="105"/>
      <c r="S24" s="105"/>
      <c r="T24" s="105"/>
      <c r="U24" s="105"/>
      <c r="V24" s="105"/>
      <c r="W24" s="105"/>
      <c r="X24" s="105"/>
      <c r="Y24" s="105"/>
      <c r="Z24" s="105"/>
      <c r="AA24" s="105"/>
      <c r="AB24" s="105"/>
      <c r="AC24" s="105"/>
      <c r="AD24" s="105"/>
    </row>
    <row r="25" spans="1:32" s="839" customFormat="1" ht="12.6" x14ac:dyDescent="0.25"/>
    <row r="26" spans="1:32" s="839" customFormat="1" ht="12.95" x14ac:dyDescent="0.3">
      <c r="G26" s="840">
        <v>2010</v>
      </c>
      <c r="H26" s="840">
        <v>2011</v>
      </c>
      <c r="I26" s="840">
        <v>2012</v>
      </c>
      <c r="J26" s="840">
        <v>2013</v>
      </c>
      <c r="K26" s="840">
        <v>2014</v>
      </c>
      <c r="L26" s="840">
        <v>2015</v>
      </c>
      <c r="M26" s="840">
        <v>2016</v>
      </c>
      <c r="N26" s="840">
        <v>2017</v>
      </c>
      <c r="O26" s="840">
        <v>2018</v>
      </c>
      <c r="P26" s="840">
        <v>2019</v>
      </c>
      <c r="Q26" s="840">
        <v>2020</v>
      </c>
      <c r="R26" s="840">
        <v>2021</v>
      </c>
      <c r="S26" s="840">
        <v>2022</v>
      </c>
      <c r="T26" s="840">
        <v>2023</v>
      </c>
      <c r="U26" s="840">
        <v>2024</v>
      </c>
      <c r="V26" s="840">
        <v>2025</v>
      </c>
      <c r="W26" s="840">
        <v>2026</v>
      </c>
      <c r="X26" s="840">
        <v>2027</v>
      </c>
      <c r="Y26" s="840">
        <v>2028</v>
      </c>
      <c r="Z26" s="840">
        <v>2029</v>
      </c>
      <c r="AA26" s="840">
        <v>2030</v>
      </c>
      <c r="AB26" s="840">
        <v>2031</v>
      </c>
      <c r="AC26" s="840">
        <v>2032</v>
      </c>
      <c r="AD26" s="840">
        <v>2033</v>
      </c>
      <c r="AE26" s="840">
        <v>2034</v>
      </c>
      <c r="AF26" s="840">
        <v>2035</v>
      </c>
    </row>
    <row r="27" spans="1:32" s="839" customFormat="1" ht="12.95" x14ac:dyDescent="0.3">
      <c r="A27" s="843" t="s">
        <v>132</v>
      </c>
      <c r="B27" s="816"/>
      <c r="C27" s="816"/>
      <c r="D27" s="816"/>
      <c r="E27" s="816"/>
      <c r="F27" s="816"/>
      <c r="G27" s="816"/>
      <c r="H27" s="816"/>
      <c r="I27" s="816"/>
      <c r="J27" s="816"/>
      <c r="K27" s="816"/>
      <c r="L27" s="816"/>
      <c r="M27" s="816"/>
      <c r="N27" s="816"/>
      <c r="O27" s="816"/>
      <c r="P27" s="816"/>
      <c r="Q27" s="816"/>
      <c r="R27" s="816"/>
      <c r="S27" s="816"/>
      <c r="T27" s="816"/>
      <c r="U27" s="816"/>
      <c r="V27" s="816"/>
      <c r="W27" s="816"/>
      <c r="X27" s="816"/>
      <c r="Y27" s="816"/>
      <c r="Z27" s="816"/>
      <c r="AA27" s="816"/>
      <c r="AB27" s="816"/>
      <c r="AC27" s="816"/>
      <c r="AD27" s="816"/>
      <c r="AE27" s="816"/>
      <c r="AF27" s="816"/>
    </row>
    <row r="28" spans="1:32" s="839" customFormat="1" ht="12.6" x14ac:dyDescent="0.25"/>
    <row r="29" spans="1:32" ht="12.95" x14ac:dyDescent="0.3">
      <c r="A29" s="54" t="s">
        <v>141</v>
      </c>
      <c r="D29" s="783"/>
      <c r="E29" s="783"/>
      <c r="F29" s="783"/>
    </row>
    <row r="30" spans="1:32" ht="12.6" x14ac:dyDescent="0.25">
      <c r="B30" s="95" t="s">
        <v>142</v>
      </c>
      <c r="C30" s="95"/>
      <c r="D30" s="380"/>
      <c r="E30" s="380"/>
      <c r="F30" s="380"/>
      <c r="G30" s="194">
        <f>E69</f>
        <v>0.62</v>
      </c>
      <c r="H30" s="194">
        <v>0.63</v>
      </c>
      <c r="I30" s="194">
        <f>F69</f>
        <v>0.64</v>
      </c>
      <c r="J30" s="194">
        <f>FORECAST(J6,$F$69:$G$69,$F$68:$G$68)</f>
        <v>0.65666666666665918</v>
      </c>
      <c r="K30" s="194">
        <f>FORECAST(K6,$F$69:$G$69,$F$68:$G$68)</f>
        <v>0.67333333333333201</v>
      </c>
      <c r="L30" s="194">
        <f>G69</f>
        <v>0.69</v>
      </c>
      <c r="M30" s="194">
        <f>FORECAST(M6,$G$69:$H$69,$G$68:$H$68)</f>
        <v>0.70400000000000063</v>
      </c>
      <c r="N30" s="194">
        <f>FORECAST(N6,$G$69:$H$69,$G$68:$H$68)</f>
        <v>0.71799999999999997</v>
      </c>
      <c r="O30" s="194">
        <f>FORECAST(O6,$G$69:$H$69,$G$68:$H$68)</f>
        <v>0.73199999999999932</v>
      </c>
      <c r="P30" s="194">
        <f>FORECAST(P6,$G$69:$H$69,$G$68:$H$68)</f>
        <v>0.74600000000000222</v>
      </c>
      <c r="Q30" s="194">
        <f>H69</f>
        <v>0.76</v>
      </c>
      <c r="R30" s="194">
        <v>0.76</v>
      </c>
      <c r="S30" s="194">
        <v>0.76</v>
      </c>
      <c r="T30" s="194">
        <v>0.76</v>
      </c>
      <c r="U30" s="194">
        <v>0.76</v>
      </c>
      <c r="V30" s="194">
        <v>0.76</v>
      </c>
      <c r="W30" s="194">
        <v>0.76</v>
      </c>
      <c r="X30" s="194">
        <v>0.76</v>
      </c>
      <c r="Y30" s="194">
        <v>0.76</v>
      </c>
      <c r="Z30" s="194">
        <v>0.76</v>
      </c>
      <c r="AA30" s="194">
        <v>0.76</v>
      </c>
      <c r="AB30" s="194">
        <v>0.76</v>
      </c>
      <c r="AC30" s="194">
        <v>0.76</v>
      </c>
      <c r="AD30" s="194">
        <v>0.76</v>
      </c>
      <c r="AE30" s="194">
        <v>0.76</v>
      </c>
      <c r="AF30" s="194">
        <v>0.76</v>
      </c>
    </row>
    <row r="31" spans="1:32" ht="12.6" x14ac:dyDescent="0.25">
      <c r="B31" s="95" t="s">
        <v>143</v>
      </c>
      <c r="C31" s="95"/>
      <c r="D31" s="380"/>
      <c r="E31" s="380"/>
      <c r="F31" s="380"/>
      <c r="G31" s="88">
        <v>8</v>
      </c>
      <c r="H31" s="88">
        <v>9</v>
      </c>
      <c r="I31" s="88">
        <v>10</v>
      </c>
      <c r="J31" s="88">
        <v>11</v>
      </c>
      <c r="K31" s="88">
        <v>12</v>
      </c>
      <c r="L31" s="88">
        <v>13</v>
      </c>
      <c r="M31" s="88">
        <v>14</v>
      </c>
      <c r="N31" s="88">
        <v>15</v>
      </c>
      <c r="O31" s="88">
        <v>16</v>
      </c>
      <c r="P31" s="88">
        <v>17</v>
      </c>
      <c r="Q31" s="88">
        <v>18</v>
      </c>
      <c r="R31" s="88">
        <v>19</v>
      </c>
      <c r="S31" s="88">
        <v>20</v>
      </c>
      <c r="T31" s="88">
        <v>21</v>
      </c>
      <c r="U31" s="88">
        <v>22</v>
      </c>
      <c r="V31" s="88">
        <v>23</v>
      </c>
      <c r="W31" s="88">
        <v>24</v>
      </c>
      <c r="X31" s="88">
        <v>25</v>
      </c>
      <c r="Y31" s="88">
        <v>26</v>
      </c>
      <c r="Z31" s="88">
        <v>27</v>
      </c>
      <c r="AA31" s="88">
        <v>28</v>
      </c>
      <c r="AB31" s="88">
        <v>29</v>
      </c>
      <c r="AC31" s="88">
        <v>30</v>
      </c>
      <c r="AD31" s="88">
        <v>31</v>
      </c>
      <c r="AE31" s="88">
        <v>32</v>
      </c>
      <c r="AF31" s="88">
        <v>33</v>
      </c>
    </row>
    <row r="32" spans="1:32" s="839" customFormat="1" ht="12.6" x14ac:dyDescent="0.25">
      <c r="B32" s="380"/>
      <c r="C32" s="380"/>
      <c r="D32" s="380"/>
      <c r="E32" s="380"/>
      <c r="F32" s="380"/>
      <c r="G32" s="380"/>
      <c r="H32" s="380"/>
      <c r="I32" s="380"/>
      <c r="J32" s="380"/>
      <c r="K32" s="380"/>
      <c r="L32" s="380"/>
      <c r="M32" s="380"/>
      <c r="N32" s="380"/>
      <c r="O32" s="380"/>
      <c r="P32" s="380"/>
      <c r="Q32" s="380"/>
      <c r="R32" s="380"/>
      <c r="S32" s="380"/>
      <c r="T32" s="380"/>
      <c r="U32" s="380"/>
      <c r="V32" s="380"/>
      <c r="W32" s="380"/>
      <c r="X32" s="380"/>
      <c r="Y32" s="380"/>
      <c r="Z32" s="380"/>
      <c r="AA32" s="380"/>
      <c r="AB32" s="380"/>
      <c r="AC32" s="380"/>
      <c r="AD32" s="380"/>
      <c r="AE32" s="380"/>
      <c r="AF32" s="380"/>
    </row>
    <row r="33" spans="1:32" s="839" customFormat="1" ht="12.95" x14ac:dyDescent="0.3">
      <c r="A33" s="840" t="s">
        <v>133</v>
      </c>
      <c r="C33" s="379"/>
      <c r="D33" s="379"/>
      <c r="E33" s="379"/>
      <c r="F33" s="379"/>
    </row>
    <row r="34" spans="1:32" s="839" customFormat="1" ht="12.6" x14ac:dyDescent="0.25">
      <c r="B34" s="195" t="s">
        <v>134</v>
      </c>
      <c r="C34" s="379"/>
      <c r="D34" s="379"/>
      <c r="E34" s="379"/>
      <c r="F34" s="379"/>
      <c r="G34" s="189">
        <f t="shared" ref="G34:AF34" si="0">($E$56/($E$56/$E$58+($E$56/($E$55-$E$56/$E$58))*EXP(-$E$56*(G31-2))))*G30</f>
        <v>36.873768202819726</v>
      </c>
      <c r="H34" s="189">
        <f t="shared" si="0"/>
        <v>48.266272480467556</v>
      </c>
      <c r="I34" s="189">
        <f t="shared" si="0"/>
        <v>61.701198700113544</v>
      </c>
      <c r="J34" s="189">
        <f t="shared" si="0"/>
        <v>77.591734715380795</v>
      </c>
      <c r="K34" s="189">
        <f t="shared" si="0"/>
        <v>94.800465488123137</v>
      </c>
      <c r="L34" s="189">
        <f t="shared" si="0"/>
        <v>112.50003941617493</v>
      </c>
      <c r="M34" s="189">
        <f t="shared" si="0"/>
        <v>129.3471504340618</v>
      </c>
      <c r="N34" s="189">
        <f t="shared" si="0"/>
        <v>145.03095133963808</v>
      </c>
      <c r="O34" s="189">
        <f t="shared" si="0"/>
        <v>159.127310954921</v>
      </c>
      <c r="P34" s="189">
        <f t="shared" si="0"/>
        <v>171.48202098927979</v>
      </c>
      <c r="Q34" s="189">
        <f t="shared" si="0"/>
        <v>182.15170200680319</v>
      </c>
      <c r="R34" s="189">
        <f t="shared" si="0"/>
        <v>187.8607232688625</v>
      </c>
      <c r="S34" s="189">
        <f t="shared" si="0"/>
        <v>192.15160570290442</v>
      </c>
      <c r="T34" s="189">
        <f t="shared" si="0"/>
        <v>195.33034204073093</v>
      </c>
      <c r="U34" s="189">
        <f t="shared" si="0"/>
        <v>197.66006127320361</v>
      </c>
      <c r="V34" s="189">
        <f t="shared" si="0"/>
        <v>199.35413887963063</v>
      </c>
      <c r="W34" s="189">
        <f t="shared" si="0"/>
        <v>200.57896356186501</v>
      </c>
      <c r="X34" s="189">
        <f t="shared" si="0"/>
        <v>201.46085171629713</v>
      </c>
      <c r="Y34" s="189">
        <f t="shared" si="0"/>
        <v>202.09392729485813</v>
      </c>
      <c r="Z34" s="189">
        <f t="shared" si="0"/>
        <v>202.54741526513342</v>
      </c>
      <c r="AA34" s="189">
        <f t="shared" si="0"/>
        <v>202.87176106409183</v>
      </c>
      <c r="AB34" s="189">
        <f t="shared" si="0"/>
        <v>203.10348618652321</v>
      </c>
      <c r="AC34" s="189">
        <f t="shared" si="0"/>
        <v>203.26890947460336</v>
      </c>
      <c r="AD34" s="189">
        <f t="shared" si="0"/>
        <v>203.38693514979437</v>
      </c>
      <c r="AE34" s="189">
        <f t="shared" si="0"/>
        <v>203.47111002115616</v>
      </c>
      <c r="AF34" s="189">
        <f t="shared" si="0"/>
        <v>203.53112565740346</v>
      </c>
    </row>
    <row r="35" spans="1:32" s="842" customFormat="1" ht="12.6" x14ac:dyDescent="0.25">
      <c r="B35" s="195" t="s">
        <v>135</v>
      </c>
      <c r="C35" s="839"/>
      <c r="D35" s="839"/>
      <c r="E35" s="839"/>
      <c r="F35" s="839"/>
      <c r="G35" s="189">
        <f t="shared" ref="G35:AF35" si="1">($F$56/($F$56/$F$58+($F$56/($F$55-$F$56/$F$58))*EXP(-$F$56*(G31-1))))*G30</f>
        <v>69.886712931315586</v>
      </c>
      <c r="H35" s="189">
        <f t="shared" si="1"/>
        <v>84.617739005122857</v>
      </c>
      <c r="I35" s="189">
        <f t="shared" si="1"/>
        <v>99.77020761765985</v>
      </c>
      <c r="J35" s="189">
        <f t="shared" si="1"/>
        <v>115.81072942703476</v>
      </c>
      <c r="K35" s="189">
        <f t="shared" si="1"/>
        <v>131.19780938437214</v>
      </c>
      <c r="L35" s="189">
        <f t="shared" si="1"/>
        <v>145.46220447607328</v>
      </c>
      <c r="M35" s="189">
        <f t="shared" si="1"/>
        <v>157.75364681050067</v>
      </c>
      <c r="N35" s="189">
        <f t="shared" si="1"/>
        <v>168.55506474700036</v>
      </c>
      <c r="O35" s="189">
        <f t="shared" si="1"/>
        <v>177.96704120423578</v>
      </c>
      <c r="P35" s="189">
        <f t="shared" si="1"/>
        <v>186.1654499682482</v>
      </c>
      <c r="Q35" s="189">
        <f t="shared" si="1"/>
        <v>193.35230342395749</v>
      </c>
      <c r="R35" s="189">
        <f t="shared" si="1"/>
        <v>196.11147215578865</v>
      </c>
      <c r="S35" s="189">
        <f t="shared" si="1"/>
        <v>198.15456111208027</v>
      </c>
      <c r="T35" s="189">
        <f t="shared" si="1"/>
        <v>199.65744029461996</v>
      </c>
      <c r="U35" s="189">
        <f t="shared" si="1"/>
        <v>200.75757592848979</v>
      </c>
      <c r="V35" s="189">
        <f t="shared" si="1"/>
        <v>201.56002861929591</v>
      </c>
      <c r="W35" s="189">
        <f t="shared" si="1"/>
        <v>202.14382617150503</v>
      </c>
      <c r="X35" s="189">
        <f t="shared" si="1"/>
        <v>202.5677447446416</v>
      </c>
      <c r="Y35" s="189">
        <f t="shared" si="1"/>
        <v>202.87514562074011</v>
      </c>
      <c r="Z35" s="189">
        <f t="shared" si="1"/>
        <v>203.09783237720012</v>
      </c>
      <c r="AA35" s="189">
        <f t="shared" si="1"/>
        <v>203.25903410630769</v>
      </c>
      <c r="AB35" s="189">
        <f t="shared" si="1"/>
        <v>203.37566609727986</v>
      </c>
      <c r="AC35" s="189">
        <f t="shared" si="1"/>
        <v>203.46001922812226</v>
      </c>
      <c r="AD35" s="189">
        <f t="shared" si="1"/>
        <v>203.52101022912549</v>
      </c>
      <c r="AE35" s="189">
        <f t="shared" si="1"/>
        <v>203.56510065539746</v>
      </c>
      <c r="AF35" s="189">
        <f t="shared" si="1"/>
        <v>203.59696908402657</v>
      </c>
    </row>
    <row r="36" spans="1:32" s="842" customFormat="1" ht="12.6" x14ac:dyDescent="0.25">
      <c r="B36" s="195"/>
      <c r="C36" s="839"/>
      <c r="D36" s="839"/>
      <c r="E36" s="839"/>
      <c r="F36" s="839"/>
      <c r="G36" s="189"/>
      <c r="H36" s="189"/>
      <c r="I36" s="189"/>
      <c r="J36" s="189"/>
      <c r="K36" s="189"/>
      <c r="L36" s="189"/>
      <c r="M36" s="189"/>
      <c r="N36" s="189"/>
      <c r="O36" s="189"/>
      <c r="P36" s="189"/>
      <c r="Q36" s="189"/>
      <c r="R36" s="189"/>
      <c r="S36" s="189"/>
      <c r="T36" s="189"/>
      <c r="U36" s="189"/>
      <c r="V36" s="189"/>
      <c r="W36" s="189"/>
      <c r="X36" s="189"/>
      <c r="Y36" s="189"/>
      <c r="Z36" s="189"/>
      <c r="AA36" s="189"/>
      <c r="AB36" s="189"/>
      <c r="AC36" s="189"/>
      <c r="AD36" s="189"/>
      <c r="AE36" s="189"/>
      <c r="AF36" s="189"/>
    </row>
    <row r="37" spans="1:32" s="842" customFormat="1" ht="12.95" x14ac:dyDescent="0.3">
      <c r="A37" s="60" t="s">
        <v>136</v>
      </c>
      <c r="B37" s="839"/>
      <c r="C37" s="839"/>
      <c r="D37" s="839"/>
      <c r="E37" s="839"/>
      <c r="F37" s="839"/>
      <c r="G37" s="380"/>
      <c r="H37" s="380"/>
      <c r="I37" s="380"/>
      <c r="J37" s="380"/>
      <c r="K37" s="380"/>
      <c r="L37" s="380"/>
      <c r="M37" s="380"/>
      <c r="N37" s="380"/>
      <c r="O37" s="380"/>
      <c r="P37" s="380"/>
      <c r="Q37" s="380"/>
      <c r="R37" s="380"/>
      <c r="S37" s="380"/>
      <c r="T37" s="380"/>
      <c r="U37" s="380"/>
      <c r="V37" s="380"/>
      <c r="W37" s="380"/>
      <c r="X37" s="380"/>
      <c r="Y37" s="380"/>
      <c r="Z37" s="380"/>
      <c r="AA37" s="380"/>
      <c r="AB37" s="380"/>
      <c r="AC37" s="380"/>
      <c r="AD37" s="380"/>
      <c r="AE37" s="380"/>
      <c r="AF37" s="380"/>
    </row>
    <row r="38" spans="1:32" s="842" customFormat="1" ht="12.6" x14ac:dyDescent="0.25">
      <c r="B38" s="380" t="s">
        <v>137</v>
      </c>
      <c r="G38" s="196">
        <f>0.0350562494041615*G26/(-2008.72246142388+G26)</f>
        <v>55.155329646773986</v>
      </c>
      <c r="H38" s="196">
        <f t="shared" ref="H38:AF38" si="2">0.0350562494041615*H26/(-2008.72246142388+H26)</f>
        <v>30.953643679604006</v>
      </c>
      <c r="I38" s="196">
        <f t="shared" si="2"/>
        <v>21.520165869313072</v>
      </c>
      <c r="J38" s="196">
        <f t="shared" si="2"/>
        <v>16.497391851598039</v>
      </c>
      <c r="K38" s="196">
        <f t="shared" si="2"/>
        <v>13.378071099176921</v>
      </c>
      <c r="L38" s="196">
        <f t="shared" si="2"/>
        <v>11.252554117006511</v>
      </c>
      <c r="M38" s="196">
        <f t="shared" si="2"/>
        <v>9.7111678707816171</v>
      </c>
      <c r="N38" s="196">
        <f t="shared" si="2"/>
        <v>8.5422078553861791</v>
      </c>
      <c r="O38" s="196">
        <f t="shared" si="2"/>
        <v>7.6252457176183945</v>
      </c>
      <c r="P38" s="196">
        <f t="shared" si="2"/>
        <v>6.8867236082633205</v>
      </c>
      <c r="Q38" s="196">
        <f t="shared" si="2"/>
        <v>6.2791737149410762</v>
      </c>
      <c r="R38" s="196">
        <f t="shared" si="2"/>
        <v>5.7705931532247519</v>
      </c>
      <c r="S38" s="196">
        <f t="shared" si="2"/>
        <v>5.3386202486883541</v>
      </c>
      <c r="T38" s="196">
        <f t="shared" si="2"/>
        <v>4.9671581811191761</v>
      </c>
      <c r="U38" s="196">
        <f t="shared" si="2"/>
        <v>4.6443246364914899</v>
      </c>
      <c r="V38" s="196">
        <f t="shared" si="2"/>
        <v>4.3611572297283203</v>
      </c>
      <c r="W38" s="196">
        <f t="shared" si="2"/>
        <v>4.1107684974870597</v>
      </c>
      <c r="X38" s="196">
        <f t="shared" si="2"/>
        <v>3.8877782829617886</v>
      </c>
      <c r="Y38" s="196">
        <f t="shared" si="2"/>
        <v>3.6879227869738203</v>
      </c>
      <c r="Z38" s="196">
        <f t="shared" si="2"/>
        <v>3.5077792984603033</v>
      </c>
      <c r="AA38" s="196">
        <f t="shared" si="2"/>
        <v>3.3445685475253422</v>
      </c>
      <c r="AB38" s="196">
        <f t="shared" si="2"/>
        <v>3.1960102906598928</v>
      </c>
      <c r="AC38" s="196">
        <f t="shared" si="2"/>
        <v>3.0602161202015736</v>
      </c>
      <c r="AD38" s="196">
        <f t="shared" si="2"/>
        <v>2.9356087650814362</v>
      </c>
      <c r="AE38" s="196">
        <f t="shared" si="2"/>
        <v>2.8208605467395804</v>
      </c>
      <c r="AF38" s="196">
        <f t="shared" si="2"/>
        <v>2.7148458875177668</v>
      </c>
    </row>
    <row r="39" spans="1:32" s="842" customFormat="1" ht="12.6" x14ac:dyDescent="0.25">
      <c r="B39" s="195" t="s">
        <v>138</v>
      </c>
      <c r="G39" s="197">
        <f>0.134830735670982*G26/(-2008.50175449157+G26)</f>
        <v>180.88475965641618</v>
      </c>
      <c r="H39" s="197">
        <f t="shared" ref="H39:AF39" si="3">0.134830735670982*H26/(-2008.50175449157+H26)</f>
        <v>108.53401257778634</v>
      </c>
      <c r="I39" s="197">
        <f t="shared" si="3"/>
        <v>77.547284636338034</v>
      </c>
      <c r="J39" s="197">
        <f t="shared" si="3"/>
        <v>60.337807351118627</v>
      </c>
      <c r="K39" s="197">
        <f t="shared" si="3"/>
        <v>49.388318732768845</v>
      </c>
      <c r="L39" s="197">
        <f t="shared" si="3"/>
        <v>41.808813167273925</v>
      </c>
      <c r="M39" s="197">
        <f t="shared" si="3"/>
        <v>36.250982020674336</v>
      </c>
      <c r="N39" s="197">
        <f t="shared" si="3"/>
        <v>32.00114583399592</v>
      </c>
      <c r="O39" s="197">
        <f t="shared" si="3"/>
        <v>28.646177269533947</v>
      </c>
      <c r="P39" s="197">
        <f t="shared" si="3"/>
        <v>25.930357134543918</v>
      </c>
      <c r="Q39" s="197">
        <f t="shared" si="3"/>
        <v>23.686925614494992</v>
      </c>
      <c r="R39" s="197">
        <f t="shared" si="3"/>
        <v>21.802493526572075</v>
      </c>
      <c r="S39" s="197">
        <f t="shared" si="3"/>
        <v>20.197272849753819</v>
      </c>
      <c r="T39" s="197">
        <f t="shared" si="3"/>
        <v>18.813488715155085</v>
      </c>
      <c r="U39" s="197">
        <f t="shared" si="3"/>
        <v>17.608277585332416</v>
      </c>
      <c r="V39" s="197">
        <f t="shared" si="3"/>
        <v>16.549168188473637</v>
      </c>
      <c r="W39" s="197">
        <f t="shared" si="3"/>
        <v>15.611112001932257</v>
      </c>
      <c r="X39" s="197">
        <f t="shared" si="3"/>
        <v>14.774476913528421</v>
      </c>
      <c r="Y39" s="197">
        <f t="shared" si="3"/>
        <v>14.023658273383182</v>
      </c>
      <c r="Z39" s="197">
        <f t="shared" si="3"/>
        <v>13.346096501962293</v>
      </c>
      <c r="AA39" s="197">
        <f t="shared" si="3"/>
        <v>12.731568876388808</v>
      </c>
      <c r="AB39" s="197">
        <f t="shared" si="3"/>
        <v>12.171670188466772</v>
      </c>
      <c r="AC39" s="197">
        <f t="shared" si="3"/>
        <v>11.659426010556658</v>
      </c>
      <c r="AD39" s="197">
        <f t="shared" si="3"/>
        <v>11.189000678631562</v>
      </c>
      <c r="AE39" s="197">
        <f t="shared" si="3"/>
        <v>10.755473989930337</v>
      </c>
      <c r="AF39" s="197">
        <f t="shared" si="3"/>
        <v>10.354668462980239</v>
      </c>
    </row>
    <row r="40" spans="1:32" s="842" customFormat="1" ht="12.6" x14ac:dyDescent="0.25">
      <c r="B40" s="195"/>
      <c r="G40" s="198"/>
      <c r="H40" s="198"/>
      <c r="I40" s="198"/>
      <c r="J40" s="198"/>
      <c r="K40" s="198"/>
      <c r="L40" s="198"/>
      <c r="M40" s="198"/>
      <c r="N40" s="198"/>
      <c r="O40" s="198"/>
      <c r="P40" s="198"/>
      <c r="Q40" s="198"/>
      <c r="R40" s="198"/>
      <c r="S40" s="198"/>
      <c r="T40" s="198"/>
      <c r="U40" s="198"/>
      <c r="V40" s="198"/>
      <c r="W40" s="198"/>
      <c r="X40" s="198"/>
      <c r="Y40" s="198"/>
      <c r="Z40" s="198"/>
      <c r="AA40" s="198"/>
      <c r="AB40" s="198"/>
      <c r="AC40" s="198"/>
      <c r="AD40" s="198"/>
      <c r="AE40" s="198"/>
      <c r="AF40" s="198"/>
    </row>
    <row r="41" spans="1:32" s="842" customFormat="1" ht="12.95" x14ac:dyDescent="0.3">
      <c r="A41" s="60" t="s">
        <v>139</v>
      </c>
      <c r="G41" s="198"/>
      <c r="H41" s="195"/>
      <c r="I41" s="195"/>
      <c r="J41" s="195"/>
      <c r="K41" s="195"/>
      <c r="L41" s="195"/>
      <c r="M41" s="195"/>
      <c r="N41" s="195"/>
      <c r="O41" s="195"/>
      <c r="P41" s="195"/>
      <c r="Q41" s="195"/>
      <c r="R41" s="195"/>
      <c r="S41" s="195"/>
      <c r="T41" s="195"/>
      <c r="U41" s="195"/>
      <c r="V41" s="195"/>
      <c r="W41" s="195"/>
      <c r="X41" s="195"/>
      <c r="Y41" s="195"/>
      <c r="Z41" s="195"/>
      <c r="AA41" s="195"/>
      <c r="AB41" s="195"/>
      <c r="AC41" s="195"/>
      <c r="AD41" s="195"/>
      <c r="AE41" s="195"/>
      <c r="AF41" s="195"/>
    </row>
    <row r="42" spans="1:32" s="842" customFormat="1" ht="12.6" x14ac:dyDescent="0.25">
      <c r="B42" s="195" t="s">
        <v>137</v>
      </c>
      <c r="G42" s="332">
        <f>H55</f>
        <v>25000</v>
      </c>
      <c r="H42" s="332">
        <f>($H$56/($H$56/$H$58+($H$56/($H$55-$H$56/$H$58))*EXP(-$H$56*(H$31-5))))</f>
        <v>32995.04716202397</v>
      </c>
      <c r="I42" s="332">
        <f t="shared" ref="I42:AF42" si="4">($H$56/($H$56/$H$58+($H$56/($H$55-$H$56/$H$58))*EXP(-$H$56*(I$31-5))))</f>
        <v>36571.135449840265</v>
      </c>
      <c r="J42" s="332">
        <f t="shared" si="4"/>
        <v>39631.507612892776</v>
      </c>
      <c r="K42" s="332">
        <f t="shared" si="4"/>
        <v>42144.252048148839</v>
      </c>
      <c r="L42" s="332">
        <f t="shared" si="4"/>
        <v>44138.116803365723</v>
      </c>
      <c r="M42" s="332">
        <f t="shared" si="4"/>
        <v>45677.819537447656</v>
      </c>
      <c r="N42" s="332">
        <f t="shared" si="4"/>
        <v>46842.034019012237</v>
      </c>
      <c r="O42" s="332">
        <f t="shared" si="4"/>
        <v>47708.390378414646</v>
      </c>
      <c r="P42" s="332">
        <f t="shared" si="4"/>
        <v>48345.465639105656</v>
      </c>
      <c r="Q42" s="332">
        <f t="shared" si="4"/>
        <v>48809.850037195916</v>
      </c>
      <c r="R42" s="332">
        <f t="shared" si="4"/>
        <v>49146.195791508879</v>
      </c>
      <c r="S42" s="332">
        <f t="shared" si="4"/>
        <v>49388.678095291754</v>
      </c>
      <c r="T42" s="332">
        <f t="shared" si="4"/>
        <v>49562.907353580449</v>
      </c>
      <c r="U42" s="332">
        <f t="shared" si="4"/>
        <v>49687.794452091533</v>
      </c>
      <c r="V42" s="332">
        <f t="shared" si="4"/>
        <v>49777.158961987705</v>
      </c>
      <c r="W42" s="332">
        <f t="shared" si="4"/>
        <v>49841.025959888604</v>
      </c>
      <c r="X42" s="332">
        <f t="shared" si="4"/>
        <v>49886.63014876964</v>
      </c>
      <c r="Y42" s="332">
        <f t="shared" si="4"/>
        <v>49919.173278474002</v>
      </c>
      <c r="Z42" s="332">
        <f t="shared" si="4"/>
        <v>49942.385601358699</v>
      </c>
      <c r="AA42" s="332">
        <f t="shared" si="4"/>
        <v>49958.937147906508</v>
      </c>
      <c r="AB42" s="332">
        <f t="shared" si="4"/>
        <v>49970.736528712878</v>
      </c>
      <c r="AC42" s="332">
        <f t="shared" si="4"/>
        <v>49979.146781228279</v>
      </c>
      <c r="AD42" s="332">
        <f t="shared" si="4"/>
        <v>49985.140665785919</v>
      </c>
      <c r="AE42" s="332">
        <f t="shared" si="4"/>
        <v>49989.412080467839</v>
      </c>
      <c r="AF42" s="332">
        <f t="shared" si="4"/>
        <v>49992.455833840038</v>
      </c>
    </row>
    <row r="43" spans="1:32" s="842" customFormat="1" x14ac:dyDescent="0.2">
      <c r="B43" s="195" t="s">
        <v>512</v>
      </c>
      <c r="C43" s="839"/>
      <c r="D43" s="839"/>
      <c r="E43" s="839"/>
      <c r="F43" s="839"/>
      <c r="G43" s="332">
        <f>J55</f>
        <v>25000</v>
      </c>
      <c r="H43" s="332">
        <f>($J$56/($J$56/$J$58+($J$56/($J$55-$J$56/$J$58))*EXP(-$J$56*(H$31-5))))</f>
        <v>32995.04716202397</v>
      </c>
      <c r="I43" s="332">
        <f t="shared" ref="I43:AF43" si="5">($J$56/($J$56/$J$58+($J$56/($J$55-$J$56/$J$58))*EXP(-$J$56*(I$31-5))))</f>
        <v>36571.135449840265</v>
      </c>
      <c r="J43" s="332">
        <f t="shared" si="5"/>
        <v>39631.507612892776</v>
      </c>
      <c r="K43" s="332">
        <f t="shared" si="5"/>
        <v>42144.252048148839</v>
      </c>
      <c r="L43" s="332">
        <f t="shared" si="5"/>
        <v>44138.116803365723</v>
      </c>
      <c r="M43" s="332">
        <f t="shared" si="5"/>
        <v>45677.819537447656</v>
      </c>
      <c r="N43" s="332">
        <f t="shared" si="5"/>
        <v>46842.034019012237</v>
      </c>
      <c r="O43" s="332">
        <f t="shared" si="5"/>
        <v>47708.390378414646</v>
      </c>
      <c r="P43" s="332">
        <f t="shared" si="5"/>
        <v>48345.465639105656</v>
      </c>
      <c r="Q43" s="332">
        <f t="shared" si="5"/>
        <v>48809.850037195916</v>
      </c>
      <c r="R43" s="332">
        <f t="shared" si="5"/>
        <v>49146.195791508879</v>
      </c>
      <c r="S43" s="332">
        <f t="shared" si="5"/>
        <v>49388.678095291754</v>
      </c>
      <c r="T43" s="332">
        <f t="shared" si="5"/>
        <v>49562.907353580449</v>
      </c>
      <c r="U43" s="332">
        <f t="shared" si="5"/>
        <v>49687.794452091533</v>
      </c>
      <c r="V43" s="332">
        <f t="shared" si="5"/>
        <v>49777.158961987705</v>
      </c>
      <c r="W43" s="332">
        <f t="shared" si="5"/>
        <v>49841.025959888604</v>
      </c>
      <c r="X43" s="332">
        <f t="shared" si="5"/>
        <v>49886.63014876964</v>
      </c>
      <c r="Y43" s="332">
        <f t="shared" si="5"/>
        <v>49919.173278474002</v>
      </c>
      <c r="Z43" s="332">
        <f t="shared" si="5"/>
        <v>49942.385601358699</v>
      </c>
      <c r="AA43" s="332">
        <f t="shared" si="5"/>
        <v>49958.937147906508</v>
      </c>
      <c r="AB43" s="332">
        <f t="shared" si="5"/>
        <v>49970.736528712878</v>
      </c>
      <c r="AC43" s="332">
        <f t="shared" si="5"/>
        <v>49979.146781228279</v>
      </c>
      <c r="AD43" s="332">
        <f t="shared" si="5"/>
        <v>49985.140665785919</v>
      </c>
      <c r="AE43" s="332">
        <f t="shared" si="5"/>
        <v>49989.412080467839</v>
      </c>
      <c r="AF43" s="332">
        <f t="shared" si="5"/>
        <v>49992.455833840038</v>
      </c>
    </row>
    <row r="44" spans="1:32" s="842" customFormat="1" x14ac:dyDescent="0.2">
      <c r="B44" s="195" t="s">
        <v>140</v>
      </c>
      <c r="C44" s="839"/>
      <c r="D44" s="839"/>
      <c r="E44" s="839"/>
      <c r="F44" s="839"/>
      <c r="G44" s="332">
        <v>50000</v>
      </c>
      <c r="H44" s="332">
        <f>($I$56/($I$56/$I$58+($I$56/($I$55-$I$56/$I$58))*EXP(-$I$56*(H$31-5))))</f>
        <v>54091.705227092578</v>
      </c>
      <c r="I44" s="332">
        <f t="shared" ref="I44:AF44" si="6">($I$56/($I$56/$I$58+($I$56/($I$55-$I$56/$I$58))*EXP(-$I$56*(I$31-5))))</f>
        <v>58805.134078899653</v>
      </c>
      <c r="J44" s="332">
        <f t="shared" si="6"/>
        <v>62697.662608321159</v>
      </c>
      <c r="K44" s="332">
        <f t="shared" si="6"/>
        <v>65800.956728889229</v>
      </c>
      <c r="L44" s="332">
        <f t="shared" si="6"/>
        <v>68206.260878888963</v>
      </c>
      <c r="M44" s="332">
        <f t="shared" si="6"/>
        <v>70030.143905891222</v>
      </c>
      <c r="N44" s="332">
        <f t="shared" si="6"/>
        <v>71390.291590203065</v>
      </c>
      <c r="O44" s="332">
        <f t="shared" si="6"/>
        <v>72392.057242589261</v>
      </c>
      <c r="P44" s="332">
        <f t="shared" si="6"/>
        <v>73123.122049016441</v>
      </c>
      <c r="Q44" s="332">
        <f t="shared" si="6"/>
        <v>73653.066024981803</v>
      </c>
      <c r="R44" s="332">
        <f t="shared" si="6"/>
        <v>74035.352163707226</v>
      </c>
      <c r="S44" s="332">
        <f t="shared" si="6"/>
        <v>74310.154268293118</v>
      </c>
      <c r="T44" s="332">
        <f t="shared" si="6"/>
        <v>74507.193762954717</v>
      </c>
      <c r="U44" s="332">
        <f t="shared" si="6"/>
        <v>74648.219619734358</v>
      </c>
      <c r="V44" s="332">
        <f t="shared" si="6"/>
        <v>74749.024193735429</v>
      </c>
      <c r="W44" s="332">
        <f t="shared" si="6"/>
        <v>74821.011932625945</v>
      </c>
      <c r="X44" s="332">
        <f t="shared" si="6"/>
        <v>74872.386579816564</v>
      </c>
      <c r="Y44" s="332">
        <f t="shared" si="6"/>
        <v>74909.033175548742</v>
      </c>
      <c r="Z44" s="332">
        <f t="shared" si="6"/>
        <v>74935.165124428415</v>
      </c>
      <c r="AA44" s="332">
        <f t="shared" si="6"/>
        <v>74953.794804817691</v>
      </c>
      <c r="AB44" s="332">
        <f t="shared" si="6"/>
        <v>74967.073777130048</v>
      </c>
      <c r="AC44" s="332">
        <f t="shared" si="6"/>
        <v>74976.537682561873</v>
      </c>
      <c r="AD44" s="332">
        <f t="shared" si="6"/>
        <v>74983.282006920941</v>
      </c>
      <c r="AE44" s="332">
        <f t="shared" si="6"/>
        <v>74988.08795990987</v>
      </c>
      <c r="AF44" s="332">
        <f t="shared" si="6"/>
        <v>74991.512492915761</v>
      </c>
    </row>
    <row r="45" spans="1:32" s="842" customFormat="1" x14ac:dyDescent="0.2">
      <c r="D45" s="195"/>
      <c r="E45" s="195"/>
      <c r="F45" s="195"/>
      <c r="G45" s="195"/>
      <c r="H45" s="195"/>
      <c r="I45" s="195"/>
      <c r="J45" s="195"/>
      <c r="K45" s="195"/>
      <c r="L45" s="195"/>
      <c r="M45" s="195"/>
      <c r="N45" s="195"/>
      <c r="O45" s="195"/>
      <c r="P45" s="195"/>
      <c r="Q45" s="195"/>
      <c r="R45" s="195"/>
      <c r="S45" s="195"/>
      <c r="T45" s="195"/>
      <c r="U45" s="195"/>
      <c r="V45" s="195"/>
      <c r="W45" s="195"/>
      <c r="X45" s="195"/>
      <c r="Y45" s="195"/>
      <c r="Z45" s="195"/>
      <c r="AA45" s="195"/>
      <c r="AB45" s="195"/>
      <c r="AC45" s="195"/>
    </row>
    <row r="46" spans="1:32" s="842" customFormat="1" x14ac:dyDescent="0.2">
      <c r="C46" s="60"/>
      <c r="E46" s="195"/>
      <c r="F46" s="195"/>
      <c r="G46" s="195"/>
      <c r="H46" s="195"/>
      <c r="I46" s="195"/>
      <c r="J46" s="195"/>
      <c r="K46" s="195"/>
      <c r="L46" s="195"/>
      <c r="M46" s="195"/>
      <c r="N46" s="195"/>
      <c r="O46" s="195"/>
      <c r="P46" s="195"/>
      <c r="Q46" s="195"/>
      <c r="R46" s="195"/>
      <c r="S46" s="195"/>
      <c r="T46" s="195"/>
      <c r="U46" s="195"/>
      <c r="V46" s="195"/>
      <c r="W46" s="195"/>
      <c r="X46" s="195"/>
      <c r="Y46" s="195"/>
      <c r="Z46" s="195"/>
      <c r="AA46" s="195"/>
      <c r="AB46" s="195"/>
      <c r="AC46" s="195"/>
      <c r="AD46" s="195"/>
    </row>
    <row r="47" spans="1:32" s="839" customFormat="1" x14ac:dyDescent="0.2">
      <c r="B47" s="842"/>
      <c r="C47" s="195"/>
      <c r="E47" s="332"/>
      <c r="F47" s="332"/>
      <c r="G47" s="332"/>
      <c r="H47" s="332"/>
      <c r="I47" s="332"/>
      <c r="J47" s="332"/>
      <c r="K47" s="332"/>
      <c r="L47" s="332"/>
      <c r="M47" s="332"/>
      <c r="N47" s="332"/>
      <c r="O47" s="332"/>
      <c r="P47" s="332"/>
      <c r="Q47" s="332"/>
      <c r="R47" s="332"/>
      <c r="S47" s="332"/>
      <c r="T47" s="332"/>
      <c r="U47" s="332"/>
      <c r="V47" s="332"/>
      <c r="W47" s="332"/>
      <c r="X47" s="332"/>
      <c r="Y47" s="332"/>
      <c r="Z47" s="332"/>
      <c r="AA47" s="332"/>
      <c r="AB47" s="332"/>
      <c r="AC47" s="332"/>
      <c r="AD47" s="332"/>
    </row>
    <row r="48" spans="1:32" s="403" customFormat="1" x14ac:dyDescent="0.2">
      <c r="A48" s="404" t="s">
        <v>344</v>
      </c>
    </row>
    <row r="49" spans="1:30" x14ac:dyDescent="0.2">
      <c r="B49" s="101"/>
      <c r="C49" s="195"/>
      <c r="E49" s="190"/>
      <c r="F49" s="190"/>
      <c r="G49" s="190"/>
      <c r="H49" s="190"/>
      <c r="I49" s="190"/>
      <c r="J49" s="190"/>
      <c r="K49" s="190"/>
      <c r="L49" s="190"/>
      <c r="M49" s="190"/>
      <c r="N49" s="190"/>
      <c r="O49" s="190"/>
      <c r="P49" s="190"/>
      <c r="Q49" s="190"/>
      <c r="R49" s="190"/>
      <c r="S49" s="190"/>
      <c r="T49" s="190"/>
      <c r="U49" s="190"/>
      <c r="V49" s="190"/>
      <c r="W49" s="190"/>
      <c r="X49" s="190"/>
      <c r="Y49" s="190"/>
      <c r="Z49" s="190"/>
      <c r="AA49" s="190"/>
      <c r="AB49" s="190"/>
      <c r="AC49" s="190"/>
      <c r="AD49" s="190"/>
    </row>
    <row r="50" spans="1:30" x14ac:dyDescent="0.2">
      <c r="A50" s="81" t="s">
        <v>514</v>
      </c>
      <c r="B50" s="101"/>
      <c r="C50" s="195"/>
      <c r="E50" s="190"/>
      <c r="F50" s="190"/>
      <c r="G50" s="190"/>
      <c r="H50" s="190"/>
      <c r="I50" s="190"/>
      <c r="J50" s="190"/>
      <c r="K50" s="190"/>
      <c r="L50" s="190"/>
      <c r="M50" s="190"/>
      <c r="N50" s="190"/>
      <c r="O50" s="190"/>
      <c r="P50" s="190"/>
      <c r="Q50" s="190"/>
      <c r="R50" s="190"/>
      <c r="S50" s="190"/>
      <c r="T50" s="190"/>
      <c r="U50" s="190"/>
      <c r="V50" s="190"/>
      <c r="W50" s="190"/>
      <c r="X50" s="190"/>
      <c r="Y50" s="190"/>
      <c r="Z50" s="190"/>
      <c r="AA50" s="190"/>
      <c r="AB50" s="190"/>
      <c r="AC50" s="190"/>
      <c r="AD50" s="190"/>
    </row>
    <row r="51" spans="1:30" x14ac:dyDescent="0.2">
      <c r="A51" s="81" t="s">
        <v>515</v>
      </c>
      <c r="B51" s="101"/>
      <c r="C51" s="195"/>
      <c r="E51" s="190"/>
      <c r="F51" s="190"/>
      <c r="G51" s="190"/>
      <c r="H51" s="190"/>
      <c r="I51" s="190"/>
      <c r="J51" s="190"/>
      <c r="K51" s="190"/>
      <c r="L51" s="190"/>
      <c r="M51" s="190"/>
      <c r="N51" s="190"/>
      <c r="O51" s="190"/>
      <c r="P51" s="190"/>
      <c r="Q51" s="190"/>
      <c r="R51" s="190"/>
      <c r="S51" s="190"/>
      <c r="T51" s="190"/>
      <c r="U51" s="190"/>
      <c r="V51" s="190"/>
      <c r="W51" s="190"/>
      <c r="X51" s="190"/>
      <c r="Y51" s="190"/>
      <c r="Z51" s="190"/>
      <c r="AA51" s="190"/>
      <c r="AB51" s="190"/>
      <c r="AC51" s="190"/>
      <c r="AD51" s="190"/>
    </row>
    <row r="52" spans="1:30" x14ac:dyDescent="0.2">
      <c r="A52" s="81" t="s">
        <v>680</v>
      </c>
    </row>
    <row r="53" spans="1:30" x14ac:dyDescent="0.2">
      <c r="D53" s="91" t="s">
        <v>144</v>
      </c>
      <c r="E53" s="380"/>
      <c r="F53" s="380"/>
      <c r="G53" s="380"/>
      <c r="H53" s="380"/>
      <c r="I53" s="380"/>
      <c r="J53" s="380"/>
    </row>
    <row r="54" spans="1:30" ht="38.25" x14ac:dyDescent="0.2">
      <c r="D54" s="380"/>
      <c r="E54" s="380" t="s">
        <v>145</v>
      </c>
      <c r="F54" s="380" t="s">
        <v>146</v>
      </c>
      <c r="G54" s="380"/>
      <c r="H54" s="919" t="s">
        <v>511</v>
      </c>
      <c r="I54" s="919" t="s">
        <v>147</v>
      </c>
      <c r="J54" s="919" t="s">
        <v>513</v>
      </c>
    </row>
    <row r="55" spans="1:30" x14ac:dyDescent="0.2">
      <c r="D55" s="380" t="s">
        <v>148</v>
      </c>
      <c r="E55" s="84">
        <v>10</v>
      </c>
      <c r="F55" s="84">
        <v>20</v>
      </c>
      <c r="G55" s="380"/>
      <c r="H55" s="920">
        <v>25000</v>
      </c>
      <c r="I55" s="920">
        <v>50000</v>
      </c>
      <c r="J55" s="920">
        <v>25000</v>
      </c>
    </row>
    <row r="56" spans="1:30" x14ac:dyDescent="0.2">
      <c r="D56" s="380" t="s">
        <v>108</v>
      </c>
      <c r="E56" s="84">
        <v>0.33900000000000002</v>
      </c>
      <c r="F56" s="84">
        <v>0.32500000000000001</v>
      </c>
      <c r="G56" s="380"/>
      <c r="H56" s="380">
        <v>0.33900000000000002</v>
      </c>
      <c r="I56" s="380">
        <v>0.33900000000000002</v>
      </c>
      <c r="J56" s="380">
        <v>0.33900000000000002</v>
      </c>
      <c r="K56" s="83"/>
    </row>
    <row r="57" spans="1:30" x14ac:dyDescent="0.2">
      <c r="D57" s="380" t="s">
        <v>149</v>
      </c>
      <c r="E57" s="84">
        <f>E56/E58</f>
        <v>1.2649253731343284E-3</v>
      </c>
      <c r="F57" s="84">
        <f>F56/F58</f>
        <v>1.212686567164179E-3</v>
      </c>
      <c r="G57" s="380"/>
      <c r="H57" s="921">
        <f>H56/H58</f>
        <v>6.7800000000000003E-6</v>
      </c>
      <c r="I57" s="921">
        <f>I56/I58</f>
        <v>4.5199999999999999E-6</v>
      </c>
      <c r="J57" s="921">
        <f>J56/J58</f>
        <v>6.7800000000000003E-6</v>
      </c>
      <c r="K57" s="190"/>
    </row>
    <row r="58" spans="1:30" x14ac:dyDescent="0.2">
      <c r="D58" s="380" t="s">
        <v>150</v>
      </c>
      <c r="E58" s="380">
        <v>268</v>
      </c>
      <c r="F58" s="380">
        <v>268</v>
      </c>
      <c r="G58" s="380"/>
      <c r="H58" s="920">
        <v>50000</v>
      </c>
      <c r="I58" s="920">
        <v>75000</v>
      </c>
      <c r="J58" s="920">
        <v>50000</v>
      </c>
      <c r="K58" s="190"/>
    </row>
    <row r="59" spans="1:30" x14ac:dyDescent="0.2">
      <c r="D59" s="380" t="s">
        <v>151</v>
      </c>
      <c r="E59" s="98">
        <f>E58*(1+$E$61)</f>
        <v>294.8</v>
      </c>
      <c r="F59" s="98">
        <f>F58*(1+$E$61)</f>
        <v>294.8</v>
      </c>
      <c r="G59" s="380"/>
      <c r="H59" s="920"/>
      <c r="I59" s="920"/>
      <c r="J59" s="380"/>
    </row>
    <row r="60" spans="1:30" x14ac:dyDescent="0.2">
      <c r="D60" s="380" t="s">
        <v>152</v>
      </c>
      <c r="E60" s="98">
        <f>E58*(1-$E$61)</f>
        <v>241.20000000000002</v>
      </c>
      <c r="F60" s="98">
        <f>F58*(1-$E$61)</f>
        <v>241.20000000000002</v>
      </c>
      <c r="G60" s="380"/>
      <c r="H60" s="920"/>
      <c r="I60" s="920"/>
      <c r="J60" s="380"/>
    </row>
    <row r="61" spans="1:30" x14ac:dyDescent="0.2">
      <c r="D61" s="370" t="s">
        <v>153</v>
      </c>
      <c r="E61" s="370">
        <v>0.1</v>
      </c>
      <c r="F61" s="380"/>
      <c r="G61" s="380"/>
      <c r="H61" s="380"/>
      <c r="I61" s="380"/>
      <c r="J61" s="380"/>
    </row>
    <row r="62" spans="1:30" x14ac:dyDescent="0.2">
      <c r="D62" s="370"/>
      <c r="E62" s="370"/>
      <c r="F62" s="380"/>
      <c r="G62" s="380"/>
      <c r="H62" s="380"/>
      <c r="I62" s="380"/>
      <c r="J62" s="380"/>
    </row>
    <row r="63" spans="1:30" x14ac:dyDescent="0.2">
      <c r="D63" s="195" t="s">
        <v>154</v>
      </c>
      <c r="E63" s="922">
        <v>0.3</v>
      </c>
      <c r="F63" s="380"/>
      <c r="G63" s="380"/>
      <c r="H63" s="380"/>
      <c r="I63" s="380"/>
      <c r="J63" s="380"/>
    </row>
    <row r="64" spans="1:30" x14ac:dyDescent="0.2">
      <c r="D64" s="195" t="s">
        <v>155</v>
      </c>
      <c r="E64" s="922">
        <v>0.2</v>
      </c>
      <c r="F64" s="380"/>
      <c r="G64" s="380"/>
      <c r="H64" s="380"/>
      <c r="I64" s="195"/>
      <c r="J64" s="380"/>
    </row>
    <row r="65" spans="4:10" ht="15" x14ac:dyDescent="0.25">
      <c r="D65" s="195" t="s">
        <v>156</v>
      </c>
      <c r="E65" s="923">
        <f>(G11-G10)/G11</f>
        <v>0.47237798636975337</v>
      </c>
      <c r="F65" s="195"/>
      <c r="G65" s="195"/>
      <c r="H65" s="195"/>
      <c r="I65" s="195"/>
      <c r="J65" s="380"/>
    </row>
    <row r="66" spans="4:10" ht="15" x14ac:dyDescent="0.25">
      <c r="D66" s="195"/>
      <c r="E66" s="923"/>
      <c r="F66" s="195"/>
      <c r="G66" s="195"/>
      <c r="H66" s="195"/>
      <c r="I66" s="195"/>
      <c r="J66" s="380"/>
    </row>
    <row r="67" spans="4:10" ht="15" x14ac:dyDescent="0.25">
      <c r="D67" s="195"/>
      <c r="E67" s="923"/>
      <c r="F67" s="195"/>
      <c r="G67" s="195"/>
      <c r="H67" s="195"/>
      <c r="I67" s="195"/>
      <c r="J67" s="380"/>
    </row>
    <row r="68" spans="4:10" x14ac:dyDescent="0.2">
      <c r="D68" s="924"/>
      <c r="E68" s="380">
        <v>2010</v>
      </c>
      <c r="F68" s="380">
        <v>2012</v>
      </c>
      <c r="G68" s="380">
        <v>2015</v>
      </c>
      <c r="H68" s="925">
        <v>2020</v>
      </c>
      <c r="I68" s="195">
        <v>2025</v>
      </c>
      <c r="J68" s="380"/>
    </row>
    <row r="69" spans="4:10" x14ac:dyDescent="0.2">
      <c r="D69" s="926" t="s">
        <v>157</v>
      </c>
      <c r="E69" s="927">
        <v>0.62</v>
      </c>
      <c r="F69" s="927">
        <v>0.64</v>
      </c>
      <c r="G69" s="927">
        <v>0.69</v>
      </c>
      <c r="H69" s="927">
        <v>0.76</v>
      </c>
      <c r="I69" s="922">
        <v>0.8</v>
      </c>
      <c r="J69" s="380"/>
    </row>
    <row r="70" spans="4:10" x14ac:dyDescent="0.2">
      <c r="D70" s="195"/>
      <c r="E70" s="195"/>
      <c r="F70" s="195"/>
      <c r="G70" s="195"/>
      <c r="H70" s="195"/>
      <c r="I70" s="195"/>
      <c r="J70" s="380"/>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theme="5"/>
  </sheetPr>
  <dimension ref="A1:BT49"/>
  <sheetViews>
    <sheetView topLeftCell="B1" zoomScale="59" zoomScaleNormal="59" workbookViewId="0">
      <selection activeCell="M10" sqref="M10"/>
    </sheetView>
  </sheetViews>
  <sheetFormatPr defaultRowHeight="15" x14ac:dyDescent="0.25"/>
  <cols>
    <col min="1" max="1" width="32" customWidth="1"/>
    <col min="2" max="2" width="24.42578125" customWidth="1"/>
    <col min="3" max="11" width="10.42578125" style="838" customWidth="1"/>
    <col min="12" max="34" width="8.7109375" customWidth="1"/>
    <col min="35" max="35" width="8.7109375" style="539" customWidth="1"/>
    <col min="36" max="72" width="8.7109375" customWidth="1"/>
  </cols>
  <sheetData>
    <row r="1" spans="1:72" s="444" customFormat="1" ht="18" x14ac:dyDescent="0.4">
      <c r="A1" s="330" t="s">
        <v>281</v>
      </c>
      <c r="C1" s="839"/>
      <c r="D1" s="839"/>
      <c r="E1" s="839"/>
      <c r="F1" s="839"/>
      <c r="G1" s="839"/>
      <c r="H1" s="839"/>
      <c r="I1" s="839"/>
      <c r="J1" s="839"/>
      <c r="K1" s="839"/>
      <c r="T1" s="318"/>
      <c r="U1" s="317"/>
      <c r="AI1" s="550"/>
    </row>
    <row r="2" spans="1:72" s="444" customFormat="1" ht="14.45" x14ac:dyDescent="0.35">
      <c r="A2" s="1040" t="s">
        <v>671</v>
      </c>
      <c r="C2" s="839"/>
      <c r="D2" s="839"/>
      <c r="E2" s="839"/>
      <c r="F2" s="839"/>
      <c r="G2" s="839"/>
      <c r="H2" s="839"/>
      <c r="I2" s="839"/>
      <c r="J2" s="839"/>
      <c r="K2" s="839"/>
      <c r="V2" s="318"/>
      <c r="W2" s="317"/>
      <c r="AI2" s="550"/>
    </row>
    <row r="3" spans="1:72" s="444" customFormat="1" ht="14.45" x14ac:dyDescent="0.35">
      <c r="C3" s="839"/>
      <c r="D3" s="839"/>
      <c r="E3" s="839"/>
      <c r="F3" s="839"/>
      <c r="G3" s="839"/>
      <c r="H3" s="839"/>
      <c r="I3" s="839"/>
      <c r="J3" s="839"/>
      <c r="K3" s="839"/>
      <c r="V3" s="317"/>
      <c r="W3" s="317"/>
      <c r="AI3" s="550"/>
    </row>
    <row r="4" spans="1:72" s="403" customFormat="1" ht="12.95" x14ac:dyDescent="0.3">
      <c r="A4" s="404" t="s">
        <v>112</v>
      </c>
      <c r="C4" s="847"/>
      <c r="D4" s="847"/>
      <c r="E4" s="847"/>
      <c r="F4" s="847"/>
      <c r="G4" s="847"/>
      <c r="H4" s="847"/>
      <c r="I4" s="847"/>
      <c r="J4" s="847"/>
      <c r="K4" s="847"/>
    </row>
    <row r="5" spans="1:72" ht="14.45" x14ac:dyDescent="0.35">
      <c r="A5" s="503" t="s">
        <v>521</v>
      </c>
      <c r="B5" s="503"/>
      <c r="C5" s="842"/>
      <c r="D5" s="842"/>
      <c r="E5" s="842"/>
      <c r="F5" s="842"/>
      <c r="G5" s="842"/>
      <c r="H5" s="842"/>
      <c r="I5" s="842"/>
      <c r="J5" s="842"/>
      <c r="K5" s="842"/>
    </row>
    <row r="6" spans="1:72" ht="66.95" customHeight="1" x14ac:dyDescent="0.35">
      <c r="C6" s="1216" t="s">
        <v>766</v>
      </c>
      <c r="D6" s="1217"/>
      <c r="E6" s="1217"/>
      <c r="F6" s="1217"/>
      <c r="G6" s="1218" t="s">
        <v>444</v>
      </c>
      <c r="H6" s="1217"/>
      <c r="I6" s="1217"/>
      <c r="J6" s="1217"/>
      <c r="K6" s="1168" t="s">
        <v>772</v>
      </c>
      <c r="L6" s="1218" t="s">
        <v>118</v>
      </c>
      <c r="M6" s="1217"/>
      <c r="N6" s="1217"/>
      <c r="O6" s="1217"/>
      <c r="P6" s="1219"/>
      <c r="Q6" s="1220" t="s">
        <v>119</v>
      </c>
      <c r="R6" s="1221"/>
      <c r="S6" s="1221"/>
      <c r="T6" s="1221"/>
      <c r="U6" s="1222"/>
      <c r="V6" s="1223" t="s">
        <v>120</v>
      </c>
      <c r="W6" s="1224"/>
      <c r="X6" s="1224"/>
      <c r="Y6" s="1224"/>
      <c r="Z6" s="1225"/>
      <c r="AA6" s="1218" t="s">
        <v>121</v>
      </c>
      <c r="AB6" s="1217"/>
      <c r="AC6" s="1217"/>
      <c r="AD6" s="1217"/>
      <c r="AE6" s="1217"/>
      <c r="AF6" s="1217"/>
      <c r="AG6" s="1217"/>
      <c r="AH6" s="1217"/>
      <c r="AI6" s="1217"/>
      <c r="AJ6" s="1219"/>
      <c r="AK6" s="1218" t="s">
        <v>122</v>
      </c>
      <c r="AL6" s="1217"/>
      <c r="AM6" s="1217"/>
      <c r="AN6" s="1217"/>
      <c r="AO6" s="1219"/>
      <c r="AP6" s="1223" t="s">
        <v>123</v>
      </c>
      <c r="AQ6" s="1224"/>
      <c r="AR6" s="1224"/>
      <c r="AS6" s="1224"/>
      <c r="AT6" s="1225"/>
      <c r="AU6" s="1234" t="s">
        <v>124</v>
      </c>
      <c r="AV6" s="1235"/>
      <c r="AW6" s="1235"/>
      <c r="AX6" s="1235"/>
      <c r="AY6" s="1236"/>
      <c r="AZ6" s="1218" t="s">
        <v>125</v>
      </c>
      <c r="BA6" s="1217"/>
      <c r="BB6" s="1217"/>
      <c r="BC6" s="1217"/>
      <c r="BD6" s="1219"/>
      <c r="BE6" s="1218" t="s">
        <v>126</v>
      </c>
      <c r="BF6" s="1217"/>
      <c r="BG6" s="1217"/>
      <c r="BH6" s="1217"/>
      <c r="BI6" s="1219"/>
      <c r="BJ6" s="1218" t="s">
        <v>127</v>
      </c>
      <c r="BK6" s="1217"/>
      <c r="BL6" s="1217"/>
      <c r="BM6" s="1217"/>
      <c r="BN6" s="1219"/>
      <c r="BO6" s="1231" t="s">
        <v>128</v>
      </c>
      <c r="BP6" s="1232"/>
      <c r="BQ6" s="1232"/>
      <c r="BR6" s="1232"/>
      <c r="BS6" s="1233"/>
    </row>
    <row r="7" spans="1:72" ht="14.45" x14ac:dyDescent="0.35">
      <c r="A7" s="500" t="s">
        <v>12</v>
      </c>
      <c r="B7" s="499"/>
      <c r="C7" s="869" t="s">
        <v>13</v>
      </c>
      <c r="D7" s="871" t="s">
        <v>14</v>
      </c>
      <c r="E7" s="869" t="s">
        <v>15</v>
      </c>
      <c r="F7" s="869" t="s">
        <v>16</v>
      </c>
      <c r="G7" s="869" t="s">
        <v>13</v>
      </c>
      <c r="H7" s="871" t="s">
        <v>14</v>
      </c>
      <c r="I7" s="869" t="s">
        <v>15</v>
      </c>
      <c r="J7" s="869" t="s">
        <v>16</v>
      </c>
      <c r="K7" s="1169" t="s">
        <v>238</v>
      </c>
      <c r="L7" s="869" t="s">
        <v>13</v>
      </c>
      <c r="M7" s="871" t="s">
        <v>14</v>
      </c>
      <c r="N7" s="869" t="s">
        <v>15</v>
      </c>
      <c r="O7" s="869" t="s">
        <v>16</v>
      </c>
      <c r="P7" s="877" t="s">
        <v>238</v>
      </c>
      <c r="Q7" s="461" t="s">
        <v>13</v>
      </c>
      <c r="R7" s="481" t="s">
        <v>14</v>
      </c>
      <c r="S7" s="461" t="s">
        <v>15</v>
      </c>
      <c r="T7" s="461" t="s">
        <v>16</v>
      </c>
      <c r="U7" s="630" t="s">
        <v>238</v>
      </c>
      <c r="V7" s="461" t="s">
        <v>13</v>
      </c>
      <c r="W7" s="481" t="s">
        <v>14</v>
      </c>
      <c r="X7" s="461" t="s">
        <v>15</v>
      </c>
      <c r="Y7" s="461" t="s">
        <v>16</v>
      </c>
      <c r="Z7" s="630" t="s">
        <v>238</v>
      </c>
      <c r="AA7" s="1226" t="s">
        <v>13</v>
      </c>
      <c r="AB7" s="1227"/>
      <c r="AC7" s="1228" t="s">
        <v>14</v>
      </c>
      <c r="AD7" s="1230"/>
      <c r="AE7" s="1228" t="s">
        <v>15</v>
      </c>
      <c r="AF7" s="1230"/>
      <c r="AG7" s="1228" t="s">
        <v>16</v>
      </c>
      <c r="AH7" s="1229"/>
      <c r="AI7" s="1226" t="s">
        <v>238</v>
      </c>
      <c r="AJ7" s="1227"/>
      <c r="AK7" s="630" t="s">
        <v>13</v>
      </c>
      <c r="AL7" s="869" t="s">
        <v>14</v>
      </c>
      <c r="AM7" s="461" t="s">
        <v>15</v>
      </c>
      <c r="AN7" s="461" t="s">
        <v>16</v>
      </c>
      <c r="AO7" s="630" t="s">
        <v>238</v>
      </c>
      <c r="AP7" s="461" t="s">
        <v>13</v>
      </c>
      <c r="AQ7" s="481" t="s">
        <v>14</v>
      </c>
      <c r="AR7" s="461" t="s">
        <v>15</v>
      </c>
      <c r="AS7" s="461" t="s">
        <v>16</v>
      </c>
      <c r="AT7" s="630" t="s">
        <v>238</v>
      </c>
      <c r="AU7" s="461" t="s">
        <v>13</v>
      </c>
      <c r="AV7" s="481" t="s">
        <v>14</v>
      </c>
      <c r="AW7" s="461" t="s">
        <v>15</v>
      </c>
      <c r="AX7" s="461" t="s">
        <v>16</v>
      </c>
      <c r="AY7" s="630" t="s">
        <v>238</v>
      </c>
      <c r="AZ7" s="461" t="s">
        <v>13</v>
      </c>
      <c r="BA7" s="481" t="s">
        <v>14</v>
      </c>
      <c r="BB7" s="461" t="s">
        <v>15</v>
      </c>
      <c r="BC7" s="461" t="s">
        <v>16</v>
      </c>
      <c r="BD7" s="630" t="s">
        <v>238</v>
      </c>
      <c r="BE7" s="629" t="s">
        <v>13</v>
      </c>
      <c r="BF7" s="481" t="s">
        <v>14</v>
      </c>
      <c r="BG7" s="461" t="s">
        <v>15</v>
      </c>
      <c r="BH7" s="461" t="s">
        <v>16</v>
      </c>
      <c r="BI7" s="630" t="s">
        <v>238</v>
      </c>
      <c r="BJ7" s="629" t="s">
        <v>13</v>
      </c>
      <c r="BK7" s="481" t="s">
        <v>14</v>
      </c>
      <c r="BL7" s="461" t="s">
        <v>15</v>
      </c>
      <c r="BM7" s="461" t="s">
        <v>16</v>
      </c>
      <c r="BN7" s="630" t="s">
        <v>238</v>
      </c>
      <c r="BO7" s="481" t="s">
        <v>13</v>
      </c>
      <c r="BP7" s="481" t="s">
        <v>14</v>
      </c>
      <c r="BQ7" s="461" t="s">
        <v>15</v>
      </c>
      <c r="BR7" s="461" t="s">
        <v>16</v>
      </c>
      <c r="BS7" s="630" t="s">
        <v>238</v>
      </c>
    </row>
    <row r="8" spans="1:72" ht="14.45" x14ac:dyDescent="0.35">
      <c r="A8" s="499"/>
      <c r="B8" s="499" t="s">
        <v>20</v>
      </c>
      <c r="C8" s="848">
        <v>2010</v>
      </c>
      <c r="D8" s="848">
        <v>2010</v>
      </c>
      <c r="E8" s="848">
        <v>2010</v>
      </c>
      <c r="F8" s="848">
        <v>2010</v>
      </c>
      <c r="G8" s="848">
        <v>2010</v>
      </c>
      <c r="H8" s="848">
        <v>2010</v>
      </c>
      <c r="I8" s="848">
        <v>2010</v>
      </c>
      <c r="J8" s="848">
        <v>2010</v>
      </c>
      <c r="K8" s="1170">
        <v>2010</v>
      </c>
      <c r="L8" s="848">
        <v>2010</v>
      </c>
      <c r="M8" s="848">
        <v>2010</v>
      </c>
      <c r="N8" s="848">
        <v>2010</v>
      </c>
      <c r="O8" s="848">
        <v>2010</v>
      </c>
      <c r="P8" s="942">
        <v>2010</v>
      </c>
      <c r="Q8" s="463">
        <v>2010</v>
      </c>
      <c r="R8" s="463">
        <v>2010</v>
      </c>
      <c r="S8" s="463">
        <v>2010</v>
      </c>
      <c r="T8" s="463">
        <v>2010</v>
      </c>
      <c r="U8" s="561">
        <v>2010</v>
      </c>
      <c r="V8" s="463">
        <v>2010</v>
      </c>
      <c r="W8" s="463">
        <v>2010</v>
      </c>
      <c r="X8" s="463">
        <v>2010</v>
      </c>
      <c r="Y8" s="463">
        <v>2010</v>
      </c>
      <c r="Z8" s="561">
        <v>2010</v>
      </c>
      <c r="AA8" s="557">
        <v>2010</v>
      </c>
      <c r="AB8" s="561">
        <v>2035</v>
      </c>
      <c r="AC8" s="557">
        <v>2010</v>
      </c>
      <c r="AD8" s="561">
        <v>2035</v>
      </c>
      <c r="AE8" s="475">
        <v>2010</v>
      </c>
      <c r="AF8" s="470">
        <v>2035</v>
      </c>
      <c r="AG8" s="476">
        <v>2010</v>
      </c>
      <c r="AH8" s="508">
        <v>2035</v>
      </c>
      <c r="AI8" s="705">
        <v>2010</v>
      </c>
      <c r="AJ8" s="706">
        <v>2035</v>
      </c>
      <c r="AK8" s="630"/>
      <c r="AL8" s="869"/>
      <c r="AM8" s="461"/>
      <c r="AN8" s="461"/>
      <c r="AO8" s="561">
        <v>2010</v>
      </c>
      <c r="AP8" s="483">
        <v>2010</v>
      </c>
      <c r="AQ8" s="482">
        <v>2010</v>
      </c>
      <c r="AR8" s="484">
        <v>2010</v>
      </c>
      <c r="AS8" s="487">
        <v>2010</v>
      </c>
      <c r="AT8" s="561">
        <v>2010</v>
      </c>
      <c r="AU8" s="489">
        <v>2010</v>
      </c>
      <c r="AV8" s="489">
        <v>2010</v>
      </c>
      <c r="AW8" s="489">
        <v>2010</v>
      </c>
      <c r="AX8" s="489">
        <v>2010</v>
      </c>
      <c r="AY8" s="561">
        <v>2010</v>
      </c>
      <c r="AZ8" s="492"/>
      <c r="BA8" s="488"/>
      <c r="BB8" s="493"/>
      <c r="BC8" s="498"/>
      <c r="BD8" s="561">
        <v>2010</v>
      </c>
      <c r="BE8" s="511"/>
      <c r="BF8" s="510"/>
      <c r="BG8" s="465"/>
      <c r="BH8" s="465"/>
      <c r="BI8" s="561">
        <v>2010</v>
      </c>
      <c r="BJ8" s="511"/>
      <c r="BK8" s="510"/>
      <c r="BL8" s="465"/>
      <c r="BM8" s="465"/>
      <c r="BN8" s="561">
        <v>2010</v>
      </c>
      <c r="BO8" s="510"/>
      <c r="BP8" s="510"/>
      <c r="BR8" s="465"/>
      <c r="BS8" s="561">
        <v>2010</v>
      </c>
    </row>
    <row r="9" spans="1:72" ht="14.45" x14ac:dyDescent="0.35">
      <c r="A9" s="507" t="s">
        <v>21</v>
      </c>
      <c r="B9" s="504"/>
      <c r="C9" s="881"/>
      <c r="D9" s="882"/>
      <c r="E9" s="882"/>
      <c r="F9" s="883"/>
      <c r="G9" s="881"/>
      <c r="H9" s="882"/>
      <c r="I9" s="882"/>
      <c r="J9" s="883"/>
      <c r="K9" s="1171"/>
      <c r="L9" s="881"/>
      <c r="M9" s="882"/>
      <c r="N9" s="882"/>
      <c r="O9" s="883"/>
      <c r="P9" s="943"/>
      <c r="Q9" s="671"/>
      <c r="R9" s="672"/>
      <c r="S9" s="672"/>
      <c r="T9" s="674"/>
      <c r="U9" s="650"/>
      <c r="V9" s="671"/>
      <c r="W9" s="672"/>
      <c r="X9" s="673"/>
      <c r="Y9" s="674"/>
      <c r="Z9" s="650"/>
      <c r="AA9" s="881"/>
      <c r="AB9" s="883"/>
      <c r="AC9" s="881"/>
      <c r="AD9" s="883"/>
      <c r="AE9" s="881"/>
      <c r="AF9" s="883"/>
      <c r="AG9" s="881"/>
      <c r="AH9" s="883"/>
      <c r="AI9" s="558"/>
      <c r="AJ9" s="559"/>
      <c r="AK9" s="684"/>
      <c r="AL9" s="685"/>
      <c r="AM9" s="685"/>
      <c r="AN9" s="686"/>
      <c r="AO9" s="650"/>
      <c r="AP9" s="671"/>
      <c r="AQ9" s="672"/>
      <c r="AR9" s="672"/>
      <c r="AS9" s="674"/>
      <c r="AT9" s="879"/>
      <c r="AU9" s="671"/>
      <c r="AV9" s="672"/>
      <c r="AW9" s="672"/>
      <c r="AX9" s="674"/>
      <c r="AY9" s="650"/>
      <c r="AZ9" s="671"/>
      <c r="BA9" s="672"/>
      <c r="BB9" s="672"/>
      <c r="BC9" s="674"/>
      <c r="BD9" s="943"/>
      <c r="BE9" s="671"/>
      <c r="BF9" s="672"/>
      <c r="BG9" s="672"/>
      <c r="BH9" s="674"/>
      <c r="BI9" s="709"/>
      <c r="BJ9" s="671"/>
      <c r="BK9" s="672"/>
      <c r="BL9" s="672"/>
      <c r="BM9" s="674"/>
      <c r="BN9" s="709"/>
      <c r="BO9" s="671"/>
      <c r="BP9" s="672"/>
      <c r="BQ9" s="672"/>
      <c r="BR9" s="674"/>
      <c r="BS9" s="709"/>
    </row>
    <row r="10" spans="1:72" ht="14.45" x14ac:dyDescent="0.35">
      <c r="A10" s="499"/>
      <c r="B10" s="499" t="s">
        <v>22</v>
      </c>
      <c r="C10" s="1163">
        <f>Tech_Specs!Y9*Q10</f>
        <v>12.9</v>
      </c>
      <c r="D10" s="1163">
        <f>Tech_Specs!Z9*R10</f>
        <v>12.4</v>
      </c>
      <c r="E10" s="1163">
        <f>Tech_Specs!AA9*S10</f>
        <v>11.9</v>
      </c>
      <c r="F10" s="1163">
        <f>Tech_Specs!AB9*T10</f>
        <v>0</v>
      </c>
      <c r="G10" s="1163">
        <f>C10/L10/Q10</f>
        <v>12.9</v>
      </c>
      <c r="H10" s="1164">
        <f t="shared" ref="H10:J10" si="0">D10/M10/R10</f>
        <v>12.4</v>
      </c>
      <c r="I10" s="1164">
        <f t="shared" si="0"/>
        <v>11.9</v>
      </c>
      <c r="J10" s="1164">
        <f t="shared" si="0"/>
        <v>0</v>
      </c>
      <c r="K10" s="1172">
        <f>IF(Active_Case="Res",Perform_Sectors!$C10,IF(Active_Case="Com",Perform_Sectors!$D10,IF(Active_Case="Ind",Perform_Sectors!$E10,IF(Active_Case="Out",Perform_Sectors!$F10))))</f>
        <v>12.9</v>
      </c>
      <c r="L10" s="863">
        <v>1</v>
      </c>
      <c r="M10" s="868">
        <v>1</v>
      </c>
      <c r="N10" s="868">
        <v>1</v>
      </c>
      <c r="O10" s="884">
        <v>1</v>
      </c>
      <c r="P10" s="944">
        <f>IF(Active_Case="Res",Perform_Sectors!$L10,IF(Active_Case="Com",Perform_Sectors!$M10,IF(Active_Case="Ind",Perform_Sectors!$N10,IF(Active_Case="Out",Perform_Sectors!$O10))))</f>
        <v>1</v>
      </c>
      <c r="Q10" s="219">
        <v>1</v>
      </c>
      <c r="R10" s="435">
        <v>1</v>
      </c>
      <c r="S10" s="435">
        <v>1</v>
      </c>
      <c r="T10" s="675">
        <v>1</v>
      </c>
      <c r="U10" s="944">
        <f>IF(Active_Case="Res",Perform_Sectors!$Q10,IF(Active_Case="Com",Perform_Sectors!$R10,IF(Active_Case="Ind",Perform_Sectors!$S10,IF(Active_Case="Out",Perform_Sectors!$T10))))</f>
        <v>1</v>
      </c>
      <c r="V10" s="524">
        <v>1.35</v>
      </c>
      <c r="W10" s="661">
        <v>1.8</v>
      </c>
      <c r="X10" s="661">
        <v>1.8</v>
      </c>
      <c r="Y10" s="678">
        <v>1.35</v>
      </c>
      <c r="Z10" s="946">
        <f>IF(Active_Case="Res",Perform_Sectors!$V10,IF(Active_Case="Com",Perform_Sectors!$W10,IF(Active_Case="Ind",Perform_Sectors!$X10,IF(Active_Case="Out",Perform_Sectors!$Y10))))</f>
        <v>1.35</v>
      </c>
      <c r="AA10" s="563" t="s">
        <v>129</v>
      </c>
      <c r="AB10" s="466" t="s">
        <v>129</v>
      </c>
      <c r="AC10" s="563" t="s">
        <v>129</v>
      </c>
      <c r="AD10" s="466" t="s">
        <v>129</v>
      </c>
      <c r="AE10" s="563" t="s">
        <v>129</v>
      </c>
      <c r="AF10" s="466" t="s">
        <v>129</v>
      </c>
      <c r="AG10" s="563" t="s">
        <v>129</v>
      </c>
      <c r="AH10" s="479" t="s">
        <v>129</v>
      </c>
      <c r="AI10" s="157" t="str">
        <f>IF(Active_Case="Res",Perform_Sectors!AA10,IF(Active_Case="Com",Perform_Sectors!AC10,IF(Active_Case="Ind",Perform_Sectors!AE10,IF(Active_Case="Out",Perform_Sectors!AG10))))</f>
        <v>n/a</v>
      </c>
      <c r="AJ10" s="158" t="str">
        <f>IF(Active_Case="Res",Perform_Sectors!AB10,IF(Active_Case="Com",Perform_Sectors!AD10,IF(Active_Case="Ind",Perform_Sectors!AF10,IF(Active_Case="Out",Perform_Sectors!AH10))))</f>
        <v>n/a</v>
      </c>
      <c r="AK10" s="687">
        <v>100</v>
      </c>
      <c r="AL10" s="664">
        <v>100</v>
      </c>
      <c r="AM10" s="664">
        <v>100</v>
      </c>
      <c r="AN10" s="530">
        <v>100</v>
      </c>
      <c r="AO10" s="953">
        <f>IF(Active_Case="Res",AK10,IF(Active_Case="Com",AL10,IF(Active_Case="Ind",AM10,IF(Active_Case="Out",AN10))))</f>
        <v>100</v>
      </c>
      <c r="AP10" s="517">
        <v>0.5</v>
      </c>
      <c r="AQ10" s="522">
        <v>0.5</v>
      </c>
      <c r="AR10" s="522">
        <v>0.5</v>
      </c>
      <c r="AS10" s="495">
        <v>0.5</v>
      </c>
      <c r="AT10" s="162">
        <f>IF(Active_Case="Res",Perform_Sectors!AP10,IF(Active_Case="Com",Perform_Sectors!AQ10,IF(Active_Case="Ind",Perform_Sectors!AR10,IF(Active_Case="Out",Perform_Sectors!AS10))))</f>
        <v>0.5</v>
      </c>
      <c r="AU10" s="518" t="s">
        <v>129</v>
      </c>
      <c r="AV10" s="522" t="s">
        <v>129</v>
      </c>
      <c r="AW10" s="522" t="s">
        <v>129</v>
      </c>
      <c r="AX10" s="694" t="s">
        <v>129</v>
      </c>
      <c r="AY10" s="953" t="str">
        <f>IF(Active_Case="Res",AU10,IF(Active_Case="Com",AV10,IF(Active_Case="Ind",AW10,IF(Active_Case="Out",AX10))))</f>
        <v>n/a</v>
      </c>
      <c r="AZ10" s="518">
        <v>18.5</v>
      </c>
      <c r="BA10" s="522">
        <v>15</v>
      </c>
      <c r="BB10" s="522">
        <v>15</v>
      </c>
      <c r="BC10" s="494">
        <v>15</v>
      </c>
      <c r="BD10" s="953">
        <f>IF(Active_Case="Res",AZ10,IF(Active_Case="Com",BA10,IF(Active_Case="Ind",BB10,IF(Active_Case="Out",BC10))))</f>
        <v>18.5</v>
      </c>
      <c r="BE10" s="518">
        <v>0</v>
      </c>
      <c r="BF10" s="669">
        <f>IFERROR(Misc_Inputs!$D$21/(Perform_Active!$I10/1000),0)</f>
        <v>1.2398285906880446</v>
      </c>
      <c r="BG10" s="669">
        <f>IFERROR(Misc_Inputs!$D$21/(Perform_Active!$I10/1000),0)</f>
        <v>1.2398285906880446</v>
      </c>
      <c r="BH10" s="669">
        <f>IFERROR(Misc_Inputs!$D$21/(Perform_Active!$I10/1000),0)</f>
        <v>1.2398285906880446</v>
      </c>
      <c r="BI10" s="710">
        <f>IF(Active_Case="Res",BE10,IF(Active_Case="Com",BF16,IF(Active_Case="Ind",BG10,IF(Active_Case="Out",BH10))))</f>
        <v>0</v>
      </c>
      <c r="BJ10" s="518">
        <v>0</v>
      </c>
      <c r="BK10" s="666">
        <v>0</v>
      </c>
      <c r="BL10" s="666">
        <v>0</v>
      </c>
      <c r="BM10" s="691">
        <v>0</v>
      </c>
      <c r="BN10" s="959">
        <f>IF(Active_Case="Res",BJ10,IF(Active_Case="Com",BK10,IF(Active_Case="Ind",BL10,IF(Active_Case="Out",BM10))))</f>
        <v>0</v>
      </c>
      <c r="BO10" s="702">
        <f>Misc_Inputs!$D$22/(Perform_Active!$I10/1000)</f>
        <v>2.4796571813760893</v>
      </c>
      <c r="BP10" s="669">
        <f>Misc_Inputs!$D$22/(Perform_Active!$I10/1000)</f>
        <v>2.4796571813760893</v>
      </c>
      <c r="BQ10" s="669">
        <f>Misc_Inputs!$D$22/(Perform_Active!$I10/1000)</f>
        <v>2.4796571813760893</v>
      </c>
      <c r="BR10" s="422">
        <f>Misc_Inputs!$D$22/(Perform_Active!$I10/1000)</f>
        <v>2.4796571813760893</v>
      </c>
      <c r="BS10" s="710">
        <f>IF(Active_Case="Res",BO10,IF(Active_Case="Com",BP10,IF(Active_Case="Ind",BQ10,IF(Active_Case="Out",BR10))))</f>
        <v>2.4796571813760893</v>
      </c>
      <c r="BT10" s="1143"/>
    </row>
    <row r="11" spans="1:72" ht="14.45" x14ac:dyDescent="0.35">
      <c r="A11" s="499"/>
      <c r="B11" s="499" t="s">
        <v>26</v>
      </c>
      <c r="C11" s="1163">
        <f>Tech_Specs!Y10*Q11</f>
        <v>15</v>
      </c>
      <c r="D11" s="1163">
        <f>Tech_Specs!Z10*R11</f>
        <v>14.7</v>
      </c>
      <c r="E11" s="1163">
        <f>Tech_Specs!AA10*S11</f>
        <v>14.3</v>
      </c>
      <c r="F11" s="1163">
        <f>Tech_Specs!AB10*T11</f>
        <v>0</v>
      </c>
      <c r="G11" s="1163">
        <f t="shared" ref="G11:G13" si="1">C11/L11/Q11</f>
        <v>15</v>
      </c>
      <c r="H11" s="1164">
        <f t="shared" ref="H11:H13" si="2">D11/M11/R11</f>
        <v>14.7</v>
      </c>
      <c r="I11" s="1164">
        <f t="shared" ref="I11:I13" si="3">E11/N11/S11</f>
        <v>14.3</v>
      </c>
      <c r="J11" s="1164">
        <f t="shared" ref="J11:J13" si="4">F11/O11/T11</f>
        <v>0</v>
      </c>
      <c r="K11" s="1172">
        <f>IF(Active_Case="Res",Perform_Sectors!$C11,IF(Active_Case="Com",Perform_Sectors!$D11,IF(Active_Case="Ind",Perform_Sectors!$E11,IF(Active_Case="Out",Perform_Sectors!$F11))))</f>
        <v>15</v>
      </c>
      <c r="L11" s="863">
        <v>1</v>
      </c>
      <c r="M11" s="868">
        <v>1</v>
      </c>
      <c r="N11" s="868">
        <v>1</v>
      </c>
      <c r="O11" s="884">
        <v>1</v>
      </c>
      <c r="P11" s="944">
        <f>IF(Active_Case="Res",Perform_Sectors!$L11,IF(Active_Case="Com",Perform_Sectors!$M11,IF(Active_Case="Ind",Perform_Sectors!$N11,IF(Active_Case="Out",Perform_Sectors!$O11))))</f>
        <v>1</v>
      </c>
      <c r="Q11" s="219">
        <v>1</v>
      </c>
      <c r="R11" s="435">
        <v>1</v>
      </c>
      <c r="S11" s="435">
        <v>1</v>
      </c>
      <c r="T11" s="675">
        <v>1</v>
      </c>
      <c r="U11" s="944">
        <f>IF(Active_Case="Res",Perform_Sectors!$Q11,IF(Active_Case="Com",Perform_Sectors!$R11,IF(Active_Case="Ind",Perform_Sectors!$S11,IF(Active_Case="Out",Perform_Sectors!$T11))))</f>
        <v>1</v>
      </c>
      <c r="V11" s="524">
        <v>1.5</v>
      </c>
      <c r="W11" s="661">
        <v>1.5</v>
      </c>
      <c r="X11" s="661">
        <v>1.5</v>
      </c>
      <c r="Y11" s="678">
        <v>1.5</v>
      </c>
      <c r="Z11" s="946">
        <f>IF(Active_Case="Res",Perform_Sectors!$V11,IF(Active_Case="Com",Perform_Sectors!$W11,IF(Active_Case="Ind",Perform_Sectors!$X11,IF(Active_Case="Out",Perform_Sectors!$Y11))))</f>
        <v>1.5</v>
      </c>
      <c r="AA11" s="563" t="s">
        <v>129</v>
      </c>
      <c r="AB11" s="466" t="s">
        <v>129</v>
      </c>
      <c r="AC11" s="563" t="s">
        <v>129</v>
      </c>
      <c r="AD11" s="466" t="s">
        <v>129</v>
      </c>
      <c r="AE11" s="563" t="s">
        <v>129</v>
      </c>
      <c r="AF11" s="466" t="s">
        <v>129</v>
      </c>
      <c r="AG11" s="563" t="s">
        <v>129</v>
      </c>
      <c r="AH11" s="479" t="s">
        <v>129</v>
      </c>
      <c r="AI11" s="157" t="str">
        <f>IF(Active_Case="Res",Perform_Sectors!AA11,IF(Active_Case="Com",Perform_Sectors!AC11,IF(Active_Case="Ind",Perform_Sectors!AE11,IF(Active_Case="Out",Perform_Sectors!AG11))))</f>
        <v>n/a</v>
      </c>
      <c r="AJ11" s="158" t="str">
        <f>IF(Active_Case="Res",Perform_Sectors!AB11,IF(Active_Case="Com",Perform_Sectors!AD11,IF(Active_Case="Ind",Perform_Sectors!AF11,IF(Active_Case="Out",Perform_Sectors!AH11))))</f>
        <v>n/a</v>
      </c>
      <c r="AK11" s="687">
        <v>100</v>
      </c>
      <c r="AL11" s="664">
        <v>100</v>
      </c>
      <c r="AM11" s="664">
        <v>100</v>
      </c>
      <c r="AN11" s="530">
        <v>100</v>
      </c>
      <c r="AO11" s="953">
        <f>IF(Active_Case="Res",AK11,IF(Active_Case="Com",AL11,IF(Active_Case="Ind",AM11,IF(Active_Case="Out",AN11))))</f>
        <v>100</v>
      </c>
      <c r="AP11" s="517">
        <v>1.9</v>
      </c>
      <c r="AQ11" s="522">
        <v>1.9</v>
      </c>
      <c r="AR11" s="522">
        <v>1.9</v>
      </c>
      <c r="AS11" s="495">
        <v>1.9</v>
      </c>
      <c r="AT11" s="162">
        <f>IF(Active_Case="Res",Perform_Sectors!AP11,IF(Active_Case="Com",Perform_Sectors!AQ11,IF(Active_Case="Ind",Perform_Sectors!AR11,IF(Active_Case="Out",Perform_Sectors!AS11))))</f>
        <v>1.9</v>
      </c>
      <c r="AU11" s="518" t="s">
        <v>129</v>
      </c>
      <c r="AV11" s="522" t="s">
        <v>129</v>
      </c>
      <c r="AW11" s="522" t="s">
        <v>129</v>
      </c>
      <c r="AX11" s="694" t="s">
        <v>129</v>
      </c>
      <c r="AY11" s="953" t="str">
        <f>IF(Active_Case="Res",AU11,IF(Active_Case="Com",AV11,IF(Active_Case="Ind",AW11,IF(Active_Case="Out",AX11))))</f>
        <v>n/a</v>
      </c>
      <c r="AZ11" s="518">
        <v>18.5</v>
      </c>
      <c r="BA11" s="522">
        <v>15</v>
      </c>
      <c r="BB11" s="522">
        <v>15</v>
      </c>
      <c r="BC11" s="494">
        <v>15</v>
      </c>
      <c r="BD11" s="953">
        <f>IF(Active_Case="Res",AZ11,IF(Active_Case="Com",BA11,IF(Active_Case="Ind",BB11,IF(Active_Case="Out",BC11))))</f>
        <v>18.5</v>
      </c>
      <c r="BE11" s="518">
        <v>0</v>
      </c>
      <c r="BF11" s="669">
        <f>IFERROR(Misc_Inputs!$D$21/(Perform_Active!$I11/1000),0)</f>
        <v>1.3597359735973598</v>
      </c>
      <c r="BG11" s="669">
        <f>IFERROR(Misc_Inputs!$D$21/(Perform_Active!$I11/1000),0)</f>
        <v>1.3597359735973598</v>
      </c>
      <c r="BH11" s="669">
        <f>IFERROR(Misc_Inputs!$D$21/(Perform_Active!$I11/1000),0)</f>
        <v>1.3597359735973598</v>
      </c>
      <c r="BI11" s="710">
        <f>IF(Active_Case="Res",BE11,IF(Active_Case="Com",BF11,IF(Active_Case="Ind",BG11,IF(Active_Case="Out",BH11))))</f>
        <v>0</v>
      </c>
      <c r="BJ11" s="518">
        <v>0</v>
      </c>
      <c r="BK11" s="666">
        <v>0</v>
      </c>
      <c r="BL11" s="666">
        <v>0</v>
      </c>
      <c r="BM11" s="691">
        <v>0</v>
      </c>
      <c r="BN11" s="959">
        <f>IF(Active_Case="Res",BJ11,IF(Active_Case="Com",BK11,IF(Active_Case="Ind",BL11,IF(Active_Case="Out",BM11))))</f>
        <v>0</v>
      </c>
      <c r="BO11" s="702">
        <f>Misc_Inputs!$D$22/(Perform_Active!$I11/1000)</f>
        <v>2.7194719471947195</v>
      </c>
      <c r="BP11" s="669">
        <f>Misc_Inputs!$D$22/(Perform_Active!$I11/1000)</f>
        <v>2.7194719471947195</v>
      </c>
      <c r="BQ11" s="669">
        <f>Misc_Inputs!$D$22/(Perform_Active!$I11/1000)</f>
        <v>2.7194719471947195</v>
      </c>
      <c r="BR11" s="422">
        <f>Misc_Inputs!$D$22/(Perform_Active!$I11/1000)</f>
        <v>2.7194719471947195</v>
      </c>
      <c r="BS11" s="710">
        <f>IF(Active_Case="Res",BO11,IF(Active_Case="Com",BP11,IF(Active_Case="Ind",BQ11,IF(Active_Case="Out",BR11))))</f>
        <v>2.7194719471947195</v>
      </c>
    </row>
    <row r="12" spans="1:72" ht="14.45" x14ac:dyDescent="0.35">
      <c r="A12" s="499"/>
      <c r="B12" s="499" t="s">
        <v>27</v>
      </c>
      <c r="C12" s="1163">
        <f>Tech_Specs!Y11*Q12</f>
        <v>53</v>
      </c>
      <c r="D12" s="1163">
        <f>Tech_Specs!Z11*R12</f>
        <v>54.4</v>
      </c>
      <c r="E12" s="1163">
        <f>Tech_Specs!AA11*S12</f>
        <v>53.3</v>
      </c>
      <c r="F12" s="1163">
        <f>Tech_Specs!AB11*T12</f>
        <v>0</v>
      </c>
      <c r="G12" s="1163">
        <f t="shared" si="1"/>
        <v>53</v>
      </c>
      <c r="H12" s="1164">
        <f t="shared" si="2"/>
        <v>54.4</v>
      </c>
      <c r="I12" s="1164">
        <f t="shared" si="3"/>
        <v>53.3</v>
      </c>
      <c r="J12" s="1164">
        <f t="shared" si="4"/>
        <v>0</v>
      </c>
      <c r="K12" s="1172">
        <f>IF(Active_Case="Res",Perform_Sectors!$C12,IF(Active_Case="Com",Perform_Sectors!$D12,IF(Active_Case="Ind",Perform_Sectors!$E12,IF(Active_Case="Out",Perform_Sectors!$F12))))</f>
        <v>53</v>
      </c>
      <c r="L12" s="863">
        <v>1</v>
      </c>
      <c r="M12" s="868">
        <v>1</v>
      </c>
      <c r="N12" s="868">
        <v>1</v>
      </c>
      <c r="O12" s="884">
        <v>1</v>
      </c>
      <c r="P12" s="944">
        <f>IF(Active_Case="Res",Perform_Sectors!$L12,IF(Active_Case="Com",Perform_Sectors!$M12,IF(Active_Case="Ind",Perform_Sectors!$N12,IF(Active_Case="Out",Perform_Sectors!$O12))))</f>
        <v>1</v>
      </c>
      <c r="Q12" s="219">
        <v>1</v>
      </c>
      <c r="R12" s="435">
        <v>1</v>
      </c>
      <c r="S12" s="435">
        <v>1</v>
      </c>
      <c r="T12" s="675">
        <v>1</v>
      </c>
      <c r="U12" s="944">
        <f>IF(Active_Case="Res",Perform_Sectors!$Q12,IF(Active_Case="Com",Perform_Sectors!$R12,IF(Active_Case="Ind",Perform_Sectors!$S12,IF(Active_Case="Out",Perform_Sectors!$T12))))</f>
        <v>1</v>
      </c>
      <c r="V12" s="524">
        <v>10.3</v>
      </c>
      <c r="W12" s="661">
        <v>10.3</v>
      </c>
      <c r="X12" s="661">
        <v>10.3</v>
      </c>
      <c r="Y12" s="678">
        <v>10.3</v>
      </c>
      <c r="Z12" s="946">
        <f>IF(Active_Case="Res",Perform_Sectors!$V12,IF(Active_Case="Com",Perform_Sectors!$W12,IF(Active_Case="Ind",Perform_Sectors!$X12,IF(Active_Case="Out",Perform_Sectors!$Y12))))</f>
        <v>10.3</v>
      </c>
      <c r="AA12" s="563" t="s">
        <v>129</v>
      </c>
      <c r="AB12" s="466" t="s">
        <v>129</v>
      </c>
      <c r="AC12" s="563" t="s">
        <v>129</v>
      </c>
      <c r="AD12" s="466" t="s">
        <v>129</v>
      </c>
      <c r="AE12" s="563" t="s">
        <v>129</v>
      </c>
      <c r="AF12" s="466" t="s">
        <v>129</v>
      </c>
      <c r="AG12" s="563" t="s">
        <v>129</v>
      </c>
      <c r="AH12" s="479" t="s">
        <v>129</v>
      </c>
      <c r="AI12" s="157" t="str">
        <f>IF(Active_Case="Res",Perform_Sectors!AA12,IF(Active_Case="Com",Perform_Sectors!AC12,IF(Active_Case="Ind",Perform_Sectors!AE12,IF(Active_Case="Out",Perform_Sectors!AG12))))</f>
        <v>n/a</v>
      </c>
      <c r="AJ12" s="158" t="str">
        <f>IF(Active_Case="Res",Perform_Sectors!AB12,IF(Active_Case="Com",Perform_Sectors!AD12,IF(Active_Case="Ind",Perform_Sectors!AF12,IF(Active_Case="Out",Perform_Sectors!AH12))))</f>
        <v>n/a</v>
      </c>
      <c r="AK12" s="687">
        <v>100</v>
      </c>
      <c r="AL12" s="664">
        <v>100</v>
      </c>
      <c r="AM12" s="664">
        <v>100</v>
      </c>
      <c r="AN12" s="530">
        <v>100</v>
      </c>
      <c r="AO12" s="953">
        <f>IF(Active_Case="Res",AK12,IF(Active_Case="Com",AL12,IF(Active_Case="Ind",AM12,IF(Active_Case="Out",AN12))))</f>
        <v>100</v>
      </c>
      <c r="AP12" s="517">
        <v>3</v>
      </c>
      <c r="AQ12" s="522">
        <v>3</v>
      </c>
      <c r="AR12" s="522">
        <v>3</v>
      </c>
      <c r="AS12" s="495">
        <v>3</v>
      </c>
      <c r="AT12" s="162">
        <f>IF(Active_Case="Res",Perform_Sectors!AP12,IF(Active_Case="Com",Perform_Sectors!AQ12,IF(Active_Case="Ind",Perform_Sectors!AR12,IF(Active_Case="Out",Perform_Sectors!AS12))))</f>
        <v>3</v>
      </c>
      <c r="AU12" s="518" t="s">
        <v>129</v>
      </c>
      <c r="AV12" s="522" t="s">
        <v>129</v>
      </c>
      <c r="AW12" s="522" t="s">
        <v>129</v>
      </c>
      <c r="AX12" s="694" t="s">
        <v>129</v>
      </c>
      <c r="AY12" s="953" t="str">
        <f>IF(Active_Case="Res",AU12,IF(Active_Case="Com",AV12,IF(Active_Case="Ind",AW12,IF(Active_Case="Out",AX12))))</f>
        <v>n/a</v>
      </c>
      <c r="AZ12" s="518">
        <v>18.5</v>
      </c>
      <c r="BA12" s="522">
        <v>15</v>
      </c>
      <c r="BB12" s="522">
        <v>15</v>
      </c>
      <c r="BC12" s="494">
        <v>15</v>
      </c>
      <c r="BD12" s="953">
        <f>IF(Active_Case="Res",AZ12,IF(Active_Case="Com",BA12,IF(Active_Case="Ind",BB12,IF(Active_Case="Out",BC12))))</f>
        <v>18.5</v>
      </c>
      <c r="BE12" s="518">
        <v>0</v>
      </c>
      <c r="BF12" s="669">
        <f>IFERROR(Misc_Inputs!$D$21/(Perform_Active!$I12/1000),0)</f>
        <v>1.1567834681042228</v>
      </c>
      <c r="BG12" s="669">
        <f>IFERROR(Misc_Inputs!$D$21/(Perform_Active!$I12/1000),0)</f>
        <v>1.1567834681042228</v>
      </c>
      <c r="BH12" s="669">
        <f>IFERROR(Misc_Inputs!$D$21/(Perform_Active!$I12/1000),0)</f>
        <v>1.1567834681042228</v>
      </c>
      <c r="BI12" s="710">
        <f>IF(Active_Case="Res",BE12,IF(Active_Case="Com",BF12,IF(Active_Case="Ind",BG12,IF(Active_Case="Out",BH12))))</f>
        <v>0</v>
      </c>
      <c r="BJ12" s="518">
        <v>0</v>
      </c>
      <c r="BK12" s="666">
        <v>0</v>
      </c>
      <c r="BL12" s="666">
        <v>0</v>
      </c>
      <c r="BM12" s="691">
        <v>0</v>
      </c>
      <c r="BN12" s="959">
        <f>IF(Active_Case="Res",BJ12,IF(Active_Case="Com",BK12,IF(Active_Case="Ind",BL12,IF(Active_Case="Out",BM12))))</f>
        <v>0</v>
      </c>
      <c r="BO12" s="702">
        <f>Misc_Inputs!$D$22/(Perform_Active!$I12/1000)</f>
        <v>2.3135669362084457</v>
      </c>
      <c r="BP12" s="669">
        <f>Misc_Inputs!$D$22/(Perform_Active!$I12/1000)</f>
        <v>2.3135669362084457</v>
      </c>
      <c r="BQ12" s="669">
        <f>Misc_Inputs!$D$22/(Perform_Active!$I12/1000)</f>
        <v>2.3135669362084457</v>
      </c>
      <c r="BR12" s="422">
        <f>Misc_Inputs!$D$22/(Perform_Active!$I12/1000)</f>
        <v>2.3135669362084457</v>
      </c>
      <c r="BS12" s="710">
        <f>IF(Active_Case="Res",BO12,IF(Active_Case="Com",BP12,IF(Active_Case="Ind",BQ12,IF(Active_Case="Out",BR12))))</f>
        <v>2.3135669362084457</v>
      </c>
    </row>
    <row r="13" spans="1:72" ht="14.45" x14ac:dyDescent="0.35">
      <c r="A13" s="499"/>
      <c r="B13" s="499" t="s">
        <v>29</v>
      </c>
      <c r="C13" s="1163">
        <f>Tech_Specs!Y12*Q13</f>
        <v>0</v>
      </c>
      <c r="D13" s="1163">
        <f>Tech_Specs!Z12*R13</f>
        <v>0</v>
      </c>
      <c r="E13" s="1163">
        <f>Tech_Specs!AA12*S13</f>
        <v>0</v>
      </c>
      <c r="F13" s="1163">
        <f>Tech_Specs!AB12*T13</f>
        <v>0</v>
      </c>
      <c r="G13" s="1163">
        <f t="shared" si="1"/>
        <v>0</v>
      </c>
      <c r="H13" s="1164">
        <f t="shared" si="2"/>
        <v>0</v>
      </c>
      <c r="I13" s="1164">
        <f t="shared" si="3"/>
        <v>0</v>
      </c>
      <c r="J13" s="1164">
        <f t="shared" si="4"/>
        <v>0</v>
      </c>
      <c r="K13" s="1172">
        <f>IF(Active_Case="Res",Perform_Sectors!$C13,IF(Active_Case="Com",Perform_Sectors!$D13,IF(Active_Case="Ind",Perform_Sectors!$E13,IF(Active_Case="Out",Perform_Sectors!$F13))))</f>
        <v>0</v>
      </c>
      <c r="L13" s="863">
        <v>1</v>
      </c>
      <c r="M13" s="868">
        <v>1</v>
      </c>
      <c r="N13" s="868">
        <v>1</v>
      </c>
      <c r="O13" s="884">
        <v>1</v>
      </c>
      <c r="P13" s="944">
        <f>IF(Active_Case="Res",Perform_Sectors!$L13,IF(Active_Case="Com",Perform_Sectors!$M13,IF(Active_Case="Ind",Perform_Sectors!$N13,IF(Active_Case="Out",Perform_Sectors!$O13))))</f>
        <v>1</v>
      </c>
      <c r="Q13" s="219">
        <v>1</v>
      </c>
      <c r="R13" s="435">
        <v>1</v>
      </c>
      <c r="S13" s="435">
        <v>1</v>
      </c>
      <c r="T13" s="675">
        <v>1</v>
      </c>
      <c r="U13" s="944">
        <f>IF(Active_Case="Res",Perform_Sectors!$Q13,IF(Active_Case="Com",Perform_Sectors!$R13,IF(Active_Case="Ind",Perform_Sectors!$S13,IF(Active_Case="Out",Perform_Sectors!$T13))))</f>
        <v>1</v>
      </c>
      <c r="V13" s="164">
        <v>25</v>
      </c>
      <c r="W13" s="662">
        <v>25</v>
      </c>
      <c r="X13" s="662">
        <v>25</v>
      </c>
      <c r="Y13" s="679">
        <v>25</v>
      </c>
      <c r="Z13" s="947">
        <f>IF(Active_Case="Res",Perform_Sectors!$V13,IF(Active_Case="Com",Perform_Sectors!$W13,IF(Active_Case="Ind",Perform_Sectors!$X13,IF(Active_Case="Out",Perform_Sectors!$Y13))))</f>
        <v>25</v>
      </c>
      <c r="AA13" s="563" t="s">
        <v>129</v>
      </c>
      <c r="AB13" s="466" t="s">
        <v>129</v>
      </c>
      <c r="AC13" s="563" t="s">
        <v>129</v>
      </c>
      <c r="AD13" s="466" t="s">
        <v>129</v>
      </c>
      <c r="AE13" s="563" t="s">
        <v>129</v>
      </c>
      <c r="AF13" s="466" t="s">
        <v>129</v>
      </c>
      <c r="AG13" s="563" t="s">
        <v>129</v>
      </c>
      <c r="AH13" s="479" t="s">
        <v>129</v>
      </c>
      <c r="AI13" s="157" t="str">
        <f>IF(Active_Case="Res",Perform_Sectors!AA13,IF(Active_Case="Com",Perform_Sectors!AC13,IF(Active_Case="Ind",Perform_Sectors!AE13,IF(Active_Case="Out",Perform_Sectors!AG13))))</f>
        <v>n/a</v>
      </c>
      <c r="AJ13" s="158" t="str">
        <f>IF(Active_Case="Res",Perform_Sectors!AB13,IF(Active_Case="Com",Perform_Sectors!AD13,IF(Active_Case="Ind",Perform_Sectors!AF13,IF(Active_Case="Out",Perform_Sectors!AH13))))</f>
        <v>n/a</v>
      </c>
      <c r="AK13" s="687">
        <v>100</v>
      </c>
      <c r="AL13" s="664">
        <v>100</v>
      </c>
      <c r="AM13" s="664">
        <v>100</v>
      </c>
      <c r="AN13" s="530">
        <v>100</v>
      </c>
      <c r="AO13" s="953">
        <f>IF(Active_Case="Res",AK13,IF(Active_Case="Com",AL13,IF(Active_Case="Ind",AM13,IF(Active_Case="Out",AN13))))</f>
        <v>100</v>
      </c>
      <c r="AP13" s="517" t="s">
        <v>129</v>
      </c>
      <c r="AQ13" s="522" t="s">
        <v>129</v>
      </c>
      <c r="AR13" s="522" t="s">
        <v>129</v>
      </c>
      <c r="AS13" s="495" t="s">
        <v>129</v>
      </c>
      <c r="AT13" s="162" t="str">
        <f>IF(Active_Case="Res",Perform_Sectors!AP13,IF(Active_Case="Com",Perform_Sectors!AQ13,IF(Active_Case="Ind",Perform_Sectors!AR13,IF(Active_Case="Out",Perform_Sectors!AS13))))</f>
        <v>n/a</v>
      </c>
      <c r="AU13" s="518" t="s">
        <v>129</v>
      </c>
      <c r="AV13" s="522" t="s">
        <v>129</v>
      </c>
      <c r="AW13" s="522" t="s">
        <v>129</v>
      </c>
      <c r="AX13" s="694" t="s">
        <v>129</v>
      </c>
      <c r="AY13" s="953" t="str">
        <f>IF(Active_Case="Res",AU13,IF(Active_Case="Com",AV13,IF(Active_Case="Ind",AW13,IF(Active_Case="Out",AX13))))</f>
        <v>n/a</v>
      </c>
      <c r="AZ13" s="518">
        <v>18.5</v>
      </c>
      <c r="BA13" s="522">
        <v>15</v>
      </c>
      <c r="BB13" s="522">
        <v>15</v>
      </c>
      <c r="BC13" s="494">
        <v>15</v>
      </c>
      <c r="BD13" s="953">
        <f>IF(Active_Case="Res",AZ13,IF(Active_Case="Com",BA13,IF(Active_Case="Ind",BB13,IF(Active_Case="Out",BC13))))</f>
        <v>18.5</v>
      </c>
      <c r="BE13" s="518">
        <v>0</v>
      </c>
      <c r="BF13" s="669">
        <f>IFERROR(Misc_Inputs!$D$21/(Perform_Active!$I13/1000),0)</f>
        <v>1.2073433967571447</v>
      </c>
      <c r="BG13" s="669">
        <f>IFERROR(Misc_Inputs!$D$21/(Perform_Active!$I13/1000),0)</f>
        <v>1.2073433967571447</v>
      </c>
      <c r="BH13" s="669">
        <f>IFERROR(Misc_Inputs!$D$21/(Perform_Active!$I13/1000),0)</f>
        <v>1.2073433967571447</v>
      </c>
      <c r="BI13" s="710">
        <f>IF(Active_Case="Res",BE13,IF(Active_Case="Com",BF13,IF(Active_Case="Ind",BG13,IF(Active_Case="Out",BH13))))</f>
        <v>0</v>
      </c>
      <c r="BJ13" s="518">
        <v>0</v>
      </c>
      <c r="BK13" s="666">
        <v>0</v>
      </c>
      <c r="BL13" s="666">
        <v>0</v>
      </c>
      <c r="BM13" s="691">
        <v>0</v>
      </c>
      <c r="BN13" s="959">
        <f>IF(Active_Case="Res",BJ13,IF(Active_Case="Com",BK13,IF(Active_Case="Ind",BL13,IF(Active_Case="Out",BM13))))</f>
        <v>0</v>
      </c>
      <c r="BO13" s="702">
        <f>Misc_Inputs!$D$22/(Perform_Active!$I13/1000)</f>
        <v>2.4146867935142895</v>
      </c>
      <c r="BP13" s="669">
        <f>Misc_Inputs!$D$22/(Perform_Active!$I13/1000)</f>
        <v>2.4146867935142895</v>
      </c>
      <c r="BQ13" s="669">
        <f>Misc_Inputs!$D$22/(Perform_Active!$I13/1000)</f>
        <v>2.4146867935142895</v>
      </c>
      <c r="BR13" s="422">
        <f>Misc_Inputs!$D$22/(Perform_Active!$I13/1000)</f>
        <v>2.4146867935142895</v>
      </c>
      <c r="BS13" s="710">
        <f>IF(Active_Case="Res",BO13,IF(Active_Case="Com",BP13,IF(Active_Case="Ind",BQ13,IF(Active_Case="Out",BR13))))</f>
        <v>2.4146867935142895</v>
      </c>
    </row>
    <row r="14" spans="1:72" ht="14.45" x14ac:dyDescent="0.35">
      <c r="A14" s="499"/>
      <c r="B14" s="499"/>
      <c r="C14" s="1163"/>
      <c r="D14" s="1164"/>
      <c r="E14" s="1164"/>
      <c r="F14" s="1165"/>
      <c r="G14" s="1163"/>
      <c r="H14" s="1164"/>
      <c r="I14" s="1164"/>
      <c r="J14" s="1165"/>
      <c r="K14" s="1172"/>
      <c r="L14" s="863"/>
      <c r="M14" s="868"/>
      <c r="N14" s="868"/>
      <c r="O14" s="884"/>
      <c r="P14" s="944"/>
      <c r="Q14" s="219"/>
      <c r="R14" s="435"/>
      <c r="S14" s="435"/>
      <c r="T14" s="675"/>
      <c r="U14" s="944"/>
      <c r="V14" s="164"/>
      <c r="W14" s="662"/>
      <c r="X14" s="662"/>
      <c r="Y14" s="679"/>
      <c r="Z14" s="947"/>
      <c r="AA14" s="563"/>
      <c r="AB14" s="466"/>
      <c r="AC14" s="563"/>
      <c r="AD14" s="466"/>
      <c r="AE14" s="563"/>
      <c r="AF14" s="466"/>
      <c r="AG14" s="563"/>
      <c r="AH14" s="479"/>
      <c r="AI14" s="157"/>
      <c r="AJ14" s="158"/>
      <c r="AK14" s="687"/>
      <c r="AL14" s="664"/>
      <c r="AM14" s="664"/>
      <c r="AN14" s="530"/>
      <c r="AO14" s="954"/>
      <c r="AP14" s="518"/>
      <c r="AQ14" s="522"/>
      <c r="AR14" s="666"/>
      <c r="AS14" s="691"/>
      <c r="AT14" s="956"/>
      <c r="AU14" s="518"/>
      <c r="AV14" s="522"/>
      <c r="AW14" s="668"/>
      <c r="AX14" s="466"/>
      <c r="AY14" s="958"/>
      <c r="AZ14" s="518"/>
      <c r="BA14" s="522"/>
      <c r="BB14" s="668"/>
      <c r="BC14" s="497"/>
      <c r="BD14" s="954"/>
      <c r="BE14" s="518"/>
      <c r="BF14" s="669"/>
      <c r="BG14" s="584"/>
      <c r="BH14" s="609"/>
      <c r="BI14" s="711"/>
      <c r="BJ14" s="518"/>
      <c r="BK14" s="666"/>
      <c r="BL14" s="666"/>
      <c r="BM14" s="691"/>
      <c r="BN14" s="960"/>
      <c r="BO14" s="518"/>
      <c r="BP14" s="666"/>
      <c r="BQ14" s="666"/>
      <c r="BR14" s="691"/>
      <c r="BS14" s="711"/>
    </row>
    <row r="15" spans="1:72" ht="14.45" x14ac:dyDescent="0.35">
      <c r="A15" s="502" t="s">
        <v>32</v>
      </c>
      <c r="B15" s="501"/>
      <c r="C15" s="1166"/>
      <c r="D15" s="167"/>
      <c r="E15" s="167"/>
      <c r="F15" s="1167"/>
      <c r="G15" s="1166"/>
      <c r="H15" s="167"/>
      <c r="I15" s="167"/>
      <c r="J15" s="1167"/>
      <c r="K15" s="1172"/>
      <c r="L15" s="851"/>
      <c r="M15" s="850"/>
      <c r="N15" s="850"/>
      <c r="O15" s="870"/>
      <c r="P15" s="169"/>
      <c r="Q15" s="564"/>
      <c r="R15" s="480"/>
      <c r="S15" s="480"/>
      <c r="T15" s="467"/>
      <c r="U15" s="169"/>
      <c r="V15" s="172"/>
      <c r="W15" s="663"/>
      <c r="X15" s="663"/>
      <c r="Y15" s="680"/>
      <c r="Z15" s="948"/>
      <c r="AA15" s="564"/>
      <c r="AB15" s="467"/>
      <c r="AC15" s="564"/>
      <c r="AD15" s="467"/>
      <c r="AE15" s="564"/>
      <c r="AF15" s="467"/>
      <c r="AG15" s="564"/>
      <c r="AH15" s="480"/>
      <c r="AI15" s="166"/>
      <c r="AJ15" s="950"/>
      <c r="AK15" s="688"/>
      <c r="AL15" s="665"/>
      <c r="AM15" s="665"/>
      <c r="AN15" s="531"/>
      <c r="AO15" s="169"/>
      <c r="AP15" s="851"/>
      <c r="AQ15" s="174"/>
      <c r="AR15" s="174"/>
      <c r="AS15" s="496"/>
      <c r="AT15" s="951"/>
      <c r="AU15" s="520"/>
      <c r="AV15" s="174"/>
      <c r="AW15" s="174"/>
      <c r="AX15" s="870"/>
      <c r="AY15" s="169"/>
      <c r="AZ15" s="520"/>
      <c r="BA15" s="174"/>
      <c r="BB15" s="174"/>
      <c r="BC15" s="496"/>
      <c r="BD15" s="169"/>
      <c r="BE15" s="520"/>
      <c r="BF15" s="670"/>
      <c r="BG15" s="512"/>
      <c r="BH15" s="559"/>
      <c r="BI15" s="521"/>
      <c r="BJ15" s="520"/>
      <c r="BK15" s="174"/>
      <c r="BL15" s="174"/>
      <c r="BM15" s="496"/>
      <c r="BN15" s="515"/>
      <c r="BO15" s="520"/>
      <c r="BP15" s="174"/>
      <c r="BQ15" s="174"/>
      <c r="BR15" s="496"/>
      <c r="BS15" s="521"/>
    </row>
    <row r="16" spans="1:72" ht="14.45" x14ac:dyDescent="0.35">
      <c r="A16" s="499"/>
      <c r="B16" s="499" t="s">
        <v>33</v>
      </c>
      <c r="C16" s="1163">
        <f>Tech_Specs!Y15*Q16</f>
        <v>10.199999999999999</v>
      </c>
      <c r="D16" s="1163">
        <f>Tech_Specs!Z15*R16</f>
        <v>10.4</v>
      </c>
      <c r="E16" s="1163">
        <f>Tech_Specs!AA15*S16</f>
        <v>10.199999999999999</v>
      </c>
      <c r="F16" s="1163">
        <f>Tech_Specs!AB15*T16</f>
        <v>0</v>
      </c>
      <c r="G16" s="1163">
        <f>C16/L16/Q16</f>
        <v>10.199999999999999</v>
      </c>
      <c r="H16" s="1164">
        <f t="shared" ref="H16:H19" si="5">D16/M16/R16</f>
        <v>10.4</v>
      </c>
      <c r="I16" s="1164">
        <f t="shared" ref="I16:I19" si="6">E16/N16/S16</f>
        <v>10.199999999999999</v>
      </c>
      <c r="J16" s="1164">
        <f t="shared" ref="J16:J19" si="7">F16/O16/T16</f>
        <v>0</v>
      </c>
      <c r="K16" s="1172">
        <f>IF(Active_Case="Res",Perform_Sectors!$C16,IF(Active_Case="Com",Perform_Sectors!$D16,IF(Active_Case="Ind",Perform_Sectors!$E16,IF(Active_Case="Out",Perform_Sectors!$F16))))</f>
        <v>10.199999999999999</v>
      </c>
      <c r="L16" s="863">
        <v>1</v>
      </c>
      <c r="M16" s="868">
        <v>1</v>
      </c>
      <c r="N16" s="868">
        <v>1</v>
      </c>
      <c r="O16" s="884">
        <v>1</v>
      </c>
      <c r="P16" s="944">
        <f>IF(Active_Case="Res",Perform_Sectors!$L16,IF(Active_Case="Com",Perform_Sectors!$M16,IF(Active_Case="Ind",Perform_Sectors!$N16,IF(Active_Case="Out",Perform_Sectors!$O16))))</f>
        <v>1</v>
      </c>
      <c r="Q16" s="219">
        <v>1</v>
      </c>
      <c r="R16" s="435">
        <v>1</v>
      </c>
      <c r="S16" s="435">
        <v>1</v>
      </c>
      <c r="T16" s="675">
        <v>1</v>
      </c>
      <c r="U16" s="944">
        <f>IF(Active_Case="Res",Perform_Sectors!$Q16,IF(Active_Case="Com",Perform_Sectors!$R16,IF(Active_Case="Ind",Perform_Sectors!$S16,IF(Active_Case="Out",Perform_Sectors!$T16))))</f>
        <v>1</v>
      </c>
      <c r="V16" s="524">
        <v>2.5</v>
      </c>
      <c r="W16" s="661">
        <v>2.5</v>
      </c>
      <c r="X16" s="661">
        <v>2.5</v>
      </c>
      <c r="Y16" s="678">
        <v>2.5</v>
      </c>
      <c r="Z16" s="946">
        <f>IF(Active_Case="Res",Perform_Sectors!$V16,IF(Active_Case="Com",Perform_Sectors!$W16,IF(Active_Case="Ind",Perform_Sectors!$X16,IF(Active_Case="Out",Perform_Sectors!$Y16))))</f>
        <v>2.5</v>
      </c>
      <c r="AA16" s="563" t="s">
        <v>129</v>
      </c>
      <c r="AB16" s="466" t="s">
        <v>129</v>
      </c>
      <c r="AC16" s="563" t="s">
        <v>129</v>
      </c>
      <c r="AD16" s="466" t="s">
        <v>129</v>
      </c>
      <c r="AE16" s="563" t="s">
        <v>129</v>
      </c>
      <c r="AF16" s="466" t="s">
        <v>129</v>
      </c>
      <c r="AG16" s="563" t="s">
        <v>129</v>
      </c>
      <c r="AH16" s="479" t="s">
        <v>129</v>
      </c>
      <c r="AI16" s="157" t="str">
        <f>IF(Active_Case="Res",Perform_Sectors!AA16,IF(Active_Case="Com",Perform_Sectors!AC16,IF(Active_Case="Ind",Perform_Sectors!AE16,IF(Active_Case="Out",Perform_Sectors!AG16))))</f>
        <v>n/a</v>
      </c>
      <c r="AJ16" s="158" t="str">
        <f>IF(Active_Case="Res",Perform_Sectors!AB16,IF(Active_Case="Com",Perform_Sectors!AD16,IF(Active_Case="Ind",Perform_Sectors!AF16,IF(Active_Case="Out",Perform_Sectors!AH16))))</f>
        <v>n/a</v>
      </c>
      <c r="AK16" s="687">
        <v>100</v>
      </c>
      <c r="AL16" s="664">
        <v>100</v>
      </c>
      <c r="AM16" s="664">
        <v>100</v>
      </c>
      <c r="AN16" s="530">
        <v>100</v>
      </c>
      <c r="AO16" s="953">
        <f>IF(Active_Case="Res",AK16,IF(Active_Case="Com",AL16,IF(Active_Case="Ind",AM16,IF(Active_Case="Out",AN16))))</f>
        <v>100</v>
      </c>
      <c r="AP16" s="485">
        <v>3.1</v>
      </c>
      <c r="AQ16" s="667">
        <v>3.1</v>
      </c>
      <c r="AR16" s="667">
        <v>3.1</v>
      </c>
      <c r="AS16" s="494">
        <v>3.1</v>
      </c>
      <c r="AT16" s="162">
        <f>IF(Active_Case="Res",Perform_Sectors!AP16,IF(Active_Case="Com",Perform_Sectors!AQ16,IF(Active_Case="Ind",Perform_Sectors!AR16,IF(Active_Case="Out",Perform_Sectors!AS16))))</f>
        <v>3.1</v>
      </c>
      <c r="AU16" s="518" t="s">
        <v>129</v>
      </c>
      <c r="AV16" s="667" t="s">
        <v>129</v>
      </c>
      <c r="AW16" s="667" t="s">
        <v>129</v>
      </c>
      <c r="AX16" s="695" t="s">
        <v>129</v>
      </c>
      <c r="AY16" s="953" t="str">
        <f>IF(Active_Case="Res",AU16,IF(Active_Case="Com",AV16,IF(Active_Case="Ind",AW16,IF(Active_Case="Out",AX16))))</f>
        <v>n/a</v>
      </c>
      <c r="AZ16" s="518">
        <v>18.5</v>
      </c>
      <c r="BA16" s="522">
        <v>15</v>
      </c>
      <c r="BB16" s="522">
        <v>15</v>
      </c>
      <c r="BC16" s="494">
        <v>15</v>
      </c>
      <c r="BD16" s="953">
        <f>IF(Active_Case="Res",AZ16,IF(Active_Case="Com",BA16,IF(Active_Case="Ind",BB16,IF(Active_Case="Out",BC16))))</f>
        <v>18.5</v>
      </c>
      <c r="BE16" s="518">
        <v>0</v>
      </c>
      <c r="BF16" s="669">
        <f>IFERROR(Misc_Inputs!$D$21/(Perform_Active!$I10/1000),0)</f>
        <v>1.2398285906880446</v>
      </c>
      <c r="BG16" s="669">
        <f>Misc_Inputs!$D$21/(Perform_Active!$I16/1000)</f>
        <v>1.4613660225305753</v>
      </c>
      <c r="BH16" s="422">
        <f>Misc_Inputs!$D$21/(Perform_Active!$I16/1000)</f>
        <v>1.4613660225305753</v>
      </c>
      <c r="BI16" s="710">
        <f>IF(Active_Case="Res",BE16,IF(Active_Case="Com",BF16,IF(Active_Case="Ind",BG16,IF(Active_Case="Out",BH16))))</f>
        <v>0</v>
      </c>
      <c r="BJ16" s="518">
        <v>0</v>
      </c>
      <c r="BK16" s="666">
        <v>0</v>
      </c>
      <c r="BL16" s="666">
        <v>0</v>
      </c>
      <c r="BM16" s="691">
        <v>0</v>
      </c>
      <c r="BN16" s="959">
        <f>IF(Active_Case="Res",BJ16,IF(Active_Case="Com",BK16,IF(Active_Case="Ind",BL16,IF(Active_Case="Out",BM16))))</f>
        <v>0</v>
      </c>
      <c r="BO16" s="702">
        <f>Misc_Inputs!$D$22/(Perform_Active!$I16/1000)</f>
        <v>2.9227320450611507</v>
      </c>
      <c r="BP16" s="669">
        <f>Misc_Inputs!$D$22/(Perform_Active!$I16/1000)</f>
        <v>2.9227320450611507</v>
      </c>
      <c r="BQ16" s="669">
        <f>Misc_Inputs!$D$22/(Perform_Active!$I16/1000)</f>
        <v>2.9227320450611507</v>
      </c>
      <c r="BR16" s="422">
        <f>Misc_Inputs!$D$22/(Perform_Active!$I16/1000)</f>
        <v>2.9227320450611507</v>
      </c>
      <c r="BS16" s="710">
        <f>IF(Active_Case="Res",BO16,IF(Active_Case="Com",BP16,IF(Active_Case="Ind",BQ16,IF(Active_Case="Out",BR16))))</f>
        <v>2.9227320450611507</v>
      </c>
    </row>
    <row r="17" spans="1:71" ht="14.45" x14ac:dyDescent="0.35">
      <c r="A17" s="503"/>
      <c r="B17" s="503" t="s">
        <v>34</v>
      </c>
      <c r="C17" s="1163">
        <f>Tech_Specs!Y16*Q17</f>
        <v>14.1</v>
      </c>
      <c r="D17" s="1163">
        <f>Tech_Specs!Z16*R17</f>
        <v>14.6</v>
      </c>
      <c r="E17" s="1163">
        <f>Tech_Specs!AA16*S17</f>
        <v>12.9</v>
      </c>
      <c r="F17" s="1163">
        <f>Tech_Specs!AB16*T17</f>
        <v>0</v>
      </c>
      <c r="G17" s="1163">
        <f t="shared" ref="G17:G19" si="8">C17/L17/Q17</f>
        <v>14.1</v>
      </c>
      <c r="H17" s="1164">
        <f t="shared" si="5"/>
        <v>14.6</v>
      </c>
      <c r="I17" s="1164">
        <f t="shared" si="6"/>
        <v>12.9</v>
      </c>
      <c r="J17" s="1164">
        <f t="shared" si="7"/>
        <v>0</v>
      </c>
      <c r="K17" s="1172">
        <f>IF(Active_Case="Res",Perform_Sectors!$C17,IF(Active_Case="Com",Perform_Sectors!$D17,IF(Active_Case="Ind",Perform_Sectors!$E17,IF(Active_Case="Out",Perform_Sectors!$F17))))</f>
        <v>14.1</v>
      </c>
      <c r="L17" s="863">
        <v>1</v>
      </c>
      <c r="M17" s="868">
        <v>1</v>
      </c>
      <c r="N17" s="868">
        <v>1</v>
      </c>
      <c r="O17" s="884">
        <v>1</v>
      </c>
      <c r="P17" s="944">
        <f>IF(Active_Case="Res",Perform_Sectors!$L17,IF(Active_Case="Com",Perform_Sectors!$M17,IF(Active_Case="Ind",Perform_Sectors!$N17,IF(Active_Case="Out",Perform_Sectors!$O17))))</f>
        <v>1</v>
      </c>
      <c r="Q17" s="219">
        <v>1</v>
      </c>
      <c r="R17" s="435">
        <v>1</v>
      </c>
      <c r="S17" s="435">
        <v>1</v>
      </c>
      <c r="T17" s="675">
        <v>1</v>
      </c>
      <c r="U17" s="944">
        <f>IF(Active_Case="Res",Perform_Sectors!$Q17,IF(Active_Case="Com",Perform_Sectors!$R17,IF(Active_Case="Ind",Perform_Sectors!$S17,IF(Active_Case="Out",Perform_Sectors!$T17))))</f>
        <v>1</v>
      </c>
      <c r="V17" s="524">
        <v>3</v>
      </c>
      <c r="W17" s="661">
        <v>3</v>
      </c>
      <c r="X17" s="661">
        <v>3</v>
      </c>
      <c r="Y17" s="678">
        <v>3</v>
      </c>
      <c r="Z17" s="946">
        <f>IF(Active_Case="Res",Perform_Sectors!$V17,IF(Active_Case="Com",Perform_Sectors!$W17,IF(Active_Case="Ind",Perform_Sectors!$X17,IF(Active_Case="Out",Perform_Sectors!$Y17))))</f>
        <v>3</v>
      </c>
      <c r="AA17" s="563" t="s">
        <v>129</v>
      </c>
      <c r="AB17" s="466" t="s">
        <v>129</v>
      </c>
      <c r="AC17" s="563" t="s">
        <v>129</v>
      </c>
      <c r="AD17" s="466" t="s">
        <v>129</v>
      </c>
      <c r="AE17" s="563" t="s">
        <v>129</v>
      </c>
      <c r="AF17" s="466" t="s">
        <v>129</v>
      </c>
      <c r="AG17" s="563" t="s">
        <v>129</v>
      </c>
      <c r="AH17" s="479" t="s">
        <v>129</v>
      </c>
      <c r="AI17" s="157" t="str">
        <f>IF(Active_Case="Res",Perform_Sectors!AA17,IF(Active_Case="Com",Perform_Sectors!AC17,IF(Active_Case="Ind",Perform_Sectors!AE17,IF(Active_Case="Out",Perform_Sectors!AG17))))</f>
        <v>n/a</v>
      </c>
      <c r="AJ17" s="158" t="str">
        <f>IF(Active_Case="Res",Perform_Sectors!AB17,IF(Active_Case="Com",Perform_Sectors!AD17,IF(Active_Case="Ind",Perform_Sectors!AF17,IF(Active_Case="Out",Perform_Sectors!AH17))))</f>
        <v>n/a</v>
      </c>
      <c r="AK17" s="687">
        <v>100</v>
      </c>
      <c r="AL17" s="664">
        <v>100</v>
      </c>
      <c r="AM17" s="664">
        <v>100</v>
      </c>
      <c r="AN17" s="530">
        <v>100</v>
      </c>
      <c r="AO17" s="953">
        <f>IF(Active_Case="Res",AK17,IF(Active_Case="Com",AL17,IF(Active_Case="Ind",AM17,IF(Active_Case="Out",AN17))))</f>
        <v>100</v>
      </c>
      <c r="AP17" s="485">
        <v>4.7</v>
      </c>
      <c r="AQ17" s="667">
        <v>4.7</v>
      </c>
      <c r="AR17" s="667">
        <v>4.7</v>
      </c>
      <c r="AS17" s="494">
        <v>4.7</v>
      </c>
      <c r="AT17" s="162">
        <f>IF(Active_Case="Res",Perform_Sectors!AP17,IF(Active_Case="Com",Perform_Sectors!AQ17,IF(Active_Case="Ind",Perform_Sectors!AR17,IF(Active_Case="Out",Perform_Sectors!AS17))))</f>
        <v>4.7</v>
      </c>
      <c r="AU17" s="518" t="s">
        <v>129</v>
      </c>
      <c r="AV17" s="667" t="s">
        <v>129</v>
      </c>
      <c r="AW17" s="667" t="s">
        <v>129</v>
      </c>
      <c r="AX17" s="695" t="s">
        <v>129</v>
      </c>
      <c r="AY17" s="953" t="str">
        <f>IF(Active_Case="Res",AU17,IF(Active_Case="Com",AV17,IF(Active_Case="Ind",AW17,IF(Active_Case="Out",AX17))))</f>
        <v>n/a</v>
      </c>
      <c r="AZ17" s="518">
        <v>18.5</v>
      </c>
      <c r="BA17" s="522">
        <v>15</v>
      </c>
      <c r="BB17" s="522">
        <v>15</v>
      </c>
      <c r="BC17" s="494">
        <v>15</v>
      </c>
      <c r="BD17" s="953">
        <f>IF(Active_Case="Res",AZ17,IF(Active_Case="Com",BA17,IF(Active_Case="Ind",BB17,IF(Active_Case="Out",BC17))))</f>
        <v>18.5</v>
      </c>
      <c r="BE17" s="518">
        <v>0</v>
      </c>
      <c r="BF17" s="669">
        <f>Misc_Inputs!$D$21/(Perform_Active!$I17/1000)</f>
        <v>1.0758416110466997</v>
      </c>
      <c r="BG17" s="669">
        <f>Misc_Inputs!$D$21/(Perform_Active!$I17/1000)</f>
        <v>1.0758416110466997</v>
      </c>
      <c r="BH17" s="422">
        <f>Misc_Inputs!$D$21/(Perform_Active!$I17/1000)</f>
        <v>1.0758416110466997</v>
      </c>
      <c r="BI17" s="710">
        <f>IF(Active_Case="Res",BE17,IF(Active_Case="Com",BF17,IF(Active_Case="Ind",BG17,IF(Active_Case="Out",BH17))))</f>
        <v>0</v>
      </c>
      <c r="BJ17" s="518">
        <v>0</v>
      </c>
      <c r="BK17" s="666">
        <v>0</v>
      </c>
      <c r="BL17" s="666">
        <v>0</v>
      </c>
      <c r="BM17" s="691">
        <v>0</v>
      </c>
      <c r="BN17" s="959">
        <f>IF(Active_Case="Res",BJ17,IF(Active_Case="Com",BK17,IF(Active_Case="Ind",BL17,IF(Active_Case="Out",BM17))))</f>
        <v>0</v>
      </c>
      <c r="BO17" s="702">
        <f>Misc_Inputs!$D$22/(Perform_Active!$I17/1000)</f>
        <v>2.1516832220933995</v>
      </c>
      <c r="BP17" s="669">
        <f>Misc_Inputs!$D$22/(Perform_Active!$I17/1000)</f>
        <v>2.1516832220933995</v>
      </c>
      <c r="BQ17" s="669">
        <f>Misc_Inputs!$D$22/(Perform_Active!$I17/1000)</f>
        <v>2.1516832220933995</v>
      </c>
      <c r="BR17" s="422">
        <f>Misc_Inputs!$D$22/(Perform_Active!$I17/1000)</f>
        <v>2.1516832220933995</v>
      </c>
      <c r="BS17" s="710">
        <f>IF(Active_Case="Res",BO17,IF(Active_Case="Com",BP17,IF(Active_Case="Ind",BQ17,IF(Active_Case="Out",BR17))))</f>
        <v>2.1516832220933995</v>
      </c>
    </row>
    <row r="18" spans="1:71" ht="14.45" x14ac:dyDescent="0.35">
      <c r="A18" s="499"/>
      <c r="B18" s="503" t="s">
        <v>35</v>
      </c>
      <c r="C18" s="1163">
        <f>Tech_Specs!Y17*Q18</f>
        <v>43.1</v>
      </c>
      <c r="D18" s="1163">
        <f>Tech_Specs!Z17*R18</f>
        <v>44.9</v>
      </c>
      <c r="E18" s="1163">
        <f>Tech_Specs!AA17*S18</f>
        <v>41.9</v>
      </c>
      <c r="F18" s="1163">
        <f>Tech_Specs!AB17*T18</f>
        <v>0</v>
      </c>
      <c r="G18" s="1163">
        <f t="shared" si="8"/>
        <v>43.1</v>
      </c>
      <c r="H18" s="1164">
        <f t="shared" si="5"/>
        <v>44.9</v>
      </c>
      <c r="I18" s="1164">
        <f t="shared" si="6"/>
        <v>41.9</v>
      </c>
      <c r="J18" s="1164">
        <f t="shared" si="7"/>
        <v>0</v>
      </c>
      <c r="K18" s="1172">
        <f>IF(Active_Case="Res",Perform_Sectors!$C18,IF(Active_Case="Com",Perform_Sectors!$D18,IF(Active_Case="Ind",Perform_Sectors!$E18,IF(Active_Case="Out",Perform_Sectors!$F18))))</f>
        <v>43.1</v>
      </c>
      <c r="L18" s="863">
        <v>1</v>
      </c>
      <c r="M18" s="868">
        <v>1</v>
      </c>
      <c r="N18" s="868">
        <v>1</v>
      </c>
      <c r="O18" s="884">
        <v>1</v>
      </c>
      <c r="P18" s="944">
        <f>IF(Active_Case="Res",Perform_Sectors!$L18,IF(Active_Case="Com",Perform_Sectors!$M18,IF(Active_Case="Ind",Perform_Sectors!$N18,IF(Active_Case="Out",Perform_Sectors!$O18))))</f>
        <v>1</v>
      </c>
      <c r="Q18" s="219">
        <v>1</v>
      </c>
      <c r="R18" s="435">
        <v>1</v>
      </c>
      <c r="S18" s="435">
        <v>1</v>
      </c>
      <c r="T18" s="675">
        <v>1</v>
      </c>
      <c r="U18" s="944">
        <f>IF(Active_Case="Res",Perform_Sectors!$Q18,IF(Active_Case="Com",Perform_Sectors!$R18,IF(Active_Case="Ind",Perform_Sectors!$S18,IF(Active_Case="Out",Perform_Sectors!$T18))))</f>
        <v>1</v>
      </c>
      <c r="V18" s="524">
        <v>10</v>
      </c>
      <c r="W18" s="661">
        <v>10</v>
      </c>
      <c r="X18" s="661">
        <v>10</v>
      </c>
      <c r="Y18" s="678">
        <v>10</v>
      </c>
      <c r="Z18" s="946">
        <f>IF(Active_Case="Res",Perform_Sectors!$V18,IF(Active_Case="Com",Perform_Sectors!$W18,IF(Active_Case="Ind",Perform_Sectors!$X18,IF(Active_Case="Out",Perform_Sectors!$Y18))))</f>
        <v>10</v>
      </c>
      <c r="AA18" s="563" t="s">
        <v>129</v>
      </c>
      <c r="AB18" s="466" t="s">
        <v>129</v>
      </c>
      <c r="AC18" s="563" t="s">
        <v>129</v>
      </c>
      <c r="AD18" s="466" t="s">
        <v>129</v>
      </c>
      <c r="AE18" s="563" t="s">
        <v>129</v>
      </c>
      <c r="AF18" s="466" t="s">
        <v>129</v>
      </c>
      <c r="AG18" s="563" t="s">
        <v>129</v>
      </c>
      <c r="AH18" s="479" t="s">
        <v>129</v>
      </c>
      <c r="AI18" s="157" t="str">
        <f>IF(Active_Case="Res",Perform_Sectors!AA18,IF(Active_Case="Com",Perform_Sectors!AC18,IF(Active_Case="Ind",Perform_Sectors!AE18,IF(Active_Case="Out",Perform_Sectors!AG18))))</f>
        <v>n/a</v>
      </c>
      <c r="AJ18" s="158" t="str">
        <f>IF(Active_Case="Res",Perform_Sectors!AB18,IF(Active_Case="Com",Perform_Sectors!AD18,IF(Active_Case="Ind",Perform_Sectors!AF18,IF(Active_Case="Out",Perform_Sectors!AH18))))</f>
        <v>n/a</v>
      </c>
      <c r="AK18" s="687">
        <v>100</v>
      </c>
      <c r="AL18" s="664">
        <v>100</v>
      </c>
      <c r="AM18" s="664">
        <v>100</v>
      </c>
      <c r="AN18" s="530">
        <v>100</v>
      </c>
      <c r="AO18" s="953">
        <f>IF(Active_Case="Res",AK18,IF(Active_Case="Com",AL18,IF(Active_Case="Ind",AM18,IF(Active_Case="Out",AN18))))</f>
        <v>100</v>
      </c>
      <c r="AP18" s="517">
        <v>10.3</v>
      </c>
      <c r="AQ18" s="522">
        <v>10.3</v>
      </c>
      <c r="AR18" s="522">
        <v>10.3</v>
      </c>
      <c r="AS18" s="495">
        <v>10.3</v>
      </c>
      <c r="AT18" s="162">
        <f>IF(Active_Case="Res",Perform_Sectors!AP18,IF(Active_Case="Com",Perform_Sectors!AQ18,IF(Active_Case="Ind",Perform_Sectors!AR18,IF(Active_Case="Out",Perform_Sectors!AS18))))</f>
        <v>10.3</v>
      </c>
      <c r="AU18" s="518" t="s">
        <v>129</v>
      </c>
      <c r="AV18" s="522" t="s">
        <v>129</v>
      </c>
      <c r="AW18" s="522" t="s">
        <v>129</v>
      </c>
      <c r="AX18" s="694" t="s">
        <v>129</v>
      </c>
      <c r="AY18" s="953" t="str">
        <f>IF(Active_Case="Res",AU18,IF(Active_Case="Com",AV18,IF(Active_Case="Ind",AW18,IF(Active_Case="Out",AX18))))</f>
        <v>n/a</v>
      </c>
      <c r="AZ18" s="518">
        <v>18.5</v>
      </c>
      <c r="BA18" s="522">
        <v>15</v>
      </c>
      <c r="BB18" s="522">
        <v>15</v>
      </c>
      <c r="BC18" s="494">
        <v>15</v>
      </c>
      <c r="BD18" s="953">
        <f>IF(Active_Case="Res",AZ18,IF(Active_Case="Com",BA18,IF(Active_Case="Ind",BB18,IF(Active_Case="Out",BC18))))</f>
        <v>18.5</v>
      </c>
      <c r="BE18" s="518">
        <v>0</v>
      </c>
      <c r="BF18" s="669">
        <f>Misc_Inputs!$D$21/(Perform_Active!$I18/1000)</f>
        <v>1.3894134786596879</v>
      </c>
      <c r="BG18" s="669">
        <f>Misc_Inputs!$D$21/(Perform_Active!$I18/1000)</f>
        <v>1.3894134786596879</v>
      </c>
      <c r="BH18" s="422">
        <f>Misc_Inputs!$D$21/(Perform_Active!$I18/1000)</f>
        <v>1.3894134786596879</v>
      </c>
      <c r="BI18" s="710">
        <f>IF(Active_Case="Res",BE18,IF(Active_Case="Com",BF18,IF(Active_Case="Ind",BG18,IF(Active_Case="Out",BH18))))</f>
        <v>0</v>
      </c>
      <c r="BJ18" s="518">
        <v>0</v>
      </c>
      <c r="BK18" s="666">
        <v>0</v>
      </c>
      <c r="BL18" s="666">
        <v>0</v>
      </c>
      <c r="BM18" s="691">
        <v>0</v>
      </c>
      <c r="BN18" s="959">
        <f>IF(Active_Case="Res",BJ18,IF(Active_Case="Com",BK18,IF(Active_Case="Ind",BL18,IF(Active_Case="Out",BM18))))</f>
        <v>0</v>
      </c>
      <c r="BO18" s="702">
        <f>Misc_Inputs!$D$22/(Perform_Active!$I18/1000)</f>
        <v>2.7788269573193758</v>
      </c>
      <c r="BP18" s="669">
        <f>Misc_Inputs!$D$22/(Perform_Active!$I18/1000)</f>
        <v>2.7788269573193758</v>
      </c>
      <c r="BQ18" s="669">
        <f>Misc_Inputs!$D$22/(Perform_Active!$I18/1000)</f>
        <v>2.7788269573193758</v>
      </c>
      <c r="BR18" s="422">
        <f>Misc_Inputs!$D$22/(Perform_Active!$I18/1000)</f>
        <v>2.7788269573193758</v>
      </c>
      <c r="BS18" s="710">
        <f>IF(Active_Case="Res",BO18,IF(Active_Case="Com",BP18,IF(Active_Case="Ind",BQ18,IF(Active_Case="Out",BR18))))</f>
        <v>2.7788269573193758</v>
      </c>
    </row>
    <row r="19" spans="1:71" ht="14.45" x14ac:dyDescent="0.35">
      <c r="A19" s="499"/>
      <c r="B19" s="503" t="s">
        <v>29</v>
      </c>
      <c r="C19" s="1163">
        <f>Tech_Specs!Y18*Q19</f>
        <v>0</v>
      </c>
      <c r="D19" s="1163">
        <f>Tech_Specs!Z18*R19</f>
        <v>0</v>
      </c>
      <c r="E19" s="1163">
        <f>Tech_Specs!AA18*S19</f>
        <v>0</v>
      </c>
      <c r="F19" s="1163">
        <f>Tech_Specs!AB18*T19</f>
        <v>0</v>
      </c>
      <c r="G19" s="1163">
        <f t="shared" si="8"/>
        <v>0</v>
      </c>
      <c r="H19" s="1164">
        <f t="shared" si="5"/>
        <v>0</v>
      </c>
      <c r="I19" s="1164">
        <f t="shared" si="6"/>
        <v>0</v>
      </c>
      <c r="J19" s="1164">
        <f t="shared" si="7"/>
        <v>0</v>
      </c>
      <c r="K19" s="1172">
        <f>IF(Active_Case="Res",Perform_Sectors!$C19,IF(Active_Case="Com",Perform_Sectors!$D19,IF(Active_Case="Ind",Perform_Sectors!$E19,IF(Active_Case="Out",Perform_Sectors!$F19))))</f>
        <v>0</v>
      </c>
      <c r="L19" s="863">
        <v>1</v>
      </c>
      <c r="M19" s="868">
        <v>1</v>
      </c>
      <c r="N19" s="868">
        <v>1</v>
      </c>
      <c r="O19" s="884">
        <v>1</v>
      </c>
      <c r="P19" s="944">
        <f>IF(Active_Case="Res",Perform_Sectors!$L19,IF(Active_Case="Com",Perform_Sectors!$M19,IF(Active_Case="Ind",Perform_Sectors!$N19,IF(Active_Case="Out",Perform_Sectors!$O19))))</f>
        <v>1</v>
      </c>
      <c r="Q19" s="219">
        <v>1</v>
      </c>
      <c r="R19" s="435">
        <v>1</v>
      </c>
      <c r="S19" s="435">
        <v>1</v>
      </c>
      <c r="T19" s="675">
        <v>1</v>
      </c>
      <c r="U19" s="944">
        <f>IF(Active_Case="Res",Perform_Sectors!$Q19,IF(Active_Case="Com",Perform_Sectors!$R19,IF(Active_Case="Ind",Perform_Sectors!$S19,IF(Active_Case="Out",Perform_Sectors!$T19))))</f>
        <v>1</v>
      </c>
      <c r="V19" s="164">
        <v>25</v>
      </c>
      <c r="W19" s="662">
        <v>25</v>
      </c>
      <c r="X19" s="662">
        <v>25</v>
      </c>
      <c r="Y19" s="679">
        <v>25</v>
      </c>
      <c r="Z19" s="947">
        <f>IF(Active_Case="Res",Perform_Sectors!$V19,IF(Active_Case="Com",Perform_Sectors!$W19,IF(Active_Case="Ind",Perform_Sectors!$X19,IF(Active_Case="Out",Perform_Sectors!$Y19))))</f>
        <v>25</v>
      </c>
      <c r="AA19" s="563" t="s">
        <v>129</v>
      </c>
      <c r="AB19" s="466" t="s">
        <v>129</v>
      </c>
      <c r="AC19" s="563" t="s">
        <v>129</v>
      </c>
      <c r="AD19" s="466" t="s">
        <v>129</v>
      </c>
      <c r="AE19" s="563" t="s">
        <v>129</v>
      </c>
      <c r="AF19" s="466" t="s">
        <v>129</v>
      </c>
      <c r="AG19" s="563" t="s">
        <v>129</v>
      </c>
      <c r="AH19" s="479" t="s">
        <v>129</v>
      </c>
      <c r="AI19" s="157" t="str">
        <f>IF(Active_Case="Res",Perform_Sectors!AA19,IF(Active_Case="Com",Perform_Sectors!AC19,IF(Active_Case="Ind",Perform_Sectors!AE19,IF(Active_Case="Out",Perform_Sectors!AG19))))</f>
        <v>n/a</v>
      </c>
      <c r="AJ19" s="158" t="str">
        <f>IF(Active_Case="Res",Perform_Sectors!AB19,IF(Active_Case="Com",Perform_Sectors!AD19,IF(Active_Case="Ind",Perform_Sectors!AF19,IF(Active_Case="Out",Perform_Sectors!AH19))))</f>
        <v>n/a</v>
      </c>
      <c r="AK19" s="687">
        <v>100</v>
      </c>
      <c r="AL19" s="664">
        <v>100</v>
      </c>
      <c r="AM19" s="664">
        <v>100</v>
      </c>
      <c r="AN19" s="530">
        <v>100</v>
      </c>
      <c r="AO19" s="953">
        <f>IF(Active_Case="Res",AK19,IF(Active_Case="Com",AL19,IF(Active_Case="Ind",AM19,IF(Active_Case="Out",AN19))))</f>
        <v>100</v>
      </c>
      <c r="AP19" s="935" t="s">
        <v>129</v>
      </c>
      <c r="AQ19" s="936" t="s">
        <v>129</v>
      </c>
      <c r="AR19" s="936" t="s">
        <v>129</v>
      </c>
      <c r="AS19" s="937" t="s">
        <v>129</v>
      </c>
      <c r="AT19" s="162" t="str">
        <f>IF(Active_Case="Res",Perform_Sectors!AP19,IF(Active_Case="Com",Perform_Sectors!AQ19,IF(Active_Case="Ind",Perform_Sectors!AR19,IF(Active_Case="Out",Perform_Sectors!AS19))))</f>
        <v>n/a</v>
      </c>
      <c r="AU19" s="518" t="s">
        <v>129</v>
      </c>
      <c r="AV19" s="936" t="s">
        <v>129</v>
      </c>
      <c r="AW19" s="936" t="s">
        <v>129</v>
      </c>
      <c r="AX19" s="938" t="s">
        <v>129</v>
      </c>
      <c r="AY19" s="953" t="str">
        <f>IF(Active_Case="Res",AU19,IF(Active_Case="Com",AV19,IF(Active_Case="Ind",AW19,IF(Active_Case="Out",AX19))))</f>
        <v>n/a</v>
      </c>
      <c r="AZ19" s="518">
        <v>18.5</v>
      </c>
      <c r="BA19" s="522">
        <v>15</v>
      </c>
      <c r="BB19" s="522">
        <v>15</v>
      </c>
      <c r="BC19" s="494">
        <v>15</v>
      </c>
      <c r="BD19" s="953">
        <f>IF(Active_Case="Res",AZ19,IF(Active_Case="Com",BA19,IF(Active_Case="Ind",BB19,IF(Active_Case="Out",BC19))))</f>
        <v>18.5</v>
      </c>
      <c r="BE19" s="518">
        <v>0</v>
      </c>
      <c r="BF19" s="669">
        <f>Misc_Inputs!$D$21/(Perform_Active!$I19/1000)</f>
        <v>1.309837496845073</v>
      </c>
      <c r="BG19" s="669">
        <f>Misc_Inputs!$D$21/(Perform_Active!$I19/1000)</f>
        <v>1.309837496845073</v>
      </c>
      <c r="BH19" s="422">
        <f>Misc_Inputs!$D$21/(Perform_Active!$I19/1000)</f>
        <v>1.309837496845073</v>
      </c>
      <c r="BI19" s="710">
        <f>IF(Active_Case="Res",BE19,IF(Active_Case="Com",BF19,IF(Active_Case="Ind",BG19,IF(Active_Case="Out",BH19))))</f>
        <v>0</v>
      </c>
      <c r="BJ19" s="518">
        <v>0</v>
      </c>
      <c r="BK19" s="666">
        <v>0</v>
      </c>
      <c r="BL19" s="666">
        <v>0</v>
      </c>
      <c r="BM19" s="691">
        <v>0</v>
      </c>
      <c r="BN19" s="959">
        <f>IF(Active_Case="Res",BJ19,IF(Active_Case="Com",BK19,IF(Active_Case="Ind",BL19,IF(Active_Case="Out",BM19))))</f>
        <v>0</v>
      </c>
      <c r="BO19" s="702">
        <f>Misc_Inputs!$D$22/(Perform_Active!$I19/1000)</f>
        <v>2.619674993690146</v>
      </c>
      <c r="BP19" s="669">
        <f>Misc_Inputs!$D$22/(Perform_Active!$I19/1000)</f>
        <v>2.619674993690146</v>
      </c>
      <c r="BQ19" s="669">
        <f>Misc_Inputs!$D$22/(Perform_Active!$I19/1000)</f>
        <v>2.619674993690146</v>
      </c>
      <c r="BR19" s="422">
        <f>Misc_Inputs!$D$22/(Perform_Active!$I19/1000)</f>
        <v>2.619674993690146</v>
      </c>
      <c r="BS19" s="710">
        <f>IF(Active_Case="Res",BO19,IF(Active_Case="Com",BP19,IF(Active_Case="Ind",BQ19,IF(Active_Case="Out",BR19))))</f>
        <v>2.619674993690146</v>
      </c>
    </row>
    <row r="20" spans="1:71" ht="14.45" x14ac:dyDescent="0.35">
      <c r="A20" s="499"/>
      <c r="B20" s="499"/>
      <c r="C20" s="1163"/>
      <c r="D20" s="1164"/>
      <c r="E20" s="1164"/>
      <c r="F20" s="1165"/>
      <c r="G20" s="1163"/>
      <c r="H20" s="1164"/>
      <c r="I20" s="1164"/>
      <c r="J20" s="1165"/>
      <c r="K20" s="1172"/>
      <c r="L20" s="863"/>
      <c r="M20" s="868"/>
      <c r="N20" s="868"/>
      <c r="O20" s="884"/>
      <c r="P20" s="944"/>
      <c r="Q20" s="219"/>
      <c r="R20" s="435"/>
      <c r="S20" s="435"/>
      <c r="T20" s="675"/>
      <c r="U20" s="944"/>
      <c r="V20" s="164"/>
      <c r="W20" s="662"/>
      <c r="X20" s="662"/>
      <c r="Y20" s="679"/>
      <c r="Z20" s="947"/>
      <c r="AA20" s="563"/>
      <c r="AB20" s="466"/>
      <c r="AC20" s="563"/>
      <c r="AD20" s="466"/>
      <c r="AE20" s="479"/>
      <c r="AF20" s="472"/>
      <c r="AG20" s="477"/>
      <c r="AH20" s="479"/>
      <c r="AI20" s="157"/>
      <c r="AJ20" s="158"/>
      <c r="AK20" s="687"/>
      <c r="AL20" s="664"/>
      <c r="AM20" s="664"/>
      <c r="AN20" s="530"/>
      <c r="AO20" s="954"/>
      <c r="AP20" s="519"/>
      <c r="AQ20" s="936"/>
      <c r="AR20" s="668"/>
      <c r="AS20" s="497"/>
      <c r="AT20" s="956"/>
      <c r="AU20" s="519"/>
      <c r="AV20" s="936"/>
      <c r="AW20" s="668"/>
      <c r="AX20" s="466"/>
      <c r="AY20" s="958"/>
      <c r="AZ20" s="519"/>
      <c r="BA20" s="522"/>
      <c r="BB20" s="668"/>
      <c r="BC20" s="497"/>
      <c r="BD20" s="954"/>
      <c r="BE20" s="519"/>
      <c r="BF20" s="669"/>
      <c r="BG20" s="584"/>
      <c r="BH20" s="609"/>
      <c r="BI20" s="711"/>
      <c r="BJ20" s="519"/>
      <c r="BK20" s="666"/>
      <c r="BL20" s="666"/>
      <c r="BM20" s="691"/>
      <c r="BN20" s="960"/>
      <c r="BO20" s="518"/>
      <c r="BP20" s="666"/>
      <c r="BQ20" s="666"/>
      <c r="BR20" s="691"/>
      <c r="BS20" s="711"/>
    </row>
    <row r="21" spans="1:71" ht="14.45" x14ac:dyDescent="0.35">
      <c r="A21" s="502" t="s">
        <v>36</v>
      </c>
      <c r="B21" s="501"/>
      <c r="C21" s="1166"/>
      <c r="D21" s="167"/>
      <c r="E21" s="167"/>
      <c r="F21" s="1167"/>
      <c r="G21" s="1166"/>
      <c r="H21" s="167"/>
      <c r="I21" s="167"/>
      <c r="J21" s="1167"/>
      <c r="K21" s="1172"/>
      <c r="L21" s="851"/>
      <c r="M21" s="850"/>
      <c r="N21" s="850"/>
      <c r="O21" s="870"/>
      <c r="P21" s="169"/>
      <c r="Q21" s="564"/>
      <c r="R21" s="480"/>
      <c r="S21" s="480"/>
      <c r="T21" s="467"/>
      <c r="U21" s="169"/>
      <c r="V21" s="172"/>
      <c r="W21" s="663"/>
      <c r="X21" s="663"/>
      <c r="Y21" s="680"/>
      <c r="Z21" s="948"/>
      <c r="AA21" s="564"/>
      <c r="AB21" s="467"/>
      <c r="AC21" s="564"/>
      <c r="AD21" s="467"/>
      <c r="AE21" s="480"/>
      <c r="AF21" s="473"/>
      <c r="AG21" s="478"/>
      <c r="AH21" s="480"/>
      <c r="AI21" s="166"/>
      <c r="AJ21" s="951"/>
      <c r="AK21" s="688"/>
      <c r="AL21" s="665"/>
      <c r="AM21" s="665"/>
      <c r="AN21" s="531"/>
      <c r="AO21" s="169"/>
      <c r="AP21" s="520"/>
      <c r="AQ21" s="174"/>
      <c r="AR21" s="174"/>
      <c r="AS21" s="496"/>
      <c r="AT21" s="951"/>
      <c r="AU21" s="520"/>
      <c r="AV21" s="174"/>
      <c r="AW21" s="174"/>
      <c r="AX21" s="870"/>
      <c r="AY21" s="169"/>
      <c r="AZ21" s="520"/>
      <c r="BA21" s="174"/>
      <c r="BB21" s="174"/>
      <c r="BC21" s="496"/>
      <c r="BD21" s="169"/>
      <c r="BE21" s="520"/>
      <c r="BF21" s="670"/>
      <c r="BG21" s="512"/>
      <c r="BH21" s="559"/>
      <c r="BI21" s="521"/>
      <c r="BJ21" s="520"/>
      <c r="BK21" s="670"/>
      <c r="BL21" s="670"/>
      <c r="BM21" s="173"/>
      <c r="BN21" s="515"/>
      <c r="BO21" s="703"/>
      <c r="BP21" s="670"/>
      <c r="BQ21" s="670"/>
      <c r="BR21" s="173"/>
      <c r="BS21" s="521"/>
    </row>
    <row r="22" spans="1:71" ht="14.45" x14ac:dyDescent="0.35">
      <c r="A22" s="499"/>
      <c r="B22" s="499" t="s">
        <v>37</v>
      </c>
      <c r="C22" s="1163">
        <f>Tech_Specs!Y21*Q22</f>
        <v>46.9</v>
      </c>
      <c r="D22" s="1163">
        <f>Tech_Specs!Z21*R22</f>
        <v>42.629999999999995</v>
      </c>
      <c r="E22" s="1163">
        <f>Tech_Specs!AA21*S22</f>
        <v>42.629999999999995</v>
      </c>
      <c r="F22" s="1163">
        <f>Tech_Specs!AB21*T22</f>
        <v>0</v>
      </c>
      <c r="G22" s="1163">
        <f>C22/L22/Q22</f>
        <v>85.675306027506153</v>
      </c>
      <c r="H22" s="1164">
        <f>D22/M22/R22</f>
        <v>76.292556528071032</v>
      </c>
      <c r="I22" s="1164">
        <f t="shared" ref="I22:I25" si="9">E22/N22/S22</f>
        <v>74.270796428748213</v>
      </c>
      <c r="J22" s="1164">
        <f t="shared" ref="J22:J25" si="10">F22/O22/T22</f>
        <v>0</v>
      </c>
      <c r="K22" s="1172">
        <f>IF(Active_Case="Res",Perform_Sectors!$C22,IF(Active_Case="Com",Perform_Sectors!$D22,IF(Active_Case="Ind",Perform_Sectors!$E22,IF(Active_Case="Out",Perform_Sectors!$F22))))</f>
        <v>46.9</v>
      </c>
      <c r="L22" s="863">
        <v>0.78202230148427576</v>
      </c>
      <c r="M22" s="868">
        <v>0.79824301047760138</v>
      </c>
      <c r="N22" s="868">
        <v>0.81997235694684512</v>
      </c>
      <c r="O22" s="868">
        <v>0.81997235694684512</v>
      </c>
      <c r="P22" s="944">
        <f>IF(Active_Case="Res",Perform_Sectors!$L22,IF(Active_Case="Com",Perform_Sectors!$M22,IF(Active_Case="Ind",Perform_Sectors!$N22,IF(Active_Case="Out",Perform_Sectors!$O22))))</f>
        <v>0.78202230148427576</v>
      </c>
      <c r="Q22" s="219">
        <v>0.7</v>
      </c>
      <c r="R22" s="435">
        <v>0.7</v>
      </c>
      <c r="S22" s="435">
        <v>0.7</v>
      </c>
      <c r="T22" s="675">
        <v>0.7</v>
      </c>
      <c r="U22" s="944">
        <f>IF(Active_Case="Res",Perform_Sectors!$Q22,IF(Active_Case="Com",Perform_Sectors!$R22,IF(Active_Case="Ind",Perform_Sectors!$S22,IF(Active_Case="Out",Perform_Sectors!$T22))))</f>
        <v>0.7</v>
      </c>
      <c r="V22" s="880">
        <v>20</v>
      </c>
      <c r="W22" s="880">
        <v>20</v>
      </c>
      <c r="X22" s="880">
        <v>20</v>
      </c>
      <c r="Y22" s="880">
        <v>20</v>
      </c>
      <c r="Z22" s="946">
        <f>IF(Active_Case="Res",Perform_Sectors!$V22,IF(Active_Case="Com",Perform_Sectors!$W22,IF(Active_Case="Ind",Perform_Sectors!$X22,IF(Active_Case="Out",Perform_Sectors!$Y22))))</f>
        <v>20</v>
      </c>
      <c r="AA22" s="563">
        <v>50</v>
      </c>
      <c r="AB22" s="468">
        <v>105</v>
      </c>
      <c r="AC22" s="563">
        <v>50</v>
      </c>
      <c r="AD22" s="468">
        <v>105</v>
      </c>
      <c r="AE22" s="479">
        <v>50</v>
      </c>
      <c r="AF22" s="474">
        <v>105</v>
      </c>
      <c r="AG22" s="477">
        <v>50</v>
      </c>
      <c r="AH22" s="474">
        <v>105</v>
      </c>
      <c r="AI22" s="157">
        <f>IF(Active_Case="Res",Perform_Sectors!AA22,IF(Active_Case="Com",Perform_Sectors!AC22,IF(Active_Case="Ind",Perform_Sectors!AE22,IF(Active_Case="Out",Perform_Sectors!AG22))))</f>
        <v>50</v>
      </c>
      <c r="AJ22" s="158">
        <f>IF(Active_Case="Res",Perform_Sectors!AB22,IF(Active_Case="Com",Perform_Sectors!AD22,IF(Active_Case="Ind",Perform_Sectors!AF22,IF(Active_Case="Out",Perform_Sectors!AH22))))</f>
        <v>105</v>
      </c>
      <c r="AK22" s="687">
        <v>100</v>
      </c>
      <c r="AL22" s="664">
        <v>100</v>
      </c>
      <c r="AM22" s="664">
        <v>100</v>
      </c>
      <c r="AN22" s="530">
        <v>100</v>
      </c>
      <c r="AO22" s="953">
        <f>IF(Active_Case="Res",AK22,IF(Active_Case="Com",AL22,IF(Active_Case="Ind",AM22,IF(Active_Case="Out",AN22))))</f>
        <v>100</v>
      </c>
      <c r="AP22" s="517">
        <v>3.3</v>
      </c>
      <c r="AQ22" s="667">
        <v>3.4</v>
      </c>
      <c r="AR22" s="667">
        <v>3.4</v>
      </c>
      <c r="AS22" s="494">
        <v>3.4</v>
      </c>
      <c r="AT22" s="162">
        <f>IF(Active_Case="Res",Perform_Sectors!AP22,IF(Active_Case="Com",Perform_Sectors!AQ22,IF(Active_Case="Ind",Perform_Sectors!AR22,IF(Active_Case="Out",Perform_Sectors!AS22))))</f>
        <v>3.3</v>
      </c>
      <c r="AU22" s="518">
        <v>16</v>
      </c>
      <c r="AV22" s="666">
        <v>16</v>
      </c>
      <c r="AW22" s="666">
        <v>16</v>
      </c>
      <c r="AX22" s="696">
        <v>16</v>
      </c>
      <c r="AY22" s="953">
        <f>IF(Active_Case="Res",AU22,IF(Active_Case="Com",AV22,IF(Active_Case="Ind",AW22,IF(Active_Case="Out",AX22))))</f>
        <v>16</v>
      </c>
      <c r="AZ22" s="518">
        <v>50</v>
      </c>
      <c r="BA22" s="667">
        <v>70</v>
      </c>
      <c r="BB22" s="667">
        <v>45</v>
      </c>
      <c r="BC22" s="691">
        <v>70</v>
      </c>
      <c r="BD22" s="953">
        <f>IF(Active_Case="Res",AZ22,IF(Active_Case="Com",BA22,IF(Active_Case="Ind",BB22,IF(Active_Case="Out",BC22))))</f>
        <v>50</v>
      </c>
      <c r="BE22" s="518">
        <v>0</v>
      </c>
      <c r="BF22" s="669">
        <f>Misc_Inputs!$D$24</f>
        <v>0.94092890425372011</v>
      </c>
      <c r="BG22" s="669">
        <f>Misc_Inputs!$D$24</f>
        <v>0.94092890425372011</v>
      </c>
      <c r="BH22" s="422">
        <f>Misc_Inputs!$D$24</f>
        <v>0.94092890425372011</v>
      </c>
      <c r="BI22" s="710">
        <f>IF(Active_Case="Res",BE22,IF(Active_Case="Com",BF22,IF(Active_Case="Ind",BG22,IF(Active_Case="Out",BH22))))</f>
        <v>0</v>
      </c>
      <c r="BJ22" s="518">
        <v>0</v>
      </c>
      <c r="BK22" s="669">
        <f>Misc_Inputs!$D$26</f>
        <v>3.7832556741319703</v>
      </c>
      <c r="BL22" s="669">
        <f>Misc_Inputs!$D$26</f>
        <v>3.7832556741319703</v>
      </c>
      <c r="BM22" s="422">
        <f>Misc_Inputs!$D$26</f>
        <v>3.7832556741319703</v>
      </c>
      <c r="BN22" s="959">
        <f>IF(Active_Case="Res",BJ22,IF(Active_Case="Com",BK22,IF(Active_Case="Ind",BL22,IF(Active_Case="Out",BM22))))</f>
        <v>0</v>
      </c>
      <c r="BO22" s="702">
        <f>Misc_Inputs!$D$27</f>
        <v>4.7241845783856906</v>
      </c>
      <c r="BP22" s="669">
        <f>Misc_Inputs!$D$27</f>
        <v>4.7241845783856906</v>
      </c>
      <c r="BQ22" s="669">
        <f>Misc_Inputs!$D$27</f>
        <v>4.7241845783856906</v>
      </c>
      <c r="BR22" s="422">
        <f>Misc_Inputs!$D$27</f>
        <v>4.7241845783856906</v>
      </c>
      <c r="BS22" s="710">
        <f>IF(Active_Case="Res",BO22,IF(Active_Case="Com",BP22,IF(Active_Case="Ind",BQ22,IF(Active_Case="Out",BR22))))</f>
        <v>4.7241845783856906</v>
      </c>
    </row>
    <row r="23" spans="1:71" ht="14.45" x14ac:dyDescent="0.35">
      <c r="A23" s="499"/>
      <c r="B23" s="499" t="s">
        <v>39</v>
      </c>
      <c r="C23" s="1163">
        <f>Tech_Specs!Y22*Q23</f>
        <v>50.75</v>
      </c>
      <c r="D23" s="1163">
        <f>Tech_Specs!Z22*R23</f>
        <v>60.83</v>
      </c>
      <c r="E23" s="1163">
        <f>Tech_Specs!AA22*S23</f>
        <v>60.83</v>
      </c>
      <c r="F23" s="1163">
        <f>Tech_Specs!AB22*T23</f>
        <v>0</v>
      </c>
      <c r="G23" s="1163">
        <f t="shared" ref="G23:G25" si="11">C23/L23/Q23</f>
        <v>83.142201834862391</v>
      </c>
      <c r="H23" s="1164">
        <f>D23/M23/R23</f>
        <v>96.022099447513824</v>
      </c>
      <c r="I23" s="1164">
        <f t="shared" si="9"/>
        <v>96.022099447513824</v>
      </c>
      <c r="J23" s="1164">
        <f t="shared" si="10"/>
        <v>0</v>
      </c>
      <c r="K23" s="1172">
        <f>IF(Active_Case="Res",Perform_Sectors!$C23,IF(Active_Case="Com",Perform_Sectors!$D23,IF(Active_Case="Ind",Perform_Sectors!$E23,IF(Active_Case="Out",Perform_Sectors!$F23))))</f>
        <v>50.75</v>
      </c>
      <c r="L23" s="863">
        <v>0.872</v>
      </c>
      <c r="M23" s="868">
        <v>0.90500000000000003</v>
      </c>
      <c r="N23" s="868">
        <v>0.90500000000000003</v>
      </c>
      <c r="O23" s="884">
        <v>0.90500000000000003</v>
      </c>
      <c r="P23" s="944">
        <f>IF(Active_Case="Res",Perform_Sectors!$L23,IF(Active_Case="Com",Perform_Sectors!$M23,IF(Active_Case="Ind",Perform_Sectors!$N23,IF(Active_Case="Out",Perform_Sectors!$O23))))</f>
        <v>0.872</v>
      </c>
      <c r="Q23" s="219">
        <v>0.7</v>
      </c>
      <c r="R23" s="435">
        <v>0.7</v>
      </c>
      <c r="S23" s="435">
        <v>0.7</v>
      </c>
      <c r="T23" s="675">
        <v>0.7</v>
      </c>
      <c r="U23" s="944">
        <f>IF(Active_Case="Res",Perform_Sectors!$Q23,IF(Active_Case="Com",Perform_Sectors!$R23,IF(Active_Case="Ind",Perform_Sectors!$S23,IF(Active_Case="Out",Perform_Sectors!$T23))))</f>
        <v>0.7</v>
      </c>
      <c r="V23" s="524">
        <v>20</v>
      </c>
      <c r="W23" s="661">
        <v>22</v>
      </c>
      <c r="X23" s="661">
        <v>22</v>
      </c>
      <c r="Y23" s="678">
        <v>22</v>
      </c>
      <c r="Z23" s="946">
        <f>IF(Active_Case="Res",Perform_Sectors!$V23,IF(Active_Case="Com",Perform_Sectors!$W23,IF(Active_Case="Ind",Perform_Sectors!$X23,IF(Active_Case="Out",Perform_Sectors!$Y23))))</f>
        <v>20</v>
      </c>
      <c r="AA23" s="563">
        <v>50</v>
      </c>
      <c r="AB23" s="468">
        <v>105</v>
      </c>
      <c r="AC23" s="563">
        <v>50</v>
      </c>
      <c r="AD23" s="468">
        <v>105</v>
      </c>
      <c r="AE23" s="479">
        <v>50</v>
      </c>
      <c r="AF23" s="474">
        <v>105</v>
      </c>
      <c r="AG23" s="477">
        <v>50</v>
      </c>
      <c r="AH23" s="474">
        <v>105</v>
      </c>
      <c r="AI23" s="157">
        <f>IF(Active_Case="Res",Perform_Sectors!AA23,IF(Active_Case="Com",Perform_Sectors!AC23,IF(Active_Case="Ind",Perform_Sectors!AE23,IF(Active_Case="Out",Perform_Sectors!AG23))))</f>
        <v>50</v>
      </c>
      <c r="AJ23" s="158">
        <f>IF(Active_Case="Res",Perform_Sectors!AB23,IF(Active_Case="Com",Perform_Sectors!AD23,IF(Active_Case="Ind",Perform_Sectors!AF23,IF(Active_Case="Out",Perform_Sectors!AH23))))</f>
        <v>105</v>
      </c>
      <c r="AK23" s="687">
        <v>100</v>
      </c>
      <c r="AL23" s="664">
        <v>100</v>
      </c>
      <c r="AM23" s="664">
        <v>100</v>
      </c>
      <c r="AN23" s="530">
        <v>100</v>
      </c>
      <c r="AO23" s="953">
        <f>IF(Active_Case="Res",AK23,IF(Active_Case="Com",AL23,IF(Active_Case="Ind",AM23,IF(Active_Case="Out",AN23))))</f>
        <v>100</v>
      </c>
      <c r="AP23" s="517">
        <v>4.3</v>
      </c>
      <c r="AQ23" s="667">
        <v>3.1</v>
      </c>
      <c r="AR23" s="667">
        <v>3.1</v>
      </c>
      <c r="AS23" s="494">
        <v>3.1</v>
      </c>
      <c r="AT23" s="162">
        <f>IF(Active_Case="Res",Perform_Sectors!AP23,IF(Active_Case="Com",Perform_Sectors!AQ23,IF(Active_Case="Ind",Perform_Sectors!AR23,IF(Active_Case="Out",Perform_Sectors!AS23))))</f>
        <v>4.3</v>
      </c>
      <c r="AU23" s="518">
        <v>16</v>
      </c>
      <c r="AV23" s="666">
        <v>16</v>
      </c>
      <c r="AW23" s="666">
        <v>16</v>
      </c>
      <c r="AX23" s="696">
        <v>16</v>
      </c>
      <c r="AY23" s="953">
        <f>IF(Active_Case="Res",AU23,IF(Active_Case="Com",AV23,IF(Active_Case="Ind",AW23,IF(Active_Case="Out",AX23))))</f>
        <v>16</v>
      </c>
      <c r="AZ23" s="518">
        <v>45</v>
      </c>
      <c r="BA23" s="667">
        <v>70</v>
      </c>
      <c r="BB23" s="667">
        <v>45</v>
      </c>
      <c r="BC23" s="691">
        <v>70</v>
      </c>
      <c r="BD23" s="953">
        <f>IF(Active_Case="Res",AZ23,IF(Active_Case="Com",BA23,IF(Active_Case="Ind",BB23,IF(Active_Case="Out",BC23))))</f>
        <v>45</v>
      </c>
      <c r="BE23" s="518">
        <v>0</v>
      </c>
      <c r="BF23" s="669">
        <f>Misc_Inputs!$D$24</f>
        <v>0.94092890425372011</v>
      </c>
      <c r="BG23" s="669">
        <f>Misc_Inputs!$D$24</f>
        <v>0.94092890425372011</v>
      </c>
      <c r="BH23" s="422">
        <f>Misc_Inputs!$D$24</f>
        <v>0.94092890425372011</v>
      </c>
      <c r="BI23" s="710">
        <f>IF(Active_Case="Res",BE23,IF(Active_Case="Com",BF23,IF(Active_Case="Ind",BG23,IF(Active_Case="Out",BH23))))</f>
        <v>0</v>
      </c>
      <c r="BJ23" s="518">
        <v>0</v>
      </c>
      <c r="BK23" s="669">
        <f>Misc_Inputs!$D$26</f>
        <v>3.7832556741319703</v>
      </c>
      <c r="BL23" s="669">
        <f>Misc_Inputs!$D$26</f>
        <v>3.7832556741319703</v>
      </c>
      <c r="BM23" s="422">
        <f>Misc_Inputs!$D$26</f>
        <v>3.7832556741319703</v>
      </c>
      <c r="BN23" s="959">
        <f>IF(Active_Case="Res",BJ23,IF(Active_Case="Com",BK23,IF(Active_Case="Ind",BL23,IF(Active_Case="Out",BM23))))</f>
        <v>0</v>
      </c>
      <c r="BO23" s="702">
        <f>Misc_Inputs!$D$27</f>
        <v>4.7241845783856906</v>
      </c>
      <c r="BP23" s="669">
        <f>Misc_Inputs!$D$27</f>
        <v>4.7241845783856906</v>
      </c>
      <c r="BQ23" s="669">
        <f>Misc_Inputs!$D$27</f>
        <v>4.7241845783856906</v>
      </c>
      <c r="BR23" s="422">
        <f>Misc_Inputs!$D$27</f>
        <v>4.7241845783856906</v>
      </c>
      <c r="BS23" s="710">
        <f>IF(Active_Case="Res",BO23,IF(Active_Case="Com",BP23,IF(Active_Case="Ind",BQ23,IF(Active_Case="Out",BR23))))</f>
        <v>4.7241845783856906</v>
      </c>
    </row>
    <row r="24" spans="1:71" ht="14.45" x14ac:dyDescent="0.35">
      <c r="A24" s="499"/>
      <c r="B24" s="499" t="s">
        <v>40</v>
      </c>
      <c r="C24" s="1163">
        <f>Tech_Specs!Y23*Q24</f>
        <v>77.13000000000001</v>
      </c>
      <c r="D24" s="1163">
        <f>Tech_Specs!Z23*R24</f>
        <v>72.539999999999992</v>
      </c>
      <c r="E24" s="1163">
        <f>Tech_Specs!AA23*S24</f>
        <v>72.539999999999992</v>
      </c>
      <c r="F24" s="1163">
        <f>Tech_Specs!AB23*T24</f>
        <v>0</v>
      </c>
      <c r="G24" s="1163">
        <f t="shared" si="11"/>
        <v>100.41451331111426</v>
      </c>
      <c r="H24" s="1164">
        <f t="shared" ref="H24:H25" si="12">D24/M24/R24</f>
        <v>88.183807439824932</v>
      </c>
      <c r="I24" s="1164">
        <f t="shared" si="9"/>
        <v>88.183807439824932</v>
      </c>
      <c r="J24" s="1164">
        <f t="shared" si="10"/>
        <v>0</v>
      </c>
      <c r="K24" s="1172">
        <f>IF(Active_Case="Res",Perform_Sectors!$C24,IF(Active_Case="Com",Perform_Sectors!$D24,IF(Active_Case="Ind",Perform_Sectors!$E24,IF(Active_Case="Out",Perform_Sectors!$F24))))</f>
        <v>77.13000000000001</v>
      </c>
      <c r="L24" s="863">
        <v>0.85346228522241319</v>
      </c>
      <c r="M24" s="868">
        <v>0.91400000000000003</v>
      </c>
      <c r="N24" s="868">
        <v>0.91400000000000003</v>
      </c>
      <c r="O24" s="884">
        <v>0.91400000000000003</v>
      </c>
      <c r="P24" s="944">
        <f>IF(Active_Case="Res",Perform_Sectors!$L24,IF(Active_Case="Com",Perform_Sectors!$M24,IF(Active_Case="Ind",Perform_Sectors!$N24,IF(Active_Case="Out",Perform_Sectors!$O24))))</f>
        <v>0.85346228522241319</v>
      </c>
      <c r="Q24" s="219">
        <v>0.9</v>
      </c>
      <c r="R24" s="435">
        <v>0.9</v>
      </c>
      <c r="S24" s="435">
        <v>0.9</v>
      </c>
      <c r="T24" s="675">
        <v>0.9</v>
      </c>
      <c r="U24" s="944">
        <f>IF(Active_Case="Res",Perform_Sectors!$Q24,IF(Active_Case="Com",Perform_Sectors!$R24,IF(Active_Case="Ind",Perform_Sectors!$S24,IF(Active_Case="Out",Perform_Sectors!$T24))))</f>
        <v>0.9</v>
      </c>
      <c r="V24" s="524">
        <v>16</v>
      </c>
      <c r="W24" s="661">
        <v>22</v>
      </c>
      <c r="X24" s="880">
        <v>22</v>
      </c>
      <c r="Y24" s="880">
        <v>22</v>
      </c>
      <c r="Z24" s="946">
        <f>IF(Active_Case="Res",Perform_Sectors!$V24,IF(Active_Case="Com",Perform_Sectors!$W24,IF(Active_Case="Ind",Perform_Sectors!$X24,IF(Active_Case="Out",Perform_Sectors!$Y24))))</f>
        <v>16</v>
      </c>
      <c r="AA24" s="563">
        <v>50</v>
      </c>
      <c r="AB24" s="468">
        <v>105</v>
      </c>
      <c r="AC24" s="563">
        <v>50</v>
      </c>
      <c r="AD24" s="468">
        <v>105</v>
      </c>
      <c r="AE24" s="479">
        <v>50</v>
      </c>
      <c r="AF24" s="474">
        <v>105</v>
      </c>
      <c r="AG24" s="477">
        <v>50</v>
      </c>
      <c r="AH24" s="474">
        <v>105</v>
      </c>
      <c r="AI24" s="157">
        <f>IF(Active_Case="Res",Perform_Sectors!AA24,IF(Active_Case="Com",Perform_Sectors!AC24,IF(Active_Case="Ind",Perform_Sectors!AE24,IF(Active_Case="Out",Perform_Sectors!AG24))))</f>
        <v>50</v>
      </c>
      <c r="AJ24" s="158">
        <f>IF(Active_Case="Res",Perform_Sectors!AB24,IF(Active_Case="Com",Perform_Sectors!AD24,IF(Active_Case="Ind",Perform_Sectors!AF24,IF(Active_Case="Out",Perform_Sectors!AH24))))</f>
        <v>105</v>
      </c>
      <c r="AK24" s="687">
        <v>100</v>
      </c>
      <c r="AL24" s="664">
        <v>100</v>
      </c>
      <c r="AM24" s="664">
        <v>100</v>
      </c>
      <c r="AN24" s="530">
        <v>100</v>
      </c>
      <c r="AO24" s="953">
        <f>IF(Active_Case="Res",AK24,IF(Active_Case="Com",AL24,IF(Active_Case="Ind",AM24,IF(Active_Case="Out",AN24))))</f>
        <v>100</v>
      </c>
      <c r="AP24" s="485">
        <v>4.4000000000000004</v>
      </c>
      <c r="AQ24" s="667">
        <v>4.4000000000000004</v>
      </c>
      <c r="AR24" s="667">
        <v>5.33</v>
      </c>
      <c r="AS24" s="494">
        <v>4.4000000000000004</v>
      </c>
      <c r="AT24" s="162">
        <f>IF(Active_Case="Res",Perform_Sectors!AP24,IF(Active_Case="Com",Perform_Sectors!AQ24,IF(Active_Case="Ind",Perform_Sectors!AR24,IF(Active_Case="Out",Perform_Sectors!AS24))))</f>
        <v>4.4000000000000004</v>
      </c>
      <c r="AU24" s="518">
        <v>20</v>
      </c>
      <c r="AV24" s="666">
        <v>20</v>
      </c>
      <c r="AW24" s="666">
        <v>20</v>
      </c>
      <c r="AX24" s="696">
        <v>20</v>
      </c>
      <c r="AY24" s="953">
        <f>IF(Active_Case="Res",AU24,IF(Active_Case="Com",AV24,IF(Active_Case="Ind",AW24,IF(Active_Case="Out",AX24))))</f>
        <v>20</v>
      </c>
      <c r="AZ24" s="518">
        <v>75</v>
      </c>
      <c r="BA24" s="667">
        <v>75</v>
      </c>
      <c r="BB24" s="667">
        <v>50</v>
      </c>
      <c r="BC24" s="691">
        <v>75</v>
      </c>
      <c r="BD24" s="953">
        <f>IF(Active_Case="Res",AZ24,IF(Active_Case="Com",BA24,IF(Active_Case="Ind",BB24,IF(Active_Case="Out",BC24))))</f>
        <v>75</v>
      </c>
      <c r="BE24" s="518">
        <v>0</v>
      </c>
      <c r="BF24" s="669">
        <f>Misc_Inputs!$D$24</f>
        <v>0.94092890425372011</v>
      </c>
      <c r="BG24" s="669">
        <f>Misc_Inputs!$D$24</f>
        <v>0.94092890425372011</v>
      </c>
      <c r="BH24" s="422">
        <f>Misc_Inputs!$D$24</f>
        <v>0.94092890425372011</v>
      </c>
      <c r="BI24" s="710">
        <f>IF(Active_Case="Res",BE24,IF(Active_Case="Com",BF24,IF(Active_Case="Ind",BG24,IF(Active_Case="Out",BH24))))</f>
        <v>0</v>
      </c>
      <c r="BJ24" s="518">
        <v>0</v>
      </c>
      <c r="BK24" s="669">
        <f>Misc_Inputs!$D$26</f>
        <v>3.7832556741319703</v>
      </c>
      <c r="BL24" s="669">
        <f>Misc_Inputs!$D$26</f>
        <v>3.7832556741319703</v>
      </c>
      <c r="BM24" s="422">
        <f>Misc_Inputs!$D$26</f>
        <v>3.7832556741319703</v>
      </c>
      <c r="BN24" s="959">
        <f>IF(Active_Case="Res",BJ24,IF(Active_Case="Com",BK24,IF(Active_Case="Ind",BL24,IF(Active_Case="Out",BM24))))</f>
        <v>0</v>
      </c>
      <c r="BO24" s="702">
        <f>Misc_Inputs!$D$27</f>
        <v>4.7241845783856906</v>
      </c>
      <c r="BP24" s="669">
        <f>Misc_Inputs!$D$27</f>
        <v>4.7241845783856906</v>
      </c>
      <c r="BQ24" s="669">
        <f>Misc_Inputs!$D$27</f>
        <v>4.7241845783856906</v>
      </c>
      <c r="BR24" s="422">
        <f>Misc_Inputs!$D$27</f>
        <v>4.7241845783856906</v>
      </c>
      <c r="BS24" s="710">
        <f>IF(Active_Case="Res",BO24,IF(Active_Case="Com",BP24,IF(Active_Case="Ind",BQ24,IF(Active_Case="Out",BR24))))</f>
        <v>4.7241845783856906</v>
      </c>
    </row>
    <row r="25" spans="1:71" ht="14.45" x14ac:dyDescent="0.35">
      <c r="A25" s="499"/>
      <c r="B25" s="499" t="s">
        <v>29</v>
      </c>
      <c r="C25" s="1163">
        <f>Tech_Specs!Y24*Q25</f>
        <v>0</v>
      </c>
      <c r="D25" s="1163">
        <f>Tech_Specs!Z24*R25</f>
        <v>0</v>
      </c>
      <c r="E25" s="1163">
        <f>Tech_Specs!AA24*S25</f>
        <v>0</v>
      </c>
      <c r="F25" s="1163">
        <f>Tech_Specs!AB24*T25</f>
        <v>0</v>
      </c>
      <c r="G25" s="1163">
        <f t="shared" si="11"/>
        <v>0</v>
      </c>
      <c r="H25" s="1164">
        <f t="shared" si="12"/>
        <v>0</v>
      </c>
      <c r="I25" s="1164">
        <f t="shared" si="9"/>
        <v>0</v>
      </c>
      <c r="J25" s="1164">
        <f t="shared" si="10"/>
        <v>0</v>
      </c>
      <c r="K25" s="1172">
        <f>IF(Active_Case="Res",Perform_Sectors!$C25,IF(Active_Case="Com",Perform_Sectors!$D25,IF(Active_Case="Ind",Perform_Sectors!$E25,IF(Active_Case="Out",Perform_Sectors!$F25))))</f>
        <v>0</v>
      </c>
      <c r="L25" s="863">
        <v>1</v>
      </c>
      <c r="M25" s="868">
        <v>1</v>
      </c>
      <c r="N25" s="868">
        <v>1</v>
      </c>
      <c r="O25" s="884">
        <v>1</v>
      </c>
      <c r="P25" s="944">
        <f>IF(Active_Case="Res",Perform_Sectors!$L25,IF(Active_Case="Com",Perform_Sectors!$M25,IF(Active_Case="Ind",Perform_Sectors!$N25,IF(Active_Case="Out",Perform_Sectors!$O25))))</f>
        <v>1</v>
      </c>
      <c r="Q25" s="219">
        <v>1</v>
      </c>
      <c r="R25" s="435">
        <v>1</v>
      </c>
      <c r="S25" s="435">
        <v>1</v>
      </c>
      <c r="T25" s="675">
        <v>1</v>
      </c>
      <c r="U25" s="944">
        <f>IF(Active_Case="Res",Perform_Sectors!$Q25,IF(Active_Case="Com",Perform_Sectors!$R25,IF(Active_Case="Ind",Perform_Sectors!$S25,IF(Active_Case="Out",Perform_Sectors!$T25))))</f>
        <v>1</v>
      </c>
      <c r="V25" s="164">
        <v>25</v>
      </c>
      <c r="W25" s="662">
        <v>25</v>
      </c>
      <c r="X25" s="662">
        <v>25</v>
      </c>
      <c r="Y25" s="679">
        <v>25</v>
      </c>
      <c r="Z25" s="947">
        <f>IF(Active_Case="Res",Perform_Sectors!$V25,IF(Active_Case="Com",Perform_Sectors!$W25,IF(Active_Case="Ind",Perform_Sectors!$X25,IF(Active_Case="Out",Perform_Sectors!$Y25))))</f>
        <v>25</v>
      </c>
      <c r="AA25" s="563" t="s">
        <v>129</v>
      </c>
      <c r="AB25" s="466" t="s">
        <v>129</v>
      </c>
      <c r="AC25" s="563" t="s">
        <v>129</v>
      </c>
      <c r="AD25" s="466" t="s">
        <v>129</v>
      </c>
      <c r="AE25" s="563" t="s">
        <v>129</v>
      </c>
      <c r="AF25" s="466" t="s">
        <v>129</v>
      </c>
      <c r="AG25" s="563" t="s">
        <v>129</v>
      </c>
      <c r="AH25" s="479" t="s">
        <v>129</v>
      </c>
      <c r="AI25" s="157" t="str">
        <f>IF(Active_Case="Res",Perform_Sectors!AA25,IF(Active_Case="Com",Perform_Sectors!AC25,IF(Active_Case="Ind",Perform_Sectors!AE25,IF(Active_Case="Out",Perform_Sectors!AG25))))</f>
        <v>n/a</v>
      </c>
      <c r="AJ25" s="158" t="str">
        <f>IF(Active_Case="Res",Perform_Sectors!AB25,IF(Active_Case="Com",Perform_Sectors!AD25,IF(Active_Case="Ind",Perform_Sectors!AF25,IF(Active_Case="Out",Perform_Sectors!AH25))))</f>
        <v>n/a</v>
      </c>
      <c r="AK25" s="687">
        <v>100</v>
      </c>
      <c r="AL25" s="664">
        <v>100</v>
      </c>
      <c r="AM25" s="664">
        <v>100</v>
      </c>
      <c r="AN25" s="530">
        <v>100</v>
      </c>
      <c r="AO25" s="953">
        <f>IF(Active_Case="Res",AK25,IF(Active_Case="Com",AL25,IF(Active_Case="Ind",AM25,IF(Active_Case="Out",AN25))))</f>
        <v>100</v>
      </c>
      <c r="AP25" s="518" t="s">
        <v>129</v>
      </c>
      <c r="AQ25" s="522" t="s">
        <v>129</v>
      </c>
      <c r="AR25" s="522" t="s">
        <v>129</v>
      </c>
      <c r="AS25" s="495" t="s">
        <v>129</v>
      </c>
      <c r="AT25" s="162" t="str">
        <f>IF(Active_Case="Res",Perform_Sectors!AP25,IF(Active_Case="Com",Perform_Sectors!AQ25,IF(Active_Case="Ind",Perform_Sectors!AR25,IF(Active_Case="Out",Perform_Sectors!AS25))))</f>
        <v>n/a</v>
      </c>
      <c r="AU25" s="518" t="s">
        <v>129</v>
      </c>
      <c r="AV25" s="522" t="s">
        <v>129</v>
      </c>
      <c r="AW25" s="522" t="s">
        <v>129</v>
      </c>
      <c r="AX25" s="694" t="s">
        <v>129</v>
      </c>
      <c r="AY25" s="953" t="str">
        <f>IF(Active_Case="Res",AU25,IF(Active_Case="Com",AV25,IF(Active_Case="Ind",AW25,IF(Active_Case="Out",AX25))))</f>
        <v>n/a</v>
      </c>
      <c r="AZ25" s="518" t="s">
        <v>129</v>
      </c>
      <c r="BA25" s="939" t="s">
        <v>129</v>
      </c>
      <c r="BB25" s="939" t="s">
        <v>129</v>
      </c>
      <c r="BC25" s="940" t="s">
        <v>129</v>
      </c>
      <c r="BD25" s="953"/>
      <c r="BE25" s="518">
        <v>0</v>
      </c>
      <c r="BF25" s="666">
        <v>0</v>
      </c>
      <c r="BG25" s="666">
        <v>0</v>
      </c>
      <c r="BH25" s="691">
        <v>0</v>
      </c>
      <c r="BI25" s="710">
        <f>IF(Active_Case="Res",BE25,IF(Active_Case="Com",BF25,IF(Active_Case="Ind",BG25,IF(Active_Case="Out",BH25))))</f>
        <v>0</v>
      </c>
      <c r="BJ25" s="518">
        <v>0</v>
      </c>
      <c r="BK25" s="669">
        <f>Misc_Inputs!$D$26</f>
        <v>3.7832556741319703</v>
      </c>
      <c r="BL25" s="669">
        <f>Misc_Inputs!$D$26</f>
        <v>3.7832556741319703</v>
      </c>
      <c r="BM25" s="422">
        <f>Misc_Inputs!$D$26</f>
        <v>3.7832556741319703</v>
      </c>
      <c r="BN25" s="959">
        <f>IF(Active_Case="Res",BJ25,IF(Active_Case="Com",BK25,IF(Active_Case="Ind",BL25,IF(Active_Case="Out",BM25))))</f>
        <v>0</v>
      </c>
      <c r="BO25" s="702">
        <f>Misc_Inputs!$D$27</f>
        <v>4.7241845783856906</v>
      </c>
      <c r="BP25" s="669">
        <f>Misc_Inputs!$D$27</f>
        <v>4.7241845783856906</v>
      </c>
      <c r="BQ25" s="669">
        <f>Misc_Inputs!$D$27</f>
        <v>4.7241845783856906</v>
      </c>
      <c r="BR25" s="422">
        <f>Misc_Inputs!$D$27</f>
        <v>4.7241845783856906</v>
      </c>
      <c r="BS25" s="710">
        <f>IF(Active_Case="Res",BO25,IF(Active_Case="Com",BP25,IF(Active_Case="Ind",BQ25,IF(Active_Case="Out",BR25))))</f>
        <v>4.7241845783856906</v>
      </c>
    </row>
    <row r="26" spans="1:71" ht="14.45" x14ac:dyDescent="0.35">
      <c r="A26" s="499"/>
      <c r="B26" s="499"/>
      <c r="C26" s="1163"/>
      <c r="D26" s="1164"/>
      <c r="E26" s="1164"/>
      <c r="F26" s="1164"/>
      <c r="G26" s="1163"/>
      <c r="H26" s="1164"/>
      <c r="I26" s="1164"/>
      <c r="J26" s="1165"/>
      <c r="K26" s="1172"/>
      <c r="L26" s="863"/>
      <c r="M26" s="868"/>
      <c r="N26" s="868"/>
      <c r="O26" s="884"/>
      <c r="P26" s="944"/>
      <c r="Q26" s="219"/>
      <c r="R26" s="435"/>
      <c r="S26" s="435"/>
      <c r="T26" s="675"/>
      <c r="U26" s="944"/>
      <c r="V26" s="164"/>
      <c r="W26" s="662"/>
      <c r="X26" s="662"/>
      <c r="Y26" s="679"/>
      <c r="Z26" s="947"/>
      <c r="AA26" s="563"/>
      <c r="AB26" s="466"/>
      <c r="AC26" s="563"/>
      <c r="AD26" s="466"/>
      <c r="AE26" s="479"/>
      <c r="AF26" s="472"/>
      <c r="AG26" s="477"/>
      <c r="AH26" s="479"/>
      <c r="AI26" s="157"/>
      <c r="AJ26" s="158"/>
      <c r="AK26" s="687"/>
      <c r="AL26" s="664"/>
      <c r="AM26" s="664"/>
      <c r="AN26" s="530"/>
      <c r="AO26" s="954"/>
      <c r="AP26" s="519"/>
      <c r="AQ26" s="522"/>
      <c r="AR26" s="668"/>
      <c r="AS26" s="497"/>
      <c r="AT26" s="956"/>
      <c r="AU26" s="519"/>
      <c r="AV26" s="522"/>
      <c r="AW26" s="668"/>
      <c r="AX26" s="466"/>
      <c r="AY26" s="958"/>
      <c r="AZ26" s="519"/>
      <c r="BA26" s="522"/>
      <c r="BB26" s="668"/>
      <c r="BC26" s="497"/>
      <c r="BD26" s="954"/>
      <c r="BE26" s="519"/>
      <c r="BF26" s="669"/>
      <c r="BG26" s="584"/>
      <c r="BH26" s="609"/>
      <c r="BI26" s="711"/>
      <c r="BJ26" s="519"/>
      <c r="BK26" s="669"/>
      <c r="BL26" s="669"/>
      <c r="BM26" s="422"/>
      <c r="BN26" s="960"/>
      <c r="BO26" s="702"/>
      <c r="BP26" s="669"/>
      <c r="BQ26" s="669"/>
      <c r="BR26" s="422"/>
      <c r="BS26" s="711"/>
    </row>
    <row r="27" spans="1:71" ht="14.45" x14ac:dyDescent="0.35">
      <c r="A27" s="502" t="s">
        <v>42</v>
      </c>
      <c r="B27" s="501"/>
      <c r="C27" s="1166"/>
      <c r="D27" s="167"/>
      <c r="E27" s="167"/>
      <c r="F27" s="1167"/>
      <c r="G27" s="1166"/>
      <c r="H27" s="167"/>
      <c r="I27" s="167"/>
      <c r="J27" s="1167"/>
      <c r="K27" s="1172"/>
      <c r="L27" s="851"/>
      <c r="M27" s="850"/>
      <c r="N27" s="850"/>
      <c r="O27" s="870"/>
      <c r="P27" s="169"/>
      <c r="Q27" s="564"/>
      <c r="R27" s="480"/>
      <c r="S27" s="480"/>
      <c r="T27" s="467"/>
      <c r="U27" s="169"/>
      <c r="V27" s="172"/>
      <c r="W27" s="663"/>
      <c r="X27" s="663"/>
      <c r="Y27" s="680"/>
      <c r="Z27" s="948"/>
      <c r="AA27" s="564"/>
      <c r="AB27" s="467"/>
      <c r="AC27" s="564"/>
      <c r="AD27" s="467"/>
      <c r="AE27" s="480"/>
      <c r="AF27" s="473"/>
      <c r="AG27" s="478"/>
      <c r="AH27" s="480"/>
      <c r="AI27" s="166"/>
      <c r="AJ27" s="951"/>
      <c r="AK27" s="688"/>
      <c r="AL27" s="665"/>
      <c r="AM27" s="665"/>
      <c r="AN27" s="531"/>
      <c r="AO27" s="169"/>
      <c r="AP27" s="520"/>
      <c r="AQ27" s="174"/>
      <c r="AR27" s="174"/>
      <c r="AS27" s="496"/>
      <c r="AT27" s="951"/>
      <c r="AU27" s="520"/>
      <c r="AV27" s="174"/>
      <c r="AW27" s="174"/>
      <c r="AX27" s="870"/>
      <c r="AY27" s="169"/>
      <c r="AZ27" s="520"/>
      <c r="BA27" s="174"/>
      <c r="BB27" s="174"/>
      <c r="BC27" s="496"/>
      <c r="BD27" s="169"/>
      <c r="BE27" s="520"/>
      <c r="BF27" s="670"/>
      <c r="BG27" s="512"/>
      <c r="BH27" s="559"/>
      <c r="BI27" s="521"/>
      <c r="BJ27" s="520"/>
      <c r="BK27" s="670"/>
      <c r="BL27" s="670"/>
      <c r="BM27" s="173"/>
      <c r="BN27" s="515"/>
      <c r="BO27" s="703"/>
      <c r="BP27" s="670"/>
      <c r="BQ27" s="670"/>
      <c r="BR27" s="173"/>
      <c r="BS27" s="521"/>
    </row>
    <row r="28" spans="1:71" ht="14.45" x14ac:dyDescent="0.35">
      <c r="A28" s="499"/>
      <c r="B28" s="503" t="s">
        <v>43</v>
      </c>
      <c r="C28" s="1163">
        <f>Tech_Specs!Y27*Q28</f>
        <v>19.045000000000002</v>
      </c>
      <c r="D28" s="1163">
        <f>Tech_Specs!Z27*R28</f>
        <v>24.635000000000002</v>
      </c>
      <c r="E28" s="1163">
        <f>Tech_Specs!AA27*S28</f>
        <v>25.22</v>
      </c>
      <c r="F28" s="1163">
        <f>Tech_Specs!AB27*T28</f>
        <v>19.824999999999999</v>
      </c>
      <c r="G28" s="1163">
        <f>C28/L28/Q28</f>
        <v>33.376777077251838</v>
      </c>
      <c r="H28" s="1164">
        <f t="shared" ref="H28:H30" si="13">D28/M28/R28</f>
        <v>43.17337376204248</v>
      </c>
      <c r="I28" s="1164">
        <f t="shared" ref="I28:I30" si="14">E28/N28/S28</f>
        <v>44.19859899649731</v>
      </c>
      <c r="J28" s="1164">
        <f t="shared" ref="J28:J30" si="15">F28/O28/T28</f>
        <v>34.743744056524946</v>
      </c>
      <c r="K28" s="1172">
        <f>IF(Active_Case="Res",Perform_Sectors!$C28,IF(Active_Case="Com",Perform_Sectors!$D28,IF(Active_Case="Ind",Perform_Sectors!$E28,IF(Active_Case="Out",Perform_Sectors!$F28))))</f>
        <v>19.045000000000002</v>
      </c>
      <c r="L28" s="863">
        <v>0.87785587961905431</v>
      </c>
      <c r="M28" s="868">
        <v>0.87785587961905431</v>
      </c>
      <c r="N28" s="868">
        <v>0.87785587961905431</v>
      </c>
      <c r="O28" s="1180">
        <v>0.87785587961905431</v>
      </c>
      <c r="P28" s="944">
        <f>IF(Active_Case="Res",Perform_Sectors!$L28,IF(Active_Case="Com",Perform_Sectors!$M28,IF(Active_Case="Ind",Perform_Sectors!$N28,IF(Active_Case="Out",Perform_Sectors!$O28))))</f>
        <v>0.87785587961905431</v>
      </c>
      <c r="Q28" s="219">
        <v>0.65</v>
      </c>
      <c r="R28" s="435">
        <v>0.65</v>
      </c>
      <c r="S28" s="435">
        <v>0.65</v>
      </c>
      <c r="T28" s="675">
        <v>0.65</v>
      </c>
      <c r="U28" s="944">
        <f>IF(Active_Case="Res",Perform_Sectors!$Q28,IF(Active_Case="Com",Perform_Sectors!$R28,IF(Active_Case="Ind",Perform_Sectors!$S28,IF(Active_Case="Out",Perform_Sectors!$T28))))</f>
        <v>0.65</v>
      </c>
      <c r="V28" s="524">
        <v>20</v>
      </c>
      <c r="W28" s="661">
        <v>20</v>
      </c>
      <c r="X28" s="661">
        <v>20</v>
      </c>
      <c r="Y28" s="678">
        <v>20</v>
      </c>
      <c r="Z28" s="946">
        <f>IF(Active_Case="Res",Perform_Sectors!$V28,IF(Active_Case="Com",Perform_Sectors!$W28,IF(Active_Case="Ind",Perform_Sectors!$X28,IF(Active_Case="Out",Perform_Sectors!$Y28))))</f>
        <v>20</v>
      </c>
      <c r="AA28" s="563">
        <v>75</v>
      </c>
      <c r="AB28" s="468">
        <v>105</v>
      </c>
      <c r="AC28" s="563">
        <v>75</v>
      </c>
      <c r="AD28" s="468">
        <v>105</v>
      </c>
      <c r="AE28" s="479">
        <v>75</v>
      </c>
      <c r="AF28" s="474">
        <v>105</v>
      </c>
      <c r="AG28" s="477">
        <v>75</v>
      </c>
      <c r="AH28" s="474">
        <v>105</v>
      </c>
      <c r="AI28" s="157">
        <f>IF(Active_Case="Res",Perform_Sectors!AA28,IF(Active_Case="Com",Perform_Sectors!AC28,IF(Active_Case="Ind",Perform_Sectors!AE28,IF(Active_Case="Out",Perform_Sectors!AG28))))</f>
        <v>75</v>
      </c>
      <c r="AJ28" s="158">
        <f>IF(Active_Case="Res",Perform_Sectors!AB28,IF(Active_Case="Com",Perform_Sectors!AD28,IF(Active_Case="Ind",Perform_Sectors!AF28,IF(Active_Case="Out",Perform_Sectors!AH28))))</f>
        <v>105</v>
      </c>
      <c r="AK28" s="687">
        <v>100</v>
      </c>
      <c r="AL28" s="664">
        <v>100</v>
      </c>
      <c r="AM28" s="664">
        <v>100</v>
      </c>
      <c r="AN28" s="530">
        <v>100</v>
      </c>
      <c r="AO28" s="953">
        <f>IF(Active_Case="Res",AK28,IF(Active_Case="Com",AL28,IF(Active_Case="Ind",AM28,IF(Active_Case="Out",AN28))))</f>
        <v>100</v>
      </c>
      <c r="AP28" s="518">
        <v>18.399999999999999</v>
      </c>
      <c r="AQ28" s="667">
        <v>25</v>
      </c>
      <c r="AR28" s="667">
        <v>25</v>
      </c>
      <c r="AS28" s="494">
        <v>25</v>
      </c>
      <c r="AT28" s="162">
        <f>IF(Active_Case="Res",Perform_Sectors!AP28,IF(Active_Case="Com",Perform_Sectors!AQ28,IF(Active_Case="Ind",Perform_Sectors!AR28,IF(Active_Case="Out",Perform_Sectors!AS28))))</f>
        <v>18.399999999999999</v>
      </c>
      <c r="AU28" s="518">
        <v>85</v>
      </c>
      <c r="AV28" s="667">
        <v>90</v>
      </c>
      <c r="AW28" s="667">
        <v>90</v>
      </c>
      <c r="AX28" s="695">
        <v>80</v>
      </c>
      <c r="AY28" s="953">
        <f>IF(Active_Case="Res",AU28,IF(Active_Case="Com",AV28,IF(Active_Case="Ind",AW28,IF(Active_Case="Out",AX28))))</f>
        <v>85</v>
      </c>
      <c r="AZ28" s="518">
        <v>100</v>
      </c>
      <c r="BA28" s="667">
        <v>85</v>
      </c>
      <c r="BB28" s="667">
        <v>85</v>
      </c>
      <c r="BC28" s="494">
        <v>130</v>
      </c>
      <c r="BD28" s="953">
        <f>IF(Active_Case="Res",AZ28,IF(Active_Case="Com",BA28,IF(Active_Case="Ind",BB28,IF(Active_Case="Out",BC28))))</f>
        <v>100</v>
      </c>
      <c r="BE28" s="518">
        <v>0</v>
      </c>
      <c r="BF28" s="669">
        <f>IFERROR(Misc_Inputs!$D$34/(Perform_Active!$I28/1000),0)</f>
        <v>4.8869180732619606</v>
      </c>
      <c r="BG28" s="669">
        <f>IFERROR(Misc_Inputs!$D$34/(Perform_Active!$I28/1000),0)</f>
        <v>4.8869180732619606</v>
      </c>
      <c r="BH28" s="1156">
        <f>IFERROR(Misc_Inputs!$D$29/(Perform_Active!$I28/1000),0)</f>
        <v>14.660754219785881</v>
      </c>
      <c r="BI28" s="710">
        <f>IF(Active_Case="Res",BE28,IF(Active_Case="Com",BF28,IF(Active_Case="Ind",BG28,IF(Active_Case="Out",BH28))))</f>
        <v>0</v>
      </c>
      <c r="BJ28" s="518">
        <v>0</v>
      </c>
      <c r="BK28" s="669">
        <f>IFERROR(Misc_Inputs!$D$36/(Perform_Active!$I28/1000),0)</f>
        <v>15.475240565329541</v>
      </c>
      <c r="BL28" s="669">
        <f>IFERROR(Misc_Inputs!$D$36/(Perform_Active!$I28/1000),0)</f>
        <v>15.475240565329541</v>
      </c>
      <c r="BM28" s="1156">
        <f>IFERROR(Misc_Inputs!$D$31/(Perform_Active!$I28/1000),0)</f>
        <v>46.425721695988621</v>
      </c>
      <c r="BN28" s="959">
        <f>IF(Active_Case="Res",BJ28,IF(Active_Case="Com",BK28,IF(Active_Case="Ind",BL28,IF(Active_Case="Out",BM28))))</f>
        <v>0</v>
      </c>
      <c r="BO28" s="702">
        <f>IFERROR(Misc_Inputs!$D$37/(Perform_Active!$I28/1000),0)</f>
        <v>20.362158638591502</v>
      </c>
      <c r="BP28" s="669">
        <f>IFERROR(Misc_Inputs!$D$37/(Perform_Active!$I28/1000),0)</f>
        <v>20.362158638591502</v>
      </c>
      <c r="BQ28" s="669">
        <f>IFERROR(Misc_Inputs!$D$37/(Perform_Active!$I28/1000),0)</f>
        <v>20.362158638591502</v>
      </c>
      <c r="BR28" s="1156">
        <f>IFERROR(Misc_Inputs!$D$32/(Perform_Active!$I28/1000),0)</f>
        <v>61.0864759157745</v>
      </c>
      <c r="BS28" s="710">
        <f>IF(Active_Case="Res",BO28,IF(Active_Case="Com",BP28,IF(Active_Case="Ind",BQ28,IF(Active_Case="Out",BR28))))</f>
        <v>20.362158638591502</v>
      </c>
    </row>
    <row r="29" spans="1:71" ht="14.45" x14ac:dyDescent="0.35">
      <c r="A29" s="499"/>
      <c r="B29" s="503" t="s">
        <v>44</v>
      </c>
      <c r="C29" s="1163">
        <f>Tech_Specs!Y28*Q29</f>
        <v>31.85</v>
      </c>
      <c r="D29" s="1163">
        <f>Tech_Specs!Z28*R29</f>
        <v>47.32</v>
      </c>
      <c r="E29" s="1163">
        <f>Tech_Specs!AA28*S29</f>
        <v>49.075000000000003</v>
      </c>
      <c r="F29" s="1163">
        <f>Tech_Specs!AB28*T29</f>
        <v>39</v>
      </c>
      <c r="G29" s="1163">
        <f>C29/L29/Q29</f>
        <v>56.044443000881579</v>
      </c>
      <c r="H29" s="1164">
        <f t="shared" si="13"/>
        <v>83.266029601309768</v>
      </c>
      <c r="I29" s="1164">
        <f t="shared" si="14"/>
        <v>86.354192787072634</v>
      </c>
      <c r="J29" s="1164">
        <f t="shared" si="15"/>
        <v>68.625848572508062</v>
      </c>
      <c r="K29" s="1172">
        <f>IF(Active_Case="Res",Perform_Sectors!$C29,IF(Active_Case="Com",Perform_Sectors!$D29,IF(Active_Case="Ind",Perform_Sectors!$E29,IF(Active_Case="Out",Perform_Sectors!$F29))))</f>
        <v>31.85</v>
      </c>
      <c r="L29" s="863">
        <v>0.87430612878477942</v>
      </c>
      <c r="M29" s="868">
        <v>0.87430612878477942</v>
      </c>
      <c r="N29" s="868">
        <v>0.87430612878477942</v>
      </c>
      <c r="O29" s="1180">
        <v>0.87430612878477942</v>
      </c>
      <c r="P29" s="944">
        <f>IF(Active_Case="Res",Perform_Sectors!$L29,IF(Active_Case="Com",Perform_Sectors!$M29,IF(Active_Case="Ind",Perform_Sectors!$N29,IF(Active_Case="Out",Perform_Sectors!$O29))))</f>
        <v>0.87430612878477942</v>
      </c>
      <c r="Q29" s="219">
        <v>0.65</v>
      </c>
      <c r="R29" s="435">
        <v>0.65</v>
      </c>
      <c r="S29" s="435">
        <v>0.65</v>
      </c>
      <c r="T29" s="675">
        <v>0.65</v>
      </c>
      <c r="U29" s="944">
        <f>IF(Active_Case="Res",Perform_Sectors!$Q29,IF(Active_Case="Com",Perform_Sectors!$R29,IF(Active_Case="Ind",Perform_Sectors!$S29,IF(Active_Case="Out",Perform_Sectors!$T29))))</f>
        <v>0.65</v>
      </c>
      <c r="V29" s="524">
        <v>18</v>
      </c>
      <c r="W29" s="661">
        <v>18</v>
      </c>
      <c r="X29" s="661">
        <v>18</v>
      </c>
      <c r="Y29" s="678">
        <v>18</v>
      </c>
      <c r="Z29" s="946">
        <f>IF(Active_Case="Res",Perform_Sectors!$V29,IF(Active_Case="Com",Perform_Sectors!$W29,IF(Active_Case="Ind",Perform_Sectors!$X29,IF(Active_Case="Out",Perform_Sectors!$Y29))))</f>
        <v>18</v>
      </c>
      <c r="AA29" s="563">
        <v>75</v>
      </c>
      <c r="AB29" s="468">
        <v>105</v>
      </c>
      <c r="AC29" s="563">
        <v>75</v>
      </c>
      <c r="AD29" s="468">
        <v>105</v>
      </c>
      <c r="AE29" s="479">
        <v>75</v>
      </c>
      <c r="AF29" s="474">
        <v>105</v>
      </c>
      <c r="AG29" s="477">
        <v>75</v>
      </c>
      <c r="AH29" s="474">
        <v>105</v>
      </c>
      <c r="AI29" s="157">
        <f>IF(Active_Case="Res",Perform_Sectors!AA29,IF(Active_Case="Com",Perform_Sectors!AC29,IF(Active_Case="Ind",Perform_Sectors!AE29,IF(Active_Case="Out",Perform_Sectors!AG29))))</f>
        <v>75</v>
      </c>
      <c r="AJ29" s="158">
        <f>IF(Active_Case="Res",Perform_Sectors!AB29,IF(Active_Case="Com",Perform_Sectors!AD29,IF(Active_Case="Ind",Perform_Sectors!AF29,IF(Active_Case="Out",Perform_Sectors!AH29))))</f>
        <v>105</v>
      </c>
      <c r="AK29" s="687">
        <v>100</v>
      </c>
      <c r="AL29" s="664">
        <v>100</v>
      </c>
      <c r="AM29" s="664">
        <v>100</v>
      </c>
      <c r="AN29" s="530">
        <v>100</v>
      </c>
      <c r="AO29" s="953">
        <f>IF(Active_Case="Res",AK29,IF(Active_Case="Com",AL29,IF(Active_Case="Ind",AM29,IF(Active_Case="Out",AN29))))</f>
        <v>100</v>
      </c>
      <c r="AP29" s="518">
        <v>29</v>
      </c>
      <c r="AQ29" s="667">
        <v>22</v>
      </c>
      <c r="AR29" s="667">
        <v>22</v>
      </c>
      <c r="AS29" s="494">
        <v>22</v>
      </c>
      <c r="AT29" s="162">
        <f>IF(Active_Case="Res",Perform_Sectors!AP29,IF(Active_Case="Com",Perform_Sectors!AQ29,IF(Active_Case="Ind",Perform_Sectors!AR29,IF(Active_Case="Out",Perform_Sectors!AS29))))</f>
        <v>29</v>
      </c>
      <c r="AU29" s="518">
        <v>95</v>
      </c>
      <c r="AV29" s="667">
        <v>110</v>
      </c>
      <c r="AW29" s="667">
        <v>110</v>
      </c>
      <c r="AX29" s="695">
        <v>90</v>
      </c>
      <c r="AY29" s="953">
        <f>IF(Active_Case="Res",AU29,IF(Active_Case="Com",AV29,IF(Active_Case="Ind",AW29,IF(Active_Case="Out",AX29))))</f>
        <v>95</v>
      </c>
      <c r="AZ29" s="518">
        <v>100</v>
      </c>
      <c r="BA29" s="667">
        <v>85</v>
      </c>
      <c r="BB29" s="667">
        <v>85</v>
      </c>
      <c r="BC29" s="494">
        <v>130</v>
      </c>
      <c r="BD29" s="953">
        <f>IF(Active_Case="Res",AZ29,IF(Active_Case="Com",BA29,IF(Active_Case="Ind",BB29,IF(Active_Case="Out",BC29))))</f>
        <v>100</v>
      </c>
      <c r="BE29" s="518">
        <v>0</v>
      </c>
      <c r="BF29" s="669">
        <f>IFERROR(Misc_Inputs!$D$34/(Perform_Active!$I29/1000),0)</f>
        <v>7.1537865389583288</v>
      </c>
      <c r="BG29" s="669">
        <f>IFERROR(Misc_Inputs!$D$34/(Perform_Active!$I29/1000),0)</f>
        <v>7.1537865389583288</v>
      </c>
      <c r="BH29" s="1156">
        <f>IFERROR(Misc_Inputs!$D$29/(Perform_Active!$I29/1000),0)</f>
        <v>21.461359616874987</v>
      </c>
      <c r="BI29" s="710">
        <f>IF(Active_Case="Res",BE29,IF(Active_Case="Com",BF29,IF(Active_Case="Ind",BG29,IF(Active_Case="Out",BH29))))</f>
        <v>0</v>
      </c>
      <c r="BJ29" s="518">
        <v>0</v>
      </c>
      <c r="BK29" s="669">
        <f>IFERROR(Misc_Inputs!$D$36/(Perform_Active!$I29/1000),0)</f>
        <v>22.653657373368041</v>
      </c>
      <c r="BL29" s="669">
        <f>IFERROR(Misc_Inputs!$D$36/(Perform_Active!$I29/1000),0)</f>
        <v>22.653657373368041</v>
      </c>
      <c r="BM29" s="1156">
        <f>IFERROR(Misc_Inputs!$D$31/(Perform_Active!$I29/1000),0)</f>
        <v>67.960972120104131</v>
      </c>
      <c r="BN29" s="959">
        <f>IF(Active_Case="Res",BJ29,IF(Active_Case="Com",BK29,IF(Active_Case="Ind",BL29,IF(Active_Case="Out",BM29))))</f>
        <v>0</v>
      </c>
      <c r="BO29" s="702">
        <f>IFERROR(Misc_Inputs!$D$37/(Perform_Active!$I29/1000),0)</f>
        <v>29.80744391232637</v>
      </c>
      <c r="BP29" s="669">
        <f>IFERROR(Misc_Inputs!$D$37/(Perform_Active!$I29/1000),0)</f>
        <v>29.80744391232637</v>
      </c>
      <c r="BQ29" s="669">
        <f>IFERROR(Misc_Inputs!$D$37/(Perform_Active!$I29/1000),0)</f>
        <v>29.80744391232637</v>
      </c>
      <c r="BR29" s="1156">
        <f>IFERROR(Misc_Inputs!$D$32/(Perform_Active!$I29/1000),0)</f>
        <v>89.422331736979118</v>
      </c>
      <c r="BS29" s="710">
        <f>IF(Active_Case="Res",BO29,IF(Active_Case="Com",BP29,IF(Active_Case="Ind",BQ29,IF(Active_Case="Out",BR29))))</f>
        <v>29.80744391232637</v>
      </c>
    </row>
    <row r="30" spans="1:71" ht="14.45" x14ac:dyDescent="0.35">
      <c r="A30" s="499"/>
      <c r="B30" s="503" t="s">
        <v>45</v>
      </c>
      <c r="C30" s="1163">
        <f>Tech_Specs!Y29*Q30</f>
        <v>45.564999999999998</v>
      </c>
      <c r="D30" s="1163">
        <f>Tech_Specs!Z29*R30</f>
        <v>69.875</v>
      </c>
      <c r="E30" s="1163">
        <f>Tech_Specs!AA29*S30</f>
        <v>68.055000000000007</v>
      </c>
      <c r="F30" s="1163">
        <f>Tech_Specs!AB29*T30</f>
        <v>54.339999999999996</v>
      </c>
      <c r="G30" s="1163">
        <f t="shared" ref="G30" si="16">C30/L30/Q30</f>
        <v>83.020267636389448</v>
      </c>
      <c r="H30" s="1164">
        <f t="shared" si="13"/>
        <v>127.31353453511935</v>
      </c>
      <c r="I30" s="1164">
        <f t="shared" si="14"/>
        <v>123.99746107746044</v>
      </c>
      <c r="J30" s="1164">
        <f t="shared" si="15"/>
        <v>99.008478950102102</v>
      </c>
      <c r="K30" s="1172">
        <f>IF(Active_Case="Res",Perform_Sectors!$C30,IF(Active_Case="Com",Perform_Sectors!$D30,IF(Active_Case="Ind",Perform_Sectors!$E30,IF(Active_Case="Out",Perform_Sectors!$F30))))</f>
        <v>45.564999999999998</v>
      </c>
      <c r="L30" s="863">
        <v>0.8443721273824677</v>
      </c>
      <c r="M30" s="868">
        <v>0.8443721273824677</v>
      </c>
      <c r="N30" s="868">
        <v>0.8443721273824677</v>
      </c>
      <c r="O30" s="1180">
        <v>0.8443721273824677</v>
      </c>
      <c r="P30" s="944">
        <f>IF(Active_Case="Res",Perform_Sectors!$L30,IF(Active_Case="Com",Perform_Sectors!$M30,IF(Active_Case="Ind",Perform_Sectors!$N30,IF(Active_Case="Out",Perform_Sectors!$O30))))</f>
        <v>0.8443721273824677</v>
      </c>
      <c r="Q30" s="219">
        <v>0.65</v>
      </c>
      <c r="R30" s="435">
        <v>0.65</v>
      </c>
      <c r="S30" s="435">
        <v>0.65</v>
      </c>
      <c r="T30" s="675">
        <v>0.65</v>
      </c>
      <c r="U30" s="944">
        <f>IF(Active_Case="Res",Perform_Sectors!$Q30,IF(Active_Case="Com",Perform_Sectors!$R30,IF(Active_Case="Ind",Perform_Sectors!$S30,IF(Active_Case="Out",Perform_Sectors!$T30))))</f>
        <v>0.65</v>
      </c>
      <c r="V30" s="524">
        <v>28</v>
      </c>
      <c r="W30" s="661">
        <v>28</v>
      </c>
      <c r="X30" s="661">
        <v>28</v>
      </c>
      <c r="Y30" s="678">
        <v>28</v>
      </c>
      <c r="Z30" s="946">
        <f>IF(Active_Case="Res",Perform_Sectors!$V30,IF(Active_Case="Com",Perform_Sectors!$W30,IF(Active_Case="Ind",Perform_Sectors!$X30,IF(Active_Case="Out",Perform_Sectors!$Y30))))</f>
        <v>28</v>
      </c>
      <c r="AA30" s="563">
        <v>75</v>
      </c>
      <c r="AB30" s="468">
        <v>105</v>
      </c>
      <c r="AC30" s="563">
        <v>75</v>
      </c>
      <c r="AD30" s="468">
        <v>105</v>
      </c>
      <c r="AE30" s="479">
        <v>75</v>
      </c>
      <c r="AF30" s="474">
        <v>105</v>
      </c>
      <c r="AG30" s="477">
        <v>75</v>
      </c>
      <c r="AH30" s="474">
        <v>105</v>
      </c>
      <c r="AI30" s="157">
        <f>IF(Active_Case="Res",Perform_Sectors!AA30,IF(Active_Case="Com",Perform_Sectors!AC30,IF(Active_Case="Ind",Perform_Sectors!AE30,IF(Active_Case="Out",Perform_Sectors!AG30))))</f>
        <v>75</v>
      </c>
      <c r="AJ30" s="158">
        <f>IF(Active_Case="Res",Perform_Sectors!AB30,IF(Active_Case="Com",Perform_Sectors!AD30,IF(Active_Case="Ind",Perform_Sectors!AF30,IF(Active_Case="Out",Perform_Sectors!AH30))))</f>
        <v>105</v>
      </c>
      <c r="AK30" s="687">
        <v>100</v>
      </c>
      <c r="AL30" s="664">
        <v>100</v>
      </c>
      <c r="AM30" s="664">
        <v>100</v>
      </c>
      <c r="AN30" s="530">
        <v>100</v>
      </c>
      <c r="AO30" s="953">
        <f>IF(Active_Case="Res",AK30,IF(Active_Case="Com",AL30,IF(Active_Case="Ind",AM30,IF(Active_Case="Out",AN30))))</f>
        <v>100</v>
      </c>
      <c r="AP30" s="518">
        <v>21</v>
      </c>
      <c r="AQ30" s="667">
        <v>17</v>
      </c>
      <c r="AR30" s="667">
        <v>17</v>
      </c>
      <c r="AS30" s="494">
        <v>17</v>
      </c>
      <c r="AT30" s="162">
        <f>IF(Active_Case="Res",Perform_Sectors!AP30,IF(Active_Case="Com",Perform_Sectors!AQ30,IF(Active_Case="Ind",Perform_Sectors!AR30,IF(Active_Case="Out",Perform_Sectors!AS30))))</f>
        <v>21</v>
      </c>
      <c r="AU30" s="518">
        <v>85</v>
      </c>
      <c r="AV30" s="667">
        <v>90</v>
      </c>
      <c r="AW30" s="667">
        <v>90</v>
      </c>
      <c r="AX30" s="695">
        <v>80</v>
      </c>
      <c r="AY30" s="953">
        <f>IF(Active_Case="Res",AU30,IF(Active_Case="Com",AV30,IF(Active_Case="Ind",AW30,IF(Active_Case="Out",AX30))))</f>
        <v>85</v>
      </c>
      <c r="AZ30" s="518">
        <v>100</v>
      </c>
      <c r="BA30" s="667">
        <v>85</v>
      </c>
      <c r="BB30" s="667">
        <v>85</v>
      </c>
      <c r="BC30" s="494">
        <v>130</v>
      </c>
      <c r="BD30" s="953">
        <f>IF(Active_Case="Res",AZ30,IF(Active_Case="Com",BA30,IF(Active_Case="Ind",BB30,IF(Active_Case="Out",BC30))))</f>
        <v>100</v>
      </c>
      <c r="BE30" s="518">
        <v>0</v>
      </c>
      <c r="BF30" s="669">
        <f>IFERROR(Misc_Inputs!$D$34/(Perform_Active!$I30/1000),0)</f>
        <v>2.6424083790769703</v>
      </c>
      <c r="BG30" s="669">
        <f>IFERROR(Misc_Inputs!$D$34/(Perform_Active!$I30/1000),0)</f>
        <v>2.6424083790769703</v>
      </c>
      <c r="BH30" s="1156">
        <f>IFERROR(Misc_Inputs!$D$29/(Perform_Active!$I30/1000),0)</f>
        <v>7.9272251372309102</v>
      </c>
      <c r="BI30" s="710">
        <f>IF(Active_Case="Res",BE30,IF(Active_Case="Com",BF30,IF(Active_Case="Ind",BG30,IF(Active_Case="Out",BH30))))</f>
        <v>0</v>
      </c>
      <c r="BJ30" s="518">
        <v>0</v>
      </c>
      <c r="BK30" s="669">
        <f>IFERROR(Misc_Inputs!$D$36/(Perform_Active!$I30/1000),0)</f>
        <v>8.3676265337437385</v>
      </c>
      <c r="BL30" s="669">
        <f>IFERROR(Misc_Inputs!$D$36/(Perform_Active!$I30/1000),0)</f>
        <v>8.3676265337437385</v>
      </c>
      <c r="BM30" s="1156">
        <f>IFERROR(Misc_Inputs!$D$31/(Perform_Active!$I30/1000),0)</f>
        <v>25.102879601231216</v>
      </c>
      <c r="BN30" s="959">
        <f>IF(Active_Case="Res",BJ30,IF(Active_Case="Com",BK30,IF(Active_Case="Ind",BL30,IF(Active_Case="Out",BM30))))</f>
        <v>0</v>
      </c>
      <c r="BO30" s="702">
        <f>IFERROR(Misc_Inputs!$D$37/(Perform_Active!$I30/1000),0)</f>
        <v>11.010034912820709</v>
      </c>
      <c r="BP30" s="669">
        <f>IFERROR(Misc_Inputs!$D$37/(Perform_Active!$I30/1000),0)</f>
        <v>11.010034912820709</v>
      </c>
      <c r="BQ30" s="669">
        <f>IFERROR(Misc_Inputs!$D$37/(Perform_Active!$I30/1000),0)</f>
        <v>11.010034912820709</v>
      </c>
      <c r="BR30" s="1156">
        <f>IFERROR(Misc_Inputs!$D$32/(Perform_Active!$I30/1000),0)</f>
        <v>33.030104738462128</v>
      </c>
      <c r="BS30" s="710">
        <f>IF(Active_Case="Res",BO30,IF(Active_Case="Com",BP30,IF(Active_Case="Ind",BQ30,IF(Active_Case="Out",BR30))))</f>
        <v>11.010034912820709</v>
      </c>
    </row>
    <row r="31" spans="1:71" ht="14.45" x14ac:dyDescent="0.35">
      <c r="A31" s="499"/>
      <c r="B31" s="503" t="s">
        <v>46</v>
      </c>
      <c r="C31" s="1163">
        <f>Tech_Specs!Y30*Q31</f>
        <v>0</v>
      </c>
      <c r="D31" s="1163">
        <f>Tech_Specs!Z30*R31</f>
        <v>93.275000000000006</v>
      </c>
      <c r="E31" s="1163">
        <f>Tech_Specs!AA30*S31</f>
        <v>0</v>
      </c>
      <c r="F31" s="1163">
        <f>Tech_Specs!AB30*T31</f>
        <v>57.980000000000004</v>
      </c>
      <c r="G31" s="1163">
        <f t="shared" ref="G31:J32" si="17">C31/L31/Q31</f>
        <v>0</v>
      </c>
      <c r="H31" s="1164">
        <f t="shared" si="17"/>
        <v>193.21813173098002</v>
      </c>
      <c r="I31" s="1164">
        <f t="shared" si="17"/>
        <v>0</v>
      </c>
      <c r="J31" s="1164">
        <f t="shared" si="17"/>
        <v>120.10492927110397</v>
      </c>
      <c r="K31" s="1172">
        <f>IF(Active_Case="Res",Perform_Sectors!$C31,IF(Active_Case="Com",Perform_Sectors!$D31,IF(Active_Case="Ind",Perform_Sectors!$E31,IF(Active_Case="Out",Perform_Sectors!$F31))))</f>
        <v>0</v>
      </c>
      <c r="L31" s="863">
        <v>0.74268392264446903</v>
      </c>
      <c r="M31" s="868">
        <v>0.74268392264446903</v>
      </c>
      <c r="N31" s="868">
        <v>0.74268392264446903</v>
      </c>
      <c r="O31" s="1180">
        <v>0.74268392264446903</v>
      </c>
      <c r="P31" s="944">
        <f>IF(Active_Case="Res",Perform_Sectors!$L31,IF(Active_Case="Com",Perform_Sectors!$M31,IF(Active_Case="Ind",Perform_Sectors!$N31,IF(Active_Case="Out",Perform_Sectors!$O31))))</f>
        <v>0.74268392264446903</v>
      </c>
      <c r="Q31" s="219">
        <v>0.65</v>
      </c>
      <c r="R31" s="435">
        <v>0.65</v>
      </c>
      <c r="S31" s="435">
        <v>0.65</v>
      </c>
      <c r="T31" s="675">
        <v>0.65</v>
      </c>
      <c r="U31" s="944">
        <f>IF(Active_Case="Res",Perform_Sectors!$Q31,IF(Active_Case="Com",Perform_Sectors!$R31,IF(Active_Case="Ind",Perform_Sectors!$S31,IF(Active_Case="Out",Perform_Sectors!$T31))))</f>
        <v>0.65</v>
      </c>
      <c r="V31" s="524">
        <v>25</v>
      </c>
      <c r="W31" s="661">
        <v>25</v>
      </c>
      <c r="X31" s="661">
        <v>25</v>
      </c>
      <c r="Y31" s="678">
        <v>25</v>
      </c>
      <c r="Z31" s="946">
        <f>IF(Active_Case="Res",Perform_Sectors!$V31,IF(Active_Case="Com",Perform_Sectors!$W31,IF(Active_Case="Ind",Perform_Sectors!$X31,IF(Active_Case="Out",Perform_Sectors!$Y31))))</f>
        <v>25</v>
      </c>
      <c r="AA31" s="563">
        <v>75</v>
      </c>
      <c r="AB31" s="468">
        <v>105</v>
      </c>
      <c r="AC31" s="563">
        <v>75</v>
      </c>
      <c r="AD31" s="468">
        <v>105</v>
      </c>
      <c r="AE31" s="479">
        <v>75</v>
      </c>
      <c r="AF31" s="474">
        <v>105</v>
      </c>
      <c r="AG31" s="477">
        <v>75</v>
      </c>
      <c r="AH31" s="474">
        <v>105</v>
      </c>
      <c r="AI31" s="157">
        <f>IF(Active_Case="Res",Perform_Sectors!AA31,IF(Active_Case="Com",Perform_Sectors!AC31,IF(Active_Case="Ind",Perform_Sectors!AE31,IF(Active_Case="Out",Perform_Sectors!AG31))))</f>
        <v>75</v>
      </c>
      <c r="AJ31" s="158">
        <f>IF(Active_Case="Res",Perform_Sectors!AB31,IF(Active_Case="Com",Perform_Sectors!AD31,IF(Active_Case="Ind",Perform_Sectors!AF31,IF(Active_Case="Out",Perform_Sectors!AH31))))</f>
        <v>105</v>
      </c>
      <c r="AK31" s="687">
        <v>100</v>
      </c>
      <c r="AL31" s="664">
        <v>100</v>
      </c>
      <c r="AM31" s="664">
        <v>100</v>
      </c>
      <c r="AN31" s="530">
        <v>100</v>
      </c>
      <c r="AO31" s="953">
        <f>IF(Active_Case="Res",AK31,IF(Active_Case="Com",AL31,IF(Active_Case="Ind",AM31,IF(Active_Case="Out",AN31))))</f>
        <v>100</v>
      </c>
      <c r="AP31" s="518">
        <v>18.399999999999999</v>
      </c>
      <c r="AQ31" s="667">
        <v>40</v>
      </c>
      <c r="AR31" s="667">
        <v>40</v>
      </c>
      <c r="AS31" s="494">
        <v>40</v>
      </c>
      <c r="AT31" s="162">
        <f>IF(Active_Case="Res",Perform_Sectors!AP31,IF(Active_Case="Com",Perform_Sectors!AQ31,IF(Active_Case="Ind",Perform_Sectors!AR31,IF(Active_Case="Out",Perform_Sectors!AS31))))</f>
        <v>18.399999999999999</v>
      </c>
      <c r="AU31" s="518">
        <v>175</v>
      </c>
      <c r="AV31" s="667">
        <v>195</v>
      </c>
      <c r="AW31" s="667">
        <v>195</v>
      </c>
      <c r="AX31" s="695">
        <v>160</v>
      </c>
      <c r="AY31" s="953">
        <f>IF(Active_Case="Res",AU31,IF(Active_Case="Com",AV31,IF(Active_Case="Ind",AW31,IF(Active_Case="Out",AX31))))</f>
        <v>175</v>
      </c>
      <c r="AZ31" s="518">
        <v>100</v>
      </c>
      <c r="BA31" s="667">
        <v>85</v>
      </c>
      <c r="BB31" s="667">
        <v>85</v>
      </c>
      <c r="BC31" s="494">
        <v>130</v>
      </c>
      <c r="BD31" s="953">
        <f>IF(Active_Case="Res",AZ31,IF(Active_Case="Com",BA31,IF(Active_Case="Ind",BB31,IF(Active_Case="Out",BC31))))</f>
        <v>100</v>
      </c>
      <c r="BE31" s="518">
        <v>0</v>
      </c>
      <c r="BF31" s="669">
        <f>IFERROR(Misc_Inputs!$D$34/(Perform_Active!$I31/1000),0)</f>
        <v>0</v>
      </c>
      <c r="BG31" s="669">
        <f>IFERROR(Misc_Inputs!$D$34/(Perform_Active!$I31/1000),0)</f>
        <v>0</v>
      </c>
      <c r="BH31" s="1156">
        <f>IFERROR(Misc_Inputs!$D$29/(Perform_Active!$I31/1000),0)</f>
        <v>0</v>
      </c>
      <c r="BI31" s="710">
        <f>IF(Active_Case="Res",BE31,IF(Active_Case="Com",BF31,IF(Active_Case="Ind",BG31,IF(Active_Case="Out",BH31))))</f>
        <v>0</v>
      </c>
      <c r="BJ31" s="518">
        <v>0</v>
      </c>
      <c r="BK31" s="669">
        <f>IFERROR(Misc_Inputs!$D$36/(Perform_Active!$I31/1000),0)</f>
        <v>0</v>
      </c>
      <c r="BL31" s="669">
        <f>IFERROR(Misc_Inputs!$D$36/(Perform_Active!$I31/1000),0)</f>
        <v>0</v>
      </c>
      <c r="BM31" s="1156">
        <f>IFERROR(Misc_Inputs!$D$31/(Perform_Active!$I31/1000),0)</f>
        <v>0</v>
      </c>
      <c r="BN31" s="959">
        <f>IF(Active_Case="Res",BJ31,IF(Active_Case="Com",BK31,IF(Active_Case="Ind",BL31,IF(Active_Case="Out",BM31))))</f>
        <v>0</v>
      </c>
      <c r="BO31" s="702">
        <f>IFERROR(Misc_Inputs!$D$37/(Perform_Active!$I31/1000),0)</f>
        <v>0</v>
      </c>
      <c r="BP31" s="669">
        <f>IFERROR(Misc_Inputs!$D$37/(Perform_Active!$I31/1000),0)</f>
        <v>0</v>
      </c>
      <c r="BQ31" s="669">
        <f>IFERROR(Misc_Inputs!$D$37/(Perform_Active!$I31/1000),0)</f>
        <v>0</v>
      </c>
      <c r="BR31" s="1156">
        <f>IFERROR(Misc_Inputs!$D$32/(Perform_Active!$I31/1000),0)</f>
        <v>0</v>
      </c>
      <c r="BS31" s="710">
        <f>IF(Active_Case="Res",BO31,IF(Active_Case="Com",BP31,IF(Active_Case="Ind",BQ31,IF(Active_Case="Out",BR31))))</f>
        <v>0</v>
      </c>
    </row>
    <row r="32" spans="1:71" ht="14.45" x14ac:dyDescent="0.35">
      <c r="A32" s="499"/>
      <c r="B32" s="499" t="s">
        <v>29</v>
      </c>
      <c r="C32" s="1163">
        <f>Tech_Specs!Y31*Q32</f>
        <v>0</v>
      </c>
      <c r="D32" s="1163">
        <f>Tech_Specs!Z31*R32</f>
        <v>0</v>
      </c>
      <c r="E32" s="1163">
        <f>Tech_Specs!AA31*S32</f>
        <v>0</v>
      </c>
      <c r="F32" s="1163">
        <f>Tech_Specs!AB31*T32</f>
        <v>0</v>
      </c>
      <c r="G32" s="1163">
        <f t="shared" si="17"/>
        <v>0</v>
      </c>
      <c r="H32" s="1164">
        <f t="shared" si="17"/>
        <v>0</v>
      </c>
      <c r="I32" s="1164">
        <f t="shared" si="17"/>
        <v>0</v>
      </c>
      <c r="J32" s="1164">
        <f t="shared" si="17"/>
        <v>0</v>
      </c>
      <c r="K32" s="1172">
        <f>IF(Active_Case="Res",Perform_Sectors!$C32,IF(Active_Case="Com",Perform_Sectors!$D32,IF(Active_Case="Ind",Perform_Sectors!$E32,IF(Active_Case="Out",Perform_Sectors!$F32))))</f>
        <v>0</v>
      </c>
      <c r="L32" s="863">
        <v>1</v>
      </c>
      <c r="M32" s="868">
        <v>1</v>
      </c>
      <c r="N32" s="868">
        <v>1</v>
      </c>
      <c r="O32" s="1180">
        <v>1</v>
      </c>
      <c r="P32" s="944">
        <f>IF(Active_Case="Res",Perform_Sectors!$L32,IF(Active_Case="Com",Perform_Sectors!$M32,IF(Active_Case="Ind",Perform_Sectors!$N32,IF(Active_Case="Out",Perform_Sectors!$O32))))</f>
        <v>1</v>
      </c>
      <c r="Q32" s="219">
        <v>1</v>
      </c>
      <c r="R32" s="435">
        <v>1</v>
      </c>
      <c r="S32" s="435">
        <v>1</v>
      </c>
      <c r="T32" s="675">
        <v>1</v>
      </c>
      <c r="U32" s="944">
        <f>IF(Active_Case="Res",Perform_Sectors!$Q32,IF(Active_Case="Com",Perform_Sectors!$R32,IF(Active_Case="Ind",Perform_Sectors!$S32,IF(Active_Case="Out",Perform_Sectors!$T32))))</f>
        <v>1</v>
      </c>
      <c r="V32" s="164">
        <v>25</v>
      </c>
      <c r="W32" s="662">
        <v>25</v>
      </c>
      <c r="X32" s="662">
        <v>25</v>
      </c>
      <c r="Y32" s="679">
        <v>25</v>
      </c>
      <c r="Z32" s="947">
        <f>IF(Active_Case="Res",Perform_Sectors!$V32,IF(Active_Case="Com",Perform_Sectors!$W32,IF(Active_Case="Ind",Perform_Sectors!$X32,IF(Active_Case="Out",Perform_Sectors!$Y32))))</f>
        <v>25</v>
      </c>
      <c r="AA32" s="563" t="s">
        <v>129</v>
      </c>
      <c r="AB32" s="466" t="s">
        <v>129</v>
      </c>
      <c r="AC32" s="563" t="s">
        <v>129</v>
      </c>
      <c r="AD32" s="466" t="s">
        <v>129</v>
      </c>
      <c r="AE32" s="563" t="s">
        <v>129</v>
      </c>
      <c r="AF32" s="466" t="s">
        <v>129</v>
      </c>
      <c r="AG32" s="563" t="s">
        <v>129</v>
      </c>
      <c r="AH32" s="479" t="s">
        <v>129</v>
      </c>
      <c r="AI32" s="157" t="str">
        <f>IF(Active_Case="Res",Perform_Sectors!AA32,IF(Active_Case="Com",Perform_Sectors!AC32,IF(Active_Case="Ind",Perform_Sectors!AE32,IF(Active_Case="Out",Perform_Sectors!AG32))))</f>
        <v>n/a</v>
      </c>
      <c r="AJ32" s="158" t="str">
        <f>IF(Active_Case="Res",Perform_Sectors!AB32,IF(Active_Case="Com",Perform_Sectors!AD32,IF(Active_Case="Ind",Perform_Sectors!AF32,IF(Active_Case="Out",Perform_Sectors!AH32))))</f>
        <v>n/a</v>
      </c>
      <c r="AK32" s="687">
        <v>100</v>
      </c>
      <c r="AL32" s="664">
        <v>100</v>
      </c>
      <c r="AM32" s="664">
        <v>100</v>
      </c>
      <c r="AN32" s="530">
        <v>100</v>
      </c>
      <c r="AO32" s="953">
        <f>IF(Active_Case="Res",AK32,IF(Active_Case="Com",AL32,IF(Active_Case="Ind",AM32,IF(Active_Case="Out",AN32))))</f>
        <v>100</v>
      </c>
      <c r="AP32" s="518" t="s">
        <v>129</v>
      </c>
      <c r="AQ32" s="522" t="s">
        <v>129</v>
      </c>
      <c r="AR32" s="522" t="s">
        <v>129</v>
      </c>
      <c r="AS32" s="495" t="s">
        <v>129</v>
      </c>
      <c r="AT32" s="162" t="str">
        <f>IF(Active_Case="Res",Perform_Sectors!AP32,IF(Active_Case="Com",Perform_Sectors!AQ32,IF(Active_Case="Ind",Perform_Sectors!AR32,IF(Active_Case="Out",Perform_Sectors!AS32))))</f>
        <v>n/a</v>
      </c>
      <c r="AU32" s="518" t="s">
        <v>129</v>
      </c>
      <c r="AV32" s="939" t="s">
        <v>129</v>
      </c>
      <c r="AW32" s="939" t="s">
        <v>129</v>
      </c>
      <c r="AX32" s="940" t="s">
        <v>129</v>
      </c>
      <c r="AY32" s="953" t="str">
        <f>IF(Active_Case="Res",AU32,IF(Active_Case="Com",AV32,IF(Active_Case="Ind",AW32,IF(Active_Case="Out",AX32))))</f>
        <v>n/a</v>
      </c>
      <c r="AZ32" s="518" t="s">
        <v>129</v>
      </c>
      <c r="BA32" s="939" t="s">
        <v>129</v>
      </c>
      <c r="BB32" s="939" t="s">
        <v>129</v>
      </c>
      <c r="BC32" s="940" t="s">
        <v>129</v>
      </c>
      <c r="BD32" s="953" t="str">
        <f>IF(Active_Case="Res",AZ32,IF(Active_Case="Com",BA32,IF(Active_Case="Ind",BB32,IF(Active_Case="Out",BC32))))</f>
        <v>n/a</v>
      </c>
      <c r="BE32" s="518">
        <v>0</v>
      </c>
      <c r="BF32" s="666">
        <v>0</v>
      </c>
      <c r="BG32" s="666">
        <v>0</v>
      </c>
      <c r="BH32" s="666">
        <v>0</v>
      </c>
      <c r="BI32" s="710">
        <f>IF(Active_Case="Res",BE32,IF(Active_Case="Com",BF32,IF(Active_Case="Ind",BG32,IF(Active_Case="Out",BH32))))</f>
        <v>0</v>
      </c>
      <c r="BJ32" s="518">
        <v>0</v>
      </c>
      <c r="BK32" s="518">
        <v>0</v>
      </c>
      <c r="BL32" s="518">
        <v>0</v>
      </c>
      <c r="BM32" s="518">
        <v>0</v>
      </c>
      <c r="BN32" s="959">
        <f>IF(Active_Case="Res",BJ32,IF(Active_Case="Com",BK32,IF(Active_Case="Ind",BL32,IF(Active_Case="Out",BM32))))</f>
        <v>0</v>
      </c>
      <c r="BO32" s="702">
        <f>IFERROR(Misc_Inputs!$D$37/(Perform_Active!$I32/1000),0)</f>
        <v>11.27048837691712</v>
      </c>
      <c r="BP32" s="669">
        <f>IFERROR(Misc_Inputs!$D$37/(Perform_Active!$I32/1000),0)</f>
        <v>11.27048837691712</v>
      </c>
      <c r="BQ32" s="669">
        <f>IFERROR(Misc_Inputs!$D$37/(Perform_Active!$I32/1000),0)</f>
        <v>11.27048837691712</v>
      </c>
      <c r="BR32" s="1156">
        <f>IFERROR(Misc_Inputs!$D$32/(Perform_Active!$I32/1000),0)</f>
        <v>33.811465130751358</v>
      </c>
      <c r="BS32" s="710">
        <f>IF(Active_Case="Res",BO32,IF(Active_Case="Com",BP32,IF(Active_Case="Ind",BQ32,IF(Active_Case="Out",BR32))))</f>
        <v>11.27048837691712</v>
      </c>
    </row>
    <row r="33" spans="1:71" ht="14.45" x14ac:dyDescent="0.35">
      <c r="A33" s="499"/>
      <c r="B33" s="499"/>
      <c r="C33" s="1163"/>
      <c r="D33" s="1164"/>
      <c r="E33" s="1164"/>
      <c r="F33" s="1165"/>
      <c r="G33" s="1163"/>
      <c r="H33" s="1164"/>
      <c r="I33" s="1164"/>
      <c r="J33" s="1165"/>
      <c r="K33" s="1172"/>
      <c r="L33" s="863"/>
      <c r="M33" s="868"/>
      <c r="N33" s="868"/>
      <c r="O33" s="884"/>
      <c r="P33" s="944"/>
      <c r="Q33" s="219"/>
      <c r="R33" s="435"/>
      <c r="S33" s="435"/>
      <c r="T33" s="675"/>
      <c r="U33" s="944"/>
      <c r="V33" s="164"/>
      <c r="W33" s="662"/>
      <c r="X33" s="662"/>
      <c r="Y33" s="679"/>
      <c r="Z33" s="947"/>
      <c r="AA33" s="563"/>
      <c r="AB33" s="466"/>
      <c r="AC33" s="563"/>
      <c r="AD33" s="466"/>
      <c r="AE33" s="479"/>
      <c r="AF33" s="472"/>
      <c r="AG33" s="477"/>
      <c r="AH33" s="479"/>
      <c r="AI33" s="157"/>
      <c r="AJ33" s="158"/>
      <c r="AK33" s="687"/>
      <c r="AL33" s="664"/>
      <c r="AM33" s="664"/>
      <c r="AN33" s="530"/>
      <c r="AO33" s="954"/>
      <c r="AP33" s="563"/>
      <c r="AQ33" s="522"/>
      <c r="AR33" s="668"/>
      <c r="AS33" s="497"/>
      <c r="AT33" s="956"/>
      <c r="AU33" s="519"/>
      <c r="AV33" s="939"/>
      <c r="AW33" s="668"/>
      <c r="AX33" s="466"/>
      <c r="AY33" s="958"/>
      <c r="AZ33" s="519"/>
      <c r="BA33" s="939"/>
      <c r="BB33" s="668"/>
      <c r="BC33" s="497"/>
      <c r="BD33" s="954"/>
      <c r="BE33" s="519"/>
      <c r="BF33" s="669"/>
      <c r="BG33" s="584"/>
      <c r="BH33" s="609"/>
      <c r="BI33" s="711"/>
      <c r="BJ33" s="519"/>
      <c r="BK33" s="669"/>
      <c r="BL33" s="669"/>
      <c r="BM33" s="422"/>
      <c r="BN33" s="960"/>
      <c r="BO33" s="702"/>
      <c r="BP33" s="669"/>
      <c r="BQ33" s="669"/>
      <c r="BR33" s="422"/>
      <c r="BS33" s="711"/>
    </row>
    <row r="34" spans="1:71" x14ac:dyDescent="0.25">
      <c r="A34" s="506" t="s">
        <v>47</v>
      </c>
      <c r="B34" s="505"/>
      <c r="C34" s="1166"/>
      <c r="D34" s="167"/>
      <c r="E34" s="167"/>
      <c r="F34" s="1167"/>
      <c r="G34" s="1166"/>
      <c r="H34" s="167"/>
      <c r="I34" s="167"/>
      <c r="J34" s="1167"/>
      <c r="K34" s="1172"/>
      <c r="L34" s="851"/>
      <c r="M34" s="850"/>
      <c r="N34" s="850"/>
      <c r="O34" s="870"/>
      <c r="P34" s="169"/>
      <c r="Q34" s="564"/>
      <c r="R34" s="480"/>
      <c r="S34" s="480"/>
      <c r="T34" s="467"/>
      <c r="U34" s="169"/>
      <c r="V34" s="172"/>
      <c r="W34" s="663"/>
      <c r="X34" s="663"/>
      <c r="Y34" s="680"/>
      <c r="Z34" s="948"/>
      <c r="AA34" s="564"/>
      <c r="AB34" s="467"/>
      <c r="AC34" s="564"/>
      <c r="AD34" s="467"/>
      <c r="AE34" s="480"/>
      <c r="AF34" s="473"/>
      <c r="AG34" s="478"/>
      <c r="AH34" s="480"/>
      <c r="AI34" s="166"/>
      <c r="AJ34" s="951"/>
      <c r="AK34" s="688"/>
      <c r="AL34" s="665"/>
      <c r="AM34" s="665"/>
      <c r="AN34" s="531"/>
      <c r="AO34" s="169"/>
      <c r="AP34" s="520"/>
      <c r="AQ34" s="174"/>
      <c r="AR34" s="174"/>
      <c r="AS34" s="496"/>
      <c r="AT34" s="951"/>
      <c r="AU34" s="520"/>
      <c r="AV34" s="174"/>
      <c r="AW34" s="174"/>
      <c r="AX34" s="870"/>
      <c r="AY34" s="169"/>
      <c r="AZ34" s="520"/>
      <c r="BA34" s="174"/>
      <c r="BB34" s="174"/>
      <c r="BC34" s="496"/>
      <c r="BD34" s="169"/>
      <c r="BE34" s="520"/>
      <c r="BF34" s="670"/>
      <c r="BG34" s="512"/>
      <c r="BH34" s="559"/>
      <c r="BI34" s="521"/>
      <c r="BJ34" s="520"/>
      <c r="BK34" s="670"/>
      <c r="BL34" s="670"/>
      <c r="BM34" s="173"/>
      <c r="BN34" s="515"/>
      <c r="BO34" s="703"/>
      <c r="BP34" s="670"/>
      <c r="BQ34" s="670"/>
      <c r="BR34" s="173"/>
      <c r="BS34" s="521"/>
    </row>
    <row r="35" spans="1:71" x14ac:dyDescent="0.25">
      <c r="A35" s="499"/>
      <c r="B35" s="499" t="s">
        <v>48</v>
      </c>
      <c r="C35" s="1163">
        <f>Tech_Specs!Y34*Q35</f>
        <v>11</v>
      </c>
      <c r="D35" s="1163">
        <f>Tech_Specs!Z34*R35</f>
        <v>11.3</v>
      </c>
      <c r="E35" s="1163">
        <f>Tech_Specs!AA34*S35</f>
        <v>0</v>
      </c>
      <c r="F35" s="1163">
        <f>Tech_Specs!AB34*T35</f>
        <v>12.2</v>
      </c>
      <c r="G35" s="1163">
        <f>C35/L35/Q35</f>
        <v>11</v>
      </c>
      <c r="H35" s="1164">
        <f t="shared" ref="H35:H40" si="18">D35/M35/R35</f>
        <v>11.3</v>
      </c>
      <c r="I35" s="1164">
        <f t="shared" ref="I35:I40" si="19">E35/N35/S35</f>
        <v>0</v>
      </c>
      <c r="J35" s="1164">
        <f t="shared" ref="J35:J40" si="20">F35/O35/T35</f>
        <v>12.2</v>
      </c>
      <c r="K35" s="1172">
        <f>IF(Active_Case="Res",Perform_Sectors!$C35,IF(Active_Case="Com",Perform_Sectors!$D35,IF(Active_Case="Ind",Perform_Sectors!$E35,IF(Active_Case="Out",Perform_Sectors!$F35))))</f>
        <v>11</v>
      </c>
      <c r="L35" s="863">
        <v>1</v>
      </c>
      <c r="M35" s="868">
        <v>1</v>
      </c>
      <c r="N35" s="868">
        <v>1</v>
      </c>
      <c r="O35" s="884">
        <v>1</v>
      </c>
      <c r="P35" s="944">
        <f>IF(Active_Case="Res",Perform_Sectors!$L35,IF(Active_Case="Com",Perform_Sectors!$M35,IF(Active_Case="Ind",Perform_Sectors!$N35,IF(Active_Case="Out",Perform_Sectors!$O35))))</f>
        <v>1</v>
      </c>
      <c r="Q35" s="219">
        <v>1</v>
      </c>
      <c r="R35" s="435">
        <v>1</v>
      </c>
      <c r="S35" s="435">
        <v>1</v>
      </c>
      <c r="T35" s="675">
        <v>1</v>
      </c>
      <c r="U35" s="944">
        <f>IF(Active_Case="Res",Perform_Sectors!$Q35,IF(Active_Case="Com",Perform_Sectors!$R35,IF(Active_Case="Ind",Perform_Sectors!$S35,IF(Active_Case="Out",Perform_Sectors!$T35))))</f>
        <v>1</v>
      </c>
      <c r="V35" s="524">
        <v>1</v>
      </c>
      <c r="W35" s="661">
        <v>1</v>
      </c>
      <c r="X35" s="661">
        <v>1</v>
      </c>
      <c r="Y35" s="678">
        <v>1</v>
      </c>
      <c r="Z35" s="946">
        <f>IF(Active_Case="Res",Perform_Sectors!$V35,IF(Active_Case="Com",Perform_Sectors!$W35,IF(Active_Case="Ind",Perform_Sectors!$X35,IF(Active_Case="Out",Perform_Sectors!$Y35))))</f>
        <v>1</v>
      </c>
      <c r="AA35" s="563" t="s">
        <v>129</v>
      </c>
      <c r="AB35" s="466" t="s">
        <v>129</v>
      </c>
      <c r="AC35" s="563" t="s">
        <v>129</v>
      </c>
      <c r="AD35" s="466" t="s">
        <v>129</v>
      </c>
      <c r="AE35" s="563" t="s">
        <v>129</v>
      </c>
      <c r="AF35" s="466" t="s">
        <v>129</v>
      </c>
      <c r="AG35" s="563" t="s">
        <v>129</v>
      </c>
      <c r="AH35" s="479" t="s">
        <v>129</v>
      </c>
      <c r="AI35" s="157" t="str">
        <f>IF(Active_Case="Res",Perform_Sectors!AA35,IF(Active_Case="Com",Perform_Sectors!AC35,IF(Active_Case="Ind",Perform_Sectors!AE35,IF(Active_Case="Out",Perform_Sectors!AG35))))</f>
        <v>n/a</v>
      </c>
      <c r="AJ35" s="158" t="str">
        <f>IF(Active_Case="Res",Perform_Sectors!AB35,IF(Active_Case="Com",Perform_Sectors!AD35,IF(Active_Case="Ind",Perform_Sectors!AF35,IF(Active_Case="Out",Perform_Sectors!AH35))))</f>
        <v>n/a</v>
      </c>
      <c r="AK35" s="687">
        <v>100</v>
      </c>
      <c r="AL35" s="664">
        <v>100</v>
      </c>
      <c r="AM35" s="664">
        <v>100</v>
      </c>
      <c r="AN35" s="530">
        <v>100</v>
      </c>
      <c r="AO35" s="953">
        <f t="shared" ref="AO35:AO40" si="21">IF(Active_Case="Res",AK35,IF(Active_Case="Com",AL35,IF(Active_Case="Ind",AM35,IF(Active_Case="Out",AN35))))</f>
        <v>100</v>
      </c>
      <c r="AP35" s="519">
        <v>0.95823036626248814</v>
      </c>
      <c r="AQ35" s="668">
        <v>1.5396038788577548</v>
      </c>
      <c r="AR35" s="668">
        <v>0.572356215213358</v>
      </c>
      <c r="AS35" s="497">
        <v>0.5</v>
      </c>
      <c r="AT35" s="162">
        <f>IF(Active_Case="Res",Perform_Sectors!AP35,IF(Active_Case="Com",Perform_Sectors!AQ35,IF(Active_Case="Ind",Perform_Sectors!AR35,IF(Active_Case="Out",Perform_Sectors!AS35))))</f>
        <v>0.95823036626248814</v>
      </c>
      <c r="AU35" s="518" t="s">
        <v>129</v>
      </c>
      <c r="AV35" s="667" t="s">
        <v>129</v>
      </c>
      <c r="AW35" s="667" t="s">
        <v>129</v>
      </c>
      <c r="AX35" s="695" t="s">
        <v>129</v>
      </c>
      <c r="AY35" s="953" t="str">
        <f t="shared" ref="AY35:AY40" si="22">IF(Active_Case="Res",AU35,IF(Active_Case="Com",AV35,IF(Active_Case="Ind",AW35,IF(Active_Case="Out",AX35))))</f>
        <v>n/a</v>
      </c>
      <c r="AZ35" s="518">
        <v>18.5</v>
      </c>
      <c r="BA35" s="522">
        <v>15</v>
      </c>
      <c r="BB35" s="522">
        <v>15</v>
      </c>
      <c r="BC35" s="494">
        <v>15</v>
      </c>
      <c r="BD35" s="953">
        <f t="shared" ref="BD35:BD40" si="23">IF(Active_Case="Res",AZ35,IF(Active_Case="Com",BA35,IF(Active_Case="Ind",BB35,IF(Active_Case="Out",BC35))))</f>
        <v>18.5</v>
      </c>
      <c r="BE35" s="518">
        <v>0</v>
      </c>
      <c r="BF35" s="669">
        <f>(BF10*Tech_Specs!$AH9+BF16*Tech_Specs!$AH15)/SUM(Tech_Specs!$AH9,Tech_Specs!$AH15)</f>
        <v>1.2398285906880446</v>
      </c>
      <c r="BG35" s="669">
        <f>(BG10*Tech_Specs!$AH9+BG16*Tech_Specs!$AH15)/SUM(Tech_Specs!$AH9,Tech_Specs!$AH15)</f>
        <v>1.2788729059822646</v>
      </c>
      <c r="BH35" s="422">
        <f>(BH10*Tech_Specs!$AH9+BH16*Tech_Specs!$AH15)/SUM(Tech_Specs!$AH9,Tech_Specs!$AH15)</f>
        <v>1.2788729059822646</v>
      </c>
      <c r="BI35" s="710">
        <f t="shared" ref="BI35:BI40" si="24">IF(Active_Case="Res",BE35,IF(Active_Case="Com",BF35,IF(Active_Case="Ind",BG35,IF(Active_Case="Out",BH35))))</f>
        <v>0</v>
      </c>
      <c r="BJ35" s="518">
        <v>0</v>
      </c>
      <c r="BK35" s="669">
        <f>(BK10*Tech_Specs!$AH9+BK16*Tech_Specs!$AH15)/SUM(Tech_Specs!$AH9,Tech_Specs!$AH15)</f>
        <v>0</v>
      </c>
      <c r="BL35" s="669">
        <f>(BL10*Tech_Specs!$AH9+BL16*Tech_Specs!$AH15)/SUM(Tech_Specs!$AH9,Tech_Specs!$AH15)</f>
        <v>0</v>
      </c>
      <c r="BM35" s="422">
        <f>(BM10*Tech_Specs!$AH9+BM16*Tech_Specs!$AH15)/SUM(Tech_Specs!$AH9,Tech_Specs!$AH15)</f>
        <v>0</v>
      </c>
      <c r="BN35" s="959">
        <f t="shared" ref="BN35:BN40" si="25">IF(Active_Case="Res",BJ35,IF(Active_Case="Com",BK35,IF(Active_Case="Ind",BL35,IF(Active_Case="Out",BM35))))</f>
        <v>0</v>
      </c>
      <c r="BO35" s="702">
        <f>(BO10*Tech_Specs!$AH9+BO16*Tech_Specs!$AH15)/SUM(Tech_Specs!$AH9,Tech_Specs!$AH15)</f>
        <v>2.5577458119645291</v>
      </c>
      <c r="BP35" s="669">
        <f>(BP10*Tech_Specs!$AH9+BP16*Tech_Specs!$AH15)/SUM(Tech_Specs!$AH9,Tech_Specs!$AH15)</f>
        <v>2.5577458119645291</v>
      </c>
      <c r="BQ35" s="669">
        <f>(BQ10*Tech_Specs!$AH9+BQ16*Tech_Specs!$AH15)/SUM(Tech_Specs!$AH9,Tech_Specs!$AH15)</f>
        <v>2.5577458119645291</v>
      </c>
      <c r="BR35" s="422">
        <f>(BR10*Tech_Specs!$AH9+BR16*Tech_Specs!$AH15)/SUM(Tech_Specs!$AH9,Tech_Specs!$AH15)</f>
        <v>2.5577458119645291</v>
      </c>
      <c r="BS35" s="710">
        <f t="shared" ref="BS35:BS40" si="26">IF(Active_Case="Res",BO35,IF(Active_Case="Com",BP35,IF(Active_Case="Ind",BQ35,IF(Active_Case="Out",BR35))))</f>
        <v>2.5577458119645291</v>
      </c>
    </row>
    <row r="36" spans="1:71" x14ac:dyDescent="0.25">
      <c r="A36" s="499"/>
      <c r="B36" s="503" t="s">
        <v>50</v>
      </c>
      <c r="C36" s="1163">
        <f>Tech_Specs!Y35*Q36</f>
        <v>14.8</v>
      </c>
      <c r="D36" s="1163">
        <f>Tech_Specs!Z35*R36</f>
        <v>18</v>
      </c>
      <c r="E36" s="1163">
        <f>Tech_Specs!AA35*S36</f>
        <v>13</v>
      </c>
      <c r="F36" s="1163">
        <f>Tech_Specs!AB35*T36</f>
        <v>16.5</v>
      </c>
      <c r="G36" s="1163">
        <f t="shared" ref="G36" si="27">C36/L36/Q36</f>
        <v>14.8</v>
      </c>
      <c r="H36" s="1164">
        <f t="shared" si="18"/>
        <v>18</v>
      </c>
      <c r="I36" s="1164">
        <f t="shared" si="19"/>
        <v>13</v>
      </c>
      <c r="J36" s="1164">
        <f t="shared" si="20"/>
        <v>16.5</v>
      </c>
      <c r="K36" s="1172">
        <f>IF(Active_Case="Res",Perform_Sectors!$C36,IF(Active_Case="Com",Perform_Sectors!$D36,IF(Active_Case="Ind",Perform_Sectors!$E36,IF(Active_Case="Out",Perform_Sectors!$F36))))</f>
        <v>14.8</v>
      </c>
      <c r="L36" s="863">
        <v>1</v>
      </c>
      <c r="M36" s="868">
        <v>1</v>
      </c>
      <c r="N36" s="868">
        <v>1</v>
      </c>
      <c r="O36" s="884">
        <v>1</v>
      </c>
      <c r="P36" s="944">
        <f>IF(Active_Case="Res",Perform_Sectors!$L36,IF(Active_Case="Com",Perform_Sectors!$M36,IF(Active_Case="Ind",Perform_Sectors!$N36,IF(Active_Case="Out",Perform_Sectors!$O36))))</f>
        <v>1</v>
      </c>
      <c r="Q36" s="219">
        <v>1</v>
      </c>
      <c r="R36" s="435">
        <v>1</v>
      </c>
      <c r="S36" s="435">
        <v>1</v>
      </c>
      <c r="T36" s="675">
        <v>1</v>
      </c>
      <c r="U36" s="944">
        <f>IF(Active_Case="Res",Perform_Sectors!$Q36,IF(Active_Case="Com",Perform_Sectors!$R36,IF(Active_Case="Ind",Perform_Sectors!$S36,IF(Active_Case="Out",Perform_Sectors!$T36))))</f>
        <v>1</v>
      </c>
      <c r="V36" s="524">
        <v>4</v>
      </c>
      <c r="W36" s="661">
        <v>4</v>
      </c>
      <c r="X36" s="661">
        <v>4</v>
      </c>
      <c r="Y36" s="678">
        <v>4</v>
      </c>
      <c r="Z36" s="946">
        <f>IF(Active_Case="Res",Perform_Sectors!$V36,IF(Active_Case="Com",Perform_Sectors!$W36,IF(Active_Case="Ind",Perform_Sectors!$X36,IF(Active_Case="Out",Perform_Sectors!$Y36))))</f>
        <v>4</v>
      </c>
      <c r="AA36" s="563" t="s">
        <v>129</v>
      </c>
      <c r="AB36" s="466" t="s">
        <v>129</v>
      </c>
      <c r="AC36" s="563" t="s">
        <v>129</v>
      </c>
      <c r="AD36" s="466" t="s">
        <v>129</v>
      </c>
      <c r="AE36" s="563" t="s">
        <v>129</v>
      </c>
      <c r="AF36" s="466" t="s">
        <v>129</v>
      </c>
      <c r="AG36" s="563" t="s">
        <v>129</v>
      </c>
      <c r="AH36" s="479" t="s">
        <v>129</v>
      </c>
      <c r="AI36" s="157" t="str">
        <f>IF(Active_Case="Res",Perform_Sectors!AA36,IF(Active_Case="Com",Perform_Sectors!AC36,IF(Active_Case="Ind",Perform_Sectors!AE36,IF(Active_Case="Out",Perform_Sectors!AG36))))</f>
        <v>n/a</v>
      </c>
      <c r="AJ36" s="158" t="str">
        <f>IF(Active_Case="Res",Perform_Sectors!AB36,IF(Active_Case="Com",Perform_Sectors!AD36,IF(Active_Case="Ind",Perform_Sectors!AF36,IF(Active_Case="Out",Perform_Sectors!AH36))))</f>
        <v>n/a</v>
      </c>
      <c r="AK36" s="687">
        <v>100</v>
      </c>
      <c r="AL36" s="664">
        <v>100</v>
      </c>
      <c r="AM36" s="664">
        <v>100</v>
      </c>
      <c r="AN36" s="530">
        <v>100</v>
      </c>
      <c r="AO36" s="953">
        <f t="shared" si="21"/>
        <v>100</v>
      </c>
      <c r="AP36" s="519">
        <v>4.3166941802403134</v>
      </c>
      <c r="AQ36" s="668">
        <v>4.5674418604651157</v>
      </c>
      <c r="AR36" s="668">
        <v>4.5727272727272723</v>
      </c>
      <c r="AS36" s="497">
        <v>3.3</v>
      </c>
      <c r="AT36" s="162">
        <f>IF(Active_Case="Res",Perform_Sectors!AP36,IF(Active_Case="Com",Perform_Sectors!AQ36,IF(Active_Case="Ind",Perform_Sectors!AR36,IF(Active_Case="Out",Perform_Sectors!AS36))))</f>
        <v>4.3166941802403134</v>
      </c>
      <c r="AU36" s="518" t="s">
        <v>129</v>
      </c>
      <c r="AV36" s="667" t="s">
        <v>129</v>
      </c>
      <c r="AW36" s="667" t="s">
        <v>129</v>
      </c>
      <c r="AX36" s="695" t="s">
        <v>129</v>
      </c>
      <c r="AY36" s="953" t="str">
        <f t="shared" si="22"/>
        <v>n/a</v>
      </c>
      <c r="AZ36" s="518">
        <v>18.5</v>
      </c>
      <c r="BA36" s="522">
        <v>15</v>
      </c>
      <c r="BB36" s="522">
        <v>15</v>
      </c>
      <c r="BC36" s="495">
        <v>15</v>
      </c>
      <c r="BD36" s="953">
        <f t="shared" si="23"/>
        <v>18.5</v>
      </c>
      <c r="BE36" s="518">
        <v>0</v>
      </c>
      <c r="BF36" s="669">
        <f>(BF11*Tech_Specs!$AH10+BF17*Tech_Specs!$AH16)/SUM(Tech_Specs!$AH10,Tech_Specs!$AH16)</f>
        <v>1.1147053115333549</v>
      </c>
      <c r="BG36" s="669">
        <f>(BG11*Tech_Specs!$AH10+BG17*Tech_Specs!$AH16)/SUM(Tech_Specs!$AH10,Tech_Specs!$AH16)</f>
        <v>1.1147053115333549</v>
      </c>
      <c r="BH36" s="422">
        <f>(BH11*Tech_Specs!$AH10+BH17*Tech_Specs!$AH16)/SUM(Tech_Specs!$AH10,Tech_Specs!$AH16)</f>
        <v>1.1147053115333549</v>
      </c>
      <c r="BI36" s="710">
        <f t="shared" si="24"/>
        <v>0</v>
      </c>
      <c r="BJ36" s="518">
        <v>0</v>
      </c>
      <c r="BK36" s="669">
        <f>(BK11*Tech_Specs!$AH10+BK17*Tech_Specs!$AH16)/SUM(Tech_Specs!$AH10,Tech_Specs!$AH16)</f>
        <v>0</v>
      </c>
      <c r="BL36" s="669">
        <f>(BL11*Tech_Specs!$AH10+BL17*Tech_Specs!$AH16)/SUM(Tech_Specs!$AH10,Tech_Specs!$AH16)</f>
        <v>0</v>
      </c>
      <c r="BM36" s="422">
        <f>(BM11*Tech_Specs!$AH10+BM17*Tech_Specs!$AH16)/SUM(Tech_Specs!$AH10,Tech_Specs!$AH16)</f>
        <v>0</v>
      </c>
      <c r="BN36" s="959">
        <f t="shared" si="25"/>
        <v>0</v>
      </c>
      <c r="BO36" s="702">
        <f>(BO11*Tech_Specs!$AH10+BO17*Tech_Specs!$AH16)/SUM(Tech_Specs!$AH10,Tech_Specs!$AH16)</f>
        <v>2.2294106230667099</v>
      </c>
      <c r="BP36" s="669">
        <f>(BP11*Tech_Specs!$AH10+BP17*Tech_Specs!$AH16)/SUM(Tech_Specs!$AH10,Tech_Specs!$AH16)</f>
        <v>2.2294106230667099</v>
      </c>
      <c r="BQ36" s="669">
        <f>(BQ11*Tech_Specs!$AH10+BQ17*Tech_Specs!$AH16)/SUM(Tech_Specs!$AH10,Tech_Specs!$AH16)</f>
        <v>2.2294106230667099</v>
      </c>
      <c r="BR36" s="422">
        <f>(BR11*Tech_Specs!$AH10+BR17*Tech_Specs!$AH16)/SUM(Tech_Specs!$AH10,Tech_Specs!$AH16)</f>
        <v>2.2294106230667099</v>
      </c>
      <c r="BS36" s="710">
        <f t="shared" si="26"/>
        <v>2.2294106230667099</v>
      </c>
    </row>
    <row r="37" spans="1:71" x14ac:dyDescent="0.25">
      <c r="A37" s="499"/>
      <c r="B37" s="499" t="s">
        <v>51</v>
      </c>
      <c r="C37" s="1163">
        <f>Tech_Specs!Y36*Q37</f>
        <v>52.5</v>
      </c>
      <c r="D37" s="1163">
        <f>Tech_Specs!Z36*R37</f>
        <v>58.4</v>
      </c>
      <c r="E37" s="1163">
        <f>Tech_Specs!AA36*S37</f>
        <v>68.599999999999994</v>
      </c>
      <c r="F37" s="1163">
        <f>Tech_Specs!AB36*T37</f>
        <v>54.6</v>
      </c>
      <c r="G37" s="1163">
        <f>C37/L37/Q37</f>
        <v>52.5</v>
      </c>
      <c r="H37" s="1164">
        <f t="shared" si="18"/>
        <v>58.4</v>
      </c>
      <c r="I37" s="1164">
        <f t="shared" si="19"/>
        <v>68.599999999999994</v>
      </c>
      <c r="J37" s="1164">
        <f t="shared" si="20"/>
        <v>54.6</v>
      </c>
      <c r="K37" s="1172">
        <f>IF(Active_Case="Res",Perform_Sectors!$C37,IF(Active_Case="Com",Perform_Sectors!$D37,IF(Active_Case="Ind",Perform_Sectors!$E37,IF(Active_Case="Out",Perform_Sectors!$F37))))</f>
        <v>52.5</v>
      </c>
      <c r="L37" s="863">
        <v>1</v>
      </c>
      <c r="M37" s="868">
        <v>1</v>
      </c>
      <c r="N37" s="868">
        <v>1</v>
      </c>
      <c r="O37" s="884">
        <v>1</v>
      </c>
      <c r="P37" s="944">
        <f>IF(Active_Case="Res",Perform_Sectors!$L37,IF(Active_Case="Com",Perform_Sectors!$M37,IF(Active_Case="Ind",Perform_Sectors!$N37,IF(Active_Case="Out",Perform_Sectors!$O37))))</f>
        <v>1</v>
      </c>
      <c r="Q37" s="219">
        <v>1</v>
      </c>
      <c r="R37" s="435">
        <v>1</v>
      </c>
      <c r="S37" s="435">
        <v>1</v>
      </c>
      <c r="T37" s="675">
        <v>1</v>
      </c>
      <c r="U37" s="944">
        <f>IF(Active_Case="Res",Perform_Sectors!$Q37,IF(Active_Case="Com",Perform_Sectors!$R37,IF(Active_Case="Ind",Perform_Sectors!$S37,IF(Active_Case="Out",Perform_Sectors!$T37))))</f>
        <v>1</v>
      </c>
      <c r="V37" s="524">
        <v>12</v>
      </c>
      <c r="W37" s="661">
        <v>12</v>
      </c>
      <c r="X37" s="661">
        <v>12</v>
      </c>
      <c r="Y37" s="678">
        <v>12</v>
      </c>
      <c r="Z37" s="946">
        <f>IF(Active_Case="Res",Perform_Sectors!$V37,IF(Active_Case="Com",Perform_Sectors!$W37,IF(Active_Case="Ind",Perform_Sectors!$X37,IF(Active_Case="Out",Perform_Sectors!$Y37))))</f>
        <v>12</v>
      </c>
      <c r="AA37" s="563" t="s">
        <v>129</v>
      </c>
      <c r="AB37" s="466" t="s">
        <v>129</v>
      </c>
      <c r="AC37" s="563" t="s">
        <v>129</v>
      </c>
      <c r="AD37" s="466" t="s">
        <v>129</v>
      </c>
      <c r="AE37" s="563" t="s">
        <v>129</v>
      </c>
      <c r="AF37" s="466" t="s">
        <v>129</v>
      </c>
      <c r="AG37" s="563" t="s">
        <v>129</v>
      </c>
      <c r="AH37" s="479" t="s">
        <v>129</v>
      </c>
      <c r="AI37" s="157" t="str">
        <f>IF(Active_Case="Res",Perform_Sectors!AA37,IF(Active_Case="Com",Perform_Sectors!AC37,IF(Active_Case="Ind",Perform_Sectors!AE37,IF(Active_Case="Out",Perform_Sectors!AG37))))</f>
        <v>n/a</v>
      </c>
      <c r="AJ37" s="158" t="str">
        <f>IF(Active_Case="Res",Perform_Sectors!AB37,IF(Active_Case="Com",Perform_Sectors!AD37,IF(Active_Case="Ind",Perform_Sectors!AF37,IF(Active_Case="Out",Perform_Sectors!AH37))))</f>
        <v>n/a</v>
      </c>
      <c r="AK37" s="687">
        <v>100</v>
      </c>
      <c r="AL37" s="664">
        <v>100</v>
      </c>
      <c r="AM37" s="664">
        <v>100</v>
      </c>
      <c r="AN37" s="530">
        <v>100</v>
      </c>
      <c r="AO37" s="953">
        <f t="shared" si="21"/>
        <v>100</v>
      </c>
      <c r="AP37" s="519">
        <v>3.6776407187469418</v>
      </c>
      <c r="AQ37" s="668">
        <v>5.5404710700166131</v>
      </c>
      <c r="AR37" s="668">
        <v>7.2704999999999993</v>
      </c>
      <c r="AS37" s="497">
        <v>6.65</v>
      </c>
      <c r="AT37" s="162">
        <f>IF(Active_Case="Res",Perform_Sectors!AP37,IF(Active_Case="Com",Perform_Sectors!AQ37,IF(Active_Case="Ind",Perform_Sectors!AR37,IF(Active_Case="Out",Perform_Sectors!AS37))))</f>
        <v>3.6776407187469418</v>
      </c>
      <c r="AU37" s="518">
        <v>30</v>
      </c>
      <c r="AV37" s="667">
        <v>18</v>
      </c>
      <c r="AW37" s="667">
        <v>18</v>
      </c>
      <c r="AX37" s="695">
        <v>18</v>
      </c>
      <c r="AY37" s="953">
        <f t="shared" si="22"/>
        <v>30</v>
      </c>
      <c r="AZ37" s="518">
        <v>18.5</v>
      </c>
      <c r="BA37" s="522">
        <v>15</v>
      </c>
      <c r="BB37" s="522">
        <v>15</v>
      </c>
      <c r="BC37" s="494">
        <v>15</v>
      </c>
      <c r="BD37" s="953">
        <f t="shared" si="23"/>
        <v>18.5</v>
      </c>
      <c r="BE37" s="518">
        <v>0</v>
      </c>
      <c r="BF37" s="669">
        <f>BF22</f>
        <v>0.94092890425372011</v>
      </c>
      <c r="BG37" s="669">
        <f>BG22</f>
        <v>0.94092890425372011</v>
      </c>
      <c r="BH37" s="422">
        <f>BH22</f>
        <v>0.94092890425372011</v>
      </c>
      <c r="BI37" s="710">
        <f t="shared" si="24"/>
        <v>0</v>
      </c>
      <c r="BJ37" s="518">
        <v>0</v>
      </c>
      <c r="BK37" s="669">
        <f>BK22</f>
        <v>3.7832556741319703</v>
      </c>
      <c r="BL37" s="669">
        <f>BL22</f>
        <v>3.7832556741319703</v>
      </c>
      <c r="BM37" s="422">
        <f>BM22</f>
        <v>3.7832556741319703</v>
      </c>
      <c r="BN37" s="959">
        <f t="shared" si="25"/>
        <v>0</v>
      </c>
      <c r="BO37" s="702">
        <f>BO22</f>
        <v>4.7241845783856906</v>
      </c>
      <c r="BP37" s="669">
        <f>BP22</f>
        <v>4.7241845783856906</v>
      </c>
      <c r="BQ37" s="669">
        <f>BQ22</f>
        <v>4.7241845783856906</v>
      </c>
      <c r="BR37" s="422">
        <f>BR22</f>
        <v>4.7241845783856906</v>
      </c>
      <c r="BS37" s="710">
        <f t="shared" si="26"/>
        <v>4.7241845783856906</v>
      </c>
    </row>
    <row r="38" spans="1:71" x14ac:dyDescent="0.25">
      <c r="A38" s="499"/>
      <c r="B38" s="499" t="s">
        <v>52</v>
      </c>
      <c r="C38" s="1163">
        <f>Tech_Specs!Y37*Q38</f>
        <v>43.89</v>
      </c>
      <c r="D38" s="1163">
        <f>Tech_Specs!Z37*R38</f>
        <v>52.43</v>
      </c>
      <c r="E38" s="1163">
        <f>Tech_Specs!AA37*S38</f>
        <v>55.859999999999992</v>
      </c>
      <c r="F38" s="1163">
        <f>Tech_Specs!AB37*T38</f>
        <v>51.589999999999996</v>
      </c>
      <c r="G38" s="1163">
        <f t="shared" ref="G38:G40" si="28">C38/L38/Q38</f>
        <v>71.903669724770651</v>
      </c>
      <c r="H38" s="1164">
        <f t="shared" si="18"/>
        <v>82.762430939226519</v>
      </c>
      <c r="I38" s="1164">
        <f t="shared" si="19"/>
        <v>88.176795580110493</v>
      </c>
      <c r="J38" s="1164">
        <f t="shared" si="20"/>
        <v>81.436464088397784</v>
      </c>
      <c r="K38" s="1172">
        <f>IF(Active_Case="Res",Perform_Sectors!$C38,IF(Active_Case="Com",Perform_Sectors!$D38,IF(Active_Case="Ind",Perform_Sectors!$E38,IF(Active_Case="Out",Perform_Sectors!$F38))))</f>
        <v>43.89</v>
      </c>
      <c r="L38" s="863">
        <v>0.872</v>
      </c>
      <c r="M38" s="868">
        <v>0.90500000000000003</v>
      </c>
      <c r="N38" s="868">
        <v>0.90500000000000003</v>
      </c>
      <c r="O38" s="884">
        <v>0.90500000000000003</v>
      </c>
      <c r="P38" s="944">
        <f>IF(Active_Case="Res",Perform_Sectors!$L38,IF(Active_Case="Com",Perform_Sectors!$M38,IF(Active_Case="Ind",Perform_Sectors!$N38,IF(Active_Case="Out",Perform_Sectors!$O38))))</f>
        <v>0.872</v>
      </c>
      <c r="Q38" s="219">
        <v>0.7</v>
      </c>
      <c r="R38" s="435">
        <v>0.7</v>
      </c>
      <c r="S38" s="435">
        <v>0.7</v>
      </c>
      <c r="T38" s="675">
        <v>0.7</v>
      </c>
      <c r="U38" s="944">
        <f>IF(Active_Case="Res",Perform_Sectors!$Q38,IF(Active_Case="Com",Perform_Sectors!$R38,IF(Active_Case="Ind",Perform_Sectors!$S38,IF(Active_Case="Out",Perform_Sectors!$T38))))</f>
        <v>0.7</v>
      </c>
      <c r="V38" s="524">
        <v>20</v>
      </c>
      <c r="W38" s="661">
        <v>20</v>
      </c>
      <c r="X38" s="661">
        <v>20</v>
      </c>
      <c r="Y38" s="678">
        <v>20</v>
      </c>
      <c r="Z38" s="946">
        <f>IF(Active_Case="Res",Perform_Sectors!$V38,IF(Active_Case="Com",Perform_Sectors!$W38,IF(Active_Case="Ind",Perform_Sectors!$X38,IF(Active_Case="Out",Perform_Sectors!$Y38))))</f>
        <v>20</v>
      </c>
      <c r="AA38" s="563">
        <v>50</v>
      </c>
      <c r="AB38" s="468">
        <v>105</v>
      </c>
      <c r="AC38" s="563">
        <v>50</v>
      </c>
      <c r="AD38" s="468">
        <v>105</v>
      </c>
      <c r="AE38" s="471">
        <v>50</v>
      </c>
      <c r="AF38" s="474">
        <v>105</v>
      </c>
      <c r="AG38" s="477">
        <v>50</v>
      </c>
      <c r="AH38" s="474">
        <v>105</v>
      </c>
      <c r="AI38" s="157">
        <f>IF(Active_Case="Res",Perform_Sectors!AA38,IF(Active_Case="Com",Perform_Sectors!AC38,IF(Active_Case="Ind",Perform_Sectors!AE38,IF(Active_Case="Out",Perform_Sectors!AG38))))</f>
        <v>50</v>
      </c>
      <c r="AJ38" s="158">
        <f>IF(Active_Case="Res",Perform_Sectors!AB38,IF(Active_Case="Com",Perform_Sectors!AD38,IF(Active_Case="Ind",Perform_Sectors!AF38,IF(Active_Case="Out",Perform_Sectors!AH38))))</f>
        <v>105</v>
      </c>
      <c r="AK38" s="687">
        <v>100</v>
      </c>
      <c r="AL38" s="664">
        <v>100</v>
      </c>
      <c r="AM38" s="664">
        <v>100</v>
      </c>
      <c r="AN38" s="530">
        <v>100</v>
      </c>
      <c r="AO38" s="953">
        <f t="shared" si="21"/>
        <v>100</v>
      </c>
      <c r="AP38" s="518">
        <v>3.4898933830365202</v>
      </c>
      <c r="AQ38" s="666">
        <v>3.2724889079737323</v>
      </c>
      <c r="AR38" s="666">
        <v>3.3460307412688217</v>
      </c>
      <c r="AS38" s="691">
        <v>3.6333333333333333</v>
      </c>
      <c r="AT38" s="162">
        <f>IF(Active_Case="Res",Perform_Sectors!AP38,IF(Active_Case="Com",Perform_Sectors!AQ38,IF(Active_Case="Ind",Perform_Sectors!AR38,IF(Active_Case="Out",Perform_Sectors!AS38))))</f>
        <v>3.4898933830365202</v>
      </c>
      <c r="AU38" s="518">
        <v>15</v>
      </c>
      <c r="AV38" s="522">
        <v>15</v>
      </c>
      <c r="AW38" s="522">
        <v>15</v>
      </c>
      <c r="AX38" s="694">
        <v>15</v>
      </c>
      <c r="AY38" s="953">
        <f t="shared" si="22"/>
        <v>15</v>
      </c>
      <c r="AZ38" s="518">
        <v>70</v>
      </c>
      <c r="BA38" s="522">
        <v>70</v>
      </c>
      <c r="BB38" s="522">
        <v>45</v>
      </c>
      <c r="BC38" s="495">
        <v>70</v>
      </c>
      <c r="BD38" s="953">
        <f t="shared" si="23"/>
        <v>70</v>
      </c>
      <c r="BE38" s="518">
        <v>0</v>
      </c>
      <c r="BF38" s="669">
        <f>BF22</f>
        <v>0.94092890425372011</v>
      </c>
      <c r="BG38" s="669">
        <f>BG22</f>
        <v>0.94092890425372011</v>
      </c>
      <c r="BH38" s="422">
        <f>BH22</f>
        <v>0.94092890425372011</v>
      </c>
      <c r="BI38" s="710">
        <f t="shared" si="24"/>
        <v>0</v>
      </c>
      <c r="BJ38" s="518">
        <v>0</v>
      </c>
      <c r="BK38" s="669">
        <f>BK22</f>
        <v>3.7832556741319703</v>
      </c>
      <c r="BL38" s="669">
        <f>BL22</f>
        <v>3.7832556741319703</v>
      </c>
      <c r="BM38" s="422">
        <f>BM22</f>
        <v>3.7832556741319703</v>
      </c>
      <c r="BN38" s="959">
        <f t="shared" si="25"/>
        <v>0</v>
      </c>
      <c r="BO38" s="702">
        <f>BO22</f>
        <v>4.7241845783856906</v>
      </c>
      <c r="BP38" s="669">
        <f>BP22</f>
        <v>4.7241845783856906</v>
      </c>
      <c r="BQ38" s="669">
        <f>BQ22</f>
        <v>4.7241845783856906</v>
      </c>
      <c r="BR38" s="422">
        <f>BR22</f>
        <v>4.7241845783856906</v>
      </c>
      <c r="BS38" s="710">
        <f t="shared" si="26"/>
        <v>4.7241845783856906</v>
      </c>
    </row>
    <row r="39" spans="1:71" x14ac:dyDescent="0.25">
      <c r="A39" s="499"/>
      <c r="B39" s="503" t="s">
        <v>29</v>
      </c>
      <c r="C39" s="1163">
        <f>Tech_Specs!Y38*Q39</f>
        <v>36.9</v>
      </c>
      <c r="D39" s="1163">
        <f>Tech_Specs!Z38*R39</f>
        <v>0</v>
      </c>
      <c r="E39" s="1163">
        <f>Tech_Specs!AA38*S39</f>
        <v>0</v>
      </c>
      <c r="F39" s="1163">
        <f>Tech_Specs!AB38*T39</f>
        <v>69.900000000000006</v>
      </c>
      <c r="G39" s="1163">
        <f t="shared" si="28"/>
        <v>36.9</v>
      </c>
      <c r="H39" s="1164">
        <f t="shared" si="18"/>
        <v>0</v>
      </c>
      <c r="I39" s="1164">
        <f t="shared" si="19"/>
        <v>0</v>
      </c>
      <c r="J39" s="1164">
        <f t="shared" si="20"/>
        <v>69.900000000000006</v>
      </c>
      <c r="K39" s="1172">
        <f>IF(Active_Case="Res",Perform_Sectors!$C39,IF(Active_Case="Com",Perform_Sectors!$D39,IF(Active_Case="Ind",Perform_Sectors!$E39,IF(Active_Case="Out",Perform_Sectors!$F39))))</f>
        <v>36.9</v>
      </c>
      <c r="L39" s="863">
        <v>1</v>
      </c>
      <c r="M39" s="868">
        <v>1</v>
      </c>
      <c r="N39" s="868">
        <v>1</v>
      </c>
      <c r="O39" s="884">
        <v>1</v>
      </c>
      <c r="P39" s="944">
        <f>IF(Active_Case="Res",Perform_Sectors!$L39,IF(Active_Case="Com",Perform_Sectors!$M39,IF(Active_Case="Ind",Perform_Sectors!$N39,IF(Active_Case="Out",Perform_Sectors!$O39))))</f>
        <v>1</v>
      </c>
      <c r="Q39" s="219">
        <v>1</v>
      </c>
      <c r="R39" s="435">
        <v>1</v>
      </c>
      <c r="S39" s="435">
        <v>1</v>
      </c>
      <c r="T39" s="675">
        <v>1</v>
      </c>
      <c r="U39" s="944">
        <f>IF(Active_Case="Res",Perform_Sectors!$Q39,IF(Active_Case="Com",Perform_Sectors!$R39,IF(Active_Case="Ind",Perform_Sectors!$S39,IF(Active_Case="Out",Perform_Sectors!$T39))))</f>
        <v>1</v>
      </c>
      <c r="V39" s="164">
        <v>25</v>
      </c>
      <c r="W39" s="662">
        <v>25</v>
      </c>
      <c r="X39" s="662">
        <v>25</v>
      </c>
      <c r="Y39" s="679">
        <v>25</v>
      </c>
      <c r="Z39" s="947">
        <f>IF(Active_Case="Res",Perform_Sectors!$V39,IF(Active_Case="Com",Perform_Sectors!$W39,IF(Active_Case="Ind",Perform_Sectors!$X39,IF(Active_Case="Out",Perform_Sectors!$Y39))))</f>
        <v>25</v>
      </c>
      <c r="AA39" s="563" t="s">
        <v>129</v>
      </c>
      <c r="AB39" s="466" t="s">
        <v>129</v>
      </c>
      <c r="AC39" s="563" t="s">
        <v>129</v>
      </c>
      <c r="AD39" s="466" t="s">
        <v>129</v>
      </c>
      <c r="AE39" s="563" t="s">
        <v>129</v>
      </c>
      <c r="AF39" s="466" t="s">
        <v>129</v>
      </c>
      <c r="AG39" s="563" t="s">
        <v>129</v>
      </c>
      <c r="AH39" s="479" t="s">
        <v>129</v>
      </c>
      <c r="AI39" s="157" t="str">
        <f>IF(Active_Case="Res",Perform_Sectors!AA39,IF(Active_Case="Com",Perform_Sectors!AC39,IF(Active_Case="Ind",Perform_Sectors!AE39,IF(Active_Case="Out",Perform_Sectors!AG39))))</f>
        <v>n/a</v>
      </c>
      <c r="AJ39" s="158" t="str">
        <f>IF(Active_Case="Res",Perform_Sectors!AB39,IF(Active_Case="Com",Perform_Sectors!AD39,IF(Active_Case="Ind",Perform_Sectors!AF39,IF(Active_Case="Out",Perform_Sectors!AH39))))</f>
        <v>n/a</v>
      </c>
      <c r="AK39" s="687">
        <v>100</v>
      </c>
      <c r="AL39" s="664">
        <v>100</v>
      </c>
      <c r="AM39" s="664">
        <v>100</v>
      </c>
      <c r="AN39" s="530">
        <v>100</v>
      </c>
      <c r="AO39" s="953">
        <f t="shared" si="21"/>
        <v>100</v>
      </c>
      <c r="AP39" s="518" t="s">
        <v>129</v>
      </c>
      <c r="AQ39" s="666" t="s">
        <v>129</v>
      </c>
      <c r="AR39" s="666" t="s">
        <v>129</v>
      </c>
      <c r="AS39" s="691" t="s">
        <v>129</v>
      </c>
      <c r="AT39" s="162" t="str">
        <f>IF(Active_Case="Res",Perform_Sectors!AP39,IF(Active_Case="Com",Perform_Sectors!AQ39,IF(Active_Case="Ind",Perform_Sectors!AR39,IF(Active_Case="Out",Perform_Sectors!AS39))))</f>
        <v>n/a</v>
      </c>
      <c r="AU39" s="518" t="s">
        <v>129</v>
      </c>
      <c r="AV39" s="667" t="s">
        <v>129</v>
      </c>
      <c r="AW39" s="667" t="s">
        <v>129</v>
      </c>
      <c r="AX39" s="695" t="s">
        <v>129</v>
      </c>
      <c r="AY39" s="953" t="str">
        <f t="shared" si="22"/>
        <v>n/a</v>
      </c>
      <c r="AZ39" s="518">
        <v>18.5</v>
      </c>
      <c r="BA39" s="939" t="s">
        <v>129</v>
      </c>
      <c r="BB39" s="939" t="s">
        <v>129</v>
      </c>
      <c r="BC39" s="940" t="s">
        <v>129</v>
      </c>
      <c r="BD39" s="953">
        <f t="shared" si="23"/>
        <v>18.5</v>
      </c>
      <c r="BE39" s="519">
        <v>0</v>
      </c>
      <c r="BF39" s="666">
        <v>0</v>
      </c>
      <c r="BG39" s="666">
        <v>0</v>
      </c>
      <c r="BH39" s="691">
        <v>0</v>
      </c>
      <c r="BI39" s="710">
        <f t="shared" si="24"/>
        <v>0</v>
      </c>
      <c r="BJ39" s="519">
        <v>0</v>
      </c>
      <c r="BK39" s="666">
        <v>0</v>
      </c>
      <c r="BL39" s="666">
        <v>0</v>
      </c>
      <c r="BM39" s="691">
        <v>0</v>
      </c>
      <c r="BN39" s="959">
        <f t="shared" si="25"/>
        <v>0</v>
      </c>
      <c r="BO39" s="666">
        <v>0</v>
      </c>
      <c r="BP39" s="666">
        <v>0</v>
      </c>
      <c r="BQ39" s="666">
        <v>0</v>
      </c>
      <c r="BR39" s="691">
        <v>0</v>
      </c>
      <c r="BS39" s="710">
        <f t="shared" si="26"/>
        <v>0</v>
      </c>
    </row>
    <row r="40" spans="1:71" x14ac:dyDescent="0.25">
      <c r="A40" s="499"/>
      <c r="B40" s="503" t="s">
        <v>53</v>
      </c>
      <c r="C40" s="1163">
        <f>Tech_Specs!Y39*Q40</f>
        <v>47.97</v>
      </c>
      <c r="D40" s="1163">
        <f>Tech_Specs!Z39*R40</f>
        <v>0</v>
      </c>
      <c r="E40" s="1163">
        <f>Tech_Specs!AA39*S40</f>
        <v>0</v>
      </c>
      <c r="F40" s="1163">
        <f>Tech_Specs!AB39*T40</f>
        <v>0</v>
      </c>
      <c r="G40" s="1163">
        <f t="shared" si="28"/>
        <v>53.3</v>
      </c>
      <c r="H40" s="1164">
        <f t="shared" si="18"/>
        <v>0</v>
      </c>
      <c r="I40" s="1164">
        <f t="shared" si="19"/>
        <v>0</v>
      </c>
      <c r="J40" s="1164">
        <f t="shared" si="20"/>
        <v>0</v>
      </c>
      <c r="K40" s="1172">
        <f>IF(Active_Case="Res",Perform_Sectors!$C40,IF(Active_Case="Com",Perform_Sectors!$D40,IF(Active_Case="Ind",Perform_Sectors!$E40,IF(Active_Case="Out",Perform_Sectors!$F40))))</f>
        <v>47.97</v>
      </c>
      <c r="L40" s="872">
        <v>1</v>
      </c>
      <c r="M40" s="885">
        <v>1</v>
      </c>
      <c r="N40" s="885">
        <v>1</v>
      </c>
      <c r="O40" s="886">
        <v>1</v>
      </c>
      <c r="P40" s="945">
        <f>IF(Active_Case="Res",Perform_Sectors!$L40,IF(Active_Case="Com",Perform_Sectors!$M40,IF(Active_Case="Ind",Perform_Sectors!$N40,IF(Active_Case="Out",Perform_Sectors!$O40))))</f>
        <v>1</v>
      </c>
      <c r="Q40" s="525">
        <v>0.9</v>
      </c>
      <c r="R40" s="676">
        <v>0.9</v>
      </c>
      <c r="S40" s="676">
        <v>0.9</v>
      </c>
      <c r="T40" s="677">
        <v>0.9</v>
      </c>
      <c r="U40" s="945">
        <f>IF(Active_Case="Res",Perform_Sectors!$Q40,IF(Active_Case="Com",Perform_Sectors!$R40,IF(Active_Case="Ind",Perform_Sectors!$S40,IF(Active_Case="Out",Perform_Sectors!$T40))))</f>
        <v>0.9</v>
      </c>
      <c r="V40" s="681">
        <v>40</v>
      </c>
      <c r="W40" s="682">
        <v>40</v>
      </c>
      <c r="X40" s="682">
        <v>40</v>
      </c>
      <c r="Y40" s="683">
        <v>40</v>
      </c>
      <c r="Z40" s="949">
        <f>IF(Active_Case="Res",Perform_Sectors!$V40,IF(Active_Case="Com",Perform_Sectors!$W40,IF(Active_Case="Ind",Perform_Sectors!$X40,IF(Active_Case="Out",Perform_Sectors!$Y40))))</f>
        <v>40</v>
      </c>
      <c r="AA40" s="565" t="s">
        <v>129</v>
      </c>
      <c r="AB40" s="464" t="s">
        <v>129</v>
      </c>
      <c r="AC40" s="565" t="s">
        <v>129</v>
      </c>
      <c r="AD40" s="566" t="s">
        <v>129</v>
      </c>
      <c r="AE40" s="565" t="s">
        <v>129</v>
      </c>
      <c r="AF40" s="464" t="s">
        <v>129</v>
      </c>
      <c r="AG40" s="565" t="s">
        <v>129</v>
      </c>
      <c r="AH40" s="566" t="s">
        <v>129</v>
      </c>
      <c r="AI40" s="339" t="str">
        <f>IF(Active_Case="Res",Perform_Sectors!AA40,IF(Active_Case="Com",Perform_Sectors!AC40,IF(Active_Case="Ind",Perform_Sectors!AE40,IF(Active_Case="Out",Perform_Sectors!AG40))))</f>
        <v>n/a</v>
      </c>
      <c r="AJ40" s="952" t="str">
        <f>IF(Active_Case="Res",Perform_Sectors!AB40,IF(Active_Case="Com",Perform_Sectors!AD40,IF(Active_Case="Ind",Perform_Sectors!AF40,IF(Active_Case="Out",Perform_Sectors!AH40))))</f>
        <v>n/a</v>
      </c>
      <c r="AK40" s="689">
        <v>100</v>
      </c>
      <c r="AL40" s="690">
        <v>100</v>
      </c>
      <c r="AM40" s="690">
        <v>100</v>
      </c>
      <c r="AN40" s="532">
        <v>100</v>
      </c>
      <c r="AO40" s="955">
        <f t="shared" si="21"/>
        <v>100</v>
      </c>
      <c r="AP40" s="486">
        <v>7.2</v>
      </c>
      <c r="AQ40" s="692">
        <v>7.2</v>
      </c>
      <c r="AR40" s="692">
        <v>7.2</v>
      </c>
      <c r="AS40" s="693">
        <v>7.2</v>
      </c>
      <c r="AT40" s="957">
        <f>IF(Active_Case="Res",Perform_Sectors!AP40,IF(Active_Case="Com",Perform_Sectors!AQ40,IF(Active_Case="Ind",Perform_Sectors!AR40,IF(Active_Case="Out",Perform_Sectors!AS40))))</f>
        <v>7.2</v>
      </c>
      <c r="AU40" s="486">
        <v>0</v>
      </c>
      <c r="AV40" s="941">
        <v>0</v>
      </c>
      <c r="AW40" s="523">
        <v>0</v>
      </c>
      <c r="AX40" s="697">
        <v>0</v>
      </c>
      <c r="AY40" s="955">
        <f t="shared" si="22"/>
        <v>0</v>
      </c>
      <c r="AZ40" s="486">
        <v>18.5</v>
      </c>
      <c r="BA40" s="523">
        <v>0</v>
      </c>
      <c r="BB40" s="523">
        <v>0</v>
      </c>
      <c r="BC40" s="698">
        <v>0</v>
      </c>
      <c r="BD40" s="955">
        <f t="shared" si="23"/>
        <v>18.5</v>
      </c>
      <c r="BE40" s="490">
        <v>0</v>
      </c>
      <c r="BF40" s="699">
        <f>BF24</f>
        <v>0.94092890425372011</v>
      </c>
      <c r="BG40" s="699">
        <f>BG24</f>
        <v>0.94092890425372011</v>
      </c>
      <c r="BH40" s="513">
        <f>BH24</f>
        <v>0.94092890425372011</v>
      </c>
      <c r="BI40" s="712">
        <f t="shared" si="24"/>
        <v>0</v>
      </c>
      <c r="BJ40" s="490">
        <v>0</v>
      </c>
      <c r="BK40" s="700">
        <f>BK24</f>
        <v>3.7832556741319703</v>
      </c>
      <c r="BL40" s="700">
        <f>BL24</f>
        <v>3.7832556741319703</v>
      </c>
      <c r="BM40" s="701">
        <f>BM24</f>
        <v>3.7832556741319703</v>
      </c>
      <c r="BN40" s="961">
        <f t="shared" si="25"/>
        <v>0</v>
      </c>
      <c r="BO40" s="704">
        <f>BO24</f>
        <v>4.7241845783856906</v>
      </c>
      <c r="BP40" s="700">
        <f>BP24</f>
        <v>4.7241845783856906</v>
      </c>
      <c r="BQ40" s="700">
        <f>BQ24</f>
        <v>4.7241845783856906</v>
      </c>
      <c r="BR40" s="701">
        <f>BR24</f>
        <v>4.7241845783856906</v>
      </c>
      <c r="BS40" s="712">
        <f t="shared" si="26"/>
        <v>4.7241845783856906</v>
      </c>
    </row>
    <row r="41" spans="1:71" x14ac:dyDescent="0.25">
      <c r="H41" s="584"/>
      <c r="I41" s="584"/>
      <c r="K41" s="1162"/>
    </row>
    <row r="43" spans="1:71" s="403" customFormat="1" ht="12.75" x14ac:dyDescent="0.2">
      <c r="A43" s="404" t="s">
        <v>344</v>
      </c>
      <c r="C43" s="847"/>
      <c r="D43" s="847"/>
      <c r="E43" s="847"/>
      <c r="F43" s="847"/>
      <c r="G43" s="847"/>
      <c r="H43" s="847"/>
      <c r="I43" s="847"/>
      <c r="J43" s="847"/>
      <c r="K43" s="847"/>
    </row>
    <row r="44" spans="1:71" s="806" customFormat="1" ht="12.75" x14ac:dyDescent="0.2">
      <c r="C44" s="839"/>
      <c r="D44" s="839"/>
      <c r="E44" s="839"/>
      <c r="F44" s="839"/>
      <c r="G44" s="839"/>
      <c r="H44" s="839"/>
      <c r="I44" s="839"/>
      <c r="J44" s="839"/>
      <c r="K44" s="839"/>
    </row>
    <row r="45" spans="1:71" s="806" customFormat="1" ht="12.75" x14ac:dyDescent="0.2">
      <c r="A45" s="385" t="s">
        <v>522</v>
      </c>
      <c r="B45" s="385"/>
      <c r="C45" s="841"/>
      <c r="D45" s="841"/>
      <c r="E45" s="841"/>
      <c r="F45" s="841"/>
      <c r="G45" s="841"/>
      <c r="H45" s="841"/>
      <c r="I45" s="841"/>
      <c r="J45" s="841"/>
      <c r="K45" s="841"/>
      <c r="L45" s="385"/>
      <c r="M45" s="385"/>
      <c r="N45" s="385"/>
      <c r="O45" s="385"/>
      <c r="P45" s="385"/>
    </row>
    <row r="47" spans="1:71" x14ac:dyDescent="0.25">
      <c r="A47" t="s">
        <v>417</v>
      </c>
    </row>
    <row r="48" spans="1:71" x14ac:dyDescent="0.25">
      <c r="A48" t="s">
        <v>681</v>
      </c>
    </row>
    <row r="49" spans="1:1" x14ac:dyDescent="0.25">
      <c r="A49" t="s">
        <v>682</v>
      </c>
    </row>
  </sheetData>
  <mergeCells count="18">
    <mergeCell ref="AP6:AT6"/>
    <mergeCell ref="AZ6:BD6"/>
    <mergeCell ref="BE6:BI6"/>
    <mergeCell ref="BJ6:BN6"/>
    <mergeCell ref="BO6:BS6"/>
    <mergeCell ref="AU6:AY6"/>
    <mergeCell ref="AI7:AJ7"/>
    <mergeCell ref="AA6:AJ6"/>
    <mergeCell ref="AK6:AO6"/>
    <mergeCell ref="AG7:AH7"/>
    <mergeCell ref="AE7:AF7"/>
    <mergeCell ref="AC7:AD7"/>
    <mergeCell ref="AA7:AB7"/>
    <mergeCell ref="C6:F6"/>
    <mergeCell ref="L6:P6"/>
    <mergeCell ref="Q6:U6"/>
    <mergeCell ref="V6:Z6"/>
    <mergeCell ref="G6:J6"/>
  </mergeCells>
  <pageMargins left="0.7" right="0.7" top="0.75" bottom="0.75" header="0.3" footer="0.3"/>
  <pageSetup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1">
    <tabColor theme="5"/>
  </sheetPr>
  <dimension ref="A1:BO59"/>
  <sheetViews>
    <sheetView topLeftCell="B23" zoomScale="59" zoomScaleNormal="59" workbookViewId="0">
      <selection activeCell="K29" sqref="K29"/>
    </sheetView>
  </sheetViews>
  <sheetFormatPr defaultColWidth="9.140625" defaultRowHeight="12.75" x14ac:dyDescent="0.2"/>
  <cols>
    <col min="1" max="1" width="32" style="81" customWidth="1"/>
    <col min="2" max="2" width="24.42578125" style="81" customWidth="1"/>
    <col min="3" max="90" width="9.42578125" style="81" customWidth="1"/>
    <col min="91" max="91" width="8.85546875" style="81" customWidth="1"/>
    <col min="92" max="116" width="9.42578125" style="81" customWidth="1"/>
    <col min="117" max="16384" width="9.140625" style="81"/>
  </cols>
  <sheetData>
    <row r="1" spans="1:26" ht="18" x14ac:dyDescent="0.4">
      <c r="A1" s="52" t="s">
        <v>280</v>
      </c>
      <c r="G1" s="552"/>
      <c r="H1" s="278"/>
      <c r="K1" s="151"/>
      <c r="L1" s="152"/>
    </row>
    <row r="2" spans="1:26" s="302" customFormat="1" ht="14.45" x14ac:dyDescent="0.35">
      <c r="A2" s="1040" t="s">
        <v>671</v>
      </c>
      <c r="K2" s="318"/>
      <c r="L2" s="317"/>
    </row>
    <row r="3" spans="1:26" ht="14.45" x14ac:dyDescent="0.35">
      <c r="K3" s="152"/>
      <c r="L3" s="152"/>
    </row>
    <row r="4" spans="1:26" s="153" customFormat="1" ht="12.95" x14ac:dyDescent="0.3">
      <c r="A4" s="154" t="s">
        <v>112</v>
      </c>
    </row>
    <row r="6" spans="1:26" ht="12.95" x14ac:dyDescent="0.3">
      <c r="C6" s="641" t="s">
        <v>6</v>
      </c>
      <c r="D6" s="642"/>
      <c r="E6" s="1238" t="s">
        <v>113</v>
      </c>
      <c r="F6" s="1238"/>
      <c r="G6" s="1238"/>
      <c r="H6" s="1238"/>
      <c r="I6" s="1238"/>
      <c r="J6" s="1238"/>
      <c r="K6" s="1238"/>
      <c r="L6" s="1238"/>
      <c r="M6" s="1238"/>
      <c r="N6" s="1242" t="s">
        <v>93</v>
      </c>
      <c r="O6" s="1242"/>
      <c r="P6" s="1242"/>
      <c r="Q6" s="1242"/>
      <c r="R6" s="1242"/>
      <c r="S6" s="1239" t="s">
        <v>94</v>
      </c>
      <c r="T6" s="1240"/>
      <c r="U6" s="1240"/>
      <c r="V6" s="1240"/>
      <c r="W6" s="1241"/>
      <c r="X6" s="1237" t="s">
        <v>114</v>
      </c>
      <c r="Y6" s="1237"/>
      <c r="Z6" s="1237"/>
    </row>
    <row r="7" spans="1:26" s="842" customFormat="1" ht="63.75" customHeight="1" x14ac:dyDescent="0.3">
      <c r="A7" s="60" t="s">
        <v>12</v>
      </c>
      <c r="C7" s="623" t="s">
        <v>292</v>
      </c>
      <c r="D7" s="624" t="s">
        <v>293</v>
      </c>
      <c r="E7" s="533" t="s">
        <v>773</v>
      </c>
      <c r="F7" s="908"/>
      <c r="G7" s="909" t="s">
        <v>115</v>
      </c>
      <c r="H7" s="910" t="s">
        <v>116</v>
      </c>
      <c r="I7" s="909" t="s">
        <v>496</v>
      </c>
      <c r="J7" s="623" t="s">
        <v>117</v>
      </c>
      <c r="K7" s="623" t="s">
        <v>118</v>
      </c>
      <c r="L7" s="624"/>
      <c r="M7" s="462" t="s">
        <v>119</v>
      </c>
      <c r="N7" s="626" t="s">
        <v>120</v>
      </c>
      <c r="O7" s="627"/>
      <c r="P7" s="623" t="s">
        <v>121</v>
      </c>
      <c r="Q7" s="628"/>
      <c r="R7" s="624" t="s">
        <v>122</v>
      </c>
      <c r="S7" s="626" t="s">
        <v>123</v>
      </c>
      <c r="T7" s="827"/>
      <c r="U7" s="707" t="s">
        <v>124</v>
      </c>
      <c r="V7" s="708"/>
      <c r="W7" s="624" t="s">
        <v>125</v>
      </c>
      <c r="X7" s="462" t="s">
        <v>126</v>
      </c>
      <c r="Y7" s="462" t="s">
        <v>127</v>
      </c>
      <c r="Z7" s="462" t="s">
        <v>128</v>
      </c>
    </row>
    <row r="8" spans="1:26" s="842" customFormat="1" ht="28.5" customHeight="1" x14ac:dyDescent="0.25">
      <c r="B8" s="842" t="s">
        <v>20</v>
      </c>
      <c r="C8" s="911"/>
      <c r="D8" s="912"/>
      <c r="E8" s="597">
        <v>2010</v>
      </c>
      <c r="F8" s="913">
        <v>2035</v>
      </c>
      <c r="G8" s="914">
        <v>2010</v>
      </c>
      <c r="H8" s="913"/>
      <c r="I8" s="914"/>
      <c r="J8" s="915">
        <v>2010</v>
      </c>
      <c r="K8" s="915">
        <v>2010</v>
      </c>
      <c r="L8" s="916">
        <v>2035</v>
      </c>
      <c r="M8" s="914">
        <v>2010</v>
      </c>
      <c r="N8" s="915">
        <v>2010</v>
      </c>
      <c r="O8" s="913">
        <v>2035</v>
      </c>
      <c r="P8" s="915">
        <v>2010</v>
      </c>
      <c r="Q8" s="916">
        <v>2035</v>
      </c>
      <c r="R8" s="917"/>
      <c r="S8" s="915">
        <v>2010</v>
      </c>
      <c r="T8" s="913">
        <v>2035</v>
      </c>
      <c r="U8" s="915">
        <v>2010</v>
      </c>
      <c r="V8" s="916">
        <v>2035</v>
      </c>
      <c r="W8" s="607"/>
      <c r="X8" s="918"/>
      <c r="Y8" s="918"/>
      <c r="Z8" s="918"/>
    </row>
    <row r="9" spans="1:26" ht="12.75" customHeight="1" x14ac:dyDescent="0.3">
      <c r="A9" s="12" t="s">
        <v>21</v>
      </c>
      <c r="B9" s="30"/>
      <c r="C9" s="558"/>
      <c r="D9" s="559"/>
      <c r="E9" s="66"/>
      <c r="F9" s="57"/>
      <c r="G9" s="156"/>
      <c r="H9" s="66"/>
      <c r="I9" s="156"/>
      <c r="J9" s="62"/>
      <c r="K9" s="558"/>
      <c r="L9" s="559"/>
      <c r="M9" s="509"/>
      <c r="N9" s="558"/>
      <c r="O9" s="512"/>
      <c r="P9" s="558"/>
      <c r="Q9" s="559"/>
      <c r="R9" s="529"/>
      <c r="S9" s="558"/>
      <c r="T9" s="831"/>
      <c r="U9" s="813"/>
      <c r="V9" s="814"/>
      <c r="W9" s="814"/>
      <c r="X9" s="509"/>
      <c r="Y9" s="509"/>
      <c r="Z9" s="509"/>
    </row>
    <row r="10" spans="1:26" ht="12.75" customHeight="1" x14ac:dyDescent="0.25">
      <c r="B10" s="81" t="s">
        <v>22</v>
      </c>
      <c r="C10" s="157" t="str">
        <f>IF(Standards_Active!E10="","No",Standards_Active!E10)</f>
        <v>Yes</v>
      </c>
      <c r="D10" s="158" t="str">
        <f>IF(Standards_Active!Q10="","No",Standards_Active!Q10)</f>
        <v>No</v>
      </c>
      <c r="E10" s="849">
        <f>IF(Active_Case="Res",Perform_Sectors!$G10,IF(Active_Case="Com",Perform_Sectors!$H10,IF(Active_Case="Ind",Perform_Sectors!$I10,IF(Active_Case="Out",Perform_Sectors!$J10))))</f>
        <v>12.9</v>
      </c>
      <c r="F10" s="905">
        <f>E10*(1+Tech_Specs!L9)</f>
        <v>12.9</v>
      </c>
      <c r="G10" s="160">
        <f>Tech_Specs!X9</f>
        <v>64.400000000000006</v>
      </c>
      <c r="H10" s="161">
        <v>1</v>
      </c>
      <c r="I10" s="319">
        <f>$G10*$H10*Perform_Sectors!K10</f>
        <v>830.7600000000001</v>
      </c>
      <c r="J10" s="651">
        <v>1</v>
      </c>
      <c r="K10" s="969">
        <f>Perform_Sectors!P10</f>
        <v>1</v>
      </c>
      <c r="L10" s="654">
        <f>IF($K10&lt;1,IF(Standards_Active!S10="Yes",IF(ISNUMBER(Standards_Active!W10),Standards_Active!W10,$K10),$K10),$K10)</f>
        <v>1</v>
      </c>
      <c r="M10" s="944">
        <f>Perform_Sectors!U10</f>
        <v>1</v>
      </c>
      <c r="N10" s="973">
        <f>Perform_Sectors!Z10</f>
        <v>1.35</v>
      </c>
      <c r="O10" s="526">
        <f>IFERROR(N10*(1+Tech_Specs!M9),"n/a")</f>
        <v>1.35</v>
      </c>
      <c r="P10" s="157" t="str">
        <f>Perform_Sectors!AI10</f>
        <v>n/a</v>
      </c>
      <c r="Q10" s="158" t="str">
        <f>Perform_Sectors!AJ10</f>
        <v>n/a</v>
      </c>
      <c r="R10" s="977">
        <f>Perform_Sectors!AO10</f>
        <v>100</v>
      </c>
      <c r="S10" s="965">
        <f>Perform_Sectors!AT10</f>
        <v>0.5</v>
      </c>
      <c r="T10" s="669">
        <f>IF(ISNUMBER(Tech_Specs!$N9),S10*(1+Tech_Specs!$N9),"")</f>
        <v>0.4375</v>
      </c>
      <c r="U10" s="965" t="str">
        <f>Perform_Sectors!AY10</f>
        <v>n/a</v>
      </c>
      <c r="V10" s="162" t="s">
        <v>129</v>
      </c>
      <c r="W10" s="162">
        <f>Perform_Sectors!BD10</f>
        <v>18.5</v>
      </c>
      <c r="X10" s="514">
        <f>Perform_Sectors!BI10</f>
        <v>0</v>
      </c>
      <c r="Y10" s="514">
        <f>Perform_Sectors!BN10</f>
        <v>0</v>
      </c>
      <c r="Z10" s="514">
        <f>Perform_Sectors!BS10</f>
        <v>2.4796571813760893</v>
      </c>
    </row>
    <row r="11" spans="1:26" ht="12.75" customHeight="1" x14ac:dyDescent="0.25">
      <c r="B11" s="81" t="s">
        <v>26</v>
      </c>
      <c r="C11" s="157" t="str">
        <f>IF(Standards_Active!E11="","No",Standards_Active!E11)</f>
        <v>No</v>
      </c>
      <c r="D11" s="158" t="str">
        <f>IF(Standards_Active!Q11="","No",Standards_Active!Q11)</f>
        <v>No</v>
      </c>
      <c r="E11" s="849">
        <f>IF(Active_Case="Res",Perform_Sectors!$G11,IF(Active_Case="Com",Perform_Sectors!$H11,IF(Active_Case="Ind",Perform_Sectors!$I11,IF(Active_Case="Out",Perform_Sectors!$J11))))</f>
        <v>15</v>
      </c>
      <c r="F11" s="905">
        <f>E11*(1+Tech_Specs!L10)</f>
        <v>16.875</v>
      </c>
      <c r="G11" s="352">
        <f>Tech_Specs!X10</f>
        <v>50.5</v>
      </c>
      <c r="H11" s="161">
        <v>1</v>
      </c>
      <c r="I11" s="319">
        <f>$G11*$H11*Perform_Sectors!K11</f>
        <v>757.5</v>
      </c>
      <c r="J11" s="651">
        <v>1</v>
      </c>
      <c r="K11" s="969">
        <f>Perform_Sectors!P11</f>
        <v>1</v>
      </c>
      <c r="L11" s="654">
        <f>IF($K11&lt;1,IF(Standards_Active!S11="Yes",IF(ISNUMBER(Standards_Active!W11),Standards_Active!W11,$K11),$K11),$K11)</f>
        <v>1</v>
      </c>
      <c r="M11" s="944">
        <f>Perform_Sectors!U11</f>
        <v>1</v>
      </c>
      <c r="N11" s="973">
        <f>Perform_Sectors!Z11</f>
        <v>1.5</v>
      </c>
      <c r="O11" s="526">
        <f>IFERROR(N11*(1+Tech_Specs!M10),"n/a")</f>
        <v>1.6875</v>
      </c>
      <c r="P11" s="157" t="str">
        <f>Perform_Sectors!AI11</f>
        <v>n/a</v>
      </c>
      <c r="Q11" s="158" t="str">
        <f>Perform_Sectors!AJ11</f>
        <v>n/a</v>
      </c>
      <c r="R11" s="977">
        <f>Perform_Sectors!AO11</f>
        <v>100</v>
      </c>
      <c r="S11" s="965">
        <f>Perform_Sectors!AT11</f>
        <v>1.9</v>
      </c>
      <c r="T11" s="669">
        <f>IF(ISNUMBER(Tech_Specs!$N10),S11*(1+Tech_Specs!$N10),"")</f>
        <v>1.6624999999999999</v>
      </c>
      <c r="U11" s="965" t="str">
        <f>Perform_Sectors!AY11</f>
        <v>n/a</v>
      </c>
      <c r="V11" s="162" t="s">
        <v>129</v>
      </c>
      <c r="W11" s="162">
        <f>Perform_Sectors!BD11</f>
        <v>18.5</v>
      </c>
      <c r="X11" s="514">
        <f>Perform_Sectors!BI11</f>
        <v>0</v>
      </c>
      <c r="Y11" s="514">
        <f>Perform_Sectors!BN11</f>
        <v>0</v>
      </c>
      <c r="Z11" s="514">
        <f>Perform_Sectors!BS11</f>
        <v>2.7194719471947195</v>
      </c>
    </row>
    <row r="12" spans="1:26" ht="12.75" customHeight="1" x14ac:dyDescent="0.25">
      <c r="B12" s="81" t="s">
        <v>27</v>
      </c>
      <c r="C12" s="157" t="str">
        <f>IF(Standards_Active!E12="","No",Standards_Active!E12)</f>
        <v>No</v>
      </c>
      <c r="D12" s="158" t="str">
        <f>IF(Standards_Active!Q12="","No",Standards_Active!Q12)</f>
        <v>No</v>
      </c>
      <c r="E12" s="849">
        <f>IF(Active_Case="Res",Perform_Sectors!$G12,IF(Active_Case="Com",Perform_Sectors!$H12,IF(Active_Case="Ind",Perform_Sectors!$I12,IF(Active_Case="Out",Perform_Sectors!$J12))))</f>
        <v>53</v>
      </c>
      <c r="F12" s="905">
        <f>E12*(1+Tech_Specs!L11)</f>
        <v>59.625</v>
      </c>
      <c r="G12" s="352">
        <f>Tech_Specs!X11</f>
        <v>16.8</v>
      </c>
      <c r="H12" s="163">
        <v>1</v>
      </c>
      <c r="I12" s="319">
        <f>$G12*$H12*Perform_Sectors!K12</f>
        <v>890.40000000000009</v>
      </c>
      <c r="J12" s="651">
        <v>1</v>
      </c>
      <c r="K12" s="969">
        <f>Perform_Sectors!P12</f>
        <v>1</v>
      </c>
      <c r="L12" s="654">
        <f>IF($K12&lt;1,IF(Standards_Active!S12="Yes",IF(ISNUMBER(Standards_Active!W12),Standards_Active!W12,$K12),$K12),$K12)</f>
        <v>1</v>
      </c>
      <c r="M12" s="944">
        <f>Perform_Sectors!U12</f>
        <v>1</v>
      </c>
      <c r="N12" s="973">
        <f>Perform_Sectors!Z12</f>
        <v>10.3</v>
      </c>
      <c r="O12" s="526">
        <f>IFERROR(N12*(1+Tech_Specs!M11),"n/a")</f>
        <v>11.5875</v>
      </c>
      <c r="P12" s="157" t="str">
        <f>Perform_Sectors!AI12</f>
        <v>n/a</v>
      </c>
      <c r="Q12" s="158" t="str">
        <f>Perform_Sectors!AJ12</f>
        <v>n/a</v>
      </c>
      <c r="R12" s="977">
        <f>Perform_Sectors!AO12</f>
        <v>100</v>
      </c>
      <c r="S12" s="965">
        <f>Perform_Sectors!AT12</f>
        <v>3</v>
      </c>
      <c r="T12" s="669">
        <f>IF(ISNUMBER(Tech_Specs!$N11),S12*(1+Tech_Specs!$N11),"")</f>
        <v>2.625</v>
      </c>
      <c r="U12" s="965" t="str">
        <f>Perform_Sectors!AY12</f>
        <v>n/a</v>
      </c>
      <c r="V12" s="162" t="s">
        <v>129</v>
      </c>
      <c r="W12" s="162">
        <f>Perform_Sectors!BD12</f>
        <v>18.5</v>
      </c>
      <c r="X12" s="514">
        <f>Perform_Sectors!BI12</f>
        <v>0</v>
      </c>
      <c r="Y12" s="514">
        <f>Perform_Sectors!BN12</f>
        <v>0</v>
      </c>
      <c r="Z12" s="514">
        <f>Perform_Sectors!BS12</f>
        <v>2.3135669362084457</v>
      </c>
    </row>
    <row r="13" spans="1:26" ht="12.75" customHeight="1" x14ac:dyDescent="0.25">
      <c r="B13" s="81" t="s">
        <v>29</v>
      </c>
      <c r="C13" s="157" t="str">
        <f>IF(Standards_Active!E13="","No",Standards_Active!E13)</f>
        <v>No</v>
      </c>
      <c r="D13" s="158" t="str">
        <f>IF(Standards_Active!Q13="","No",Standards_Active!Q13)</f>
        <v>No</v>
      </c>
      <c r="E13" s="962" t="s">
        <v>129</v>
      </c>
      <c r="F13" s="962" t="s">
        <v>129</v>
      </c>
      <c r="G13" s="352">
        <f>Tech_Specs!X12</f>
        <v>25.2</v>
      </c>
      <c r="H13" s="163">
        <v>1</v>
      </c>
      <c r="I13" s="319">
        <f>IFERROR(SUMPRODUCT(I10:I12,Tech_Specs!AH9:AH11)/SUM(Tech_Specs!AH9:AH11),0)</f>
        <v>853.11271239526479</v>
      </c>
      <c r="J13" s="651">
        <v>1</v>
      </c>
      <c r="K13" s="969">
        <f>Perform_Sectors!P13</f>
        <v>1</v>
      </c>
      <c r="L13" s="654">
        <f>IF($K13&lt;1,IF(Standards_Active!S13="Yes",IF(ISNUMBER(Standards_Active!W13),Standards_Active!W13,$K13),$K13),$K13)</f>
        <v>1</v>
      </c>
      <c r="M13" s="944">
        <f>Perform_Sectors!U13</f>
        <v>1</v>
      </c>
      <c r="N13" s="973">
        <f>Perform_Sectors!Z13</f>
        <v>25</v>
      </c>
      <c r="O13" s="526" t="str">
        <f>IFERROR(N13*(1+Tech_Specs!M12),"n/a")</f>
        <v>n/a</v>
      </c>
      <c r="P13" s="157" t="str">
        <f>Perform_Sectors!AI13</f>
        <v>n/a</v>
      </c>
      <c r="Q13" s="158" t="str">
        <f>Perform_Sectors!AJ13</f>
        <v>n/a</v>
      </c>
      <c r="R13" s="977">
        <f>Perform_Sectors!AO13</f>
        <v>100</v>
      </c>
      <c r="S13" s="965" t="str">
        <f>Perform_Sectors!AT13</f>
        <v>n/a</v>
      </c>
      <c r="T13" s="669" t="str">
        <f>IF(ISNUMBER(Tech_Specs!$N12),S13*(1+Tech_Specs!$N12),"")</f>
        <v/>
      </c>
      <c r="U13" s="965" t="str">
        <f>Perform_Sectors!AY13</f>
        <v>n/a</v>
      </c>
      <c r="V13" s="162" t="s">
        <v>129</v>
      </c>
      <c r="W13" s="162">
        <f>Perform_Sectors!BD13</f>
        <v>18.5</v>
      </c>
      <c r="X13" s="514">
        <f>Perform_Sectors!BI13</f>
        <v>0</v>
      </c>
      <c r="Y13" s="514">
        <f>Perform_Sectors!BN13</f>
        <v>0</v>
      </c>
      <c r="Z13" s="514">
        <f>Perform_Sectors!BS13</f>
        <v>2.4146867935142895</v>
      </c>
    </row>
    <row r="14" spans="1:26" ht="12.75" customHeight="1" x14ac:dyDescent="0.25">
      <c r="C14" s="157"/>
      <c r="D14" s="158"/>
      <c r="E14" s="159"/>
      <c r="F14" s="905"/>
      <c r="G14" s="160"/>
      <c r="H14" s="163"/>
      <c r="I14" s="319"/>
      <c r="J14" s="651"/>
      <c r="K14" s="969"/>
      <c r="L14" s="654"/>
      <c r="M14" s="944"/>
      <c r="N14" s="974"/>
      <c r="O14" s="526"/>
      <c r="P14" s="157"/>
      <c r="Q14" s="158"/>
      <c r="R14" s="977"/>
      <c r="S14" s="965"/>
      <c r="T14" s="669"/>
      <c r="U14" s="965"/>
      <c r="V14" s="162"/>
      <c r="W14" s="162"/>
      <c r="X14" s="514"/>
      <c r="Y14" s="514"/>
      <c r="Z14" s="514"/>
    </row>
    <row r="15" spans="1:26" ht="12.75" customHeight="1" x14ac:dyDescent="0.3">
      <c r="A15" s="58" t="s">
        <v>32</v>
      </c>
      <c r="B15" s="57"/>
      <c r="C15" s="166"/>
      <c r="D15" s="423"/>
      <c r="E15" s="167"/>
      <c r="F15" s="906"/>
      <c r="G15" s="169"/>
      <c r="H15" s="170"/>
      <c r="I15" s="1141"/>
      <c r="J15" s="171"/>
      <c r="K15" s="166"/>
      <c r="L15" s="423"/>
      <c r="M15" s="169"/>
      <c r="N15" s="975"/>
      <c r="O15" s="527"/>
      <c r="P15" s="166"/>
      <c r="Q15" s="423"/>
      <c r="R15" s="950"/>
      <c r="S15" s="703"/>
      <c r="T15" s="670"/>
      <c r="U15" s="703"/>
      <c r="V15" s="173"/>
      <c r="W15" s="173"/>
      <c r="X15" s="515"/>
      <c r="Y15" s="515"/>
      <c r="Z15" s="515"/>
    </row>
    <row r="16" spans="1:26" ht="12.75" customHeight="1" x14ac:dyDescent="0.25">
      <c r="B16" s="81" t="s">
        <v>33</v>
      </c>
      <c r="C16" s="157" t="str">
        <f>IF(Standards_Active!E16="","No",Standards_Active!E16)</f>
        <v>No</v>
      </c>
      <c r="D16" s="158" t="str">
        <f>IF(Standards_Active!D16="","No",Standards_Active!D16)</f>
        <v>No</v>
      </c>
      <c r="E16" s="849">
        <f>IF(Active_Case="Res",Perform_Sectors!$G16,IF(Active_Case="Com",Perform_Sectors!$H16,IF(Active_Case="Ind",Perform_Sectors!$I16,IF(Active_Case="Out",Perform_Sectors!$J16))))</f>
        <v>10.199999999999999</v>
      </c>
      <c r="F16" s="905">
        <f>E16*(1+Tech_Specs!L15)</f>
        <v>10.199999999999999</v>
      </c>
      <c r="G16" s="352">
        <f>Tech_Specs!X15</f>
        <v>69.099999999999994</v>
      </c>
      <c r="H16" s="161">
        <v>1</v>
      </c>
      <c r="I16" s="319">
        <f>$G16*$H16*Perform_Sectors!K16</f>
        <v>704.81999999999994</v>
      </c>
      <c r="J16" s="651">
        <v>1</v>
      </c>
      <c r="K16" s="969">
        <f>Perform_Sectors!P16</f>
        <v>1</v>
      </c>
      <c r="L16" s="654">
        <f>IF($K16&lt;1,IF(Standards_Active!S16="Yes",IF(ISNUMBER(Standards_Active!W16),Standards_Active!W16,$K16),$K16),$K16)</f>
        <v>1</v>
      </c>
      <c r="M16" s="944">
        <f>Perform_Sectors!U16</f>
        <v>1</v>
      </c>
      <c r="N16" s="973">
        <f>Perform_Sectors!Z16</f>
        <v>2.5</v>
      </c>
      <c r="O16" s="526">
        <f>IFERROR(N16*(1+Tech_Specs!M15),"n/a")</f>
        <v>2.5</v>
      </c>
      <c r="P16" s="157" t="str">
        <f>Perform_Sectors!AI16</f>
        <v>n/a</v>
      </c>
      <c r="Q16" s="158" t="str">
        <f>Perform_Sectors!AJ16</f>
        <v>n/a</v>
      </c>
      <c r="R16" s="977">
        <f>Perform_Sectors!AO16</f>
        <v>100</v>
      </c>
      <c r="S16" s="965">
        <f>Perform_Sectors!AT16</f>
        <v>3.1</v>
      </c>
      <c r="T16" s="669">
        <f>IF(ISNUMBER(Tech_Specs!$N15),S16*(1+Tech_Specs!$N15),"")</f>
        <v>2.7124999999999999</v>
      </c>
      <c r="U16" s="965" t="str">
        <f>Perform_Sectors!AY16</f>
        <v>n/a</v>
      </c>
      <c r="V16" s="175" t="s">
        <v>129</v>
      </c>
      <c r="W16" s="162">
        <f>Perform_Sectors!BD16</f>
        <v>18.5</v>
      </c>
      <c r="X16" s="514">
        <f>Perform_Sectors!BI16</f>
        <v>0</v>
      </c>
      <c r="Y16" s="514">
        <f>Perform_Sectors!BN16</f>
        <v>0</v>
      </c>
      <c r="Z16" s="514">
        <f>Perform_Sectors!BS16</f>
        <v>2.9227320450611507</v>
      </c>
    </row>
    <row r="17" spans="1:26" ht="12.75" customHeight="1" x14ac:dyDescent="0.25">
      <c r="A17" s="101"/>
      <c r="B17" s="101" t="s">
        <v>34</v>
      </c>
      <c r="C17" s="157" t="str">
        <f>IF(Standards_Active!E17="","No",Standards_Active!E17)</f>
        <v>Yes</v>
      </c>
      <c r="D17" s="158" t="str">
        <f>IF(Standards_Active!Q17="","No",Standards_Active!Q17)</f>
        <v>No</v>
      </c>
      <c r="E17" s="849">
        <f>IF(Active_Case="Res",Perform_Sectors!$G17,IF(Active_Case="Com",Perform_Sectors!$H17,IF(Active_Case="Ind",Perform_Sectors!$I17,IF(Active_Case="Out",Perform_Sectors!$J17))))</f>
        <v>14.1</v>
      </c>
      <c r="F17" s="905">
        <f>E17*(1+Tech_Specs!L16)</f>
        <v>15.862499999999999</v>
      </c>
      <c r="G17" s="352">
        <f>Tech_Specs!X16</f>
        <v>67.900000000000006</v>
      </c>
      <c r="H17" s="161">
        <v>1</v>
      </c>
      <c r="I17" s="319">
        <f>$G17*$H17*Perform_Sectors!K17</f>
        <v>957.3900000000001</v>
      </c>
      <c r="J17" s="651">
        <v>1</v>
      </c>
      <c r="K17" s="969">
        <f>Perform_Sectors!P17</f>
        <v>1</v>
      </c>
      <c r="L17" s="654">
        <f>IF($K17&lt;1,IF(Standards_Active!S17="Yes",IF(ISNUMBER(Standards_Active!W17),Standards_Active!W17,$K17),$K17),$K17)</f>
        <v>1</v>
      </c>
      <c r="M17" s="944">
        <f>Perform_Sectors!U17</f>
        <v>1</v>
      </c>
      <c r="N17" s="973">
        <f>Perform_Sectors!Z17</f>
        <v>3</v>
      </c>
      <c r="O17" s="526">
        <f>IFERROR(N17*(1+Tech_Specs!M16),"n/a")</f>
        <v>3.375</v>
      </c>
      <c r="P17" s="157" t="str">
        <f>Perform_Sectors!AI17</f>
        <v>n/a</v>
      </c>
      <c r="Q17" s="158" t="str">
        <f>Perform_Sectors!AJ17</f>
        <v>n/a</v>
      </c>
      <c r="R17" s="977">
        <f>Perform_Sectors!AO17</f>
        <v>100</v>
      </c>
      <c r="S17" s="965">
        <f>Perform_Sectors!AT17</f>
        <v>4.7</v>
      </c>
      <c r="T17" s="669">
        <f>IF(ISNUMBER(Tech_Specs!$N16),S17*(1+Tech_Specs!$N16),"")</f>
        <v>4.1124999999999998</v>
      </c>
      <c r="U17" s="965" t="str">
        <f>Perform_Sectors!AY17</f>
        <v>n/a</v>
      </c>
      <c r="V17" s="175" t="s">
        <v>129</v>
      </c>
      <c r="W17" s="162">
        <f>Perform_Sectors!BD17</f>
        <v>18.5</v>
      </c>
      <c r="X17" s="514">
        <f>Perform_Sectors!BI17</f>
        <v>0</v>
      </c>
      <c r="Y17" s="514">
        <f>Perform_Sectors!BN17</f>
        <v>0</v>
      </c>
      <c r="Z17" s="514">
        <f>Perform_Sectors!BS17</f>
        <v>2.1516832220933995</v>
      </c>
    </row>
    <row r="18" spans="1:26" ht="12.75" customHeight="1" x14ac:dyDescent="0.25">
      <c r="B18" s="101" t="s">
        <v>35</v>
      </c>
      <c r="C18" s="157" t="str">
        <f>IF(Standards_Active!E18="","No",Standards_Active!E18)</f>
        <v>No</v>
      </c>
      <c r="D18" s="158" t="str">
        <f>IF(Standards_Active!Q18="","No",Standards_Active!Q18)</f>
        <v>No</v>
      </c>
      <c r="E18" s="849">
        <f>IF(Active_Case="Res",Perform_Sectors!$G18,IF(Active_Case="Com",Perform_Sectors!$H18,IF(Active_Case="Ind",Perform_Sectors!$I18,IF(Active_Case="Out",Perform_Sectors!$J18))))</f>
        <v>43.1</v>
      </c>
      <c r="F18" s="905">
        <f>E18*(1+Tech_Specs!L17)</f>
        <v>48.487500000000004</v>
      </c>
      <c r="G18" s="352">
        <f>Tech_Specs!X17</f>
        <v>17.2</v>
      </c>
      <c r="H18" s="163">
        <v>1</v>
      </c>
      <c r="I18" s="319">
        <f>$G18*$H18*Perform_Sectors!K18</f>
        <v>741.32</v>
      </c>
      <c r="J18" s="651">
        <v>1</v>
      </c>
      <c r="K18" s="969">
        <f>Perform_Sectors!P18</f>
        <v>1</v>
      </c>
      <c r="L18" s="654">
        <f>IF($K18&lt;1,IF(Standards_Active!S18="Yes",IF(ISNUMBER(Standards_Active!W18),Standards_Active!W18,$K18),$K18),$K18)</f>
        <v>1</v>
      </c>
      <c r="M18" s="944">
        <f>Perform_Sectors!U18</f>
        <v>1</v>
      </c>
      <c r="N18" s="973">
        <f>Perform_Sectors!Z18</f>
        <v>10</v>
      </c>
      <c r="O18" s="526">
        <f>IFERROR(N18*(1+Tech_Specs!M17),"n/a")</f>
        <v>11.25</v>
      </c>
      <c r="P18" s="157" t="str">
        <f>Perform_Sectors!AI18</f>
        <v>n/a</v>
      </c>
      <c r="Q18" s="158" t="str">
        <f>Perform_Sectors!AJ18</f>
        <v>n/a</v>
      </c>
      <c r="R18" s="977">
        <f>Perform_Sectors!AO18</f>
        <v>100</v>
      </c>
      <c r="S18" s="965">
        <f>Perform_Sectors!AT18</f>
        <v>10.3</v>
      </c>
      <c r="T18" s="669">
        <f>IF(ISNUMBER(Tech_Specs!$N17),S18*(1+Tech_Specs!$N17),"")</f>
        <v>9.0125000000000011</v>
      </c>
      <c r="U18" s="965" t="str">
        <f>Perform_Sectors!AY18</f>
        <v>n/a</v>
      </c>
      <c r="V18" s="162" t="s">
        <v>129</v>
      </c>
      <c r="W18" s="162">
        <f>Perform_Sectors!BD18</f>
        <v>18.5</v>
      </c>
      <c r="X18" s="514">
        <f>Perform_Sectors!BI18</f>
        <v>0</v>
      </c>
      <c r="Y18" s="514">
        <f>Perform_Sectors!BN18</f>
        <v>0</v>
      </c>
      <c r="Z18" s="514">
        <f>Perform_Sectors!BS18</f>
        <v>2.7788269573193758</v>
      </c>
    </row>
    <row r="19" spans="1:26" ht="12.75" customHeight="1" x14ac:dyDescent="0.35">
      <c r="B19" s="101" t="s">
        <v>29</v>
      </c>
      <c r="C19" s="157" t="str">
        <f>IF(Standards_Active!E19="","No",Standards_Active!E19)</f>
        <v>No</v>
      </c>
      <c r="D19" s="158" t="str">
        <f>IF(Standards_Active!Q19="","No",Standards_Active!Q19)</f>
        <v>No</v>
      </c>
      <c r="E19" s="962" t="s">
        <v>129</v>
      </c>
      <c r="F19" s="962" t="s">
        <v>129</v>
      </c>
      <c r="G19" s="352">
        <f>Tech_Specs!X18</f>
        <v>25.2</v>
      </c>
      <c r="H19" s="163">
        <v>1</v>
      </c>
      <c r="I19" s="319">
        <f>IFERROR(SUMPRODUCT(I16:I18,Tech_Specs!AH15:AH17)/SUM(Tech_Specs!AH15:AH17),0)</f>
        <v>786.35708817383772</v>
      </c>
      <c r="J19" s="651">
        <v>1</v>
      </c>
      <c r="K19" s="969">
        <f>Perform_Sectors!P19</f>
        <v>1</v>
      </c>
      <c r="L19" s="654">
        <f>IF($K19&lt;1,IF(Standards_Active!S19="Yes",IF(ISNUMBER(Standards_Active!W19),Standards_Active!W19,$K19),$K19),$K19)</f>
        <v>1</v>
      </c>
      <c r="M19" s="944">
        <f>Perform_Sectors!U19</f>
        <v>1</v>
      </c>
      <c r="N19" s="973">
        <f>Perform_Sectors!Z19</f>
        <v>25</v>
      </c>
      <c r="O19" s="526" t="str">
        <f>IFERROR(N19*(1+Tech_Specs!M18),"n/a")</f>
        <v>n/a</v>
      </c>
      <c r="P19" s="157" t="str">
        <f>Perform_Sectors!AI19</f>
        <v>n/a</v>
      </c>
      <c r="Q19" s="158" t="str">
        <f>Perform_Sectors!AJ19</f>
        <v>n/a</v>
      </c>
      <c r="R19" s="977">
        <f>Perform_Sectors!AO19</f>
        <v>100</v>
      </c>
      <c r="S19" s="965" t="str">
        <f>Perform_Sectors!AT19</f>
        <v>n/a</v>
      </c>
      <c r="T19" s="669" t="str">
        <f>IF(ISNUMBER(Tech_Specs!$N18),S19*(1+Tech_Specs!$N18),"")</f>
        <v/>
      </c>
      <c r="U19" s="965" t="str">
        <f>Perform_Sectors!AY19</f>
        <v>n/a</v>
      </c>
      <c r="V19" s="176" t="s">
        <v>129</v>
      </c>
      <c r="W19" s="162">
        <f>Perform_Sectors!BD19</f>
        <v>18.5</v>
      </c>
      <c r="X19" s="514">
        <f>Perform_Sectors!BI19</f>
        <v>0</v>
      </c>
      <c r="Y19" s="514">
        <f>Perform_Sectors!BN19</f>
        <v>0</v>
      </c>
      <c r="Z19" s="514">
        <f>Perform_Sectors!BS19</f>
        <v>2.619674993690146</v>
      </c>
    </row>
    <row r="20" spans="1:26" ht="12.75" customHeight="1" x14ac:dyDescent="0.35">
      <c r="C20" s="157"/>
      <c r="D20" s="158"/>
      <c r="E20" s="159"/>
      <c r="F20" s="905"/>
      <c r="G20" s="160"/>
      <c r="H20" s="163"/>
      <c r="I20" s="319"/>
      <c r="J20" s="651"/>
      <c r="K20" s="969"/>
      <c r="L20" s="654"/>
      <c r="M20" s="944"/>
      <c r="N20" s="974"/>
      <c r="O20" s="526"/>
      <c r="P20" s="157"/>
      <c r="Q20" s="158"/>
      <c r="R20" s="977"/>
      <c r="S20" s="966"/>
      <c r="T20" s="669"/>
      <c r="U20" s="966"/>
      <c r="V20" s="176"/>
      <c r="W20" s="162"/>
      <c r="X20" s="514"/>
      <c r="Y20" s="514"/>
      <c r="Z20" s="514"/>
    </row>
    <row r="21" spans="1:26" ht="12.75" customHeight="1" x14ac:dyDescent="0.3">
      <c r="A21" s="58" t="s">
        <v>36</v>
      </c>
      <c r="B21" s="57"/>
      <c r="C21" s="166"/>
      <c r="D21" s="423"/>
      <c r="E21" s="167"/>
      <c r="F21" s="906"/>
      <c r="G21" s="169"/>
      <c r="H21" s="170"/>
      <c r="I21" s="1141"/>
      <c r="J21" s="171"/>
      <c r="K21" s="166"/>
      <c r="L21" s="423"/>
      <c r="M21" s="169"/>
      <c r="N21" s="975"/>
      <c r="O21" s="527"/>
      <c r="P21" s="166"/>
      <c r="Q21" s="423"/>
      <c r="R21" s="950"/>
      <c r="S21" s="703"/>
      <c r="T21" s="670"/>
      <c r="U21" s="703"/>
      <c r="V21" s="173"/>
      <c r="W21" s="173"/>
      <c r="X21" s="515"/>
      <c r="Y21" s="515"/>
      <c r="Z21" s="515"/>
    </row>
    <row r="22" spans="1:26" ht="12.75" customHeight="1" x14ac:dyDescent="0.25">
      <c r="B22" s="81" t="s">
        <v>37</v>
      </c>
      <c r="C22" s="157" t="str">
        <f>IF(Standards_Active!E22="","No",Standards_Active!E22)</f>
        <v>Yes</v>
      </c>
      <c r="D22" s="158">
        <f>IF(Standards_Active!Q22="","No",Standards_Active!Q22)</f>
        <v>2015</v>
      </c>
      <c r="E22" s="849">
        <f>IF(Active_Case="Res",Perform_Sectors!$G22,IF(Active_Case="Com",Perform_Sectors!$H22,IF(Active_Case="Ind",Perform_Sectors!$I22,IF(Active_Case="Out",Perform_Sectors!$J22))))</f>
        <v>85.675306027506153</v>
      </c>
      <c r="F22" s="905">
        <f>E22*(1+Tech_Specs!L21)</f>
        <v>85.675306027506153</v>
      </c>
      <c r="G22" s="352">
        <f>Tech_Specs!X21</f>
        <v>28.2</v>
      </c>
      <c r="H22" s="161">
        <v>2</v>
      </c>
      <c r="I22" s="319">
        <f>$G22*$H22*Perform_Sectors!K22</f>
        <v>2645.16</v>
      </c>
      <c r="J22" s="651">
        <v>0.68</v>
      </c>
      <c r="K22" s="970">
        <f>Perform_Sectors!P22</f>
        <v>0.78202230148427576</v>
      </c>
      <c r="L22" s="655">
        <f>IF($K22&lt;1,IF(Standards_Active!S22="Yes",IF(ISNUMBER(Standards_Active!W22),Standards_Active!W22,$K22),$K22),$K22)</f>
        <v>0.78202230148427576</v>
      </c>
      <c r="M22" s="944">
        <f>Perform_Sectors!U22</f>
        <v>0.7</v>
      </c>
      <c r="N22" s="973">
        <f>Perform_Sectors!Z22</f>
        <v>20</v>
      </c>
      <c r="O22" s="526">
        <f>IFERROR(N22*(1+Tech_Specs!M21),"n/a")</f>
        <v>20</v>
      </c>
      <c r="P22" s="157">
        <f>Perform_Sectors!AI22</f>
        <v>50</v>
      </c>
      <c r="Q22" s="158">
        <f>Perform_Sectors!AJ22</f>
        <v>105</v>
      </c>
      <c r="R22" s="977">
        <f>Perform_Sectors!AO22</f>
        <v>100</v>
      </c>
      <c r="S22" s="965">
        <f>Perform_Sectors!AT22</f>
        <v>3.3</v>
      </c>
      <c r="T22" s="669">
        <f>IF(ISNUMBER(Tech_Specs!$N21),S22*(1+Tech_Specs!$N21),"")</f>
        <v>2.8874999999999997</v>
      </c>
      <c r="U22" s="965">
        <f>Perform_Sectors!AY22</f>
        <v>16</v>
      </c>
      <c r="V22" s="422">
        <f>IF(ISNUMBER(Tech_Specs!$N21),U22*(1+Tech_Specs!$N21),"")</f>
        <v>14</v>
      </c>
      <c r="W22" s="162">
        <f>Perform_Sectors!BD22</f>
        <v>50</v>
      </c>
      <c r="X22" s="514">
        <f>Perform_Sectors!BI22</f>
        <v>0</v>
      </c>
      <c r="Y22" s="514">
        <f>Perform_Sectors!BN22</f>
        <v>0</v>
      </c>
      <c r="Z22" s="514">
        <f>Perform_Sectors!BS22</f>
        <v>4.7241845783856906</v>
      </c>
    </row>
    <row r="23" spans="1:26" ht="12.75" customHeight="1" x14ac:dyDescent="0.25">
      <c r="B23" s="81" t="s">
        <v>39</v>
      </c>
      <c r="C23" s="157" t="str">
        <f>IF(Standards_Active!E23="","No",Standards_Active!E23)</f>
        <v>Yes</v>
      </c>
      <c r="D23" s="158" t="str">
        <f>IF(Standards_Active!Q23="","No",Standards_Active!Q23)</f>
        <v>No</v>
      </c>
      <c r="E23" s="849">
        <f>IF(Active_Case="Res",Perform_Sectors!$G23,IF(Active_Case="Com",Perform_Sectors!$H23,IF(Active_Case="Ind",Perform_Sectors!$I23,IF(Active_Case="Out",Perform_Sectors!$J23))))</f>
        <v>83.142201834862391</v>
      </c>
      <c r="F23" s="905">
        <f>E23*(1+Tech_Specs!L22)</f>
        <v>93.534977064220186</v>
      </c>
      <c r="G23" s="1140">
        <f>Tech_Specs!X22</f>
        <v>25.9</v>
      </c>
      <c r="H23" s="161">
        <v>2</v>
      </c>
      <c r="I23" s="319">
        <f>$G23*$H23*Perform_Sectors!K23</f>
        <v>2628.85</v>
      </c>
      <c r="J23" s="651">
        <v>0.75</v>
      </c>
      <c r="K23" s="970">
        <f>Perform_Sectors!P23</f>
        <v>0.872</v>
      </c>
      <c r="L23" s="655">
        <f>IF($K23&lt;1,IF(Standards_Active!S23="Yes",IF(ISNUMBER(Standards_Active!W23),Standards_Active!W23,$K23),$K23),$K23)</f>
        <v>0.872</v>
      </c>
      <c r="M23" s="944">
        <f>Perform_Sectors!U23</f>
        <v>0.7</v>
      </c>
      <c r="N23" s="973">
        <f>Perform_Sectors!Z23</f>
        <v>20</v>
      </c>
      <c r="O23" s="526">
        <f>IFERROR(N23*(1+Tech_Specs!M22),"n/a")</f>
        <v>22.5</v>
      </c>
      <c r="P23" s="157">
        <f>Perform_Sectors!AI23</f>
        <v>50</v>
      </c>
      <c r="Q23" s="158">
        <f>Perform_Sectors!AJ23</f>
        <v>105</v>
      </c>
      <c r="R23" s="977">
        <f>Perform_Sectors!AO23</f>
        <v>100</v>
      </c>
      <c r="S23" s="965">
        <f>Perform_Sectors!AT23</f>
        <v>4.3</v>
      </c>
      <c r="T23" s="669">
        <f>IF(ISNUMBER(Tech_Specs!$N22),S23*(1+Tech_Specs!$N22),"")</f>
        <v>3.7624999999999997</v>
      </c>
      <c r="U23" s="965">
        <f>Perform_Sectors!AY23</f>
        <v>16</v>
      </c>
      <c r="V23" s="422">
        <f>IF(ISNUMBER(Tech_Specs!$N22),U23*(1+Tech_Specs!$N22),"")</f>
        <v>14</v>
      </c>
      <c r="W23" s="162">
        <f>Perform_Sectors!BD23</f>
        <v>45</v>
      </c>
      <c r="X23" s="514">
        <f>Perform_Sectors!BI23</f>
        <v>0</v>
      </c>
      <c r="Y23" s="514">
        <f>Perform_Sectors!BN23</f>
        <v>0</v>
      </c>
      <c r="Z23" s="514">
        <f>Perform_Sectors!BS23</f>
        <v>4.7241845783856906</v>
      </c>
    </row>
    <row r="24" spans="1:26" ht="12.75" customHeight="1" x14ac:dyDescent="0.25">
      <c r="B24" s="81" t="s">
        <v>40</v>
      </c>
      <c r="C24" s="157" t="str">
        <f>IF(Standards_Active!E24="","No",Standards_Active!E24)</f>
        <v>No</v>
      </c>
      <c r="D24" s="158" t="str">
        <f>IF(Standards_Active!Q24="","No",Standards_Active!Q24)</f>
        <v>No</v>
      </c>
      <c r="E24" s="849">
        <f>IF(Active_Case="Res",Perform_Sectors!$G24,IF(Active_Case="Com",Perform_Sectors!$H24,IF(Active_Case="Ind",Perform_Sectors!$I24,IF(Active_Case="Out",Perform_Sectors!$J24))))</f>
        <v>100.41451331111426</v>
      </c>
      <c r="F24" s="905">
        <f>E24*(1+Tech_Specs!L23)</f>
        <v>112.96632747500354</v>
      </c>
      <c r="G24" s="352">
        <f>Tech_Specs!X23</f>
        <v>36.200000000000003</v>
      </c>
      <c r="H24" s="161">
        <v>2</v>
      </c>
      <c r="I24" s="319">
        <f>$G24*$H24*Perform_Sectors!K24</f>
        <v>5584.2120000000014</v>
      </c>
      <c r="J24" s="651">
        <v>0.96</v>
      </c>
      <c r="K24" s="970">
        <f>Perform_Sectors!P24</f>
        <v>0.85346228522241319</v>
      </c>
      <c r="L24" s="655">
        <f>IF($K24&lt;1,IF(Standards_Active!S24="Yes",IF(ISNUMBER(Standards_Active!W24),Standards_Active!W24,$K24),$K24),$K24)</f>
        <v>0.85346228522241319</v>
      </c>
      <c r="M24" s="944">
        <f>Perform_Sectors!U24</f>
        <v>0.9</v>
      </c>
      <c r="N24" s="973">
        <f>Perform_Sectors!Z24</f>
        <v>16</v>
      </c>
      <c r="O24" s="526">
        <f>IFERROR(N24*(1+Tech_Specs!M23),"n/a")</f>
        <v>18</v>
      </c>
      <c r="P24" s="157">
        <f>Perform_Sectors!AI24</f>
        <v>50</v>
      </c>
      <c r="Q24" s="158">
        <f>Perform_Sectors!AJ24</f>
        <v>105</v>
      </c>
      <c r="R24" s="977">
        <f>Perform_Sectors!AO24</f>
        <v>100</v>
      </c>
      <c r="S24" s="965">
        <f>Perform_Sectors!AT24</f>
        <v>4.4000000000000004</v>
      </c>
      <c r="T24" s="669">
        <f>IF(ISNUMBER(Tech_Specs!$N23),S24*(1+Tech_Specs!$N23),"")</f>
        <v>3.8500000000000005</v>
      </c>
      <c r="U24" s="965">
        <f>Perform_Sectors!AY24</f>
        <v>20</v>
      </c>
      <c r="V24" s="422">
        <f>IF(ISNUMBER(Tech_Specs!$N23),U24*(1+Tech_Specs!$N23),"")</f>
        <v>17.5</v>
      </c>
      <c r="W24" s="162">
        <f>Perform_Sectors!BD24</f>
        <v>75</v>
      </c>
      <c r="X24" s="514">
        <f>Perform_Sectors!BI24</f>
        <v>0</v>
      </c>
      <c r="Y24" s="514">
        <f>Perform_Sectors!BN24</f>
        <v>0</v>
      </c>
      <c r="Z24" s="514">
        <f>Perform_Sectors!BS24</f>
        <v>4.7241845783856906</v>
      </c>
    </row>
    <row r="25" spans="1:26" ht="12.75" customHeight="1" x14ac:dyDescent="0.25">
      <c r="B25" s="81" t="s">
        <v>29</v>
      </c>
      <c r="C25" s="157" t="str">
        <f>IF(Standards_Active!E25="","No",Standards_Active!E25)</f>
        <v>No</v>
      </c>
      <c r="D25" s="158" t="str">
        <f>IF(Standards_Active!Q25="","No",Standards_Active!Q25)</f>
        <v>No</v>
      </c>
      <c r="E25" s="849" t="s">
        <v>129</v>
      </c>
      <c r="F25" s="849" t="s">
        <v>129</v>
      </c>
      <c r="G25" s="352">
        <f>Tech_Specs!X24</f>
        <v>25.2</v>
      </c>
      <c r="H25" s="163">
        <v>1</v>
      </c>
      <c r="I25" s="319">
        <f>IFERROR(SUMPRODUCT(I22:I24,Tech_Specs!AH21:AH23)/SUM(Tech_Specs!AH21:AH23),0)</f>
        <v>2642.5658798487366</v>
      </c>
      <c r="J25" s="651">
        <v>1</v>
      </c>
      <c r="K25" s="969">
        <f>Perform_Sectors!P25</f>
        <v>1</v>
      </c>
      <c r="L25" s="654">
        <f>IF($K25&lt;1,IF(Standards_Active!S25="Yes",IF(ISNUMBER(Standards_Active!W25),Standards_Active!W25,$K25),$K25),$K25)</f>
        <v>1</v>
      </c>
      <c r="M25" s="944">
        <f>Perform_Sectors!U25</f>
        <v>1</v>
      </c>
      <c r="N25" s="973">
        <f>Perform_Sectors!Z25</f>
        <v>25</v>
      </c>
      <c r="O25" s="526" t="str">
        <f>IFERROR(N25*(1+Tech_Specs!M24),"n/a")</f>
        <v>n/a</v>
      </c>
      <c r="P25" s="157" t="str">
        <f>Perform_Sectors!AI25</f>
        <v>n/a</v>
      </c>
      <c r="Q25" s="158" t="str">
        <f>Perform_Sectors!AJ25</f>
        <v>n/a</v>
      </c>
      <c r="R25" s="977"/>
      <c r="S25" s="965" t="str">
        <f>Perform_Sectors!AT25</f>
        <v>n/a</v>
      </c>
      <c r="T25" s="669" t="str">
        <f>IF(ISNUMBER(Tech_Specs!$N24),S25*(1+Tech_Specs!$N24),"")</f>
        <v/>
      </c>
      <c r="U25" s="965" t="str">
        <f>Perform_Sectors!AY25</f>
        <v>n/a</v>
      </c>
      <c r="V25" s="422" t="str">
        <f>IF(ISNUMBER(Tech_Specs!$N24),U25*(1+Tech_Specs!$N24),"")</f>
        <v/>
      </c>
      <c r="W25" s="162">
        <f>Perform_Sectors!BD25</f>
        <v>0</v>
      </c>
      <c r="X25" s="514">
        <f>Perform_Sectors!BI25</f>
        <v>0</v>
      </c>
      <c r="Y25" s="514">
        <f>Perform_Sectors!BN25</f>
        <v>0</v>
      </c>
      <c r="Z25" s="514">
        <f>Perform_Sectors!BS25</f>
        <v>4.7241845783856906</v>
      </c>
    </row>
    <row r="26" spans="1:26" ht="12.75" customHeight="1" x14ac:dyDescent="0.35">
      <c r="C26" s="157"/>
      <c r="D26" s="158"/>
      <c r="E26" s="159"/>
      <c r="F26" s="905"/>
      <c r="G26" s="160"/>
      <c r="H26" s="163"/>
      <c r="I26" s="319"/>
      <c r="J26" s="651"/>
      <c r="K26" s="971"/>
      <c r="L26" s="656"/>
      <c r="M26" s="944"/>
      <c r="N26" s="974"/>
      <c r="O26" s="526"/>
      <c r="P26" s="157"/>
      <c r="Q26" s="158"/>
      <c r="R26" s="977"/>
      <c r="S26" s="965"/>
      <c r="T26" s="669"/>
      <c r="U26" s="965"/>
      <c r="V26" s="422"/>
      <c r="W26" s="162"/>
      <c r="X26" s="514"/>
      <c r="Y26" s="514"/>
      <c r="Z26" s="514"/>
    </row>
    <row r="27" spans="1:26" ht="12.75" customHeight="1" x14ac:dyDescent="0.3">
      <c r="A27" s="58" t="s">
        <v>42</v>
      </c>
      <c r="B27" s="57"/>
      <c r="C27" s="166"/>
      <c r="D27" s="423"/>
      <c r="E27" s="167"/>
      <c r="F27" s="906"/>
      <c r="G27" s="169"/>
      <c r="H27" s="170"/>
      <c r="I27" s="1141"/>
      <c r="J27" s="171"/>
      <c r="K27" s="166"/>
      <c r="L27" s="423"/>
      <c r="M27" s="169"/>
      <c r="N27" s="975"/>
      <c r="O27" s="527"/>
      <c r="P27" s="166"/>
      <c r="Q27" s="423"/>
      <c r="R27" s="950"/>
      <c r="S27" s="703"/>
      <c r="T27" s="670"/>
      <c r="U27" s="703"/>
      <c r="V27" s="173"/>
      <c r="W27" s="173"/>
      <c r="X27" s="515"/>
      <c r="Y27" s="515"/>
      <c r="Z27" s="515"/>
    </row>
    <row r="28" spans="1:26" ht="12.75" customHeight="1" x14ac:dyDescent="0.35">
      <c r="B28" s="101" t="s">
        <v>43</v>
      </c>
      <c r="C28" s="157" t="str">
        <f>IF(Standards_Active!E28="","No",Standards_Active!E28)</f>
        <v>No</v>
      </c>
      <c r="D28" s="158" t="str">
        <f>IF(Standards_Active!D28="","No",Standards_Active!D28)</f>
        <v>No</v>
      </c>
      <c r="E28" s="849">
        <f>IF(Active_Case="Res",Perform_Sectors!$G28,IF(Active_Case="Com",Perform_Sectors!$H28,IF(Active_Case="Ind",Perform_Sectors!$I28,IF(Active_Case="Out",Perform_Sectors!$J28))))</f>
        <v>33.376777077251838</v>
      </c>
      <c r="F28" s="905">
        <f>E28*(1+Tech_Specs!L27)</f>
        <v>33.376777077251838</v>
      </c>
      <c r="G28" s="352">
        <f>Tech_Specs!X27</f>
        <v>193.4</v>
      </c>
      <c r="H28" s="161">
        <v>1</v>
      </c>
      <c r="I28" s="319">
        <f>$G28*$H28*Perform_Sectors!K28</f>
        <v>3683.3030000000003</v>
      </c>
      <c r="J28" s="657">
        <v>1</v>
      </c>
      <c r="K28" s="970">
        <f>Perform_Sectors!P28</f>
        <v>0.87785587961905431</v>
      </c>
      <c r="L28" s="655">
        <f>IF($K28&lt;1,IF(Standards_Active!S28="Yes",IF(ISNUMBER(Standards_Active!W28),Standards_Active!W28,$K28),$K28),$K28)</f>
        <v>0.87785587961905431</v>
      </c>
      <c r="M28" s="944">
        <f>Perform_Sectors!U28</f>
        <v>0.65</v>
      </c>
      <c r="N28" s="973">
        <f>Perform_Sectors!Z28</f>
        <v>20</v>
      </c>
      <c r="O28" s="526">
        <f>IFERROR(N28*(1+Tech_Specs!M27),"n/a")</f>
        <v>20</v>
      </c>
      <c r="P28" s="157">
        <f>Perform_Sectors!AI28</f>
        <v>75</v>
      </c>
      <c r="Q28" s="158">
        <f>Perform_Sectors!AJ28</f>
        <v>105</v>
      </c>
      <c r="R28" s="977">
        <f>Perform_Sectors!AO28</f>
        <v>100</v>
      </c>
      <c r="S28" s="965">
        <f>Perform_Sectors!AT28</f>
        <v>18.399999999999999</v>
      </c>
      <c r="T28" s="669">
        <f>IF(ISNUMBER(Tech_Specs!$N27),S28*(1+Tech_Specs!$N27),"")</f>
        <v>16.099999999999998</v>
      </c>
      <c r="U28" s="965">
        <f>Perform_Sectors!AY28</f>
        <v>85</v>
      </c>
      <c r="V28" s="422">
        <f>IF(ISNUMBER(Tech_Specs!$N27),U28*(1+Tech_Specs!$N27),"")</f>
        <v>74.375</v>
      </c>
      <c r="W28" s="162">
        <f>Perform_Sectors!BD28</f>
        <v>100</v>
      </c>
      <c r="X28" s="514">
        <f>Perform_Sectors!BI28</f>
        <v>0</v>
      </c>
      <c r="Y28" s="514">
        <f>Perform_Sectors!BN28</f>
        <v>0</v>
      </c>
      <c r="Z28" s="514">
        <f>Perform_Sectors!BS28</f>
        <v>20.362158638591502</v>
      </c>
    </row>
    <row r="29" spans="1:26" ht="12.75" customHeight="1" x14ac:dyDescent="0.35">
      <c r="B29" s="101" t="s">
        <v>44</v>
      </c>
      <c r="C29" s="157" t="str">
        <f>IF(Standards_Active!E29="","No",Standards_Active!E29)</f>
        <v>No</v>
      </c>
      <c r="D29" s="158" t="str">
        <f>IF(Standards_Active!D29="","No",Standards_Active!D29)</f>
        <v>No</v>
      </c>
      <c r="E29" s="849">
        <f>IF(Active_Case="Res",Perform_Sectors!$G29,IF(Active_Case="Com",Perform_Sectors!$H29,IF(Active_Case="Ind",Perform_Sectors!$I29,IF(Active_Case="Out",Perform_Sectors!$J29))))</f>
        <v>56.044443000881579</v>
      </c>
      <c r="F29" s="905">
        <f>E29*(1+Tech_Specs!L28)</f>
        <v>66.552776063546872</v>
      </c>
      <c r="G29" s="352">
        <f>Tech_Specs!X28</f>
        <v>79</v>
      </c>
      <c r="H29" s="161">
        <v>1</v>
      </c>
      <c r="I29" s="319">
        <f>$G29*$H29*Perform_Sectors!K29</f>
        <v>2516.15</v>
      </c>
      <c r="J29" s="657">
        <v>1</v>
      </c>
      <c r="K29" s="970">
        <f>Perform_Sectors!P29</f>
        <v>0.87430612878477942</v>
      </c>
      <c r="L29" s="655">
        <f>IF($K29&lt;1,IF(Standards_Active!S29="Yes",IF(ISNUMBER(Standards_Active!W29),Standards_Active!W29,$K29),$K29),$K29)</f>
        <v>0.87430612878477942</v>
      </c>
      <c r="M29" s="944">
        <f>Perform_Sectors!U29</f>
        <v>0.65</v>
      </c>
      <c r="N29" s="973">
        <f>Perform_Sectors!Z29</f>
        <v>18</v>
      </c>
      <c r="O29" s="526">
        <f>IFERROR(N29*(1+Tech_Specs!M28),"n/a")</f>
        <v>21.375</v>
      </c>
      <c r="P29" s="157">
        <f>Perform_Sectors!AI29</f>
        <v>75</v>
      </c>
      <c r="Q29" s="158">
        <f>Perform_Sectors!AJ29</f>
        <v>105</v>
      </c>
      <c r="R29" s="977">
        <f>Perform_Sectors!AO29</f>
        <v>100</v>
      </c>
      <c r="S29" s="965">
        <f>Perform_Sectors!AT29</f>
        <v>29</v>
      </c>
      <c r="T29" s="669">
        <f>IF(ISNUMBER(Tech_Specs!$N28),S29*(1+Tech_Specs!$N28),"")</f>
        <v>25.375</v>
      </c>
      <c r="U29" s="965">
        <f>Perform_Sectors!AY29</f>
        <v>95</v>
      </c>
      <c r="V29" s="422">
        <f>IF(ISNUMBER(Tech_Specs!$N28),U29*(1+Tech_Specs!$N28),"")</f>
        <v>83.125</v>
      </c>
      <c r="W29" s="162">
        <f>Perform_Sectors!BD29</f>
        <v>100</v>
      </c>
      <c r="X29" s="514">
        <f>Perform_Sectors!BI29</f>
        <v>0</v>
      </c>
      <c r="Y29" s="514">
        <f>Perform_Sectors!BN29</f>
        <v>0</v>
      </c>
      <c r="Z29" s="514">
        <f>Perform_Sectors!BS29</f>
        <v>29.80744391232637</v>
      </c>
    </row>
    <row r="30" spans="1:26" ht="12.75" customHeight="1" x14ac:dyDescent="0.35">
      <c r="B30" s="101" t="s">
        <v>45</v>
      </c>
      <c r="C30" s="157" t="str">
        <f>IF(Standards_Active!E30="","No",Standards_Active!E30)</f>
        <v>No</v>
      </c>
      <c r="D30" s="158" t="str">
        <f>IF(Standards_Active!Q30="","No",Standards_Active!Q30)</f>
        <v>No</v>
      </c>
      <c r="E30" s="849">
        <f>IF(Active_Case="Res",Perform_Sectors!$G30,IF(Active_Case="Com",Perform_Sectors!$H30,IF(Active_Case="Ind",Perform_Sectors!$I30,IF(Active_Case="Out",Perform_Sectors!$J30))))</f>
        <v>83.020267636389448</v>
      </c>
      <c r="F30" s="905">
        <f>E30*(1+Tech_Specs!L29)</f>
        <v>88.20903436366379</v>
      </c>
      <c r="G30" s="352">
        <f>Tech_Specs!X29</f>
        <v>149.5</v>
      </c>
      <c r="H30" s="161">
        <v>1</v>
      </c>
      <c r="I30" s="319">
        <f>$G30*$H30*Perform_Sectors!K30</f>
        <v>6811.9674999999997</v>
      </c>
      <c r="J30" s="657">
        <v>1</v>
      </c>
      <c r="K30" s="970">
        <f>Perform_Sectors!P30</f>
        <v>0.8443721273824677</v>
      </c>
      <c r="L30" s="655">
        <f>IF($K30&lt;1,IF(Standards_Active!S30="Yes",IF(ISNUMBER(Standards_Active!W30),Standards_Active!W30,$K30),$K30),$K30)</f>
        <v>0.8443721273824677</v>
      </c>
      <c r="M30" s="944">
        <f>Perform_Sectors!U30</f>
        <v>0.65</v>
      </c>
      <c r="N30" s="973">
        <f>Perform_Sectors!Z30</f>
        <v>28</v>
      </c>
      <c r="O30" s="526">
        <f>IFERROR(N30*(1+Tech_Specs!M29),"n/a")</f>
        <v>29.75</v>
      </c>
      <c r="P30" s="157">
        <f>Perform_Sectors!AI30</f>
        <v>75</v>
      </c>
      <c r="Q30" s="158">
        <f>Perform_Sectors!AJ30</f>
        <v>105</v>
      </c>
      <c r="R30" s="977">
        <f>Perform_Sectors!AO30</f>
        <v>100</v>
      </c>
      <c r="S30" s="965">
        <f>Perform_Sectors!AT30</f>
        <v>21</v>
      </c>
      <c r="T30" s="669">
        <f>IF(ISNUMBER(Tech_Specs!$N29),S30*(1+Tech_Specs!$N29),"")</f>
        <v>18.375</v>
      </c>
      <c r="U30" s="965">
        <f>Perform_Sectors!AY30</f>
        <v>85</v>
      </c>
      <c r="V30" s="422">
        <f>IF(ISNUMBER(Tech_Specs!$N29),U30*(1+Tech_Specs!$N29),"")</f>
        <v>74.375</v>
      </c>
      <c r="W30" s="162">
        <f>Perform_Sectors!BD30</f>
        <v>100</v>
      </c>
      <c r="X30" s="514">
        <f>Perform_Sectors!BI30</f>
        <v>0</v>
      </c>
      <c r="Y30" s="514">
        <f>Perform_Sectors!BN30</f>
        <v>0</v>
      </c>
      <c r="Z30" s="514">
        <f>Perform_Sectors!BS30</f>
        <v>11.010034912820709</v>
      </c>
    </row>
    <row r="31" spans="1:26" ht="12.75" customHeight="1" x14ac:dyDescent="0.35">
      <c r="B31" s="101" t="s">
        <v>46</v>
      </c>
      <c r="C31" s="157" t="str">
        <f>IF(Standards_Active!E31="","No",Standards_Active!E31)</f>
        <v>No</v>
      </c>
      <c r="D31" s="158" t="str">
        <f>IF(Standards_Active!Q31="","No",Standards_Active!Q31)</f>
        <v>No</v>
      </c>
      <c r="E31" s="849">
        <f>IF(Active_Case="Res",Perform_Sectors!$G31,IF(Active_Case="Com",Perform_Sectors!$H31,IF(Active_Case="Ind",Perform_Sectors!$I31,IF(Active_Case="Out",Perform_Sectors!$J31))))</f>
        <v>0</v>
      </c>
      <c r="F31" s="905">
        <f>E31*(1+Tech_Specs!L30)</f>
        <v>0</v>
      </c>
      <c r="G31" s="352">
        <f>Tech_Specs!X30</f>
        <v>0</v>
      </c>
      <c r="H31" s="161">
        <v>1</v>
      </c>
      <c r="I31" s="319">
        <f>$G31*$H31*Perform_Sectors!K31</f>
        <v>0</v>
      </c>
      <c r="J31" s="657">
        <v>1</v>
      </c>
      <c r="K31" s="970">
        <f>Perform_Sectors!P31</f>
        <v>0.74268392264446903</v>
      </c>
      <c r="L31" s="655">
        <f>IF($K31&lt;1,IF(Standards_Active!S31="Yes",IF(ISNUMBER(Standards_Active!W31),Standards_Active!W31,$K31),$K31),$K31)</f>
        <v>0.74268392264446903</v>
      </c>
      <c r="M31" s="944">
        <f>Perform_Sectors!U31</f>
        <v>0.65</v>
      </c>
      <c r="N31" s="973">
        <f>Perform_Sectors!Z31</f>
        <v>25</v>
      </c>
      <c r="O31" s="526">
        <f>IFERROR(N31*(1+Tech_Specs!M30),"n/a")</f>
        <v>29.6875</v>
      </c>
      <c r="P31" s="157">
        <f>Perform_Sectors!AI31</f>
        <v>75</v>
      </c>
      <c r="Q31" s="158">
        <f>Perform_Sectors!AJ31</f>
        <v>105</v>
      </c>
      <c r="R31" s="977">
        <f>Perform_Sectors!AO31</f>
        <v>100</v>
      </c>
      <c r="S31" s="965">
        <f>Perform_Sectors!AT31</f>
        <v>18.399999999999999</v>
      </c>
      <c r="T31" s="669">
        <f>IF(ISNUMBER(Tech_Specs!$N30),S31*(1+Tech_Specs!$N30),"")</f>
        <v>16.099999999999998</v>
      </c>
      <c r="U31" s="965">
        <f>Perform_Sectors!AY31</f>
        <v>175</v>
      </c>
      <c r="V31" s="422">
        <f>IF(ISNUMBER(Tech_Specs!$N30),U31*(1+Tech_Specs!$N30),"")</f>
        <v>153.125</v>
      </c>
      <c r="W31" s="162">
        <f>Perform_Sectors!BD31</f>
        <v>100</v>
      </c>
      <c r="X31" s="514">
        <f>Perform_Sectors!BI31</f>
        <v>0</v>
      </c>
      <c r="Y31" s="514">
        <f>Perform_Sectors!BN31</f>
        <v>0</v>
      </c>
      <c r="Z31" s="514">
        <f>Perform_Sectors!BS31</f>
        <v>0</v>
      </c>
    </row>
    <row r="32" spans="1:26" ht="12.75" customHeight="1" x14ac:dyDescent="0.35">
      <c r="B32" s="81" t="s">
        <v>29</v>
      </c>
      <c r="C32" s="157" t="str">
        <f>IF(Standards_Active!E32="","No",Standards_Active!E32)</f>
        <v>No</v>
      </c>
      <c r="D32" s="158" t="str">
        <f>IF(Standards_Active!Q32="","No",Standards_Active!Q32)</f>
        <v>No</v>
      </c>
      <c r="E32" s="962" t="s">
        <v>129</v>
      </c>
      <c r="F32" s="962" t="s">
        <v>129</v>
      </c>
      <c r="G32" s="352">
        <f>Tech_Specs!X31</f>
        <v>25.2</v>
      </c>
      <c r="H32" s="163">
        <v>1</v>
      </c>
      <c r="I32" s="319">
        <f>IFERROR(SUMPRODUCT(I29:I31,Tech_Specs!AH28:AH30)/SUM(Tech_Specs!AH28:AH30),0)</f>
        <v>6654.5474776058618</v>
      </c>
      <c r="J32" s="652">
        <v>1</v>
      </c>
      <c r="K32" s="969">
        <f>Perform_Sectors!P32</f>
        <v>1</v>
      </c>
      <c r="L32" s="654">
        <f>IF($K32&lt;1,IF(Standards_Active!S32="Yes",IF(ISNUMBER(Standards_Active!W32),Standards_Active!W32,$K32),$K32),$K32)</f>
        <v>1</v>
      </c>
      <c r="M32" s="944">
        <f>Perform_Sectors!U32</f>
        <v>1</v>
      </c>
      <c r="N32" s="973">
        <f>Perform_Sectors!Z32</f>
        <v>25</v>
      </c>
      <c r="O32" s="526" t="str">
        <f>IFERROR(N32*(1+Tech_Specs!M31),"n/a")</f>
        <v>n/a</v>
      </c>
      <c r="P32" s="157" t="str">
        <f>Perform_Sectors!AI32</f>
        <v>n/a</v>
      </c>
      <c r="Q32" s="158" t="str">
        <f>Perform_Sectors!AJ32</f>
        <v>n/a</v>
      </c>
      <c r="R32" s="977"/>
      <c r="S32" s="965" t="str">
        <f>Perform_Sectors!AT32</f>
        <v>n/a</v>
      </c>
      <c r="T32" s="669" t="str">
        <f>IF(ISNUMBER(Tech_Specs!$N31),S32*(1+Tech_Specs!$N31),"")</f>
        <v/>
      </c>
      <c r="U32" s="965" t="str">
        <f>Perform_Sectors!AY32</f>
        <v>n/a</v>
      </c>
      <c r="V32" s="422" t="str">
        <f>IF(ISNUMBER(Tech_Specs!$N31),U32*(1+Tech_Specs!$N31),"")</f>
        <v/>
      </c>
      <c r="W32" s="162" t="str">
        <f>Perform_Sectors!BD32</f>
        <v>n/a</v>
      </c>
      <c r="X32" s="514">
        <f>Perform_Sectors!BI32</f>
        <v>0</v>
      </c>
      <c r="Y32" s="514">
        <f>Perform_Sectors!BN32</f>
        <v>0</v>
      </c>
      <c r="Z32" s="514">
        <f>Perform_Sectors!BS32</f>
        <v>11.27048837691712</v>
      </c>
    </row>
    <row r="33" spans="1:67" ht="12.75" customHeight="1" x14ac:dyDescent="0.35">
      <c r="C33" s="157"/>
      <c r="D33" s="158"/>
      <c r="E33" s="159"/>
      <c r="F33" s="905"/>
      <c r="G33" s="160"/>
      <c r="H33" s="163"/>
      <c r="I33" s="319"/>
      <c r="J33" s="652"/>
      <c r="K33" s="969"/>
      <c r="L33" s="654"/>
      <c r="M33" s="944"/>
      <c r="N33" s="974"/>
      <c r="O33" s="526"/>
      <c r="P33" s="157"/>
      <c r="Q33" s="158"/>
      <c r="R33" s="977"/>
      <c r="S33" s="965"/>
      <c r="T33" s="669"/>
      <c r="U33" s="967"/>
      <c r="V33" s="422"/>
      <c r="W33" s="963"/>
      <c r="X33" s="514"/>
      <c r="Y33" s="514"/>
      <c r="Z33" s="514"/>
    </row>
    <row r="34" spans="1:67" ht="12.75" customHeight="1" x14ac:dyDescent="0.25">
      <c r="A34" s="11" t="s">
        <v>47</v>
      </c>
      <c r="B34" s="10"/>
      <c r="C34" s="166"/>
      <c r="D34" s="423"/>
      <c r="E34" s="167"/>
      <c r="F34" s="906"/>
      <c r="G34" s="169"/>
      <c r="H34" s="170"/>
      <c r="I34" s="1141"/>
      <c r="J34" s="171"/>
      <c r="K34" s="166"/>
      <c r="L34" s="423"/>
      <c r="M34" s="169"/>
      <c r="N34" s="975"/>
      <c r="O34" s="527"/>
      <c r="P34" s="166"/>
      <c r="Q34" s="423"/>
      <c r="R34" s="950"/>
      <c r="S34" s="703"/>
      <c r="T34" s="670"/>
      <c r="U34" s="703"/>
      <c r="V34" s="173"/>
      <c r="W34" s="173"/>
      <c r="X34" s="515"/>
      <c r="Y34" s="515"/>
      <c r="Z34" s="515"/>
    </row>
    <row r="35" spans="1:67" ht="12.75" customHeight="1" x14ac:dyDescent="0.25">
      <c r="B35" s="81" t="s">
        <v>48</v>
      </c>
      <c r="C35" s="157" t="str">
        <f>IF(Standards_Active!E35="","No",Standards_Active!E35)</f>
        <v>Yes</v>
      </c>
      <c r="D35" s="158">
        <f>IF(Standards_Active!D35="","No",Standards_Active!D35)</f>
        <v>2014</v>
      </c>
      <c r="E35" s="849">
        <f>IF(Active_Case="Res",Perform_Sectors!$G35,IF(Active_Case="Com",Perform_Sectors!$H35,IF(Active_Case="Ind",Perform_Sectors!$I35,IF(Active_Case="Out",Perform_Sectors!$J35))))</f>
        <v>11</v>
      </c>
      <c r="F35" s="905">
        <f>E35*(1+Tech_Specs!L34)</f>
        <v>11.6875</v>
      </c>
      <c r="G35" s="352">
        <f>Tech_Specs!X34</f>
        <v>43.9</v>
      </c>
      <c r="H35" s="161">
        <v>1</v>
      </c>
      <c r="I35" s="319">
        <f>$G35*$H35*Perform_Sectors!K35</f>
        <v>482.9</v>
      </c>
      <c r="J35" s="651">
        <v>1</v>
      </c>
      <c r="K35" s="969">
        <f>Perform_Sectors!P35</f>
        <v>1</v>
      </c>
      <c r="L35" s="654">
        <f>IF($K35&lt;1,IF(Standards_Active!S35="Yes",IF(ISNUMBER(Standards_Active!W35),Standards_Active!W35,$K35),$K35),$K35)</f>
        <v>1</v>
      </c>
      <c r="M35" s="944">
        <f>Perform_Sectors!U35</f>
        <v>1</v>
      </c>
      <c r="N35" s="973">
        <f>Perform_Sectors!Z35</f>
        <v>1</v>
      </c>
      <c r="O35" s="526">
        <f>IFERROR(N35*(1+Tech_Specs!M34),"n/a")</f>
        <v>1.125</v>
      </c>
      <c r="P35" s="157" t="str">
        <f>Perform_Sectors!AI35</f>
        <v>n/a</v>
      </c>
      <c r="Q35" s="158" t="str">
        <f>Perform_Sectors!AJ35</f>
        <v>n/a</v>
      </c>
      <c r="R35" s="977">
        <f>Perform_Sectors!AO35</f>
        <v>100</v>
      </c>
      <c r="S35" s="965">
        <f>Perform_Sectors!AT35</f>
        <v>0.95823036626248814</v>
      </c>
      <c r="T35" s="669">
        <f>IF(ISNUMBER(Tech_Specs!$N34),S35*(1+Tech_Specs!$N34),"")</f>
        <v>0.83845157047967711</v>
      </c>
      <c r="U35" s="965" t="str">
        <f>Perform_Sectors!AY35</f>
        <v>n/a</v>
      </c>
      <c r="V35" s="165"/>
      <c r="W35" s="162">
        <f>Perform_Sectors!BD35</f>
        <v>18.5</v>
      </c>
      <c r="X35" s="514">
        <f>Perform_Sectors!BI35</f>
        <v>0</v>
      </c>
      <c r="Y35" s="514">
        <f>Perform_Sectors!BN35</f>
        <v>0</v>
      </c>
      <c r="Z35" s="514">
        <f>Perform_Sectors!BS35</f>
        <v>2.5577458119645291</v>
      </c>
    </row>
    <row r="36" spans="1:67" ht="12.75" customHeight="1" x14ac:dyDescent="0.25">
      <c r="B36" s="101" t="s">
        <v>50</v>
      </c>
      <c r="C36" s="157" t="str">
        <f>IF(Standards_Active!E36="","No",Standards_Active!E36)</f>
        <v>No</v>
      </c>
      <c r="D36" s="158" t="str">
        <f>IF(Standards_Active!Q36="","No",Standards_Active!Q36)</f>
        <v>No</v>
      </c>
      <c r="E36" s="849">
        <f>IF(Active_Case="Res",Perform_Sectors!$G36,IF(Active_Case="Com",Perform_Sectors!$H36,IF(Active_Case="Ind",Perform_Sectors!$I36,IF(Active_Case="Out",Perform_Sectors!$J36))))</f>
        <v>14.8</v>
      </c>
      <c r="F36" s="905">
        <f>E36*(1+Tech_Specs!L35)</f>
        <v>15.725000000000001</v>
      </c>
      <c r="G36" s="352">
        <f>Tech_Specs!X35</f>
        <v>71.400000000000006</v>
      </c>
      <c r="H36" s="163">
        <v>1</v>
      </c>
      <c r="I36" s="319">
        <f>$G36*$H36*Perform_Sectors!K36</f>
        <v>1056.72</v>
      </c>
      <c r="J36" s="651">
        <v>1</v>
      </c>
      <c r="K36" s="969">
        <f>Perform_Sectors!P36</f>
        <v>1</v>
      </c>
      <c r="L36" s="654">
        <f>IF($K36&lt;1,IF(Standards_Active!S36="Yes",IF(ISNUMBER(Standards_Active!W36),Standards_Active!W36,$K36),$K36),$K36)</f>
        <v>1</v>
      </c>
      <c r="M36" s="944">
        <f>Perform_Sectors!U36</f>
        <v>1</v>
      </c>
      <c r="N36" s="973">
        <f>Perform_Sectors!Z36</f>
        <v>4</v>
      </c>
      <c r="O36" s="526">
        <f>IFERROR(N36*(1+Tech_Specs!M35),"n/a")</f>
        <v>4.5</v>
      </c>
      <c r="P36" s="157" t="str">
        <f>Perform_Sectors!AI36</f>
        <v>n/a</v>
      </c>
      <c r="Q36" s="158" t="str">
        <f>Perform_Sectors!AJ36</f>
        <v>n/a</v>
      </c>
      <c r="R36" s="977">
        <f>Perform_Sectors!AO36</f>
        <v>100</v>
      </c>
      <c r="S36" s="965">
        <f>Perform_Sectors!AT36</f>
        <v>4.3166941802403134</v>
      </c>
      <c r="T36" s="669">
        <f>IF(ISNUMBER(Tech_Specs!$N35),S36*(1+Tech_Specs!$N35),"")</f>
        <v>3.7771074077102744</v>
      </c>
      <c r="U36" s="965" t="str">
        <f>Perform_Sectors!AY36</f>
        <v>n/a</v>
      </c>
      <c r="V36" s="422"/>
      <c r="W36" s="162">
        <f>Perform_Sectors!BD36</f>
        <v>18.5</v>
      </c>
      <c r="X36" s="514">
        <f>Perform_Sectors!BI36</f>
        <v>0</v>
      </c>
      <c r="Y36" s="514">
        <f>Perform_Sectors!BN36</f>
        <v>0</v>
      </c>
      <c r="Z36" s="514">
        <f>Perform_Sectors!BS36</f>
        <v>2.2294106230667099</v>
      </c>
    </row>
    <row r="37" spans="1:67" ht="12.6" x14ac:dyDescent="0.25">
      <c r="B37" s="81" t="s">
        <v>51</v>
      </c>
      <c r="C37" s="157" t="str">
        <f>IF(Standards_Active!E37="","No",Standards_Active!E37)</f>
        <v>No</v>
      </c>
      <c r="D37" s="158" t="str">
        <f>IF(Standards_Active!Q37="","No",Standards_Active!Q37)</f>
        <v>No</v>
      </c>
      <c r="E37" s="849">
        <f>IF(Active_Case="Res",Perform_Sectors!$G37,IF(Active_Case="Com",Perform_Sectors!$H37,IF(Active_Case="Ind",Perform_Sectors!$I37,IF(Active_Case="Out",Perform_Sectors!$J37))))</f>
        <v>52.5</v>
      </c>
      <c r="F37" s="905">
        <f>E37*(1+Tech_Specs!L36)</f>
        <v>55.78125</v>
      </c>
      <c r="G37" s="352">
        <f>Tech_Specs!X36</f>
        <v>18.100000000000001</v>
      </c>
      <c r="H37" s="161">
        <v>1</v>
      </c>
      <c r="I37" s="319">
        <f>$G37*$H37*Perform_Sectors!K37</f>
        <v>950.25000000000011</v>
      </c>
      <c r="J37" s="651">
        <v>1</v>
      </c>
      <c r="K37" s="969">
        <f>Perform_Sectors!P37</f>
        <v>1</v>
      </c>
      <c r="L37" s="654">
        <f>IF($K37&lt;1,IF(Standards_Active!S37="Yes",IF(ISNUMBER(Standards_Active!W37),Standards_Active!W37,$K37),$K37),$K37)</f>
        <v>1</v>
      </c>
      <c r="M37" s="944">
        <f>Perform_Sectors!U37</f>
        <v>1</v>
      </c>
      <c r="N37" s="973">
        <f>Perform_Sectors!Z37</f>
        <v>12</v>
      </c>
      <c r="O37" s="526">
        <f>IFERROR(N37*(1+Tech_Specs!M36),"n/a")</f>
        <v>13.5</v>
      </c>
      <c r="P37" s="157" t="str">
        <f>Perform_Sectors!AI37</f>
        <v>n/a</v>
      </c>
      <c r="Q37" s="158" t="str">
        <f>Perform_Sectors!AJ37</f>
        <v>n/a</v>
      </c>
      <c r="R37" s="977">
        <f>Perform_Sectors!AO37</f>
        <v>100</v>
      </c>
      <c r="S37" s="965">
        <f>Perform_Sectors!AT37</f>
        <v>3.6776407187469418</v>
      </c>
      <c r="T37" s="669">
        <f>IF(ISNUMBER(Tech_Specs!$N36),S37*(1+Tech_Specs!$N36),"")</f>
        <v>3.2179356289035739</v>
      </c>
      <c r="U37" s="965">
        <f>Perform_Sectors!AY37</f>
        <v>30</v>
      </c>
      <c r="V37" s="422">
        <f>IF(ISNUMBER(Tech_Specs!$N36),U37*(1+Tech_Specs!$N36),"")</f>
        <v>26.25</v>
      </c>
      <c r="W37" s="162">
        <f>Perform_Sectors!BD37</f>
        <v>18.5</v>
      </c>
      <c r="X37" s="514">
        <f>Perform_Sectors!BI37</f>
        <v>0</v>
      </c>
      <c r="Y37" s="514">
        <f>Perform_Sectors!BN37</f>
        <v>0</v>
      </c>
      <c r="Z37" s="514">
        <f>Perform_Sectors!BS37</f>
        <v>4.7241845783856906</v>
      </c>
    </row>
    <row r="38" spans="1:67" ht="12.6" x14ac:dyDescent="0.25">
      <c r="B38" s="81" t="s">
        <v>52</v>
      </c>
      <c r="C38" s="157" t="str">
        <f>IF(Standards_Active!E38="","No",Standards_Active!E38)</f>
        <v>No</v>
      </c>
      <c r="D38" s="158" t="str">
        <f>IF(Standards_Active!Q38="","No",Standards_Active!Q38)</f>
        <v>No</v>
      </c>
      <c r="E38" s="849">
        <f>IF(Active_Case="Res",Perform_Sectors!$G38,IF(Active_Case="Com",Perform_Sectors!$H38,IF(Active_Case="Ind",Perform_Sectors!$I38,IF(Active_Case="Out",Perform_Sectors!$J38))))</f>
        <v>71.903669724770651</v>
      </c>
      <c r="F38" s="905">
        <f>E38*(1+Tech_Specs!L37)</f>
        <v>76.397649082568819</v>
      </c>
      <c r="G38" s="352">
        <f>Tech_Specs!X37</f>
        <v>16.399999999999999</v>
      </c>
      <c r="H38" s="161">
        <v>2</v>
      </c>
      <c r="I38" s="319">
        <f>$G38*$H38*Perform_Sectors!K38</f>
        <v>1439.5919999999999</v>
      </c>
      <c r="J38" s="651">
        <v>0.68</v>
      </c>
      <c r="K38" s="970">
        <f>Perform_Sectors!P38</f>
        <v>0.872</v>
      </c>
      <c r="L38" s="655">
        <f>IF($K38&lt;1,IF(Standards_Active!S38="Yes",IF(ISNUMBER(Standards_Active!W38),Standards_Active!W38,$K38),$K38),$K38)</f>
        <v>0.872</v>
      </c>
      <c r="M38" s="944">
        <f>Perform_Sectors!U38</f>
        <v>0.7</v>
      </c>
      <c r="N38" s="973">
        <f>Perform_Sectors!Z38</f>
        <v>20</v>
      </c>
      <c r="O38" s="526">
        <f>IFERROR(N38*(1+Tech_Specs!M37),"n/a")</f>
        <v>22.5</v>
      </c>
      <c r="P38" s="157">
        <f>Perform_Sectors!AI38</f>
        <v>50</v>
      </c>
      <c r="Q38" s="158">
        <f>Perform_Sectors!AJ38</f>
        <v>105</v>
      </c>
      <c r="R38" s="977">
        <f>Perform_Sectors!AO38</f>
        <v>100</v>
      </c>
      <c r="S38" s="965">
        <f>Perform_Sectors!AT38</f>
        <v>3.4898933830365202</v>
      </c>
      <c r="T38" s="669">
        <f>IF(ISNUMBER(Tech_Specs!$N37),S38*(1+Tech_Specs!$N37),"")</f>
        <v>3.0536567101569552</v>
      </c>
      <c r="U38" s="965">
        <f>Perform_Sectors!AY38</f>
        <v>15</v>
      </c>
      <c r="V38" s="422">
        <f>IF(ISNUMBER(Tech_Specs!$N37),U38*(1+Tech_Specs!$N37),"")</f>
        <v>13.125</v>
      </c>
      <c r="W38" s="162">
        <f>Perform_Sectors!BD38</f>
        <v>70</v>
      </c>
      <c r="X38" s="514">
        <f>Perform_Sectors!BI38</f>
        <v>0</v>
      </c>
      <c r="Y38" s="514">
        <f>Perform_Sectors!BN38</f>
        <v>0</v>
      </c>
      <c r="Z38" s="514">
        <f>Perform_Sectors!BS38</f>
        <v>4.7241845783856906</v>
      </c>
    </row>
    <row r="39" spans="1:67" ht="12.6" x14ac:dyDescent="0.25">
      <c r="B39" s="101" t="s">
        <v>29</v>
      </c>
      <c r="C39" s="157" t="str">
        <f>IF(Standards_Active!E39="","No",Standards_Active!E39)</f>
        <v>No</v>
      </c>
      <c r="D39" s="158" t="str">
        <f>IF(Standards_Active!P39="","No",Standards_Active!P39)</f>
        <v>No</v>
      </c>
      <c r="E39" s="962" t="s">
        <v>129</v>
      </c>
      <c r="F39" s="962" t="s">
        <v>129</v>
      </c>
      <c r="G39" s="352">
        <f>Tech_Specs!X38</f>
        <v>11.3</v>
      </c>
      <c r="H39" s="163">
        <v>1</v>
      </c>
      <c r="I39" s="319">
        <f>IFERROR(SUMPRODUCT(I36:I38,Tech_Specs!AH35:AH37)/SUM(Tech_Specs!AH35:AH37),0)</f>
        <v>1196.5651005397647</v>
      </c>
      <c r="J39" s="651">
        <v>1</v>
      </c>
      <c r="K39" s="969">
        <f>Perform_Sectors!P39</f>
        <v>1</v>
      </c>
      <c r="L39" s="654">
        <f>IF($K39&lt;1,IF(Standards_Active!S39="Yes",IF(ISNUMBER(Standards_Active!W39),Standards_Active!W39,$K39),$K39),$K39)</f>
        <v>1</v>
      </c>
      <c r="M39" s="944">
        <f>Perform_Sectors!U39</f>
        <v>1</v>
      </c>
      <c r="N39" s="973">
        <f>Perform_Sectors!Z39</f>
        <v>25</v>
      </c>
      <c r="O39" s="526" t="str">
        <f>IFERROR(N39*(1+Tech_Specs!M38),"n/a")</f>
        <v>n/a</v>
      </c>
      <c r="P39" s="157" t="str">
        <f>Perform_Sectors!AI39</f>
        <v>n/a</v>
      </c>
      <c r="Q39" s="158" t="str">
        <f>Perform_Sectors!AJ39</f>
        <v>n/a</v>
      </c>
      <c r="R39" s="977"/>
      <c r="S39" s="965" t="str">
        <f>Perform_Sectors!AT39</f>
        <v>n/a</v>
      </c>
      <c r="T39" s="669" t="str">
        <f>IF(ISNUMBER(Tech_Specs!$N38),S39*(1+Tech_Specs!$N38),"")</f>
        <v/>
      </c>
      <c r="U39" s="965" t="str">
        <f>Perform_Sectors!AY39</f>
        <v>n/a</v>
      </c>
      <c r="V39" s="162"/>
      <c r="W39" s="162">
        <f>Perform_Sectors!BD39</f>
        <v>18.5</v>
      </c>
      <c r="X39" s="514">
        <f>Perform_Sectors!BI39</f>
        <v>0</v>
      </c>
      <c r="Y39" s="514">
        <f>Perform_Sectors!BN39</f>
        <v>0</v>
      </c>
      <c r="Z39" s="514">
        <f>Perform_Sectors!BS39</f>
        <v>0</v>
      </c>
    </row>
    <row r="40" spans="1:67" ht="12.6" x14ac:dyDescent="0.25">
      <c r="B40" s="101" t="s">
        <v>53</v>
      </c>
      <c r="C40" s="339" t="str">
        <f>IF(Standards_Active!E40="","No",Standards_Active!E40)</f>
        <v>No</v>
      </c>
      <c r="D40" s="340" t="str">
        <f>IF(Standards_Active!P40="","No",Standards_Active!P40)</f>
        <v>No</v>
      </c>
      <c r="E40" s="849">
        <f>IF(Active_Case="Res",Perform_Sectors!$G40,IF(Active_Case="Com",Perform_Sectors!$H40,IF(Active_Case="Ind",Perform_Sectors!$I40,IF(Active_Case="Out",Perform_Sectors!$J40))))</f>
        <v>53.3</v>
      </c>
      <c r="F40" s="907">
        <f>E40*(1+Tech_Specs!L39)</f>
        <v>56.631249999999994</v>
      </c>
      <c r="G40" s="528">
        <f>Tech_Specs!X39</f>
        <v>19.2</v>
      </c>
      <c r="H40" s="178">
        <v>1</v>
      </c>
      <c r="I40" s="319">
        <f>$G40*$H40*Perform_Sectors!K40</f>
        <v>921.02399999999989</v>
      </c>
      <c r="J40" s="653">
        <v>1</v>
      </c>
      <c r="K40" s="972">
        <f>Perform_Sectors!P40</f>
        <v>1</v>
      </c>
      <c r="L40" s="658">
        <f>IF($K40&lt;1,IF(Standards_Active!S40="Yes",IF(ISNUMBER(Standards_Active!W40),Standards_Active!W40,$K40),$K40),$K40)</f>
        <v>1</v>
      </c>
      <c r="M40" s="945">
        <f>Perform_Sectors!U40</f>
        <v>0.9</v>
      </c>
      <c r="N40" s="976">
        <f>Perform_Sectors!Z40</f>
        <v>40</v>
      </c>
      <c r="O40" s="491">
        <f>IFERROR(N40*(1+Tech_Specs!M39),"n/a")</f>
        <v>45</v>
      </c>
      <c r="P40" s="339" t="str">
        <f>Perform_Sectors!AI40</f>
        <v>n/a</v>
      </c>
      <c r="Q40" s="340" t="str">
        <f>Perform_Sectors!AJ40</f>
        <v>n/a</v>
      </c>
      <c r="R40" s="978">
        <f>Perform_Sectors!AO40</f>
        <v>100</v>
      </c>
      <c r="S40" s="968">
        <f>Perform_Sectors!AT40</f>
        <v>7.2</v>
      </c>
      <c r="T40" s="699">
        <f>IF(ISNUMBER(Tech_Specs!$N39),S40*(1+Tech_Specs!$N39),"")</f>
        <v>6.3</v>
      </c>
      <c r="U40" s="968">
        <f>Perform_Sectors!AY40</f>
        <v>0</v>
      </c>
      <c r="V40" s="513">
        <f>IF(ISNUMBER(Tech_Specs!$N39),U40*(1+Tech_Specs!$N39),"")</f>
        <v>0</v>
      </c>
      <c r="W40" s="964">
        <f>Perform_Sectors!BD40</f>
        <v>18.5</v>
      </c>
      <c r="X40" s="469">
        <f>Perform_Sectors!BI40</f>
        <v>0</v>
      </c>
      <c r="Y40" s="469">
        <f>Perform_Sectors!BN40</f>
        <v>0</v>
      </c>
      <c r="Z40" s="469">
        <f>Perform_Sectors!BS40</f>
        <v>4.7241845783856906</v>
      </c>
    </row>
    <row r="41" spans="1:67" s="783" customFormat="1" ht="12.6" x14ac:dyDescent="0.25">
      <c r="B41" s="785"/>
      <c r="C41" s="776"/>
      <c r="D41" s="776"/>
      <c r="E41" s="516"/>
      <c r="F41" s="177"/>
      <c r="G41" s="761"/>
      <c r="H41" s="163"/>
      <c r="I41" s="761"/>
      <c r="J41" s="659"/>
      <c r="K41" s="659"/>
      <c r="L41" s="779"/>
      <c r="M41" s="435"/>
      <c r="N41" s="661"/>
      <c r="O41" s="526"/>
      <c r="P41" s="479"/>
      <c r="Q41" s="479"/>
      <c r="R41" s="664"/>
      <c r="S41" s="522"/>
      <c r="T41" s="669"/>
      <c r="U41" s="522"/>
      <c r="V41" s="669"/>
      <c r="W41" s="522"/>
      <c r="X41" s="669"/>
      <c r="Y41" s="666"/>
      <c r="Z41" s="669"/>
    </row>
    <row r="42" spans="1:67" s="783" customFormat="1" ht="12.6" x14ac:dyDescent="0.25">
      <c r="B42" s="785"/>
      <c r="C42" s="776"/>
      <c r="D42" s="776"/>
      <c r="E42" s="516"/>
      <c r="F42" s="177"/>
      <c r="G42" s="761"/>
      <c r="H42" s="163"/>
      <c r="I42" s="761"/>
      <c r="J42" s="659"/>
      <c r="K42" s="659"/>
      <c r="L42" s="779"/>
      <c r="M42" s="435"/>
      <c r="N42" s="661"/>
      <c r="O42" s="526"/>
      <c r="P42" s="479"/>
      <c r="Q42" s="479"/>
      <c r="R42" s="664"/>
      <c r="S42" s="522"/>
      <c r="T42" s="669"/>
      <c r="U42" s="522"/>
      <c r="V42" s="669"/>
      <c r="W42" s="522"/>
      <c r="X42" s="669"/>
      <c r="Y42" s="666"/>
      <c r="Z42" s="669"/>
    </row>
    <row r="43" spans="1:67" ht="14.45" x14ac:dyDescent="0.35">
      <c r="C43" s="180"/>
      <c r="D43" s="181"/>
      <c r="G43" s="181"/>
      <c r="H43" s="180"/>
      <c r="I43" s="55"/>
      <c r="K43" s="181"/>
      <c r="L43" s="182"/>
      <c r="M43" s="179"/>
      <c r="N43" s="183"/>
      <c r="O43" s="179"/>
      <c r="P43" s="179"/>
      <c r="Q43" s="179"/>
      <c r="R43" s="55"/>
      <c r="S43" s="181"/>
      <c r="T43" s="63"/>
      <c r="U43" s="179"/>
      <c r="V43" s="183"/>
      <c r="W43" s="179"/>
      <c r="X43" s="179"/>
      <c r="Y43" s="179"/>
      <c r="Z43" s="55"/>
      <c r="AA43" s="181"/>
      <c r="AB43" s="182"/>
      <c r="AC43" s="179"/>
      <c r="AD43" s="183"/>
      <c r="AE43" s="179"/>
      <c r="AF43" s="179"/>
      <c r="AG43" s="179"/>
      <c r="AH43" s="55"/>
      <c r="AI43" s="181"/>
      <c r="AJ43" s="182"/>
      <c r="AK43" s="179"/>
      <c r="AL43" s="183"/>
      <c r="AM43" s="179"/>
      <c r="AN43" s="179"/>
      <c r="AO43" s="179"/>
      <c r="AP43" s="55"/>
      <c r="AQ43" s="184"/>
      <c r="AR43" s="184"/>
      <c r="AS43" s="184"/>
      <c r="AT43" s="184"/>
      <c r="AU43" s="184"/>
      <c r="AV43" s="185"/>
      <c r="AW43" s="185"/>
      <c r="AX43" s="185"/>
      <c r="AY43" s="185"/>
      <c r="AZ43" s="185"/>
      <c r="BA43" s="185"/>
      <c r="BB43" s="186"/>
      <c r="BC43" s="186"/>
      <c r="BD43" s="186"/>
      <c r="BE43" s="186"/>
      <c r="BF43" s="186"/>
      <c r="BG43" s="186"/>
      <c r="BH43" s="186"/>
      <c r="BI43" s="186"/>
      <c r="BJ43" s="186"/>
      <c r="BK43" s="186"/>
      <c r="BL43" s="186"/>
      <c r="BM43" s="186"/>
      <c r="BN43" s="186"/>
      <c r="BO43" s="186"/>
    </row>
    <row r="44" spans="1:67" s="403" customFormat="1" ht="12.95" x14ac:dyDescent="0.3">
      <c r="A44" s="404" t="s">
        <v>344</v>
      </c>
    </row>
    <row r="46" spans="1:67" ht="12.95" x14ac:dyDescent="0.3">
      <c r="A46" s="385" t="s">
        <v>113</v>
      </c>
      <c r="B46" s="385"/>
      <c r="C46" s="385"/>
      <c r="D46" s="385"/>
      <c r="E46" s="385"/>
      <c r="F46" s="385"/>
      <c r="G46" s="385"/>
    </row>
    <row r="48" spans="1:67" ht="12.6" x14ac:dyDescent="0.25">
      <c r="A48" s="81" t="s">
        <v>391</v>
      </c>
    </row>
    <row r="49" spans="1:7" ht="12.6" x14ac:dyDescent="0.25">
      <c r="A49" s="81" t="s">
        <v>392</v>
      </c>
    </row>
    <row r="51" spans="1:7" ht="12.95" x14ac:dyDescent="0.3">
      <c r="A51" s="385" t="s">
        <v>93</v>
      </c>
      <c r="B51" s="385"/>
      <c r="C51" s="385"/>
      <c r="D51" s="385"/>
      <c r="E51" s="385"/>
      <c r="F51" s="385"/>
      <c r="G51" s="385"/>
    </row>
    <row r="53" spans="1:7" ht="12.6" x14ac:dyDescent="0.25">
      <c r="A53" s="783" t="s">
        <v>393</v>
      </c>
    </row>
    <row r="55" spans="1:7" s="783" customFormat="1" ht="12.95" x14ac:dyDescent="0.3">
      <c r="A55" s="385" t="s">
        <v>94</v>
      </c>
      <c r="B55" s="385"/>
      <c r="C55" s="385"/>
      <c r="D55" s="385"/>
      <c r="E55" s="385"/>
      <c r="F55" s="385"/>
      <c r="G55" s="385"/>
    </row>
    <row r="56" spans="1:7" s="783" customFormat="1" ht="12.6" x14ac:dyDescent="0.25"/>
    <row r="57" spans="1:7" s="783" customFormat="1" ht="12.6" x14ac:dyDescent="0.25">
      <c r="A57" s="783" t="s">
        <v>394</v>
      </c>
    </row>
    <row r="58" spans="1:7" s="783" customFormat="1" ht="12.6" x14ac:dyDescent="0.25"/>
    <row r="59" spans="1:7" s="783" customFormat="1" ht="12.6" x14ac:dyDescent="0.25"/>
  </sheetData>
  <mergeCells count="4">
    <mergeCell ref="X6:Z6"/>
    <mergeCell ref="E6:M6"/>
    <mergeCell ref="S6:W6"/>
    <mergeCell ref="N6:R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theme="5"/>
  </sheetPr>
  <dimension ref="A1:DI449"/>
  <sheetViews>
    <sheetView topLeftCell="BZ109" zoomScale="59" zoomScaleNormal="59" workbookViewId="0">
      <selection activeCell="CL135" sqref="CL135"/>
    </sheetView>
  </sheetViews>
  <sheetFormatPr defaultRowHeight="15" x14ac:dyDescent="0.25"/>
  <cols>
    <col min="4" max="6" width="9.140625" style="539"/>
    <col min="7" max="23" width="11.85546875" customWidth="1"/>
  </cols>
  <sheetData>
    <row r="1" spans="1:32" ht="18" x14ac:dyDescent="0.4">
      <c r="A1" s="330" t="s">
        <v>305</v>
      </c>
    </row>
    <row r="2" spans="1:32" ht="14.45" x14ac:dyDescent="0.35">
      <c r="A2" s="1040" t="s">
        <v>671</v>
      </c>
    </row>
    <row r="4" spans="1:32" s="153" customFormat="1" ht="12.95" x14ac:dyDescent="0.3">
      <c r="A4" s="404" t="s">
        <v>498</v>
      </c>
      <c r="C4" s="421"/>
      <c r="D4" s="421"/>
      <c r="E4" s="421"/>
      <c r="F4" s="421"/>
      <c r="G4" s="1173" t="s">
        <v>774</v>
      </c>
    </row>
    <row r="5" spans="1:32" s="81" customFormat="1" ht="12.6" x14ac:dyDescent="0.25">
      <c r="D5" s="550"/>
      <c r="E5" s="550"/>
      <c r="F5" s="550"/>
    </row>
    <row r="6" spans="1:32" s="81" customFormat="1" ht="12.95" x14ac:dyDescent="0.3">
      <c r="A6" s="54" t="s">
        <v>12</v>
      </c>
      <c r="D6" s="550"/>
      <c r="E6" s="550"/>
      <c r="F6" s="550"/>
    </row>
    <row r="7" spans="1:32" s="81" customFormat="1" ht="12.6" x14ac:dyDescent="0.25">
      <c r="B7" s="81" t="s">
        <v>20</v>
      </c>
      <c r="D7" s="550"/>
      <c r="E7" s="550"/>
      <c r="F7" s="550"/>
      <c r="G7" s="81">
        <v>2010</v>
      </c>
      <c r="H7" s="81">
        <v>2011</v>
      </c>
      <c r="I7" s="81">
        <v>2012</v>
      </c>
      <c r="J7" s="81">
        <v>2013</v>
      </c>
      <c r="K7" s="81">
        <v>2014</v>
      </c>
      <c r="L7" s="81">
        <v>2015</v>
      </c>
      <c r="M7" s="81">
        <v>2016</v>
      </c>
      <c r="N7" s="81">
        <v>2017</v>
      </c>
      <c r="O7" s="81">
        <v>2018</v>
      </c>
      <c r="P7" s="81">
        <v>2019</v>
      </c>
      <c r="Q7" s="81">
        <v>2020</v>
      </c>
      <c r="R7" s="81">
        <v>2021</v>
      </c>
      <c r="S7" s="81">
        <v>2022</v>
      </c>
      <c r="T7" s="81">
        <v>2023</v>
      </c>
      <c r="U7" s="81">
        <v>2024</v>
      </c>
      <c r="V7" s="81">
        <v>2025</v>
      </c>
      <c r="W7" s="81">
        <v>2026</v>
      </c>
      <c r="X7" s="81">
        <v>2027</v>
      </c>
      <c r="Y7" s="81">
        <v>2028</v>
      </c>
      <c r="Z7" s="81">
        <v>2029</v>
      </c>
      <c r="AA7" s="81">
        <v>2030</v>
      </c>
      <c r="AB7" s="81">
        <v>2031</v>
      </c>
      <c r="AC7" s="81">
        <v>2032</v>
      </c>
      <c r="AD7" s="81">
        <v>2033</v>
      </c>
      <c r="AE7" s="81">
        <v>2034</v>
      </c>
      <c r="AF7" s="81">
        <v>2035</v>
      </c>
    </row>
    <row r="8" spans="1:32" s="81" customFormat="1" ht="12.95" x14ac:dyDescent="0.3">
      <c r="A8" s="12" t="s">
        <v>21</v>
      </c>
      <c r="B8" s="30"/>
      <c r="C8" s="57"/>
      <c r="D8" s="501"/>
      <c r="E8" s="501"/>
      <c r="F8" s="501"/>
      <c r="G8" s="57"/>
      <c r="H8" s="57"/>
      <c r="I8" s="57"/>
      <c r="J8" s="57"/>
      <c r="K8" s="57"/>
      <c r="L8" s="57"/>
      <c r="M8" s="57"/>
      <c r="N8" s="57"/>
      <c r="O8" s="57"/>
      <c r="P8" s="57"/>
      <c r="Q8" s="57"/>
      <c r="R8" s="57"/>
      <c r="S8" s="57"/>
      <c r="T8" s="57"/>
      <c r="U8" s="57"/>
      <c r="V8" s="57"/>
      <c r="W8" s="57"/>
      <c r="X8" s="57"/>
      <c r="Y8" s="57"/>
      <c r="Z8" s="57"/>
      <c r="AA8" s="57"/>
      <c r="AB8" s="57"/>
      <c r="AC8" s="57"/>
      <c r="AD8" s="57"/>
      <c r="AE8" s="57"/>
      <c r="AF8" s="57"/>
    </row>
    <row r="9" spans="1:32" s="81" customFormat="1" ht="12.6" x14ac:dyDescent="0.25">
      <c r="B9" s="81" t="s">
        <v>22</v>
      </c>
      <c r="C9" s="83"/>
      <c r="D9" s="379"/>
      <c r="E9" s="379"/>
      <c r="F9" s="379"/>
      <c r="G9" s="128">
        <f>IF(G122&lt;&gt;0,G83*G122*Perform_Active!$M10,G83)</f>
        <v>12.9</v>
      </c>
      <c r="H9" s="798">
        <f>IF(H122&lt;&gt;0,H83*H122*Perform_Active!$M10,H83)</f>
        <v>12.9</v>
      </c>
      <c r="I9" s="798">
        <f>IF(I122&lt;&gt;0,I83*I122*Perform_Active!$M10,I83)</f>
        <v>12.9</v>
      </c>
      <c r="J9" s="798">
        <f>IF(J122&lt;&gt;0,J83*J122*Perform_Active!$M10,J83)</f>
        <v>12.9</v>
      </c>
      <c r="K9" s="798">
        <f>IF(K122&lt;&gt;0,K83*K122*Perform_Active!$M10,K83)</f>
        <v>12.9</v>
      </c>
      <c r="L9" s="798">
        <f>IF(L122&lt;&gt;0,L83*L122*Perform_Active!$M10,L83)</f>
        <v>12.9</v>
      </c>
      <c r="M9" s="798">
        <f>IF(M122&lt;&gt;0,M83*M122*Perform_Active!$M10,M83)</f>
        <v>12.9</v>
      </c>
      <c r="N9" s="798">
        <f>IF(N122&lt;&gt;0,N83*N122*Perform_Active!$M10,N83)</f>
        <v>12.9</v>
      </c>
      <c r="O9" s="798">
        <f>IF(O122&lt;&gt;0,O83*O122*Perform_Active!$M10,O83)</f>
        <v>12.9</v>
      </c>
      <c r="P9" s="798">
        <f>IF(P122&lt;&gt;0,P83*P122*Perform_Active!$M10,P83)</f>
        <v>12.9</v>
      </c>
      <c r="Q9" s="798">
        <f>IF(Q122&lt;&gt;0,Q83*Q122*Perform_Active!$M10,Q83)</f>
        <v>12.9</v>
      </c>
      <c r="R9" s="798">
        <f>IF(R122&lt;&gt;0,R83*R122*Perform_Active!$M10,R83)</f>
        <v>12.9</v>
      </c>
      <c r="S9" s="798">
        <f>IF(S122&lt;&gt;0,S83*S122*Perform_Active!$M10,S83)</f>
        <v>12.9</v>
      </c>
      <c r="T9" s="798">
        <f>IF(T122&lt;&gt;0,T83*T122*Perform_Active!$M10,T83)</f>
        <v>12.9</v>
      </c>
      <c r="U9" s="798">
        <f>IF(U122&lt;&gt;0,U83*U122*Perform_Active!$M10,U83)</f>
        <v>12.9</v>
      </c>
      <c r="V9" s="798">
        <f>IF(V122&lt;&gt;0,V83*V122*Perform_Active!$M10,V83)</f>
        <v>12.9</v>
      </c>
      <c r="W9" s="798">
        <f>IF(W122&lt;&gt;0,W83*W122*Perform_Active!$M10,W83)</f>
        <v>12.9</v>
      </c>
      <c r="X9" s="798">
        <f>IF(X122&lt;&gt;0,X83*X122*Perform_Active!$M10,X83)</f>
        <v>12.9</v>
      </c>
      <c r="Y9" s="798">
        <f>IF(Y122&lt;&gt;0,Y83*Y122*Perform_Active!$M10,Y83)</f>
        <v>12.9</v>
      </c>
      <c r="Z9" s="798">
        <f>IF(Z122&lt;&gt;0,Z83*Z122*Perform_Active!$M10,Z83)</f>
        <v>12.9</v>
      </c>
      <c r="AA9" s="798">
        <f>IF(AA122&lt;&gt;0,AA83*AA122*Perform_Active!$M10,AA83)</f>
        <v>12.9</v>
      </c>
      <c r="AB9" s="798">
        <f>IF(AB122&lt;&gt;0,AB83*AB122*Perform_Active!$M10,AB83)</f>
        <v>12.9</v>
      </c>
      <c r="AC9" s="798">
        <f>IF(AC122&lt;&gt;0,AC83*AC122*Perform_Active!$M10,AC83)</f>
        <v>12.9</v>
      </c>
      <c r="AD9" s="798">
        <f>IF(AD122&lt;&gt;0,AD83*AD122*Perform_Active!$M10,AD83)</f>
        <v>12.9</v>
      </c>
      <c r="AE9" s="798">
        <f>IF(AE122&lt;&gt;0,AE83*AE122*Perform_Active!$M10,AE83)</f>
        <v>12.9</v>
      </c>
      <c r="AF9" s="798">
        <f>IF(AF122&lt;&gt;0,AF83*AF122*Perform_Active!$M10,AF83)</f>
        <v>12.9</v>
      </c>
    </row>
    <row r="10" spans="1:32" s="81" customFormat="1" ht="12.6" x14ac:dyDescent="0.25">
      <c r="B10" s="81" t="s">
        <v>26</v>
      </c>
      <c r="C10" s="83"/>
      <c r="D10" s="379"/>
      <c r="E10" s="379"/>
      <c r="F10" s="379"/>
      <c r="G10" s="798">
        <f>IF(G123&lt;&gt;0,G84*G123*Perform_Active!$M11,G84)</f>
        <v>15</v>
      </c>
      <c r="H10" s="798">
        <f>IF(H123&lt;&gt;0,H84*H123*Perform_Active!$M11,H84)</f>
        <v>15.074999999999989</v>
      </c>
      <c r="I10" s="798">
        <f>IF(I123&lt;&gt;0,I84*I123*Perform_Active!$M11,I84)</f>
        <v>15.150000000000006</v>
      </c>
      <c r="J10" s="798">
        <f>IF(J123&lt;&gt;0,J84*J123*Perform_Active!$M11,J84)</f>
        <v>15.224999999999994</v>
      </c>
      <c r="K10" s="798">
        <f>IF(K123&lt;&gt;0,K84*K123*Perform_Active!$M11,K84)</f>
        <v>15.299999999999983</v>
      </c>
      <c r="L10" s="798">
        <f>IF(L123&lt;&gt;0,L84*L123*Perform_Active!$M11,L84)</f>
        <v>15.375</v>
      </c>
      <c r="M10" s="798">
        <f>IF(M123&lt;&gt;0,M84*M123*Perform_Active!$M11,M84)</f>
        <v>15.449999999999989</v>
      </c>
      <c r="N10" s="798">
        <f>IF(N123&lt;&gt;0,N84*N123*Perform_Active!$M11,N84)</f>
        <v>15.525000000000006</v>
      </c>
      <c r="O10" s="798">
        <f>IF(O123&lt;&gt;0,O84*O123*Perform_Active!$M11,O84)</f>
        <v>15.599999999999994</v>
      </c>
      <c r="P10" s="798">
        <f>IF(P123&lt;&gt;0,P84*P123*Perform_Active!$M11,P84)</f>
        <v>15.674999999999983</v>
      </c>
      <c r="Q10" s="798">
        <f>IF(Q123&lt;&gt;0,Q84*Q123*Perform_Active!$M11,Q84)</f>
        <v>15.75</v>
      </c>
      <c r="R10" s="798">
        <f>IF(R123&lt;&gt;0,R84*R123*Perform_Active!$M11,R84)</f>
        <v>15.824999999999989</v>
      </c>
      <c r="S10" s="798">
        <f>IF(S123&lt;&gt;0,S84*S123*Perform_Active!$M11,S84)</f>
        <v>15.900000000000006</v>
      </c>
      <c r="T10" s="798">
        <f>IF(T123&lt;&gt;0,T84*T123*Perform_Active!$M11,T84)</f>
        <v>15.974999999999994</v>
      </c>
      <c r="U10" s="798">
        <f>IF(U123&lt;&gt;0,U84*U123*Perform_Active!$M11,U84)</f>
        <v>16.049999999999983</v>
      </c>
      <c r="V10" s="798">
        <f>IF(V123&lt;&gt;0,V84*V123*Perform_Active!$M11,V84)</f>
        <v>16.125</v>
      </c>
      <c r="W10" s="798">
        <f>IF(W123&lt;&gt;0,W84*W123*Perform_Active!$M11,W84)</f>
        <v>16.199999999999989</v>
      </c>
      <c r="X10" s="798">
        <f>IF(X123&lt;&gt;0,X84*X123*Perform_Active!$M11,X84)</f>
        <v>16.275000000000006</v>
      </c>
      <c r="Y10" s="798">
        <f>IF(Y123&lt;&gt;0,Y84*Y123*Perform_Active!$M11,Y84)</f>
        <v>16.349999999999994</v>
      </c>
      <c r="Z10" s="798">
        <f>IF(Z123&lt;&gt;0,Z84*Z123*Perform_Active!$M11,Z84)</f>
        <v>16.424999999999983</v>
      </c>
      <c r="AA10" s="798">
        <f>IF(AA123&lt;&gt;0,AA84*AA123*Perform_Active!$M11,AA84)</f>
        <v>16.5</v>
      </c>
      <c r="AB10" s="798">
        <f>IF(AB123&lt;&gt;0,AB84*AB123*Perform_Active!$M11,AB84)</f>
        <v>16.574999999999989</v>
      </c>
      <c r="AC10" s="798">
        <f>IF(AC123&lt;&gt;0,AC84*AC123*Perform_Active!$M11,AC84)</f>
        <v>16.650000000000006</v>
      </c>
      <c r="AD10" s="798">
        <f>IF(AD123&lt;&gt;0,AD84*AD123*Perform_Active!$M11,AD84)</f>
        <v>16.724999999999994</v>
      </c>
      <c r="AE10" s="798">
        <f>IF(AE123&lt;&gt;0,AE84*AE123*Perform_Active!$M11,AE84)</f>
        <v>16.799999999999983</v>
      </c>
      <c r="AF10" s="798">
        <f>IF(AF123&lt;&gt;0,AF84*AF123*Perform_Active!$M11,AF84)</f>
        <v>16.875</v>
      </c>
    </row>
    <row r="11" spans="1:32" s="81" customFormat="1" ht="12.6" x14ac:dyDescent="0.25">
      <c r="B11" s="81" t="s">
        <v>27</v>
      </c>
      <c r="C11" s="83"/>
      <c r="D11" s="379"/>
      <c r="E11" s="379"/>
      <c r="F11" s="379"/>
      <c r="G11" s="798">
        <f>IF(G124&lt;&gt;0,G85*G124*Perform_Active!$M12,G85)</f>
        <v>53</v>
      </c>
      <c r="H11" s="798">
        <f>IF(H124&lt;&gt;0,H85*H124*Perform_Active!$M12,H85)</f>
        <v>53.2650000000001</v>
      </c>
      <c r="I11" s="798">
        <f>IF(I124&lt;&gt;0,I85*I124*Perform_Active!$M12,I85)</f>
        <v>53.530000000000086</v>
      </c>
      <c r="J11" s="798">
        <f>IF(J124&lt;&gt;0,J85*J124*Perform_Active!$M12,J85)</f>
        <v>53.795000000000073</v>
      </c>
      <c r="K11" s="798">
        <f>IF(K124&lt;&gt;0,K85*K124*Perform_Active!$M12,K85)</f>
        <v>54.060000000000059</v>
      </c>
      <c r="L11" s="798">
        <f>IF(L124&lt;&gt;0,L85*L124*Perform_Active!$M12,L85)</f>
        <v>54.325000000000045</v>
      </c>
      <c r="M11" s="798">
        <f>IF(M124&lt;&gt;0,M85*M124*Perform_Active!$M12,M85)</f>
        <v>54.590000000000032</v>
      </c>
      <c r="N11" s="798">
        <f>IF(N124&lt;&gt;0,N85*N124*Perform_Active!$M12,N85)</f>
        <v>54.855000000000018</v>
      </c>
      <c r="O11" s="798">
        <f>IF(O124&lt;&gt;0,O85*O124*Perform_Active!$M12,O85)</f>
        <v>55.120000000000005</v>
      </c>
      <c r="P11" s="798">
        <f>IF(P124&lt;&gt;0,P85*P124*Perform_Active!$M12,P85)</f>
        <v>55.385000000000105</v>
      </c>
      <c r="Q11" s="798">
        <f>IF(Q124&lt;&gt;0,Q85*Q124*Perform_Active!$M12,Q85)</f>
        <v>55.650000000000091</v>
      </c>
      <c r="R11" s="798">
        <f>IF(R124&lt;&gt;0,R85*R124*Perform_Active!$M12,R85)</f>
        <v>55.915000000000077</v>
      </c>
      <c r="S11" s="798">
        <f>IF(S124&lt;&gt;0,S85*S124*Perform_Active!$M12,S85)</f>
        <v>56.180000000000064</v>
      </c>
      <c r="T11" s="798">
        <f>IF(T124&lt;&gt;0,T85*T124*Perform_Active!$M12,T85)</f>
        <v>56.44500000000005</v>
      </c>
      <c r="U11" s="798">
        <f>IF(U124&lt;&gt;0,U85*U124*Perform_Active!$M12,U85)</f>
        <v>56.710000000000036</v>
      </c>
      <c r="V11" s="798">
        <f>IF(V124&lt;&gt;0,V85*V124*Perform_Active!$M12,V85)</f>
        <v>56.975000000000023</v>
      </c>
      <c r="W11" s="798">
        <f>IF(W124&lt;&gt;0,W85*W124*Perform_Active!$M12,W85)</f>
        <v>57.240000000000009</v>
      </c>
      <c r="X11" s="798">
        <f>IF(X124&lt;&gt;0,X85*X124*Perform_Active!$M12,X85)</f>
        <v>57.504999999999995</v>
      </c>
      <c r="Y11" s="798">
        <f>IF(Y124&lt;&gt;0,Y85*Y124*Perform_Active!$M12,Y85)</f>
        <v>57.770000000000095</v>
      </c>
      <c r="Z11" s="798">
        <f>IF(Z124&lt;&gt;0,Z85*Z124*Perform_Active!$M12,Z85)</f>
        <v>58.035000000000082</v>
      </c>
      <c r="AA11" s="798">
        <f>IF(AA124&lt;&gt;0,AA85*AA124*Perform_Active!$M12,AA85)</f>
        <v>58.300000000000068</v>
      </c>
      <c r="AB11" s="798">
        <f>IF(AB124&lt;&gt;0,AB85*AB124*Perform_Active!$M12,AB85)</f>
        <v>58.565000000000055</v>
      </c>
      <c r="AC11" s="798">
        <f>IF(AC124&lt;&gt;0,AC85*AC124*Perform_Active!$M12,AC85)</f>
        <v>58.830000000000041</v>
      </c>
      <c r="AD11" s="798">
        <f>IF(AD124&lt;&gt;0,AD85*AD124*Perform_Active!$M12,AD85)</f>
        <v>59.095000000000027</v>
      </c>
      <c r="AE11" s="798">
        <f>IF(AE124&lt;&gt;0,AE85*AE124*Perform_Active!$M12,AE85)</f>
        <v>59.360000000000014</v>
      </c>
      <c r="AF11" s="798">
        <f>IF(AF124&lt;&gt;0,AF85*AF124*Perform_Active!$M12,AF85)</f>
        <v>59.625</v>
      </c>
    </row>
    <row r="12" spans="1:32" s="81" customFormat="1" ht="12.6" x14ac:dyDescent="0.25">
      <c r="B12" s="81" t="s">
        <v>29</v>
      </c>
      <c r="C12" s="83"/>
      <c r="D12" s="379"/>
      <c r="E12" s="379"/>
      <c r="F12" s="379"/>
      <c r="G12" s="798">
        <f>IF(G125&lt;&gt;0,G86*G125*Perform_Active!$M13,G86)</f>
        <v>36.873768202819726</v>
      </c>
      <c r="H12" s="798">
        <f>IF(H125&lt;&gt;0,H86*H125*Perform_Active!$M13,H86)</f>
        <v>48.266272480467556</v>
      </c>
      <c r="I12" s="798">
        <f>IF(I125&lt;&gt;0,I86*I125*Perform_Active!$M13,I86)</f>
        <v>61.701198700113544</v>
      </c>
      <c r="J12" s="798">
        <f>IF(J125&lt;&gt;0,J86*J125*Perform_Active!$M13,J86)</f>
        <v>77.591734715380795</v>
      </c>
      <c r="K12" s="798">
        <f>IF(K125&lt;&gt;0,K86*K125*Perform_Active!$M13,K86)</f>
        <v>94.800465488123137</v>
      </c>
      <c r="L12" s="798">
        <f>IF(L125&lt;&gt;0,L86*L125*Perform_Active!$M13,L86)</f>
        <v>112.50003941617493</v>
      </c>
      <c r="M12" s="798">
        <f>IF(M125&lt;&gt;0,M86*M125*Perform_Active!$M13,M86)</f>
        <v>129.3471504340618</v>
      </c>
      <c r="N12" s="798">
        <f>IF(N125&lt;&gt;0,N86*N125*Perform_Active!$M13,N86)</f>
        <v>145.03095133963808</v>
      </c>
      <c r="O12" s="798">
        <f>IF(O125&lt;&gt;0,O86*O125*Perform_Active!$M13,O86)</f>
        <v>159.127310954921</v>
      </c>
      <c r="P12" s="798">
        <f>IF(P125&lt;&gt;0,P86*P125*Perform_Active!$M13,P86)</f>
        <v>171.48202098927979</v>
      </c>
      <c r="Q12" s="798">
        <f>IF(Q125&lt;&gt;0,Q86*Q125*Perform_Active!$M13,Q86)</f>
        <v>182.15170200680319</v>
      </c>
      <c r="R12" s="798">
        <f>IF(R125&lt;&gt;0,R86*R125*Perform_Active!$M13,R86)</f>
        <v>187.8607232688625</v>
      </c>
      <c r="S12" s="798">
        <f>IF(S125&lt;&gt;0,S86*S125*Perform_Active!$M13,S86)</f>
        <v>192.15160570290442</v>
      </c>
      <c r="T12" s="798">
        <f>IF(T125&lt;&gt;0,T86*T125*Perform_Active!$M13,T86)</f>
        <v>195.33034204073093</v>
      </c>
      <c r="U12" s="798">
        <f>IF(U125&lt;&gt;0,U86*U125*Perform_Active!$M13,U86)</f>
        <v>197.66006127320361</v>
      </c>
      <c r="V12" s="798">
        <f>IF(V125&lt;&gt;0,V86*V125*Perform_Active!$M13,V86)</f>
        <v>199.35413887963063</v>
      </c>
      <c r="W12" s="798">
        <f>IF(W125&lt;&gt;0,W86*W125*Perform_Active!$M13,W86)</f>
        <v>200.57896356186501</v>
      </c>
      <c r="X12" s="798">
        <f>IF(X125&lt;&gt;0,X86*X125*Perform_Active!$M13,X86)</f>
        <v>201.46085171629713</v>
      </c>
      <c r="Y12" s="798">
        <f>IF(Y125&lt;&gt;0,Y86*Y125*Perform_Active!$M13,Y86)</f>
        <v>202.09392729485813</v>
      </c>
      <c r="Z12" s="798">
        <f>IF(Z125&lt;&gt;0,Z86*Z125*Perform_Active!$M13,Z86)</f>
        <v>202.54741526513342</v>
      </c>
      <c r="AA12" s="798">
        <f>IF(AA125&lt;&gt;0,AA86*AA125*Perform_Active!$M13,AA86)</f>
        <v>202.87176106409183</v>
      </c>
      <c r="AB12" s="798">
        <f>IF(AB125&lt;&gt;0,AB86*AB125*Perform_Active!$M13,AB86)</f>
        <v>203.10348618652321</v>
      </c>
      <c r="AC12" s="798">
        <f>IF(AC125&lt;&gt;0,AC86*AC125*Perform_Active!$M13,AC86)</f>
        <v>203.26890947460336</v>
      </c>
      <c r="AD12" s="798">
        <f>IF(AD125&lt;&gt;0,AD86*AD125*Perform_Active!$M13,AD86)</f>
        <v>203.38693514979437</v>
      </c>
      <c r="AE12" s="798">
        <f>IF(AE125&lt;&gt;0,AE86*AE125*Perform_Active!$M13,AE86)</f>
        <v>203.47111002115616</v>
      </c>
      <c r="AF12" s="798">
        <f>IF(AF125&lt;&gt;0,AF86*AF125*Perform_Active!$M13,AF86)</f>
        <v>203.53112565740346</v>
      </c>
    </row>
    <row r="13" spans="1:32" s="81" customFormat="1" ht="12.6" x14ac:dyDescent="0.25">
      <c r="D13" s="550"/>
      <c r="E13" s="550"/>
      <c r="F13" s="550"/>
      <c r="G13" s="128"/>
      <c r="H13" s="128"/>
      <c r="I13" s="128"/>
      <c r="J13" s="128"/>
      <c r="K13" s="128"/>
      <c r="L13" s="128"/>
      <c r="M13" s="128"/>
      <c r="N13" s="128"/>
      <c r="O13" s="128"/>
      <c r="P13" s="128"/>
      <c r="Q13" s="128"/>
      <c r="R13" s="128"/>
      <c r="S13" s="128"/>
      <c r="T13" s="128"/>
      <c r="U13" s="128"/>
      <c r="V13" s="128"/>
      <c r="W13" s="128"/>
      <c r="X13" s="128"/>
      <c r="Y13" s="128"/>
      <c r="Z13" s="128"/>
      <c r="AA13" s="128"/>
      <c r="AB13" s="128"/>
      <c r="AC13" s="128"/>
      <c r="AD13" s="128"/>
      <c r="AE13" s="128"/>
      <c r="AF13" s="128"/>
    </row>
    <row r="14" spans="1:32" s="81" customFormat="1" ht="12.95" x14ac:dyDescent="0.3">
      <c r="A14" s="58" t="s">
        <v>32</v>
      </c>
      <c r="B14" s="57"/>
      <c r="C14" s="130"/>
      <c r="D14" s="387"/>
      <c r="E14" s="387"/>
      <c r="F14" s="387"/>
      <c r="G14" s="188"/>
      <c r="H14" s="188"/>
      <c r="I14" s="188"/>
      <c r="J14" s="188"/>
      <c r="K14" s="188"/>
      <c r="L14" s="188"/>
      <c r="M14" s="188"/>
      <c r="N14" s="188"/>
      <c r="O14" s="188"/>
      <c r="P14" s="188"/>
      <c r="Q14" s="188"/>
      <c r="R14" s="188"/>
      <c r="S14" s="188"/>
      <c r="T14" s="188"/>
      <c r="U14" s="188"/>
      <c r="V14" s="188"/>
      <c r="W14" s="188"/>
      <c r="X14" s="188"/>
      <c r="Y14" s="188"/>
      <c r="Z14" s="188"/>
      <c r="AA14" s="188"/>
      <c r="AB14" s="188"/>
      <c r="AC14" s="188"/>
      <c r="AD14" s="188"/>
      <c r="AE14" s="188"/>
      <c r="AF14" s="188"/>
    </row>
    <row r="15" spans="1:32" s="81" customFormat="1" ht="12.6" x14ac:dyDescent="0.25">
      <c r="B15" s="81" t="s">
        <v>33</v>
      </c>
      <c r="C15" s="83"/>
      <c r="D15" s="379"/>
      <c r="E15" s="379"/>
      <c r="F15" s="379"/>
      <c r="G15" s="798">
        <f>IF(G128&lt;&gt;0,G89*G128*Perform_Active!$M16,G89)</f>
        <v>10.199999999999999</v>
      </c>
      <c r="H15" s="798">
        <f>IF(H128&lt;&gt;0,H89*H128*Perform_Active!$M16,H89)</f>
        <v>10.199999999999999</v>
      </c>
      <c r="I15" s="798">
        <f>IF(I128&lt;&gt;0,I89*I128*Perform_Active!$M16,I89)</f>
        <v>10.199999999999999</v>
      </c>
      <c r="J15" s="798">
        <f>IF(J128&lt;&gt;0,J89*J128*Perform_Active!$M16,J89)</f>
        <v>10.199999999999999</v>
      </c>
      <c r="K15" s="798">
        <f>IF(K128&lt;&gt;0,K89*K128*Perform_Active!$M16,K89)</f>
        <v>10.199999999999999</v>
      </c>
      <c r="L15" s="798">
        <f>IF(L128&lt;&gt;0,L89*L128*Perform_Active!$M16,L89)</f>
        <v>10.199999999999999</v>
      </c>
      <c r="M15" s="798">
        <f>IF(M128&lt;&gt;0,M89*M128*Perform_Active!$M16,M89)</f>
        <v>10.199999999999999</v>
      </c>
      <c r="N15" s="798">
        <f>IF(N128&lt;&gt;0,N89*N128*Perform_Active!$M16,N89)</f>
        <v>10.199999999999999</v>
      </c>
      <c r="O15" s="798">
        <f>IF(O128&lt;&gt;0,O89*O128*Perform_Active!$M16,O89)</f>
        <v>10.199999999999999</v>
      </c>
      <c r="P15" s="798">
        <f>IF(P128&lt;&gt;0,P89*P128*Perform_Active!$M16,P89)</f>
        <v>10.199999999999999</v>
      </c>
      <c r="Q15" s="798">
        <f>IF(Q128&lt;&gt;0,Q89*Q128*Perform_Active!$M16,Q89)</f>
        <v>10.199999999999999</v>
      </c>
      <c r="R15" s="798">
        <f>IF(R128&lt;&gt;0,R89*R128*Perform_Active!$M16,R89)</f>
        <v>10.199999999999999</v>
      </c>
      <c r="S15" s="798">
        <f>IF(S128&lt;&gt;0,S89*S128*Perform_Active!$M16,S89)</f>
        <v>10.199999999999999</v>
      </c>
      <c r="T15" s="798">
        <f>IF(T128&lt;&gt;0,T89*T128*Perform_Active!$M16,T89)</f>
        <v>10.199999999999999</v>
      </c>
      <c r="U15" s="798">
        <f>IF(U128&lt;&gt;0,U89*U128*Perform_Active!$M16,U89)</f>
        <v>10.199999999999999</v>
      </c>
      <c r="V15" s="798">
        <f>IF(V128&lt;&gt;0,V89*V128*Perform_Active!$M16,V89)</f>
        <v>10.199999999999999</v>
      </c>
      <c r="W15" s="798">
        <f>IF(W128&lt;&gt;0,W89*W128*Perform_Active!$M16,W89)</f>
        <v>10.199999999999999</v>
      </c>
      <c r="X15" s="798">
        <f>IF(X128&lt;&gt;0,X89*X128*Perform_Active!$M16,X89)</f>
        <v>10.199999999999999</v>
      </c>
      <c r="Y15" s="798">
        <f>IF(Y128&lt;&gt;0,Y89*Y128*Perform_Active!$M16,Y89)</f>
        <v>10.199999999999999</v>
      </c>
      <c r="Z15" s="798">
        <f>IF(Z128&lt;&gt;0,Z89*Z128*Perform_Active!$M16,Z89)</f>
        <v>10.199999999999999</v>
      </c>
      <c r="AA15" s="798">
        <f>IF(AA128&lt;&gt;0,AA89*AA128*Perform_Active!$M16,AA89)</f>
        <v>10.199999999999999</v>
      </c>
      <c r="AB15" s="798">
        <f>IF(AB128&lt;&gt;0,AB89*AB128*Perform_Active!$M16,AB89)</f>
        <v>10.199999999999999</v>
      </c>
      <c r="AC15" s="798">
        <f>IF(AC128&lt;&gt;0,AC89*AC128*Perform_Active!$M16,AC89)</f>
        <v>10.199999999999999</v>
      </c>
      <c r="AD15" s="798">
        <f>IF(AD128&lt;&gt;0,AD89*AD128*Perform_Active!$M16,AD89)</f>
        <v>10.199999999999999</v>
      </c>
      <c r="AE15" s="798">
        <f>IF(AE128&lt;&gt;0,AE89*AE128*Perform_Active!$M16,AE89)</f>
        <v>10.199999999999999</v>
      </c>
      <c r="AF15" s="798">
        <f>IF(AF128&lt;&gt;0,AF89*AF128*Perform_Active!$M16,AF89)</f>
        <v>10.199999999999999</v>
      </c>
    </row>
    <row r="16" spans="1:32" s="81" customFormat="1" ht="12.6" x14ac:dyDescent="0.25">
      <c r="A16" s="101"/>
      <c r="B16" s="101" t="s">
        <v>34</v>
      </c>
      <c r="C16" s="83"/>
      <c r="D16" s="379"/>
      <c r="E16" s="379"/>
      <c r="F16" s="379"/>
      <c r="G16" s="798">
        <f>IF(G129&lt;&gt;0,G90*G129*Perform_Active!$M17,G90)</f>
        <v>14.100000000000009</v>
      </c>
      <c r="H16" s="798">
        <f>IF(H129&lt;&gt;0,H90*H129*Perform_Active!$M17,H90)</f>
        <v>14.170500000000018</v>
      </c>
      <c r="I16" s="798">
        <f>IF(I129&lt;&gt;0,I90*I129*Perform_Active!$M17,I90)</f>
        <v>15.249613391040644</v>
      </c>
      <c r="J16" s="798">
        <f>IF(J129&lt;&gt;0,J90*J129*Perform_Active!$M17,J90)</f>
        <v>16.328726782081269</v>
      </c>
      <c r="K16" s="798">
        <f>IF(K129&lt;&gt;0,K90*K129*Perform_Active!$M17,K90)</f>
        <v>17.407840173121894</v>
      </c>
      <c r="L16" s="798">
        <f>IF(L129&lt;&gt;0,L90*L129*Perform_Active!$M17,L90)</f>
        <v>17.494879373987501</v>
      </c>
      <c r="M16" s="798">
        <f>IF(M129&lt;&gt;0,M90*M129*Perform_Active!$M17,M90)</f>
        <v>17.582353770857438</v>
      </c>
      <c r="N16" s="798">
        <f>IF(N129&lt;&gt;0,N90*N129*Perform_Active!$M17,N90)</f>
        <v>17.670265539711721</v>
      </c>
      <c r="O16" s="798">
        <f>IF(O129&lt;&gt;0,O90*O129*Perform_Active!$M17,O90)</f>
        <v>17.758616867410275</v>
      </c>
      <c r="P16" s="798">
        <f>IF(P129&lt;&gt;0,P90*P129*Perform_Active!$M17,P90)</f>
        <v>17.847409951747323</v>
      </c>
      <c r="Q16" s="798">
        <f>IF(Q129&lt;&gt;0,Q90*Q129*Perform_Active!$M17,Q90)</f>
        <v>17.936647001506056</v>
      </c>
      <c r="R16" s="798">
        <f>IF(R129&lt;&gt;0,R90*R129*Perform_Active!$M17,R90)</f>
        <v>18.026330236513587</v>
      </c>
      <c r="S16" s="798">
        <f>IF(S129&lt;&gt;0,S90*S129*Perform_Active!$M17,S90)</f>
        <v>18.116461887696151</v>
      </c>
      <c r="T16" s="798">
        <f>IF(T129&lt;&gt;0,T90*T129*Perform_Active!$M17,T90)</f>
        <v>18.207044197134632</v>
      </c>
      <c r="U16" s="798">
        <f>IF(U129&lt;&gt;0,U90*U129*Perform_Active!$M17,U90)</f>
        <v>18.298079418120302</v>
      </c>
      <c r="V16" s="798">
        <f>IF(V129&lt;&gt;0,V90*V129*Perform_Active!$M17,V90)</f>
        <v>18.389569815210901</v>
      </c>
      <c r="W16" s="798">
        <f>IF(W129&lt;&gt;0,W90*W129*Perform_Active!$M17,W90)</f>
        <v>18.481517664286951</v>
      </c>
      <c r="X16" s="798">
        <f>IF(X129&lt;&gt;0,X90*X129*Perform_Active!$M17,X90)</f>
        <v>18.573925252608383</v>
      </c>
      <c r="Y16" s="798">
        <f>IF(Y129&lt;&gt;0,Y90*Y129*Perform_Active!$M17,Y90)</f>
        <v>18.666794878871421</v>
      </c>
      <c r="Z16" s="798">
        <f>IF(Z129&lt;&gt;0,Z90*Z129*Perform_Active!$M17,Z90)</f>
        <v>18.760128853265773</v>
      </c>
      <c r="AA16" s="798">
        <f>IF(AA129&lt;&gt;0,AA90*AA129*Perform_Active!$M17,AA90)</f>
        <v>18.8539294975321</v>
      </c>
      <c r="AB16" s="798">
        <f>IF(AB129&lt;&gt;0,AB90*AB129*Perform_Active!$M17,AB90)</f>
        <v>18.94819914501976</v>
      </c>
      <c r="AC16" s="798">
        <f>IF(AC129&lt;&gt;0,AC90*AC129*Perform_Active!$M17,AC90)</f>
        <v>19.042940140744854</v>
      </c>
      <c r="AD16" s="798">
        <f>IF(AD129&lt;&gt;0,AD90*AD129*Perform_Active!$M17,AD90)</f>
        <v>19.138154841448575</v>
      </c>
      <c r="AE16" s="798">
        <f>IF(AE129&lt;&gt;0,AE90*AE129*Perform_Active!$M17,AE90)</f>
        <v>19.233845615655817</v>
      </c>
      <c r="AF16" s="798">
        <f>IF(AF129&lt;&gt;0,AF90*AF129*Perform_Active!$M17,AF90)</f>
        <v>19.330014843734091</v>
      </c>
    </row>
    <row r="17" spans="1:32" s="81" customFormat="1" ht="12.6" x14ac:dyDescent="0.25">
      <c r="B17" s="101" t="s">
        <v>35</v>
      </c>
      <c r="C17" s="83"/>
      <c r="D17" s="379"/>
      <c r="E17" s="379"/>
      <c r="F17" s="379"/>
      <c r="G17" s="798">
        <f>IF(G130&lt;&gt;0,G91*G130*Perform_Active!$M18,G91)</f>
        <v>43.099999999999966</v>
      </c>
      <c r="H17" s="798">
        <f>IF(H130&lt;&gt;0,H91*H130*Perform_Active!$M18,H91)</f>
        <v>43.315499999999986</v>
      </c>
      <c r="I17" s="798">
        <f>IF(I130&lt;&gt;0,I91*I130*Perform_Active!$M18,I91)</f>
        <v>43.531000000000006</v>
      </c>
      <c r="J17" s="798">
        <f>IF(J130&lt;&gt;0,J91*J130*Perform_Active!$M18,J91)</f>
        <v>43.746499999999969</v>
      </c>
      <c r="K17" s="798">
        <f>IF(K130&lt;&gt;0,K91*K130*Perform_Active!$M18,K91)</f>
        <v>43.961999999999989</v>
      </c>
      <c r="L17" s="798">
        <f>IF(L130&lt;&gt;0,L91*L130*Perform_Active!$M18,L91)</f>
        <v>44.177500000000009</v>
      </c>
      <c r="M17" s="798">
        <f>IF(M130&lt;&gt;0,M91*M130*Perform_Active!$M18,M91)</f>
        <v>44.392999999999972</v>
      </c>
      <c r="N17" s="798">
        <f>IF(N130&lt;&gt;0,N91*N130*Perform_Active!$M18,N91)</f>
        <v>44.608499999999992</v>
      </c>
      <c r="O17" s="798">
        <f>IF(O130&lt;&gt;0,O91*O130*Perform_Active!$M18,O91)</f>
        <v>44.824000000000012</v>
      </c>
      <c r="P17" s="798">
        <f>IF(P130&lt;&gt;0,P91*P130*Perform_Active!$M18,P91)</f>
        <v>45.039499999999975</v>
      </c>
      <c r="Q17" s="798">
        <f>IF(Q130&lt;&gt;0,Q91*Q130*Perform_Active!$M18,Q91)</f>
        <v>45.254999999999995</v>
      </c>
      <c r="R17" s="798">
        <f>IF(R130&lt;&gt;0,R91*R130*Perform_Active!$M18,R91)</f>
        <v>45.470499999999959</v>
      </c>
      <c r="S17" s="798">
        <f>IF(S130&lt;&gt;0,S91*S130*Perform_Active!$M18,S91)</f>
        <v>45.685999999999979</v>
      </c>
      <c r="T17" s="798">
        <f>IF(T130&lt;&gt;0,T91*T130*Perform_Active!$M18,T91)</f>
        <v>45.901499999999999</v>
      </c>
      <c r="U17" s="798">
        <f>IF(U130&lt;&gt;0,U91*U130*Perform_Active!$M18,U91)</f>
        <v>46.116999999999962</v>
      </c>
      <c r="V17" s="798">
        <f>IF(V130&lt;&gt;0,V91*V130*Perform_Active!$M18,V91)</f>
        <v>46.332499999999982</v>
      </c>
      <c r="W17" s="798">
        <f>IF(W130&lt;&gt;0,W91*W130*Perform_Active!$M18,W91)</f>
        <v>46.548000000000002</v>
      </c>
      <c r="X17" s="798">
        <f>IF(X130&lt;&gt;0,X91*X130*Perform_Active!$M18,X91)</f>
        <v>46.763499999999965</v>
      </c>
      <c r="Y17" s="798">
        <f>IF(Y130&lt;&gt;0,Y91*Y130*Perform_Active!$M18,Y91)</f>
        <v>46.978999999999985</v>
      </c>
      <c r="Z17" s="798">
        <f>IF(Z130&lt;&gt;0,Z91*Z130*Perform_Active!$M18,Z91)</f>
        <v>47.194500000000005</v>
      </c>
      <c r="AA17" s="798">
        <f>IF(AA130&lt;&gt;0,AA91*AA130*Perform_Active!$M18,AA91)</f>
        <v>47.409999999999968</v>
      </c>
      <c r="AB17" s="798">
        <f>IF(AB130&lt;&gt;0,AB91*AB130*Perform_Active!$M18,AB91)</f>
        <v>47.625499999999988</v>
      </c>
      <c r="AC17" s="798">
        <f>IF(AC130&lt;&gt;0,AC91*AC130*Perform_Active!$M18,AC91)</f>
        <v>47.841000000000008</v>
      </c>
      <c r="AD17" s="798">
        <f>IF(AD130&lt;&gt;0,AD91*AD130*Perform_Active!$M18,AD91)</f>
        <v>48.056499999999971</v>
      </c>
      <c r="AE17" s="798">
        <f>IF(AE130&lt;&gt;0,AE91*AE130*Perform_Active!$M18,AE91)</f>
        <v>48.271999999999991</v>
      </c>
      <c r="AF17" s="798">
        <f>IF(AF130&lt;&gt;0,AF91*AF130*Perform_Active!$M18,AF91)</f>
        <v>48.487500000000011</v>
      </c>
    </row>
    <row r="18" spans="1:32" s="81" customFormat="1" ht="12.6" x14ac:dyDescent="0.25">
      <c r="B18" s="101" t="s">
        <v>29</v>
      </c>
      <c r="D18" s="550"/>
      <c r="E18" s="550"/>
      <c r="F18" s="550"/>
      <c r="G18" s="798">
        <f>IF(G131&lt;&gt;0,G92*G131*Perform_Active!$M19,G92)</f>
        <v>36.873768202819726</v>
      </c>
      <c r="H18" s="798">
        <f>IF(H131&lt;&gt;0,H92*H131*Perform_Active!$M19,H92)</f>
        <v>48.266272480467556</v>
      </c>
      <c r="I18" s="798">
        <f>IF(I131&lt;&gt;0,I92*I131*Perform_Active!$M19,I92)</f>
        <v>61.701198700113544</v>
      </c>
      <c r="J18" s="798">
        <f>IF(J131&lt;&gt;0,J92*J131*Perform_Active!$M19,J92)</f>
        <v>77.591734715380795</v>
      </c>
      <c r="K18" s="798">
        <f>IF(K131&lt;&gt;0,K92*K131*Perform_Active!$M19,K92)</f>
        <v>94.800465488123137</v>
      </c>
      <c r="L18" s="798">
        <f>IF(L131&lt;&gt;0,L92*L131*Perform_Active!$M19,L92)</f>
        <v>112.50003941617493</v>
      </c>
      <c r="M18" s="798">
        <f>IF(M131&lt;&gt;0,M92*M131*Perform_Active!$M19,M92)</f>
        <v>129.3471504340618</v>
      </c>
      <c r="N18" s="798">
        <f>IF(N131&lt;&gt;0,N92*N131*Perform_Active!$M19,N92)</f>
        <v>145.03095133963808</v>
      </c>
      <c r="O18" s="798">
        <f>IF(O131&lt;&gt;0,O92*O131*Perform_Active!$M19,O92)</f>
        <v>159.127310954921</v>
      </c>
      <c r="P18" s="798">
        <f>IF(P131&lt;&gt;0,P92*P131*Perform_Active!$M19,P92)</f>
        <v>171.48202098927979</v>
      </c>
      <c r="Q18" s="798">
        <f>IF(Q131&lt;&gt;0,Q92*Q131*Perform_Active!$M19,Q92)</f>
        <v>182.15170200680319</v>
      </c>
      <c r="R18" s="798">
        <f>IF(R131&lt;&gt;0,R92*R131*Perform_Active!$M19,R92)</f>
        <v>187.8607232688625</v>
      </c>
      <c r="S18" s="798">
        <f>IF(S131&lt;&gt;0,S92*S131*Perform_Active!$M19,S92)</f>
        <v>192.15160570290442</v>
      </c>
      <c r="T18" s="798">
        <f>IF(T131&lt;&gt;0,T92*T131*Perform_Active!$M19,T92)</f>
        <v>195.33034204073093</v>
      </c>
      <c r="U18" s="798">
        <f>IF(U131&lt;&gt;0,U92*U131*Perform_Active!$M19,U92)</f>
        <v>197.66006127320361</v>
      </c>
      <c r="V18" s="798">
        <f>IF(V131&lt;&gt;0,V92*V131*Perform_Active!$M19,V92)</f>
        <v>199.35413887963063</v>
      </c>
      <c r="W18" s="798">
        <f>IF(W131&lt;&gt;0,W92*W131*Perform_Active!$M19,W92)</f>
        <v>200.57896356186501</v>
      </c>
      <c r="X18" s="798">
        <f>IF(X131&lt;&gt;0,X92*X131*Perform_Active!$M19,X92)</f>
        <v>201.46085171629713</v>
      </c>
      <c r="Y18" s="798">
        <f>IF(Y131&lt;&gt;0,Y92*Y131*Perform_Active!$M19,Y92)</f>
        <v>202.09392729485813</v>
      </c>
      <c r="Z18" s="798">
        <f>IF(Z131&lt;&gt;0,Z92*Z131*Perform_Active!$M19,Z92)</f>
        <v>202.54741526513342</v>
      </c>
      <c r="AA18" s="798">
        <f>IF(AA131&lt;&gt;0,AA92*AA131*Perform_Active!$M19,AA92)</f>
        <v>202.87176106409183</v>
      </c>
      <c r="AB18" s="798">
        <f>IF(AB131&lt;&gt;0,AB92*AB131*Perform_Active!$M19,AB92)</f>
        <v>203.10348618652321</v>
      </c>
      <c r="AC18" s="798">
        <f>IF(AC131&lt;&gt;0,AC92*AC131*Perform_Active!$M19,AC92)</f>
        <v>203.26890947460336</v>
      </c>
      <c r="AD18" s="798">
        <f>IF(AD131&lt;&gt;0,AD92*AD131*Perform_Active!$M19,AD92)</f>
        <v>203.38693514979437</v>
      </c>
      <c r="AE18" s="798">
        <f>IF(AE131&lt;&gt;0,AE92*AE131*Perform_Active!$M19,AE92)</f>
        <v>203.47111002115616</v>
      </c>
      <c r="AF18" s="798">
        <f>IF(AF131&lt;&gt;0,AF92*AF131*Perform_Active!$M19,AF92)</f>
        <v>203.53112565740346</v>
      </c>
    </row>
    <row r="19" spans="1:32" s="81" customFormat="1" ht="12.6" x14ac:dyDescent="0.25">
      <c r="D19" s="550"/>
      <c r="E19" s="550"/>
      <c r="F19" s="550"/>
      <c r="G19" s="128"/>
      <c r="H19" s="128"/>
      <c r="I19" s="128"/>
      <c r="J19" s="128"/>
      <c r="K19" s="128"/>
      <c r="L19" s="128"/>
      <c r="M19" s="128"/>
      <c r="N19" s="128"/>
      <c r="O19" s="128"/>
      <c r="P19" s="128"/>
      <c r="Q19" s="128"/>
      <c r="R19" s="128"/>
      <c r="S19" s="128"/>
      <c r="T19" s="128"/>
      <c r="U19" s="128"/>
      <c r="V19" s="128"/>
      <c r="W19" s="128"/>
      <c r="X19" s="128"/>
      <c r="Y19" s="128"/>
      <c r="Z19" s="128"/>
      <c r="AA19" s="128"/>
      <c r="AB19" s="128"/>
      <c r="AC19" s="128"/>
      <c r="AD19" s="128"/>
      <c r="AE19" s="128"/>
      <c r="AF19" s="128"/>
    </row>
    <row r="20" spans="1:32" s="81" customFormat="1" ht="12.95" x14ac:dyDescent="0.3">
      <c r="A20" s="58" t="s">
        <v>36</v>
      </c>
      <c r="B20" s="57"/>
      <c r="C20" s="130"/>
      <c r="D20" s="387"/>
      <c r="E20" s="387"/>
      <c r="F20" s="387"/>
      <c r="G20" s="188"/>
      <c r="H20" s="188"/>
      <c r="I20" s="188"/>
      <c r="J20" s="188"/>
      <c r="K20" s="188"/>
      <c r="L20" s="188"/>
      <c r="M20" s="188"/>
      <c r="N20" s="188"/>
      <c r="O20" s="188"/>
      <c r="P20" s="188"/>
      <c r="Q20" s="188"/>
      <c r="R20" s="188"/>
      <c r="S20" s="188"/>
      <c r="T20" s="188"/>
      <c r="U20" s="188"/>
      <c r="V20" s="188"/>
      <c r="W20" s="188"/>
      <c r="X20" s="188"/>
      <c r="Y20" s="188"/>
      <c r="Z20" s="188"/>
      <c r="AA20" s="188"/>
      <c r="AB20" s="188"/>
      <c r="AC20" s="188"/>
      <c r="AD20" s="188"/>
      <c r="AE20" s="188"/>
      <c r="AF20" s="188"/>
    </row>
    <row r="21" spans="1:32" s="81" customFormat="1" ht="12.6" x14ac:dyDescent="0.25">
      <c r="B21" s="81" t="s">
        <v>37</v>
      </c>
      <c r="C21" s="83"/>
      <c r="D21" s="379"/>
      <c r="E21" s="379"/>
      <c r="F21" s="379"/>
      <c r="G21" s="798">
        <f>IF(G134&lt;&gt;0,G95*G134*Perform_Active!$M22,G95)</f>
        <v>46.9</v>
      </c>
      <c r="H21" s="798">
        <f>IF(H134&lt;&gt;0,H95*H134*Perform_Active!$M22,H95)</f>
        <v>46.9</v>
      </c>
      <c r="I21" s="798">
        <f>IF(I134&lt;&gt;0,I95*I134*Perform_Active!$M22,I95)</f>
        <v>46.9</v>
      </c>
      <c r="J21" s="798">
        <f>IF(J134&lt;&gt;0,J95*J134*Perform_Active!$M22,J95)</f>
        <v>46.9</v>
      </c>
      <c r="K21" s="798">
        <f>IF(K134&lt;&gt;0,K95*K134*Perform_Active!$M22,K95)</f>
        <v>46.9</v>
      </c>
      <c r="L21" s="798">
        <f>IF(L134&lt;&gt;0,L95*L134*Perform_Active!$M22,L95)</f>
        <v>46.9</v>
      </c>
      <c r="M21" s="798">
        <f>IF(M134&lt;&gt;0,M95*M134*Perform_Active!$M22,M95)</f>
        <v>46.9</v>
      </c>
      <c r="N21" s="798">
        <f>IF(N134&lt;&gt;0,N95*N134*Perform_Active!$M22,N95)</f>
        <v>46.9</v>
      </c>
      <c r="O21" s="798">
        <f>IF(O134&lt;&gt;0,O95*O134*Perform_Active!$M22,O95)</f>
        <v>46.9</v>
      </c>
      <c r="P21" s="798">
        <f>IF(P134&lt;&gt;0,P95*P134*Perform_Active!$M22,P95)</f>
        <v>46.9</v>
      </c>
      <c r="Q21" s="798">
        <f>IF(Q134&lt;&gt;0,Q95*Q134*Perform_Active!$M22,Q95)</f>
        <v>46.9</v>
      </c>
      <c r="R21" s="798">
        <f>IF(R134&lt;&gt;0,R95*R134*Perform_Active!$M22,R95)</f>
        <v>46.9</v>
      </c>
      <c r="S21" s="798">
        <f>IF(S134&lt;&gt;0,S95*S134*Perform_Active!$M22,S95)</f>
        <v>46.9</v>
      </c>
      <c r="T21" s="798">
        <f>IF(T134&lt;&gt;0,T95*T134*Perform_Active!$M22,T95)</f>
        <v>46.9</v>
      </c>
      <c r="U21" s="798">
        <f>IF(U134&lt;&gt;0,U95*U134*Perform_Active!$M22,U95)</f>
        <v>46.9</v>
      </c>
      <c r="V21" s="798">
        <f>IF(V134&lt;&gt;0,V95*V134*Perform_Active!$M22,V95)</f>
        <v>46.9</v>
      </c>
      <c r="W21" s="798">
        <f>IF(W134&lt;&gt;0,W95*W134*Perform_Active!$M22,W95)</f>
        <v>46.9</v>
      </c>
      <c r="X21" s="798">
        <f>IF(X134&lt;&gt;0,X95*X134*Perform_Active!$M22,X95)</f>
        <v>46.9</v>
      </c>
      <c r="Y21" s="798">
        <f>IF(Y134&lt;&gt;0,Y95*Y134*Perform_Active!$M22,Y95)</f>
        <v>46.9</v>
      </c>
      <c r="Z21" s="798">
        <f>IF(Z134&lt;&gt;0,Z95*Z134*Perform_Active!$M22,Z95)</f>
        <v>46.9</v>
      </c>
      <c r="AA21" s="798">
        <f>IF(AA134&lt;&gt;0,AA95*AA134*Perform_Active!$M22,AA95)</f>
        <v>46.9</v>
      </c>
      <c r="AB21" s="798">
        <f>IF(AB134&lt;&gt;0,AB95*AB134*Perform_Active!$M22,AB95)</f>
        <v>46.9</v>
      </c>
      <c r="AC21" s="798">
        <f>IF(AC134&lt;&gt;0,AC95*AC134*Perform_Active!$M22,AC95)</f>
        <v>46.9</v>
      </c>
      <c r="AD21" s="798">
        <f>IF(AD134&lt;&gt;0,AD95*AD134*Perform_Active!$M22,AD95)</f>
        <v>46.9</v>
      </c>
      <c r="AE21" s="798">
        <f>IF(AE134&lt;&gt;0,AE95*AE134*Perform_Active!$M22,AE95)</f>
        <v>46.9</v>
      </c>
      <c r="AF21" s="798">
        <f>IF(AF134&lt;&gt;0,AF95*AF134*Perform_Active!$M22,AF95)</f>
        <v>46.9</v>
      </c>
    </row>
    <row r="22" spans="1:32" s="81" customFormat="1" ht="12.6" x14ac:dyDescent="0.25">
      <c r="B22" s="81" t="s">
        <v>39</v>
      </c>
      <c r="D22" s="550"/>
      <c r="E22" s="550"/>
      <c r="F22" s="550"/>
      <c r="G22" s="798">
        <f>IF(G135&lt;&gt;0,G96*G135*Perform_Active!$M23,G96)</f>
        <v>50.749999999999986</v>
      </c>
      <c r="H22" s="798">
        <f>IF(H135&lt;&gt;0,H96*H135*Perform_Active!$M23,H96)</f>
        <v>51.003749999999968</v>
      </c>
      <c r="I22" s="798">
        <f>IF(I135&lt;&gt;0,I96*I135*Perform_Active!$M23,I96)</f>
        <v>51.257499999999951</v>
      </c>
      <c r="J22" s="798">
        <f>IF(J135&lt;&gt;0,J96*J135*Perform_Active!$M23,J96)</f>
        <v>51.511250000000011</v>
      </c>
      <c r="K22" s="798">
        <f>IF(K135&lt;&gt;0,K96*K135*Perform_Active!$M23,K96)</f>
        <v>52.449366666666663</v>
      </c>
      <c r="L22" s="798">
        <f>IF(L135&lt;&gt;0,L96*L135*Perform_Active!$M23,L96)</f>
        <v>53.387483333333329</v>
      </c>
      <c r="M22" s="798">
        <f>IF(M135&lt;&gt;0,M96*M135*Perform_Active!$M23,M96)</f>
        <v>54.325600000000001</v>
      </c>
      <c r="N22" s="798">
        <f>IF(N135&lt;&gt;0,N96*N135*Perform_Active!$M23,N96)</f>
        <v>54.597227999999994</v>
      </c>
      <c r="O22" s="798">
        <f>IF(O135&lt;&gt;0,O96*O135*Perform_Active!$M23,O96)</f>
        <v>54.870214139999987</v>
      </c>
      <c r="P22" s="798">
        <f>IF(P135&lt;&gt;0,P96*P135*Perform_Active!$M23,P96)</f>
        <v>55.14456521069998</v>
      </c>
      <c r="Q22" s="798">
        <f>IF(Q135&lt;&gt;0,Q96*Q135*Perform_Active!$M23,Q96)</f>
        <v>55.420288036753462</v>
      </c>
      <c r="R22" s="798">
        <f>IF(R135&lt;&gt;0,R96*R135*Perform_Active!$M23,R96)</f>
        <v>55.697389476937218</v>
      </c>
      <c r="S22" s="798">
        <f>IF(S135&lt;&gt;0,S96*S135*Perform_Active!$M23,S96)</f>
        <v>55.975876424321896</v>
      </c>
      <c r="T22" s="798">
        <f>IF(T135&lt;&gt;0,T96*T135*Perform_Active!$M23,T96)</f>
        <v>56.255755806443496</v>
      </c>
      <c r="U22" s="798">
        <f>IF(U135&lt;&gt;0,U96*U135*Perform_Active!$M23,U96)</f>
        <v>56.537034585475709</v>
      </c>
      <c r="V22" s="798">
        <f>IF(V135&lt;&gt;0,V96*V135*Perform_Active!$M23,V96)</f>
        <v>56.819719758403089</v>
      </c>
      <c r="W22" s="798">
        <f>IF(W135&lt;&gt;0,W96*W135*Perform_Active!$M23,W96)</f>
        <v>57.103818357195088</v>
      </c>
      <c r="X22" s="798">
        <f>IF(X135&lt;&gt;0,X96*X135*Perform_Active!$M23,X96)</f>
        <v>57.38933744898106</v>
      </c>
      <c r="Y22" s="798">
        <f>IF(Y135&lt;&gt;0,Y96*Y135*Perform_Active!$M23,Y96)</f>
        <v>57.676284136225945</v>
      </c>
      <c r="Z22" s="798">
        <f>IF(Z135&lt;&gt;0,Z96*Z135*Perform_Active!$M23,Z96)</f>
        <v>57.964665556907072</v>
      </c>
      <c r="AA22" s="798">
        <f>IF(AA135&lt;&gt;0,AA96*AA135*Perform_Active!$M23,AA96)</f>
        <v>58.254488884691597</v>
      </c>
      <c r="AB22" s="798">
        <f>IF(AB135&lt;&gt;0,AB96*AB135*Perform_Active!$M23,AB96)</f>
        <v>58.545761329115045</v>
      </c>
      <c r="AC22" s="798">
        <f>IF(AC135&lt;&gt;0,AC96*AC135*Perform_Active!$M23,AC96)</f>
        <v>58.838490135760615</v>
      </c>
      <c r="AD22" s="798">
        <f>IF(AD135&lt;&gt;0,AD96*AD135*Perform_Active!$M23,AD96)</f>
        <v>59.132682586439422</v>
      </c>
      <c r="AE22" s="798">
        <f>IF(AE135&lt;&gt;0,AE96*AE135*Perform_Active!$M23,AE96)</f>
        <v>59.428345999371594</v>
      </c>
      <c r="AF22" s="798">
        <f>IF(AF135&lt;&gt;0,AF96*AF135*Perform_Active!$M23,AF96)</f>
        <v>59.725487729368446</v>
      </c>
    </row>
    <row r="23" spans="1:32" s="81" customFormat="1" ht="12.6" x14ac:dyDescent="0.25">
      <c r="B23" s="81" t="s">
        <v>40</v>
      </c>
      <c r="C23" s="101"/>
      <c r="D23" s="552"/>
      <c r="E23" s="552"/>
      <c r="F23" s="552"/>
      <c r="G23" s="798">
        <f>IF(G136&lt;&gt;0,G97*G136*Perform_Active!$M24,G97)</f>
        <v>77.129999999999967</v>
      </c>
      <c r="H23" s="798">
        <f>IF(H136&lt;&gt;0,H97*H136*Perform_Active!$M24,H97)</f>
        <v>77.515650000000008</v>
      </c>
      <c r="I23" s="798">
        <f>IF(I136&lt;&gt;0,I97*I136*Perform_Active!$M24,I97)</f>
        <v>77.901299999999964</v>
      </c>
      <c r="J23" s="798">
        <f>IF(J136&lt;&gt;0,J97*J136*Perform_Active!$M24,J97)</f>
        <v>78.286950000000004</v>
      </c>
      <c r="K23" s="798">
        <f>IF(K136&lt;&gt;0,K97*K136*Perform_Active!$M24,K97)</f>
        <v>78.672599999999946</v>
      </c>
      <c r="L23" s="798">
        <f>IF(L136&lt;&gt;0,L97*L136*Perform_Active!$M24,L97)</f>
        <v>79.058250000000001</v>
      </c>
      <c r="M23" s="798">
        <f>IF(M136&lt;&gt;0,M97*M136*Perform_Active!$M24,M97)</f>
        <v>79.443899999999957</v>
      </c>
      <c r="N23" s="798">
        <f>IF(N136&lt;&gt;0,N97*N136*Perform_Active!$M24,N97)</f>
        <v>79.829549999999983</v>
      </c>
      <c r="O23" s="798">
        <f>IF(O136&lt;&gt;0,O97*O136*Perform_Active!$M24,O97)</f>
        <v>80.215199999999953</v>
      </c>
      <c r="P23" s="798">
        <f>IF(P136&lt;&gt;0,P97*P136*Perform_Active!$M24,P97)</f>
        <v>80.600849999999994</v>
      </c>
      <c r="Q23" s="798">
        <f>IF(Q136&lt;&gt;0,Q97*Q136*Perform_Active!$M24,Q97)</f>
        <v>80.98649999999995</v>
      </c>
      <c r="R23" s="798">
        <f>IF(R136&lt;&gt;0,R97*R136*Perform_Active!$M24,R97)</f>
        <v>81.372149999999991</v>
      </c>
      <c r="S23" s="798">
        <f>IF(S136&lt;&gt;0,S97*S136*Perform_Active!$M24,S97)</f>
        <v>81.757799999999932</v>
      </c>
      <c r="T23" s="798">
        <f>IF(T136&lt;&gt;0,T97*T136*Perform_Active!$M24,T97)</f>
        <v>82.143449999999987</v>
      </c>
      <c r="U23" s="798">
        <f>IF(U136&lt;&gt;0,U97*U136*Perform_Active!$M24,U97)</f>
        <v>82.529100000000028</v>
      </c>
      <c r="V23" s="798">
        <f>IF(V136&lt;&gt;0,V97*V136*Perform_Active!$M24,V97)</f>
        <v>82.91474999999997</v>
      </c>
      <c r="W23" s="798">
        <f>IF(W136&lt;&gt;0,W97*W136*Perform_Active!$M24,W97)</f>
        <v>83.300400000000025</v>
      </c>
      <c r="X23" s="798">
        <f>IF(X136&lt;&gt;0,X97*X136*Perform_Active!$M24,X97)</f>
        <v>83.68604999999998</v>
      </c>
      <c r="Y23" s="798">
        <f>IF(Y136&lt;&gt;0,Y97*Y136*Perform_Active!$M24,Y97)</f>
        <v>84.071700000000007</v>
      </c>
      <c r="Z23" s="798">
        <f>IF(Z136&lt;&gt;0,Z97*Z136*Perform_Active!$M24,Z97)</f>
        <v>84.457349999999977</v>
      </c>
      <c r="AA23" s="798">
        <f>IF(AA136&lt;&gt;0,AA97*AA136*Perform_Active!$M24,AA97)</f>
        <v>84.843000000000018</v>
      </c>
      <c r="AB23" s="798">
        <f>IF(AB136&lt;&gt;0,AB97*AB136*Perform_Active!$M24,AB97)</f>
        <v>85.228649999999973</v>
      </c>
      <c r="AC23" s="798">
        <f>IF(AC136&lt;&gt;0,AC97*AC136*Perform_Active!$M24,AC97)</f>
        <v>85.614300000000014</v>
      </c>
      <c r="AD23" s="798">
        <f>IF(AD136&lt;&gt;0,AD97*AD136*Perform_Active!$M24,AD97)</f>
        <v>85.999949999999956</v>
      </c>
      <c r="AE23" s="798">
        <f>IF(AE136&lt;&gt;0,AE97*AE136*Perform_Active!$M24,AE97)</f>
        <v>86.385600000000011</v>
      </c>
      <c r="AF23" s="798">
        <f>IF(AF136&lt;&gt;0,AF97*AF136*Perform_Active!$M24,AF97)</f>
        <v>86.771249999999952</v>
      </c>
    </row>
    <row r="24" spans="1:32" s="81" customFormat="1" ht="12.6" x14ac:dyDescent="0.25">
      <c r="B24" s="81" t="s">
        <v>29</v>
      </c>
      <c r="D24" s="550"/>
      <c r="E24" s="550"/>
      <c r="F24" s="550"/>
      <c r="G24" s="798">
        <f>IF(G137&lt;&gt;0,G98*G137*Perform_Active!$M25,G98)</f>
        <v>69.886712931315586</v>
      </c>
      <c r="H24" s="798">
        <f>IF(H137&lt;&gt;0,H98*H137*Perform_Active!$M25,H98)</f>
        <v>84.617739005122857</v>
      </c>
      <c r="I24" s="798">
        <f>IF(I137&lt;&gt;0,I98*I137*Perform_Active!$M25,I98)</f>
        <v>99.77020761765985</v>
      </c>
      <c r="J24" s="798">
        <f>IF(J137&lt;&gt;0,J98*J137*Perform_Active!$M25,J98)</f>
        <v>115.81072942703476</v>
      </c>
      <c r="K24" s="798">
        <f>IF(K137&lt;&gt;0,K98*K137*Perform_Active!$M25,K98)</f>
        <v>131.19780938437214</v>
      </c>
      <c r="L24" s="798">
        <f>IF(L137&lt;&gt;0,L98*L137*Perform_Active!$M25,L98)</f>
        <v>145.46220447607328</v>
      </c>
      <c r="M24" s="798">
        <f>IF(M137&lt;&gt;0,M98*M137*Perform_Active!$M25,M98)</f>
        <v>157.75364681050067</v>
      </c>
      <c r="N24" s="798">
        <f>IF(N137&lt;&gt;0,N98*N137*Perform_Active!$M25,N98)</f>
        <v>168.55506474700036</v>
      </c>
      <c r="O24" s="798">
        <f>IF(O137&lt;&gt;0,O98*O137*Perform_Active!$M25,O98)</f>
        <v>177.96704120423578</v>
      </c>
      <c r="P24" s="798">
        <f>IF(P137&lt;&gt;0,P98*P137*Perform_Active!$M25,P98)</f>
        <v>186.1654499682482</v>
      </c>
      <c r="Q24" s="798">
        <f>IF(Q137&lt;&gt;0,Q98*Q137*Perform_Active!$M25,Q98)</f>
        <v>193.35230342395749</v>
      </c>
      <c r="R24" s="798">
        <f>IF(R137&lt;&gt;0,R98*R137*Perform_Active!$M25,R98)</f>
        <v>196.11147215578865</v>
      </c>
      <c r="S24" s="798">
        <f>IF(S137&lt;&gt;0,S98*S137*Perform_Active!$M25,S98)</f>
        <v>198.15456111208027</v>
      </c>
      <c r="T24" s="798">
        <f>IF(T137&lt;&gt;0,T98*T137*Perform_Active!$M25,T98)</f>
        <v>199.65744029461996</v>
      </c>
      <c r="U24" s="798">
        <f>IF(U137&lt;&gt;0,U98*U137*Perform_Active!$M25,U98)</f>
        <v>200.75757592848979</v>
      </c>
      <c r="V24" s="798">
        <f>IF(V137&lt;&gt;0,V98*V137*Perform_Active!$M25,V98)</f>
        <v>201.56002861929591</v>
      </c>
      <c r="W24" s="798">
        <f>IF(W137&lt;&gt;0,W98*W137*Perform_Active!$M25,W98)</f>
        <v>202.14382617150503</v>
      </c>
      <c r="X24" s="798">
        <f>IF(X137&lt;&gt;0,X98*X137*Perform_Active!$M25,X98)</f>
        <v>202.5677447446416</v>
      </c>
      <c r="Y24" s="798">
        <f>IF(Y137&lt;&gt;0,Y98*Y137*Perform_Active!$M25,Y98)</f>
        <v>202.87514562074011</v>
      </c>
      <c r="Z24" s="798">
        <f>IF(Z137&lt;&gt;0,Z98*Z137*Perform_Active!$M25,Z98)</f>
        <v>203.09783237720012</v>
      </c>
      <c r="AA24" s="798">
        <f>IF(AA137&lt;&gt;0,AA98*AA137*Perform_Active!$M25,AA98)</f>
        <v>203.25903410630769</v>
      </c>
      <c r="AB24" s="798">
        <f>IF(AB137&lt;&gt;0,AB98*AB137*Perform_Active!$M25,AB98)</f>
        <v>203.37566609727986</v>
      </c>
      <c r="AC24" s="798">
        <f>IF(AC137&lt;&gt;0,AC98*AC137*Perform_Active!$M25,AC98)</f>
        <v>203.46001922812226</v>
      </c>
      <c r="AD24" s="798">
        <f>IF(AD137&lt;&gt;0,AD98*AD137*Perform_Active!$M25,AD98)</f>
        <v>203.52101022912549</v>
      </c>
      <c r="AE24" s="798">
        <f>IF(AE137&lt;&gt;0,AE98*AE137*Perform_Active!$M25,AE98)</f>
        <v>203.56510065539746</v>
      </c>
      <c r="AF24" s="798">
        <f>IF(AF137&lt;&gt;0,AF98*AF137*Perform_Active!$M25,AF98)</f>
        <v>203.59696908402657</v>
      </c>
    </row>
    <row r="25" spans="1:32" s="81" customFormat="1" ht="12.6" x14ac:dyDescent="0.25">
      <c r="D25" s="550"/>
      <c r="E25" s="550"/>
      <c r="F25" s="550"/>
    </row>
    <row r="26" spans="1:32" s="81" customFormat="1" ht="12.95" x14ac:dyDescent="0.3">
      <c r="A26" s="58" t="s">
        <v>42</v>
      </c>
      <c r="B26" s="57"/>
      <c r="C26" s="130"/>
      <c r="D26" s="387"/>
      <c r="E26" s="387"/>
      <c r="F26" s="387"/>
      <c r="G26" s="188"/>
      <c r="H26" s="188"/>
      <c r="I26" s="188"/>
      <c r="J26" s="188"/>
      <c r="K26" s="188"/>
      <c r="L26" s="188"/>
      <c r="M26" s="188"/>
      <c r="N26" s="188"/>
      <c r="O26" s="188"/>
      <c r="P26" s="188"/>
      <c r="Q26" s="188"/>
      <c r="R26" s="188"/>
      <c r="S26" s="188"/>
      <c r="T26" s="188"/>
      <c r="U26" s="188"/>
      <c r="V26" s="188"/>
      <c r="W26" s="188"/>
      <c r="X26" s="188"/>
      <c r="Y26" s="188"/>
      <c r="Z26" s="188"/>
      <c r="AA26" s="188"/>
      <c r="AB26" s="188"/>
      <c r="AC26" s="188"/>
      <c r="AD26" s="188"/>
      <c r="AE26" s="188"/>
      <c r="AF26" s="188"/>
    </row>
    <row r="27" spans="1:32" s="81" customFormat="1" ht="12.6" x14ac:dyDescent="0.25">
      <c r="B27" s="101" t="s">
        <v>43</v>
      </c>
      <c r="C27" s="101"/>
      <c r="D27" s="552"/>
      <c r="E27" s="552"/>
      <c r="F27" s="552"/>
      <c r="G27" s="798">
        <f>IF(G140&lt;&gt;0,G101*G140*Perform_Active!$M28,G101)</f>
        <v>19.045000000000002</v>
      </c>
      <c r="H27" s="798">
        <f>IF(H140&lt;&gt;0,H101*H140*Perform_Active!$M28,H101)</f>
        <v>19.045000000000002</v>
      </c>
      <c r="I27" s="798">
        <f>IF(I140&lt;&gt;0,I101*I140*Perform_Active!$M28,I101)</f>
        <v>19.045000000000002</v>
      </c>
      <c r="J27" s="798">
        <f>IF(J140&lt;&gt;0,J101*J140*Perform_Active!$M28,J101)</f>
        <v>19.045000000000002</v>
      </c>
      <c r="K27" s="798">
        <f>IF(K140&lt;&gt;0,K101*K140*Perform_Active!$M28,K101)</f>
        <v>19.045000000000002</v>
      </c>
      <c r="L27" s="798">
        <f>IF(L140&lt;&gt;0,L101*L140*Perform_Active!$M28,L101)</f>
        <v>19.045000000000002</v>
      </c>
      <c r="M27" s="798">
        <f>IF(M140&lt;&gt;0,M101*M140*Perform_Active!$M28,M101)</f>
        <v>19.045000000000002</v>
      </c>
      <c r="N27" s="798">
        <f>IF(N140&lt;&gt;0,N101*N140*Perform_Active!$M28,N101)</f>
        <v>19.045000000000002</v>
      </c>
      <c r="O27" s="798">
        <f>IF(O140&lt;&gt;0,O101*O140*Perform_Active!$M28,O101)</f>
        <v>19.045000000000002</v>
      </c>
      <c r="P27" s="798">
        <f>IF(P140&lt;&gt;0,P101*P140*Perform_Active!$M28,P101)</f>
        <v>19.045000000000002</v>
      </c>
      <c r="Q27" s="798">
        <f>IF(Q140&lt;&gt;0,Q101*Q140*Perform_Active!$M28,Q101)</f>
        <v>19.045000000000002</v>
      </c>
      <c r="R27" s="798">
        <f>IF(R140&lt;&gt;0,R101*R140*Perform_Active!$M28,R101)</f>
        <v>19.045000000000002</v>
      </c>
      <c r="S27" s="798">
        <f>IF(S140&lt;&gt;0,S101*S140*Perform_Active!$M28,S101)</f>
        <v>19.045000000000002</v>
      </c>
      <c r="T27" s="798">
        <f>IF(T140&lt;&gt;0,T101*T140*Perform_Active!$M28,T101)</f>
        <v>19.045000000000002</v>
      </c>
      <c r="U27" s="798">
        <f>IF(U140&lt;&gt;0,U101*U140*Perform_Active!$M28,U101)</f>
        <v>19.045000000000002</v>
      </c>
      <c r="V27" s="798">
        <f>IF(V140&lt;&gt;0,V101*V140*Perform_Active!$M28,V101)</f>
        <v>19.045000000000002</v>
      </c>
      <c r="W27" s="798">
        <f>IF(W140&lt;&gt;0,W101*W140*Perform_Active!$M28,W101)</f>
        <v>19.045000000000002</v>
      </c>
      <c r="X27" s="798">
        <f>IF(X140&lt;&gt;0,X101*X140*Perform_Active!$M28,X101)</f>
        <v>19.045000000000002</v>
      </c>
      <c r="Y27" s="798">
        <f>IF(Y140&lt;&gt;0,Y101*Y140*Perform_Active!$M28,Y101)</f>
        <v>19.045000000000002</v>
      </c>
      <c r="Z27" s="798">
        <f>IF(Z140&lt;&gt;0,Z101*Z140*Perform_Active!$M28,Z101)</f>
        <v>19.045000000000002</v>
      </c>
      <c r="AA27" s="798">
        <f>IF(AA140&lt;&gt;0,AA101*AA140*Perform_Active!$M28,AA101)</f>
        <v>19.045000000000002</v>
      </c>
      <c r="AB27" s="798">
        <f>IF(AB140&lt;&gt;0,AB101*AB140*Perform_Active!$M28,AB101)</f>
        <v>19.045000000000002</v>
      </c>
      <c r="AC27" s="798">
        <f>IF(AC140&lt;&gt;0,AC101*AC140*Perform_Active!$M28,AC101)</f>
        <v>19.045000000000002</v>
      </c>
      <c r="AD27" s="798">
        <f>IF(AD140&lt;&gt;0,AD101*AD140*Perform_Active!$M28,AD101)</f>
        <v>19.045000000000002</v>
      </c>
      <c r="AE27" s="798">
        <f>IF(AE140&lt;&gt;0,AE101*AE140*Perform_Active!$M28,AE101)</f>
        <v>19.045000000000002</v>
      </c>
      <c r="AF27" s="798">
        <f>IF(AF140&lt;&gt;0,AF101*AF140*Perform_Active!$M28,AF101)</f>
        <v>19.045000000000002</v>
      </c>
    </row>
    <row r="28" spans="1:32" s="81" customFormat="1" ht="12.6" x14ac:dyDescent="0.25">
      <c r="B28" s="101" t="s">
        <v>44</v>
      </c>
      <c r="D28" s="550"/>
      <c r="E28" s="550"/>
      <c r="F28" s="550"/>
      <c r="G28" s="798">
        <f>IF(G141&lt;&gt;0,G102*G141*Perform_Active!$M29,G102)</f>
        <v>31.849999999999973</v>
      </c>
      <c r="H28" s="798">
        <f>IF(H141&lt;&gt;0,H102*H141*Perform_Active!$M29,H102)</f>
        <v>32.08887499999998</v>
      </c>
      <c r="I28" s="798">
        <f>IF(I141&lt;&gt;0,I102*I141*Perform_Active!$M29,I102)</f>
        <v>32.32774999999998</v>
      </c>
      <c r="J28" s="798">
        <f>IF(J141&lt;&gt;0,J102*J141*Perform_Active!$M29,J102)</f>
        <v>32.566624999999995</v>
      </c>
      <c r="K28" s="798">
        <f>IF(K141&lt;&gt;0,K102*K141*Perform_Active!$M29,K102)</f>
        <v>32.805499999999995</v>
      </c>
      <c r="L28" s="798">
        <f>IF(L141&lt;&gt;0,L102*L141*Perform_Active!$M29,L102)</f>
        <v>33.044375000000002</v>
      </c>
      <c r="M28" s="798">
        <f>IF(M141&lt;&gt;0,M102*M141*Perform_Active!$M29,M102)</f>
        <v>33.283250000000002</v>
      </c>
      <c r="N28" s="798">
        <f>IF(N141&lt;&gt;0,N102*N141*Perform_Active!$M29,N102)</f>
        <v>33.522125000000017</v>
      </c>
      <c r="O28" s="798">
        <f>IF(O141&lt;&gt;0,O102*O141*Perform_Active!$M29,O102)</f>
        <v>33.761000000000017</v>
      </c>
      <c r="P28" s="798">
        <f>IF(P141&lt;&gt;0,P102*P141*Perform_Active!$M29,P102)</f>
        <v>33.999875000000024</v>
      </c>
      <c r="Q28" s="798">
        <f>IF(Q141&lt;&gt;0,Q102*Q141*Perform_Active!$M29,Q102)</f>
        <v>34.23874999999996</v>
      </c>
      <c r="R28" s="798">
        <f>IF(R141&lt;&gt;0,R102*R141*Perform_Active!$M29,R102)</f>
        <v>34.477624999999975</v>
      </c>
      <c r="S28" s="798">
        <f>IF(S141&lt;&gt;0,S102*S141*Perform_Active!$M29,S102)</f>
        <v>34.716499999999975</v>
      </c>
      <c r="T28" s="798">
        <f>IF(T141&lt;&gt;0,T102*T141*Perform_Active!$M29,T102)</f>
        <v>34.955374999999982</v>
      </c>
      <c r="U28" s="798">
        <f>IF(U141&lt;&gt;0,U102*U141*Perform_Active!$M29,U102)</f>
        <v>35.194249999999982</v>
      </c>
      <c r="V28" s="798">
        <f>IF(V141&lt;&gt;0,V102*V141*Perform_Active!$M29,V102)</f>
        <v>35.433124999999997</v>
      </c>
      <c r="W28" s="798">
        <f>IF(W141&lt;&gt;0,W102*W141*Perform_Active!$M29,W102)</f>
        <v>35.671999999999997</v>
      </c>
      <c r="X28" s="798">
        <f>IF(X141&lt;&gt;0,X102*X141*Perform_Active!$M29,X102)</f>
        <v>35.910875000000004</v>
      </c>
      <c r="Y28" s="798">
        <f>IF(Y141&lt;&gt;0,Y102*Y141*Perform_Active!$M29,Y102)</f>
        <v>36.149750000000004</v>
      </c>
      <c r="Z28" s="798">
        <f>IF(Z141&lt;&gt;0,Z102*Z141*Perform_Active!$M29,Z102)</f>
        <v>36.388625000000019</v>
      </c>
      <c r="AA28" s="798">
        <f>IF(AA141&lt;&gt;0,AA102*AA141*Perform_Active!$M29,AA102)</f>
        <v>36.627500000000019</v>
      </c>
      <c r="AB28" s="798">
        <f>IF(AB141&lt;&gt;0,AB102*AB141*Perform_Active!$M29,AB102)</f>
        <v>36.866374999999962</v>
      </c>
      <c r="AC28" s="798">
        <f>IF(AC141&lt;&gt;0,AC102*AC141*Perform_Active!$M29,AC102)</f>
        <v>37.105249999999963</v>
      </c>
      <c r="AD28" s="798">
        <f>IF(AD141&lt;&gt;0,AD102*AD141*Perform_Active!$M29,AD102)</f>
        <v>37.344124999999977</v>
      </c>
      <c r="AE28" s="798">
        <f>IF(AE141&lt;&gt;0,AE102*AE141*Perform_Active!$M29,AE102)</f>
        <v>37.582999999999977</v>
      </c>
      <c r="AF28" s="798">
        <f>IF(AF141&lt;&gt;0,AF102*AF141*Perform_Active!$M29,AF102)</f>
        <v>37.821874999999984</v>
      </c>
    </row>
    <row r="29" spans="1:32" s="81" customFormat="1" ht="12.6" x14ac:dyDescent="0.25">
      <c r="B29" s="101" t="s">
        <v>45</v>
      </c>
      <c r="D29" s="550"/>
      <c r="E29" s="550"/>
      <c r="F29" s="550"/>
      <c r="G29" s="798">
        <f>IF(G142&lt;&gt;0,G103*G142*Perform_Active!$M30,G103)</f>
        <v>45.565000000000005</v>
      </c>
      <c r="H29" s="798">
        <f>IF(H142&lt;&gt;0,H103*H142*Perform_Active!$M30,H103)</f>
        <v>45.678912499999996</v>
      </c>
      <c r="I29" s="798">
        <f>IF(I142&lt;&gt;0,I103*I142*Perform_Active!$M30,I103)</f>
        <v>45.792824999999979</v>
      </c>
      <c r="J29" s="798">
        <f>IF(J142&lt;&gt;0,J103*J142*Perform_Active!$M30,J103)</f>
        <v>45.906737499999998</v>
      </c>
      <c r="K29" s="798">
        <f>IF(K142&lt;&gt;0,K103*K142*Perform_Active!$M30,K103)</f>
        <v>46.020649999999982</v>
      </c>
      <c r="L29" s="798">
        <f>IF(L142&lt;&gt;0,L103*L142*Perform_Active!$M30,L103)</f>
        <v>46.134562499999994</v>
      </c>
      <c r="M29" s="798">
        <f>IF(M142&lt;&gt;0,M103*M142*Perform_Active!$M30,M103)</f>
        <v>46.248474999999985</v>
      </c>
      <c r="N29" s="798">
        <f>IF(N142&lt;&gt;0,N103*N142*Perform_Active!$M30,N103)</f>
        <v>46.362387500000004</v>
      </c>
      <c r="O29" s="798">
        <f>IF(O142&lt;&gt;0,O103*O142*Perform_Active!$M30,O103)</f>
        <v>46.476299999999988</v>
      </c>
      <c r="P29" s="798">
        <f>IF(P142&lt;&gt;0,P103*P142*Perform_Active!$M30,P103)</f>
        <v>46.590212500000014</v>
      </c>
      <c r="Q29" s="798">
        <f>IF(Q142&lt;&gt;0,Q103*Q142*Perform_Active!$M30,Q103)</f>
        <v>46.704124999999998</v>
      </c>
      <c r="R29" s="798">
        <f>IF(R142&lt;&gt;0,R103*R142*Perform_Active!$M30,R103)</f>
        <v>46.818037499999981</v>
      </c>
      <c r="S29" s="798">
        <f>IF(S142&lt;&gt;0,S103*S142*Perform_Active!$M30,S103)</f>
        <v>46.931950000000001</v>
      </c>
      <c r="T29" s="798">
        <f>IF(T142&lt;&gt;0,T103*T142*Perform_Active!$M30,T103)</f>
        <v>47.045862499999991</v>
      </c>
      <c r="U29" s="798">
        <f>IF(U142&lt;&gt;0,U103*U142*Perform_Active!$M30,U103)</f>
        <v>47.159775000000003</v>
      </c>
      <c r="V29" s="798">
        <f>IF(V142&lt;&gt;0,V103*V142*Perform_Active!$M30,V103)</f>
        <v>47.273687499999987</v>
      </c>
      <c r="W29" s="798">
        <f>IF(W142&lt;&gt;0,W103*W142*Perform_Active!$M30,W103)</f>
        <v>47.387600000000006</v>
      </c>
      <c r="X29" s="798">
        <f>IF(X142&lt;&gt;0,X103*X142*Perform_Active!$M30,X103)</f>
        <v>47.501512499999997</v>
      </c>
      <c r="Y29" s="798">
        <f>IF(Y142&lt;&gt;0,Y103*Y142*Perform_Active!$M30,Y103)</f>
        <v>47.615424999999981</v>
      </c>
      <c r="Z29" s="798">
        <f>IF(Z142&lt;&gt;0,Z103*Z142*Perform_Active!$M30,Z103)</f>
        <v>47.7293375</v>
      </c>
      <c r="AA29" s="798">
        <f>IF(AA142&lt;&gt;0,AA103*AA142*Perform_Active!$M30,AA103)</f>
        <v>47.843249999999983</v>
      </c>
      <c r="AB29" s="798">
        <f>IF(AB142&lt;&gt;0,AB103*AB142*Perform_Active!$M30,AB103)</f>
        <v>47.957162499999995</v>
      </c>
      <c r="AC29" s="798">
        <f>IF(AC142&lt;&gt;0,AC103*AC142*Perform_Active!$M30,AC103)</f>
        <v>48.071074999999993</v>
      </c>
      <c r="AD29" s="798">
        <f>IF(AD142&lt;&gt;0,AD103*AD142*Perform_Active!$M30,AD103)</f>
        <v>48.184987500000005</v>
      </c>
      <c r="AE29" s="798">
        <f>IF(AE142&lt;&gt;0,AE103*AE142*Perform_Active!$M30,AE103)</f>
        <v>48.298899999999989</v>
      </c>
      <c r="AF29" s="798">
        <f>IF(AF142&lt;&gt;0,AF103*AF142*Perform_Active!$M30,AF103)</f>
        <v>48.412812499999987</v>
      </c>
    </row>
    <row r="30" spans="1:32" s="81" customFormat="1" ht="12.6" x14ac:dyDescent="0.25">
      <c r="B30" s="101" t="s">
        <v>46</v>
      </c>
      <c r="C30" s="101"/>
      <c r="D30" s="552"/>
      <c r="E30" s="552"/>
      <c r="F30" s="552"/>
      <c r="G30" s="798">
        <f>IF(G143&lt;&gt;0,G104*G143*Perform_Active!$M31,G104)</f>
        <v>0</v>
      </c>
      <c r="H30" s="798">
        <f>IF(H143&lt;&gt;0,H104*H143*Perform_Active!$M31,H104)</f>
        <v>0</v>
      </c>
      <c r="I30" s="798">
        <f>IF(I143&lt;&gt;0,I104*I143*Perform_Active!$M31,I104)</f>
        <v>0</v>
      </c>
      <c r="J30" s="798">
        <f>IF(J143&lt;&gt;0,J104*J143*Perform_Active!$M31,J104)</f>
        <v>0</v>
      </c>
      <c r="K30" s="798">
        <f>IF(K143&lt;&gt;0,K104*K143*Perform_Active!$M31,K104)</f>
        <v>0</v>
      </c>
      <c r="L30" s="798">
        <f>IF(L143&lt;&gt;0,L104*L143*Perform_Active!$M31,L104)</f>
        <v>0</v>
      </c>
      <c r="M30" s="798">
        <f>IF(M143&lt;&gt;0,M104*M143*Perform_Active!$M31,M104)</f>
        <v>0</v>
      </c>
      <c r="N30" s="798">
        <f>IF(N143&lt;&gt;0,N104*N143*Perform_Active!$M31,N104)</f>
        <v>0</v>
      </c>
      <c r="O30" s="798">
        <f>IF(O143&lt;&gt;0,O104*O143*Perform_Active!$M31,O104)</f>
        <v>0</v>
      </c>
      <c r="P30" s="798">
        <f>IF(P143&lt;&gt;0,P104*P143*Perform_Active!$M31,P104)</f>
        <v>0</v>
      </c>
      <c r="Q30" s="798">
        <f>IF(Q143&lt;&gt;0,Q104*Q143*Perform_Active!$M31,Q104)</f>
        <v>0</v>
      </c>
      <c r="R30" s="798">
        <f>IF(R143&lt;&gt;0,R104*R143*Perform_Active!$M31,R104)</f>
        <v>0</v>
      </c>
      <c r="S30" s="798">
        <f>IF(S143&lt;&gt;0,S104*S143*Perform_Active!$M31,S104)</f>
        <v>0</v>
      </c>
      <c r="T30" s="798">
        <f>IF(T143&lt;&gt;0,T104*T143*Perform_Active!$M31,T104)</f>
        <v>0</v>
      </c>
      <c r="U30" s="798">
        <f>IF(U143&lt;&gt;0,U104*U143*Perform_Active!$M31,U104)</f>
        <v>0</v>
      </c>
      <c r="V30" s="798">
        <f>IF(V143&lt;&gt;0,V104*V143*Perform_Active!$M31,V104)</f>
        <v>0</v>
      </c>
      <c r="W30" s="798">
        <f>IF(W143&lt;&gt;0,W104*W143*Perform_Active!$M31,W104)</f>
        <v>0</v>
      </c>
      <c r="X30" s="798">
        <f>IF(X143&lt;&gt;0,X104*X143*Perform_Active!$M31,X104)</f>
        <v>0</v>
      </c>
      <c r="Y30" s="798">
        <f>IF(Y143&lt;&gt;0,Y104*Y143*Perform_Active!$M31,Y104)</f>
        <v>0</v>
      </c>
      <c r="Z30" s="798">
        <f>IF(Z143&lt;&gt;0,Z104*Z143*Perform_Active!$M31,Z104)</f>
        <v>0</v>
      </c>
      <c r="AA30" s="798">
        <f>IF(AA143&lt;&gt;0,AA104*AA143*Perform_Active!$M31,AA104)</f>
        <v>0</v>
      </c>
      <c r="AB30" s="798">
        <f>IF(AB143&lt;&gt;0,AB104*AB143*Perform_Active!$M31,AB104)</f>
        <v>0</v>
      </c>
      <c r="AC30" s="798">
        <f>IF(AC143&lt;&gt;0,AC104*AC143*Perform_Active!$M31,AC104)</f>
        <v>0</v>
      </c>
      <c r="AD30" s="798">
        <f>IF(AD143&lt;&gt;0,AD104*AD143*Perform_Active!$M31,AD104)</f>
        <v>0</v>
      </c>
      <c r="AE30" s="798">
        <f>IF(AE143&lt;&gt;0,AE104*AE143*Perform_Active!$M31,AE104)</f>
        <v>0</v>
      </c>
      <c r="AF30" s="798">
        <f>IF(AF143&lt;&gt;0,AF104*AF143*Perform_Active!$M31,AF104)</f>
        <v>0</v>
      </c>
    </row>
    <row r="31" spans="1:32" s="81" customFormat="1" ht="12.6" x14ac:dyDescent="0.25">
      <c r="B31" s="81" t="s">
        <v>29</v>
      </c>
      <c r="D31" s="550"/>
      <c r="E31" s="550"/>
      <c r="F31" s="550"/>
      <c r="G31" s="798">
        <f>IF(G144&lt;&gt;0,G105*G144*Perform_Active!$M32,G105)</f>
        <v>69.886712931315586</v>
      </c>
      <c r="H31" s="798">
        <f>IF(H144&lt;&gt;0,H105*H144*Perform_Active!$M32,H105)</f>
        <v>84.617739005122857</v>
      </c>
      <c r="I31" s="798">
        <f>IF(I144&lt;&gt;0,I105*I144*Perform_Active!$M32,I105)</f>
        <v>99.77020761765985</v>
      </c>
      <c r="J31" s="798">
        <f>IF(J144&lt;&gt;0,J105*J144*Perform_Active!$M32,J105)</f>
        <v>115.81072942703476</v>
      </c>
      <c r="K31" s="798">
        <f>IF(K144&lt;&gt;0,K105*K144*Perform_Active!$M32,K105)</f>
        <v>131.19780938437214</v>
      </c>
      <c r="L31" s="798">
        <f>IF(L144&lt;&gt;0,L105*L144*Perform_Active!$M32,L105)</f>
        <v>145.46220447607328</v>
      </c>
      <c r="M31" s="798">
        <f>IF(M144&lt;&gt;0,M105*M144*Perform_Active!$M32,M105)</f>
        <v>157.75364681050067</v>
      </c>
      <c r="N31" s="798">
        <f>IF(N144&lt;&gt;0,N105*N144*Perform_Active!$M32,N105)</f>
        <v>168.55506474700036</v>
      </c>
      <c r="O31" s="798">
        <f>IF(O144&lt;&gt;0,O105*O144*Perform_Active!$M32,O105)</f>
        <v>177.96704120423578</v>
      </c>
      <c r="P31" s="798">
        <f>IF(P144&lt;&gt;0,P105*P144*Perform_Active!$M32,P105)</f>
        <v>186.1654499682482</v>
      </c>
      <c r="Q31" s="798">
        <f>IF(Q144&lt;&gt;0,Q105*Q144*Perform_Active!$M32,Q105)</f>
        <v>193.35230342395749</v>
      </c>
      <c r="R31" s="798">
        <f>IF(R144&lt;&gt;0,R105*R144*Perform_Active!$M32,R105)</f>
        <v>196.11147215578865</v>
      </c>
      <c r="S31" s="798">
        <f>IF(S144&lt;&gt;0,S105*S144*Perform_Active!$M32,S105)</f>
        <v>198.15456111208027</v>
      </c>
      <c r="T31" s="798">
        <f>IF(T144&lt;&gt;0,T105*T144*Perform_Active!$M32,T105)</f>
        <v>199.65744029461996</v>
      </c>
      <c r="U31" s="798">
        <f>IF(U144&lt;&gt;0,U105*U144*Perform_Active!$M32,U105)</f>
        <v>200.75757592848979</v>
      </c>
      <c r="V31" s="798">
        <f>IF(V144&lt;&gt;0,V105*V144*Perform_Active!$M32,V105)</f>
        <v>201.56002861929591</v>
      </c>
      <c r="W31" s="798">
        <f>IF(W144&lt;&gt;0,W105*W144*Perform_Active!$M32,W105)</f>
        <v>202.14382617150503</v>
      </c>
      <c r="X31" s="798">
        <f>IF(X144&lt;&gt;0,X105*X144*Perform_Active!$M32,X105)</f>
        <v>202.5677447446416</v>
      </c>
      <c r="Y31" s="798">
        <f>IF(Y144&lt;&gt;0,Y105*Y144*Perform_Active!$M32,Y105)</f>
        <v>202.87514562074011</v>
      </c>
      <c r="Z31" s="798">
        <f>IF(Z144&lt;&gt;0,Z105*Z144*Perform_Active!$M32,Z105)</f>
        <v>203.09783237720012</v>
      </c>
      <c r="AA31" s="798">
        <f>IF(AA144&lt;&gt;0,AA105*AA144*Perform_Active!$M32,AA105)</f>
        <v>203.25903410630769</v>
      </c>
      <c r="AB31" s="798">
        <f>IF(AB144&lt;&gt;0,AB105*AB144*Perform_Active!$M32,AB105)</f>
        <v>203.37566609727986</v>
      </c>
      <c r="AC31" s="798">
        <f>IF(AC144&lt;&gt;0,AC105*AC144*Perform_Active!$M32,AC105)</f>
        <v>203.46001922812226</v>
      </c>
      <c r="AD31" s="798">
        <f>IF(AD144&lt;&gt;0,AD105*AD144*Perform_Active!$M32,AD105)</f>
        <v>203.52101022912549</v>
      </c>
      <c r="AE31" s="798">
        <f>IF(AE144&lt;&gt;0,AE105*AE144*Perform_Active!$M32,AE105)</f>
        <v>203.56510065539746</v>
      </c>
      <c r="AF31" s="798">
        <f>IF(AF144&lt;&gt;0,AF105*AF144*Perform_Active!$M32,AF105)</f>
        <v>203.59696908402657</v>
      </c>
    </row>
    <row r="32" spans="1:32" s="81" customFormat="1" ht="12.6" x14ac:dyDescent="0.25">
      <c r="D32" s="550"/>
      <c r="E32" s="550"/>
      <c r="F32" s="550"/>
    </row>
    <row r="33" spans="1:59" s="81" customFormat="1" ht="12.95" x14ac:dyDescent="0.25">
      <c r="A33" s="11" t="s">
        <v>47</v>
      </c>
      <c r="B33" s="10"/>
      <c r="C33" s="130"/>
      <c r="D33" s="387"/>
      <c r="E33" s="387"/>
      <c r="F33" s="387"/>
      <c r="G33" s="188"/>
      <c r="H33" s="188"/>
      <c r="I33" s="188"/>
      <c r="J33" s="188"/>
      <c r="K33" s="188"/>
      <c r="L33" s="188"/>
      <c r="M33" s="188"/>
      <c r="N33" s="188"/>
      <c r="O33" s="188"/>
      <c r="P33" s="188"/>
      <c r="Q33" s="188"/>
      <c r="R33" s="188"/>
      <c r="S33" s="188"/>
      <c r="T33" s="188"/>
      <c r="U33" s="188"/>
      <c r="V33" s="188"/>
      <c r="W33" s="188"/>
      <c r="X33" s="188"/>
      <c r="Y33" s="188"/>
      <c r="Z33" s="188"/>
      <c r="AA33" s="188"/>
      <c r="AB33" s="188"/>
      <c r="AC33" s="188"/>
      <c r="AD33" s="188"/>
      <c r="AE33" s="188"/>
      <c r="AF33" s="188"/>
    </row>
    <row r="34" spans="1:59" s="81" customFormat="1" ht="12.6" x14ac:dyDescent="0.25">
      <c r="B34" s="81" t="s">
        <v>48</v>
      </c>
      <c r="C34" s="101"/>
      <c r="D34" s="552"/>
      <c r="E34" s="552"/>
      <c r="F34" s="552"/>
      <c r="G34" s="798">
        <f>IF(G147&lt;&gt;0,G108*G147*Perform_Active!$M35,G108)</f>
        <v>11</v>
      </c>
      <c r="H34" s="798">
        <f>IF(H147&lt;&gt;0,H108*H147*Perform_Active!$M35,H108)</f>
        <v>11.027500000000003</v>
      </c>
      <c r="I34" s="798">
        <f>IF(I147&lt;&gt;0,I108*I147*Perform_Active!$M35,I108)</f>
        <v>11.193353221957043</v>
      </c>
      <c r="J34" s="798">
        <f>IF(J147&lt;&gt;0,J108*J147*Perform_Active!$M35,J108)</f>
        <v>11.359206443914083</v>
      </c>
      <c r="K34" s="798">
        <f>IF(K147&lt;&gt;0,K108*K147*Perform_Active!$M35,K108)</f>
        <v>11.525059665871122</v>
      </c>
      <c r="L34" s="798">
        <f>IF(L147&lt;&gt;0,L108*L147*Perform_Active!$M35,L108)</f>
        <v>11.5538723150358</v>
      </c>
      <c r="M34" s="798">
        <f>IF(M147&lt;&gt;0,M108*M147*Perform_Active!$M35,M108)</f>
        <v>11.582756995823388</v>
      </c>
      <c r="N34" s="798">
        <f>IF(N147&lt;&gt;0,N108*N147*Perform_Active!$M35,N108)</f>
        <v>11.611713888312945</v>
      </c>
      <c r="O34" s="798">
        <f>IF(O147&lt;&gt;0,O108*O147*Perform_Active!$M35,O108)</f>
        <v>11.640743173033728</v>
      </c>
      <c r="P34" s="798">
        <f>IF(P147&lt;&gt;0,P108*P147*Perform_Active!$M35,P108)</f>
        <v>11.669845030966313</v>
      </c>
      <c r="Q34" s="798">
        <f>IF(Q147&lt;&gt;0,Q108*Q147*Perform_Active!$M35,Q108)</f>
        <v>11.699019643543727</v>
      </c>
      <c r="R34" s="798">
        <f>IF(R147&lt;&gt;0,R108*R147*Perform_Active!$M35,R108)</f>
        <v>11.728267192652584</v>
      </c>
      <c r="S34" s="798">
        <f>IF(S147&lt;&gt;0,S108*S147*Perform_Active!$M35,S108)</f>
        <v>11.757587860634217</v>
      </c>
      <c r="T34" s="798">
        <f>IF(T147&lt;&gt;0,T108*T147*Perform_Active!$M35,T108)</f>
        <v>11.786981830285802</v>
      </c>
      <c r="U34" s="798">
        <f>IF(U147&lt;&gt;0,U108*U147*Perform_Active!$M35,U108)</f>
        <v>11.816449284861516</v>
      </c>
      <c r="V34" s="798">
        <f>IF(V147&lt;&gt;0,V108*V147*Perform_Active!$M35,V108)</f>
        <v>11.845990408073668</v>
      </c>
      <c r="W34" s="798">
        <f>IF(W147&lt;&gt;0,W108*W147*Perform_Active!$M35,W108)</f>
        <v>11.875605384093852</v>
      </c>
      <c r="X34" s="798">
        <f>IF(X147&lt;&gt;0,X108*X147*Perform_Active!$M35,X108)</f>
        <v>11.905294397554089</v>
      </c>
      <c r="Y34" s="798">
        <f>IF(Y147&lt;&gt;0,Y108*Y147*Perform_Active!$M35,Y108)</f>
        <v>11.93505763354797</v>
      </c>
      <c r="Z34" s="798">
        <f>IF(Z147&lt;&gt;0,Z108*Z147*Perform_Active!$M35,Z108)</f>
        <v>11.96489527763184</v>
      </c>
      <c r="AA34" s="798">
        <f>IF(AA147&lt;&gt;0,AA108*AA147*Perform_Active!$M35,AA108)</f>
        <v>11.99480751582592</v>
      </c>
      <c r="AB34" s="798">
        <f>IF(AB147&lt;&gt;0,AB108*AB147*Perform_Active!$M35,AB108)</f>
        <v>12.024794534615484</v>
      </c>
      <c r="AC34" s="798">
        <f>IF(AC147&lt;&gt;0,AC108*AC147*Perform_Active!$M35,AC108)</f>
        <v>12.054856520952024</v>
      </c>
      <c r="AD34" s="798">
        <f>IF(AD147&lt;&gt;0,AD108*AD147*Perform_Active!$M35,AD108)</f>
        <v>12.084993662254401</v>
      </c>
      <c r="AE34" s="798">
        <f>IF(AE147&lt;&gt;0,AE108*AE147*Perform_Active!$M35,AE108)</f>
        <v>12.115206146410038</v>
      </c>
      <c r="AF34" s="798">
        <f>IF(AF147&lt;&gt;0,AF108*AF147*Perform_Active!$M35,AF108)</f>
        <v>12.145494161776062</v>
      </c>
    </row>
    <row r="35" spans="1:59" s="81" customFormat="1" ht="12.6" x14ac:dyDescent="0.25">
      <c r="B35" s="101" t="s">
        <v>50</v>
      </c>
      <c r="C35" s="83"/>
      <c r="D35" s="379"/>
      <c r="E35" s="379"/>
      <c r="F35" s="379"/>
      <c r="G35" s="798">
        <f>IF(G148&lt;&gt;0,G109*G148*Perform_Active!$M36,G109)</f>
        <v>14.799999999999997</v>
      </c>
      <c r="H35" s="798">
        <f>IF(H148&lt;&gt;0,H109*H148*Perform_Active!$M36,H109)</f>
        <v>14.837000000000003</v>
      </c>
      <c r="I35" s="798">
        <f>IF(I148&lt;&gt;0,I109*I148*Perform_Active!$M36,I109)</f>
        <v>14.873999999999995</v>
      </c>
      <c r="J35" s="798">
        <f>IF(J148&lt;&gt;0,J109*J148*Perform_Active!$M36,J109)</f>
        <v>14.911000000000001</v>
      </c>
      <c r="K35" s="798">
        <f>IF(K148&lt;&gt;0,K109*K148*Perform_Active!$M36,K109)</f>
        <v>14.948000000000008</v>
      </c>
      <c r="L35" s="798">
        <f>IF(L148&lt;&gt;0,L109*L148*Perform_Active!$M36,L109)</f>
        <v>14.984999999999999</v>
      </c>
      <c r="M35" s="798">
        <f>IF(M148&lt;&gt;0,M109*M148*Perform_Active!$M36,M109)</f>
        <v>15.022000000000006</v>
      </c>
      <c r="N35" s="798">
        <f>IF(N148&lt;&gt;0,N109*N148*Perform_Active!$M36,N109)</f>
        <v>15.058999999999997</v>
      </c>
      <c r="O35" s="798">
        <f>IF(O148&lt;&gt;0,O109*O148*Perform_Active!$M36,O109)</f>
        <v>15.096000000000004</v>
      </c>
      <c r="P35" s="798">
        <f>IF(P148&lt;&gt;0,P109*P148*Perform_Active!$M36,P109)</f>
        <v>15.132999999999996</v>
      </c>
      <c r="Q35" s="798">
        <f>IF(Q148&lt;&gt;0,Q109*Q148*Perform_Active!$M36,Q109)</f>
        <v>15.170000000000002</v>
      </c>
      <c r="R35" s="798">
        <f>IF(R148&lt;&gt;0,R109*R148*Perform_Active!$M36,R109)</f>
        <v>15.207000000000008</v>
      </c>
      <c r="S35" s="798">
        <f>IF(S148&lt;&gt;0,S109*S148*Perform_Active!$M36,S109)</f>
        <v>15.244</v>
      </c>
      <c r="T35" s="798">
        <f>IF(T148&lt;&gt;0,T109*T148*Perform_Active!$M36,T109)</f>
        <v>15.281000000000006</v>
      </c>
      <c r="U35" s="798">
        <f>IF(U148&lt;&gt;0,U109*U148*Perform_Active!$M36,U109)</f>
        <v>15.317999999999998</v>
      </c>
      <c r="V35" s="798">
        <f>IF(V148&lt;&gt;0,V109*V148*Perform_Active!$M36,V109)</f>
        <v>15.355000000000004</v>
      </c>
      <c r="W35" s="798">
        <f>IF(W148&lt;&gt;0,W109*W148*Perform_Active!$M36,W109)</f>
        <v>15.391999999999996</v>
      </c>
      <c r="X35" s="798">
        <f>IF(X148&lt;&gt;0,X109*X148*Perform_Active!$M36,X109)</f>
        <v>15.429000000000002</v>
      </c>
      <c r="Y35" s="798">
        <f>IF(Y148&lt;&gt;0,Y109*Y148*Perform_Active!$M36,Y109)</f>
        <v>15.466000000000008</v>
      </c>
      <c r="Z35" s="798">
        <f>IF(Z148&lt;&gt;0,Z109*Z148*Perform_Active!$M36,Z109)</f>
        <v>15.503</v>
      </c>
      <c r="AA35" s="798">
        <f>IF(AA148&lt;&gt;0,AA109*AA148*Perform_Active!$M36,AA109)</f>
        <v>15.540000000000006</v>
      </c>
      <c r="AB35" s="798">
        <f>IF(AB148&lt;&gt;0,AB109*AB148*Perform_Active!$M36,AB109)</f>
        <v>15.576999999999998</v>
      </c>
      <c r="AC35" s="798">
        <f>IF(AC148&lt;&gt;0,AC109*AC148*Perform_Active!$M36,AC109)</f>
        <v>15.614000000000004</v>
      </c>
      <c r="AD35" s="798">
        <f>IF(AD148&lt;&gt;0,AD109*AD148*Perform_Active!$M36,AD109)</f>
        <v>15.650999999999996</v>
      </c>
      <c r="AE35" s="798">
        <f>IF(AE148&lt;&gt;0,AE109*AE148*Perform_Active!$M36,AE109)</f>
        <v>15.688000000000002</v>
      </c>
      <c r="AF35" s="798">
        <f>IF(AF148&lt;&gt;0,AF109*AF148*Perform_Active!$M36,AF109)</f>
        <v>15.725000000000009</v>
      </c>
    </row>
    <row r="36" spans="1:59" s="81" customFormat="1" ht="12.6" x14ac:dyDescent="0.25">
      <c r="B36" s="81" t="s">
        <v>51</v>
      </c>
      <c r="C36" s="83"/>
      <c r="D36" s="379"/>
      <c r="E36" s="379"/>
      <c r="F36" s="379"/>
      <c r="G36" s="798">
        <f>IF(G149&lt;&gt;0,G110*G149*Perform_Active!$M37,G110)</f>
        <v>52.5</v>
      </c>
      <c r="H36" s="798">
        <f>IF(H149&lt;&gt;0,H110*H149*Perform_Active!$M37,H110)</f>
        <v>52.631250000000023</v>
      </c>
      <c r="I36" s="798">
        <f>IF(I149&lt;&gt;0,I110*I149*Perform_Active!$M37,I110)</f>
        <v>52.762499999999989</v>
      </c>
      <c r="J36" s="798">
        <f>IF(J149&lt;&gt;0,J110*J149*Perform_Active!$M37,J110)</f>
        <v>52.893750000000011</v>
      </c>
      <c r="K36" s="798">
        <f>IF(K149&lt;&gt;0,K110*K149*Perform_Active!$M37,K110)</f>
        <v>53.025000000000034</v>
      </c>
      <c r="L36" s="798">
        <f>IF(L149&lt;&gt;0,L110*L149*Perform_Active!$M37,L110)</f>
        <v>53.15625</v>
      </c>
      <c r="M36" s="798">
        <f>IF(M149&lt;&gt;0,M110*M149*Perform_Active!$M37,M110)</f>
        <v>53.287500000000023</v>
      </c>
      <c r="N36" s="798">
        <f>IF(N149&lt;&gt;0,N110*N149*Perform_Active!$M37,N110)</f>
        <v>53.418749999999989</v>
      </c>
      <c r="O36" s="798">
        <f>IF(O149&lt;&gt;0,O110*O149*Perform_Active!$M37,O110)</f>
        <v>53.550000000000011</v>
      </c>
      <c r="P36" s="798">
        <f>IF(P149&lt;&gt;0,P110*P149*Perform_Active!$M37,P110)</f>
        <v>53.681250000000034</v>
      </c>
      <c r="Q36" s="798">
        <f>IF(Q149&lt;&gt;0,Q110*Q149*Perform_Active!$M37,Q110)</f>
        <v>53.8125</v>
      </c>
      <c r="R36" s="798">
        <f>IF(R149&lt;&gt;0,R110*R149*Perform_Active!$M37,R110)</f>
        <v>53.943750000000023</v>
      </c>
      <c r="S36" s="798">
        <f>IF(S149&lt;&gt;0,S110*S149*Perform_Active!$M37,S110)</f>
        <v>54.074999999999989</v>
      </c>
      <c r="T36" s="798">
        <f>IF(T149&lt;&gt;0,T110*T149*Perform_Active!$M37,T110)</f>
        <v>54.206250000000011</v>
      </c>
      <c r="U36" s="798">
        <f>IF(U149&lt;&gt;0,U110*U149*Perform_Active!$M37,U110)</f>
        <v>54.337500000000034</v>
      </c>
      <c r="V36" s="798">
        <f>IF(V149&lt;&gt;0,V110*V149*Perform_Active!$M37,V110)</f>
        <v>54.46875</v>
      </c>
      <c r="W36" s="798">
        <f>IF(W149&lt;&gt;0,W110*W149*Perform_Active!$M37,W110)</f>
        <v>54.600000000000023</v>
      </c>
      <c r="X36" s="798">
        <f>IF(X149&lt;&gt;0,X110*X149*Perform_Active!$M37,X110)</f>
        <v>54.731249999999989</v>
      </c>
      <c r="Y36" s="798">
        <f>IF(Y149&lt;&gt;0,Y110*Y149*Perform_Active!$M37,Y110)</f>
        <v>54.862500000000011</v>
      </c>
      <c r="Z36" s="798">
        <f>IF(Z149&lt;&gt;0,Z110*Z149*Perform_Active!$M37,Z110)</f>
        <v>54.993750000000034</v>
      </c>
      <c r="AA36" s="798">
        <f>IF(AA149&lt;&gt;0,AA110*AA149*Perform_Active!$M37,AA110)</f>
        <v>55.125</v>
      </c>
      <c r="AB36" s="798">
        <f>IF(AB149&lt;&gt;0,AB110*AB149*Perform_Active!$M37,AB110)</f>
        <v>55.256250000000023</v>
      </c>
      <c r="AC36" s="798">
        <f>IF(AC149&lt;&gt;0,AC110*AC149*Perform_Active!$M37,AC110)</f>
        <v>55.387499999999989</v>
      </c>
      <c r="AD36" s="798">
        <f>IF(AD149&lt;&gt;0,AD110*AD149*Perform_Active!$M37,AD110)</f>
        <v>55.518750000000011</v>
      </c>
      <c r="AE36" s="798">
        <f>IF(AE149&lt;&gt;0,AE110*AE149*Perform_Active!$M37,AE110)</f>
        <v>55.650000000000034</v>
      </c>
      <c r="AF36" s="798">
        <f>IF(AF149&lt;&gt;0,AF110*AF149*Perform_Active!$M37,AF110)</f>
        <v>55.78125</v>
      </c>
    </row>
    <row r="37" spans="1:59" s="81" customFormat="1" ht="12.6" x14ac:dyDescent="0.25">
      <c r="B37" s="81" t="s">
        <v>52</v>
      </c>
      <c r="C37" s="83"/>
      <c r="D37" s="379"/>
      <c r="E37" s="379"/>
      <c r="F37" s="379"/>
      <c r="G37" s="798">
        <f>IF(G150&lt;&gt;0,G111*G150*Perform_Active!$M38,G111)</f>
        <v>43.890000000000022</v>
      </c>
      <c r="H37" s="798">
        <f>IF(H150&lt;&gt;0,H111*H150*Perform_Active!$M38,H111)</f>
        <v>43.999725000000019</v>
      </c>
      <c r="I37" s="798">
        <f>IF(I150&lt;&gt;0,I111*I150*Perform_Active!$M38,I111)</f>
        <v>44.109450000000017</v>
      </c>
      <c r="J37" s="798">
        <f>IF(J150&lt;&gt;0,J111*J150*Perform_Active!$M38,J111)</f>
        <v>44.219175000000021</v>
      </c>
      <c r="K37" s="798">
        <f>IF(K150&lt;&gt;0,K111*K150*Perform_Active!$M38,K111)</f>
        <v>44.328900000000019</v>
      </c>
      <c r="L37" s="798">
        <f>IF(L150&lt;&gt;0,L111*L150*Perform_Active!$M38,L111)</f>
        <v>44.438625000000016</v>
      </c>
      <c r="M37" s="798">
        <f>IF(M150&lt;&gt;0,M111*M150*Perform_Active!$M38,M111)</f>
        <v>44.548350000000013</v>
      </c>
      <c r="N37" s="798">
        <f>IF(N150&lt;&gt;0,N111*N150*Perform_Active!$M38,N111)</f>
        <v>44.658075000000018</v>
      </c>
      <c r="O37" s="798">
        <f>IF(O150&lt;&gt;0,O111*O150*Perform_Active!$M38,O111)</f>
        <v>44.767800000000015</v>
      </c>
      <c r="P37" s="798">
        <f>IF(P150&lt;&gt;0,P111*P150*Perform_Active!$M38,P111)</f>
        <v>44.877525000000013</v>
      </c>
      <c r="Q37" s="798">
        <f>IF(Q150&lt;&gt;0,Q111*Q150*Perform_Active!$M38,Q111)</f>
        <v>44.987250000000017</v>
      </c>
      <c r="R37" s="798">
        <f>IF(R150&lt;&gt;0,R111*R150*Perform_Active!$M38,R111)</f>
        <v>45.096975000000015</v>
      </c>
      <c r="S37" s="798">
        <f>IF(S150&lt;&gt;0,S111*S150*Perform_Active!$M38,S111)</f>
        <v>45.206700000000012</v>
      </c>
      <c r="T37" s="798">
        <f>IF(T150&lt;&gt;0,T111*T150*Perform_Active!$M38,T111)</f>
        <v>45.31642500000001</v>
      </c>
      <c r="U37" s="798">
        <f>IF(U150&lt;&gt;0,U111*U150*Perform_Active!$M38,U111)</f>
        <v>45.426150000000042</v>
      </c>
      <c r="V37" s="798">
        <f>IF(V150&lt;&gt;0,V111*V150*Perform_Active!$M38,V111)</f>
        <v>45.535875000000047</v>
      </c>
      <c r="W37" s="798">
        <f>IF(W150&lt;&gt;0,W111*W150*Perform_Active!$M38,W111)</f>
        <v>45.645600000000044</v>
      </c>
      <c r="X37" s="798">
        <f>IF(X150&lt;&gt;0,X111*X150*Perform_Active!$M38,X111)</f>
        <v>45.755325000000049</v>
      </c>
      <c r="Y37" s="798">
        <f>IF(Y150&lt;&gt;0,Y111*Y150*Perform_Active!$M38,Y111)</f>
        <v>45.865050000000039</v>
      </c>
      <c r="Z37" s="798">
        <f>IF(Z150&lt;&gt;0,Z111*Z150*Perform_Active!$M38,Z111)</f>
        <v>45.974775000000044</v>
      </c>
      <c r="AA37" s="798">
        <f>IF(AA150&lt;&gt;0,AA111*AA150*Perform_Active!$M38,AA111)</f>
        <v>46.084500000000041</v>
      </c>
      <c r="AB37" s="798">
        <f>IF(AB150&lt;&gt;0,AB111*AB150*Perform_Active!$M38,AB111)</f>
        <v>46.194225000000046</v>
      </c>
      <c r="AC37" s="798">
        <f>IF(AC150&lt;&gt;0,AC111*AC150*Perform_Active!$M38,AC111)</f>
        <v>46.303950000000036</v>
      </c>
      <c r="AD37" s="798">
        <f>IF(AD150&lt;&gt;0,AD111*AD150*Perform_Active!$M38,AD111)</f>
        <v>46.41367500000004</v>
      </c>
      <c r="AE37" s="798">
        <f>IF(AE150&lt;&gt;0,AE111*AE150*Perform_Active!$M38,AE111)</f>
        <v>46.523400000000038</v>
      </c>
      <c r="AF37" s="798">
        <f>IF(AF150&lt;&gt;0,AF111*AF150*Perform_Active!$M38,AF111)</f>
        <v>46.633125000000042</v>
      </c>
    </row>
    <row r="38" spans="1:59" s="81" customFormat="1" ht="12.6" x14ac:dyDescent="0.25">
      <c r="B38" s="101" t="s">
        <v>29</v>
      </c>
      <c r="D38" s="550"/>
      <c r="E38" s="550"/>
      <c r="F38" s="550"/>
      <c r="G38" s="798">
        <f>IF(G151&lt;&gt;0,G112*G151*Perform_Active!$M39,G112)</f>
        <v>36.873768202819726</v>
      </c>
      <c r="H38" s="798">
        <f>IF(H151&lt;&gt;0,H112*H151*Perform_Active!$M39,H112)</f>
        <v>48.266272480467556</v>
      </c>
      <c r="I38" s="798">
        <f>IF(I151&lt;&gt;0,I112*I151*Perform_Active!$M39,I112)</f>
        <v>61.701198700113544</v>
      </c>
      <c r="J38" s="798">
        <f>IF(J151&lt;&gt;0,J112*J151*Perform_Active!$M39,J112)</f>
        <v>77.591734715380795</v>
      </c>
      <c r="K38" s="798">
        <f>IF(K151&lt;&gt;0,K112*K151*Perform_Active!$M39,K112)</f>
        <v>94.800465488123137</v>
      </c>
      <c r="L38" s="798">
        <f>IF(L151&lt;&gt;0,L112*L151*Perform_Active!$M39,L112)</f>
        <v>112.50003941617493</v>
      </c>
      <c r="M38" s="798">
        <f>IF(M151&lt;&gt;0,M112*M151*Perform_Active!$M39,M112)</f>
        <v>129.3471504340618</v>
      </c>
      <c r="N38" s="798">
        <f>IF(N151&lt;&gt;0,N112*N151*Perform_Active!$M39,N112)</f>
        <v>145.03095133963808</v>
      </c>
      <c r="O38" s="798">
        <f>IF(O151&lt;&gt;0,O112*O151*Perform_Active!$M39,O112)</f>
        <v>159.127310954921</v>
      </c>
      <c r="P38" s="798">
        <f>IF(P151&lt;&gt;0,P112*P151*Perform_Active!$M39,P112)</f>
        <v>171.48202098927979</v>
      </c>
      <c r="Q38" s="798">
        <f>IF(Q151&lt;&gt;0,Q112*Q151*Perform_Active!$M39,Q112)</f>
        <v>182.15170200680319</v>
      </c>
      <c r="R38" s="798">
        <f>IF(R151&lt;&gt;0,R112*R151*Perform_Active!$M39,R112)</f>
        <v>187.8607232688625</v>
      </c>
      <c r="S38" s="798">
        <f>IF(S151&lt;&gt;0,S112*S151*Perform_Active!$M39,S112)</f>
        <v>192.15160570290442</v>
      </c>
      <c r="T38" s="798">
        <f>IF(T151&lt;&gt;0,T112*T151*Perform_Active!$M39,T112)</f>
        <v>195.33034204073093</v>
      </c>
      <c r="U38" s="798">
        <f>IF(U151&lt;&gt;0,U112*U151*Perform_Active!$M39,U112)</f>
        <v>197.66006127320361</v>
      </c>
      <c r="V38" s="798">
        <f>IF(V151&lt;&gt;0,V112*V151*Perform_Active!$M39,V112)</f>
        <v>199.35413887963063</v>
      </c>
      <c r="W38" s="798">
        <f>IF(W151&lt;&gt;0,W112*W151*Perform_Active!$M39,W112)</f>
        <v>200.57896356186501</v>
      </c>
      <c r="X38" s="798">
        <f>IF(X151&lt;&gt;0,X112*X151*Perform_Active!$M39,X112)</f>
        <v>201.46085171629713</v>
      </c>
      <c r="Y38" s="798">
        <f>IF(Y151&lt;&gt;0,Y112*Y151*Perform_Active!$M39,Y112)</f>
        <v>202.09392729485813</v>
      </c>
      <c r="Z38" s="798">
        <f>IF(Z151&lt;&gt;0,Z112*Z151*Perform_Active!$M39,Z112)</f>
        <v>202.54741526513342</v>
      </c>
      <c r="AA38" s="798">
        <f>IF(AA151&lt;&gt;0,AA112*AA151*Perform_Active!$M39,AA112)</f>
        <v>202.87176106409183</v>
      </c>
      <c r="AB38" s="798">
        <f>IF(AB151&lt;&gt;0,AB112*AB151*Perform_Active!$M39,AB112)</f>
        <v>203.10348618652321</v>
      </c>
      <c r="AC38" s="798">
        <f>IF(AC151&lt;&gt;0,AC112*AC151*Perform_Active!$M39,AC112)</f>
        <v>203.26890947460336</v>
      </c>
      <c r="AD38" s="798">
        <f>IF(AD151&lt;&gt;0,AD112*AD151*Perform_Active!$M39,AD112)</f>
        <v>203.38693514979437</v>
      </c>
      <c r="AE38" s="798">
        <f>IF(AE151&lt;&gt;0,AE112*AE151*Perform_Active!$M39,AE112)</f>
        <v>203.47111002115616</v>
      </c>
      <c r="AF38" s="798">
        <f>IF(AF151&lt;&gt;0,AF112*AF151*Perform_Active!$M39,AF112)</f>
        <v>203.53112565740346</v>
      </c>
    </row>
    <row r="39" spans="1:59" s="81" customFormat="1" ht="12.6" x14ac:dyDescent="0.25">
      <c r="B39" s="101" t="s">
        <v>53</v>
      </c>
      <c r="D39" s="550"/>
      <c r="E39" s="550"/>
      <c r="F39" s="550"/>
      <c r="G39" s="798">
        <f>IF(G152&lt;&gt;0,G113*G152*Perform_Active!$M40,G113)</f>
        <v>47.970000000000013</v>
      </c>
      <c r="H39" s="798">
        <f>IF(H152&lt;&gt;0,H113*H152*Perform_Active!$M40,H113)</f>
        <v>48.089924999999987</v>
      </c>
      <c r="I39" s="798">
        <f>IF(I152&lt;&gt;0,I113*I152*Perform_Active!$M40,I113)</f>
        <v>48.209849999999967</v>
      </c>
      <c r="J39" s="798">
        <f>IF(J152&lt;&gt;0,J113*J152*Perform_Active!$M40,J113)</f>
        <v>48.329774999999998</v>
      </c>
      <c r="K39" s="798">
        <f>IF(K152&lt;&gt;0,K113*K152*Perform_Active!$M40,K113)</f>
        <v>48.449699999999972</v>
      </c>
      <c r="L39" s="798">
        <f>IF(L152&lt;&gt;0,L113*L152*Perform_Active!$M40,L113)</f>
        <v>48.569625000000002</v>
      </c>
      <c r="M39" s="798">
        <f>IF(M152&lt;&gt;0,M113*M152*Perform_Active!$M40,M113)</f>
        <v>48.689549999999983</v>
      </c>
      <c r="N39" s="798">
        <f>IF(N152&lt;&gt;0,N113*N152*Perform_Active!$M40,N113)</f>
        <v>48.809475000000013</v>
      </c>
      <c r="O39" s="798">
        <f>IF(O152&lt;&gt;0,O113*O152*Perform_Active!$M40,O113)</f>
        <v>48.929399999999987</v>
      </c>
      <c r="P39" s="798">
        <f>IF(P152&lt;&gt;0,P113*P152*Perform_Active!$M40,P113)</f>
        <v>49.049325000000017</v>
      </c>
      <c r="Q39" s="798">
        <f>IF(Q152&lt;&gt;0,Q113*Q152*Perform_Active!$M40,Q113)</f>
        <v>49.169249999999998</v>
      </c>
      <c r="R39" s="798">
        <f>IF(R152&lt;&gt;0,R113*R152*Perform_Active!$M40,R113)</f>
        <v>49.289174999999972</v>
      </c>
      <c r="S39" s="798">
        <f>IF(S152&lt;&gt;0,S113*S152*Perform_Active!$M40,S113)</f>
        <v>49.409100000000002</v>
      </c>
      <c r="T39" s="798">
        <f>IF(T152&lt;&gt;0,T113*T152*Perform_Active!$M40,T113)</f>
        <v>49.529024999999983</v>
      </c>
      <c r="U39" s="798">
        <f>IF(U152&lt;&gt;0,U113*U152*Perform_Active!$M40,U113)</f>
        <v>49.648950000000006</v>
      </c>
      <c r="V39" s="798">
        <f>IF(V152&lt;&gt;0,V113*V152*Perform_Active!$M40,V113)</f>
        <v>49.768874999999987</v>
      </c>
      <c r="W39" s="798">
        <f>IF(W152&lt;&gt;0,W113*W152*Perform_Active!$M40,W113)</f>
        <v>49.888800000000018</v>
      </c>
      <c r="X39" s="798">
        <f>IF(X152&lt;&gt;0,X113*X152*Perform_Active!$M40,X113)</f>
        <v>50.008724999999991</v>
      </c>
      <c r="Y39" s="798">
        <f>IF(Y152&lt;&gt;0,Y113*Y152*Perform_Active!$M40,Y113)</f>
        <v>50.128649999999972</v>
      </c>
      <c r="Z39" s="798">
        <f>IF(Z152&lt;&gt;0,Z113*Z152*Perform_Active!$M40,Z113)</f>
        <v>50.248575000000002</v>
      </c>
      <c r="AA39" s="798">
        <f>IF(AA152&lt;&gt;0,AA113*AA152*Perform_Active!$M40,AA113)</f>
        <v>50.368499999999976</v>
      </c>
      <c r="AB39" s="798">
        <f>IF(AB152&lt;&gt;0,AB113*AB152*Perform_Active!$M40,AB113)</f>
        <v>50.488425000000007</v>
      </c>
      <c r="AC39" s="798">
        <f>IF(AC152&lt;&gt;0,AC113*AC152*Perform_Active!$M40,AC113)</f>
        <v>50.608349999999987</v>
      </c>
      <c r="AD39" s="798">
        <f>IF(AD152&lt;&gt;0,AD113*AD152*Perform_Active!$M40,AD113)</f>
        <v>50.728275000000018</v>
      </c>
      <c r="AE39" s="798">
        <f>IF(AE152&lt;&gt;0,AE113*AE152*Perform_Active!$M40,AE113)</f>
        <v>50.848199999999991</v>
      </c>
      <c r="AF39" s="798">
        <f>IF(AF152&lt;&gt;0,AF113*AF152*Perform_Active!$M40,AF113)</f>
        <v>50.968124999999972</v>
      </c>
    </row>
    <row r="40" spans="1:59" s="376" customFormat="1" ht="12.6" x14ac:dyDescent="0.25">
      <c r="B40" s="388"/>
      <c r="D40" s="550"/>
      <c r="E40" s="550"/>
      <c r="F40" s="550"/>
      <c r="G40" s="390"/>
      <c r="H40" s="390"/>
      <c r="I40" s="390"/>
      <c r="J40" s="390"/>
      <c r="K40" s="390"/>
      <c r="L40" s="390"/>
      <c r="M40" s="390"/>
      <c r="N40" s="390"/>
      <c r="O40" s="390"/>
      <c r="P40" s="390"/>
      <c r="Q40" s="390"/>
      <c r="R40" s="390"/>
      <c r="S40" s="390"/>
      <c r="T40" s="390"/>
      <c r="U40" s="390"/>
      <c r="V40" s="390"/>
      <c r="W40" s="390"/>
      <c r="X40" s="390"/>
      <c r="Y40" s="390"/>
      <c r="Z40" s="390"/>
      <c r="AA40" s="390"/>
      <c r="AB40" s="390"/>
      <c r="AC40" s="390"/>
      <c r="AD40" s="390"/>
      <c r="AE40" s="390"/>
      <c r="AF40" s="390"/>
      <c r="AH40" s="405"/>
      <c r="AI40" s="405"/>
      <c r="AJ40" s="405"/>
      <c r="AK40" s="405"/>
      <c r="AL40" s="405"/>
      <c r="AM40" s="405"/>
      <c r="AN40" s="405"/>
      <c r="AO40" s="405"/>
      <c r="AP40" s="405"/>
      <c r="AQ40" s="405"/>
      <c r="AR40" s="405"/>
      <c r="AS40" s="405"/>
      <c r="AT40" s="405"/>
      <c r="AU40" s="405"/>
      <c r="AV40" s="405"/>
      <c r="AW40" s="405"/>
      <c r="AX40" s="405"/>
      <c r="AY40" s="405"/>
      <c r="AZ40" s="405"/>
      <c r="BA40" s="405"/>
      <c r="BB40" s="405"/>
      <c r="BC40" s="405"/>
      <c r="BD40" s="405"/>
      <c r="BE40" s="405"/>
      <c r="BF40" s="405"/>
      <c r="BG40" s="405"/>
    </row>
    <row r="41" spans="1:59" s="847" customFormat="1" ht="12.95" x14ac:dyDescent="0.3">
      <c r="A41" s="404" t="s">
        <v>498</v>
      </c>
      <c r="C41" s="421"/>
      <c r="D41" s="421"/>
      <c r="E41" s="421"/>
      <c r="F41" s="421"/>
      <c r="G41" s="421" t="s">
        <v>499</v>
      </c>
    </row>
    <row r="42" spans="1:59" s="839" customFormat="1" ht="12.6" x14ac:dyDescent="0.25"/>
    <row r="43" spans="1:59" s="839" customFormat="1" ht="12.95" x14ac:dyDescent="0.3">
      <c r="A43" s="840" t="s">
        <v>12</v>
      </c>
    </row>
    <row r="44" spans="1:59" s="839" customFormat="1" ht="12.6" x14ac:dyDescent="0.25">
      <c r="B44" s="839" t="s">
        <v>20</v>
      </c>
      <c r="G44" s="839">
        <v>2010</v>
      </c>
      <c r="H44" s="839">
        <v>2011</v>
      </c>
      <c r="I44" s="839">
        <v>2012</v>
      </c>
      <c r="J44" s="839">
        <v>2013</v>
      </c>
      <c r="K44" s="839">
        <v>2014</v>
      </c>
      <c r="L44" s="839">
        <v>2015</v>
      </c>
      <c r="M44" s="839">
        <v>2016</v>
      </c>
      <c r="N44" s="839">
        <v>2017</v>
      </c>
      <c r="O44" s="839">
        <v>2018</v>
      </c>
      <c r="P44" s="839">
        <v>2019</v>
      </c>
      <c r="Q44" s="839">
        <v>2020</v>
      </c>
      <c r="R44" s="839">
        <v>2021</v>
      </c>
      <c r="S44" s="839">
        <v>2022</v>
      </c>
      <c r="T44" s="839">
        <v>2023</v>
      </c>
      <c r="U44" s="839">
        <v>2024</v>
      </c>
      <c r="V44" s="839">
        <v>2025</v>
      </c>
      <c r="W44" s="839">
        <v>2026</v>
      </c>
      <c r="X44" s="839">
        <v>2027</v>
      </c>
      <c r="Y44" s="839">
        <v>2028</v>
      </c>
      <c r="Z44" s="839">
        <v>2029</v>
      </c>
      <c r="AA44" s="839">
        <v>2030</v>
      </c>
      <c r="AB44" s="839">
        <v>2031</v>
      </c>
      <c r="AC44" s="839">
        <v>2032</v>
      </c>
      <c r="AD44" s="839">
        <v>2033</v>
      </c>
      <c r="AE44" s="839">
        <v>2034</v>
      </c>
      <c r="AF44" s="839">
        <v>2035</v>
      </c>
    </row>
    <row r="45" spans="1:59" s="839" customFormat="1" ht="12.95" x14ac:dyDescent="0.3">
      <c r="A45" s="843" t="s">
        <v>21</v>
      </c>
      <c r="B45" s="504"/>
      <c r="C45" s="816"/>
      <c r="D45" s="816"/>
      <c r="E45" s="816"/>
      <c r="F45" s="816"/>
      <c r="G45" s="816"/>
      <c r="H45" s="816"/>
      <c r="I45" s="816"/>
      <c r="J45" s="816"/>
      <c r="K45" s="816"/>
      <c r="L45" s="816"/>
      <c r="M45" s="816"/>
      <c r="N45" s="816"/>
      <c r="O45" s="816"/>
      <c r="P45" s="816"/>
      <c r="Q45" s="816"/>
      <c r="R45" s="816"/>
      <c r="S45" s="816"/>
      <c r="T45" s="816"/>
      <c r="U45" s="816"/>
      <c r="V45" s="816"/>
      <c r="W45" s="816"/>
      <c r="X45" s="816"/>
      <c r="Y45" s="816"/>
      <c r="Z45" s="816"/>
      <c r="AA45" s="816"/>
      <c r="AB45" s="816"/>
      <c r="AC45" s="816"/>
      <c r="AD45" s="816"/>
      <c r="AE45" s="816"/>
      <c r="AF45" s="816"/>
    </row>
    <row r="46" spans="1:59" s="839" customFormat="1" ht="12.6" x14ac:dyDescent="0.25">
      <c r="B46" s="839" t="s">
        <v>22</v>
      </c>
      <c r="C46" s="379"/>
      <c r="D46" s="379"/>
      <c r="E46" s="379"/>
      <c r="F46" s="379"/>
      <c r="G46" s="798">
        <f>G9</f>
        <v>12.9</v>
      </c>
      <c r="H46" s="798">
        <f t="shared" ref="H46:AF49" si="0">H9</f>
        <v>12.9</v>
      </c>
      <c r="I46" s="798">
        <f t="shared" si="0"/>
        <v>12.9</v>
      </c>
      <c r="J46" s="798">
        <f t="shared" si="0"/>
        <v>12.9</v>
      </c>
      <c r="K46" s="798">
        <f t="shared" si="0"/>
        <v>12.9</v>
      </c>
      <c r="L46" s="798">
        <f t="shared" si="0"/>
        <v>12.9</v>
      </c>
      <c r="M46" s="798">
        <f t="shared" si="0"/>
        <v>12.9</v>
      </c>
      <c r="N46" s="798">
        <f t="shared" si="0"/>
        <v>12.9</v>
      </c>
      <c r="O46" s="798">
        <f t="shared" si="0"/>
        <v>12.9</v>
      </c>
      <c r="P46" s="798">
        <f t="shared" si="0"/>
        <v>12.9</v>
      </c>
      <c r="Q46" s="798">
        <f t="shared" si="0"/>
        <v>12.9</v>
      </c>
      <c r="R46" s="798">
        <f t="shared" si="0"/>
        <v>12.9</v>
      </c>
      <c r="S46" s="798">
        <f t="shared" si="0"/>
        <v>12.9</v>
      </c>
      <c r="T46" s="798">
        <f t="shared" si="0"/>
        <v>12.9</v>
      </c>
      <c r="U46" s="798">
        <f t="shared" si="0"/>
        <v>12.9</v>
      </c>
      <c r="V46" s="798">
        <f t="shared" si="0"/>
        <v>12.9</v>
      </c>
      <c r="W46" s="798">
        <f t="shared" si="0"/>
        <v>12.9</v>
      </c>
      <c r="X46" s="798">
        <f t="shared" si="0"/>
        <v>12.9</v>
      </c>
      <c r="Y46" s="798">
        <f t="shared" si="0"/>
        <v>12.9</v>
      </c>
      <c r="Z46" s="798">
        <f t="shared" si="0"/>
        <v>12.9</v>
      </c>
      <c r="AA46" s="798">
        <f t="shared" si="0"/>
        <v>12.9</v>
      </c>
      <c r="AB46" s="798">
        <f t="shared" si="0"/>
        <v>12.9</v>
      </c>
      <c r="AC46" s="798">
        <f t="shared" si="0"/>
        <v>12.9</v>
      </c>
      <c r="AD46" s="798">
        <f t="shared" si="0"/>
        <v>12.9</v>
      </c>
      <c r="AE46" s="798">
        <f t="shared" si="0"/>
        <v>12.9</v>
      </c>
      <c r="AF46" s="798">
        <f t="shared" si="0"/>
        <v>12.9</v>
      </c>
    </row>
    <row r="47" spans="1:59" s="839" customFormat="1" ht="12.6" x14ac:dyDescent="0.25">
      <c r="B47" s="839" t="s">
        <v>26</v>
      </c>
      <c r="C47" s="379"/>
      <c r="D47" s="379"/>
      <c r="E47" s="379"/>
      <c r="F47" s="379"/>
      <c r="G47" s="798">
        <f t="shared" ref="G47:V49" si="1">G10</f>
        <v>15</v>
      </c>
      <c r="H47" s="798">
        <f t="shared" si="1"/>
        <v>15.074999999999989</v>
      </c>
      <c r="I47" s="798">
        <f t="shared" si="1"/>
        <v>15.150000000000006</v>
      </c>
      <c r="J47" s="798">
        <f t="shared" si="1"/>
        <v>15.224999999999994</v>
      </c>
      <c r="K47" s="798">
        <f t="shared" si="1"/>
        <v>15.299999999999983</v>
      </c>
      <c r="L47" s="798">
        <f t="shared" si="1"/>
        <v>15.375</v>
      </c>
      <c r="M47" s="798">
        <f t="shared" si="1"/>
        <v>15.449999999999989</v>
      </c>
      <c r="N47" s="798">
        <f t="shared" si="1"/>
        <v>15.525000000000006</v>
      </c>
      <c r="O47" s="798">
        <f t="shared" si="1"/>
        <v>15.599999999999994</v>
      </c>
      <c r="P47" s="798">
        <f t="shared" si="1"/>
        <v>15.674999999999983</v>
      </c>
      <c r="Q47" s="798">
        <f t="shared" si="1"/>
        <v>15.75</v>
      </c>
      <c r="R47" s="798">
        <f t="shared" si="1"/>
        <v>15.824999999999989</v>
      </c>
      <c r="S47" s="798">
        <f t="shared" si="1"/>
        <v>15.900000000000006</v>
      </c>
      <c r="T47" s="798">
        <f t="shared" si="1"/>
        <v>15.974999999999994</v>
      </c>
      <c r="U47" s="798">
        <f t="shared" si="1"/>
        <v>16.049999999999983</v>
      </c>
      <c r="V47" s="798">
        <f t="shared" si="1"/>
        <v>16.125</v>
      </c>
      <c r="W47" s="798">
        <f t="shared" si="0"/>
        <v>16.199999999999989</v>
      </c>
      <c r="X47" s="798">
        <f t="shared" si="0"/>
        <v>16.275000000000006</v>
      </c>
      <c r="Y47" s="798">
        <f t="shared" si="0"/>
        <v>16.349999999999994</v>
      </c>
      <c r="Z47" s="798">
        <f t="shared" si="0"/>
        <v>16.424999999999983</v>
      </c>
      <c r="AA47" s="798">
        <f t="shared" si="0"/>
        <v>16.5</v>
      </c>
      <c r="AB47" s="798">
        <f t="shared" si="0"/>
        <v>16.574999999999989</v>
      </c>
      <c r="AC47" s="798">
        <f t="shared" si="0"/>
        <v>16.650000000000006</v>
      </c>
      <c r="AD47" s="798">
        <f t="shared" si="0"/>
        <v>16.724999999999994</v>
      </c>
      <c r="AE47" s="798">
        <f t="shared" si="0"/>
        <v>16.799999999999983</v>
      </c>
      <c r="AF47" s="798">
        <f t="shared" si="0"/>
        <v>16.875</v>
      </c>
    </row>
    <row r="48" spans="1:59" s="839" customFormat="1" ht="12.6" x14ac:dyDescent="0.25">
      <c r="B48" s="839" t="s">
        <v>27</v>
      </c>
      <c r="C48" s="379"/>
      <c r="D48" s="379"/>
      <c r="E48" s="379"/>
      <c r="F48" s="379"/>
      <c r="G48" s="798">
        <f t="shared" si="1"/>
        <v>53</v>
      </c>
      <c r="H48" s="798">
        <f t="shared" si="0"/>
        <v>53.2650000000001</v>
      </c>
      <c r="I48" s="798">
        <f t="shared" si="0"/>
        <v>53.530000000000086</v>
      </c>
      <c r="J48" s="798">
        <f t="shared" si="0"/>
        <v>53.795000000000073</v>
      </c>
      <c r="K48" s="798">
        <f t="shared" si="0"/>
        <v>54.060000000000059</v>
      </c>
      <c r="L48" s="798">
        <f t="shared" si="0"/>
        <v>54.325000000000045</v>
      </c>
      <c r="M48" s="798">
        <f t="shared" si="0"/>
        <v>54.590000000000032</v>
      </c>
      <c r="N48" s="798">
        <f t="shared" si="0"/>
        <v>54.855000000000018</v>
      </c>
      <c r="O48" s="798">
        <f t="shared" si="0"/>
        <v>55.120000000000005</v>
      </c>
      <c r="P48" s="798">
        <f t="shared" si="0"/>
        <v>55.385000000000105</v>
      </c>
      <c r="Q48" s="798">
        <f t="shared" si="0"/>
        <v>55.650000000000091</v>
      </c>
      <c r="R48" s="798">
        <f t="shared" si="0"/>
        <v>55.915000000000077</v>
      </c>
      <c r="S48" s="798">
        <f t="shared" si="0"/>
        <v>56.180000000000064</v>
      </c>
      <c r="T48" s="798">
        <f t="shared" si="0"/>
        <v>56.44500000000005</v>
      </c>
      <c r="U48" s="798">
        <f t="shared" si="0"/>
        <v>56.710000000000036</v>
      </c>
      <c r="V48" s="798">
        <f t="shared" si="0"/>
        <v>56.975000000000023</v>
      </c>
      <c r="W48" s="798">
        <f t="shared" si="0"/>
        <v>57.240000000000009</v>
      </c>
      <c r="X48" s="798">
        <f t="shared" si="0"/>
        <v>57.504999999999995</v>
      </c>
      <c r="Y48" s="798">
        <f t="shared" si="0"/>
        <v>57.770000000000095</v>
      </c>
      <c r="Z48" s="798">
        <f t="shared" si="0"/>
        <v>58.035000000000082</v>
      </c>
      <c r="AA48" s="798">
        <f t="shared" si="0"/>
        <v>58.300000000000068</v>
      </c>
      <c r="AB48" s="798">
        <f t="shared" si="0"/>
        <v>58.565000000000055</v>
      </c>
      <c r="AC48" s="798">
        <f t="shared" si="0"/>
        <v>58.830000000000041</v>
      </c>
      <c r="AD48" s="798">
        <f t="shared" si="0"/>
        <v>59.095000000000027</v>
      </c>
      <c r="AE48" s="798">
        <f t="shared" si="0"/>
        <v>59.360000000000014</v>
      </c>
      <c r="AF48" s="798">
        <f t="shared" si="0"/>
        <v>59.625</v>
      </c>
    </row>
    <row r="49" spans="1:32" s="839" customFormat="1" ht="12.6" x14ac:dyDescent="0.25">
      <c r="B49" s="839" t="s">
        <v>29</v>
      </c>
      <c r="C49" s="379"/>
      <c r="D49" s="379"/>
      <c r="E49" s="379"/>
      <c r="F49" s="379"/>
      <c r="G49" s="798">
        <f t="shared" si="1"/>
        <v>36.873768202819726</v>
      </c>
      <c r="H49" s="798">
        <f t="shared" si="0"/>
        <v>48.266272480467556</v>
      </c>
      <c r="I49" s="798">
        <f t="shared" si="0"/>
        <v>61.701198700113544</v>
      </c>
      <c r="J49" s="798">
        <f t="shared" si="0"/>
        <v>77.591734715380795</v>
      </c>
      <c r="K49" s="798">
        <f t="shared" si="0"/>
        <v>94.800465488123137</v>
      </c>
      <c r="L49" s="798">
        <f t="shared" si="0"/>
        <v>112.50003941617493</v>
      </c>
      <c r="M49" s="798">
        <f t="shared" si="0"/>
        <v>129.3471504340618</v>
      </c>
      <c r="N49" s="798">
        <f t="shared" si="0"/>
        <v>145.03095133963808</v>
      </c>
      <c r="O49" s="798">
        <f t="shared" si="0"/>
        <v>159.127310954921</v>
      </c>
      <c r="P49" s="798">
        <f t="shared" si="0"/>
        <v>171.48202098927979</v>
      </c>
      <c r="Q49" s="798">
        <f t="shared" si="0"/>
        <v>182.15170200680319</v>
      </c>
      <c r="R49" s="798">
        <f t="shared" si="0"/>
        <v>187.8607232688625</v>
      </c>
      <c r="S49" s="798">
        <f t="shared" si="0"/>
        <v>192.15160570290442</v>
      </c>
      <c r="T49" s="798">
        <f t="shared" si="0"/>
        <v>195.33034204073093</v>
      </c>
      <c r="U49" s="798">
        <f t="shared" si="0"/>
        <v>197.66006127320361</v>
      </c>
      <c r="V49" s="798">
        <f t="shared" si="0"/>
        <v>199.35413887963063</v>
      </c>
      <c r="W49" s="798">
        <f t="shared" si="0"/>
        <v>200.57896356186501</v>
      </c>
      <c r="X49" s="798">
        <f t="shared" si="0"/>
        <v>201.46085171629713</v>
      </c>
      <c r="Y49" s="798">
        <f t="shared" si="0"/>
        <v>202.09392729485813</v>
      </c>
      <c r="Z49" s="798">
        <f t="shared" si="0"/>
        <v>202.54741526513342</v>
      </c>
      <c r="AA49" s="798">
        <f t="shared" si="0"/>
        <v>202.87176106409183</v>
      </c>
      <c r="AB49" s="798">
        <f t="shared" si="0"/>
        <v>203.10348618652321</v>
      </c>
      <c r="AC49" s="798">
        <f t="shared" si="0"/>
        <v>203.26890947460336</v>
      </c>
      <c r="AD49" s="798">
        <f t="shared" si="0"/>
        <v>203.38693514979437</v>
      </c>
      <c r="AE49" s="798">
        <f t="shared" si="0"/>
        <v>203.47111002115616</v>
      </c>
      <c r="AF49" s="798">
        <f t="shared" si="0"/>
        <v>203.53112565740346</v>
      </c>
    </row>
    <row r="50" spans="1:32" s="839" customFormat="1" ht="12.6" x14ac:dyDescent="0.25">
      <c r="G50" s="798"/>
      <c r="H50" s="798"/>
      <c r="I50" s="798"/>
      <c r="J50" s="798"/>
      <c r="K50" s="798"/>
      <c r="L50" s="798"/>
      <c r="M50" s="798"/>
      <c r="N50" s="798"/>
      <c r="O50" s="798"/>
      <c r="P50" s="798"/>
      <c r="Q50" s="798"/>
      <c r="R50" s="798"/>
      <c r="S50" s="798"/>
      <c r="T50" s="798"/>
      <c r="U50" s="798"/>
      <c r="V50" s="798"/>
      <c r="W50" s="798"/>
      <c r="X50" s="798"/>
      <c r="Y50" s="798"/>
      <c r="Z50" s="798"/>
      <c r="AA50" s="798"/>
      <c r="AB50" s="798"/>
      <c r="AC50" s="798"/>
      <c r="AD50" s="798"/>
      <c r="AE50" s="798"/>
      <c r="AF50" s="798"/>
    </row>
    <row r="51" spans="1:32" s="839" customFormat="1" ht="12.95" x14ac:dyDescent="0.3">
      <c r="A51" s="817" t="s">
        <v>32</v>
      </c>
      <c r="B51" s="816"/>
      <c r="C51" s="387"/>
      <c r="D51" s="387"/>
      <c r="E51" s="387"/>
      <c r="F51" s="387"/>
      <c r="G51" s="391"/>
      <c r="H51" s="391"/>
      <c r="I51" s="391"/>
      <c r="J51" s="391"/>
      <c r="K51" s="391"/>
      <c r="L51" s="391"/>
      <c r="M51" s="391"/>
      <c r="N51" s="391"/>
      <c r="O51" s="391"/>
      <c r="P51" s="391"/>
      <c r="Q51" s="391"/>
      <c r="R51" s="391"/>
      <c r="S51" s="391"/>
      <c r="T51" s="391"/>
      <c r="U51" s="391"/>
      <c r="V51" s="391"/>
      <c r="W51" s="391"/>
      <c r="X51" s="391"/>
      <c r="Y51" s="391"/>
      <c r="Z51" s="391"/>
      <c r="AA51" s="391"/>
      <c r="AB51" s="391"/>
      <c r="AC51" s="391"/>
      <c r="AD51" s="391"/>
      <c r="AE51" s="391"/>
      <c r="AF51" s="391"/>
    </row>
    <row r="52" spans="1:32" s="839" customFormat="1" ht="12.6" x14ac:dyDescent="0.25">
      <c r="B52" s="839" t="s">
        <v>33</v>
      </c>
      <c r="C52" s="379"/>
      <c r="D52" s="379"/>
      <c r="E52" s="379"/>
      <c r="F52" s="379"/>
      <c r="G52" s="798">
        <f>G15</f>
        <v>10.199999999999999</v>
      </c>
      <c r="H52" s="798">
        <f t="shared" ref="H52:AF52" si="2">H15</f>
        <v>10.199999999999999</v>
      </c>
      <c r="I52" s="798">
        <f t="shared" si="2"/>
        <v>10.199999999999999</v>
      </c>
      <c r="J52" s="798">
        <f t="shared" si="2"/>
        <v>10.199999999999999</v>
      </c>
      <c r="K52" s="798">
        <f t="shared" si="2"/>
        <v>10.199999999999999</v>
      </c>
      <c r="L52" s="798">
        <f t="shared" si="2"/>
        <v>10.199999999999999</v>
      </c>
      <c r="M52" s="798">
        <f t="shared" si="2"/>
        <v>10.199999999999999</v>
      </c>
      <c r="N52" s="798">
        <f t="shared" si="2"/>
        <v>10.199999999999999</v>
      </c>
      <c r="O52" s="798">
        <f t="shared" si="2"/>
        <v>10.199999999999999</v>
      </c>
      <c r="P52" s="798">
        <f t="shared" si="2"/>
        <v>10.199999999999999</v>
      </c>
      <c r="Q52" s="798">
        <f t="shared" si="2"/>
        <v>10.199999999999999</v>
      </c>
      <c r="R52" s="798">
        <f t="shared" si="2"/>
        <v>10.199999999999999</v>
      </c>
      <c r="S52" s="798">
        <f t="shared" si="2"/>
        <v>10.199999999999999</v>
      </c>
      <c r="T52" s="798">
        <f t="shared" si="2"/>
        <v>10.199999999999999</v>
      </c>
      <c r="U52" s="798">
        <f t="shared" si="2"/>
        <v>10.199999999999999</v>
      </c>
      <c r="V52" s="798">
        <f t="shared" si="2"/>
        <v>10.199999999999999</v>
      </c>
      <c r="W52" s="798">
        <f t="shared" si="2"/>
        <v>10.199999999999999</v>
      </c>
      <c r="X52" s="798">
        <f t="shared" si="2"/>
        <v>10.199999999999999</v>
      </c>
      <c r="Y52" s="798">
        <f t="shared" si="2"/>
        <v>10.199999999999999</v>
      </c>
      <c r="Z52" s="798">
        <f t="shared" si="2"/>
        <v>10.199999999999999</v>
      </c>
      <c r="AA52" s="798">
        <f t="shared" si="2"/>
        <v>10.199999999999999</v>
      </c>
      <c r="AB52" s="798">
        <f t="shared" si="2"/>
        <v>10.199999999999999</v>
      </c>
      <c r="AC52" s="798">
        <f t="shared" si="2"/>
        <v>10.199999999999999</v>
      </c>
      <c r="AD52" s="798">
        <f t="shared" si="2"/>
        <v>10.199999999999999</v>
      </c>
      <c r="AE52" s="798">
        <f t="shared" si="2"/>
        <v>10.199999999999999</v>
      </c>
      <c r="AF52" s="798">
        <f t="shared" si="2"/>
        <v>10.199999999999999</v>
      </c>
    </row>
    <row r="53" spans="1:32" s="839" customFormat="1" ht="12.6" x14ac:dyDescent="0.25">
      <c r="A53" s="842"/>
      <c r="B53" s="842" t="s">
        <v>34</v>
      </c>
      <c r="C53" s="379"/>
      <c r="D53" s="379"/>
      <c r="E53" s="379"/>
      <c r="F53" s="379"/>
      <c r="G53" s="798">
        <f t="shared" ref="G53:AF53" si="3">G16</f>
        <v>14.100000000000009</v>
      </c>
      <c r="H53" s="798">
        <f t="shared" si="3"/>
        <v>14.170500000000018</v>
      </c>
      <c r="I53" s="798">
        <f t="shared" si="3"/>
        <v>15.249613391040644</v>
      </c>
      <c r="J53" s="798">
        <f t="shared" si="3"/>
        <v>16.328726782081269</v>
      </c>
      <c r="K53" s="798">
        <f t="shared" si="3"/>
        <v>17.407840173121894</v>
      </c>
      <c r="L53" s="798">
        <f t="shared" si="3"/>
        <v>17.494879373987501</v>
      </c>
      <c r="M53" s="798">
        <f t="shared" si="3"/>
        <v>17.582353770857438</v>
      </c>
      <c r="N53" s="798">
        <f t="shared" si="3"/>
        <v>17.670265539711721</v>
      </c>
      <c r="O53" s="798">
        <f t="shared" si="3"/>
        <v>17.758616867410275</v>
      </c>
      <c r="P53" s="798">
        <f t="shared" si="3"/>
        <v>17.847409951747323</v>
      </c>
      <c r="Q53" s="798">
        <f t="shared" si="3"/>
        <v>17.936647001506056</v>
      </c>
      <c r="R53" s="798">
        <f t="shared" si="3"/>
        <v>18.026330236513587</v>
      </c>
      <c r="S53" s="798">
        <f t="shared" si="3"/>
        <v>18.116461887696151</v>
      </c>
      <c r="T53" s="798">
        <f t="shared" si="3"/>
        <v>18.207044197134632</v>
      </c>
      <c r="U53" s="798">
        <f t="shared" si="3"/>
        <v>18.298079418120302</v>
      </c>
      <c r="V53" s="798">
        <f t="shared" si="3"/>
        <v>18.389569815210901</v>
      </c>
      <c r="W53" s="798">
        <f t="shared" si="3"/>
        <v>18.481517664286951</v>
      </c>
      <c r="X53" s="798">
        <f t="shared" si="3"/>
        <v>18.573925252608383</v>
      </c>
      <c r="Y53" s="798">
        <f t="shared" si="3"/>
        <v>18.666794878871421</v>
      </c>
      <c r="Z53" s="798">
        <f t="shared" si="3"/>
        <v>18.760128853265773</v>
      </c>
      <c r="AA53" s="798">
        <f t="shared" si="3"/>
        <v>18.8539294975321</v>
      </c>
      <c r="AB53" s="798">
        <f t="shared" si="3"/>
        <v>18.94819914501976</v>
      </c>
      <c r="AC53" s="798">
        <f t="shared" si="3"/>
        <v>19.042940140744854</v>
      </c>
      <c r="AD53" s="798">
        <f t="shared" si="3"/>
        <v>19.138154841448575</v>
      </c>
      <c r="AE53" s="798">
        <f t="shared" si="3"/>
        <v>19.233845615655817</v>
      </c>
      <c r="AF53" s="798">
        <f t="shared" si="3"/>
        <v>19.330014843734091</v>
      </c>
    </row>
    <row r="54" spans="1:32" s="839" customFormat="1" ht="12.6" x14ac:dyDescent="0.25">
      <c r="B54" s="842" t="s">
        <v>35</v>
      </c>
      <c r="C54" s="379"/>
      <c r="D54" s="379"/>
      <c r="E54" s="379"/>
      <c r="F54" s="379"/>
      <c r="G54" s="798">
        <f t="shared" ref="G54:AF54" si="4">G17</f>
        <v>43.099999999999966</v>
      </c>
      <c r="H54" s="798">
        <f t="shared" si="4"/>
        <v>43.315499999999986</v>
      </c>
      <c r="I54" s="798">
        <f t="shared" si="4"/>
        <v>43.531000000000006</v>
      </c>
      <c r="J54" s="798">
        <f t="shared" si="4"/>
        <v>43.746499999999969</v>
      </c>
      <c r="K54" s="798">
        <f t="shared" si="4"/>
        <v>43.961999999999989</v>
      </c>
      <c r="L54" s="798">
        <f t="shared" si="4"/>
        <v>44.177500000000009</v>
      </c>
      <c r="M54" s="798">
        <f t="shared" si="4"/>
        <v>44.392999999999972</v>
      </c>
      <c r="N54" s="798">
        <f t="shared" si="4"/>
        <v>44.608499999999992</v>
      </c>
      <c r="O54" s="798">
        <f t="shared" si="4"/>
        <v>44.824000000000012</v>
      </c>
      <c r="P54" s="798">
        <f t="shared" si="4"/>
        <v>45.039499999999975</v>
      </c>
      <c r="Q54" s="798">
        <f t="shared" si="4"/>
        <v>45.254999999999995</v>
      </c>
      <c r="R54" s="798">
        <f t="shared" si="4"/>
        <v>45.470499999999959</v>
      </c>
      <c r="S54" s="798">
        <f t="shared" si="4"/>
        <v>45.685999999999979</v>
      </c>
      <c r="T54" s="798">
        <f t="shared" si="4"/>
        <v>45.901499999999999</v>
      </c>
      <c r="U54" s="798">
        <f t="shared" si="4"/>
        <v>46.116999999999962</v>
      </c>
      <c r="V54" s="798">
        <f t="shared" si="4"/>
        <v>46.332499999999982</v>
      </c>
      <c r="W54" s="798">
        <f t="shared" si="4"/>
        <v>46.548000000000002</v>
      </c>
      <c r="X54" s="798">
        <f t="shared" si="4"/>
        <v>46.763499999999965</v>
      </c>
      <c r="Y54" s="798">
        <f t="shared" si="4"/>
        <v>46.978999999999985</v>
      </c>
      <c r="Z54" s="798">
        <f t="shared" si="4"/>
        <v>47.194500000000005</v>
      </c>
      <c r="AA54" s="798">
        <f t="shared" si="4"/>
        <v>47.409999999999968</v>
      </c>
      <c r="AB54" s="798">
        <f t="shared" si="4"/>
        <v>47.625499999999988</v>
      </c>
      <c r="AC54" s="798">
        <f t="shared" si="4"/>
        <v>47.841000000000008</v>
      </c>
      <c r="AD54" s="798">
        <f t="shared" si="4"/>
        <v>48.056499999999971</v>
      </c>
      <c r="AE54" s="798">
        <f t="shared" si="4"/>
        <v>48.271999999999991</v>
      </c>
      <c r="AF54" s="798">
        <f t="shared" si="4"/>
        <v>48.487500000000011</v>
      </c>
    </row>
    <row r="55" spans="1:32" s="839" customFormat="1" ht="12.6" x14ac:dyDescent="0.25">
      <c r="B55" s="842" t="s">
        <v>29</v>
      </c>
      <c r="G55" s="798">
        <f t="shared" ref="G55:AF55" si="5">G18</f>
        <v>36.873768202819726</v>
      </c>
      <c r="H55" s="798">
        <f t="shared" si="5"/>
        <v>48.266272480467556</v>
      </c>
      <c r="I55" s="798">
        <f t="shared" si="5"/>
        <v>61.701198700113544</v>
      </c>
      <c r="J55" s="798">
        <f t="shared" si="5"/>
        <v>77.591734715380795</v>
      </c>
      <c r="K55" s="798">
        <f t="shared" si="5"/>
        <v>94.800465488123137</v>
      </c>
      <c r="L55" s="798">
        <f t="shared" si="5"/>
        <v>112.50003941617493</v>
      </c>
      <c r="M55" s="798">
        <f t="shared" si="5"/>
        <v>129.3471504340618</v>
      </c>
      <c r="N55" s="798">
        <f t="shared" si="5"/>
        <v>145.03095133963808</v>
      </c>
      <c r="O55" s="798">
        <f t="shared" si="5"/>
        <v>159.127310954921</v>
      </c>
      <c r="P55" s="798">
        <f t="shared" si="5"/>
        <v>171.48202098927979</v>
      </c>
      <c r="Q55" s="798">
        <f t="shared" si="5"/>
        <v>182.15170200680319</v>
      </c>
      <c r="R55" s="798">
        <f t="shared" si="5"/>
        <v>187.8607232688625</v>
      </c>
      <c r="S55" s="798">
        <f t="shared" si="5"/>
        <v>192.15160570290442</v>
      </c>
      <c r="T55" s="798">
        <f t="shared" si="5"/>
        <v>195.33034204073093</v>
      </c>
      <c r="U55" s="798">
        <f t="shared" si="5"/>
        <v>197.66006127320361</v>
      </c>
      <c r="V55" s="798">
        <f t="shared" si="5"/>
        <v>199.35413887963063</v>
      </c>
      <c r="W55" s="798">
        <f t="shared" si="5"/>
        <v>200.57896356186501</v>
      </c>
      <c r="X55" s="798">
        <f t="shared" si="5"/>
        <v>201.46085171629713</v>
      </c>
      <c r="Y55" s="798">
        <f t="shared" si="5"/>
        <v>202.09392729485813</v>
      </c>
      <c r="Z55" s="798">
        <f t="shared" si="5"/>
        <v>202.54741526513342</v>
      </c>
      <c r="AA55" s="798">
        <f t="shared" si="5"/>
        <v>202.87176106409183</v>
      </c>
      <c r="AB55" s="798">
        <f t="shared" si="5"/>
        <v>203.10348618652321</v>
      </c>
      <c r="AC55" s="798">
        <f t="shared" si="5"/>
        <v>203.26890947460336</v>
      </c>
      <c r="AD55" s="798">
        <f t="shared" si="5"/>
        <v>203.38693514979437</v>
      </c>
      <c r="AE55" s="798">
        <f t="shared" si="5"/>
        <v>203.47111002115616</v>
      </c>
      <c r="AF55" s="798">
        <f t="shared" si="5"/>
        <v>203.53112565740346</v>
      </c>
    </row>
    <row r="56" spans="1:32" s="839" customFormat="1" ht="12.6" x14ac:dyDescent="0.25">
      <c r="G56" s="798"/>
      <c r="H56" s="798"/>
      <c r="I56" s="798"/>
      <c r="J56" s="798"/>
      <c r="K56" s="798"/>
      <c r="L56" s="798"/>
      <c r="M56" s="798"/>
      <c r="N56" s="798"/>
      <c r="O56" s="798"/>
      <c r="P56" s="798"/>
      <c r="Q56" s="798"/>
      <c r="R56" s="798"/>
      <c r="S56" s="798"/>
      <c r="T56" s="798"/>
      <c r="U56" s="798"/>
      <c r="V56" s="798"/>
      <c r="W56" s="798"/>
      <c r="X56" s="798"/>
      <c r="Y56" s="798"/>
      <c r="Z56" s="798"/>
      <c r="AA56" s="798"/>
      <c r="AB56" s="798"/>
      <c r="AC56" s="798"/>
      <c r="AD56" s="798"/>
      <c r="AE56" s="798"/>
      <c r="AF56" s="798"/>
    </row>
    <row r="57" spans="1:32" s="839" customFormat="1" ht="12.95" x14ac:dyDescent="0.3">
      <c r="A57" s="817" t="s">
        <v>36</v>
      </c>
      <c r="B57" s="816"/>
      <c r="C57" s="387"/>
      <c r="D57" s="387"/>
      <c r="E57" s="387"/>
      <c r="F57" s="387"/>
      <c r="G57" s="391"/>
      <c r="H57" s="391"/>
      <c r="I57" s="391"/>
      <c r="J57" s="391"/>
      <c r="K57" s="391"/>
      <c r="L57" s="391"/>
      <c r="M57" s="391"/>
      <c r="N57" s="391"/>
      <c r="O57" s="391"/>
      <c r="P57" s="391"/>
      <c r="Q57" s="391"/>
      <c r="R57" s="391"/>
      <c r="S57" s="391"/>
      <c r="T57" s="391"/>
      <c r="U57" s="391"/>
      <c r="V57" s="391"/>
      <c r="W57" s="391"/>
      <c r="X57" s="391"/>
      <c r="Y57" s="391"/>
      <c r="Z57" s="391"/>
      <c r="AA57" s="391"/>
      <c r="AB57" s="391"/>
      <c r="AC57" s="391"/>
      <c r="AD57" s="391"/>
      <c r="AE57" s="391"/>
      <c r="AF57" s="391"/>
    </row>
    <row r="58" spans="1:32" s="839" customFormat="1" ht="12.6" x14ac:dyDescent="0.25">
      <c r="B58" s="839" t="s">
        <v>37</v>
      </c>
      <c r="C58" s="379"/>
      <c r="D58" s="379"/>
      <c r="E58" s="379"/>
      <c r="F58" s="379"/>
      <c r="G58" s="798">
        <f>G21</f>
        <v>46.9</v>
      </c>
      <c r="H58" s="798">
        <f t="shared" ref="H58:AF58" si="6">H21</f>
        <v>46.9</v>
      </c>
      <c r="I58" s="798">
        <f t="shared" si="6"/>
        <v>46.9</v>
      </c>
      <c r="J58" s="798">
        <f t="shared" si="6"/>
        <v>46.9</v>
      </c>
      <c r="K58" s="798">
        <f t="shared" si="6"/>
        <v>46.9</v>
      </c>
      <c r="L58" s="798">
        <f t="shared" si="6"/>
        <v>46.9</v>
      </c>
      <c r="M58" s="798">
        <f t="shared" si="6"/>
        <v>46.9</v>
      </c>
      <c r="N58" s="798">
        <f t="shared" si="6"/>
        <v>46.9</v>
      </c>
      <c r="O58" s="798">
        <f t="shared" si="6"/>
        <v>46.9</v>
      </c>
      <c r="P58" s="798">
        <f t="shared" si="6"/>
        <v>46.9</v>
      </c>
      <c r="Q58" s="798">
        <f t="shared" si="6"/>
        <v>46.9</v>
      </c>
      <c r="R58" s="798">
        <f t="shared" si="6"/>
        <v>46.9</v>
      </c>
      <c r="S58" s="798">
        <f t="shared" si="6"/>
        <v>46.9</v>
      </c>
      <c r="T58" s="798">
        <f t="shared" si="6"/>
        <v>46.9</v>
      </c>
      <c r="U58" s="798">
        <f t="shared" si="6"/>
        <v>46.9</v>
      </c>
      <c r="V58" s="798">
        <f t="shared" si="6"/>
        <v>46.9</v>
      </c>
      <c r="W58" s="798">
        <f t="shared" si="6"/>
        <v>46.9</v>
      </c>
      <c r="X58" s="798">
        <f t="shared" si="6"/>
        <v>46.9</v>
      </c>
      <c r="Y58" s="798">
        <f t="shared" si="6"/>
        <v>46.9</v>
      </c>
      <c r="Z58" s="798">
        <f t="shared" si="6"/>
        <v>46.9</v>
      </c>
      <c r="AA58" s="798">
        <f t="shared" si="6"/>
        <v>46.9</v>
      </c>
      <c r="AB58" s="798">
        <f t="shared" si="6"/>
        <v>46.9</v>
      </c>
      <c r="AC58" s="798">
        <f t="shared" si="6"/>
        <v>46.9</v>
      </c>
      <c r="AD58" s="798">
        <f t="shared" si="6"/>
        <v>46.9</v>
      </c>
      <c r="AE58" s="798">
        <f t="shared" si="6"/>
        <v>46.9</v>
      </c>
      <c r="AF58" s="798">
        <f t="shared" si="6"/>
        <v>46.9</v>
      </c>
    </row>
    <row r="59" spans="1:32" s="839" customFormat="1" ht="12.6" x14ac:dyDescent="0.25">
      <c r="B59" s="839" t="s">
        <v>39</v>
      </c>
      <c r="G59" s="798">
        <f t="shared" ref="G59:AF59" si="7">G22</f>
        <v>50.749999999999986</v>
      </c>
      <c r="H59" s="798">
        <f t="shared" si="7"/>
        <v>51.003749999999968</v>
      </c>
      <c r="I59" s="798">
        <f t="shared" si="7"/>
        <v>51.257499999999951</v>
      </c>
      <c r="J59" s="798">
        <f t="shared" si="7"/>
        <v>51.511250000000011</v>
      </c>
      <c r="K59" s="798">
        <f t="shared" si="7"/>
        <v>52.449366666666663</v>
      </c>
      <c r="L59" s="798">
        <f t="shared" si="7"/>
        <v>53.387483333333329</v>
      </c>
      <c r="M59" s="798">
        <f t="shared" si="7"/>
        <v>54.325600000000001</v>
      </c>
      <c r="N59" s="798">
        <f t="shared" si="7"/>
        <v>54.597227999999994</v>
      </c>
      <c r="O59" s="798">
        <f t="shared" si="7"/>
        <v>54.870214139999987</v>
      </c>
      <c r="P59" s="798">
        <f t="shared" si="7"/>
        <v>55.14456521069998</v>
      </c>
      <c r="Q59" s="798">
        <f t="shared" si="7"/>
        <v>55.420288036753462</v>
      </c>
      <c r="R59" s="798">
        <f t="shared" si="7"/>
        <v>55.697389476937218</v>
      </c>
      <c r="S59" s="798">
        <f t="shared" si="7"/>
        <v>55.975876424321896</v>
      </c>
      <c r="T59" s="798">
        <f t="shared" si="7"/>
        <v>56.255755806443496</v>
      </c>
      <c r="U59" s="798">
        <f t="shared" si="7"/>
        <v>56.537034585475709</v>
      </c>
      <c r="V59" s="798">
        <f t="shared" si="7"/>
        <v>56.819719758403089</v>
      </c>
      <c r="W59" s="798">
        <f t="shared" si="7"/>
        <v>57.103818357195088</v>
      </c>
      <c r="X59" s="798">
        <f t="shared" si="7"/>
        <v>57.38933744898106</v>
      </c>
      <c r="Y59" s="798">
        <f t="shared" si="7"/>
        <v>57.676284136225945</v>
      </c>
      <c r="Z59" s="798">
        <f t="shared" si="7"/>
        <v>57.964665556907072</v>
      </c>
      <c r="AA59" s="798">
        <f t="shared" si="7"/>
        <v>58.254488884691597</v>
      </c>
      <c r="AB59" s="798">
        <f t="shared" si="7"/>
        <v>58.545761329115045</v>
      </c>
      <c r="AC59" s="798">
        <f t="shared" si="7"/>
        <v>58.838490135760615</v>
      </c>
      <c r="AD59" s="798">
        <f t="shared" si="7"/>
        <v>59.132682586439422</v>
      </c>
      <c r="AE59" s="798">
        <f t="shared" si="7"/>
        <v>59.428345999371594</v>
      </c>
      <c r="AF59" s="798">
        <f t="shared" si="7"/>
        <v>59.725487729368446</v>
      </c>
    </row>
    <row r="60" spans="1:32" s="839" customFormat="1" ht="12.6" x14ac:dyDescent="0.25">
      <c r="B60" s="839" t="s">
        <v>40</v>
      </c>
      <c r="C60" s="842"/>
      <c r="D60" s="842"/>
      <c r="E60" s="842"/>
      <c r="F60" s="842"/>
      <c r="G60" s="798">
        <f t="shared" ref="G60:AF60" si="8">G23</f>
        <v>77.129999999999967</v>
      </c>
      <c r="H60" s="798">
        <f t="shared" si="8"/>
        <v>77.515650000000008</v>
      </c>
      <c r="I60" s="798">
        <f t="shared" si="8"/>
        <v>77.901299999999964</v>
      </c>
      <c r="J60" s="798">
        <f t="shared" si="8"/>
        <v>78.286950000000004</v>
      </c>
      <c r="K60" s="798">
        <f t="shared" si="8"/>
        <v>78.672599999999946</v>
      </c>
      <c r="L60" s="798">
        <f t="shared" si="8"/>
        <v>79.058250000000001</v>
      </c>
      <c r="M60" s="798">
        <f t="shared" si="8"/>
        <v>79.443899999999957</v>
      </c>
      <c r="N60" s="798">
        <f t="shared" si="8"/>
        <v>79.829549999999983</v>
      </c>
      <c r="O60" s="798">
        <f t="shared" si="8"/>
        <v>80.215199999999953</v>
      </c>
      <c r="P60" s="798">
        <f t="shared" si="8"/>
        <v>80.600849999999994</v>
      </c>
      <c r="Q60" s="798">
        <f t="shared" si="8"/>
        <v>80.98649999999995</v>
      </c>
      <c r="R60" s="798">
        <f t="shared" si="8"/>
        <v>81.372149999999991</v>
      </c>
      <c r="S60" s="798">
        <f t="shared" si="8"/>
        <v>81.757799999999932</v>
      </c>
      <c r="T60" s="798">
        <f t="shared" si="8"/>
        <v>82.143449999999987</v>
      </c>
      <c r="U60" s="798">
        <f t="shared" si="8"/>
        <v>82.529100000000028</v>
      </c>
      <c r="V60" s="798">
        <f t="shared" si="8"/>
        <v>82.91474999999997</v>
      </c>
      <c r="W60" s="798">
        <f t="shared" si="8"/>
        <v>83.300400000000025</v>
      </c>
      <c r="X60" s="798">
        <f t="shared" si="8"/>
        <v>83.68604999999998</v>
      </c>
      <c r="Y60" s="798">
        <f t="shared" si="8"/>
        <v>84.071700000000007</v>
      </c>
      <c r="Z60" s="798">
        <f t="shared" si="8"/>
        <v>84.457349999999977</v>
      </c>
      <c r="AA60" s="798">
        <f t="shared" si="8"/>
        <v>84.843000000000018</v>
      </c>
      <c r="AB60" s="798">
        <f t="shared" si="8"/>
        <v>85.228649999999973</v>
      </c>
      <c r="AC60" s="798">
        <f t="shared" si="8"/>
        <v>85.614300000000014</v>
      </c>
      <c r="AD60" s="798">
        <f t="shared" si="8"/>
        <v>85.999949999999956</v>
      </c>
      <c r="AE60" s="798">
        <f t="shared" si="8"/>
        <v>86.385600000000011</v>
      </c>
      <c r="AF60" s="798">
        <f t="shared" si="8"/>
        <v>86.771249999999952</v>
      </c>
    </row>
    <row r="61" spans="1:32" s="839" customFormat="1" ht="12.6" x14ac:dyDescent="0.25">
      <c r="B61" s="839" t="s">
        <v>29</v>
      </c>
      <c r="G61" s="798">
        <f t="shared" ref="G61:AF61" si="9">G24</f>
        <v>69.886712931315586</v>
      </c>
      <c r="H61" s="798">
        <f t="shared" si="9"/>
        <v>84.617739005122857</v>
      </c>
      <c r="I61" s="798">
        <f t="shared" si="9"/>
        <v>99.77020761765985</v>
      </c>
      <c r="J61" s="798">
        <f t="shared" si="9"/>
        <v>115.81072942703476</v>
      </c>
      <c r="K61" s="798">
        <f t="shared" si="9"/>
        <v>131.19780938437214</v>
      </c>
      <c r="L61" s="798">
        <f t="shared" si="9"/>
        <v>145.46220447607328</v>
      </c>
      <c r="M61" s="798">
        <f t="shared" si="9"/>
        <v>157.75364681050067</v>
      </c>
      <c r="N61" s="798">
        <f t="shared" si="9"/>
        <v>168.55506474700036</v>
      </c>
      <c r="O61" s="798">
        <f t="shared" si="9"/>
        <v>177.96704120423578</v>
      </c>
      <c r="P61" s="798">
        <f t="shared" si="9"/>
        <v>186.1654499682482</v>
      </c>
      <c r="Q61" s="798">
        <f t="shared" si="9"/>
        <v>193.35230342395749</v>
      </c>
      <c r="R61" s="798">
        <f t="shared" si="9"/>
        <v>196.11147215578865</v>
      </c>
      <c r="S61" s="798">
        <f t="shared" si="9"/>
        <v>198.15456111208027</v>
      </c>
      <c r="T61" s="798">
        <f t="shared" si="9"/>
        <v>199.65744029461996</v>
      </c>
      <c r="U61" s="798">
        <f t="shared" si="9"/>
        <v>200.75757592848979</v>
      </c>
      <c r="V61" s="798">
        <f t="shared" si="9"/>
        <v>201.56002861929591</v>
      </c>
      <c r="W61" s="798">
        <f t="shared" si="9"/>
        <v>202.14382617150503</v>
      </c>
      <c r="X61" s="798">
        <f t="shared" si="9"/>
        <v>202.5677447446416</v>
      </c>
      <c r="Y61" s="798">
        <f t="shared" si="9"/>
        <v>202.87514562074011</v>
      </c>
      <c r="Z61" s="798">
        <f t="shared" si="9"/>
        <v>203.09783237720012</v>
      </c>
      <c r="AA61" s="798">
        <f t="shared" si="9"/>
        <v>203.25903410630769</v>
      </c>
      <c r="AB61" s="798">
        <f t="shared" si="9"/>
        <v>203.37566609727986</v>
      </c>
      <c r="AC61" s="798">
        <f t="shared" si="9"/>
        <v>203.46001922812226</v>
      </c>
      <c r="AD61" s="798">
        <f t="shared" si="9"/>
        <v>203.52101022912549</v>
      </c>
      <c r="AE61" s="798">
        <f t="shared" si="9"/>
        <v>203.56510065539746</v>
      </c>
      <c r="AF61" s="798">
        <f t="shared" si="9"/>
        <v>203.59696908402657</v>
      </c>
    </row>
    <row r="62" spans="1:32" s="839" customFormat="1" ht="12.6" x14ac:dyDescent="0.25"/>
    <row r="63" spans="1:32" s="839" customFormat="1" ht="12.95" x14ac:dyDescent="0.3">
      <c r="A63" s="817" t="s">
        <v>42</v>
      </c>
      <c r="B63" s="816"/>
      <c r="C63" s="387"/>
      <c r="D63" s="387"/>
      <c r="E63" s="387"/>
      <c r="F63" s="387"/>
      <c r="G63" s="391"/>
      <c r="H63" s="391"/>
      <c r="I63" s="391"/>
      <c r="J63" s="391"/>
      <c r="K63" s="391"/>
      <c r="L63" s="391"/>
      <c r="M63" s="391"/>
      <c r="N63" s="391"/>
      <c r="O63" s="391"/>
      <c r="P63" s="391"/>
      <c r="Q63" s="391"/>
      <c r="R63" s="391"/>
      <c r="S63" s="391"/>
      <c r="T63" s="391"/>
      <c r="U63" s="391"/>
      <c r="V63" s="391"/>
      <c r="W63" s="391"/>
      <c r="X63" s="391"/>
      <c r="Y63" s="391"/>
      <c r="Z63" s="391"/>
      <c r="AA63" s="391"/>
      <c r="AB63" s="391"/>
      <c r="AC63" s="391"/>
      <c r="AD63" s="391"/>
      <c r="AE63" s="391"/>
      <c r="AF63" s="391"/>
    </row>
    <row r="64" spans="1:32" s="839" customFormat="1" ht="12.6" x14ac:dyDescent="0.25">
      <c r="B64" s="842" t="s">
        <v>43</v>
      </c>
      <c r="C64" s="842"/>
      <c r="D64" s="842"/>
      <c r="E64" s="842"/>
      <c r="F64" s="842"/>
      <c r="G64" s="798">
        <f>G27</f>
        <v>19.045000000000002</v>
      </c>
      <c r="H64" s="798">
        <f t="shared" ref="H64:AF64" si="10">H27</f>
        <v>19.045000000000002</v>
      </c>
      <c r="I64" s="798">
        <f t="shared" si="10"/>
        <v>19.045000000000002</v>
      </c>
      <c r="J64" s="798">
        <f t="shared" si="10"/>
        <v>19.045000000000002</v>
      </c>
      <c r="K64" s="798">
        <f t="shared" si="10"/>
        <v>19.045000000000002</v>
      </c>
      <c r="L64" s="798">
        <f t="shared" si="10"/>
        <v>19.045000000000002</v>
      </c>
      <c r="M64" s="798">
        <f t="shared" si="10"/>
        <v>19.045000000000002</v>
      </c>
      <c r="N64" s="798">
        <f t="shared" si="10"/>
        <v>19.045000000000002</v>
      </c>
      <c r="O64" s="798">
        <f t="shared" si="10"/>
        <v>19.045000000000002</v>
      </c>
      <c r="P64" s="798">
        <f t="shared" si="10"/>
        <v>19.045000000000002</v>
      </c>
      <c r="Q64" s="798">
        <f t="shared" si="10"/>
        <v>19.045000000000002</v>
      </c>
      <c r="R64" s="798">
        <f t="shared" si="10"/>
        <v>19.045000000000002</v>
      </c>
      <c r="S64" s="798">
        <f t="shared" si="10"/>
        <v>19.045000000000002</v>
      </c>
      <c r="T64" s="798">
        <f t="shared" si="10"/>
        <v>19.045000000000002</v>
      </c>
      <c r="U64" s="798">
        <f t="shared" si="10"/>
        <v>19.045000000000002</v>
      </c>
      <c r="V64" s="798">
        <f t="shared" si="10"/>
        <v>19.045000000000002</v>
      </c>
      <c r="W64" s="798">
        <f t="shared" si="10"/>
        <v>19.045000000000002</v>
      </c>
      <c r="X64" s="798">
        <f t="shared" si="10"/>
        <v>19.045000000000002</v>
      </c>
      <c r="Y64" s="798">
        <f t="shared" si="10"/>
        <v>19.045000000000002</v>
      </c>
      <c r="Z64" s="798">
        <f t="shared" si="10"/>
        <v>19.045000000000002</v>
      </c>
      <c r="AA64" s="798">
        <f t="shared" si="10"/>
        <v>19.045000000000002</v>
      </c>
      <c r="AB64" s="798">
        <f t="shared" si="10"/>
        <v>19.045000000000002</v>
      </c>
      <c r="AC64" s="798">
        <f t="shared" si="10"/>
        <v>19.045000000000002</v>
      </c>
      <c r="AD64" s="798">
        <f t="shared" si="10"/>
        <v>19.045000000000002</v>
      </c>
      <c r="AE64" s="798">
        <f t="shared" si="10"/>
        <v>19.045000000000002</v>
      </c>
      <c r="AF64" s="798">
        <f t="shared" si="10"/>
        <v>19.045000000000002</v>
      </c>
    </row>
    <row r="65" spans="1:88" s="839" customFormat="1" ht="12.6" x14ac:dyDescent="0.25">
      <c r="B65" s="842" t="s">
        <v>44</v>
      </c>
      <c r="G65" s="798">
        <f>G28</f>
        <v>31.849999999999973</v>
      </c>
      <c r="H65" s="798">
        <f t="shared" ref="H65:AF65" si="11">H28</f>
        <v>32.08887499999998</v>
      </c>
      <c r="I65" s="798">
        <f t="shared" si="11"/>
        <v>32.32774999999998</v>
      </c>
      <c r="J65" s="798">
        <f t="shared" si="11"/>
        <v>32.566624999999995</v>
      </c>
      <c r="K65" s="798">
        <f t="shared" si="11"/>
        <v>32.805499999999995</v>
      </c>
      <c r="L65" s="798">
        <f t="shared" si="11"/>
        <v>33.044375000000002</v>
      </c>
      <c r="M65" s="798">
        <f t="shared" si="11"/>
        <v>33.283250000000002</v>
      </c>
      <c r="N65" s="798">
        <f t="shared" si="11"/>
        <v>33.522125000000017</v>
      </c>
      <c r="O65" s="798">
        <f t="shared" si="11"/>
        <v>33.761000000000017</v>
      </c>
      <c r="P65" s="798">
        <f t="shared" si="11"/>
        <v>33.999875000000024</v>
      </c>
      <c r="Q65" s="798">
        <f t="shared" si="11"/>
        <v>34.23874999999996</v>
      </c>
      <c r="R65" s="798">
        <f t="shared" si="11"/>
        <v>34.477624999999975</v>
      </c>
      <c r="S65" s="798">
        <f t="shared" si="11"/>
        <v>34.716499999999975</v>
      </c>
      <c r="T65" s="798">
        <f t="shared" si="11"/>
        <v>34.955374999999982</v>
      </c>
      <c r="U65" s="798">
        <f t="shared" si="11"/>
        <v>35.194249999999982</v>
      </c>
      <c r="V65" s="798">
        <f t="shared" si="11"/>
        <v>35.433124999999997</v>
      </c>
      <c r="W65" s="798">
        <f t="shared" si="11"/>
        <v>35.671999999999997</v>
      </c>
      <c r="X65" s="798">
        <f t="shared" si="11"/>
        <v>35.910875000000004</v>
      </c>
      <c r="Y65" s="798">
        <f t="shared" si="11"/>
        <v>36.149750000000004</v>
      </c>
      <c r="Z65" s="798">
        <f t="shared" si="11"/>
        <v>36.388625000000019</v>
      </c>
      <c r="AA65" s="798">
        <f t="shared" si="11"/>
        <v>36.627500000000019</v>
      </c>
      <c r="AB65" s="798">
        <f t="shared" si="11"/>
        <v>36.866374999999962</v>
      </c>
      <c r="AC65" s="798">
        <f t="shared" si="11"/>
        <v>37.105249999999963</v>
      </c>
      <c r="AD65" s="798">
        <f t="shared" si="11"/>
        <v>37.344124999999977</v>
      </c>
      <c r="AE65" s="798">
        <f t="shared" si="11"/>
        <v>37.582999999999977</v>
      </c>
      <c r="AF65" s="798">
        <f t="shared" si="11"/>
        <v>37.821874999999984</v>
      </c>
    </row>
    <row r="66" spans="1:88" s="839" customFormat="1" ht="12.6" x14ac:dyDescent="0.25">
      <c r="B66" s="842" t="s">
        <v>45</v>
      </c>
      <c r="G66" s="798">
        <f t="shared" ref="G66:AF66" si="12">G29</f>
        <v>45.565000000000005</v>
      </c>
      <c r="H66" s="798">
        <f t="shared" si="12"/>
        <v>45.678912499999996</v>
      </c>
      <c r="I66" s="798">
        <f t="shared" si="12"/>
        <v>45.792824999999979</v>
      </c>
      <c r="J66" s="798">
        <f t="shared" si="12"/>
        <v>45.906737499999998</v>
      </c>
      <c r="K66" s="798">
        <f t="shared" si="12"/>
        <v>46.020649999999982</v>
      </c>
      <c r="L66" s="798">
        <f t="shared" si="12"/>
        <v>46.134562499999994</v>
      </c>
      <c r="M66" s="798">
        <f t="shared" si="12"/>
        <v>46.248474999999985</v>
      </c>
      <c r="N66" s="798">
        <f t="shared" si="12"/>
        <v>46.362387500000004</v>
      </c>
      <c r="O66" s="798">
        <f t="shared" si="12"/>
        <v>46.476299999999988</v>
      </c>
      <c r="P66" s="798">
        <f t="shared" si="12"/>
        <v>46.590212500000014</v>
      </c>
      <c r="Q66" s="798">
        <f t="shared" si="12"/>
        <v>46.704124999999998</v>
      </c>
      <c r="R66" s="798">
        <f t="shared" si="12"/>
        <v>46.818037499999981</v>
      </c>
      <c r="S66" s="798">
        <f t="shared" si="12"/>
        <v>46.931950000000001</v>
      </c>
      <c r="T66" s="798">
        <f t="shared" si="12"/>
        <v>47.045862499999991</v>
      </c>
      <c r="U66" s="798">
        <f t="shared" si="12"/>
        <v>47.159775000000003</v>
      </c>
      <c r="V66" s="798">
        <f t="shared" si="12"/>
        <v>47.273687499999987</v>
      </c>
      <c r="W66" s="798">
        <f t="shared" si="12"/>
        <v>47.387600000000006</v>
      </c>
      <c r="X66" s="798">
        <f t="shared" si="12"/>
        <v>47.501512499999997</v>
      </c>
      <c r="Y66" s="798">
        <f t="shared" si="12"/>
        <v>47.615424999999981</v>
      </c>
      <c r="Z66" s="798">
        <f t="shared" si="12"/>
        <v>47.7293375</v>
      </c>
      <c r="AA66" s="798">
        <f t="shared" si="12"/>
        <v>47.843249999999983</v>
      </c>
      <c r="AB66" s="798">
        <f t="shared" si="12"/>
        <v>47.957162499999995</v>
      </c>
      <c r="AC66" s="798">
        <f t="shared" si="12"/>
        <v>48.071074999999993</v>
      </c>
      <c r="AD66" s="798">
        <f t="shared" si="12"/>
        <v>48.184987500000005</v>
      </c>
      <c r="AE66" s="798">
        <f t="shared" si="12"/>
        <v>48.298899999999989</v>
      </c>
      <c r="AF66" s="798">
        <f t="shared" si="12"/>
        <v>48.412812499999987</v>
      </c>
    </row>
    <row r="67" spans="1:88" s="839" customFormat="1" ht="12.6" x14ac:dyDescent="0.25">
      <c r="B67" s="842" t="s">
        <v>46</v>
      </c>
      <c r="C67" s="842"/>
      <c r="D67" s="842"/>
      <c r="E67" s="842"/>
      <c r="F67" s="842"/>
      <c r="G67" s="798">
        <f t="shared" ref="G67:AF67" si="13">G30</f>
        <v>0</v>
      </c>
      <c r="H67" s="798">
        <f t="shared" si="13"/>
        <v>0</v>
      </c>
      <c r="I67" s="798">
        <f t="shared" si="13"/>
        <v>0</v>
      </c>
      <c r="J67" s="798">
        <f t="shared" si="13"/>
        <v>0</v>
      </c>
      <c r="K67" s="798">
        <f t="shared" si="13"/>
        <v>0</v>
      </c>
      <c r="L67" s="798">
        <f t="shared" si="13"/>
        <v>0</v>
      </c>
      <c r="M67" s="798">
        <f t="shared" si="13"/>
        <v>0</v>
      </c>
      <c r="N67" s="798">
        <f t="shared" si="13"/>
        <v>0</v>
      </c>
      <c r="O67" s="798">
        <f t="shared" si="13"/>
        <v>0</v>
      </c>
      <c r="P67" s="798">
        <f t="shared" si="13"/>
        <v>0</v>
      </c>
      <c r="Q67" s="798">
        <f t="shared" si="13"/>
        <v>0</v>
      </c>
      <c r="R67" s="798">
        <f t="shared" si="13"/>
        <v>0</v>
      </c>
      <c r="S67" s="798">
        <f t="shared" si="13"/>
        <v>0</v>
      </c>
      <c r="T67" s="798">
        <f t="shared" si="13"/>
        <v>0</v>
      </c>
      <c r="U67" s="798">
        <f t="shared" si="13"/>
        <v>0</v>
      </c>
      <c r="V67" s="798">
        <f t="shared" si="13"/>
        <v>0</v>
      </c>
      <c r="W67" s="798">
        <f t="shared" si="13"/>
        <v>0</v>
      </c>
      <c r="X67" s="798">
        <f t="shared" si="13"/>
        <v>0</v>
      </c>
      <c r="Y67" s="798">
        <f t="shared" si="13"/>
        <v>0</v>
      </c>
      <c r="Z67" s="798">
        <f t="shared" si="13"/>
        <v>0</v>
      </c>
      <c r="AA67" s="798">
        <f t="shared" si="13"/>
        <v>0</v>
      </c>
      <c r="AB67" s="798">
        <f t="shared" si="13"/>
        <v>0</v>
      </c>
      <c r="AC67" s="798">
        <f t="shared" si="13"/>
        <v>0</v>
      </c>
      <c r="AD67" s="798">
        <f t="shared" si="13"/>
        <v>0</v>
      </c>
      <c r="AE67" s="798">
        <f t="shared" si="13"/>
        <v>0</v>
      </c>
      <c r="AF67" s="798">
        <f t="shared" si="13"/>
        <v>0</v>
      </c>
    </row>
    <row r="68" spans="1:88" s="839" customFormat="1" ht="12.6" x14ac:dyDescent="0.25">
      <c r="B68" s="839" t="s">
        <v>29</v>
      </c>
      <c r="G68" s="798">
        <f t="shared" ref="G68:AF68" si="14">G31</f>
        <v>69.886712931315586</v>
      </c>
      <c r="H68" s="798">
        <f t="shared" si="14"/>
        <v>84.617739005122857</v>
      </c>
      <c r="I68" s="798">
        <f t="shared" si="14"/>
        <v>99.77020761765985</v>
      </c>
      <c r="J68" s="798">
        <f t="shared" si="14"/>
        <v>115.81072942703476</v>
      </c>
      <c r="K68" s="798">
        <f t="shared" si="14"/>
        <v>131.19780938437214</v>
      </c>
      <c r="L68" s="798">
        <f t="shared" si="14"/>
        <v>145.46220447607328</v>
      </c>
      <c r="M68" s="798">
        <f t="shared" si="14"/>
        <v>157.75364681050067</v>
      </c>
      <c r="N68" s="798">
        <f t="shared" si="14"/>
        <v>168.55506474700036</v>
      </c>
      <c r="O68" s="798">
        <f t="shared" si="14"/>
        <v>177.96704120423578</v>
      </c>
      <c r="P68" s="798">
        <f t="shared" si="14"/>
        <v>186.1654499682482</v>
      </c>
      <c r="Q68" s="798">
        <f t="shared" si="14"/>
        <v>193.35230342395749</v>
      </c>
      <c r="R68" s="798">
        <f t="shared" si="14"/>
        <v>196.11147215578865</v>
      </c>
      <c r="S68" s="798">
        <f t="shared" si="14"/>
        <v>198.15456111208027</v>
      </c>
      <c r="T68" s="798">
        <f t="shared" si="14"/>
        <v>199.65744029461996</v>
      </c>
      <c r="U68" s="798">
        <f t="shared" si="14"/>
        <v>200.75757592848979</v>
      </c>
      <c r="V68" s="798">
        <f t="shared" si="14"/>
        <v>201.56002861929591</v>
      </c>
      <c r="W68" s="798">
        <f t="shared" si="14"/>
        <v>202.14382617150503</v>
      </c>
      <c r="X68" s="798">
        <f t="shared" si="14"/>
        <v>202.5677447446416</v>
      </c>
      <c r="Y68" s="798">
        <f t="shared" si="14"/>
        <v>202.87514562074011</v>
      </c>
      <c r="Z68" s="798">
        <f t="shared" si="14"/>
        <v>203.09783237720012</v>
      </c>
      <c r="AA68" s="798">
        <f t="shared" si="14"/>
        <v>203.25903410630769</v>
      </c>
      <c r="AB68" s="798">
        <f t="shared" si="14"/>
        <v>203.37566609727986</v>
      </c>
      <c r="AC68" s="798">
        <f t="shared" si="14"/>
        <v>203.46001922812226</v>
      </c>
      <c r="AD68" s="798">
        <f t="shared" si="14"/>
        <v>203.52101022912549</v>
      </c>
      <c r="AE68" s="798">
        <f t="shared" si="14"/>
        <v>203.56510065539746</v>
      </c>
      <c r="AF68" s="798">
        <f t="shared" si="14"/>
        <v>203.59696908402657</v>
      </c>
    </row>
    <row r="69" spans="1:88" s="839" customFormat="1" ht="12.6" x14ac:dyDescent="0.25"/>
    <row r="70" spans="1:88" s="839" customFormat="1" ht="12.95" x14ac:dyDescent="0.25">
      <c r="A70" s="506" t="s">
        <v>47</v>
      </c>
      <c r="B70" s="505"/>
      <c r="C70" s="387"/>
      <c r="D70" s="387"/>
      <c r="E70" s="387"/>
      <c r="F70" s="387"/>
      <c r="G70" s="391"/>
      <c r="H70" s="391"/>
      <c r="I70" s="391"/>
      <c r="J70" s="391"/>
      <c r="K70" s="391"/>
      <c r="L70" s="391"/>
      <c r="M70" s="391"/>
      <c r="N70" s="391"/>
      <c r="O70" s="391"/>
      <c r="P70" s="391"/>
      <c r="Q70" s="391"/>
      <c r="R70" s="391"/>
      <c r="S70" s="391"/>
      <c r="T70" s="391"/>
      <c r="U70" s="391"/>
      <c r="V70" s="391"/>
      <c r="W70" s="391"/>
      <c r="X70" s="391"/>
      <c r="Y70" s="391"/>
      <c r="Z70" s="391"/>
      <c r="AA70" s="391"/>
      <c r="AB70" s="391"/>
      <c r="AC70" s="391"/>
      <c r="AD70" s="391"/>
      <c r="AE70" s="391"/>
      <c r="AF70" s="391"/>
    </row>
    <row r="71" spans="1:88" s="839" customFormat="1" ht="12.6" x14ac:dyDescent="0.25">
      <c r="B71" s="839" t="s">
        <v>48</v>
      </c>
      <c r="C71" s="842"/>
      <c r="D71" s="842"/>
      <c r="E71" s="842"/>
      <c r="F71" s="842"/>
      <c r="G71" s="798">
        <f>G34</f>
        <v>11</v>
      </c>
      <c r="H71" s="798">
        <f t="shared" ref="H71:AF71" si="15">H34</f>
        <v>11.027500000000003</v>
      </c>
      <c r="I71" s="798">
        <f t="shared" si="15"/>
        <v>11.193353221957043</v>
      </c>
      <c r="J71" s="798">
        <f t="shared" si="15"/>
        <v>11.359206443914083</v>
      </c>
      <c r="K71" s="798">
        <f t="shared" si="15"/>
        <v>11.525059665871122</v>
      </c>
      <c r="L71" s="798">
        <f t="shared" si="15"/>
        <v>11.5538723150358</v>
      </c>
      <c r="M71" s="798">
        <f t="shared" si="15"/>
        <v>11.582756995823388</v>
      </c>
      <c r="N71" s="798">
        <f t="shared" si="15"/>
        <v>11.611713888312945</v>
      </c>
      <c r="O71" s="798">
        <f t="shared" si="15"/>
        <v>11.640743173033728</v>
      </c>
      <c r="P71" s="798">
        <f t="shared" si="15"/>
        <v>11.669845030966313</v>
      </c>
      <c r="Q71" s="798">
        <f t="shared" si="15"/>
        <v>11.699019643543727</v>
      </c>
      <c r="R71" s="798">
        <f t="shared" si="15"/>
        <v>11.728267192652584</v>
      </c>
      <c r="S71" s="798">
        <f t="shared" si="15"/>
        <v>11.757587860634217</v>
      </c>
      <c r="T71" s="798">
        <f t="shared" si="15"/>
        <v>11.786981830285802</v>
      </c>
      <c r="U71" s="798">
        <f t="shared" si="15"/>
        <v>11.816449284861516</v>
      </c>
      <c r="V71" s="798">
        <f t="shared" si="15"/>
        <v>11.845990408073668</v>
      </c>
      <c r="W71" s="798">
        <f t="shared" si="15"/>
        <v>11.875605384093852</v>
      </c>
      <c r="X71" s="798">
        <f t="shared" si="15"/>
        <v>11.905294397554089</v>
      </c>
      <c r="Y71" s="798">
        <f t="shared" si="15"/>
        <v>11.93505763354797</v>
      </c>
      <c r="Z71" s="798">
        <f t="shared" si="15"/>
        <v>11.96489527763184</v>
      </c>
      <c r="AA71" s="798">
        <f t="shared" si="15"/>
        <v>11.99480751582592</v>
      </c>
      <c r="AB71" s="798">
        <f t="shared" si="15"/>
        <v>12.024794534615484</v>
      </c>
      <c r="AC71" s="798">
        <f t="shared" si="15"/>
        <v>12.054856520952024</v>
      </c>
      <c r="AD71" s="798">
        <f t="shared" si="15"/>
        <v>12.084993662254401</v>
      </c>
      <c r="AE71" s="798">
        <f t="shared" si="15"/>
        <v>12.115206146410038</v>
      </c>
      <c r="AF71" s="798">
        <f t="shared" si="15"/>
        <v>12.145494161776062</v>
      </c>
    </row>
    <row r="72" spans="1:88" s="839" customFormat="1" ht="12.6" x14ac:dyDescent="0.25">
      <c r="B72" s="842" t="s">
        <v>50</v>
      </c>
      <c r="C72" s="379"/>
      <c r="D72" s="379"/>
      <c r="E72" s="379"/>
      <c r="F72" s="379"/>
      <c r="G72" s="798">
        <f t="shared" ref="G72:AF72" si="16">G35</f>
        <v>14.799999999999997</v>
      </c>
      <c r="H72" s="798">
        <f t="shared" si="16"/>
        <v>14.837000000000003</v>
      </c>
      <c r="I72" s="798">
        <f t="shared" si="16"/>
        <v>14.873999999999995</v>
      </c>
      <c r="J72" s="798">
        <f t="shared" si="16"/>
        <v>14.911000000000001</v>
      </c>
      <c r="K72" s="798">
        <f t="shared" si="16"/>
        <v>14.948000000000008</v>
      </c>
      <c r="L72" s="798">
        <f t="shared" si="16"/>
        <v>14.984999999999999</v>
      </c>
      <c r="M72" s="798">
        <f t="shared" si="16"/>
        <v>15.022000000000006</v>
      </c>
      <c r="N72" s="798">
        <f t="shared" si="16"/>
        <v>15.058999999999997</v>
      </c>
      <c r="O72" s="798">
        <f t="shared" si="16"/>
        <v>15.096000000000004</v>
      </c>
      <c r="P72" s="798">
        <f t="shared" si="16"/>
        <v>15.132999999999996</v>
      </c>
      <c r="Q72" s="798">
        <f t="shared" si="16"/>
        <v>15.170000000000002</v>
      </c>
      <c r="R72" s="798">
        <f t="shared" si="16"/>
        <v>15.207000000000008</v>
      </c>
      <c r="S72" s="798">
        <f t="shared" si="16"/>
        <v>15.244</v>
      </c>
      <c r="T72" s="798">
        <f t="shared" si="16"/>
        <v>15.281000000000006</v>
      </c>
      <c r="U72" s="798">
        <f t="shared" si="16"/>
        <v>15.317999999999998</v>
      </c>
      <c r="V72" s="798">
        <f t="shared" si="16"/>
        <v>15.355000000000004</v>
      </c>
      <c r="W72" s="798">
        <f t="shared" si="16"/>
        <v>15.391999999999996</v>
      </c>
      <c r="X72" s="798">
        <f t="shared" si="16"/>
        <v>15.429000000000002</v>
      </c>
      <c r="Y72" s="798">
        <f t="shared" si="16"/>
        <v>15.466000000000008</v>
      </c>
      <c r="Z72" s="798">
        <f t="shared" si="16"/>
        <v>15.503</v>
      </c>
      <c r="AA72" s="798">
        <f t="shared" si="16"/>
        <v>15.540000000000006</v>
      </c>
      <c r="AB72" s="798">
        <f t="shared" si="16"/>
        <v>15.576999999999998</v>
      </c>
      <c r="AC72" s="798">
        <f t="shared" si="16"/>
        <v>15.614000000000004</v>
      </c>
      <c r="AD72" s="798">
        <f t="shared" si="16"/>
        <v>15.650999999999996</v>
      </c>
      <c r="AE72" s="798">
        <f t="shared" si="16"/>
        <v>15.688000000000002</v>
      </c>
      <c r="AF72" s="798">
        <f t="shared" si="16"/>
        <v>15.725000000000009</v>
      </c>
    </row>
    <row r="73" spans="1:88" s="839" customFormat="1" ht="12.6" x14ac:dyDescent="0.25">
      <c r="B73" s="839" t="s">
        <v>51</v>
      </c>
      <c r="C73" s="379"/>
      <c r="D73" s="379"/>
      <c r="E73" s="379"/>
      <c r="F73" s="379"/>
      <c r="G73" s="798">
        <f>G36</f>
        <v>52.5</v>
      </c>
      <c r="H73" s="798">
        <f t="shared" ref="H73:AF73" si="17">H36</f>
        <v>52.631250000000023</v>
      </c>
      <c r="I73" s="798">
        <f t="shared" si="17"/>
        <v>52.762499999999989</v>
      </c>
      <c r="J73" s="798">
        <f t="shared" si="17"/>
        <v>52.893750000000011</v>
      </c>
      <c r="K73" s="798">
        <f t="shared" si="17"/>
        <v>53.025000000000034</v>
      </c>
      <c r="L73" s="798">
        <f t="shared" si="17"/>
        <v>53.15625</v>
      </c>
      <c r="M73" s="798">
        <f t="shared" si="17"/>
        <v>53.287500000000023</v>
      </c>
      <c r="N73" s="798">
        <f t="shared" si="17"/>
        <v>53.418749999999989</v>
      </c>
      <c r="O73" s="798">
        <f t="shared" si="17"/>
        <v>53.550000000000011</v>
      </c>
      <c r="P73" s="798">
        <f t="shared" si="17"/>
        <v>53.681250000000034</v>
      </c>
      <c r="Q73" s="798">
        <f t="shared" si="17"/>
        <v>53.8125</v>
      </c>
      <c r="R73" s="798">
        <f t="shared" si="17"/>
        <v>53.943750000000023</v>
      </c>
      <c r="S73" s="798">
        <f t="shared" si="17"/>
        <v>54.074999999999989</v>
      </c>
      <c r="T73" s="798">
        <f t="shared" si="17"/>
        <v>54.206250000000011</v>
      </c>
      <c r="U73" s="798">
        <f t="shared" si="17"/>
        <v>54.337500000000034</v>
      </c>
      <c r="V73" s="798">
        <f t="shared" si="17"/>
        <v>54.46875</v>
      </c>
      <c r="W73" s="798">
        <f t="shared" si="17"/>
        <v>54.600000000000023</v>
      </c>
      <c r="X73" s="798">
        <f t="shared" si="17"/>
        <v>54.731249999999989</v>
      </c>
      <c r="Y73" s="798">
        <f t="shared" si="17"/>
        <v>54.862500000000011</v>
      </c>
      <c r="Z73" s="798">
        <f t="shared" si="17"/>
        <v>54.993750000000034</v>
      </c>
      <c r="AA73" s="798">
        <f t="shared" si="17"/>
        <v>55.125</v>
      </c>
      <c r="AB73" s="798">
        <f t="shared" si="17"/>
        <v>55.256250000000023</v>
      </c>
      <c r="AC73" s="798">
        <f t="shared" si="17"/>
        <v>55.387499999999989</v>
      </c>
      <c r="AD73" s="798">
        <f t="shared" si="17"/>
        <v>55.518750000000011</v>
      </c>
      <c r="AE73" s="798">
        <f t="shared" si="17"/>
        <v>55.650000000000034</v>
      </c>
      <c r="AF73" s="798">
        <f t="shared" si="17"/>
        <v>55.78125</v>
      </c>
    </row>
    <row r="74" spans="1:88" s="839" customFormat="1" ht="12.6" x14ac:dyDescent="0.25">
      <c r="B74" s="839" t="s">
        <v>52</v>
      </c>
      <c r="C74" s="379"/>
      <c r="D74" s="379"/>
      <c r="E74" s="379"/>
      <c r="F74" s="379"/>
      <c r="G74" s="798">
        <f t="shared" ref="G74:AF74" si="18">G37</f>
        <v>43.890000000000022</v>
      </c>
      <c r="H74" s="798">
        <f t="shared" si="18"/>
        <v>43.999725000000019</v>
      </c>
      <c r="I74" s="798">
        <f t="shared" si="18"/>
        <v>44.109450000000017</v>
      </c>
      <c r="J74" s="798">
        <f t="shared" si="18"/>
        <v>44.219175000000021</v>
      </c>
      <c r="K74" s="798">
        <f t="shared" si="18"/>
        <v>44.328900000000019</v>
      </c>
      <c r="L74" s="798">
        <f t="shared" si="18"/>
        <v>44.438625000000016</v>
      </c>
      <c r="M74" s="798">
        <f t="shared" si="18"/>
        <v>44.548350000000013</v>
      </c>
      <c r="N74" s="798">
        <f t="shared" si="18"/>
        <v>44.658075000000018</v>
      </c>
      <c r="O74" s="798">
        <f t="shared" si="18"/>
        <v>44.767800000000015</v>
      </c>
      <c r="P74" s="798">
        <f t="shared" si="18"/>
        <v>44.877525000000013</v>
      </c>
      <c r="Q74" s="798">
        <f t="shared" si="18"/>
        <v>44.987250000000017</v>
      </c>
      <c r="R74" s="798">
        <f t="shared" si="18"/>
        <v>45.096975000000015</v>
      </c>
      <c r="S74" s="798">
        <f t="shared" si="18"/>
        <v>45.206700000000012</v>
      </c>
      <c r="T74" s="798">
        <f t="shared" si="18"/>
        <v>45.31642500000001</v>
      </c>
      <c r="U74" s="798">
        <f t="shared" si="18"/>
        <v>45.426150000000042</v>
      </c>
      <c r="V74" s="798">
        <f t="shared" si="18"/>
        <v>45.535875000000047</v>
      </c>
      <c r="W74" s="798">
        <f t="shared" si="18"/>
        <v>45.645600000000044</v>
      </c>
      <c r="X74" s="798">
        <f t="shared" si="18"/>
        <v>45.755325000000049</v>
      </c>
      <c r="Y74" s="798">
        <f t="shared" si="18"/>
        <v>45.865050000000039</v>
      </c>
      <c r="Z74" s="798">
        <f t="shared" si="18"/>
        <v>45.974775000000044</v>
      </c>
      <c r="AA74" s="798">
        <f t="shared" si="18"/>
        <v>46.084500000000041</v>
      </c>
      <c r="AB74" s="798">
        <f t="shared" si="18"/>
        <v>46.194225000000046</v>
      </c>
      <c r="AC74" s="798">
        <f t="shared" si="18"/>
        <v>46.303950000000036</v>
      </c>
      <c r="AD74" s="798">
        <f t="shared" si="18"/>
        <v>46.41367500000004</v>
      </c>
      <c r="AE74" s="798">
        <f t="shared" si="18"/>
        <v>46.523400000000038</v>
      </c>
      <c r="AF74" s="798">
        <f t="shared" si="18"/>
        <v>46.633125000000042</v>
      </c>
    </row>
    <row r="75" spans="1:88" s="839" customFormat="1" ht="12.6" x14ac:dyDescent="0.25">
      <c r="B75" s="842" t="s">
        <v>29</v>
      </c>
      <c r="G75" s="798">
        <f t="shared" ref="G75:AF75" si="19">G38</f>
        <v>36.873768202819726</v>
      </c>
      <c r="H75" s="798">
        <f t="shared" si="19"/>
        <v>48.266272480467556</v>
      </c>
      <c r="I75" s="798">
        <f t="shared" si="19"/>
        <v>61.701198700113544</v>
      </c>
      <c r="J75" s="798">
        <f t="shared" si="19"/>
        <v>77.591734715380795</v>
      </c>
      <c r="K75" s="798">
        <f t="shared" si="19"/>
        <v>94.800465488123137</v>
      </c>
      <c r="L75" s="798">
        <f t="shared" si="19"/>
        <v>112.50003941617493</v>
      </c>
      <c r="M75" s="798">
        <f t="shared" si="19"/>
        <v>129.3471504340618</v>
      </c>
      <c r="N75" s="798">
        <f t="shared" si="19"/>
        <v>145.03095133963808</v>
      </c>
      <c r="O75" s="798">
        <f t="shared" si="19"/>
        <v>159.127310954921</v>
      </c>
      <c r="P75" s="798">
        <f t="shared" si="19"/>
        <v>171.48202098927979</v>
      </c>
      <c r="Q75" s="798">
        <f t="shared" si="19"/>
        <v>182.15170200680319</v>
      </c>
      <c r="R75" s="798">
        <f t="shared" si="19"/>
        <v>187.8607232688625</v>
      </c>
      <c r="S75" s="798">
        <f t="shared" si="19"/>
        <v>192.15160570290442</v>
      </c>
      <c r="T75" s="798">
        <f t="shared" si="19"/>
        <v>195.33034204073093</v>
      </c>
      <c r="U75" s="798">
        <f t="shared" si="19"/>
        <v>197.66006127320361</v>
      </c>
      <c r="V75" s="798">
        <f t="shared" si="19"/>
        <v>199.35413887963063</v>
      </c>
      <c r="W75" s="798">
        <f t="shared" si="19"/>
        <v>200.57896356186501</v>
      </c>
      <c r="X75" s="798">
        <f t="shared" si="19"/>
        <v>201.46085171629713</v>
      </c>
      <c r="Y75" s="798">
        <f t="shared" si="19"/>
        <v>202.09392729485813</v>
      </c>
      <c r="Z75" s="798">
        <f t="shared" si="19"/>
        <v>202.54741526513342</v>
      </c>
      <c r="AA75" s="798">
        <f t="shared" si="19"/>
        <v>202.87176106409183</v>
      </c>
      <c r="AB75" s="798">
        <f t="shared" si="19"/>
        <v>203.10348618652321</v>
      </c>
      <c r="AC75" s="798">
        <f t="shared" si="19"/>
        <v>203.26890947460336</v>
      </c>
      <c r="AD75" s="798">
        <f t="shared" si="19"/>
        <v>203.38693514979437</v>
      </c>
      <c r="AE75" s="798">
        <f t="shared" si="19"/>
        <v>203.47111002115616</v>
      </c>
      <c r="AF75" s="798">
        <f t="shared" si="19"/>
        <v>203.53112565740346</v>
      </c>
    </row>
    <row r="76" spans="1:88" s="839" customFormat="1" ht="12.6" x14ac:dyDescent="0.25">
      <c r="B76" s="842" t="s">
        <v>53</v>
      </c>
      <c r="G76" s="798">
        <f t="shared" ref="G76:AF76" si="20">G39</f>
        <v>47.970000000000013</v>
      </c>
      <c r="H76" s="798">
        <f t="shared" si="20"/>
        <v>48.089924999999987</v>
      </c>
      <c r="I76" s="798">
        <f t="shared" si="20"/>
        <v>48.209849999999967</v>
      </c>
      <c r="J76" s="798">
        <f t="shared" si="20"/>
        <v>48.329774999999998</v>
      </c>
      <c r="K76" s="798">
        <f t="shared" si="20"/>
        <v>48.449699999999972</v>
      </c>
      <c r="L76" s="798">
        <f t="shared" si="20"/>
        <v>48.569625000000002</v>
      </c>
      <c r="M76" s="798">
        <f t="shared" si="20"/>
        <v>48.689549999999983</v>
      </c>
      <c r="N76" s="798">
        <f t="shared" si="20"/>
        <v>48.809475000000013</v>
      </c>
      <c r="O76" s="798">
        <f t="shared" si="20"/>
        <v>48.929399999999987</v>
      </c>
      <c r="P76" s="798">
        <f t="shared" si="20"/>
        <v>49.049325000000017</v>
      </c>
      <c r="Q76" s="798">
        <f t="shared" si="20"/>
        <v>49.169249999999998</v>
      </c>
      <c r="R76" s="798">
        <f t="shared" si="20"/>
        <v>49.289174999999972</v>
      </c>
      <c r="S76" s="798">
        <f t="shared" si="20"/>
        <v>49.409100000000002</v>
      </c>
      <c r="T76" s="798">
        <f t="shared" si="20"/>
        <v>49.529024999999983</v>
      </c>
      <c r="U76" s="798">
        <f t="shared" si="20"/>
        <v>49.648950000000006</v>
      </c>
      <c r="V76" s="798">
        <f t="shared" si="20"/>
        <v>49.768874999999987</v>
      </c>
      <c r="W76" s="798">
        <f t="shared" si="20"/>
        <v>49.888800000000018</v>
      </c>
      <c r="X76" s="798">
        <f t="shared" si="20"/>
        <v>50.008724999999991</v>
      </c>
      <c r="Y76" s="798">
        <f t="shared" si="20"/>
        <v>50.128649999999972</v>
      </c>
      <c r="Z76" s="798">
        <f t="shared" si="20"/>
        <v>50.248575000000002</v>
      </c>
      <c r="AA76" s="798">
        <f t="shared" si="20"/>
        <v>50.368499999999976</v>
      </c>
      <c r="AB76" s="798">
        <f t="shared" si="20"/>
        <v>50.488425000000007</v>
      </c>
      <c r="AC76" s="798">
        <f t="shared" si="20"/>
        <v>50.608349999999987</v>
      </c>
      <c r="AD76" s="798">
        <f t="shared" si="20"/>
        <v>50.728275000000018</v>
      </c>
      <c r="AE76" s="798">
        <f t="shared" si="20"/>
        <v>50.848199999999991</v>
      </c>
      <c r="AF76" s="798">
        <f t="shared" si="20"/>
        <v>50.968124999999972</v>
      </c>
    </row>
    <row r="77" spans="1:88" s="839" customFormat="1" ht="12.6" x14ac:dyDescent="0.25">
      <c r="B77" s="842"/>
      <c r="G77" s="798"/>
      <c r="H77" s="798"/>
      <c r="I77" s="798"/>
      <c r="J77" s="798"/>
      <c r="K77" s="798"/>
      <c r="L77" s="798"/>
      <c r="M77" s="798"/>
      <c r="N77" s="798"/>
      <c r="O77" s="798"/>
      <c r="P77" s="798"/>
      <c r="Q77" s="798"/>
      <c r="R77" s="798"/>
      <c r="S77" s="798"/>
      <c r="T77" s="798"/>
      <c r="U77" s="798"/>
      <c r="V77" s="798"/>
      <c r="W77" s="798"/>
      <c r="X77" s="798"/>
      <c r="Y77" s="798"/>
      <c r="Z77" s="798"/>
      <c r="AA77" s="798"/>
      <c r="AB77" s="798"/>
      <c r="AC77" s="798"/>
      <c r="AD77" s="798"/>
      <c r="AE77" s="798"/>
      <c r="AF77" s="798"/>
      <c r="AH77" s="405"/>
      <c r="AI77" s="405"/>
      <c r="AJ77" s="405"/>
      <c r="AK77" s="405"/>
      <c r="AL77" s="405"/>
      <c r="AM77" s="405"/>
      <c r="AN77" s="405"/>
      <c r="AO77" s="405"/>
      <c r="AP77" s="405"/>
      <c r="AQ77" s="405"/>
      <c r="AR77" s="405"/>
      <c r="AS77" s="405"/>
      <c r="AT77" s="405"/>
      <c r="AU77" s="405"/>
      <c r="AV77" s="405"/>
      <c r="AW77" s="405"/>
      <c r="AX77" s="405"/>
      <c r="AY77" s="405"/>
      <c r="AZ77" s="405"/>
      <c r="BA77" s="405"/>
      <c r="BB77" s="405"/>
      <c r="BC77" s="405"/>
      <c r="BD77" s="405"/>
      <c r="BE77" s="405"/>
      <c r="BF77" s="405"/>
      <c r="BG77" s="405"/>
    </row>
    <row r="78" spans="1:88" s="403" customFormat="1" ht="12.95" x14ac:dyDescent="0.3">
      <c r="A78" s="404" t="s">
        <v>219</v>
      </c>
      <c r="G78" s="1044" t="s">
        <v>395</v>
      </c>
    </row>
    <row r="79" spans="1:88" s="376" customFormat="1" ht="12.95" x14ac:dyDescent="0.3">
      <c r="D79" s="550"/>
      <c r="E79" s="550"/>
      <c r="F79" s="550"/>
      <c r="AH79" s="378" t="s">
        <v>28</v>
      </c>
      <c r="BI79" s="378" t="s">
        <v>30</v>
      </c>
      <c r="CJ79" s="378" t="s">
        <v>23</v>
      </c>
    </row>
    <row r="80" spans="1:88" s="376" customFormat="1" ht="12.95" x14ac:dyDescent="0.3">
      <c r="A80" s="378" t="s">
        <v>12</v>
      </c>
      <c r="D80" s="550"/>
      <c r="E80" s="550"/>
      <c r="F80" s="550"/>
    </row>
    <row r="81" spans="1:113" s="376" customFormat="1" ht="12.6" x14ac:dyDescent="0.25">
      <c r="B81" s="376" t="s">
        <v>20</v>
      </c>
      <c r="D81" s="550"/>
      <c r="E81" s="550"/>
      <c r="F81" s="550"/>
      <c r="G81" s="376">
        <v>2010</v>
      </c>
      <c r="H81" s="376">
        <v>2011</v>
      </c>
      <c r="I81" s="376">
        <v>2012</v>
      </c>
      <c r="J81" s="376">
        <v>2013</v>
      </c>
      <c r="K81" s="376">
        <v>2014</v>
      </c>
      <c r="L81" s="376">
        <v>2015</v>
      </c>
      <c r="M81" s="376">
        <v>2016</v>
      </c>
      <c r="N81" s="376">
        <v>2017</v>
      </c>
      <c r="O81" s="376">
        <v>2018</v>
      </c>
      <c r="P81" s="376">
        <v>2019</v>
      </c>
      <c r="Q81" s="376">
        <v>2020</v>
      </c>
      <c r="R81" s="376">
        <v>2021</v>
      </c>
      <c r="S81" s="376">
        <v>2022</v>
      </c>
      <c r="T81" s="376">
        <v>2023</v>
      </c>
      <c r="U81" s="376">
        <v>2024</v>
      </c>
      <c r="V81" s="376">
        <v>2025</v>
      </c>
      <c r="W81" s="376">
        <v>2026</v>
      </c>
      <c r="X81" s="376">
        <v>2027</v>
      </c>
      <c r="Y81" s="376">
        <v>2028</v>
      </c>
      <c r="Z81" s="376">
        <v>2029</v>
      </c>
      <c r="AA81" s="376">
        <v>2030</v>
      </c>
      <c r="AB81" s="376">
        <v>2031</v>
      </c>
      <c r="AC81" s="376">
        <v>2032</v>
      </c>
      <c r="AD81" s="376">
        <v>2033</v>
      </c>
      <c r="AE81" s="376">
        <v>2034</v>
      </c>
      <c r="AF81" s="376">
        <v>2035</v>
      </c>
      <c r="AH81" s="376">
        <v>2010</v>
      </c>
      <c r="AI81" s="376">
        <v>2011</v>
      </c>
      <c r="AJ81" s="376">
        <v>2012</v>
      </c>
      <c r="AK81" s="376">
        <v>2013</v>
      </c>
      <c r="AL81" s="376">
        <v>2014</v>
      </c>
      <c r="AM81" s="376">
        <v>2015</v>
      </c>
      <c r="AN81" s="376">
        <v>2016</v>
      </c>
      <c r="AO81" s="376">
        <v>2017</v>
      </c>
      <c r="AP81" s="376">
        <v>2018</v>
      </c>
      <c r="AQ81" s="376">
        <v>2019</v>
      </c>
      <c r="AR81" s="376">
        <v>2020</v>
      </c>
      <c r="AS81" s="376">
        <v>2021</v>
      </c>
      <c r="AT81" s="376">
        <v>2022</v>
      </c>
      <c r="AU81" s="376">
        <v>2023</v>
      </c>
      <c r="AV81" s="376">
        <v>2024</v>
      </c>
      <c r="AW81" s="376">
        <v>2025</v>
      </c>
      <c r="AX81" s="376">
        <v>2026</v>
      </c>
      <c r="AY81" s="376">
        <v>2027</v>
      </c>
      <c r="AZ81" s="376">
        <v>2028</v>
      </c>
      <c r="BA81" s="376">
        <v>2029</v>
      </c>
      <c r="BB81" s="376">
        <v>2030</v>
      </c>
      <c r="BC81" s="376">
        <v>2031</v>
      </c>
      <c r="BD81" s="376">
        <v>2032</v>
      </c>
      <c r="BE81" s="376">
        <v>2033</v>
      </c>
      <c r="BF81" s="376">
        <v>2034</v>
      </c>
      <c r="BG81" s="376">
        <v>2035</v>
      </c>
      <c r="BI81" s="376">
        <v>2010</v>
      </c>
      <c r="BJ81" s="376">
        <v>2011</v>
      </c>
      <c r="BK81" s="376">
        <v>2012</v>
      </c>
      <c r="BL81" s="376">
        <v>2013</v>
      </c>
      <c r="BM81" s="376">
        <v>2014</v>
      </c>
      <c r="BN81" s="376">
        <v>2015</v>
      </c>
      <c r="BO81" s="376">
        <v>2016</v>
      </c>
      <c r="BP81" s="376">
        <v>2017</v>
      </c>
      <c r="BQ81" s="376">
        <v>2018</v>
      </c>
      <c r="BR81" s="376">
        <v>2019</v>
      </c>
      <c r="BS81" s="376">
        <v>2020</v>
      </c>
      <c r="BT81" s="376">
        <v>2021</v>
      </c>
      <c r="BU81" s="376">
        <v>2022</v>
      </c>
      <c r="BV81" s="376">
        <v>2023</v>
      </c>
      <c r="BW81" s="376">
        <v>2024</v>
      </c>
      <c r="BX81" s="376">
        <v>2025</v>
      </c>
      <c r="BY81" s="376">
        <v>2026</v>
      </c>
      <c r="BZ81" s="376">
        <v>2027</v>
      </c>
      <c r="CA81" s="376">
        <v>2028</v>
      </c>
      <c r="CB81" s="376">
        <v>2029</v>
      </c>
      <c r="CC81" s="376">
        <v>2030</v>
      </c>
      <c r="CD81" s="376">
        <v>2031</v>
      </c>
      <c r="CE81" s="376">
        <v>2032</v>
      </c>
      <c r="CF81" s="376">
        <v>2033</v>
      </c>
      <c r="CG81" s="376">
        <v>2034</v>
      </c>
      <c r="CH81" s="376">
        <v>2035</v>
      </c>
      <c r="CJ81" s="376">
        <v>2010</v>
      </c>
      <c r="CK81" s="376">
        <v>2011</v>
      </c>
      <c r="CL81" s="376">
        <v>2012</v>
      </c>
      <c r="CM81" s="376">
        <v>2013</v>
      </c>
      <c r="CN81" s="376">
        <v>2014</v>
      </c>
      <c r="CO81" s="376">
        <v>2015</v>
      </c>
      <c r="CP81" s="376">
        <v>2016</v>
      </c>
      <c r="CQ81" s="376">
        <v>2017</v>
      </c>
      <c r="CR81" s="376">
        <v>2018</v>
      </c>
      <c r="CS81" s="376">
        <v>2019</v>
      </c>
      <c r="CT81" s="376">
        <v>2020</v>
      </c>
      <c r="CU81" s="376">
        <v>2021</v>
      </c>
      <c r="CV81" s="376">
        <v>2022</v>
      </c>
      <c r="CW81" s="376">
        <v>2023</v>
      </c>
      <c r="CX81" s="376">
        <v>2024</v>
      </c>
      <c r="CY81" s="376">
        <v>2025</v>
      </c>
      <c r="CZ81" s="376">
        <v>2026</v>
      </c>
      <c r="DA81" s="376">
        <v>2027</v>
      </c>
      <c r="DB81" s="376">
        <v>2028</v>
      </c>
      <c r="DC81" s="376">
        <v>2029</v>
      </c>
      <c r="DD81" s="376">
        <v>2030</v>
      </c>
      <c r="DE81" s="376">
        <v>2031</v>
      </c>
      <c r="DF81" s="376">
        <v>2032</v>
      </c>
      <c r="DG81" s="376">
        <v>2033</v>
      </c>
      <c r="DH81" s="376">
        <v>2034</v>
      </c>
      <c r="DI81" s="376">
        <v>2035</v>
      </c>
    </row>
    <row r="82" spans="1:113" s="376" customFormat="1" ht="12.95" x14ac:dyDescent="0.3">
      <c r="A82" s="402" t="s">
        <v>21</v>
      </c>
      <c r="B82" s="389"/>
      <c r="C82" s="383"/>
      <c r="D82" s="501"/>
      <c r="E82" s="501"/>
      <c r="F82" s="501"/>
      <c r="G82" s="383"/>
      <c r="H82" s="383"/>
      <c r="I82" s="383"/>
      <c r="J82" s="383"/>
      <c r="K82" s="383"/>
      <c r="L82" s="383"/>
      <c r="M82" s="383"/>
      <c r="N82" s="383"/>
      <c r="O82" s="383"/>
      <c r="P82" s="383"/>
      <c r="Q82" s="383"/>
      <c r="R82" s="383"/>
      <c r="S82" s="383"/>
      <c r="T82" s="383"/>
      <c r="U82" s="383"/>
      <c r="V82" s="383"/>
      <c r="W82" s="383"/>
      <c r="X82" s="383"/>
      <c r="Y82" s="383"/>
      <c r="Z82" s="383"/>
      <c r="AA82" s="383"/>
      <c r="AB82" s="383"/>
      <c r="AC82" s="383"/>
      <c r="AD82" s="383"/>
      <c r="AE82" s="383"/>
      <c r="AF82" s="383"/>
      <c r="AH82" s="383"/>
      <c r="AI82" s="383"/>
      <c r="AJ82" s="383"/>
      <c r="AK82" s="383"/>
      <c r="AL82" s="383"/>
      <c r="AM82" s="383"/>
      <c r="AN82" s="383"/>
      <c r="AO82" s="383"/>
      <c r="AP82" s="383"/>
      <c r="AQ82" s="383"/>
      <c r="AR82" s="383"/>
      <c r="AS82" s="383"/>
      <c r="AT82" s="383"/>
      <c r="AU82" s="383"/>
      <c r="AV82" s="383"/>
      <c r="AW82" s="383"/>
      <c r="AX82" s="383"/>
      <c r="AY82" s="383"/>
      <c r="AZ82" s="383"/>
      <c r="BA82" s="383"/>
      <c r="BB82" s="383"/>
      <c r="BC82" s="383"/>
      <c r="BD82" s="383"/>
      <c r="BE82" s="383"/>
      <c r="BF82" s="383"/>
      <c r="BG82" s="383"/>
      <c r="BI82" s="383"/>
      <c r="BJ82" s="383"/>
      <c r="BK82" s="383"/>
      <c r="BL82" s="383"/>
      <c r="BM82" s="383"/>
      <c r="BN82" s="383"/>
      <c r="BO82" s="383"/>
      <c r="BP82" s="383"/>
      <c r="BQ82" s="383"/>
      <c r="BR82" s="383"/>
      <c r="BS82" s="383"/>
      <c r="BT82" s="383"/>
      <c r="BU82" s="383"/>
      <c r="BV82" s="383"/>
      <c r="BW82" s="383"/>
      <c r="BX82" s="383"/>
      <c r="BY82" s="383"/>
      <c r="BZ82" s="383"/>
      <c r="CA82" s="383"/>
      <c r="CB82" s="383"/>
      <c r="CC82" s="383"/>
      <c r="CD82" s="383"/>
      <c r="CE82" s="383"/>
      <c r="CF82" s="383"/>
      <c r="CG82" s="383"/>
      <c r="CH82" s="383"/>
      <c r="CJ82" s="383"/>
      <c r="CK82" s="383"/>
      <c r="CL82" s="383"/>
      <c r="CM82" s="383"/>
      <c r="CN82" s="383"/>
      <c r="CO82" s="383"/>
      <c r="CP82" s="383"/>
      <c r="CQ82" s="383"/>
      <c r="CR82" s="383"/>
      <c r="CS82" s="383"/>
      <c r="CT82" s="383"/>
      <c r="CU82" s="383"/>
      <c r="CV82" s="383"/>
      <c r="CW82" s="383"/>
      <c r="CX82" s="383"/>
      <c r="CY82" s="383"/>
      <c r="CZ82" s="383"/>
      <c r="DA82" s="383"/>
      <c r="DB82" s="383"/>
      <c r="DC82" s="383"/>
      <c r="DD82" s="383"/>
      <c r="DE82" s="383"/>
      <c r="DF82" s="383"/>
      <c r="DG82" s="383"/>
      <c r="DH82" s="383"/>
      <c r="DI82" s="383"/>
    </row>
    <row r="83" spans="1:113" s="376" customFormat="1" ht="12.6" x14ac:dyDescent="0.25">
      <c r="B83" s="376" t="s">
        <v>22</v>
      </c>
      <c r="C83" s="379"/>
      <c r="D83" s="379"/>
      <c r="E83" s="379"/>
      <c r="F83" s="379"/>
      <c r="G83" s="390">
        <f t="shared" ref="G83:P86" si="21">SUM(AH83,BI83,CJ83)</f>
        <v>12.9</v>
      </c>
      <c r="H83" s="390">
        <f t="shared" si="21"/>
        <v>12.9</v>
      </c>
      <c r="I83" s="390">
        <f t="shared" si="21"/>
        <v>12.9</v>
      </c>
      <c r="J83" s="390">
        <f t="shared" si="21"/>
        <v>12.9</v>
      </c>
      <c r="K83" s="390">
        <f t="shared" si="21"/>
        <v>12.9</v>
      </c>
      <c r="L83" s="390">
        <f t="shared" si="21"/>
        <v>12.9</v>
      </c>
      <c r="M83" s="390">
        <f t="shared" si="21"/>
        <v>12.9</v>
      </c>
      <c r="N83" s="390">
        <f t="shared" si="21"/>
        <v>12.9</v>
      </c>
      <c r="O83" s="390">
        <f t="shared" si="21"/>
        <v>12.9</v>
      </c>
      <c r="P83" s="390">
        <f t="shared" si="21"/>
        <v>12.9</v>
      </c>
      <c r="Q83" s="390">
        <f t="shared" ref="Q83:Z86" si="22">SUM(AR83,BS83,CT83)</f>
        <v>12.9</v>
      </c>
      <c r="R83" s="390">
        <f t="shared" si="22"/>
        <v>12.9</v>
      </c>
      <c r="S83" s="390">
        <f t="shared" si="22"/>
        <v>12.9</v>
      </c>
      <c r="T83" s="390">
        <f t="shared" si="22"/>
        <v>12.9</v>
      </c>
      <c r="U83" s="390">
        <f t="shared" si="22"/>
        <v>12.9</v>
      </c>
      <c r="V83" s="390">
        <f t="shared" si="22"/>
        <v>12.9</v>
      </c>
      <c r="W83" s="390">
        <f t="shared" si="22"/>
        <v>12.9</v>
      </c>
      <c r="X83" s="390">
        <f t="shared" si="22"/>
        <v>12.9</v>
      </c>
      <c r="Y83" s="390">
        <f t="shared" si="22"/>
        <v>12.9</v>
      </c>
      <c r="Z83" s="390">
        <f t="shared" si="22"/>
        <v>12.9</v>
      </c>
      <c r="AA83" s="390">
        <f t="shared" ref="AA83:AF86" si="23">SUM(BB83,CC83,DD83)</f>
        <v>12.9</v>
      </c>
      <c r="AB83" s="390">
        <f t="shared" si="23"/>
        <v>12.9</v>
      </c>
      <c r="AC83" s="390">
        <f t="shared" si="23"/>
        <v>12.9</v>
      </c>
      <c r="AD83" s="390">
        <f t="shared" si="23"/>
        <v>12.9</v>
      </c>
      <c r="AE83" s="390">
        <f t="shared" si="23"/>
        <v>12.9</v>
      </c>
      <c r="AF83" s="390">
        <f t="shared" si="23"/>
        <v>12.9</v>
      </c>
      <c r="AH83" s="405">
        <f>IF(Tech_Specs!$E9="linear",TREND(Perform_Active!$E10:$F10,Perform_Active!$E$8:$F$8,AH$81),)</f>
        <v>0</v>
      </c>
      <c r="AI83" s="405">
        <f>IF(Tech_Specs!$E9="linear",TREND(Perform_Active!$E10:$F10,Perform_Active!$E$8:$F$8,AI$81),)</f>
        <v>0</v>
      </c>
      <c r="AJ83" s="405">
        <f>IF(Tech_Specs!$E9="linear",TREND(Perform_Active!$E10:$F10,Perform_Active!$E$8:$F$8,AJ$81),)</f>
        <v>0</v>
      </c>
      <c r="AK83" s="405">
        <f>IF(Tech_Specs!$E9="linear",TREND(Perform_Active!$E10:$F10,Perform_Active!$E$8:$F$8,AK$81),)</f>
        <v>0</v>
      </c>
      <c r="AL83" s="405">
        <f>IF(Tech_Specs!$E9="linear",TREND(Perform_Active!$E10:$F10,Perform_Active!$E$8:$F$8,AL$81),)</f>
        <v>0</v>
      </c>
      <c r="AM83" s="405">
        <f>IF(Tech_Specs!$E9="linear",TREND(Perform_Active!$E10:$F10,Perform_Active!$E$8:$F$8,AM$81),)</f>
        <v>0</v>
      </c>
      <c r="AN83" s="405">
        <f>IF(Tech_Specs!$E9="linear",TREND(Perform_Active!$E10:$F10,Perform_Active!$E$8:$F$8,AN$81),)</f>
        <v>0</v>
      </c>
      <c r="AO83" s="405">
        <f>IF(Tech_Specs!$E9="linear",TREND(Perform_Active!$E10:$F10,Perform_Active!$E$8:$F$8,AO$81),)</f>
        <v>0</v>
      </c>
      <c r="AP83" s="405">
        <f>IF(Tech_Specs!$E9="linear",TREND(Perform_Active!$E10:$F10,Perform_Active!$E$8:$F$8,AP$81),)</f>
        <v>0</v>
      </c>
      <c r="AQ83" s="405">
        <f>IF(Tech_Specs!$E9="linear",TREND(Perform_Active!$E10:$F10,Perform_Active!$E$8:$F$8,AQ$81),)</f>
        <v>0</v>
      </c>
      <c r="AR83" s="405">
        <f>IF(Tech_Specs!$E9="linear",TREND(Perform_Active!$E10:$F10,Perform_Active!$E$8:$F$8,AR$81),)</f>
        <v>0</v>
      </c>
      <c r="AS83" s="405">
        <f>IF(Tech_Specs!$E9="linear",TREND(Perform_Active!$E10:$F10,Perform_Active!$E$8:$F$8,AS$81),)</f>
        <v>0</v>
      </c>
      <c r="AT83" s="405">
        <f>IF(Tech_Specs!$E9="linear",TREND(Perform_Active!$E10:$F10,Perform_Active!$E$8:$F$8,AT$81),)</f>
        <v>0</v>
      </c>
      <c r="AU83" s="405">
        <f>IF(Tech_Specs!$E9="linear",TREND(Perform_Active!$E10:$F10,Perform_Active!$E$8:$F$8,AU$81),)</f>
        <v>0</v>
      </c>
      <c r="AV83" s="405">
        <f>IF(Tech_Specs!$E9="linear",TREND(Perform_Active!$E10:$F10,Perform_Active!$E$8:$F$8,AV$81),)</f>
        <v>0</v>
      </c>
      <c r="AW83" s="405">
        <f>IF(Tech_Specs!$E9="linear",TREND(Perform_Active!$E10:$F10,Perform_Active!$E$8:$F$8,AW$81),)</f>
        <v>0</v>
      </c>
      <c r="AX83" s="405">
        <f>IF(Tech_Specs!$E9="linear",TREND(Perform_Active!$E10:$F10,Perform_Active!$E$8:$F$8,AX$81),)</f>
        <v>0</v>
      </c>
      <c r="AY83" s="405">
        <f>IF(Tech_Specs!$E9="linear",TREND(Perform_Active!$E10:$F10,Perform_Active!$E$8:$F$8,AY$81),)</f>
        <v>0</v>
      </c>
      <c r="AZ83" s="405">
        <f>IF(Tech_Specs!$E9="linear",TREND(Perform_Active!$E10:$F10,Perform_Active!$E$8:$F$8,AZ$81),)</f>
        <v>0</v>
      </c>
      <c r="BA83" s="405">
        <f>IF(Tech_Specs!$E9="linear",TREND(Perform_Active!$E10:$F10,Perform_Active!$E$8:$F$8,BA$81),)</f>
        <v>0</v>
      </c>
      <c r="BB83" s="405">
        <f>IF(Tech_Specs!$E9="linear",TREND(Perform_Active!$E10:$F10,Perform_Active!$E$8:$F$8,BB$81),)</f>
        <v>0</v>
      </c>
      <c r="BC83" s="405">
        <f>IF(Tech_Specs!$E9="linear",TREND(Perform_Active!$E10:$F10,Perform_Active!$E$8:$F$8,BC$81),)</f>
        <v>0</v>
      </c>
      <c r="BD83" s="405">
        <f>IF(Tech_Specs!$E9="linear",TREND(Perform_Active!$E10:$F10,Perform_Active!$E$8:$F$8,BD$81),)</f>
        <v>0</v>
      </c>
      <c r="BE83" s="405">
        <f>IF(Tech_Specs!$E9="linear",TREND(Perform_Active!$E10:$F10,Perform_Active!$E$8:$F$8,BE$81),)</f>
        <v>0</v>
      </c>
      <c r="BF83" s="405">
        <f>IF(Tech_Specs!$E9="linear",TREND(Perform_Active!$E10:$F10,Perform_Active!$E$8:$F$8,BF$81),)</f>
        <v>0</v>
      </c>
      <c r="BG83" s="405">
        <f>IF(Tech_Specs!$E9="linear",TREND(Perform_Active!$E10:$F10,Perform_Active!$E$8:$F$8,BG$81),)</f>
        <v>0</v>
      </c>
      <c r="BI83" s="405">
        <f>IF(Tech_Specs!$E9="logistic",IF($B9="LED",IF(Tech_Specs!$K9="lamp",Perform_SSL!G$10,Perform_SSL!G$11)),)</f>
        <v>0</v>
      </c>
      <c r="BJ83" s="405">
        <f>IF(Tech_Specs!$E9="logistic",IF($B9="LED",IF(Tech_Specs!$K9="lamp",Perform_SSL!H$10,Perform_SSL!H$11)),)</f>
        <v>0</v>
      </c>
      <c r="BK83" s="405">
        <f>IF(Tech_Specs!$E9="logistic",IF($B9="LED",IF(Tech_Specs!$K9="lamp",Perform_SSL!I$10,Perform_SSL!I$11)),)</f>
        <v>0</v>
      </c>
      <c r="BL83" s="405">
        <f>IF(Tech_Specs!$E9="logistic",IF($B9="LED",IF(Tech_Specs!$K9="lamp",Perform_SSL!J$10,Perform_SSL!J$11)),)</f>
        <v>0</v>
      </c>
      <c r="BM83" s="405">
        <f>IF(Tech_Specs!$E9="logistic",IF($B9="LED",IF(Tech_Specs!$K9="lamp",Perform_SSL!K$10,Perform_SSL!K$11)),)</f>
        <v>0</v>
      </c>
      <c r="BN83" s="405">
        <f>IF(Tech_Specs!$E9="logistic",IF($B9="LED",IF(Tech_Specs!$K9="lamp",Perform_SSL!L$10,Perform_SSL!L$11)),)</f>
        <v>0</v>
      </c>
      <c r="BO83" s="405">
        <f>IF(Tech_Specs!$E9="logistic",IF($B9="LED",IF(Tech_Specs!$K9="lamp",Perform_SSL!M$10,Perform_SSL!M$11)),)</f>
        <v>0</v>
      </c>
      <c r="BP83" s="405">
        <f>IF(Tech_Specs!$E9="logistic",IF($B9="LED",IF(Tech_Specs!$K9="lamp",Perform_SSL!N$10,Perform_SSL!N$11)),)</f>
        <v>0</v>
      </c>
      <c r="BQ83" s="405">
        <f>IF(Tech_Specs!$E9="logistic",IF($B9="LED",IF(Tech_Specs!$K9="lamp",Perform_SSL!O$10,Perform_SSL!O$11)),)</f>
        <v>0</v>
      </c>
      <c r="BR83" s="405">
        <f>IF(Tech_Specs!$E9="logistic",IF($B9="LED",IF(Tech_Specs!$K9="lamp",Perform_SSL!P$10,Perform_SSL!P$11)),)</f>
        <v>0</v>
      </c>
      <c r="BS83" s="405">
        <f>IF(Tech_Specs!$E9="logistic",IF($B9="LED",IF(Tech_Specs!$K9="lamp",Perform_SSL!Q$10,Perform_SSL!Q$11)),)</f>
        <v>0</v>
      </c>
      <c r="BT83" s="405">
        <f>IF(Tech_Specs!$E9="logistic",IF($B9="LED",IF(Tech_Specs!$K9="lamp",Perform_SSL!R$10,Perform_SSL!R$11)),)</f>
        <v>0</v>
      </c>
      <c r="BU83" s="405">
        <f>IF(Tech_Specs!$E9="logistic",IF($B9="LED",IF(Tech_Specs!$K9="lamp",Perform_SSL!S$10,Perform_SSL!S$11)),)</f>
        <v>0</v>
      </c>
      <c r="BV83" s="405">
        <f>IF(Tech_Specs!$E9="logistic",IF($B9="LED",IF(Tech_Specs!$K9="lamp",Perform_SSL!T$10,Perform_SSL!T$11)),)</f>
        <v>0</v>
      </c>
      <c r="BW83" s="405">
        <f>IF(Tech_Specs!$E9="logistic",IF($B9="LED",IF(Tech_Specs!$K9="lamp",Perform_SSL!U$10,Perform_SSL!U$11)),)</f>
        <v>0</v>
      </c>
      <c r="BX83" s="405">
        <f>IF(Tech_Specs!$E9="logistic",IF($B9="LED",IF(Tech_Specs!$K9="lamp",Perform_SSL!V$10,Perform_SSL!V$11)),)</f>
        <v>0</v>
      </c>
      <c r="BY83" s="405">
        <f>IF(Tech_Specs!$E9="logistic",IF($B9="LED",IF(Tech_Specs!$K9="lamp",Perform_SSL!W$10,Perform_SSL!W$11)),)</f>
        <v>0</v>
      </c>
      <c r="BZ83" s="405">
        <f>IF(Tech_Specs!$E9="logistic",IF($B9="LED",IF(Tech_Specs!$K9="lamp",Perform_SSL!X$10,Perform_SSL!X$11)),)</f>
        <v>0</v>
      </c>
      <c r="CA83" s="405">
        <f>IF(Tech_Specs!$E9="logistic",IF($B9="LED",IF(Tech_Specs!$K9="lamp",Perform_SSL!Y$10,Perform_SSL!Y$11)),)</f>
        <v>0</v>
      </c>
      <c r="CB83" s="405">
        <f>IF(Tech_Specs!$E9="logistic",IF($B9="LED",IF(Tech_Specs!$K9="lamp",Perform_SSL!Z$10,Perform_SSL!Z$11)),)</f>
        <v>0</v>
      </c>
      <c r="CC83" s="405">
        <f>IF(Tech_Specs!$E9="logistic",IF($B9="LED",IF(Tech_Specs!$K9="lamp",Perform_SSL!AA$10,Perform_SSL!AA$11)),)</f>
        <v>0</v>
      </c>
      <c r="CD83" s="405">
        <f>IF(Tech_Specs!$E9="logistic",IF($B9="LED",IF(Tech_Specs!$K9="lamp",Perform_SSL!AB$10,Perform_SSL!AB$11)),)</f>
        <v>0</v>
      </c>
      <c r="CE83" s="405">
        <f>IF(Tech_Specs!$E9="logistic",IF($B9="LED",IF(Tech_Specs!$K9="lamp",Perform_SSL!AC$10,Perform_SSL!AC$11)),)</f>
        <v>0</v>
      </c>
      <c r="CF83" s="405">
        <f>IF(Tech_Specs!$E9="logistic",IF($B9="LED",IF(Tech_Specs!$K9="lamp",Perform_SSL!AD$10,Perform_SSL!AD$11)),)</f>
        <v>0</v>
      </c>
      <c r="CG83" s="405">
        <f>IF(Tech_Specs!$E9="logistic",IF($B9="LED",IF(Tech_Specs!$K9="lamp",Perform_SSL!AE$10,Perform_SSL!AE$11)),)</f>
        <v>0</v>
      </c>
      <c r="CH83" s="405">
        <f>IF(Tech_Specs!$E9="logistic",IF($B9="LED",IF(Tech_Specs!$K9="lamp",Perform_SSL!AF$10,Perform_SSL!AF$11)),)</f>
        <v>0</v>
      </c>
      <c r="CJ83" s="625">
        <f>IF(AND(Tech_Specs!$E9="step",Standards_Active!$E10="yes"),IF(CJ$81&lt;Standards_Active!$C10,TREND(Perform_Active!$E10:$F10,Perform_Active!$E$8:$F$8,CJ$81),IF(ISNUMBER(Standards_Active!$I10),IF(AND(CJ$81&gt;=Standards_Active!$C10,CJ$81&lt;Standards_Active!$D10),(Standards_Active!$I10-INDEX($CJ83:$DI83,1,MATCH((Standards_Active!$C10-1),$CJ$81:$DI$81,FALSE)))/(Standards_Active!$D10-(Standards_Active!$C10-1))+CI83,Standards_Active!$I10*((1+Standards_Active!$N10)^(CJ$81-Standards_Active!$D10))),TREND(Perform_Active!$E10:$F10,Perform_Active!$E$8:$F$8,CJ$81))),)</f>
        <v>12.9</v>
      </c>
      <c r="CK83" s="625">
        <f>IF(AND(Tech_Specs!$E9="step",Standards_Active!$E10="yes"),IF(CK$81&lt;Standards_Active!$C10,TREND(Perform_Active!$E10:$F10,Perform_Active!$E$8:$F$8,CK$81),IF(ISNUMBER(Standards_Active!$I10),IF(AND(CK$81&gt;=Standards_Active!$C10,CK$81&lt;Standards_Active!$D10),(Standards_Active!$I10-INDEX($CJ83:$DI83,1,MATCH((Standards_Active!$C10-1),$CJ$81:$DI$81,FALSE)))/(Standards_Active!$D10-(Standards_Active!$C10-1))+CJ83,Standards_Active!$I10*((1+Standards_Active!$N10)^(CK$81-Standards_Active!$D10))),TREND(Perform_Active!$E10:$F10,Perform_Active!$E$8:$F$8,CK$81))),)</f>
        <v>12.9</v>
      </c>
      <c r="CL83" s="625">
        <f>IF(AND(Tech_Specs!$E9="step",Standards_Active!$E10="yes"),IF(CL$81&lt;Standards_Active!$C10,TREND(Perform_Active!$E10:$F10,Perform_Active!$E$8:$F$8,CL$81),IF(ISNUMBER(Standards_Active!$I10),IF(AND(CL$81&gt;=Standards_Active!$C10,CL$81&lt;Standards_Active!$D10),(Standards_Active!$I10-INDEX($CJ83:$DI83,1,MATCH((Standards_Active!$C10-1),$CJ$81:$DI$81,FALSE)))/(Standards_Active!$D10-(Standards_Active!$C10-1))+CK83,Standards_Active!$I10*((1+Standards_Active!$N10)^(CL$81-Standards_Active!$D10))),TREND(Perform_Active!$E10:$F10,Perform_Active!$E$8:$F$8,CL$81))),)</f>
        <v>12.9</v>
      </c>
      <c r="CM83" s="625">
        <f>IF(AND(Tech_Specs!$E9="step",Standards_Active!$E10="yes"),IF(CM$81&lt;Standards_Active!$C10,TREND(Perform_Active!$E10:$F10,Perform_Active!$E$8:$F$8,CM$81),IF(ISNUMBER(Standards_Active!$I10),IF(AND(CM$81&gt;=Standards_Active!$C10,CM$81&lt;Standards_Active!$D10),(Standards_Active!$I10-INDEX($CJ83:$DI83,1,MATCH((Standards_Active!$C10-1),$CJ$81:$DI$81,FALSE)))/(Standards_Active!$D10-(Standards_Active!$C10-1))+CL83,Standards_Active!$I10*((1+Standards_Active!$N10)^(CM$81-Standards_Active!$D10))),TREND(Perform_Active!$E10:$F10,Perform_Active!$E$8:$F$8,CM$81))),)</f>
        <v>12.9</v>
      </c>
      <c r="CN83" s="625">
        <f>IF(AND(Tech_Specs!$E9="step",Standards_Active!$E10="yes"),IF(CN$81&lt;Standards_Active!$C10,TREND(Perform_Active!$E10:$F10,Perform_Active!$E$8:$F$8,CN$81),IF(ISNUMBER(Standards_Active!$I10),IF(AND(CN$81&gt;=Standards_Active!$C10,CN$81&lt;Standards_Active!$D10),(Standards_Active!$I10-INDEX($CJ83:$DI83,1,MATCH((Standards_Active!$C10-1),$CJ$81:$DI$81,FALSE)))/(Standards_Active!$D10-(Standards_Active!$C10-1))+CM83,Standards_Active!$I10*((1+Standards_Active!$N10)^(CN$81-Standards_Active!$D10))),TREND(Perform_Active!$E10:$F10,Perform_Active!$E$8:$F$8,CN$81))),)</f>
        <v>12.9</v>
      </c>
      <c r="CO83" s="625">
        <f>IF(AND(Tech_Specs!$E9="step",Standards_Active!$E10="yes"),IF(CO$81&lt;Standards_Active!$C10,TREND(Perform_Active!$E10:$F10,Perform_Active!$E$8:$F$8,CO$81),IF(ISNUMBER(Standards_Active!$I10),IF(AND(CO$81&gt;=Standards_Active!$C10,CO$81&lt;Standards_Active!$D10),(Standards_Active!$I10-INDEX($CJ83:$DI83,1,MATCH((Standards_Active!$C10-1),$CJ$81:$DI$81,FALSE)))/(Standards_Active!$D10-(Standards_Active!$C10-1))+CN83,Standards_Active!$I10*((1+Standards_Active!$N10)^(CO$81-Standards_Active!$D10))),TREND(Perform_Active!$E10:$F10,Perform_Active!$E$8:$F$8,CO$81))),)</f>
        <v>12.9</v>
      </c>
      <c r="CP83" s="625">
        <f>IF(AND(Tech_Specs!$E9="step",Standards_Active!$E10="yes"),IF(CP$81&lt;Standards_Active!$C10,TREND(Perform_Active!$E10:$F10,Perform_Active!$E$8:$F$8,CP$81),IF(ISNUMBER(Standards_Active!$I10),IF(AND(CP$81&gt;=Standards_Active!$C10,CP$81&lt;Standards_Active!$D10),(Standards_Active!$I10-INDEX($CJ83:$DI83,1,MATCH((Standards_Active!$C10-1),$CJ$81:$DI$81,FALSE)))/(Standards_Active!$D10-(Standards_Active!$C10-1))+CO83,Standards_Active!$I10*((1+Standards_Active!$N10)^(CP$81-Standards_Active!$D10))),TREND(Perform_Active!$E10:$F10,Perform_Active!$E$8:$F$8,CP$81))),)</f>
        <v>12.9</v>
      </c>
      <c r="CQ83" s="625">
        <f>IF(AND(Tech_Specs!$E9="step",Standards_Active!$E10="yes"),IF(CQ$81&lt;Standards_Active!$C10,TREND(Perform_Active!$E10:$F10,Perform_Active!$E$8:$F$8,CQ$81),IF(ISNUMBER(Standards_Active!$I10),IF(AND(CQ$81&gt;=Standards_Active!$C10,CQ$81&lt;Standards_Active!$D10),(Standards_Active!$I10-INDEX($CJ83:$DI83,1,MATCH((Standards_Active!$C10-1),$CJ$81:$DI$81,FALSE)))/(Standards_Active!$D10-(Standards_Active!$C10-1))+CP83,Standards_Active!$I10*((1+Standards_Active!$N10)^(CQ$81-Standards_Active!$D10))),TREND(Perform_Active!$E10:$F10,Perform_Active!$E$8:$F$8,CQ$81))),)</f>
        <v>12.9</v>
      </c>
      <c r="CR83" s="625">
        <f>IF(AND(Tech_Specs!$E9="step",Standards_Active!$E10="yes"),IF(CR$81&lt;Standards_Active!$C10,TREND(Perform_Active!$E10:$F10,Perform_Active!$E$8:$F$8,CR$81),IF(ISNUMBER(Standards_Active!$I10),IF(AND(CR$81&gt;=Standards_Active!$C10,CR$81&lt;Standards_Active!$D10),(Standards_Active!$I10-INDEX($CJ83:$DI83,1,MATCH((Standards_Active!$C10-1),$CJ$81:$DI$81,FALSE)))/(Standards_Active!$D10-(Standards_Active!$C10-1))+CQ83,Standards_Active!$I10*((1+Standards_Active!$N10)^(CR$81-Standards_Active!$D10))),TREND(Perform_Active!$E10:$F10,Perform_Active!$E$8:$F$8,CR$81))),)</f>
        <v>12.9</v>
      </c>
      <c r="CS83" s="625">
        <f>IF(AND(Tech_Specs!$E9="step",Standards_Active!$E10="yes"),IF(CS$81&lt;Standards_Active!$C10,TREND(Perform_Active!$E10:$F10,Perform_Active!$E$8:$F$8,CS$81),IF(ISNUMBER(Standards_Active!$I10),IF(AND(CS$81&gt;=Standards_Active!$C10,CS$81&lt;Standards_Active!$D10),(Standards_Active!$I10-INDEX($CJ83:$DI83,1,MATCH((Standards_Active!$C10-1),$CJ$81:$DI$81,FALSE)))/(Standards_Active!$D10-(Standards_Active!$C10-1))+CR83,Standards_Active!$I10*((1+Standards_Active!$N10)^(CS$81-Standards_Active!$D10))),TREND(Perform_Active!$E10:$F10,Perform_Active!$E$8:$F$8,CS$81))),)</f>
        <v>12.9</v>
      </c>
      <c r="CT83" s="625">
        <f>IF(AND(Tech_Specs!$E9="step",Standards_Active!$E10="yes"),IF(CT$81&lt;Standards_Active!$C10,TREND(Perform_Active!$E10:$F10,Perform_Active!$E$8:$F$8,CT$81),IF(ISNUMBER(Standards_Active!$I10),IF(AND(CT$81&gt;=Standards_Active!$C10,CT$81&lt;Standards_Active!$D10),(Standards_Active!$I10-INDEX($CJ83:$DI83,1,MATCH((Standards_Active!$C10-1),$CJ$81:$DI$81,FALSE)))/(Standards_Active!$D10-(Standards_Active!$C10-1))+CS83,Standards_Active!$I10*((1+Standards_Active!$N10)^(CT$81-Standards_Active!$D10))),TREND(Perform_Active!$E10:$F10,Perform_Active!$E$8:$F$8,CT$81))),)</f>
        <v>12.9</v>
      </c>
      <c r="CU83" s="625">
        <f>IF(AND(Tech_Specs!$E9="step",Standards_Active!$E10="yes"),IF(CU$81&lt;Standards_Active!$C10,TREND(Perform_Active!$E10:$F10,Perform_Active!$E$8:$F$8,CU$81),IF(ISNUMBER(Standards_Active!$I10),IF(AND(CU$81&gt;=Standards_Active!$C10,CU$81&lt;Standards_Active!$D10),(Standards_Active!$I10-INDEX($CJ83:$DI83,1,MATCH((Standards_Active!$C10-1),$CJ$81:$DI$81,FALSE)))/(Standards_Active!$D10-(Standards_Active!$C10-1))+CT83,Standards_Active!$I10*((1+Standards_Active!$N10)^(CU$81-Standards_Active!$D10))),TREND(Perform_Active!$E10:$F10,Perform_Active!$E$8:$F$8,CU$81))),)</f>
        <v>12.9</v>
      </c>
      <c r="CV83" s="625">
        <f>IF(AND(Tech_Specs!$E9="step",Standards_Active!$E10="yes"),IF(CV$81&lt;Standards_Active!$C10,TREND(Perform_Active!$E10:$F10,Perform_Active!$E$8:$F$8,CV$81),IF(ISNUMBER(Standards_Active!$I10),IF(AND(CV$81&gt;=Standards_Active!$C10,CV$81&lt;Standards_Active!$D10),(Standards_Active!$I10-INDEX($CJ83:$DI83,1,MATCH((Standards_Active!$C10-1),$CJ$81:$DI$81,FALSE)))/(Standards_Active!$D10-(Standards_Active!$C10-1))+CU83,Standards_Active!$I10*((1+Standards_Active!$N10)^(CV$81-Standards_Active!$D10))),TREND(Perform_Active!$E10:$F10,Perform_Active!$E$8:$F$8,CV$81))),)</f>
        <v>12.9</v>
      </c>
      <c r="CW83" s="625">
        <f>IF(AND(Tech_Specs!$E9="step",Standards_Active!$E10="yes"),IF(CW$81&lt;Standards_Active!$C10,TREND(Perform_Active!$E10:$F10,Perform_Active!$E$8:$F$8,CW$81),IF(ISNUMBER(Standards_Active!$I10),IF(AND(CW$81&gt;=Standards_Active!$C10,CW$81&lt;Standards_Active!$D10),(Standards_Active!$I10-INDEX($CJ83:$DI83,1,MATCH((Standards_Active!$C10-1),$CJ$81:$DI$81,FALSE)))/(Standards_Active!$D10-(Standards_Active!$C10-1))+CV83,Standards_Active!$I10*((1+Standards_Active!$N10)^(CW$81-Standards_Active!$D10))),TREND(Perform_Active!$E10:$F10,Perform_Active!$E$8:$F$8,CW$81))),)</f>
        <v>12.9</v>
      </c>
      <c r="CX83" s="625">
        <f>IF(AND(Tech_Specs!$E9="step",Standards_Active!$E10="yes"),IF(CX$81&lt;Standards_Active!$C10,TREND(Perform_Active!$E10:$F10,Perform_Active!$E$8:$F$8,CX$81),IF(ISNUMBER(Standards_Active!$I10),IF(AND(CX$81&gt;=Standards_Active!$C10,CX$81&lt;Standards_Active!$D10),(Standards_Active!$I10-INDEX($CJ83:$DI83,1,MATCH((Standards_Active!$C10-1),$CJ$81:$DI$81,FALSE)))/(Standards_Active!$D10-(Standards_Active!$C10-1))+CW83,Standards_Active!$I10*((1+Standards_Active!$N10)^(CX$81-Standards_Active!$D10))),TREND(Perform_Active!$E10:$F10,Perform_Active!$E$8:$F$8,CX$81))),)</f>
        <v>12.9</v>
      </c>
      <c r="CY83" s="625">
        <f>IF(AND(Tech_Specs!$E9="step",Standards_Active!$E10="yes"),IF(CY$81&lt;Standards_Active!$C10,TREND(Perform_Active!$E10:$F10,Perform_Active!$E$8:$F$8,CY$81),IF(ISNUMBER(Standards_Active!$I10),IF(AND(CY$81&gt;=Standards_Active!$C10,CY$81&lt;Standards_Active!$D10),(Standards_Active!$I10-INDEX($CJ83:$DI83,1,MATCH((Standards_Active!$C10-1),$CJ$81:$DI$81,FALSE)))/(Standards_Active!$D10-(Standards_Active!$C10-1))+CX83,Standards_Active!$I10*((1+Standards_Active!$N10)^(CY$81-Standards_Active!$D10))),TREND(Perform_Active!$E10:$F10,Perform_Active!$E$8:$F$8,CY$81))),)</f>
        <v>12.9</v>
      </c>
      <c r="CZ83" s="625">
        <f>IF(AND(Tech_Specs!$E9="step",Standards_Active!$E10="yes"),IF(CZ$81&lt;Standards_Active!$C10,TREND(Perform_Active!$E10:$F10,Perform_Active!$E$8:$F$8,CZ$81),IF(ISNUMBER(Standards_Active!$I10),IF(AND(CZ$81&gt;=Standards_Active!$C10,CZ$81&lt;Standards_Active!$D10),(Standards_Active!$I10-INDEX($CJ83:$DI83,1,MATCH((Standards_Active!$C10-1),$CJ$81:$DI$81,FALSE)))/(Standards_Active!$D10-(Standards_Active!$C10-1))+CY83,Standards_Active!$I10*((1+Standards_Active!$N10)^(CZ$81-Standards_Active!$D10))),TREND(Perform_Active!$E10:$F10,Perform_Active!$E$8:$F$8,CZ$81))),)</f>
        <v>12.9</v>
      </c>
      <c r="DA83" s="625">
        <f>IF(AND(Tech_Specs!$E9="step",Standards_Active!$E10="yes"),IF(DA$81&lt;Standards_Active!$C10,TREND(Perform_Active!$E10:$F10,Perform_Active!$E$8:$F$8,DA$81),IF(ISNUMBER(Standards_Active!$I10),IF(AND(DA$81&gt;=Standards_Active!$C10,DA$81&lt;Standards_Active!$D10),(Standards_Active!$I10-INDEX($CJ83:$DI83,1,MATCH((Standards_Active!$C10-1),$CJ$81:$DI$81,FALSE)))/(Standards_Active!$D10-(Standards_Active!$C10-1))+CZ83,Standards_Active!$I10*((1+Standards_Active!$N10)^(DA$81-Standards_Active!$D10))),TREND(Perform_Active!$E10:$F10,Perform_Active!$E$8:$F$8,DA$81))),)</f>
        <v>12.9</v>
      </c>
      <c r="DB83" s="625">
        <f>IF(AND(Tech_Specs!$E9="step",Standards_Active!$E10="yes"),IF(DB$81&lt;Standards_Active!$C10,TREND(Perform_Active!$E10:$F10,Perform_Active!$E$8:$F$8,DB$81),IF(ISNUMBER(Standards_Active!$I10),IF(AND(DB$81&gt;=Standards_Active!$C10,DB$81&lt;Standards_Active!$D10),(Standards_Active!$I10-INDEX($CJ83:$DI83,1,MATCH((Standards_Active!$C10-1),$CJ$81:$DI$81,FALSE)))/(Standards_Active!$D10-(Standards_Active!$C10-1))+DA83,Standards_Active!$I10*((1+Standards_Active!$N10)^(DB$81-Standards_Active!$D10))),TREND(Perform_Active!$E10:$F10,Perform_Active!$E$8:$F$8,DB$81))),)</f>
        <v>12.9</v>
      </c>
      <c r="DC83" s="625">
        <f>IF(AND(Tech_Specs!$E9="step",Standards_Active!$E10="yes"),IF(DC$81&lt;Standards_Active!$C10,TREND(Perform_Active!$E10:$F10,Perform_Active!$E$8:$F$8,DC$81),IF(ISNUMBER(Standards_Active!$I10),IF(AND(DC$81&gt;=Standards_Active!$C10,DC$81&lt;Standards_Active!$D10),(Standards_Active!$I10-INDEX($CJ83:$DI83,1,MATCH((Standards_Active!$C10-1),$CJ$81:$DI$81,FALSE)))/(Standards_Active!$D10-(Standards_Active!$C10-1))+DB83,Standards_Active!$I10*((1+Standards_Active!$N10)^(DC$81-Standards_Active!$D10))),TREND(Perform_Active!$E10:$F10,Perform_Active!$E$8:$F$8,DC$81))),)</f>
        <v>12.9</v>
      </c>
      <c r="DD83" s="625">
        <f>IF(AND(Tech_Specs!$E9="step",Standards_Active!$E10="yes"),IF(DD$81&lt;Standards_Active!$C10,TREND(Perform_Active!$E10:$F10,Perform_Active!$E$8:$F$8,DD$81),IF(ISNUMBER(Standards_Active!$I10),IF(AND(DD$81&gt;=Standards_Active!$C10,DD$81&lt;Standards_Active!$D10),(Standards_Active!$I10-INDEX($CJ83:$DI83,1,MATCH((Standards_Active!$C10-1),$CJ$81:$DI$81,FALSE)))/(Standards_Active!$D10-(Standards_Active!$C10-1))+DC83,Standards_Active!$I10*((1+Standards_Active!$N10)^(DD$81-Standards_Active!$D10))),TREND(Perform_Active!$E10:$F10,Perform_Active!$E$8:$F$8,DD$81))),)</f>
        <v>12.9</v>
      </c>
      <c r="DE83" s="625">
        <f>IF(AND(Tech_Specs!$E9="step",Standards_Active!$E10="yes"),IF(DE$81&lt;Standards_Active!$C10,TREND(Perform_Active!$E10:$F10,Perform_Active!$E$8:$F$8,DE$81),IF(ISNUMBER(Standards_Active!$I10),IF(AND(DE$81&gt;=Standards_Active!$C10,DE$81&lt;Standards_Active!$D10),(Standards_Active!$I10-INDEX($CJ83:$DI83,1,MATCH((Standards_Active!$C10-1),$CJ$81:$DI$81,FALSE)))/(Standards_Active!$D10-(Standards_Active!$C10-1))+DD83,Standards_Active!$I10*((1+Standards_Active!$N10)^(DE$81-Standards_Active!$D10))),TREND(Perform_Active!$E10:$F10,Perform_Active!$E$8:$F$8,DE$81))),)</f>
        <v>12.9</v>
      </c>
      <c r="DF83" s="625">
        <f>IF(AND(Tech_Specs!$E9="step",Standards_Active!$E10="yes"),IF(DF$81&lt;Standards_Active!$C10,TREND(Perform_Active!$E10:$F10,Perform_Active!$E$8:$F$8,DF$81),IF(ISNUMBER(Standards_Active!$I10),IF(AND(DF$81&gt;=Standards_Active!$C10,DF$81&lt;Standards_Active!$D10),(Standards_Active!$I10-INDEX($CJ83:$DI83,1,MATCH((Standards_Active!$C10-1),$CJ$81:$DI$81,FALSE)))/(Standards_Active!$D10-(Standards_Active!$C10-1))+DE83,Standards_Active!$I10*((1+Standards_Active!$N10)^(DF$81-Standards_Active!$D10))),TREND(Perform_Active!$E10:$F10,Perform_Active!$E$8:$F$8,DF$81))),)</f>
        <v>12.9</v>
      </c>
      <c r="DG83" s="625">
        <f>IF(AND(Tech_Specs!$E9="step",Standards_Active!$E10="yes"),IF(DG$81&lt;Standards_Active!$C10,TREND(Perform_Active!$E10:$F10,Perform_Active!$E$8:$F$8,DG$81),IF(ISNUMBER(Standards_Active!$I10),IF(AND(DG$81&gt;=Standards_Active!$C10,DG$81&lt;Standards_Active!$D10),(Standards_Active!$I10-INDEX($CJ83:$DI83,1,MATCH((Standards_Active!$C10-1),$CJ$81:$DI$81,FALSE)))/(Standards_Active!$D10-(Standards_Active!$C10-1))+DF83,Standards_Active!$I10*((1+Standards_Active!$N10)^(DG$81-Standards_Active!$D10))),TREND(Perform_Active!$E10:$F10,Perform_Active!$E$8:$F$8,DG$81))),)</f>
        <v>12.9</v>
      </c>
      <c r="DH83" s="625">
        <f>IF(AND(Tech_Specs!$E9="step",Standards_Active!$E10="yes"),IF(DH$81&lt;Standards_Active!$C10,TREND(Perform_Active!$E10:$F10,Perform_Active!$E$8:$F$8,DH$81),IF(ISNUMBER(Standards_Active!$I10),IF(AND(DH$81&gt;=Standards_Active!$C10,DH$81&lt;Standards_Active!$D10),(Standards_Active!$I10-INDEX($CJ83:$DI83,1,MATCH((Standards_Active!$C10-1),$CJ$81:$DI$81,FALSE)))/(Standards_Active!$D10-(Standards_Active!$C10-1))+DG83,Standards_Active!$I10*((1+Standards_Active!$N10)^(DH$81-Standards_Active!$D10))),TREND(Perform_Active!$E10:$F10,Perform_Active!$E$8:$F$8,DH$81))),)</f>
        <v>12.9</v>
      </c>
      <c r="DI83" s="625">
        <f>IF(AND(Tech_Specs!$E9="step",Standards_Active!$E10="yes"),IF(DI$81&lt;Standards_Active!$C10,TREND(Perform_Active!$E10:$F10,Perform_Active!$E$8:$F$8,DI$81),IF(ISNUMBER(Standards_Active!$I10),IF(AND(DI$81&gt;=Standards_Active!$C10,DI$81&lt;Standards_Active!$D10),(Standards_Active!$I10-INDEX($CJ83:$DI83,1,MATCH((Standards_Active!$C10-1),$CJ$81:$DI$81,FALSE)))/(Standards_Active!$D10-(Standards_Active!$C10-1))+DH83,Standards_Active!$I10*((1+Standards_Active!$N10)^(DI$81-Standards_Active!$D10))),TREND(Perform_Active!$E10:$F10,Perform_Active!$E$8:$F$8,DI$81))),)</f>
        <v>12.9</v>
      </c>
    </row>
    <row r="84" spans="1:113" s="376" customFormat="1" ht="12.6" x14ac:dyDescent="0.25">
      <c r="B84" s="376" t="s">
        <v>26</v>
      </c>
      <c r="C84" s="379"/>
      <c r="D84" s="379"/>
      <c r="E84" s="379"/>
      <c r="F84" s="379"/>
      <c r="G84" s="390">
        <f t="shared" si="21"/>
        <v>15</v>
      </c>
      <c r="H84" s="390">
        <f t="shared" si="21"/>
        <v>15.074999999999989</v>
      </c>
      <c r="I84" s="390">
        <f t="shared" si="21"/>
        <v>15.150000000000006</v>
      </c>
      <c r="J84" s="390">
        <f t="shared" si="21"/>
        <v>15.224999999999994</v>
      </c>
      <c r="K84" s="390">
        <f t="shared" si="21"/>
        <v>15.299999999999983</v>
      </c>
      <c r="L84" s="390">
        <f t="shared" si="21"/>
        <v>15.375</v>
      </c>
      <c r="M84" s="390">
        <f t="shared" si="21"/>
        <v>15.449999999999989</v>
      </c>
      <c r="N84" s="390">
        <f t="shared" si="21"/>
        <v>15.525000000000006</v>
      </c>
      <c r="O84" s="390">
        <f t="shared" si="21"/>
        <v>15.599999999999994</v>
      </c>
      <c r="P84" s="390">
        <f t="shared" si="21"/>
        <v>15.674999999999983</v>
      </c>
      <c r="Q84" s="390">
        <f t="shared" si="22"/>
        <v>15.75</v>
      </c>
      <c r="R84" s="390">
        <f t="shared" si="22"/>
        <v>15.824999999999989</v>
      </c>
      <c r="S84" s="390">
        <f t="shared" si="22"/>
        <v>15.900000000000006</v>
      </c>
      <c r="T84" s="390">
        <f t="shared" si="22"/>
        <v>15.974999999999994</v>
      </c>
      <c r="U84" s="390">
        <f t="shared" si="22"/>
        <v>16.049999999999983</v>
      </c>
      <c r="V84" s="390">
        <f t="shared" si="22"/>
        <v>16.125</v>
      </c>
      <c r="W84" s="390">
        <f t="shared" si="22"/>
        <v>16.199999999999989</v>
      </c>
      <c r="X84" s="390">
        <f t="shared" si="22"/>
        <v>16.275000000000006</v>
      </c>
      <c r="Y84" s="390">
        <f t="shared" si="22"/>
        <v>16.349999999999994</v>
      </c>
      <c r="Z84" s="390">
        <f t="shared" si="22"/>
        <v>16.424999999999983</v>
      </c>
      <c r="AA84" s="390">
        <f t="shared" si="23"/>
        <v>16.5</v>
      </c>
      <c r="AB84" s="390">
        <f t="shared" si="23"/>
        <v>16.574999999999989</v>
      </c>
      <c r="AC84" s="390">
        <f t="shared" si="23"/>
        <v>16.650000000000006</v>
      </c>
      <c r="AD84" s="390">
        <f t="shared" si="23"/>
        <v>16.724999999999994</v>
      </c>
      <c r="AE84" s="390">
        <f t="shared" si="23"/>
        <v>16.799999999999983</v>
      </c>
      <c r="AF84" s="390">
        <f t="shared" si="23"/>
        <v>16.875</v>
      </c>
      <c r="AH84" s="405">
        <f>IF(Tech_Specs!$E10="linear",TREND(Perform_Active!$E11:$F11,Perform_Active!$E$8:$F$8,AH$81),)</f>
        <v>15</v>
      </c>
      <c r="AI84" s="405">
        <f>IF(Tech_Specs!$E10="linear",TREND(Perform_Active!$E11:$F11,Perform_Active!$E$8:$F$8,AI$81),)</f>
        <v>15.074999999999989</v>
      </c>
      <c r="AJ84" s="405">
        <f>IF(Tech_Specs!$E10="linear",TREND(Perform_Active!$E11:$F11,Perform_Active!$E$8:$F$8,AJ$81),)</f>
        <v>15.150000000000006</v>
      </c>
      <c r="AK84" s="405">
        <f>IF(Tech_Specs!$E10="linear",TREND(Perform_Active!$E11:$F11,Perform_Active!$E$8:$F$8,AK$81),)</f>
        <v>15.224999999999994</v>
      </c>
      <c r="AL84" s="405">
        <f>IF(Tech_Specs!$E10="linear",TREND(Perform_Active!$E11:$F11,Perform_Active!$E$8:$F$8,AL$81),)</f>
        <v>15.299999999999983</v>
      </c>
      <c r="AM84" s="405">
        <f>IF(Tech_Specs!$E10="linear",TREND(Perform_Active!$E11:$F11,Perform_Active!$E$8:$F$8,AM$81),)</f>
        <v>15.375</v>
      </c>
      <c r="AN84" s="405">
        <f>IF(Tech_Specs!$E10="linear",TREND(Perform_Active!$E11:$F11,Perform_Active!$E$8:$F$8,AN$81),)</f>
        <v>15.449999999999989</v>
      </c>
      <c r="AO84" s="405">
        <f>IF(Tech_Specs!$E10="linear",TREND(Perform_Active!$E11:$F11,Perform_Active!$E$8:$F$8,AO$81),)</f>
        <v>15.525000000000006</v>
      </c>
      <c r="AP84" s="405">
        <f>IF(Tech_Specs!$E10="linear",TREND(Perform_Active!$E11:$F11,Perform_Active!$E$8:$F$8,AP$81),)</f>
        <v>15.599999999999994</v>
      </c>
      <c r="AQ84" s="405">
        <f>IF(Tech_Specs!$E10="linear",TREND(Perform_Active!$E11:$F11,Perform_Active!$E$8:$F$8,AQ$81),)</f>
        <v>15.674999999999983</v>
      </c>
      <c r="AR84" s="405">
        <f>IF(Tech_Specs!$E10="linear",TREND(Perform_Active!$E11:$F11,Perform_Active!$E$8:$F$8,AR$81),)</f>
        <v>15.75</v>
      </c>
      <c r="AS84" s="405">
        <f>IF(Tech_Specs!$E10="linear",TREND(Perform_Active!$E11:$F11,Perform_Active!$E$8:$F$8,AS$81),)</f>
        <v>15.824999999999989</v>
      </c>
      <c r="AT84" s="405">
        <f>IF(Tech_Specs!$E10="linear",TREND(Perform_Active!$E11:$F11,Perform_Active!$E$8:$F$8,AT$81),)</f>
        <v>15.900000000000006</v>
      </c>
      <c r="AU84" s="405">
        <f>IF(Tech_Specs!$E10="linear",TREND(Perform_Active!$E11:$F11,Perform_Active!$E$8:$F$8,AU$81),)</f>
        <v>15.974999999999994</v>
      </c>
      <c r="AV84" s="405">
        <f>IF(Tech_Specs!$E10="linear",TREND(Perform_Active!$E11:$F11,Perform_Active!$E$8:$F$8,AV$81),)</f>
        <v>16.049999999999983</v>
      </c>
      <c r="AW84" s="405">
        <f>IF(Tech_Specs!$E10="linear",TREND(Perform_Active!$E11:$F11,Perform_Active!$E$8:$F$8,AW$81),)</f>
        <v>16.125</v>
      </c>
      <c r="AX84" s="405">
        <f>IF(Tech_Specs!$E10="linear",TREND(Perform_Active!$E11:$F11,Perform_Active!$E$8:$F$8,AX$81),)</f>
        <v>16.199999999999989</v>
      </c>
      <c r="AY84" s="405">
        <f>IF(Tech_Specs!$E10="linear",TREND(Perform_Active!$E11:$F11,Perform_Active!$E$8:$F$8,AY$81),)</f>
        <v>16.275000000000006</v>
      </c>
      <c r="AZ84" s="405">
        <f>IF(Tech_Specs!$E10="linear",TREND(Perform_Active!$E11:$F11,Perform_Active!$E$8:$F$8,AZ$81),)</f>
        <v>16.349999999999994</v>
      </c>
      <c r="BA84" s="405">
        <f>IF(Tech_Specs!$E10="linear",TREND(Perform_Active!$E11:$F11,Perform_Active!$E$8:$F$8,BA$81),)</f>
        <v>16.424999999999983</v>
      </c>
      <c r="BB84" s="405">
        <f>IF(Tech_Specs!$E10="linear",TREND(Perform_Active!$E11:$F11,Perform_Active!$E$8:$F$8,BB$81),)</f>
        <v>16.5</v>
      </c>
      <c r="BC84" s="405">
        <f>IF(Tech_Specs!$E10="linear",TREND(Perform_Active!$E11:$F11,Perform_Active!$E$8:$F$8,BC$81),)</f>
        <v>16.574999999999989</v>
      </c>
      <c r="BD84" s="405">
        <f>IF(Tech_Specs!$E10="linear",TREND(Perform_Active!$E11:$F11,Perform_Active!$E$8:$F$8,BD$81),)</f>
        <v>16.650000000000006</v>
      </c>
      <c r="BE84" s="405">
        <f>IF(Tech_Specs!$E10="linear",TREND(Perform_Active!$E11:$F11,Perform_Active!$E$8:$F$8,BE$81),)</f>
        <v>16.724999999999994</v>
      </c>
      <c r="BF84" s="405">
        <f>IF(Tech_Specs!$E10="linear",TREND(Perform_Active!$E11:$F11,Perform_Active!$E$8:$F$8,BF$81),)</f>
        <v>16.799999999999983</v>
      </c>
      <c r="BG84" s="405">
        <f>IF(Tech_Specs!$E10="linear",TREND(Perform_Active!$E11:$F11,Perform_Active!$E$8:$F$8,BG$81),)</f>
        <v>16.875</v>
      </c>
      <c r="BI84" s="405">
        <f>IF(Tech_Specs!$E10="logistic",IF($B10="LED",IF(Tech_Specs!$K10="lamp",Perform_SSL!G$10,Perform_SSL!G$11)),)</f>
        <v>0</v>
      </c>
      <c r="BJ84" s="405">
        <f>IF(Tech_Specs!$E10="logistic",IF($B10="LED",IF(Tech_Specs!$K10="lamp",Perform_SSL!H$10,Perform_SSL!H$11)),)</f>
        <v>0</v>
      </c>
      <c r="BK84" s="405">
        <f>IF(Tech_Specs!$E10="logistic",IF($B10="LED",IF(Tech_Specs!$K10="lamp",Perform_SSL!I$10,Perform_SSL!I$11)),)</f>
        <v>0</v>
      </c>
      <c r="BL84" s="405">
        <f>IF(Tech_Specs!$E10="logistic",IF($B10="LED",IF(Tech_Specs!$K10="lamp",Perform_SSL!J$10,Perform_SSL!J$11)),)</f>
        <v>0</v>
      </c>
      <c r="BM84" s="405">
        <f>IF(Tech_Specs!$E10="logistic",IF($B10="LED",IF(Tech_Specs!$K10="lamp",Perform_SSL!K$10,Perform_SSL!K$11)),)</f>
        <v>0</v>
      </c>
      <c r="BN84" s="405">
        <f>IF(Tech_Specs!$E10="logistic",IF($B10="LED",IF(Tech_Specs!$K10="lamp",Perform_SSL!L$10,Perform_SSL!L$11)),)</f>
        <v>0</v>
      </c>
      <c r="BO84" s="405">
        <f>IF(Tech_Specs!$E10="logistic",IF($B10="LED",IF(Tech_Specs!$K10="lamp",Perform_SSL!M$10,Perform_SSL!M$11)),)</f>
        <v>0</v>
      </c>
      <c r="BP84" s="405">
        <f>IF(Tech_Specs!$E10="logistic",IF($B10="LED",IF(Tech_Specs!$K10="lamp",Perform_SSL!N$10,Perform_SSL!N$11)),)</f>
        <v>0</v>
      </c>
      <c r="BQ84" s="405">
        <f>IF(Tech_Specs!$E10="logistic",IF($B10="LED",IF(Tech_Specs!$K10="lamp",Perform_SSL!O$10,Perform_SSL!O$11)),)</f>
        <v>0</v>
      </c>
      <c r="BR84" s="405">
        <f>IF(Tech_Specs!$E10="logistic",IF($B10="LED",IF(Tech_Specs!$K10="lamp",Perform_SSL!P$10,Perform_SSL!P$11)),)</f>
        <v>0</v>
      </c>
      <c r="BS84" s="405">
        <f>IF(Tech_Specs!$E10="logistic",IF($B10="LED",IF(Tech_Specs!$K10="lamp",Perform_SSL!Q$10,Perform_SSL!Q$11)),)</f>
        <v>0</v>
      </c>
      <c r="BT84" s="405">
        <f>IF(Tech_Specs!$E10="logistic",IF($B10="LED",IF(Tech_Specs!$K10="lamp",Perform_SSL!R$10,Perform_SSL!R$11)),)</f>
        <v>0</v>
      </c>
      <c r="BU84" s="405">
        <f>IF(Tech_Specs!$E10="logistic",IF($B10="LED",IF(Tech_Specs!$K10="lamp",Perform_SSL!S$10,Perform_SSL!S$11)),)</f>
        <v>0</v>
      </c>
      <c r="BV84" s="405">
        <f>IF(Tech_Specs!$E10="logistic",IF($B10="LED",IF(Tech_Specs!$K10="lamp",Perform_SSL!T$10,Perform_SSL!T$11)),)</f>
        <v>0</v>
      </c>
      <c r="BW84" s="405">
        <f>IF(Tech_Specs!$E10="logistic",IF($B10="LED",IF(Tech_Specs!$K10="lamp",Perform_SSL!U$10,Perform_SSL!U$11)),)</f>
        <v>0</v>
      </c>
      <c r="BX84" s="405">
        <f>IF(Tech_Specs!$E10="logistic",IF($B10="LED",IF(Tech_Specs!$K10="lamp",Perform_SSL!V$10,Perform_SSL!V$11)),)</f>
        <v>0</v>
      </c>
      <c r="BY84" s="405">
        <f>IF(Tech_Specs!$E10="logistic",IF($B10="LED",IF(Tech_Specs!$K10="lamp",Perform_SSL!W$10,Perform_SSL!W$11)),)</f>
        <v>0</v>
      </c>
      <c r="BZ84" s="405">
        <f>IF(Tech_Specs!$E10="logistic",IF($B10="LED",IF(Tech_Specs!$K10="lamp",Perform_SSL!X$10,Perform_SSL!X$11)),)</f>
        <v>0</v>
      </c>
      <c r="CA84" s="405">
        <f>IF(Tech_Specs!$E10="logistic",IF($B10="LED",IF(Tech_Specs!$K10="lamp",Perform_SSL!Y$10,Perform_SSL!Y$11)),)</f>
        <v>0</v>
      </c>
      <c r="CB84" s="405">
        <f>IF(Tech_Specs!$E10="logistic",IF($B10="LED",IF(Tech_Specs!$K10="lamp",Perform_SSL!Z$10,Perform_SSL!Z$11)),)</f>
        <v>0</v>
      </c>
      <c r="CC84" s="405">
        <f>IF(Tech_Specs!$E10="logistic",IF($B10="LED",IF(Tech_Specs!$K10="lamp",Perform_SSL!AA$10,Perform_SSL!AA$11)),)</f>
        <v>0</v>
      </c>
      <c r="CD84" s="405">
        <f>IF(Tech_Specs!$E10="logistic",IF($B10="LED",IF(Tech_Specs!$K10="lamp",Perform_SSL!AB$10,Perform_SSL!AB$11)),)</f>
        <v>0</v>
      </c>
      <c r="CE84" s="405">
        <f>IF(Tech_Specs!$E10="logistic",IF($B10="LED",IF(Tech_Specs!$K10="lamp",Perform_SSL!AC$10,Perform_SSL!AC$11)),)</f>
        <v>0</v>
      </c>
      <c r="CF84" s="405">
        <f>IF(Tech_Specs!$E10="logistic",IF($B10="LED",IF(Tech_Specs!$K10="lamp",Perform_SSL!AD$10,Perform_SSL!AD$11)),)</f>
        <v>0</v>
      </c>
      <c r="CG84" s="405">
        <f>IF(Tech_Specs!$E10="logistic",IF($B10="LED",IF(Tech_Specs!$K10="lamp",Perform_SSL!AE$10,Perform_SSL!AE$11)),)</f>
        <v>0</v>
      </c>
      <c r="CH84" s="405">
        <f>IF(Tech_Specs!$E10="logistic",IF($B10="LED",IF(Tech_Specs!$K10="lamp",Perform_SSL!AF$10,Perform_SSL!AF$11)),)</f>
        <v>0</v>
      </c>
      <c r="CJ84" s="625">
        <f>IF(AND(Tech_Specs!$E10="step",Standards_Active!$E11="yes"),IF(CJ$81&lt;Standards_Active!$C11,TREND(Perform_Active!$E11:$F11,Perform_Active!$E$8:$F$8,CJ$81),IF(ISNUMBER(Standards_Active!$I11),IF(AND(CJ$81&gt;=Standards_Active!$C11,CJ$81&lt;Standards_Active!$D11),(Standards_Active!$I11-INDEX($CJ84:$DI84,1,MATCH((Standards_Active!$C11-1),$CJ$81:$DI$81,FALSE)))/(Standards_Active!$D11-(Standards_Active!$C11-1))+CI84,Standards_Active!$I11*((1+Standards_Active!$N11)^(CJ$81-Standards_Active!$D11))),TREND(Perform_Active!$E11:$F11,Perform_Active!$E$8:$F$8,CJ$81))),)</f>
        <v>0</v>
      </c>
      <c r="CK84" s="625">
        <f>IF(AND(Tech_Specs!$E10="step",Standards_Active!$E11="yes"),IF(CK$81&lt;Standards_Active!$C11,TREND(Perform_Active!$E11:$F11,Perform_Active!$E$8:$F$8,CK$81),IF(ISNUMBER(Standards_Active!$I11),IF(AND(CK$81&gt;=Standards_Active!$C11,CK$81&lt;Standards_Active!$D11),(Standards_Active!$I11-INDEX($CJ84:$DI84,1,MATCH((Standards_Active!$C11-1),$CJ$81:$DI$81,FALSE)))/(Standards_Active!$D11-(Standards_Active!$C11-1))+CJ84,Standards_Active!$I11*((1+Standards_Active!$N11)^(CK$81-Standards_Active!$D11))),TREND(Perform_Active!$E11:$F11,Perform_Active!$E$8:$F$8,CK$81))),)</f>
        <v>0</v>
      </c>
      <c r="CL84" s="625">
        <f>IF(AND(Tech_Specs!$E10="step",Standards_Active!$E11="yes"),IF(CL$81&lt;Standards_Active!$C11,TREND(Perform_Active!$E11:$F11,Perform_Active!$E$8:$F$8,CL$81),IF(ISNUMBER(Standards_Active!$I11),IF(AND(CL$81&gt;=Standards_Active!$C11,CL$81&lt;Standards_Active!$D11),(Standards_Active!$I11-INDEX($CJ84:$DI84,1,MATCH((Standards_Active!$C11-1),$CJ$81:$DI$81,FALSE)))/(Standards_Active!$D11-(Standards_Active!$C11-1))+CK84,Standards_Active!$I11*((1+Standards_Active!$N11)^(CL$81-Standards_Active!$D11))),TREND(Perform_Active!$E11:$F11,Perform_Active!$E$8:$F$8,CL$81))),)</f>
        <v>0</v>
      </c>
      <c r="CM84" s="625">
        <f>IF(AND(Tech_Specs!$E10="step",Standards_Active!$E11="yes"),IF(CM$81&lt;Standards_Active!$C11,TREND(Perform_Active!$E11:$F11,Perform_Active!$E$8:$F$8,CM$81),IF(ISNUMBER(Standards_Active!$I11),IF(AND(CM$81&gt;=Standards_Active!$C11,CM$81&lt;Standards_Active!$D11),(Standards_Active!$I11-INDEX($CJ84:$DI84,1,MATCH((Standards_Active!$C11-1),$CJ$81:$DI$81,FALSE)))/(Standards_Active!$D11-(Standards_Active!$C11-1))+CL84,Standards_Active!$I11*((1+Standards_Active!$N11)^(CM$81-Standards_Active!$D11))),TREND(Perform_Active!$E11:$F11,Perform_Active!$E$8:$F$8,CM$81))),)</f>
        <v>0</v>
      </c>
      <c r="CN84" s="625">
        <f>IF(AND(Tech_Specs!$E10="step",Standards_Active!$E11="yes"),IF(CN$81&lt;Standards_Active!$C11,TREND(Perform_Active!$E11:$F11,Perform_Active!$E$8:$F$8,CN$81),IF(ISNUMBER(Standards_Active!$I11),IF(AND(CN$81&gt;=Standards_Active!$C11,CN$81&lt;Standards_Active!$D11),(Standards_Active!$I11-INDEX($CJ84:$DI84,1,MATCH((Standards_Active!$C11-1),$CJ$81:$DI$81,FALSE)))/(Standards_Active!$D11-(Standards_Active!$C11-1))+CM84,Standards_Active!$I11*((1+Standards_Active!$N11)^(CN$81-Standards_Active!$D11))),TREND(Perform_Active!$E11:$F11,Perform_Active!$E$8:$F$8,CN$81))),)</f>
        <v>0</v>
      </c>
      <c r="CO84" s="625">
        <f>IF(AND(Tech_Specs!$E10="step",Standards_Active!$E11="yes"),IF(CO$81&lt;Standards_Active!$C11,TREND(Perform_Active!$E11:$F11,Perform_Active!$E$8:$F$8,CO$81),IF(ISNUMBER(Standards_Active!$I11),IF(AND(CO$81&gt;=Standards_Active!$C11,CO$81&lt;Standards_Active!$D11),(Standards_Active!$I11-INDEX($CJ84:$DI84,1,MATCH((Standards_Active!$C11-1),$CJ$81:$DI$81,FALSE)))/(Standards_Active!$D11-(Standards_Active!$C11-1))+CN84,Standards_Active!$I11*((1+Standards_Active!$N11)^(CO$81-Standards_Active!$D11))),TREND(Perform_Active!$E11:$F11,Perform_Active!$E$8:$F$8,CO$81))),)</f>
        <v>0</v>
      </c>
      <c r="CP84" s="625">
        <f>IF(AND(Tech_Specs!$E10="step",Standards_Active!$E11="yes"),IF(CP$81&lt;Standards_Active!$C11,TREND(Perform_Active!$E11:$F11,Perform_Active!$E$8:$F$8,CP$81),IF(ISNUMBER(Standards_Active!$I11),IF(AND(CP$81&gt;=Standards_Active!$C11,CP$81&lt;Standards_Active!$D11),(Standards_Active!$I11-INDEX($CJ84:$DI84,1,MATCH((Standards_Active!$C11-1),$CJ$81:$DI$81,FALSE)))/(Standards_Active!$D11-(Standards_Active!$C11-1))+CO84,Standards_Active!$I11*((1+Standards_Active!$N11)^(CP$81-Standards_Active!$D11))),TREND(Perform_Active!$E11:$F11,Perform_Active!$E$8:$F$8,CP$81))),)</f>
        <v>0</v>
      </c>
      <c r="CQ84" s="625">
        <f>IF(AND(Tech_Specs!$E10="step",Standards_Active!$E11="yes"),IF(CQ$81&lt;Standards_Active!$C11,TREND(Perform_Active!$E11:$F11,Perform_Active!$E$8:$F$8,CQ$81),IF(ISNUMBER(Standards_Active!$I11),IF(AND(CQ$81&gt;=Standards_Active!$C11,CQ$81&lt;Standards_Active!$D11),(Standards_Active!$I11-INDEX($CJ84:$DI84,1,MATCH((Standards_Active!$C11-1),$CJ$81:$DI$81,FALSE)))/(Standards_Active!$D11-(Standards_Active!$C11-1))+CP84,Standards_Active!$I11*((1+Standards_Active!$N11)^(CQ$81-Standards_Active!$D11))),TREND(Perform_Active!$E11:$F11,Perform_Active!$E$8:$F$8,CQ$81))),)</f>
        <v>0</v>
      </c>
      <c r="CR84" s="625">
        <f>IF(AND(Tech_Specs!$E10="step",Standards_Active!$E11="yes"),IF(CR$81&lt;Standards_Active!$C11,TREND(Perform_Active!$E11:$F11,Perform_Active!$E$8:$F$8,CR$81),IF(ISNUMBER(Standards_Active!$I11),IF(AND(CR$81&gt;=Standards_Active!$C11,CR$81&lt;Standards_Active!$D11),(Standards_Active!$I11-INDEX($CJ84:$DI84,1,MATCH((Standards_Active!$C11-1),$CJ$81:$DI$81,FALSE)))/(Standards_Active!$D11-(Standards_Active!$C11-1))+CQ84,Standards_Active!$I11*((1+Standards_Active!$N11)^(CR$81-Standards_Active!$D11))),TREND(Perform_Active!$E11:$F11,Perform_Active!$E$8:$F$8,CR$81))),)</f>
        <v>0</v>
      </c>
      <c r="CS84" s="625">
        <f>IF(AND(Tech_Specs!$E10="step",Standards_Active!$E11="yes"),IF(CS$81&lt;Standards_Active!$C11,TREND(Perform_Active!$E11:$F11,Perform_Active!$E$8:$F$8,CS$81),IF(ISNUMBER(Standards_Active!$I11),IF(AND(CS$81&gt;=Standards_Active!$C11,CS$81&lt;Standards_Active!$D11),(Standards_Active!$I11-INDEX($CJ84:$DI84,1,MATCH((Standards_Active!$C11-1),$CJ$81:$DI$81,FALSE)))/(Standards_Active!$D11-(Standards_Active!$C11-1))+CR84,Standards_Active!$I11*((1+Standards_Active!$N11)^(CS$81-Standards_Active!$D11))),TREND(Perform_Active!$E11:$F11,Perform_Active!$E$8:$F$8,CS$81))),)</f>
        <v>0</v>
      </c>
      <c r="CT84" s="625">
        <f>IF(AND(Tech_Specs!$E10="step",Standards_Active!$E11="yes"),IF(CT$81&lt;Standards_Active!$C11,TREND(Perform_Active!$E11:$F11,Perform_Active!$E$8:$F$8,CT$81),IF(ISNUMBER(Standards_Active!$I11),IF(AND(CT$81&gt;=Standards_Active!$C11,CT$81&lt;Standards_Active!$D11),(Standards_Active!$I11-INDEX($CJ84:$DI84,1,MATCH((Standards_Active!$C11-1),$CJ$81:$DI$81,FALSE)))/(Standards_Active!$D11-(Standards_Active!$C11-1))+CS84,Standards_Active!$I11*((1+Standards_Active!$N11)^(CT$81-Standards_Active!$D11))),TREND(Perform_Active!$E11:$F11,Perform_Active!$E$8:$F$8,CT$81))),)</f>
        <v>0</v>
      </c>
      <c r="CU84" s="625">
        <f>IF(AND(Tech_Specs!$E10="step",Standards_Active!$E11="yes"),IF(CU$81&lt;Standards_Active!$C11,TREND(Perform_Active!$E11:$F11,Perform_Active!$E$8:$F$8,CU$81),IF(ISNUMBER(Standards_Active!$I11),IF(AND(CU$81&gt;=Standards_Active!$C11,CU$81&lt;Standards_Active!$D11),(Standards_Active!$I11-INDEX($CJ84:$DI84,1,MATCH((Standards_Active!$C11-1),$CJ$81:$DI$81,FALSE)))/(Standards_Active!$D11-(Standards_Active!$C11-1))+CT84,Standards_Active!$I11*((1+Standards_Active!$N11)^(CU$81-Standards_Active!$D11))),TREND(Perform_Active!$E11:$F11,Perform_Active!$E$8:$F$8,CU$81))),)</f>
        <v>0</v>
      </c>
      <c r="CV84" s="625">
        <f>IF(AND(Tech_Specs!$E10="step",Standards_Active!$E11="yes"),IF(CV$81&lt;Standards_Active!$C11,TREND(Perform_Active!$E11:$F11,Perform_Active!$E$8:$F$8,CV$81),IF(ISNUMBER(Standards_Active!$I11),IF(AND(CV$81&gt;=Standards_Active!$C11,CV$81&lt;Standards_Active!$D11),(Standards_Active!$I11-INDEX($CJ84:$DI84,1,MATCH((Standards_Active!$C11-1),$CJ$81:$DI$81,FALSE)))/(Standards_Active!$D11-(Standards_Active!$C11-1))+CU84,Standards_Active!$I11*((1+Standards_Active!$N11)^(CV$81-Standards_Active!$D11))),TREND(Perform_Active!$E11:$F11,Perform_Active!$E$8:$F$8,CV$81))),)</f>
        <v>0</v>
      </c>
      <c r="CW84" s="625">
        <f>IF(AND(Tech_Specs!$E10="step",Standards_Active!$E11="yes"),IF(CW$81&lt;Standards_Active!$C11,TREND(Perform_Active!$E11:$F11,Perform_Active!$E$8:$F$8,CW$81),IF(ISNUMBER(Standards_Active!$I11),IF(AND(CW$81&gt;=Standards_Active!$C11,CW$81&lt;Standards_Active!$D11),(Standards_Active!$I11-INDEX($CJ84:$DI84,1,MATCH((Standards_Active!$C11-1),$CJ$81:$DI$81,FALSE)))/(Standards_Active!$D11-(Standards_Active!$C11-1))+CV84,Standards_Active!$I11*((1+Standards_Active!$N11)^(CW$81-Standards_Active!$D11))),TREND(Perform_Active!$E11:$F11,Perform_Active!$E$8:$F$8,CW$81))),)</f>
        <v>0</v>
      </c>
      <c r="CX84" s="625">
        <f>IF(AND(Tech_Specs!$E10="step",Standards_Active!$E11="yes"),IF(CX$81&lt;Standards_Active!$C11,TREND(Perform_Active!$E11:$F11,Perform_Active!$E$8:$F$8,CX$81),IF(ISNUMBER(Standards_Active!$I11),IF(AND(CX$81&gt;=Standards_Active!$C11,CX$81&lt;Standards_Active!$D11),(Standards_Active!$I11-INDEX($CJ84:$DI84,1,MATCH((Standards_Active!$C11-1),$CJ$81:$DI$81,FALSE)))/(Standards_Active!$D11-(Standards_Active!$C11-1))+CW84,Standards_Active!$I11*((1+Standards_Active!$N11)^(CX$81-Standards_Active!$D11))),TREND(Perform_Active!$E11:$F11,Perform_Active!$E$8:$F$8,CX$81))),)</f>
        <v>0</v>
      </c>
      <c r="CY84" s="625">
        <f>IF(AND(Tech_Specs!$E10="step",Standards_Active!$E11="yes"),IF(CY$81&lt;Standards_Active!$C11,TREND(Perform_Active!$E11:$F11,Perform_Active!$E$8:$F$8,CY$81),IF(ISNUMBER(Standards_Active!$I11),IF(AND(CY$81&gt;=Standards_Active!$C11,CY$81&lt;Standards_Active!$D11),(Standards_Active!$I11-INDEX($CJ84:$DI84,1,MATCH((Standards_Active!$C11-1),$CJ$81:$DI$81,FALSE)))/(Standards_Active!$D11-(Standards_Active!$C11-1))+CX84,Standards_Active!$I11*((1+Standards_Active!$N11)^(CY$81-Standards_Active!$D11))),TREND(Perform_Active!$E11:$F11,Perform_Active!$E$8:$F$8,CY$81))),)</f>
        <v>0</v>
      </c>
      <c r="CZ84" s="625">
        <f>IF(AND(Tech_Specs!$E10="step",Standards_Active!$E11="yes"),IF(CZ$81&lt;Standards_Active!$C11,TREND(Perform_Active!$E11:$F11,Perform_Active!$E$8:$F$8,CZ$81),IF(ISNUMBER(Standards_Active!$I11),IF(AND(CZ$81&gt;=Standards_Active!$C11,CZ$81&lt;Standards_Active!$D11),(Standards_Active!$I11-INDEX($CJ84:$DI84,1,MATCH((Standards_Active!$C11-1),$CJ$81:$DI$81,FALSE)))/(Standards_Active!$D11-(Standards_Active!$C11-1))+CY84,Standards_Active!$I11*((1+Standards_Active!$N11)^(CZ$81-Standards_Active!$D11))),TREND(Perform_Active!$E11:$F11,Perform_Active!$E$8:$F$8,CZ$81))),)</f>
        <v>0</v>
      </c>
      <c r="DA84" s="625">
        <f>IF(AND(Tech_Specs!$E10="step",Standards_Active!$E11="yes"),IF(DA$81&lt;Standards_Active!$C11,TREND(Perform_Active!$E11:$F11,Perform_Active!$E$8:$F$8,DA$81),IF(ISNUMBER(Standards_Active!$I11),IF(AND(DA$81&gt;=Standards_Active!$C11,DA$81&lt;Standards_Active!$D11),(Standards_Active!$I11-INDEX($CJ84:$DI84,1,MATCH((Standards_Active!$C11-1),$CJ$81:$DI$81,FALSE)))/(Standards_Active!$D11-(Standards_Active!$C11-1))+CZ84,Standards_Active!$I11*((1+Standards_Active!$N11)^(DA$81-Standards_Active!$D11))),TREND(Perform_Active!$E11:$F11,Perform_Active!$E$8:$F$8,DA$81))),)</f>
        <v>0</v>
      </c>
      <c r="DB84" s="625">
        <f>IF(AND(Tech_Specs!$E10="step",Standards_Active!$E11="yes"),IF(DB$81&lt;Standards_Active!$C11,TREND(Perform_Active!$E11:$F11,Perform_Active!$E$8:$F$8,DB$81),IF(ISNUMBER(Standards_Active!$I11),IF(AND(DB$81&gt;=Standards_Active!$C11,DB$81&lt;Standards_Active!$D11),(Standards_Active!$I11-INDEX($CJ84:$DI84,1,MATCH((Standards_Active!$C11-1),$CJ$81:$DI$81,FALSE)))/(Standards_Active!$D11-(Standards_Active!$C11-1))+DA84,Standards_Active!$I11*((1+Standards_Active!$N11)^(DB$81-Standards_Active!$D11))),TREND(Perform_Active!$E11:$F11,Perform_Active!$E$8:$F$8,DB$81))),)</f>
        <v>0</v>
      </c>
      <c r="DC84" s="625">
        <f>IF(AND(Tech_Specs!$E10="step",Standards_Active!$E11="yes"),IF(DC$81&lt;Standards_Active!$C11,TREND(Perform_Active!$E11:$F11,Perform_Active!$E$8:$F$8,DC$81),IF(ISNUMBER(Standards_Active!$I11),IF(AND(DC$81&gt;=Standards_Active!$C11,DC$81&lt;Standards_Active!$D11),(Standards_Active!$I11-INDEX($CJ84:$DI84,1,MATCH((Standards_Active!$C11-1),$CJ$81:$DI$81,FALSE)))/(Standards_Active!$D11-(Standards_Active!$C11-1))+DB84,Standards_Active!$I11*((1+Standards_Active!$N11)^(DC$81-Standards_Active!$D11))),TREND(Perform_Active!$E11:$F11,Perform_Active!$E$8:$F$8,DC$81))),)</f>
        <v>0</v>
      </c>
      <c r="DD84" s="625">
        <f>IF(AND(Tech_Specs!$E10="step",Standards_Active!$E11="yes"),IF(DD$81&lt;Standards_Active!$C11,TREND(Perform_Active!$E11:$F11,Perform_Active!$E$8:$F$8,DD$81),IF(ISNUMBER(Standards_Active!$I11),IF(AND(DD$81&gt;=Standards_Active!$C11,DD$81&lt;Standards_Active!$D11),(Standards_Active!$I11-INDEX($CJ84:$DI84,1,MATCH((Standards_Active!$C11-1),$CJ$81:$DI$81,FALSE)))/(Standards_Active!$D11-(Standards_Active!$C11-1))+DC84,Standards_Active!$I11*((1+Standards_Active!$N11)^(DD$81-Standards_Active!$D11))),TREND(Perform_Active!$E11:$F11,Perform_Active!$E$8:$F$8,DD$81))),)</f>
        <v>0</v>
      </c>
      <c r="DE84" s="625">
        <f>IF(AND(Tech_Specs!$E10="step",Standards_Active!$E11="yes"),IF(DE$81&lt;Standards_Active!$C11,TREND(Perform_Active!$E11:$F11,Perform_Active!$E$8:$F$8,DE$81),IF(ISNUMBER(Standards_Active!$I11),IF(AND(DE$81&gt;=Standards_Active!$C11,DE$81&lt;Standards_Active!$D11),(Standards_Active!$I11-INDEX($CJ84:$DI84,1,MATCH((Standards_Active!$C11-1),$CJ$81:$DI$81,FALSE)))/(Standards_Active!$D11-(Standards_Active!$C11-1))+DD84,Standards_Active!$I11*((1+Standards_Active!$N11)^(DE$81-Standards_Active!$D11))),TREND(Perform_Active!$E11:$F11,Perform_Active!$E$8:$F$8,DE$81))),)</f>
        <v>0</v>
      </c>
      <c r="DF84" s="625">
        <f>IF(AND(Tech_Specs!$E10="step",Standards_Active!$E11="yes"),IF(DF$81&lt;Standards_Active!$C11,TREND(Perform_Active!$E11:$F11,Perform_Active!$E$8:$F$8,DF$81),IF(ISNUMBER(Standards_Active!$I11),IF(AND(DF$81&gt;=Standards_Active!$C11,DF$81&lt;Standards_Active!$D11),(Standards_Active!$I11-INDEX($CJ84:$DI84,1,MATCH((Standards_Active!$C11-1),$CJ$81:$DI$81,FALSE)))/(Standards_Active!$D11-(Standards_Active!$C11-1))+DE84,Standards_Active!$I11*((1+Standards_Active!$N11)^(DF$81-Standards_Active!$D11))),TREND(Perform_Active!$E11:$F11,Perform_Active!$E$8:$F$8,DF$81))),)</f>
        <v>0</v>
      </c>
      <c r="DG84" s="625">
        <f>IF(AND(Tech_Specs!$E10="step",Standards_Active!$E11="yes"),IF(DG$81&lt;Standards_Active!$C11,TREND(Perform_Active!$E11:$F11,Perform_Active!$E$8:$F$8,DG$81),IF(ISNUMBER(Standards_Active!$I11),IF(AND(DG$81&gt;=Standards_Active!$C11,DG$81&lt;Standards_Active!$D11),(Standards_Active!$I11-INDEX($CJ84:$DI84,1,MATCH((Standards_Active!$C11-1),$CJ$81:$DI$81,FALSE)))/(Standards_Active!$D11-(Standards_Active!$C11-1))+DF84,Standards_Active!$I11*((1+Standards_Active!$N11)^(DG$81-Standards_Active!$D11))),TREND(Perform_Active!$E11:$F11,Perform_Active!$E$8:$F$8,DG$81))),)</f>
        <v>0</v>
      </c>
      <c r="DH84" s="625">
        <f>IF(AND(Tech_Specs!$E10="step",Standards_Active!$E11="yes"),IF(DH$81&lt;Standards_Active!$C11,TREND(Perform_Active!$E11:$F11,Perform_Active!$E$8:$F$8,DH$81),IF(ISNUMBER(Standards_Active!$I11),IF(AND(DH$81&gt;=Standards_Active!$C11,DH$81&lt;Standards_Active!$D11),(Standards_Active!$I11-INDEX($CJ84:$DI84,1,MATCH((Standards_Active!$C11-1),$CJ$81:$DI$81,FALSE)))/(Standards_Active!$D11-(Standards_Active!$C11-1))+DG84,Standards_Active!$I11*((1+Standards_Active!$N11)^(DH$81-Standards_Active!$D11))),TREND(Perform_Active!$E11:$F11,Perform_Active!$E$8:$F$8,DH$81))),)</f>
        <v>0</v>
      </c>
      <c r="DI84" s="625">
        <f>IF(AND(Tech_Specs!$E10="step",Standards_Active!$E11="yes"),IF(DI$81&lt;Standards_Active!$C11,TREND(Perform_Active!$E11:$F11,Perform_Active!$E$8:$F$8,DI$81),IF(ISNUMBER(Standards_Active!$I11),IF(AND(DI$81&gt;=Standards_Active!$C11,DI$81&lt;Standards_Active!$D11),(Standards_Active!$I11-INDEX($CJ84:$DI84,1,MATCH((Standards_Active!$C11-1),$CJ$81:$DI$81,FALSE)))/(Standards_Active!$D11-(Standards_Active!$C11-1))+DH84,Standards_Active!$I11*((1+Standards_Active!$N11)^(DI$81-Standards_Active!$D11))),TREND(Perform_Active!$E11:$F11,Perform_Active!$E$8:$F$8,DI$81))),)</f>
        <v>0</v>
      </c>
    </row>
    <row r="85" spans="1:113" s="376" customFormat="1" ht="12.6" x14ac:dyDescent="0.25">
      <c r="B85" s="376" t="s">
        <v>27</v>
      </c>
      <c r="C85" s="379"/>
      <c r="D85" s="379"/>
      <c r="E85" s="379"/>
      <c r="F85" s="379"/>
      <c r="G85" s="390">
        <f t="shared" si="21"/>
        <v>53</v>
      </c>
      <c r="H85" s="390">
        <f t="shared" si="21"/>
        <v>53.2650000000001</v>
      </c>
      <c r="I85" s="390">
        <f t="shared" si="21"/>
        <v>53.530000000000086</v>
      </c>
      <c r="J85" s="390">
        <f t="shared" si="21"/>
        <v>53.795000000000073</v>
      </c>
      <c r="K85" s="390">
        <f t="shared" si="21"/>
        <v>54.060000000000059</v>
      </c>
      <c r="L85" s="390">
        <f t="shared" si="21"/>
        <v>54.325000000000045</v>
      </c>
      <c r="M85" s="390">
        <f t="shared" si="21"/>
        <v>54.590000000000032</v>
      </c>
      <c r="N85" s="390">
        <f t="shared" si="21"/>
        <v>54.855000000000018</v>
      </c>
      <c r="O85" s="390">
        <f t="shared" si="21"/>
        <v>55.120000000000005</v>
      </c>
      <c r="P85" s="390">
        <f t="shared" si="21"/>
        <v>55.385000000000105</v>
      </c>
      <c r="Q85" s="390">
        <f t="shared" si="22"/>
        <v>55.650000000000091</v>
      </c>
      <c r="R85" s="390">
        <f t="shared" si="22"/>
        <v>55.915000000000077</v>
      </c>
      <c r="S85" s="390">
        <f t="shared" si="22"/>
        <v>56.180000000000064</v>
      </c>
      <c r="T85" s="390">
        <f t="shared" si="22"/>
        <v>56.44500000000005</v>
      </c>
      <c r="U85" s="390">
        <f t="shared" si="22"/>
        <v>56.710000000000036</v>
      </c>
      <c r="V85" s="390">
        <f t="shared" si="22"/>
        <v>56.975000000000023</v>
      </c>
      <c r="W85" s="390">
        <f t="shared" si="22"/>
        <v>57.240000000000009</v>
      </c>
      <c r="X85" s="390">
        <f t="shared" si="22"/>
        <v>57.504999999999995</v>
      </c>
      <c r="Y85" s="390">
        <f t="shared" si="22"/>
        <v>57.770000000000095</v>
      </c>
      <c r="Z85" s="390">
        <f t="shared" si="22"/>
        <v>58.035000000000082</v>
      </c>
      <c r="AA85" s="390">
        <f t="shared" si="23"/>
        <v>58.300000000000068</v>
      </c>
      <c r="AB85" s="390">
        <f t="shared" si="23"/>
        <v>58.565000000000055</v>
      </c>
      <c r="AC85" s="390">
        <f t="shared" si="23"/>
        <v>58.830000000000041</v>
      </c>
      <c r="AD85" s="390">
        <f t="shared" si="23"/>
        <v>59.095000000000027</v>
      </c>
      <c r="AE85" s="390">
        <f t="shared" si="23"/>
        <v>59.360000000000014</v>
      </c>
      <c r="AF85" s="390">
        <f t="shared" si="23"/>
        <v>59.625</v>
      </c>
      <c r="AH85" s="405">
        <f>IF(Tech_Specs!$E11="linear",TREND(Perform_Active!$E12:$F12,Perform_Active!$E$8:$F$8,AH$81),)</f>
        <v>53</v>
      </c>
      <c r="AI85" s="405">
        <f>IF(Tech_Specs!$E11="linear",TREND(Perform_Active!$E12:$F12,Perform_Active!$E$8:$F$8,AI$81),)</f>
        <v>53.2650000000001</v>
      </c>
      <c r="AJ85" s="405">
        <f>IF(Tech_Specs!$E11="linear",TREND(Perform_Active!$E12:$F12,Perform_Active!$E$8:$F$8,AJ$81),)</f>
        <v>53.530000000000086</v>
      </c>
      <c r="AK85" s="405">
        <f>IF(Tech_Specs!$E11="linear",TREND(Perform_Active!$E12:$F12,Perform_Active!$E$8:$F$8,AK$81),)</f>
        <v>53.795000000000073</v>
      </c>
      <c r="AL85" s="405">
        <f>IF(Tech_Specs!$E11="linear",TREND(Perform_Active!$E12:$F12,Perform_Active!$E$8:$F$8,AL$81),)</f>
        <v>54.060000000000059</v>
      </c>
      <c r="AM85" s="405">
        <f>IF(Tech_Specs!$E11="linear",TREND(Perform_Active!$E12:$F12,Perform_Active!$E$8:$F$8,AM$81),)</f>
        <v>54.325000000000045</v>
      </c>
      <c r="AN85" s="405">
        <f>IF(Tech_Specs!$E11="linear",TREND(Perform_Active!$E12:$F12,Perform_Active!$E$8:$F$8,AN$81),)</f>
        <v>54.590000000000032</v>
      </c>
      <c r="AO85" s="405">
        <f>IF(Tech_Specs!$E11="linear",TREND(Perform_Active!$E12:$F12,Perform_Active!$E$8:$F$8,AO$81),)</f>
        <v>54.855000000000018</v>
      </c>
      <c r="AP85" s="405">
        <f>IF(Tech_Specs!$E11="linear",TREND(Perform_Active!$E12:$F12,Perform_Active!$E$8:$F$8,AP$81),)</f>
        <v>55.120000000000005</v>
      </c>
      <c r="AQ85" s="405">
        <f>IF(Tech_Specs!$E11="linear",TREND(Perform_Active!$E12:$F12,Perform_Active!$E$8:$F$8,AQ$81),)</f>
        <v>55.385000000000105</v>
      </c>
      <c r="AR85" s="405">
        <f>IF(Tech_Specs!$E11="linear",TREND(Perform_Active!$E12:$F12,Perform_Active!$E$8:$F$8,AR$81),)</f>
        <v>55.650000000000091</v>
      </c>
      <c r="AS85" s="405">
        <f>IF(Tech_Specs!$E11="linear",TREND(Perform_Active!$E12:$F12,Perform_Active!$E$8:$F$8,AS$81),)</f>
        <v>55.915000000000077</v>
      </c>
      <c r="AT85" s="405">
        <f>IF(Tech_Specs!$E11="linear",TREND(Perform_Active!$E12:$F12,Perform_Active!$E$8:$F$8,AT$81),)</f>
        <v>56.180000000000064</v>
      </c>
      <c r="AU85" s="405">
        <f>IF(Tech_Specs!$E11="linear",TREND(Perform_Active!$E12:$F12,Perform_Active!$E$8:$F$8,AU$81),)</f>
        <v>56.44500000000005</v>
      </c>
      <c r="AV85" s="405">
        <f>IF(Tech_Specs!$E11="linear",TREND(Perform_Active!$E12:$F12,Perform_Active!$E$8:$F$8,AV$81),)</f>
        <v>56.710000000000036</v>
      </c>
      <c r="AW85" s="405">
        <f>IF(Tech_Specs!$E11="linear",TREND(Perform_Active!$E12:$F12,Perform_Active!$E$8:$F$8,AW$81),)</f>
        <v>56.975000000000023</v>
      </c>
      <c r="AX85" s="405">
        <f>IF(Tech_Specs!$E11="linear",TREND(Perform_Active!$E12:$F12,Perform_Active!$E$8:$F$8,AX$81),)</f>
        <v>57.240000000000009</v>
      </c>
      <c r="AY85" s="405">
        <f>IF(Tech_Specs!$E11="linear",TREND(Perform_Active!$E12:$F12,Perform_Active!$E$8:$F$8,AY$81),)</f>
        <v>57.504999999999995</v>
      </c>
      <c r="AZ85" s="405">
        <f>IF(Tech_Specs!$E11="linear",TREND(Perform_Active!$E12:$F12,Perform_Active!$E$8:$F$8,AZ$81),)</f>
        <v>57.770000000000095</v>
      </c>
      <c r="BA85" s="405">
        <f>IF(Tech_Specs!$E11="linear",TREND(Perform_Active!$E12:$F12,Perform_Active!$E$8:$F$8,BA$81),)</f>
        <v>58.035000000000082</v>
      </c>
      <c r="BB85" s="405">
        <f>IF(Tech_Specs!$E11="linear",TREND(Perform_Active!$E12:$F12,Perform_Active!$E$8:$F$8,BB$81),)</f>
        <v>58.300000000000068</v>
      </c>
      <c r="BC85" s="405">
        <f>IF(Tech_Specs!$E11="linear",TREND(Perform_Active!$E12:$F12,Perform_Active!$E$8:$F$8,BC$81),)</f>
        <v>58.565000000000055</v>
      </c>
      <c r="BD85" s="405">
        <f>IF(Tech_Specs!$E11="linear",TREND(Perform_Active!$E12:$F12,Perform_Active!$E$8:$F$8,BD$81),)</f>
        <v>58.830000000000041</v>
      </c>
      <c r="BE85" s="405">
        <f>IF(Tech_Specs!$E11="linear",TREND(Perform_Active!$E12:$F12,Perform_Active!$E$8:$F$8,BE$81),)</f>
        <v>59.095000000000027</v>
      </c>
      <c r="BF85" s="405">
        <f>IF(Tech_Specs!$E11="linear",TREND(Perform_Active!$E12:$F12,Perform_Active!$E$8:$F$8,BF$81),)</f>
        <v>59.360000000000014</v>
      </c>
      <c r="BG85" s="405">
        <f>IF(Tech_Specs!$E11="linear",TREND(Perform_Active!$E12:$F12,Perform_Active!$E$8:$F$8,BG$81),)</f>
        <v>59.625</v>
      </c>
      <c r="BI85" s="405">
        <f>IF(Tech_Specs!$E11="logistic",IF($B11="LED",IF(Tech_Specs!$K11="lamp",Perform_SSL!G$10,Perform_SSL!G$11)),)</f>
        <v>0</v>
      </c>
      <c r="BJ85" s="405">
        <f>IF(Tech_Specs!$E11="logistic",IF($B11="LED",IF(Tech_Specs!$K11="lamp",Perform_SSL!H$10,Perform_SSL!H$11)),)</f>
        <v>0</v>
      </c>
      <c r="BK85" s="405">
        <f>IF(Tech_Specs!$E11="logistic",IF($B11="LED",IF(Tech_Specs!$K11="lamp",Perform_SSL!I$10,Perform_SSL!I$11)),)</f>
        <v>0</v>
      </c>
      <c r="BL85" s="405">
        <f>IF(Tech_Specs!$E11="logistic",IF($B11="LED",IF(Tech_Specs!$K11="lamp",Perform_SSL!J$10,Perform_SSL!J$11)),)</f>
        <v>0</v>
      </c>
      <c r="BM85" s="405">
        <f>IF(Tech_Specs!$E11="logistic",IF($B11="LED",IF(Tech_Specs!$K11="lamp",Perform_SSL!K$10,Perform_SSL!K$11)),)</f>
        <v>0</v>
      </c>
      <c r="BN85" s="405">
        <f>IF(Tech_Specs!$E11="logistic",IF($B11="LED",IF(Tech_Specs!$K11="lamp",Perform_SSL!L$10,Perform_SSL!L$11)),)</f>
        <v>0</v>
      </c>
      <c r="BO85" s="405">
        <f>IF(Tech_Specs!$E11="logistic",IF($B11="LED",IF(Tech_Specs!$K11="lamp",Perform_SSL!M$10,Perform_SSL!M$11)),)</f>
        <v>0</v>
      </c>
      <c r="BP85" s="405">
        <f>IF(Tech_Specs!$E11="logistic",IF($B11="LED",IF(Tech_Specs!$K11="lamp",Perform_SSL!N$10,Perform_SSL!N$11)),)</f>
        <v>0</v>
      </c>
      <c r="BQ85" s="405">
        <f>IF(Tech_Specs!$E11="logistic",IF($B11="LED",IF(Tech_Specs!$K11="lamp",Perform_SSL!O$10,Perform_SSL!O$11)),)</f>
        <v>0</v>
      </c>
      <c r="BR85" s="405">
        <f>IF(Tech_Specs!$E11="logistic",IF($B11="LED",IF(Tech_Specs!$K11="lamp",Perform_SSL!P$10,Perform_SSL!P$11)),)</f>
        <v>0</v>
      </c>
      <c r="BS85" s="405">
        <f>IF(Tech_Specs!$E11="logistic",IF($B11="LED",IF(Tech_Specs!$K11="lamp",Perform_SSL!Q$10,Perform_SSL!Q$11)),)</f>
        <v>0</v>
      </c>
      <c r="BT85" s="405">
        <f>IF(Tech_Specs!$E11="logistic",IF($B11="LED",IF(Tech_Specs!$K11="lamp",Perform_SSL!R$10,Perform_SSL!R$11)),)</f>
        <v>0</v>
      </c>
      <c r="BU85" s="405">
        <f>IF(Tech_Specs!$E11="logistic",IF($B11="LED",IF(Tech_Specs!$K11="lamp",Perform_SSL!S$10,Perform_SSL!S$11)),)</f>
        <v>0</v>
      </c>
      <c r="BV85" s="405">
        <f>IF(Tech_Specs!$E11="logistic",IF($B11="LED",IF(Tech_Specs!$K11="lamp",Perform_SSL!T$10,Perform_SSL!T$11)),)</f>
        <v>0</v>
      </c>
      <c r="BW85" s="405">
        <f>IF(Tech_Specs!$E11="logistic",IF($B11="LED",IF(Tech_Specs!$K11="lamp",Perform_SSL!U$10,Perform_SSL!U$11)),)</f>
        <v>0</v>
      </c>
      <c r="BX85" s="405">
        <f>IF(Tech_Specs!$E11="logistic",IF($B11="LED",IF(Tech_Specs!$K11="lamp",Perform_SSL!V$10,Perform_SSL!V$11)),)</f>
        <v>0</v>
      </c>
      <c r="BY85" s="405">
        <f>IF(Tech_Specs!$E11="logistic",IF($B11="LED",IF(Tech_Specs!$K11="lamp",Perform_SSL!W$10,Perform_SSL!W$11)),)</f>
        <v>0</v>
      </c>
      <c r="BZ85" s="405">
        <f>IF(Tech_Specs!$E11="logistic",IF($B11="LED",IF(Tech_Specs!$K11="lamp",Perform_SSL!X$10,Perform_SSL!X$11)),)</f>
        <v>0</v>
      </c>
      <c r="CA85" s="405">
        <f>IF(Tech_Specs!$E11="logistic",IF($B11="LED",IF(Tech_Specs!$K11="lamp",Perform_SSL!Y$10,Perform_SSL!Y$11)),)</f>
        <v>0</v>
      </c>
      <c r="CB85" s="405">
        <f>IF(Tech_Specs!$E11="logistic",IF($B11="LED",IF(Tech_Specs!$K11="lamp",Perform_SSL!Z$10,Perform_SSL!Z$11)),)</f>
        <v>0</v>
      </c>
      <c r="CC85" s="405">
        <f>IF(Tech_Specs!$E11="logistic",IF($B11="LED",IF(Tech_Specs!$K11="lamp",Perform_SSL!AA$10,Perform_SSL!AA$11)),)</f>
        <v>0</v>
      </c>
      <c r="CD85" s="405">
        <f>IF(Tech_Specs!$E11="logistic",IF($B11="LED",IF(Tech_Specs!$K11="lamp",Perform_SSL!AB$10,Perform_SSL!AB$11)),)</f>
        <v>0</v>
      </c>
      <c r="CE85" s="405">
        <f>IF(Tech_Specs!$E11="logistic",IF($B11="LED",IF(Tech_Specs!$K11="lamp",Perform_SSL!AC$10,Perform_SSL!AC$11)),)</f>
        <v>0</v>
      </c>
      <c r="CF85" s="405">
        <f>IF(Tech_Specs!$E11="logistic",IF($B11="LED",IF(Tech_Specs!$K11="lamp",Perform_SSL!AD$10,Perform_SSL!AD$11)),)</f>
        <v>0</v>
      </c>
      <c r="CG85" s="405">
        <f>IF(Tech_Specs!$E11="logistic",IF($B11="LED",IF(Tech_Specs!$K11="lamp",Perform_SSL!AE$10,Perform_SSL!AE$11)),)</f>
        <v>0</v>
      </c>
      <c r="CH85" s="405">
        <f>IF(Tech_Specs!$E11="logistic",IF($B11="LED",IF(Tech_Specs!$K11="lamp",Perform_SSL!AF$10,Perform_SSL!AF$11)),)</f>
        <v>0</v>
      </c>
      <c r="CJ85" s="625">
        <f>IF(AND(Tech_Specs!$E11="step",Standards_Active!$E12="yes"),IF(CJ$81&lt;Standards_Active!$C12,TREND(Perform_Active!$E12:$F12,Perform_Active!$E$8:$F$8,CJ$81),IF(ISNUMBER(Standards_Active!$I12),IF(AND(CJ$81&gt;=Standards_Active!$C12,CJ$81&lt;Standards_Active!$D12),(Standards_Active!$I12-INDEX($CJ85:$DI85,1,MATCH((Standards_Active!$C12-1),$CJ$81:$DI$81,FALSE)))/(Standards_Active!$D12-(Standards_Active!$C12-1))+CI85,Standards_Active!$I12*((1+Standards_Active!$N12)^(CJ$81-Standards_Active!$D12))),TREND(Perform_Active!$E12:$F12,Perform_Active!$E$8:$F$8,CJ$81))),)</f>
        <v>0</v>
      </c>
      <c r="CK85" s="625">
        <f>IF(AND(Tech_Specs!$E11="step",Standards_Active!$E12="yes"),IF(CK$81&lt;Standards_Active!$C12,TREND(Perform_Active!$E12:$F12,Perform_Active!$E$8:$F$8,CK$81),IF(ISNUMBER(Standards_Active!$I12),IF(AND(CK$81&gt;=Standards_Active!$C12,CK$81&lt;Standards_Active!$D12),(Standards_Active!$I12-INDEX($CJ85:$DI85,1,MATCH((Standards_Active!$C12-1),$CJ$81:$DI$81,FALSE)))/(Standards_Active!$D12-(Standards_Active!$C12-1))+CJ85,Standards_Active!$I12*((1+Standards_Active!$N12)^(CK$81-Standards_Active!$D12))),TREND(Perform_Active!$E12:$F12,Perform_Active!$E$8:$F$8,CK$81))),)</f>
        <v>0</v>
      </c>
      <c r="CL85" s="625">
        <f>IF(AND(Tech_Specs!$E11="step",Standards_Active!$E12="yes"),IF(CL$81&lt;Standards_Active!$C12,TREND(Perform_Active!$E12:$F12,Perform_Active!$E$8:$F$8,CL$81),IF(ISNUMBER(Standards_Active!$I12),IF(AND(CL$81&gt;=Standards_Active!$C12,CL$81&lt;Standards_Active!$D12),(Standards_Active!$I12-INDEX($CJ85:$DI85,1,MATCH((Standards_Active!$C12-1),$CJ$81:$DI$81,FALSE)))/(Standards_Active!$D12-(Standards_Active!$C12-1))+CK85,Standards_Active!$I12*((1+Standards_Active!$N12)^(CL$81-Standards_Active!$D12))),TREND(Perform_Active!$E12:$F12,Perform_Active!$E$8:$F$8,CL$81))),)</f>
        <v>0</v>
      </c>
      <c r="CM85" s="625">
        <f>IF(AND(Tech_Specs!$E11="step",Standards_Active!$E12="yes"),IF(CM$81&lt;Standards_Active!$C12,TREND(Perform_Active!$E12:$F12,Perform_Active!$E$8:$F$8,CM$81),IF(ISNUMBER(Standards_Active!$I12),IF(AND(CM$81&gt;=Standards_Active!$C12,CM$81&lt;Standards_Active!$D12),(Standards_Active!$I12-INDEX($CJ85:$DI85,1,MATCH((Standards_Active!$C12-1),$CJ$81:$DI$81,FALSE)))/(Standards_Active!$D12-(Standards_Active!$C12-1))+CL85,Standards_Active!$I12*((1+Standards_Active!$N12)^(CM$81-Standards_Active!$D12))),TREND(Perform_Active!$E12:$F12,Perform_Active!$E$8:$F$8,CM$81))),)</f>
        <v>0</v>
      </c>
      <c r="CN85" s="625">
        <f>IF(AND(Tech_Specs!$E11="step",Standards_Active!$E12="yes"),IF(CN$81&lt;Standards_Active!$C12,TREND(Perform_Active!$E12:$F12,Perform_Active!$E$8:$F$8,CN$81),IF(ISNUMBER(Standards_Active!$I12),IF(AND(CN$81&gt;=Standards_Active!$C12,CN$81&lt;Standards_Active!$D12),(Standards_Active!$I12-INDEX($CJ85:$DI85,1,MATCH((Standards_Active!$C12-1),$CJ$81:$DI$81,FALSE)))/(Standards_Active!$D12-(Standards_Active!$C12-1))+CM85,Standards_Active!$I12*((1+Standards_Active!$N12)^(CN$81-Standards_Active!$D12))),TREND(Perform_Active!$E12:$F12,Perform_Active!$E$8:$F$8,CN$81))),)</f>
        <v>0</v>
      </c>
      <c r="CO85" s="625">
        <f>IF(AND(Tech_Specs!$E11="step",Standards_Active!$E12="yes"),IF(CO$81&lt;Standards_Active!$C12,TREND(Perform_Active!$E12:$F12,Perform_Active!$E$8:$F$8,CO$81),IF(ISNUMBER(Standards_Active!$I12),IF(AND(CO$81&gt;=Standards_Active!$C12,CO$81&lt;Standards_Active!$D12),(Standards_Active!$I12-INDEX($CJ85:$DI85,1,MATCH((Standards_Active!$C12-1),$CJ$81:$DI$81,FALSE)))/(Standards_Active!$D12-(Standards_Active!$C12-1))+CN85,Standards_Active!$I12*((1+Standards_Active!$N12)^(CO$81-Standards_Active!$D12))),TREND(Perform_Active!$E12:$F12,Perform_Active!$E$8:$F$8,CO$81))),)</f>
        <v>0</v>
      </c>
      <c r="CP85" s="625">
        <f>IF(AND(Tech_Specs!$E11="step",Standards_Active!$E12="yes"),IF(CP$81&lt;Standards_Active!$C12,TREND(Perform_Active!$E12:$F12,Perform_Active!$E$8:$F$8,CP$81),IF(ISNUMBER(Standards_Active!$I12),IF(AND(CP$81&gt;=Standards_Active!$C12,CP$81&lt;Standards_Active!$D12),(Standards_Active!$I12-INDEX($CJ85:$DI85,1,MATCH((Standards_Active!$C12-1),$CJ$81:$DI$81,FALSE)))/(Standards_Active!$D12-(Standards_Active!$C12-1))+CO85,Standards_Active!$I12*((1+Standards_Active!$N12)^(CP$81-Standards_Active!$D12))),TREND(Perform_Active!$E12:$F12,Perform_Active!$E$8:$F$8,CP$81))),)</f>
        <v>0</v>
      </c>
      <c r="CQ85" s="625">
        <f>IF(AND(Tech_Specs!$E11="step",Standards_Active!$E12="yes"),IF(CQ$81&lt;Standards_Active!$C12,TREND(Perform_Active!$E12:$F12,Perform_Active!$E$8:$F$8,CQ$81),IF(ISNUMBER(Standards_Active!$I12),IF(AND(CQ$81&gt;=Standards_Active!$C12,CQ$81&lt;Standards_Active!$D12),(Standards_Active!$I12-INDEX($CJ85:$DI85,1,MATCH((Standards_Active!$C12-1),$CJ$81:$DI$81,FALSE)))/(Standards_Active!$D12-(Standards_Active!$C12-1))+CP85,Standards_Active!$I12*((1+Standards_Active!$N12)^(CQ$81-Standards_Active!$D12))),TREND(Perform_Active!$E12:$F12,Perform_Active!$E$8:$F$8,CQ$81))),)</f>
        <v>0</v>
      </c>
      <c r="CR85" s="625">
        <f>IF(AND(Tech_Specs!$E11="step",Standards_Active!$E12="yes"),IF(CR$81&lt;Standards_Active!$C12,TREND(Perform_Active!$E12:$F12,Perform_Active!$E$8:$F$8,CR$81),IF(ISNUMBER(Standards_Active!$I12),IF(AND(CR$81&gt;=Standards_Active!$C12,CR$81&lt;Standards_Active!$D12),(Standards_Active!$I12-INDEX($CJ85:$DI85,1,MATCH((Standards_Active!$C12-1),$CJ$81:$DI$81,FALSE)))/(Standards_Active!$D12-(Standards_Active!$C12-1))+CQ85,Standards_Active!$I12*((1+Standards_Active!$N12)^(CR$81-Standards_Active!$D12))),TREND(Perform_Active!$E12:$F12,Perform_Active!$E$8:$F$8,CR$81))),)</f>
        <v>0</v>
      </c>
      <c r="CS85" s="625">
        <f>IF(AND(Tech_Specs!$E11="step",Standards_Active!$E12="yes"),IF(CS$81&lt;Standards_Active!$C12,TREND(Perform_Active!$E12:$F12,Perform_Active!$E$8:$F$8,CS$81),IF(ISNUMBER(Standards_Active!$I12),IF(AND(CS$81&gt;=Standards_Active!$C12,CS$81&lt;Standards_Active!$D12),(Standards_Active!$I12-INDEX($CJ85:$DI85,1,MATCH((Standards_Active!$C12-1),$CJ$81:$DI$81,FALSE)))/(Standards_Active!$D12-(Standards_Active!$C12-1))+CR85,Standards_Active!$I12*((1+Standards_Active!$N12)^(CS$81-Standards_Active!$D12))),TREND(Perform_Active!$E12:$F12,Perform_Active!$E$8:$F$8,CS$81))),)</f>
        <v>0</v>
      </c>
      <c r="CT85" s="625">
        <f>IF(AND(Tech_Specs!$E11="step",Standards_Active!$E12="yes"),IF(CT$81&lt;Standards_Active!$C12,TREND(Perform_Active!$E12:$F12,Perform_Active!$E$8:$F$8,CT$81),IF(ISNUMBER(Standards_Active!$I12),IF(AND(CT$81&gt;=Standards_Active!$C12,CT$81&lt;Standards_Active!$D12),(Standards_Active!$I12-INDEX($CJ85:$DI85,1,MATCH((Standards_Active!$C12-1),$CJ$81:$DI$81,FALSE)))/(Standards_Active!$D12-(Standards_Active!$C12-1))+CS85,Standards_Active!$I12*((1+Standards_Active!$N12)^(CT$81-Standards_Active!$D12))),TREND(Perform_Active!$E12:$F12,Perform_Active!$E$8:$F$8,CT$81))),)</f>
        <v>0</v>
      </c>
      <c r="CU85" s="625">
        <f>IF(AND(Tech_Specs!$E11="step",Standards_Active!$E12="yes"),IF(CU$81&lt;Standards_Active!$C12,TREND(Perform_Active!$E12:$F12,Perform_Active!$E$8:$F$8,CU$81),IF(ISNUMBER(Standards_Active!$I12),IF(AND(CU$81&gt;=Standards_Active!$C12,CU$81&lt;Standards_Active!$D12),(Standards_Active!$I12-INDEX($CJ85:$DI85,1,MATCH((Standards_Active!$C12-1),$CJ$81:$DI$81,FALSE)))/(Standards_Active!$D12-(Standards_Active!$C12-1))+CT85,Standards_Active!$I12*((1+Standards_Active!$N12)^(CU$81-Standards_Active!$D12))),TREND(Perform_Active!$E12:$F12,Perform_Active!$E$8:$F$8,CU$81))),)</f>
        <v>0</v>
      </c>
      <c r="CV85" s="625">
        <f>IF(AND(Tech_Specs!$E11="step",Standards_Active!$E12="yes"),IF(CV$81&lt;Standards_Active!$C12,TREND(Perform_Active!$E12:$F12,Perform_Active!$E$8:$F$8,CV$81),IF(ISNUMBER(Standards_Active!$I12),IF(AND(CV$81&gt;=Standards_Active!$C12,CV$81&lt;Standards_Active!$D12),(Standards_Active!$I12-INDEX($CJ85:$DI85,1,MATCH((Standards_Active!$C12-1),$CJ$81:$DI$81,FALSE)))/(Standards_Active!$D12-(Standards_Active!$C12-1))+CU85,Standards_Active!$I12*((1+Standards_Active!$N12)^(CV$81-Standards_Active!$D12))),TREND(Perform_Active!$E12:$F12,Perform_Active!$E$8:$F$8,CV$81))),)</f>
        <v>0</v>
      </c>
      <c r="CW85" s="625">
        <f>IF(AND(Tech_Specs!$E11="step",Standards_Active!$E12="yes"),IF(CW$81&lt;Standards_Active!$C12,TREND(Perform_Active!$E12:$F12,Perform_Active!$E$8:$F$8,CW$81),IF(ISNUMBER(Standards_Active!$I12),IF(AND(CW$81&gt;=Standards_Active!$C12,CW$81&lt;Standards_Active!$D12),(Standards_Active!$I12-INDEX($CJ85:$DI85,1,MATCH((Standards_Active!$C12-1),$CJ$81:$DI$81,FALSE)))/(Standards_Active!$D12-(Standards_Active!$C12-1))+CV85,Standards_Active!$I12*((1+Standards_Active!$N12)^(CW$81-Standards_Active!$D12))),TREND(Perform_Active!$E12:$F12,Perform_Active!$E$8:$F$8,CW$81))),)</f>
        <v>0</v>
      </c>
      <c r="CX85" s="625">
        <f>IF(AND(Tech_Specs!$E11="step",Standards_Active!$E12="yes"),IF(CX$81&lt;Standards_Active!$C12,TREND(Perform_Active!$E12:$F12,Perform_Active!$E$8:$F$8,CX$81),IF(ISNUMBER(Standards_Active!$I12),IF(AND(CX$81&gt;=Standards_Active!$C12,CX$81&lt;Standards_Active!$D12),(Standards_Active!$I12-INDEX($CJ85:$DI85,1,MATCH((Standards_Active!$C12-1),$CJ$81:$DI$81,FALSE)))/(Standards_Active!$D12-(Standards_Active!$C12-1))+CW85,Standards_Active!$I12*((1+Standards_Active!$N12)^(CX$81-Standards_Active!$D12))),TREND(Perform_Active!$E12:$F12,Perform_Active!$E$8:$F$8,CX$81))),)</f>
        <v>0</v>
      </c>
      <c r="CY85" s="625">
        <f>IF(AND(Tech_Specs!$E11="step",Standards_Active!$E12="yes"),IF(CY$81&lt;Standards_Active!$C12,TREND(Perform_Active!$E12:$F12,Perform_Active!$E$8:$F$8,CY$81),IF(ISNUMBER(Standards_Active!$I12),IF(AND(CY$81&gt;=Standards_Active!$C12,CY$81&lt;Standards_Active!$D12),(Standards_Active!$I12-INDEX($CJ85:$DI85,1,MATCH((Standards_Active!$C12-1),$CJ$81:$DI$81,FALSE)))/(Standards_Active!$D12-(Standards_Active!$C12-1))+CX85,Standards_Active!$I12*((1+Standards_Active!$N12)^(CY$81-Standards_Active!$D12))),TREND(Perform_Active!$E12:$F12,Perform_Active!$E$8:$F$8,CY$81))),)</f>
        <v>0</v>
      </c>
      <c r="CZ85" s="625">
        <f>IF(AND(Tech_Specs!$E11="step",Standards_Active!$E12="yes"),IF(CZ$81&lt;Standards_Active!$C12,TREND(Perform_Active!$E12:$F12,Perform_Active!$E$8:$F$8,CZ$81),IF(ISNUMBER(Standards_Active!$I12),IF(AND(CZ$81&gt;=Standards_Active!$C12,CZ$81&lt;Standards_Active!$D12),(Standards_Active!$I12-INDEX($CJ85:$DI85,1,MATCH((Standards_Active!$C12-1),$CJ$81:$DI$81,FALSE)))/(Standards_Active!$D12-(Standards_Active!$C12-1))+CY85,Standards_Active!$I12*((1+Standards_Active!$N12)^(CZ$81-Standards_Active!$D12))),TREND(Perform_Active!$E12:$F12,Perform_Active!$E$8:$F$8,CZ$81))),)</f>
        <v>0</v>
      </c>
      <c r="DA85" s="625">
        <f>IF(AND(Tech_Specs!$E11="step",Standards_Active!$E12="yes"),IF(DA$81&lt;Standards_Active!$C12,TREND(Perform_Active!$E12:$F12,Perform_Active!$E$8:$F$8,DA$81),IF(ISNUMBER(Standards_Active!$I12),IF(AND(DA$81&gt;=Standards_Active!$C12,DA$81&lt;Standards_Active!$D12),(Standards_Active!$I12-INDEX($CJ85:$DI85,1,MATCH((Standards_Active!$C12-1),$CJ$81:$DI$81,FALSE)))/(Standards_Active!$D12-(Standards_Active!$C12-1))+CZ85,Standards_Active!$I12*((1+Standards_Active!$N12)^(DA$81-Standards_Active!$D12))),TREND(Perform_Active!$E12:$F12,Perform_Active!$E$8:$F$8,DA$81))),)</f>
        <v>0</v>
      </c>
      <c r="DB85" s="625">
        <f>IF(AND(Tech_Specs!$E11="step",Standards_Active!$E12="yes"),IF(DB$81&lt;Standards_Active!$C12,TREND(Perform_Active!$E12:$F12,Perform_Active!$E$8:$F$8,DB$81),IF(ISNUMBER(Standards_Active!$I12),IF(AND(DB$81&gt;=Standards_Active!$C12,DB$81&lt;Standards_Active!$D12),(Standards_Active!$I12-INDEX($CJ85:$DI85,1,MATCH((Standards_Active!$C12-1),$CJ$81:$DI$81,FALSE)))/(Standards_Active!$D12-(Standards_Active!$C12-1))+DA85,Standards_Active!$I12*((1+Standards_Active!$N12)^(DB$81-Standards_Active!$D12))),TREND(Perform_Active!$E12:$F12,Perform_Active!$E$8:$F$8,DB$81))),)</f>
        <v>0</v>
      </c>
      <c r="DC85" s="625">
        <f>IF(AND(Tech_Specs!$E11="step",Standards_Active!$E12="yes"),IF(DC$81&lt;Standards_Active!$C12,TREND(Perform_Active!$E12:$F12,Perform_Active!$E$8:$F$8,DC$81),IF(ISNUMBER(Standards_Active!$I12),IF(AND(DC$81&gt;=Standards_Active!$C12,DC$81&lt;Standards_Active!$D12),(Standards_Active!$I12-INDEX($CJ85:$DI85,1,MATCH((Standards_Active!$C12-1),$CJ$81:$DI$81,FALSE)))/(Standards_Active!$D12-(Standards_Active!$C12-1))+DB85,Standards_Active!$I12*((1+Standards_Active!$N12)^(DC$81-Standards_Active!$D12))),TREND(Perform_Active!$E12:$F12,Perform_Active!$E$8:$F$8,DC$81))),)</f>
        <v>0</v>
      </c>
      <c r="DD85" s="625">
        <f>IF(AND(Tech_Specs!$E11="step",Standards_Active!$E12="yes"),IF(DD$81&lt;Standards_Active!$C12,TREND(Perform_Active!$E12:$F12,Perform_Active!$E$8:$F$8,DD$81),IF(ISNUMBER(Standards_Active!$I12),IF(AND(DD$81&gt;=Standards_Active!$C12,DD$81&lt;Standards_Active!$D12),(Standards_Active!$I12-INDEX($CJ85:$DI85,1,MATCH((Standards_Active!$C12-1),$CJ$81:$DI$81,FALSE)))/(Standards_Active!$D12-(Standards_Active!$C12-1))+DC85,Standards_Active!$I12*((1+Standards_Active!$N12)^(DD$81-Standards_Active!$D12))),TREND(Perform_Active!$E12:$F12,Perform_Active!$E$8:$F$8,DD$81))),)</f>
        <v>0</v>
      </c>
      <c r="DE85" s="625">
        <f>IF(AND(Tech_Specs!$E11="step",Standards_Active!$E12="yes"),IF(DE$81&lt;Standards_Active!$C12,TREND(Perform_Active!$E12:$F12,Perform_Active!$E$8:$F$8,DE$81),IF(ISNUMBER(Standards_Active!$I12),IF(AND(DE$81&gt;=Standards_Active!$C12,DE$81&lt;Standards_Active!$D12),(Standards_Active!$I12-INDEX($CJ85:$DI85,1,MATCH((Standards_Active!$C12-1),$CJ$81:$DI$81,FALSE)))/(Standards_Active!$D12-(Standards_Active!$C12-1))+DD85,Standards_Active!$I12*((1+Standards_Active!$N12)^(DE$81-Standards_Active!$D12))),TREND(Perform_Active!$E12:$F12,Perform_Active!$E$8:$F$8,DE$81))),)</f>
        <v>0</v>
      </c>
      <c r="DF85" s="625">
        <f>IF(AND(Tech_Specs!$E11="step",Standards_Active!$E12="yes"),IF(DF$81&lt;Standards_Active!$C12,TREND(Perform_Active!$E12:$F12,Perform_Active!$E$8:$F$8,DF$81),IF(ISNUMBER(Standards_Active!$I12),IF(AND(DF$81&gt;=Standards_Active!$C12,DF$81&lt;Standards_Active!$D12),(Standards_Active!$I12-INDEX($CJ85:$DI85,1,MATCH((Standards_Active!$C12-1),$CJ$81:$DI$81,FALSE)))/(Standards_Active!$D12-(Standards_Active!$C12-1))+DE85,Standards_Active!$I12*((1+Standards_Active!$N12)^(DF$81-Standards_Active!$D12))),TREND(Perform_Active!$E12:$F12,Perform_Active!$E$8:$F$8,DF$81))),)</f>
        <v>0</v>
      </c>
      <c r="DG85" s="625">
        <f>IF(AND(Tech_Specs!$E11="step",Standards_Active!$E12="yes"),IF(DG$81&lt;Standards_Active!$C12,TREND(Perform_Active!$E12:$F12,Perform_Active!$E$8:$F$8,DG$81),IF(ISNUMBER(Standards_Active!$I12),IF(AND(DG$81&gt;=Standards_Active!$C12,DG$81&lt;Standards_Active!$D12),(Standards_Active!$I12-INDEX($CJ85:$DI85,1,MATCH((Standards_Active!$C12-1),$CJ$81:$DI$81,FALSE)))/(Standards_Active!$D12-(Standards_Active!$C12-1))+DF85,Standards_Active!$I12*((1+Standards_Active!$N12)^(DG$81-Standards_Active!$D12))),TREND(Perform_Active!$E12:$F12,Perform_Active!$E$8:$F$8,DG$81))),)</f>
        <v>0</v>
      </c>
      <c r="DH85" s="625">
        <f>IF(AND(Tech_Specs!$E11="step",Standards_Active!$E12="yes"),IF(DH$81&lt;Standards_Active!$C12,TREND(Perform_Active!$E12:$F12,Perform_Active!$E$8:$F$8,DH$81),IF(ISNUMBER(Standards_Active!$I12),IF(AND(DH$81&gt;=Standards_Active!$C12,DH$81&lt;Standards_Active!$D12),(Standards_Active!$I12-INDEX($CJ85:$DI85,1,MATCH((Standards_Active!$C12-1),$CJ$81:$DI$81,FALSE)))/(Standards_Active!$D12-(Standards_Active!$C12-1))+DG85,Standards_Active!$I12*((1+Standards_Active!$N12)^(DH$81-Standards_Active!$D12))),TREND(Perform_Active!$E12:$F12,Perform_Active!$E$8:$F$8,DH$81))),)</f>
        <v>0</v>
      </c>
      <c r="DI85" s="625">
        <f>IF(AND(Tech_Specs!$E11="step",Standards_Active!$E12="yes"),IF(DI$81&lt;Standards_Active!$C12,TREND(Perform_Active!$E12:$F12,Perform_Active!$E$8:$F$8,DI$81),IF(ISNUMBER(Standards_Active!$I12),IF(AND(DI$81&gt;=Standards_Active!$C12,DI$81&lt;Standards_Active!$D12),(Standards_Active!$I12-INDEX($CJ85:$DI85,1,MATCH((Standards_Active!$C12-1),$CJ$81:$DI$81,FALSE)))/(Standards_Active!$D12-(Standards_Active!$C12-1))+DH85,Standards_Active!$I12*((1+Standards_Active!$N12)^(DI$81-Standards_Active!$D12))),TREND(Perform_Active!$E12:$F12,Perform_Active!$E$8:$F$8,DI$81))),)</f>
        <v>0</v>
      </c>
    </row>
    <row r="86" spans="1:113" s="376" customFormat="1" ht="12.6" x14ac:dyDescent="0.25">
      <c r="B86" s="376" t="s">
        <v>29</v>
      </c>
      <c r="C86" s="379"/>
      <c r="D86" s="379"/>
      <c r="E86" s="379"/>
      <c r="F86" s="379"/>
      <c r="G86" s="390">
        <f t="shared" si="21"/>
        <v>36.873768202819726</v>
      </c>
      <c r="H86" s="390">
        <f t="shared" si="21"/>
        <v>48.266272480467556</v>
      </c>
      <c r="I86" s="390">
        <f t="shared" si="21"/>
        <v>61.701198700113544</v>
      </c>
      <c r="J86" s="390">
        <f t="shared" si="21"/>
        <v>77.591734715380795</v>
      </c>
      <c r="K86" s="390">
        <f t="shared" si="21"/>
        <v>94.800465488123137</v>
      </c>
      <c r="L86" s="390">
        <f t="shared" si="21"/>
        <v>112.50003941617493</v>
      </c>
      <c r="M86" s="390">
        <f t="shared" si="21"/>
        <v>129.3471504340618</v>
      </c>
      <c r="N86" s="390">
        <f t="shared" si="21"/>
        <v>145.03095133963808</v>
      </c>
      <c r="O86" s="390">
        <f t="shared" si="21"/>
        <v>159.127310954921</v>
      </c>
      <c r="P86" s="390">
        <f t="shared" si="21"/>
        <v>171.48202098927979</v>
      </c>
      <c r="Q86" s="390">
        <f t="shared" si="22"/>
        <v>182.15170200680319</v>
      </c>
      <c r="R86" s="390">
        <f t="shared" si="22"/>
        <v>187.8607232688625</v>
      </c>
      <c r="S86" s="390">
        <f t="shared" si="22"/>
        <v>192.15160570290442</v>
      </c>
      <c r="T86" s="390">
        <f t="shared" si="22"/>
        <v>195.33034204073093</v>
      </c>
      <c r="U86" s="390">
        <f t="shared" si="22"/>
        <v>197.66006127320361</v>
      </c>
      <c r="V86" s="390">
        <f t="shared" si="22"/>
        <v>199.35413887963063</v>
      </c>
      <c r="W86" s="390">
        <f t="shared" si="22"/>
        <v>200.57896356186501</v>
      </c>
      <c r="X86" s="390">
        <f t="shared" si="22"/>
        <v>201.46085171629713</v>
      </c>
      <c r="Y86" s="390">
        <f t="shared" si="22"/>
        <v>202.09392729485813</v>
      </c>
      <c r="Z86" s="390">
        <f t="shared" si="22"/>
        <v>202.54741526513342</v>
      </c>
      <c r="AA86" s="390">
        <f t="shared" si="23"/>
        <v>202.87176106409183</v>
      </c>
      <c r="AB86" s="390">
        <f t="shared" si="23"/>
        <v>203.10348618652321</v>
      </c>
      <c r="AC86" s="390">
        <f t="shared" si="23"/>
        <v>203.26890947460336</v>
      </c>
      <c r="AD86" s="390">
        <f t="shared" si="23"/>
        <v>203.38693514979437</v>
      </c>
      <c r="AE86" s="390">
        <f t="shared" si="23"/>
        <v>203.47111002115616</v>
      </c>
      <c r="AF86" s="390">
        <f t="shared" si="23"/>
        <v>203.53112565740346</v>
      </c>
      <c r="AH86" s="405">
        <f>IF(Tech_Specs!$E12="linear",TREND(Perform_Active!$E13:$F13,Perform_Active!$E$8:$F$8,AH$81),)</f>
        <v>0</v>
      </c>
      <c r="AI86" s="405">
        <f>IF(Tech_Specs!$E12="linear",TREND(Perform_Active!$E13:$F13,Perform_Active!$E$8:$F$8,AI$81),)</f>
        <v>0</v>
      </c>
      <c r="AJ86" s="405">
        <f>IF(Tech_Specs!$E12="linear",TREND(Perform_Active!$E13:$F13,Perform_Active!$E$8:$F$8,AJ$81),)</f>
        <v>0</v>
      </c>
      <c r="AK86" s="405">
        <f>IF(Tech_Specs!$E12="linear",TREND(Perform_Active!$E13:$F13,Perform_Active!$E$8:$F$8,AK$81),)</f>
        <v>0</v>
      </c>
      <c r="AL86" s="405">
        <f>IF(Tech_Specs!$E12="linear",TREND(Perform_Active!$E13:$F13,Perform_Active!$E$8:$F$8,AL$81),)</f>
        <v>0</v>
      </c>
      <c r="AM86" s="405">
        <f>IF(Tech_Specs!$E12="linear",TREND(Perform_Active!$E13:$F13,Perform_Active!$E$8:$F$8,AM$81),)</f>
        <v>0</v>
      </c>
      <c r="AN86" s="405">
        <f>IF(Tech_Specs!$E12="linear",TREND(Perform_Active!$E13:$F13,Perform_Active!$E$8:$F$8,AN$81),)</f>
        <v>0</v>
      </c>
      <c r="AO86" s="405">
        <f>IF(Tech_Specs!$E12="linear",TREND(Perform_Active!$E13:$F13,Perform_Active!$E$8:$F$8,AO$81),)</f>
        <v>0</v>
      </c>
      <c r="AP86" s="405">
        <f>IF(Tech_Specs!$E12="linear",TREND(Perform_Active!$E13:$F13,Perform_Active!$E$8:$F$8,AP$81),)</f>
        <v>0</v>
      </c>
      <c r="AQ86" s="405">
        <f>IF(Tech_Specs!$E12="linear",TREND(Perform_Active!$E13:$F13,Perform_Active!$E$8:$F$8,AQ$81),)</f>
        <v>0</v>
      </c>
      <c r="AR86" s="405">
        <f>IF(Tech_Specs!$E12="linear",TREND(Perform_Active!$E13:$F13,Perform_Active!$E$8:$F$8,AR$81),)</f>
        <v>0</v>
      </c>
      <c r="AS86" s="405">
        <f>IF(Tech_Specs!$E12="linear",TREND(Perform_Active!$E13:$F13,Perform_Active!$E$8:$F$8,AS$81),)</f>
        <v>0</v>
      </c>
      <c r="AT86" s="405">
        <f>IF(Tech_Specs!$E12="linear",TREND(Perform_Active!$E13:$F13,Perform_Active!$E$8:$F$8,AT$81),)</f>
        <v>0</v>
      </c>
      <c r="AU86" s="405">
        <f>IF(Tech_Specs!$E12="linear",TREND(Perform_Active!$E13:$F13,Perform_Active!$E$8:$F$8,AU$81),)</f>
        <v>0</v>
      </c>
      <c r="AV86" s="405">
        <f>IF(Tech_Specs!$E12="linear",TREND(Perform_Active!$E13:$F13,Perform_Active!$E$8:$F$8,AV$81),)</f>
        <v>0</v>
      </c>
      <c r="AW86" s="405">
        <f>IF(Tech_Specs!$E12="linear",TREND(Perform_Active!$E13:$F13,Perform_Active!$E$8:$F$8,AW$81),)</f>
        <v>0</v>
      </c>
      <c r="AX86" s="405">
        <f>IF(Tech_Specs!$E12="linear",TREND(Perform_Active!$E13:$F13,Perform_Active!$E$8:$F$8,AX$81),)</f>
        <v>0</v>
      </c>
      <c r="AY86" s="405">
        <f>IF(Tech_Specs!$E12="linear",TREND(Perform_Active!$E13:$F13,Perform_Active!$E$8:$F$8,AY$81),)</f>
        <v>0</v>
      </c>
      <c r="AZ86" s="405">
        <f>IF(Tech_Specs!$E12="linear",TREND(Perform_Active!$E13:$F13,Perform_Active!$E$8:$F$8,AZ$81),)</f>
        <v>0</v>
      </c>
      <c r="BA86" s="405">
        <f>IF(Tech_Specs!$E12="linear",TREND(Perform_Active!$E13:$F13,Perform_Active!$E$8:$F$8,BA$81),)</f>
        <v>0</v>
      </c>
      <c r="BB86" s="405">
        <f>IF(Tech_Specs!$E12="linear",TREND(Perform_Active!$E13:$F13,Perform_Active!$E$8:$F$8,BB$81),)</f>
        <v>0</v>
      </c>
      <c r="BC86" s="405">
        <f>IF(Tech_Specs!$E12="linear",TREND(Perform_Active!$E13:$F13,Perform_Active!$E$8:$F$8,BC$81),)</f>
        <v>0</v>
      </c>
      <c r="BD86" s="405">
        <f>IF(Tech_Specs!$E12="linear",TREND(Perform_Active!$E13:$F13,Perform_Active!$E$8:$F$8,BD$81),)</f>
        <v>0</v>
      </c>
      <c r="BE86" s="405">
        <f>IF(Tech_Specs!$E12="linear",TREND(Perform_Active!$E13:$F13,Perform_Active!$E$8:$F$8,BE$81),)</f>
        <v>0</v>
      </c>
      <c r="BF86" s="405">
        <f>IF(Tech_Specs!$E12="linear",TREND(Perform_Active!$E13:$F13,Perform_Active!$E$8:$F$8,BF$81),)</f>
        <v>0</v>
      </c>
      <c r="BG86" s="405">
        <f>IF(Tech_Specs!$E12="linear",TREND(Perform_Active!$E13:$F13,Perform_Active!$E$8:$F$8,BG$81),)</f>
        <v>0</v>
      </c>
      <c r="BI86" s="405">
        <f>IF(Tech_Specs!$E12="logistic",IF($B12="LED",IF(Tech_Specs!$K12="lamp",Perform_SSL!G$10,Perform_SSL!G$11)),)</f>
        <v>36.873768202819726</v>
      </c>
      <c r="BJ86" s="405">
        <f>IF(Tech_Specs!$E12="logistic",IF($B12="LED",IF(Tech_Specs!$K12="lamp",Perform_SSL!H$10,Perform_SSL!H$11)),)</f>
        <v>48.266272480467556</v>
      </c>
      <c r="BK86" s="405">
        <f>IF(Tech_Specs!$E12="logistic",IF($B12="LED",IF(Tech_Specs!$K12="lamp",Perform_SSL!I$10,Perform_SSL!I$11)),)</f>
        <v>61.701198700113544</v>
      </c>
      <c r="BL86" s="405">
        <f>IF(Tech_Specs!$E12="logistic",IF($B12="LED",IF(Tech_Specs!$K12="lamp",Perform_SSL!J$10,Perform_SSL!J$11)),)</f>
        <v>77.591734715380795</v>
      </c>
      <c r="BM86" s="405">
        <f>IF(Tech_Specs!$E12="logistic",IF($B12="LED",IF(Tech_Specs!$K12="lamp",Perform_SSL!K$10,Perform_SSL!K$11)),)</f>
        <v>94.800465488123137</v>
      </c>
      <c r="BN86" s="405">
        <f>IF(Tech_Specs!$E12="logistic",IF($B12="LED",IF(Tech_Specs!$K12="lamp",Perform_SSL!L$10,Perform_SSL!L$11)),)</f>
        <v>112.50003941617493</v>
      </c>
      <c r="BO86" s="405">
        <f>IF(Tech_Specs!$E12="logistic",IF($B12="LED",IF(Tech_Specs!$K12="lamp",Perform_SSL!M$10,Perform_SSL!M$11)),)</f>
        <v>129.3471504340618</v>
      </c>
      <c r="BP86" s="405">
        <f>IF(Tech_Specs!$E12="logistic",IF($B12="LED",IF(Tech_Specs!$K12="lamp",Perform_SSL!N$10,Perform_SSL!N$11)),)</f>
        <v>145.03095133963808</v>
      </c>
      <c r="BQ86" s="405">
        <f>IF(Tech_Specs!$E12="logistic",IF($B12="LED",IF(Tech_Specs!$K12="lamp",Perform_SSL!O$10,Perform_SSL!O$11)),)</f>
        <v>159.127310954921</v>
      </c>
      <c r="BR86" s="405">
        <f>IF(Tech_Specs!$E12="logistic",IF($B12="LED",IF(Tech_Specs!$K12="lamp",Perform_SSL!P$10,Perform_SSL!P$11)),)</f>
        <v>171.48202098927979</v>
      </c>
      <c r="BS86" s="405">
        <f>IF(Tech_Specs!$E12="logistic",IF($B12="LED",IF(Tech_Specs!$K12="lamp",Perform_SSL!Q$10,Perform_SSL!Q$11)),)</f>
        <v>182.15170200680319</v>
      </c>
      <c r="BT86" s="405">
        <f>IF(Tech_Specs!$E12="logistic",IF($B12="LED",IF(Tech_Specs!$K12="lamp",Perform_SSL!R$10,Perform_SSL!R$11)),)</f>
        <v>187.8607232688625</v>
      </c>
      <c r="BU86" s="405">
        <f>IF(Tech_Specs!$E12="logistic",IF($B12="LED",IF(Tech_Specs!$K12="lamp",Perform_SSL!S$10,Perform_SSL!S$11)),)</f>
        <v>192.15160570290442</v>
      </c>
      <c r="BV86" s="405">
        <f>IF(Tech_Specs!$E12="logistic",IF($B12="LED",IF(Tech_Specs!$K12="lamp",Perform_SSL!T$10,Perform_SSL!T$11)),)</f>
        <v>195.33034204073093</v>
      </c>
      <c r="BW86" s="405">
        <f>IF(Tech_Specs!$E12="logistic",IF($B12="LED",IF(Tech_Specs!$K12="lamp",Perform_SSL!U$10,Perform_SSL!U$11)),)</f>
        <v>197.66006127320361</v>
      </c>
      <c r="BX86" s="405">
        <f>IF(Tech_Specs!$E12="logistic",IF($B12="LED",IF(Tech_Specs!$K12="lamp",Perform_SSL!V$10,Perform_SSL!V$11)),)</f>
        <v>199.35413887963063</v>
      </c>
      <c r="BY86" s="405">
        <f>IF(Tech_Specs!$E12="logistic",IF($B12="LED",IF(Tech_Specs!$K12="lamp",Perform_SSL!W$10,Perform_SSL!W$11)),)</f>
        <v>200.57896356186501</v>
      </c>
      <c r="BZ86" s="405">
        <f>IF(Tech_Specs!$E12="logistic",IF($B12="LED",IF(Tech_Specs!$K12="lamp",Perform_SSL!X$10,Perform_SSL!X$11)),)</f>
        <v>201.46085171629713</v>
      </c>
      <c r="CA86" s="405">
        <f>IF(Tech_Specs!$E12="logistic",IF($B12="LED",IF(Tech_Specs!$K12="lamp",Perform_SSL!Y$10,Perform_SSL!Y$11)),)</f>
        <v>202.09392729485813</v>
      </c>
      <c r="CB86" s="405">
        <f>IF(Tech_Specs!$E12="logistic",IF($B12="LED",IF(Tech_Specs!$K12="lamp",Perform_SSL!Z$10,Perform_SSL!Z$11)),)</f>
        <v>202.54741526513342</v>
      </c>
      <c r="CC86" s="405">
        <f>IF(Tech_Specs!$E12="logistic",IF($B12="LED",IF(Tech_Specs!$K12="lamp",Perform_SSL!AA$10,Perform_SSL!AA$11)),)</f>
        <v>202.87176106409183</v>
      </c>
      <c r="CD86" s="405">
        <f>IF(Tech_Specs!$E12="logistic",IF($B12="LED",IF(Tech_Specs!$K12="lamp",Perform_SSL!AB$10,Perform_SSL!AB$11)),)</f>
        <v>203.10348618652321</v>
      </c>
      <c r="CE86" s="405">
        <f>IF(Tech_Specs!$E12="logistic",IF($B12="LED",IF(Tech_Specs!$K12="lamp",Perform_SSL!AC$10,Perform_SSL!AC$11)),)</f>
        <v>203.26890947460336</v>
      </c>
      <c r="CF86" s="405">
        <f>IF(Tech_Specs!$E12="logistic",IF($B12="LED",IF(Tech_Specs!$K12="lamp",Perform_SSL!AD$10,Perform_SSL!AD$11)),)</f>
        <v>203.38693514979437</v>
      </c>
      <c r="CG86" s="405">
        <f>IF(Tech_Specs!$E12="logistic",IF($B12="LED",IF(Tech_Specs!$K12="lamp",Perform_SSL!AE$10,Perform_SSL!AE$11)),)</f>
        <v>203.47111002115616</v>
      </c>
      <c r="CH86" s="405">
        <f>IF(Tech_Specs!$E12="logistic",IF($B12="LED",IF(Tech_Specs!$K12="lamp",Perform_SSL!AF$10,Perform_SSL!AF$11)),)</f>
        <v>203.53112565740346</v>
      </c>
      <c r="CJ86" s="625">
        <f>IF(AND(Tech_Specs!$E12="step",Standards_Active!$E13="yes"),IF(CJ$81&lt;Standards_Active!$C13,TREND(Perform_Active!$E13:$F13,Perform_Active!$E$8:$F$8,CJ$81),IF(ISNUMBER(Standards_Active!$I13),IF(AND(CJ$81&gt;=Standards_Active!$C13,CJ$81&lt;Standards_Active!$D13),(Standards_Active!$I13-INDEX($CJ86:$DI86,1,MATCH((Standards_Active!$C13-1),$CJ$81:$DI$81,FALSE)))/(Standards_Active!$D13-(Standards_Active!$C13-1))+CI86,Standards_Active!$I13*((1+Standards_Active!$N13)^(CJ$81-Standards_Active!$D13))),TREND(Perform_Active!$E13:$F13,Perform_Active!$E$8:$F$8,CJ$81))),)</f>
        <v>0</v>
      </c>
      <c r="CK86" s="625">
        <f>IF(AND(Tech_Specs!$E12="step",Standards_Active!$E13="yes"),IF(CK$81&lt;Standards_Active!$C13,TREND(Perform_Active!$E13:$F13,Perform_Active!$E$8:$F$8,CK$81),IF(ISNUMBER(Standards_Active!$I13),IF(AND(CK$81&gt;=Standards_Active!$C13,CK$81&lt;Standards_Active!$D13),(Standards_Active!$I13-INDEX($CJ86:$DI86,1,MATCH((Standards_Active!$C13-1),$CJ$81:$DI$81,FALSE)))/(Standards_Active!$D13-(Standards_Active!$C13-1))+CJ86,Standards_Active!$I13*((1+Standards_Active!$N13)^(CK$81-Standards_Active!$D13))),TREND(Perform_Active!$E13:$F13,Perform_Active!$E$8:$F$8,CK$81))),)</f>
        <v>0</v>
      </c>
      <c r="CL86" s="625">
        <f>IF(AND(Tech_Specs!$E12="step",Standards_Active!$E13="yes"),IF(CL$81&lt;Standards_Active!$C13,TREND(Perform_Active!$E13:$F13,Perform_Active!$E$8:$F$8,CL$81),IF(ISNUMBER(Standards_Active!$I13),IF(AND(CL$81&gt;=Standards_Active!$C13,CL$81&lt;Standards_Active!$D13),(Standards_Active!$I13-INDEX($CJ86:$DI86,1,MATCH((Standards_Active!$C13-1),$CJ$81:$DI$81,FALSE)))/(Standards_Active!$D13-(Standards_Active!$C13-1))+CK86,Standards_Active!$I13*((1+Standards_Active!$N13)^(CL$81-Standards_Active!$D13))),TREND(Perform_Active!$E13:$F13,Perform_Active!$E$8:$F$8,CL$81))),)</f>
        <v>0</v>
      </c>
      <c r="CM86" s="625">
        <f>IF(AND(Tech_Specs!$E12="step",Standards_Active!$E13="yes"),IF(CM$81&lt;Standards_Active!$C13,TREND(Perform_Active!$E13:$F13,Perform_Active!$E$8:$F$8,CM$81),IF(ISNUMBER(Standards_Active!$I13),IF(AND(CM$81&gt;=Standards_Active!$C13,CM$81&lt;Standards_Active!$D13),(Standards_Active!$I13-INDEX($CJ86:$DI86,1,MATCH((Standards_Active!$C13-1),$CJ$81:$DI$81,FALSE)))/(Standards_Active!$D13-(Standards_Active!$C13-1))+CL86,Standards_Active!$I13*((1+Standards_Active!$N13)^(CM$81-Standards_Active!$D13))),TREND(Perform_Active!$E13:$F13,Perform_Active!$E$8:$F$8,CM$81))),)</f>
        <v>0</v>
      </c>
      <c r="CN86" s="625">
        <f>IF(AND(Tech_Specs!$E12="step",Standards_Active!$E13="yes"),IF(CN$81&lt;Standards_Active!$C13,TREND(Perform_Active!$E13:$F13,Perform_Active!$E$8:$F$8,CN$81),IF(ISNUMBER(Standards_Active!$I13),IF(AND(CN$81&gt;=Standards_Active!$C13,CN$81&lt;Standards_Active!$D13),(Standards_Active!$I13-INDEX($CJ86:$DI86,1,MATCH((Standards_Active!$C13-1),$CJ$81:$DI$81,FALSE)))/(Standards_Active!$D13-(Standards_Active!$C13-1))+CM86,Standards_Active!$I13*((1+Standards_Active!$N13)^(CN$81-Standards_Active!$D13))),TREND(Perform_Active!$E13:$F13,Perform_Active!$E$8:$F$8,CN$81))),)</f>
        <v>0</v>
      </c>
      <c r="CO86" s="625">
        <f>IF(AND(Tech_Specs!$E12="step",Standards_Active!$E13="yes"),IF(CO$81&lt;Standards_Active!$C13,TREND(Perform_Active!$E13:$F13,Perform_Active!$E$8:$F$8,CO$81),IF(ISNUMBER(Standards_Active!$I13),IF(AND(CO$81&gt;=Standards_Active!$C13,CO$81&lt;Standards_Active!$D13),(Standards_Active!$I13-INDEX($CJ86:$DI86,1,MATCH((Standards_Active!$C13-1),$CJ$81:$DI$81,FALSE)))/(Standards_Active!$D13-(Standards_Active!$C13-1))+CN86,Standards_Active!$I13*((1+Standards_Active!$N13)^(CO$81-Standards_Active!$D13))),TREND(Perform_Active!$E13:$F13,Perform_Active!$E$8:$F$8,CO$81))),)</f>
        <v>0</v>
      </c>
      <c r="CP86" s="625">
        <f>IF(AND(Tech_Specs!$E12="step",Standards_Active!$E13="yes"),IF(CP$81&lt;Standards_Active!$C13,TREND(Perform_Active!$E13:$F13,Perform_Active!$E$8:$F$8,CP$81),IF(ISNUMBER(Standards_Active!$I13),IF(AND(CP$81&gt;=Standards_Active!$C13,CP$81&lt;Standards_Active!$D13),(Standards_Active!$I13-INDEX($CJ86:$DI86,1,MATCH((Standards_Active!$C13-1),$CJ$81:$DI$81,FALSE)))/(Standards_Active!$D13-(Standards_Active!$C13-1))+CO86,Standards_Active!$I13*((1+Standards_Active!$N13)^(CP$81-Standards_Active!$D13))),TREND(Perform_Active!$E13:$F13,Perform_Active!$E$8:$F$8,CP$81))),)</f>
        <v>0</v>
      </c>
      <c r="CQ86" s="625">
        <f>IF(AND(Tech_Specs!$E12="step",Standards_Active!$E13="yes"),IF(CQ$81&lt;Standards_Active!$C13,TREND(Perform_Active!$E13:$F13,Perform_Active!$E$8:$F$8,CQ$81),IF(ISNUMBER(Standards_Active!$I13),IF(AND(CQ$81&gt;=Standards_Active!$C13,CQ$81&lt;Standards_Active!$D13),(Standards_Active!$I13-INDEX($CJ86:$DI86,1,MATCH((Standards_Active!$C13-1),$CJ$81:$DI$81,FALSE)))/(Standards_Active!$D13-(Standards_Active!$C13-1))+CP86,Standards_Active!$I13*((1+Standards_Active!$N13)^(CQ$81-Standards_Active!$D13))),TREND(Perform_Active!$E13:$F13,Perform_Active!$E$8:$F$8,CQ$81))),)</f>
        <v>0</v>
      </c>
      <c r="CR86" s="625">
        <f>IF(AND(Tech_Specs!$E12="step",Standards_Active!$E13="yes"),IF(CR$81&lt;Standards_Active!$C13,TREND(Perform_Active!$E13:$F13,Perform_Active!$E$8:$F$8,CR$81),IF(ISNUMBER(Standards_Active!$I13),IF(AND(CR$81&gt;=Standards_Active!$C13,CR$81&lt;Standards_Active!$D13),(Standards_Active!$I13-INDEX($CJ86:$DI86,1,MATCH((Standards_Active!$C13-1),$CJ$81:$DI$81,FALSE)))/(Standards_Active!$D13-(Standards_Active!$C13-1))+CQ86,Standards_Active!$I13*((1+Standards_Active!$N13)^(CR$81-Standards_Active!$D13))),TREND(Perform_Active!$E13:$F13,Perform_Active!$E$8:$F$8,CR$81))),)</f>
        <v>0</v>
      </c>
      <c r="CS86" s="625">
        <f>IF(AND(Tech_Specs!$E12="step",Standards_Active!$E13="yes"),IF(CS$81&lt;Standards_Active!$C13,TREND(Perform_Active!$E13:$F13,Perform_Active!$E$8:$F$8,CS$81),IF(ISNUMBER(Standards_Active!$I13),IF(AND(CS$81&gt;=Standards_Active!$C13,CS$81&lt;Standards_Active!$D13),(Standards_Active!$I13-INDEX($CJ86:$DI86,1,MATCH((Standards_Active!$C13-1),$CJ$81:$DI$81,FALSE)))/(Standards_Active!$D13-(Standards_Active!$C13-1))+CR86,Standards_Active!$I13*((1+Standards_Active!$N13)^(CS$81-Standards_Active!$D13))),TREND(Perform_Active!$E13:$F13,Perform_Active!$E$8:$F$8,CS$81))),)</f>
        <v>0</v>
      </c>
      <c r="CT86" s="625">
        <f>IF(AND(Tech_Specs!$E12="step",Standards_Active!$E13="yes"),IF(CT$81&lt;Standards_Active!$C13,TREND(Perform_Active!$E13:$F13,Perform_Active!$E$8:$F$8,CT$81),IF(ISNUMBER(Standards_Active!$I13),IF(AND(CT$81&gt;=Standards_Active!$C13,CT$81&lt;Standards_Active!$D13),(Standards_Active!$I13-INDEX($CJ86:$DI86,1,MATCH((Standards_Active!$C13-1),$CJ$81:$DI$81,FALSE)))/(Standards_Active!$D13-(Standards_Active!$C13-1))+CS86,Standards_Active!$I13*((1+Standards_Active!$N13)^(CT$81-Standards_Active!$D13))),TREND(Perform_Active!$E13:$F13,Perform_Active!$E$8:$F$8,CT$81))),)</f>
        <v>0</v>
      </c>
      <c r="CU86" s="625">
        <f>IF(AND(Tech_Specs!$E12="step",Standards_Active!$E13="yes"),IF(CU$81&lt;Standards_Active!$C13,TREND(Perform_Active!$E13:$F13,Perform_Active!$E$8:$F$8,CU$81),IF(ISNUMBER(Standards_Active!$I13),IF(AND(CU$81&gt;=Standards_Active!$C13,CU$81&lt;Standards_Active!$D13),(Standards_Active!$I13-INDEX($CJ86:$DI86,1,MATCH((Standards_Active!$C13-1),$CJ$81:$DI$81,FALSE)))/(Standards_Active!$D13-(Standards_Active!$C13-1))+CT86,Standards_Active!$I13*((1+Standards_Active!$N13)^(CU$81-Standards_Active!$D13))),TREND(Perform_Active!$E13:$F13,Perform_Active!$E$8:$F$8,CU$81))),)</f>
        <v>0</v>
      </c>
      <c r="CV86" s="625">
        <f>IF(AND(Tech_Specs!$E12="step",Standards_Active!$E13="yes"),IF(CV$81&lt;Standards_Active!$C13,TREND(Perform_Active!$E13:$F13,Perform_Active!$E$8:$F$8,CV$81),IF(ISNUMBER(Standards_Active!$I13),IF(AND(CV$81&gt;=Standards_Active!$C13,CV$81&lt;Standards_Active!$D13),(Standards_Active!$I13-INDEX($CJ86:$DI86,1,MATCH((Standards_Active!$C13-1),$CJ$81:$DI$81,FALSE)))/(Standards_Active!$D13-(Standards_Active!$C13-1))+CU86,Standards_Active!$I13*((1+Standards_Active!$N13)^(CV$81-Standards_Active!$D13))),TREND(Perform_Active!$E13:$F13,Perform_Active!$E$8:$F$8,CV$81))),)</f>
        <v>0</v>
      </c>
      <c r="CW86" s="625">
        <f>IF(AND(Tech_Specs!$E12="step",Standards_Active!$E13="yes"),IF(CW$81&lt;Standards_Active!$C13,TREND(Perform_Active!$E13:$F13,Perform_Active!$E$8:$F$8,CW$81),IF(ISNUMBER(Standards_Active!$I13),IF(AND(CW$81&gt;=Standards_Active!$C13,CW$81&lt;Standards_Active!$D13),(Standards_Active!$I13-INDEX($CJ86:$DI86,1,MATCH((Standards_Active!$C13-1),$CJ$81:$DI$81,FALSE)))/(Standards_Active!$D13-(Standards_Active!$C13-1))+CV86,Standards_Active!$I13*((1+Standards_Active!$N13)^(CW$81-Standards_Active!$D13))),TREND(Perform_Active!$E13:$F13,Perform_Active!$E$8:$F$8,CW$81))),)</f>
        <v>0</v>
      </c>
      <c r="CX86" s="625">
        <f>IF(AND(Tech_Specs!$E12="step",Standards_Active!$E13="yes"),IF(CX$81&lt;Standards_Active!$C13,TREND(Perform_Active!$E13:$F13,Perform_Active!$E$8:$F$8,CX$81),IF(ISNUMBER(Standards_Active!$I13),IF(AND(CX$81&gt;=Standards_Active!$C13,CX$81&lt;Standards_Active!$D13),(Standards_Active!$I13-INDEX($CJ86:$DI86,1,MATCH((Standards_Active!$C13-1),$CJ$81:$DI$81,FALSE)))/(Standards_Active!$D13-(Standards_Active!$C13-1))+CW86,Standards_Active!$I13*((1+Standards_Active!$N13)^(CX$81-Standards_Active!$D13))),TREND(Perform_Active!$E13:$F13,Perform_Active!$E$8:$F$8,CX$81))),)</f>
        <v>0</v>
      </c>
      <c r="CY86" s="625">
        <f>IF(AND(Tech_Specs!$E12="step",Standards_Active!$E13="yes"),IF(CY$81&lt;Standards_Active!$C13,TREND(Perform_Active!$E13:$F13,Perform_Active!$E$8:$F$8,CY$81),IF(ISNUMBER(Standards_Active!$I13),IF(AND(CY$81&gt;=Standards_Active!$C13,CY$81&lt;Standards_Active!$D13),(Standards_Active!$I13-INDEX($CJ86:$DI86,1,MATCH((Standards_Active!$C13-1),$CJ$81:$DI$81,FALSE)))/(Standards_Active!$D13-(Standards_Active!$C13-1))+CX86,Standards_Active!$I13*((1+Standards_Active!$N13)^(CY$81-Standards_Active!$D13))),TREND(Perform_Active!$E13:$F13,Perform_Active!$E$8:$F$8,CY$81))),)</f>
        <v>0</v>
      </c>
      <c r="CZ86" s="625">
        <f>IF(AND(Tech_Specs!$E12="step",Standards_Active!$E13="yes"),IF(CZ$81&lt;Standards_Active!$C13,TREND(Perform_Active!$E13:$F13,Perform_Active!$E$8:$F$8,CZ$81),IF(ISNUMBER(Standards_Active!$I13),IF(AND(CZ$81&gt;=Standards_Active!$C13,CZ$81&lt;Standards_Active!$D13),(Standards_Active!$I13-INDEX($CJ86:$DI86,1,MATCH((Standards_Active!$C13-1),$CJ$81:$DI$81,FALSE)))/(Standards_Active!$D13-(Standards_Active!$C13-1))+CY86,Standards_Active!$I13*((1+Standards_Active!$N13)^(CZ$81-Standards_Active!$D13))),TREND(Perform_Active!$E13:$F13,Perform_Active!$E$8:$F$8,CZ$81))),)</f>
        <v>0</v>
      </c>
      <c r="DA86" s="625">
        <f>IF(AND(Tech_Specs!$E12="step",Standards_Active!$E13="yes"),IF(DA$81&lt;Standards_Active!$C13,TREND(Perform_Active!$E13:$F13,Perform_Active!$E$8:$F$8,DA$81),IF(ISNUMBER(Standards_Active!$I13),IF(AND(DA$81&gt;=Standards_Active!$C13,DA$81&lt;Standards_Active!$D13),(Standards_Active!$I13-INDEX($CJ86:$DI86,1,MATCH((Standards_Active!$C13-1),$CJ$81:$DI$81,FALSE)))/(Standards_Active!$D13-(Standards_Active!$C13-1))+CZ86,Standards_Active!$I13*((1+Standards_Active!$N13)^(DA$81-Standards_Active!$D13))),TREND(Perform_Active!$E13:$F13,Perform_Active!$E$8:$F$8,DA$81))),)</f>
        <v>0</v>
      </c>
      <c r="DB86" s="625">
        <f>IF(AND(Tech_Specs!$E12="step",Standards_Active!$E13="yes"),IF(DB$81&lt;Standards_Active!$C13,TREND(Perform_Active!$E13:$F13,Perform_Active!$E$8:$F$8,DB$81),IF(ISNUMBER(Standards_Active!$I13),IF(AND(DB$81&gt;=Standards_Active!$C13,DB$81&lt;Standards_Active!$D13),(Standards_Active!$I13-INDEX($CJ86:$DI86,1,MATCH((Standards_Active!$C13-1),$CJ$81:$DI$81,FALSE)))/(Standards_Active!$D13-(Standards_Active!$C13-1))+DA86,Standards_Active!$I13*((1+Standards_Active!$N13)^(DB$81-Standards_Active!$D13))),TREND(Perform_Active!$E13:$F13,Perform_Active!$E$8:$F$8,DB$81))),)</f>
        <v>0</v>
      </c>
      <c r="DC86" s="625">
        <f>IF(AND(Tech_Specs!$E12="step",Standards_Active!$E13="yes"),IF(DC$81&lt;Standards_Active!$C13,TREND(Perform_Active!$E13:$F13,Perform_Active!$E$8:$F$8,DC$81),IF(ISNUMBER(Standards_Active!$I13),IF(AND(DC$81&gt;=Standards_Active!$C13,DC$81&lt;Standards_Active!$D13),(Standards_Active!$I13-INDEX($CJ86:$DI86,1,MATCH((Standards_Active!$C13-1),$CJ$81:$DI$81,FALSE)))/(Standards_Active!$D13-(Standards_Active!$C13-1))+DB86,Standards_Active!$I13*((1+Standards_Active!$N13)^(DC$81-Standards_Active!$D13))),TREND(Perform_Active!$E13:$F13,Perform_Active!$E$8:$F$8,DC$81))),)</f>
        <v>0</v>
      </c>
      <c r="DD86" s="625">
        <f>IF(AND(Tech_Specs!$E12="step",Standards_Active!$E13="yes"),IF(DD$81&lt;Standards_Active!$C13,TREND(Perform_Active!$E13:$F13,Perform_Active!$E$8:$F$8,DD$81),IF(ISNUMBER(Standards_Active!$I13),IF(AND(DD$81&gt;=Standards_Active!$C13,DD$81&lt;Standards_Active!$D13),(Standards_Active!$I13-INDEX($CJ86:$DI86,1,MATCH((Standards_Active!$C13-1),$CJ$81:$DI$81,FALSE)))/(Standards_Active!$D13-(Standards_Active!$C13-1))+DC86,Standards_Active!$I13*((1+Standards_Active!$N13)^(DD$81-Standards_Active!$D13))),TREND(Perform_Active!$E13:$F13,Perform_Active!$E$8:$F$8,DD$81))),)</f>
        <v>0</v>
      </c>
      <c r="DE86" s="625">
        <f>IF(AND(Tech_Specs!$E12="step",Standards_Active!$E13="yes"),IF(DE$81&lt;Standards_Active!$C13,TREND(Perform_Active!$E13:$F13,Perform_Active!$E$8:$F$8,DE$81),IF(ISNUMBER(Standards_Active!$I13),IF(AND(DE$81&gt;=Standards_Active!$C13,DE$81&lt;Standards_Active!$D13),(Standards_Active!$I13-INDEX($CJ86:$DI86,1,MATCH((Standards_Active!$C13-1),$CJ$81:$DI$81,FALSE)))/(Standards_Active!$D13-(Standards_Active!$C13-1))+DD86,Standards_Active!$I13*((1+Standards_Active!$N13)^(DE$81-Standards_Active!$D13))),TREND(Perform_Active!$E13:$F13,Perform_Active!$E$8:$F$8,DE$81))),)</f>
        <v>0</v>
      </c>
      <c r="DF86" s="625">
        <f>IF(AND(Tech_Specs!$E12="step",Standards_Active!$E13="yes"),IF(DF$81&lt;Standards_Active!$C13,TREND(Perform_Active!$E13:$F13,Perform_Active!$E$8:$F$8,DF$81),IF(ISNUMBER(Standards_Active!$I13),IF(AND(DF$81&gt;=Standards_Active!$C13,DF$81&lt;Standards_Active!$D13),(Standards_Active!$I13-INDEX($CJ86:$DI86,1,MATCH((Standards_Active!$C13-1),$CJ$81:$DI$81,FALSE)))/(Standards_Active!$D13-(Standards_Active!$C13-1))+DE86,Standards_Active!$I13*((1+Standards_Active!$N13)^(DF$81-Standards_Active!$D13))),TREND(Perform_Active!$E13:$F13,Perform_Active!$E$8:$F$8,DF$81))),)</f>
        <v>0</v>
      </c>
      <c r="DG86" s="625">
        <f>IF(AND(Tech_Specs!$E12="step",Standards_Active!$E13="yes"),IF(DG$81&lt;Standards_Active!$C13,TREND(Perform_Active!$E13:$F13,Perform_Active!$E$8:$F$8,DG$81),IF(ISNUMBER(Standards_Active!$I13),IF(AND(DG$81&gt;=Standards_Active!$C13,DG$81&lt;Standards_Active!$D13),(Standards_Active!$I13-INDEX($CJ86:$DI86,1,MATCH((Standards_Active!$C13-1),$CJ$81:$DI$81,FALSE)))/(Standards_Active!$D13-(Standards_Active!$C13-1))+DF86,Standards_Active!$I13*((1+Standards_Active!$N13)^(DG$81-Standards_Active!$D13))),TREND(Perform_Active!$E13:$F13,Perform_Active!$E$8:$F$8,DG$81))),)</f>
        <v>0</v>
      </c>
      <c r="DH86" s="625">
        <f>IF(AND(Tech_Specs!$E12="step",Standards_Active!$E13="yes"),IF(DH$81&lt;Standards_Active!$C13,TREND(Perform_Active!$E13:$F13,Perform_Active!$E$8:$F$8,DH$81),IF(ISNUMBER(Standards_Active!$I13),IF(AND(DH$81&gt;=Standards_Active!$C13,DH$81&lt;Standards_Active!$D13),(Standards_Active!$I13-INDEX($CJ86:$DI86,1,MATCH((Standards_Active!$C13-1),$CJ$81:$DI$81,FALSE)))/(Standards_Active!$D13-(Standards_Active!$C13-1))+DG86,Standards_Active!$I13*((1+Standards_Active!$N13)^(DH$81-Standards_Active!$D13))),TREND(Perform_Active!$E13:$F13,Perform_Active!$E$8:$F$8,DH$81))),)</f>
        <v>0</v>
      </c>
      <c r="DI86" s="625">
        <f>IF(AND(Tech_Specs!$E12="step",Standards_Active!$E13="yes"),IF(DI$81&lt;Standards_Active!$C13,TREND(Perform_Active!$E13:$F13,Perform_Active!$E$8:$F$8,DI$81),IF(ISNUMBER(Standards_Active!$I13),IF(AND(DI$81&gt;=Standards_Active!$C13,DI$81&lt;Standards_Active!$D13),(Standards_Active!$I13-INDEX($CJ86:$DI86,1,MATCH((Standards_Active!$C13-1),$CJ$81:$DI$81,FALSE)))/(Standards_Active!$D13-(Standards_Active!$C13-1))+DH86,Standards_Active!$I13*((1+Standards_Active!$N13)^(DI$81-Standards_Active!$D13))),TREND(Perform_Active!$E13:$F13,Perform_Active!$E$8:$F$8,DI$81))),)</f>
        <v>0</v>
      </c>
    </row>
    <row r="87" spans="1:113" s="376" customFormat="1" ht="12.6" x14ac:dyDescent="0.25">
      <c r="D87" s="550"/>
      <c r="E87" s="550"/>
      <c r="F87" s="550"/>
      <c r="G87" s="390"/>
      <c r="H87" s="390"/>
      <c r="I87" s="390"/>
      <c r="J87" s="390"/>
      <c r="K87" s="390"/>
      <c r="L87" s="390"/>
      <c r="M87" s="390"/>
      <c r="N87" s="390"/>
      <c r="O87" s="390"/>
      <c r="P87" s="390"/>
      <c r="Q87" s="390"/>
      <c r="R87" s="390"/>
      <c r="S87" s="390"/>
      <c r="T87" s="390"/>
      <c r="U87" s="390"/>
      <c r="V87" s="390"/>
      <c r="W87" s="390"/>
      <c r="X87" s="390"/>
      <c r="Y87" s="390"/>
      <c r="Z87" s="390"/>
      <c r="AA87" s="390"/>
      <c r="AB87" s="390"/>
      <c r="AC87" s="390"/>
      <c r="AD87" s="390"/>
      <c r="AE87" s="390"/>
      <c r="AF87" s="390"/>
    </row>
    <row r="88" spans="1:113" s="376" customFormat="1" ht="12.95" x14ac:dyDescent="0.3">
      <c r="A88" s="384" t="s">
        <v>32</v>
      </c>
      <c r="B88" s="383"/>
      <c r="C88" s="387"/>
      <c r="D88" s="387"/>
      <c r="E88" s="387"/>
      <c r="F88" s="387"/>
      <c r="G88" s="391"/>
      <c r="H88" s="391"/>
      <c r="I88" s="391"/>
      <c r="J88" s="391"/>
      <c r="K88" s="391"/>
      <c r="L88" s="391"/>
      <c r="M88" s="391"/>
      <c r="N88" s="391"/>
      <c r="O88" s="391"/>
      <c r="P88" s="391"/>
      <c r="Q88" s="391"/>
      <c r="R88" s="391"/>
      <c r="S88" s="391"/>
      <c r="T88" s="391"/>
      <c r="U88" s="391"/>
      <c r="V88" s="391"/>
      <c r="W88" s="391"/>
      <c r="X88" s="391"/>
      <c r="Y88" s="391"/>
      <c r="Z88" s="391"/>
      <c r="AA88" s="391"/>
      <c r="AB88" s="391"/>
      <c r="AC88" s="391"/>
      <c r="AD88" s="391"/>
      <c r="AE88" s="391"/>
      <c r="AF88" s="391"/>
      <c r="AH88" s="383"/>
      <c r="AI88" s="383"/>
      <c r="AJ88" s="383"/>
      <c r="AK88" s="383"/>
      <c r="AL88" s="383"/>
      <c r="AM88" s="383"/>
      <c r="AN88" s="383"/>
      <c r="AO88" s="383"/>
      <c r="AP88" s="383"/>
      <c r="AQ88" s="383"/>
      <c r="AR88" s="383"/>
      <c r="AS88" s="383"/>
      <c r="AT88" s="383"/>
      <c r="AU88" s="383"/>
      <c r="AV88" s="383"/>
      <c r="AW88" s="383"/>
      <c r="AX88" s="383"/>
      <c r="AY88" s="383"/>
      <c r="AZ88" s="383"/>
      <c r="BA88" s="383"/>
      <c r="BB88" s="383"/>
      <c r="BC88" s="383"/>
      <c r="BD88" s="383"/>
      <c r="BE88" s="383"/>
      <c r="BF88" s="383"/>
      <c r="BG88" s="383"/>
      <c r="BI88" s="383"/>
      <c r="BJ88" s="383"/>
      <c r="BK88" s="383"/>
      <c r="BL88" s="383"/>
      <c r="BM88" s="383"/>
      <c r="BN88" s="383"/>
      <c r="BO88" s="383"/>
      <c r="BP88" s="383"/>
      <c r="BQ88" s="383"/>
      <c r="BR88" s="383"/>
      <c r="BS88" s="383"/>
      <c r="BT88" s="383"/>
      <c r="BU88" s="383"/>
      <c r="BV88" s="383"/>
      <c r="BW88" s="383"/>
      <c r="BX88" s="383"/>
      <c r="BY88" s="383"/>
      <c r="BZ88" s="383"/>
      <c r="CA88" s="383"/>
      <c r="CB88" s="383"/>
      <c r="CC88" s="383"/>
      <c r="CD88" s="383"/>
      <c r="CE88" s="383"/>
      <c r="CF88" s="383"/>
      <c r="CG88" s="383"/>
      <c r="CH88" s="383"/>
      <c r="CJ88" s="383"/>
      <c r="CK88" s="383"/>
      <c r="CL88" s="383"/>
      <c r="CM88" s="383"/>
      <c r="CN88" s="383"/>
      <c r="CO88" s="383"/>
      <c r="CP88" s="383"/>
      <c r="CQ88" s="383"/>
      <c r="CR88" s="383"/>
      <c r="CS88" s="383"/>
      <c r="CT88" s="383"/>
      <c r="CU88" s="383"/>
      <c r="CV88" s="383"/>
      <c r="CW88" s="383"/>
      <c r="CX88" s="383"/>
      <c r="CY88" s="383"/>
      <c r="CZ88" s="383"/>
      <c r="DA88" s="383"/>
      <c r="DB88" s="383"/>
      <c r="DC88" s="383"/>
      <c r="DD88" s="383"/>
      <c r="DE88" s="383"/>
      <c r="DF88" s="383"/>
      <c r="DG88" s="383"/>
      <c r="DH88" s="383"/>
      <c r="DI88" s="383"/>
    </row>
    <row r="89" spans="1:113" s="376" customFormat="1" ht="12.6" x14ac:dyDescent="0.25">
      <c r="B89" s="376" t="s">
        <v>33</v>
      </c>
      <c r="C89" s="379"/>
      <c r="D89" s="379"/>
      <c r="E89" s="379"/>
      <c r="F89" s="379"/>
      <c r="G89" s="390">
        <f t="shared" ref="G89:P92" si="24">SUM(AH89,BI89,CJ89)</f>
        <v>10.199999999999999</v>
      </c>
      <c r="H89" s="390">
        <f t="shared" si="24"/>
        <v>10.199999999999999</v>
      </c>
      <c r="I89" s="390">
        <f t="shared" si="24"/>
        <v>10.199999999999999</v>
      </c>
      <c r="J89" s="390">
        <f t="shared" si="24"/>
        <v>10.199999999999999</v>
      </c>
      <c r="K89" s="390">
        <f t="shared" si="24"/>
        <v>10.199999999999999</v>
      </c>
      <c r="L89" s="390">
        <f t="shared" si="24"/>
        <v>10.199999999999999</v>
      </c>
      <c r="M89" s="390">
        <f t="shared" si="24"/>
        <v>10.199999999999999</v>
      </c>
      <c r="N89" s="390">
        <f t="shared" si="24"/>
        <v>10.199999999999999</v>
      </c>
      <c r="O89" s="390">
        <f t="shared" si="24"/>
        <v>10.199999999999999</v>
      </c>
      <c r="P89" s="390">
        <f t="shared" si="24"/>
        <v>10.199999999999999</v>
      </c>
      <c r="Q89" s="390">
        <f t="shared" ref="Q89:Z92" si="25">SUM(AR89,BS89,CT89)</f>
        <v>10.199999999999999</v>
      </c>
      <c r="R89" s="390">
        <f t="shared" si="25"/>
        <v>10.199999999999999</v>
      </c>
      <c r="S89" s="390">
        <f t="shared" si="25"/>
        <v>10.199999999999999</v>
      </c>
      <c r="T89" s="390">
        <f t="shared" si="25"/>
        <v>10.199999999999999</v>
      </c>
      <c r="U89" s="390">
        <f t="shared" si="25"/>
        <v>10.199999999999999</v>
      </c>
      <c r="V89" s="390">
        <f t="shared" si="25"/>
        <v>10.199999999999999</v>
      </c>
      <c r="W89" s="390">
        <f t="shared" si="25"/>
        <v>10.199999999999999</v>
      </c>
      <c r="X89" s="390">
        <f t="shared" si="25"/>
        <v>10.199999999999999</v>
      </c>
      <c r="Y89" s="390">
        <f t="shared" si="25"/>
        <v>10.199999999999999</v>
      </c>
      <c r="Z89" s="390">
        <f t="shared" si="25"/>
        <v>10.199999999999999</v>
      </c>
      <c r="AA89" s="390">
        <f t="shared" ref="AA89:AF92" si="26">SUM(BB89,CC89,DD89)</f>
        <v>10.199999999999999</v>
      </c>
      <c r="AB89" s="390">
        <f t="shared" si="26"/>
        <v>10.199999999999999</v>
      </c>
      <c r="AC89" s="390">
        <f t="shared" si="26"/>
        <v>10.199999999999999</v>
      </c>
      <c r="AD89" s="390">
        <f t="shared" si="26"/>
        <v>10.199999999999999</v>
      </c>
      <c r="AE89" s="390">
        <f t="shared" si="26"/>
        <v>10.199999999999999</v>
      </c>
      <c r="AF89" s="390">
        <f t="shared" si="26"/>
        <v>10.199999999999999</v>
      </c>
      <c r="AH89" s="405">
        <f>IF(Tech_Specs!$E15="linear",TREND(Perform_Active!$E16:$F16,Perform_Active!$E$8:$F$8,AH$81),)</f>
        <v>10.199999999999999</v>
      </c>
      <c r="AI89" s="405">
        <f>IF(Tech_Specs!$E15="linear",TREND(Perform_Active!$E16:$F16,Perform_Active!$E$8:$F$8,AI$81),)</f>
        <v>10.199999999999999</v>
      </c>
      <c r="AJ89" s="405">
        <f>IF(Tech_Specs!$E15="linear",TREND(Perform_Active!$E16:$F16,Perform_Active!$E$8:$F$8,AJ$81),)</f>
        <v>10.199999999999999</v>
      </c>
      <c r="AK89" s="405">
        <f>IF(Tech_Specs!$E15="linear",TREND(Perform_Active!$E16:$F16,Perform_Active!$E$8:$F$8,AK$81),)</f>
        <v>10.199999999999999</v>
      </c>
      <c r="AL89" s="405">
        <f>IF(Tech_Specs!$E15="linear",TREND(Perform_Active!$E16:$F16,Perform_Active!$E$8:$F$8,AL$81),)</f>
        <v>10.199999999999999</v>
      </c>
      <c r="AM89" s="405">
        <f>IF(Tech_Specs!$E15="linear",TREND(Perform_Active!$E16:$F16,Perform_Active!$E$8:$F$8,AM$81),)</f>
        <v>10.199999999999999</v>
      </c>
      <c r="AN89" s="405">
        <f>IF(Tech_Specs!$E15="linear",TREND(Perform_Active!$E16:$F16,Perform_Active!$E$8:$F$8,AN$81),)</f>
        <v>10.199999999999999</v>
      </c>
      <c r="AO89" s="405">
        <f>IF(Tech_Specs!$E15="linear",TREND(Perform_Active!$E16:$F16,Perform_Active!$E$8:$F$8,AO$81),)</f>
        <v>10.199999999999999</v>
      </c>
      <c r="AP89" s="405">
        <f>IF(Tech_Specs!$E15="linear",TREND(Perform_Active!$E16:$F16,Perform_Active!$E$8:$F$8,AP$81),)</f>
        <v>10.199999999999999</v>
      </c>
      <c r="AQ89" s="405">
        <f>IF(Tech_Specs!$E15="linear",TREND(Perform_Active!$E16:$F16,Perform_Active!$E$8:$F$8,AQ$81),)</f>
        <v>10.199999999999999</v>
      </c>
      <c r="AR89" s="405">
        <f>IF(Tech_Specs!$E15="linear",TREND(Perform_Active!$E16:$F16,Perform_Active!$E$8:$F$8,AR$81),)</f>
        <v>10.199999999999999</v>
      </c>
      <c r="AS89" s="405">
        <f>IF(Tech_Specs!$E15="linear",TREND(Perform_Active!$E16:$F16,Perform_Active!$E$8:$F$8,AS$81),)</f>
        <v>10.199999999999999</v>
      </c>
      <c r="AT89" s="405">
        <f>IF(Tech_Specs!$E15="linear",TREND(Perform_Active!$E16:$F16,Perform_Active!$E$8:$F$8,AT$81),)</f>
        <v>10.199999999999999</v>
      </c>
      <c r="AU89" s="405">
        <f>IF(Tech_Specs!$E15="linear",TREND(Perform_Active!$E16:$F16,Perform_Active!$E$8:$F$8,AU$81),)</f>
        <v>10.199999999999999</v>
      </c>
      <c r="AV89" s="405">
        <f>IF(Tech_Specs!$E15="linear",TREND(Perform_Active!$E16:$F16,Perform_Active!$E$8:$F$8,AV$81),)</f>
        <v>10.199999999999999</v>
      </c>
      <c r="AW89" s="405">
        <f>IF(Tech_Specs!$E15="linear",TREND(Perform_Active!$E16:$F16,Perform_Active!$E$8:$F$8,AW$81),)</f>
        <v>10.199999999999999</v>
      </c>
      <c r="AX89" s="405">
        <f>IF(Tech_Specs!$E15="linear",TREND(Perform_Active!$E16:$F16,Perform_Active!$E$8:$F$8,AX$81),)</f>
        <v>10.199999999999999</v>
      </c>
      <c r="AY89" s="405">
        <f>IF(Tech_Specs!$E15="linear",TREND(Perform_Active!$E16:$F16,Perform_Active!$E$8:$F$8,AY$81),)</f>
        <v>10.199999999999999</v>
      </c>
      <c r="AZ89" s="405">
        <f>IF(Tech_Specs!$E15="linear",TREND(Perform_Active!$E16:$F16,Perform_Active!$E$8:$F$8,AZ$81),)</f>
        <v>10.199999999999999</v>
      </c>
      <c r="BA89" s="405">
        <f>IF(Tech_Specs!$E15="linear",TREND(Perform_Active!$E16:$F16,Perform_Active!$E$8:$F$8,BA$81),)</f>
        <v>10.199999999999999</v>
      </c>
      <c r="BB89" s="405">
        <f>IF(Tech_Specs!$E15="linear",TREND(Perform_Active!$E16:$F16,Perform_Active!$E$8:$F$8,BB$81),)</f>
        <v>10.199999999999999</v>
      </c>
      <c r="BC89" s="405">
        <f>IF(Tech_Specs!$E15="linear",TREND(Perform_Active!$E16:$F16,Perform_Active!$E$8:$F$8,BC$81),)</f>
        <v>10.199999999999999</v>
      </c>
      <c r="BD89" s="405">
        <f>IF(Tech_Specs!$E15="linear",TREND(Perform_Active!$E16:$F16,Perform_Active!$E$8:$F$8,BD$81),)</f>
        <v>10.199999999999999</v>
      </c>
      <c r="BE89" s="405">
        <f>IF(Tech_Specs!$E15="linear",TREND(Perform_Active!$E16:$F16,Perform_Active!$E$8:$F$8,BE$81),)</f>
        <v>10.199999999999999</v>
      </c>
      <c r="BF89" s="405">
        <f>IF(Tech_Specs!$E15="linear",TREND(Perform_Active!$E16:$F16,Perform_Active!$E$8:$F$8,BF$81),)</f>
        <v>10.199999999999999</v>
      </c>
      <c r="BG89" s="405">
        <f>IF(Tech_Specs!$E15="linear",TREND(Perform_Active!$E16:$F16,Perform_Active!$E$8:$F$8,BG$81),)</f>
        <v>10.199999999999999</v>
      </c>
      <c r="BI89" s="405">
        <f>IF(Tech_Specs!$E15="logistic",IF($B15="LED",IF(Tech_Specs!$K15="lamp",Perform_SSL!G$10,Perform_SSL!G$11)),)</f>
        <v>0</v>
      </c>
      <c r="BJ89" s="405">
        <f>IF(Tech_Specs!$E15="logistic",IF($B15="LED",IF(Tech_Specs!$K15="lamp",Perform_SSL!H$10,Perform_SSL!H$11)),)</f>
        <v>0</v>
      </c>
      <c r="BK89" s="405">
        <f>IF(Tech_Specs!$E15="logistic",IF($B15="LED",IF(Tech_Specs!$K15="lamp",Perform_SSL!I$10,Perform_SSL!I$11)),)</f>
        <v>0</v>
      </c>
      <c r="BL89" s="405">
        <f>IF(Tech_Specs!$E15="logistic",IF($B15="LED",IF(Tech_Specs!$K15="lamp",Perform_SSL!J$10,Perform_SSL!J$11)),)</f>
        <v>0</v>
      </c>
      <c r="BM89" s="405">
        <f>IF(Tech_Specs!$E15="logistic",IF($B15="LED",IF(Tech_Specs!$K15="lamp",Perform_SSL!K$10,Perform_SSL!K$11)),)</f>
        <v>0</v>
      </c>
      <c r="BN89" s="405">
        <f>IF(Tech_Specs!$E15="logistic",IF($B15="LED",IF(Tech_Specs!$K15="lamp",Perform_SSL!L$10,Perform_SSL!L$11)),)</f>
        <v>0</v>
      </c>
      <c r="BO89" s="405">
        <f>IF(Tech_Specs!$E15="logistic",IF($B15="LED",IF(Tech_Specs!$K15="lamp",Perform_SSL!M$10,Perform_SSL!M$11)),)</f>
        <v>0</v>
      </c>
      <c r="BP89" s="405">
        <f>IF(Tech_Specs!$E15="logistic",IF($B15="LED",IF(Tech_Specs!$K15="lamp",Perform_SSL!N$10,Perform_SSL!N$11)),)</f>
        <v>0</v>
      </c>
      <c r="BQ89" s="405">
        <f>IF(Tech_Specs!$E15="logistic",IF($B15="LED",IF(Tech_Specs!$K15="lamp",Perform_SSL!O$10,Perform_SSL!O$11)),)</f>
        <v>0</v>
      </c>
      <c r="BR89" s="405">
        <f>IF(Tech_Specs!$E15="logistic",IF($B15="LED",IF(Tech_Specs!$K15="lamp",Perform_SSL!P$10,Perform_SSL!P$11)),)</f>
        <v>0</v>
      </c>
      <c r="BS89" s="405">
        <f>IF(Tech_Specs!$E15="logistic",IF($B15="LED",IF(Tech_Specs!$K15="lamp",Perform_SSL!Q$10,Perform_SSL!Q$11)),)</f>
        <v>0</v>
      </c>
      <c r="BT89" s="405">
        <f>IF(Tech_Specs!$E15="logistic",IF($B15="LED",IF(Tech_Specs!$K15="lamp",Perform_SSL!R$10,Perform_SSL!R$11)),)</f>
        <v>0</v>
      </c>
      <c r="BU89" s="405">
        <f>IF(Tech_Specs!$E15="logistic",IF($B15="LED",IF(Tech_Specs!$K15="lamp",Perform_SSL!S$10,Perform_SSL!S$11)),)</f>
        <v>0</v>
      </c>
      <c r="BV89" s="405">
        <f>IF(Tech_Specs!$E15="logistic",IF($B15="LED",IF(Tech_Specs!$K15="lamp",Perform_SSL!T$10,Perform_SSL!T$11)),)</f>
        <v>0</v>
      </c>
      <c r="BW89" s="405">
        <f>IF(Tech_Specs!$E15="logistic",IF($B15="LED",IF(Tech_Specs!$K15="lamp",Perform_SSL!U$10,Perform_SSL!U$11)),)</f>
        <v>0</v>
      </c>
      <c r="BX89" s="405">
        <f>IF(Tech_Specs!$E15="logistic",IF($B15="LED",IF(Tech_Specs!$K15="lamp",Perform_SSL!V$10,Perform_SSL!V$11)),)</f>
        <v>0</v>
      </c>
      <c r="BY89" s="405">
        <f>IF(Tech_Specs!$E15="logistic",IF($B15="LED",IF(Tech_Specs!$K15="lamp",Perform_SSL!W$10,Perform_SSL!W$11)),)</f>
        <v>0</v>
      </c>
      <c r="BZ89" s="405">
        <f>IF(Tech_Specs!$E15="logistic",IF($B15="LED",IF(Tech_Specs!$K15="lamp",Perform_SSL!X$10,Perform_SSL!X$11)),)</f>
        <v>0</v>
      </c>
      <c r="CA89" s="405">
        <f>IF(Tech_Specs!$E15="logistic",IF($B15="LED",IF(Tech_Specs!$K15="lamp",Perform_SSL!Y$10,Perform_SSL!Y$11)),)</f>
        <v>0</v>
      </c>
      <c r="CB89" s="405">
        <f>IF(Tech_Specs!$E15="logistic",IF($B15="LED",IF(Tech_Specs!$K15="lamp",Perform_SSL!Z$10,Perform_SSL!Z$11)),)</f>
        <v>0</v>
      </c>
      <c r="CC89" s="405">
        <f>IF(Tech_Specs!$E15="logistic",IF($B15="LED",IF(Tech_Specs!$K15="lamp",Perform_SSL!AA$10,Perform_SSL!AA$11)),)</f>
        <v>0</v>
      </c>
      <c r="CD89" s="405">
        <f>IF(Tech_Specs!$E15="logistic",IF($B15="LED",IF(Tech_Specs!$K15="lamp",Perform_SSL!AB$10,Perform_SSL!AB$11)),)</f>
        <v>0</v>
      </c>
      <c r="CE89" s="405">
        <f>IF(Tech_Specs!$E15="logistic",IF($B15="LED",IF(Tech_Specs!$K15="lamp",Perform_SSL!AC$10,Perform_SSL!AC$11)),)</f>
        <v>0</v>
      </c>
      <c r="CF89" s="405">
        <f>IF(Tech_Specs!$E15="logistic",IF($B15="LED",IF(Tech_Specs!$K15="lamp",Perform_SSL!AD$10,Perform_SSL!AD$11)),)</f>
        <v>0</v>
      </c>
      <c r="CG89" s="405">
        <f>IF(Tech_Specs!$E15="logistic",IF($B15="LED",IF(Tech_Specs!$K15="lamp",Perform_SSL!AE$10,Perform_SSL!AE$11)),)</f>
        <v>0</v>
      </c>
      <c r="CH89" s="405">
        <f>IF(Tech_Specs!$E15="logistic",IF($B15="LED",IF(Tech_Specs!$K15="lamp",Perform_SSL!AF$10,Perform_SSL!AF$11)),)</f>
        <v>0</v>
      </c>
      <c r="CJ89" s="625">
        <f>IF(AND(Tech_Specs!$E15="step",Standards_Active!$E16="yes"),IF(CJ$81&lt;Standards_Active!$C16,TREND(Perform_Active!$E16:$F16,Perform_Active!$E$8:$F$8,CJ$81),IF(ISNUMBER(Standards_Active!$I16),IF(AND(CJ$81&gt;=Standards_Active!$C16,CJ$81&lt;Standards_Active!$D16),(Standards_Active!$I16-INDEX($CJ89:$DI89,1,MATCH((Standards_Active!$C16-1),$CJ$81:$DI$81,FALSE)))/(Standards_Active!$D16-(Standards_Active!$C16-1))+CI89,Standards_Active!$I16*((1+Standards_Active!$N16)^(CJ$81-Standards_Active!$D16))),TREND(Perform_Active!$E16:$F16,Perform_Active!$E$8:$F$8,CJ$81))),)</f>
        <v>0</v>
      </c>
      <c r="CK89" s="625">
        <f>IF(AND(Tech_Specs!$E15="step",Standards_Active!$E16="yes"),IF(CK$81&lt;Standards_Active!$C16,TREND(Perform_Active!$E16:$F16,Perform_Active!$E$8:$F$8,CK$81),IF(ISNUMBER(Standards_Active!$I16),IF(AND(CK$81&gt;=Standards_Active!$C16,CK$81&lt;Standards_Active!$D16),(Standards_Active!$I16-INDEX($CJ89:$DI89,1,MATCH((Standards_Active!$C16-1),$CJ$81:$DI$81,FALSE)))/(Standards_Active!$D16-(Standards_Active!$C16-1))+CJ89,Standards_Active!$I16*((1+Standards_Active!$N16)^(CK$81-Standards_Active!$D16))),TREND(Perform_Active!$E16:$F16,Perform_Active!$E$8:$F$8,CK$81))),)</f>
        <v>0</v>
      </c>
      <c r="CL89" s="625">
        <f>IF(AND(Tech_Specs!$E15="step",Standards_Active!$E16="yes"),IF(CL$81&lt;Standards_Active!$C16,TREND(Perform_Active!$E16:$F16,Perform_Active!$E$8:$F$8,CL$81),IF(ISNUMBER(Standards_Active!$I16),IF(AND(CL$81&gt;=Standards_Active!$C16,CL$81&lt;Standards_Active!$D16),(Standards_Active!$I16-INDEX($CJ89:$DI89,1,MATCH((Standards_Active!$C16-1),$CJ$81:$DI$81,FALSE)))/(Standards_Active!$D16-(Standards_Active!$C16-1))+CK89,Standards_Active!$I16*((1+Standards_Active!$N16)^(CL$81-Standards_Active!$D16))),TREND(Perform_Active!$E16:$F16,Perform_Active!$E$8:$F$8,CL$81))),)</f>
        <v>0</v>
      </c>
      <c r="CM89" s="625">
        <f>IF(AND(Tech_Specs!$E15="step",Standards_Active!$E16="yes"),IF(CM$81&lt;Standards_Active!$C16,TREND(Perform_Active!$E16:$F16,Perform_Active!$E$8:$F$8,CM$81),IF(ISNUMBER(Standards_Active!$I16),IF(AND(CM$81&gt;=Standards_Active!$C16,CM$81&lt;Standards_Active!$D16),(Standards_Active!$I16-INDEX($CJ89:$DI89,1,MATCH((Standards_Active!$C16-1),$CJ$81:$DI$81,FALSE)))/(Standards_Active!$D16-(Standards_Active!$C16-1))+CL89,Standards_Active!$I16*((1+Standards_Active!$N16)^(CM$81-Standards_Active!$D16))),TREND(Perform_Active!$E16:$F16,Perform_Active!$E$8:$F$8,CM$81))),)</f>
        <v>0</v>
      </c>
      <c r="CN89" s="625">
        <f>IF(AND(Tech_Specs!$E15="step",Standards_Active!$E16="yes"),IF(CN$81&lt;Standards_Active!$C16,TREND(Perform_Active!$E16:$F16,Perform_Active!$E$8:$F$8,CN$81),IF(ISNUMBER(Standards_Active!$I16),IF(AND(CN$81&gt;=Standards_Active!$C16,CN$81&lt;Standards_Active!$D16),(Standards_Active!$I16-INDEX($CJ89:$DI89,1,MATCH((Standards_Active!$C16-1),$CJ$81:$DI$81,FALSE)))/(Standards_Active!$D16-(Standards_Active!$C16-1))+CM89,Standards_Active!$I16*((1+Standards_Active!$N16)^(CN$81-Standards_Active!$D16))),TREND(Perform_Active!$E16:$F16,Perform_Active!$E$8:$F$8,CN$81))),)</f>
        <v>0</v>
      </c>
      <c r="CO89" s="625">
        <f>IF(AND(Tech_Specs!$E15="step",Standards_Active!$E16="yes"),IF(CO$81&lt;Standards_Active!$C16,TREND(Perform_Active!$E16:$F16,Perform_Active!$E$8:$F$8,CO$81),IF(ISNUMBER(Standards_Active!$I16),IF(AND(CO$81&gt;=Standards_Active!$C16,CO$81&lt;Standards_Active!$D16),(Standards_Active!$I16-INDEX($CJ89:$DI89,1,MATCH((Standards_Active!$C16-1),$CJ$81:$DI$81,FALSE)))/(Standards_Active!$D16-(Standards_Active!$C16-1))+CN89,Standards_Active!$I16*((1+Standards_Active!$N16)^(CO$81-Standards_Active!$D16))),TREND(Perform_Active!$E16:$F16,Perform_Active!$E$8:$F$8,CO$81))),)</f>
        <v>0</v>
      </c>
      <c r="CP89" s="625">
        <f>IF(AND(Tech_Specs!$E15="step",Standards_Active!$E16="yes"),IF(CP$81&lt;Standards_Active!$C16,TREND(Perform_Active!$E16:$F16,Perform_Active!$E$8:$F$8,CP$81),IF(ISNUMBER(Standards_Active!$I16),IF(AND(CP$81&gt;=Standards_Active!$C16,CP$81&lt;Standards_Active!$D16),(Standards_Active!$I16-INDEX($CJ89:$DI89,1,MATCH((Standards_Active!$C16-1),$CJ$81:$DI$81,FALSE)))/(Standards_Active!$D16-(Standards_Active!$C16-1))+CO89,Standards_Active!$I16*((1+Standards_Active!$N16)^(CP$81-Standards_Active!$D16))),TREND(Perform_Active!$E16:$F16,Perform_Active!$E$8:$F$8,CP$81))),)</f>
        <v>0</v>
      </c>
      <c r="CQ89" s="625">
        <f>IF(AND(Tech_Specs!$E15="step",Standards_Active!$E16="yes"),IF(CQ$81&lt;Standards_Active!$C16,TREND(Perform_Active!$E16:$F16,Perform_Active!$E$8:$F$8,CQ$81),IF(ISNUMBER(Standards_Active!$I16),IF(AND(CQ$81&gt;=Standards_Active!$C16,CQ$81&lt;Standards_Active!$D16),(Standards_Active!$I16-INDEX($CJ89:$DI89,1,MATCH((Standards_Active!$C16-1),$CJ$81:$DI$81,FALSE)))/(Standards_Active!$D16-(Standards_Active!$C16-1))+CP89,Standards_Active!$I16*((1+Standards_Active!$N16)^(CQ$81-Standards_Active!$D16))),TREND(Perform_Active!$E16:$F16,Perform_Active!$E$8:$F$8,CQ$81))),)</f>
        <v>0</v>
      </c>
      <c r="CR89" s="625">
        <f>IF(AND(Tech_Specs!$E15="step",Standards_Active!$E16="yes"),IF(CR$81&lt;Standards_Active!$C16,TREND(Perform_Active!$E16:$F16,Perform_Active!$E$8:$F$8,CR$81),IF(ISNUMBER(Standards_Active!$I16),IF(AND(CR$81&gt;=Standards_Active!$C16,CR$81&lt;Standards_Active!$D16),(Standards_Active!$I16-INDEX($CJ89:$DI89,1,MATCH((Standards_Active!$C16-1),$CJ$81:$DI$81,FALSE)))/(Standards_Active!$D16-(Standards_Active!$C16-1))+CQ89,Standards_Active!$I16*((1+Standards_Active!$N16)^(CR$81-Standards_Active!$D16))),TREND(Perform_Active!$E16:$F16,Perform_Active!$E$8:$F$8,CR$81))),)</f>
        <v>0</v>
      </c>
      <c r="CS89" s="625">
        <f>IF(AND(Tech_Specs!$E15="step",Standards_Active!$E16="yes"),IF(CS$81&lt;Standards_Active!$C16,TREND(Perform_Active!$E16:$F16,Perform_Active!$E$8:$F$8,CS$81),IF(ISNUMBER(Standards_Active!$I16),IF(AND(CS$81&gt;=Standards_Active!$C16,CS$81&lt;Standards_Active!$D16),(Standards_Active!$I16-INDEX($CJ89:$DI89,1,MATCH((Standards_Active!$C16-1),$CJ$81:$DI$81,FALSE)))/(Standards_Active!$D16-(Standards_Active!$C16-1))+CR89,Standards_Active!$I16*((1+Standards_Active!$N16)^(CS$81-Standards_Active!$D16))),TREND(Perform_Active!$E16:$F16,Perform_Active!$E$8:$F$8,CS$81))),)</f>
        <v>0</v>
      </c>
      <c r="CT89" s="625">
        <f>IF(AND(Tech_Specs!$E15="step",Standards_Active!$E16="yes"),IF(CT$81&lt;Standards_Active!$C16,TREND(Perform_Active!$E16:$F16,Perform_Active!$E$8:$F$8,CT$81),IF(ISNUMBER(Standards_Active!$I16),IF(AND(CT$81&gt;=Standards_Active!$C16,CT$81&lt;Standards_Active!$D16),(Standards_Active!$I16-INDEX($CJ89:$DI89,1,MATCH((Standards_Active!$C16-1),$CJ$81:$DI$81,FALSE)))/(Standards_Active!$D16-(Standards_Active!$C16-1))+CS89,Standards_Active!$I16*((1+Standards_Active!$N16)^(CT$81-Standards_Active!$D16))),TREND(Perform_Active!$E16:$F16,Perform_Active!$E$8:$F$8,CT$81))),)</f>
        <v>0</v>
      </c>
      <c r="CU89" s="625">
        <f>IF(AND(Tech_Specs!$E15="step",Standards_Active!$E16="yes"),IF(CU$81&lt;Standards_Active!$C16,TREND(Perform_Active!$E16:$F16,Perform_Active!$E$8:$F$8,CU$81),IF(ISNUMBER(Standards_Active!$I16),IF(AND(CU$81&gt;=Standards_Active!$C16,CU$81&lt;Standards_Active!$D16),(Standards_Active!$I16-INDEX($CJ89:$DI89,1,MATCH((Standards_Active!$C16-1),$CJ$81:$DI$81,FALSE)))/(Standards_Active!$D16-(Standards_Active!$C16-1))+CT89,Standards_Active!$I16*((1+Standards_Active!$N16)^(CU$81-Standards_Active!$D16))),TREND(Perform_Active!$E16:$F16,Perform_Active!$E$8:$F$8,CU$81))),)</f>
        <v>0</v>
      </c>
      <c r="CV89" s="625">
        <f>IF(AND(Tech_Specs!$E15="step",Standards_Active!$E16="yes"),IF(CV$81&lt;Standards_Active!$C16,TREND(Perform_Active!$E16:$F16,Perform_Active!$E$8:$F$8,CV$81),IF(ISNUMBER(Standards_Active!$I16),IF(AND(CV$81&gt;=Standards_Active!$C16,CV$81&lt;Standards_Active!$D16),(Standards_Active!$I16-INDEX($CJ89:$DI89,1,MATCH((Standards_Active!$C16-1),$CJ$81:$DI$81,FALSE)))/(Standards_Active!$D16-(Standards_Active!$C16-1))+CU89,Standards_Active!$I16*((1+Standards_Active!$N16)^(CV$81-Standards_Active!$D16))),TREND(Perform_Active!$E16:$F16,Perform_Active!$E$8:$F$8,CV$81))),)</f>
        <v>0</v>
      </c>
      <c r="CW89" s="625">
        <f>IF(AND(Tech_Specs!$E15="step",Standards_Active!$E16="yes"),IF(CW$81&lt;Standards_Active!$C16,TREND(Perform_Active!$E16:$F16,Perform_Active!$E$8:$F$8,CW$81),IF(ISNUMBER(Standards_Active!$I16),IF(AND(CW$81&gt;=Standards_Active!$C16,CW$81&lt;Standards_Active!$D16),(Standards_Active!$I16-INDEX($CJ89:$DI89,1,MATCH((Standards_Active!$C16-1),$CJ$81:$DI$81,FALSE)))/(Standards_Active!$D16-(Standards_Active!$C16-1))+CV89,Standards_Active!$I16*((1+Standards_Active!$N16)^(CW$81-Standards_Active!$D16))),TREND(Perform_Active!$E16:$F16,Perform_Active!$E$8:$F$8,CW$81))),)</f>
        <v>0</v>
      </c>
      <c r="CX89" s="625">
        <f>IF(AND(Tech_Specs!$E15="step",Standards_Active!$E16="yes"),IF(CX$81&lt;Standards_Active!$C16,TREND(Perform_Active!$E16:$F16,Perform_Active!$E$8:$F$8,CX$81),IF(ISNUMBER(Standards_Active!$I16),IF(AND(CX$81&gt;=Standards_Active!$C16,CX$81&lt;Standards_Active!$D16),(Standards_Active!$I16-INDEX($CJ89:$DI89,1,MATCH((Standards_Active!$C16-1),$CJ$81:$DI$81,FALSE)))/(Standards_Active!$D16-(Standards_Active!$C16-1))+CW89,Standards_Active!$I16*((1+Standards_Active!$N16)^(CX$81-Standards_Active!$D16))),TREND(Perform_Active!$E16:$F16,Perform_Active!$E$8:$F$8,CX$81))),)</f>
        <v>0</v>
      </c>
      <c r="CY89" s="625">
        <f>IF(AND(Tech_Specs!$E15="step",Standards_Active!$E16="yes"),IF(CY$81&lt;Standards_Active!$C16,TREND(Perform_Active!$E16:$F16,Perform_Active!$E$8:$F$8,CY$81),IF(ISNUMBER(Standards_Active!$I16),IF(AND(CY$81&gt;=Standards_Active!$C16,CY$81&lt;Standards_Active!$D16),(Standards_Active!$I16-INDEX($CJ89:$DI89,1,MATCH((Standards_Active!$C16-1),$CJ$81:$DI$81,FALSE)))/(Standards_Active!$D16-(Standards_Active!$C16-1))+CX89,Standards_Active!$I16*((1+Standards_Active!$N16)^(CY$81-Standards_Active!$D16))),TREND(Perform_Active!$E16:$F16,Perform_Active!$E$8:$F$8,CY$81))),)</f>
        <v>0</v>
      </c>
      <c r="CZ89" s="625">
        <f>IF(AND(Tech_Specs!$E15="step",Standards_Active!$E16="yes"),IF(CZ$81&lt;Standards_Active!$C16,TREND(Perform_Active!$E16:$F16,Perform_Active!$E$8:$F$8,CZ$81),IF(ISNUMBER(Standards_Active!$I16),IF(AND(CZ$81&gt;=Standards_Active!$C16,CZ$81&lt;Standards_Active!$D16),(Standards_Active!$I16-INDEX($CJ89:$DI89,1,MATCH((Standards_Active!$C16-1),$CJ$81:$DI$81,FALSE)))/(Standards_Active!$D16-(Standards_Active!$C16-1))+CY89,Standards_Active!$I16*((1+Standards_Active!$N16)^(CZ$81-Standards_Active!$D16))),TREND(Perform_Active!$E16:$F16,Perform_Active!$E$8:$F$8,CZ$81))),)</f>
        <v>0</v>
      </c>
      <c r="DA89" s="625">
        <f>IF(AND(Tech_Specs!$E15="step",Standards_Active!$E16="yes"),IF(DA$81&lt;Standards_Active!$C16,TREND(Perform_Active!$E16:$F16,Perform_Active!$E$8:$F$8,DA$81),IF(ISNUMBER(Standards_Active!$I16),IF(AND(DA$81&gt;=Standards_Active!$C16,DA$81&lt;Standards_Active!$D16),(Standards_Active!$I16-INDEX($CJ89:$DI89,1,MATCH((Standards_Active!$C16-1),$CJ$81:$DI$81,FALSE)))/(Standards_Active!$D16-(Standards_Active!$C16-1))+CZ89,Standards_Active!$I16*((1+Standards_Active!$N16)^(DA$81-Standards_Active!$D16))),TREND(Perform_Active!$E16:$F16,Perform_Active!$E$8:$F$8,DA$81))),)</f>
        <v>0</v>
      </c>
      <c r="DB89" s="625">
        <f>IF(AND(Tech_Specs!$E15="step",Standards_Active!$E16="yes"),IF(DB$81&lt;Standards_Active!$C16,TREND(Perform_Active!$E16:$F16,Perform_Active!$E$8:$F$8,DB$81),IF(ISNUMBER(Standards_Active!$I16),IF(AND(DB$81&gt;=Standards_Active!$C16,DB$81&lt;Standards_Active!$D16),(Standards_Active!$I16-INDEX($CJ89:$DI89,1,MATCH((Standards_Active!$C16-1),$CJ$81:$DI$81,FALSE)))/(Standards_Active!$D16-(Standards_Active!$C16-1))+DA89,Standards_Active!$I16*((1+Standards_Active!$N16)^(DB$81-Standards_Active!$D16))),TREND(Perform_Active!$E16:$F16,Perform_Active!$E$8:$F$8,DB$81))),)</f>
        <v>0</v>
      </c>
      <c r="DC89" s="625">
        <f>IF(AND(Tech_Specs!$E15="step",Standards_Active!$E16="yes"),IF(DC$81&lt;Standards_Active!$C16,TREND(Perform_Active!$E16:$F16,Perform_Active!$E$8:$F$8,DC$81),IF(ISNUMBER(Standards_Active!$I16),IF(AND(DC$81&gt;=Standards_Active!$C16,DC$81&lt;Standards_Active!$D16),(Standards_Active!$I16-INDEX($CJ89:$DI89,1,MATCH((Standards_Active!$C16-1),$CJ$81:$DI$81,FALSE)))/(Standards_Active!$D16-(Standards_Active!$C16-1))+DB89,Standards_Active!$I16*((1+Standards_Active!$N16)^(DC$81-Standards_Active!$D16))),TREND(Perform_Active!$E16:$F16,Perform_Active!$E$8:$F$8,DC$81))),)</f>
        <v>0</v>
      </c>
      <c r="DD89" s="625">
        <f>IF(AND(Tech_Specs!$E15="step",Standards_Active!$E16="yes"),IF(DD$81&lt;Standards_Active!$C16,TREND(Perform_Active!$E16:$F16,Perform_Active!$E$8:$F$8,DD$81),IF(ISNUMBER(Standards_Active!$I16),IF(AND(DD$81&gt;=Standards_Active!$C16,DD$81&lt;Standards_Active!$D16),(Standards_Active!$I16-INDEX($CJ89:$DI89,1,MATCH((Standards_Active!$C16-1),$CJ$81:$DI$81,FALSE)))/(Standards_Active!$D16-(Standards_Active!$C16-1))+DC89,Standards_Active!$I16*((1+Standards_Active!$N16)^(DD$81-Standards_Active!$D16))),TREND(Perform_Active!$E16:$F16,Perform_Active!$E$8:$F$8,DD$81))),)</f>
        <v>0</v>
      </c>
      <c r="DE89" s="625">
        <f>IF(AND(Tech_Specs!$E15="step",Standards_Active!$E16="yes"),IF(DE$81&lt;Standards_Active!$C16,TREND(Perform_Active!$E16:$F16,Perform_Active!$E$8:$F$8,DE$81),IF(ISNUMBER(Standards_Active!$I16),IF(AND(DE$81&gt;=Standards_Active!$C16,DE$81&lt;Standards_Active!$D16),(Standards_Active!$I16-INDEX($CJ89:$DI89,1,MATCH((Standards_Active!$C16-1),$CJ$81:$DI$81,FALSE)))/(Standards_Active!$D16-(Standards_Active!$C16-1))+DD89,Standards_Active!$I16*((1+Standards_Active!$N16)^(DE$81-Standards_Active!$D16))),TREND(Perform_Active!$E16:$F16,Perform_Active!$E$8:$F$8,DE$81))),)</f>
        <v>0</v>
      </c>
      <c r="DF89" s="625">
        <f>IF(AND(Tech_Specs!$E15="step",Standards_Active!$E16="yes"),IF(DF$81&lt;Standards_Active!$C16,TREND(Perform_Active!$E16:$F16,Perform_Active!$E$8:$F$8,DF$81),IF(ISNUMBER(Standards_Active!$I16),IF(AND(DF$81&gt;=Standards_Active!$C16,DF$81&lt;Standards_Active!$D16),(Standards_Active!$I16-INDEX($CJ89:$DI89,1,MATCH((Standards_Active!$C16-1),$CJ$81:$DI$81,FALSE)))/(Standards_Active!$D16-(Standards_Active!$C16-1))+DE89,Standards_Active!$I16*((1+Standards_Active!$N16)^(DF$81-Standards_Active!$D16))),TREND(Perform_Active!$E16:$F16,Perform_Active!$E$8:$F$8,DF$81))),)</f>
        <v>0</v>
      </c>
      <c r="DG89" s="625">
        <f>IF(AND(Tech_Specs!$E15="step",Standards_Active!$E16="yes"),IF(DG$81&lt;Standards_Active!$C16,TREND(Perform_Active!$E16:$F16,Perform_Active!$E$8:$F$8,DG$81),IF(ISNUMBER(Standards_Active!$I16),IF(AND(DG$81&gt;=Standards_Active!$C16,DG$81&lt;Standards_Active!$D16),(Standards_Active!$I16-INDEX($CJ89:$DI89,1,MATCH((Standards_Active!$C16-1),$CJ$81:$DI$81,FALSE)))/(Standards_Active!$D16-(Standards_Active!$C16-1))+DF89,Standards_Active!$I16*((1+Standards_Active!$N16)^(DG$81-Standards_Active!$D16))),TREND(Perform_Active!$E16:$F16,Perform_Active!$E$8:$F$8,DG$81))),)</f>
        <v>0</v>
      </c>
      <c r="DH89" s="625">
        <f>IF(AND(Tech_Specs!$E15="step",Standards_Active!$E16="yes"),IF(DH$81&lt;Standards_Active!$C16,TREND(Perform_Active!$E16:$F16,Perform_Active!$E$8:$F$8,DH$81),IF(ISNUMBER(Standards_Active!$I16),IF(AND(DH$81&gt;=Standards_Active!$C16,DH$81&lt;Standards_Active!$D16),(Standards_Active!$I16-INDEX($CJ89:$DI89,1,MATCH((Standards_Active!$C16-1),$CJ$81:$DI$81,FALSE)))/(Standards_Active!$D16-(Standards_Active!$C16-1))+DG89,Standards_Active!$I16*((1+Standards_Active!$N16)^(DH$81-Standards_Active!$D16))),TREND(Perform_Active!$E16:$F16,Perform_Active!$E$8:$F$8,DH$81))),)</f>
        <v>0</v>
      </c>
      <c r="DI89" s="625">
        <f>IF(AND(Tech_Specs!$E15="step",Standards_Active!$E16="yes"),IF(DI$81&lt;Standards_Active!$C16,TREND(Perform_Active!$E16:$F16,Perform_Active!$E$8:$F$8,DI$81),IF(ISNUMBER(Standards_Active!$I16),IF(AND(DI$81&gt;=Standards_Active!$C16,DI$81&lt;Standards_Active!$D16),(Standards_Active!$I16-INDEX($CJ89:$DI89,1,MATCH((Standards_Active!$C16-1),$CJ$81:$DI$81,FALSE)))/(Standards_Active!$D16-(Standards_Active!$C16-1))+DH89,Standards_Active!$I16*((1+Standards_Active!$N16)^(DI$81-Standards_Active!$D16))),TREND(Perform_Active!$E16:$F16,Perform_Active!$E$8:$F$8,DI$81))),)</f>
        <v>0</v>
      </c>
    </row>
    <row r="90" spans="1:113" s="376" customFormat="1" ht="12.6" x14ac:dyDescent="0.25">
      <c r="A90" s="388"/>
      <c r="B90" s="388" t="s">
        <v>34</v>
      </c>
      <c r="C90" s="379"/>
      <c r="D90" s="379"/>
      <c r="E90" s="379"/>
      <c r="F90" s="379"/>
      <c r="G90" s="390">
        <f t="shared" si="24"/>
        <v>14.100000000000009</v>
      </c>
      <c r="H90" s="390">
        <f t="shared" si="24"/>
        <v>14.170500000000018</v>
      </c>
      <c r="I90" s="390">
        <f t="shared" si="24"/>
        <v>15.249613391040644</v>
      </c>
      <c r="J90" s="390">
        <f t="shared" si="24"/>
        <v>16.328726782081269</v>
      </c>
      <c r="K90" s="390">
        <f t="shared" si="24"/>
        <v>17.407840173121894</v>
      </c>
      <c r="L90" s="390">
        <f t="shared" si="24"/>
        <v>17.494879373987501</v>
      </c>
      <c r="M90" s="390">
        <f t="shared" si="24"/>
        <v>17.582353770857438</v>
      </c>
      <c r="N90" s="390">
        <f t="shared" si="24"/>
        <v>17.670265539711721</v>
      </c>
      <c r="O90" s="390">
        <f t="shared" si="24"/>
        <v>17.758616867410275</v>
      </c>
      <c r="P90" s="390">
        <f t="shared" si="24"/>
        <v>17.847409951747323</v>
      </c>
      <c r="Q90" s="390">
        <f t="shared" si="25"/>
        <v>17.936647001506056</v>
      </c>
      <c r="R90" s="390">
        <f t="shared" si="25"/>
        <v>18.026330236513587</v>
      </c>
      <c r="S90" s="390">
        <f t="shared" si="25"/>
        <v>18.116461887696151</v>
      </c>
      <c r="T90" s="390">
        <f t="shared" si="25"/>
        <v>18.207044197134632</v>
      </c>
      <c r="U90" s="390">
        <f t="shared" si="25"/>
        <v>18.298079418120302</v>
      </c>
      <c r="V90" s="390">
        <f t="shared" si="25"/>
        <v>18.389569815210901</v>
      </c>
      <c r="W90" s="390">
        <f t="shared" si="25"/>
        <v>18.481517664286951</v>
      </c>
      <c r="X90" s="390">
        <f t="shared" si="25"/>
        <v>18.573925252608383</v>
      </c>
      <c r="Y90" s="390">
        <f t="shared" si="25"/>
        <v>18.666794878871421</v>
      </c>
      <c r="Z90" s="390">
        <f t="shared" si="25"/>
        <v>18.760128853265773</v>
      </c>
      <c r="AA90" s="390">
        <f t="shared" si="26"/>
        <v>18.8539294975321</v>
      </c>
      <c r="AB90" s="390">
        <f t="shared" si="26"/>
        <v>18.94819914501976</v>
      </c>
      <c r="AC90" s="390">
        <f t="shared" si="26"/>
        <v>19.042940140744854</v>
      </c>
      <c r="AD90" s="390">
        <f t="shared" si="26"/>
        <v>19.138154841448575</v>
      </c>
      <c r="AE90" s="390">
        <f t="shared" si="26"/>
        <v>19.233845615655817</v>
      </c>
      <c r="AF90" s="390">
        <f t="shared" si="26"/>
        <v>19.330014843734091</v>
      </c>
      <c r="AH90" s="405">
        <f>IF(Tech_Specs!$E16="linear",TREND(Perform_Active!$E17:$F17,Perform_Active!$E$8:$F$8,AH$81),)</f>
        <v>0</v>
      </c>
      <c r="AI90" s="405">
        <f>IF(Tech_Specs!$E16="linear",TREND(Perform_Active!$E17:$F17,Perform_Active!$E$8:$F$8,AI$81),)</f>
        <v>0</v>
      </c>
      <c r="AJ90" s="405">
        <f>IF(Tech_Specs!$E16="linear",TREND(Perform_Active!$E17:$F17,Perform_Active!$E$8:$F$8,AJ$81),)</f>
        <v>0</v>
      </c>
      <c r="AK90" s="405">
        <f>IF(Tech_Specs!$E16="linear",TREND(Perform_Active!$E17:$F17,Perform_Active!$E$8:$F$8,AK$81),)</f>
        <v>0</v>
      </c>
      <c r="AL90" s="405">
        <f>IF(Tech_Specs!$E16="linear",TREND(Perform_Active!$E17:$F17,Perform_Active!$E$8:$F$8,AL$81),)</f>
        <v>0</v>
      </c>
      <c r="AM90" s="405">
        <f>IF(Tech_Specs!$E16="linear",TREND(Perform_Active!$E17:$F17,Perform_Active!$E$8:$F$8,AM$81),)</f>
        <v>0</v>
      </c>
      <c r="AN90" s="405">
        <f>IF(Tech_Specs!$E16="linear",TREND(Perform_Active!$E17:$F17,Perform_Active!$E$8:$F$8,AN$81),)</f>
        <v>0</v>
      </c>
      <c r="AO90" s="405">
        <f>IF(Tech_Specs!$E16="linear",TREND(Perform_Active!$E17:$F17,Perform_Active!$E$8:$F$8,AO$81),)</f>
        <v>0</v>
      </c>
      <c r="AP90" s="405">
        <f>IF(Tech_Specs!$E16="linear",TREND(Perform_Active!$E17:$F17,Perform_Active!$E$8:$F$8,AP$81),)</f>
        <v>0</v>
      </c>
      <c r="AQ90" s="405">
        <f>IF(Tech_Specs!$E16="linear",TREND(Perform_Active!$E17:$F17,Perform_Active!$E$8:$F$8,AQ$81),)</f>
        <v>0</v>
      </c>
      <c r="AR90" s="405">
        <f>IF(Tech_Specs!$E16="linear",TREND(Perform_Active!$E17:$F17,Perform_Active!$E$8:$F$8,AR$81),)</f>
        <v>0</v>
      </c>
      <c r="AS90" s="405">
        <f>IF(Tech_Specs!$E16="linear",TREND(Perform_Active!$E17:$F17,Perform_Active!$E$8:$F$8,AS$81),)</f>
        <v>0</v>
      </c>
      <c r="AT90" s="405">
        <f>IF(Tech_Specs!$E16="linear",TREND(Perform_Active!$E17:$F17,Perform_Active!$E$8:$F$8,AT$81),)</f>
        <v>0</v>
      </c>
      <c r="AU90" s="405">
        <f>IF(Tech_Specs!$E16="linear",TREND(Perform_Active!$E17:$F17,Perform_Active!$E$8:$F$8,AU$81),)</f>
        <v>0</v>
      </c>
      <c r="AV90" s="405">
        <f>IF(Tech_Specs!$E16="linear",TREND(Perform_Active!$E17:$F17,Perform_Active!$E$8:$F$8,AV$81),)</f>
        <v>0</v>
      </c>
      <c r="AW90" s="405">
        <f>IF(Tech_Specs!$E16="linear",TREND(Perform_Active!$E17:$F17,Perform_Active!$E$8:$F$8,AW$81),)</f>
        <v>0</v>
      </c>
      <c r="AX90" s="405">
        <f>IF(Tech_Specs!$E16="linear",TREND(Perform_Active!$E17:$F17,Perform_Active!$E$8:$F$8,AX$81),)</f>
        <v>0</v>
      </c>
      <c r="AY90" s="405">
        <f>IF(Tech_Specs!$E16="linear",TREND(Perform_Active!$E17:$F17,Perform_Active!$E$8:$F$8,AY$81),)</f>
        <v>0</v>
      </c>
      <c r="AZ90" s="405">
        <f>IF(Tech_Specs!$E16="linear",TREND(Perform_Active!$E17:$F17,Perform_Active!$E$8:$F$8,AZ$81),)</f>
        <v>0</v>
      </c>
      <c r="BA90" s="405">
        <f>IF(Tech_Specs!$E16="linear",TREND(Perform_Active!$E17:$F17,Perform_Active!$E$8:$F$8,BA$81),)</f>
        <v>0</v>
      </c>
      <c r="BB90" s="405">
        <f>IF(Tech_Specs!$E16="linear",TREND(Perform_Active!$E17:$F17,Perform_Active!$E$8:$F$8,BB$81),)</f>
        <v>0</v>
      </c>
      <c r="BC90" s="405">
        <f>IF(Tech_Specs!$E16="linear",TREND(Perform_Active!$E17:$F17,Perform_Active!$E$8:$F$8,BC$81),)</f>
        <v>0</v>
      </c>
      <c r="BD90" s="405">
        <f>IF(Tech_Specs!$E16="linear",TREND(Perform_Active!$E17:$F17,Perform_Active!$E$8:$F$8,BD$81),)</f>
        <v>0</v>
      </c>
      <c r="BE90" s="405">
        <f>IF(Tech_Specs!$E16="linear",TREND(Perform_Active!$E17:$F17,Perform_Active!$E$8:$F$8,BE$81),)</f>
        <v>0</v>
      </c>
      <c r="BF90" s="405">
        <f>IF(Tech_Specs!$E16="linear",TREND(Perform_Active!$E17:$F17,Perform_Active!$E$8:$F$8,BF$81),)</f>
        <v>0</v>
      </c>
      <c r="BG90" s="405">
        <f>IF(Tech_Specs!$E16="linear",TREND(Perform_Active!$E17:$F17,Perform_Active!$E$8:$F$8,BG$81),)</f>
        <v>0</v>
      </c>
      <c r="BI90" s="405">
        <f>IF(Tech_Specs!$E16="logistic",IF($B16="LED",IF(Tech_Specs!$K16="lamp",Perform_SSL!G$10,Perform_SSL!G$11)),)</f>
        <v>0</v>
      </c>
      <c r="BJ90" s="405">
        <f>IF(Tech_Specs!$E16="logistic",IF($B16="LED",IF(Tech_Specs!$K16="lamp",Perform_SSL!H$10,Perform_SSL!H$11)),)</f>
        <v>0</v>
      </c>
      <c r="BK90" s="405">
        <f>IF(Tech_Specs!$E16="logistic",IF($B16="LED",IF(Tech_Specs!$K16="lamp",Perform_SSL!I$10,Perform_SSL!I$11)),)</f>
        <v>0</v>
      </c>
      <c r="BL90" s="405">
        <f>IF(Tech_Specs!$E16="logistic",IF($B16="LED",IF(Tech_Specs!$K16="lamp",Perform_SSL!J$10,Perform_SSL!J$11)),)</f>
        <v>0</v>
      </c>
      <c r="BM90" s="405">
        <f>IF(Tech_Specs!$E16="logistic",IF($B16="LED",IF(Tech_Specs!$K16="lamp",Perform_SSL!K$10,Perform_SSL!K$11)),)</f>
        <v>0</v>
      </c>
      <c r="BN90" s="405">
        <f>IF(Tech_Specs!$E16="logistic",IF($B16="LED",IF(Tech_Specs!$K16="lamp",Perform_SSL!L$10,Perform_SSL!L$11)),)</f>
        <v>0</v>
      </c>
      <c r="BO90" s="405">
        <f>IF(Tech_Specs!$E16="logistic",IF($B16="LED",IF(Tech_Specs!$K16="lamp",Perform_SSL!M$10,Perform_SSL!M$11)),)</f>
        <v>0</v>
      </c>
      <c r="BP90" s="405">
        <f>IF(Tech_Specs!$E16="logistic",IF($B16="LED",IF(Tech_Specs!$K16="lamp",Perform_SSL!N$10,Perform_SSL!N$11)),)</f>
        <v>0</v>
      </c>
      <c r="BQ90" s="405">
        <f>IF(Tech_Specs!$E16="logistic",IF($B16="LED",IF(Tech_Specs!$K16="lamp",Perform_SSL!O$10,Perform_SSL!O$11)),)</f>
        <v>0</v>
      </c>
      <c r="BR90" s="405">
        <f>IF(Tech_Specs!$E16="logistic",IF($B16="LED",IF(Tech_Specs!$K16="lamp",Perform_SSL!P$10,Perform_SSL!P$11)),)</f>
        <v>0</v>
      </c>
      <c r="BS90" s="405">
        <f>IF(Tech_Specs!$E16="logistic",IF($B16="LED",IF(Tech_Specs!$K16="lamp",Perform_SSL!Q$10,Perform_SSL!Q$11)),)</f>
        <v>0</v>
      </c>
      <c r="BT90" s="405">
        <f>IF(Tech_Specs!$E16="logistic",IF($B16="LED",IF(Tech_Specs!$K16="lamp",Perform_SSL!R$10,Perform_SSL!R$11)),)</f>
        <v>0</v>
      </c>
      <c r="BU90" s="405">
        <f>IF(Tech_Specs!$E16="logistic",IF($B16="LED",IF(Tech_Specs!$K16="lamp",Perform_SSL!S$10,Perform_SSL!S$11)),)</f>
        <v>0</v>
      </c>
      <c r="BV90" s="405">
        <f>IF(Tech_Specs!$E16="logistic",IF($B16="LED",IF(Tech_Specs!$K16="lamp",Perform_SSL!T$10,Perform_SSL!T$11)),)</f>
        <v>0</v>
      </c>
      <c r="BW90" s="405">
        <f>IF(Tech_Specs!$E16="logistic",IF($B16="LED",IF(Tech_Specs!$K16="lamp",Perform_SSL!U$10,Perform_SSL!U$11)),)</f>
        <v>0</v>
      </c>
      <c r="BX90" s="405">
        <f>IF(Tech_Specs!$E16="logistic",IF($B16="LED",IF(Tech_Specs!$K16="lamp",Perform_SSL!V$10,Perform_SSL!V$11)),)</f>
        <v>0</v>
      </c>
      <c r="BY90" s="405">
        <f>IF(Tech_Specs!$E16="logistic",IF($B16="LED",IF(Tech_Specs!$K16="lamp",Perform_SSL!W$10,Perform_SSL!W$11)),)</f>
        <v>0</v>
      </c>
      <c r="BZ90" s="405">
        <f>IF(Tech_Specs!$E16="logistic",IF($B16="LED",IF(Tech_Specs!$K16="lamp",Perform_SSL!X$10,Perform_SSL!X$11)),)</f>
        <v>0</v>
      </c>
      <c r="CA90" s="405">
        <f>IF(Tech_Specs!$E16="logistic",IF($B16="LED",IF(Tech_Specs!$K16="lamp",Perform_SSL!Y$10,Perform_SSL!Y$11)),)</f>
        <v>0</v>
      </c>
      <c r="CB90" s="405">
        <f>IF(Tech_Specs!$E16="logistic",IF($B16="LED",IF(Tech_Specs!$K16="lamp",Perform_SSL!Z$10,Perform_SSL!Z$11)),)</f>
        <v>0</v>
      </c>
      <c r="CC90" s="405">
        <f>IF(Tech_Specs!$E16="logistic",IF($B16="LED",IF(Tech_Specs!$K16="lamp",Perform_SSL!AA$10,Perform_SSL!AA$11)),)</f>
        <v>0</v>
      </c>
      <c r="CD90" s="405">
        <f>IF(Tech_Specs!$E16="logistic",IF($B16="LED",IF(Tech_Specs!$K16="lamp",Perform_SSL!AB$10,Perform_SSL!AB$11)),)</f>
        <v>0</v>
      </c>
      <c r="CE90" s="405">
        <f>IF(Tech_Specs!$E16="logistic",IF($B16="LED",IF(Tech_Specs!$K16="lamp",Perform_SSL!AC$10,Perform_SSL!AC$11)),)</f>
        <v>0</v>
      </c>
      <c r="CF90" s="405">
        <f>IF(Tech_Specs!$E16="logistic",IF($B16="LED",IF(Tech_Specs!$K16="lamp",Perform_SSL!AD$10,Perform_SSL!AD$11)),)</f>
        <v>0</v>
      </c>
      <c r="CG90" s="405">
        <f>IF(Tech_Specs!$E16="logistic",IF($B16="LED",IF(Tech_Specs!$K16="lamp",Perform_SSL!AE$10,Perform_SSL!AE$11)),)</f>
        <v>0</v>
      </c>
      <c r="CH90" s="405">
        <f>IF(Tech_Specs!$E16="logistic",IF($B16="LED",IF(Tech_Specs!$K16="lamp",Perform_SSL!AF$10,Perform_SSL!AF$11)),)</f>
        <v>0</v>
      </c>
      <c r="CJ90" s="625">
        <f>IF(AND(Tech_Specs!$E16="step",Standards_Active!$E17="yes"),IF(CJ$81&lt;Standards_Active!$C17,TREND(Perform_Active!$E17:$F17,Perform_Active!$E$8:$F$8,CJ$81),IF(ISNUMBER(Standards_Active!$I17),IF(AND(CJ$81&gt;=Standards_Active!$C17,CJ$81&lt;Standards_Active!$D17),(Standards_Active!$I17-INDEX($CJ90:$DI90,1,MATCH((Standards_Active!$C17-1),$CJ$81:$DI$81,FALSE)))/(Standards_Active!$D17-(Standards_Active!$C17-1))+CI90,Standards_Active!$I17*((1+Standards_Active!$N17)^(CJ$81-Standards_Active!$D17))),TREND(Perform_Active!$E17:$F17,Perform_Active!$E$8:$F$8,CJ$81))),)</f>
        <v>14.100000000000009</v>
      </c>
      <c r="CK90" s="625">
        <f>IF(AND(Tech_Specs!$E16="step",Standards_Active!$E17="yes"),IF(CK$81&lt;Standards_Active!$C17,TREND(Perform_Active!$E17:$F17,Perform_Active!$E$8:$F$8,CK$81),IF(ISNUMBER(Standards_Active!$I17),IF(AND(CK$81&gt;=Standards_Active!$C17,CK$81&lt;Standards_Active!$D17),(Standards_Active!$I17-INDEX($CJ90:$DI90,1,MATCH((Standards_Active!$C17-1),$CJ$81:$DI$81,FALSE)))/(Standards_Active!$D17-(Standards_Active!$C17-1))+CJ90,Standards_Active!$I17*((1+Standards_Active!$N17)^(CK$81-Standards_Active!$D17))),TREND(Perform_Active!$E17:$F17,Perform_Active!$E$8:$F$8,CK$81))),)</f>
        <v>14.170500000000018</v>
      </c>
      <c r="CL90" s="625">
        <f>IF(AND(Tech_Specs!$E16="step",Standards_Active!$E17="yes"),IF(CL$81&lt;Standards_Active!$C17,TREND(Perform_Active!$E17:$F17,Perform_Active!$E$8:$F$8,CL$81),IF(ISNUMBER(Standards_Active!$I17),IF(AND(CL$81&gt;=Standards_Active!$C17,CL$81&lt;Standards_Active!$D17),(Standards_Active!$I17-INDEX($CJ90:$DI90,1,MATCH((Standards_Active!$C17-1),$CJ$81:$DI$81,FALSE)))/(Standards_Active!$D17-(Standards_Active!$C17-1))+CK90,Standards_Active!$I17*((1+Standards_Active!$N17)^(CL$81-Standards_Active!$D17))),TREND(Perform_Active!$E17:$F17,Perform_Active!$E$8:$F$8,CL$81))),)</f>
        <v>15.249613391040644</v>
      </c>
      <c r="CM90" s="625">
        <f>IF(AND(Tech_Specs!$E16="step",Standards_Active!$E17="yes"),IF(CM$81&lt;Standards_Active!$C17,TREND(Perform_Active!$E17:$F17,Perform_Active!$E$8:$F$8,CM$81),IF(ISNUMBER(Standards_Active!$I17),IF(AND(CM$81&gt;=Standards_Active!$C17,CM$81&lt;Standards_Active!$D17),(Standards_Active!$I17-INDEX($CJ90:$DI90,1,MATCH((Standards_Active!$C17-1),$CJ$81:$DI$81,FALSE)))/(Standards_Active!$D17-(Standards_Active!$C17-1))+CL90,Standards_Active!$I17*((1+Standards_Active!$N17)^(CM$81-Standards_Active!$D17))),TREND(Perform_Active!$E17:$F17,Perform_Active!$E$8:$F$8,CM$81))),)</f>
        <v>16.328726782081269</v>
      </c>
      <c r="CN90" s="625">
        <f>IF(AND(Tech_Specs!$E16="step",Standards_Active!$E17="yes"),IF(CN$81&lt;Standards_Active!$C17,TREND(Perform_Active!$E17:$F17,Perform_Active!$E$8:$F$8,CN$81),IF(ISNUMBER(Standards_Active!$I17),IF(AND(CN$81&gt;=Standards_Active!$C17,CN$81&lt;Standards_Active!$D17),(Standards_Active!$I17-INDEX($CJ90:$DI90,1,MATCH((Standards_Active!$C17-1),$CJ$81:$DI$81,FALSE)))/(Standards_Active!$D17-(Standards_Active!$C17-1))+CM90,Standards_Active!$I17*((1+Standards_Active!$N17)^(CN$81-Standards_Active!$D17))),TREND(Perform_Active!$E17:$F17,Perform_Active!$E$8:$F$8,CN$81))),)</f>
        <v>17.407840173121894</v>
      </c>
      <c r="CO90" s="625">
        <f>IF(AND(Tech_Specs!$E16="step",Standards_Active!$E17="yes"),IF(CO$81&lt;Standards_Active!$C17,TREND(Perform_Active!$E17:$F17,Perform_Active!$E$8:$F$8,CO$81),IF(ISNUMBER(Standards_Active!$I17),IF(AND(CO$81&gt;=Standards_Active!$C17,CO$81&lt;Standards_Active!$D17),(Standards_Active!$I17-INDEX($CJ90:$DI90,1,MATCH((Standards_Active!$C17-1),$CJ$81:$DI$81,FALSE)))/(Standards_Active!$D17-(Standards_Active!$C17-1))+CN90,Standards_Active!$I17*((1+Standards_Active!$N17)^(CO$81-Standards_Active!$D17))),TREND(Perform_Active!$E17:$F17,Perform_Active!$E$8:$F$8,CO$81))),)</f>
        <v>17.494879373987501</v>
      </c>
      <c r="CP90" s="625">
        <f>IF(AND(Tech_Specs!$E16="step",Standards_Active!$E17="yes"),IF(CP$81&lt;Standards_Active!$C17,TREND(Perform_Active!$E17:$F17,Perform_Active!$E$8:$F$8,CP$81),IF(ISNUMBER(Standards_Active!$I17),IF(AND(CP$81&gt;=Standards_Active!$C17,CP$81&lt;Standards_Active!$D17),(Standards_Active!$I17-INDEX($CJ90:$DI90,1,MATCH((Standards_Active!$C17-1),$CJ$81:$DI$81,FALSE)))/(Standards_Active!$D17-(Standards_Active!$C17-1))+CO90,Standards_Active!$I17*((1+Standards_Active!$N17)^(CP$81-Standards_Active!$D17))),TREND(Perform_Active!$E17:$F17,Perform_Active!$E$8:$F$8,CP$81))),)</f>
        <v>17.582353770857438</v>
      </c>
      <c r="CQ90" s="625">
        <f>IF(AND(Tech_Specs!$E16="step",Standards_Active!$E17="yes"),IF(CQ$81&lt;Standards_Active!$C17,TREND(Perform_Active!$E17:$F17,Perform_Active!$E$8:$F$8,CQ$81),IF(ISNUMBER(Standards_Active!$I17),IF(AND(CQ$81&gt;=Standards_Active!$C17,CQ$81&lt;Standards_Active!$D17),(Standards_Active!$I17-INDEX($CJ90:$DI90,1,MATCH((Standards_Active!$C17-1),$CJ$81:$DI$81,FALSE)))/(Standards_Active!$D17-(Standards_Active!$C17-1))+CP90,Standards_Active!$I17*((1+Standards_Active!$N17)^(CQ$81-Standards_Active!$D17))),TREND(Perform_Active!$E17:$F17,Perform_Active!$E$8:$F$8,CQ$81))),)</f>
        <v>17.670265539711721</v>
      </c>
      <c r="CR90" s="625">
        <f>IF(AND(Tech_Specs!$E16="step",Standards_Active!$E17="yes"),IF(CR$81&lt;Standards_Active!$C17,TREND(Perform_Active!$E17:$F17,Perform_Active!$E$8:$F$8,CR$81),IF(ISNUMBER(Standards_Active!$I17),IF(AND(CR$81&gt;=Standards_Active!$C17,CR$81&lt;Standards_Active!$D17),(Standards_Active!$I17-INDEX($CJ90:$DI90,1,MATCH((Standards_Active!$C17-1),$CJ$81:$DI$81,FALSE)))/(Standards_Active!$D17-(Standards_Active!$C17-1))+CQ90,Standards_Active!$I17*((1+Standards_Active!$N17)^(CR$81-Standards_Active!$D17))),TREND(Perform_Active!$E17:$F17,Perform_Active!$E$8:$F$8,CR$81))),)</f>
        <v>17.758616867410275</v>
      </c>
      <c r="CS90" s="625">
        <f>IF(AND(Tech_Specs!$E16="step",Standards_Active!$E17="yes"),IF(CS$81&lt;Standards_Active!$C17,TREND(Perform_Active!$E17:$F17,Perform_Active!$E$8:$F$8,CS$81),IF(ISNUMBER(Standards_Active!$I17),IF(AND(CS$81&gt;=Standards_Active!$C17,CS$81&lt;Standards_Active!$D17),(Standards_Active!$I17-INDEX($CJ90:$DI90,1,MATCH((Standards_Active!$C17-1),$CJ$81:$DI$81,FALSE)))/(Standards_Active!$D17-(Standards_Active!$C17-1))+CR90,Standards_Active!$I17*((1+Standards_Active!$N17)^(CS$81-Standards_Active!$D17))),TREND(Perform_Active!$E17:$F17,Perform_Active!$E$8:$F$8,CS$81))),)</f>
        <v>17.847409951747323</v>
      </c>
      <c r="CT90" s="625">
        <f>IF(AND(Tech_Specs!$E16="step",Standards_Active!$E17="yes"),IF(CT$81&lt;Standards_Active!$C17,TREND(Perform_Active!$E17:$F17,Perform_Active!$E$8:$F$8,CT$81),IF(ISNUMBER(Standards_Active!$I17),IF(AND(CT$81&gt;=Standards_Active!$C17,CT$81&lt;Standards_Active!$D17),(Standards_Active!$I17-INDEX($CJ90:$DI90,1,MATCH((Standards_Active!$C17-1),$CJ$81:$DI$81,FALSE)))/(Standards_Active!$D17-(Standards_Active!$C17-1))+CS90,Standards_Active!$I17*((1+Standards_Active!$N17)^(CT$81-Standards_Active!$D17))),TREND(Perform_Active!$E17:$F17,Perform_Active!$E$8:$F$8,CT$81))),)</f>
        <v>17.936647001506056</v>
      </c>
      <c r="CU90" s="625">
        <f>IF(AND(Tech_Specs!$E16="step",Standards_Active!$E17="yes"),IF(CU$81&lt;Standards_Active!$C17,TREND(Perform_Active!$E17:$F17,Perform_Active!$E$8:$F$8,CU$81),IF(ISNUMBER(Standards_Active!$I17),IF(AND(CU$81&gt;=Standards_Active!$C17,CU$81&lt;Standards_Active!$D17),(Standards_Active!$I17-INDEX($CJ90:$DI90,1,MATCH((Standards_Active!$C17-1),$CJ$81:$DI$81,FALSE)))/(Standards_Active!$D17-(Standards_Active!$C17-1))+CT90,Standards_Active!$I17*((1+Standards_Active!$N17)^(CU$81-Standards_Active!$D17))),TREND(Perform_Active!$E17:$F17,Perform_Active!$E$8:$F$8,CU$81))),)</f>
        <v>18.026330236513587</v>
      </c>
      <c r="CV90" s="625">
        <f>IF(AND(Tech_Specs!$E16="step",Standards_Active!$E17="yes"),IF(CV$81&lt;Standards_Active!$C17,TREND(Perform_Active!$E17:$F17,Perform_Active!$E$8:$F$8,CV$81),IF(ISNUMBER(Standards_Active!$I17),IF(AND(CV$81&gt;=Standards_Active!$C17,CV$81&lt;Standards_Active!$D17),(Standards_Active!$I17-INDEX($CJ90:$DI90,1,MATCH((Standards_Active!$C17-1),$CJ$81:$DI$81,FALSE)))/(Standards_Active!$D17-(Standards_Active!$C17-1))+CU90,Standards_Active!$I17*((1+Standards_Active!$N17)^(CV$81-Standards_Active!$D17))),TREND(Perform_Active!$E17:$F17,Perform_Active!$E$8:$F$8,CV$81))),)</f>
        <v>18.116461887696151</v>
      </c>
      <c r="CW90" s="625">
        <f>IF(AND(Tech_Specs!$E16="step",Standards_Active!$E17="yes"),IF(CW$81&lt;Standards_Active!$C17,TREND(Perform_Active!$E17:$F17,Perform_Active!$E$8:$F$8,CW$81),IF(ISNUMBER(Standards_Active!$I17),IF(AND(CW$81&gt;=Standards_Active!$C17,CW$81&lt;Standards_Active!$D17),(Standards_Active!$I17-INDEX($CJ90:$DI90,1,MATCH((Standards_Active!$C17-1),$CJ$81:$DI$81,FALSE)))/(Standards_Active!$D17-(Standards_Active!$C17-1))+CV90,Standards_Active!$I17*((1+Standards_Active!$N17)^(CW$81-Standards_Active!$D17))),TREND(Perform_Active!$E17:$F17,Perform_Active!$E$8:$F$8,CW$81))),)</f>
        <v>18.207044197134632</v>
      </c>
      <c r="CX90" s="625">
        <f>IF(AND(Tech_Specs!$E16="step",Standards_Active!$E17="yes"),IF(CX$81&lt;Standards_Active!$C17,TREND(Perform_Active!$E17:$F17,Perform_Active!$E$8:$F$8,CX$81),IF(ISNUMBER(Standards_Active!$I17),IF(AND(CX$81&gt;=Standards_Active!$C17,CX$81&lt;Standards_Active!$D17),(Standards_Active!$I17-INDEX($CJ90:$DI90,1,MATCH((Standards_Active!$C17-1),$CJ$81:$DI$81,FALSE)))/(Standards_Active!$D17-(Standards_Active!$C17-1))+CW90,Standards_Active!$I17*((1+Standards_Active!$N17)^(CX$81-Standards_Active!$D17))),TREND(Perform_Active!$E17:$F17,Perform_Active!$E$8:$F$8,CX$81))),)</f>
        <v>18.298079418120302</v>
      </c>
      <c r="CY90" s="625">
        <f>IF(AND(Tech_Specs!$E16="step",Standards_Active!$E17="yes"),IF(CY$81&lt;Standards_Active!$C17,TREND(Perform_Active!$E17:$F17,Perform_Active!$E$8:$F$8,CY$81),IF(ISNUMBER(Standards_Active!$I17),IF(AND(CY$81&gt;=Standards_Active!$C17,CY$81&lt;Standards_Active!$D17),(Standards_Active!$I17-INDEX($CJ90:$DI90,1,MATCH((Standards_Active!$C17-1),$CJ$81:$DI$81,FALSE)))/(Standards_Active!$D17-(Standards_Active!$C17-1))+CX90,Standards_Active!$I17*((1+Standards_Active!$N17)^(CY$81-Standards_Active!$D17))),TREND(Perform_Active!$E17:$F17,Perform_Active!$E$8:$F$8,CY$81))),)</f>
        <v>18.389569815210901</v>
      </c>
      <c r="CZ90" s="625">
        <f>IF(AND(Tech_Specs!$E16="step",Standards_Active!$E17="yes"),IF(CZ$81&lt;Standards_Active!$C17,TREND(Perform_Active!$E17:$F17,Perform_Active!$E$8:$F$8,CZ$81),IF(ISNUMBER(Standards_Active!$I17),IF(AND(CZ$81&gt;=Standards_Active!$C17,CZ$81&lt;Standards_Active!$D17),(Standards_Active!$I17-INDEX($CJ90:$DI90,1,MATCH((Standards_Active!$C17-1),$CJ$81:$DI$81,FALSE)))/(Standards_Active!$D17-(Standards_Active!$C17-1))+CY90,Standards_Active!$I17*((1+Standards_Active!$N17)^(CZ$81-Standards_Active!$D17))),TREND(Perform_Active!$E17:$F17,Perform_Active!$E$8:$F$8,CZ$81))),)</f>
        <v>18.481517664286951</v>
      </c>
      <c r="DA90" s="625">
        <f>IF(AND(Tech_Specs!$E16="step",Standards_Active!$E17="yes"),IF(DA$81&lt;Standards_Active!$C17,TREND(Perform_Active!$E17:$F17,Perform_Active!$E$8:$F$8,DA$81),IF(ISNUMBER(Standards_Active!$I17),IF(AND(DA$81&gt;=Standards_Active!$C17,DA$81&lt;Standards_Active!$D17),(Standards_Active!$I17-INDEX($CJ90:$DI90,1,MATCH((Standards_Active!$C17-1),$CJ$81:$DI$81,FALSE)))/(Standards_Active!$D17-(Standards_Active!$C17-1))+CZ90,Standards_Active!$I17*((1+Standards_Active!$N17)^(DA$81-Standards_Active!$D17))),TREND(Perform_Active!$E17:$F17,Perform_Active!$E$8:$F$8,DA$81))),)</f>
        <v>18.573925252608383</v>
      </c>
      <c r="DB90" s="625">
        <f>IF(AND(Tech_Specs!$E16="step",Standards_Active!$E17="yes"),IF(DB$81&lt;Standards_Active!$C17,TREND(Perform_Active!$E17:$F17,Perform_Active!$E$8:$F$8,DB$81),IF(ISNUMBER(Standards_Active!$I17),IF(AND(DB$81&gt;=Standards_Active!$C17,DB$81&lt;Standards_Active!$D17),(Standards_Active!$I17-INDEX($CJ90:$DI90,1,MATCH((Standards_Active!$C17-1),$CJ$81:$DI$81,FALSE)))/(Standards_Active!$D17-(Standards_Active!$C17-1))+DA90,Standards_Active!$I17*((1+Standards_Active!$N17)^(DB$81-Standards_Active!$D17))),TREND(Perform_Active!$E17:$F17,Perform_Active!$E$8:$F$8,DB$81))),)</f>
        <v>18.666794878871421</v>
      </c>
      <c r="DC90" s="625">
        <f>IF(AND(Tech_Specs!$E16="step",Standards_Active!$E17="yes"),IF(DC$81&lt;Standards_Active!$C17,TREND(Perform_Active!$E17:$F17,Perform_Active!$E$8:$F$8,DC$81),IF(ISNUMBER(Standards_Active!$I17),IF(AND(DC$81&gt;=Standards_Active!$C17,DC$81&lt;Standards_Active!$D17),(Standards_Active!$I17-INDEX($CJ90:$DI90,1,MATCH((Standards_Active!$C17-1),$CJ$81:$DI$81,FALSE)))/(Standards_Active!$D17-(Standards_Active!$C17-1))+DB90,Standards_Active!$I17*((1+Standards_Active!$N17)^(DC$81-Standards_Active!$D17))),TREND(Perform_Active!$E17:$F17,Perform_Active!$E$8:$F$8,DC$81))),)</f>
        <v>18.760128853265773</v>
      </c>
      <c r="DD90" s="625">
        <f>IF(AND(Tech_Specs!$E16="step",Standards_Active!$E17="yes"),IF(DD$81&lt;Standards_Active!$C17,TREND(Perform_Active!$E17:$F17,Perform_Active!$E$8:$F$8,DD$81),IF(ISNUMBER(Standards_Active!$I17),IF(AND(DD$81&gt;=Standards_Active!$C17,DD$81&lt;Standards_Active!$D17),(Standards_Active!$I17-INDEX($CJ90:$DI90,1,MATCH((Standards_Active!$C17-1),$CJ$81:$DI$81,FALSE)))/(Standards_Active!$D17-(Standards_Active!$C17-1))+DC90,Standards_Active!$I17*((1+Standards_Active!$N17)^(DD$81-Standards_Active!$D17))),TREND(Perform_Active!$E17:$F17,Perform_Active!$E$8:$F$8,DD$81))),)</f>
        <v>18.8539294975321</v>
      </c>
      <c r="DE90" s="625">
        <f>IF(AND(Tech_Specs!$E16="step",Standards_Active!$E17="yes"),IF(DE$81&lt;Standards_Active!$C17,TREND(Perform_Active!$E17:$F17,Perform_Active!$E$8:$F$8,DE$81),IF(ISNUMBER(Standards_Active!$I17),IF(AND(DE$81&gt;=Standards_Active!$C17,DE$81&lt;Standards_Active!$D17),(Standards_Active!$I17-INDEX($CJ90:$DI90,1,MATCH((Standards_Active!$C17-1),$CJ$81:$DI$81,FALSE)))/(Standards_Active!$D17-(Standards_Active!$C17-1))+DD90,Standards_Active!$I17*((1+Standards_Active!$N17)^(DE$81-Standards_Active!$D17))),TREND(Perform_Active!$E17:$F17,Perform_Active!$E$8:$F$8,DE$81))),)</f>
        <v>18.94819914501976</v>
      </c>
      <c r="DF90" s="625">
        <f>IF(AND(Tech_Specs!$E16="step",Standards_Active!$E17="yes"),IF(DF$81&lt;Standards_Active!$C17,TREND(Perform_Active!$E17:$F17,Perform_Active!$E$8:$F$8,DF$81),IF(ISNUMBER(Standards_Active!$I17),IF(AND(DF$81&gt;=Standards_Active!$C17,DF$81&lt;Standards_Active!$D17),(Standards_Active!$I17-INDEX($CJ90:$DI90,1,MATCH((Standards_Active!$C17-1),$CJ$81:$DI$81,FALSE)))/(Standards_Active!$D17-(Standards_Active!$C17-1))+DE90,Standards_Active!$I17*((1+Standards_Active!$N17)^(DF$81-Standards_Active!$D17))),TREND(Perform_Active!$E17:$F17,Perform_Active!$E$8:$F$8,DF$81))),)</f>
        <v>19.042940140744854</v>
      </c>
      <c r="DG90" s="625">
        <f>IF(AND(Tech_Specs!$E16="step",Standards_Active!$E17="yes"),IF(DG$81&lt;Standards_Active!$C17,TREND(Perform_Active!$E17:$F17,Perform_Active!$E$8:$F$8,DG$81),IF(ISNUMBER(Standards_Active!$I17),IF(AND(DG$81&gt;=Standards_Active!$C17,DG$81&lt;Standards_Active!$D17),(Standards_Active!$I17-INDEX($CJ90:$DI90,1,MATCH((Standards_Active!$C17-1),$CJ$81:$DI$81,FALSE)))/(Standards_Active!$D17-(Standards_Active!$C17-1))+DF90,Standards_Active!$I17*((1+Standards_Active!$N17)^(DG$81-Standards_Active!$D17))),TREND(Perform_Active!$E17:$F17,Perform_Active!$E$8:$F$8,DG$81))),)</f>
        <v>19.138154841448575</v>
      </c>
      <c r="DH90" s="625">
        <f>IF(AND(Tech_Specs!$E16="step",Standards_Active!$E17="yes"),IF(DH$81&lt;Standards_Active!$C17,TREND(Perform_Active!$E17:$F17,Perform_Active!$E$8:$F$8,DH$81),IF(ISNUMBER(Standards_Active!$I17),IF(AND(DH$81&gt;=Standards_Active!$C17,DH$81&lt;Standards_Active!$D17),(Standards_Active!$I17-INDEX($CJ90:$DI90,1,MATCH((Standards_Active!$C17-1),$CJ$81:$DI$81,FALSE)))/(Standards_Active!$D17-(Standards_Active!$C17-1))+DG90,Standards_Active!$I17*((1+Standards_Active!$N17)^(DH$81-Standards_Active!$D17))),TREND(Perform_Active!$E17:$F17,Perform_Active!$E$8:$F$8,DH$81))),)</f>
        <v>19.233845615655817</v>
      </c>
      <c r="DI90" s="625">
        <f>IF(AND(Tech_Specs!$E16="step",Standards_Active!$E17="yes"),IF(DI$81&lt;Standards_Active!$C17,TREND(Perform_Active!$E17:$F17,Perform_Active!$E$8:$F$8,DI$81),IF(ISNUMBER(Standards_Active!$I17),IF(AND(DI$81&gt;=Standards_Active!$C17,DI$81&lt;Standards_Active!$D17),(Standards_Active!$I17-INDEX($CJ90:$DI90,1,MATCH((Standards_Active!$C17-1),$CJ$81:$DI$81,FALSE)))/(Standards_Active!$D17-(Standards_Active!$C17-1))+DH90,Standards_Active!$I17*((1+Standards_Active!$N17)^(DI$81-Standards_Active!$D17))),TREND(Perform_Active!$E17:$F17,Perform_Active!$E$8:$F$8,DI$81))),)</f>
        <v>19.330014843734091</v>
      </c>
    </row>
    <row r="91" spans="1:113" s="376" customFormat="1" ht="12.6" x14ac:dyDescent="0.25">
      <c r="B91" s="388" t="s">
        <v>35</v>
      </c>
      <c r="C91" s="379"/>
      <c r="D91" s="379"/>
      <c r="E91" s="379"/>
      <c r="F91" s="379"/>
      <c r="G91" s="390">
        <f t="shared" si="24"/>
        <v>43.099999999999966</v>
      </c>
      <c r="H91" s="390">
        <f t="shared" si="24"/>
        <v>43.315499999999986</v>
      </c>
      <c r="I91" s="390">
        <f t="shared" si="24"/>
        <v>43.531000000000006</v>
      </c>
      <c r="J91" s="390">
        <f t="shared" si="24"/>
        <v>43.746499999999969</v>
      </c>
      <c r="K91" s="390">
        <f t="shared" si="24"/>
        <v>43.961999999999989</v>
      </c>
      <c r="L91" s="390">
        <f t="shared" si="24"/>
        <v>44.177500000000009</v>
      </c>
      <c r="M91" s="390">
        <f t="shared" si="24"/>
        <v>44.392999999999972</v>
      </c>
      <c r="N91" s="390">
        <f t="shared" si="24"/>
        <v>44.608499999999992</v>
      </c>
      <c r="O91" s="390">
        <f t="shared" si="24"/>
        <v>44.824000000000012</v>
      </c>
      <c r="P91" s="390">
        <f t="shared" si="24"/>
        <v>45.039499999999975</v>
      </c>
      <c r="Q91" s="390">
        <f t="shared" si="25"/>
        <v>45.254999999999995</v>
      </c>
      <c r="R91" s="390">
        <f t="shared" si="25"/>
        <v>45.470499999999959</v>
      </c>
      <c r="S91" s="390">
        <f t="shared" si="25"/>
        <v>45.685999999999979</v>
      </c>
      <c r="T91" s="390">
        <f t="shared" si="25"/>
        <v>45.901499999999999</v>
      </c>
      <c r="U91" s="390">
        <f t="shared" si="25"/>
        <v>46.116999999999962</v>
      </c>
      <c r="V91" s="390">
        <f t="shared" si="25"/>
        <v>46.332499999999982</v>
      </c>
      <c r="W91" s="390">
        <f t="shared" si="25"/>
        <v>46.548000000000002</v>
      </c>
      <c r="X91" s="390">
        <f t="shared" si="25"/>
        <v>46.763499999999965</v>
      </c>
      <c r="Y91" s="390">
        <f t="shared" si="25"/>
        <v>46.978999999999985</v>
      </c>
      <c r="Z91" s="390">
        <f t="shared" si="25"/>
        <v>47.194500000000005</v>
      </c>
      <c r="AA91" s="390">
        <f t="shared" si="26"/>
        <v>47.409999999999968</v>
      </c>
      <c r="AB91" s="390">
        <f t="shared" si="26"/>
        <v>47.625499999999988</v>
      </c>
      <c r="AC91" s="390">
        <f t="shared" si="26"/>
        <v>47.841000000000008</v>
      </c>
      <c r="AD91" s="390">
        <f t="shared" si="26"/>
        <v>48.056499999999971</v>
      </c>
      <c r="AE91" s="390">
        <f t="shared" si="26"/>
        <v>48.271999999999991</v>
      </c>
      <c r="AF91" s="390">
        <f t="shared" si="26"/>
        <v>48.487500000000011</v>
      </c>
      <c r="AH91" s="405">
        <f>IF(Tech_Specs!$E17="linear",TREND(Perform_Active!$E18:$F18,Perform_Active!$E$8:$F$8,AH$81),)</f>
        <v>43.099999999999966</v>
      </c>
      <c r="AI91" s="405">
        <f>IF(Tech_Specs!$E17="linear",TREND(Perform_Active!$E18:$F18,Perform_Active!$E$8:$F$8,AI$81),)</f>
        <v>43.315499999999986</v>
      </c>
      <c r="AJ91" s="405">
        <f>IF(Tech_Specs!$E17="linear",TREND(Perform_Active!$E18:$F18,Perform_Active!$E$8:$F$8,AJ$81),)</f>
        <v>43.531000000000006</v>
      </c>
      <c r="AK91" s="405">
        <f>IF(Tech_Specs!$E17="linear",TREND(Perform_Active!$E18:$F18,Perform_Active!$E$8:$F$8,AK$81),)</f>
        <v>43.746499999999969</v>
      </c>
      <c r="AL91" s="405">
        <f>IF(Tech_Specs!$E17="linear",TREND(Perform_Active!$E18:$F18,Perform_Active!$E$8:$F$8,AL$81),)</f>
        <v>43.961999999999989</v>
      </c>
      <c r="AM91" s="405">
        <f>IF(Tech_Specs!$E17="linear",TREND(Perform_Active!$E18:$F18,Perform_Active!$E$8:$F$8,AM$81),)</f>
        <v>44.177500000000009</v>
      </c>
      <c r="AN91" s="405">
        <f>IF(Tech_Specs!$E17="linear",TREND(Perform_Active!$E18:$F18,Perform_Active!$E$8:$F$8,AN$81),)</f>
        <v>44.392999999999972</v>
      </c>
      <c r="AO91" s="405">
        <f>IF(Tech_Specs!$E17="linear",TREND(Perform_Active!$E18:$F18,Perform_Active!$E$8:$F$8,AO$81),)</f>
        <v>44.608499999999992</v>
      </c>
      <c r="AP91" s="405">
        <f>IF(Tech_Specs!$E17="linear",TREND(Perform_Active!$E18:$F18,Perform_Active!$E$8:$F$8,AP$81),)</f>
        <v>44.824000000000012</v>
      </c>
      <c r="AQ91" s="405">
        <f>IF(Tech_Specs!$E17="linear",TREND(Perform_Active!$E18:$F18,Perform_Active!$E$8:$F$8,AQ$81),)</f>
        <v>45.039499999999975</v>
      </c>
      <c r="AR91" s="405">
        <f>IF(Tech_Specs!$E17="linear",TREND(Perform_Active!$E18:$F18,Perform_Active!$E$8:$F$8,AR$81),)</f>
        <v>45.254999999999995</v>
      </c>
      <c r="AS91" s="405">
        <f>IF(Tech_Specs!$E17="linear",TREND(Perform_Active!$E18:$F18,Perform_Active!$E$8:$F$8,AS$81),)</f>
        <v>45.470499999999959</v>
      </c>
      <c r="AT91" s="405">
        <f>IF(Tech_Specs!$E17="linear",TREND(Perform_Active!$E18:$F18,Perform_Active!$E$8:$F$8,AT$81),)</f>
        <v>45.685999999999979</v>
      </c>
      <c r="AU91" s="405">
        <f>IF(Tech_Specs!$E17="linear",TREND(Perform_Active!$E18:$F18,Perform_Active!$E$8:$F$8,AU$81),)</f>
        <v>45.901499999999999</v>
      </c>
      <c r="AV91" s="405">
        <f>IF(Tech_Specs!$E17="linear",TREND(Perform_Active!$E18:$F18,Perform_Active!$E$8:$F$8,AV$81),)</f>
        <v>46.116999999999962</v>
      </c>
      <c r="AW91" s="405">
        <f>IF(Tech_Specs!$E17="linear",TREND(Perform_Active!$E18:$F18,Perform_Active!$E$8:$F$8,AW$81),)</f>
        <v>46.332499999999982</v>
      </c>
      <c r="AX91" s="405">
        <f>IF(Tech_Specs!$E17="linear",TREND(Perform_Active!$E18:$F18,Perform_Active!$E$8:$F$8,AX$81),)</f>
        <v>46.548000000000002</v>
      </c>
      <c r="AY91" s="405">
        <f>IF(Tech_Specs!$E17="linear",TREND(Perform_Active!$E18:$F18,Perform_Active!$E$8:$F$8,AY$81),)</f>
        <v>46.763499999999965</v>
      </c>
      <c r="AZ91" s="405">
        <f>IF(Tech_Specs!$E17="linear",TREND(Perform_Active!$E18:$F18,Perform_Active!$E$8:$F$8,AZ$81),)</f>
        <v>46.978999999999985</v>
      </c>
      <c r="BA91" s="405">
        <f>IF(Tech_Specs!$E17="linear",TREND(Perform_Active!$E18:$F18,Perform_Active!$E$8:$F$8,BA$81),)</f>
        <v>47.194500000000005</v>
      </c>
      <c r="BB91" s="405">
        <f>IF(Tech_Specs!$E17="linear",TREND(Perform_Active!$E18:$F18,Perform_Active!$E$8:$F$8,BB$81),)</f>
        <v>47.409999999999968</v>
      </c>
      <c r="BC91" s="405">
        <f>IF(Tech_Specs!$E17="linear",TREND(Perform_Active!$E18:$F18,Perform_Active!$E$8:$F$8,BC$81),)</f>
        <v>47.625499999999988</v>
      </c>
      <c r="BD91" s="405">
        <f>IF(Tech_Specs!$E17="linear",TREND(Perform_Active!$E18:$F18,Perform_Active!$E$8:$F$8,BD$81),)</f>
        <v>47.841000000000008</v>
      </c>
      <c r="BE91" s="405">
        <f>IF(Tech_Specs!$E17="linear",TREND(Perform_Active!$E18:$F18,Perform_Active!$E$8:$F$8,BE$81),)</f>
        <v>48.056499999999971</v>
      </c>
      <c r="BF91" s="405">
        <f>IF(Tech_Specs!$E17="linear",TREND(Perform_Active!$E18:$F18,Perform_Active!$E$8:$F$8,BF$81),)</f>
        <v>48.271999999999991</v>
      </c>
      <c r="BG91" s="405">
        <f>IF(Tech_Specs!$E17="linear",TREND(Perform_Active!$E18:$F18,Perform_Active!$E$8:$F$8,BG$81),)</f>
        <v>48.487500000000011</v>
      </c>
      <c r="BI91" s="405">
        <f>IF(Tech_Specs!$E17="logistic",IF($B17="LED",IF(Tech_Specs!$K17="lamp",Perform_SSL!G$10,Perform_SSL!G$11)),)</f>
        <v>0</v>
      </c>
      <c r="BJ91" s="405">
        <f>IF(Tech_Specs!$E17="logistic",IF($B17="LED",IF(Tech_Specs!$K17="lamp",Perform_SSL!H$10,Perform_SSL!H$11)),)</f>
        <v>0</v>
      </c>
      <c r="BK91" s="405">
        <f>IF(Tech_Specs!$E17="logistic",IF($B17="LED",IF(Tech_Specs!$K17="lamp",Perform_SSL!I$10,Perform_SSL!I$11)),)</f>
        <v>0</v>
      </c>
      <c r="BL91" s="405">
        <f>IF(Tech_Specs!$E17="logistic",IF($B17="LED",IF(Tech_Specs!$K17="lamp",Perform_SSL!J$10,Perform_SSL!J$11)),)</f>
        <v>0</v>
      </c>
      <c r="BM91" s="405">
        <f>IF(Tech_Specs!$E17="logistic",IF($B17="LED",IF(Tech_Specs!$K17="lamp",Perform_SSL!K$10,Perform_SSL!K$11)),)</f>
        <v>0</v>
      </c>
      <c r="BN91" s="405">
        <f>IF(Tech_Specs!$E17="logistic",IF($B17="LED",IF(Tech_Specs!$K17="lamp",Perform_SSL!L$10,Perform_SSL!L$11)),)</f>
        <v>0</v>
      </c>
      <c r="BO91" s="405">
        <f>IF(Tech_Specs!$E17="logistic",IF($B17="LED",IF(Tech_Specs!$K17="lamp",Perform_SSL!M$10,Perform_SSL!M$11)),)</f>
        <v>0</v>
      </c>
      <c r="BP91" s="405">
        <f>IF(Tech_Specs!$E17="logistic",IF($B17="LED",IF(Tech_Specs!$K17="lamp",Perform_SSL!N$10,Perform_SSL!N$11)),)</f>
        <v>0</v>
      </c>
      <c r="BQ91" s="405">
        <f>IF(Tech_Specs!$E17="logistic",IF($B17="LED",IF(Tech_Specs!$K17="lamp",Perform_SSL!O$10,Perform_SSL!O$11)),)</f>
        <v>0</v>
      </c>
      <c r="BR91" s="405">
        <f>IF(Tech_Specs!$E17="logistic",IF($B17="LED",IF(Tech_Specs!$K17="lamp",Perform_SSL!P$10,Perform_SSL!P$11)),)</f>
        <v>0</v>
      </c>
      <c r="BS91" s="405">
        <f>IF(Tech_Specs!$E17="logistic",IF($B17="LED",IF(Tech_Specs!$K17="lamp",Perform_SSL!Q$10,Perform_SSL!Q$11)),)</f>
        <v>0</v>
      </c>
      <c r="BT91" s="405">
        <f>IF(Tech_Specs!$E17="logistic",IF($B17="LED",IF(Tech_Specs!$K17="lamp",Perform_SSL!R$10,Perform_SSL!R$11)),)</f>
        <v>0</v>
      </c>
      <c r="BU91" s="405">
        <f>IF(Tech_Specs!$E17="logistic",IF($B17="LED",IF(Tech_Specs!$K17="lamp",Perform_SSL!S$10,Perform_SSL!S$11)),)</f>
        <v>0</v>
      </c>
      <c r="BV91" s="405">
        <f>IF(Tech_Specs!$E17="logistic",IF($B17="LED",IF(Tech_Specs!$K17="lamp",Perform_SSL!T$10,Perform_SSL!T$11)),)</f>
        <v>0</v>
      </c>
      <c r="BW91" s="405">
        <f>IF(Tech_Specs!$E17="logistic",IF($B17="LED",IF(Tech_Specs!$K17="lamp",Perform_SSL!U$10,Perform_SSL!U$11)),)</f>
        <v>0</v>
      </c>
      <c r="BX91" s="405">
        <f>IF(Tech_Specs!$E17="logistic",IF($B17="LED",IF(Tech_Specs!$K17="lamp",Perform_SSL!V$10,Perform_SSL!V$11)),)</f>
        <v>0</v>
      </c>
      <c r="BY91" s="405">
        <f>IF(Tech_Specs!$E17="logistic",IF($B17="LED",IF(Tech_Specs!$K17="lamp",Perform_SSL!W$10,Perform_SSL!W$11)),)</f>
        <v>0</v>
      </c>
      <c r="BZ91" s="405">
        <f>IF(Tech_Specs!$E17="logistic",IF($B17="LED",IF(Tech_Specs!$K17="lamp",Perform_SSL!X$10,Perform_SSL!X$11)),)</f>
        <v>0</v>
      </c>
      <c r="CA91" s="405">
        <f>IF(Tech_Specs!$E17="logistic",IF($B17="LED",IF(Tech_Specs!$K17="lamp",Perform_SSL!Y$10,Perform_SSL!Y$11)),)</f>
        <v>0</v>
      </c>
      <c r="CB91" s="405">
        <f>IF(Tech_Specs!$E17="logistic",IF($B17="LED",IF(Tech_Specs!$K17="lamp",Perform_SSL!Z$10,Perform_SSL!Z$11)),)</f>
        <v>0</v>
      </c>
      <c r="CC91" s="405">
        <f>IF(Tech_Specs!$E17="logistic",IF($B17="LED",IF(Tech_Specs!$K17="lamp",Perform_SSL!AA$10,Perform_SSL!AA$11)),)</f>
        <v>0</v>
      </c>
      <c r="CD91" s="405">
        <f>IF(Tech_Specs!$E17="logistic",IF($B17="LED",IF(Tech_Specs!$K17="lamp",Perform_SSL!AB$10,Perform_SSL!AB$11)),)</f>
        <v>0</v>
      </c>
      <c r="CE91" s="405">
        <f>IF(Tech_Specs!$E17="logistic",IF($B17="LED",IF(Tech_Specs!$K17="lamp",Perform_SSL!AC$10,Perform_SSL!AC$11)),)</f>
        <v>0</v>
      </c>
      <c r="CF91" s="405">
        <f>IF(Tech_Specs!$E17="logistic",IF($B17="LED",IF(Tech_Specs!$K17="lamp",Perform_SSL!AD$10,Perform_SSL!AD$11)),)</f>
        <v>0</v>
      </c>
      <c r="CG91" s="405">
        <f>IF(Tech_Specs!$E17="logistic",IF($B17="LED",IF(Tech_Specs!$K17="lamp",Perform_SSL!AE$10,Perform_SSL!AE$11)),)</f>
        <v>0</v>
      </c>
      <c r="CH91" s="405">
        <f>IF(Tech_Specs!$E17="logistic",IF($B17="LED",IF(Tech_Specs!$K17="lamp",Perform_SSL!AF$10,Perform_SSL!AF$11)),)</f>
        <v>0</v>
      </c>
      <c r="CJ91" s="625">
        <f>IF(AND(Tech_Specs!$E17="step",Standards_Active!$E18="yes"),IF(CJ$81&lt;Standards_Active!$C18,TREND(Perform_Active!$E18:$F18,Perform_Active!$E$8:$F$8,CJ$81),IF(ISNUMBER(Standards_Active!$I18),IF(AND(CJ$81&gt;=Standards_Active!$C18,CJ$81&lt;Standards_Active!$D18),(Standards_Active!$I18-INDEX($CJ91:$DI91,1,MATCH((Standards_Active!$C18-1),$CJ$81:$DI$81,FALSE)))/(Standards_Active!$D18-(Standards_Active!$C18-1))+CI91,Standards_Active!$I18*((1+Standards_Active!$N18)^(CJ$81-Standards_Active!$D18))),TREND(Perform_Active!$E18:$F18,Perform_Active!$E$8:$F$8,CJ$81))),)</f>
        <v>0</v>
      </c>
      <c r="CK91" s="625">
        <f>IF(AND(Tech_Specs!$E17="step",Standards_Active!$E18="yes"),IF(CK$81&lt;Standards_Active!$C18,TREND(Perform_Active!$E18:$F18,Perform_Active!$E$8:$F$8,CK$81),IF(ISNUMBER(Standards_Active!$I18),IF(AND(CK$81&gt;=Standards_Active!$C18,CK$81&lt;Standards_Active!$D18),(Standards_Active!$I18-INDEX($CJ91:$DI91,1,MATCH((Standards_Active!$C18-1),$CJ$81:$DI$81,FALSE)))/(Standards_Active!$D18-(Standards_Active!$C18-1))+CJ91,Standards_Active!$I18*((1+Standards_Active!$N18)^(CK$81-Standards_Active!$D18))),TREND(Perform_Active!$E18:$F18,Perform_Active!$E$8:$F$8,CK$81))),)</f>
        <v>0</v>
      </c>
      <c r="CL91" s="625">
        <f>IF(AND(Tech_Specs!$E17="step",Standards_Active!$E18="yes"),IF(CL$81&lt;Standards_Active!$C18,TREND(Perform_Active!$E18:$F18,Perform_Active!$E$8:$F$8,CL$81),IF(ISNUMBER(Standards_Active!$I18),IF(AND(CL$81&gt;=Standards_Active!$C18,CL$81&lt;Standards_Active!$D18),(Standards_Active!$I18-INDEX($CJ91:$DI91,1,MATCH((Standards_Active!$C18-1),$CJ$81:$DI$81,FALSE)))/(Standards_Active!$D18-(Standards_Active!$C18-1))+CK91,Standards_Active!$I18*((1+Standards_Active!$N18)^(CL$81-Standards_Active!$D18))),TREND(Perform_Active!$E18:$F18,Perform_Active!$E$8:$F$8,CL$81))),)</f>
        <v>0</v>
      </c>
      <c r="CM91" s="625">
        <f>IF(AND(Tech_Specs!$E17="step",Standards_Active!$E18="yes"),IF(CM$81&lt;Standards_Active!$C18,TREND(Perform_Active!$E18:$F18,Perform_Active!$E$8:$F$8,CM$81),IF(ISNUMBER(Standards_Active!$I18),IF(AND(CM$81&gt;=Standards_Active!$C18,CM$81&lt;Standards_Active!$D18),(Standards_Active!$I18-INDEX($CJ91:$DI91,1,MATCH((Standards_Active!$C18-1),$CJ$81:$DI$81,FALSE)))/(Standards_Active!$D18-(Standards_Active!$C18-1))+CL91,Standards_Active!$I18*((1+Standards_Active!$N18)^(CM$81-Standards_Active!$D18))),TREND(Perform_Active!$E18:$F18,Perform_Active!$E$8:$F$8,CM$81))),)</f>
        <v>0</v>
      </c>
      <c r="CN91" s="625">
        <f>IF(AND(Tech_Specs!$E17="step",Standards_Active!$E18="yes"),IF(CN$81&lt;Standards_Active!$C18,TREND(Perform_Active!$E18:$F18,Perform_Active!$E$8:$F$8,CN$81),IF(ISNUMBER(Standards_Active!$I18),IF(AND(CN$81&gt;=Standards_Active!$C18,CN$81&lt;Standards_Active!$D18),(Standards_Active!$I18-INDEX($CJ91:$DI91,1,MATCH((Standards_Active!$C18-1),$CJ$81:$DI$81,FALSE)))/(Standards_Active!$D18-(Standards_Active!$C18-1))+CM91,Standards_Active!$I18*((1+Standards_Active!$N18)^(CN$81-Standards_Active!$D18))),TREND(Perform_Active!$E18:$F18,Perform_Active!$E$8:$F$8,CN$81))),)</f>
        <v>0</v>
      </c>
      <c r="CO91" s="625">
        <f>IF(AND(Tech_Specs!$E17="step",Standards_Active!$E18="yes"),IF(CO$81&lt;Standards_Active!$C18,TREND(Perform_Active!$E18:$F18,Perform_Active!$E$8:$F$8,CO$81),IF(ISNUMBER(Standards_Active!$I18),IF(AND(CO$81&gt;=Standards_Active!$C18,CO$81&lt;Standards_Active!$D18),(Standards_Active!$I18-INDEX($CJ91:$DI91,1,MATCH((Standards_Active!$C18-1),$CJ$81:$DI$81,FALSE)))/(Standards_Active!$D18-(Standards_Active!$C18-1))+CN91,Standards_Active!$I18*((1+Standards_Active!$N18)^(CO$81-Standards_Active!$D18))),TREND(Perform_Active!$E18:$F18,Perform_Active!$E$8:$F$8,CO$81))),)</f>
        <v>0</v>
      </c>
      <c r="CP91" s="625">
        <f>IF(AND(Tech_Specs!$E17="step",Standards_Active!$E18="yes"),IF(CP$81&lt;Standards_Active!$C18,TREND(Perform_Active!$E18:$F18,Perform_Active!$E$8:$F$8,CP$81),IF(ISNUMBER(Standards_Active!$I18),IF(AND(CP$81&gt;=Standards_Active!$C18,CP$81&lt;Standards_Active!$D18),(Standards_Active!$I18-INDEX($CJ91:$DI91,1,MATCH((Standards_Active!$C18-1),$CJ$81:$DI$81,FALSE)))/(Standards_Active!$D18-(Standards_Active!$C18-1))+CO91,Standards_Active!$I18*((1+Standards_Active!$N18)^(CP$81-Standards_Active!$D18))),TREND(Perform_Active!$E18:$F18,Perform_Active!$E$8:$F$8,CP$81))),)</f>
        <v>0</v>
      </c>
      <c r="CQ91" s="625">
        <f>IF(AND(Tech_Specs!$E17="step",Standards_Active!$E18="yes"),IF(CQ$81&lt;Standards_Active!$C18,TREND(Perform_Active!$E18:$F18,Perform_Active!$E$8:$F$8,CQ$81),IF(ISNUMBER(Standards_Active!$I18),IF(AND(CQ$81&gt;=Standards_Active!$C18,CQ$81&lt;Standards_Active!$D18),(Standards_Active!$I18-INDEX($CJ91:$DI91,1,MATCH((Standards_Active!$C18-1),$CJ$81:$DI$81,FALSE)))/(Standards_Active!$D18-(Standards_Active!$C18-1))+CP91,Standards_Active!$I18*((1+Standards_Active!$N18)^(CQ$81-Standards_Active!$D18))),TREND(Perform_Active!$E18:$F18,Perform_Active!$E$8:$F$8,CQ$81))),)</f>
        <v>0</v>
      </c>
      <c r="CR91" s="625">
        <f>IF(AND(Tech_Specs!$E17="step",Standards_Active!$E18="yes"),IF(CR$81&lt;Standards_Active!$C18,TREND(Perform_Active!$E18:$F18,Perform_Active!$E$8:$F$8,CR$81),IF(ISNUMBER(Standards_Active!$I18),IF(AND(CR$81&gt;=Standards_Active!$C18,CR$81&lt;Standards_Active!$D18),(Standards_Active!$I18-INDEX($CJ91:$DI91,1,MATCH((Standards_Active!$C18-1),$CJ$81:$DI$81,FALSE)))/(Standards_Active!$D18-(Standards_Active!$C18-1))+CQ91,Standards_Active!$I18*((1+Standards_Active!$N18)^(CR$81-Standards_Active!$D18))),TREND(Perform_Active!$E18:$F18,Perform_Active!$E$8:$F$8,CR$81))),)</f>
        <v>0</v>
      </c>
      <c r="CS91" s="625">
        <f>IF(AND(Tech_Specs!$E17="step",Standards_Active!$E18="yes"),IF(CS$81&lt;Standards_Active!$C18,TREND(Perform_Active!$E18:$F18,Perform_Active!$E$8:$F$8,CS$81),IF(ISNUMBER(Standards_Active!$I18),IF(AND(CS$81&gt;=Standards_Active!$C18,CS$81&lt;Standards_Active!$D18),(Standards_Active!$I18-INDEX($CJ91:$DI91,1,MATCH((Standards_Active!$C18-1),$CJ$81:$DI$81,FALSE)))/(Standards_Active!$D18-(Standards_Active!$C18-1))+CR91,Standards_Active!$I18*((1+Standards_Active!$N18)^(CS$81-Standards_Active!$D18))),TREND(Perform_Active!$E18:$F18,Perform_Active!$E$8:$F$8,CS$81))),)</f>
        <v>0</v>
      </c>
      <c r="CT91" s="625">
        <f>IF(AND(Tech_Specs!$E17="step",Standards_Active!$E18="yes"),IF(CT$81&lt;Standards_Active!$C18,TREND(Perform_Active!$E18:$F18,Perform_Active!$E$8:$F$8,CT$81),IF(ISNUMBER(Standards_Active!$I18),IF(AND(CT$81&gt;=Standards_Active!$C18,CT$81&lt;Standards_Active!$D18),(Standards_Active!$I18-INDEX($CJ91:$DI91,1,MATCH((Standards_Active!$C18-1),$CJ$81:$DI$81,FALSE)))/(Standards_Active!$D18-(Standards_Active!$C18-1))+CS91,Standards_Active!$I18*((1+Standards_Active!$N18)^(CT$81-Standards_Active!$D18))),TREND(Perform_Active!$E18:$F18,Perform_Active!$E$8:$F$8,CT$81))),)</f>
        <v>0</v>
      </c>
      <c r="CU91" s="625">
        <f>IF(AND(Tech_Specs!$E17="step",Standards_Active!$E18="yes"),IF(CU$81&lt;Standards_Active!$C18,TREND(Perform_Active!$E18:$F18,Perform_Active!$E$8:$F$8,CU$81),IF(ISNUMBER(Standards_Active!$I18),IF(AND(CU$81&gt;=Standards_Active!$C18,CU$81&lt;Standards_Active!$D18),(Standards_Active!$I18-INDEX($CJ91:$DI91,1,MATCH((Standards_Active!$C18-1),$CJ$81:$DI$81,FALSE)))/(Standards_Active!$D18-(Standards_Active!$C18-1))+CT91,Standards_Active!$I18*((1+Standards_Active!$N18)^(CU$81-Standards_Active!$D18))),TREND(Perform_Active!$E18:$F18,Perform_Active!$E$8:$F$8,CU$81))),)</f>
        <v>0</v>
      </c>
      <c r="CV91" s="625">
        <f>IF(AND(Tech_Specs!$E17="step",Standards_Active!$E18="yes"),IF(CV$81&lt;Standards_Active!$C18,TREND(Perform_Active!$E18:$F18,Perform_Active!$E$8:$F$8,CV$81),IF(ISNUMBER(Standards_Active!$I18),IF(AND(CV$81&gt;=Standards_Active!$C18,CV$81&lt;Standards_Active!$D18),(Standards_Active!$I18-INDEX($CJ91:$DI91,1,MATCH((Standards_Active!$C18-1),$CJ$81:$DI$81,FALSE)))/(Standards_Active!$D18-(Standards_Active!$C18-1))+CU91,Standards_Active!$I18*((1+Standards_Active!$N18)^(CV$81-Standards_Active!$D18))),TREND(Perform_Active!$E18:$F18,Perform_Active!$E$8:$F$8,CV$81))),)</f>
        <v>0</v>
      </c>
      <c r="CW91" s="625">
        <f>IF(AND(Tech_Specs!$E17="step",Standards_Active!$E18="yes"),IF(CW$81&lt;Standards_Active!$C18,TREND(Perform_Active!$E18:$F18,Perform_Active!$E$8:$F$8,CW$81),IF(ISNUMBER(Standards_Active!$I18),IF(AND(CW$81&gt;=Standards_Active!$C18,CW$81&lt;Standards_Active!$D18),(Standards_Active!$I18-INDEX($CJ91:$DI91,1,MATCH((Standards_Active!$C18-1),$CJ$81:$DI$81,FALSE)))/(Standards_Active!$D18-(Standards_Active!$C18-1))+CV91,Standards_Active!$I18*((1+Standards_Active!$N18)^(CW$81-Standards_Active!$D18))),TREND(Perform_Active!$E18:$F18,Perform_Active!$E$8:$F$8,CW$81))),)</f>
        <v>0</v>
      </c>
      <c r="CX91" s="625">
        <f>IF(AND(Tech_Specs!$E17="step",Standards_Active!$E18="yes"),IF(CX$81&lt;Standards_Active!$C18,TREND(Perform_Active!$E18:$F18,Perform_Active!$E$8:$F$8,CX$81),IF(ISNUMBER(Standards_Active!$I18),IF(AND(CX$81&gt;=Standards_Active!$C18,CX$81&lt;Standards_Active!$D18),(Standards_Active!$I18-INDEX($CJ91:$DI91,1,MATCH((Standards_Active!$C18-1),$CJ$81:$DI$81,FALSE)))/(Standards_Active!$D18-(Standards_Active!$C18-1))+CW91,Standards_Active!$I18*((1+Standards_Active!$N18)^(CX$81-Standards_Active!$D18))),TREND(Perform_Active!$E18:$F18,Perform_Active!$E$8:$F$8,CX$81))),)</f>
        <v>0</v>
      </c>
      <c r="CY91" s="625">
        <f>IF(AND(Tech_Specs!$E17="step",Standards_Active!$E18="yes"),IF(CY$81&lt;Standards_Active!$C18,TREND(Perform_Active!$E18:$F18,Perform_Active!$E$8:$F$8,CY$81),IF(ISNUMBER(Standards_Active!$I18),IF(AND(CY$81&gt;=Standards_Active!$C18,CY$81&lt;Standards_Active!$D18),(Standards_Active!$I18-INDEX($CJ91:$DI91,1,MATCH((Standards_Active!$C18-1),$CJ$81:$DI$81,FALSE)))/(Standards_Active!$D18-(Standards_Active!$C18-1))+CX91,Standards_Active!$I18*((1+Standards_Active!$N18)^(CY$81-Standards_Active!$D18))),TREND(Perform_Active!$E18:$F18,Perform_Active!$E$8:$F$8,CY$81))),)</f>
        <v>0</v>
      </c>
      <c r="CZ91" s="625">
        <f>IF(AND(Tech_Specs!$E17="step",Standards_Active!$E18="yes"),IF(CZ$81&lt;Standards_Active!$C18,TREND(Perform_Active!$E18:$F18,Perform_Active!$E$8:$F$8,CZ$81),IF(ISNUMBER(Standards_Active!$I18),IF(AND(CZ$81&gt;=Standards_Active!$C18,CZ$81&lt;Standards_Active!$D18),(Standards_Active!$I18-INDEX($CJ91:$DI91,1,MATCH((Standards_Active!$C18-1),$CJ$81:$DI$81,FALSE)))/(Standards_Active!$D18-(Standards_Active!$C18-1))+CY91,Standards_Active!$I18*((1+Standards_Active!$N18)^(CZ$81-Standards_Active!$D18))),TREND(Perform_Active!$E18:$F18,Perform_Active!$E$8:$F$8,CZ$81))),)</f>
        <v>0</v>
      </c>
      <c r="DA91" s="625">
        <f>IF(AND(Tech_Specs!$E17="step",Standards_Active!$E18="yes"),IF(DA$81&lt;Standards_Active!$C18,TREND(Perform_Active!$E18:$F18,Perform_Active!$E$8:$F$8,DA$81),IF(ISNUMBER(Standards_Active!$I18),IF(AND(DA$81&gt;=Standards_Active!$C18,DA$81&lt;Standards_Active!$D18),(Standards_Active!$I18-INDEX($CJ91:$DI91,1,MATCH((Standards_Active!$C18-1),$CJ$81:$DI$81,FALSE)))/(Standards_Active!$D18-(Standards_Active!$C18-1))+CZ91,Standards_Active!$I18*((1+Standards_Active!$N18)^(DA$81-Standards_Active!$D18))),TREND(Perform_Active!$E18:$F18,Perform_Active!$E$8:$F$8,DA$81))),)</f>
        <v>0</v>
      </c>
      <c r="DB91" s="625">
        <f>IF(AND(Tech_Specs!$E17="step",Standards_Active!$E18="yes"),IF(DB$81&lt;Standards_Active!$C18,TREND(Perform_Active!$E18:$F18,Perform_Active!$E$8:$F$8,DB$81),IF(ISNUMBER(Standards_Active!$I18),IF(AND(DB$81&gt;=Standards_Active!$C18,DB$81&lt;Standards_Active!$D18),(Standards_Active!$I18-INDEX($CJ91:$DI91,1,MATCH((Standards_Active!$C18-1),$CJ$81:$DI$81,FALSE)))/(Standards_Active!$D18-(Standards_Active!$C18-1))+DA91,Standards_Active!$I18*((1+Standards_Active!$N18)^(DB$81-Standards_Active!$D18))),TREND(Perform_Active!$E18:$F18,Perform_Active!$E$8:$F$8,DB$81))),)</f>
        <v>0</v>
      </c>
      <c r="DC91" s="625">
        <f>IF(AND(Tech_Specs!$E17="step",Standards_Active!$E18="yes"),IF(DC$81&lt;Standards_Active!$C18,TREND(Perform_Active!$E18:$F18,Perform_Active!$E$8:$F$8,DC$81),IF(ISNUMBER(Standards_Active!$I18),IF(AND(DC$81&gt;=Standards_Active!$C18,DC$81&lt;Standards_Active!$D18),(Standards_Active!$I18-INDEX($CJ91:$DI91,1,MATCH((Standards_Active!$C18-1),$CJ$81:$DI$81,FALSE)))/(Standards_Active!$D18-(Standards_Active!$C18-1))+DB91,Standards_Active!$I18*((1+Standards_Active!$N18)^(DC$81-Standards_Active!$D18))),TREND(Perform_Active!$E18:$F18,Perform_Active!$E$8:$F$8,DC$81))),)</f>
        <v>0</v>
      </c>
      <c r="DD91" s="625">
        <f>IF(AND(Tech_Specs!$E17="step",Standards_Active!$E18="yes"),IF(DD$81&lt;Standards_Active!$C18,TREND(Perform_Active!$E18:$F18,Perform_Active!$E$8:$F$8,DD$81),IF(ISNUMBER(Standards_Active!$I18),IF(AND(DD$81&gt;=Standards_Active!$C18,DD$81&lt;Standards_Active!$D18),(Standards_Active!$I18-INDEX($CJ91:$DI91,1,MATCH((Standards_Active!$C18-1),$CJ$81:$DI$81,FALSE)))/(Standards_Active!$D18-(Standards_Active!$C18-1))+DC91,Standards_Active!$I18*((1+Standards_Active!$N18)^(DD$81-Standards_Active!$D18))),TREND(Perform_Active!$E18:$F18,Perform_Active!$E$8:$F$8,DD$81))),)</f>
        <v>0</v>
      </c>
      <c r="DE91" s="625">
        <f>IF(AND(Tech_Specs!$E17="step",Standards_Active!$E18="yes"),IF(DE$81&lt;Standards_Active!$C18,TREND(Perform_Active!$E18:$F18,Perform_Active!$E$8:$F$8,DE$81),IF(ISNUMBER(Standards_Active!$I18),IF(AND(DE$81&gt;=Standards_Active!$C18,DE$81&lt;Standards_Active!$D18),(Standards_Active!$I18-INDEX($CJ91:$DI91,1,MATCH((Standards_Active!$C18-1),$CJ$81:$DI$81,FALSE)))/(Standards_Active!$D18-(Standards_Active!$C18-1))+DD91,Standards_Active!$I18*((1+Standards_Active!$N18)^(DE$81-Standards_Active!$D18))),TREND(Perform_Active!$E18:$F18,Perform_Active!$E$8:$F$8,DE$81))),)</f>
        <v>0</v>
      </c>
      <c r="DF91" s="625">
        <f>IF(AND(Tech_Specs!$E17="step",Standards_Active!$E18="yes"),IF(DF$81&lt;Standards_Active!$C18,TREND(Perform_Active!$E18:$F18,Perform_Active!$E$8:$F$8,DF$81),IF(ISNUMBER(Standards_Active!$I18),IF(AND(DF$81&gt;=Standards_Active!$C18,DF$81&lt;Standards_Active!$D18),(Standards_Active!$I18-INDEX($CJ91:$DI91,1,MATCH((Standards_Active!$C18-1),$CJ$81:$DI$81,FALSE)))/(Standards_Active!$D18-(Standards_Active!$C18-1))+DE91,Standards_Active!$I18*((1+Standards_Active!$N18)^(DF$81-Standards_Active!$D18))),TREND(Perform_Active!$E18:$F18,Perform_Active!$E$8:$F$8,DF$81))),)</f>
        <v>0</v>
      </c>
      <c r="DG91" s="625">
        <f>IF(AND(Tech_Specs!$E17="step",Standards_Active!$E18="yes"),IF(DG$81&lt;Standards_Active!$C18,TREND(Perform_Active!$E18:$F18,Perform_Active!$E$8:$F$8,DG$81),IF(ISNUMBER(Standards_Active!$I18),IF(AND(DG$81&gt;=Standards_Active!$C18,DG$81&lt;Standards_Active!$D18),(Standards_Active!$I18-INDEX($CJ91:$DI91,1,MATCH((Standards_Active!$C18-1),$CJ$81:$DI$81,FALSE)))/(Standards_Active!$D18-(Standards_Active!$C18-1))+DF91,Standards_Active!$I18*((1+Standards_Active!$N18)^(DG$81-Standards_Active!$D18))),TREND(Perform_Active!$E18:$F18,Perform_Active!$E$8:$F$8,DG$81))),)</f>
        <v>0</v>
      </c>
      <c r="DH91" s="625">
        <f>IF(AND(Tech_Specs!$E17="step",Standards_Active!$E18="yes"),IF(DH$81&lt;Standards_Active!$C18,TREND(Perform_Active!$E18:$F18,Perform_Active!$E$8:$F$8,DH$81),IF(ISNUMBER(Standards_Active!$I18),IF(AND(DH$81&gt;=Standards_Active!$C18,DH$81&lt;Standards_Active!$D18),(Standards_Active!$I18-INDEX($CJ91:$DI91,1,MATCH((Standards_Active!$C18-1),$CJ$81:$DI$81,FALSE)))/(Standards_Active!$D18-(Standards_Active!$C18-1))+DG91,Standards_Active!$I18*((1+Standards_Active!$N18)^(DH$81-Standards_Active!$D18))),TREND(Perform_Active!$E18:$F18,Perform_Active!$E$8:$F$8,DH$81))),)</f>
        <v>0</v>
      </c>
      <c r="DI91" s="625">
        <f>IF(AND(Tech_Specs!$E17="step",Standards_Active!$E18="yes"),IF(DI$81&lt;Standards_Active!$C18,TREND(Perform_Active!$E18:$F18,Perform_Active!$E$8:$F$8,DI$81),IF(ISNUMBER(Standards_Active!$I18),IF(AND(DI$81&gt;=Standards_Active!$C18,DI$81&lt;Standards_Active!$D18),(Standards_Active!$I18-INDEX($CJ91:$DI91,1,MATCH((Standards_Active!$C18-1),$CJ$81:$DI$81,FALSE)))/(Standards_Active!$D18-(Standards_Active!$C18-1))+DH91,Standards_Active!$I18*((1+Standards_Active!$N18)^(DI$81-Standards_Active!$D18))),TREND(Perform_Active!$E18:$F18,Perform_Active!$E$8:$F$8,DI$81))),)</f>
        <v>0</v>
      </c>
    </row>
    <row r="92" spans="1:113" s="376" customFormat="1" ht="12.6" x14ac:dyDescent="0.25">
      <c r="B92" s="388" t="s">
        <v>29</v>
      </c>
      <c r="D92" s="550"/>
      <c r="E92" s="550"/>
      <c r="F92" s="550"/>
      <c r="G92" s="390">
        <f t="shared" si="24"/>
        <v>36.873768202819726</v>
      </c>
      <c r="H92" s="390">
        <f t="shared" si="24"/>
        <v>48.266272480467556</v>
      </c>
      <c r="I92" s="390">
        <f t="shared" si="24"/>
        <v>61.701198700113544</v>
      </c>
      <c r="J92" s="390">
        <f t="shared" si="24"/>
        <v>77.591734715380795</v>
      </c>
      <c r="K92" s="390">
        <f t="shared" si="24"/>
        <v>94.800465488123137</v>
      </c>
      <c r="L92" s="390">
        <f t="shared" si="24"/>
        <v>112.50003941617493</v>
      </c>
      <c r="M92" s="390">
        <f t="shared" si="24"/>
        <v>129.3471504340618</v>
      </c>
      <c r="N92" s="390">
        <f t="shared" si="24"/>
        <v>145.03095133963808</v>
      </c>
      <c r="O92" s="390">
        <f t="shared" si="24"/>
        <v>159.127310954921</v>
      </c>
      <c r="P92" s="390">
        <f t="shared" si="24"/>
        <v>171.48202098927979</v>
      </c>
      <c r="Q92" s="390">
        <f t="shared" si="25"/>
        <v>182.15170200680319</v>
      </c>
      <c r="R92" s="390">
        <f t="shared" si="25"/>
        <v>187.8607232688625</v>
      </c>
      <c r="S92" s="390">
        <f t="shared" si="25"/>
        <v>192.15160570290442</v>
      </c>
      <c r="T92" s="390">
        <f t="shared" si="25"/>
        <v>195.33034204073093</v>
      </c>
      <c r="U92" s="390">
        <f t="shared" si="25"/>
        <v>197.66006127320361</v>
      </c>
      <c r="V92" s="390">
        <f t="shared" si="25"/>
        <v>199.35413887963063</v>
      </c>
      <c r="W92" s="390">
        <f t="shared" si="25"/>
        <v>200.57896356186501</v>
      </c>
      <c r="X92" s="390">
        <f t="shared" si="25"/>
        <v>201.46085171629713</v>
      </c>
      <c r="Y92" s="390">
        <f t="shared" si="25"/>
        <v>202.09392729485813</v>
      </c>
      <c r="Z92" s="390">
        <f t="shared" si="25"/>
        <v>202.54741526513342</v>
      </c>
      <c r="AA92" s="390">
        <f t="shared" si="26"/>
        <v>202.87176106409183</v>
      </c>
      <c r="AB92" s="390">
        <f t="shared" si="26"/>
        <v>203.10348618652321</v>
      </c>
      <c r="AC92" s="390">
        <f t="shared" si="26"/>
        <v>203.26890947460336</v>
      </c>
      <c r="AD92" s="390">
        <f t="shared" si="26"/>
        <v>203.38693514979437</v>
      </c>
      <c r="AE92" s="390">
        <f t="shared" si="26"/>
        <v>203.47111002115616</v>
      </c>
      <c r="AF92" s="390">
        <f t="shared" si="26"/>
        <v>203.53112565740346</v>
      </c>
      <c r="AH92" s="405">
        <f>IF(Tech_Specs!$E18="linear",TREND(Perform_Active!$E19:$F19,Perform_Active!$E$8:$F$8,AH$81),)</f>
        <v>0</v>
      </c>
      <c r="AI92" s="405">
        <f>IF(Tech_Specs!$E18="linear",TREND(Perform_Active!$E19:$F19,Perform_Active!$E$8:$F$8,AI$81),)</f>
        <v>0</v>
      </c>
      <c r="AJ92" s="405">
        <f>IF(Tech_Specs!$E18="linear",TREND(Perform_Active!$E19:$F19,Perform_Active!$E$8:$F$8,AJ$81),)</f>
        <v>0</v>
      </c>
      <c r="AK92" s="405">
        <f>IF(Tech_Specs!$E18="linear",TREND(Perform_Active!$E19:$F19,Perform_Active!$E$8:$F$8,AK$81),)</f>
        <v>0</v>
      </c>
      <c r="AL92" s="405">
        <f>IF(Tech_Specs!$E18="linear",TREND(Perform_Active!$E19:$F19,Perform_Active!$E$8:$F$8,AL$81),)</f>
        <v>0</v>
      </c>
      <c r="AM92" s="405">
        <f>IF(Tech_Specs!$E18="linear",TREND(Perform_Active!$E19:$F19,Perform_Active!$E$8:$F$8,AM$81),)</f>
        <v>0</v>
      </c>
      <c r="AN92" s="405">
        <f>IF(Tech_Specs!$E18="linear",TREND(Perform_Active!$E19:$F19,Perform_Active!$E$8:$F$8,AN$81),)</f>
        <v>0</v>
      </c>
      <c r="AO92" s="405">
        <f>IF(Tech_Specs!$E18="linear",TREND(Perform_Active!$E19:$F19,Perform_Active!$E$8:$F$8,AO$81),)</f>
        <v>0</v>
      </c>
      <c r="AP92" s="405">
        <f>IF(Tech_Specs!$E18="linear",TREND(Perform_Active!$E19:$F19,Perform_Active!$E$8:$F$8,AP$81),)</f>
        <v>0</v>
      </c>
      <c r="AQ92" s="405">
        <f>IF(Tech_Specs!$E18="linear",TREND(Perform_Active!$E19:$F19,Perform_Active!$E$8:$F$8,AQ$81),)</f>
        <v>0</v>
      </c>
      <c r="AR92" s="405">
        <f>IF(Tech_Specs!$E18="linear",TREND(Perform_Active!$E19:$F19,Perform_Active!$E$8:$F$8,AR$81),)</f>
        <v>0</v>
      </c>
      <c r="AS92" s="405">
        <f>IF(Tech_Specs!$E18="linear",TREND(Perform_Active!$E19:$F19,Perform_Active!$E$8:$F$8,AS$81),)</f>
        <v>0</v>
      </c>
      <c r="AT92" s="405">
        <f>IF(Tech_Specs!$E18="linear",TREND(Perform_Active!$E19:$F19,Perform_Active!$E$8:$F$8,AT$81),)</f>
        <v>0</v>
      </c>
      <c r="AU92" s="405">
        <f>IF(Tech_Specs!$E18="linear",TREND(Perform_Active!$E19:$F19,Perform_Active!$E$8:$F$8,AU$81),)</f>
        <v>0</v>
      </c>
      <c r="AV92" s="405">
        <f>IF(Tech_Specs!$E18="linear",TREND(Perform_Active!$E19:$F19,Perform_Active!$E$8:$F$8,AV$81),)</f>
        <v>0</v>
      </c>
      <c r="AW92" s="405">
        <f>IF(Tech_Specs!$E18="linear",TREND(Perform_Active!$E19:$F19,Perform_Active!$E$8:$F$8,AW$81),)</f>
        <v>0</v>
      </c>
      <c r="AX92" s="405">
        <f>IF(Tech_Specs!$E18="linear",TREND(Perform_Active!$E19:$F19,Perform_Active!$E$8:$F$8,AX$81),)</f>
        <v>0</v>
      </c>
      <c r="AY92" s="405">
        <f>IF(Tech_Specs!$E18="linear",TREND(Perform_Active!$E19:$F19,Perform_Active!$E$8:$F$8,AY$81),)</f>
        <v>0</v>
      </c>
      <c r="AZ92" s="405">
        <f>IF(Tech_Specs!$E18="linear",TREND(Perform_Active!$E19:$F19,Perform_Active!$E$8:$F$8,AZ$81),)</f>
        <v>0</v>
      </c>
      <c r="BA92" s="405">
        <f>IF(Tech_Specs!$E18="linear",TREND(Perform_Active!$E19:$F19,Perform_Active!$E$8:$F$8,BA$81),)</f>
        <v>0</v>
      </c>
      <c r="BB92" s="405">
        <f>IF(Tech_Specs!$E18="linear",TREND(Perform_Active!$E19:$F19,Perform_Active!$E$8:$F$8,BB$81),)</f>
        <v>0</v>
      </c>
      <c r="BC92" s="405">
        <f>IF(Tech_Specs!$E18="linear",TREND(Perform_Active!$E19:$F19,Perform_Active!$E$8:$F$8,BC$81),)</f>
        <v>0</v>
      </c>
      <c r="BD92" s="405">
        <f>IF(Tech_Specs!$E18="linear",TREND(Perform_Active!$E19:$F19,Perform_Active!$E$8:$F$8,BD$81),)</f>
        <v>0</v>
      </c>
      <c r="BE92" s="405">
        <f>IF(Tech_Specs!$E18="linear",TREND(Perform_Active!$E19:$F19,Perform_Active!$E$8:$F$8,BE$81),)</f>
        <v>0</v>
      </c>
      <c r="BF92" s="405">
        <f>IF(Tech_Specs!$E18="linear",TREND(Perform_Active!$E19:$F19,Perform_Active!$E$8:$F$8,BF$81),)</f>
        <v>0</v>
      </c>
      <c r="BG92" s="405">
        <f>IF(Tech_Specs!$E18="linear",TREND(Perform_Active!$E19:$F19,Perform_Active!$E$8:$F$8,BG$81),)</f>
        <v>0</v>
      </c>
      <c r="BI92" s="405">
        <f>IF(Tech_Specs!$E18="logistic",IF($B18="LED",IF(Tech_Specs!$K18="lamp",Perform_SSL!G$10,Perform_SSL!G$11)),)</f>
        <v>36.873768202819726</v>
      </c>
      <c r="BJ92" s="405">
        <f>IF(Tech_Specs!$E18="logistic",IF($B18="LED",IF(Tech_Specs!$K18="lamp",Perform_SSL!H$10,Perform_SSL!H$11)),)</f>
        <v>48.266272480467556</v>
      </c>
      <c r="BK92" s="405">
        <f>IF(Tech_Specs!$E18="logistic",IF($B18="LED",IF(Tech_Specs!$K18="lamp",Perform_SSL!I$10,Perform_SSL!I$11)),)</f>
        <v>61.701198700113544</v>
      </c>
      <c r="BL92" s="405">
        <f>IF(Tech_Specs!$E18="logistic",IF($B18="LED",IF(Tech_Specs!$K18="lamp",Perform_SSL!J$10,Perform_SSL!J$11)),)</f>
        <v>77.591734715380795</v>
      </c>
      <c r="BM92" s="405">
        <f>IF(Tech_Specs!$E18="logistic",IF($B18="LED",IF(Tech_Specs!$K18="lamp",Perform_SSL!K$10,Perform_SSL!K$11)),)</f>
        <v>94.800465488123137</v>
      </c>
      <c r="BN92" s="405">
        <f>IF(Tech_Specs!$E18="logistic",IF($B18="LED",IF(Tech_Specs!$K18="lamp",Perform_SSL!L$10,Perform_SSL!L$11)),)</f>
        <v>112.50003941617493</v>
      </c>
      <c r="BO92" s="405">
        <f>IF(Tech_Specs!$E18="logistic",IF($B18="LED",IF(Tech_Specs!$K18="lamp",Perform_SSL!M$10,Perform_SSL!M$11)),)</f>
        <v>129.3471504340618</v>
      </c>
      <c r="BP92" s="405">
        <f>IF(Tech_Specs!$E18="logistic",IF($B18="LED",IF(Tech_Specs!$K18="lamp",Perform_SSL!N$10,Perform_SSL!N$11)),)</f>
        <v>145.03095133963808</v>
      </c>
      <c r="BQ92" s="405">
        <f>IF(Tech_Specs!$E18="logistic",IF($B18="LED",IF(Tech_Specs!$K18="lamp",Perform_SSL!O$10,Perform_SSL!O$11)),)</f>
        <v>159.127310954921</v>
      </c>
      <c r="BR92" s="405">
        <f>IF(Tech_Specs!$E18="logistic",IF($B18="LED",IF(Tech_Specs!$K18="lamp",Perform_SSL!P$10,Perform_SSL!P$11)),)</f>
        <v>171.48202098927979</v>
      </c>
      <c r="BS92" s="405">
        <f>IF(Tech_Specs!$E18="logistic",IF($B18="LED",IF(Tech_Specs!$K18="lamp",Perform_SSL!Q$10,Perform_SSL!Q$11)),)</f>
        <v>182.15170200680319</v>
      </c>
      <c r="BT92" s="405">
        <f>IF(Tech_Specs!$E18="logistic",IF($B18="LED",IF(Tech_Specs!$K18="lamp",Perform_SSL!R$10,Perform_SSL!R$11)),)</f>
        <v>187.8607232688625</v>
      </c>
      <c r="BU92" s="405">
        <f>IF(Tech_Specs!$E18="logistic",IF($B18="LED",IF(Tech_Specs!$K18="lamp",Perform_SSL!S$10,Perform_SSL!S$11)),)</f>
        <v>192.15160570290442</v>
      </c>
      <c r="BV92" s="405">
        <f>IF(Tech_Specs!$E18="logistic",IF($B18="LED",IF(Tech_Specs!$K18="lamp",Perform_SSL!T$10,Perform_SSL!T$11)),)</f>
        <v>195.33034204073093</v>
      </c>
      <c r="BW92" s="405">
        <f>IF(Tech_Specs!$E18="logistic",IF($B18="LED",IF(Tech_Specs!$K18="lamp",Perform_SSL!U$10,Perform_SSL!U$11)),)</f>
        <v>197.66006127320361</v>
      </c>
      <c r="BX92" s="405">
        <f>IF(Tech_Specs!$E18="logistic",IF($B18="LED",IF(Tech_Specs!$K18="lamp",Perform_SSL!V$10,Perform_SSL!V$11)),)</f>
        <v>199.35413887963063</v>
      </c>
      <c r="BY92" s="405">
        <f>IF(Tech_Specs!$E18="logistic",IF($B18="LED",IF(Tech_Specs!$K18="lamp",Perform_SSL!W$10,Perform_SSL!W$11)),)</f>
        <v>200.57896356186501</v>
      </c>
      <c r="BZ92" s="405">
        <f>IF(Tech_Specs!$E18="logistic",IF($B18="LED",IF(Tech_Specs!$K18="lamp",Perform_SSL!X$10,Perform_SSL!X$11)),)</f>
        <v>201.46085171629713</v>
      </c>
      <c r="CA92" s="405">
        <f>IF(Tech_Specs!$E18="logistic",IF($B18="LED",IF(Tech_Specs!$K18="lamp",Perform_SSL!Y$10,Perform_SSL!Y$11)),)</f>
        <v>202.09392729485813</v>
      </c>
      <c r="CB92" s="405">
        <f>IF(Tech_Specs!$E18="logistic",IF($B18="LED",IF(Tech_Specs!$K18="lamp",Perform_SSL!Z$10,Perform_SSL!Z$11)),)</f>
        <v>202.54741526513342</v>
      </c>
      <c r="CC92" s="405">
        <f>IF(Tech_Specs!$E18="logistic",IF($B18="LED",IF(Tech_Specs!$K18="lamp",Perform_SSL!AA$10,Perform_SSL!AA$11)),)</f>
        <v>202.87176106409183</v>
      </c>
      <c r="CD92" s="405">
        <f>IF(Tech_Specs!$E18="logistic",IF($B18="LED",IF(Tech_Specs!$K18="lamp",Perform_SSL!AB$10,Perform_SSL!AB$11)),)</f>
        <v>203.10348618652321</v>
      </c>
      <c r="CE92" s="405">
        <f>IF(Tech_Specs!$E18="logistic",IF($B18="LED",IF(Tech_Specs!$K18="lamp",Perform_SSL!AC$10,Perform_SSL!AC$11)),)</f>
        <v>203.26890947460336</v>
      </c>
      <c r="CF92" s="405">
        <f>IF(Tech_Specs!$E18="logistic",IF($B18="LED",IF(Tech_Specs!$K18="lamp",Perform_SSL!AD$10,Perform_SSL!AD$11)),)</f>
        <v>203.38693514979437</v>
      </c>
      <c r="CG92" s="405">
        <f>IF(Tech_Specs!$E18="logistic",IF($B18="LED",IF(Tech_Specs!$K18="lamp",Perform_SSL!AE$10,Perform_SSL!AE$11)),)</f>
        <v>203.47111002115616</v>
      </c>
      <c r="CH92" s="405">
        <f>IF(Tech_Specs!$E18="logistic",IF($B18="LED",IF(Tech_Specs!$K18="lamp",Perform_SSL!AF$10,Perform_SSL!AF$11)),)</f>
        <v>203.53112565740346</v>
      </c>
      <c r="CJ92" s="625">
        <f>IF(AND(Tech_Specs!$E18="step",Standards_Active!$E19="yes"),IF(CJ$81&lt;Standards_Active!$C19,TREND(Perform_Active!$E19:$F19,Perform_Active!$E$8:$F$8,CJ$81),IF(ISNUMBER(Standards_Active!$I19),IF(AND(CJ$81&gt;=Standards_Active!$C19,CJ$81&lt;Standards_Active!$D19),(Standards_Active!$I19-INDEX($CJ92:$DI92,1,MATCH((Standards_Active!$C19-1),$CJ$81:$DI$81,FALSE)))/(Standards_Active!$D19-(Standards_Active!$C19-1))+CI92,Standards_Active!$I19*((1+Standards_Active!$N19)^(CJ$81-Standards_Active!$D19))),TREND(Perform_Active!$E19:$F19,Perform_Active!$E$8:$F$8,CJ$81))),)</f>
        <v>0</v>
      </c>
      <c r="CK92" s="625">
        <f>IF(AND(Tech_Specs!$E18="step",Standards_Active!$E19="yes"),IF(CK$81&lt;Standards_Active!$C19,TREND(Perform_Active!$E19:$F19,Perform_Active!$E$8:$F$8,CK$81),IF(ISNUMBER(Standards_Active!$I19),IF(AND(CK$81&gt;=Standards_Active!$C19,CK$81&lt;Standards_Active!$D19),(Standards_Active!$I19-INDEX($CJ92:$DI92,1,MATCH((Standards_Active!$C19-1),$CJ$81:$DI$81,FALSE)))/(Standards_Active!$D19-(Standards_Active!$C19-1))+CJ92,Standards_Active!$I19*((1+Standards_Active!$N19)^(CK$81-Standards_Active!$D19))),TREND(Perform_Active!$E19:$F19,Perform_Active!$E$8:$F$8,CK$81))),)</f>
        <v>0</v>
      </c>
      <c r="CL92" s="625">
        <f>IF(AND(Tech_Specs!$E18="step",Standards_Active!$E19="yes"),IF(CL$81&lt;Standards_Active!$C19,TREND(Perform_Active!$E19:$F19,Perform_Active!$E$8:$F$8,CL$81),IF(ISNUMBER(Standards_Active!$I19),IF(AND(CL$81&gt;=Standards_Active!$C19,CL$81&lt;Standards_Active!$D19),(Standards_Active!$I19-INDEX($CJ92:$DI92,1,MATCH((Standards_Active!$C19-1),$CJ$81:$DI$81,FALSE)))/(Standards_Active!$D19-(Standards_Active!$C19-1))+CK92,Standards_Active!$I19*((1+Standards_Active!$N19)^(CL$81-Standards_Active!$D19))),TREND(Perform_Active!$E19:$F19,Perform_Active!$E$8:$F$8,CL$81))),)</f>
        <v>0</v>
      </c>
      <c r="CM92" s="625">
        <f>IF(AND(Tech_Specs!$E18="step",Standards_Active!$E19="yes"),IF(CM$81&lt;Standards_Active!$C19,TREND(Perform_Active!$E19:$F19,Perform_Active!$E$8:$F$8,CM$81),IF(ISNUMBER(Standards_Active!$I19),IF(AND(CM$81&gt;=Standards_Active!$C19,CM$81&lt;Standards_Active!$D19),(Standards_Active!$I19-INDEX($CJ92:$DI92,1,MATCH((Standards_Active!$C19-1),$CJ$81:$DI$81,FALSE)))/(Standards_Active!$D19-(Standards_Active!$C19-1))+CL92,Standards_Active!$I19*((1+Standards_Active!$N19)^(CM$81-Standards_Active!$D19))),TREND(Perform_Active!$E19:$F19,Perform_Active!$E$8:$F$8,CM$81))),)</f>
        <v>0</v>
      </c>
      <c r="CN92" s="625">
        <f>IF(AND(Tech_Specs!$E18="step",Standards_Active!$E19="yes"),IF(CN$81&lt;Standards_Active!$C19,TREND(Perform_Active!$E19:$F19,Perform_Active!$E$8:$F$8,CN$81),IF(ISNUMBER(Standards_Active!$I19),IF(AND(CN$81&gt;=Standards_Active!$C19,CN$81&lt;Standards_Active!$D19),(Standards_Active!$I19-INDEX($CJ92:$DI92,1,MATCH((Standards_Active!$C19-1),$CJ$81:$DI$81,FALSE)))/(Standards_Active!$D19-(Standards_Active!$C19-1))+CM92,Standards_Active!$I19*((1+Standards_Active!$N19)^(CN$81-Standards_Active!$D19))),TREND(Perform_Active!$E19:$F19,Perform_Active!$E$8:$F$8,CN$81))),)</f>
        <v>0</v>
      </c>
      <c r="CO92" s="625">
        <f>IF(AND(Tech_Specs!$E18="step",Standards_Active!$E19="yes"),IF(CO$81&lt;Standards_Active!$C19,TREND(Perform_Active!$E19:$F19,Perform_Active!$E$8:$F$8,CO$81),IF(ISNUMBER(Standards_Active!$I19),IF(AND(CO$81&gt;=Standards_Active!$C19,CO$81&lt;Standards_Active!$D19),(Standards_Active!$I19-INDEX($CJ92:$DI92,1,MATCH((Standards_Active!$C19-1),$CJ$81:$DI$81,FALSE)))/(Standards_Active!$D19-(Standards_Active!$C19-1))+CN92,Standards_Active!$I19*((1+Standards_Active!$N19)^(CO$81-Standards_Active!$D19))),TREND(Perform_Active!$E19:$F19,Perform_Active!$E$8:$F$8,CO$81))),)</f>
        <v>0</v>
      </c>
      <c r="CP92" s="625">
        <f>IF(AND(Tech_Specs!$E18="step",Standards_Active!$E19="yes"),IF(CP$81&lt;Standards_Active!$C19,TREND(Perform_Active!$E19:$F19,Perform_Active!$E$8:$F$8,CP$81),IF(ISNUMBER(Standards_Active!$I19),IF(AND(CP$81&gt;=Standards_Active!$C19,CP$81&lt;Standards_Active!$D19),(Standards_Active!$I19-INDEX($CJ92:$DI92,1,MATCH((Standards_Active!$C19-1),$CJ$81:$DI$81,FALSE)))/(Standards_Active!$D19-(Standards_Active!$C19-1))+CO92,Standards_Active!$I19*((1+Standards_Active!$N19)^(CP$81-Standards_Active!$D19))),TREND(Perform_Active!$E19:$F19,Perform_Active!$E$8:$F$8,CP$81))),)</f>
        <v>0</v>
      </c>
      <c r="CQ92" s="625">
        <f>IF(AND(Tech_Specs!$E18="step",Standards_Active!$E19="yes"),IF(CQ$81&lt;Standards_Active!$C19,TREND(Perform_Active!$E19:$F19,Perform_Active!$E$8:$F$8,CQ$81),IF(ISNUMBER(Standards_Active!$I19),IF(AND(CQ$81&gt;=Standards_Active!$C19,CQ$81&lt;Standards_Active!$D19),(Standards_Active!$I19-INDEX($CJ92:$DI92,1,MATCH((Standards_Active!$C19-1),$CJ$81:$DI$81,FALSE)))/(Standards_Active!$D19-(Standards_Active!$C19-1))+CP92,Standards_Active!$I19*((1+Standards_Active!$N19)^(CQ$81-Standards_Active!$D19))),TREND(Perform_Active!$E19:$F19,Perform_Active!$E$8:$F$8,CQ$81))),)</f>
        <v>0</v>
      </c>
      <c r="CR92" s="625">
        <f>IF(AND(Tech_Specs!$E18="step",Standards_Active!$E19="yes"),IF(CR$81&lt;Standards_Active!$C19,TREND(Perform_Active!$E19:$F19,Perform_Active!$E$8:$F$8,CR$81),IF(ISNUMBER(Standards_Active!$I19),IF(AND(CR$81&gt;=Standards_Active!$C19,CR$81&lt;Standards_Active!$D19),(Standards_Active!$I19-INDEX($CJ92:$DI92,1,MATCH((Standards_Active!$C19-1),$CJ$81:$DI$81,FALSE)))/(Standards_Active!$D19-(Standards_Active!$C19-1))+CQ92,Standards_Active!$I19*((1+Standards_Active!$N19)^(CR$81-Standards_Active!$D19))),TREND(Perform_Active!$E19:$F19,Perform_Active!$E$8:$F$8,CR$81))),)</f>
        <v>0</v>
      </c>
      <c r="CS92" s="625">
        <f>IF(AND(Tech_Specs!$E18="step",Standards_Active!$E19="yes"),IF(CS$81&lt;Standards_Active!$C19,TREND(Perform_Active!$E19:$F19,Perform_Active!$E$8:$F$8,CS$81),IF(ISNUMBER(Standards_Active!$I19),IF(AND(CS$81&gt;=Standards_Active!$C19,CS$81&lt;Standards_Active!$D19),(Standards_Active!$I19-INDEX($CJ92:$DI92,1,MATCH((Standards_Active!$C19-1),$CJ$81:$DI$81,FALSE)))/(Standards_Active!$D19-(Standards_Active!$C19-1))+CR92,Standards_Active!$I19*((1+Standards_Active!$N19)^(CS$81-Standards_Active!$D19))),TREND(Perform_Active!$E19:$F19,Perform_Active!$E$8:$F$8,CS$81))),)</f>
        <v>0</v>
      </c>
      <c r="CT92" s="625">
        <f>IF(AND(Tech_Specs!$E18="step",Standards_Active!$E19="yes"),IF(CT$81&lt;Standards_Active!$C19,TREND(Perform_Active!$E19:$F19,Perform_Active!$E$8:$F$8,CT$81),IF(ISNUMBER(Standards_Active!$I19),IF(AND(CT$81&gt;=Standards_Active!$C19,CT$81&lt;Standards_Active!$D19),(Standards_Active!$I19-INDEX($CJ92:$DI92,1,MATCH((Standards_Active!$C19-1),$CJ$81:$DI$81,FALSE)))/(Standards_Active!$D19-(Standards_Active!$C19-1))+CS92,Standards_Active!$I19*((1+Standards_Active!$N19)^(CT$81-Standards_Active!$D19))),TREND(Perform_Active!$E19:$F19,Perform_Active!$E$8:$F$8,CT$81))),)</f>
        <v>0</v>
      </c>
      <c r="CU92" s="625">
        <f>IF(AND(Tech_Specs!$E18="step",Standards_Active!$E19="yes"),IF(CU$81&lt;Standards_Active!$C19,TREND(Perform_Active!$E19:$F19,Perform_Active!$E$8:$F$8,CU$81),IF(ISNUMBER(Standards_Active!$I19),IF(AND(CU$81&gt;=Standards_Active!$C19,CU$81&lt;Standards_Active!$D19),(Standards_Active!$I19-INDEX($CJ92:$DI92,1,MATCH((Standards_Active!$C19-1),$CJ$81:$DI$81,FALSE)))/(Standards_Active!$D19-(Standards_Active!$C19-1))+CT92,Standards_Active!$I19*((1+Standards_Active!$N19)^(CU$81-Standards_Active!$D19))),TREND(Perform_Active!$E19:$F19,Perform_Active!$E$8:$F$8,CU$81))),)</f>
        <v>0</v>
      </c>
      <c r="CV92" s="625">
        <f>IF(AND(Tech_Specs!$E18="step",Standards_Active!$E19="yes"),IF(CV$81&lt;Standards_Active!$C19,TREND(Perform_Active!$E19:$F19,Perform_Active!$E$8:$F$8,CV$81),IF(ISNUMBER(Standards_Active!$I19),IF(AND(CV$81&gt;=Standards_Active!$C19,CV$81&lt;Standards_Active!$D19),(Standards_Active!$I19-INDEX($CJ92:$DI92,1,MATCH((Standards_Active!$C19-1),$CJ$81:$DI$81,FALSE)))/(Standards_Active!$D19-(Standards_Active!$C19-1))+CU92,Standards_Active!$I19*((1+Standards_Active!$N19)^(CV$81-Standards_Active!$D19))),TREND(Perform_Active!$E19:$F19,Perform_Active!$E$8:$F$8,CV$81))),)</f>
        <v>0</v>
      </c>
      <c r="CW92" s="625">
        <f>IF(AND(Tech_Specs!$E18="step",Standards_Active!$E19="yes"),IF(CW$81&lt;Standards_Active!$C19,TREND(Perform_Active!$E19:$F19,Perform_Active!$E$8:$F$8,CW$81),IF(ISNUMBER(Standards_Active!$I19),IF(AND(CW$81&gt;=Standards_Active!$C19,CW$81&lt;Standards_Active!$D19),(Standards_Active!$I19-INDEX($CJ92:$DI92,1,MATCH((Standards_Active!$C19-1),$CJ$81:$DI$81,FALSE)))/(Standards_Active!$D19-(Standards_Active!$C19-1))+CV92,Standards_Active!$I19*((1+Standards_Active!$N19)^(CW$81-Standards_Active!$D19))),TREND(Perform_Active!$E19:$F19,Perform_Active!$E$8:$F$8,CW$81))),)</f>
        <v>0</v>
      </c>
      <c r="CX92" s="625">
        <f>IF(AND(Tech_Specs!$E18="step",Standards_Active!$E19="yes"),IF(CX$81&lt;Standards_Active!$C19,TREND(Perform_Active!$E19:$F19,Perform_Active!$E$8:$F$8,CX$81),IF(ISNUMBER(Standards_Active!$I19),IF(AND(CX$81&gt;=Standards_Active!$C19,CX$81&lt;Standards_Active!$D19),(Standards_Active!$I19-INDEX($CJ92:$DI92,1,MATCH((Standards_Active!$C19-1),$CJ$81:$DI$81,FALSE)))/(Standards_Active!$D19-(Standards_Active!$C19-1))+CW92,Standards_Active!$I19*((1+Standards_Active!$N19)^(CX$81-Standards_Active!$D19))),TREND(Perform_Active!$E19:$F19,Perform_Active!$E$8:$F$8,CX$81))),)</f>
        <v>0</v>
      </c>
      <c r="CY92" s="625">
        <f>IF(AND(Tech_Specs!$E18="step",Standards_Active!$E19="yes"),IF(CY$81&lt;Standards_Active!$C19,TREND(Perform_Active!$E19:$F19,Perform_Active!$E$8:$F$8,CY$81),IF(ISNUMBER(Standards_Active!$I19),IF(AND(CY$81&gt;=Standards_Active!$C19,CY$81&lt;Standards_Active!$D19),(Standards_Active!$I19-INDEX($CJ92:$DI92,1,MATCH((Standards_Active!$C19-1),$CJ$81:$DI$81,FALSE)))/(Standards_Active!$D19-(Standards_Active!$C19-1))+CX92,Standards_Active!$I19*((1+Standards_Active!$N19)^(CY$81-Standards_Active!$D19))),TREND(Perform_Active!$E19:$F19,Perform_Active!$E$8:$F$8,CY$81))),)</f>
        <v>0</v>
      </c>
      <c r="CZ92" s="625">
        <f>IF(AND(Tech_Specs!$E18="step",Standards_Active!$E19="yes"),IF(CZ$81&lt;Standards_Active!$C19,TREND(Perform_Active!$E19:$F19,Perform_Active!$E$8:$F$8,CZ$81),IF(ISNUMBER(Standards_Active!$I19),IF(AND(CZ$81&gt;=Standards_Active!$C19,CZ$81&lt;Standards_Active!$D19),(Standards_Active!$I19-INDEX($CJ92:$DI92,1,MATCH((Standards_Active!$C19-1),$CJ$81:$DI$81,FALSE)))/(Standards_Active!$D19-(Standards_Active!$C19-1))+CY92,Standards_Active!$I19*((1+Standards_Active!$N19)^(CZ$81-Standards_Active!$D19))),TREND(Perform_Active!$E19:$F19,Perform_Active!$E$8:$F$8,CZ$81))),)</f>
        <v>0</v>
      </c>
      <c r="DA92" s="625">
        <f>IF(AND(Tech_Specs!$E18="step",Standards_Active!$E19="yes"),IF(DA$81&lt;Standards_Active!$C19,TREND(Perform_Active!$E19:$F19,Perform_Active!$E$8:$F$8,DA$81),IF(ISNUMBER(Standards_Active!$I19),IF(AND(DA$81&gt;=Standards_Active!$C19,DA$81&lt;Standards_Active!$D19),(Standards_Active!$I19-INDEX($CJ92:$DI92,1,MATCH((Standards_Active!$C19-1),$CJ$81:$DI$81,FALSE)))/(Standards_Active!$D19-(Standards_Active!$C19-1))+CZ92,Standards_Active!$I19*((1+Standards_Active!$N19)^(DA$81-Standards_Active!$D19))),TREND(Perform_Active!$E19:$F19,Perform_Active!$E$8:$F$8,DA$81))),)</f>
        <v>0</v>
      </c>
      <c r="DB92" s="625">
        <f>IF(AND(Tech_Specs!$E18="step",Standards_Active!$E19="yes"),IF(DB$81&lt;Standards_Active!$C19,TREND(Perform_Active!$E19:$F19,Perform_Active!$E$8:$F$8,DB$81),IF(ISNUMBER(Standards_Active!$I19),IF(AND(DB$81&gt;=Standards_Active!$C19,DB$81&lt;Standards_Active!$D19),(Standards_Active!$I19-INDEX($CJ92:$DI92,1,MATCH((Standards_Active!$C19-1),$CJ$81:$DI$81,FALSE)))/(Standards_Active!$D19-(Standards_Active!$C19-1))+DA92,Standards_Active!$I19*((1+Standards_Active!$N19)^(DB$81-Standards_Active!$D19))),TREND(Perform_Active!$E19:$F19,Perform_Active!$E$8:$F$8,DB$81))),)</f>
        <v>0</v>
      </c>
      <c r="DC92" s="625">
        <f>IF(AND(Tech_Specs!$E18="step",Standards_Active!$E19="yes"),IF(DC$81&lt;Standards_Active!$C19,TREND(Perform_Active!$E19:$F19,Perform_Active!$E$8:$F$8,DC$81),IF(ISNUMBER(Standards_Active!$I19),IF(AND(DC$81&gt;=Standards_Active!$C19,DC$81&lt;Standards_Active!$D19),(Standards_Active!$I19-INDEX($CJ92:$DI92,1,MATCH((Standards_Active!$C19-1),$CJ$81:$DI$81,FALSE)))/(Standards_Active!$D19-(Standards_Active!$C19-1))+DB92,Standards_Active!$I19*((1+Standards_Active!$N19)^(DC$81-Standards_Active!$D19))),TREND(Perform_Active!$E19:$F19,Perform_Active!$E$8:$F$8,DC$81))),)</f>
        <v>0</v>
      </c>
      <c r="DD92" s="625">
        <f>IF(AND(Tech_Specs!$E18="step",Standards_Active!$E19="yes"),IF(DD$81&lt;Standards_Active!$C19,TREND(Perform_Active!$E19:$F19,Perform_Active!$E$8:$F$8,DD$81),IF(ISNUMBER(Standards_Active!$I19),IF(AND(DD$81&gt;=Standards_Active!$C19,DD$81&lt;Standards_Active!$D19),(Standards_Active!$I19-INDEX($CJ92:$DI92,1,MATCH((Standards_Active!$C19-1),$CJ$81:$DI$81,FALSE)))/(Standards_Active!$D19-(Standards_Active!$C19-1))+DC92,Standards_Active!$I19*((1+Standards_Active!$N19)^(DD$81-Standards_Active!$D19))),TREND(Perform_Active!$E19:$F19,Perform_Active!$E$8:$F$8,DD$81))),)</f>
        <v>0</v>
      </c>
      <c r="DE92" s="625">
        <f>IF(AND(Tech_Specs!$E18="step",Standards_Active!$E19="yes"),IF(DE$81&lt;Standards_Active!$C19,TREND(Perform_Active!$E19:$F19,Perform_Active!$E$8:$F$8,DE$81),IF(ISNUMBER(Standards_Active!$I19),IF(AND(DE$81&gt;=Standards_Active!$C19,DE$81&lt;Standards_Active!$D19),(Standards_Active!$I19-INDEX($CJ92:$DI92,1,MATCH((Standards_Active!$C19-1),$CJ$81:$DI$81,FALSE)))/(Standards_Active!$D19-(Standards_Active!$C19-1))+DD92,Standards_Active!$I19*((1+Standards_Active!$N19)^(DE$81-Standards_Active!$D19))),TREND(Perform_Active!$E19:$F19,Perform_Active!$E$8:$F$8,DE$81))),)</f>
        <v>0</v>
      </c>
      <c r="DF92" s="625">
        <f>IF(AND(Tech_Specs!$E18="step",Standards_Active!$E19="yes"),IF(DF$81&lt;Standards_Active!$C19,TREND(Perform_Active!$E19:$F19,Perform_Active!$E$8:$F$8,DF$81),IF(ISNUMBER(Standards_Active!$I19),IF(AND(DF$81&gt;=Standards_Active!$C19,DF$81&lt;Standards_Active!$D19),(Standards_Active!$I19-INDEX($CJ92:$DI92,1,MATCH((Standards_Active!$C19-1),$CJ$81:$DI$81,FALSE)))/(Standards_Active!$D19-(Standards_Active!$C19-1))+DE92,Standards_Active!$I19*((1+Standards_Active!$N19)^(DF$81-Standards_Active!$D19))),TREND(Perform_Active!$E19:$F19,Perform_Active!$E$8:$F$8,DF$81))),)</f>
        <v>0</v>
      </c>
      <c r="DG92" s="625">
        <f>IF(AND(Tech_Specs!$E18="step",Standards_Active!$E19="yes"),IF(DG$81&lt;Standards_Active!$C19,TREND(Perform_Active!$E19:$F19,Perform_Active!$E$8:$F$8,DG$81),IF(ISNUMBER(Standards_Active!$I19),IF(AND(DG$81&gt;=Standards_Active!$C19,DG$81&lt;Standards_Active!$D19),(Standards_Active!$I19-INDEX($CJ92:$DI92,1,MATCH((Standards_Active!$C19-1),$CJ$81:$DI$81,FALSE)))/(Standards_Active!$D19-(Standards_Active!$C19-1))+DF92,Standards_Active!$I19*((1+Standards_Active!$N19)^(DG$81-Standards_Active!$D19))),TREND(Perform_Active!$E19:$F19,Perform_Active!$E$8:$F$8,DG$81))),)</f>
        <v>0</v>
      </c>
      <c r="DH92" s="625">
        <f>IF(AND(Tech_Specs!$E18="step",Standards_Active!$E19="yes"),IF(DH$81&lt;Standards_Active!$C19,TREND(Perform_Active!$E19:$F19,Perform_Active!$E$8:$F$8,DH$81),IF(ISNUMBER(Standards_Active!$I19),IF(AND(DH$81&gt;=Standards_Active!$C19,DH$81&lt;Standards_Active!$D19),(Standards_Active!$I19-INDEX($CJ92:$DI92,1,MATCH((Standards_Active!$C19-1),$CJ$81:$DI$81,FALSE)))/(Standards_Active!$D19-(Standards_Active!$C19-1))+DG92,Standards_Active!$I19*((1+Standards_Active!$N19)^(DH$81-Standards_Active!$D19))),TREND(Perform_Active!$E19:$F19,Perform_Active!$E$8:$F$8,DH$81))),)</f>
        <v>0</v>
      </c>
      <c r="DI92" s="625">
        <f>IF(AND(Tech_Specs!$E18="step",Standards_Active!$E19="yes"),IF(DI$81&lt;Standards_Active!$C19,TREND(Perform_Active!$E19:$F19,Perform_Active!$E$8:$F$8,DI$81),IF(ISNUMBER(Standards_Active!$I19),IF(AND(DI$81&gt;=Standards_Active!$C19,DI$81&lt;Standards_Active!$D19),(Standards_Active!$I19-INDEX($CJ92:$DI92,1,MATCH((Standards_Active!$C19-1),$CJ$81:$DI$81,FALSE)))/(Standards_Active!$D19-(Standards_Active!$C19-1))+DH92,Standards_Active!$I19*((1+Standards_Active!$N19)^(DI$81-Standards_Active!$D19))),TREND(Perform_Active!$E19:$F19,Perform_Active!$E$8:$F$8,DI$81))),)</f>
        <v>0</v>
      </c>
    </row>
    <row r="93" spans="1:113" s="376" customFormat="1" ht="12.6" x14ac:dyDescent="0.25">
      <c r="D93" s="550"/>
      <c r="E93" s="550"/>
      <c r="F93" s="550"/>
      <c r="G93" s="390"/>
      <c r="H93" s="390"/>
      <c r="I93" s="390"/>
      <c r="J93" s="390"/>
      <c r="K93" s="390"/>
      <c r="L93" s="390"/>
      <c r="M93" s="390"/>
      <c r="N93" s="390"/>
      <c r="O93" s="390"/>
      <c r="P93" s="390"/>
      <c r="Q93" s="390"/>
      <c r="R93" s="390"/>
      <c r="S93" s="390"/>
      <c r="T93" s="390"/>
      <c r="U93" s="390"/>
      <c r="V93" s="390"/>
      <c r="W93" s="390"/>
      <c r="X93" s="390"/>
      <c r="Y93" s="390"/>
      <c r="Z93" s="390"/>
      <c r="AA93" s="390"/>
      <c r="AB93" s="390"/>
      <c r="AC93" s="390"/>
      <c r="AD93" s="390"/>
      <c r="AE93" s="390"/>
      <c r="AF93" s="390"/>
    </row>
    <row r="94" spans="1:113" s="376" customFormat="1" ht="12.95" x14ac:dyDescent="0.3">
      <c r="A94" s="384" t="s">
        <v>36</v>
      </c>
      <c r="B94" s="383"/>
      <c r="C94" s="387"/>
      <c r="D94" s="387"/>
      <c r="E94" s="387"/>
      <c r="F94" s="387"/>
      <c r="G94" s="391"/>
      <c r="H94" s="391"/>
      <c r="I94" s="391"/>
      <c r="J94" s="391"/>
      <c r="K94" s="391"/>
      <c r="L94" s="391"/>
      <c r="M94" s="391"/>
      <c r="N94" s="391"/>
      <c r="O94" s="391"/>
      <c r="P94" s="391"/>
      <c r="Q94" s="391"/>
      <c r="R94" s="391"/>
      <c r="S94" s="391"/>
      <c r="T94" s="391"/>
      <c r="U94" s="391"/>
      <c r="V94" s="391"/>
      <c r="W94" s="391"/>
      <c r="X94" s="391"/>
      <c r="Y94" s="391"/>
      <c r="Z94" s="391"/>
      <c r="AA94" s="391"/>
      <c r="AB94" s="391"/>
      <c r="AC94" s="391"/>
      <c r="AD94" s="391"/>
      <c r="AE94" s="391"/>
      <c r="AF94" s="391"/>
      <c r="AH94" s="383"/>
      <c r="AI94" s="383"/>
      <c r="AJ94" s="383"/>
      <c r="AK94" s="383"/>
      <c r="AL94" s="383"/>
      <c r="AM94" s="383"/>
      <c r="AN94" s="383"/>
      <c r="AO94" s="383"/>
      <c r="AP94" s="383"/>
      <c r="AQ94" s="383"/>
      <c r="AR94" s="383"/>
      <c r="AS94" s="383"/>
      <c r="AT94" s="383"/>
      <c r="AU94" s="383"/>
      <c r="AV94" s="383"/>
      <c r="AW94" s="383"/>
      <c r="AX94" s="383"/>
      <c r="AY94" s="383"/>
      <c r="AZ94" s="383"/>
      <c r="BA94" s="383"/>
      <c r="BB94" s="383"/>
      <c r="BC94" s="383"/>
      <c r="BD94" s="383"/>
      <c r="BE94" s="383"/>
      <c r="BF94" s="383"/>
      <c r="BG94" s="383"/>
      <c r="BI94" s="383"/>
      <c r="BJ94" s="383"/>
      <c r="BK94" s="383"/>
      <c r="BL94" s="383"/>
      <c r="BM94" s="383"/>
      <c r="BN94" s="383"/>
      <c r="BO94" s="383"/>
      <c r="BP94" s="383"/>
      <c r="BQ94" s="383"/>
      <c r="BR94" s="383"/>
      <c r="BS94" s="383"/>
      <c r="BT94" s="383"/>
      <c r="BU94" s="383"/>
      <c r="BV94" s="383"/>
      <c r="BW94" s="383"/>
      <c r="BX94" s="383"/>
      <c r="BY94" s="383"/>
      <c r="BZ94" s="383"/>
      <c r="CA94" s="383"/>
      <c r="CB94" s="383"/>
      <c r="CC94" s="383"/>
      <c r="CD94" s="383"/>
      <c r="CE94" s="383"/>
      <c r="CF94" s="383"/>
      <c r="CG94" s="383"/>
      <c r="CH94" s="383"/>
      <c r="CJ94" s="383"/>
      <c r="CK94" s="383"/>
      <c r="CL94" s="383"/>
      <c r="CM94" s="383"/>
      <c r="CN94" s="383"/>
      <c r="CO94" s="383"/>
      <c r="CP94" s="383"/>
      <c r="CQ94" s="383"/>
      <c r="CR94" s="383"/>
      <c r="CS94" s="383"/>
      <c r="CT94" s="383"/>
      <c r="CU94" s="383"/>
      <c r="CV94" s="383"/>
      <c r="CW94" s="383"/>
      <c r="CX94" s="383"/>
      <c r="CY94" s="383"/>
      <c r="CZ94" s="383"/>
      <c r="DA94" s="383"/>
      <c r="DB94" s="383"/>
      <c r="DC94" s="383"/>
      <c r="DD94" s="383"/>
      <c r="DE94" s="383"/>
      <c r="DF94" s="383"/>
      <c r="DG94" s="383"/>
      <c r="DH94" s="383"/>
      <c r="DI94" s="383"/>
    </row>
    <row r="95" spans="1:113" s="376" customFormat="1" ht="12.6" x14ac:dyDescent="0.25">
      <c r="B95" s="376" t="s">
        <v>37</v>
      </c>
      <c r="C95" s="379"/>
      <c r="D95" s="379"/>
      <c r="E95" s="379"/>
      <c r="F95" s="379"/>
      <c r="G95" s="390">
        <f t="shared" ref="G95:P98" si="27">SUM(AH95,BI95,CJ95)</f>
        <v>85.675306027506153</v>
      </c>
      <c r="H95" s="390">
        <f t="shared" si="27"/>
        <v>85.675306027506153</v>
      </c>
      <c r="I95" s="390">
        <f t="shared" si="27"/>
        <v>85.675306027506153</v>
      </c>
      <c r="J95" s="390">
        <f t="shared" si="27"/>
        <v>85.675306027506153</v>
      </c>
      <c r="K95" s="390">
        <f t="shared" si="27"/>
        <v>85.675306027506153</v>
      </c>
      <c r="L95" s="390">
        <f t="shared" si="27"/>
        <v>85.675306027506153</v>
      </c>
      <c r="M95" s="390">
        <f t="shared" si="27"/>
        <v>85.675306027506153</v>
      </c>
      <c r="N95" s="390">
        <f t="shared" si="27"/>
        <v>85.675306027506153</v>
      </c>
      <c r="O95" s="390">
        <f t="shared" si="27"/>
        <v>85.675306027506153</v>
      </c>
      <c r="P95" s="390">
        <f t="shared" si="27"/>
        <v>85.675306027506153</v>
      </c>
      <c r="Q95" s="390">
        <f t="shared" ref="Q95:Z98" si="28">SUM(AR95,BS95,CT95)</f>
        <v>85.675306027506153</v>
      </c>
      <c r="R95" s="390">
        <f t="shared" si="28"/>
        <v>85.675306027506153</v>
      </c>
      <c r="S95" s="390">
        <f t="shared" si="28"/>
        <v>85.675306027506153</v>
      </c>
      <c r="T95" s="390">
        <f t="shared" si="28"/>
        <v>85.675306027506153</v>
      </c>
      <c r="U95" s="390">
        <f t="shared" si="28"/>
        <v>85.675306027506153</v>
      </c>
      <c r="V95" s="390">
        <f t="shared" si="28"/>
        <v>85.675306027506153</v>
      </c>
      <c r="W95" s="390">
        <f t="shared" si="28"/>
        <v>85.675306027506153</v>
      </c>
      <c r="X95" s="390">
        <f t="shared" si="28"/>
        <v>85.675306027506153</v>
      </c>
      <c r="Y95" s="390">
        <f t="shared" si="28"/>
        <v>85.675306027506153</v>
      </c>
      <c r="Z95" s="390">
        <f t="shared" si="28"/>
        <v>85.675306027506153</v>
      </c>
      <c r="AA95" s="390">
        <f t="shared" ref="AA95:AF98" si="29">SUM(BB95,CC95,DD95)</f>
        <v>85.675306027506153</v>
      </c>
      <c r="AB95" s="390">
        <f t="shared" si="29"/>
        <v>85.675306027506153</v>
      </c>
      <c r="AC95" s="390">
        <f t="shared" si="29"/>
        <v>85.675306027506153</v>
      </c>
      <c r="AD95" s="390">
        <f t="shared" si="29"/>
        <v>85.675306027506153</v>
      </c>
      <c r="AE95" s="390">
        <f t="shared" si="29"/>
        <v>85.675306027506153</v>
      </c>
      <c r="AF95" s="390">
        <f t="shared" si="29"/>
        <v>85.675306027506153</v>
      </c>
      <c r="AH95" s="405">
        <f>IF(Tech_Specs!$E21="linear",TREND(Perform_Active!$E22:$F22,Perform_Active!$E$8:$F$8,AH$81),)</f>
        <v>0</v>
      </c>
      <c r="AI95" s="405">
        <f>IF(Tech_Specs!$E21="linear",TREND(Perform_Active!$E22:$F22,Perform_Active!$E$8:$F$8,AI$81),)</f>
        <v>0</v>
      </c>
      <c r="AJ95" s="405">
        <f>IF(Tech_Specs!$E21="linear",TREND(Perform_Active!$E22:$F22,Perform_Active!$E$8:$F$8,AJ$81),)</f>
        <v>0</v>
      </c>
      <c r="AK95" s="405">
        <f>IF(Tech_Specs!$E21="linear",TREND(Perform_Active!$E22:$F22,Perform_Active!$E$8:$F$8,AK$81),)</f>
        <v>0</v>
      </c>
      <c r="AL95" s="405">
        <f>IF(Tech_Specs!$E21="linear",TREND(Perform_Active!$E22:$F22,Perform_Active!$E$8:$F$8,AL$81),)</f>
        <v>0</v>
      </c>
      <c r="AM95" s="405">
        <f>IF(Tech_Specs!$E21="linear",TREND(Perform_Active!$E22:$F22,Perform_Active!$E$8:$F$8,AM$81),)</f>
        <v>0</v>
      </c>
      <c r="AN95" s="405">
        <f>IF(Tech_Specs!$E21="linear",TREND(Perform_Active!$E22:$F22,Perform_Active!$E$8:$F$8,AN$81),)</f>
        <v>0</v>
      </c>
      <c r="AO95" s="405">
        <f>IF(Tech_Specs!$E21="linear",TREND(Perform_Active!$E22:$F22,Perform_Active!$E$8:$F$8,AO$81),)</f>
        <v>0</v>
      </c>
      <c r="AP95" s="405">
        <f>IF(Tech_Specs!$E21="linear",TREND(Perform_Active!$E22:$F22,Perform_Active!$E$8:$F$8,AP$81),)</f>
        <v>0</v>
      </c>
      <c r="AQ95" s="405">
        <f>IF(Tech_Specs!$E21="linear",TREND(Perform_Active!$E22:$F22,Perform_Active!$E$8:$F$8,AQ$81),)</f>
        <v>0</v>
      </c>
      <c r="AR95" s="405">
        <f>IF(Tech_Specs!$E21="linear",TREND(Perform_Active!$E22:$F22,Perform_Active!$E$8:$F$8,AR$81),)</f>
        <v>0</v>
      </c>
      <c r="AS95" s="405">
        <f>IF(Tech_Specs!$E21="linear",TREND(Perform_Active!$E22:$F22,Perform_Active!$E$8:$F$8,AS$81),)</f>
        <v>0</v>
      </c>
      <c r="AT95" s="405">
        <f>IF(Tech_Specs!$E21="linear",TREND(Perform_Active!$E22:$F22,Perform_Active!$E$8:$F$8,AT$81),)</f>
        <v>0</v>
      </c>
      <c r="AU95" s="405">
        <f>IF(Tech_Specs!$E21="linear",TREND(Perform_Active!$E22:$F22,Perform_Active!$E$8:$F$8,AU$81),)</f>
        <v>0</v>
      </c>
      <c r="AV95" s="405">
        <f>IF(Tech_Specs!$E21="linear",TREND(Perform_Active!$E22:$F22,Perform_Active!$E$8:$F$8,AV$81),)</f>
        <v>0</v>
      </c>
      <c r="AW95" s="405">
        <f>IF(Tech_Specs!$E21="linear",TREND(Perform_Active!$E22:$F22,Perform_Active!$E$8:$F$8,AW$81),)</f>
        <v>0</v>
      </c>
      <c r="AX95" s="405">
        <f>IF(Tech_Specs!$E21="linear",TREND(Perform_Active!$E22:$F22,Perform_Active!$E$8:$F$8,AX$81),)</f>
        <v>0</v>
      </c>
      <c r="AY95" s="405">
        <f>IF(Tech_Specs!$E21="linear",TREND(Perform_Active!$E22:$F22,Perform_Active!$E$8:$F$8,AY$81),)</f>
        <v>0</v>
      </c>
      <c r="AZ95" s="405">
        <f>IF(Tech_Specs!$E21="linear",TREND(Perform_Active!$E22:$F22,Perform_Active!$E$8:$F$8,AZ$81),)</f>
        <v>0</v>
      </c>
      <c r="BA95" s="405">
        <f>IF(Tech_Specs!$E21="linear",TREND(Perform_Active!$E22:$F22,Perform_Active!$E$8:$F$8,BA$81),)</f>
        <v>0</v>
      </c>
      <c r="BB95" s="405">
        <f>IF(Tech_Specs!$E21="linear",TREND(Perform_Active!$E22:$F22,Perform_Active!$E$8:$F$8,BB$81),)</f>
        <v>0</v>
      </c>
      <c r="BC95" s="405">
        <f>IF(Tech_Specs!$E21="linear",TREND(Perform_Active!$E22:$F22,Perform_Active!$E$8:$F$8,BC$81),)</f>
        <v>0</v>
      </c>
      <c r="BD95" s="405">
        <f>IF(Tech_Specs!$E21="linear",TREND(Perform_Active!$E22:$F22,Perform_Active!$E$8:$F$8,BD$81),)</f>
        <v>0</v>
      </c>
      <c r="BE95" s="405">
        <f>IF(Tech_Specs!$E21="linear",TREND(Perform_Active!$E22:$F22,Perform_Active!$E$8:$F$8,BE$81),)</f>
        <v>0</v>
      </c>
      <c r="BF95" s="405">
        <f>IF(Tech_Specs!$E21="linear",TREND(Perform_Active!$E22:$F22,Perform_Active!$E$8:$F$8,BF$81),)</f>
        <v>0</v>
      </c>
      <c r="BG95" s="405">
        <f>IF(Tech_Specs!$E21="linear",TREND(Perform_Active!$E22:$F22,Perform_Active!$E$8:$F$8,BG$81),)</f>
        <v>0</v>
      </c>
      <c r="BI95" s="405">
        <f>IF(Tech_Specs!$E21="logistic",IF($B21="LED",IF(Tech_Specs!$K21="lamp",Perform_SSL!G$10,Perform_SSL!G$11)),)</f>
        <v>0</v>
      </c>
      <c r="BJ95" s="405">
        <f>IF(Tech_Specs!$E21="logistic",IF($B21="LED",IF(Tech_Specs!$K21="lamp",Perform_SSL!H$10,Perform_SSL!H$11)),)</f>
        <v>0</v>
      </c>
      <c r="BK95" s="405">
        <f>IF(Tech_Specs!$E21="logistic",IF($B21="LED",IF(Tech_Specs!$K21="lamp",Perform_SSL!I$10,Perform_SSL!I$11)),)</f>
        <v>0</v>
      </c>
      <c r="BL95" s="405">
        <f>IF(Tech_Specs!$E21="logistic",IF($B21="LED",IF(Tech_Specs!$K21="lamp",Perform_SSL!J$10,Perform_SSL!J$11)),)</f>
        <v>0</v>
      </c>
      <c r="BM95" s="405">
        <f>IF(Tech_Specs!$E21="logistic",IF($B21="LED",IF(Tech_Specs!$K21="lamp",Perform_SSL!K$10,Perform_SSL!K$11)),)</f>
        <v>0</v>
      </c>
      <c r="BN95" s="405">
        <f>IF(Tech_Specs!$E21="logistic",IF($B21="LED",IF(Tech_Specs!$K21="lamp",Perform_SSL!L$10,Perform_SSL!L$11)),)</f>
        <v>0</v>
      </c>
      <c r="BO95" s="405">
        <f>IF(Tech_Specs!$E21="logistic",IF($B21="LED",IF(Tech_Specs!$K21="lamp",Perform_SSL!M$10,Perform_SSL!M$11)),)</f>
        <v>0</v>
      </c>
      <c r="BP95" s="405">
        <f>IF(Tech_Specs!$E21="logistic",IF($B21="LED",IF(Tech_Specs!$K21="lamp",Perform_SSL!N$10,Perform_SSL!N$11)),)</f>
        <v>0</v>
      </c>
      <c r="BQ95" s="405">
        <f>IF(Tech_Specs!$E21="logistic",IF($B21="LED",IF(Tech_Specs!$K21="lamp",Perform_SSL!O$10,Perform_SSL!O$11)),)</f>
        <v>0</v>
      </c>
      <c r="BR95" s="405">
        <f>IF(Tech_Specs!$E21="logistic",IF($B21="LED",IF(Tech_Specs!$K21="lamp",Perform_SSL!P$10,Perform_SSL!P$11)),)</f>
        <v>0</v>
      </c>
      <c r="BS95" s="405">
        <f>IF(Tech_Specs!$E21="logistic",IF($B21="LED",IF(Tech_Specs!$K21="lamp",Perform_SSL!Q$10,Perform_SSL!Q$11)),)</f>
        <v>0</v>
      </c>
      <c r="BT95" s="405">
        <f>IF(Tech_Specs!$E21="logistic",IF($B21="LED",IF(Tech_Specs!$K21="lamp",Perform_SSL!R$10,Perform_SSL!R$11)),)</f>
        <v>0</v>
      </c>
      <c r="BU95" s="405">
        <f>IF(Tech_Specs!$E21="logistic",IF($B21="LED",IF(Tech_Specs!$K21="lamp",Perform_SSL!S$10,Perform_SSL!S$11)),)</f>
        <v>0</v>
      </c>
      <c r="BV95" s="405">
        <f>IF(Tech_Specs!$E21="logistic",IF($B21="LED",IF(Tech_Specs!$K21="lamp",Perform_SSL!T$10,Perform_SSL!T$11)),)</f>
        <v>0</v>
      </c>
      <c r="BW95" s="405">
        <f>IF(Tech_Specs!$E21="logistic",IF($B21="LED",IF(Tech_Specs!$K21="lamp",Perform_SSL!U$10,Perform_SSL!U$11)),)</f>
        <v>0</v>
      </c>
      <c r="BX95" s="405">
        <f>IF(Tech_Specs!$E21="logistic",IF($B21="LED",IF(Tech_Specs!$K21="lamp",Perform_SSL!V$10,Perform_SSL!V$11)),)</f>
        <v>0</v>
      </c>
      <c r="BY95" s="405">
        <f>IF(Tech_Specs!$E21="logistic",IF($B21="LED",IF(Tech_Specs!$K21="lamp",Perform_SSL!W$10,Perform_SSL!W$11)),)</f>
        <v>0</v>
      </c>
      <c r="BZ95" s="405">
        <f>IF(Tech_Specs!$E21="logistic",IF($B21="LED",IF(Tech_Specs!$K21="lamp",Perform_SSL!X$10,Perform_SSL!X$11)),)</f>
        <v>0</v>
      </c>
      <c r="CA95" s="405">
        <f>IF(Tech_Specs!$E21="logistic",IF($B21="LED",IF(Tech_Specs!$K21="lamp",Perform_SSL!Y$10,Perform_SSL!Y$11)),)</f>
        <v>0</v>
      </c>
      <c r="CB95" s="405">
        <f>IF(Tech_Specs!$E21="logistic",IF($B21="LED",IF(Tech_Specs!$K21="lamp",Perform_SSL!Z$10,Perform_SSL!Z$11)),)</f>
        <v>0</v>
      </c>
      <c r="CC95" s="405">
        <f>IF(Tech_Specs!$E21="logistic",IF($B21="LED",IF(Tech_Specs!$K21="lamp",Perform_SSL!AA$10,Perform_SSL!AA$11)),)</f>
        <v>0</v>
      </c>
      <c r="CD95" s="405">
        <f>IF(Tech_Specs!$E21="logistic",IF($B21="LED",IF(Tech_Specs!$K21="lamp",Perform_SSL!AB$10,Perform_SSL!AB$11)),)</f>
        <v>0</v>
      </c>
      <c r="CE95" s="405">
        <f>IF(Tech_Specs!$E21="logistic",IF($B21="LED",IF(Tech_Specs!$K21="lamp",Perform_SSL!AC$10,Perform_SSL!AC$11)),)</f>
        <v>0</v>
      </c>
      <c r="CF95" s="405">
        <f>IF(Tech_Specs!$E21="logistic",IF($B21="LED",IF(Tech_Specs!$K21="lamp",Perform_SSL!AD$10,Perform_SSL!AD$11)),)</f>
        <v>0</v>
      </c>
      <c r="CG95" s="405">
        <f>IF(Tech_Specs!$E21="logistic",IF($B21="LED",IF(Tech_Specs!$K21="lamp",Perform_SSL!AE$10,Perform_SSL!AE$11)),)</f>
        <v>0</v>
      </c>
      <c r="CH95" s="405">
        <f>IF(Tech_Specs!$E21="logistic",IF($B21="LED",IF(Tech_Specs!$K21="lamp",Perform_SSL!AF$10,Perform_SSL!AF$11)),)</f>
        <v>0</v>
      </c>
      <c r="CJ95" s="625">
        <f>IF(AND(Tech_Specs!$E21="step",Standards_Active!$E22="yes"),IF(CJ$81&lt;Standards_Active!$C22,TREND(Perform_Active!$E22:$F22,Perform_Active!$E$8:$F$8,CJ$81),IF(ISNUMBER(Standards_Active!$I22),IF(AND(CJ$81&gt;=Standards_Active!$C22,CJ$81&lt;Standards_Active!$D22),(Standards_Active!$I22-INDEX($CJ95:$DI95,1,MATCH((Standards_Active!$C22-1),$CJ$81:$DI$81,FALSE)))/(Standards_Active!$D22-(Standards_Active!$C22-1))+CI95,Standards_Active!$I22*((1+Standards_Active!$N22)^(CJ$81-Standards_Active!$D22))),TREND(Perform_Active!$E22:$F22,Perform_Active!$E$8:$F$8,CJ$81))),)</f>
        <v>85.675306027506153</v>
      </c>
      <c r="CK95" s="625">
        <f>IF(AND(Tech_Specs!$E21="step",Standards_Active!$E22="yes"),IF(CK$81&lt;Standards_Active!$C22,TREND(Perform_Active!$E22:$F22,Perform_Active!$E$8:$F$8,CK$81),IF(ISNUMBER(Standards_Active!$I22),IF(AND(CK$81&gt;=Standards_Active!$C22,CK$81&lt;Standards_Active!$D22),(Standards_Active!$I22-INDEX($CJ95:$DI95,1,MATCH((Standards_Active!$C22-1),$CJ$81:$DI$81,FALSE)))/(Standards_Active!$D22-(Standards_Active!$C22-1))+CJ95,Standards_Active!$I22*((1+Standards_Active!$N22)^(CK$81-Standards_Active!$D22))),TREND(Perform_Active!$E22:$F22,Perform_Active!$E$8:$F$8,CK$81))),)</f>
        <v>85.675306027506153</v>
      </c>
      <c r="CL95" s="625">
        <f>IF(AND(Tech_Specs!$E21="step",Standards_Active!$E22="yes"),IF(CL$81&lt;Standards_Active!$C22,TREND(Perform_Active!$E22:$F22,Perform_Active!$E$8:$F$8,CL$81),IF(ISNUMBER(Standards_Active!$I22),IF(AND(CL$81&gt;=Standards_Active!$C22,CL$81&lt;Standards_Active!$D22),(Standards_Active!$I22-INDEX($CJ95:$DI95,1,MATCH((Standards_Active!$C22-1),$CJ$81:$DI$81,FALSE)))/(Standards_Active!$D22-(Standards_Active!$C22-1))+CK95,Standards_Active!$I22*((1+Standards_Active!$N22)^(CL$81-Standards_Active!$D22))),TREND(Perform_Active!$E22:$F22,Perform_Active!$E$8:$F$8,CL$81))),)</f>
        <v>85.675306027506153</v>
      </c>
      <c r="CM95" s="625">
        <f>IF(AND(Tech_Specs!$E21="step",Standards_Active!$E22="yes"),IF(CM$81&lt;Standards_Active!$C22,TREND(Perform_Active!$E22:$F22,Perform_Active!$E$8:$F$8,CM$81),IF(ISNUMBER(Standards_Active!$I22),IF(AND(CM$81&gt;=Standards_Active!$C22,CM$81&lt;Standards_Active!$D22),(Standards_Active!$I22-INDEX($CJ95:$DI95,1,MATCH((Standards_Active!$C22-1),$CJ$81:$DI$81,FALSE)))/(Standards_Active!$D22-(Standards_Active!$C22-1))+CL95,Standards_Active!$I22*((1+Standards_Active!$N22)^(CM$81-Standards_Active!$D22))),TREND(Perform_Active!$E22:$F22,Perform_Active!$E$8:$F$8,CM$81))),)</f>
        <v>85.675306027506153</v>
      </c>
      <c r="CN95" s="625">
        <f>IF(AND(Tech_Specs!$E21="step",Standards_Active!$E22="yes"),IF(CN$81&lt;Standards_Active!$C22,TREND(Perform_Active!$E22:$F22,Perform_Active!$E$8:$F$8,CN$81),IF(ISNUMBER(Standards_Active!$I22),IF(AND(CN$81&gt;=Standards_Active!$C22,CN$81&lt;Standards_Active!$D22),(Standards_Active!$I22-INDEX($CJ95:$DI95,1,MATCH((Standards_Active!$C22-1),$CJ$81:$DI$81,FALSE)))/(Standards_Active!$D22-(Standards_Active!$C22-1))+CM95,Standards_Active!$I22*((1+Standards_Active!$N22)^(CN$81-Standards_Active!$D22))),TREND(Perform_Active!$E22:$F22,Perform_Active!$E$8:$F$8,CN$81))),)</f>
        <v>85.675306027506153</v>
      </c>
      <c r="CO95" s="625">
        <f>IF(AND(Tech_Specs!$E21="step",Standards_Active!$E22="yes"),IF(CO$81&lt;Standards_Active!$C22,TREND(Perform_Active!$E22:$F22,Perform_Active!$E$8:$F$8,CO$81),IF(ISNUMBER(Standards_Active!$I22),IF(AND(CO$81&gt;=Standards_Active!$C22,CO$81&lt;Standards_Active!$D22),(Standards_Active!$I22-INDEX($CJ95:$DI95,1,MATCH((Standards_Active!$C22-1),$CJ$81:$DI$81,FALSE)))/(Standards_Active!$D22-(Standards_Active!$C22-1))+CN95,Standards_Active!$I22*((1+Standards_Active!$N22)^(CO$81-Standards_Active!$D22))),TREND(Perform_Active!$E22:$F22,Perform_Active!$E$8:$F$8,CO$81))),)</f>
        <v>85.675306027506153</v>
      </c>
      <c r="CP95" s="625">
        <f>IF(AND(Tech_Specs!$E21="step",Standards_Active!$E22="yes"),IF(CP$81&lt;Standards_Active!$C22,TREND(Perform_Active!$E22:$F22,Perform_Active!$E$8:$F$8,CP$81),IF(ISNUMBER(Standards_Active!$I22),IF(AND(CP$81&gt;=Standards_Active!$C22,CP$81&lt;Standards_Active!$D22),(Standards_Active!$I22-INDEX($CJ95:$DI95,1,MATCH((Standards_Active!$C22-1),$CJ$81:$DI$81,FALSE)))/(Standards_Active!$D22-(Standards_Active!$C22-1))+CO95,Standards_Active!$I22*((1+Standards_Active!$N22)^(CP$81-Standards_Active!$D22))),TREND(Perform_Active!$E22:$F22,Perform_Active!$E$8:$F$8,CP$81))),)</f>
        <v>85.675306027506153</v>
      </c>
      <c r="CQ95" s="625">
        <f>IF(AND(Tech_Specs!$E21="step",Standards_Active!$E22="yes"),IF(CQ$81&lt;Standards_Active!$C22,TREND(Perform_Active!$E22:$F22,Perform_Active!$E$8:$F$8,CQ$81),IF(ISNUMBER(Standards_Active!$I22),IF(AND(CQ$81&gt;=Standards_Active!$C22,CQ$81&lt;Standards_Active!$D22),(Standards_Active!$I22-INDEX($CJ95:$DI95,1,MATCH((Standards_Active!$C22-1),$CJ$81:$DI$81,FALSE)))/(Standards_Active!$D22-(Standards_Active!$C22-1))+CP95,Standards_Active!$I22*((1+Standards_Active!$N22)^(CQ$81-Standards_Active!$D22))),TREND(Perform_Active!$E22:$F22,Perform_Active!$E$8:$F$8,CQ$81))),)</f>
        <v>85.675306027506153</v>
      </c>
      <c r="CR95" s="625">
        <f>IF(AND(Tech_Specs!$E21="step",Standards_Active!$E22="yes"),IF(CR$81&lt;Standards_Active!$C22,TREND(Perform_Active!$E22:$F22,Perform_Active!$E$8:$F$8,CR$81),IF(ISNUMBER(Standards_Active!$I22),IF(AND(CR$81&gt;=Standards_Active!$C22,CR$81&lt;Standards_Active!$D22),(Standards_Active!$I22-INDEX($CJ95:$DI95,1,MATCH((Standards_Active!$C22-1),$CJ$81:$DI$81,FALSE)))/(Standards_Active!$D22-(Standards_Active!$C22-1))+CQ95,Standards_Active!$I22*((1+Standards_Active!$N22)^(CR$81-Standards_Active!$D22))),TREND(Perform_Active!$E22:$F22,Perform_Active!$E$8:$F$8,CR$81))),)</f>
        <v>85.675306027506153</v>
      </c>
      <c r="CS95" s="625">
        <f>IF(AND(Tech_Specs!$E21="step",Standards_Active!$E22="yes"),IF(CS$81&lt;Standards_Active!$C22,TREND(Perform_Active!$E22:$F22,Perform_Active!$E$8:$F$8,CS$81),IF(ISNUMBER(Standards_Active!$I22),IF(AND(CS$81&gt;=Standards_Active!$C22,CS$81&lt;Standards_Active!$D22),(Standards_Active!$I22-INDEX($CJ95:$DI95,1,MATCH((Standards_Active!$C22-1),$CJ$81:$DI$81,FALSE)))/(Standards_Active!$D22-(Standards_Active!$C22-1))+CR95,Standards_Active!$I22*((1+Standards_Active!$N22)^(CS$81-Standards_Active!$D22))),TREND(Perform_Active!$E22:$F22,Perform_Active!$E$8:$F$8,CS$81))),)</f>
        <v>85.675306027506153</v>
      </c>
      <c r="CT95" s="625">
        <f>IF(AND(Tech_Specs!$E21="step",Standards_Active!$E22="yes"),IF(CT$81&lt;Standards_Active!$C22,TREND(Perform_Active!$E22:$F22,Perform_Active!$E$8:$F$8,CT$81),IF(ISNUMBER(Standards_Active!$I22),IF(AND(CT$81&gt;=Standards_Active!$C22,CT$81&lt;Standards_Active!$D22),(Standards_Active!$I22-INDEX($CJ95:$DI95,1,MATCH((Standards_Active!$C22-1),$CJ$81:$DI$81,FALSE)))/(Standards_Active!$D22-(Standards_Active!$C22-1))+CS95,Standards_Active!$I22*((1+Standards_Active!$N22)^(CT$81-Standards_Active!$D22))),TREND(Perform_Active!$E22:$F22,Perform_Active!$E$8:$F$8,CT$81))),)</f>
        <v>85.675306027506153</v>
      </c>
      <c r="CU95" s="625">
        <f>IF(AND(Tech_Specs!$E21="step",Standards_Active!$E22="yes"),IF(CU$81&lt;Standards_Active!$C22,TREND(Perform_Active!$E22:$F22,Perform_Active!$E$8:$F$8,CU$81),IF(ISNUMBER(Standards_Active!$I22),IF(AND(CU$81&gt;=Standards_Active!$C22,CU$81&lt;Standards_Active!$D22),(Standards_Active!$I22-INDEX($CJ95:$DI95,1,MATCH((Standards_Active!$C22-1),$CJ$81:$DI$81,FALSE)))/(Standards_Active!$D22-(Standards_Active!$C22-1))+CT95,Standards_Active!$I22*((1+Standards_Active!$N22)^(CU$81-Standards_Active!$D22))),TREND(Perform_Active!$E22:$F22,Perform_Active!$E$8:$F$8,CU$81))),)</f>
        <v>85.675306027506153</v>
      </c>
      <c r="CV95" s="625">
        <f>IF(AND(Tech_Specs!$E21="step",Standards_Active!$E22="yes"),IF(CV$81&lt;Standards_Active!$C22,TREND(Perform_Active!$E22:$F22,Perform_Active!$E$8:$F$8,CV$81),IF(ISNUMBER(Standards_Active!$I22),IF(AND(CV$81&gt;=Standards_Active!$C22,CV$81&lt;Standards_Active!$D22),(Standards_Active!$I22-INDEX($CJ95:$DI95,1,MATCH((Standards_Active!$C22-1),$CJ$81:$DI$81,FALSE)))/(Standards_Active!$D22-(Standards_Active!$C22-1))+CU95,Standards_Active!$I22*((1+Standards_Active!$N22)^(CV$81-Standards_Active!$D22))),TREND(Perform_Active!$E22:$F22,Perform_Active!$E$8:$F$8,CV$81))),)</f>
        <v>85.675306027506153</v>
      </c>
      <c r="CW95" s="625">
        <f>IF(AND(Tech_Specs!$E21="step",Standards_Active!$E22="yes"),IF(CW$81&lt;Standards_Active!$C22,TREND(Perform_Active!$E22:$F22,Perform_Active!$E$8:$F$8,CW$81),IF(ISNUMBER(Standards_Active!$I22),IF(AND(CW$81&gt;=Standards_Active!$C22,CW$81&lt;Standards_Active!$D22),(Standards_Active!$I22-INDEX($CJ95:$DI95,1,MATCH((Standards_Active!$C22-1),$CJ$81:$DI$81,FALSE)))/(Standards_Active!$D22-(Standards_Active!$C22-1))+CV95,Standards_Active!$I22*((1+Standards_Active!$N22)^(CW$81-Standards_Active!$D22))),TREND(Perform_Active!$E22:$F22,Perform_Active!$E$8:$F$8,CW$81))),)</f>
        <v>85.675306027506153</v>
      </c>
      <c r="CX95" s="625">
        <f>IF(AND(Tech_Specs!$E21="step",Standards_Active!$E22="yes"),IF(CX$81&lt;Standards_Active!$C22,TREND(Perform_Active!$E22:$F22,Perform_Active!$E$8:$F$8,CX$81),IF(ISNUMBER(Standards_Active!$I22),IF(AND(CX$81&gt;=Standards_Active!$C22,CX$81&lt;Standards_Active!$D22),(Standards_Active!$I22-INDEX($CJ95:$DI95,1,MATCH((Standards_Active!$C22-1),$CJ$81:$DI$81,FALSE)))/(Standards_Active!$D22-(Standards_Active!$C22-1))+CW95,Standards_Active!$I22*((1+Standards_Active!$N22)^(CX$81-Standards_Active!$D22))),TREND(Perform_Active!$E22:$F22,Perform_Active!$E$8:$F$8,CX$81))),)</f>
        <v>85.675306027506153</v>
      </c>
      <c r="CY95" s="625">
        <f>IF(AND(Tech_Specs!$E21="step",Standards_Active!$E22="yes"),IF(CY$81&lt;Standards_Active!$C22,TREND(Perform_Active!$E22:$F22,Perform_Active!$E$8:$F$8,CY$81),IF(ISNUMBER(Standards_Active!$I22),IF(AND(CY$81&gt;=Standards_Active!$C22,CY$81&lt;Standards_Active!$D22),(Standards_Active!$I22-INDEX($CJ95:$DI95,1,MATCH((Standards_Active!$C22-1),$CJ$81:$DI$81,FALSE)))/(Standards_Active!$D22-(Standards_Active!$C22-1))+CX95,Standards_Active!$I22*((1+Standards_Active!$N22)^(CY$81-Standards_Active!$D22))),TREND(Perform_Active!$E22:$F22,Perform_Active!$E$8:$F$8,CY$81))),)</f>
        <v>85.675306027506153</v>
      </c>
      <c r="CZ95" s="625">
        <f>IF(AND(Tech_Specs!$E21="step",Standards_Active!$E22="yes"),IF(CZ$81&lt;Standards_Active!$C22,TREND(Perform_Active!$E22:$F22,Perform_Active!$E$8:$F$8,CZ$81),IF(ISNUMBER(Standards_Active!$I22),IF(AND(CZ$81&gt;=Standards_Active!$C22,CZ$81&lt;Standards_Active!$D22),(Standards_Active!$I22-INDEX($CJ95:$DI95,1,MATCH((Standards_Active!$C22-1),$CJ$81:$DI$81,FALSE)))/(Standards_Active!$D22-(Standards_Active!$C22-1))+CY95,Standards_Active!$I22*((1+Standards_Active!$N22)^(CZ$81-Standards_Active!$D22))),TREND(Perform_Active!$E22:$F22,Perform_Active!$E$8:$F$8,CZ$81))),)</f>
        <v>85.675306027506153</v>
      </c>
      <c r="DA95" s="625">
        <f>IF(AND(Tech_Specs!$E21="step",Standards_Active!$E22="yes"),IF(DA$81&lt;Standards_Active!$C22,TREND(Perform_Active!$E22:$F22,Perform_Active!$E$8:$F$8,DA$81),IF(ISNUMBER(Standards_Active!$I22),IF(AND(DA$81&gt;=Standards_Active!$C22,DA$81&lt;Standards_Active!$D22),(Standards_Active!$I22-INDEX($CJ95:$DI95,1,MATCH((Standards_Active!$C22-1),$CJ$81:$DI$81,FALSE)))/(Standards_Active!$D22-(Standards_Active!$C22-1))+CZ95,Standards_Active!$I22*((1+Standards_Active!$N22)^(DA$81-Standards_Active!$D22))),TREND(Perform_Active!$E22:$F22,Perform_Active!$E$8:$F$8,DA$81))),)</f>
        <v>85.675306027506153</v>
      </c>
      <c r="DB95" s="625">
        <f>IF(AND(Tech_Specs!$E21="step",Standards_Active!$E22="yes"),IF(DB$81&lt;Standards_Active!$C22,TREND(Perform_Active!$E22:$F22,Perform_Active!$E$8:$F$8,DB$81),IF(ISNUMBER(Standards_Active!$I22),IF(AND(DB$81&gt;=Standards_Active!$C22,DB$81&lt;Standards_Active!$D22),(Standards_Active!$I22-INDEX($CJ95:$DI95,1,MATCH((Standards_Active!$C22-1),$CJ$81:$DI$81,FALSE)))/(Standards_Active!$D22-(Standards_Active!$C22-1))+DA95,Standards_Active!$I22*((1+Standards_Active!$N22)^(DB$81-Standards_Active!$D22))),TREND(Perform_Active!$E22:$F22,Perform_Active!$E$8:$F$8,DB$81))),)</f>
        <v>85.675306027506153</v>
      </c>
      <c r="DC95" s="625">
        <f>IF(AND(Tech_Specs!$E21="step",Standards_Active!$E22="yes"),IF(DC$81&lt;Standards_Active!$C22,TREND(Perform_Active!$E22:$F22,Perform_Active!$E$8:$F$8,DC$81),IF(ISNUMBER(Standards_Active!$I22),IF(AND(DC$81&gt;=Standards_Active!$C22,DC$81&lt;Standards_Active!$D22),(Standards_Active!$I22-INDEX($CJ95:$DI95,1,MATCH((Standards_Active!$C22-1),$CJ$81:$DI$81,FALSE)))/(Standards_Active!$D22-(Standards_Active!$C22-1))+DB95,Standards_Active!$I22*((1+Standards_Active!$N22)^(DC$81-Standards_Active!$D22))),TREND(Perform_Active!$E22:$F22,Perform_Active!$E$8:$F$8,DC$81))),)</f>
        <v>85.675306027506153</v>
      </c>
      <c r="DD95" s="625">
        <f>IF(AND(Tech_Specs!$E21="step",Standards_Active!$E22="yes"),IF(DD$81&lt;Standards_Active!$C22,TREND(Perform_Active!$E22:$F22,Perform_Active!$E$8:$F$8,DD$81),IF(ISNUMBER(Standards_Active!$I22),IF(AND(DD$81&gt;=Standards_Active!$C22,DD$81&lt;Standards_Active!$D22),(Standards_Active!$I22-INDEX($CJ95:$DI95,1,MATCH((Standards_Active!$C22-1),$CJ$81:$DI$81,FALSE)))/(Standards_Active!$D22-(Standards_Active!$C22-1))+DC95,Standards_Active!$I22*((1+Standards_Active!$N22)^(DD$81-Standards_Active!$D22))),TREND(Perform_Active!$E22:$F22,Perform_Active!$E$8:$F$8,DD$81))),)</f>
        <v>85.675306027506153</v>
      </c>
      <c r="DE95" s="625">
        <f>IF(AND(Tech_Specs!$E21="step",Standards_Active!$E22="yes"),IF(DE$81&lt;Standards_Active!$C22,TREND(Perform_Active!$E22:$F22,Perform_Active!$E$8:$F$8,DE$81),IF(ISNUMBER(Standards_Active!$I22),IF(AND(DE$81&gt;=Standards_Active!$C22,DE$81&lt;Standards_Active!$D22),(Standards_Active!$I22-INDEX($CJ95:$DI95,1,MATCH((Standards_Active!$C22-1),$CJ$81:$DI$81,FALSE)))/(Standards_Active!$D22-(Standards_Active!$C22-1))+DD95,Standards_Active!$I22*((1+Standards_Active!$N22)^(DE$81-Standards_Active!$D22))),TREND(Perform_Active!$E22:$F22,Perform_Active!$E$8:$F$8,DE$81))),)</f>
        <v>85.675306027506153</v>
      </c>
      <c r="DF95" s="625">
        <f>IF(AND(Tech_Specs!$E21="step",Standards_Active!$E22="yes"),IF(DF$81&lt;Standards_Active!$C22,TREND(Perform_Active!$E22:$F22,Perform_Active!$E$8:$F$8,DF$81),IF(ISNUMBER(Standards_Active!$I22),IF(AND(DF$81&gt;=Standards_Active!$C22,DF$81&lt;Standards_Active!$D22),(Standards_Active!$I22-INDEX($CJ95:$DI95,1,MATCH((Standards_Active!$C22-1),$CJ$81:$DI$81,FALSE)))/(Standards_Active!$D22-(Standards_Active!$C22-1))+DE95,Standards_Active!$I22*((1+Standards_Active!$N22)^(DF$81-Standards_Active!$D22))),TREND(Perform_Active!$E22:$F22,Perform_Active!$E$8:$F$8,DF$81))),)</f>
        <v>85.675306027506153</v>
      </c>
      <c r="DG95" s="625">
        <f>IF(AND(Tech_Specs!$E21="step",Standards_Active!$E22="yes"),IF(DG$81&lt;Standards_Active!$C22,TREND(Perform_Active!$E22:$F22,Perform_Active!$E$8:$F$8,DG$81),IF(ISNUMBER(Standards_Active!$I22),IF(AND(DG$81&gt;=Standards_Active!$C22,DG$81&lt;Standards_Active!$D22),(Standards_Active!$I22-INDEX($CJ95:$DI95,1,MATCH((Standards_Active!$C22-1),$CJ$81:$DI$81,FALSE)))/(Standards_Active!$D22-(Standards_Active!$C22-1))+DF95,Standards_Active!$I22*((1+Standards_Active!$N22)^(DG$81-Standards_Active!$D22))),TREND(Perform_Active!$E22:$F22,Perform_Active!$E$8:$F$8,DG$81))),)</f>
        <v>85.675306027506153</v>
      </c>
      <c r="DH95" s="625">
        <f>IF(AND(Tech_Specs!$E21="step",Standards_Active!$E22="yes"),IF(DH$81&lt;Standards_Active!$C22,TREND(Perform_Active!$E22:$F22,Perform_Active!$E$8:$F$8,DH$81),IF(ISNUMBER(Standards_Active!$I22),IF(AND(DH$81&gt;=Standards_Active!$C22,DH$81&lt;Standards_Active!$D22),(Standards_Active!$I22-INDEX($CJ95:$DI95,1,MATCH((Standards_Active!$C22-1),$CJ$81:$DI$81,FALSE)))/(Standards_Active!$D22-(Standards_Active!$C22-1))+DG95,Standards_Active!$I22*((1+Standards_Active!$N22)^(DH$81-Standards_Active!$D22))),TREND(Perform_Active!$E22:$F22,Perform_Active!$E$8:$F$8,DH$81))),)</f>
        <v>85.675306027506153</v>
      </c>
      <c r="DI95" s="625">
        <f>IF(AND(Tech_Specs!$E21="step",Standards_Active!$E22="yes"),IF(DI$81&lt;Standards_Active!$C22,TREND(Perform_Active!$E22:$F22,Perform_Active!$E$8:$F$8,DI$81),IF(ISNUMBER(Standards_Active!$I22),IF(AND(DI$81&gt;=Standards_Active!$C22,DI$81&lt;Standards_Active!$D22),(Standards_Active!$I22-INDEX($CJ95:$DI95,1,MATCH((Standards_Active!$C22-1),$CJ$81:$DI$81,FALSE)))/(Standards_Active!$D22-(Standards_Active!$C22-1))+DH95,Standards_Active!$I22*((1+Standards_Active!$N22)^(DI$81-Standards_Active!$D22))),TREND(Perform_Active!$E22:$F22,Perform_Active!$E$8:$F$8,DI$81))),)</f>
        <v>85.675306027506153</v>
      </c>
    </row>
    <row r="96" spans="1:113" s="376" customFormat="1" ht="12.6" x14ac:dyDescent="0.25">
      <c r="B96" s="376" t="s">
        <v>39</v>
      </c>
      <c r="D96" s="550"/>
      <c r="E96" s="550"/>
      <c r="F96" s="550"/>
      <c r="G96" s="390">
        <f t="shared" si="27"/>
        <v>83.142201834862362</v>
      </c>
      <c r="H96" s="390">
        <f t="shared" si="27"/>
        <v>83.55791284403665</v>
      </c>
      <c r="I96" s="390">
        <f t="shared" si="27"/>
        <v>83.973623853210938</v>
      </c>
      <c r="J96" s="390">
        <f t="shared" si="27"/>
        <v>84.38933486238534</v>
      </c>
      <c r="K96" s="390">
        <f t="shared" si="27"/>
        <v>85.926223241590222</v>
      </c>
      <c r="L96" s="390">
        <f t="shared" si="27"/>
        <v>87.463111620795104</v>
      </c>
      <c r="M96" s="390">
        <f t="shared" si="27"/>
        <v>89</v>
      </c>
      <c r="N96" s="390">
        <f t="shared" si="27"/>
        <v>89.444999999999993</v>
      </c>
      <c r="O96" s="390">
        <f t="shared" si="27"/>
        <v>89.892224999999982</v>
      </c>
      <c r="P96" s="390">
        <f t="shared" si="27"/>
        <v>90.341686124999967</v>
      </c>
      <c r="Q96" s="390">
        <f t="shared" si="28"/>
        <v>90.793394555624943</v>
      </c>
      <c r="R96" s="390">
        <f t="shared" si="28"/>
        <v>91.247361528403047</v>
      </c>
      <c r="S96" s="390">
        <f t="shared" si="28"/>
        <v>91.703598336045047</v>
      </c>
      <c r="T96" s="390">
        <f t="shared" si="28"/>
        <v>92.162116327725272</v>
      </c>
      <c r="U96" s="390">
        <f t="shared" si="28"/>
        <v>92.622926909363883</v>
      </c>
      <c r="V96" s="390">
        <f t="shared" si="28"/>
        <v>93.086041543910696</v>
      </c>
      <c r="W96" s="390">
        <f t="shared" si="28"/>
        <v>93.551471751630231</v>
      </c>
      <c r="X96" s="390">
        <f t="shared" si="28"/>
        <v>94.01922911038838</v>
      </c>
      <c r="Y96" s="390">
        <f t="shared" si="28"/>
        <v>94.489325255940287</v>
      </c>
      <c r="Z96" s="390">
        <f t="shared" si="28"/>
        <v>94.961771882219978</v>
      </c>
      <c r="AA96" s="390">
        <f t="shared" si="29"/>
        <v>95.436580741631062</v>
      </c>
      <c r="AB96" s="390">
        <f t="shared" si="29"/>
        <v>95.913763645339202</v>
      </c>
      <c r="AC96" s="390">
        <f t="shared" si="29"/>
        <v>96.393332463565883</v>
      </c>
      <c r="AD96" s="390">
        <f t="shared" si="29"/>
        <v>96.875299125883714</v>
      </c>
      <c r="AE96" s="390">
        <f t="shared" si="29"/>
        <v>97.359675621513091</v>
      </c>
      <c r="AF96" s="390">
        <f t="shared" si="29"/>
        <v>97.846473999620656</v>
      </c>
      <c r="AH96" s="405">
        <f>IF(Tech_Specs!$E22="linear",TREND(Perform_Active!$E23:$F23,Perform_Active!$E$8:$F$8,AH$81),)</f>
        <v>0</v>
      </c>
      <c r="AI96" s="405">
        <f>IF(Tech_Specs!$E22="linear",TREND(Perform_Active!$E23:$F23,Perform_Active!$E$8:$F$8,AI$81),)</f>
        <v>0</v>
      </c>
      <c r="AJ96" s="405">
        <f>IF(Tech_Specs!$E22="linear",TREND(Perform_Active!$E23:$F23,Perform_Active!$E$8:$F$8,AJ$81),)</f>
        <v>0</v>
      </c>
      <c r="AK96" s="405">
        <f>IF(Tech_Specs!$E22="linear",TREND(Perform_Active!$E23:$F23,Perform_Active!$E$8:$F$8,AK$81),)</f>
        <v>0</v>
      </c>
      <c r="AL96" s="405">
        <f>IF(Tech_Specs!$E22="linear",TREND(Perform_Active!$E23:$F23,Perform_Active!$E$8:$F$8,AL$81),)</f>
        <v>0</v>
      </c>
      <c r="AM96" s="405">
        <f>IF(Tech_Specs!$E22="linear",TREND(Perform_Active!$E23:$F23,Perform_Active!$E$8:$F$8,AM$81),)</f>
        <v>0</v>
      </c>
      <c r="AN96" s="405">
        <f>IF(Tech_Specs!$E22="linear",TREND(Perform_Active!$E23:$F23,Perform_Active!$E$8:$F$8,AN$81),)</f>
        <v>0</v>
      </c>
      <c r="AO96" s="405">
        <f>IF(Tech_Specs!$E22="linear",TREND(Perform_Active!$E23:$F23,Perform_Active!$E$8:$F$8,AO$81),)</f>
        <v>0</v>
      </c>
      <c r="AP96" s="405">
        <f>IF(Tech_Specs!$E22="linear",TREND(Perform_Active!$E23:$F23,Perform_Active!$E$8:$F$8,AP$81),)</f>
        <v>0</v>
      </c>
      <c r="AQ96" s="405">
        <f>IF(Tech_Specs!$E22="linear",TREND(Perform_Active!$E23:$F23,Perform_Active!$E$8:$F$8,AQ$81),)</f>
        <v>0</v>
      </c>
      <c r="AR96" s="405">
        <f>IF(Tech_Specs!$E22="linear",TREND(Perform_Active!$E23:$F23,Perform_Active!$E$8:$F$8,AR$81),)</f>
        <v>0</v>
      </c>
      <c r="AS96" s="405">
        <f>IF(Tech_Specs!$E22="linear",TREND(Perform_Active!$E23:$F23,Perform_Active!$E$8:$F$8,AS$81),)</f>
        <v>0</v>
      </c>
      <c r="AT96" s="405">
        <f>IF(Tech_Specs!$E22="linear",TREND(Perform_Active!$E23:$F23,Perform_Active!$E$8:$F$8,AT$81),)</f>
        <v>0</v>
      </c>
      <c r="AU96" s="405">
        <f>IF(Tech_Specs!$E22="linear",TREND(Perform_Active!$E23:$F23,Perform_Active!$E$8:$F$8,AU$81),)</f>
        <v>0</v>
      </c>
      <c r="AV96" s="405">
        <f>IF(Tech_Specs!$E22="linear",TREND(Perform_Active!$E23:$F23,Perform_Active!$E$8:$F$8,AV$81),)</f>
        <v>0</v>
      </c>
      <c r="AW96" s="405">
        <f>IF(Tech_Specs!$E22="linear",TREND(Perform_Active!$E23:$F23,Perform_Active!$E$8:$F$8,AW$81),)</f>
        <v>0</v>
      </c>
      <c r="AX96" s="405">
        <f>IF(Tech_Specs!$E22="linear",TREND(Perform_Active!$E23:$F23,Perform_Active!$E$8:$F$8,AX$81),)</f>
        <v>0</v>
      </c>
      <c r="AY96" s="405">
        <f>IF(Tech_Specs!$E22="linear",TREND(Perform_Active!$E23:$F23,Perform_Active!$E$8:$F$8,AY$81),)</f>
        <v>0</v>
      </c>
      <c r="AZ96" s="405">
        <f>IF(Tech_Specs!$E22="linear",TREND(Perform_Active!$E23:$F23,Perform_Active!$E$8:$F$8,AZ$81),)</f>
        <v>0</v>
      </c>
      <c r="BA96" s="405">
        <f>IF(Tech_Specs!$E22="linear",TREND(Perform_Active!$E23:$F23,Perform_Active!$E$8:$F$8,BA$81),)</f>
        <v>0</v>
      </c>
      <c r="BB96" s="405">
        <f>IF(Tech_Specs!$E22="linear",TREND(Perform_Active!$E23:$F23,Perform_Active!$E$8:$F$8,BB$81),)</f>
        <v>0</v>
      </c>
      <c r="BC96" s="405">
        <f>IF(Tech_Specs!$E22="linear",TREND(Perform_Active!$E23:$F23,Perform_Active!$E$8:$F$8,BC$81),)</f>
        <v>0</v>
      </c>
      <c r="BD96" s="405">
        <f>IF(Tech_Specs!$E22="linear",TREND(Perform_Active!$E23:$F23,Perform_Active!$E$8:$F$8,BD$81),)</f>
        <v>0</v>
      </c>
      <c r="BE96" s="405">
        <f>IF(Tech_Specs!$E22="linear",TREND(Perform_Active!$E23:$F23,Perform_Active!$E$8:$F$8,BE$81),)</f>
        <v>0</v>
      </c>
      <c r="BF96" s="405">
        <f>IF(Tech_Specs!$E22="linear",TREND(Perform_Active!$E23:$F23,Perform_Active!$E$8:$F$8,BF$81),)</f>
        <v>0</v>
      </c>
      <c r="BG96" s="405">
        <f>IF(Tech_Specs!$E22="linear",TREND(Perform_Active!$E23:$F23,Perform_Active!$E$8:$F$8,BG$81),)</f>
        <v>0</v>
      </c>
      <c r="BI96" s="405">
        <f>IF(Tech_Specs!$E22="logistic",IF($B22="LED",IF(Tech_Specs!$K22="lamp",Perform_SSL!G$10,Perform_SSL!G$11)),)</f>
        <v>0</v>
      </c>
      <c r="BJ96" s="405">
        <f>IF(Tech_Specs!$E22="logistic",IF($B22="LED",IF(Tech_Specs!$K22="lamp",Perform_SSL!H$10,Perform_SSL!H$11)),)</f>
        <v>0</v>
      </c>
      <c r="BK96" s="405">
        <f>IF(Tech_Specs!$E22="logistic",IF($B22="LED",IF(Tech_Specs!$K22="lamp",Perform_SSL!I$10,Perform_SSL!I$11)),)</f>
        <v>0</v>
      </c>
      <c r="BL96" s="405">
        <f>IF(Tech_Specs!$E22="logistic",IF($B22="LED",IF(Tech_Specs!$K22="lamp",Perform_SSL!J$10,Perform_SSL!J$11)),)</f>
        <v>0</v>
      </c>
      <c r="BM96" s="405">
        <f>IF(Tech_Specs!$E22="logistic",IF($B22="LED",IF(Tech_Specs!$K22="lamp",Perform_SSL!K$10,Perform_SSL!K$11)),)</f>
        <v>0</v>
      </c>
      <c r="BN96" s="405">
        <f>IF(Tech_Specs!$E22="logistic",IF($B22="LED",IF(Tech_Specs!$K22="lamp",Perform_SSL!L$10,Perform_SSL!L$11)),)</f>
        <v>0</v>
      </c>
      <c r="BO96" s="405">
        <f>IF(Tech_Specs!$E22="logistic",IF($B22="LED",IF(Tech_Specs!$K22="lamp",Perform_SSL!M$10,Perform_SSL!M$11)),)</f>
        <v>0</v>
      </c>
      <c r="BP96" s="405">
        <f>IF(Tech_Specs!$E22="logistic",IF($B22="LED",IF(Tech_Specs!$K22="lamp",Perform_SSL!N$10,Perform_SSL!N$11)),)</f>
        <v>0</v>
      </c>
      <c r="BQ96" s="405">
        <f>IF(Tech_Specs!$E22="logistic",IF($B22="LED",IF(Tech_Specs!$K22="lamp",Perform_SSL!O$10,Perform_SSL!O$11)),)</f>
        <v>0</v>
      </c>
      <c r="BR96" s="405">
        <f>IF(Tech_Specs!$E22="logistic",IF($B22="LED",IF(Tech_Specs!$K22="lamp",Perform_SSL!P$10,Perform_SSL!P$11)),)</f>
        <v>0</v>
      </c>
      <c r="BS96" s="405">
        <f>IF(Tech_Specs!$E22="logistic",IF($B22="LED",IF(Tech_Specs!$K22="lamp",Perform_SSL!Q$10,Perform_SSL!Q$11)),)</f>
        <v>0</v>
      </c>
      <c r="BT96" s="405">
        <f>IF(Tech_Specs!$E22="logistic",IF($B22="LED",IF(Tech_Specs!$K22="lamp",Perform_SSL!R$10,Perform_SSL!R$11)),)</f>
        <v>0</v>
      </c>
      <c r="BU96" s="405">
        <f>IF(Tech_Specs!$E22="logistic",IF($B22="LED",IF(Tech_Specs!$K22="lamp",Perform_SSL!S$10,Perform_SSL!S$11)),)</f>
        <v>0</v>
      </c>
      <c r="BV96" s="405">
        <f>IF(Tech_Specs!$E22="logistic",IF($B22="LED",IF(Tech_Specs!$K22="lamp",Perform_SSL!T$10,Perform_SSL!T$11)),)</f>
        <v>0</v>
      </c>
      <c r="BW96" s="405">
        <f>IF(Tech_Specs!$E22="logistic",IF($B22="LED",IF(Tech_Specs!$K22="lamp",Perform_SSL!U$10,Perform_SSL!U$11)),)</f>
        <v>0</v>
      </c>
      <c r="BX96" s="405">
        <f>IF(Tech_Specs!$E22="logistic",IF($B22="LED",IF(Tech_Specs!$K22="lamp",Perform_SSL!V$10,Perform_SSL!V$11)),)</f>
        <v>0</v>
      </c>
      <c r="BY96" s="405">
        <f>IF(Tech_Specs!$E22="logistic",IF($B22="LED",IF(Tech_Specs!$K22="lamp",Perform_SSL!W$10,Perform_SSL!W$11)),)</f>
        <v>0</v>
      </c>
      <c r="BZ96" s="405">
        <f>IF(Tech_Specs!$E22="logistic",IF($B22="LED",IF(Tech_Specs!$K22="lamp",Perform_SSL!X$10,Perform_SSL!X$11)),)</f>
        <v>0</v>
      </c>
      <c r="CA96" s="405">
        <f>IF(Tech_Specs!$E22="logistic",IF($B22="LED",IF(Tech_Specs!$K22="lamp",Perform_SSL!Y$10,Perform_SSL!Y$11)),)</f>
        <v>0</v>
      </c>
      <c r="CB96" s="405">
        <f>IF(Tech_Specs!$E22="logistic",IF($B22="LED",IF(Tech_Specs!$K22="lamp",Perform_SSL!Z$10,Perform_SSL!Z$11)),)</f>
        <v>0</v>
      </c>
      <c r="CC96" s="405">
        <f>IF(Tech_Specs!$E22="logistic",IF($B22="LED",IF(Tech_Specs!$K22="lamp",Perform_SSL!AA$10,Perform_SSL!AA$11)),)</f>
        <v>0</v>
      </c>
      <c r="CD96" s="405">
        <f>IF(Tech_Specs!$E22="logistic",IF($B22="LED",IF(Tech_Specs!$K22="lamp",Perform_SSL!AB$10,Perform_SSL!AB$11)),)</f>
        <v>0</v>
      </c>
      <c r="CE96" s="405">
        <f>IF(Tech_Specs!$E22="logistic",IF($B22="LED",IF(Tech_Specs!$K22="lamp",Perform_SSL!AC$10,Perform_SSL!AC$11)),)</f>
        <v>0</v>
      </c>
      <c r="CF96" s="405">
        <f>IF(Tech_Specs!$E22="logistic",IF($B22="LED",IF(Tech_Specs!$K22="lamp",Perform_SSL!AD$10,Perform_SSL!AD$11)),)</f>
        <v>0</v>
      </c>
      <c r="CG96" s="405">
        <f>IF(Tech_Specs!$E22="logistic",IF($B22="LED",IF(Tech_Specs!$K22="lamp",Perform_SSL!AE$10,Perform_SSL!AE$11)),)</f>
        <v>0</v>
      </c>
      <c r="CH96" s="405">
        <f>IF(Tech_Specs!$E22="logistic",IF($B22="LED",IF(Tech_Specs!$K22="lamp",Perform_SSL!AF$10,Perform_SSL!AF$11)),)</f>
        <v>0</v>
      </c>
      <c r="CJ96" s="625">
        <f>IF(AND(Tech_Specs!$E22="step",Standards_Active!$E23="yes"),IF(CJ$81&lt;Standards_Active!$C23,TREND(Perform_Active!$E23:$F23,Perform_Active!$E$8:$F$8,CJ$81),IF(ISNUMBER(Standards_Active!$I23),IF(AND(CJ$81&gt;=Standards_Active!$C23,CJ$81&lt;Standards_Active!$D23),(Standards_Active!$I23-INDEX($CJ96:$DI96,1,MATCH((Standards_Active!$C23-1),$CJ$81:$DI$81,FALSE)))/(Standards_Active!$D23-(Standards_Active!$C23-1))+CI96,Standards_Active!$I23*((1+Standards_Active!$N23)^(CJ$81-Standards_Active!$D23))),TREND(Perform_Active!$E23:$F23,Perform_Active!$E$8:$F$8,CJ$81))),)</f>
        <v>83.142201834862362</v>
      </c>
      <c r="CK96" s="625">
        <f>IF(AND(Tech_Specs!$E22="step",Standards_Active!$E23="yes"),IF(CK$81&lt;Standards_Active!$C23,TREND(Perform_Active!$E23:$F23,Perform_Active!$E$8:$F$8,CK$81),IF(ISNUMBER(Standards_Active!$I23),IF(AND(CK$81&gt;=Standards_Active!$C23,CK$81&lt;Standards_Active!$D23),(Standards_Active!$I23-INDEX($CJ96:$DI96,1,MATCH((Standards_Active!$C23-1),$CJ$81:$DI$81,FALSE)))/(Standards_Active!$D23-(Standards_Active!$C23-1))+CJ96,Standards_Active!$I23*((1+Standards_Active!$N23)^(CK$81-Standards_Active!$D23))),TREND(Perform_Active!$E23:$F23,Perform_Active!$E$8:$F$8,CK$81))),)</f>
        <v>83.55791284403665</v>
      </c>
      <c r="CL96" s="625">
        <f>IF(AND(Tech_Specs!$E22="step",Standards_Active!$E23="yes"),IF(CL$81&lt;Standards_Active!$C23,TREND(Perform_Active!$E23:$F23,Perform_Active!$E$8:$F$8,CL$81),IF(ISNUMBER(Standards_Active!$I23),IF(AND(CL$81&gt;=Standards_Active!$C23,CL$81&lt;Standards_Active!$D23),(Standards_Active!$I23-INDEX($CJ96:$DI96,1,MATCH((Standards_Active!$C23-1),$CJ$81:$DI$81,FALSE)))/(Standards_Active!$D23-(Standards_Active!$C23-1))+CK96,Standards_Active!$I23*((1+Standards_Active!$N23)^(CL$81-Standards_Active!$D23))),TREND(Perform_Active!$E23:$F23,Perform_Active!$E$8:$F$8,CL$81))),)</f>
        <v>83.973623853210938</v>
      </c>
      <c r="CM96" s="625">
        <f>IF(AND(Tech_Specs!$E22="step",Standards_Active!$E23="yes"),IF(CM$81&lt;Standards_Active!$C23,TREND(Perform_Active!$E23:$F23,Perform_Active!$E$8:$F$8,CM$81),IF(ISNUMBER(Standards_Active!$I23),IF(AND(CM$81&gt;=Standards_Active!$C23,CM$81&lt;Standards_Active!$D23),(Standards_Active!$I23-INDEX($CJ96:$DI96,1,MATCH((Standards_Active!$C23-1),$CJ$81:$DI$81,FALSE)))/(Standards_Active!$D23-(Standards_Active!$C23-1))+CL96,Standards_Active!$I23*((1+Standards_Active!$N23)^(CM$81-Standards_Active!$D23))),TREND(Perform_Active!$E23:$F23,Perform_Active!$E$8:$F$8,CM$81))),)</f>
        <v>84.38933486238534</v>
      </c>
      <c r="CN96" s="625">
        <f>IF(AND(Tech_Specs!$E22="step",Standards_Active!$E23="yes"),IF(CN$81&lt;Standards_Active!$C23,TREND(Perform_Active!$E23:$F23,Perform_Active!$E$8:$F$8,CN$81),IF(ISNUMBER(Standards_Active!$I23),IF(AND(CN$81&gt;=Standards_Active!$C23,CN$81&lt;Standards_Active!$D23),(Standards_Active!$I23-INDEX($CJ96:$DI96,1,MATCH((Standards_Active!$C23-1),$CJ$81:$DI$81,FALSE)))/(Standards_Active!$D23-(Standards_Active!$C23-1))+CM96,Standards_Active!$I23*((1+Standards_Active!$N23)^(CN$81-Standards_Active!$D23))),TREND(Perform_Active!$E23:$F23,Perform_Active!$E$8:$F$8,CN$81))),)</f>
        <v>85.926223241590222</v>
      </c>
      <c r="CO96" s="625">
        <f>IF(AND(Tech_Specs!$E22="step",Standards_Active!$E23="yes"),IF(CO$81&lt;Standards_Active!$C23,TREND(Perform_Active!$E23:$F23,Perform_Active!$E$8:$F$8,CO$81),IF(ISNUMBER(Standards_Active!$I23),IF(AND(CO$81&gt;=Standards_Active!$C23,CO$81&lt;Standards_Active!$D23),(Standards_Active!$I23-INDEX($CJ96:$DI96,1,MATCH((Standards_Active!$C23-1),$CJ$81:$DI$81,FALSE)))/(Standards_Active!$D23-(Standards_Active!$C23-1))+CN96,Standards_Active!$I23*((1+Standards_Active!$N23)^(CO$81-Standards_Active!$D23))),TREND(Perform_Active!$E23:$F23,Perform_Active!$E$8:$F$8,CO$81))),)</f>
        <v>87.463111620795104</v>
      </c>
      <c r="CP96" s="625">
        <f>IF(AND(Tech_Specs!$E22="step",Standards_Active!$E23="yes"),IF(CP$81&lt;Standards_Active!$C23,TREND(Perform_Active!$E23:$F23,Perform_Active!$E$8:$F$8,CP$81),IF(ISNUMBER(Standards_Active!$I23),IF(AND(CP$81&gt;=Standards_Active!$C23,CP$81&lt;Standards_Active!$D23),(Standards_Active!$I23-INDEX($CJ96:$DI96,1,MATCH((Standards_Active!$C23-1),$CJ$81:$DI$81,FALSE)))/(Standards_Active!$D23-(Standards_Active!$C23-1))+CO96,Standards_Active!$I23*((1+Standards_Active!$N23)^(CP$81-Standards_Active!$D23))),TREND(Perform_Active!$E23:$F23,Perform_Active!$E$8:$F$8,CP$81))),)</f>
        <v>89</v>
      </c>
      <c r="CQ96" s="625">
        <f>IF(AND(Tech_Specs!$E22="step",Standards_Active!$E23="yes"),IF(CQ$81&lt;Standards_Active!$C23,TREND(Perform_Active!$E23:$F23,Perform_Active!$E$8:$F$8,CQ$81),IF(ISNUMBER(Standards_Active!$I23),IF(AND(CQ$81&gt;=Standards_Active!$C23,CQ$81&lt;Standards_Active!$D23),(Standards_Active!$I23-INDEX($CJ96:$DI96,1,MATCH((Standards_Active!$C23-1),$CJ$81:$DI$81,FALSE)))/(Standards_Active!$D23-(Standards_Active!$C23-1))+CP96,Standards_Active!$I23*((1+Standards_Active!$N23)^(CQ$81-Standards_Active!$D23))),TREND(Perform_Active!$E23:$F23,Perform_Active!$E$8:$F$8,CQ$81))),)</f>
        <v>89.444999999999993</v>
      </c>
      <c r="CR96" s="625">
        <f>IF(AND(Tech_Specs!$E22="step",Standards_Active!$E23="yes"),IF(CR$81&lt;Standards_Active!$C23,TREND(Perform_Active!$E23:$F23,Perform_Active!$E$8:$F$8,CR$81),IF(ISNUMBER(Standards_Active!$I23),IF(AND(CR$81&gt;=Standards_Active!$C23,CR$81&lt;Standards_Active!$D23),(Standards_Active!$I23-INDEX($CJ96:$DI96,1,MATCH((Standards_Active!$C23-1),$CJ$81:$DI$81,FALSE)))/(Standards_Active!$D23-(Standards_Active!$C23-1))+CQ96,Standards_Active!$I23*((1+Standards_Active!$N23)^(CR$81-Standards_Active!$D23))),TREND(Perform_Active!$E23:$F23,Perform_Active!$E$8:$F$8,CR$81))),)</f>
        <v>89.892224999999982</v>
      </c>
      <c r="CS96" s="625">
        <f>IF(AND(Tech_Specs!$E22="step",Standards_Active!$E23="yes"),IF(CS$81&lt;Standards_Active!$C23,TREND(Perform_Active!$E23:$F23,Perform_Active!$E$8:$F$8,CS$81),IF(ISNUMBER(Standards_Active!$I23),IF(AND(CS$81&gt;=Standards_Active!$C23,CS$81&lt;Standards_Active!$D23),(Standards_Active!$I23-INDEX($CJ96:$DI96,1,MATCH((Standards_Active!$C23-1),$CJ$81:$DI$81,FALSE)))/(Standards_Active!$D23-(Standards_Active!$C23-1))+CR96,Standards_Active!$I23*((1+Standards_Active!$N23)^(CS$81-Standards_Active!$D23))),TREND(Perform_Active!$E23:$F23,Perform_Active!$E$8:$F$8,CS$81))),)</f>
        <v>90.341686124999967</v>
      </c>
      <c r="CT96" s="625">
        <f>IF(AND(Tech_Specs!$E22="step",Standards_Active!$E23="yes"),IF(CT$81&lt;Standards_Active!$C23,TREND(Perform_Active!$E23:$F23,Perform_Active!$E$8:$F$8,CT$81),IF(ISNUMBER(Standards_Active!$I23),IF(AND(CT$81&gt;=Standards_Active!$C23,CT$81&lt;Standards_Active!$D23),(Standards_Active!$I23-INDEX($CJ96:$DI96,1,MATCH((Standards_Active!$C23-1),$CJ$81:$DI$81,FALSE)))/(Standards_Active!$D23-(Standards_Active!$C23-1))+CS96,Standards_Active!$I23*((1+Standards_Active!$N23)^(CT$81-Standards_Active!$D23))),TREND(Perform_Active!$E23:$F23,Perform_Active!$E$8:$F$8,CT$81))),)</f>
        <v>90.793394555624943</v>
      </c>
      <c r="CU96" s="625">
        <f>IF(AND(Tech_Specs!$E22="step",Standards_Active!$E23="yes"),IF(CU$81&lt;Standards_Active!$C23,TREND(Perform_Active!$E23:$F23,Perform_Active!$E$8:$F$8,CU$81),IF(ISNUMBER(Standards_Active!$I23),IF(AND(CU$81&gt;=Standards_Active!$C23,CU$81&lt;Standards_Active!$D23),(Standards_Active!$I23-INDEX($CJ96:$DI96,1,MATCH((Standards_Active!$C23-1),$CJ$81:$DI$81,FALSE)))/(Standards_Active!$D23-(Standards_Active!$C23-1))+CT96,Standards_Active!$I23*((1+Standards_Active!$N23)^(CU$81-Standards_Active!$D23))),TREND(Perform_Active!$E23:$F23,Perform_Active!$E$8:$F$8,CU$81))),)</f>
        <v>91.247361528403047</v>
      </c>
      <c r="CV96" s="625">
        <f>IF(AND(Tech_Specs!$E22="step",Standards_Active!$E23="yes"),IF(CV$81&lt;Standards_Active!$C23,TREND(Perform_Active!$E23:$F23,Perform_Active!$E$8:$F$8,CV$81),IF(ISNUMBER(Standards_Active!$I23),IF(AND(CV$81&gt;=Standards_Active!$C23,CV$81&lt;Standards_Active!$D23),(Standards_Active!$I23-INDEX($CJ96:$DI96,1,MATCH((Standards_Active!$C23-1),$CJ$81:$DI$81,FALSE)))/(Standards_Active!$D23-(Standards_Active!$C23-1))+CU96,Standards_Active!$I23*((1+Standards_Active!$N23)^(CV$81-Standards_Active!$D23))),TREND(Perform_Active!$E23:$F23,Perform_Active!$E$8:$F$8,CV$81))),)</f>
        <v>91.703598336045047</v>
      </c>
      <c r="CW96" s="625">
        <f>IF(AND(Tech_Specs!$E22="step",Standards_Active!$E23="yes"),IF(CW$81&lt;Standards_Active!$C23,TREND(Perform_Active!$E23:$F23,Perform_Active!$E$8:$F$8,CW$81),IF(ISNUMBER(Standards_Active!$I23),IF(AND(CW$81&gt;=Standards_Active!$C23,CW$81&lt;Standards_Active!$D23),(Standards_Active!$I23-INDEX($CJ96:$DI96,1,MATCH((Standards_Active!$C23-1),$CJ$81:$DI$81,FALSE)))/(Standards_Active!$D23-(Standards_Active!$C23-1))+CV96,Standards_Active!$I23*((1+Standards_Active!$N23)^(CW$81-Standards_Active!$D23))),TREND(Perform_Active!$E23:$F23,Perform_Active!$E$8:$F$8,CW$81))),)</f>
        <v>92.162116327725272</v>
      </c>
      <c r="CX96" s="625">
        <f>IF(AND(Tech_Specs!$E22="step",Standards_Active!$E23="yes"),IF(CX$81&lt;Standards_Active!$C23,TREND(Perform_Active!$E23:$F23,Perform_Active!$E$8:$F$8,CX$81),IF(ISNUMBER(Standards_Active!$I23),IF(AND(CX$81&gt;=Standards_Active!$C23,CX$81&lt;Standards_Active!$D23),(Standards_Active!$I23-INDEX($CJ96:$DI96,1,MATCH((Standards_Active!$C23-1),$CJ$81:$DI$81,FALSE)))/(Standards_Active!$D23-(Standards_Active!$C23-1))+CW96,Standards_Active!$I23*((1+Standards_Active!$N23)^(CX$81-Standards_Active!$D23))),TREND(Perform_Active!$E23:$F23,Perform_Active!$E$8:$F$8,CX$81))),)</f>
        <v>92.622926909363883</v>
      </c>
      <c r="CY96" s="625">
        <f>IF(AND(Tech_Specs!$E22="step",Standards_Active!$E23="yes"),IF(CY$81&lt;Standards_Active!$C23,TREND(Perform_Active!$E23:$F23,Perform_Active!$E$8:$F$8,CY$81),IF(ISNUMBER(Standards_Active!$I23),IF(AND(CY$81&gt;=Standards_Active!$C23,CY$81&lt;Standards_Active!$D23),(Standards_Active!$I23-INDEX($CJ96:$DI96,1,MATCH((Standards_Active!$C23-1),$CJ$81:$DI$81,FALSE)))/(Standards_Active!$D23-(Standards_Active!$C23-1))+CX96,Standards_Active!$I23*((1+Standards_Active!$N23)^(CY$81-Standards_Active!$D23))),TREND(Perform_Active!$E23:$F23,Perform_Active!$E$8:$F$8,CY$81))),)</f>
        <v>93.086041543910696</v>
      </c>
      <c r="CZ96" s="625">
        <f>IF(AND(Tech_Specs!$E22="step",Standards_Active!$E23="yes"),IF(CZ$81&lt;Standards_Active!$C23,TREND(Perform_Active!$E23:$F23,Perform_Active!$E$8:$F$8,CZ$81),IF(ISNUMBER(Standards_Active!$I23),IF(AND(CZ$81&gt;=Standards_Active!$C23,CZ$81&lt;Standards_Active!$D23),(Standards_Active!$I23-INDEX($CJ96:$DI96,1,MATCH((Standards_Active!$C23-1),$CJ$81:$DI$81,FALSE)))/(Standards_Active!$D23-(Standards_Active!$C23-1))+CY96,Standards_Active!$I23*((1+Standards_Active!$N23)^(CZ$81-Standards_Active!$D23))),TREND(Perform_Active!$E23:$F23,Perform_Active!$E$8:$F$8,CZ$81))),)</f>
        <v>93.551471751630231</v>
      </c>
      <c r="DA96" s="625">
        <f>IF(AND(Tech_Specs!$E22="step",Standards_Active!$E23="yes"),IF(DA$81&lt;Standards_Active!$C23,TREND(Perform_Active!$E23:$F23,Perform_Active!$E$8:$F$8,DA$81),IF(ISNUMBER(Standards_Active!$I23),IF(AND(DA$81&gt;=Standards_Active!$C23,DA$81&lt;Standards_Active!$D23),(Standards_Active!$I23-INDEX($CJ96:$DI96,1,MATCH((Standards_Active!$C23-1),$CJ$81:$DI$81,FALSE)))/(Standards_Active!$D23-(Standards_Active!$C23-1))+CZ96,Standards_Active!$I23*((1+Standards_Active!$N23)^(DA$81-Standards_Active!$D23))),TREND(Perform_Active!$E23:$F23,Perform_Active!$E$8:$F$8,DA$81))),)</f>
        <v>94.01922911038838</v>
      </c>
      <c r="DB96" s="625">
        <f>IF(AND(Tech_Specs!$E22="step",Standards_Active!$E23="yes"),IF(DB$81&lt;Standards_Active!$C23,TREND(Perform_Active!$E23:$F23,Perform_Active!$E$8:$F$8,DB$81),IF(ISNUMBER(Standards_Active!$I23),IF(AND(DB$81&gt;=Standards_Active!$C23,DB$81&lt;Standards_Active!$D23),(Standards_Active!$I23-INDEX($CJ96:$DI96,1,MATCH((Standards_Active!$C23-1),$CJ$81:$DI$81,FALSE)))/(Standards_Active!$D23-(Standards_Active!$C23-1))+DA96,Standards_Active!$I23*((1+Standards_Active!$N23)^(DB$81-Standards_Active!$D23))),TREND(Perform_Active!$E23:$F23,Perform_Active!$E$8:$F$8,DB$81))),)</f>
        <v>94.489325255940287</v>
      </c>
      <c r="DC96" s="625">
        <f>IF(AND(Tech_Specs!$E22="step",Standards_Active!$E23="yes"),IF(DC$81&lt;Standards_Active!$C23,TREND(Perform_Active!$E23:$F23,Perform_Active!$E$8:$F$8,DC$81),IF(ISNUMBER(Standards_Active!$I23),IF(AND(DC$81&gt;=Standards_Active!$C23,DC$81&lt;Standards_Active!$D23),(Standards_Active!$I23-INDEX($CJ96:$DI96,1,MATCH((Standards_Active!$C23-1),$CJ$81:$DI$81,FALSE)))/(Standards_Active!$D23-(Standards_Active!$C23-1))+DB96,Standards_Active!$I23*((1+Standards_Active!$N23)^(DC$81-Standards_Active!$D23))),TREND(Perform_Active!$E23:$F23,Perform_Active!$E$8:$F$8,DC$81))),)</f>
        <v>94.961771882219978</v>
      </c>
      <c r="DD96" s="625">
        <f>IF(AND(Tech_Specs!$E22="step",Standards_Active!$E23="yes"),IF(DD$81&lt;Standards_Active!$C23,TREND(Perform_Active!$E23:$F23,Perform_Active!$E$8:$F$8,DD$81),IF(ISNUMBER(Standards_Active!$I23),IF(AND(DD$81&gt;=Standards_Active!$C23,DD$81&lt;Standards_Active!$D23),(Standards_Active!$I23-INDEX($CJ96:$DI96,1,MATCH((Standards_Active!$C23-1),$CJ$81:$DI$81,FALSE)))/(Standards_Active!$D23-(Standards_Active!$C23-1))+DC96,Standards_Active!$I23*((1+Standards_Active!$N23)^(DD$81-Standards_Active!$D23))),TREND(Perform_Active!$E23:$F23,Perform_Active!$E$8:$F$8,DD$81))),)</f>
        <v>95.436580741631062</v>
      </c>
      <c r="DE96" s="625">
        <f>IF(AND(Tech_Specs!$E22="step",Standards_Active!$E23="yes"),IF(DE$81&lt;Standards_Active!$C23,TREND(Perform_Active!$E23:$F23,Perform_Active!$E$8:$F$8,DE$81),IF(ISNUMBER(Standards_Active!$I23),IF(AND(DE$81&gt;=Standards_Active!$C23,DE$81&lt;Standards_Active!$D23),(Standards_Active!$I23-INDEX($CJ96:$DI96,1,MATCH((Standards_Active!$C23-1),$CJ$81:$DI$81,FALSE)))/(Standards_Active!$D23-(Standards_Active!$C23-1))+DD96,Standards_Active!$I23*((1+Standards_Active!$N23)^(DE$81-Standards_Active!$D23))),TREND(Perform_Active!$E23:$F23,Perform_Active!$E$8:$F$8,DE$81))),)</f>
        <v>95.913763645339202</v>
      </c>
      <c r="DF96" s="625">
        <f>IF(AND(Tech_Specs!$E22="step",Standards_Active!$E23="yes"),IF(DF$81&lt;Standards_Active!$C23,TREND(Perform_Active!$E23:$F23,Perform_Active!$E$8:$F$8,DF$81),IF(ISNUMBER(Standards_Active!$I23),IF(AND(DF$81&gt;=Standards_Active!$C23,DF$81&lt;Standards_Active!$D23),(Standards_Active!$I23-INDEX($CJ96:$DI96,1,MATCH((Standards_Active!$C23-1),$CJ$81:$DI$81,FALSE)))/(Standards_Active!$D23-(Standards_Active!$C23-1))+DE96,Standards_Active!$I23*((1+Standards_Active!$N23)^(DF$81-Standards_Active!$D23))),TREND(Perform_Active!$E23:$F23,Perform_Active!$E$8:$F$8,DF$81))),)</f>
        <v>96.393332463565883</v>
      </c>
      <c r="DG96" s="625">
        <f>IF(AND(Tech_Specs!$E22="step",Standards_Active!$E23="yes"),IF(DG$81&lt;Standards_Active!$C23,TREND(Perform_Active!$E23:$F23,Perform_Active!$E$8:$F$8,DG$81),IF(ISNUMBER(Standards_Active!$I23),IF(AND(DG$81&gt;=Standards_Active!$C23,DG$81&lt;Standards_Active!$D23),(Standards_Active!$I23-INDEX($CJ96:$DI96,1,MATCH((Standards_Active!$C23-1),$CJ$81:$DI$81,FALSE)))/(Standards_Active!$D23-(Standards_Active!$C23-1))+DF96,Standards_Active!$I23*((1+Standards_Active!$N23)^(DG$81-Standards_Active!$D23))),TREND(Perform_Active!$E23:$F23,Perform_Active!$E$8:$F$8,DG$81))),)</f>
        <v>96.875299125883714</v>
      </c>
      <c r="DH96" s="625">
        <f>IF(AND(Tech_Specs!$E22="step",Standards_Active!$E23="yes"),IF(DH$81&lt;Standards_Active!$C23,TREND(Perform_Active!$E23:$F23,Perform_Active!$E$8:$F$8,DH$81),IF(ISNUMBER(Standards_Active!$I23),IF(AND(DH$81&gt;=Standards_Active!$C23,DH$81&lt;Standards_Active!$D23),(Standards_Active!$I23-INDEX($CJ96:$DI96,1,MATCH((Standards_Active!$C23-1),$CJ$81:$DI$81,FALSE)))/(Standards_Active!$D23-(Standards_Active!$C23-1))+DG96,Standards_Active!$I23*((1+Standards_Active!$N23)^(DH$81-Standards_Active!$D23))),TREND(Perform_Active!$E23:$F23,Perform_Active!$E$8:$F$8,DH$81))),)</f>
        <v>97.359675621513091</v>
      </c>
      <c r="DI96" s="625">
        <f>IF(AND(Tech_Specs!$E22="step",Standards_Active!$E23="yes"),IF(DI$81&lt;Standards_Active!$C23,TREND(Perform_Active!$E23:$F23,Perform_Active!$E$8:$F$8,DI$81),IF(ISNUMBER(Standards_Active!$I23),IF(AND(DI$81&gt;=Standards_Active!$C23,DI$81&lt;Standards_Active!$D23),(Standards_Active!$I23-INDEX($CJ96:$DI96,1,MATCH((Standards_Active!$C23-1),$CJ$81:$DI$81,FALSE)))/(Standards_Active!$D23-(Standards_Active!$C23-1))+DH96,Standards_Active!$I23*((1+Standards_Active!$N23)^(DI$81-Standards_Active!$D23))),TREND(Perform_Active!$E23:$F23,Perform_Active!$E$8:$F$8,DI$81))),)</f>
        <v>97.846473999620656</v>
      </c>
    </row>
    <row r="97" spans="1:113" s="376" customFormat="1" ht="12.6" x14ac:dyDescent="0.25">
      <c r="B97" s="376" t="s">
        <v>40</v>
      </c>
      <c r="C97" s="388"/>
      <c r="D97" s="552"/>
      <c r="E97" s="552"/>
      <c r="F97" s="552"/>
      <c r="G97" s="390">
        <f t="shared" si="27"/>
        <v>100.41451331111421</v>
      </c>
      <c r="H97" s="390">
        <f t="shared" si="27"/>
        <v>100.91658587766983</v>
      </c>
      <c r="I97" s="390">
        <f t="shared" si="27"/>
        <v>101.41865844422534</v>
      </c>
      <c r="J97" s="390">
        <f t="shared" si="27"/>
        <v>101.92073101078097</v>
      </c>
      <c r="K97" s="390">
        <f t="shared" si="27"/>
        <v>102.42280357733648</v>
      </c>
      <c r="L97" s="390">
        <f t="shared" si="27"/>
        <v>102.92487614389211</v>
      </c>
      <c r="M97" s="390">
        <f t="shared" si="27"/>
        <v>103.42694871044762</v>
      </c>
      <c r="N97" s="390">
        <f t="shared" si="27"/>
        <v>103.92902127700324</v>
      </c>
      <c r="O97" s="390">
        <f t="shared" si="27"/>
        <v>104.43109384355876</v>
      </c>
      <c r="P97" s="390">
        <f t="shared" si="27"/>
        <v>104.93316641011438</v>
      </c>
      <c r="Q97" s="390">
        <f t="shared" si="28"/>
        <v>105.43523897666989</v>
      </c>
      <c r="R97" s="390">
        <f t="shared" si="28"/>
        <v>105.93731154322552</v>
      </c>
      <c r="S97" s="390">
        <f t="shared" si="28"/>
        <v>106.43938410978103</v>
      </c>
      <c r="T97" s="390">
        <f t="shared" si="28"/>
        <v>106.94145667633666</v>
      </c>
      <c r="U97" s="390">
        <f t="shared" si="28"/>
        <v>107.44352924289228</v>
      </c>
      <c r="V97" s="390">
        <f t="shared" si="28"/>
        <v>107.94560180944779</v>
      </c>
      <c r="W97" s="390">
        <f t="shared" si="28"/>
        <v>108.44767437600342</v>
      </c>
      <c r="X97" s="390">
        <f t="shared" si="28"/>
        <v>108.94974694255893</v>
      </c>
      <c r="Y97" s="390">
        <f t="shared" si="28"/>
        <v>109.45181950911456</v>
      </c>
      <c r="Z97" s="390">
        <f t="shared" si="28"/>
        <v>109.95389207567007</v>
      </c>
      <c r="AA97" s="390">
        <f t="shared" si="29"/>
        <v>110.45596464222569</v>
      </c>
      <c r="AB97" s="390">
        <f t="shared" si="29"/>
        <v>110.95803720878121</v>
      </c>
      <c r="AC97" s="390">
        <f t="shared" si="29"/>
        <v>111.46010977533683</v>
      </c>
      <c r="AD97" s="390">
        <f t="shared" si="29"/>
        <v>111.96218234189234</v>
      </c>
      <c r="AE97" s="390">
        <f t="shared" si="29"/>
        <v>112.46425490844797</v>
      </c>
      <c r="AF97" s="390">
        <f t="shared" si="29"/>
        <v>112.96632747500348</v>
      </c>
      <c r="AH97" s="405">
        <f>IF(Tech_Specs!$E23="linear",TREND(Perform_Active!$E24:$F24,Perform_Active!$E$8:$F$8,AH$81),)</f>
        <v>100.41451331111421</v>
      </c>
      <c r="AI97" s="405">
        <f>IF(Tech_Specs!$E23="linear",TREND(Perform_Active!$E24:$F24,Perform_Active!$E$8:$F$8,AI$81),)</f>
        <v>100.91658587766983</v>
      </c>
      <c r="AJ97" s="405">
        <f>IF(Tech_Specs!$E23="linear",TREND(Perform_Active!$E24:$F24,Perform_Active!$E$8:$F$8,AJ$81),)</f>
        <v>101.41865844422534</v>
      </c>
      <c r="AK97" s="405">
        <f>IF(Tech_Specs!$E23="linear",TREND(Perform_Active!$E24:$F24,Perform_Active!$E$8:$F$8,AK$81),)</f>
        <v>101.92073101078097</v>
      </c>
      <c r="AL97" s="405">
        <f>IF(Tech_Specs!$E23="linear",TREND(Perform_Active!$E24:$F24,Perform_Active!$E$8:$F$8,AL$81),)</f>
        <v>102.42280357733648</v>
      </c>
      <c r="AM97" s="405">
        <f>IF(Tech_Specs!$E23="linear",TREND(Perform_Active!$E24:$F24,Perform_Active!$E$8:$F$8,AM$81),)</f>
        <v>102.92487614389211</v>
      </c>
      <c r="AN97" s="405">
        <f>IF(Tech_Specs!$E23="linear",TREND(Perform_Active!$E24:$F24,Perform_Active!$E$8:$F$8,AN$81),)</f>
        <v>103.42694871044762</v>
      </c>
      <c r="AO97" s="405">
        <f>IF(Tech_Specs!$E23="linear",TREND(Perform_Active!$E24:$F24,Perform_Active!$E$8:$F$8,AO$81),)</f>
        <v>103.92902127700324</v>
      </c>
      <c r="AP97" s="405">
        <f>IF(Tech_Specs!$E23="linear",TREND(Perform_Active!$E24:$F24,Perform_Active!$E$8:$F$8,AP$81),)</f>
        <v>104.43109384355876</v>
      </c>
      <c r="AQ97" s="405">
        <f>IF(Tech_Specs!$E23="linear",TREND(Perform_Active!$E24:$F24,Perform_Active!$E$8:$F$8,AQ$81),)</f>
        <v>104.93316641011438</v>
      </c>
      <c r="AR97" s="405">
        <f>IF(Tech_Specs!$E23="linear",TREND(Perform_Active!$E24:$F24,Perform_Active!$E$8:$F$8,AR$81),)</f>
        <v>105.43523897666989</v>
      </c>
      <c r="AS97" s="405">
        <f>IF(Tech_Specs!$E23="linear",TREND(Perform_Active!$E24:$F24,Perform_Active!$E$8:$F$8,AS$81),)</f>
        <v>105.93731154322552</v>
      </c>
      <c r="AT97" s="405">
        <f>IF(Tech_Specs!$E23="linear",TREND(Perform_Active!$E24:$F24,Perform_Active!$E$8:$F$8,AT$81),)</f>
        <v>106.43938410978103</v>
      </c>
      <c r="AU97" s="405">
        <f>IF(Tech_Specs!$E23="linear",TREND(Perform_Active!$E24:$F24,Perform_Active!$E$8:$F$8,AU$81),)</f>
        <v>106.94145667633666</v>
      </c>
      <c r="AV97" s="405">
        <f>IF(Tech_Specs!$E23="linear",TREND(Perform_Active!$E24:$F24,Perform_Active!$E$8:$F$8,AV$81),)</f>
        <v>107.44352924289228</v>
      </c>
      <c r="AW97" s="405">
        <f>IF(Tech_Specs!$E23="linear",TREND(Perform_Active!$E24:$F24,Perform_Active!$E$8:$F$8,AW$81),)</f>
        <v>107.94560180944779</v>
      </c>
      <c r="AX97" s="405">
        <f>IF(Tech_Specs!$E23="linear",TREND(Perform_Active!$E24:$F24,Perform_Active!$E$8:$F$8,AX$81),)</f>
        <v>108.44767437600342</v>
      </c>
      <c r="AY97" s="405">
        <f>IF(Tech_Specs!$E23="linear",TREND(Perform_Active!$E24:$F24,Perform_Active!$E$8:$F$8,AY$81),)</f>
        <v>108.94974694255893</v>
      </c>
      <c r="AZ97" s="405">
        <f>IF(Tech_Specs!$E23="linear",TREND(Perform_Active!$E24:$F24,Perform_Active!$E$8:$F$8,AZ$81),)</f>
        <v>109.45181950911456</v>
      </c>
      <c r="BA97" s="405">
        <f>IF(Tech_Specs!$E23="linear",TREND(Perform_Active!$E24:$F24,Perform_Active!$E$8:$F$8,BA$81),)</f>
        <v>109.95389207567007</v>
      </c>
      <c r="BB97" s="405">
        <f>IF(Tech_Specs!$E23="linear",TREND(Perform_Active!$E24:$F24,Perform_Active!$E$8:$F$8,BB$81),)</f>
        <v>110.45596464222569</v>
      </c>
      <c r="BC97" s="405">
        <f>IF(Tech_Specs!$E23="linear",TREND(Perform_Active!$E24:$F24,Perform_Active!$E$8:$F$8,BC$81),)</f>
        <v>110.95803720878121</v>
      </c>
      <c r="BD97" s="405">
        <f>IF(Tech_Specs!$E23="linear",TREND(Perform_Active!$E24:$F24,Perform_Active!$E$8:$F$8,BD$81),)</f>
        <v>111.46010977533683</v>
      </c>
      <c r="BE97" s="405">
        <f>IF(Tech_Specs!$E23="linear",TREND(Perform_Active!$E24:$F24,Perform_Active!$E$8:$F$8,BE$81),)</f>
        <v>111.96218234189234</v>
      </c>
      <c r="BF97" s="405">
        <f>IF(Tech_Specs!$E23="linear",TREND(Perform_Active!$E24:$F24,Perform_Active!$E$8:$F$8,BF$81),)</f>
        <v>112.46425490844797</v>
      </c>
      <c r="BG97" s="405">
        <f>IF(Tech_Specs!$E23="linear",TREND(Perform_Active!$E24:$F24,Perform_Active!$E$8:$F$8,BG$81),)</f>
        <v>112.96632747500348</v>
      </c>
      <c r="BI97" s="405">
        <f>IF(Tech_Specs!$E23="logistic",IF($B23="LED",IF(Tech_Specs!$K23="lamp",Perform_SSL!G$10,Perform_SSL!G$11)),)</f>
        <v>0</v>
      </c>
      <c r="BJ97" s="405">
        <f>IF(Tech_Specs!$E23="logistic",IF($B23="LED",IF(Tech_Specs!$K23="lamp",Perform_SSL!H$10,Perform_SSL!H$11)),)</f>
        <v>0</v>
      </c>
      <c r="BK97" s="405">
        <f>IF(Tech_Specs!$E23="logistic",IF($B23="LED",IF(Tech_Specs!$K23="lamp",Perform_SSL!I$10,Perform_SSL!I$11)),)</f>
        <v>0</v>
      </c>
      <c r="BL97" s="405">
        <f>IF(Tech_Specs!$E23="logistic",IF($B23="LED",IF(Tech_Specs!$K23="lamp",Perform_SSL!J$10,Perform_SSL!J$11)),)</f>
        <v>0</v>
      </c>
      <c r="BM97" s="405">
        <f>IF(Tech_Specs!$E23="logistic",IF($B23="LED",IF(Tech_Specs!$K23="lamp",Perform_SSL!K$10,Perform_SSL!K$11)),)</f>
        <v>0</v>
      </c>
      <c r="BN97" s="405">
        <f>IF(Tech_Specs!$E23="logistic",IF($B23="LED",IF(Tech_Specs!$K23="lamp",Perform_SSL!L$10,Perform_SSL!L$11)),)</f>
        <v>0</v>
      </c>
      <c r="BO97" s="405">
        <f>IF(Tech_Specs!$E23="logistic",IF($B23="LED",IF(Tech_Specs!$K23="lamp",Perform_SSL!M$10,Perform_SSL!M$11)),)</f>
        <v>0</v>
      </c>
      <c r="BP97" s="405">
        <f>IF(Tech_Specs!$E23="logistic",IF($B23="LED",IF(Tech_Specs!$K23="lamp",Perform_SSL!N$10,Perform_SSL!N$11)),)</f>
        <v>0</v>
      </c>
      <c r="BQ97" s="405">
        <f>IF(Tech_Specs!$E23="logistic",IF($B23="LED",IF(Tech_Specs!$K23="lamp",Perform_SSL!O$10,Perform_SSL!O$11)),)</f>
        <v>0</v>
      </c>
      <c r="BR97" s="405">
        <f>IF(Tech_Specs!$E23="logistic",IF($B23="LED",IF(Tech_Specs!$K23="lamp",Perform_SSL!P$10,Perform_SSL!P$11)),)</f>
        <v>0</v>
      </c>
      <c r="BS97" s="405">
        <f>IF(Tech_Specs!$E23="logistic",IF($B23="LED",IF(Tech_Specs!$K23="lamp",Perform_SSL!Q$10,Perform_SSL!Q$11)),)</f>
        <v>0</v>
      </c>
      <c r="BT97" s="405">
        <f>IF(Tech_Specs!$E23="logistic",IF($B23="LED",IF(Tech_Specs!$K23="lamp",Perform_SSL!R$10,Perform_SSL!R$11)),)</f>
        <v>0</v>
      </c>
      <c r="BU97" s="405">
        <f>IF(Tech_Specs!$E23="logistic",IF($B23="LED",IF(Tech_Specs!$K23="lamp",Perform_SSL!S$10,Perform_SSL!S$11)),)</f>
        <v>0</v>
      </c>
      <c r="BV97" s="405">
        <f>IF(Tech_Specs!$E23="logistic",IF($B23="LED",IF(Tech_Specs!$K23="lamp",Perform_SSL!T$10,Perform_SSL!T$11)),)</f>
        <v>0</v>
      </c>
      <c r="BW97" s="405">
        <f>IF(Tech_Specs!$E23="logistic",IF($B23="LED",IF(Tech_Specs!$K23="lamp",Perform_SSL!U$10,Perform_SSL!U$11)),)</f>
        <v>0</v>
      </c>
      <c r="BX97" s="405">
        <f>IF(Tech_Specs!$E23="logistic",IF($B23="LED",IF(Tech_Specs!$K23="lamp",Perform_SSL!V$10,Perform_SSL!V$11)),)</f>
        <v>0</v>
      </c>
      <c r="BY97" s="405">
        <f>IF(Tech_Specs!$E23="logistic",IF($B23="LED",IF(Tech_Specs!$K23="lamp",Perform_SSL!W$10,Perform_SSL!W$11)),)</f>
        <v>0</v>
      </c>
      <c r="BZ97" s="405">
        <f>IF(Tech_Specs!$E23="logistic",IF($B23="LED",IF(Tech_Specs!$K23="lamp",Perform_SSL!X$10,Perform_SSL!X$11)),)</f>
        <v>0</v>
      </c>
      <c r="CA97" s="405">
        <f>IF(Tech_Specs!$E23="logistic",IF($B23="LED",IF(Tech_Specs!$K23="lamp",Perform_SSL!Y$10,Perform_SSL!Y$11)),)</f>
        <v>0</v>
      </c>
      <c r="CB97" s="405">
        <f>IF(Tech_Specs!$E23="logistic",IF($B23="LED",IF(Tech_Specs!$K23="lamp",Perform_SSL!Z$10,Perform_SSL!Z$11)),)</f>
        <v>0</v>
      </c>
      <c r="CC97" s="405">
        <f>IF(Tech_Specs!$E23="logistic",IF($B23="LED",IF(Tech_Specs!$K23="lamp",Perform_SSL!AA$10,Perform_SSL!AA$11)),)</f>
        <v>0</v>
      </c>
      <c r="CD97" s="405">
        <f>IF(Tech_Specs!$E23="logistic",IF($B23="LED",IF(Tech_Specs!$K23="lamp",Perform_SSL!AB$10,Perform_SSL!AB$11)),)</f>
        <v>0</v>
      </c>
      <c r="CE97" s="405">
        <f>IF(Tech_Specs!$E23="logistic",IF($B23="LED",IF(Tech_Specs!$K23="lamp",Perform_SSL!AC$10,Perform_SSL!AC$11)),)</f>
        <v>0</v>
      </c>
      <c r="CF97" s="405">
        <f>IF(Tech_Specs!$E23="logistic",IF($B23="LED",IF(Tech_Specs!$K23="lamp",Perform_SSL!AD$10,Perform_SSL!AD$11)),)</f>
        <v>0</v>
      </c>
      <c r="CG97" s="405">
        <f>IF(Tech_Specs!$E23="logistic",IF($B23="LED",IF(Tech_Specs!$K23="lamp",Perform_SSL!AE$10,Perform_SSL!AE$11)),)</f>
        <v>0</v>
      </c>
      <c r="CH97" s="405">
        <f>IF(Tech_Specs!$E23="logistic",IF($B23="LED",IF(Tech_Specs!$K23="lamp",Perform_SSL!AF$10,Perform_SSL!AF$11)),)</f>
        <v>0</v>
      </c>
      <c r="CJ97" s="625">
        <f>IF(AND(Tech_Specs!$E23="step",Standards_Active!$E24="yes"),IF(CJ$81&lt;Standards_Active!$C24,TREND(Perform_Active!$E24:$F24,Perform_Active!$E$8:$F$8,CJ$81),IF(ISNUMBER(Standards_Active!$I24),IF(AND(CJ$81&gt;=Standards_Active!$C24,CJ$81&lt;Standards_Active!$D24),(Standards_Active!$I24-INDEX($CJ97:$DI97,1,MATCH((Standards_Active!$C24-1),$CJ$81:$DI$81,FALSE)))/(Standards_Active!$D24-(Standards_Active!$C24-1))+CI97,Standards_Active!$I24*((1+Standards_Active!$N24)^(CJ$81-Standards_Active!$D24))),TREND(Perform_Active!$E24:$F24,Perform_Active!$E$8:$F$8,CJ$81))),)</f>
        <v>0</v>
      </c>
      <c r="CK97" s="625">
        <f>IF(AND(Tech_Specs!$E23="step",Standards_Active!$E24="yes"),IF(CK$81&lt;Standards_Active!$C24,TREND(Perform_Active!$E24:$F24,Perform_Active!$E$8:$F$8,CK$81),IF(ISNUMBER(Standards_Active!$I24),IF(AND(CK$81&gt;=Standards_Active!$C24,CK$81&lt;Standards_Active!$D24),(Standards_Active!$I24-INDEX($CJ97:$DI97,1,MATCH((Standards_Active!$C24-1),$CJ$81:$DI$81,FALSE)))/(Standards_Active!$D24-(Standards_Active!$C24-1))+CJ97,Standards_Active!$I24*((1+Standards_Active!$N24)^(CK$81-Standards_Active!$D24))),TREND(Perform_Active!$E24:$F24,Perform_Active!$E$8:$F$8,CK$81))),)</f>
        <v>0</v>
      </c>
      <c r="CL97" s="625">
        <f>IF(AND(Tech_Specs!$E23="step",Standards_Active!$E24="yes"),IF(CL$81&lt;Standards_Active!$C24,TREND(Perform_Active!$E24:$F24,Perform_Active!$E$8:$F$8,CL$81),IF(ISNUMBER(Standards_Active!$I24),IF(AND(CL$81&gt;=Standards_Active!$C24,CL$81&lt;Standards_Active!$D24),(Standards_Active!$I24-INDEX($CJ97:$DI97,1,MATCH((Standards_Active!$C24-1),$CJ$81:$DI$81,FALSE)))/(Standards_Active!$D24-(Standards_Active!$C24-1))+CK97,Standards_Active!$I24*((1+Standards_Active!$N24)^(CL$81-Standards_Active!$D24))),TREND(Perform_Active!$E24:$F24,Perform_Active!$E$8:$F$8,CL$81))),)</f>
        <v>0</v>
      </c>
      <c r="CM97" s="625">
        <f>IF(AND(Tech_Specs!$E23="step",Standards_Active!$E24="yes"),IF(CM$81&lt;Standards_Active!$C24,TREND(Perform_Active!$E24:$F24,Perform_Active!$E$8:$F$8,CM$81),IF(ISNUMBER(Standards_Active!$I24),IF(AND(CM$81&gt;=Standards_Active!$C24,CM$81&lt;Standards_Active!$D24),(Standards_Active!$I24-INDEX($CJ97:$DI97,1,MATCH((Standards_Active!$C24-1),$CJ$81:$DI$81,FALSE)))/(Standards_Active!$D24-(Standards_Active!$C24-1))+CL97,Standards_Active!$I24*((1+Standards_Active!$N24)^(CM$81-Standards_Active!$D24))),TREND(Perform_Active!$E24:$F24,Perform_Active!$E$8:$F$8,CM$81))),)</f>
        <v>0</v>
      </c>
      <c r="CN97" s="625">
        <f>IF(AND(Tech_Specs!$E23="step",Standards_Active!$E24="yes"),IF(CN$81&lt;Standards_Active!$C24,TREND(Perform_Active!$E24:$F24,Perform_Active!$E$8:$F$8,CN$81),IF(ISNUMBER(Standards_Active!$I24),IF(AND(CN$81&gt;=Standards_Active!$C24,CN$81&lt;Standards_Active!$D24),(Standards_Active!$I24-INDEX($CJ97:$DI97,1,MATCH((Standards_Active!$C24-1),$CJ$81:$DI$81,FALSE)))/(Standards_Active!$D24-(Standards_Active!$C24-1))+CM97,Standards_Active!$I24*((1+Standards_Active!$N24)^(CN$81-Standards_Active!$D24))),TREND(Perform_Active!$E24:$F24,Perform_Active!$E$8:$F$8,CN$81))),)</f>
        <v>0</v>
      </c>
      <c r="CO97" s="625">
        <f>IF(AND(Tech_Specs!$E23="step",Standards_Active!$E24="yes"),IF(CO$81&lt;Standards_Active!$C24,TREND(Perform_Active!$E24:$F24,Perform_Active!$E$8:$F$8,CO$81),IF(ISNUMBER(Standards_Active!$I24),IF(AND(CO$81&gt;=Standards_Active!$C24,CO$81&lt;Standards_Active!$D24),(Standards_Active!$I24-INDEX($CJ97:$DI97,1,MATCH((Standards_Active!$C24-1),$CJ$81:$DI$81,FALSE)))/(Standards_Active!$D24-(Standards_Active!$C24-1))+CN97,Standards_Active!$I24*((1+Standards_Active!$N24)^(CO$81-Standards_Active!$D24))),TREND(Perform_Active!$E24:$F24,Perform_Active!$E$8:$F$8,CO$81))),)</f>
        <v>0</v>
      </c>
      <c r="CP97" s="625">
        <f>IF(AND(Tech_Specs!$E23="step",Standards_Active!$E24="yes"),IF(CP$81&lt;Standards_Active!$C24,TREND(Perform_Active!$E24:$F24,Perform_Active!$E$8:$F$8,CP$81),IF(ISNUMBER(Standards_Active!$I24),IF(AND(CP$81&gt;=Standards_Active!$C24,CP$81&lt;Standards_Active!$D24),(Standards_Active!$I24-INDEX($CJ97:$DI97,1,MATCH((Standards_Active!$C24-1),$CJ$81:$DI$81,FALSE)))/(Standards_Active!$D24-(Standards_Active!$C24-1))+CO97,Standards_Active!$I24*((1+Standards_Active!$N24)^(CP$81-Standards_Active!$D24))),TREND(Perform_Active!$E24:$F24,Perform_Active!$E$8:$F$8,CP$81))),)</f>
        <v>0</v>
      </c>
      <c r="CQ97" s="625">
        <f>IF(AND(Tech_Specs!$E23="step",Standards_Active!$E24="yes"),IF(CQ$81&lt;Standards_Active!$C24,TREND(Perform_Active!$E24:$F24,Perform_Active!$E$8:$F$8,CQ$81),IF(ISNUMBER(Standards_Active!$I24),IF(AND(CQ$81&gt;=Standards_Active!$C24,CQ$81&lt;Standards_Active!$D24),(Standards_Active!$I24-INDEX($CJ97:$DI97,1,MATCH((Standards_Active!$C24-1),$CJ$81:$DI$81,FALSE)))/(Standards_Active!$D24-(Standards_Active!$C24-1))+CP97,Standards_Active!$I24*((1+Standards_Active!$N24)^(CQ$81-Standards_Active!$D24))),TREND(Perform_Active!$E24:$F24,Perform_Active!$E$8:$F$8,CQ$81))),)</f>
        <v>0</v>
      </c>
      <c r="CR97" s="625">
        <f>IF(AND(Tech_Specs!$E23="step",Standards_Active!$E24="yes"),IF(CR$81&lt;Standards_Active!$C24,TREND(Perform_Active!$E24:$F24,Perform_Active!$E$8:$F$8,CR$81),IF(ISNUMBER(Standards_Active!$I24),IF(AND(CR$81&gt;=Standards_Active!$C24,CR$81&lt;Standards_Active!$D24),(Standards_Active!$I24-INDEX($CJ97:$DI97,1,MATCH((Standards_Active!$C24-1),$CJ$81:$DI$81,FALSE)))/(Standards_Active!$D24-(Standards_Active!$C24-1))+CQ97,Standards_Active!$I24*((1+Standards_Active!$N24)^(CR$81-Standards_Active!$D24))),TREND(Perform_Active!$E24:$F24,Perform_Active!$E$8:$F$8,CR$81))),)</f>
        <v>0</v>
      </c>
      <c r="CS97" s="625">
        <f>IF(AND(Tech_Specs!$E23="step",Standards_Active!$E24="yes"),IF(CS$81&lt;Standards_Active!$C24,TREND(Perform_Active!$E24:$F24,Perform_Active!$E$8:$F$8,CS$81),IF(ISNUMBER(Standards_Active!$I24),IF(AND(CS$81&gt;=Standards_Active!$C24,CS$81&lt;Standards_Active!$D24),(Standards_Active!$I24-INDEX($CJ97:$DI97,1,MATCH((Standards_Active!$C24-1),$CJ$81:$DI$81,FALSE)))/(Standards_Active!$D24-(Standards_Active!$C24-1))+CR97,Standards_Active!$I24*((1+Standards_Active!$N24)^(CS$81-Standards_Active!$D24))),TREND(Perform_Active!$E24:$F24,Perform_Active!$E$8:$F$8,CS$81))),)</f>
        <v>0</v>
      </c>
      <c r="CT97" s="625">
        <f>IF(AND(Tech_Specs!$E23="step",Standards_Active!$E24="yes"),IF(CT$81&lt;Standards_Active!$C24,TREND(Perform_Active!$E24:$F24,Perform_Active!$E$8:$F$8,CT$81),IF(ISNUMBER(Standards_Active!$I24),IF(AND(CT$81&gt;=Standards_Active!$C24,CT$81&lt;Standards_Active!$D24),(Standards_Active!$I24-INDEX($CJ97:$DI97,1,MATCH((Standards_Active!$C24-1),$CJ$81:$DI$81,FALSE)))/(Standards_Active!$D24-(Standards_Active!$C24-1))+CS97,Standards_Active!$I24*((1+Standards_Active!$N24)^(CT$81-Standards_Active!$D24))),TREND(Perform_Active!$E24:$F24,Perform_Active!$E$8:$F$8,CT$81))),)</f>
        <v>0</v>
      </c>
      <c r="CU97" s="625">
        <f>IF(AND(Tech_Specs!$E23="step",Standards_Active!$E24="yes"),IF(CU$81&lt;Standards_Active!$C24,TREND(Perform_Active!$E24:$F24,Perform_Active!$E$8:$F$8,CU$81),IF(ISNUMBER(Standards_Active!$I24),IF(AND(CU$81&gt;=Standards_Active!$C24,CU$81&lt;Standards_Active!$D24),(Standards_Active!$I24-INDEX($CJ97:$DI97,1,MATCH((Standards_Active!$C24-1),$CJ$81:$DI$81,FALSE)))/(Standards_Active!$D24-(Standards_Active!$C24-1))+CT97,Standards_Active!$I24*((1+Standards_Active!$N24)^(CU$81-Standards_Active!$D24))),TREND(Perform_Active!$E24:$F24,Perform_Active!$E$8:$F$8,CU$81))),)</f>
        <v>0</v>
      </c>
      <c r="CV97" s="625">
        <f>IF(AND(Tech_Specs!$E23="step",Standards_Active!$E24="yes"),IF(CV$81&lt;Standards_Active!$C24,TREND(Perform_Active!$E24:$F24,Perform_Active!$E$8:$F$8,CV$81),IF(ISNUMBER(Standards_Active!$I24),IF(AND(CV$81&gt;=Standards_Active!$C24,CV$81&lt;Standards_Active!$D24),(Standards_Active!$I24-INDEX($CJ97:$DI97,1,MATCH((Standards_Active!$C24-1),$CJ$81:$DI$81,FALSE)))/(Standards_Active!$D24-(Standards_Active!$C24-1))+CU97,Standards_Active!$I24*((1+Standards_Active!$N24)^(CV$81-Standards_Active!$D24))),TREND(Perform_Active!$E24:$F24,Perform_Active!$E$8:$F$8,CV$81))),)</f>
        <v>0</v>
      </c>
      <c r="CW97" s="625">
        <f>IF(AND(Tech_Specs!$E23="step",Standards_Active!$E24="yes"),IF(CW$81&lt;Standards_Active!$C24,TREND(Perform_Active!$E24:$F24,Perform_Active!$E$8:$F$8,CW$81),IF(ISNUMBER(Standards_Active!$I24),IF(AND(CW$81&gt;=Standards_Active!$C24,CW$81&lt;Standards_Active!$D24),(Standards_Active!$I24-INDEX($CJ97:$DI97,1,MATCH((Standards_Active!$C24-1),$CJ$81:$DI$81,FALSE)))/(Standards_Active!$D24-(Standards_Active!$C24-1))+CV97,Standards_Active!$I24*((1+Standards_Active!$N24)^(CW$81-Standards_Active!$D24))),TREND(Perform_Active!$E24:$F24,Perform_Active!$E$8:$F$8,CW$81))),)</f>
        <v>0</v>
      </c>
      <c r="CX97" s="625">
        <f>IF(AND(Tech_Specs!$E23="step",Standards_Active!$E24="yes"),IF(CX$81&lt;Standards_Active!$C24,TREND(Perform_Active!$E24:$F24,Perform_Active!$E$8:$F$8,CX$81),IF(ISNUMBER(Standards_Active!$I24),IF(AND(CX$81&gt;=Standards_Active!$C24,CX$81&lt;Standards_Active!$D24),(Standards_Active!$I24-INDEX($CJ97:$DI97,1,MATCH((Standards_Active!$C24-1),$CJ$81:$DI$81,FALSE)))/(Standards_Active!$D24-(Standards_Active!$C24-1))+CW97,Standards_Active!$I24*((1+Standards_Active!$N24)^(CX$81-Standards_Active!$D24))),TREND(Perform_Active!$E24:$F24,Perform_Active!$E$8:$F$8,CX$81))),)</f>
        <v>0</v>
      </c>
      <c r="CY97" s="625">
        <f>IF(AND(Tech_Specs!$E23="step",Standards_Active!$E24="yes"),IF(CY$81&lt;Standards_Active!$C24,TREND(Perform_Active!$E24:$F24,Perform_Active!$E$8:$F$8,CY$81),IF(ISNUMBER(Standards_Active!$I24),IF(AND(CY$81&gt;=Standards_Active!$C24,CY$81&lt;Standards_Active!$D24),(Standards_Active!$I24-INDEX($CJ97:$DI97,1,MATCH((Standards_Active!$C24-1),$CJ$81:$DI$81,FALSE)))/(Standards_Active!$D24-(Standards_Active!$C24-1))+CX97,Standards_Active!$I24*((1+Standards_Active!$N24)^(CY$81-Standards_Active!$D24))),TREND(Perform_Active!$E24:$F24,Perform_Active!$E$8:$F$8,CY$81))),)</f>
        <v>0</v>
      </c>
      <c r="CZ97" s="625">
        <f>IF(AND(Tech_Specs!$E23="step",Standards_Active!$E24="yes"),IF(CZ$81&lt;Standards_Active!$C24,TREND(Perform_Active!$E24:$F24,Perform_Active!$E$8:$F$8,CZ$81),IF(ISNUMBER(Standards_Active!$I24),IF(AND(CZ$81&gt;=Standards_Active!$C24,CZ$81&lt;Standards_Active!$D24),(Standards_Active!$I24-INDEX($CJ97:$DI97,1,MATCH((Standards_Active!$C24-1),$CJ$81:$DI$81,FALSE)))/(Standards_Active!$D24-(Standards_Active!$C24-1))+CY97,Standards_Active!$I24*((1+Standards_Active!$N24)^(CZ$81-Standards_Active!$D24))),TREND(Perform_Active!$E24:$F24,Perform_Active!$E$8:$F$8,CZ$81))),)</f>
        <v>0</v>
      </c>
      <c r="DA97" s="625">
        <f>IF(AND(Tech_Specs!$E23="step",Standards_Active!$E24="yes"),IF(DA$81&lt;Standards_Active!$C24,TREND(Perform_Active!$E24:$F24,Perform_Active!$E$8:$F$8,DA$81),IF(ISNUMBER(Standards_Active!$I24),IF(AND(DA$81&gt;=Standards_Active!$C24,DA$81&lt;Standards_Active!$D24),(Standards_Active!$I24-INDEX($CJ97:$DI97,1,MATCH((Standards_Active!$C24-1),$CJ$81:$DI$81,FALSE)))/(Standards_Active!$D24-(Standards_Active!$C24-1))+CZ97,Standards_Active!$I24*((1+Standards_Active!$N24)^(DA$81-Standards_Active!$D24))),TREND(Perform_Active!$E24:$F24,Perform_Active!$E$8:$F$8,DA$81))),)</f>
        <v>0</v>
      </c>
      <c r="DB97" s="625">
        <f>IF(AND(Tech_Specs!$E23="step",Standards_Active!$E24="yes"),IF(DB$81&lt;Standards_Active!$C24,TREND(Perform_Active!$E24:$F24,Perform_Active!$E$8:$F$8,DB$81),IF(ISNUMBER(Standards_Active!$I24),IF(AND(DB$81&gt;=Standards_Active!$C24,DB$81&lt;Standards_Active!$D24),(Standards_Active!$I24-INDEX($CJ97:$DI97,1,MATCH((Standards_Active!$C24-1),$CJ$81:$DI$81,FALSE)))/(Standards_Active!$D24-(Standards_Active!$C24-1))+DA97,Standards_Active!$I24*((1+Standards_Active!$N24)^(DB$81-Standards_Active!$D24))),TREND(Perform_Active!$E24:$F24,Perform_Active!$E$8:$F$8,DB$81))),)</f>
        <v>0</v>
      </c>
      <c r="DC97" s="625">
        <f>IF(AND(Tech_Specs!$E23="step",Standards_Active!$E24="yes"),IF(DC$81&lt;Standards_Active!$C24,TREND(Perform_Active!$E24:$F24,Perform_Active!$E$8:$F$8,DC$81),IF(ISNUMBER(Standards_Active!$I24),IF(AND(DC$81&gt;=Standards_Active!$C24,DC$81&lt;Standards_Active!$D24),(Standards_Active!$I24-INDEX($CJ97:$DI97,1,MATCH((Standards_Active!$C24-1),$CJ$81:$DI$81,FALSE)))/(Standards_Active!$D24-(Standards_Active!$C24-1))+DB97,Standards_Active!$I24*((1+Standards_Active!$N24)^(DC$81-Standards_Active!$D24))),TREND(Perform_Active!$E24:$F24,Perform_Active!$E$8:$F$8,DC$81))),)</f>
        <v>0</v>
      </c>
      <c r="DD97" s="625">
        <f>IF(AND(Tech_Specs!$E23="step",Standards_Active!$E24="yes"),IF(DD$81&lt;Standards_Active!$C24,TREND(Perform_Active!$E24:$F24,Perform_Active!$E$8:$F$8,DD$81),IF(ISNUMBER(Standards_Active!$I24),IF(AND(DD$81&gt;=Standards_Active!$C24,DD$81&lt;Standards_Active!$D24),(Standards_Active!$I24-INDEX($CJ97:$DI97,1,MATCH((Standards_Active!$C24-1),$CJ$81:$DI$81,FALSE)))/(Standards_Active!$D24-(Standards_Active!$C24-1))+DC97,Standards_Active!$I24*((1+Standards_Active!$N24)^(DD$81-Standards_Active!$D24))),TREND(Perform_Active!$E24:$F24,Perform_Active!$E$8:$F$8,DD$81))),)</f>
        <v>0</v>
      </c>
      <c r="DE97" s="625">
        <f>IF(AND(Tech_Specs!$E23="step",Standards_Active!$E24="yes"),IF(DE$81&lt;Standards_Active!$C24,TREND(Perform_Active!$E24:$F24,Perform_Active!$E$8:$F$8,DE$81),IF(ISNUMBER(Standards_Active!$I24),IF(AND(DE$81&gt;=Standards_Active!$C24,DE$81&lt;Standards_Active!$D24),(Standards_Active!$I24-INDEX($CJ97:$DI97,1,MATCH((Standards_Active!$C24-1),$CJ$81:$DI$81,FALSE)))/(Standards_Active!$D24-(Standards_Active!$C24-1))+DD97,Standards_Active!$I24*((1+Standards_Active!$N24)^(DE$81-Standards_Active!$D24))),TREND(Perform_Active!$E24:$F24,Perform_Active!$E$8:$F$8,DE$81))),)</f>
        <v>0</v>
      </c>
      <c r="DF97" s="625">
        <f>IF(AND(Tech_Specs!$E23="step",Standards_Active!$E24="yes"),IF(DF$81&lt;Standards_Active!$C24,TREND(Perform_Active!$E24:$F24,Perform_Active!$E$8:$F$8,DF$81),IF(ISNUMBER(Standards_Active!$I24),IF(AND(DF$81&gt;=Standards_Active!$C24,DF$81&lt;Standards_Active!$D24),(Standards_Active!$I24-INDEX($CJ97:$DI97,1,MATCH((Standards_Active!$C24-1),$CJ$81:$DI$81,FALSE)))/(Standards_Active!$D24-(Standards_Active!$C24-1))+DE97,Standards_Active!$I24*((1+Standards_Active!$N24)^(DF$81-Standards_Active!$D24))),TREND(Perform_Active!$E24:$F24,Perform_Active!$E$8:$F$8,DF$81))),)</f>
        <v>0</v>
      </c>
      <c r="DG97" s="625">
        <f>IF(AND(Tech_Specs!$E23="step",Standards_Active!$E24="yes"),IF(DG$81&lt;Standards_Active!$C24,TREND(Perform_Active!$E24:$F24,Perform_Active!$E$8:$F$8,DG$81),IF(ISNUMBER(Standards_Active!$I24),IF(AND(DG$81&gt;=Standards_Active!$C24,DG$81&lt;Standards_Active!$D24),(Standards_Active!$I24-INDEX($CJ97:$DI97,1,MATCH((Standards_Active!$C24-1),$CJ$81:$DI$81,FALSE)))/(Standards_Active!$D24-(Standards_Active!$C24-1))+DF97,Standards_Active!$I24*((1+Standards_Active!$N24)^(DG$81-Standards_Active!$D24))),TREND(Perform_Active!$E24:$F24,Perform_Active!$E$8:$F$8,DG$81))),)</f>
        <v>0</v>
      </c>
      <c r="DH97" s="625">
        <f>IF(AND(Tech_Specs!$E23="step",Standards_Active!$E24="yes"),IF(DH$81&lt;Standards_Active!$C24,TREND(Perform_Active!$E24:$F24,Perform_Active!$E$8:$F$8,DH$81),IF(ISNUMBER(Standards_Active!$I24),IF(AND(DH$81&gt;=Standards_Active!$C24,DH$81&lt;Standards_Active!$D24),(Standards_Active!$I24-INDEX($CJ97:$DI97,1,MATCH((Standards_Active!$C24-1),$CJ$81:$DI$81,FALSE)))/(Standards_Active!$D24-(Standards_Active!$C24-1))+DG97,Standards_Active!$I24*((1+Standards_Active!$N24)^(DH$81-Standards_Active!$D24))),TREND(Perform_Active!$E24:$F24,Perform_Active!$E$8:$F$8,DH$81))),)</f>
        <v>0</v>
      </c>
      <c r="DI97" s="625">
        <f>IF(AND(Tech_Specs!$E23="step",Standards_Active!$E24="yes"),IF(DI$81&lt;Standards_Active!$C24,TREND(Perform_Active!$E24:$F24,Perform_Active!$E$8:$F$8,DI$81),IF(ISNUMBER(Standards_Active!$I24),IF(AND(DI$81&gt;=Standards_Active!$C24,DI$81&lt;Standards_Active!$D24),(Standards_Active!$I24-INDEX($CJ97:$DI97,1,MATCH((Standards_Active!$C24-1),$CJ$81:$DI$81,FALSE)))/(Standards_Active!$D24-(Standards_Active!$C24-1))+DH97,Standards_Active!$I24*((1+Standards_Active!$N24)^(DI$81-Standards_Active!$D24))),TREND(Perform_Active!$E24:$F24,Perform_Active!$E$8:$F$8,DI$81))),)</f>
        <v>0</v>
      </c>
    </row>
    <row r="98" spans="1:113" s="376" customFormat="1" ht="12.6" x14ac:dyDescent="0.25">
      <c r="B98" s="376" t="s">
        <v>29</v>
      </c>
      <c r="D98" s="550"/>
      <c r="E98" s="550"/>
      <c r="F98" s="550"/>
      <c r="G98" s="390">
        <f t="shared" si="27"/>
        <v>69.886712931315586</v>
      </c>
      <c r="H98" s="390">
        <f t="shared" si="27"/>
        <v>84.617739005122857</v>
      </c>
      <c r="I98" s="390">
        <f t="shared" si="27"/>
        <v>99.77020761765985</v>
      </c>
      <c r="J98" s="390">
        <f t="shared" si="27"/>
        <v>115.81072942703476</v>
      </c>
      <c r="K98" s="390">
        <f t="shared" si="27"/>
        <v>131.19780938437214</v>
      </c>
      <c r="L98" s="390">
        <f t="shared" si="27"/>
        <v>145.46220447607328</v>
      </c>
      <c r="M98" s="390">
        <f t="shared" si="27"/>
        <v>157.75364681050067</v>
      </c>
      <c r="N98" s="390">
        <f t="shared" si="27"/>
        <v>168.55506474700036</v>
      </c>
      <c r="O98" s="390">
        <f t="shared" si="27"/>
        <v>177.96704120423578</v>
      </c>
      <c r="P98" s="390">
        <f t="shared" si="27"/>
        <v>186.1654499682482</v>
      </c>
      <c r="Q98" s="390">
        <f t="shared" si="28"/>
        <v>193.35230342395749</v>
      </c>
      <c r="R98" s="390">
        <f t="shared" si="28"/>
        <v>196.11147215578865</v>
      </c>
      <c r="S98" s="390">
        <f t="shared" si="28"/>
        <v>198.15456111208027</v>
      </c>
      <c r="T98" s="390">
        <f t="shared" si="28"/>
        <v>199.65744029461996</v>
      </c>
      <c r="U98" s="390">
        <f t="shared" si="28"/>
        <v>200.75757592848979</v>
      </c>
      <c r="V98" s="390">
        <f t="shared" si="28"/>
        <v>201.56002861929591</v>
      </c>
      <c r="W98" s="390">
        <f t="shared" si="28"/>
        <v>202.14382617150503</v>
      </c>
      <c r="X98" s="390">
        <f t="shared" si="28"/>
        <v>202.5677447446416</v>
      </c>
      <c r="Y98" s="390">
        <f t="shared" si="28"/>
        <v>202.87514562074011</v>
      </c>
      <c r="Z98" s="390">
        <f t="shared" si="28"/>
        <v>203.09783237720012</v>
      </c>
      <c r="AA98" s="390">
        <f t="shared" si="29"/>
        <v>203.25903410630769</v>
      </c>
      <c r="AB98" s="390">
        <f t="shared" si="29"/>
        <v>203.37566609727986</v>
      </c>
      <c r="AC98" s="390">
        <f t="shared" si="29"/>
        <v>203.46001922812226</v>
      </c>
      <c r="AD98" s="390">
        <f t="shared" si="29"/>
        <v>203.52101022912549</v>
      </c>
      <c r="AE98" s="390">
        <f t="shared" si="29"/>
        <v>203.56510065539746</v>
      </c>
      <c r="AF98" s="390">
        <f t="shared" si="29"/>
        <v>203.59696908402657</v>
      </c>
      <c r="AH98" s="405">
        <f>IF(Tech_Specs!$E24="linear",TREND(Perform_Active!$E25:$F25,Perform_Active!$E$8:$F$8,AH$81),)</f>
        <v>0</v>
      </c>
      <c r="AI98" s="405">
        <f>IF(Tech_Specs!$E24="linear",TREND(Perform_Active!$E25:$F25,Perform_Active!$E$8:$F$8,AI$81),)</f>
        <v>0</v>
      </c>
      <c r="AJ98" s="405">
        <f>IF(Tech_Specs!$E24="linear",TREND(Perform_Active!$E25:$F25,Perform_Active!$E$8:$F$8,AJ$81),)</f>
        <v>0</v>
      </c>
      <c r="AK98" s="405">
        <f>IF(Tech_Specs!$E24="linear",TREND(Perform_Active!$E25:$F25,Perform_Active!$E$8:$F$8,AK$81),)</f>
        <v>0</v>
      </c>
      <c r="AL98" s="405">
        <f>IF(Tech_Specs!$E24="linear",TREND(Perform_Active!$E25:$F25,Perform_Active!$E$8:$F$8,AL$81),)</f>
        <v>0</v>
      </c>
      <c r="AM98" s="405">
        <f>IF(Tech_Specs!$E24="linear",TREND(Perform_Active!$E25:$F25,Perform_Active!$E$8:$F$8,AM$81),)</f>
        <v>0</v>
      </c>
      <c r="AN98" s="405">
        <f>IF(Tech_Specs!$E24="linear",TREND(Perform_Active!$E25:$F25,Perform_Active!$E$8:$F$8,AN$81),)</f>
        <v>0</v>
      </c>
      <c r="AO98" s="405">
        <f>IF(Tech_Specs!$E24="linear",TREND(Perform_Active!$E25:$F25,Perform_Active!$E$8:$F$8,AO$81),)</f>
        <v>0</v>
      </c>
      <c r="AP98" s="405">
        <f>IF(Tech_Specs!$E24="linear",TREND(Perform_Active!$E25:$F25,Perform_Active!$E$8:$F$8,AP$81),)</f>
        <v>0</v>
      </c>
      <c r="AQ98" s="405">
        <f>IF(Tech_Specs!$E24="linear",TREND(Perform_Active!$E25:$F25,Perform_Active!$E$8:$F$8,AQ$81),)</f>
        <v>0</v>
      </c>
      <c r="AR98" s="405">
        <f>IF(Tech_Specs!$E24="linear",TREND(Perform_Active!$E25:$F25,Perform_Active!$E$8:$F$8,AR$81),)</f>
        <v>0</v>
      </c>
      <c r="AS98" s="405">
        <f>IF(Tech_Specs!$E24="linear",TREND(Perform_Active!$E25:$F25,Perform_Active!$E$8:$F$8,AS$81),)</f>
        <v>0</v>
      </c>
      <c r="AT98" s="405">
        <f>IF(Tech_Specs!$E24="linear",TREND(Perform_Active!$E25:$F25,Perform_Active!$E$8:$F$8,AT$81),)</f>
        <v>0</v>
      </c>
      <c r="AU98" s="405">
        <f>IF(Tech_Specs!$E24="linear",TREND(Perform_Active!$E25:$F25,Perform_Active!$E$8:$F$8,AU$81),)</f>
        <v>0</v>
      </c>
      <c r="AV98" s="405">
        <f>IF(Tech_Specs!$E24="linear",TREND(Perform_Active!$E25:$F25,Perform_Active!$E$8:$F$8,AV$81),)</f>
        <v>0</v>
      </c>
      <c r="AW98" s="405">
        <f>IF(Tech_Specs!$E24="linear",TREND(Perform_Active!$E25:$F25,Perform_Active!$E$8:$F$8,AW$81),)</f>
        <v>0</v>
      </c>
      <c r="AX98" s="405">
        <f>IF(Tech_Specs!$E24="linear",TREND(Perform_Active!$E25:$F25,Perform_Active!$E$8:$F$8,AX$81),)</f>
        <v>0</v>
      </c>
      <c r="AY98" s="405">
        <f>IF(Tech_Specs!$E24="linear",TREND(Perform_Active!$E25:$F25,Perform_Active!$E$8:$F$8,AY$81),)</f>
        <v>0</v>
      </c>
      <c r="AZ98" s="405">
        <f>IF(Tech_Specs!$E24="linear",TREND(Perform_Active!$E25:$F25,Perform_Active!$E$8:$F$8,AZ$81),)</f>
        <v>0</v>
      </c>
      <c r="BA98" s="405">
        <f>IF(Tech_Specs!$E24="linear",TREND(Perform_Active!$E25:$F25,Perform_Active!$E$8:$F$8,BA$81),)</f>
        <v>0</v>
      </c>
      <c r="BB98" s="405">
        <f>IF(Tech_Specs!$E24="linear",TREND(Perform_Active!$E25:$F25,Perform_Active!$E$8:$F$8,BB$81),)</f>
        <v>0</v>
      </c>
      <c r="BC98" s="405">
        <f>IF(Tech_Specs!$E24="linear",TREND(Perform_Active!$E25:$F25,Perform_Active!$E$8:$F$8,BC$81),)</f>
        <v>0</v>
      </c>
      <c r="BD98" s="405">
        <f>IF(Tech_Specs!$E24="linear",TREND(Perform_Active!$E25:$F25,Perform_Active!$E$8:$F$8,BD$81),)</f>
        <v>0</v>
      </c>
      <c r="BE98" s="405">
        <f>IF(Tech_Specs!$E24="linear",TREND(Perform_Active!$E25:$F25,Perform_Active!$E$8:$F$8,BE$81),)</f>
        <v>0</v>
      </c>
      <c r="BF98" s="405">
        <f>IF(Tech_Specs!$E24="linear",TREND(Perform_Active!$E25:$F25,Perform_Active!$E$8:$F$8,BF$81),)</f>
        <v>0</v>
      </c>
      <c r="BG98" s="405">
        <f>IF(Tech_Specs!$E24="linear",TREND(Perform_Active!$E25:$F25,Perform_Active!$E$8:$F$8,BG$81),)</f>
        <v>0</v>
      </c>
      <c r="BI98" s="405">
        <f>IF(Tech_Specs!$E24="logistic",IF($B24="LED",IF(Tech_Specs!$K24="lamp",Perform_SSL!G$10,Perform_SSL!G$11)),)</f>
        <v>69.886712931315586</v>
      </c>
      <c r="BJ98" s="405">
        <f>IF(Tech_Specs!$E24="logistic",IF($B24="LED",IF(Tech_Specs!$K24="lamp",Perform_SSL!H$10,Perform_SSL!H$11)),)</f>
        <v>84.617739005122857</v>
      </c>
      <c r="BK98" s="405">
        <f>IF(Tech_Specs!$E24="logistic",IF($B24="LED",IF(Tech_Specs!$K24="lamp",Perform_SSL!I$10,Perform_SSL!I$11)),)</f>
        <v>99.77020761765985</v>
      </c>
      <c r="BL98" s="405">
        <f>IF(Tech_Specs!$E24="logistic",IF($B24="LED",IF(Tech_Specs!$K24="lamp",Perform_SSL!J$10,Perform_SSL!J$11)),)</f>
        <v>115.81072942703476</v>
      </c>
      <c r="BM98" s="405">
        <f>IF(Tech_Specs!$E24="logistic",IF($B24="LED",IF(Tech_Specs!$K24="lamp",Perform_SSL!K$10,Perform_SSL!K$11)),)</f>
        <v>131.19780938437214</v>
      </c>
      <c r="BN98" s="405">
        <f>IF(Tech_Specs!$E24="logistic",IF($B24="LED",IF(Tech_Specs!$K24="lamp",Perform_SSL!L$10,Perform_SSL!L$11)),)</f>
        <v>145.46220447607328</v>
      </c>
      <c r="BO98" s="405">
        <f>IF(Tech_Specs!$E24="logistic",IF($B24="LED",IF(Tech_Specs!$K24="lamp",Perform_SSL!M$10,Perform_SSL!M$11)),)</f>
        <v>157.75364681050067</v>
      </c>
      <c r="BP98" s="405">
        <f>IF(Tech_Specs!$E24="logistic",IF($B24="LED",IF(Tech_Specs!$K24="lamp",Perform_SSL!N$10,Perform_SSL!N$11)),)</f>
        <v>168.55506474700036</v>
      </c>
      <c r="BQ98" s="405">
        <f>IF(Tech_Specs!$E24="logistic",IF($B24="LED",IF(Tech_Specs!$K24="lamp",Perform_SSL!O$10,Perform_SSL!O$11)),)</f>
        <v>177.96704120423578</v>
      </c>
      <c r="BR98" s="405">
        <f>IF(Tech_Specs!$E24="logistic",IF($B24="LED",IF(Tech_Specs!$K24="lamp",Perform_SSL!P$10,Perform_SSL!P$11)),)</f>
        <v>186.1654499682482</v>
      </c>
      <c r="BS98" s="405">
        <f>IF(Tech_Specs!$E24="logistic",IF($B24="LED",IF(Tech_Specs!$K24="lamp",Perform_SSL!Q$10,Perform_SSL!Q$11)),)</f>
        <v>193.35230342395749</v>
      </c>
      <c r="BT98" s="405">
        <f>IF(Tech_Specs!$E24="logistic",IF($B24="LED",IF(Tech_Specs!$K24="lamp",Perform_SSL!R$10,Perform_SSL!R$11)),)</f>
        <v>196.11147215578865</v>
      </c>
      <c r="BU98" s="405">
        <f>IF(Tech_Specs!$E24="logistic",IF($B24="LED",IF(Tech_Specs!$K24="lamp",Perform_SSL!S$10,Perform_SSL!S$11)),)</f>
        <v>198.15456111208027</v>
      </c>
      <c r="BV98" s="405">
        <f>IF(Tech_Specs!$E24="logistic",IF($B24="LED",IF(Tech_Specs!$K24="lamp",Perform_SSL!T$10,Perform_SSL!T$11)),)</f>
        <v>199.65744029461996</v>
      </c>
      <c r="BW98" s="405">
        <f>IF(Tech_Specs!$E24="logistic",IF($B24="LED",IF(Tech_Specs!$K24="lamp",Perform_SSL!U$10,Perform_SSL!U$11)),)</f>
        <v>200.75757592848979</v>
      </c>
      <c r="BX98" s="405">
        <f>IF(Tech_Specs!$E24="logistic",IF($B24="LED",IF(Tech_Specs!$K24="lamp",Perform_SSL!V$10,Perform_SSL!V$11)),)</f>
        <v>201.56002861929591</v>
      </c>
      <c r="BY98" s="405">
        <f>IF(Tech_Specs!$E24="logistic",IF($B24="LED",IF(Tech_Specs!$K24="lamp",Perform_SSL!W$10,Perform_SSL!W$11)),)</f>
        <v>202.14382617150503</v>
      </c>
      <c r="BZ98" s="405">
        <f>IF(Tech_Specs!$E24="logistic",IF($B24="LED",IF(Tech_Specs!$K24="lamp",Perform_SSL!X$10,Perform_SSL!X$11)),)</f>
        <v>202.5677447446416</v>
      </c>
      <c r="CA98" s="405">
        <f>IF(Tech_Specs!$E24="logistic",IF($B24="LED",IF(Tech_Specs!$K24="lamp",Perform_SSL!Y$10,Perform_SSL!Y$11)),)</f>
        <v>202.87514562074011</v>
      </c>
      <c r="CB98" s="405">
        <f>IF(Tech_Specs!$E24="logistic",IF($B24="LED",IF(Tech_Specs!$K24="lamp",Perform_SSL!Z$10,Perform_SSL!Z$11)),)</f>
        <v>203.09783237720012</v>
      </c>
      <c r="CC98" s="405">
        <f>IF(Tech_Specs!$E24="logistic",IF($B24="LED",IF(Tech_Specs!$K24="lamp",Perform_SSL!AA$10,Perform_SSL!AA$11)),)</f>
        <v>203.25903410630769</v>
      </c>
      <c r="CD98" s="405">
        <f>IF(Tech_Specs!$E24="logistic",IF($B24="LED",IF(Tech_Specs!$K24="lamp",Perform_SSL!AB$10,Perform_SSL!AB$11)),)</f>
        <v>203.37566609727986</v>
      </c>
      <c r="CE98" s="405">
        <f>IF(Tech_Specs!$E24="logistic",IF($B24="LED",IF(Tech_Specs!$K24="lamp",Perform_SSL!AC$10,Perform_SSL!AC$11)),)</f>
        <v>203.46001922812226</v>
      </c>
      <c r="CF98" s="405">
        <f>IF(Tech_Specs!$E24="logistic",IF($B24="LED",IF(Tech_Specs!$K24="lamp",Perform_SSL!AD$10,Perform_SSL!AD$11)),)</f>
        <v>203.52101022912549</v>
      </c>
      <c r="CG98" s="405">
        <f>IF(Tech_Specs!$E24="logistic",IF($B24="LED",IF(Tech_Specs!$K24="lamp",Perform_SSL!AE$10,Perform_SSL!AE$11)),)</f>
        <v>203.56510065539746</v>
      </c>
      <c r="CH98" s="405">
        <f>IF(Tech_Specs!$E24="logistic",IF($B24="LED",IF(Tech_Specs!$K24="lamp",Perform_SSL!AF$10,Perform_SSL!AF$11)),)</f>
        <v>203.59696908402657</v>
      </c>
      <c r="CJ98" s="625">
        <f>IF(AND(Tech_Specs!$E24="step",Standards_Active!$E25="yes"),IF(CJ$81&lt;Standards_Active!$C25,TREND(Perform_Active!$E25:$F25,Perform_Active!$E$8:$F$8,CJ$81),IF(ISNUMBER(Standards_Active!$I25),IF(AND(CJ$81&gt;=Standards_Active!$C25,CJ$81&lt;Standards_Active!$D25),(Standards_Active!$I25-INDEX($CJ98:$DI98,1,MATCH((Standards_Active!$C25-1),$CJ$81:$DI$81,FALSE)))/(Standards_Active!$D25-(Standards_Active!$C25-1))+CI98,Standards_Active!$I25*((1+Standards_Active!$N25)^(CJ$81-Standards_Active!$D25))),TREND(Perform_Active!$E25:$F25,Perform_Active!$E$8:$F$8,CJ$81))),)</f>
        <v>0</v>
      </c>
      <c r="CK98" s="625">
        <f>IF(AND(Tech_Specs!$E24="step",Standards_Active!$E25="yes"),IF(CK$81&lt;Standards_Active!$C25,TREND(Perform_Active!$E25:$F25,Perform_Active!$E$8:$F$8,CK$81),IF(ISNUMBER(Standards_Active!$I25),IF(AND(CK$81&gt;=Standards_Active!$C25,CK$81&lt;Standards_Active!$D25),(Standards_Active!$I25-INDEX($CJ98:$DI98,1,MATCH((Standards_Active!$C25-1),$CJ$81:$DI$81,FALSE)))/(Standards_Active!$D25-(Standards_Active!$C25-1))+CJ98,Standards_Active!$I25*((1+Standards_Active!$N25)^(CK$81-Standards_Active!$D25))),TREND(Perform_Active!$E25:$F25,Perform_Active!$E$8:$F$8,CK$81))),)</f>
        <v>0</v>
      </c>
      <c r="CL98" s="625">
        <f>IF(AND(Tech_Specs!$E24="step",Standards_Active!$E25="yes"),IF(CL$81&lt;Standards_Active!$C25,TREND(Perform_Active!$E25:$F25,Perform_Active!$E$8:$F$8,CL$81),IF(ISNUMBER(Standards_Active!$I25),IF(AND(CL$81&gt;=Standards_Active!$C25,CL$81&lt;Standards_Active!$D25),(Standards_Active!$I25-INDEX($CJ98:$DI98,1,MATCH((Standards_Active!$C25-1),$CJ$81:$DI$81,FALSE)))/(Standards_Active!$D25-(Standards_Active!$C25-1))+CK98,Standards_Active!$I25*((1+Standards_Active!$N25)^(CL$81-Standards_Active!$D25))),TREND(Perform_Active!$E25:$F25,Perform_Active!$E$8:$F$8,CL$81))),)</f>
        <v>0</v>
      </c>
      <c r="CM98" s="625">
        <f>IF(AND(Tech_Specs!$E24="step",Standards_Active!$E25="yes"),IF(CM$81&lt;Standards_Active!$C25,TREND(Perform_Active!$E25:$F25,Perform_Active!$E$8:$F$8,CM$81),IF(ISNUMBER(Standards_Active!$I25),IF(AND(CM$81&gt;=Standards_Active!$C25,CM$81&lt;Standards_Active!$D25),(Standards_Active!$I25-INDEX($CJ98:$DI98,1,MATCH((Standards_Active!$C25-1),$CJ$81:$DI$81,FALSE)))/(Standards_Active!$D25-(Standards_Active!$C25-1))+CL98,Standards_Active!$I25*((1+Standards_Active!$N25)^(CM$81-Standards_Active!$D25))),TREND(Perform_Active!$E25:$F25,Perform_Active!$E$8:$F$8,CM$81))),)</f>
        <v>0</v>
      </c>
      <c r="CN98" s="625">
        <f>IF(AND(Tech_Specs!$E24="step",Standards_Active!$E25="yes"),IF(CN$81&lt;Standards_Active!$C25,TREND(Perform_Active!$E25:$F25,Perform_Active!$E$8:$F$8,CN$81),IF(ISNUMBER(Standards_Active!$I25),IF(AND(CN$81&gt;=Standards_Active!$C25,CN$81&lt;Standards_Active!$D25),(Standards_Active!$I25-INDEX($CJ98:$DI98,1,MATCH((Standards_Active!$C25-1),$CJ$81:$DI$81,FALSE)))/(Standards_Active!$D25-(Standards_Active!$C25-1))+CM98,Standards_Active!$I25*((1+Standards_Active!$N25)^(CN$81-Standards_Active!$D25))),TREND(Perform_Active!$E25:$F25,Perform_Active!$E$8:$F$8,CN$81))),)</f>
        <v>0</v>
      </c>
      <c r="CO98" s="625">
        <f>IF(AND(Tech_Specs!$E24="step",Standards_Active!$E25="yes"),IF(CO$81&lt;Standards_Active!$C25,TREND(Perform_Active!$E25:$F25,Perform_Active!$E$8:$F$8,CO$81),IF(ISNUMBER(Standards_Active!$I25),IF(AND(CO$81&gt;=Standards_Active!$C25,CO$81&lt;Standards_Active!$D25),(Standards_Active!$I25-INDEX($CJ98:$DI98,1,MATCH((Standards_Active!$C25-1),$CJ$81:$DI$81,FALSE)))/(Standards_Active!$D25-(Standards_Active!$C25-1))+CN98,Standards_Active!$I25*((1+Standards_Active!$N25)^(CO$81-Standards_Active!$D25))),TREND(Perform_Active!$E25:$F25,Perform_Active!$E$8:$F$8,CO$81))),)</f>
        <v>0</v>
      </c>
      <c r="CP98" s="625">
        <f>IF(AND(Tech_Specs!$E24="step",Standards_Active!$E25="yes"),IF(CP$81&lt;Standards_Active!$C25,TREND(Perform_Active!$E25:$F25,Perform_Active!$E$8:$F$8,CP$81),IF(ISNUMBER(Standards_Active!$I25),IF(AND(CP$81&gt;=Standards_Active!$C25,CP$81&lt;Standards_Active!$D25),(Standards_Active!$I25-INDEX($CJ98:$DI98,1,MATCH((Standards_Active!$C25-1),$CJ$81:$DI$81,FALSE)))/(Standards_Active!$D25-(Standards_Active!$C25-1))+CO98,Standards_Active!$I25*((1+Standards_Active!$N25)^(CP$81-Standards_Active!$D25))),TREND(Perform_Active!$E25:$F25,Perform_Active!$E$8:$F$8,CP$81))),)</f>
        <v>0</v>
      </c>
      <c r="CQ98" s="625">
        <f>IF(AND(Tech_Specs!$E24="step",Standards_Active!$E25="yes"),IF(CQ$81&lt;Standards_Active!$C25,TREND(Perform_Active!$E25:$F25,Perform_Active!$E$8:$F$8,CQ$81),IF(ISNUMBER(Standards_Active!$I25),IF(AND(CQ$81&gt;=Standards_Active!$C25,CQ$81&lt;Standards_Active!$D25),(Standards_Active!$I25-INDEX($CJ98:$DI98,1,MATCH((Standards_Active!$C25-1),$CJ$81:$DI$81,FALSE)))/(Standards_Active!$D25-(Standards_Active!$C25-1))+CP98,Standards_Active!$I25*((1+Standards_Active!$N25)^(CQ$81-Standards_Active!$D25))),TREND(Perform_Active!$E25:$F25,Perform_Active!$E$8:$F$8,CQ$81))),)</f>
        <v>0</v>
      </c>
      <c r="CR98" s="625">
        <f>IF(AND(Tech_Specs!$E24="step",Standards_Active!$E25="yes"),IF(CR$81&lt;Standards_Active!$C25,TREND(Perform_Active!$E25:$F25,Perform_Active!$E$8:$F$8,CR$81),IF(ISNUMBER(Standards_Active!$I25),IF(AND(CR$81&gt;=Standards_Active!$C25,CR$81&lt;Standards_Active!$D25),(Standards_Active!$I25-INDEX($CJ98:$DI98,1,MATCH((Standards_Active!$C25-1),$CJ$81:$DI$81,FALSE)))/(Standards_Active!$D25-(Standards_Active!$C25-1))+CQ98,Standards_Active!$I25*((1+Standards_Active!$N25)^(CR$81-Standards_Active!$D25))),TREND(Perform_Active!$E25:$F25,Perform_Active!$E$8:$F$8,CR$81))),)</f>
        <v>0</v>
      </c>
      <c r="CS98" s="625">
        <f>IF(AND(Tech_Specs!$E24="step",Standards_Active!$E25="yes"),IF(CS$81&lt;Standards_Active!$C25,TREND(Perform_Active!$E25:$F25,Perform_Active!$E$8:$F$8,CS$81),IF(ISNUMBER(Standards_Active!$I25),IF(AND(CS$81&gt;=Standards_Active!$C25,CS$81&lt;Standards_Active!$D25),(Standards_Active!$I25-INDEX($CJ98:$DI98,1,MATCH((Standards_Active!$C25-1),$CJ$81:$DI$81,FALSE)))/(Standards_Active!$D25-(Standards_Active!$C25-1))+CR98,Standards_Active!$I25*((1+Standards_Active!$N25)^(CS$81-Standards_Active!$D25))),TREND(Perform_Active!$E25:$F25,Perform_Active!$E$8:$F$8,CS$81))),)</f>
        <v>0</v>
      </c>
      <c r="CT98" s="625">
        <f>IF(AND(Tech_Specs!$E24="step",Standards_Active!$E25="yes"),IF(CT$81&lt;Standards_Active!$C25,TREND(Perform_Active!$E25:$F25,Perform_Active!$E$8:$F$8,CT$81),IF(ISNUMBER(Standards_Active!$I25),IF(AND(CT$81&gt;=Standards_Active!$C25,CT$81&lt;Standards_Active!$D25),(Standards_Active!$I25-INDEX($CJ98:$DI98,1,MATCH((Standards_Active!$C25-1),$CJ$81:$DI$81,FALSE)))/(Standards_Active!$D25-(Standards_Active!$C25-1))+CS98,Standards_Active!$I25*((1+Standards_Active!$N25)^(CT$81-Standards_Active!$D25))),TREND(Perform_Active!$E25:$F25,Perform_Active!$E$8:$F$8,CT$81))),)</f>
        <v>0</v>
      </c>
      <c r="CU98" s="625">
        <f>IF(AND(Tech_Specs!$E24="step",Standards_Active!$E25="yes"),IF(CU$81&lt;Standards_Active!$C25,TREND(Perform_Active!$E25:$F25,Perform_Active!$E$8:$F$8,CU$81),IF(ISNUMBER(Standards_Active!$I25),IF(AND(CU$81&gt;=Standards_Active!$C25,CU$81&lt;Standards_Active!$D25),(Standards_Active!$I25-INDEX($CJ98:$DI98,1,MATCH((Standards_Active!$C25-1),$CJ$81:$DI$81,FALSE)))/(Standards_Active!$D25-(Standards_Active!$C25-1))+CT98,Standards_Active!$I25*((1+Standards_Active!$N25)^(CU$81-Standards_Active!$D25))),TREND(Perform_Active!$E25:$F25,Perform_Active!$E$8:$F$8,CU$81))),)</f>
        <v>0</v>
      </c>
      <c r="CV98" s="625">
        <f>IF(AND(Tech_Specs!$E24="step",Standards_Active!$E25="yes"),IF(CV$81&lt;Standards_Active!$C25,TREND(Perform_Active!$E25:$F25,Perform_Active!$E$8:$F$8,CV$81),IF(ISNUMBER(Standards_Active!$I25),IF(AND(CV$81&gt;=Standards_Active!$C25,CV$81&lt;Standards_Active!$D25),(Standards_Active!$I25-INDEX($CJ98:$DI98,1,MATCH((Standards_Active!$C25-1),$CJ$81:$DI$81,FALSE)))/(Standards_Active!$D25-(Standards_Active!$C25-1))+CU98,Standards_Active!$I25*((1+Standards_Active!$N25)^(CV$81-Standards_Active!$D25))),TREND(Perform_Active!$E25:$F25,Perform_Active!$E$8:$F$8,CV$81))),)</f>
        <v>0</v>
      </c>
      <c r="CW98" s="625">
        <f>IF(AND(Tech_Specs!$E24="step",Standards_Active!$E25="yes"),IF(CW$81&lt;Standards_Active!$C25,TREND(Perform_Active!$E25:$F25,Perform_Active!$E$8:$F$8,CW$81),IF(ISNUMBER(Standards_Active!$I25),IF(AND(CW$81&gt;=Standards_Active!$C25,CW$81&lt;Standards_Active!$D25),(Standards_Active!$I25-INDEX($CJ98:$DI98,1,MATCH((Standards_Active!$C25-1),$CJ$81:$DI$81,FALSE)))/(Standards_Active!$D25-(Standards_Active!$C25-1))+CV98,Standards_Active!$I25*((1+Standards_Active!$N25)^(CW$81-Standards_Active!$D25))),TREND(Perform_Active!$E25:$F25,Perform_Active!$E$8:$F$8,CW$81))),)</f>
        <v>0</v>
      </c>
      <c r="CX98" s="625">
        <f>IF(AND(Tech_Specs!$E24="step",Standards_Active!$E25="yes"),IF(CX$81&lt;Standards_Active!$C25,TREND(Perform_Active!$E25:$F25,Perform_Active!$E$8:$F$8,CX$81),IF(ISNUMBER(Standards_Active!$I25),IF(AND(CX$81&gt;=Standards_Active!$C25,CX$81&lt;Standards_Active!$D25),(Standards_Active!$I25-INDEX($CJ98:$DI98,1,MATCH((Standards_Active!$C25-1),$CJ$81:$DI$81,FALSE)))/(Standards_Active!$D25-(Standards_Active!$C25-1))+CW98,Standards_Active!$I25*((1+Standards_Active!$N25)^(CX$81-Standards_Active!$D25))),TREND(Perform_Active!$E25:$F25,Perform_Active!$E$8:$F$8,CX$81))),)</f>
        <v>0</v>
      </c>
      <c r="CY98" s="625">
        <f>IF(AND(Tech_Specs!$E24="step",Standards_Active!$E25="yes"),IF(CY$81&lt;Standards_Active!$C25,TREND(Perform_Active!$E25:$F25,Perform_Active!$E$8:$F$8,CY$81),IF(ISNUMBER(Standards_Active!$I25),IF(AND(CY$81&gt;=Standards_Active!$C25,CY$81&lt;Standards_Active!$D25),(Standards_Active!$I25-INDEX($CJ98:$DI98,1,MATCH((Standards_Active!$C25-1),$CJ$81:$DI$81,FALSE)))/(Standards_Active!$D25-(Standards_Active!$C25-1))+CX98,Standards_Active!$I25*((1+Standards_Active!$N25)^(CY$81-Standards_Active!$D25))),TREND(Perform_Active!$E25:$F25,Perform_Active!$E$8:$F$8,CY$81))),)</f>
        <v>0</v>
      </c>
      <c r="CZ98" s="625">
        <f>IF(AND(Tech_Specs!$E24="step",Standards_Active!$E25="yes"),IF(CZ$81&lt;Standards_Active!$C25,TREND(Perform_Active!$E25:$F25,Perform_Active!$E$8:$F$8,CZ$81),IF(ISNUMBER(Standards_Active!$I25),IF(AND(CZ$81&gt;=Standards_Active!$C25,CZ$81&lt;Standards_Active!$D25),(Standards_Active!$I25-INDEX($CJ98:$DI98,1,MATCH((Standards_Active!$C25-1),$CJ$81:$DI$81,FALSE)))/(Standards_Active!$D25-(Standards_Active!$C25-1))+CY98,Standards_Active!$I25*((1+Standards_Active!$N25)^(CZ$81-Standards_Active!$D25))),TREND(Perform_Active!$E25:$F25,Perform_Active!$E$8:$F$8,CZ$81))),)</f>
        <v>0</v>
      </c>
      <c r="DA98" s="625">
        <f>IF(AND(Tech_Specs!$E24="step",Standards_Active!$E25="yes"),IF(DA$81&lt;Standards_Active!$C25,TREND(Perform_Active!$E25:$F25,Perform_Active!$E$8:$F$8,DA$81),IF(ISNUMBER(Standards_Active!$I25),IF(AND(DA$81&gt;=Standards_Active!$C25,DA$81&lt;Standards_Active!$D25),(Standards_Active!$I25-INDEX($CJ98:$DI98,1,MATCH((Standards_Active!$C25-1),$CJ$81:$DI$81,FALSE)))/(Standards_Active!$D25-(Standards_Active!$C25-1))+CZ98,Standards_Active!$I25*((1+Standards_Active!$N25)^(DA$81-Standards_Active!$D25))),TREND(Perform_Active!$E25:$F25,Perform_Active!$E$8:$F$8,DA$81))),)</f>
        <v>0</v>
      </c>
      <c r="DB98" s="625">
        <f>IF(AND(Tech_Specs!$E24="step",Standards_Active!$E25="yes"),IF(DB$81&lt;Standards_Active!$C25,TREND(Perform_Active!$E25:$F25,Perform_Active!$E$8:$F$8,DB$81),IF(ISNUMBER(Standards_Active!$I25),IF(AND(DB$81&gt;=Standards_Active!$C25,DB$81&lt;Standards_Active!$D25),(Standards_Active!$I25-INDEX($CJ98:$DI98,1,MATCH((Standards_Active!$C25-1),$CJ$81:$DI$81,FALSE)))/(Standards_Active!$D25-(Standards_Active!$C25-1))+DA98,Standards_Active!$I25*((1+Standards_Active!$N25)^(DB$81-Standards_Active!$D25))),TREND(Perform_Active!$E25:$F25,Perform_Active!$E$8:$F$8,DB$81))),)</f>
        <v>0</v>
      </c>
      <c r="DC98" s="625">
        <f>IF(AND(Tech_Specs!$E24="step",Standards_Active!$E25="yes"),IF(DC$81&lt;Standards_Active!$C25,TREND(Perform_Active!$E25:$F25,Perform_Active!$E$8:$F$8,DC$81),IF(ISNUMBER(Standards_Active!$I25),IF(AND(DC$81&gt;=Standards_Active!$C25,DC$81&lt;Standards_Active!$D25),(Standards_Active!$I25-INDEX($CJ98:$DI98,1,MATCH((Standards_Active!$C25-1),$CJ$81:$DI$81,FALSE)))/(Standards_Active!$D25-(Standards_Active!$C25-1))+DB98,Standards_Active!$I25*((1+Standards_Active!$N25)^(DC$81-Standards_Active!$D25))),TREND(Perform_Active!$E25:$F25,Perform_Active!$E$8:$F$8,DC$81))),)</f>
        <v>0</v>
      </c>
      <c r="DD98" s="625">
        <f>IF(AND(Tech_Specs!$E24="step",Standards_Active!$E25="yes"),IF(DD$81&lt;Standards_Active!$C25,TREND(Perform_Active!$E25:$F25,Perform_Active!$E$8:$F$8,DD$81),IF(ISNUMBER(Standards_Active!$I25),IF(AND(DD$81&gt;=Standards_Active!$C25,DD$81&lt;Standards_Active!$D25),(Standards_Active!$I25-INDEX($CJ98:$DI98,1,MATCH((Standards_Active!$C25-1),$CJ$81:$DI$81,FALSE)))/(Standards_Active!$D25-(Standards_Active!$C25-1))+DC98,Standards_Active!$I25*((1+Standards_Active!$N25)^(DD$81-Standards_Active!$D25))),TREND(Perform_Active!$E25:$F25,Perform_Active!$E$8:$F$8,DD$81))),)</f>
        <v>0</v>
      </c>
      <c r="DE98" s="625">
        <f>IF(AND(Tech_Specs!$E24="step",Standards_Active!$E25="yes"),IF(DE$81&lt;Standards_Active!$C25,TREND(Perform_Active!$E25:$F25,Perform_Active!$E$8:$F$8,DE$81),IF(ISNUMBER(Standards_Active!$I25),IF(AND(DE$81&gt;=Standards_Active!$C25,DE$81&lt;Standards_Active!$D25),(Standards_Active!$I25-INDEX($CJ98:$DI98,1,MATCH((Standards_Active!$C25-1),$CJ$81:$DI$81,FALSE)))/(Standards_Active!$D25-(Standards_Active!$C25-1))+DD98,Standards_Active!$I25*((1+Standards_Active!$N25)^(DE$81-Standards_Active!$D25))),TREND(Perform_Active!$E25:$F25,Perform_Active!$E$8:$F$8,DE$81))),)</f>
        <v>0</v>
      </c>
      <c r="DF98" s="625">
        <f>IF(AND(Tech_Specs!$E24="step",Standards_Active!$E25="yes"),IF(DF$81&lt;Standards_Active!$C25,TREND(Perform_Active!$E25:$F25,Perform_Active!$E$8:$F$8,DF$81),IF(ISNUMBER(Standards_Active!$I25),IF(AND(DF$81&gt;=Standards_Active!$C25,DF$81&lt;Standards_Active!$D25),(Standards_Active!$I25-INDEX($CJ98:$DI98,1,MATCH((Standards_Active!$C25-1),$CJ$81:$DI$81,FALSE)))/(Standards_Active!$D25-(Standards_Active!$C25-1))+DE98,Standards_Active!$I25*((1+Standards_Active!$N25)^(DF$81-Standards_Active!$D25))),TREND(Perform_Active!$E25:$F25,Perform_Active!$E$8:$F$8,DF$81))),)</f>
        <v>0</v>
      </c>
      <c r="DG98" s="625">
        <f>IF(AND(Tech_Specs!$E24="step",Standards_Active!$E25="yes"),IF(DG$81&lt;Standards_Active!$C25,TREND(Perform_Active!$E25:$F25,Perform_Active!$E$8:$F$8,DG$81),IF(ISNUMBER(Standards_Active!$I25),IF(AND(DG$81&gt;=Standards_Active!$C25,DG$81&lt;Standards_Active!$D25),(Standards_Active!$I25-INDEX($CJ98:$DI98,1,MATCH((Standards_Active!$C25-1),$CJ$81:$DI$81,FALSE)))/(Standards_Active!$D25-(Standards_Active!$C25-1))+DF98,Standards_Active!$I25*((1+Standards_Active!$N25)^(DG$81-Standards_Active!$D25))),TREND(Perform_Active!$E25:$F25,Perform_Active!$E$8:$F$8,DG$81))),)</f>
        <v>0</v>
      </c>
      <c r="DH98" s="625">
        <f>IF(AND(Tech_Specs!$E24="step",Standards_Active!$E25="yes"),IF(DH$81&lt;Standards_Active!$C25,TREND(Perform_Active!$E25:$F25,Perform_Active!$E$8:$F$8,DH$81),IF(ISNUMBER(Standards_Active!$I25),IF(AND(DH$81&gt;=Standards_Active!$C25,DH$81&lt;Standards_Active!$D25),(Standards_Active!$I25-INDEX($CJ98:$DI98,1,MATCH((Standards_Active!$C25-1),$CJ$81:$DI$81,FALSE)))/(Standards_Active!$D25-(Standards_Active!$C25-1))+DG98,Standards_Active!$I25*((1+Standards_Active!$N25)^(DH$81-Standards_Active!$D25))),TREND(Perform_Active!$E25:$F25,Perform_Active!$E$8:$F$8,DH$81))),)</f>
        <v>0</v>
      </c>
      <c r="DI98" s="625">
        <f>IF(AND(Tech_Specs!$E24="step",Standards_Active!$E25="yes"),IF(DI$81&lt;Standards_Active!$C25,TREND(Perform_Active!$E25:$F25,Perform_Active!$E$8:$F$8,DI$81),IF(ISNUMBER(Standards_Active!$I25),IF(AND(DI$81&gt;=Standards_Active!$C25,DI$81&lt;Standards_Active!$D25),(Standards_Active!$I25-INDEX($CJ98:$DI98,1,MATCH((Standards_Active!$C25-1),$CJ$81:$DI$81,FALSE)))/(Standards_Active!$D25-(Standards_Active!$C25-1))+DH98,Standards_Active!$I25*((1+Standards_Active!$N25)^(DI$81-Standards_Active!$D25))),TREND(Perform_Active!$E25:$F25,Perform_Active!$E$8:$F$8,DI$81))),)</f>
        <v>0</v>
      </c>
    </row>
    <row r="99" spans="1:113" s="376" customFormat="1" ht="12.6" x14ac:dyDescent="0.25">
      <c r="D99" s="550"/>
      <c r="E99" s="550"/>
      <c r="F99" s="550"/>
    </row>
    <row r="100" spans="1:113" s="376" customFormat="1" ht="12.95" x14ac:dyDescent="0.3">
      <c r="A100" s="384" t="s">
        <v>42</v>
      </c>
      <c r="B100" s="383"/>
      <c r="C100" s="387"/>
      <c r="D100" s="387"/>
      <c r="E100" s="387"/>
      <c r="F100" s="387"/>
      <c r="G100" s="391"/>
      <c r="H100" s="391"/>
      <c r="I100" s="391"/>
      <c r="J100" s="391"/>
      <c r="K100" s="391"/>
      <c r="L100" s="391"/>
      <c r="M100" s="391"/>
      <c r="N100" s="391"/>
      <c r="O100" s="391"/>
      <c r="P100" s="391"/>
      <c r="Q100" s="391"/>
      <c r="R100" s="391"/>
      <c r="S100" s="391"/>
      <c r="T100" s="391"/>
      <c r="U100" s="391"/>
      <c r="V100" s="391"/>
      <c r="W100" s="391"/>
      <c r="X100" s="391"/>
      <c r="Y100" s="391"/>
      <c r="Z100" s="391"/>
      <c r="AA100" s="391"/>
      <c r="AB100" s="391"/>
      <c r="AC100" s="391"/>
      <c r="AD100" s="391"/>
      <c r="AE100" s="391"/>
      <c r="AF100" s="391"/>
      <c r="AH100" s="383"/>
      <c r="AI100" s="383"/>
      <c r="AJ100" s="383"/>
      <c r="AK100" s="383"/>
      <c r="AL100" s="383"/>
      <c r="AM100" s="383"/>
      <c r="AN100" s="383"/>
      <c r="AO100" s="383"/>
      <c r="AP100" s="383"/>
      <c r="AQ100" s="383"/>
      <c r="AR100" s="383"/>
      <c r="AS100" s="383"/>
      <c r="AT100" s="383"/>
      <c r="AU100" s="383"/>
      <c r="AV100" s="383"/>
      <c r="AW100" s="383"/>
      <c r="AX100" s="383"/>
      <c r="AY100" s="383"/>
      <c r="AZ100" s="383"/>
      <c r="BA100" s="383"/>
      <c r="BB100" s="383"/>
      <c r="BC100" s="383"/>
      <c r="BD100" s="383"/>
      <c r="BE100" s="383"/>
      <c r="BF100" s="383"/>
      <c r="BG100" s="383"/>
      <c r="BI100" s="383"/>
      <c r="BJ100" s="383"/>
      <c r="BK100" s="383"/>
      <c r="BL100" s="383"/>
      <c r="BM100" s="383"/>
      <c r="BN100" s="383"/>
      <c r="BO100" s="383"/>
      <c r="BP100" s="383"/>
      <c r="BQ100" s="383"/>
      <c r="BR100" s="383"/>
      <c r="BS100" s="383"/>
      <c r="BT100" s="383"/>
      <c r="BU100" s="383"/>
      <c r="BV100" s="383"/>
      <c r="BW100" s="383"/>
      <c r="BX100" s="383"/>
      <c r="BY100" s="383"/>
      <c r="BZ100" s="383"/>
      <c r="CA100" s="383"/>
      <c r="CB100" s="383"/>
      <c r="CC100" s="383"/>
      <c r="CD100" s="383"/>
      <c r="CE100" s="383"/>
      <c r="CF100" s="383"/>
      <c r="CG100" s="383"/>
      <c r="CH100" s="383"/>
      <c r="CJ100" s="383"/>
      <c r="CK100" s="383"/>
      <c r="CL100" s="383"/>
      <c r="CM100" s="383"/>
      <c r="CN100" s="383"/>
      <c r="CO100" s="383"/>
      <c r="CP100" s="383"/>
      <c r="CQ100" s="383"/>
      <c r="CR100" s="383"/>
      <c r="CS100" s="383"/>
      <c r="CT100" s="383"/>
      <c r="CU100" s="383"/>
      <c r="CV100" s="383"/>
      <c r="CW100" s="383"/>
      <c r="CX100" s="383"/>
      <c r="CY100" s="383"/>
      <c r="CZ100" s="383"/>
      <c r="DA100" s="383"/>
      <c r="DB100" s="383"/>
      <c r="DC100" s="383"/>
      <c r="DD100" s="383"/>
      <c r="DE100" s="383"/>
      <c r="DF100" s="383"/>
      <c r="DG100" s="383"/>
      <c r="DH100" s="383"/>
      <c r="DI100" s="383"/>
    </row>
    <row r="101" spans="1:113" s="376" customFormat="1" ht="12.6" x14ac:dyDescent="0.25">
      <c r="B101" s="388" t="s">
        <v>43</v>
      </c>
      <c r="C101" s="388"/>
      <c r="D101" s="552"/>
      <c r="E101" s="552"/>
      <c r="F101" s="552"/>
      <c r="G101" s="390">
        <f t="shared" ref="G101:P105" si="30">SUM(AH101,BI101,CJ101)</f>
        <v>33.376777077251838</v>
      </c>
      <c r="H101" s="390">
        <f t="shared" si="30"/>
        <v>33.376777077251838</v>
      </c>
      <c r="I101" s="390">
        <f t="shared" si="30"/>
        <v>33.376777077251838</v>
      </c>
      <c r="J101" s="390">
        <f t="shared" si="30"/>
        <v>33.376777077251838</v>
      </c>
      <c r="K101" s="390">
        <f t="shared" si="30"/>
        <v>33.376777077251838</v>
      </c>
      <c r="L101" s="390">
        <f t="shared" si="30"/>
        <v>33.376777077251838</v>
      </c>
      <c r="M101" s="390">
        <f t="shared" si="30"/>
        <v>33.376777077251838</v>
      </c>
      <c r="N101" s="390">
        <f t="shared" si="30"/>
        <v>33.376777077251838</v>
      </c>
      <c r="O101" s="390">
        <f t="shared" si="30"/>
        <v>33.376777077251838</v>
      </c>
      <c r="P101" s="390">
        <f t="shared" si="30"/>
        <v>33.376777077251838</v>
      </c>
      <c r="Q101" s="390">
        <f t="shared" ref="Q101:Z105" si="31">SUM(AR101,BS101,CT101)</f>
        <v>33.376777077251838</v>
      </c>
      <c r="R101" s="390">
        <f t="shared" si="31"/>
        <v>33.376777077251838</v>
      </c>
      <c r="S101" s="390">
        <f t="shared" si="31"/>
        <v>33.376777077251838</v>
      </c>
      <c r="T101" s="390">
        <f t="shared" si="31"/>
        <v>33.376777077251838</v>
      </c>
      <c r="U101" s="390">
        <f t="shared" si="31"/>
        <v>33.376777077251838</v>
      </c>
      <c r="V101" s="390">
        <f t="shared" si="31"/>
        <v>33.376777077251838</v>
      </c>
      <c r="W101" s="390">
        <f t="shared" si="31"/>
        <v>33.376777077251838</v>
      </c>
      <c r="X101" s="390">
        <f t="shared" si="31"/>
        <v>33.376777077251838</v>
      </c>
      <c r="Y101" s="390">
        <f t="shared" si="31"/>
        <v>33.376777077251838</v>
      </c>
      <c r="Z101" s="390">
        <f t="shared" si="31"/>
        <v>33.376777077251838</v>
      </c>
      <c r="AA101" s="390">
        <f t="shared" ref="AA101:AF105" si="32">SUM(BB101,CC101,DD101)</f>
        <v>33.376777077251838</v>
      </c>
      <c r="AB101" s="390">
        <f t="shared" si="32"/>
        <v>33.376777077251838</v>
      </c>
      <c r="AC101" s="390">
        <f t="shared" si="32"/>
        <v>33.376777077251838</v>
      </c>
      <c r="AD101" s="390">
        <f t="shared" si="32"/>
        <v>33.376777077251838</v>
      </c>
      <c r="AE101" s="390">
        <f t="shared" si="32"/>
        <v>33.376777077251838</v>
      </c>
      <c r="AF101" s="390">
        <f t="shared" si="32"/>
        <v>33.376777077251838</v>
      </c>
      <c r="AH101" s="405">
        <f>IF(Tech_Specs!$E27="linear",TREND(Perform_Active!$E28:$F28,Perform_Active!$E$8:$F$8,AH$81),)</f>
        <v>33.376777077251838</v>
      </c>
      <c r="AI101" s="405">
        <f>IF(Tech_Specs!$E27="linear",TREND(Perform_Active!$E28:$F28,Perform_Active!$E$8:$F$8,AI$81),)</f>
        <v>33.376777077251838</v>
      </c>
      <c r="AJ101" s="405">
        <f>IF(Tech_Specs!$E27="linear",TREND(Perform_Active!$E28:$F28,Perform_Active!$E$8:$F$8,AJ$81),)</f>
        <v>33.376777077251838</v>
      </c>
      <c r="AK101" s="405">
        <f>IF(Tech_Specs!$E27="linear",TREND(Perform_Active!$E28:$F28,Perform_Active!$E$8:$F$8,AK$81),)</f>
        <v>33.376777077251838</v>
      </c>
      <c r="AL101" s="405">
        <f>IF(Tech_Specs!$E27="linear",TREND(Perform_Active!$E28:$F28,Perform_Active!$E$8:$F$8,AL$81),)</f>
        <v>33.376777077251838</v>
      </c>
      <c r="AM101" s="405">
        <f>IF(Tech_Specs!$E27="linear",TREND(Perform_Active!$E28:$F28,Perform_Active!$E$8:$F$8,AM$81),)</f>
        <v>33.376777077251838</v>
      </c>
      <c r="AN101" s="405">
        <f>IF(Tech_Specs!$E27="linear",TREND(Perform_Active!$E28:$F28,Perform_Active!$E$8:$F$8,AN$81),)</f>
        <v>33.376777077251838</v>
      </c>
      <c r="AO101" s="405">
        <f>IF(Tech_Specs!$E27="linear",TREND(Perform_Active!$E28:$F28,Perform_Active!$E$8:$F$8,AO$81),)</f>
        <v>33.376777077251838</v>
      </c>
      <c r="AP101" s="405">
        <f>IF(Tech_Specs!$E27="linear",TREND(Perform_Active!$E28:$F28,Perform_Active!$E$8:$F$8,AP$81),)</f>
        <v>33.376777077251838</v>
      </c>
      <c r="AQ101" s="405">
        <f>IF(Tech_Specs!$E27="linear",TREND(Perform_Active!$E28:$F28,Perform_Active!$E$8:$F$8,AQ$81),)</f>
        <v>33.376777077251838</v>
      </c>
      <c r="AR101" s="405">
        <f>IF(Tech_Specs!$E27="linear",TREND(Perform_Active!$E28:$F28,Perform_Active!$E$8:$F$8,AR$81),)</f>
        <v>33.376777077251838</v>
      </c>
      <c r="AS101" s="405">
        <f>IF(Tech_Specs!$E27="linear",TREND(Perform_Active!$E28:$F28,Perform_Active!$E$8:$F$8,AS$81),)</f>
        <v>33.376777077251838</v>
      </c>
      <c r="AT101" s="405">
        <f>IF(Tech_Specs!$E27="linear",TREND(Perform_Active!$E28:$F28,Perform_Active!$E$8:$F$8,AT$81),)</f>
        <v>33.376777077251838</v>
      </c>
      <c r="AU101" s="405">
        <f>IF(Tech_Specs!$E27="linear",TREND(Perform_Active!$E28:$F28,Perform_Active!$E$8:$F$8,AU$81),)</f>
        <v>33.376777077251838</v>
      </c>
      <c r="AV101" s="405">
        <f>IF(Tech_Specs!$E27="linear",TREND(Perform_Active!$E28:$F28,Perform_Active!$E$8:$F$8,AV$81),)</f>
        <v>33.376777077251838</v>
      </c>
      <c r="AW101" s="405">
        <f>IF(Tech_Specs!$E27="linear",TREND(Perform_Active!$E28:$F28,Perform_Active!$E$8:$F$8,AW$81),)</f>
        <v>33.376777077251838</v>
      </c>
      <c r="AX101" s="405">
        <f>IF(Tech_Specs!$E27="linear",TREND(Perform_Active!$E28:$F28,Perform_Active!$E$8:$F$8,AX$81),)</f>
        <v>33.376777077251838</v>
      </c>
      <c r="AY101" s="405">
        <f>IF(Tech_Specs!$E27="linear",TREND(Perform_Active!$E28:$F28,Perform_Active!$E$8:$F$8,AY$81),)</f>
        <v>33.376777077251838</v>
      </c>
      <c r="AZ101" s="405">
        <f>IF(Tech_Specs!$E27="linear",TREND(Perform_Active!$E28:$F28,Perform_Active!$E$8:$F$8,AZ$81),)</f>
        <v>33.376777077251838</v>
      </c>
      <c r="BA101" s="405">
        <f>IF(Tech_Specs!$E27="linear",TREND(Perform_Active!$E28:$F28,Perform_Active!$E$8:$F$8,BA$81),)</f>
        <v>33.376777077251838</v>
      </c>
      <c r="BB101" s="405">
        <f>IF(Tech_Specs!$E27="linear",TREND(Perform_Active!$E28:$F28,Perform_Active!$E$8:$F$8,BB$81),)</f>
        <v>33.376777077251838</v>
      </c>
      <c r="BC101" s="405">
        <f>IF(Tech_Specs!$E27="linear",TREND(Perform_Active!$E28:$F28,Perform_Active!$E$8:$F$8,BC$81),)</f>
        <v>33.376777077251838</v>
      </c>
      <c r="BD101" s="405">
        <f>IF(Tech_Specs!$E27="linear",TREND(Perform_Active!$E28:$F28,Perform_Active!$E$8:$F$8,BD$81),)</f>
        <v>33.376777077251838</v>
      </c>
      <c r="BE101" s="405">
        <f>IF(Tech_Specs!$E27="linear",TREND(Perform_Active!$E28:$F28,Perform_Active!$E$8:$F$8,BE$81),)</f>
        <v>33.376777077251838</v>
      </c>
      <c r="BF101" s="405">
        <f>IF(Tech_Specs!$E27="linear",TREND(Perform_Active!$E28:$F28,Perform_Active!$E$8:$F$8,BF$81),)</f>
        <v>33.376777077251838</v>
      </c>
      <c r="BG101" s="405">
        <f>IF(Tech_Specs!$E27="linear",TREND(Perform_Active!$E28:$F28,Perform_Active!$E$8:$F$8,BG$81),)</f>
        <v>33.376777077251838</v>
      </c>
      <c r="BI101" s="405">
        <f>IF(Tech_Specs!$E27="logistic",IF($B27="LED",IF(Tech_Specs!$K27="lamp",Perform_SSL!G$10,Perform_SSL!G$11)),)</f>
        <v>0</v>
      </c>
      <c r="BJ101" s="405">
        <f>IF(Tech_Specs!$E27="logistic",IF($B27="LED",IF(Tech_Specs!$K27="lamp",Perform_SSL!H$10,Perform_SSL!H$11)),)</f>
        <v>0</v>
      </c>
      <c r="BK101" s="405">
        <f>IF(Tech_Specs!$E27="logistic",IF($B27="LED",IF(Tech_Specs!$K27="lamp",Perform_SSL!I$10,Perform_SSL!I$11)),)</f>
        <v>0</v>
      </c>
      <c r="BL101" s="405">
        <f>IF(Tech_Specs!$E27="logistic",IF($B27="LED",IF(Tech_Specs!$K27="lamp",Perform_SSL!J$10,Perform_SSL!J$11)),)</f>
        <v>0</v>
      </c>
      <c r="BM101" s="405">
        <f>IF(Tech_Specs!$E27="logistic",IF($B27="LED",IF(Tech_Specs!$K27="lamp",Perform_SSL!K$10,Perform_SSL!K$11)),)</f>
        <v>0</v>
      </c>
      <c r="BN101" s="405">
        <f>IF(Tech_Specs!$E27="logistic",IF($B27="LED",IF(Tech_Specs!$K27="lamp",Perform_SSL!L$10,Perform_SSL!L$11)),)</f>
        <v>0</v>
      </c>
      <c r="BO101" s="405">
        <f>IF(Tech_Specs!$E27="logistic",IF($B27="LED",IF(Tech_Specs!$K27="lamp",Perform_SSL!M$10,Perform_SSL!M$11)),)</f>
        <v>0</v>
      </c>
      <c r="BP101" s="405">
        <f>IF(Tech_Specs!$E27="logistic",IF($B27="LED",IF(Tech_Specs!$K27="lamp",Perform_SSL!N$10,Perform_SSL!N$11)),)</f>
        <v>0</v>
      </c>
      <c r="BQ101" s="405">
        <f>IF(Tech_Specs!$E27="logistic",IF($B27="LED",IF(Tech_Specs!$K27="lamp",Perform_SSL!O$10,Perform_SSL!O$11)),)</f>
        <v>0</v>
      </c>
      <c r="BR101" s="405">
        <f>IF(Tech_Specs!$E27="logistic",IF($B27="LED",IF(Tech_Specs!$K27="lamp",Perform_SSL!P$10,Perform_SSL!P$11)),)</f>
        <v>0</v>
      </c>
      <c r="BS101" s="405">
        <f>IF(Tech_Specs!$E27="logistic",IF($B27="LED",IF(Tech_Specs!$K27="lamp",Perform_SSL!Q$10,Perform_SSL!Q$11)),)</f>
        <v>0</v>
      </c>
      <c r="BT101" s="405">
        <f>IF(Tech_Specs!$E27="logistic",IF($B27="LED",IF(Tech_Specs!$K27="lamp",Perform_SSL!R$10,Perform_SSL!R$11)),)</f>
        <v>0</v>
      </c>
      <c r="BU101" s="405">
        <f>IF(Tech_Specs!$E27="logistic",IF($B27="LED",IF(Tech_Specs!$K27="lamp",Perform_SSL!S$10,Perform_SSL!S$11)),)</f>
        <v>0</v>
      </c>
      <c r="BV101" s="405">
        <f>IF(Tech_Specs!$E27="logistic",IF($B27="LED",IF(Tech_Specs!$K27="lamp",Perform_SSL!T$10,Perform_SSL!T$11)),)</f>
        <v>0</v>
      </c>
      <c r="BW101" s="405">
        <f>IF(Tech_Specs!$E27="logistic",IF($B27="LED",IF(Tech_Specs!$K27="lamp",Perform_SSL!U$10,Perform_SSL!U$11)),)</f>
        <v>0</v>
      </c>
      <c r="BX101" s="405">
        <f>IF(Tech_Specs!$E27="logistic",IF($B27="LED",IF(Tech_Specs!$K27="lamp",Perform_SSL!V$10,Perform_SSL!V$11)),)</f>
        <v>0</v>
      </c>
      <c r="BY101" s="405">
        <f>IF(Tech_Specs!$E27="logistic",IF($B27="LED",IF(Tech_Specs!$K27="lamp",Perform_SSL!W$10,Perform_SSL!W$11)),)</f>
        <v>0</v>
      </c>
      <c r="BZ101" s="405">
        <f>IF(Tech_Specs!$E27="logistic",IF($B27="LED",IF(Tech_Specs!$K27="lamp",Perform_SSL!X$10,Perform_SSL!X$11)),)</f>
        <v>0</v>
      </c>
      <c r="CA101" s="405">
        <f>IF(Tech_Specs!$E27="logistic",IF($B27="LED",IF(Tech_Specs!$K27="lamp",Perform_SSL!Y$10,Perform_SSL!Y$11)),)</f>
        <v>0</v>
      </c>
      <c r="CB101" s="405">
        <f>IF(Tech_Specs!$E27="logistic",IF($B27="LED",IF(Tech_Specs!$K27="lamp",Perform_SSL!Z$10,Perform_SSL!Z$11)),)</f>
        <v>0</v>
      </c>
      <c r="CC101" s="405">
        <f>IF(Tech_Specs!$E27="logistic",IF($B27="LED",IF(Tech_Specs!$K27="lamp",Perform_SSL!AA$10,Perform_SSL!AA$11)),)</f>
        <v>0</v>
      </c>
      <c r="CD101" s="405">
        <f>IF(Tech_Specs!$E27="logistic",IF($B27="LED",IF(Tech_Specs!$K27="lamp",Perform_SSL!AB$10,Perform_SSL!AB$11)),)</f>
        <v>0</v>
      </c>
      <c r="CE101" s="405">
        <f>IF(Tech_Specs!$E27="logistic",IF($B27="LED",IF(Tech_Specs!$K27="lamp",Perform_SSL!AC$10,Perform_SSL!AC$11)),)</f>
        <v>0</v>
      </c>
      <c r="CF101" s="405">
        <f>IF(Tech_Specs!$E27="logistic",IF($B27="LED",IF(Tech_Specs!$K27="lamp",Perform_SSL!AD$10,Perform_SSL!AD$11)),)</f>
        <v>0</v>
      </c>
      <c r="CG101" s="405">
        <f>IF(Tech_Specs!$E27="logistic",IF($B27="LED",IF(Tech_Specs!$K27="lamp",Perform_SSL!AE$10,Perform_SSL!AE$11)),)</f>
        <v>0</v>
      </c>
      <c r="CH101" s="405">
        <f>IF(Tech_Specs!$E27="logistic",IF($B27="LED",IF(Tech_Specs!$K27="lamp",Perform_SSL!AF$10,Perform_SSL!AF$11)),)</f>
        <v>0</v>
      </c>
      <c r="CJ101" s="625">
        <f>IF(AND(Tech_Specs!$E27="step",Standards_Active!$E28="yes"),IF(CJ$81&lt;Standards_Active!$C28,TREND(Perform_Active!$E28:$F28,Perform_Active!$E$8:$F$8,CJ$81),IF(ISNUMBER(Standards_Active!$I28),IF(AND(CJ$81&gt;=Standards_Active!$C28,CJ$81&lt;Standards_Active!$D28),(Standards_Active!$I28-INDEX($CJ101:$DI101,1,MATCH((Standards_Active!$C28-1),$CJ$81:$DI$81,FALSE)))/(Standards_Active!$D28-(Standards_Active!$C28-1))+CI101,Standards_Active!$I28*((1+Standards_Active!$N28)^(CJ$81-Standards_Active!$D28))),TREND(Perform_Active!$E28:$F28,Perform_Active!$E$8:$F$8,CJ$81))),)</f>
        <v>0</v>
      </c>
      <c r="CK101" s="625">
        <f>IF(AND(Tech_Specs!$E27="step",Standards_Active!$E28="yes"),IF(CK$81&lt;Standards_Active!$C28,TREND(Perform_Active!$E28:$F28,Perform_Active!$E$8:$F$8,CK$81),IF(ISNUMBER(Standards_Active!$I28),IF(AND(CK$81&gt;=Standards_Active!$C28,CK$81&lt;Standards_Active!$D28),(Standards_Active!$I28-INDEX($CJ101:$DI101,1,MATCH((Standards_Active!$C28-1),$CJ$81:$DI$81,FALSE)))/(Standards_Active!$D28-(Standards_Active!$C28-1))+CJ101,Standards_Active!$I28*((1+Standards_Active!$N28)^(CK$81-Standards_Active!$D28))),TREND(Perform_Active!$E28:$F28,Perform_Active!$E$8:$F$8,CK$81))),)</f>
        <v>0</v>
      </c>
      <c r="CL101" s="625">
        <f>IF(AND(Tech_Specs!$E27="step",Standards_Active!$E28="yes"),IF(CL$81&lt;Standards_Active!$C28,TREND(Perform_Active!$E28:$F28,Perform_Active!$E$8:$F$8,CL$81),IF(ISNUMBER(Standards_Active!$I28),IF(AND(CL$81&gt;=Standards_Active!$C28,CL$81&lt;Standards_Active!$D28),(Standards_Active!$I28-INDEX($CJ101:$DI101,1,MATCH((Standards_Active!$C28-1),$CJ$81:$DI$81,FALSE)))/(Standards_Active!$D28-(Standards_Active!$C28-1))+CK101,Standards_Active!$I28*((1+Standards_Active!$N28)^(CL$81-Standards_Active!$D28))),TREND(Perform_Active!$E28:$F28,Perform_Active!$E$8:$F$8,CL$81))),)</f>
        <v>0</v>
      </c>
      <c r="CM101" s="625">
        <f>IF(AND(Tech_Specs!$E27="step",Standards_Active!$E28="yes"),IF(CM$81&lt;Standards_Active!$C28,TREND(Perform_Active!$E28:$F28,Perform_Active!$E$8:$F$8,CM$81),IF(ISNUMBER(Standards_Active!$I28),IF(AND(CM$81&gt;=Standards_Active!$C28,CM$81&lt;Standards_Active!$D28),(Standards_Active!$I28-INDEX($CJ101:$DI101,1,MATCH((Standards_Active!$C28-1),$CJ$81:$DI$81,FALSE)))/(Standards_Active!$D28-(Standards_Active!$C28-1))+CL101,Standards_Active!$I28*((1+Standards_Active!$N28)^(CM$81-Standards_Active!$D28))),TREND(Perform_Active!$E28:$F28,Perform_Active!$E$8:$F$8,CM$81))),)</f>
        <v>0</v>
      </c>
      <c r="CN101" s="625">
        <f>IF(AND(Tech_Specs!$E27="step",Standards_Active!$E28="yes"),IF(CN$81&lt;Standards_Active!$C28,TREND(Perform_Active!$E28:$F28,Perform_Active!$E$8:$F$8,CN$81),IF(ISNUMBER(Standards_Active!$I28),IF(AND(CN$81&gt;=Standards_Active!$C28,CN$81&lt;Standards_Active!$D28),(Standards_Active!$I28-INDEX($CJ101:$DI101,1,MATCH((Standards_Active!$C28-1),$CJ$81:$DI$81,FALSE)))/(Standards_Active!$D28-(Standards_Active!$C28-1))+CM101,Standards_Active!$I28*((1+Standards_Active!$N28)^(CN$81-Standards_Active!$D28))),TREND(Perform_Active!$E28:$F28,Perform_Active!$E$8:$F$8,CN$81))),)</f>
        <v>0</v>
      </c>
      <c r="CO101" s="625">
        <f>IF(AND(Tech_Specs!$E27="step",Standards_Active!$E28="yes"),IF(CO$81&lt;Standards_Active!$C28,TREND(Perform_Active!$E28:$F28,Perform_Active!$E$8:$F$8,CO$81),IF(ISNUMBER(Standards_Active!$I28),IF(AND(CO$81&gt;=Standards_Active!$C28,CO$81&lt;Standards_Active!$D28),(Standards_Active!$I28-INDEX($CJ101:$DI101,1,MATCH((Standards_Active!$C28-1),$CJ$81:$DI$81,FALSE)))/(Standards_Active!$D28-(Standards_Active!$C28-1))+CN101,Standards_Active!$I28*((1+Standards_Active!$N28)^(CO$81-Standards_Active!$D28))),TREND(Perform_Active!$E28:$F28,Perform_Active!$E$8:$F$8,CO$81))),)</f>
        <v>0</v>
      </c>
      <c r="CP101" s="625">
        <f>IF(AND(Tech_Specs!$E27="step",Standards_Active!$E28="yes"),IF(CP$81&lt;Standards_Active!$C28,TREND(Perform_Active!$E28:$F28,Perform_Active!$E$8:$F$8,CP$81),IF(ISNUMBER(Standards_Active!$I28),IF(AND(CP$81&gt;=Standards_Active!$C28,CP$81&lt;Standards_Active!$D28),(Standards_Active!$I28-INDEX($CJ101:$DI101,1,MATCH((Standards_Active!$C28-1),$CJ$81:$DI$81,FALSE)))/(Standards_Active!$D28-(Standards_Active!$C28-1))+CO101,Standards_Active!$I28*((1+Standards_Active!$N28)^(CP$81-Standards_Active!$D28))),TREND(Perform_Active!$E28:$F28,Perform_Active!$E$8:$F$8,CP$81))),)</f>
        <v>0</v>
      </c>
      <c r="CQ101" s="625">
        <f>IF(AND(Tech_Specs!$E27="step",Standards_Active!$E28="yes"),IF(CQ$81&lt;Standards_Active!$C28,TREND(Perform_Active!$E28:$F28,Perform_Active!$E$8:$F$8,CQ$81),IF(ISNUMBER(Standards_Active!$I28),IF(AND(CQ$81&gt;=Standards_Active!$C28,CQ$81&lt;Standards_Active!$D28),(Standards_Active!$I28-INDEX($CJ101:$DI101,1,MATCH((Standards_Active!$C28-1),$CJ$81:$DI$81,FALSE)))/(Standards_Active!$D28-(Standards_Active!$C28-1))+CP101,Standards_Active!$I28*((1+Standards_Active!$N28)^(CQ$81-Standards_Active!$D28))),TREND(Perform_Active!$E28:$F28,Perform_Active!$E$8:$F$8,CQ$81))),)</f>
        <v>0</v>
      </c>
      <c r="CR101" s="625">
        <f>IF(AND(Tech_Specs!$E27="step",Standards_Active!$E28="yes"),IF(CR$81&lt;Standards_Active!$C28,TREND(Perform_Active!$E28:$F28,Perform_Active!$E$8:$F$8,CR$81),IF(ISNUMBER(Standards_Active!$I28),IF(AND(CR$81&gt;=Standards_Active!$C28,CR$81&lt;Standards_Active!$D28),(Standards_Active!$I28-INDEX($CJ101:$DI101,1,MATCH((Standards_Active!$C28-1),$CJ$81:$DI$81,FALSE)))/(Standards_Active!$D28-(Standards_Active!$C28-1))+CQ101,Standards_Active!$I28*((1+Standards_Active!$N28)^(CR$81-Standards_Active!$D28))),TREND(Perform_Active!$E28:$F28,Perform_Active!$E$8:$F$8,CR$81))),)</f>
        <v>0</v>
      </c>
      <c r="CS101" s="625">
        <f>IF(AND(Tech_Specs!$E27="step",Standards_Active!$E28="yes"),IF(CS$81&lt;Standards_Active!$C28,TREND(Perform_Active!$E28:$F28,Perform_Active!$E$8:$F$8,CS$81),IF(ISNUMBER(Standards_Active!$I28),IF(AND(CS$81&gt;=Standards_Active!$C28,CS$81&lt;Standards_Active!$D28),(Standards_Active!$I28-INDEX($CJ101:$DI101,1,MATCH((Standards_Active!$C28-1),$CJ$81:$DI$81,FALSE)))/(Standards_Active!$D28-(Standards_Active!$C28-1))+CR101,Standards_Active!$I28*((1+Standards_Active!$N28)^(CS$81-Standards_Active!$D28))),TREND(Perform_Active!$E28:$F28,Perform_Active!$E$8:$F$8,CS$81))),)</f>
        <v>0</v>
      </c>
      <c r="CT101" s="625">
        <f>IF(AND(Tech_Specs!$E27="step",Standards_Active!$E28="yes"),IF(CT$81&lt;Standards_Active!$C28,TREND(Perform_Active!$E28:$F28,Perform_Active!$E$8:$F$8,CT$81),IF(ISNUMBER(Standards_Active!$I28),IF(AND(CT$81&gt;=Standards_Active!$C28,CT$81&lt;Standards_Active!$D28),(Standards_Active!$I28-INDEX($CJ101:$DI101,1,MATCH((Standards_Active!$C28-1),$CJ$81:$DI$81,FALSE)))/(Standards_Active!$D28-(Standards_Active!$C28-1))+CS101,Standards_Active!$I28*((1+Standards_Active!$N28)^(CT$81-Standards_Active!$D28))),TREND(Perform_Active!$E28:$F28,Perform_Active!$E$8:$F$8,CT$81))),)</f>
        <v>0</v>
      </c>
      <c r="CU101" s="625">
        <f>IF(AND(Tech_Specs!$E27="step",Standards_Active!$E28="yes"),IF(CU$81&lt;Standards_Active!$C28,TREND(Perform_Active!$E28:$F28,Perform_Active!$E$8:$F$8,CU$81),IF(ISNUMBER(Standards_Active!$I28),IF(AND(CU$81&gt;=Standards_Active!$C28,CU$81&lt;Standards_Active!$D28),(Standards_Active!$I28-INDEX($CJ101:$DI101,1,MATCH((Standards_Active!$C28-1),$CJ$81:$DI$81,FALSE)))/(Standards_Active!$D28-(Standards_Active!$C28-1))+CT101,Standards_Active!$I28*((1+Standards_Active!$N28)^(CU$81-Standards_Active!$D28))),TREND(Perform_Active!$E28:$F28,Perform_Active!$E$8:$F$8,CU$81))),)</f>
        <v>0</v>
      </c>
      <c r="CV101" s="625">
        <f>IF(AND(Tech_Specs!$E27="step",Standards_Active!$E28="yes"),IF(CV$81&lt;Standards_Active!$C28,TREND(Perform_Active!$E28:$F28,Perform_Active!$E$8:$F$8,CV$81),IF(ISNUMBER(Standards_Active!$I28),IF(AND(CV$81&gt;=Standards_Active!$C28,CV$81&lt;Standards_Active!$D28),(Standards_Active!$I28-INDEX($CJ101:$DI101,1,MATCH((Standards_Active!$C28-1),$CJ$81:$DI$81,FALSE)))/(Standards_Active!$D28-(Standards_Active!$C28-1))+CU101,Standards_Active!$I28*((1+Standards_Active!$N28)^(CV$81-Standards_Active!$D28))),TREND(Perform_Active!$E28:$F28,Perform_Active!$E$8:$F$8,CV$81))),)</f>
        <v>0</v>
      </c>
      <c r="CW101" s="625">
        <f>IF(AND(Tech_Specs!$E27="step",Standards_Active!$E28="yes"),IF(CW$81&lt;Standards_Active!$C28,TREND(Perform_Active!$E28:$F28,Perform_Active!$E$8:$F$8,CW$81),IF(ISNUMBER(Standards_Active!$I28),IF(AND(CW$81&gt;=Standards_Active!$C28,CW$81&lt;Standards_Active!$D28),(Standards_Active!$I28-INDEX($CJ101:$DI101,1,MATCH((Standards_Active!$C28-1),$CJ$81:$DI$81,FALSE)))/(Standards_Active!$D28-(Standards_Active!$C28-1))+CV101,Standards_Active!$I28*((1+Standards_Active!$N28)^(CW$81-Standards_Active!$D28))),TREND(Perform_Active!$E28:$F28,Perform_Active!$E$8:$F$8,CW$81))),)</f>
        <v>0</v>
      </c>
      <c r="CX101" s="625">
        <f>IF(AND(Tech_Specs!$E27="step",Standards_Active!$E28="yes"),IF(CX$81&lt;Standards_Active!$C28,TREND(Perform_Active!$E28:$F28,Perform_Active!$E$8:$F$8,CX$81),IF(ISNUMBER(Standards_Active!$I28),IF(AND(CX$81&gt;=Standards_Active!$C28,CX$81&lt;Standards_Active!$D28),(Standards_Active!$I28-INDEX($CJ101:$DI101,1,MATCH((Standards_Active!$C28-1),$CJ$81:$DI$81,FALSE)))/(Standards_Active!$D28-(Standards_Active!$C28-1))+CW101,Standards_Active!$I28*((1+Standards_Active!$N28)^(CX$81-Standards_Active!$D28))),TREND(Perform_Active!$E28:$F28,Perform_Active!$E$8:$F$8,CX$81))),)</f>
        <v>0</v>
      </c>
      <c r="CY101" s="625">
        <f>IF(AND(Tech_Specs!$E27="step",Standards_Active!$E28="yes"),IF(CY$81&lt;Standards_Active!$C28,TREND(Perform_Active!$E28:$F28,Perform_Active!$E$8:$F$8,CY$81),IF(ISNUMBER(Standards_Active!$I28),IF(AND(CY$81&gt;=Standards_Active!$C28,CY$81&lt;Standards_Active!$D28),(Standards_Active!$I28-INDEX($CJ101:$DI101,1,MATCH((Standards_Active!$C28-1),$CJ$81:$DI$81,FALSE)))/(Standards_Active!$D28-(Standards_Active!$C28-1))+CX101,Standards_Active!$I28*((1+Standards_Active!$N28)^(CY$81-Standards_Active!$D28))),TREND(Perform_Active!$E28:$F28,Perform_Active!$E$8:$F$8,CY$81))),)</f>
        <v>0</v>
      </c>
      <c r="CZ101" s="625">
        <f>IF(AND(Tech_Specs!$E27="step",Standards_Active!$E28="yes"),IF(CZ$81&lt;Standards_Active!$C28,TREND(Perform_Active!$E28:$F28,Perform_Active!$E$8:$F$8,CZ$81),IF(ISNUMBER(Standards_Active!$I28),IF(AND(CZ$81&gt;=Standards_Active!$C28,CZ$81&lt;Standards_Active!$D28),(Standards_Active!$I28-INDEX($CJ101:$DI101,1,MATCH((Standards_Active!$C28-1),$CJ$81:$DI$81,FALSE)))/(Standards_Active!$D28-(Standards_Active!$C28-1))+CY101,Standards_Active!$I28*((1+Standards_Active!$N28)^(CZ$81-Standards_Active!$D28))),TREND(Perform_Active!$E28:$F28,Perform_Active!$E$8:$F$8,CZ$81))),)</f>
        <v>0</v>
      </c>
      <c r="DA101" s="625">
        <f>IF(AND(Tech_Specs!$E27="step",Standards_Active!$E28="yes"),IF(DA$81&lt;Standards_Active!$C28,TREND(Perform_Active!$E28:$F28,Perform_Active!$E$8:$F$8,DA$81),IF(ISNUMBER(Standards_Active!$I28),IF(AND(DA$81&gt;=Standards_Active!$C28,DA$81&lt;Standards_Active!$D28),(Standards_Active!$I28-INDEX($CJ101:$DI101,1,MATCH((Standards_Active!$C28-1),$CJ$81:$DI$81,FALSE)))/(Standards_Active!$D28-(Standards_Active!$C28-1))+CZ101,Standards_Active!$I28*((1+Standards_Active!$N28)^(DA$81-Standards_Active!$D28))),TREND(Perform_Active!$E28:$F28,Perform_Active!$E$8:$F$8,DA$81))),)</f>
        <v>0</v>
      </c>
      <c r="DB101" s="625">
        <f>IF(AND(Tech_Specs!$E27="step",Standards_Active!$E28="yes"),IF(DB$81&lt;Standards_Active!$C28,TREND(Perform_Active!$E28:$F28,Perform_Active!$E$8:$F$8,DB$81),IF(ISNUMBER(Standards_Active!$I28),IF(AND(DB$81&gt;=Standards_Active!$C28,DB$81&lt;Standards_Active!$D28),(Standards_Active!$I28-INDEX($CJ101:$DI101,1,MATCH((Standards_Active!$C28-1),$CJ$81:$DI$81,FALSE)))/(Standards_Active!$D28-(Standards_Active!$C28-1))+DA101,Standards_Active!$I28*((1+Standards_Active!$N28)^(DB$81-Standards_Active!$D28))),TREND(Perform_Active!$E28:$F28,Perform_Active!$E$8:$F$8,DB$81))),)</f>
        <v>0</v>
      </c>
      <c r="DC101" s="625">
        <f>IF(AND(Tech_Specs!$E27="step",Standards_Active!$E28="yes"),IF(DC$81&lt;Standards_Active!$C28,TREND(Perform_Active!$E28:$F28,Perform_Active!$E$8:$F$8,DC$81),IF(ISNUMBER(Standards_Active!$I28),IF(AND(DC$81&gt;=Standards_Active!$C28,DC$81&lt;Standards_Active!$D28),(Standards_Active!$I28-INDEX($CJ101:$DI101,1,MATCH((Standards_Active!$C28-1),$CJ$81:$DI$81,FALSE)))/(Standards_Active!$D28-(Standards_Active!$C28-1))+DB101,Standards_Active!$I28*((1+Standards_Active!$N28)^(DC$81-Standards_Active!$D28))),TREND(Perform_Active!$E28:$F28,Perform_Active!$E$8:$F$8,DC$81))),)</f>
        <v>0</v>
      </c>
      <c r="DD101" s="625">
        <f>IF(AND(Tech_Specs!$E27="step",Standards_Active!$E28="yes"),IF(DD$81&lt;Standards_Active!$C28,TREND(Perform_Active!$E28:$F28,Perform_Active!$E$8:$F$8,DD$81),IF(ISNUMBER(Standards_Active!$I28),IF(AND(DD$81&gt;=Standards_Active!$C28,DD$81&lt;Standards_Active!$D28),(Standards_Active!$I28-INDEX($CJ101:$DI101,1,MATCH((Standards_Active!$C28-1),$CJ$81:$DI$81,FALSE)))/(Standards_Active!$D28-(Standards_Active!$C28-1))+DC101,Standards_Active!$I28*((1+Standards_Active!$N28)^(DD$81-Standards_Active!$D28))),TREND(Perform_Active!$E28:$F28,Perform_Active!$E$8:$F$8,DD$81))),)</f>
        <v>0</v>
      </c>
      <c r="DE101" s="625">
        <f>IF(AND(Tech_Specs!$E27="step",Standards_Active!$E28="yes"),IF(DE$81&lt;Standards_Active!$C28,TREND(Perform_Active!$E28:$F28,Perform_Active!$E$8:$F$8,DE$81),IF(ISNUMBER(Standards_Active!$I28),IF(AND(DE$81&gt;=Standards_Active!$C28,DE$81&lt;Standards_Active!$D28),(Standards_Active!$I28-INDEX($CJ101:$DI101,1,MATCH((Standards_Active!$C28-1),$CJ$81:$DI$81,FALSE)))/(Standards_Active!$D28-(Standards_Active!$C28-1))+DD101,Standards_Active!$I28*((1+Standards_Active!$N28)^(DE$81-Standards_Active!$D28))),TREND(Perform_Active!$E28:$F28,Perform_Active!$E$8:$F$8,DE$81))),)</f>
        <v>0</v>
      </c>
      <c r="DF101" s="625">
        <f>IF(AND(Tech_Specs!$E27="step",Standards_Active!$E28="yes"),IF(DF$81&lt;Standards_Active!$C28,TREND(Perform_Active!$E28:$F28,Perform_Active!$E$8:$F$8,DF$81),IF(ISNUMBER(Standards_Active!$I28),IF(AND(DF$81&gt;=Standards_Active!$C28,DF$81&lt;Standards_Active!$D28),(Standards_Active!$I28-INDEX($CJ101:$DI101,1,MATCH((Standards_Active!$C28-1),$CJ$81:$DI$81,FALSE)))/(Standards_Active!$D28-(Standards_Active!$C28-1))+DE101,Standards_Active!$I28*((1+Standards_Active!$N28)^(DF$81-Standards_Active!$D28))),TREND(Perform_Active!$E28:$F28,Perform_Active!$E$8:$F$8,DF$81))),)</f>
        <v>0</v>
      </c>
      <c r="DG101" s="625">
        <f>IF(AND(Tech_Specs!$E27="step",Standards_Active!$E28="yes"),IF(DG$81&lt;Standards_Active!$C28,TREND(Perform_Active!$E28:$F28,Perform_Active!$E$8:$F$8,DG$81),IF(ISNUMBER(Standards_Active!$I28),IF(AND(DG$81&gt;=Standards_Active!$C28,DG$81&lt;Standards_Active!$D28),(Standards_Active!$I28-INDEX($CJ101:$DI101,1,MATCH((Standards_Active!$C28-1),$CJ$81:$DI$81,FALSE)))/(Standards_Active!$D28-(Standards_Active!$C28-1))+DF101,Standards_Active!$I28*((1+Standards_Active!$N28)^(DG$81-Standards_Active!$D28))),TREND(Perform_Active!$E28:$F28,Perform_Active!$E$8:$F$8,DG$81))),)</f>
        <v>0</v>
      </c>
      <c r="DH101" s="625">
        <f>IF(AND(Tech_Specs!$E27="step",Standards_Active!$E28="yes"),IF(DH$81&lt;Standards_Active!$C28,TREND(Perform_Active!$E28:$F28,Perform_Active!$E$8:$F$8,DH$81),IF(ISNUMBER(Standards_Active!$I28),IF(AND(DH$81&gt;=Standards_Active!$C28,DH$81&lt;Standards_Active!$D28),(Standards_Active!$I28-INDEX($CJ101:$DI101,1,MATCH((Standards_Active!$C28-1),$CJ$81:$DI$81,FALSE)))/(Standards_Active!$D28-(Standards_Active!$C28-1))+DG101,Standards_Active!$I28*((1+Standards_Active!$N28)^(DH$81-Standards_Active!$D28))),TREND(Perform_Active!$E28:$F28,Perform_Active!$E$8:$F$8,DH$81))),)</f>
        <v>0</v>
      </c>
      <c r="DI101" s="625">
        <f>IF(AND(Tech_Specs!$E27="step",Standards_Active!$E28="yes"),IF(DI$81&lt;Standards_Active!$C28,TREND(Perform_Active!$E28:$F28,Perform_Active!$E$8:$F$8,DI$81),IF(ISNUMBER(Standards_Active!$I28),IF(AND(DI$81&gt;=Standards_Active!$C28,DI$81&lt;Standards_Active!$D28),(Standards_Active!$I28-INDEX($CJ101:$DI101,1,MATCH((Standards_Active!$C28-1),$CJ$81:$DI$81,FALSE)))/(Standards_Active!$D28-(Standards_Active!$C28-1))+DH101,Standards_Active!$I28*((1+Standards_Active!$N28)^(DI$81-Standards_Active!$D28))),TREND(Perform_Active!$E28:$F28,Perform_Active!$E$8:$F$8,DI$81))),)</f>
        <v>0</v>
      </c>
    </row>
    <row r="102" spans="1:113" s="376" customFormat="1" ht="12.6" x14ac:dyDescent="0.25">
      <c r="B102" s="388" t="s">
        <v>44</v>
      </c>
      <c r="D102" s="550"/>
      <c r="E102" s="550"/>
      <c r="F102" s="550"/>
      <c r="G102" s="390">
        <f t="shared" si="30"/>
        <v>56.044443000881529</v>
      </c>
      <c r="H102" s="390">
        <f t="shared" si="30"/>
        <v>56.464776323388151</v>
      </c>
      <c r="I102" s="390">
        <f t="shared" si="30"/>
        <v>56.885109645894772</v>
      </c>
      <c r="J102" s="390">
        <f t="shared" si="30"/>
        <v>57.305442968401394</v>
      </c>
      <c r="K102" s="390">
        <f t="shared" si="30"/>
        <v>57.725776290908016</v>
      </c>
      <c r="L102" s="390">
        <f t="shared" si="30"/>
        <v>58.146109613414637</v>
      </c>
      <c r="M102" s="390">
        <f t="shared" si="30"/>
        <v>58.566442935921259</v>
      </c>
      <c r="N102" s="390">
        <f t="shared" si="30"/>
        <v>58.986776258427881</v>
      </c>
      <c r="O102" s="390">
        <f t="shared" si="30"/>
        <v>59.407109580934502</v>
      </c>
      <c r="P102" s="390">
        <f t="shared" si="30"/>
        <v>59.827442903441124</v>
      </c>
      <c r="Q102" s="390">
        <f t="shared" si="31"/>
        <v>60.247776225947632</v>
      </c>
      <c r="R102" s="390">
        <f t="shared" si="31"/>
        <v>60.668109548454254</v>
      </c>
      <c r="S102" s="390">
        <f t="shared" si="31"/>
        <v>61.088442870960876</v>
      </c>
      <c r="T102" s="390">
        <f t="shared" si="31"/>
        <v>61.508776193467497</v>
      </c>
      <c r="U102" s="390">
        <f t="shared" si="31"/>
        <v>61.929109515974119</v>
      </c>
      <c r="V102" s="390">
        <f t="shared" si="31"/>
        <v>62.349442838480741</v>
      </c>
      <c r="W102" s="390">
        <f t="shared" si="31"/>
        <v>62.769776160987362</v>
      </c>
      <c r="X102" s="390">
        <f t="shared" si="31"/>
        <v>63.190109483493984</v>
      </c>
      <c r="Y102" s="390">
        <f t="shared" si="31"/>
        <v>63.610442806000606</v>
      </c>
      <c r="Z102" s="390">
        <f t="shared" si="31"/>
        <v>64.030776128507227</v>
      </c>
      <c r="AA102" s="390">
        <f t="shared" si="32"/>
        <v>64.451109451013849</v>
      </c>
      <c r="AB102" s="390">
        <f t="shared" si="32"/>
        <v>64.871442773520357</v>
      </c>
      <c r="AC102" s="390">
        <f t="shared" si="32"/>
        <v>65.291776096026979</v>
      </c>
      <c r="AD102" s="390">
        <f t="shared" si="32"/>
        <v>65.712109418533601</v>
      </c>
      <c r="AE102" s="390">
        <f t="shared" si="32"/>
        <v>66.132442741040222</v>
      </c>
      <c r="AF102" s="390">
        <f t="shared" si="32"/>
        <v>66.552776063546844</v>
      </c>
      <c r="AH102" s="405">
        <f>IF(Tech_Specs!$E28="linear",TREND(Perform_Active!$E29:$F29,Perform_Active!$E$8:$F$8,AH$81),)</f>
        <v>56.044443000881529</v>
      </c>
      <c r="AI102" s="405">
        <f>IF(Tech_Specs!$E28="linear",TREND(Perform_Active!$E29:$F29,Perform_Active!$E$8:$F$8,AI$81),)</f>
        <v>56.464776323388151</v>
      </c>
      <c r="AJ102" s="405">
        <f>IF(Tech_Specs!$E28="linear",TREND(Perform_Active!$E29:$F29,Perform_Active!$E$8:$F$8,AJ$81),)</f>
        <v>56.885109645894772</v>
      </c>
      <c r="AK102" s="405">
        <f>IF(Tech_Specs!$E28="linear",TREND(Perform_Active!$E29:$F29,Perform_Active!$E$8:$F$8,AK$81),)</f>
        <v>57.305442968401394</v>
      </c>
      <c r="AL102" s="405">
        <f>IF(Tech_Specs!$E28="linear",TREND(Perform_Active!$E29:$F29,Perform_Active!$E$8:$F$8,AL$81),)</f>
        <v>57.725776290908016</v>
      </c>
      <c r="AM102" s="405">
        <f>IF(Tech_Specs!$E28="linear",TREND(Perform_Active!$E29:$F29,Perform_Active!$E$8:$F$8,AM$81),)</f>
        <v>58.146109613414637</v>
      </c>
      <c r="AN102" s="405">
        <f>IF(Tech_Specs!$E28="linear",TREND(Perform_Active!$E29:$F29,Perform_Active!$E$8:$F$8,AN$81),)</f>
        <v>58.566442935921259</v>
      </c>
      <c r="AO102" s="405">
        <f>IF(Tech_Specs!$E28="linear",TREND(Perform_Active!$E29:$F29,Perform_Active!$E$8:$F$8,AO$81),)</f>
        <v>58.986776258427881</v>
      </c>
      <c r="AP102" s="405">
        <f>IF(Tech_Specs!$E28="linear",TREND(Perform_Active!$E29:$F29,Perform_Active!$E$8:$F$8,AP$81),)</f>
        <v>59.407109580934502</v>
      </c>
      <c r="AQ102" s="405">
        <f>IF(Tech_Specs!$E28="linear",TREND(Perform_Active!$E29:$F29,Perform_Active!$E$8:$F$8,AQ$81),)</f>
        <v>59.827442903441124</v>
      </c>
      <c r="AR102" s="405">
        <f>IF(Tech_Specs!$E28="linear",TREND(Perform_Active!$E29:$F29,Perform_Active!$E$8:$F$8,AR$81),)</f>
        <v>60.247776225947632</v>
      </c>
      <c r="AS102" s="405">
        <f>IF(Tech_Specs!$E28="linear",TREND(Perform_Active!$E29:$F29,Perform_Active!$E$8:$F$8,AS$81),)</f>
        <v>60.668109548454254</v>
      </c>
      <c r="AT102" s="405">
        <f>IF(Tech_Specs!$E28="linear",TREND(Perform_Active!$E29:$F29,Perform_Active!$E$8:$F$8,AT$81),)</f>
        <v>61.088442870960876</v>
      </c>
      <c r="AU102" s="405">
        <f>IF(Tech_Specs!$E28="linear",TREND(Perform_Active!$E29:$F29,Perform_Active!$E$8:$F$8,AU$81),)</f>
        <v>61.508776193467497</v>
      </c>
      <c r="AV102" s="405">
        <f>IF(Tech_Specs!$E28="linear",TREND(Perform_Active!$E29:$F29,Perform_Active!$E$8:$F$8,AV$81),)</f>
        <v>61.929109515974119</v>
      </c>
      <c r="AW102" s="405">
        <f>IF(Tech_Specs!$E28="linear",TREND(Perform_Active!$E29:$F29,Perform_Active!$E$8:$F$8,AW$81),)</f>
        <v>62.349442838480741</v>
      </c>
      <c r="AX102" s="405">
        <f>IF(Tech_Specs!$E28="linear",TREND(Perform_Active!$E29:$F29,Perform_Active!$E$8:$F$8,AX$81),)</f>
        <v>62.769776160987362</v>
      </c>
      <c r="AY102" s="405">
        <f>IF(Tech_Specs!$E28="linear",TREND(Perform_Active!$E29:$F29,Perform_Active!$E$8:$F$8,AY$81),)</f>
        <v>63.190109483493984</v>
      </c>
      <c r="AZ102" s="405">
        <f>IF(Tech_Specs!$E28="linear",TREND(Perform_Active!$E29:$F29,Perform_Active!$E$8:$F$8,AZ$81),)</f>
        <v>63.610442806000606</v>
      </c>
      <c r="BA102" s="405">
        <f>IF(Tech_Specs!$E28="linear",TREND(Perform_Active!$E29:$F29,Perform_Active!$E$8:$F$8,BA$81),)</f>
        <v>64.030776128507227</v>
      </c>
      <c r="BB102" s="405">
        <f>IF(Tech_Specs!$E28="linear",TREND(Perform_Active!$E29:$F29,Perform_Active!$E$8:$F$8,BB$81),)</f>
        <v>64.451109451013849</v>
      </c>
      <c r="BC102" s="405">
        <f>IF(Tech_Specs!$E28="linear",TREND(Perform_Active!$E29:$F29,Perform_Active!$E$8:$F$8,BC$81),)</f>
        <v>64.871442773520357</v>
      </c>
      <c r="BD102" s="405">
        <f>IF(Tech_Specs!$E28="linear",TREND(Perform_Active!$E29:$F29,Perform_Active!$E$8:$F$8,BD$81),)</f>
        <v>65.291776096026979</v>
      </c>
      <c r="BE102" s="405">
        <f>IF(Tech_Specs!$E28="linear",TREND(Perform_Active!$E29:$F29,Perform_Active!$E$8:$F$8,BE$81),)</f>
        <v>65.712109418533601</v>
      </c>
      <c r="BF102" s="405">
        <f>IF(Tech_Specs!$E28="linear",TREND(Perform_Active!$E29:$F29,Perform_Active!$E$8:$F$8,BF$81),)</f>
        <v>66.132442741040222</v>
      </c>
      <c r="BG102" s="405">
        <f>IF(Tech_Specs!$E28="linear",TREND(Perform_Active!$E29:$F29,Perform_Active!$E$8:$F$8,BG$81),)</f>
        <v>66.552776063546844</v>
      </c>
      <c r="BI102" s="405">
        <f>IF(Tech_Specs!$E28="logistic",IF($B28="LED",IF(Tech_Specs!$K28="lamp",Perform_SSL!G$10,Perform_SSL!G$11)),)</f>
        <v>0</v>
      </c>
      <c r="BJ102" s="405">
        <f>IF(Tech_Specs!$E28="logistic",IF($B28="LED",IF(Tech_Specs!$K28="lamp",Perform_SSL!H$10,Perform_SSL!H$11)),)</f>
        <v>0</v>
      </c>
      <c r="BK102" s="405">
        <f>IF(Tech_Specs!$E28="logistic",IF($B28="LED",IF(Tech_Specs!$K28="lamp",Perform_SSL!I$10,Perform_SSL!I$11)),)</f>
        <v>0</v>
      </c>
      <c r="BL102" s="405">
        <f>IF(Tech_Specs!$E28="logistic",IF($B28="LED",IF(Tech_Specs!$K28="lamp",Perform_SSL!J$10,Perform_SSL!J$11)),)</f>
        <v>0</v>
      </c>
      <c r="BM102" s="405">
        <f>IF(Tech_Specs!$E28="logistic",IF($B28="LED",IF(Tech_Specs!$K28="lamp",Perform_SSL!K$10,Perform_SSL!K$11)),)</f>
        <v>0</v>
      </c>
      <c r="BN102" s="405">
        <f>IF(Tech_Specs!$E28="logistic",IF($B28="LED",IF(Tech_Specs!$K28="lamp",Perform_SSL!L$10,Perform_SSL!L$11)),)</f>
        <v>0</v>
      </c>
      <c r="BO102" s="405">
        <f>IF(Tech_Specs!$E28="logistic",IF($B28="LED",IF(Tech_Specs!$K28="lamp",Perform_SSL!M$10,Perform_SSL!M$11)),)</f>
        <v>0</v>
      </c>
      <c r="BP102" s="405">
        <f>IF(Tech_Specs!$E28="logistic",IF($B28="LED",IF(Tech_Specs!$K28="lamp",Perform_SSL!N$10,Perform_SSL!N$11)),)</f>
        <v>0</v>
      </c>
      <c r="BQ102" s="405">
        <f>IF(Tech_Specs!$E28="logistic",IF($B28="LED",IF(Tech_Specs!$K28="lamp",Perform_SSL!O$10,Perform_SSL!O$11)),)</f>
        <v>0</v>
      </c>
      <c r="BR102" s="405">
        <f>IF(Tech_Specs!$E28="logistic",IF($B28="LED",IF(Tech_Specs!$K28="lamp",Perform_SSL!P$10,Perform_SSL!P$11)),)</f>
        <v>0</v>
      </c>
      <c r="BS102" s="405">
        <f>IF(Tech_Specs!$E28="logistic",IF($B28="LED",IF(Tech_Specs!$K28="lamp",Perform_SSL!Q$10,Perform_SSL!Q$11)),)</f>
        <v>0</v>
      </c>
      <c r="BT102" s="405">
        <f>IF(Tech_Specs!$E28="logistic",IF($B28="LED",IF(Tech_Specs!$K28="lamp",Perform_SSL!R$10,Perform_SSL!R$11)),)</f>
        <v>0</v>
      </c>
      <c r="BU102" s="405">
        <f>IF(Tech_Specs!$E28="logistic",IF($B28="LED",IF(Tech_Specs!$K28="lamp",Perform_SSL!S$10,Perform_SSL!S$11)),)</f>
        <v>0</v>
      </c>
      <c r="BV102" s="405">
        <f>IF(Tech_Specs!$E28="logistic",IF($B28="LED",IF(Tech_Specs!$K28="lamp",Perform_SSL!T$10,Perform_SSL!T$11)),)</f>
        <v>0</v>
      </c>
      <c r="BW102" s="405">
        <f>IF(Tech_Specs!$E28="logistic",IF($B28="LED",IF(Tech_Specs!$K28="lamp",Perform_SSL!U$10,Perform_SSL!U$11)),)</f>
        <v>0</v>
      </c>
      <c r="BX102" s="405">
        <f>IF(Tech_Specs!$E28="logistic",IF($B28="LED",IF(Tech_Specs!$K28="lamp",Perform_SSL!V$10,Perform_SSL!V$11)),)</f>
        <v>0</v>
      </c>
      <c r="BY102" s="405">
        <f>IF(Tech_Specs!$E28="logistic",IF($B28="LED",IF(Tech_Specs!$K28="lamp",Perform_SSL!W$10,Perform_SSL!W$11)),)</f>
        <v>0</v>
      </c>
      <c r="BZ102" s="405">
        <f>IF(Tech_Specs!$E28="logistic",IF($B28="LED",IF(Tech_Specs!$K28="lamp",Perform_SSL!X$10,Perform_SSL!X$11)),)</f>
        <v>0</v>
      </c>
      <c r="CA102" s="405">
        <f>IF(Tech_Specs!$E28="logistic",IF($B28="LED",IF(Tech_Specs!$K28="lamp",Perform_SSL!Y$10,Perform_SSL!Y$11)),)</f>
        <v>0</v>
      </c>
      <c r="CB102" s="405">
        <f>IF(Tech_Specs!$E28="logistic",IF($B28="LED",IF(Tech_Specs!$K28="lamp",Perform_SSL!Z$10,Perform_SSL!Z$11)),)</f>
        <v>0</v>
      </c>
      <c r="CC102" s="405">
        <f>IF(Tech_Specs!$E28="logistic",IF($B28="LED",IF(Tech_Specs!$K28="lamp",Perform_SSL!AA$10,Perform_SSL!AA$11)),)</f>
        <v>0</v>
      </c>
      <c r="CD102" s="405">
        <f>IF(Tech_Specs!$E28="logistic",IF($B28="LED",IF(Tech_Specs!$K28="lamp",Perform_SSL!AB$10,Perform_SSL!AB$11)),)</f>
        <v>0</v>
      </c>
      <c r="CE102" s="405">
        <f>IF(Tech_Specs!$E28="logistic",IF($B28="LED",IF(Tech_Specs!$K28="lamp",Perform_SSL!AC$10,Perform_SSL!AC$11)),)</f>
        <v>0</v>
      </c>
      <c r="CF102" s="405">
        <f>IF(Tech_Specs!$E28="logistic",IF($B28="LED",IF(Tech_Specs!$K28="lamp",Perform_SSL!AD$10,Perform_SSL!AD$11)),)</f>
        <v>0</v>
      </c>
      <c r="CG102" s="405">
        <f>IF(Tech_Specs!$E28="logistic",IF($B28="LED",IF(Tech_Specs!$K28="lamp",Perform_SSL!AE$10,Perform_SSL!AE$11)),)</f>
        <v>0</v>
      </c>
      <c r="CH102" s="405">
        <f>IF(Tech_Specs!$E28="logistic",IF($B28="LED",IF(Tech_Specs!$K28="lamp",Perform_SSL!AF$10,Perform_SSL!AF$11)),)</f>
        <v>0</v>
      </c>
      <c r="CJ102" s="625">
        <f>IF(AND(Tech_Specs!$E28="step",Standards_Active!$E29="yes"),IF(CJ$81&lt;Standards_Active!$C29,TREND(Perform_Active!$E29:$F29,Perform_Active!$E$8:$F$8,CJ$81),IF(ISNUMBER(Standards_Active!$I29),IF(AND(CJ$81&gt;=Standards_Active!$C29,CJ$81&lt;Standards_Active!$D29),(Standards_Active!$I29-INDEX($CJ102:$DI102,1,MATCH((Standards_Active!$C29-1),$CJ$81:$DI$81,FALSE)))/(Standards_Active!$D29-(Standards_Active!$C29-1))+CI102,Standards_Active!$I29*((1+Standards_Active!$N29)^(CJ$81-Standards_Active!$D29))),TREND(Perform_Active!$E29:$F29,Perform_Active!$E$8:$F$8,CJ$81))),)</f>
        <v>0</v>
      </c>
      <c r="CK102" s="625">
        <f>IF(AND(Tech_Specs!$E28="step",Standards_Active!$E29="yes"),IF(CK$81&lt;Standards_Active!$C29,TREND(Perform_Active!$E29:$F29,Perform_Active!$E$8:$F$8,CK$81),IF(ISNUMBER(Standards_Active!$I29),IF(AND(CK$81&gt;=Standards_Active!$C29,CK$81&lt;Standards_Active!$D29),(Standards_Active!$I29-INDEX($CJ102:$DI102,1,MATCH((Standards_Active!$C29-1),$CJ$81:$DI$81,FALSE)))/(Standards_Active!$D29-(Standards_Active!$C29-1))+CJ102,Standards_Active!$I29*((1+Standards_Active!$N29)^(CK$81-Standards_Active!$D29))),TREND(Perform_Active!$E29:$F29,Perform_Active!$E$8:$F$8,CK$81))),)</f>
        <v>0</v>
      </c>
      <c r="CL102" s="625">
        <f>IF(AND(Tech_Specs!$E28="step",Standards_Active!$E29="yes"),IF(CL$81&lt;Standards_Active!$C29,TREND(Perform_Active!$E29:$F29,Perform_Active!$E$8:$F$8,CL$81),IF(ISNUMBER(Standards_Active!$I29),IF(AND(CL$81&gt;=Standards_Active!$C29,CL$81&lt;Standards_Active!$D29),(Standards_Active!$I29-INDEX($CJ102:$DI102,1,MATCH((Standards_Active!$C29-1),$CJ$81:$DI$81,FALSE)))/(Standards_Active!$D29-(Standards_Active!$C29-1))+CK102,Standards_Active!$I29*((1+Standards_Active!$N29)^(CL$81-Standards_Active!$D29))),TREND(Perform_Active!$E29:$F29,Perform_Active!$E$8:$F$8,CL$81))),)</f>
        <v>0</v>
      </c>
      <c r="CM102" s="625">
        <f>IF(AND(Tech_Specs!$E28="step",Standards_Active!$E29="yes"),IF(CM$81&lt;Standards_Active!$C29,TREND(Perform_Active!$E29:$F29,Perform_Active!$E$8:$F$8,CM$81),IF(ISNUMBER(Standards_Active!$I29),IF(AND(CM$81&gt;=Standards_Active!$C29,CM$81&lt;Standards_Active!$D29),(Standards_Active!$I29-INDEX($CJ102:$DI102,1,MATCH((Standards_Active!$C29-1),$CJ$81:$DI$81,FALSE)))/(Standards_Active!$D29-(Standards_Active!$C29-1))+CL102,Standards_Active!$I29*((1+Standards_Active!$N29)^(CM$81-Standards_Active!$D29))),TREND(Perform_Active!$E29:$F29,Perform_Active!$E$8:$F$8,CM$81))),)</f>
        <v>0</v>
      </c>
      <c r="CN102" s="625">
        <f>IF(AND(Tech_Specs!$E28="step",Standards_Active!$E29="yes"),IF(CN$81&lt;Standards_Active!$C29,TREND(Perform_Active!$E29:$F29,Perform_Active!$E$8:$F$8,CN$81),IF(ISNUMBER(Standards_Active!$I29),IF(AND(CN$81&gt;=Standards_Active!$C29,CN$81&lt;Standards_Active!$D29),(Standards_Active!$I29-INDEX($CJ102:$DI102,1,MATCH((Standards_Active!$C29-1),$CJ$81:$DI$81,FALSE)))/(Standards_Active!$D29-(Standards_Active!$C29-1))+CM102,Standards_Active!$I29*((1+Standards_Active!$N29)^(CN$81-Standards_Active!$D29))),TREND(Perform_Active!$E29:$F29,Perform_Active!$E$8:$F$8,CN$81))),)</f>
        <v>0</v>
      </c>
      <c r="CO102" s="625">
        <f>IF(AND(Tech_Specs!$E28="step",Standards_Active!$E29="yes"),IF(CO$81&lt;Standards_Active!$C29,TREND(Perform_Active!$E29:$F29,Perform_Active!$E$8:$F$8,CO$81),IF(ISNUMBER(Standards_Active!$I29),IF(AND(CO$81&gt;=Standards_Active!$C29,CO$81&lt;Standards_Active!$D29),(Standards_Active!$I29-INDEX($CJ102:$DI102,1,MATCH((Standards_Active!$C29-1),$CJ$81:$DI$81,FALSE)))/(Standards_Active!$D29-(Standards_Active!$C29-1))+CN102,Standards_Active!$I29*((1+Standards_Active!$N29)^(CO$81-Standards_Active!$D29))),TREND(Perform_Active!$E29:$F29,Perform_Active!$E$8:$F$8,CO$81))),)</f>
        <v>0</v>
      </c>
      <c r="CP102" s="625">
        <f>IF(AND(Tech_Specs!$E28="step",Standards_Active!$E29="yes"),IF(CP$81&lt;Standards_Active!$C29,TREND(Perform_Active!$E29:$F29,Perform_Active!$E$8:$F$8,CP$81),IF(ISNUMBER(Standards_Active!$I29),IF(AND(CP$81&gt;=Standards_Active!$C29,CP$81&lt;Standards_Active!$D29),(Standards_Active!$I29-INDEX($CJ102:$DI102,1,MATCH((Standards_Active!$C29-1),$CJ$81:$DI$81,FALSE)))/(Standards_Active!$D29-(Standards_Active!$C29-1))+CO102,Standards_Active!$I29*((1+Standards_Active!$N29)^(CP$81-Standards_Active!$D29))),TREND(Perform_Active!$E29:$F29,Perform_Active!$E$8:$F$8,CP$81))),)</f>
        <v>0</v>
      </c>
      <c r="CQ102" s="625">
        <f>IF(AND(Tech_Specs!$E28="step",Standards_Active!$E29="yes"),IF(CQ$81&lt;Standards_Active!$C29,TREND(Perform_Active!$E29:$F29,Perform_Active!$E$8:$F$8,CQ$81),IF(ISNUMBER(Standards_Active!$I29),IF(AND(CQ$81&gt;=Standards_Active!$C29,CQ$81&lt;Standards_Active!$D29),(Standards_Active!$I29-INDEX($CJ102:$DI102,1,MATCH((Standards_Active!$C29-1),$CJ$81:$DI$81,FALSE)))/(Standards_Active!$D29-(Standards_Active!$C29-1))+CP102,Standards_Active!$I29*((1+Standards_Active!$N29)^(CQ$81-Standards_Active!$D29))),TREND(Perform_Active!$E29:$F29,Perform_Active!$E$8:$F$8,CQ$81))),)</f>
        <v>0</v>
      </c>
      <c r="CR102" s="625">
        <f>IF(AND(Tech_Specs!$E28="step",Standards_Active!$E29="yes"),IF(CR$81&lt;Standards_Active!$C29,TREND(Perform_Active!$E29:$F29,Perform_Active!$E$8:$F$8,CR$81),IF(ISNUMBER(Standards_Active!$I29),IF(AND(CR$81&gt;=Standards_Active!$C29,CR$81&lt;Standards_Active!$D29),(Standards_Active!$I29-INDEX($CJ102:$DI102,1,MATCH((Standards_Active!$C29-1),$CJ$81:$DI$81,FALSE)))/(Standards_Active!$D29-(Standards_Active!$C29-1))+CQ102,Standards_Active!$I29*((1+Standards_Active!$N29)^(CR$81-Standards_Active!$D29))),TREND(Perform_Active!$E29:$F29,Perform_Active!$E$8:$F$8,CR$81))),)</f>
        <v>0</v>
      </c>
      <c r="CS102" s="625">
        <f>IF(AND(Tech_Specs!$E28="step",Standards_Active!$E29="yes"),IF(CS$81&lt;Standards_Active!$C29,TREND(Perform_Active!$E29:$F29,Perform_Active!$E$8:$F$8,CS$81),IF(ISNUMBER(Standards_Active!$I29),IF(AND(CS$81&gt;=Standards_Active!$C29,CS$81&lt;Standards_Active!$D29),(Standards_Active!$I29-INDEX($CJ102:$DI102,1,MATCH((Standards_Active!$C29-1),$CJ$81:$DI$81,FALSE)))/(Standards_Active!$D29-(Standards_Active!$C29-1))+CR102,Standards_Active!$I29*((1+Standards_Active!$N29)^(CS$81-Standards_Active!$D29))),TREND(Perform_Active!$E29:$F29,Perform_Active!$E$8:$F$8,CS$81))),)</f>
        <v>0</v>
      </c>
      <c r="CT102" s="625">
        <f>IF(AND(Tech_Specs!$E28="step",Standards_Active!$E29="yes"),IF(CT$81&lt;Standards_Active!$C29,TREND(Perform_Active!$E29:$F29,Perform_Active!$E$8:$F$8,CT$81),IF(ISNUMBER(Standards_Active!$I29),IF(AND(CT$81&gt;=Standards_Active!$C29,CT$81&lt;Standards_Active!$D29),(Standards_Active!$I29-INDEX($CJ102:$DI102,1,MATCH((Standards_Active!$C29-1),$CJ$81:$DI$81,FALSE)))/(Standards_Active!$D29-(Standards_Active!$C29-1))+CS102,Standards_Active!$I29*((1+Standards_Active!$N29)^(CT$81-Standards_Active!$D29))),TREND(Perform_Active!$E29:$F29,Perform_Active!$E$8:$F$8,CT$81))),)</f>
        <v>0</v>
      </c>
      <c r="CU102" s="625">
        <f>IF(AND(Tech_Specs!$E28="step",Standards_Active!$E29="yes"),IF(CU$81&lt;Standards_Active!$C29,TREND(Perform_Active!$E29:$F29,Perform_Active!$E$8:$F$8,CU$81),IF(ISNUMBER(Standards_Active!$I29),IF(AND(CU$81&gt;=Standards_Active!$C29,CU$81&lt;Standards_Active!$D29),(Standards_Active!$I29-INDEX($CJ102:$DI102,1,MATCH((Standards_Active!$C29-1),$CJ$81:$DI$81,FALSE)))/(Standards_Active!$D29-(Standards_Active!$C29-1))+CT102,Standards_Active!$I29*((1+Standards_Active!$N29)^(CU$81-Standards_Active!$D29))),TREND(Perform_Active!$E29:$F29,Perform_Active!$E$8:$F$8,CU$81))),)</f>
        <v>0</v>
      </c>
      <c r="CV102" s="625">
        <f>IF(AND(Tech_Specs!$E28="step",Standards_Active!$E29="yes"),IF(CV$81&lt;Standards_Active!$C29,TREND(Perform_Active!$E29:$F29,Perform_Active!$E$8:$F$8,CV$81),IF(ISNUMBER(Standards_Active!$I29),IF(AND(CV$81&gt;=Standards_Active!$C29,CV$81&lt;Standards_Active!$D29),(Standards_Active!$I29-INDEX($CJ102:$DI102,1,MATCH((Standards_Active!$C29-1),$CJ$81:$DI$81,FALSE)))/(Standards_Active!$D29-(Standards_Active!$C29-1))+CU102,Standards_Active!$I29*((1+Standards_Active!$N29)^(CV$81-Standards_Active!$D29))),TREND(Perform_Active!$E29:$F29,Perform_Active!$E$8:$F$8,CV$81))),)</f>
        <v>0</v>
      </c>
      <c r="CW102" s="625">
        <f>IF(AND(Tech_Specs!$E28="step",Standards_Active!$E29="yes"),IF(CW$81&lt;Standards_Active!$C29,TREND(Perform_Active!$E29:$F29,Perform_Active!$E$8:$F$8,CW$81),IF(ISNUMBER(Standards_Active!$I29),IF(AND(CW$81&gt;=Standards_Active!$C29,CW$81&lt;Standards_Active!$D29),(Standards_Active!$I29-INDEX($CJ102:$DI102,1,MATCH((Standards_Active!$C29-1),$CJ$81:$DI$81,FALSE)))/(Standards_Active!$D29-(Standards_Active!$C29-1))+CV102,Standards_Active!$I29*((1+Standards_Active!$N29)^(CW$81-Standards_Active!$D29))),TREND(Perform_Active!$E29:$F29,Perform_Active!$E$8:$F$8,CW$81))),)</f>
        <v>0</v>
      </c>
      <c r="CX102" s="625">
        <f>IF(AND(Tech_Specs!$E28="step",Standards_Active!$E29="yes"),IF(CX$81&lt;Standards_Active!$C29,TREND(Perform_Active!$E29:$F29,Perform_Active!$E$8:$F$8,CX$81),IF(ISNUMBER(Standards_Active!$I29),IF(AND(CX$81&gt;=Standards_Active!$C29,CX$81&lt;Standards_Active!$D29),(Standards_Active!$I29-INDEX($CJ102:$DI102,1,MATCH((Standards_Active!$C29-1),$CJ$81:$DI$81,FALSE)))/(Standards_Active!$D29-(Standards_Active!$C29-1))+CW102,Standards_Active!$I29*((1+Standards_Active!$N29)^(CX$81-Standards_Active!$D29))),TREND(Perform_Active!$E29:$F29,Perform_Active!$E$8:$F$8,CX$81))),)</f>
        <v>0</v>
      </c>
      <c r="CY102" s="625">
        <f>IF(AND(Tech_Specs!$E28="step",Standards_Active!$E29="yes"),IF(CY$81&lt;Standards_Active!$C29,TREND(Perform_Active!$E29:$F29,Perform_Active!$E$8:$F$8,CY$81),IF(ISNUMBER(Standards_Active!$I29),IF(AND(CY$81&gt;=Standards_Active!$C29,CY$81&lt;Standards_Active!$D29),(Standards_Active!$I29-INDEX($CJ102:$DI102,1,MATCH((Standards_Active!$C29-1),$CJ$81:$DI$81,FALSE)))/(Standards_Active!$D29-(Standards_Active!$C29-1))+CX102,Standards_Active!$I29*((1+Standards_Active!$N29)^(CY$81-Standards_Active!$D29))),TREND(Perform_Active!$E29:$F29,Perform_Active!$E$8:$F$8,CY$81))),)</f>
        <v>0</v>
      </c>
      <c r="CZ102" s="625">
        <f>IF(AND(Tech_Specs!$E28="step",Standards_Active!$E29="yes"),IF(CZ$81&lt;Standards_Active!$C29,TREND(Perform_Active!$E29:$F29,Perform_Active!$E$8:$F$8,CZ$81),IF(ISNUMBER(Standards_Active!$I29),IF(AND(CZ$81&gt;=Standards_Active!$C29,CZ$81&lt;Standards_Active!$D29),(Standards_Active!$I29-INDEX($CJ102:$DI102,1,MATCH((Standards_Active!$C29-1),$CJ$81:$DI$81,FALSE)))/(Standards_Active!$D29-(Standards_Active!$C29-1))+CY102,Standards_Active!$I29*((1+Standards_Active!$N29)^(CZ$81-Standards_Active!$D29))),TREND(Perform_Active!$E29:$F29,Perform_Active!$E$8:$F$8,CZ$81))),)</f>
        <v>0</v>
      </c>
      <c r="DA102" s="625">
        <f>IF(AND(Tech_Specs!$E28="step",Standards_Active!$E29="yes"),IF(DA$81&lt;Standards_Active!$C29,TREND(Perform_Active!$E29:$F29,Perform_Active!$E$8:$F$8,DA$81),IF(ISNUMBER(Standards_Active!$I29),IF(AND(DA$81&gt;=Standards_Active!$C29,DA$81&lt;Standards_Active!$D29),(Standards_Active!$I29-INDEX($CJ102:$DI102,1,MATCH((Standards_Active!$C29-1),$CJ$81:$DI$81,FALSE)))/(Standards_Active!$D29-(Standards_Active!$C29-1))+CZ102,Standards_Active!$I29*((1+Standards_Active!$N29)^(DA$81-Standards_Active!$D29))),TREND(Perform_Active!$E29:$F29,Perform_Active!$E$8:$F$8,DA$81))),)</f>
        <v>0</v>
      </c>
      <c r="DB102" s="625">
        <f>IF(AND(Tech_Specs!$E28="step",Standards_Active!$E29="yes"),IF(DB$81&lt;Standards_Active!$C29,TREND(Perform_Active!$E29:$F29,Perform_Active!$E$8:$F$8,DB$81),IF(ISNUMBER(Standards_Active!$I29),IF(AND(DB$81&gt;=Standards_Active!$C29,DB$81&lt;Standards_Active!$D29),(Standards_Active!$I29-INDEX($CJ102:$DI102,1,MATCH((Standards_Active!$C29-1),$CJ$81:$DI$81,FALSE)))/(Standards_Active!$D29-(Standards_Active!$C29-1))+DA102,Standards_Active!$I29*((1+Standards_Active!$N29)^(DB$81-Standards_Active!$D29))),TREND(Perform_Active!$E29:$F29,Perform_Active!$E$8:$F$8,DB$81))),)</f>
        <v>0</v>
      </c>
      <c r="DC102" s="625">
        <f>IF(AND(Tech_Specs!$E28="step",Standards_Active!$E29="yes"),IF(DC$81&lt;Standards_Active!$C29,TREND(Perform_Active!$E29:$F29,Perform_Active!$E$8:$F$8,DC$81),IF(ISNUMBER(Standards_Active!$I29),IF(AND(DC$81&gt;=Standards_Active!$C29,DC$81&lt;Standards_Active!$D29),(Standards_Active!$I29-INDEX($CJ102:$DI102,1,MATCH((Standards_Active!$C29-1),$CJ$81:$DI$81,FALSE)))/(Standards_Active!$D29-(Standards_Active!$C29-1))+DB102,Standards_Active!$I29*((1+Standards_Active!$N29)^(DC$81-Standards_Active!$D29))),TREND(Perform_Active!$E29:$F29,Perform_Active!$E$8:$F$8,DC$81))),)</f>
        <v>0</v>
      </c>
      <c r="DD102" s="625">
        <f>IF(AND(Tech_Specs!$E28="step",Standards_Active!$E29="yes"),IF(DD$81&lt;Standards_Active!$C29,TREND(Perform_Active!$E29:$F29,Perform_Active!$E$8:$F$8,DD$81),IF(ISNUMBER(Standards_Active!$I29),IF(AND(DD$81&gt;=Standards_Active!$C29,DD$81&lt;Standards_Active!$D29),(Standards_Active!$I29-INDEX($CJ102:$DI102,1,MATCH((Standards_Active!$C29-1),$CJ$81:$DI$81,FALSE)))/(Standards_Active!$D29-(Standards_Active!$C29-1))+DC102,Standards_Active!$I29*((1+Standards_Active!$N29)^(DD$81-Standards_Active!$D29))),TREND(Perform_Active!$E29:$F29,Perform_Active!$E$8:$F$8,DD$81))),)</f>
        <v>0</v>
      </c>
      <c r="DE102" s="625">
        <f>IF(AND(Tech_Specs!$E28="step",Standards_Active!$E29="yes"),IF(DE$81&lt;Standards_Active!$C29,TREND(Perform_Active!$E29:$F29,Perform_Active!$E$8:$F$8,DE$81),IF(ISNUMBER(Standards_Active!$I29),IF(AND(DE$81&gt;=Standards_Active!$C29,DE$81&lt;Standards_Active!$D29),(Standards_Active!$I29-INDEX($CJ102:$DI102,1,MATCH((Standards_Active!$C29-1),$CJ$81:$DI$81,FALSE)))/(Standards_Active!$D29-(Standards_Active!$C29-1))+DD102,Standards_Active!$I29*((1+Standards_Active!$N29)^(DE$81-Standards_Active!$D29))),TREND(Perform_Active!$E29:$F29,Perform_Active!$E$8:$F$8,DE$81))),)</f>
        <v>0</v>
      </c>
      <c r="DF102" s="625">
        <f>IF(AND(Tech_Specs!$E28="step",Standards_Active!$E29="yes"),IF(DF$81&lt;Standards_Active!$C29,TREND(Perform_Active!$E29:$F29,Perform_Active!$E$8:$F$8,DF$81),IF(ISNUMBER(Standards_Active!$I29),IF(AND(DF$81&gt;=Standards_Active!$C29,DF$81&lt;Standards_Active!$D29),(Standards_Active!$I29-INDEX($CJ102:$DI102,1,MATCH((Standards_Active!$C29-1),$CJ$81:$DI$81,FALSE)))/(Standards_Active!$D29-(Standards_Active!$C29-1))+DE102,Standards_Active!$I29*((1+Standards_Active!$N29)^(DF$81-Standards_Active!$D29))),TREND(Perform_Active!$E29:$F29,Perform_Active!$E$8:$F$8,DF$81))),)</f>
        <v>0</v>
      </c>
      <c r="DG102" s="625">
        <f>IF(AND(Tech_Specs!$E28="step",Standards_Active!$E29="yes"),IF(DG$81&lt;Standards_Active!$C29,TREND(Perform_Active!$E29:$F29,Perform_Active!$E$8:$F$8,DG$81),IF(ISNUMBER(Standards_Active!$I29),IF(AND(DG$81&gt;=Standards_Active!$C29,DG$81&lt;Standards_Active!$D29),(Standards_Active!$I29-INDEX($CJ102:$DI102,1,MATCH((Standards_Active!$C29-1),$CJ$81:$DI$81,FALSE)))/(Standards_Active!$D29-(Standards_Active!$C29-1))+DF102,Standards_Active!$I29*((1+Standards_Active!$N29)^(DG$81-Standards_Active!$D29))),TREND(Perform_Active!$E29:$F29,Perform_Active!$E$8:$F$8,DG$81))),)</f>
        <v>0</v>
      </c>
      <c r="DH102" s="625">
        <f>IF(AND(Tech_Specs!$E28="step",Standards_Active!$E29="yes"),IF(DH$81&lt;Standards_Active!$C29,TREND(Perform_Active!$E29:$F29,Perform_Active!$E$8:$F$8,DH$81),IF(ISNUMBER(Standards_Active!$I29),IF(AND(DH$81&gt;=Standards_Active!$C29,DH$81&lt;Standards_Active!$D29),(Standards_Active!$I29-INDEX($CJ102:$DI102,1,MATCH((Standards_Active!$C29-1),$CJ$81:$DI$81,FALSE)))/(Standards_Active!$D29-(Standards_Active!$C29-1))+DG102,Standards_Active!$I29*((1+Standards_Active!$N29)^(DH$81-Standards_Active!$D29))),TREND(Perform_Active!$E29:$F29,Perform_Active!$E$8:$F$8,DH$81))),)</f>
        <v>0</v>
      </c>
      <c r="DI102" s="625">
        <f>IF(AND(Tech_Specs!$E28="step",Standards_Active!$E29="yes"),IF(DI$81&lt;Standards_Active!$C29,TREND(Perform_Active!$E29:$F29,Perform_Active!$E$8:$F$8,DI$81),IF(ISNUMBER(Standards_Active!$I29),IF(AND(DI$81&gt;=Standards_Active!$C29,DI$81&lt;Standards_Active!$D29),(Standards_Active!$I29-INDEX($CJ102:$DI102,1,MATCH((Standards_Active!$C29-1),$CJ$81:$DI$81,FALSE)))/(Standards_Active!$D29-(Standards_Active!$C29-1))+DH102,Standards_Active!$I29*((1+Standards_Active!$N29)^(DI$81-Standards_Active!$D29))),TREND(Perform_Active!$E29:$F29,Perform_Active!$E$8:$F$8,DI$81))),)</f>
        <v>0</v>
      </c>
    </row>
    <row r="103" spans="1:113" s="376" customFormat="1" ht="12.6" x14ac:dyDescent="0.25">
      <c r="B103" s="388" t="s">
        <v>45</v>
      </c>
      <c r="D103" s="550"/>
      <c r="E103" s="550"/>
      <c r="F103" s="550"/>
      <c r="G103" s="390">
        <f t="shared" si="30"/>
        <v>83.020267636389462</v>
      </c>
      <c r="H103" s="390">
        <f t="shared" si="30"/>
        <v>83.227818305480412</v>
      </c>
      <c r="I103" s="390">
        <f t="shared" si="30"/>
        <v>83.435368974571361</v>
      </c>
      <c r="J103" s="390">
        <f t="shared" si="30"/>
        <v>83.642919643662367</v>
      </c>
      <c r="K103" s="390">
        <f t="shared" si="30"/>
        <v>83.850470312753316</v>
      </c>
      <c r="L103" s="390">
        <f t="shared" si="30"/>
        <v>84.058020981844322</v>
      </c>
      <c r="M103" s="390">
        <f t="shared" si="30"/>
        <v>84.265571650935271</v>
      </c>
      <c r="N103" s="390">
        <f t="shared" si="30"/>
        <v>84.473122320026278</v>
      </c>
      <c r="O103" s="390">
        <f t="shared" si="30"/>
        <v>84.680672989117227</v>
      </c>
      <c r="P103" s="390">
        <f t="shared" si="30"/>
        <v>84.888223658208233</v>
      </c>
      <c r="Q103" s="390">
        <f t="shared" si="31"/>
        <v>85.095774327299182</v>
      </c>
      <c r="R103" s="390">
        <f t="shared" si="31"/>
        <v>85.303324996390131</v>
      </c>
      <c r="S103" s="390">
        <f t="shared" si="31"/>
        <v>85.510875665481137</v>
      </c>
      <c r="T103" s="390">
        <f t="shared" si="31"/>
        <v>85.718426334572086</v>
      </c>
      <c r="U103" s="390">
        <f t="shared" si="31"/>
        <v>85.925977003663093</v>
      </c>
      <c r="V103" s="390">
        <f t="shared" si="31"/>
        <v>86.133527672754042</v>
      </c>
      <c r="W103" s="390">
        <f t="shared" si="31"/>
        <v>86.341078341845048</v>
      </c>
      <c r="X103" s="390">
        <f t="shared" si="31"/>
        <v>86.548629010935997</v>
      </c>
      <c r="Y103" s="390">
        <f t="shared" si="31"/>
        <v>86.756179680026946</v>
      </c>
      <c r="Z103" s="390">
        <f t="shared" si="31"/>
        <v>86.963730349117952</v>
      </c>
      <c r="AA103" s="390">
        <f t="shared" si="32"/>
        <v>87.171281018208902</v>
      </c>
      <c r="AB103" s="390">
        <f t="shared" si="32"/>
        <v>87.378831687299908</v>
      </c>
      <c r="AC103" s="390">
        <f t="shared" si="32"/>
        <v>87.586382356390857</v>
      </c>
      <c r="AD103" s="390">
        <f t="shared" si="32"/>
        <v>87.793933025481863</v>
      </c>
      <c r="AE103" s="390">
        <f t="shared" si="32"/>
        <v>88.001483694572812</v>
      </c>
      <c r="AF103" s="390">
        <f t="shared" si="32"/>
        <v>88.209034363663761</v>
      </c>
      <c r="AH103" s="405">
        <f>IF(Tech_Specs!$E29="linear",TREND(Perform_Active!$E30:$F30,Perform_Active!$E$8:$F$8,AH$81),)</f>
        <v>83.020267636389462</v>
      </c>
      <c r="AI103" s="405">
        <f>IF(Tech_Specs!$E29="linear",TREND(Perform_Active!$E30:$F30,Perform_Active!$E$8:$F$8,AI$81),)</f>
        <v>83.227818305480412</v>
      </c>
      <c r="AJ103" s="405">
        <f>IF(Tech_Specs!$E29="linear",TREND(Perform_Active!$E30:$F30,Perform_Active!$E$8:$F$8,AJ$81),)</f>
        <v>83.435368974571361</v>
      </c>
      <c r="AK103" s="405">
        <f>IF(Tech_Specs!$E29="linear",TREND(Perform_Active!$E30:$F30,Perform_Active!$E$8:$F$8,AK$81),)</f>
        <v>83.642919643662367</v>
      </c>
      <c r="AL103" s="405">
        <f>IF(Tech_Specs!$E29="linear",TREND(Perform_Active!$E30:$F30,Perform_Active!$E$8:$F$8,AL$81),)</f>
        <v>83.850470312753316</v>
      </c>
      <c r="AM103" s="405">
        <f>IF(Tech_Specs!$E29="linear",TREND(Perform_Active!$E30:$F30,Perform_Active!$E$8:$F$8,AM$81),)</f>
        <v>84.058020981844322</v>
      </c>
      <c r="AN103" s="405">
        <f>IF(Tech_Specs!$E29="linear",TREND(Perform_Active!$E30:$F30,Perform_Active!$E$8:$F$8,AN$81),)</f>
        <v>84.265571650935271</v>
      </c>
      <c r="AO103" s="405">
        <f>IF(Tech_Specs!$E29="linear",TREND(Perform_Active!$E30:$F30,Perform_Active!$E$8:$F$8,AO$81),)</f>
        <v>84.473122320026278</v>
      </c>
      <c r="AP103" s="405">
        <f>IF(Tech_Specs!$E29="linear",TREND(Perform_Active!$E30:$F30,Perform_Active!$E$8:$F$8,AP$81),)</f>
        <v>84.680672989117227</v>
      </c>
      <c r="AQ103" s="405">
        <f>IF(Tech_Specs!$E29="linear",TREND(Perform_Active!$E30:$F30,Perform_Active!$E$8:$F$8,AQ$81),)</f>
        <v>84.888223658208233</v>
      </c>
      <c r="AR103" s="405">
        <f>IF(Tech_Specs!$E29="linear",TREND(Perform_Active!$E30:$F30,Perform_Active!$E$8:$F$8,AR$81),)</f>
        <v>85.095774327299182</v>
      </c>
      <c r="AS103" s="405">
        <f>IF(Tech_Specs!$E29="linear",TREND(Perform_Active!$E30:$F30,Perform_Active!$E$8:$F$8,AS$81),)</f>
        <v>85.303324996390131</v>
      </c>
      <c r="AT103" s="405">
        <f>IF(Tech_Specs!$E29="linear",TREND(Perform_Active!$E30:$F30,Perform_Active!$E$8:$F$8,AT$81),)</f>
        <v>85.510875665481137</v>
      </c>
      <c r="AU103" s="405">
        <f>IF(Tech_Specs!$E29="linear",TREND(Perform_Active!$E30:$F30,Perform_Active!$E$8:$F$8,AU$81),)</f>
        <v>85.718426334572086</v>
      </c>
      <c r="AV103" s="405">
        <f>IF(Tech_Specs!$E29="linear",TREND(Perform_Active!$E30:$F30,Perform_Active!$E$8:$F$8,AV$81),)</f>
        <v>85.925977003663093</v>
      </c>
      <c r="AW103" s="405">
        <f>IF(Tech_Specs!$E29="linear",TREND(Perform_Active!$E30:$F30,Perform_Active!$E$8:$F$8,AW$81),)</f>
        <v>86.133527672754042</v>
      </c>
      <c r="AX103" s="405">
        <f>IF(Tech_Specs!$E29="linear",TREND(Perform_Active!$E30:$F30,Perform_Active!$E$8:$F$8,AX$81),)</f>
        <v>86.341078341845048</v>
      </c>
      <c r="AY103" s="405">
        <f>IF(Tech_Specs!$E29="linear",TREND(Perform_Active!$E30:$F30,Perform_Active!$E$8:$F$8,AY$81),)</f>
        <v>86.548629010935997</v>
      </c>
      <c r="AZ103" s="405">
        <f>IF(Tech_Specs!$E29="linear",TREND(Perform_Active!$E30:$F30,Perform_Active!$E$8:$F$8,AZ$81),)</f>
        <v>86.756179680026946</v>
      </c>
      <c r="BA103" s="405">
        <f>IF(Tech_Specs!$E29="linear",TREND(Perform_Active!$E30:$F30,Perform_Active!$E$8:$F$8,BA$81),)</f>
        <v>86.963730349117952</v>
      </c>
      <c r="BB103" s="405">
        <f>IF(Tech_Specs!$E29="linear",TREND(Perform_Active!$E30:$F30,Perform_Active!$E$8:$F$8,BB$81),)</f>
        <v>87.171281018208902</v>
      </c>
      <c r="BC103" s="405">
        <f>IF(Tech_Specs!$E29="linear",TREND(Perform_Active!$E30:$F30,Perform_Active!$E$8:$F$8,BC$81),)</f>
        <v>87.378831687299908</v>
      </c>
      <c r="BD103" s="405">
        <f>IF(Tech_Specs!$E29="linear",TREND(Perform_Active!$E30:$F30,Perform_Active!$E$8:$F$8,BD$81),)</f>
        <v>87.586382356390857</v>
      </c>
      <c r="BE103" s="405">
        <f>IF(Tech_Specs!$E29="linear",TREND(Perform_Active!$E30:$F30,Perform_Active!$E$8:$F$8,BE$81),)</f>
        <v>87.793933025481863</v>
      </c>
      <c r="BF103" s="405">
        <f>IF(Tech_Specs!$E29="linear",TREND(Perform_Active!$E30:$F30,Perform_Active!$E$8:$F$8,BF$81),)</f>
        <v>88.001483694572812</v>
      </c>
      <c r="BG103" s="405">
        <f>IF(Tech_Specs!$E29="linear",TREND(Perform_Active!$E30:$F30,Perform_Active!$E$8:$F$8,BG$81),)</f>
        <v>88.209034363663761</v>
      </c>
      <c r="BI103" s="405">
        <f>IF(Tech_Specs!$E29="logistic",IF($B29="LED",IF(Tech_Specs!$K29="lamp",Perform_SSL!G$10,Perform_SSL!G$11)),)</f>
        <v>0</v>
      </c>
      <c r="BJ103" s="405">
        <f>IF(Tech_Specs!$E29="logistic",IF($B29="LED",IF(Tech_Specs!$K29="lamp",Perform_SSL!H$10,Perform_SSL!H$11)),)</f>
        <v>0</v>
      </c>
      <c r="BK103" s="405">
        <f>IF(Tech_Specs!$E29="logistic",IF($B29="LED",IF(Tech_Specs!$K29="lamp",Perform_SSL!I$10,Perform_SSL!I$11)),)</f>
        <v>0</v>
      </c>
      <c r="BL103" s="405">
        <f>IF(Tech_Specs!$E29="logistic",IF($B29="LED",IF(Tech_Specs!$K29="lamp",Perform_SSL!J$10,Perform_SSL!J$11)),)</f>
        <v>0</v>
      </c>
      <c r="BM103" s="405">
        <f>IF(Tech_Specs!$E29="logistic",IF($B29="LED",IF(Tech_Specs!$K29="lamp",Perform_SSL!K$10,Perform_SSL!K$11)),)</f>
        <v>0</v>
      </c>
      <c r="BN103" s="405">
        <f>IF(Tech_Specs!$E29="logistic",IF($B29="LED",IF(Tech_Specs!$K29="lamp",Perform_SSL!L$10,Perform_SSL!L$11)),)</f>
        <v>0</v>
      </c>
      <c r="BO103" s="405">
        <f>IF(Tech_Specs!$E29="logistic",IF($B29="LED",IF(Tech_Specs!$K29="lamp",Perform_SSL!M$10,Perform_SSL!M$11)),)</f>
        <v>0</v>
      </c>
      <c r="BP103" s="405">
        <f>IF(Tech_Specs!$E29="logistic",IF($B29="LED",IF(Tech_Specs!$K29="lamp",Perform_SSL!N$10,Perform_SSL!N$11)),)</f>
        <v>0</v>
      </c>
      <c r="BQ103" s="405">
        <f>IF(Tech_Specs!$E29="logistic",IF($B29="LED",IF(Tech_Specs!$K29="lamp",Perform_SSL!O$10,Perform_SSL!O$11)),)</f>
        <v>0</v>
      </c>
      <c r="BR103" s="405">
        <f>IF(Tech_Specs!$E29="logistic",IF($B29="LED",IF(Tech_Specs!$K29="lamp",Perform_SSL!P$10,Perform_SSL!P$11)),)</f>
        <v>0</v>
      </c>
      <c r="BS103" s="405">
        <f>IF(Tech_Specs!$E29="logistic",IF($B29="LED",IF(Tech_Specs!$K29="lamp",Perform_SSL!Q$10,Perform_SSL!Q$11)),)</f>
        <v>0</v>
      </c>
      <c r="BT103" s="405">
        <f>IF(Tech_Specs!$E29="logistic",IF($B29="LED",IF(Tech_Specs!$K29="lamp",Perform_SSL!R$10,Perform_SSL!R$11)),)</f>
        <v>0</v>
      </c>
      <c r="BU103" s="405">
        <f>IF(Tech_Specs!$E29="logistic",IF($B29="LED",IF(Tech_Specs!$K29="lamp",Perform_SSL!S$10,Perform_SSL!S$11)),)</f>
        <v>0</v>
      </c>
      <c r="BV103" s="405">
        <f>IF(Tech_Specs!$E29="logistic",IF($B29="LED",IF(Tech_Specs!$K29="lamp",Perform_SSL!T$10,Perform_SSL!T$11)),)</f>
        <v>0</v>
      </c>
      <c r="BW103" s="405">
        <f>IF(Tech_Specs!$E29="logistic",IF($B29="LED",IF(Tech_Specs!$K29="lamp",Perform_SSL!U$10,Perform_SSL!U$11)),)</f>
        <v>0</v>
      </c>
      <c r="BX103" s="405">
        <f>IF(Tech_Specs!$E29="logistic",IF($B29="LED",IF(Tech_Specs!$K29="lamp",Perform_SSL!V$10,Perform_SSL!V$11)),)</f>
        <v>0</v>
      </c>
      <c r="BY103" s="405">
        <f>IF(Tech_Specs!$E29="logistic",IF($B29="LED",IF(Tech_Specs!$K29="lamp",Perform_SSL!W$10,Perform_SSL!W$11)),)</f>
        <v>0</v>
      </c>
      <c r="BZ103" s="405">
        <f>IF(Tech_Specs!$E29="logistic",IF($B29="LED",IF(Tech_Specs!$K29="lamp",Perform_SSL!X$10,Perform_SSL!X$11)),)</f>
        <v>0</v>
      </c>
      <c r="CA103" s="405">
        <f>IF(Tech_Specs!$E29="logistic",IF($B29="LED",IF(Tech_Specs!$K29="lamp",Perform_SSL!Y$10,Perform_SSL!Y$11)),)</f>
        <v>0</v>
      </c>
      <c r="CB103" s="405">
        <f>IF(Tech_Specs!$E29="logistic",IF($B29="LED",IF(Tech_Specs!$K29="lamp",Perform_SSL!Z$10,Perform_SSL!Z$11)),)</f>
        <v>0</v>
      </c>
      <c r="CC103" s="405">
        <f>IF(Tech_Specs!$E29="logistic",IF($B29="LED",IF(Tech_Specs!$K29="lamp",Perform_SSL!AA$10,Perform_SSL!AA$11)),)</f>
        <v>0</v>
      </c>
      <c r="CD103" s="405">
        <f>IF(Tech_Specs!$E29="logistic",IF($B29="LED",IF(Tech_Specs!$K29="lamp",Perform_SSL!AB$10,Perform_SSL!AB$11)),)</f>
        <v>0</v>
      </c>
      <c r="CE103" s="405">
        <f>IF(Tech_Specs!$E29="logistic",IF($B29="LED",IF(Tech_Specs!$K29="lamp",Perform_SSL!AC$10,Perform_SSL!AC$11)),)</f>
        <v>0</v>
      </c>
      <c r="CF103" s="405">
        <f>IF(Tech_Specs!$E29="logistic",IF($B29="LED",IF(Tech_Specs!$K29="lamp",Perform_SSL!AD$10,Perform_SSL!AD$11)),)</f>
        <v>0</v>
      </c>
      <c r="CG103" s="405">
        <f>IF(Tech_Specs!$E29="logistic",IF($B29="LED",IF(Tech_Specs!$K29="lamp",Perform_SSL!AE$10,Perform_SSL!AE$11)),)</f>
        <v>0</v>
      </c>
      <c r="CH103" s="405">
        <f>IF(Tech_Specs!$E29="logistic",IF($B29="LED",IF(Tech_Specs!$K29="lamp",Perform_SSL!AF$10,Perform_SSL!AF$11)),)</f>
        <v>0</v>
      </c>
      <c r="CJ103" s="625">
        <f>IF(AND(Tech_Specs!$E29="step",Standards_Active!$E30="yes"),IF(CJ$81&lt;Standards_Active!$C30,TREND(Perform_Active!$E30:$F30,Perform_Active!$E$8:$F$8,CJ$81),IF(ISNUMBER(Standards_Active!$I30),IF(AND(CJ$81&gt;=Standards_Active!$C30,CJ$81&lt;Standards_Active!$D30),(Standards_Active!$I30-INDEX($CJ103:$DI103,1,MATCH((Standards_Active!$C30-1),$CJ$81:$DI$81,FALSE)))/(Standards_Active!$D30-(Standards_Active!$C30-1))+CI103,Standards_Active!$I30*((1+Standards_Active!$N30)^(CJ$81-Standards_Active!$D30))),TREND(Perform_Active!$E30:$F30,Perform_Active!$E$8:$F$8,CJ$81))),)</f>
        <v>0</v>
      </c>
      <c r="CK103" s="625">
        <f>IF(AND(Tech_Specs!$E29="step",Standards_Active!$E30="yes"),IF(CK$81&lt;Standards_Active!$C30,TREND(Perform_Active!$E30:$F30,Perform_Active!$E$8:$F$8,CK$81),IF(ISNUMBER(Standards_Active!$I30),IF(AND(CK$81&gt;=Standards_Active!$C30,CK$81&lt;Standards_Active!$D30),(Standards_Active!$I30-INDEX($CJ103:$DI103,1,MATCH((Standards_Active!$C30-1),$CJ$81:$DI$81,FALSE)))/(Standards_Active!$D30-(Standards_Active!$C30-1))+CJ103,Standards_Active!$I30*((1+Standards_Active!$N30)^(CK$81-Standards_Active!$D30))),TREND(Perform_Active!$E30:$F30,Perform_Active!$E$8:$F$8,CK$81))),)</f>
        <v>0</v>
      </c>
      <c r="CL103" s="625">
        <f>IF(AND(Tech_Specs!$E29="step",Standards_Active!$E30="yes"),IF(CL$81&lt;Standards_Active!$C30,TREND(Perform_Active!$E30:$F30,Perform_Active!$E$8:$F$8,CL$81),IF(ISNUMBER(Standards_Active!$I30),IF(AND(CL$81&gt;=Standards_Active!$C30,CL$81&lt;Standards_Active!$D30),(Standards_Active!$I30-INDEX($CJ103:$DI103,1,MATCH((Standards_Active!$C30-1),$CJ$81:$DI$81,FALSE)))/(Standards_Active!$D30-(Standards_Active!$C30-1))+CK103,Standards_Active!$I30*((1+Standards_Active!$N30)^(CL$81-Standards_Active!$D30))),TREND(Perform_Active!$E30:$F30,Perform_Active!$E$8:$F$8,CL$81))),)</f>
        <v>0</v>
      </c>
      <c r="CM103" s="625">
        <f>IF(AND(Tech_Specs!$E29="step",Standards_Active!$E30="yes"),IF(CM$81&lt;Standards_Active!$C30,TREND(Perform_Active!$E30:$F30,Perform_Active!$E$8:$F$8,CM$81),IF(ISNUMBER(Standards_Active!$I30),IF(AND(CM$81&gt;=Standards_Active!$C30,CM$81&lt;Standards_Active!$D30),(Standards_Active!$I30-INDEX($CJ103:$DI103,1,MATCH((Standards_Active!$C30-1),$CJ$81:$DI$81,FALSE)))/(Standards_Active!$D30-(Standards_Active!$C30-1))+CL103,Standards_Active!$I30*((1+Standards_Active!$N30)^(CM$81-Standards_Active!$D30))),TREND(Perform_Active!$E30:$F30,Perform_Active!$E$8:$F$8,CM$81))),)</f>
        <v>0</v>
      </c>
      <c r="CN103" s="625">
        <f>IF(AND(Tech_Specs!$E29="step",Standards_Active!$E30="yes"),IF(CN$81&lt;Standards_Active!$C30,TREND(Perform_Active!$E30:$F30,Perform_Active!$E$8:$F$8,CN$81),IF(ISNUMBER(Standards_Active!$I30),IF(AND(CN$81&gt;=Standards_Active!$C30,CN$81&lt;Standards_Active!$D30),(Standards_Active!$I30-INDEX($CJ103:$DI103,1,MATCH((Standards_Active!$C30-1),$CJ$81:$DI$81,FALSE)))/(Standards_Active!$D30-(Standards_Active!$C30-1))+CM103,Standards_Active!$I30*((1+Standards_Active!$N30)^(CN$81-Standards_Active!$D30))),TREND(Perform_Active!$E30:$F30,Perform_Active!$E$8:$F$8,CN$81))),)</f>
        <v>0</v>
      </c>
      <c r="CO103" s="625">
        <f>IF(AND(Tech_Specs!$E29="step",Standards_Active!$E30="yes"),IF(CO$81&lt;Standards_Active!$C30,TREND(Perform_Active!$E30:$F30,Perform_Active!$E$8:$F$8,CO$81),IF(ISNUMBER(Standards_Active!$I30),IF(AND(CO$81&gt;=Standards_Active!$C30,CO$81&lt;Standards_Active!$D30),(Standards_Active!$I30-INDEX($CJ103:$DI103,1,MATCH((Standards_Active!$C30-1),$CJ$81:$DI$81,FALSE)))/(Standards_Active!$D30-(Standards_Active!$C30-1))+CN103,Standards_Active!$I30*((1+Standards_Active!$N30)^(CO$81-Standards_Active!$D30))),TREND(Perform_Active!$E30:$F30,Perform_Active!$E$8:$F$8,CO$81))),)</f>
        <v>0</v>
      </c>
      <c r="CP103" s="625">
        <f>IF(AND(Tech_Specs!$E29="step",Standards_Active!$E30="yes"),IF(CP$81&lt;Standards_Active!$C30,TREND(Perform_Active!$E30:$F30,Perform_Active!$E$8:$F$8,CP$81),IF(ISNUMBER(Standards_Active!$I30),IF(AND(CP$81&gt;=Standards_Active!$C30,CP$81&lt;Standards_Active!$D30),(Standards_Active!$I30-INDEX($CJ103:$DI103,1,MATCH((Standards_Active!$C30-1),$CJ$81:$DI$81,FALSE)))/(Standards_Active!$D30-(Standards_Active!$C30-1))+CO103,Standards_Active!$I30*((1+Standards_Active!$N30)^(CP$81-Standards_Active!$D30))),TREND(Perform_Active!$E30:$F30,Perform_Active!$E$8:$F$8,CP$81))),)</f>
        <v>0</v>
      </c>
      <c r="CQ103" s="625">
        <f>IF(AND(Tech_Specs!$E29="step",Standards_Active!$E30="yes"),IF(CQ$81&lt;Standards_Active!$C30,TREND(Perform_Active!$E30:$F30,Perform_Active!$E$8:$F$8,CQ$81),IF(ISNUMBER(Standards_Active!$I30),IF(AND(CQ$81&gt;=Standards_Active!$C30,CQ$81&lt;Standards_Active!$D30),(Standards_Active!$I30-INDEX($CJ103:$DI103,1,MATCH((Standards_Active!$C30-1),$CJ$81:$DI$81,FALSE)))/(Standards_Active!$D30-(Standards_Active!$C30-1))+CP103,Standards_Active!$I30*((1+Standards_Active!$N30)^(CQ$81-Standards_Active!$D30))),TREND(Perform_Active!$E30:$F30,Perform_Active!$E$8:$F$8,CQ$81))),)</f>
        <v>0</v>
      </c>
      <c r="CR103" s="625">
        <f>IF(AND(Tech_Specs!$E29="step",Standards_Active!$E30="yes"),IF(CR$81&lt;Standards_Active!$C30,TREND(Perform_Active!$E30:$F30,Perform_Active!$E$8:$F$8,CR$81),IF(ISNUMBER(Standards_Active!$I30),IF(AND(CR$81&gt;=Standards_Active!$C30,CR$81&lt;Standards_Active!$D30),(Standards_Active!$I30-INDEX($CJ103:$DI103,1,MATCH((Standards_Active!$C30-1),$CJ$81:$DI$81,FALSE)))/(Standards_Active!$D30-(Standards_Active!$C30-1))+CQ103,Standards_Active!$I30*((1+Standards_Active!$N30)^(CR$81-Standards_Active!$D30))),TREND(Perform_Active!$E30:$F30,Perform_Active!$E$8:$F$8,CR$81))),)</f>
        <v>0</v>
      </c>
      <c r="CS103" s="625">
        <f>IF(AND(Tech_Specs!$E29="step",Standards_Active!$E30="yes"),IF(CS$81&lt;Standards_Active!$C30,TREND(Perform_Active!$E30:$F30,Perform_Active!$E$8:$F$8,CS$81),IF(ISNUMBER(Standards_Active!$I30),IF(AND(CS$81&gt;=Standards_Active!$C30,CS$81&lt;Standards_Active!$D30),(Standards_Active!$I30-INDEX($CJ103:$DI103,1,MATCH((Standards_Active!$C30-1),$CJ$81:$DI$81,FALSE)))/(Standards_Active!$D30-(Standards_Active!$C30-1))+CR103,Standards_Active!$I30*((1+Standards_Active!$N30)^(CS$81-Standards_Active!$D30))),TREND(Perform_Active!$E30:$F30,Perform_Active!$E$8:$F$8,CS$81))),)</f>
        <v>0</v>
      </c>
      <c r="CT103" s="625">
        <f>IF(AND(Tech_Specs!$E29="step",Standards_Active!$E30="yes"),IF(CT$81&lt;Standards_Active!$C30,TREND(Perform_Active!$E30:$F30,Perform_Active!$E$8:$F$8,CT$81),IF(ISNUMBER(Standards_Active!$I30),IF(AND(CT$81&gt;=Standards_Active!$C30,CT$81&lt;Standards_Active!$D30),(Standards_Active!$I30-INDEX($CJ103:$DI103,1,MATCH((Standards_Active!$C30-1),$CJ$81:$DI$81,FALSE)))/(Standards_Active!$D30-(Standards_Active!$C30-1))+CS103,Standards_Active!$I30*((1+Standards_Active!$N30)^(CT$81-Standards_Active!$D30))),TREND(Perform_Active!$E30:$F30,Perform_Active!$E$8:$F$8,CT$81))),)</f>
        <v>0</v>
      </c>
      <c r="CU103" s="625">
        <f>IF(AND(Tech_Specs!$E29="step",Standards_Active!$E30="yes"),IF(CU$81&lt;Standards_Active!$C30,TREND(Perform_Active!$E30:$F30,Perform_Active!$E$8:$F$8,CU$81),IF(ISNUMBER(Standards_Active!$I30),IF(AND(CU$81&gt;=Standards_Active!$C30,CU$81&lt;Standards_Active!$D30),(Standards_Active!$I30-INDEX($CJ103:$DI103,1,MATCH((Standards_Active!$C30-1),$CJ$81:$DI$81,FALSE)))/(Standards_Active!$D30-(Standards_Active!$C30-1))+CT103,Standards_Active!$I30*((1+Standards_Active!$N30)^(CU$81-Standards_Active!$D30))),TREND(Perform_Active!$E30:$F30,Perform_Active!$E$8:$F$8,CU$81))),)</f>
        <v>0</v>
      </c>
      <c r="CV103" s="625">
        <f>IF(AND(Tech_Specs!$E29="step",Standards_Active!$E30="yes"),IF(CV$81&lt;Standards_Active!$C30,TREND(Perform_Active!$E30:$F30,Perform_Active!$E$8:$F$8,CV$81),IF(ISNUMBER(Standards_Active!$I30),IF(AND(CV$81&gt;=Standards_Active!$C30,CV$81&lt;Standards_Active!$D30),(Standards_Active!$I30-INDEX($CJ103:$DI103,1,MATCH((Standards_Active!$C30-1),$CJ$81:$DI$81,FALSE)))/(Standards_Active!$D30-(Standards_Active!$C30-1))+CU103,Standards_Active!$I30*((1+Standards_Active!$N30)^(CV$81-Standards_Active!$D30))),TREND(Perform_Active!$E30:$F30,Perform_Active!$E$8:$F$8,CV$81))),)</f>
        <v>0</v>
      </c>
      <c r="CW103" s="625">
        <f>IF(AND(Tech_Specs!$E29="step",Standards_Active!$E30="yes"),IF(CW$81&lt;Standards_Active!$C30,TREND(Perform_Active!$E30:$F30,Perform_Active!$E$8:$F$8,CW$81),IF(ISNUMBER(Standards_Active!$I30),IF(AND(CW$81&gt;=Standards_Active!$C30,CW$81&lt;Standards_Active!$D30),(Standards_Active!$I30-INDEX($CJ103:$DI103,1,MATCH((Standards_Active!$C30-1),$CJ$81:$DI$81,FALSE)))/(Standards_Active!$D30-(Standards_Active!$C30-1))+CV103,Standards_Active!$I30*((1+Standards_Active!$N30)^(CW$81-Standards_Active!$D30))),TREND(Perform_Active!$E30:$F30,Perform_Active!$E$8:$F$8,CW$81))),)</f>
        <v>0</v>
      </c>
      <c r="CX103" s="625">
        <f>IF(AND(Tech_Specs!$E29="step",Standards_Active!$E30="yes"),IF(CX$81&lt;Standards_Active!$C30,TREND(Perform_Active!$E30:$F30,Perform_Active!$E$8:$F$8,CX$81),IF(ISNUMBER(Standards_Active!$I30),IF(AND(CX$81&gt;=Standards_Active!$C30,CX$81&lt;Standards_Active!$D30),(Standards_Active!$I30-INDEX($CJ103:$DI103,1,MATCH((Standards_Active!$C30-1),$CJ$81:$DI$81,FALSE)))/(Standards_Active!$D30-(Standards_Active!$C30-1))+CW103,Standards_Active!$I30*((1+Standards_Active!$N30)^(CX$81-Standards_Active!$D30))),TREND(Perform_Active!$E30:$F30,Perform_Active!$E$8:$F$8,CX$81))),)</f>
        <v>0</v>
      </c>
      <c r="CY103" s="625">
        <f>IF(AND(Tech_Specs!$E29="step",Standards_Active!$E30="yes"),IF(CY$81&lt;Standards_Active!$C30,TREND(Perform_Active!$E30:$F30,Perform_Active!$E$8:$F$8,CY$81),IF(ISNUMBER(Standards_Active!$I30),IF(AND(CY$81&gt;=Standards_Active!$C30,CY$81&lt;Standards_Active!$D30),(Standards_Active!$I30-INDEX($CJ103:$DI103,1,MATCH((Standards_Active!$C30-1),$CJ$81:$DI$81,FALSE)))/(Standards_Active!$D30-(Standards_Active!$C30-1))+CX103,Standards_Active!$I30*((1+Standards_Active!$N30)^(CY$81-Standards_Active!$D30))),TREND(Perform_Active!$E30:$F30,Perform_Active!$E$8:$F$8,CY$81))),)</f>
        <v>0</v>
      </c>
      <c r="CZ103" s="625">
        <f>IF(AND(Tech_Specs!$E29="step",Standards_Active!$E30="yes"),IF(CZ$81&lt;Standards_Active!$C30,TREND(Perform_Active!$E30:$F30,Perform_Active!$E$8:$F$8,CZ$81),IF(ISNUMBER(Standards_Active!$I30),IF(AND(CZ$81&gt;=Standards_Active!$C30,CZ$81&lt;Standards_Active!$D30),(Standards_Active!$I30-INDEX($CJ103:$DI103,1,MATCH((Standards_Active!$C30-1),$CJ$81:$DI$81,FALSE)))/(Standards_Active!$D30-(Standards_Active!$C30-1))+CY103,Standards_Active!$I30*((1+Standards_Active!$N30)^(CZ$81-Standards_Active!$D30))),TREND(Perform_Active!$E30:$F30,Perform_Active!$E$8:$F$8,CZ$81))),)</f>
        <v>0</v>
      </c>
      <c r="DA103" s="625">
        <f>IF(AND(Tech_Specs!$E29="step",Standards_Active!$E30="yes"),IF(DA$81&lt;Standards_Active!$C30,TREND(Perform_Active!$E30:$F30,Perform_Active!$E$8:$F$8,DA$81),IF(ISNUMBER(Standards_Active!$I30),IF(AND(DA$81&gt;=Standards_Active!$C30,DA$81&lt;Standards_Active!$D30),(Standards_Active!$I30-INDEX($CJ103:$DI103,1,MATCH((Standards_Active!$C30-1),$CJ$81:$DI$81,FALSE)))/(Standards_Active!$D30-(Standards_Active!$C30-1))+CZ103,Standards_Active!$I30*((1+Standards_Active!$N30)^(DA$81-Standards_Active!$D30))),TREND(Perform_Active!$E30:$F30,Perform_Active!$E$8:$F$8,DA$81))),)</f>
        <v>0</v>
      </c>
      <c r="DB103" s="625">
        <f>IF(AND(Tech_Specs!$E29="step",Standards_Active!$E30="yes"),IF(DB$81&lt;Standards_Active!$C30,TREND(Perform_Active!$E30:$F30,Perform_Active!$E$8:$F$8,DB$81),IF(ISNUMBER(Standards_Active!$I30),IF(AND(DB$81&gt;=Standards_Active!$C30,DB$81&lt;Standards_Active!$D30),(Standards_Active!$I30-INDEX($CJ103:$DI103,1,MATCH((Standards_Active!$C30-1),$CJ$81:$DI$81,FALSE)))/(Standards_Active!$D30-(Standards_Active!$C30-1))+DA103,Standards_Active!$I30*((1+Standards_Active!$N30)^(DB$81-Standards_Active!$D30))),TREND(Perform_Active!$E30:$F30,Perform_Active!$E$8:$F$8,DB$81))),)</f>
        <v>0</v>
      </c>
      <c r="DC103" s="625">
        <f>IF(AND(Tech_Specs!$E29="step",Standards_Active!$E30="yes"),IF(DC$81&lt;Standards_Active!$C30,TREND(Perform_Active!$E30:$F30,Perform_Active!$E$8:$F$8,DC$81),IF(ISNUMBER(Standards_Active!$I30),IF(AND(DC$81&gt;=Standards_Active!$C30,DC$81&lt;Standards_Active!$D30),(Standards_Active!$I30-INDEX($CJ103:$DI103,1,MATCH((Standards_Active!$C30-1),$CJ$81:$DI$81,FALSE)))/(Standards_Active!$D30-(Standards_Active!$C30-1))+DB103,Standards_Active!$I30*((1+Standards_Active!$N30)^(DC$81-Standards_Active!$D30))),TREND(Perform_Active!$E30:$F30,Perform_Active!$E$8:$F$8,DC$81))),)</f>
        <v>0</v>
      </c>
      <c r="DD103" s="625">
        <f>IF(AND(Tech_Specs!$E29="step",Standards_Active!$E30="yes"),IF(DD$81&lt;Standards_Active!$C30,TREND(Perform_Active!$E30:$F30,Perform_Active!$E$8:$F$8,DD$81),IF(ISNUMBER(Standards_Active!$I30),IF(AND(DD$81&gt;=Standards_Active!$C30,DD$81&lt;Standards_Active!$D30),(Standards_Active!$I30-INDEX($CJ103:$DI103,1,MATCH((Standards_Active!$C30-1),$CJ$81:$DI$81,FALSE)))/(Standards_Active!$D30-(Standards_Active!$C30-1))+DC103,Standards_Active!$I30*((1+Standards_Active!$N30)^(DD$81-Standards_Active!$D30))),TREND(Perform_Active!$E30:$F30,Perform_Active!$E$8:$F$8,DD$81))),)</f>
        <v>0</v>
      </c>
      <c r="DE103" s="625">
        <f>IF(AND(Tech_Specs!$E29="step",Standards_Active!$E30="yes"),IF(DE$81&lt;Standards_Active!$C30,TREND(Perform_Active!$E30:$F30,Perform_Active!$E$8:$F$8,DE$81),IF(ISNUMBER(Standards_Active!$I30),IF(AND(DE$81&gt;=Standards_Active!$C30,DE$81&lt;Standards_Active!$D30),(Standards_Active!$I30-INDEX($CJ103:$DI103,1,MATCH((Standards_Active!$C30-1),$CJ$81:$DI$81,FALSE)))/(Standards_Active!$D30-(Standards_Active!$C30-1))+DD103,Standards_Active!$I30*((1+Standards_Active!$N30)^(DE$81-Standards_Active!$D30))),TREND(Perform_Active!$E30:$F30,Perform_Active!$E$8:$F$8,DE$81))),)</f>
        <v>0</v>
      </c>
      <c r="DF103" s="625">
        <f>IF(AND(Tech_Specs!$E29="step",Standards_Active!$E30="yes"),IF(DF$81&lt;Standards_Active!$C30,TREND(Perform_Active!$E30:$F30,Perform_Active!$E$8:$F$8,DF$81),IF(ISNUMBER(Standards_Active!$I30),IF(AND(DF$81&gt;=Standards_Active!$C30,DF$81&lt;Standards_Active!$D30),(Standards_Active!$I30-INDEX($CJ103:$DI103,1,MATCH((Standards_Active!$C30-1),$CJ$81:$DI$81,FALSE)))/(Standards_Active!$D30-(Standards_Active!$C30-1))+DE103,Standards_Active!$I30*((1+Standards_Active!$N30)^(DF$81-Standards_Active!$D30))),TREND(Perform_Active!$E30:$F30,Perform_Active!$E$8:$F$8,DF$81))),)</f>
        <v>0</v>
      </c>
      <c r="DG103" s="625">
        <f>IF(AND(Tech_Specs!$E29="step",Standards_Active!$E30="yes"),IF(DG$81&lt;Standards_Active!$C30,TREND(Perform_Active!$E30:$F30,Perform_Active!$E$8:$F$8,DG$81),IF(ISNUMBER(Standards_Active!$I30),IF(AND(DG$81&gt;=Standards_Active!$C30,DG$81&lt;Standards_Active!$D30),(Standards_Active!$I30-INDEX($CJ103:$DI103,1,MATCH((Standards_Active!$C30-1),$CJ$81:$DI$81,FALSE)))/(Standards_Active!$D30-(Standards_Active!$C30-1))+DF103,Standards_Active!$I30*((1+Standards_Active!$N30)^(DG$81-Standards_Active!$D30))),TREND(Perform_Active!$E30:$F30,Perform_Active!$E$8:$F$8,DG$81))),)</f>
        <v>0</v>
      </c>
      <c r="DH103" s="625">
        <f>IF(AND(Tech_Specs!$E29="step",Standards_Active!$E30="yes"),IF(DH$81&lt;Standards_Active!$C30,TREND(Perform_Active!$E30:$F30,Perform_Active!$E$8:$F$8,DH$81),IF(ISNUMBER(Standards_Active!$I30),IF(AND(DH$81&gt;=Standards_Active!$C30,DH$81&lt;Standards_Active!$D30),(Standards_Active!$I30-INDEX($CJ103:$DI103,1,MATCH((Standards_Active!$C30-1),$CJ$81:$DI$81,FALSE)))/(Standards_Active!$D30-(Standards_Active!$C30-1))+DG103,Standards_Active!$I30*((1+Standards_Active!$N30)^(DH$81-Standards_Active!$D30))),TREND(Perform_Active!$E30:$F30,Perform_Active!$E$8:$F$8,DH$81))),)</f>
        <v>0</v>
      </c>
      <c r="DI103" s="625">
        <f>IF(AND(Tech_Specs!$E29="step",Standards_Active!$E30="yes"),IF(DI$81&lt;Standards_Active!$C30,TREND(Perform_Active!$E30:$F30,Perform_Active!$E$8:$F$8,DI$81),IF(ISNUMBER(Standards_Active!$I30),IF(AND(DI$81&gt;=Standards_Active!$C30,DI$81&lt;Standards_Active!$D30),(Standards_Active!$I30-INDEX($CJ103:$DI103,1,MATCH((Standards_Active!$C30-1),$CJ$81:$DI$81,FALSE)))/(Standards_Active!$D30-(Standards_Active!$C30-1))+DH103,Standards_Active!$I30*((1+Standards_Active!$N30)^(DI$81-Standards_Active!$D30))),TREND(Perform_Active!$E30:$F30,Perform_Active!$E$8:$F$8,DI$81))),)</f>
        <v>0</v>
      </c>
    </row>
    <row r="104" spans="1:113" s="376" customFormat="1" ht="12.6" x14ac:dyDescent="0.25">
      <c r="B104" s="388" t="s">
        <v>46</v>
      </c>
      <c r="C104" s="388"/>
      <c r="D104" s="552"/>
      <c r="E104" s="552"/>
      <c r="F104" s="552"/>
      <c r="G104" s="390">
        <f t="shared" si="30"/>
        <v>0</v>
      </c>
      <c r="H104" s="390">
        <f t="shared" si="30"/>
        <v>0</v>
      </c>
      <c r="I104" s="390">
        <f t="shared" si="30"/>
        <v>0</v>
      </c>
      <c r="J104" s="390">
        <f t="shared" si="30"/>
        <v>0</v>
      </c>
      <c r="K104" s="390">
        <f t="shared" si="30"/>
        <v>0</v>
      </c>
      <c r="L104" s="390">
        <f t="shared" si="30"/>
        <v>0</v>
      </c>
      <c r="M104" s="390">
        <f t="shared" si="30"/>
        <v>0</v>
      </c>
      <c r="N104" s="390">
        <f t="shared" si="30"/>
        <v>0</v>
      </c>
      <c r="O104" s="390">
        <f t="shared" si="30"/>
        <v>0</v>
      </c>
      <c r="P104" s="390">
        <f t="shared" si="30"/>
        <v>0</v>
      </c>
      <c r="Q104" s="390">
        <f t="shared" si="31"/>
        <v>0</v>
      </c>
      <c r="R104" s="390">
        <f t="shared" si="31"/>
        <v>0</v>
      </c>
      <c r="S104" s="390">
        <f t="shared" si="31"/>
        <v>0</v>
      </c>
      <c r="T104" s="390">
        <f t="shared" si="31"/>
        <v>0</v>
      </c>
      <c r="U104" s="390">
        <f t="shared" si="31"/>
        <v>0</v>
      </c>
      <c r="V104" s="390">
        <f t="shared" si="31"/>
        <v>0</v>
      </c>
      <c r="W104" s="390">
        <f t="shared" si="31"/>
        <v>0</v>
      </c>
      <c r="X104" s="390">
        <f t="shared" si="31"/>
        <v>0</v>
      </c>
      <c r="Y104" s="390">
        <f t="shared" si="31"/>
        <v>0</v>
      </c>
      <c r="Z104" s="390">
        <f t="shared" si="31"/>
        <v>0</v>
      </c>
      <c r="AA104" s="390">
        <f t="shared" si="32"/>
        <v>0</v>
      </c>
      <c r="AB104" s="390">
        <f t="shared" si="32"/>
        <v>0</v>
      </c>
      <c r="AC104" s="390">
        <f t="shared" si="32"/>
        <v>0</v>
      </c>
      <c r="AD104" s="390">
        <f t="shared" si="32"/>
        <v>0</v>
      </c>
      <c r="AE104" s="390">
        <f t="shared" si="32"/>
        <v>0</v>
      </c>
      <c r="AF104" s="390">
        <f t="shared" si="32"/>
        <v>0</v>
      </c>
      <c r="AH104" s="405">
        <f>IF(Tech_Specs!$E30="linear",TREND(Perform_Active!$E31:$F31,Perform_Active!$E$8:$F$8,AH$81),)</f>
        <v>0</v>
      </c>
      <c r="AI104" s="405">
        <f>IF(Tech_Specs!$E30="linear",TREND(Perform_Active!$E31:$F31,Perform_Active!$E$8:$F$8,AI$81),)</f>
        <v>0</v>
      </c>
      <c r="AJ104" s="405">
        <f>IF(Tech_Specs!$E30="linear",TREND(Perform_Active!$E31:$F31,Perform_Active!$E$8:$F$8,AJ$81),)</f>
        <v>0</v>
      </c>
      <c r="AK104" s="405">
        <f>IF(Tech_Specs!$E30="linear",TREND(Perform_Active!$E31:$F31,Perform_Active!$E$8:$F$8,AK$81),)</f>
        <v>0</v>
      </c>
      <c r="AL104" s="405">
        <f>IF(Tech_Specs!$E30="linear",TREND(Perform_Active!$E31:$F31,Perform_Active!$E$8:$F$8,AL$81),)</f>
        <v>0</v>
      </c>
      <c r="AM104" s="405">
        <f>IF(Tech_Specs!$E30="linear",TREND(Perform_Active!$E31:$F31,Perform_Active!$E$8:$F$8,AM$81),)</f>
        <v>0</v>
      </c>
      <c r="AN104" s="405">
        <f>IF(Tech_Specs!$E30="linear",TREND(Perform_Active!$E31:$F31,Perform_Active!$E$8:$F$8,AN$81),)</f>
        <v>0</v>
      </c>
      <c r="AO104" s="405">
        <f>IF(Tech_Specs!$E30="linear",TREND(Perform_Active!$E31:$F31,Perform_Active!$E$8:$F$8,AO$81),)</f>
        <v>0</v>
      </c>
      <c r="AP104" s="405">
        <f>IF(Tech_Specs!$E30="linear",TREND(Perform_Active!$E31:$F31,Perform_Active!$E$8:$F$8,AP$81),)</f>
        <v>0</v>
      </c>
      <c r="AQ104" s="405">
        <f>IF(Tech_Specs!$E30="linear",TREND(Perform_Active!$E31:$F31,Perform_Active!$E$8:$F$8,AQ$81),)</f>
        <v>0</v>
      </c>
      <c r="AR104" s="405">
        <f>IF(Tech_Specs!$E30="linear",TREND(Perform_Active!$E31:$F31,Perform_Active!$E$8:$F$8,AR$81),)</f>
        <v>0</v>
      </c>
      <c r="AS104" s="405">
        <f>IF(Tech_Specs!$E30="linear",TREND(Perform_Active!$E31:$F31,Perform_Active!$E$8:$F$8,AS$81),)</f>
        <v>0</v>
      </c>
      <c r="AT104" s="405">
        <f>IF(Tech_Specs!$E30="linear",TREND(Perform_Active!$E31:$F31,Perform_Active!$E$8:$F$8,AT$81),)</f>
        <v>0</v>
      </c>
      <c r="AU104" s="405">
        <f>IF(Tech_Specs!$E30="linear",TREND(Perform_Active!$E31:$F31,Perform_Active!$E$8:$F$8,AU$81),)</f>
        <v>0</v>
      </c>
      <c r="AV104" s="405">
        <f>IF(Tech_Specs!$E30="linear",TREND(Perform_Active!$E31:$F31,Perform_Active!$E$8:$F$8,AV$81),)</f>
        <v>0</v>
      </c>
      <c r="AW104" s="405">
        <f>IF(Tech_Specs!$E30="linear",TREND(Perform_Active!$E31:$F31,Perform_Active!$E$8:$F$8,AW$81),)</f>
        <v>0</v>
      </c>
      <c r="AX104" s="405">
        <f>IF(Tech_Specs!$E30="linear",TREND(Perform_Active!$E31:$F31,Perform_Active!$E$8:$F$8,AX$81),)</f>
        <v>0</v>
      </c>
      <c r="AY104" s="405">
        <f>IF(Tech_Specs!$E30="linear",TREND(Perform_Active!$E31:$F31,Perform_Active!$E$8:$F$8,AY$81),)</f>
        <v>0</v>
      </c>
      <c r="AZ104" s="405">
        <f>IF(Tech_Specs!$E30="linear",TREND(Perform_Active!$E31:$F31,Perform_Active!$E$8:$F$8,AZ$81),)</f>
        <v>0</v>
      </c>
      <c r="BA104" s="405">
        <f>IF(Tech_Specs!$E30="linear",TREND(Perform_Active!$E31:$F31,Perform_Active!$E$8:$F$8,BA$81),)</f>
        <v>0</v>
      </c>
      <c r="BB104" s="405">
        <f>IF(Tech_Specs!$E30="linear",TREND(Perform_Active!$E31:$F31,Perform_Active!$E$8:$F$8,BB$81),)</f>
        <v>0</v>
      </c>
      <c r="BC104" s="405">
        <f>IF(Tech_Specs!$E30="linear",TREND(Perform_Active!$E31:$F31,Perform_Active!$E$8:$F$8,BC$81),)</f>
        <v>0</v>
      </c>
      <c r="BD104" s="405">
        <f>IF(Tech_Specs!$E30="linear",TREND(Perform_Active!$E31:$F31,Perform_Active!$E$8:$F$8,BD$81),)</f>
        <v>0</v>
      </c>
      <c r="BE104" s="405">
        <f>IF(Tech_Specs!$E30="linear",TREND(Perform_Active!$E31:$F31,Perform_Active!$E$8:$F$8,BE$81),)</f>
        <v>0</v>
      </c>
      <c r="BF104" s="405">
        <f>IF(Tech_Specs!$E30="linear",TREND(Perform_Active!$E31:$F31,Perform_Active!$E$8:$F$8,BF$81),)</f>
        <v>0</v>
      </c>
      <c r="BG104" s="405">
        <f>IF(Tech_Specs!$E30="linear",TREND(Perform_Active!$E31:$F31,Perform_Active!$E$8:$F$8,BG$81),)</f>
        <v>0</v>
      </c>
      <c r="BI104" s="405">
        <f>IF(Tech_Specs!$E30="logistic",IF($B30="LED",IF(Tech_Specs!$K30="lamp",Perform_SSL!G$10,Perform_SSL!G$11)),)</f>
        <v>0</v>
      </c>
      <c r="BJ104" s="405">
        <f>IF(Tech_Specs!$E30="logistic",IF($B30="LED",IF(Tech_Specs!$K30="lamp",Perform_SSL!H$10,Perform_SSL!H$11)),)</f>
        <v>0</v>
      </c>
      <c r="BK104" s="405">
        <f>IF(Tech_Specs!$E30="logistic",IF($B30="LED",IF(Tech_Specs!$K30="lamp",Perform_SSL!I$10,Perform_SSL!I$11)),)</f>
        <v>0</v>
      </c>
      <c r="BL104" s="405">
        <f>IF(Tech_Specs!$E30="logistic",IF($B30="LED",IF(Tech_Specs!$K30="lamp",Perform_SSL!J$10,Perform_SSL!J$11)),)</f>
        <v>0</v>
      </c>
      <c r="BM104" s="405">
        <f>IF(Tech_Specs!$E30="logistic",IF($B30="LED",IF(Tech_Specs!$K30="lamp",Perform_SSL!K$10,Perform_SSL!K$11)),)</f>
        <v>0</v>
      </c>
      <c r="BN104" s="405">
        <f>IF(Tech_Specs!$E30="logistic",IF($B30="LED",IF(Tech_Specs!$K30="lamp",Perform_SSL!L$10,Perform_SSL!L$11)),)</f>
        <v>0</v>
      </c>
      <c r="BO104" s="405">
        <f>IF(Tech_Specs!$E30="logistic",IF($B30="LED",IF(Tech_Specs!$K30="lamp",Perform_SSL!M$10,Perform_SSL!M$11)),)</f>
        <v>0</v>
      </c>
      <c r="BP104" s="405">
        <f>IF(Tech_Specs!$E30="logistic",IF($B30="LED",IF(Tech_Specs!$K30="lamp",Perform_SSL!N$10,Perform_SSL!N$11)),)</f>
        <v>0</v>
      </c>
      <c r="BQ104" s="405">
        <f>IF(Tech_Specs!$E30="logistic",IF($B30="LED",IF(Tech_Specs!$K30="lamp",Perform_SSL!O$10,Perform_SSL!O$11)),)</f>
        <v>0</v>
      </c>
      <c r="BR104" s="405">
        <f>IF(Tech_Specs!$E30="logistic",IF($B30="LED",IF(Tech_Specs!$K30="lamp",Perform_SSL!P$10,Perform_SSL!P$11)),)</f>
        <v>0</v>
      </c>
      <c r="BS104" s="405">
        <f>IF(Tech_Specs!$E30="logistic",IF($B30="LED",IF(Tech_Specs!$K30="lamp",Perform_SSL!Q$10,Perform_SSL!Q$11)),)</f>
        <v>0</v>
      </c>
      <c r="BT104" s="405">
        <f>IF(Tech_Specs!$E30="logistic",IF($B30="LED",IF(Tech_Specs!$K30="lamp",Perform_SSL!R$10,Perform_SSL!R$11)),)</f>
        <v>0</v>
      </c>
      <c r="BU104" s="405">
        <f>IF(Tech_Specs!$E30="logistic",IF($B30="LED",IF(Tech_Specs!$K30="lamp",Perform_SSL!S$10,Perform_SSL!S$11)),)</f>
        <v>0</v>
      </c>
      <c r="BV104" s="405">
        <f>IF(Tech_Specs!$E30="logistic",IF($B30="LED",IF(Tech_Specs!$K30="lamp",Perform_SSL!T$10,Perform_SSL!T$11)),)</f>
        <v>0</v>
      </c>
      <c r="BW104" s="405">
        <f>IF(Tech_Specs!$E30="logistic",IF($B30="LED",IF(Tech_Specs!$K30="lamp",Perform_SSL!U$10,Perform_SSL!U$11)),)</f>
        <v>0</v>
      </c>
      <c r="BX104" s="405">
        <f>IF(Tech_Specs!$E30="logistic",IF($B30="LED",IF(Tech_Specs!$K30="lamp",Perform_SSL!V$10,Perform_SSL!V$11)),)</f>
        <v>0</v>
      </c>
      <c r="BY104" s="405">
        <f>IF(Tech_Specs!$E30="logistic",IF($B30="LED",IF(Tech_Specs!$K30="lamp",Perform_SSL!W$10,Perform_SSL!W$11)),)</f>
        <v>0</v>
      </c>
      <c r="BZ104" s="405">
        <f>IF(Tech_Specs!$E30="logistic",IF($B30="LED",IF(Tech_Specs!$K30="lamp",Perform_SSL!X$10,Perform_SSL!X$11)),)</f>
        <v>0</v>
      </c>
      <c r="CA104" s="405">
        <f>IF(Tech_Specs!$E30="logistic",IF($B30="LED",IF(Tech_Specs!$K30="lamp",Perform_SSL!Y$10,Perform_SSL!Y$11)),)</f>
        <v>0</v>
      </c>
      <c r="CB104" s="405">
        <f>IF(Tech_Specs!$E30="logistic",IF($B30="LED",IF(Tech_Specs!$K30="lamp",Perform_SSL!Z$10,Perform_SSL!Z$11)),)</f>
        <v>0</v>
      </c>
      <c r="CC104" s="405">
        <f>IF(Tech_Specs!$E30="logistic",IF($B30="LED",IF(Tech_Specs!$K30="lamp",Perform_SSL!AA$10,Perform_SSL!AA$11)),)</f>
        <v>0</v>
      </c>
      <c r="CD104" s="405">
        <f>IF(Tech_Specs!$E30="logistic",IF($B30="LED",IF(Tech_Specs!$K30="lamp",Perform_SSL!AB$10,Perform_SSL!AB$11)),)</f>
        <v>0</v>
      </c>
      <c r="CE104" s="405">
        <f>IF(Tech_Specs!$E30="logistic",IF($B30="LED",IF(Tech_Specs!$K30="lamp",Perform_SSL!AC$10,Perform_SSL!AC$11)),)</f>
        <v>0</v>
      </c>
      <c r="CF104" s="405">
        <f>IF(Tech_Specs!$E30="logistic",IF($B30="LED",IF(Tech_Specs!$K30="lamp",Perform_SSL!AD$10,Perform_SSL!AD$11)),)</f>
        <v>0</v>
      </c>
      <c r="CG104" s="405">
        <f>IF(Tech_Specs!$E30="logistic",IF($B30="LED",IF(Tech_Specs!$K30="lamp",Perform_SSL!AE$10,Perform_SSL!AE$11)),)</f>
        <v>0</v>
      </c>
      <c r="CH104" s="405">
        <f>IF(Tech_Specs!$E30="logistic",IF($B30="LED",IF(Tech_Specs!$K30="lamp",Perform_SSL!AF$10,Perform_SSL!AF$11)),)</f>
        <v>0</v>
      </c>
      <c r="CJ104" s="625">
        <f>IF(AND(Tech_Specs!$E30="step",Standards_Active!$E31="yes"),IF(CJ$81&lt;Standards_Active!$C31,TREND(Perform_Active!$E31:$F31,Perform_Active!$E$8:$F$8,CJ$81),IF(ISNUMBER(Standards_Active!$I31),IF(AND(CJ$81&gt;=Standards_Active!$C31,CJ$81&lt;Standards_Active!$D31),(Standards_Active!$I31-INDEX($CJ104:$DI104,1,MATCH((Standards_Active!$C31-1),$CJ$81:$DI$81,FALSE)))/(Standards_Active!$D31-(Standards_Active!$C31-1))+CI104,Standards_Active!$I31*((1+Standards_Active!$N31)^(CJ$81-Standards_Active!$D31))),TREND(Perform_Active!$E31:$F31,Perform_Active!$E$8:$F$8,CJ$81))),)</f>
        <v>0</v>
      </c>
      <c r="CK104" s="625">
        <f>IF(AND(Tech_Specs!$E30="step",Standards_Active!$E31="yes"),IF(CK$81&lt;Standards_Active!$C31,TREND(Perform_Active!$E31:$F31,Perform_Active!$E$8:$F$8,CK$81),IF(ISNUMBER(Standards_Active!$I31),IF(AND(CK$81&gt;=Standards_Active!$C31,CK$81&lt;Standards_Active!$D31),(Standards_Active!$I31-INDEX($CJ104:$DI104,1,MATCH((Standards_Active!$C31-1),$CJ$81:$DI$81,FALSE)))/(Standards_Active!$D31-(Standards_Active!$C31-1))+CJ104,Standards_Active!$I31*((1+Standards_Active!$N31)^(CK$81-Standards_Active!$D31))),TREND(Perform_Active!$E31:$F31,Perform_Active!$E$8:$F$8,CK$81))),)</f>
        <v>0</v>
      </c>
      <c r="CL104" s="625">
        <f>IF(AND(Tech_Specs!$E30="step",Standards_Active!$E31="yes"),IF(CL$81&lt;Standards_Active!$C31,TREND(Perform_Active!$E31:$F31,Perform_Active!$E$8:$F$8,CL$81),IF(ISNUMBER(Standards_Active!$I31),IF(AND(CL$81&gt;=Standards_Active!$C31,CL$81&lt;Standards_Active!$D31),(Standards_Active!$I31-INDEX($CJ104:$DI104,1,MATCH((Standards_Active!$C31-1),$CJ$81:$DI$81,FALSE)))/(Standards_Active!$D31-(Standards_Active!$C31-1))+CK104,Standards_Active!$I31*((1+Standards_Active!$N31)^(CL$81-Standards_Active!$D31))),TREND(Perform_Active!$E31:$F31,Perform_Active!$E$8:$F$8,CL$81))),)</f>
        <v>0</v>
      </c>
      <c r="CM104" s="625">
        <f>IF(AND(Tech_Specs!$E30="step",Standards_Active!$E31="yes"),IF(CM$81&lt;Standards_Active!$C31,TREND(Perform_Active!$E31:$F31,Perform_Active!$E$8:$F$8,CM$81),IF(ISNUMBER(Standards_Active!$I31),IF(AND(CM$81&gt;=Standards_Active!$C31,CM$81&lt;Standards_Active!$D31),(Standards_Active!$I31-INDEX($CJ104:$DI104,1,MATCH((Standards_Active!$C31-1),$CJ$81:$DI$81,FALSE)))/(Standards_Active!$D31-(Standards_Active!$C31-1))+CL104,Standards_Active!$I31*((1+Standards_Active!$N31)^(CM$81-Standards_Active!$D31))),TREND(Perform_Active!$E31:$F31,Perform_Active!$E$8:$F$8,CM$81))),)</f>
        <v>0</v>
      </c>
      <c r="CN104" s="625">
        <f>IF(AND(Tech_Specs!$E30="step",Standards_Active!$E31="yes"),IF(CN$81&lt;Standards_Active!$C31,TREND(Perform_Active!$E31:$F31,Perform_Active!$E$8:$F$8,CN$81),IF(ISNUMBER(Standards_Active!$I31),IF(AND(CN$81&gt;=Standards_Active!$C31,CN$81&lt;Standards_Active!$D31),(Standards_Active!$I31-INDEX($CJ104:$DI104,1,MATCH((Standards_Active!$C31-1),$CJ$81:$DI$81,FALSE)))/(Standards_Active!$D31-(Standards_Active!$C31-1))+CM104,Standards_Active!$I31*((1+Standards_Active!$N31)^(CN$81-Standards_Active!$D31))),TREND(Perform_Active!$E31:$F31,Perform_Active!$E$8:$F$8,CN$81))),)</f>
        <v>0</v>
      </c>
      <c r="CO104" s="625">
        <f>IF(AND(Tech_Specs!$E30="step",Standards_Active!$E31="yes"),IF(CO$81&lt;Standards_Active!$C31,TREND(Perform_Active!$E31:$F31,Perform_Active!$E$8:$F$8,CO$81),IF(ISNUMBER(Standards_Active!$I31),IF(AND(CO$81&gt;=Standards_Active!$C31,CO$81&lt;Standards_Active!$D31),(Standards_Active!$I31-INDEX($CJ104:$DI104,1,MATCH((Standards_Active!$C31-1),$CJ$81:$DI$81,FALSE)))/(Standards_Active!$D31-(Standards_Active!$C31-1))+CN104,Standards_Active!$I31*((1+Standards_Active!$N31)^(CO$81-Standards_Active!$D31))),TREND(Perform_Active!$E31:$F31,Perform_Active!$E$8:$F$8,CO$81))),)</f>
        <v>0</v>
      </c>
      <c r="CP104" s="625">
        <f>IF(AND(Tech_Specs!$E30="step",Standards_Active!$E31="yes"),IF(CP$81&lt;Standards_Active!$C31,TREND(Perform_Active!$E31:$F31,Perform_Active!$E$8:$F$8,CP$81),IF(ISNUMBER(Standards_Active!$I31),IF(AND(CP$81&gt;=Standards_Active!$C31,CP$81&lt;Standards_Active!$D31),(Standards_Active!$I31-INDEX($CJ104:$DI104,1,MATCH((Standards_Active!$C31-1),$CJ$81:$DI$81,FALSE)))/(Standards_Active!$D31-(Standards_Active!$C31-1))+CO104,Standards_Active!$I31*((1+Standards_Active!$N31)^(CP$81-Standards_Active!$D31))),TREND(Perform_Active!$E31:$F31,Perform_Active!$E$8:$F$8,CP$81))),)</f>
        <v>0</v>
      </c>
      <c r="CQ104" s="625">
        <f>IF(AND(Tech_Specs!$E30="step",Standards_Active!$E31="yes"),IF(CQ$81&lt;Standards_Active!$C31,TREND(Perform_Active!$E31:$F31,Perform_Active!$E$8:$F$8,CQ$81),IF(ISNUMBER(Standards_Active!$I31),IF(AND(CQ$81&gt;=Standards_Active!$C31,CQ$81&lt;Standards_Active!$D31),(Standards_Active!$I31-INDEX($CJ104:$DI104,1,MATCH((Standards_Active!$C31-1),$CJ$81:$DI$81,FALSE)))/(Standards_Active!$D31-(Standards_Active!$C31-1))+CP104,Standards_Active!$I31*((1+Standards_Active!$N31)^(CQ$81-Standards_Active!$D31))),TREND(Perform_Active!$E31:$F31,Perform_Active!$E$8:$F$8,CQ$81))),)</f>
        <v>0</v>
      </c>
      <c r="CR104" s="625">
        <f>IF(AND(Tech_Specs!$E30="step",Standards_Active!$E31="yes"),IF(CR$81&lt;Standards_Active!$C31,TREND(Perform_Active!$E31:$F31,Perform_Active!$E$8:$F$8,CR$81),IF(ISNUMBER(Standards_Active!$I31),IF(AND(CR$81&gt;=Standards_Active!$C31,CR$81&lt;Standards_Active!$D31),(Standards_Active!$I31-INDEX($CJ104:$DI104,1,MATCH((Standards_Active!$C31-1),$CJ$81:$DI$81,FALSE)))/(Standards_Active!$D31-(Standards_Active!$C31-1))+CQ104,Standards_Active!$I31*((1+Standards_Active!$N31)^(CR$81-Standards_Active!$D31))),TREND(Perform_Active!$E31:$F31,Perform_Active!$E$8:$F$8,CR$81))),)</f>
        <v>0</v>
      </c>
      <c r="CS104" s="625">
        <f>IF(AND(Tech_Specs!$E30="step",Standards_Active!$E31="yes"),IF(CS$81&lt;Standards_Active!$C31,TREND(Perform_Active!$E31:$F31,Perform_Active!$E$8:$F$8,CS$81),IF(ISNUMBER(Standards_Active!$I31),IF(AND(CS$81&gt;=Standards_Active!$C31,CS$81&lt;Standards_Active!$D31),(Standards_Active!$I31-INDEX($CJ104:$DI104,1,MATCH((Standards_Active!$C31-1),$CJ$81:$DI$81,FALSE)))/(Standards_Active!$D31-(Standards_Active!$C31-1))+CR104,Standards_Active!$I31*((1+Standards_Active!$N31)^(CS$81-Standards_Active!$D31))),TREND(Perform_Active!$E31:$F31,Perform_Active!$E$8:$F$8,CS$81))),)</f>
        <v>0</v>
      </c>
      <c r="CT104" s="625">
        <f>IF(AND(Tech_Specs!$E30="step",Standards_Active!$E31="yes"),IF(CT$81&lt;Standards_Active!$C31,TREND(Perform_Active!$E31:$F31,Perform_Active!$E$8:$F$8,CT$81),IF(ISNUMBER(Standards_Active!$I31),IF(AND(CT$81&gt;=Standards_Active!$C31,CT$81&lt;Standards_Active!$D31),(Standards_Active!$I31-INDEX($CJ104:$DI104,1,MATCH((Standards_Active!$C31-1),$CJ$81:$DI$81,FALSE)))/(Standards_Active!$D31-(Standards_Active!$C31-1))+CS104,Standards_Active!$I31*((1+Standards_Active!$N31)^(CT$81-Standards_Active!$D31))),TREND(Perform_Active!$E31:$F31,Perform_Active!$E$8:$F$8,CT$81))),)</f>
        <v>0</v>
      </c>
      <c r="CU104" s="625">
        <f>IF(AND(Tech_Specs!$E30="step",Standards_Active!$E31="yes"),IF(CU$81&lt;Standards_Active!$C31,TREND(Perform_Active!$E31:$F31,Perform_Active!$E$8:$F$8,CU$81),IF(ISNUMBER(Standards_Active!$I31),IF(AND(CU$81&gt;=Standards_Active!$C31,CU$81&lt;Standards_Active!$D31),(Standards_Active!$I31-INDEX($CJ104:$DI104,1,MATCH((Standards_Active!$C31-1),$CJ$81:$DI$81,FALSE)))/(Standards_Active!$D31-(Standards_Active!$C31-1))+CT104,Standards_Active!$I31*((1+Standards_Active!$N31)^(CU$81-Standards_Active!$D31))),TREND(Perform_Active!$E31:$F31,Perform_Active!$E$8:$F$8,CU$81))),)</f>
        <v>0</v>
      </c>
      <c r="CV104" s="625">
        <f>IF(AND(Tech_Specs!$E30="step",Standards_Active!$E31="yes"),IF(CV$81&lt;Standards_Active!$C31,TREND(Perform_Active!$E31:$F31,Perform_Active!$E$8:$F$8,CV$81),IF(ISNUMBER(Standards_Active!$I31),IF(AND(CV$81&gt;=Standards_Active!$C31,CV$81&lt;Standards_Active!$D31),(Standards_Active!$I31-INDEX($CJ104:$DI104,1,MATCH((Standards_Active!$C31-1),$CJ$81:$DI$81,FALSE)))/(Standards_Active!$D31-(Standards_Active!$C31-1))+CU104,Standards_Active!$I31*((1+Standards_Active!$N31)^(CV$81-Standards_Active!$D31))),TREND(Perform_Active!$E31:$F31,Perform_Active!$E$8:$F$8,CV$81))),)</f>
        <v>0</v>
      </c>
      <c r="CW104" s="625">
        <f>IF(AND(Tech_Specs!$E30="step",Standards_Active!$E31="yes"),IF(CW$81&lt;Standards_Active!$C31,TREND(Perform_Active!$E31:$F31,Perform_Active!$E$8:$F$8,CW$81),IF(ISNUMBER(Standards_Active!$I31),IF(AND(CW$81&gt;=Standards_Active!$C31,CW$81&lt;Standards_Active!$D31),(Standards_Active!$I31-INDEX($CJ104:$DI104,1,MATCH((Standards_Active!$C31-1),$CJ$81:$DI$81,FALSE)))/(Standards_Active!$D31-(Standards_Active!$C31-1))+CV104,Standards_Active!$I31*((1+Standards_Active!$N31)^(CW$81-Standards_Active!$D31))),TREND(Perform_Active!$E31:$F31,Perform_Active!$E$8:$F$8,CW$81))),)</f>
        <v>0</v>
      </c>
      <c r="CX104" s="625">
        <f>IF(AND(Tech_Specs!$E30="step",Standards_Active!$E31="yes"),IF(CX$81&lt;Standards_Active!$C31,TREND(Perform_Active!$E31:$F31,Perform_Active!$E$8:$F$8,CX$81),IF(ISNUMBER(Standards_Active!$I31),IF(AND(CX$81&gt;=Standards_Active!$C31,CX$81&lt;Standards_Active!$D31),(Standards_Active!$I31-INDEX($CJ104:$DI104,1,MATCH((Standards_Active!$C31-1),$CJ$81:$DI$81,FALSE)))/(Standards_Active!$D31-(Standards_Active!$C31-1))+CW104,Standards_Active!$I31*((1+Standards_Active!$N31)^(CX$81-Standards_Active!$D31))),TREND(Perform_Active!$E31:$F31,Perform_Active!$E$8:$F$8,CX$81))),)</f>
        <v>0</v>
      </c>
      <c r="CY104" s="625">
        <f>IF(AND(Tech_Specs!$E30="step",Standards_Active!$E31="yes"),IF(CY$81&lt;Standards_Active!$C31,TREND(Perform_Active!$E31:$F31,Perform_Active!$E$8:$F$8,CY$81),IF(ISNUMBER(Standards_Active!$I31),IF(AND(CY$81&gt;=Standards_Active!$C31,CY$81&lt;Standards_Active!$D31),(Standards_Active!$I31-INDEX($CJ104:$DI104,1,MATCH((Standards_Active!$C31-1),$CJ$81:$DI$81,FALSE)))/(Standards_Active!$D31-(Standards_Active!$C31-1))+CX104,Standards_Active!$I31*((1+Standards_Active!$N31)^(CY$81-Standards_Active!$D31))),TREND(Perform_Active!$E31:$F31,Perform_Active!$E$8:$F$8,CY$81))),)</f>
        <v>0</v>
      </c>
      <c r="CZ104" s="625">
        <f>IF(AND(Tech_Specs!$E30="step",Standards_Active!$E31="yes"),IF(CZ$81&lt;Standards_Active!$C31,TREND(Perform_Active!$E31:$F31,Perform_Active!$E$8:$F$8,CZ$81),IF(ISNUMBER(Standards_Active!$I31),IF(AND(CZ$81&gt;=Standards_Active!$C31,CZ$81&lt;Standards_Active!$D31),(Standards_Active!$I31-INDEX($CJ104:$DI104,1,MATCH((Standards_Active!$C31-1),$CJ$81:$DI$81,FALSE)))/(Standards_Active!$D31-(Standards_Active!$C31-1))+CY104,Standards_Active!$I31*((1+Standards_Active!$N31)^(CZ$81-Standards_Active!$D31))),TREND(Perform_Active!$E31:$F31,Perform_Active!$E$8:$F$8,CZ$81))),)</f>
        <v>0</v>
      </c>
      <c r="DA104" s="625">
        <f>IF(AND(Tech_Specs!$E30="step",Standards_Active!$E31="yes"),IF(DA$81&lt;Standards_Active!$C31,TREND(Perform_Active!$E31:$F31,Perform_Active!$E$8:$F$8,DA$81),IF(ISNUMBER(Standards_Active!$I31),IF(AND(DA$81&gt;=Standards_Active!$C31,DA$81&lt;Standards_Active!$D31),(Standards_Active!$I31-INDEX($CJ104:$DI104,1,MATCH((Standards_Active!$C31-1),$CJ$81:$DI$81,FALSE)))/(Standards_Active!$D31-(Standards_Active!$C31-1))+CZ104,Standards_Active!$I31*((1+Standards_Active!$N31)^(DA$81-Standards_Active!$D31))),TREND(Perform_Active!$E31:$F31,Perform_Active!$E$8:$F$8,DA$81))),)</f>
        <v>0</v>
      </c>
      <c r="DB104" s="625">
        <f>IF(AND(Tech_Specs!$E30="step",Standards_Active!$E31="yes"),IF(DB$81&lt;Standards_Active!$C31,TREND(Perform_Active!$E31:$F31,Perform_Active!$E$8:$F$8,DB$81),IF(ISNUMBER(Standards_Active!$I31),IF(AND(DB$81&gt;=Standards_Active!$C31,DB$81&lt;Standards_Active!$D31),(Standards_Active!$I31-INDEX($CJ104:$DI104,1,MATCH((Standards_Active!$C31-1),$CJ$81:$DI$81,FALSE)))/(Standards_Active!$D31-(Standards_Active!$C31-1))+DA104,Standards_Active!$I31*((1+Standards_Active!$N31)^(DB$81-Standards_Active!$D31))),TREND(Perform_Active!$E31:$F31,Perform_Active!$E$8:$F$8,DB$81))),)</f>
        <v>0</v>
      </c>
      <c r="DC104" s="625">
        <f>IF(AND(Tech_Specs!$E30="step",Standards_Active!$E31="yes"),IF(DC$81&lt;Standards_Active!$C31,TREND(Perform_Active!$E31:$F31,Perform_Active!$E$8:$F$8,DC$81),IF(ISNUMBER(Standards_Active!$I31),IF(AND(DC$81&gt;=Standards_Active!$C31,DC$81&lt;Standards_Active!$D31),(Standards_Active!$I31-INDEX($CJ104:$DI104,1,MATCH((Standards_Active!$C31-1),$CJ$81:$DI$81,FALSE)))/(Standards_Active!$D31-(Standards_Active!$C31-1))+DB104,Standards_Active!$I31*((1+Standards_Active!$N31)^(DC$81-Standards_Active!$D31))),TREND(Perform_Active!$E31:$F31,Perform_Active!$E$8:$F$8,DC$81))),)</f>
        <v>0</v>
      </c>
      <c r="DD104" s="625">
        <f>IF(AND(Tech_Specs!$E30="step",Standards_Active!$E31="yes"),IF(DD$81&lt;Standards_Active!$C31,TREND(Perform_Active!$E31:$F31,Perform_Active!$E$8:$F$8,DD$81),IF(ISNUMBER(Standards_Active!$I31),IF(AND(DD$81&gt;=Standards_Active!$C31,DD$81&lt;Standards_Active!$D31),(Standards_Active!$I31-INDEX($CJ104:$DI104,1,MATCH((Standards_Active!$C31-1),$CJ$81:$DI$81,FALSE)))/(Standards_Active!$D31-(Standards_Active!$C31-1))+DC104,Standards_Active!$I31*((1+Standards_Active!$N31)^(DD$81-Standards_Active!$D31))),TREND(Perform_Active!$E31:$F31,Perform_Active!$E$8:$F$8,DD$81))),)</f>
        <v>0</v>
      </c>
      <c r="DE104" s="625">
        <f>IF(AND(Tech_Specs!$E30="step",Standards_Active!$E31="yes"),IF(DE$81&lt;Standards_Active!$C31,TREND(Perform_Active!$E31:$F31,Perform_Active!$E$8:$F$8,DE$81),IF(ISNUMBER(Standards_Active!$I31),IF(AND(DE$81&gt;=Standards_Active!$C31,DE$81&lt;Standards_Active!$D31),(Standards_Active!$I31-INDEX($CJ104:$DI104,1,MATCH((Standards_Active!$C31-1),$CJ$81:$DI$81,FALSE)))/(Standards_Active!$D31-(Standards_Active!$C31-1))+DD104,Standards_Active!$I31*((1+Standards_Active!$N31)^(DE$81-Standards_Active!$D31))),TREND(Perform_Active!$E31:$F31,Perform_Active!$E$8:$F$8,DE$81))),)</f>
        <v>0</v>
      </c>
      <c r="DF104" s="625">
        <f>IF(AND(Tech_Specs!$E30="step",Standards_Active!$E31="yes"),IF(DF$81&lt;Standards_Active!$C31,TREND(Perform_Active!$E31:$F31,Perform_Active!$E$8:$F$8,DF$81),IF(ISNUMBER(Standards_Active!$I31),IF(AND(DF$81&gt;=Standards_Active!$C31,DF$81&lt;Standards_Active!$D31),(Standards_Active!$I31-INDEX($CJ104:$DI104,1,MATCH((Standards_Active!$C31-1),$CJ$81:$DI$81,FALSE)))/(Standards_Active!$D31-(Standards_Active!$C31-1))+DE104,Standards_Active!$I31*((1+Standards_Active!$N31)^(DF$81-Standards_Active!$D31))),TREND(Perform_Active!$E31:$F31,Perform_Active!$E$8:$F$8,DF$81))),)</f>
        <v>0</v>
      </c>
      <c r="DG104" s="625">
        <f>IF(AND(Tech_Specs!$E30="step",Standards_Active!$E31="yes"),IF(DG$81&lt;Standards_Active!$C31,TREND(Perform_Active!$E31:$F31,Perform_Active!$E$8:$F$8,DG$81),IF(ISNUMBER(Standards_Active!$I31),IF(AND(DG$81&gt;=Standards_Active!$C31,DG$81&lt;Standards_Active!$D31),(Standards_Active!$I31-INDEX($CJ104:$DI104,1,MATCH((Standards_Active!$C31-1),$CJ$81:$DI$81,FALSE)))/(Standards_Active!$D31-(Standards_Active!$C31-1))+DF104,Standards_Active!$I31*((1+Standards_Active!$N31)^(DG$81-Standards_Active!$D31))),TREND(Perform_Active!$E31:$F31,Perform_Active!$E$8:$F$8,DG$81))),)</f>
        <v>0</v>
      </c>
      <c r="DH104" s="625">
        <f>IF(AND(Tech_Specs!$E30="step",Standards_Active!$E31="yes"),IF(DH$81&lt;Standards_Active!$C31,TREND(Perform_Active!$E31:$F31,Perform_Active!$E$8:$F$8,DH$81),IF(ISNUMBER(Standards_Active!$I31),IF(AND(DH$81&gt;=Standards_Active!$C31,DH$81&lt;Standards_Active!$D31),(Standards_Active!$I31-INDEX($CJ104:$DI104,1,MATCH((Standards_Active!$C31-1),$CJ$81:$DI$81,FALSE)))/(Standards_Active!$D31-(Standards_Active!$C31-1))+DG104,Standards_Active!$I31*((1+Standards_Active!$N31)^(DH$81-Standards_Active!$D31))),TREND(Perform_Active!$E31:$F31,Perform_Active!$E$8:$F$8,DH$81))),)</f>
        <v>0</v>
      </c>
      <c r="DI104" s="625">
        <f>IF(AND(Tech_Specs!$E30="step",Standards_Active!$E31="yes"),IF(DI$81&lt;Standards_Active!$C31,TREND(Perform_Active!$E31:$F31,Perform_Active!$E$8:$F$8,DI$81),IF(ISNUMBER(Standards_Active!$I31),IF(AND(DI$81&gt;=Standards_Active!$C31,DI$81&lt;Standards_Active!$D31),(Standards_Active!$I31-INDEX($CJ104:$DI104,1,MATCH((Standards_Active!$C31-1),$CJ$81:$DI$81,FALSE)))/(Standards_Active!$D31-(Standards_Active!$C31-1))+DH104,Standards_Active!$I31*((1+Standards_Active!$N31)^(DI$81-Standards_Active!$D31))),TREND(Perform_Active!$E31:$F31,Perform_Active!$E$8:$F$8,DI$81))),)</f>
        <v>0</v>
      </c>
    </row>
    <row r="105" spans="1:113" s="376" customFormat="1" ht="12.6" x14ac:dyDescent="0.25">
      <c r="B105" s="376" t="s">
        <v>29</v>
      </c>
      <c r="D105" s="550"/>
      <c r="E105" s="550"/>
      <c r="F105" s="550"/>
      <c r="G105" s="390">
        <f t="shared" si="30"/>
        <v>69.886712931315586</v>
      </c>
      <c r="H105" s="390">
        <f t="shared" si="30"/>
        <v>84.617739005122857</v>
      </c>
      <c r="I105" s="390">
        <f t="shared" si="30"/>
        <v>99.77020761765985</v>
      </c>
      <c r="J105" s="390">
        <f t="shared" si="30"/>
        <v>115.81072942703476</v>
      </c>
      <c r="K105" s="390">
        <f t="shared" si="30"/>
        <v>131.19780938437214</v>
      </c>
      <c r="L105" s="390">
        <f t="shared" si="30"/>
        <v>145.46220447607328</v>
      </c>
      <c r="M105" s="390">
        <f t="shared" si="30"/>
        <v>157.75364681050067</v>
      </c>
      <c r="N105" s="390">
        <f t="shared" si="30"/>
        <v>168.55506474700036</v>
      </c>
      <c r="O105" s="390">
        <f t="shared" si="30"/>
        <v>177.96704120423578</v>
      </c>
      <c r="P105" s="390">
        <f t="shared" si="30"/>
        <v>186.1654499682482</v>
      </c>
      <c r="Q105" s="390">
        <f t="shared" si="31"/>
        <v>193.35230342395749</v>
      </c>
      <c r="R105" s="390">
        <f t="shared" si="31"/>
        <v>196.11147215578865</v>
      </c>
      <c r="S105" s="390">
        <f t="shared" si="31"/>
        <v>198.15456111208027</v>
      </c>
      <c r="T105" s="390">
        <f t="shared" si="31"/>
        <v>199.65744029461996</v>
      </c>
      <c r="U105" s="390">
        <f t="shared" si="31"/>
        <v>200.75757592848979</v>
      </c>
      <c r="V105" s="390">
        <f t="shared" si="31"/>
        <v>201.56002861929591</v>
      </c>
      <c r="W105" s="390">
        <f t="shared" si="31"/>
        <v>202.14382617150503</v>
      </c>
      <c r="X105" s="390">
        <f t="shared" si="31"/>
        <v>202.5677447446416</v>
      </c>
      <c r="Y105" s="390">
        <f t="shared" si="31"/>
        <v>202.87514562074011</v>
      </c>
      <c r="Z105" s="390">
        <f t="shared" si="31"/>
        <v>203.09783237720012</v>
      </c>
      <c r="AA105" s="390">
        <f t="shared" si="32"/>
        <v>203.25903410630769</v>
      </c>
      <c r="AB105" s="390">
        <f t="shared" si="32"/>
        <v>203.37566609727986</v>
      </c>
      <c r="AC105" s="390">
        <f t="shared" si="32"/>
        <v>203.46001922812226</v>
      </c>
      <c r="AD105" s="390">
        <f t="shared" si="32"/>
        <v>203.52101022912549</v>
      </c>
      <c r="AE105" s="390">
        <f t="shared" si="32"/>
        <v>203.56510065539746</v>
      </c>
      <c r="AF105" s="390">
        <f t="shared" si="32"/>
        <v>203.59696908402657</v>
      </c>
      <c r="AH105" s="405">
        <f>IF(Tech_Specs!$E31="linear",TREND(Perform_Active!$E32:$F32,Perform_Active!$E$8:$F$8,AH$81),)</f>
        <v>0</v>
      </c>
      <c r="AI105" s="405">
        <f>IF(Tech_Specs!$E31="linear",TREND(Perform_Active!$E32:$F32,Perform_Active!$E$8:$F$8,AI$81),)</f>
        <v>0</v>
      </c>
      <c r="AJ105" s="405">
        <f>IF(Tech_Specs!$E31="linear",TREND(Perform_Active!$E32:$F32,Perform_Active!$E$8:$F$8,AJ$81),)</f>
        <v>0</v>
      </c>
      <c r="AK105" s="405">
        <f>IF(Tech_Specs!$E31="linear",TREND(Perform_Active!$E32:$F32,Perform_Active!$E$8:$F$8,AK$81),)</f>
        <v>0</v>
      </c>
      <c r="AL105" s="405">
        <f>IF(Tech_Specs!$E31="linear",TREND(Perform_Active!$E32:$F32,Perform_Active!$E$8:$F$8,AL$81),)</f>
        <v>0</v>
      </c>
      <c r="AM105" s="405">
        <f>IF(Tech_Specs!$E31="linear",TREND(Perform_Active!$E32:$F32,Perform_Active!$E$8:$F$8,AM$81),)</f>
        <v>0</v>
      </c>
      <c r="AN105" s="405">
        <f>IF(Tech_Specs!$E31="linear",TREND(Perform_Active!$E32:$F32,Perform_Active!$E$8:$F$8,AN$81),)</f>
        <v>0</v>
      </c>
      <c r="AO105" s="405">
        <f>IF(Tech_Specs!$E31="linear",TREND(Perform_Active!$E32:$F32,Perform_Active!$E$8:$F$8,AO$81),)</f>
        <v>0</v>
      </c>
      <c r="AP105" s="405">
        <f>IF(Tech_Specs!$E31="linear",TREND(Perform_Active!$E32:$F32,Perform_Active!$E$8:$F$8,AP$81),)</f>
        <v>0</v>
      </c>
      <c r="AQ105" s="405">
        <f>IF(Tech_Specs!$E31="linear",TREND(Perform_Active!$E32:$F32,Perform_Active!$E$8:$F$8,AQ$81),)</f>
        <v>0</v>
      </c>
      <c r="AR105" s="405">
        <f>IF(Tech_Specs!$E31="linear",TREND(Perform_Active!$E32:$F32,Perform_Active!$E$8:$F$8,AR$81),)</f>
        <v>0</v>
      </c>
      <c r="AS105" s="405">
        <f>IF(Tech_Specs!$E31="linear",TREND(Perform_Active!$E32:$F32,Perform_Active!$E$8:$F$8,AS$81),)</f>
        <v>0</v>
      </c>
      <c r="AT105" s="405">
        <f>IF(Tech_Specs!$E31="linear",TREND(Perform_Active!$E32:$F32,Perform_Active!$E$8:$F$8,AT$81),)</f>
        <v>0</v>
      </c>
      <c r="AU105" s="405">
        <f>IF(Tech_Specs!$E31="linear",TREND(Perform_Active!$E32:$F32,Perform_Active!$E$8:$F$8,AU$81),)</f>
        <v>0</v>
      </c>
      <c r="AV105" s="405">
        <f>IF(Tech_Specs!$E31="linear",TREND(Perform_Active!$E32:$F32,Perform_Active!$E$8:$F$8,AV$81),)</f>
        <v>0</v>
      </c>
      <c r="AW105" s="405">
        <f>IF(Tech_Specs!$E31="linear",TREND(Perform_Active!$E32:$F32,Perform_Active!$E$8:$F$8,AW$81),)</f>
        <v>0</v>
      </c>
      <c r="AX105" s="405">
        <f>IF(Tech_Specs!$E31="linear",TREND(Perform_Active!$E32:$F32,Perform_Active!$E$8:$F$8,AX$81),)</f>
        <v>0</v>
      </c>
      <c r="AY105" s="405">
        <f>IF(Tech_Specs!$E31="linear",TREND(Perform_Active!$E32:$F32,Perform_Active!$E$8:$F$8,AY$81),)</f>
        <v>0</v>
      </c>
      <c r="AZ105" s="405">
        <f>IF(Tech_Specs!$E31="linear",TREND(Perform_Active!$E32:$F32,Perform_Active!$E$8:$F$8,AZ$81),)</f>
        <v>0</v>
      </c>
      <c r="BA105" s="405">
        <f>IF(Tech_Specs!$E31="linear",TREND(Perform_Active!$E32:$F32,Perform_Active!$E$8:$F$8,BA$81),)</f>
        <v>0</v>
      </c>
      <c r="BB105" s="405">
        <f>IF(Tech_Specs!$E31="linear",TREND(Perform_Active!$E32:$F32,Perform_Active!$E$8:$F$8,BB$81),)</f>
        <v>0</v>
      </c>
      <c r="BC105" s="405">
        <f>IF(Tech_Specs!$E31="linear",TREND(Perform_Active!$E32:$F32,Perform_Active!$E$8:$F$8,BC$81),)</f>
        <v>0</v>
      </c>
      <c r="BD105" s="405">
        <f>IF(Tech_Specs!$E31="linear",TREND(Perform_Active!$E32:$F32,Perform_Active!$E$8:$F$8,BD$81),)</f>
        <v>0</v>
      </c>
      <c r="BE105" s="405">
        <f>IF(Tech_Specs!$E31="linear",TREND(Perform_Active!$E32:$F32,Perform_Active!$E$8:$F$8,BE$81),)</f>
        <v>0</v>
      </c>
      <c r="BF105" s="405">
        <f>IF(Tech_Specs!$E31="linear",TREND(Perform_Active!$E32:$F32,Perform_Active!$E$8:$F$8,BF$81),)</f>
        <v>0</v>
      </c>
      <c r="BG105" s="405">
        <f>IF(Tech_Specs!$E31="linear",TREND(Perform_Active!$E32:$F32,Perform_Active!$E$8:$F$8,BG$81),)</f>
        <v>0</v>
      </c>
      <c r="BI105" s="405">
        <f>IF(Tech_Specs!$E31="logistic",IF($B31="LED",IF(Tech_Specs!$K31="lamp",Perform_SSL!G$10,Perform_SSL!G$11)),)</f>
        <v>69.886712931315586</v>
      </c>
      <c r="BJ105" s="405">
        <f>IF(Tech_Specs!$E31="logistic",IF($B31="LED",IF(Tech_Specs!$K31="lamp",Perform_SSL!H$10,Perform_SSL!H$11)),)</f>
        <v>84.617739005122857</v>
      </c>
      <c r="BK105" s="405">
        <f>IF(Tech_Specs!$E31="logistic",IF($B31="LED",IF(Tech_Specs!$K31="lamp",Perform_SSL!I$10,Perform_SSL!I$11)),)</f>
        <v>99.77020761765985</v>
      </c>
      <c r="BL105" s="405">
        <f>IF(Tech_Specs!$E31="logistic",IF($B31="LED",IF(Tech_Specs!$K31="lamp",Perform_SSL!J$10,Perform_SSL!J$11)),)</f>
        <v>115.81072942703476</v>
      </c>
      <c r="BM105" s="405">
        <f>IF(Tech_Specs!$E31="logistic",IF($B31="LED",IF(Tech_Specs!$K31="lamp",Perform_SSL!K$10,Perform_SSL!K$11)),)</f>
        <v>131.19780938437214</v>
      </c>
      <c r="BN105" s="405">
        <f>IF(Tech_Specs!$E31="logistic",IF($B31="LED",IF(Tech_Specs!$K31="lamp",Perform_SSL!L$10,Perform_SSL!L$11)),)</f>
        <v>145.46220447607328</v>
      </c>
      <c r="BO105" s="405">
        <f>IF(Tech_Specs!$E31="logistic",IF($B31="LED",IF(Tech_Specs!$K31="lamp",Perform_SSL!M$10,Perform_SSL!M$11)),)</f>
        <v>157.75364681050067</v>
      </c>
      <c r="BP105" s="405">
        <f>IF(Tech_Specs!$E31="logistic",IF($B31="LED",IF(Tech_Specs!$K31="lamp",Perform_SSL!N$10,Perform_SSL!N$11)),)</f>
        <v>168.55506474700036</v>
      </c>
      <c r="BQ105" s="405">
        <f>IF(Tech_Specs!$E31="logistic",IF($B31="LED",IF(Tech_Specs!$K31="lamp",Perform_SSL!O$10,Perform_SSL!O$11)),)</f>
        <v>177.96704120423578</v>
      </c>
      <c r="BR105" s="405">
        <f>IF(Tech_Specs!$E31="logistic",IF($B31="LED",IF(Tech_Specs!$K31="lamp",Perform_SSL!P$10,Perform_SSL!P$11)),)</f>
        <v>186.1654499682482</v>
      </c>
      <c r="BS105" s="405">
        <f>IF(Tech_Specs!$E31="logistic",IF($B31="LED",IF(Tech_Specs!$K31="lamp",Perform_SSL!Q$10,Perform_SSL!Q$11)),)</f>
        <v>193.35230342395749</v>
      </c>
      <c r="BT105" s="405">
        <f>IF(Tech_Specs!$E31="logistic",IF($B31="LED",IF(Tech_Specs!$K31="lamp",Perform_SSL!R$10,Perform_SSL!R$11)),)</f>
        <v>196.11147215578865</v>
      </c>
      <c r="BU105" s="405">
        <f>IF(Tech_Specs!$E31="logistic",IF($B31="LED",IF(Tech_Specs!$K31="lamp",Perform_SSL!S$10,Perform_SSL!S$11)),)</f>
        <v>198.15456111208027</v>
      </c>
      <c r="BV105" s="405">
        <f>IF(Tech_Specs!$E31="logistic",IF($B31="LED",IF(Tech_Specs!$K31="lamp",Perform_SSL!T$10,Perform_SSL!T$11)),)</f>
        <v>199.65744029461996</v>
      </c>
      <c r="BW105" s="405">
        <f>IF(Tech_Specs!$E31="logistic",IF($B31="LED",IF(Tech_Specs!$K31="lamp",Perform_SSL!U$10,Perform_SSL!U$11)),)</f>
        <v>200.75757592848979</v>
      </c>
      <c r="BX105" s="405">
        <f>IF(Tech_Specs!$E31="logistic",IF($B31="LED",IF(Tech_Specs!$K31="lamp",Perform_SSL!V$10,Perform_SSL!V$11)),)</f>
        <v>201.56002861929591</v>
      </c>
      <c r="BY105" s="405">
        <f>IF(Tech_Specs!$E31="logistic",IF($B31="LED",IF(Tech_Specs!$K31="lamp",Perform_SSL!W$10,Perform_SSL!W$11)),)</f>
        <v>202.14382617150503</v>
      </c>
      <c r="BZ105" s="405">
        <f>IF(Tech_Specs!$E31="logistic",IF($B31="LED",IF(Tech_Specs!$K31="lamp",Perform_SSL!X$10,Perform_SSL!X$11)),)</f>
        <v>202.5677447446416</v>
      </c>
      <c r="CA105" s="405">
        <f>IF(Tech_Specs!$E31="logistic",IF($B31="LED",IF(Tech_Specs!$K31="lamp",Perform_SSL!Y$10,Perform_SSL!Y$11)),)</f>
        <v>202.87514562074011</v>
      </c>
      <c r="CB105" s="405">
        <f>IF(Tech_Specs!$E31="logistic",IF($B31="LED",IF(Tech_Specs!$K31="lamp",Perform_SSL!Z$10,Perform_SSL!Z$11)),)</f>
        <v>203.09783237720012</v>
      </c>
      <c r="CC105" s="405">
        <f>IF(Tech_Specs!$E31="logistic",IF($B31="LED",IF(Tech_Specs!$K31="lamp",Perform_SSL!AA$10,Perform_SSL!AA$11)),)</f>
        <v>203.25903410630769</v>
      </c>
      <c r="CD105" s="405">
        <f>IF(Tech_Specs!$E31="logistic",IF($B31="LED",IF(Tech_Specs!$K31="lamp",Perform_SSL!AB$10,Perform_SSL!AB$11)),)</f>
        <v>203.37566609727986</v>
      </c>
      <c r="CE105" s="405">
        <f>IF(Tech_Specs!$E31="logistic",IF($B31="LED",IF(Tech_Specs!$K31="lamp",Perform_SSL!AC$10,Perform_SSL!AC$11)),)</f>
        <v>203.46001922812226</v>
      </c>
      <c r="CF105" s="405">
        <f>IF(Tech_Specs!$E31="logistic",IF($B31="LED",IF(Tech_Specs!$K31="lamp",Perform_SSL!AD$10,Perform_SSL!AD$11)),)</f>
        <v>203.52101022912549</v>
      </c>
      <c r="CG105" s="405">
        <f>IF(Tech_Specs!$E31="logistic",IF($B31="LED",IF(Tech_Specs!$K31="lamp",Perform_SSL!AE$10,Perform_SSL!AE$11)),)</f>
        <v>203.56510065539746</v>
      </c>
      <c r="CH105" s="405">
        <f>IF(Tech_Specs!$E31="logistic",IF($B31="LED",IF(Tech_Specs!$K31="lamp",Perform_SSL!AF$10,Perform_SSL!AF$11)),)</f>
        <v>203.59696908402657</v>
      </c>
      <c r="CJ105" s="625">
        <f>IF(AND(Tech_Specs!$E31="step",Standards_Active!$E32="yes"),IF(CJ$81&lt;Standards_Active!$C32,TREND(Perform_Active!$E32:$F32,Perform_Active!$E$8:$F$8,CJ$81),IF(ISNUMBER(Standards_Active!$I32),IF(AND(CJ$81&gt;=Standards_Active!$C32,CJ$81&lt;Standards_Active!$D32),(Standards_Active!$I32-INDEX($CJ105:$DI105,1,MATCH((Standards_Active!$C32-1),$CJ$81:$DI$81,FALSE)))/(Standards_Active!$D32-(Standards_Active!$C32-1))+CI105,Standards_Active!$I32*((1+Standards_Active!$N32)^(CJ$81-Standards_Active!$D32))),TREND(Perform_Active!$E32:$F32,Perform_Active!$E$8:$F$8,CJ$81))),)</f>
        <v>0</v>
      </c>
      <c r="CK105" s="625">
        <f>IF(AND(Tech_Specs!$E31="step",Standards_Active!$E32="yes"),IF(CK$81&lt;Standards_Active!$C32,TREND(Perform_Active!$E32:$F32,Perform_Active!$E$8:$F$8,CK$81),IF(ISNUMBER(Standards_Active!$I32),IF(AND(CK$81&gt;=Standards_Active!$C32,CK$81&lt;Standards_Active!$D32),(Standards_Active!$I32-INDEX($CJ105:$DI105,1,MATCH((Standards_Active!$C32-1),$CJ$81:$DI$81,FALSE)))/(Standards_Active!$D32-(Standards_Active!$C32-1))+CJ105,Standards_Active!$I32*((1+Standards_Active!$N32)^(CK$81-Standards_Active!$D32))),TREND(Perform_Active!$E32:$F32,Perform_Active!$E$8:$F$8,CK$81))),)</f>
        <v>0</v>
      </c>
      <c r="CL105" s="625">
        <f>IF(AND(Tech_Specs!$E31="step",Standards_Active!$E32="yes"),IF(CL$81&lt;Standards_Active!$C32,TREND(Perform_Active!$E32:$F32,Perform_Active!$E$8:$F$8,CL$81),IF(ISNUMBER(Standards_Active!$I32),IF(AND(CL$81&gt;=Standards_Active!$C32,CL$81&lt;Standards_Active!$D32),(Standards_Active!$I32-INDEX($CJ105:$DI105,1,MATCH((Standards_Active!$C32-1),$CJ$81:$DI$81,FALSE)))/(Standards_Active!$D32-(Standards_Active!$C32-1))+CK105,Standards_Active!$I32*((1+Standards_Active!$N32)^(CL$81-Standards_Active!$D32))),TREND(Perform_Active!$E32:$F32,Perform_Active!$E$8:$F$8,CL$81))),)</f>
        <v>0</v>
      </c>
      <c r="CM105" s="625">
        <f>IF(AND(Tech_Specs!$E31="step",Standards_Active!$E32="yes"),IF(CM$81&lt;Standards_Active!$C32,TREND(Perform_Active!$E32:$F32,Perform_Active!$E$8:$F$8,CM$81),IF(ISNUMBER(Standards_Active!$I32),IF(AND(CM$81&gt;=Standards_Active!$C32,CM$81&lt;Standards_Active!$D32),(Standards_Active!$I32-INDEX($CJ105:$DI105,1,MATCH((Standards_Active!$C32-1),$CJ$81:$DI$81,FALSE)))/(Standards_Active!$D32-(Standards_Active!$C32-1))+CL105,Standards_Active!$I32*((1+Standards_Active!$N32)^(CM$81-Standards_Active!$D32))),TREND(Perform_Active!$E32:$F32,Perform_Active!$E$8:$F$8,CM$81))),)</f>
        <v>0</v>
      </c>
      <c r="CN105" s="625">
        <f>IF(AND(Tech_Specs!$E31="step",Standards_Active!$E32="yes"),IF(CN$81&lt;Standards_Active!$C32,TREND(Perform_Active!$E32:$F32,Perform_Active!$E$8:$F$8,CN$81),IF(ISNUMBER(Standards_Active!$I32),IF(AND(CN$81&gt;=Standards_Active!$C32,CN$81&lt;Standards_Active!$D32),(Standards_Active!$I32-INDEX($CJ105:$DI105,1,MATCH((Standards_Active!$C32-1),$CJ$81:$DI$81,FALSE)))/(Standards_Active!$D32-(Standards_Active!$C32-1))+CM105,Standards_Active!$I32*((1+Standards_Active!$N32)^(CN$81-Standards_Active!$D32))),TREND(Perform_Active!$E32:$F32,Perform_Active!$E$8:$F$8,CN$81))),)</f>
        <v>0</v>
      </c>
      <c r="CO105" s="625">
        <f>IF(AND(Tech_Specs!$E31="step",Standards_Active!$E32="yes"),IF(CO$81&lt;Standards_Active!$C32,TREND(Perform_Active!$E32:$F32,Perform_Active!$E$8:$F$8,CO$81),IF(ISNUMBER(Standards_Active!$I32),IF(AND(CO$81&gt;=Standards_Active!$C32,CO$81&lt;Standards_Active!$D32),(Standards_Active!$I32-INDEX($CJ105:$DI105,1,MATCH((Standards_Active!$C32-1),$CJ$81:$DI$81,FALSE)))/(Standards_Active!$D32-(Standards_Active!$C32-1))+CN105,Standards_Active!$I32*((1+Standards_Active!$N32)^(CO$81-Standards_Active!$D32))),TREND(Perform_Active!$E32:$F32,Perform_Active!$E$8:$F$8,CO$81))),)</f>
        <v>0</v>
      </c>
      <c r="CP105" s="625">
        <f>IF(AND(Tech_Specs!$E31="step",Standards_Active!$E32="yes"),IF(CP$81&lt;Standards_Active!$C32,TREND(Perform_Active!$E32:$F32,Perform_Active!$E$8:$F$8,CP$81),IF(ISNUMBER(Standards_Active!$I32),IF(AND(CP$81&gt;=Standards_Active!$C32,CP$81&lt;Standards_Active!$D32),(Standards_Active!$I32-INDEX($CJ105:$DI105,1,MATCH((Standards_Active!$C32-1),$CJ$81:$DI$81,FALSE)))/(Standards_Active!$D32-(Standards_Active!$C32-1))+CO105,Standards_Active!$I32*((1+Standards_Active!$N32)^(CP$81-Standards_Active!$D32))),TREND(Perform_Active!$E32:$F32,Perform_Active!$E$8:$F$8,CP$81))),)</f>
        <v>0</v>
      </c>
      <c r="CQ105" s="625">
        <f>IF(AND(Tech_Specs!$E31="step",Standards_Active!$E32="yes"),IF(CQ$81&lt;Standards_Active!$C32,TREND(Perform_Active!$E32:$F32,Perform_Active!$E$8:$F$8,CQ$81),IF(ISNUMBER(Standards_Active!$I32),IF(AND(CQ$81&gt;=Standards_Active!$C32,CQ$81&lt;Standards_Active!$D32),(Standards_Active!$I32-INDEX($CJ105:$DI105,1,MATCH((Standards_Active!$C32-1),$CJ$81:$DI$81,FALSE)))/(Standards_Active!$D32-(Standards_Active!$C32-1))+CP105,Standards_Active!$I32*((1+Standards_Active!$N32)^(CQ$81-Standards_Active!$D32))),TREND(Perform_Active!$E32:$F32,Perform_Active!$E$8:$F$8,CQ$81))),)</f>
        <v>0</v>
      </c>
      <c r="CR105" s="625">
        <f>IF(AND(Tech_Specs!$E31="step",Standards_Active!$E32="yes"),IF(CR$81&lt;Standards_Active!$C32,TREND(Perform_Active!$E32:$F32,Perform_Active!$E$8:$F$8,CR$81),IF(ISNUMBER(Standards_Active!$I32),IF(AND(CR$81&gt;=Standards_Active!$C32,CR$81&lt;Standards_Active!$D32),(Standards_Active!$I32-INDEX($CJ105:$DI105,1,MATCH((Standards_Active!$C32-1),$CJ$81:$DI$81,FALSE)))/(Standards_Active!$D32-(Standards_Active!$C32-1))+CQ105,Standards_Active!$I32*((1+Standards_Active!$N32)^(CR$81-Standards_Active!$D32))),TREND(Perform_Active!$E32:$F32,Perform_Active!$E$8:$F$8,CR$81))),)</f>
        <v>0</v>
      </c>
      <c r="CS105" s="625">
        <f>IF(AND(Tech_Specs!$E31="step",Standards_Active!$E32="yes"),IF(CS$81&lt;Standards_Active!$C32,TREND(Perform_Active!$E32:$F32,Perform_Active!$E$8:$F$8,CS$81),IF(ISNUMBER(Standards_Active!$I32),IF(AND(CS$81&gt;=Standards_Active!$C32,CS$81&lt;Standards_Active!$D32),(Standards_Active!$I32-INDEX($CJ105:$DI105,1,MATCH((Standards_Active!$C32-1),$CJ$81:$DI$81,FALSE)))/(Standards_Active!$D32-(Standards_Active!$C32-1))+CR105,Standards_Active!$I32*((1+Standards_Active!$N32)^(CS$81-Standards_Active!$D32))),TREND(Perform_Active!$E32:$F32,Perform_Active!$E$8:$F$8,CS$81))),)</f>
        <v>0</v>
      </c>
      <c r="CT105" s="625">
        <f>IF(AND(Tech_Specs!$E31="step",Standards_Active!$E32="yes"),IF(CT$81&lt;Standards_Active!$C32,TREND(Perform_Active!$E32:$F32,Perform_Active!$E$8:$F$8,CT$81),IF(ISNUMBER(Standards_Active!$I32),IF(AND(CT$81&gt;=Standards_Active!$C32,CT$81&lt;Standards_Active!$D32),(Standards_Active!$I32-INDEX($CJ105:$DI105,1,MATCH((Standards_Active!$C32-1),$CJ$81:$DI$81,FALSE)))/(Standards_Active!$D32-(Standards_Active!$C32-1))+CS105,Standards_Active!$I32*((1+Standards_Active!$N32)^(CT$81-Standards_Active!$D32))),TREND(Perform_Active!$E32:$F32,Perform_Active!$E$8:$F$8,CT$81))),)</f>
        <v>0</v>
      </c>
      <c r="CU105" s="625">
        <f>IF(AND(Tech_Specs!$E31="step",Standards_Active!$E32="yes"),IF(CU$81&lt;Standards_Active!$C32,TREND(Perform_Active!$E32:$F32,Perform_Active!$E$8:$F$8,CU$81),IF(ISNUMBER(Standards_Active!$I32),IF(AND(CU$81&gt;=Standards_Active!$C32,CU$81&lt;Standards_Active!$D32),(Standards_Active!$I32-INDEX($CJ105:$DI105,1,MATCH((Standards_Active!$C32-1),$CJ$81:$DI$81,FALSE)))/(Standards_Active!$D32-(Standards_Active!$C32-1))+CT105,Standards_Active!$I32*((1+Standards_Active!$N32)^(CU$81-Standards_Active!$D32))),TREND(Perform_Active!$E32:$F32,Perform_Active!$E$8:$F$8,CU$81))),)</f>
        <v>0</v>
      </c>
      <c r="CV105" s="625">
        <f>IF(AND(Tech_Specs!$E31="step",Standards_Active!$E32="yes"),IF(CV$81&lt;Standards_Active!$C32,TREND(Perform_Active!$E32:$F32,Perform_Active!$E$8:$F$8,CV$81),IF(ISNUMBER(Standards_Active!$I32),IF(AND(CV$81&gt;=Standards_Active!$C32,CV$81&lt;Standards_Active!$D32),(Standards_Active!$I32-INDEX($CJ105:$DI105,1,MATCH((Standards_Active!$C32-1),$CJ$81:$DI$81,FALSE)))/(Standards_Active!$D32-(Standards_Active!$C32-1))+CU105,Standards_Active!$I32*((1+Standards_Active!$N32)^(CV$81-Standards_Active!$D32))),TREND(Perform_Active!$E32:$F32,Perform_Active!$E$8:$F$8,CV$81))),)</f>
        <v>0</v>
      </c>
      <c r="CW105" s="625">
        <f>IF(AND(Tech_Specs!$E31="step",Standards_Active!$E32="yes"),IF(CW$81&lt;Standards_Active!$C32,TREND(Perform_Active!$E32:$F32,Perform_Active!$E$8:$F$8,CW$81),IF(ISNUMBER(Standards_Active!$I32),IF(AND(CW$81&gt;=Standards_Active!$C32,CW$81&lt;Standards_Active!$D32),(Standards_Active!$I32-INDEX($CJ105:$DI105,1,MATCH((Standards_Active!$C32-1),$CJ$81:$DI$81,FALSE)))/(Standards_Active!$D32-(Standards_Active!$C32-1))+CV105,Standards_Active!$I32*((1+Standards_Active!$N32)^(CW$81-Standards_Active!$D32))),TREND(Perform_Active!$E32:$F32,Perform_Active!$E$8:$F$8,CW$81))),)</f>
        <v>0</v>
      </c>
      <c r="CX105" s="625">
        <f>IF(AND(Tech_Specs!$E31="step",Standards_Active!$E32="yes"),IF(CX$81&lt;Standards_Active!$C32,TREND(Perform_Active!$E32:$F32,Perform_Active!$E$8:$F$8,CX$81),IF(ISNUMBER(Standards_Active!$I32),IF(AND(CX$81&gt;=Standards_Active!$C32,CX$81&lt;Standards_Active!$D32),(Standards_Active!$I32-INDEX($CJ105:$DI105,1,MATCH((Standards_Active!$C32-1),$CJ$81:$DI$81,FALSE)))/(Standards_Active!$D32-(Standards_Active!$C32-1))+CW105,Standards_Active!$I32*((1+Standards_Active!$N32)^(CX$81-Standards_Active!$D32))),TREND(Perform_Active!$E32:$F32,Perform_Active!$E$8:$F$8,CX$81))),)</f>
        <v>0</v>
      </c>
      <c r="CY105" s="625">
        <f>IF(AND(Tech_Specs!$E31="step",Standards_Active!$E32="yes"),IF(CY$81&lt;Standards_Active!$C32,TREND(Perform_Active!$E32:$F32,Perform_Active!$E$8:$F$8,CY$81),IF(ISNUMBER(Standards_Active!$I32),IF(AND(CY$81&gt;=Standards_Active!$C32,CY$81&lt;Standards_Active!$D32),(Standards_Active!$I32-INDEX($CJ105:$DI105,1,MATCH((Standards_Active!$C32-1),$CJ$81:$DI$81,FALSE)))/(Standards_Active!$D32-(Standards_Active!$C32-1))+CX105,Standards_Active!$I32*((1+Standards_Active!$N32)^(CY$81-Standards_Active!$D32))),TREND(Perform_Active!$E32:$F32,Perform_Active!$E$8:$F$8,CY$81))),)</f>
        <v>0</v>
      </c>
      <c r="CZ105" s="625">
        <f>IF(AND(Tech_Specs!$E31="step",Standards_Active!$E32="yes"),IF(CZ$81&lt;Standards_Active!$C32,TREND(Perform_Active!$E32:$F32,Perform_Active!$E$8:$F$8,CZ$81),IF(ISNUMBER(Standards_Active!$I32),IF(AND(CZ$81&gt;=Standards_Active!$C32,CZ$81&lt;Standards_Active!$D32),(Standards_Active!$I32-INDEX($CJ105:$DI105,1,MATCH((Standards_Active!$C32-1),$CJ$81:$DI$81,FALSE)))/(Standards_Active!$D32-(Standards_Active!$C32-1))+CY105,Standards_Active!$I32*((1+Standards_Active!$N32)^(CZ$81-Standards_Active!$D32))),TREND(Perform_Active!$E32:$F32,Perform_Active!$E$8:$F$8,CZ$81))),)</f>
        <v>0</v>
      </c>
      <c r="DA105" s="625">
        <f>IF(AND(Tech_Specs!$E31="step",Standards_Active!$E32="yes"),IF(DA$81&lt;Standards_Active!$C32,TREND(Perform_Active!$E32:$F32,Perform_Active!$E$8:$F$8,DA$81),IF(ISNUMBER(Standards_Active!$I32),IF(AND(DA$81&gt;=Standards_Active!$C32,DA$81&lt;Standards_Active!$D32),(Standards_Active!$I32-INDEX($CJ105:$DI105,1,MATCH((Standards_Active!$C32-1),$CJ$81:$DI$81,FALSE)))/(Standards_Active!$D32-(Standards_Active!$C32-1))+CZ105,Standards_Active!$I32*((1+Standards_Active!$N32)^(DA$81-Standards_Active!$D32))),TREND(Perform_Active!$E32:$F32,Perform_Active!$E$8:$F$8,DA$81))),)</f>
        <v>0</v>
      </c>
      <c r="DB105" s="625">
        <f>IF(AND(Tech_Specs!$E31="step",Standards_Active!$E32="yes"),IF(DB$81&lt;Standards_Active!$C32,TREND(Perform_Active!$E32:$F32,Perform_Active!$E$8:$F$8,DB$81),IF(ISNUMBER(Standards_Active!$I32),IF(AND(DB$81&gt;=Standards_Active!$C32,DB$81&lt;Standards_Active!$D32),(Standards_Active!$I32-INDEX($CJ105:$DI105,1,MATCH((Standards_Active!$C32-1),$CJ$81:$DI$81,FALSE)))/(Standards_Active!$D32-(Standards_Active!$C32-1))+DA105,Standards_Active!$I32*((1+Standards_Active!$N32)^(DB$81-Standards_Active!$D32))),TREND(Perform_Active!$E32:$F32,Perform_Active!$E$8:$F$8,DB$81))),)</f>
        <v>0</v>
      </c>
      <c r="DC105" s="625">
        <f>IF(AND(Tech_Specs!$E31="step",Standards_Active!$E32="yes"),IF(DC$81&lt;Standards_Active!$C32,TREND(Perform_Active!$E32:$F32,Perform_Active!$E$8:$F$8,DC$81),IF(ISNUMBER(Standards_Active!$I32),IF(AND(DC$81&gt;=Standards_Active!$C32,DC$81&lt;Standards_Active!$D32),(Standards_Active!$I32-INDEX($CJ105:$DI105,1,MATCH((Standards_Active!$C32-1),$CJ$81:$DI$81,FALSE)))/(Standards_Active!$D32-(Standards_Active!$C32-1))+DB105,Standards_Active!$I32*((1+Standards_Active!$N32)^(DC$81-Standards_Active!$D32))),TREND(Perform_Active!$E32:$F32,Perform_Active!$E$8:$F$8,DC$81))),)</f>
        <v>0</v>
      </c>
      <c r="DD105" s="625">
        <f>IF(AND(Tech_Specs!$E31="step",Standards_Active!$E32="yes"),IF(DD$81&lt;Standards_Active!$C32,TREND(Perform_Active!$E32:$F32,Perform_Active!$E$8:$F$8,DD$81),IF(ISNUMBER(Standards_Active!$I32),IF(AND(DD$81&gt;=Standards_Active!$C32,DD$81&lt;Standards_Active!$D32),(Standards_Active!$I32-INDEX($CJ105:$DI105,1,MATCH((Standards_Active!$C32-1),$CJ$81:$DI$81,FALSE)))/(Standards_Active!$D32-(Standards_Active!$C32-1))+DC105,Standards_Active!$I32*((1+Standards_Active!$N32)^(DD$81-Standards_Active!$D32))),TREND(Perform_Active!$E32:$F32,Perform_Active!$E$8:$F$8,DD$81))),)</f>
        <v>0</v>
      </c>
      <c r="DE105" s="625">
        <f>IF(AND(Tech_Specs!$E31="step",Standards_Active!$E32="yes"),IF(DE$81&lt;Standards_Active!$C32,TREND(Perform_Active!$E32:$F32,Perform_Active!$E$8:$F$8,DE$81),IF(ISNUMBER(Standards_Active!$I32),IF(AND(DE$81&gt;=Standards_Active!$C32,DE$81&lt;Standards_Active!$D32),(Standards_Active!$I32-INDEX($CJ105:$DI105,1,MATCH((Standards_Active!$C32-1),$CJ$81:$DI$81,FALSE)))/(Standards_Active!$D32-(Standards_Active!$C32-1))+DD105,Standards_Active!$I32*((1+Standards_Active!$N32)^(DE$81-Standards_Active!$D32))),TREND(Perform_Active!$E32:$F32,Perform_Active!$E$8:$F$8,DE$81))),)</f>
        <v>0</v>
      </c>
      <c r="DF105" s="625">
        <f>IF(AND(Tech_Specs!$E31="step",Standards_Active!$E32="yes"),IF(DF$81&lt;Standards_Active!$C32,TREND(Perform_Active!$E32:$F32,Perform_Active!$E$8:$F$8,DF$81),IF(ISNUMBER(Standards_Active!$I32),IF(AND(DF$81&gt;=Standards_Active!$C32,DF$81&lt;Standards_Active!$D32),(Standards_Active!$I32-INDEX($CJ105:$DI105,1,MATCH((Standards_Active!$C32-1),$CJ$81:$DI$81,FALSE)))/(Standards_Active!$D32-(Standards_Active!$C32-1))+DE105,Standards_Active!$I32*((1+Standards_Active!$N32)^(DF$81-Standards_Active!$D32))),TREND(Perform_Active!$E32:$F32,Perform_Active!$E$8:$F$8,DF$81))),)</f>
        <v>0</v>
      </c>
      <c r="DG105" s="625">
        <f>IF(AND(Tech_Specs!$E31="step",Standards_Active!$E32="yes"),IF(DG$81&lt;Standards_Active!$C32,TREND(Perform_Active!$E32:$F32,Perform_Active!$E$8:$F$8,DG$81),IF(ISNUMBER(Standards_Active!$I32),IF(AND(DG$81&gt;=Standards_Active!$C32,DG$81&lt;Standards_Active!$D32),(Standards_Active!$I32-INDEX($CJ105:$DI105,1,MATCH((Standards_Active!$C32-1),$CJ$81:$DI$81,FALSE)))/(Standards_Active!$D32-(Standards_Active!$C32-1))+DF105,Standards_Active!$I32*((1+Standards_Active!$N32)^(DG$81-Standards_Active!$D32))),TREND(Perform_Active!$E32:$F32,Perform_Active!$E$8:$F$8,DG$81))),)</f>
        <v>0</v>
      </c>
      <c r="DH105" s="625">
        <f>IF(AND(Tech_Specs!$E31="step",Standards_Active!$E32="yes"),IF(DH$81&lt;Standards_Active!$C32,TREND(Perform_Active!$E32:$F32,Perform_Active!$E$8:$F$8,DH$81),IF(ISNUMBER(Standards_Active!$I32),IF(AND(DH$81&gt;=Standards_Active!$C32,DH$81&lt;Standards_Active!$D32),(Standards_Active!$I32-INDEX($CJ105:$DI105,1,MATCH((Standards_Active!$C32-1),$CJ$81:$DI$81,FALSE)))/(Standards_Active!$D32-(Standards_Active!$C32-1))+DG105,Standards_Active!$I32*((1+Standards_Active!$N32)^(DH$81-Standards_Active!$D32))),TREND(Perform_Active!$E32:$F32,Perform_Active!$E$8:$F$8,DH$81))),)</f>
        <v>0</v>
      </c>
      <c r="DI105" s="625">
        <f>IF(AND(Tech_Specs!$E31="step",Standards_Active!$E32="yes"),IF(DI$81&lt;Standards_Active!$C32,TREND(Perform_Active!$E32:$F32,Perform_Active!$E$8:$F$8,DI$81),IF(ISNUMBER(Standards_Active!$I32),IF(AND(DI$81&gt;=Standards_Active!$C32,DI$81&lt;Standards_Active!$D32),(Standards_Active!$I32-INDEX($CJ105:$DI105,1,MATCH((Standards_Active!$C32-1),$CJ$81:$DI$81,FALSE)))/(Standards_Active!$D32-(Standards_Active!$C32-1))+DH105,Standards_Active!$I32*((1+Standards_Active!$N32)^(DI$81-Standards_Active!$D32))),TREND(Perform_Active!$E32:$F32,Perform_Active!$E$8:$F$8,DI$81))),)</f>
        <v>0</v>
      </c>
    </row>
    <row r="106" spans="1:113" s="376" customFormat="1" ht="12.6" x14ac:dyDescent="0.25">
      <c r="D106" s="550"/>
      <c r="E106" s="550"/>
      <c r="F106" s="550"/>
    </row>
    <row r="107" spans="1:113" s="376" customFormat="1" ht="12.95" x14ac:dyDescent="0.25">
      <c r="A107" s="401" t="s">
        <v>47</v>
      </c>
      <c r="B107" s="400"/>
      <c r="C107" s="387"/>
      <c r="D107" s="387"/>
      <c r="E107" s="387"/>
      <c r="F107" s="387"/>
      <c r="G107" s="391"/>
      <c r="H107" s="391"/>
      <c r="I107" s="391"/>
      <c r="J107" s="391"/>
      <c r="K107" s="391"/>
      <c r="L107" s="391"/>
      <c r="M107" s="391"/>
      <c r="N107" s="391"/>
      <c r="O107" s="391"/>
      <c r="P107" s="391"/>
      <c r="Q107" s="391"/>
      <c r="R107" s="391"/>
      <c r="S107" s="391"/>
      <c r="T107" s="391"/>
      <c r="U107" s="391"/>
      <c r="V107" s="391"/>
      <c r="W107" s="391"/>
      <c r="X107" s="391"/>
      <c r="Y107" s="391"/>
      <c r="Z107" s="391"/>
      <c r="AA107" s="391"/>
      <c r="AB107" s="391"/>
      <c r="AC107" s="391"/>
      <c r="AD107" s="391"/>
      <c r="AE107" s="391"/>
      <c r="AF107" s="391"/>
      <c r="AH107" s="383"/>
      <c r="AI107" s="383"/>
      <c r="AJ107" s="383"/>
      <c r="AK107" s="383"/>
      <c r="AL107" s="383"/>
      <c r="AM107" s="383"/>
      <c r="AN107" s="383"/>
      <c r="AO107" s="383"/>
      <c r="AP107" s="383"/>
      <c r="AQ107" s="383"/>
      <c r="AR107" s="383"/>
      <c r="AS107" s="383"/>
      <c r="AT107" s="383"/>
      <c r="AU107" s="383"/>
      <c r="AV107" s="383"/>
      <c r="AW107" s="383"/>
      <c r="AX107" s="383"/>
      <c r="AY107" s="383"/>
      <c r="AZ107" s="383"/>
      <c r="BA107" s="383"/>
      <c r="BB107" s="383"/>
      <c r="BC107" s="383"/>
      <c r="BD107" s="383"/>
      <c r="BE107" s="383"/>
      <c r="BF107" s="383"/>
      <c r="BG107" s="383"/>
      <c r="BI107" s="383"/>
      <c r="BJ107" s="383"/>
      <c r="BK107" s="383"/>
      <c r="BL107" s="383"/>
      <c r="BM107" s="383"/>
      <c r="BN107" s="383"/>
      <c r="BO107" s="383"/>
      <c r="BP107" s="383"/>
      <c r="BQ107" s="383"/>
      <c r="BR107" s="383"/>
      <c r="BS107" s="383"/>
      <c r="BT107" s="383"/>
      <c r="BU107" s="383"/>
      <c r="BV107" s="383"/>
      <c r="BW107" s="383"/>
      <c r="BX107" s="383"/>
      <c r="BY107" s="383"/>
      <c r="BZ107" s="383"/>
      <c r="CA107" s="383"/>
      <c r="CB107" s="383"/>
      <c r="CC107" s="383"/>
      <c r="CD107" s="383"/>
      <c r="CE107" s="383"/>
      <c r="CF107" s="383"/>
      <c r="CG107" s="383"/>
      <c r="CH107" s="383"/>
      <c r="CJ107" s="383"/>
      <c r="CK107" s="383"/>
      <c r="CL107" s="383"/>
      <c r="CM107" s="383"/>
      <c r="CN107" s="383"/>
      <c r="CO107" s="383"/>
      <c r="CP107" s="383"/>
      <c r="CQ107" s="383"/>
      <c r="CR107" s="383"/>
      <c r="CS107" s="383"/>
      <c r="CT107" s="383"/>
      <c r="CU107" s="383"/>
      <c r="CV107" s="383"/>
      <c r="CW107" s="383"/>
      <c r="CX107" s="383"/>
      <c r="CY107" s="383"/>
      <c r="CZ107" s="383"/>
      <c r="DA107" s="383"/>
      <c r="DB107" s="383"/>
      <c r="DC107" s="383"/>
      <c r="DD107" s="383"/>
      <c r="DE107" s="383"/>
      <c r="DF107" s="383"/>
      <c r="DG107" s="383"/>
      <c r="DH107" s="383"/>
      <c r="DI107" s="383"/>
    </row>
    <row r="108" spans="1:113" s="376" customFormat="1" ht="12.6" x14ac:dyDescent="0.25">
      <c r="B108" s="376" t="s">
        <v>48</v>
      </c>
      <c r="C108" s="388"/>
      <c r="D108" s="552"/>
      <c r="E108" s="552"/>
      <c r="F108" s="552"/>
      <c r="G108" s="390">
        <f t="shared" ref="G108:P113" si="33">SUM(AH108,BI108,CJ108)</f>
        <v>11</v>
      </c>
      <c r="H108" s="390">
        <f t="shared" si="33"/>
        <v>11.027500000000003</v>
      </c>
      <c r="I108" s="390">
        <f t="shared" si="33"/>
        <v>11.193353221957043</v>
      </c>
      <c r="J108" s="390">
        <f t="shared" si="33"/>
        <v>11.359206443914083</v>
      </c>
      <c r="K108" s="390">
        <f t="shared" si="33"/>
        <v>11.525059665871122</v>
      </c>
      <c r="L108" s="390">
        <f t="shared" si="33"/>
        <v>11.5538723150358</v>
      </c>
      <c r="M108" s="390">
        <f t="shared" si="33"/>
        <v>11.582756995823388</v>
      </c>
      <c r="N108" s="390">
        <f t="shared" si="33"/>
        <v>11.611713888312945</v>
      </c>
      <c r="O108" s="390">
        <f t="shared" si="33"/>
        <v>11.640743173033728</v>
      </c>
      <c r="P108" s="390">
        <f t="shared" si="33"/>
        <v>11.669845030966313</v>
      </c>
      <c r="Q108" s="390">
        <f t="shared" ref="Q108:Z113" si="34">SUM(AR108,BS108,CT108)</f>
        <v>11.699019643543727</v>
      </c>
      <c r="R108" s="390">
        <f t="shared" si="34"/>
        <v>11.728267192652584</v>
      </c>
      <c r="S108" s="390">
        <f t="shared" si="34"/>
        <v>11.757587860634217</v>
      </c>
      <c r="T108" s="390">
        <f t="shared" si="34"/>
        <v>11.786981830285802</v>
      </c>
      <c r="U108" s="390">
        <f t="shared" si="34"/>
        <v>11.816449284861516</v>
      </c>
      <c r="V108" s="390">
        <f t="shared" si="34"/>
        <v>11.845990408073668</v>
      </c>
      <c r="W108" s="390">
        <f t="shared" si="34"/>
        <v>11.875605384093852</v>
      </c>
      <c r="X108" s="390">
        <f t="shared" si="34"/>
        <v>11.905294397554089</v>
      </c>
      <c r="Y108" s="390">
        <f t="shared" si="34"/>
        <v>11.93505763354797</v>
      </c>
      <c r="Z108" s="390">
        <f t="shared" si="34"/>
        <v>11.96489527763184</v>
      </c>
      <c r="AA108" s="390">
        <f t="shared" ref="AA108:AF113" si="35">SUM(BB108,CC108,DD108)</f>
        <v>11.99480751582592</v>
      </c>
      <c r="AB108" s="390">
        <f t="shared" si="35"/>
        <v>12.024794534615484</v>
      </c>
      <c r="AC108" s="390">
        <f t="shared" si="35"/>
        <v>12.054856520952024</v>
      </c>
      <c r="AD108" s="390">
        <f t="shared" si="35"/>
        <v>12.084993662254401</v>
      </c>
      <c r="AE108" s="390">
        <f t="shared" si="35"/>
        <v>12.115206146410038</v>
      </c>
      <c r="AF108" s="390">
        <f t="shared" si="35"/>
        <v>12.145494161776062</v>
      </c>
      <c r="AH108" s="405">
        <f>IF(Tech_Specs!$E34="linear",TREND(Perform_Active!$E35:$F35,Perform_Active!$E$8:$F$8,AH$81),)</f>
        <v>0</v>
      </c>
      <c r="AI108" s="405">
        <f>IF(Tech_Specs!$E34="linear",TREND(Perform_Active!$E35:$F35,Perform_Active!$E$8:$F$8,AI$81),)</f>
        <v>0</v>
      </c>
      <c r="AJ108" s="405">
        <f>IF(Tech_Specs!$E34="linear",TREND(Perform_Active!$E35:$F35,Perform_Active!$E$8:$F$8,AJ$81),)</f>
        <v>0</v>
      </c>
      <c r="AK108" s="405">
        <f>IF(Tech_Specs!$E34="linear",TREND(Perform_Active!$E35:$F35,Perform_Active!$E$8:$F$8,AK$81),)</f>
        <v>0</v>
      </c>
      <c r="AL108" s="405">
        <f>IF(Tech_Specs!$E34="linear",TREND(Perform_Active!$E35:$F35,Perform_Active!$E$8:$F$8,AL$81),)</f>
        <v>0</v>
      </c>
      <c r="AM108" s="405">
        <f>IF(Tech_Specs!$E34="linear",TREND(Perform_Active!$E35:$F35,Perform_Active!$E$8:$F$8,AM$81),)</f>
        <v>0</v>
      </c>
      <c r="AN108" s="405">
        <f>IF(Tech_Specs!$E34="linear",TREND(Perform_Active!$E35:$F35,Perform_Active!$E$8:$F$8,AN$81),)</f>
        <v>0</v>
      </c>
      <c r="AO108" s="405">
        <f>IF(Tech_Specs!$E34="linear",TREND(Perform_Active!$E35:$F35,Perform_Active!$E$8:$F$8,AO$81),)</f>
        <v>0</v>
      </c>
      <c r="AP108" s="405">
        <f>IF(Tech_Specs!$E34="linear",TREND(Perform_Active!$E35:$F35,Perform_Active!$E$8:$F$8,AP$81),)</f>
        <v>0</v>
      </c>
      <c r="AQ108" s="405">
        <f>IF(Tech_Specs!$E34="linear",TREND(Perform_Active!$E35:$F35,Perform_Active!$E$8:$F$8,AQ$81),)</f>
        <v>0</v>
      </c>
      <c r="AR108" s="405">
        <f>IF(Tech_Specs!$E34="linear",TREND(Perform_Active!$E35:$F35,Perform_Active!$E$8:$F$8,AR$81),)</f>
        <v>0</v>
      </c>
      <c r="AS108" s="405">
        <f>IF(Tech_Specs!$E34="linear",TREND(Perform_Active!$E35:$F35,Perform_Active!$E$8:$F$8,AS$81),)</f>
        <v>0</v>
      </c>
      <c r="AT108" s="405">
        <f>IF(Tech_Specs!$E34="linear",TREND(Perform_Active!$E35:$F35,Perform_Active!$E$8:$F$8,AT$81),)</f>
        <v>0</v>
      </c>
      <c r="AU108" s="405">
        <f>IF(Tech_Specs!$E34="linear",TREND(Perform_Active!$E35:$F35,Perform_Active!$E$8:$F$8,AU$81),)</f>
        <v>0</v>
      </c>
      <c r="AV108" s="405">
        <f>IF(Tech_Specs!$E34="linear",TREND(Perform_Active!$E35:$F35,Perform_Active!$E$8:$F$8,AV$81),)</f>
        <v>0</v>
      </c>
      <c r="AW108" s="405">
        <f>IF(Tech_Specs!$E34="linear",TREND(Perform_Active!$E35:$F35,Perform_Active!$E$8:$F$8,AW$81),)</f>
        <v>0</v>
      </c>
      <c r="AX108" s="405">
        <f>IF(Tech_Specs!$E34="linear",TREND(Perform_Active!$E35:$F35,Perform_Active!$E$8:$F$8,AX$81),)</f>
        <v>0</v>
      </c>
      <c r="AY108" s="405">
        <f>IF(Tech_Specs!$E34="linear",TREND(Perform_Active!$E35:$F35,Perform_Active!$E$8:$F$8,AY$81),)</f>
        <v>0</v>
      </c>
      <c r="AZ108" s="405">
        <f>IF(Tech_Specs!$E34="linear",TREND(Perform_Active!$E35:$F35,Perform_Active!$E$8:$F$8,AZ$81),)</f>
        <v>0</v>
      </c>
      <c r="BA108" s="405">
        <f>IF(Tech_Specs!$E34="linear",TREND(Perform_Active!$E35:$F35,Perform_Active!$E$8:$F$8,BA$81),)</f>
        <v>0</v>
      </c>
      <c r="BB108" s="405">
        <f>IF(Tech_Specs!$E34="linear",TREND(Perform_Active!$E35:$F35,Perform_Active!$E$8:$F$8,BB$81),)</f>
        <v>0</v>
      </c>
      <c r="BC108" s="405">
        <f>IF(Tech_Specs!$E34="linear",TREND(Perform_Active!$E35:$F35,Perform_Active!$E$8:$F$8,BC$81),)</f>
        <v>0</v>
      </c>
      <c r="BD108" s="405">
        <f>IF(Tech_Specs!$E34="linear",TREND(Perform_Active!$E35:$F35,Perform_Active!$E$8:$F$8,BD$81),)</f>
        <v>0</v>
      </c>
      <c r="BE108" s="405">
        <f>IF(Tech_Specs!$E34="linear",TREND(Perform_Active!$E35:$F35,Perform_Active!$E$8:$F$8,BE$81),)</f>
        <v>0</v>
      </c>
      <c r="BF108" s="405">
        <f>IF(Tech_Specs!$E34="linear",TREND(Perform_Active!$E35:$F35,Perform_Active!$E$8:$F$8,BF$81),)</f>
        <v>0</v>
      </c>
      <c r="BG108" s="405">
        <f>IF(Tech_Specs!$E34="linear",TREND(Perform_Active!$E35:$F35,Perform_Active!$E$8:$F$8,BG$81),)</f>
        <v>0</v>
      </c>
      <c r="BI108" s="405">
        <f>IF(Tech_Specs!$E34="logistic",IF($B34="LED",IF(Tech_Specs!$K34="lamp",Perform_SSL!G$10,Perform_SSL!G$11)),)</f>
        <v>0</v>
      </c>
      <c r="BJ108" s="405">
        <f>IF(Tech_Specs!$E34="logistic",IF($B34="LED",IF(Tech_Specs!$K34="lamp",Perform_SSL!H$10,Perform_SSL!H$11)),)</f>
        <v>0</v>
      </c>
      <c r="BK108" s="405">
        <f>IF(Tech_Specs!$E34="logistic",IF($B34="LED",IF(Tech_Specs!$K34="lamp",Perform_SSL!I$10,Perform_SSL!I$11)),)</f>
        <v>0</v>
      </c>
      <c r="BL108" s="405">
        <f>IF(Tech_Specs!$E34="logistic",IF($B34="LED",IF(Tech_Specs!$K34="lamp",Perform_SSL!J$10,Perform_SSL!J$11)),)</f>
        <v>0</v>
      </c>
      <c r="BM108" s="405">
        <f>IF(Tech_Specs!$E34="logistic",IF($B34="LED",IF(Tech_Specs!$K34="lamp",Perform_SSL!K$10,Perform_SSL!K$11)),)</f>
        <v>0</v>
      </c>
      <c r="BN108" s="405">
        <f>IF(Tech_Specs!$E34="logistic",IF($B34="LED",IF(Tech_Specs!$K34="lamp",Perform_SSL!L$10,Perform_SSL!L$11)),)</f>
        <v>0</v>
      </c>
      <c r="BO108" s="405">
        <f>IF(Tech_Specs!$E34="logistic",IF($B34="LED",IF(Tech_Specs!$K34="lamp",Perform_SSL!M$10,Perform_SSL!M$11)),)</f>
        <v>0</v>
      </c>
      <c r="BP108" s="405">
        <f>IF(Tech_Specs!$E34="logistic",IF($B34="LED",IF(Tech_Specs!$K34="lamp",Perform_SSL!N$10,Perform_SSL!N$11)),)</f>
        <v>0</v>
      </c>
      <c r="BQ108" s="405">
        <f>IF(Tech_Specs!$E34="logistic",IF($B34="LED",IF(Tech_Specs!$K34="lamp",Perform_SSL!O$10,Perform_SSL!O$11)),)</f>
        <v>0</v>
      </c>
      <c r="BR108" s="405">
        <f>IF(Tech_Specs!$E34="logistic",IF($B34="LED",IF(Tech_Specs!$K34="lamp",Perform_SSL!P$10,Perform_SSL!P$11)),)</f>
        <v>0</v>
      </c>
      <c r="BS108" s="405">
        <f>IF(Tech_Specs!$E34="logistic",IF($B34="LED",IF(Tech_Specs!$K34="lamp",Perform_SSL!Q$10,Perform_SSL!Q$11)),)</f>
        <v>0</v>
      </c>
      <c r="BT108" s="405">
        <f>IF(Tech_Specs!$E34="logistic",IF($B34="LED",IF(Tech_Specs!$K34="lamp",Perform_SSL!R$10,Perform_SSL!R$11)),)</f>
        <v>0</v>
      </c>
      <c r="BU108" s="405">
        <f>IF(Tech_Specs!$E34="logistic",IF($B34="LED",IF(Tech_Specs!$K34="lamp",Perform_SSL!S$10,Perform_SSL!S$11)),)</f>
        <v>0</v>
      </c>
      <c r="BV108" s="405">
        <f>IF(Tech_Specs!$E34="logistic",IF($B34="LED",IF(Tech_Specs!$K34="lamp",Perform_SSL!T$10,Perform_SSL!T$11)),)</f>
        <v>0</v>
      </c>
      <c r="BW108" s="405">
        <f>IF(Tech_Specs!$E34="logistic",IF($B34="LED",IF(Tech_Specs!$K34="lamp",Perform_SSL!U$10,Perform_SSL!U$11)),)</f>
        <v>0</v>
      </c>
      <c r="BX108" s="405">
        <f>IF(Tech_Specs!$E34="logistic",IF($B34="LED",IF(Tech_Specs!$K34="lamp",Perform_SSL!V$10,Perform_SSL!V$11)),)</f>
        <v>0</v>
      </c>
      <c r="BY108" s="405">
        <f>IF(Tech_Specs!$E34="logistic",IF($B34="LED",IF(Tech_Specs!$K34="lamp",Perform_SSL!W$10,Perform_SSL!W$11)),)</f>
        <v>0</v>
      </c>
      <c r="BZ108" s="405">
        <f>IF(Tech_Specs!$E34="logistic",IF($B34="LED",IF(Tech_Specs!$K34="lamp",Perform_SSL!X$10,Perform_SSL!X$11)),)</f>
        <v>0</v>
      </c>
      <c r="CA108" s="405">
        <f>IF(Tech_Specs!$E34="logistic",IF($B34="LED",IF(Tech_Specs!$K34="lamp",Perform_SSL!Y$10,Perform_SSL!Y$11)),)</f>
        <v>0</v>
      </c>
      <c r="CB108" s="405">
        <f>IF(Tech_Specs!$E34="logistic",IF($B34="LED",IF(Tech_Specs!$K34="lamp",Perform_SSL!Z$10,Perform_SSL!Z$11)),)</f>
        <v>0</v>
      </c>
      <c r="CC108" s="405">
        <f>IF(Tech_Specs!$E34="logistic",IF($B34="LED",IF(Tech_Specs!$K34="lamp",Perform_SSL!AA$10,Perform_SSL!AA$11)),)</f>
        <v>0</v>
      </c>
      <c r="CD108" s="405">
        <f>IF(Tech_Specs!$E34="logistic",IF($B34="LED",IF(Tech_Specs!$K34="lamp",Perform_SSL!AB$10,Perform_SSL!AB$11)),)</f>
        <v>0</v>
      </c>
      <c r="CE108" s="405">
        <f>IF(Tech_Specs!$E34="logistic",IF($B34="LED",IF(Tech_Specs!$K34="lamp",Perform_SSL!AC$10,Perform_SSL!AC$11)),)</f>
        <v>0</v>
      </c>
      <c r="CF108" s="405">
        <f>IF(Tech_Specs!$E34="logistic",IF($B34="LED",IF(Tech_Specs!$K34="lamp",Perform_SSL!AD$10,Perform_SSL!AD$11)),)</f>
        <v>0</v>
      </c>
      <c r="CG108" s="405">
        <f>IF(Tech_Specs!$E34="logistic",IF($B34="LED",IF(Tech_Specs!$K34="lamp",Perform_SSL!AE$10,Perform_SSL!AE$11)),)</f>
        <v>0</v>
      </c>
      <c r="CH108" s="405">
        <f>IF(Tech_Specs!$E34="logistic",IF($B34="LED",IF(Tech_Specs!$K34="lamp",Perform_SSL!AF$10,Perform_SSL!AF$11)),)</f>
        <v>0</v>
      </c>
      <c r="CJ108" s="625">
        <f>IF(AND(Tech_Specs!$E34="step",Standards_Active!$E35="yes"),IF(CJ$81&lt;Standards_Active!$C35,TREND(Perform_Active!$E35:$F35,Perform_Active!$E$8:$F$8,CJ$81),IF(ISNUMBER(Standards_Active!$I35),IF(AND(CJ$81&gt;=Standards_Active!$C35,CJ$81&lt;Standards_Active!$D35),(Standards_Active!$I35-INDEX($CJ108:$DI108,1,MATCH((Standards_Active!$C35-1),$CJ$81:$DI$81,FALSE)))/(Standards_Active!$D35-(Standards_Active!$C35-1))+CI108,Standards_Active!$I35*((1+Standards_Active!$N35)^(CJ$81-Standards_Active!$D35))),TREND(Perform_Active!$E35:$F35,Perform_Active!$E$8:$F$8,CJ$81))),)</f>
        <v>11</v>
      </c>
      <c r="CK108" s="625">
        <f>IF(AND(Tech_Specs!$E34="step",Standards_Active!$E35="yes"),IF(CK$81&lt;Standards_Active!$C35,TREND(Perform_Active!$E35:$F35,Perform_Active!$E$8:$F$8,CK$81),IF(ISNUMBER(Standards_Active!$I35),IF(AND(CK$81&gt;=Standards_Active!$C35,CK$81&lt;Standards_Active!$D35),(Standards_Active!$I35-INDEX($CJ108:$DI108,1,MATCH((Standards_Active!$C35-1),$CJ$81:$DI$81,FALSE)))/(Standards_Active!$D35-(Standards_Active!$C35-1))+CJ108,Standards_Active!$I35*((1+Standards_Active!$N35)^(CK$81-Standards_Active!$D35))),TREND(Perform_Active!$E35:$F35,Perform_Active!$E$8:$F$8,CK$81))),)</f>
        <v>11.027500000000003</v>
      </c>
      <c r="CL108" s="625">
        <f>IF(AND(Tech_Specs!$E34="step",Standards_Active!$E35="yes"),IF(CL$81&lt;Standards_Active!$C35,TREND(Perform_Active!$E35:$F35,Perform_Active!$E$8:$F$8,CL$81),IF(ISNUMBER(Standards_Active!$I35),IF(AND(CL$81&gt;=Standards_Active!$C35,CL$81&lt;Standards_Active!$D35),(Standards_Active!$I35-INDEX($CJ108:$DI108,1,MATCH((Standards_Active!$C35-1),$CJ$81:$DI$81,FALSE)))/(Standards_Active!$D35-(Standards_Active!$C35-1))+CK108,Standards_Active!$I35*((1+Standards_Active!$N35)^(CL$81-Standards_Active!$D35))),TREND(Perform_Active!$E35:$F35,Perform_Active!$E$8:$F$8,CL$81))),)</f>
        <v>11.193353221957043</v>
      </c>
      <c r="CM108" s="625">
        <f>IF(AND(Tech_Specs!$E34="step",Standards_Active!$E35="yes"),IF(CM$81&lt;Standards_Active!$C35,TREND(Perform_Active!$E35:$F35,Perform_Active!$E$8:$F$8,CM$81),IF(ISNUMBER(Standards_Active!$I35),IF(AND(CM$81&gt;=Standards_Active!$C35,CM$81&lt;Standards_Active!$D35),(Standards_Active!$I35-INDEX($CJ108:$DI108,1,MATCH((Standards_Active!$C35-1),$CJ$81:$DI$81,FALSE)))/(Standards_Active!$D35-(Standards_Active!$C35-1))+CL108,Standards_Active!$I35*((1+Standards_Active!$N35)^(CM$81-Standards_Active!$D35))),TREND(Perform_Active!$E35:$F35,Perform_Active!$E$8:$F$8,CM$81))),)</f>
        <v>11.359206443914083</v>
      </c>
      <c r="CN108" s="625">
        <f>IF(AND(Tech_Specs!$E34="step",Standards_Active!$E35="yes"),IF(CN$81&lt;Standards_Active!$C35,TREND(Perform_Active!$E35:$F35,Perform_Active!$E$8:$F$8,CN$81),IF(ISNUMBER(Standards_Active!$I35),IF(AND(CN$81&gt;=Standards_Active!$C35,CN$81&lt;Standards_Active!$D35),(Standards_Active!$I35-INDEX($CJ108:$DI108,1,MATCH((Standards_Active!$C35-1),$CJ$81:$DI$81,FALSE)))/(Standards_Active!$D35-(Standards_Active!$C35-1))+CM108,Standards_Active!$I35*((1+Standards_Active!$N35)^(CN$81-Standards_Active!$D35))),TREND(Perform_Active!$E35:$F35,Perform_Active!$E$8:$F$8,CN$81))),)</f>
        <v>11.525059665871122</v>
      </c>
      <c r="CO108" s="625">
        <f>IF(AND(Tech_Specs!$E34="step",Standards_Active!$E35="yes"),IF(CO$81&lt;Standards_Active!$C35,TREND(Perform_Active!$E35:$F35,Perform_Active!$E$8:$F$8,CO$81),IF(ISNUMBER(Standards_Active!$I35),IF(AND(CO$81&gt;=Standards_Active!$C35,CO$81&lt;Standards_Active!$D35),(Standards_Active!$I35-INDEX($CJ108:$DI108,1,MATCH((Standards_Active!$C35-1),$CJ$81:$DI$81,FALSE)))/(Standards_Active!$D35-(Standards_Active!$C35-1))+CN108,Standards_Active!$I35*((1+Standards_Active!$N35)^(CO$81-Standards_Active!$D35))),TREND(Perform_Active!$E35:$F35,Perform_Active!$E$8:$F$8,CO$81))),)</f>
        <v>11.5538723150358</v>
      </c>
      <c r="CP108" s="625">
        <f>IF(AND(Tech_Specs!$E34="step",Standards_Active!$E35="yes"),IF(CP$81&lt;Standards_Active!$C35,TREND(Perform_Active!$E35:$F35,Perform_Active!$E$8:$F$8,CP$81),IF(ISNUMBER(Standards_Active!$I35),IF(AND(CP$81&gt;=Standards_Active!$C35,CP$81&lt;Standards_Active!$D35),(Standards_Active!$I35-INDEX($CJ108:$DI108,1,MATCH((Standards_Active!$C35-1),$CJ$81:$DI$81,FALSE)))/(Standards_Active!$D35-(Standards_Active!$C35-1))+CO108,Standards_Active!$I35*((1+Standards_Active!$N35)^(CP$81-Standards_Active!$D35))),TREND(Perform_Active!$E35:$F35,Perform_Active!$E$8:$F$8,CP$81))),)</f>
        <v>11.582756995823388</v>
      </c>
      <c r="CQ108" s="625">
        <f>IF(AND(Tech_Specs!$E34="step",Standards_Active!$E35="yes"),IF(CQ$81&lt;Standards_Active!$C35,TREND(Perform_Active!$E35:$F35,Perform_Active!$E$8:$F$8,CQ$81),IF(ISNUMBER(Standards_Active!$I35),IF(AND(CQ$81&gt;=Standards_Active!$C35,CQ$81&lt;Standards_Active!$D35),(Standards_Active!$I35-INDEX($CJ108:$DI108,1,MATCH((Standards_Active!$C35-1),$CJ$81:$DI$81,FALSE)))/(Standards_Active!$D35-(Standards_Active!$C35-1))+CP108,Standards_Active!$I35*((1+Standards_Active!$N35)^(CQ$81-Standards_Active!$D35))),TREND(Perform_Active!$E35:$F35,Perform_Active!$E$8:$F$8,CQ$81))),)</f>
        <v>11.611713888312945</v>
      </c>
      <c r="CR108" s="625">
        <f>IF(AND(Tech_Specs!$E34="step",Standards_Active!$E35="yes"),IF(CR$81&lt;Standards_Active!$C35,TREND(Perform_Active!$E35:$F35,Perform_Active!$E$8:$F$8,CR$81),IF(ISNUMBER(Standards_Active!$I35),IF(AND(CR$81&gt;=Standards_Active!$C35,CR$81&lt;Standards_Active!$D35),(Standards_Active!$I35-INDEX($CJ108:$DI108,1,MATCH((Standards_Active!$C35-1),$CJ$81:$DI$81,FALSE)))/(Standards_Active!$D35-(Standards_Active!$C35-1))+CQ108,Standards_Active!$I35*((1+Standards_Active!$N35)^(CR$81-Standards_Active!$D35))),TREND(Perform_Active!$E35:$F35,Perform_Active!$E$8:$F$8,CR$81))),)</f>
        <v>11.640743173033728</v>
      </c>
      <c r="CS108" s="625">
        <f>IF(AND(Tech_Specs!$E34="step",Standards_Active!$E35="yes"),IF(CS$81&lt;Standards_Active!$C35,TREND(Perform_Active!$E35:$F35,Perform_Active!$E$8:$F$8,CS$81),IF(ISNUMBER(Standards_Active!$I35),IF(AND(CS$81&gt;=Standards_Active!$C35,CS$81&lt;Standards_Active!$D35),(Standards_Active!$I35-INDEX($CJ108:$DI108,1,MATCH((Standards_Active!$C35-1),$CJ$81:$DI$81,FALSE)))/(Standards_Active!$D35-(Standards_Active!$C35-1))+CR108,Standards_Active!$I35*((1+Standards_Active!$N35)^(CS$81-Standards_Active!$D35))),TREND(Perform_Active!$E35:$F35,Perform_Active!$E$8:$F$8,CS$81))),)</f>
        <v>11.669845030966313</v>
      </c>
      <c r="CT108" s="625">
        <f>IF(AND(Tech_Specs!$E34="step",Standards_Active!$E35="yes"),IF(CT$81&lt;Standards_Active!$C35,TREND(Perform_Active!$E35:$F35,Perform_Active!$E$8:$F$8,CT$81),IF(ISNUMBER(Standards_Active!$I35),IF(AND(CT$81&gt;=Standards_Active!$C35,CT$81&lt;Standards_Active!$D35),(Standards_Active!$I35-INDEX($CJ108:$DI108,1,MATCH((Standards_Active!$C35-1),$CJ$81:$DI$81,FALSE)))/(Standards_Active!$D35-(Standards_Active!$C35-1))+CS108,Standards_Active!$I35*((1+Standards_Active!$N35)^(CT$81-Standards_Active!$D35))),TREND(Perform_Active!$E35:$F35,Perform_Active!$E$8:$F$8,CT$81))),)</f>
        <v>11.699019643543727</v>
      </c>
      <c r="CU108" s="625">
        <f>IF(AND(Tech_Specs!$E34="step",Standards_Active!$E35="yes"),IF(CU$81&lt;Standards_Active!$C35,TREND(Perform_Active!$E35:$F35,Perform_Active!$E$8:$F$8,CU$81),IF(ISNUMBER(Standards_Active!$I35),IF(AND(CU$81&gt;=Standards_Active!$C35,CU$81&lt;Standards_Active!$D35),(Standards_Active!$I35-INDEX($CJ108:$DI108,1,MATCH((Standards_Active!$C35-1),$CJ$81:$DI$81,FALSE)))/(Standards_Active!$D35-(Standards_Active!$C35-1))+CT108,Standards_Active!$I35*((1+Standards_Active!$N35)^(CU$81-Standards_Active!$D35))),TREND(Perform_Active!$E35:$F35,Perform_Active!$E$8:$F$8,CU$81))),)</f>
        <v>11.728267192652584</v>
      </c>
      <c r="CV108" s="625">
        <f>IF(AND(Tech_Specs!$E34="step",Standards_Active!$E35="yes"),IF(CV$81&lt;Standards_Active!$C35,TREND(Perform_Active!$E35:$F35,Perform_Active!$E$8:$F$8,CV$81),IF(ISNUMBER(Standards_Active!$I35),IF(AND(CV$81&gt;=Standards_Active!$C35,CV$81&lt;Standards_Active!$D35),(Standards_Active!$I35-INDEX($CJ108:$DI108,1,MATCH((Standards_Active!$C35-1),$CJ$81:$DI$81,FALSE)))/(Standards_Active!$D35-(Standards_Active!$C35-1))+CU108,Standards_Active!$I35*((1+Standards_Active!$N35)^(CV$81-Standards_Active!$D35))),TREND(Perform_Active!$E35:$F35,Perform_Active!$E$8:$F$8,CV$81))),)</f>
        <v>11.757587860634217</v>
      </c>
      <c r="CW108" s="625">
        <f>IF(AND(Tech_Specs!$E34="step",Standards_Active!$E35="yes"),IF(CW$81&lt;Standards_Active!$C35,TREND(Perform_Active!$E35:$F35,Perform_Active!$E$8:$F$8,CW$81),IF(ISNUMBER(Standards_Active!$I35),IF(AND(CW$81&gt;=Standards_Active!$C35,CW$81&lt;Standards_Active!$D35),(Standards_Active!$I35-INDEX($CJ108:$DI108,1,MATCH((Standards_Active!$C35-1),$CJ$81:$DI$81,FALSE)))/(Standards_Active!$D35-(Standards_Active!$C35-1))+CV108,Standards_Active!$I35*((1+Standards_Active!$N35)^(CW$81-Standards_Active!$D35))),TREND(Perform_Active!$E35:$F35,Perform_Active!$E$8:$F$8,CW$81))),)</f>
        <v>11.786981830285802</v>
      </c>
      <c r="CX108" s="625">
        <f>IF(AND(Tech_Specs!$E34="step",Standards_Active!$E35="yes"),IF(CX$81&lt;Standards_Active!$C35,TREND(Perform_Active!$E35:$F35,Perform_Active!$E$8:$F$8,CX$81),IF(ISNUMBER(Standards_Active!$I35),IF(AND(CX$81&gt;=Standards_Active!$C35,CX$81&lt;Standards_Active!$D35),(Standards_Active!$I35-INDEX($CJ108:$DI108,1,MATCH((Standards_Active!$C35-1),$CJ$81:$DI$81,FALSE)))/(Standards_Active!$D35-(Standards_Active!$C35-1))+CW108,Standards_Active!$I35*((1+Standards_Active!$N35)^(CX$81-Standards_Active!$D35))),TREND(Perform_Active!$E35:$F35,Perform_Active!$E$8:$F$8,CX$81))),)</f>
        <v>11.816449284861516</v>
      </c>
      <c r="CY108" s="625">
        <f>IF(AND(Tech_Specs!$E34="step",Standards_Active!$E35="yes"),IF(CY$81&lt;Standards_Active!$C35,TREND(Perform_Active!$E35:$F35,Perform_Active!$E$8:$F$8,CY$81),IF(ISNUMBER(Standards_Active!$I35),IF(AND(CY$81&gt;=Standards_Active!$C35,CY$81&lt;Standards_Active!$D35),(Standards_Active!$I35-INDEX($CJ108:$DI108,1,MATCH((Standards_Active!$C35-1),$CJ$81:$DI$81,FALSE)))/(Standards_Active!$D35-(Standards_Active!$C35-1))+CX108,Standards_Active!$I35*((1+Standards_Active!$N35)^(CY$81-Standards_Active!$D35))),TREND(Perform_Active!$E35:$F35,Perform_Active!$E$8:$F$8,CY$81))),)</f>
        <v>11.845990408073668</v>
      </c>
      <c r="CZ108" s="625">
        <f>IF(AND(Tech_Specs!$E34="step",Standards_Active!$E35="yes"),IF(CZ$81&lt;Standards_Active!$C35,TREND(Perform_Active!$E35:$F35,Perform_Active!$E$8:$F$8,CZ$81),IF(ISNUMBER(Standards_Active!$I35),IF(AND(CZ$81&gt;=Standards_Active!$C35,CZ$81&lt;Standards_Active!$D35),(Standards_Active!$I35-INDEX($CJ108:$DI108,1,MATCH((Standards_Active!$C35-1),$CJ$81:$DI$81,FALSE)))/(Standards_Active!$D35-(Standards_Active!$C35-1))+CY108,Standards_Active!$I35*((1+Standards_Active!$N35)^(CZ$81-Standards_Active!$D35))),TREND(Perform_Active!$E35:$F35,Perform_Active!$E$8:$F$8,CZ$81))),)</f>
        <v>11.875605384093852</v>
      </c>
      <c r="DA108" s="625">
        <f>IF(AND(Tech_Specs!$E34="step",Standards_Active!$E35="yes"),IF(DA$81&lt;Standards_Active!$C35,TREND(Perform_Active!$E35:$F35,Perform_Active!$E$8:$F$8,DA$81),IF(ISNUMBER(Standards_Active!$I35),IF(AND(DA$81&gt;=Standards_Active!$C35,DA$81&lt;Standards_Active!$D35),(Standards_Active!$I35-INDEX($CJ108:$DI108,1,MATCH((Standards_Active!$C35-1),$CJ$81:$DI$81,FALSE)))/(Standards_Active!$D35-(Standards_Active!$C35-1))+CZ108,Standards_Active!$I35*((1+Standards_Active!$N35)^(DA$81-Standards_Active!$D35))),TREND(Perform_Active!$E35:$F35,Perform_Active!$E$8:$F$8,DA$81))),)</f>
        <v>11.905294397554089</v>
      </c>
      <c r="DB108" s="625">
        <f>IF(AND(Tech_Specs!$E34="step",Standards_Active!$E35="yes"),IF(DB$81&lt;Standards_Active!$C35,TREND(Perform_Active!$E35:$F35,Perform_Active!$E$8:$F$8,DB$81),IF(ISNUMBER(Standards_Active!$I35),IF(AND(DB$81&gt;=Standards_Active!$C35,DB$81&lt;Standards_Active!$D35),(Standards_Active!$I35-INDEX($CJ108:$DI108,1,MATCH((Standards_Active!$C35-1),$CJ$81:$DI$81,FALSE)))/(Standards_Active!$D35-(Standards_Active!$C35-1))+DA108,Standards_Active!$I35*((1+Standards_Active!$N35)^(DB$81-Standards_Active!$D35))),TREND(Perform_Active!$E35:$F35,Perform_Active!$E$8:$F$8,DB$81))),)</f>
        <v>11.93505763354797</v>
      </c>
      <c r="DC108" s="625">
        <f>IF(AND(Tech_Specs!$E34="step",Standards_Active!$E35="yes"),IF(DC$81&lt;Standards_Active!$C35,TREND(Perform_Active!$E35:$F35,Perform_Active!$E$8:$F$8,DC$81),IF(ISNUMBER(Standards_Active!$I35),IF(AND(DC$81&gt;=Standards_Active!$C35,DC$81&lt;Standards_Active!$D35),(Standards_Active!$I35-INDEX($CJ108:$DI108,1,MATCH((Standards_Active!$C35-1),$CJ$81:$DI$81,FALSE)))/(Standards_Active!$D35-(Standards_Active!$C35-1))+DB108,Standards_Active!$I35*((1+Standards_Active!$N35)^(DC$81-Standards_Active!$D35))),TREND(Perform_Active!$E35:$F35,Perform_Active!$E$8:$F$8,DC$81))),)</f>
        <v>11.96489527763184</v>
      </c>
      <c r="DD108" s="625">
        <f>IF(AND(Tech_Specs!$E34="step",Standards_Active!$E35="yes"),IF(DD$81&lt;Standards_Active!$C35,TREND(Perform_Active!$E35:$F35,Perform_Active!$E$8:$F$8,DD$81),IF(ISNUMBER(Standards_Active!$I35),IF(AND(DD$81&gt;=Standards_Active!$C35,DD$81&lt;Standards_Active!$D35),(Standards_Active!$I35-INDEX($CJ108:$DI108,1,MATCH((Standards_Active!$C35-1),$CJ$81:$DI$81,FALSE)))/(Standards_Active!$D35-(Standards_Active!$C35-1))+DC108,Standards_Active!$I35*((1+Standards_Active!$N35)^(DD$81-Standards_Active!$D35))),TREND(Perform_Active!$E35:$F35,Perform_Active!$E$8:$F$8,DD$81))),)</f>
        <v>11.99480751582592</v>
      </c>
      <c r="DE108" s="625">
        <f>IF(AND(Tech_Specs!$E34="step",Standards_Active!$E35="yes"),IF(DE$81&lt;Standards_Active!$C35,TREND(Perform_Active!$E35:$F35,Perform_Active!$E$8:$F$8,DE$81),IF(ISNUMBER(Standards_Active!$I35),IF(AND(DE$81&gt;=Standards_Active!$C35,DE$81&lt;Standards_Active!$D35),(Standards_Active!$I35-INDEX($CJ108:$DI108,1,MATCH((Standards_Active!$C35-1),$CJ$81:$DI$81,FALSE)))/(Standards_Active!$D35-(Standards_Active!$C35-1))+DD108,Standards_Active!$I35*((1+Standards_Active!$N35)^(DE$81-Standards_Active!$D35))),TREND(Perform_Active!$E35:$F35,Perform_Active!$E$8:$F$8,DE$81))),)</f>
        <v>12.024794534615484</v>
      </c>
      <c r="DF108" s="625">
        <f>IF(AND(Tech_Specs!$E34="step",Standards_Active!$E35="yes"),IF(DF$81&lt;Standards_Active!$C35,TREND(Perform_Active!$E35:$F35,Perform_Active!$E$8:$F$8,DF$81),IF(ISNUMBER(Standards_Active!$I35),IF(AND(DF$81&gt;=Standards_Active!$C35,DF$81&lt;Standards_Active!$D35),(Standards_Active!$I35-INDEX($CJ108:$DI108,1,MATCH((Standards_Active!$C35-1),$CJ$81:$DI$81,FALSE)))/(Standards_Active!$D35-(Standards_Active!$C35-1))+DE108,Standards_Active!$I35*((1+Standards_Active!$N35)^(DF$81-Standards_Active!$D35))),TREND(Perform_Active!$E35:$F35,Perform_Active!$E$8:$F$8,DF$81))),)</f>
        <v>12.054856520952024</v>
      </c>
      <c r="DG108" s="625">
        <f>IF(AND(Tech_Specs!$E34="step",Standards_Active!$E35="yes"),IF(DG$81&lt;Standards_Active!$C35,TREND(Perform_Active!$E35:$F35,Perform_Active!$E$8:$F$8,DG$81),IF(ISNUMBER(Standards_Active!$I35),IF(AND(DG$81&gt;=Standards_Active!$C35,DG$81&lt;Standards_Active!$D35),(Standards_Active!$I35-INDEX($CJ108:$DI108,1,MATCH((Standards_Active!$C35-1),$CJ$81:$DI$81,FALSE)))/(Standards_Active!$D35-(Standards_Active!$C35-1))+DF108,Standards_Active!$I35*((1+Standards_Active!$N35)^(DG$81-Standards_Active!$D35))),TREND(Perform_Active!$E35:$F35,Perform_Active!$E$8:$F$8,DG$81))),)</f>
        <v>12.084993662254401</v>
      </c>
      <c r="DH108" s="625">
        <f>IF(AND(Tech_Specs!$E34="step",Standards_Active!$E35="yes"),IF(DH$81&lt;Standards_Active!$C35,TREND(Perform_Active!$E35:$F35,Perform_Active!$E$8:$F$8,DH$81),IF(ISNUMBER(Standards_Active!$I35),IF(AND(DH$81&gt;=Standards_Active!$C35,DH$81&lt;Standards_Active!$D35),(Standards_Active!$I35-INDEX($CJ108:$DI108,1,MATCH((Standards_Active!$C35-1),$CJ$81:$DI$81,FALSE)))/(Standards_Active!$D35-(Standards_Active!$C35-1))+DG108,Standards_Active!$I35*((1+Standards_Active!$N35)^(DH$81-Standards_Active!$D35))),TREND(Perform_Active!$E35:$F35,Perform_Active!$E$8:$F$8,DH$81))),)</f>
        <v>12.115206146410038</v>
      </c>
      <c r="DI108" s="625">
        <f>IF(AND(Tech_Specs!$E34="step",Standards_Active!$E35="yes"),IF(DI$81&lt;Standards_Active!$C35,TREND(Perform_Active!$E35:$F35,Perform_Active!$E$8:$F$8,DI$81),IF(ISNUMBER(Standards_Active!$I35),IF(AND(DI$81&gt;=Standards_Active!$C35,DI$81&lt;Standards_Active!$D35),(Standards_Active!$I35-INDEX($CJ108:$DI108,1,MATCH((Standards_Active!$C35-1),$CJ$81:$DI$81,FALSE)))/(Standards_Active!$D35-(Standards_Active!$C35-1))+DH108,Standards_Active!$I35*((1+Standards_Active!$N35)^(DI$81-Standards_Active!$D35))),TREND(Perform_Active!$E35:$F35,Perform_Active!$E$8:$F$8,DI$81))),)</f>
        <v>12.145494161776062</v>
      </c>
    </row>
    <row r="109" spans="1:113" s="376" customFormat="1" ht="12.6" x14ac:dyDescent="0.25">
      <c r="B109" s="388" t="s">
        <v>50</v>
      </c>
      <c r="C109" s="379"/>
      <c r="D109" s="379"/>
      <c r="E109" s="379"/>
      <c r="F109" s="379"/>
      <c r="G109" s="390">
        <f t="shared" si="33"/>
        <v>14.799999999999997</v>
      </c>
      <c r="H109" s="390">
        <f t="shared" si="33"/>
        <v>14.837000000000003</v>
      </c>
      <c r="I109" s="390">
        <f t="shared" si="33"/>
        <v>14.873999999999995</v>
      </c>
      <c r="J109" s="390">
        <f t="shared" si="33"/>
        <v>14.911000000000001</v>
      </c>
      <c r="K109" s="390">
        <f t="shared" si="33"/>
        <v>14.948000000000008</v>
      </c>
      <c r="L109" s="390">
        <f t="shared" si="33"/>
        <v>14.984999999999999</v>
      </c>
      <c r="M109" s="390">
        <f t="shared" si="33"/>
        <v>15.022000000000006</v>
      </c>
      <c r="N109" s="390">
        <f t="shared" si="33"/>
        <v>15.058999999999997</v>
      </c>
      <c r="O109" s="390">
        <f t="shared" si="33"/>
        <v>15.096000000000004</v>
      </c>
      <c r="P109" s="390">
        <f t="shared" si="33"/>
        <v>15.132999999999996</v>
      </c>
      <c r="Q109" s="390">
        <f t="shared" si="34"/>
        <v>15.170000000000002</v>
      </c>
      <c r="R109" s="390">
        <f t="shared" si="34"/>
        <v>15.207000000000008</v>
      </c>
      <c r="S109" s="390">
        <f t="shared" si="34"/>
        <v>15.244</v>
      </c>
      <c r="T109" s="390">
        <f t="shared" si="34"/>
        <v>15.281000000000006</v>
      </c>
      <c r="U109" s="390">
        <f t="shared" si="34"/>
        <v>15.317999999999998</v>
      </c>
      <c r="V109" s="390">
        <f t="shared" si="34"/>
        <v>15.355000000000004</v>
      </c>
      <c r="W109" s="390">
        <f t="shared" si="34"/>
        <v>15.391999999999996</v>
      </c>
      <c r="X109" s="390">
        <f t="shared" si="34"/>
        <v>15.429000000000002</v>
      </c>
      <c r="Y109" s="390">
        <f t="shared" si="34"/>
        <v>15.466000000000008</v>
      </c>
      <c r="Z109" s="390">
        <f t="shared" si="34"/>
        <v>15.503</v>
      </c>
      <c r="AA109" s="390">
        <f t="shared" si="35"/>
        <v>15.540000000000006</v>
      </c>
      <c r="AB109" s="390">
        <f t="shared" si="35"/>
        <v>15.576999999999998</v>
      </c>
      <c r="AC109" s="390">
        <f t="shared" si="35"/>
        <v>15.614000000000004</v>
      </c>
      <c r="AD109" s="390">
        <f t="shared" si="35"/>
        <v>15.650999999999996</v>
      </c>
      <c r="AE109" s="390">
        <f t="shared" si="35"/>
        <v>15.688000000000002</v>
      </c>
      <c r="AF109" s="390">
        <f t="shared" si="35"/>
        <v>15.725000000000009</v>
      </c>
      <c r="AH109" s="405">
        <f>IF(Tech_Specs!$E35="linear",TREND(Perform_Active!$E36:$F36,Perform_Active!$E$8:$F$8,AH$81),)</f>
        <v>14.799999999999997</v>
      </c>
      <c r="AI109" s="405">
        <f>IF(Tech_Specs!$E35="linear",TREND(Perform_Active!$E36:$F36,Perform_Active!$E$8:$F$8,AI$81),)</f>
        <v>14.837000000000003</v>
      </c>
      <c r="AJ109" s="405">
        <f>IF(Tech_Specs!$E35="linear",TREND(Perform_Active!$E36:$F36,Perform_Active!$E$8:$F$8,AJ$81),)</f>
        <v>14.873999999999995</v>
      </c>
      <c r="AK109" s="405">
        <f>IF(Tech_Specs!$E35="linear",TREND(Perform_Active!$E36:$F36,Perform_Active!$E$8:$F$8,AK$81),)</f>
        <v>14.911000000000001</v>
      </c>
      <c r="AL109" s="405">
        <f>IF(Tech_Specs!$E35="linear",TREND(Perform_Active!$E36:$F36,Perform_Active!$E$8:$F$8,AL$81),)</f>
        <v>14.948000000000008</v>
      </c>
      <c r="AM109" s="405">
        <f>IF(Tech_Specs!$E35="linear",TREND(Perform_Active!$E36:$F36,Perform_Active!$E$8:$F$8,AM$81),)</f>
        <v>14.984999999999999</v>
      </c>
      <c r="AN109" s="405">
        <f>IF(Tech_Specs!$E35="linear",TREND(Perform_Active!$E36:$F36,Perform_Active!$E$8:$F$8,AN$81),)</f>
        <v>15.022000000000006</v>
      </c>
      <c r="AO109" s="405">
        <f>IF(Tech_Specs!$E35="linear",TREND(Perform_Active!$E36:$F36,Perform_Active!$E$8:$F$8,AO$81),)</f>
        <v>15.058999999999997</v>
      </c>
      <c r="AP109" s="405">
        <f>IF(Tech_Specs!$E35="linear",TREND(Perform_Active!$E36:$F36,Perform_Active!$E$8:$F$8,AP$81),)</f>
        <v>15.096000000000004</v>
      </c>
      <c r="AQ109" s="405">
        <f>IF(Tech_Specs!$E35="linear",TREND(Perform_Active!$E36:$F36,Perform_Active!$E$8:$F$8,AQ$81),)</f>
        <v>15.132999999999996</v>
      </c>
      <c r="AR109" s="405">
        <f>IF(Tech_Specs!$E35="linear",TREND(Perform_Active!$E36:$F36,Perform_Active!$E$8:$F$8,AR$81),)</f>
        <v>15.170000000000002</v>
      </c>
      <c r="AS109" s="405">
        <f>IF(Tech_Specs!$E35="linear",TREND(Perform_Active!$E36:$F36,Perform_Active!$E$8:$F$8,AS$81),)</f>
        <v>15.207000000000008</v>
      </c>
      <c r="AT109" s="405">
        <f>IF(Tech_Specs!$E35="linear",TREND(Perform_Active!$E36:$F36,Perform_Active!$E$8:$F$8,AT$81),)</f>
        <v>15.244</v>
      </c>
      <c r="AU109" s="405">
        <f>IF(Tech_Specs!$E35="linear",TREND(Perform_Active!$E36:$F36,Perform_Active!$E$8:$F$8,AU$81),)</f>
        <v>15.281000000000006</v>
      </c>
      <c r="AV109" s="405">
        <f>IF(Tech_Specs!$E35="linear",TREND(Perform_Active!$E36:$F36,Perform_Active!$E$8:$F$8,AV$81),)</f>
        <v>15.317999999999998</v>
      </c>
      <c r="AW109" s="405">
        <f>IF(Tech_Specs!$E35="linear",TREND(Perform_Active!$E36:$F36,Perform_Active!$E$8:$F$8,AW$81),)</f>
        <v>15.355000000000004</v>
      </c>
      <c r="AX109" s="405">
        <f>IF(Tech_Specs!$E35="linear",TREND(Perform_Active!$E36:$F36,Perform_Active!$E$8:$F$8,AX$81),)</f>
        <v>15.391999999999996</v>
      </c>
      <c r="AY109" s="405">
        <f>IF(Tech_Specs!$E35="linear",TREND(Perform_Active!$E36:$F36,Perform_Active!$E$8:$F$8,AY$81),)</f>
        <v>15.429000000000002</v>
      </c>
      <c r="AZ109" s="405">
        <f>IF(Tech_Specs!$E35="linear",TREND(Perform_Active!$E36:$F36,Perform_Active!$E$8:$F$8,AZ$81),)</f>
        <v>15.466000000000008</v>
      </c>
      <c r="BA109" s="405">
        <f>IF(Tech_Specs!$E35="linear",TREND(Perform_Active!$E36:$F36,Perform_Active!$E$8:$F$8,BA$81),)</f>
        <v>15.503</v>
      </c>
      <c r="BB109" s="405">
        <f>IF(Tech_Specs!$E35="linear",TREND(Perform_Active!$E36:$F36,Perform_Active!$E$8:$F$8,BB$81),)</f>
        <v>15.540000000000006</v>
      </c>
      <c r="BC109" s="405">
        <f>IF(Tech_Specs!$E35="linear",TREND(Perform_Active!$E36:$F36,Perform_Active!$E$8:$F$8,BC$81),)</f>
        <v>15.576999999999998</v>
      </c>
      <c r="BD109" s="405">
        <f>IF(Tech_Specs!$E35="linear",TREND(Perform_Active!$E36:$F36,Perform_Active!$E$8:$F$8,BD$81),)</f>
        <v>15.614000000000004</v>
      </c>
      <c r="BE109" s="405">
        <f>IF(Tech_Specs!$E35="linear",TREND(Perform_Active!$E36:$F36,Perform_Active!$E$8:$F$8,BE$81),)</f>
        <v>15.650999999999996</v>
      </c>
      <c r="BF109" s="405">
        <f>IF(Tech_Specs!$E35="linear",TREND(Perform_Active!$E36:$F36,Perform_Active!$E$8:$F$8,BF$81),)</f>
        <v>15.688000000000002</v>
      </c>
      <c r="BG109" s="405">
        <f>IF(Tech_Specs!$E35="linear",TREND(Perform_Active!$E36:$F36,Perform_Active!$E$8:$F$8,BG$81),)</f>
        <v>15.725000000000009</v>
      </c>
      <c r="BI109" s="405">
        <f>IF(Tech_Specs!$E35="logistic",IF($B35="LED",IF(Tech_Specs!$K35="lamp",Perform_SSL!G$10,Perform_SSL!G$11)),)</f>
        <v>0</v>
      </c>
      <c r="BJ109" s="405">
        <f>IF(Tech_Specs!$E35="logistic",IF($B35="LED",IF(Tech_Specs!$K35="lamp",Perform_SSL!H$10,Perform_SSL!H$11)),)</f>
        <v>0</v>
      </c>
      <c r="BK109" s="405">
        <f>IF(Tech_Specs!$E35="logistic",IF($B35="LED",IF(Tech_Specs!$K35="lamp",Perform_SSL!I$10,Perform_SSL!I$11)),)</f>
        <v>0</v>
      </c>
      <c r="BL109" s="405">
        <f>IF(Tech_Specs!$E35="logistic",IF($B35="LED",IF(Tech_Specs!$K35="lamp",Perform_SSL!J$10,Perform_SSL!J$11)),)</f>
        <v>0</v>
      </c>
      <c r="BM109" s="405">
        <f>IF(Tech_Specs!$E35="logistic",IF($B35="LED",IF(Tech_Specs!$K35="lamp",Perform_SSL!K$10,Perform_SSL!K$11)),)</f>
        <v>0</v>
      </c>
      <c r="BN109" s="405">
        <f>IF(Tech_Specs!$E35="logistic",IF($B35="LED",IF(Tech_Specs!$K35="lamp",Perform_SSL!L$10,Perform_SSL!L$11)),)</f>
        <v>0</v>
      </c>
      <c r="BO109" s="405">
        <f>IF(Tech_Specs!$E35="logistic",IF($B35="LED",IF(Tech_Specs!$K35="lamp",Perform_SSL!M$10,Perform_SSL!M$11)),)</f>
        <v>0</v>
      </c>
      <c r="BP109" s="405">
        <f>IF(Tech_Specs!$E35="logistic",IF($B35="LED",IF(Tech_Specs!$K35="lamp",Perform_SSL!N$10,Perform_SSL!N$11)),)</f>
        <v>0</v>
      </c>
      <c r="BQ109" s="405">
        <f>IF(Tech_Specs!$E35="logistic",IF($B35="LED",IF(Tech_Specs!$K35="lamp",Perform_SSL!O$10,Perform_SSL!O$11)),)</f>
        <v>0</v>
      </c>
      <c r="BR109" s="405">
        <f>IF(Tech_Specs!$E35="logistic",IF($B35="LED",IF(Tech_Specs!$K35="lamp",Perform_SSL!P$10,Perform_SSL!P$11)),)</f>
        <v>0</v>
      </c>
      <c r="BS109" s="405">
        <f>IF(Tech_Specs!$E35="logistic",IF($B35="LED",IF(Tech_Specs!$K35="lamp",Perform_SSL!Q$10,Perform_SSL!Q$11)),)</f>
        <v>0</v>
      </c>
      <c r="BT109" s="405">
        <f>IF(Tech_Specs!$E35="logistic",IF($B35="LED",IF(Tech_Specs!$K35="lamp",Perform_SSL!R$10,Perform_SSL!R$11)),)</f>
        <v>0</v>
      </c>
      <c r="BU109" s="405">
        <f>IF(Tech_Specs!$E35="logistic",IF($B35="LED",IF(Tech_Specs!$K35="lamp",Perform_SSL!S$10,Perform_SSL!S$11)),)</f>
        <v>0</v>
      </c>
      <c r="BV109" s="405">
        <f>IF(Tech_Specs!$E35="logistic",IF($B35="LED",IF(Tech_Specs!$K35="lamp",Perform_SSL!T$10,Perform_SSL!T$11)),)</f>
        <v>0</v>
      </c>
      <c r="BW109" s="405">
        <f>IF(Tech_Specs!$E35="logistic",IF($B35="LED",IF(Tech_Specs!$K35="lamp",Perform_SSL!U$10,Perform_SSL!U$11)),)</f>
        <v>0</v>
      </c>
      <c r="BX109" s="405">
        <f>IF(Tech_Specs!$E35="logistic",IF($B35="LED",IF(Tech_Specs!$K35="lamp",Perform_SSL!V$10,Perform_SSL!V$11)),)</f>
        <v>0</v>
      </c>
      <c r="BY109" s="405">
        <f>IF(Tech_Specs!$E35="logistic",IF($B35="LED",IF(Tech_Specs!$K35="lamp",Perform_SSL!W$10,Perform_SSL!W$11)),)</f>
        <v>0</v>
      </c>
      <c r="BZ109" s="405">
        <f>IF(Tech_Specs!$E35="logistic",IF($B35="LED",IF(Tech_Specs!$K35="lamp",Perform_SSL!X$10,Perform_SSL!X$11)),)</f>
        <v>0</v>
      </c>
      <c r="CA109" s="405">
        <f>IF(Tech_Specs!$E35="logistic",IF($B35="LED",IF(Tech_Specs!$K35="lamp",Perform_SSL!Y$10,Perform_SSL!Y$11)),)</f>
        <v>0</v>
      </c>
      <c r="CB109" s="405">
        <f>IF(Tech_Specs!$E35="logistic",IF($B35="LED",IF(Tech_Specs!$K35="lamp",Perform_SSL!Z$10,Perform_SSL!Z$11)),)</f>
        <v>0</v>
      </c>
      <c r="CC109" s="405">
        <f>IF(Tech_Specs!$E35="logistic",IF($B35="LED",IF(Tech_Specs!$K35="lamp",Perform_SSL!AA$10,Perform_SSL!AA$11)),)</f>
        <v>0</v>
      </c>
      <c r="CD109" s="405">
        <f>IF(Tech_Specs!$E35="logistic",IF($B35="LED",IF(Tech_Specs!$K35="lamp",Perform_SSL!AB$10,Perform_SSL!AB$11)),)</f>
        <v>0</v>
      </c>
      <c r="CE109" s="405">
        <f>IF(Tech_Specs!$E35="logistic",IF($B35="LED",IF(Tech_Specs!$K35="lamp",Perform_SSL!AC$10,Perform_SSL!AC$11)),)</f>
        <v>0</v>
      </c>
      <c r="CF109" s="405">
        <f>IF(Tech_Specs!$E35="logistic",IF($B35="LED",IF(Tech_Specs!$K35="lamp",Perform_SSL!AD$10,Perform_SSL!AD$11)),)</f>
        <v>0</v>
      </c>
      <c r="CG109" s="405">
        <f>IF(Tech_Specs!$E35="logistic",IF($B35="LED",IF(Tech_Specs!$K35="lamp",Perform_SSL!AE$10,Perform_SSL!AE$11)),)</f>
        <v>0</v>
      </c>
      <c r="CH109" s="405">
        <f>IF(Tech_Specs!$E35="logistic",IF($B35="LED",IF(Tech_Specs!$K35="lamp",Perform_SSL!AF$10,Perform_SSL!AF$11)),)</f>
        <v>0</v>
      </c>
      <c r="CJ109" s="625">
        <f>IF(AND(Tech_Specs!$E35="step",Standards_Active!$E36="yes"),IF(CJ$81&lt;Standards_Active!$C36,TREND(Perform_Active!$E36:$F36,Perform_Active!$E$8:$F$8,CJ$81),IF(ISNUMBER(Standards_Active!$I36),IF(AND(CJ$81&gt;=Standards_Active!$C36,CJ$81&lt;Standards_Active!$D36),(Standards_Active!$I36-INDEX($CJ109:$DI109,1,MATCH((Standards_Active!$C36-1),$CJ$81:$DI$81,FALSE)))/(Standards_Active!$D36-(Standards_Active!$C36-1))+CI109,Standards_Active!$I36*((1+Standards_Active!$N36)^(CJ$81-Standards_Active!$D36))),TREND(Perform_Active!$E36:$F36,Perform_Active!$E$8:$F$8,CJ$81))),)</f>
        <v>0</v>
      </c>
      <c r="CK109" s="625">
        <f>IF(AND(Tech_Specs!$E35="step",Standards_Active!$E36="yes"),IF(CK$81&lt;Standards_Active!$C36,TREND(Perform_Active!$E36:$F36,Perform_Active!$E$8:$F$8,CK$81),IF(ISNUMBER(Standards_Active!$I36),IF(AND(CK$81&gt;=Standards_Active!$C36,CK$81&lt;Standards_Active!$D36),(Standards_Active!$I36-INDEX($CJ109:$DI109,1,MATCH((Standards_Active!$C36-1),$CJ$81:$DI$81,FALSE)))/(Standards_Active!$D36-(Standards_Active!$C36-1))+CJ109,Standards_Active!$I36*((1+Standards_Active!$N36)^(CK$81-Standards_Active!$D36))),TREND(Perform_Active!$E36:$F36,Perform_Active!$E$8:$F$8,CK$81))),)</f>
        <v>0</v>
      </c>
      <c r="CL109" s="625">
        <f>IF(AND(Tech_Specs!$E35="step",Standards_Active!$E36="yes"),IF(CL$81&lt;Standards_Active!$C36,TREND(Perform_Active!$E36:$F36,Perform_Active!$E$8:$F$8,CL$81),IF(ISNUMBER(Standards_Active!$I36),IF(AND(CL$81&gt;=Standards_Active!$C36,CL$81&lt;Standards_Active!$D36),(Standards_Active!$I36-INDEX($CJ109:$DI109,1,MATCH((Standards_Active!$C36-1),$CJ$81:$DI$81,FALSE)))/(Standards_Active!$D36-(Standards_Active!$C36-1))+CK109,Standards_Active!$I36*((1+Standards_Active!$N36)^(CL$81-Standards_Active!$D36))),TREND(Perform_Active!$E36:$F36,Perform_Active!$E$8:$F$8,CL$81))),)</f>
        <v>0</v>
      </c>
      <c r="CM109" s="625">
        <f>IF(AND(Tech_Specs!$E35="step",Standards_Active!$E36="yes"),IF(CM$81&lt;Standards_Active!$C36,TREND(Perform_Active!$E36:$F36,Perform_Active!$E$8:$F$8,CM$81),IF(ISNUMBER(Standards_Active!$I36),IF(AND(CM$81&gt;=Standards_Active!$C36,CM$81&lt;Standards_Active!$D36),(Standards_Active!$I36-INDEX($CJ109:$DI109,1,MATCH((Standards_Active!$C36-1),$CJ$81:$DI$81,FALSE)))/(Standards_Active!$D36-(Standards_Active!$C36-1))+CL109,Standards_Active!$I36*((1+Standards_Active!$N36)^(CM$81-Standards_Active!$D36))),TREND(Perform_Active!$E36:$F36,Perform_Active!$E$8:$F$8,CM$81))),)</f>
        <v>0</v>
      </c>
      <c r="CN109" s="625">
        <f>IF(AND(Tech_Specs!$E35="step",Standards_Active!$E36="yes"),IF(CN$81&lt;Standards_Active!$C36,TREND(Perform_Active!$E36:$F36,Perform_Active!$E$8:$F$8,CN$81),IF(ISNUMBER(Standards_Active!$I36),IF(AND(CN$81&gt;=Standards_Active!$C36,CN$81&lt;Standards_Active!$D36),(Standards_Active!$I36-INDEX($CJ109:$DI109,1,MATCH((Standards_Active!$C36-1),$CJ$81:$DI$81,FALSE)))/(Standards_Active!$D36-(Standards_Active!$C36-1))+CM109,Standards_Active!$I36*((1+Standards_Active!$N36)^(CN$81-Standards_Active!$D36))),TREND(Perform_Active!$E36:$F36,Perform_Active!$E$8:$F$8,CN$81))),)</f>
        <v>0</v>
      </c>
      <c r="CO109" s="625">
        <f>IF(AND(Tech_Specs!$E35="step",Standards_Active!$E36="yes"),IF(CO$81&lt;Standards_Active!$C36,TREND(Perform_Active!$E36:$F36,Perform_Active!$E$8:$F$8,CO$81),IF(ISNUMBER(Standards_Active!$I36),IF(AND(CO$81&gt;=Standards_Active!$C36,CO$81&lt;Standards_Active!$D36),(Standards_Active!$I36-INDEX($CJ109:$DI109,1,MATCH((Standards_Active!$C36-1),$CJ$81:$DI$81,FALSE)))/(Standards_Active!$D36-(Standards_Active!$C36-1))+CN109,Standards_Active!$I36*((1+Standards_Active!$N36)^(CO$81-Standards_Active!$D36))),TREND(Perform_Active!$E36:$F36,Perform_Active!$E$8:$F$8,CO$81))),)</f>
        <v>0</v>
      </c>
      <c r="CP109" s="625">
        <f>IF(AND(Tech_Specs!$E35="step",Standards_Active!$E36="yes"),IF(CP$81&lt;Standards_Active!$C36,TREND(Perform_Active!$E36:$F36,Perform_Active!$E$8:$F$8,CP$81),IF(ISNUMBER(Standards_Active!$I36),IF(AND(CP$81&gt;=Standards_Active!$C36,CP$81&lt;Standards_Active!$D36),(Standards_Active!$I36-INDEX($CJ109:$DI109,1,MATCH((Standards_Active!$C36-1),$CJ$81:$DI$81,FALSE)))/(Standards_Active!$D36-(Standards_Active!$C36-1))+CO109,Standards_Active!$I36*((1+Standards_Active!$N36)^(CP$81-Standards_Active!$D36))),TREND(Perform_Active!$E36:$F36,Perform_Active!$E$8:$F$8,CP$81))),)</f>
        <v>0</v>
      </c>
      <c r="CQ109" s="625">
        <f>IF(AND(Tech_Specs!$E35="step",Standards_Active!$E36="yes"),IF(CQ$81&lt;Standards_Active!$C36,TREND(Perform_Active!$E36:$F36,Perform_Active!$E$8:$F$8,CQ$81),IF(ISNUMBER(Standards_Active!$I36),IF(AND(CQ$81&gt;=Standards_Active!$C36,CQ$81&lt;Standards_Active!$D36),(Standards_Active!$I36-INDEX($CJ109:$DI109,1,MATCH((Standards_Active!$C36-1),$CJ$81:$DI$81,FALSE)))/(Standards_Active!$D36-(Standards_Active!$C36-1))+CP109,Standards_Active!$I36*((1+Standards_Active!$N36)^(CQ$81-Standards_Active!$D36))),TREND(Perform_Active!$E36:$F36,Perform_Active!$E$8:$F$8,CQ$81))),)</f>
        <v>0</v>
      </c>
      <c r="CR109" s="625">
        <f>IF(AND(Tech_Specs!$E35="step",Standards_Active!$E36="yes"),IF(CR$81&lt;Standards_Active!$C36,TREND(Perform_Active!$E36:$F36,Perform_Active!$E$8:$F$8,CR$81),IF(ISNUMBER(Standards_Active!$I36),IF(AND(CR$81&gt;=Standards_Active!$C36,CR$81&lt;Standards_Active!$D36),(Standards_Active!$I36-INDEX($CJ109:$DI109,1,MATCH((Standards_Active!$C36-1),$CJ$81:$DI$81,FALSE)))/(Standards_Active!$D36-(Standards_Active!$C36-1))+CQ109,Standards_Active!$I36*((1+Standards_Active!$N36)^(CR$81-Standards_Active!$D36))),TREND(Perform_Active!$E36:$F36,Perform_Active!$E$8:$F$8,CR$81))),)</f>
        <v>0</v>
      </c>
      <c r="CS109" s="625">
        <f>IF(AND(Tech_Specs!$E35="step",Standards_Active!$E36="yes"),IF(CS$81&lt;Standards_Active!$C36,TREND(Perform_Active!$E36:$F36,Perform_Active!$E$8:$F$8,CS$81),IF(ISNUMBER(Standards_Active!$I36),IF(AND(CS$81&gt;=Standards_Active!$C36,CS$81&lt;Standards_Active!$D36),(Standards_Active!$I36-INDEX($CJ109:$DI109,1,MATCH((Standards_Active!$C36-1),$CJ$81:$DI$81,FALSE)))/(Standards_Active!$D36-(Standards_Active!$C36-1))+CR109,Standards_Active!$I36*((1+Standards_Active!$N36)^(CS$81-Standards_Active!$D36))),TREND(Perform_Active!$E36:$F36,Perform_Active!$E$8:$F$8,CS$81))),)</f>
        <v>0</v>
      </c>
      <c r="CT109" s="625">
        <f>IF(AND(Tech_Specs!$E35="step",Standards_Active!$E36="yes"),IF(CT$81&lt;Standards_Active!$C36,TREND(Perform_Active!$E36:$F36,Perform_Active!$E$8:$F$8,CT$81),IF(ISNUMBER(Standards_Active!$I36),IF(AND(CT$81&gt;=Standards_Active!$C36,CT$81&lt;Standards_Active!$D36),(Standards_Active!$I36-INDEX($CJ109:$DI109,1,MATCH((Standards_Active!$C36-1),$CJ$81:$DI$81,FALSE)))/(Standards_Active!$D36-(Standards_Active!$C36-1))+CS109,Standards_Active!$I36*((1+Standards_Active!$N36)^(CT$81-Standards_Active!$D36))),TREND(Perform_Active!$E36:$F36,Perform_Active!$E$8:$F$8,CT$81))),)</f>
        <v>0</v>
      </c>
      <c r="CU109" s="625">
        <f>IF(AND(Tech_Specs!$E35="step",Standards_Active!$E36="yes"),IF(CU$81&lt;Standards_Active!$C36,TREND(Perform_Active!$E36:$F36,Perform_Active!$E$8:$F$8,CU$81),IF(ISNUMBER(Standards_Active!$I36),IF(AND(CU$81&gt;=Standards_Active!$C36,CU$81&lt;Standards_Active!$D36),(Standards_Active!$I36-INDEX($CJ109:$DI109,1,MATCH((Standards_Active!$C36-1),$CJ$81:$DI$81,FALSE)))/(Standards_Active!$D36-(Standards_Active!$C36-1))+CT109,Standards_Active!$I36*((1+Standards_Active!$N36)^(CU$81-Standards_Active!$D36))),TREND(Perform_Active!$E36:$F36,Perform_Active!$E$8:$F$8,CU$81))),)</f>
        <v>0</v>
      </c>
      <c r="CV109" s="625">
        <f>IF(AND(Tech_Specs!$E35="step",Standards_Active!$E36="yes"),IF(CV$81&lt;Standards_Active!$C36,TREND(Perform_Active!$E36:$F36,Perform_Active!$E$8:$F$8,CV$81),IF(ISNUMBER(Standards_Active!$I36),IF(AND(CV$81&gt;=Standards_Active!$C36,CV$81&lt;Standards_Active!$D36),(Standards_Active!$I36-INDEX($CJ109:$DI109,1,MATCH((Standards_Active!$C36-1),$CJ$81:$DI$81,FALSE)))/(Standards_Active!$D36-(Standards_Active!$C36-1))+CU109,Standards_Active!$I36*((1+Standards_Active!$N36)^(CV$81-Standards_Active!$D36))),TREND(Perform_Active!$E36:$F36,Perform_Active!$E$8:$F$8,CV$81))),)</f>
        <v>0</v>
      </c>
      <c r="CW109" s="625">
        <f>IF(AND(Tech_Specs!$E35="step",Standards_Active!$E36="yes"),IF(CW$81&lt;Standards_Active!$C36,TREND(Perform_Active!$E36:$F36,Perform_Active!$E$8:$F$8,CW$81),IF(ISNUMBER(Standards_Active!$I36),IF(AND(CW$81&gt;=Standards_Active!$C36,CW$81&lt;Standards_Active!$D36),(Standards_Active!$I36-INDEX($CJ109:$DI109,1,MATCH((Standards_Active!$C36-1),$CJ$81:$DI$81,FALSE)))/(Standards_Active!$D36-(Standards_Active!$C36-1))+CV109,Standards_Active!$I36*((1+Standards_Active!$N36)^(CW$81-Standards_Active!$D36))),TREND(Perform_Active!$E36:$F36,Perform_Active!$E$8:$F$8,CW$81))),)</f>
        <v>0</v>
      </c>
      <c r="CX109" s="625">
        <f>IF(AND(Tech_Specs!$E35="step",Standards_Active!$E36="yes"),IF(CX$81&lt;Standards_Active!$C36,TREND(Perform_Active!$E36:$F36,Perform_Active!$E$8:$F$8,CX$81),IF(ISNUMBER(Standards_Active!$I36),IF(AND(CX$81&gt;=Standards_Active!$C36,CX$81&lt;Standards_Active!$D36),(Standards_Active!$I36-INDEX($CJ109:$DI109,1,MATCH((Standards_Active!$C36-1),$CJ$81:$DI$81,FALSE)))/(Standards_Active!$D36-(Standards_Active!$C36-1))+CW109,Standards_Active!$I36*((1+Standards_Active!$N36)^(CX$81-Standards_Active!$D36))),TREND(Perform_Active!$E36:$F36,Perform_Active!$E$8:$F$8,CX$81))),)</f>
        <v>0</v>
      </c>
      <c r="CY109" s="625">
        <f>IF(AND(Tech_Specs!$E35="step",Standards_Active!$E36="yes"),IF(CY$81&lt;Standards_Active!$C36,TREND(Perform_Active!$E36:$F36,Perform_Active!$E$8:$F$8,CY$81),IF(ISNUMBER(Standards_Active!$I36),IF(AND(CY$81&gt;=Standards_Active!$C36,CY$81&lt;Standards_Active!$D36),(Standards_Active!$I36-INDEX($CJ109:$DI109,1,MATCH((Standards_Active!$C36-1),$CJ$81:$DI$81,FALSE)))/(Standards_Active!$D36-(Standards_Active!$C36-1))+CX109,Standards_Active!$I36*((1+Standards_Active!$N36)^(CY$81-Standards_Active!$D36))),TREND(Perform_Active!$E36:$F36,Perform_Active!$E$8:$F$8,CY$81))),)</f>
        <v>0</v>
      </c>
      <c r="CZ109" s="625">
        <f>IF(AND(Tech_Specs!$E35="step",Standards_Active!$E36="yes"),IF(CZ$81&lt;Standards_Active!$C36,TREND(Perform_Active!$E36:$F36,Perform_Active!$E$8:$F$8,CZ$81),IF(ISNUMBER(Standards_Active!$I36),IF(AND(CZ$81&gt;=Standards_Active!$C36,CZ$81&lt;Standards_Active!$D36),(Standards_Active!$I36-INDEX($CJ109:$DI109,1,MATCH((Standards_Active!$C36-1),$CJ$81:$DI$81,FALSE)))/(Standards_Active!$D36-(Standards_Active!$C36-1))+CY109,Standards_Active!$I36*((1+Standards_Active!$N36)^(CZ$81-Standards_Active!$D36))),TREND(Perform_Active!$E36:$F36,Perform_Active!$E$8:$F$8,CZ$81))),)</f>
        <v>0</v>
      </c>
      <c r="DA109" s="625">
        <f>IF(AND(Tech_Specs!$E35="step",Standards_Active!$E36="yes"),IF(DA$81&lt;Standards_Active!$C36,TREND(Perform_Active!$E36:$F36,Perform_Active!$E$8:$F$8,DA$81),IF(ISNUMBER(Standards_Active!$I36),IF(AND(DA$81&gt;=Standards_Active!$C36,DA$81&lt;Standards_Active!$D36),(Standards_Active!$I36-INDEX($CJ109:$DI109,1,MATCH((Standards_Active!$C36-1),$CJ$81:$DI$81,FALSE)))/(Standards_Active!$D36-(Standards_Active!$C36-1))+CZ109,Standards_Active!$I36*((1+Standards_Active!$N36)^(DA$81-Standards_Active!$D36))),TREND(Perform_Active!$E36:$F36,Perform_Active!$E$8:$F$8,DA$81))),)</f>
        <v>0</v>
      </c>
      <c r="DB109" s="625">
        <f>IF(AND(Tech_Specs!$E35="step",Standards_Active!$E36="yes"),IF(DB$81&lt;Standards_Active!$C36,TREND(Perform_Active!$E36:$F36,Perform_Active!$E$8:$F$8,DB$81),IF(ISNUMBER(Standards_Active!$I36),IF(AND(DB$81&gt;=Standards_Active!$C36,DB$81&lt;Standards_Active!$D36),(Standards_Active!$I36-INDEX($CJ109:$DI109,1,MATCH((Standards_Active!$C36-1),$CJ$81:$DI$81,FALSE)))/(Standards_Active!$D36-(Standards_Active!$C36-1))+DA109,Standards_Active!$I36*((1+Standards_Active!$N36)^(DB$81-Standards_Active!$D36))),TREND(Perform_Active!$E36:$F36,Perform_Active!$E$8:$F$8,DB$81))),)</f>
        <v>0</v>
      </c>
      <c r="DC109" s="625">
        <f>IF(AND(Tech_Specs!$E35="step",Standards_Active!$E36="yes"),IF(DC$81&lt;Standards_Active!$C36,TREND(Perform_Active!$E36:$F36,Perform_Active!$E$8:$F$8,DC$81),IF(ISNUMBER(Standards_Active!$I36),IF(AND(DC$81&gt;=Standards_Active!$C36,DC$81&lt;Standards_Active!$D36),(Standards_Active!$I36-INDEX($CJ109:$DI109,1,MATCH((Standards_Active!$C36-1),$CJ$81:$DI$81,FALSE)))/(Standards_Active!$D36-(Standards_Active!$C36-1))+DB109,Standards_Active!$I36*((1+Standards_Active!$N36)^(DC$81-Standards_Active!$D36))),TREND(Perform_Active!$E36:$F36,Perform_Active!$E$8:$F$8,DC$81))),)</f>
        <v>0</v>
      </c>
      <c r="DD109" s="625">
        <f>IF(AND(Tech_Specs!$E35="step",Standards_Active!$E36="yes"),IF(DD$81&lt;Standards_Active!$C36,TREND(Perform_Active!$E36:$F36,Perform_Active!$E$8:$F$8,DD$81),IF(ISNUMBER(Standards_Active!$I36),IF(AND(DD$81&gt;=Standards_Active!$C36,DD$81&lt;Standards_Active!$D36),(Standards_Active!$I36-INDEX($CJ109:$DI109,1,MATCH((Standards_Active!$C36-1),$CJ$81:$DI$81,FALSE)))/(Standards_Active!$D36-(Standards_Active!$C36-1))+DC109,Standards_Active!$I36*((1+Standards_Active!$N36)^(DD$81-Standards_Active!$D36))),TREND(Perform_Active!$E36:$F36,Perform_Active!$E$8:$F$8,DD$81))),)</f>
        <v>0</v>
      </c>
      <c r="DE109" s="625">
        <f>IF(AND(Tech_Specs!$E35="step",Standards_Active!$E36="yes"),IF(DE$81&lt;Standards_Active!$C36,TREND(Perform_Active!$E36:$F36,Perform_Active!$E$8:$F$8,DE$81),IF(ISNUMBER(Standards_Active!$I36),IF(AND(DE$81&gt;=Standards_Active!$C36,DE$81&lt;Standards_Active!$D36),(Standards_Active!$I36-INDEX($CJ109:$DI109,1,MATCH((Standards_Active!$C36-1),$CJ$81:$DI$81,FALSE)))/(Standards_Active!$D36-(Standards_Active!$C36-1))+DD109,Standards_Active!$I36*((1+Standards_Active!$N36)^(DE$81-Standards_Active!$D36))),TREND(Perform_Active!$E36:$F36,Perform_Active!$E$8:$F$8,DE$81))),)</f>
        <v>0</v>
      </c>
      <c r="DF109" s="625">
        <f>IF(AND(Tech_Specs!$E35="step",Standards_Active!$E36="yes"),IF(DF$81&lt;Standards_Active!$C36,TREND(Perform_Active!$E36:$F36,Perform_Active!$E$8:$F$8,DF$81),IF(ISNUMBER(Standards_Active!$I36),IF(AND(DF$81&gt;=Standards_Active!$C36,DF$81&lt;Standards_Active!$D36),(Standards_Active!$I36-INDEX($CJ109:$DI109,1,MATCH((Standards_Active!$C36-1),$CJ$81:$DI$81,FALSE)))/(Standards_Active!$D36-(Standards_Active!$C36-1))+DE109,Standards_Active!$I36*((1+Standards_Active!$N36)^(DF$81-Standards_Active!$D36))),TREND(Perform_Active!$E36:$F36,Perform_Active!$E$8:$F$8,DF$81))),)</f>
        <v>0</v>
      </c>
      <c r="DG109" s="625">
        <f>IF(AND(Tech_Specs!$E35="step",Standards_Active!$E36="yes"),IF(DG$81&lt;Standards_Active!$C36,TREND(Perform_Active!$E36:$F36,Perform_Active!$E$8:$F$8,DG$81),IF(ISNUMBER(Standards_Active!$I36),IF(AND(DG$81&gt;=Standards_Active!$C36,DG$81&lt;Standards_Active!$D36),(Standards_Active!$I36-INDEX($CJ109:$DI109,1,MATCH((Standards_Active!$C36-1),$CJ$81:$DI$81,FALSE)))/(Standards_Active!$D36-(Standards_Active!$C36-1))+DF109,Standards_Active!$I36*((1+Standards_Active!$N36)^(DG$81-Standards_Active!$D36))),TREND(Perform_Active!$E36:$F36,Perform_Active!$E$8:$F$8,DG$81))),)</f>
        <v>0</v>
      </c>
      <c r="DH109" s="625">
        <f>IF(AND(Tech_Specs!$E35="step",Standards_Active!$E36="yes"),IF(DH$81&lt;Standards_Active!$C36,TREND(Perform_Active!$E36:$F36,Perform_Active!$E$8:$F$8,DH$81),IF(ISNUMBER(Standards_Active!$I36),IF(AND(DH$81&gt;=Standards_Active!$C36,DH$81&lt;Standards_Active!$D36),(Standards_Active!$I36-INDEX($CJ109:$DI109,1,MATCH((Standards_Active!$C36-1),$CJ$81:$DI$81,FALSE)))/(Standards_Active!$D36-(Standards_Active!$C36-1))+DG109,Standards_Active!$I36*((1+Standards_Active!$N36)^(DH$81-Standards_Active!$D36))),TREND(Perform_Active!$E36:$F36,Perform_Active!$E$8:$F$8,DH$81))),)</f>
        <v>0</v>
      </c>
      <c r="DI109" s="625">
        <f>IF(AND(Tech_Specs!$E35="step",Standards_Active!$E36="yes"),IF(DI$81&lt;Standards_Active!$C36,TREND(Perform_Active!$E36:$F36,Perform_Active!$E$8:$F$8,DI$81),IF(ISNUMBER(Standards_Active!$I36),IF(AND(DI$81&gt;=Standards_Active!$C36,DI$81&lt;Standards_Active!$D36),(Standards_Active!$I36-INDEX($CJ109:$DI109,1,MATCH((Standards_Active!$C36-1),$CJ$81:$DI$81,FALSE)))/(Standards_Active!$D36-(Standards_Active!$C36-1))+DH109,Standards_Active!$I36*((1+Standards_Active!$N36)^(DI$81-Standards_Active!$D36))),TREND(Perform_Active!$E36:$F36,Perform_Active!$E$8:$F$8,DI$81))),)</f>
        <v>0</v>
      </c>
    </row>
    <row r="110" spans="1:113" s="376" customFormat="1" ht="12.6" x14ac:dyDescent="0.25">
      <c r="B110" s="376" t="s">
        <v>51</v>
      </c>
      <c r="C110" s="379"/>
      <c r="D110" s="379"/>
      <c r="E110" s="379"/>
      <c r="F110" s="379"/>
      <c r="G110" s="390">
        <f t="shared" si="33"/>
        <v>52.5</v>
      </c>
      <c r="H110" s="390">
        <f t="shared" si="33"/>
        <v>52.631250000000023</v>
      </c>
      <c r="I110" s="390">
        <f t="shared" si="33"/>
        <v>52.762499999999989</v>
      </c>
      <c r="J110" s="390">
        <f t="shared" si="33"/>
        <v>52.893750000000011</v>
      </c>
      <c r="K110" s="390">
        <f t="shared" si="33"/>
        <v>53.025000000000034</v>
      </c>
      <c r="L110" s="390">
        <f t="shared" si="33"/>
        <v>53.15625</v>
      </c>
      <c r="M110" s="390">
        <f t="shared" si="33"/>
        <v>53.287500000000023</v>
      </c>
      <c r="N110" s="390">
        <f t="shared" si="33"/>
        <v>53.418749999999989</v>
      </c>
      <c r="O110" s="390">
        <f t="shared" si="33"/>
        <v>53.550000000000011</v>
      </c>
      <c r="P110" s="390">
        <f t="shared" si="33"/>
        <v>53.681250000000034</v>
      </c>
      <c r="Q110" s="390">
        <f t="shared" si="34"/>
        <v>53.8125</v>
      </c>
      <c r="R110" s="390">
        <f t="shared" si="34"/>
        <v>53.943750000000023</v>
      </c>
      <c r="S110" s="390">
        <f t="shared" si="34"/>
        <v>54.074999999999989</v>
      </c>
      <c r="T110" s="390">
        <f t="shared" si="34"/>
        <v>54.206250000000011</v>
      </c>
      <c r="U110" s="390">
        <f t="shared" si="34"/>
        <v>54.337500000000034</v>
      </c>
      <c r="V110" s="390">
        <f t="shared" si="34"/>
        <v>54.46875</v>
      </c>
      <c r="W110" s="390">
        <f t="shared" si="34"/>
        <v>54.600000000000023</v>
      </c>
      <c r="X110" s="390">
        <f t="shared" si="34"/>
        <v>54.731249999999989</v>
      </c>
      <c r="Y110" s="390">
        <f t="shared" si="34"/>
        <v>54.862500000000011</v>
      </c>
      <c r="Z110" s="390">
        <f t="shared" si="34"/>
        <v>54.993750000000034</v>
      </c>
      <c r="AA110" s="390">
        <f t="shared" si="35"/>
        <v>55.125</v>
      </c>
      <c r="AB110" s="390">
        <f t="shared" si="35"/>
        <v>55.256250000000023</v>
      </c>
      <c r="AC110" s="390">
        <f t="shared" si="35"/>
        <v>55.387499999999989</v>
      </c>
      <c r="AD110" s="390">
        <f t="shared" si="35"/>
        <v>55.518750000000011</v>
      </c>
      <c r="AE110" s="390">
        <f t="shared" si="35"/>
        <v>55.650000000000034</v>
      </c>
      <c r="AF110" s="390">
        <f t="shared" si="35"/>
        <v>55.78125</v>
      </c>
      <c r="AH110" s="405">
        <f>IF(Tech_Specs!$E36="linear",TREND(Perform_Active!$E37:$F37,Perform_Active!$E$8:$F$8,AH$81),)</f>
        <v>52.5</v>
      </c>
      <c r="AI110" s="405">
        <f>IF(Tech_Specs!$E36="linear",TREND(Perform_Active!$E37:$F37,Perform_Active!$E$8:$F$8,AI$81),)</f>
        <v>52.631250000000023</v>
      </c>
      <c r="AJ110" s="405">
        <f>IF(Tech_Specs!$E36="linear",TREND(Perform_Active!$E37:$F37,Perform_Active!$E$8:$F$8,AJ$81),)</f>
        <v>52.762499999999989</v>
      </c>
      <c r="AK110" s="405">
        <f>IF(Tech_Specs!$E36="linear",TREND(Perform_Active!$E37:$F37,Perform_Active!$E$8:$F$8,AK$81),)</f>
        <v>52.893750000000011</v>
      </c>
      <c r="AL110" s="405">
        <f>IF(Tech_Specs!$E36="linear",TREND(Perform_Active!$E37:$F37,Perform_Active!$E$8:$F$8,AL$81),)</f>
        <v>53.025000000000034</v>
      </c>
      <c r="AM110" s="405">
        <f>IF(Tech_Specs!$E36="linear",TREND(Perform_Active!$E37:$F37,Perform_Active!$E$8:$F$8,AM$81),)</f>
        <v>53.15625</v>
      </c>
      <c r="AN110" s="405">
        <f>IF(Tech_Specs!$E36="linear",TREND(Perform_Active!$E37:$F37,Perform_Active!$E$8:$F$8,AN$81),)</f>
        <v>53.287500000000023</v>
      </c>
      <c r="AO110" s="405">
        <f>IF(Tech_Specs!$E36="linear",TREND(Perform_Active!$E37:$F37,Perform_Active!$E$8:$F$8,AO$81),)</f>
        <v>53.418749999999989</v>
      </c>
      <c r="AP110" s="405">
        <f>IF(Tech_Specs!$E36="linear",TREND(Perform_Active!$E37:$F37,Perform_Active!$E$8:$F$8,AP$81),)</f>
        <v>53.550000000000011</v>
      </c>
      <c r="AQ110" s="405">
        <f>IF(Tech_Specs!$E36="linear",TREND(Perform_Active!$E37:$F37,Perform_Active!$E$8:$F$8,AQ$81),)</f>
        <v>53.681250000000034</v>
      </c>
      <c r="AR110" s="405">
        <f>IF(Tech_Specs!$E36="linear",TREND(Perform_Active!$E37:$F37,Perform_Active!$E$8:$F$8,AR$81),)</f>
        <v>53.8125</v>
      </c>
      <c r="AS110" s="405">
        <f>IF(Tech_Specs!$E36="linear",TREND(Perform_Active!$E37:$F37,Perform_Active!$E$8:$F$8,AS$81),)</f>
        <v>53.943750000000023</v>
      </c>
      <c r="AT110" s="405">
        <f>IF(Tech_Specs!$E36="linear",TREND(Perform_Active!$E37:$F37,Perform_Active!$E$8:$F$8,AT$81),)</f>
        <v>54.074999999999989</v>
      </c>
      <c r="AU110" s="405">
        <f>IF(Tech_Specs!$E36="linear",TREND(Perform_Active!$E37:$F37,Perform_Active!$E$8:$F$8,AU$81),)</f>
        <v>54.206250000000011</v>
      </c>
      <c r="AV110" s="405">
        <f>IF(Tech_Specs!$E36="linear",TREND(Perform_Active!$E37:$F37,Perform_Active!$E$8:$F$8,AV$81),)</f>
        <v>54.337500000000034</v>
      </c>
      <c r="AW110" s="405">
        <f>IF(Tech_Specs!$E36="linear",TREND(Perform_Active!$E37:$F37,Perform_Active!$E$8:$F$8,AW$81),)</f>
        <v>54.46875</v>
      </c>
      <c r="AX110" s="405">
        <f>IF(Tech_Specs!$E36="linear",TREND(Perform_Active!$E37:$F37,Perform_Active!$E$8:$F$8,AX$81),)</f>
        <v>54.600000000000023</v>
      </c>
      <c r="AY110" s="405">
        <f>IF(Tech_Specs!$E36="linear",TREND(Perform_Active!$E37:$F37,Perform_Active!$E$8:$F$8,AY$81),)</f>
        <v>54.731249999999989</v>
      </c>
      <c r="AZ110" s="405">
        <f>IF(Tech_Specs!$E36="linear",TREND(Perform_Active!$E37:$F37,Perform_Active!$E$8:$F$8,AZ$81),)</f>
        <v>54.862500000000011</v>
      </c>
      <c r="BA110" s="405">
        <f>IF(Tech_Specs!$E36="linear",TREND(Perform_Active!$E37:$F37,Perform_Active!$E$8:$F$8,BA$81),)</f>
        <v>54.993750000000034</v>
      </c>
      <c r="BB110" s="405">
        <f>IF(Tech_Specs!$E36="linear",TREND(Perform_Active!$E37:$F37,Perform_Active!$E$8:$F$8,BB$81),)</f>
        <v>55.125</v>
      </c>
      <c r="BC110" s="405">
        <f>IF(Tech_Specs!$E36="linear",TREND(Perform_Active!$E37:$F37,Perform_Active!$E$8:$F$8,BC$81),)</f>
        <v>55.256250000000023</v>
      </c>
      <c r="BD110" s="405">
        <f>IF(Tech_Specs!$E36="linear",TREND(Perform_Active!$E37:$F37,Perform_Active!$E$8:$F$8,BD$81),)</f>
        <v>55.387499999999989</v>
      </c>
      <c r="BE110" s="405">
        <f>IF(Tech_Specs!$E36="linear",TREND(Perform_Active!$E37:$F37,Perform_Active!$E$8:$F$8,BE$81),)</f>
        <v>55.518750000000011</v>
      </c>
      <c r="BF110" s="405">
        <f>IF(Tech_Specs!$E36="linear",TREND(Perform_Active!$E37:$F37,Perform_Active!$E$8:$F$8,BF$81),)</f>
        <v>55.650000000000034</v>
      </c>
      <c r="BG110" s="405">
        <f>IF(Tech_Specs!$E36="linear",TREND(Perform_Active!$E37:$F37,Perform_Active!$E$8:$F$8,BG$81),)</f>
        <v>55.78125</v>
      </c>
      <c r="BI110" s="405">
        <f>IF(Tech_Specs!$E36="logistic",IF($B36="LED",IF(Tech_Specs!$K36="lamp",Perform_SSL!G$10,Perform_SSL!G$11)),)</f>
        <v>0</v>
      </c>
      <c r="BJ110" s="405">
        <f>IF(Tech_Specs!$E36="logistic",IF($B36="LED",IF(Tech_Specs!$K36="lamp",Perform_SSL!H$10,Perform_SSL!H$11)),)</f>
        <v>0</v>
      </c>
      <c r="BK110" s="405">
        <f>IF(Tech_Specs!$E36="logistic",IF($B36="LED",IF(Tech_Specs!$K36="lamp",Perform_SSL!I$10,Perform_SSL!I$11)),)</f>
        <v>0</v>
      </c>
      <c r="BL110" s="405">
        <f>IF(Tech_Specs!$E36="logistic",IF($B36="LED",IF(Tech_Specs!$K36="lamp",Perform_SSL!J$10,Perform_SSL!J$11)),)</f>
        <v>0</v>
      </c>
      <c r="BM110" s="405">
        <f>IF(Tech_Specs!$E36="logistic",IF($B36="LED",IF(Tech_Specs!$K36="lamp",Perform_SSL!K$10,Perform_SSL!K$11)),)</f>
        <v>0</v>
      </c>
      <c r="BN110" s="405">
        <f>IF(Tech_Specs!$E36="logistic",IF($B36="LED",IF(Tech_Specs!$K36="lamp",Perform_SSL!L$10,Perform_SSL!L$11)),)</f>
        <v>0</v>
      </c>
      <c r="BO110" s="405">
        <f>IF(Tech_Specs!$E36="logistic",IF($B36="LED",IF(Tech_Specs!$K36="lamp",Perform_SSL!M$10,Perform_SSL!M$11)),)</f>
        <v>0</v>
      </c>
      <c r="BP110" s="405">
        <f>IF(Tech_Specs!$E36="logistic",IF($B36="LED",IF(Tech_Specs!$K36="lamp",Perform_SSL!N$10,Perform_SSL!N$11)),)</f>
        <v>0</v>
      </c>
      <c r="BQ110" s="405">
        <f>IF(Tech_Specs!$E36="logistic",IF($B36="LED",IF(Tech_Specs!$K36="lamp",Perform_SSL!O$10,Perform_SSL!O$11)),)</f>
        <v>0</v>
      </c>
      <c r="BR110" s="405">
        <f>IF(Tech_Specs!$E36="logistic",IF($B36="LED",IF(Tech_Specs!$K36="lamp",Perform_SSL!P$10,Perform_SSL!P$11)),)</f>
        <v>0</v>
      </c>
      <c r="BS110" s="405">
        <f>IF(Tech_Specs!$E36="logistic",IF($B36="LED",IF(Tech_Specs!$K36="lamp",Perform_SSL!Q$10,Perform_SSL!Q$11)),)</f>
        <v>0</v>
      </c>
      <c r="BT110" s="405">
        <f>IF(Tech_Specs!$E36="logistic",IF($B36="LED",IF(Tech_Specs!$K36="lamp",Perform_SSL!R$10,Perform_SSL!R$11)),)</f>
        <v>0</v>
      </c>
      <c r="BU110" s="405">
        <f>IF(Tech_Specs!$E36="logistic",IF($B36="LED",IF(Tech_Specs!$K36="lamp",Perform_SSL!S$10,Perform_SSL!S$11)),)</f>
        <v>0</v>
      </c>
      <c r="BV110" s="405">
        <f>IF(Tech_Specs!$E36="logistic",IF($B36="LED",IF(Tech_Specs!$K36="lamp",Perform_SSL!T$10,Perform_SSL!T$11)),)</f>
        <v>0</v>
      </c>
      <c r="BW110" s="405">
        <f>IF(Tech_Specs!$E36="logistic",IF($B36="LED",IF(Tech_Specs!$K36="lamp",Perform_SSL!U$10,Perform_SSL!U$11)),)</f>
        <v>0</v>
      </c>
      <c r="BX110" s="405">
        <f>IF(Tech_Specs!$E36="logistic",IF($B36="LED",IF(Tech_Specs!$K36="lamp",Perform_SSL!V$10,Perform_SSL!V$11)),)</f>
        <v>0</v>
      </c>
      <c r="BY110" s="405">
        <f>IF(Tech_Specs!$E36="logistic",IF($B36="LED",IF(Tech_Specs!$K36="lamp",Perform_SSL!W$10,Perform_SSL!W$11)),)</f>
        <v>0</v>
      </c>
      <c r="BZ110" s="405">
        <f>IF(Tech_Specs!$E36="logistic",IF($B36="LED",IF(Tech_Specs!$K36="lamp",Perform_SSL!X$10,Perform_SSL!X$11)),)</f>
        <v>0</v>
      </c>
      <c r="CA110" s="405">
        <f>IF(Tech_Specs!$E36="logistic",IF($B36="LED",IF(Tech_Specs!$K36="lamp",Perform_SSL!Y$10,Perform_SSL!Y$11)),)</f>
        <v>0</v>
      </c>
      <c r="CB110" s="405">
        <f>IF(Tech_Specs!$E36="logistic",IF($B36="LED",IF(Tech_Specs!$K36="lamp",Perform_SSL!Z$10,Perform_SSL!Z$11)),)</f>
        <v>0</v>
      </c>
      <c r="CC110" s="405">
        <f>IF(Tech_Specs!$E36="logistic",IF($B36="LED",IF(Tech_Specs!$K36="lamp",Perform_SSL!AA$10,Perform_SSL!AA$11)),)</f>
        <v>0</v>
      </c>
      <c r="CD110" s="405">
        <f>IF(Tech_Specs!$E36="logistic",IF($B36="LED",IF(Tech_Specs!$K36="lamp",Perform_SSL!AB$10,Perform_SSL!AB$11)),)</f>
        <v>0</v>
      </c>
      <c r="CE110" s="405">
        <f>IF(Tech_Specs!$E36="logistic",IF($B36="LED",IF(Tech_Specs!$K36="lamp",Perform_SSL!AC$10,Perform_SSL!AC$11)),)</f>
        <v>0</v>
      </c>
      <c r="CF110" s="405">
        <f>IF(Tech_Specs!$E36="logistic",IF($B36="LED",IF(Tech_Specs!$K36="lamp",Perform_SSL!AD$10,Perform_SSL!AD$11)),)</f>
        <v>0</v>
      </c>
      <c r="CG110" s="405">
        <f>IF(Tech_Specs!$E36="logistic",IF($B36="LED",IF(Tech_Specs!$K36="lamp",Perform_SSL!AE$10,Perform_SSL!AE$11)),)</f>
        <v>0</v>
      </c>
      <c r="CH110" s="405">
        <f>IF(Tech_Specs!$E36="logistic",IF($B36="LED",IF(Tech_Specs!$K36="lamp",Perform_SSL!AF$10,Perform_SSL!AF$11)),)</f>
        <v>0</v>
      </c>
      <c r="CJ110" s="625">
        <f>IF(AND(Tech_Specs!$E36="step",Standards_Active!$E37="yes"),IF(CJ$81&lt;Standards_Active!$C37,TREND(Perform_Active!$E37:$F37,Perform_Active!$E$8:$F$8,CJ$81),IF(ISNUMBER(Standards_Active!$I37),IF(AND(CJ$81&gt;=Standards_Active!$C37,CJ$81&lt;Standards_Active!$D37),(Standards_Active!$I37-INDEX($CJ110:$DI110,1,MATCH((Standards_Active!$C37-1),$CJ$81:$DI$81,FALSE)))/(Standards_Active!$D37-(Standards_Active!$C37-1))+CI110,Standards_Active!$I37*((1+Standards_Active!$N37)^(CJ$81-Standards_Active!$D37))),TREND(Perform_Active!$E37:$F37,Perform_Active!$E$8:$F$8,CJ$81))),)</f>
        <v>0</v>
      </c>
      <c r="CK110" s="625">
        <f>IF(AND(Tech_Specs!$E36="step",Standards_Active!$E37="yes"),IF(CK$81&lt;Standards_Active!$C37,TREND(Perform_Active!$E37:$F37,Perform_Active!$E$8:$F$8,CK$81),IF(ISNUMBER(Standards_Active!$I37),IF(AND(CK$81&gt;=Standards_Active!$C37,CK$81&lt;Standards_Active!$D37),(Standards_Active!$I37-INDEX($CJ110:$DI110,1,MATCH((Standards_Active!$C37-1),$CJ$81:$DI$81,FALSE)))/(Standards_Active!$D37-(Standards_Active!$C37-1))+CJ110,Standards_Active!$I37*((1+Standards_Active!$N37)^(CK$81-Standards_Active!$D37))),TREND(Perform_Active!$E37:$F37,Perform_Active!$E$8:$F$8,CK$81))),)</f>
        <v>0</v>
      </c>
      <c r="CL110" s="625">
        <f>IF(AND(Tech_Specs!$E36="step",Standards_Active!$E37="yes"),IF(CL$81&lt;Standards_Active!$C37,TREND(Perform_Active!$E37:$F37,Perform_Active!$E$8:$F$8,CL$81),IF(ISNUMBER(Standards_Active!$I37),IF(AND(CL$81&gt;=Standards_Active!$C37,CL$81&lt;Standards_Active!$D37),(Standards_Active!$I37-INDEX($CJ110:$DI110,1,MATCH((Standards_Active!$C37-1),$CJ$81:$DI$81,FALSE)))/(Standards_Active!$D37-(Standards_Active!$C37-1))+CK110,Standards_Active!$I37*((1+Standards_Active!$N37)^(CL$81-Standards_Active!$D37))),TREND(Perform_Active!$E37:$F37,Perform_Active!$E$8:$F$8,CL$81))),)</f>
        <v>0</v>
      </c>
      <c r="CM110" s="625">
        <f>IF(AND(Tech_Specs!$E36="step",Standards_Active!$E37="yes"),IF(CM$81&lt;Standards_Active!$C37,TREND(Perform_Active!$E37:$F37,Perform_Active!$E$8:$F$8,CM$81),IF(ISNUMBER(Standards_Active!$I37),IF(AND(CM$81&gt;=Standards_Active!$C37,CM$81&lt;Standards_Active!$D37),(Standards_Active!$I37-INDEX($CJ110:$DI110,1,MATCH((Standards_Active!$C37-1),$CJ$81:$DI$81,FALSE)))/(Standards_Active!$D37-(Standards_Active!$C37-1))+CL110,Standards_Active!$I37*((1+Standards_Active!$N37)^(CM$81-Standards_Active!$D37))),TREND(Perform_Active!$E37:$F37,Perform_Active!$E$8:$F$8,CM$81))),)</f>
        <v>0</v>
      </c>
      <c r="CN110" s="625">
        <f>IF(AND(Tech_Specs!$E36="step",Standards_Active!$E37="yes"),IF(CN$81&lt;Standards_Active!$C37,TREND(Perform_Active!$E37:$F37,Perform_Active!$E$8:$F$8,CN$81),IF(ISNUMBER(Standards_Active!$I37),IF(AND(CN$81&gt;=Standards_Active!$C37,CN$81&lt;Standards_Active!$D37),(Standards_Active!$I37-INDEX($CJ110:$DI110,1,MATCH((Standards_Active!$C37-1),$CJ$81:$DI$81,FALSE)))/(Standards_Active!$D37-(Standards_Active!$C37-1))+CM110,Standards_Active!$I37*((1+Standards_Active!$N37)^(CN$81-Standards_Active!$D37))),TREND(Perform_Active!$E37:$F37,Perform_Active!$E$8:$F$8,CN$81))),)</f>
        <v>0</v>
      </c>
      <c r="CO110" s="625">
        <f>IF(AND(Tech_Specs!$E36="step",Standards_Active!$E37="yes"),IF(CO$81&lt;Standards_Active!$C37,TREND(Perform_Active!$E37:$F37,Perform_Active!$E$8:$F$8,CO$81),IF(ISNUMBER(Standards_Active!$I37),IF(AND(CO$81&gt;=Standards_Active!$C37,CO$81&lt;Standards_Active!$D37),(Standards_Active!$I37-INDEX($CJ110:$DI110,1,MATCH((Standards_Active!$C37-1),$CJ$81:$DI$81,FALSE)))/(Standards_Active!$D37-(Standards_Active!$C37-1))+CN110,Standards_Active!$I37*((1+Standards_Active!$N37)^(CO$81-Standards_Active!$D37))),TREND(Perform_Active!$E37:$F37,Perform_Active!$E$8:$F$8,CO$81))),)</f>
        <v>0</v>
      </c>
      <c r="CP110" s="625">
        <f>IF(AND(Tech_Specs!$E36="step",Standards_Active!$E37="yes"),IF(CP$81&lt;Standards_Active!$C37,TREND(Perform_Active!$E37:$F37,Perform_Active!$E$8:$F$8,CP$81),IF(ISNUMBER(Standards_Active!$I37),IF(AND(CP$81&gt;=Standards_Active!$C37,CP$81&lt;Standards_Active!$D37),(Standards_Active!$I37-INDEX($CJ110:$DI110,1,MATCH((Standards_Active!$C37-1),$CJ$81:$DI$81,FALSE)))/(Standards_Active!$D37-(Standards_Active!$C37-1))+CO110,Standards_Active!$I37*((1+Standards_Active!$N37)^(CP$81-Standards_Active!$D37))),TREND(Perform_Active!$E37:$F37,Perform_Active!$E$8:$F$8,CP$81))),)</f>
        <v>0</v>
      </c>
      <c r="CQ110" s="625">
        <f>IF(AND(Tech_Specs!$E36="step",Standards_Active!$E37="yes"),IF(CQ$81&lt;Standards_Active!$C37,TREND(Perform_Active!$E37:$F37,Perform_Active!$E$8:$F$8,CQ$81),IF(ISNUMBER(Standards_Active!$I37),IF(AND(CQ$81&gt;=Standards_Active!$C37,CQ$81&lt;Standards_Active!$D37),(Standards_Active!$I37-INDEX($CJ110:$DI110,1,MATCH((Standards_Active!$C37-1),$CJ$81:$DI$81,FALSE)))/(Standards_Active!$D37-(Standards_Active!$C37-1))+CP110,Standards_Active!$I37*((1+Standards_Active!$N37)^(CQ$81-Standards_Active!$D37))),TREND(Perform_Active!$E37:$F37,Perform_Active!$E$8:$F$8,CQ$81))),)</f>
        <v>0</v>
      </c>
      <c r="CR110" s="625">
        <f>IF(AND(Tech_Specs!$E36="step",Standards_Active!$E37="yes"),IF(CR$81&lt;Standards_Active!$C37,TREND(Perform_Active!$E37:$F37,Perform_Active!$E$8:$F$8,CR$81),IF(ISNUMBER(Standards_Active!$I37),IF(AND(CR$81&gt;=Standards_Active!$C37,CR$81&lt;Standards_Active!$D37),(Standards_Active!$I37-INDEX($CJ110:$DI110,1,MATCH((Standards_Active!$C37-1),$CJ$81:$DI$81,FALSE)))/(Standards_Active!$D37-(Standards_Active!$C37-1))+CQ110,Standards_Active!$I37*((1+Standards_Active!$N37)^(CR$81-Standards_Active!$D37))),TREND(Perform_Active!$E37:$F37,Perform_Active!$E$8:$F$8,CR$81))),)</f>
        <v>0</v>
      </c>
      <c r="CS110" s="625">
        <f>IF(AND(Tech_Specs!$E36="step",Standards_Active!$E37="yes"),IF(CS$81&lt;Standards_Active!$C37,TREND(Perform_Active!$E37:$F37,Perform_Active!$E$8:$F$8,CS$81),IF(ISNUMBER(Standards_Active!$I37),IF(AND(CS$81&gt;=Standards_Active!$C37,CS$81&lt;Standards_Active!$D37),(Standards_Active!$I37-INDEX($CJ110:$DI110,1,MATCH((Standards_Active!$C37-1),$CJ$81:$DI$81,FALSE)))/(Standards_Active!$D37-(Standards_Active!$C37-1))+CR110,Standards_Active!$I37*((1+Standards_Active!$N37)^(CS$81-Standards_Active!$D37))),TREND(Perform_Active!$E37:$F37,Perform_Active!$E$8:$F$8,CS$81))),)</f>
        <v>0</v>
      </c>
      <c r="CT110" s="625">
        <f>IF(AND(Tech_Specs!$E36="step",Standards_Active!$E37="yes"),IF(CT$81&lt;Standards_Active!$C37,TREND(Perform_Active!$E37:$F37,Perform_Active!$E$8:$F$8,CT$81),IF(ISNUMBER(Standards_Active!$I37),IF(AND(CT$81&gt;=Standards_Active!$C37,CT$81&lt;Standards_Active!$D37),(Standards_Active!$I37-INDEX($CJ110:$DI110,1,MATCH((Standards_Active!$C37-1),$CJ$81:$DI$81,FALSE)))/(Standards_Active!$D37-(Standards_Active!$C37-1))+CS110,Standards_Active!$I37*((1+Standards_Active!$N37)^(CT$81-Standards_Active!$D37))),TREND(Perform_Active!$E37:$F37,Perform_Active!$E$8:$F$8,CT$81))),)</f>
        <v>0</v>
      </c>
      <c r="CU110" s="625">
        <f>IF(AND(Tech_Specs!$E36="step",Standards_Active!$E37="yes"),IF(CU$81&lt;Standards_Active!$C37,TREND(Perform_Active!$E37:$F37,Perform_Active!$E$8:$F$8,CU$81),IF(ISNUMBER(Standards_Active!$I37),IF(AND(CU$81&gt;=Standards_Active!$C37,CU$81&lt;Standards_Active!$D37),(Standards_Active!$I37-INDEX($CJ110:$DI110,1,MATCH((Standards_Active!$C37-1),$CJ$81:$DI$81,FALSE)))/(Standards_Active!$D37-(Standards_Active!$C37-1))+CT110,Standards_Active!$I37*((1+Standards_Active!$N37)^(CU$81-Standards_Active!$D37))),TREND(Perform_Active!$E37:$F37,Perform_Active!$E$8:$F$8,CU$81))),)</f>
        <v>0</v>
      </c>
      <c r="CV110" s="625">
        <f>IF(AND(Tech_Specs!$E36="step",Standards_Active!$E37="yes"),IF(CV$81&lt;Standards_Active!$C37,TREND(Perform_Active!$E37:$F37,Perform_Active!$E$8:$F$8,CV$81),IF(ISNUMBER(Standards_Active!$I37),IF(AND(CV$81&gt;=Standards_Active!$C37,CV$81&lt;Standards_Active!$D37),(Standards_Active!$I37-INDEX($CJ110:$DI110,1,MATCH((Standards_Active!$C37-1),$CJ$81:$DI$81,FALSE)))/(Standards_Active!$D37-(Standards_Active!$C37-1))+CU110,Standards_Active!$I37*((1+Standards_Active!$N37)^(CV$81-Standards_Active!$D37))),TREND(Perform_Active!$E37:$F37,Perform_Active!$E$8:$F$8,CV$81))),)</f>
        <v>0</v>
      </c>
      <c r="CW110" s="625">
        <f>IF(AND(Tech_Specs!$E36="step",Standards_Active!$E37="yes"),IF(CW$81&lt;Standards_Active!$C37,TREND(Perform_Active!$E37:$F37,Perform_Active!$E$8:$F$8,CW$81),IF(ISNUMBER(Standards_Active!$I37),IF(AND(CW$81&gt;=Standards_Active!$C37,CW$81&lt;Standards_Active!$D37),(Standards_Active!$I37-INDEX($CJ110:$DI110,1,MATCH((Standards_Active!$C37-1),$CJ$81:$DI$81,FALSE)))/(Standards_Active!$D37-(Standards_Active!$C37-1))+CV110,Standards_Active!$I37*((1+Standards_Active!$N37)^(CW$81-Standards_Active!$D37))),TREND(Perform_Active!$E37:$F37,Perform_Active!$E$8:$F$8,CW$81))),)</f>
        <v>0</v>
      </c>
      <c r="CX110" s="625">
        <f>IF(AND(Tech_Specs!$E36="step",Standards_Active!$E37="yes"),IF(CX$81&lt;Standards_Active!$C37,TREND(Perform_Active!$E37:$F37,Perform_Active!$E$8:$F$8,CX$81),IF(ISNUMBER(Standards_Active!$I37),IF(AND(CX$81&gt;=Standards_Active!$C37,CX$81&lt;Standards_Active!$D37),(Standards_Active!$I37-INDEX($CJ110:$DI110,1,MATCH((Standards_Active!$C37-1),$CJ$81:$DI$81,FALSE)))/(Standards_Active!$D37-(Standards_Active!$C37-1))+CW110,Standards_Active!$I37*((1+Standards_Active!$N37)^(CX$81-Standards_Active!$D37))),TREND(Perform_Active!$E37:$F37,Perform_Active!$E$8:$F$8,CX$81))),)</f>
        <v>0</v>
      </c>
      <c r="CY110" s="625">
        <f>IF(AND(Tech_Specs!$E36="step",Standards_Active!$E37="yes"),IF(CY$81&lt;Standards_Active!$C37,TREND(Perform_Active!$E37:$F37,Perform_Active!$E$8:$F$8,CY$81),IF(ISNUMBER(Standards_Active!$I37),IF(AND(CY$81&gt;=Standards_Active!$C37,CY$81&lt;Standards_Active!$D37),(Standards_Active!$I37-INDEX($CJ110:$DI110,1,MATCH((Standards_Active!$C37-1),$CJ$81:$DI$81,FALSE)))/(Standards_Active!$D37-(Standards_Active!$C37-1))+CX110,Standards_Active!$I37*((1+Standards_Active!$N37)^(CY$81-Standards_Active!$D37))),TREND(Perform_Active!$E37:$F37,Perform_Active!$E$8:$F$8,CY$81))),)</f>
        <v>0</v>
      </c>
      <c r="CZ110" s="625">
        <f>IF(AND(Tech_Specs!$E36="step",Standards_Active!$E37="yes"),IF(CZ$81&lt;Standards_Active!$C37,TREND(Perform_Active!$E37:$F37,Perform_Active!$E$8:$F$8,CZ$81),IF(ISNUMBER(Standards_Active!$I37),IF(AND(CZ$81&gt;=Standards_Active!$C37,CZ$81&lt;Standards_Active!$D37),(Standards_Active!$I37-INDEX($CJ110:$DI110,1,MATCH((Standards_Active!$C37-1),$CJ$81:$DI$81,FALSE)))/(Standards_Active!$D37-(Standards_Active!$C37-1))+CY110,Standards_Active!$I37*((1+Standards_Active!$N37)^(CZ$81-Standards_Active!$D37))),TREND(Perform_Active!$E37:$F37,Perform_Active!$E$8:$F$8,CZ$81))),)</f>
        <v>0</v>
      </c>
      <c r="DA110" s="625">
        <f>IF(AND(Tech_Specs!$E36="step",Standards_Active!$E37="yes"),IF(DA$81&lt;Standards_Active!$C37,TREND(Perform_Active!$E37:$F37,Perform_Active!$E$8:$F$8,DA$81),IF(ISNUMBER(Standards_Active!$I37),IF(AND(DA$81&gt;=Standards_Active!$C37,DA$81&lt;Standards_Active!$D37),(Standards_Active!$I37-INDEX($CJ110:$DI110,1,MATCH((Standards_Active!$C37-1),$CJ$81:$DI$81,FALSE)))/(Standards_Active!$D37-(Standards_Active!$C37-1))+CZ110,Standards_Active!$I37*((1+Standards_Active!$N37)^(DA$81-Standards_Active!$D37))),TREND(Perform_Active!$E37:$F37,Perform_Active!$E$8:$F$8,DA$81))),)</f>
        <v>0</v>
      </c>
      <c r="DB110" s="625">
        <f>IF(AND(Tech_Specs!$E36="step",Standards_Active!$E37="yes"),IF(DB$81&lt;Standards_Active!$C37,TREND(Perform_Active!$E37:$F37,Perform_Active!$E$8:$F$8,DB$81),IF(ISNUMBER(Standards_Active!$I37),IF(AND(DB$81&gt;=Standards_Active!$C37,DB$81&lt;Standards_Active!$D37),(Standards_Active!$I37-INDEX($CJ110:$DI110,1,MATCH((Standards_Active!$C37-1),$CJ$81:$DI$81,FALSE)))/(Standards_Active!$D37-(Standards_Active!$C37-1))+DA110,Standards_Active!$I37*((1+Standards_Active!$N37)^(DB$81-Standards_Active!$D37))),TREND(Perform_Active!$E37:$F37,Perform_Active!$E$8:$F$8,DB$81))),)</f>
        <v>0</v>
      </c>
      <c r="DC110" s="625">
        <f>IF(AND(Tech_Specs!$E36="step",Standards_Active!$E37="yes"),IF(DC$81&lt;Standards_Active!$C37,TREND(Perform_Active!$E37:$F37,Perform_Active!$E$8:$F$8,DC$81),IF(ISNUMBER(Standards_Active!$I37),IF(AND(DC$81&gt;=Standards_Active!$C37,DC$81&lt;Standards_Active!$D37),(Standards_Active!$I37-INDEX($CJ110:$DI110,1,MATCH((Standards_Active!$C37-1),$CJ$81:$DI$81,FALSE)))/(Standards_Active!$D37-(Standards_Active!$C37-1))+DB110,Standards_Active!$I37*((1+Standards_Active!$N37)^(DC$81-Standards_Active!$D37))),TREND(Perform_Active!$E37:$F37,Perform_Active!$E$8:$F$8,DC$81))),)</f>
        <v>0</v>
      </c>
      <c r="DD110" s="625">
        <f>IF(AND(Tech_Specs!$E36="step",Standards_Active!$E37="yes"),IF(DD$81&lt;Standards_Active!$C37,TREND(Perform_Active!$E37:$F37,Perform_Active!$E$8:$F$8,DD$81),IF(ISNUMBER(Standards_Active!$I37),IF(AND(DD$81&gt;=Standards_Active!$C37,DD$81&lt;Standards_Active!$D37),(Standards_Active!$I37-INDEX($CJ110:$DI110,1,MATCH((Standards_Active!$C37-1),$CJ$81:$DI$81,FALSE)))/(Standards_Active!$D37-(Standards_Active!$C37-1))+DC110,Standards_Active!$I37*((1+Standards_Active!$N37)^(DD$81-Standards_Active!$D37))),TREND(Perform_Active!$E37:$F37,Perform_Active!$E$8:$F$8,DD$81))),)</f>
        <v>0</v>
      </c>
      <c r="DE110" s="625">
        <f>IF(AND(Tech_Specs!$E36="step",Standards_Active!$E37="yes"),IF(DE$81&lt;Standards_Active!$C37,TREND(Perform_Active!$E37:$F37,Perform_Active!$E$8:$F$8,DE$81),IF(ISNUMBER(Standards_Active!$I37),IF(AND(DE$81&gt;=Standards_Active!$C37,DE$81&lt;Standards_Active!$D37),(Standards_Active!$I37-INDEX($CJ110:$DI110,1,MATCH((Standards_Active!$C37-1),$CJ$81:$DI$81,FALSE)))/(Standards_Active!$D37-(Standards_Active!$C37-1))+DD110,Standards_Active!$I37*((1+Standards_Active!$N37)^(DE$81-Standards_Active!$D37))),TREND(Perform_Active!$E37:$F37,Perform_Active!$E$8:$F$8,DE$81))),)</f>
        <v>0</v>
      </c>
      <c r="DF110" s="625">
        <f>IF(AND(Tech_Specs!$E36="step",Standards_Active!$E37="yes"),IF(DF$81&lt;Standards_Active!$C37,TREND(Perform_Active!$E37:$F37,Perform_Active!$E$8:$F$8,DF$81),IF(ISNUMBER(Standards_Active!$I37),IF(AND(DF$81&gt;=Standards_Active!$C37,DF$81&lt;Standards_Active!$D37),(Standards_Active!$I37-INDEX($CJ110:$DI110,1,MATCH((Standards_Active!$C37-1),$CJ$81:$DI$81,FALSE)))/(Standards_Active!$D37-(Standards_Active!$C37-1))+DE110,Standards_Active!$I37*((1+Standards_Active!$N37)^(DF$81-Standards_Active!$D37))),TREND(Perform_Active!$E37:$F37,Perform_Active!$E$8:$F$8,DF$81))),)</f>
        <v>0</v>
      </c>
      <c r="DG110" s="625">
        <f>IF(AND(Tech_Specs!$E36="step",Standards_Active!$E37="yes"),IF(DG$81&lt;Standards_Active!$C37,TREND(Perform_Active!$E37:$F37,Perform_Active!$E$8:$F$8,DG$81),IF(ISNUMBER(Standards_Active!$I37),IF(AND(DG$81&gt;=Standards_Active!$C37,DG$81&lt;Standards_Active!$D37),(Standards_Active!$I37-INDEX($CJ110:$DI110,1,MATCH((Standards_Active!$C37-1),$CJ$81:$DI$81,FALSE)))/(Standards_Active!$D37-(Standards_Active!$C37-1))+DF110,Standards_Active!$I37*((1+Standards_Active!$N37)^(DG$81-Standards_Active!$D37))),TREND(Perform_Active!$E37:$F37,Perform_Active!$E$8:$F$8,DG$81))),)</f>
        <v>0</v>
      </c>
      <c r="DH110" s="625">
        <f>IF(AND(Tech_Specs!$E36="step",Standards_Active!$E37="yes"),IF(DH$81&lt;Standards_Active!$C37,TREND(Perform_Active!$E37:$F37,Perform_Active!$E$8:$F$8,DH$81),IF(ISNUMBER(Standards_Active!$I37),IF(AND(DH$81&gt;=Standards_Active!$C37,DH$81&lt;Standards_Active!$D37),(Standards_Active!$I37-INDEX($CJ110:$DI110,1,MATCH((Standards_Active!$C37-1),$CJ$81:$DI$81,FALSE)))/(Standards_Active!$D37-(Standards_Active!$C37-1))+DG110,Standards_Active!$I37*((1+Standards_Active!$N37)^(DH$81-Standards_Active!$D37))),TREND(Perform_Active!$E37:$F37,Perform_Active!$E$8:$F$8,DH$81))),)</f>
        <v>0</v>
      </c>
      <c r="DI110" s="625">
        <f>IF(AND(Tech_Specs!$E36="step",Standards_Active!$E37="yes"),IF(DI$81&lt;Standards_Active!$C37,TREND(Perform_Active!$E37:$F37,Perform_Active!$E$8:$F$8,DI$81),IF(ISNUMBER(Standards_Active!$I37),IF(AND(DI$81&gt;=Standards_Active!$C37,DI$81&lt;Standards_Active!$D37),(Standards_Active!$I37-INDEX($CJ110:$DI110,1,MATCH((Standards_Active!$C37-1),$CJ$81:$DI$81,FALSE)))/(Standards_Active!$D37-(Standards_Active!$C37-1))+DH110,Standards_Active!$I37*((1+Standards_Active!$N37)^(DI$81-Standards_Active!$D37))),TREND(Perform_Active!$E37:$F37,Perform_Active!$E$8:$F$8,DI$81))),)</f>
        <v>0</v>
      </c>
    </row>
    <row r="111" spans="1:113" s="376" customFormat="1" ht="12.6" x14ac:dyDescent="0.25">
      <c r="B111" s="376" t="s">
        <v>52</v>
      </c>
      <c r="C111" s="379"/>
      <c r="D111" s="379"/>
      <c r="E111" s="379"/>
      <c r="F111" s="379"/>
      <c r="G111" s="390">
        <f t="shared" si="33"/>
        <v>71.90366972477068</v>
      </c>
      <c r="H111" s="390">
        <f t="shared" si="33"/>
        <v>72.083428899082605</v>
      </c>
      <c r="I111" s="390">
        <f t="shared" si="33"/>
        <v>72.263188073394531</v>
      </c>
      <c r="J111" s="390">
        <f t="shared" si="33"/>
        <v>72.442947247706456</v>
      </c>
      <c r="K111" s="390">
        <f t="shared" si="33"/>
        <v>72.622706422018382</v>
      </c>
      <c r="L111" s="390">
        <f t="shared" si="33"/>
        <v>72.802465596330308</v>
      </c>
      <c r="M111" s="390">
        <f t="shared" si="33"/>
        <v>72.982224770642233</v>
      </c>
      <c r="N111" s="390">
        <f t="shared" si="33"/>
        <v>73.161983944954159</v>
      </c>
      <c r="O111" s="390">
        <f t="shared" si="33"/>
        <v>73.341743119266084</v>
      </c>
      <c r="P111" s="390">
        <f t="shared" si="33"/>
        <v>73.52150229357801</v>
      </c>
      <c r="Q111" s="390">
        <f t="shared" si="34"/>
        <v>73.701261467889935</v>
      </c>
      <c r="R111" s="390">
        <f t="shared" si="34"/>
        <v>73.881020642201861</v>
      </c>
      <c r="S111" s="390">
        <f t="shared" si="34"/>
        <v>74.060779816513786</v>
      </c>
      <c r="T111" s="390">
        <f t="shared" si="34"/>
        <v>74.240538990825712</v>
      </c>
      <c r="U111" s="390">
        <f t="shared" si="34"/>
        <v>74.420298165137694</v>
      </c>
      <c r="V111" s="390">
        <f t="shared" si="34"/>
        <v>74.60005733944962</v>
      </c>
      <c r="W111" s="390">
        <f t="shared" si="34"/>
        <v>74.779816513761546</v>
      </c>
      <c r="X111" s="390">
        <f t="shared" si="34"/>
        <v>74.959575688073471</v>
      </c>
      <c r="Y111" s="390">
        <f t="shared" si="34"/>
        <v>75.139334862385397</v>
      </c>
      <c r="Z111" s="390">
        <f t="shared" si="34"/>
        <v>75.319094036697322</v>
      </c>
      <c r="AA111" s="390">
        <f t="shared" si="35"/>
        <v>75.498853211009248</v>
      </c>
      <c r="AB111" s="390">
        <f t="shared" si="35"/>
        <v>75.678612385321173</v>
      </c>
      <c r="AC111" s="390">
        <f t="shared" si="35"/>
        <v>75.858371559633099</v>
      </c>
      <c r="AD111" s="390">
        <f t="shared" si="35"/>
        <v>76.038130733945025</v>
      </c>
      <c r="AE111" s="390">
        <f t="shared" si="35"/>
        <v>76.21788990825695</v>
      </c>
      <c r="AF111" s="390">
        <f t="shared" si="35"/>
        <v>76.397649082568876</v>
      </c>
      <c r="AH111" s="405">
        <f>IF(Tech_Specs!$E37="linear",TREND(Perform_Active!$E38:$F38,Perform_Active!$E$8:$F$8,AH$81),)</f>
        <v>71.90366972477068</v>
      </c>
      <c r="AI111" s="405">
        <f>IF(Tech_Specs!$E37="linear",TREND(Perform_Active!$E38:$F38,Perform_Active!$E$8:$F$8,AI$81),)</f>
        <v>72.083428899082605</v>
      </c>
      <c r="AJ111" s="405">
        <f>IF(Tech_Specs!$E37="linear",TREND(Perform_Active!$E38:$F38,Perform_Active!$E$8:$F$8,AJ$81),)</f>
        <v>72.263188073394531</v>
      </c>
      <c r="AK111" s="405">
        <f>IF(Tech_Specs!$E37="linear",TREND(Perform_Active!$E38:$F38,Perform_Active!$E$8:$F$8,AK$81),)</f>
        <v>72.442947247706456</v>
      </c>
      <c r="AL111" s="405">
        <f>IF(Tech_Specs!$E37="linear",TREND(Perform_Active!$E38:$F38,Perform_Active!$E$8:$F$8,AL$81),)</f>
        <v>72.622706422018382</v>
      </c>
      <c r="AM111" s="405">
        <f>IF(Tech_Specs!$E37="linear",TREND(Perform_Active!$E38:$F38,Perform_Active!$E$8:$F$8,AM$81),)</f>
        <v>72.802465596330308</v>
      </c>
      <c r="AN111" s="405">
        <f>IF(Tech_Specs!$E37="linear",TREND(Perform_Active!$E38:$F38,Perform_Active!$E$8:$F$8,AN$81),)</f>
        <v>72.982224770642233</v>
      </c>
      <c r="AO111" s="405">
        <f>IF(Tech_Specs!$E37="linear",TREND(Perform_Active!$E38:$F38,Perform_Active!$E$8:$F$8,AO$81),)</f>
        <v>73.161983944954159</v>
      </c>
      <c r="AP111" s="405">
        <f>IF(Tech_Specs!$E37="linear",TREND(Perform_Active!$E38:$F38,Perform_Active!$E$8:$F$8,AP$81),)</f>
        <v>73.341743119266084</v>
      </c>
      <c r="AQ111" s="405">
        <f>IF(Tech_Specs!$E37="linear",TREND(Perform_Active!$E38:$F38,Perform_Active!$E$8:$F$8,AQ$81),)</f>
        <v>73.52150229357801</v>
      </c>
      <c r="AR111" s="405">
        <f>IF(Tech_Specs!$E37="linear",TREND(Perform_Active!$E38:$F38,Perform_Active!$E$8:$F$8,AR$81),)</f>
        <v>73.701261467889935</v>
      </c>
      <c r="AS111" s="405">
        <f>IF(Tech_Specs!$E37="linear",TREND(Perform_Active!$E38:$F38,Perform_Active!$E$8:$F$8,AS$81),)</f>
        <v>73.881020642201861</v>
      </c>
      <c r="AT111" s="405">
        <f>IF(Tech_Specs!$E37="linear",TREND(Perform_Active!$E38:$F38,Perform_Active!$E$8:$F$8,AT$81),)</f>
        <v>74.060779816513786</v>
      </c>
      <c r="AU111" s="405">
        <f>IF(Tech_Specs!$E37="linear",TREND(Perform_Active!$E38:$F38,Perform_Active!$E$8:$F$8,AU$81),)</f>
        <v>74.240538990825712</v>
      </c>
      <c r="AV111" s="405">
        <f>IF(Tech_Specs!$E37="linear",TREND(Perform_Active!$E38:$F38,Perform_Active!$E$8:$F$8,AV$81),)</f>
        <v>74.420298165137694</v>
      </c>
      <c r="AW111" s="405">
        <f>IF(Tech_Specs!$E37="linear",TREND(Perform_Active!$E38:$F38,Perform_Active!$E$8:$F$8,AW$81),)</f>
        <v>74.60005733944962</v>
      </c>
      <c r="AX111" s="405">
        <f>IF(Tech_Specs!$E37="linear",TREND(Perform_Active!$E38:$F38,Perform_Active!$E$8:$F$8,AX$81),)</f>
        <v>74.779816513761546</v>
      </c>
      <c r="AY111" s="405">
        <f>IF(Tech_Specs!$E37="linear",TREND(Perform_Active!$E38:$F38,Perform_Active!$E$8:$F$8,AY$81),)</f>
        <v>74.959575688073471</v>
      </c>
      <c r="AZ111" s="405">
        <f>IF(Tech_Specs!$E37="linear",TREND(Perform_Active!$E38:$F38,Perform_Active!$E$8:$F$8,AZ$81),)</f>
        <v>75.139334862385397</v>
      </c>
      <c r="BA111" s="405">
        <f>IF(Tech_Specs!$E37="linear",TREND(Perform_Active!$E38:$F38,Perform_Active!$E$8:$F$8,BA$81),)</f>
        <v>75.319094036697322</v>
      </c>
      <c r="BB111" s="405">
        <f>IF(Tech_Specs!$E37="linear",TREND(Perform_Active!$E38:$F38,Perform_Active!$E$8:$F$8,BB$81),)</f>
        <v>75.498853211009248</v>
      </c>
      <c r="BC111" s="405">
        <f>IF(Tech_Specs!$E37="linear",TREND(Perform_Active!$E38:$F38,Perform_Active!$E$8:$F$8,BC$81),)</f>
        <v>75.678612385321173</v>
      </c>
      <c r="BD111" s="405">
        <f>IF(Tech_Specs!$E37="linear",TREND(Perform_Active!$E38:$F38,Perform_Active!$E$8:$F$8,BD$81),)</f>
        <v>75.858371559633099</v>
      </c>
      <c r="BE111" s="405">
        <f>IF(Tech_Specs!$E37="linear",TREND(Perform_Active!$E38:$F38,Perform_Active!$E$8:$F$8,BE$81),)</f>
        <v>76.038130733945025</v>
      </c>
      <c r="BF111" s="405">
        <f>IF(Tech_Specs!$E37="linear",TREND(Perform_Active!$E38:$F38,Perform_Active!$E$8:$F$8,BF$81),)</f>
        <v>76.21788990825695</v>
      </c>
      <c r="BG111" s="405">
        <f>IF(Tech_Specs!$E37="linear",TREND(Perform_Active!$E38:$F38,Perform_Active!$E$8:$F$8,BG$81),)</f>
        <v>76.397649082568876</v>
      </c>
      <c r="BI111" s="405">
        <f>IF(Tech_Specs!$E37="logistic",IF($B37="LED",IF(Tech_Specs!$K37="lamp",Perform_SSL!G$10,Perform_SSL!G$11)),)</f>
        <v>0</v>
      </c>
      <c r="BJ111" s="405">
        <f>IF(Tech_Specs!$E37="logistic",IF($B37="LED",IF(Tech_Specs!$K37="lamp",Perform_SSL!H$10,Perform_SSL!H$11)),)</f>
        <v>0</v>
      </c>
      <c r="BK111" s="405">
        <f>IF(Tech_Specs!$E37="logistic",IF($B37="LED",IF(Tech_Specs!$K37="lamp",Perform_SSL!I$10,Perform_SSL!I$11)),)</f>
        <v>0</v>
      </c>
      <c r="BL111" s="405">
        <f>IF(Tech_Specs!$E37="logistic",IF($B37="LED",IF(Tech_Specs!$K37="lamp",Perform_SSL!J$10,Perform_SSL!J$11)),)</f>
        <v>0</v>
      </c>
      <c r="BM111" s="405">
        <f>IF(Tech_Specs!$E37="logistic",IF($B37="LED",IF(Tech_Specs!$K37="lamp",Perform_SSL!K$10,Perform_SSL!K$11)),)</f>
        <v>0</v>
      </c>
      <c r="BN111" s="405">
        <f>IF(Tech_Specs!$E37="logistic",IF($B37="LED",IF(Tech_Specs!$K37="lamp",Perform_SSL!L$10,Perform_SSL!L$11)),)</f>
        <v>0</v>
      </c>
      <c r="BO111" s="405">
        <f>IF(Tech_Specs!$E37="logistic",IF($B37="LED",IF(Tech_Specs!$K37="lamp",Perform_SSL!M$10,Perform_SSL!M$11)),)</f>
        <v>0</v>
      </c>
      <c r="BP111" s="405">
        <f>IF(Tech_Specs!$E37="logistic",IF($B37="LED",IF(Tech_Specs!$K37="lamp",Perform_SSL!N$10,Perform_SSL!N$11)),)</f>
        <v>0</v>
      </c>
      <c r="BQ111" s="405">
        <f>IF(Tech_Specs!$E37="logistic",IF($B37="LED",IF(Tech_Specs!$K37="lamp",Perform_SSL!O$10,Perform_SSL!O$11)),)</f>
        <v>0</v>
      </c>
      <c r="BR111" s="405">
        <f>IF(Tech_Specs!$E37="logistic",IF($B37="LED",IF(Tech_Specs!$K37="lamp",Perform_SSL!P$10,Perform_SSL!P$11)),)</f>
        <v>0</v>
      </c>
      <c r="BS111" s="405">
        <f>IF(Tech_Specs!$E37="logistic",IF($B37="LED",IF(Tech_Specs!$K37="lamp",Perform_SSL!Q$10,Perform_SSL!Q$11)),)</f>
        <v>0</v>
      </c>
      <c r="BT111" s="405">
        <f>IF(Tech_Specs!$E37="logistic",IF($B37="LED",IF(Tech_Specs!$K37="lamp",Perform_SSL!R$10,Perform_SSL!R$11)),)</f>
        <v>0</v>
      </c>
      <c r="BU111" s="405">
        <f>IF(Tech_Specs!$E37="logistic",IF($B37="LED",IF(Tech_Specs!$K37="lamp",Perform_SSL!S$10,Perform_SSL!S$11)),)</f>
        <v>0</v>
      </c>
      <c r="BV111" s="405">
        <f>IF(Tech_Specs!$E37="logistic",IF($B37="LED",IF(Tech_Specs!$K37="lamp",Perform_SSL!T$10,Perform_SSL!T$11)),)</f>
        <v>0</v>
      </c>
      <c r="BW111" s="405">
        <f>IF(Tech_Specs!$E37="logistic",IF($B37="LED",IF(Tech_Specs!$K37="lamp",Perform_SSL!U$10,Perform_SSL!U$11)),)</f>
        <v>0</v>
      </c>
      <c r="BX111" s="405">
        <f>IF(Tech_Specs!$E37="logistic",IF($B37="LED",IF(Tech_Specs!$K37="lamp",Perform_SSL!V$10,Perform_SSL!V$11)),)</f>
        <v>0</v>
      </c>
      <c r="BY111" s="405">
        <f>IF(Tech_Specs!$E37="logistic",IF($B37="LED",IF(Tech_Specs!$K37="lamp",Perform_SSL!W$10,Perform_SSL!W$11)),)</f>
        <v>0</v>
      </c>
      <c r="BZ111" s="405">
        <f>IF(Tech_Specs!$E37="logistic",IF($B37="LED",IF(Tech_Specs!$K37="lamp",Perform_SSL!X$10,Perform_SSL!X$11)),)</f>
        <v>0</v>
      </c>
      <c r="CA111" s="405">
        <f>IF(Tech_Specs!$E37="logistic",IF($B37="LED",IF(Tech_Specs!$K37="lamp",Perform_SSL!Y$10,Perform_SSL!Y$11)),)</f>
        <v>0</v>
      </c>
      <c r="CB111" s="405">
        <f>IF(Tech_Specs!$E37="logistic",IF($B37="LED",IF(Tech_Specs!$K37="lamp",Perform_SSL!Z$10,Perform_SSL!Z$11)),)</f>
        <v>0</v>
      </c>
      <c r="CC111" s="405">
        <f>IF(Tech_Specs!$E37="logistic",IF($B37="LED",IF(Tech_Specs!$K37="lamp",Perform_SSL!AA$10,Perform_SSL!AA$11)),)</f>
        <v>0</v>
      </c>
      <c r="CD111" s="405">
        <f>IF(Tech_Specs!$E37="logistic",IF($B37="LED",IF(Tech_Specs!$K37="lamp",Perform_SSL!AB$10,Perform_SSL!AB$11)),)</f>
        <v>0</v>
      </c>
      <c r="CE111" s="405">
        <f>IF(Tech_Specs!$E37="logistic",IF($B37="LED",IF(Tech_Specs!$K37="lamp",Perform_SSL!AC$10,Perform_SSL!AC$11)),)</f>
        <v>0</v>
      </c>
      <c r="CF111" s="405">
        <f>IF(Tech_Specs!$E37="logistic",IF($B37="LED",IF(Tech_Specs!$K37="lamp",Perform_SSL!AD$10,Perform_SSL!AD$11)),)</f>
        <v>0</v>
      </c>
      <c r="CG111" s="405">
        <f>IF(Tech_Specs!$E37="logistic",IF($B37="LED",IF(Tech_Specs!$K37="lamp",Perform_SSL!AE$10,Perform_SSL!AE$11)),)</f>
        <v>0</v>
      </c>
      <c r="CH111" s="405">
        <f>IF(Tech_Specs!$E37="logistic",IF($B37="LED",IF(Tech_Specs!$K37="lamp",Perform_SSL!AF$10,Perform_SSL!AF$11)),)</f>
        <v>0</v>
      </c>
      <c r="CJ111" s="625">
        <f>IF(AND(Tech_Specs!$E37="step",Standards_Active!$E38="yes"),IF(CJ$81&lt;Standards_Active!$C38,TREND(Perform_Active!$E38:$F38,Perform_Active!$E$8:$F$8,CJ$81),IF(ISNUMBER(Standards_Active!$I38),IF(AND(CJ$81&gt;=Standards_Active!$C38,CJ$81&lt;Standards_Active!$D38),(Standards_Active!$I38-INDEX($CJ111:$DI111,1,MATCH((Standards_Active!$C38-1),$CJ$81:$DI$81,FALSE)))/(Standards_Active!$D38-(Standards_Active!$C38-1))+CI111,Standards_Active!$I38*((1+Standards_Active!$N38)^(CJ$81-Standards_Active!$D38))),TREND(Perform_Active!$E38:$F38,Perform_Active!$E$8:$F$8,CJ$81))),)</f>
        <v>0</v>
      </c>
      <c r="CK111" s="625">
        <f>IF(AND(Tech_Specs!$E37="step",Standards_Active!$E38="yes"),IF(CK$81&lt;Standards_Active!$C38,TREND(Perform_Active!$E38:$F38,Perform_Active!$E$8:$F$8,CK$81),IF(ISNUMBER(Standards_Active!$I38),IF(AND(CK$81&gt;=Standards_Active!$C38,CK$81&lt;Standards_Active!$D38),(Standards_Active!$I38-INDEX($CJ111:$DI111,1,MATCH((Standards_Active!$C38-1),$CJ$81:$DI$81,FALSE)))/(Standards_Active!$D38-(Standards_Active!$C38-1))+CJ111,Standards_Active!$I38*((1+Standards_Active!$N38)^(CK$81-Standards_Active!$D38))),TREND(Perform_Active!$E38:$F38,Perform_Active!$E$8:$F$8,CK$81))),)</f>
        <v>0</v>
      </c>
      <c r="CL111" s="625">
        <f>IF(AND(Tech_Specs!$E37="step",Standards_Active!$E38="yes"),IF(CL$81&lt;Standards_Active!$C38,TREND(Perform_Active!$E38:$F38,Perform_Active!$E$8:$F$8,CL$81),IF(ISNUMBER(Standards_Active!$I38),IF(AND(CL$81&gt;=Standards_Active!$C38,CL$81&lt;Standards_Active!$D38),(Standards_Active!$I38-INDEX($CJ111:$DI111,1,MATCH((Standards_Active!$C38-1),$CJ$81:$DI$81,FALSE)))/(Standards_Active!$D38-(Standards_Active!$C38-1))+CK111,Standards_Active!$I38*((1+Standards_Active!$N38)^(CL$81-Standards_Active!$D38))),TREND(Perform_Active!$E38:$F38,Perform_Active!$E$8:$F$8,CL$81))),)</f>
        <v>0</v>
      </c>
      <c r="CM111" s="625">
        <f>IF(AND(Tech_Specs!$E37="step",Standards_Active!$E38="yes"),IF(CM$81&lt;Standards_Active!$C38,TREND(Perform_Active!$E38:$F38,Perform_Active!$E$8:$F$8,CM$81),IF(ISNUMBER(Standards_Active!$I38),IF(AND(CM$81&gt;=Standards_Active!$C38,CM$81&lt;Standards_Active!$D38),(Standards_Active!$I38-INDEX($CJ111:$DI111,1,MATCH((Standards_Active!$C38-1),$CJ$81:$DI$81,FALSE)))/(Standards_Active!$D38-(Standards_Active!$C38-1))+CL111,Standards_Active!$I38*((1+Standards_Active!$N38)^(CM$81-Standards_Active!$D38))),TREND(Perform_Active!$E38:$F38,Perform_Active!$E$8:$F$8,CM$81))),)</f>
        <v>0</v>
      </c>
      <c r="CN111" s="625">
        <f>IF(AND(Tech_Specs!$E37="step",Standards_Active!$E38="yes"),IF(CN$81&lt;Standards_Active!$C38,TREND(Perform_Active!$E38:$F38,Perform_Active!$E$8:$F$8,CN$81),IF(ISNUMBER(Standards_Active!$I38),IF(AND(CN$81&gt;=Standards_Active!$C38,CN$81&lt;Standards_Active!$D38),(Standards_Active!$I38-INDEX($CJ111:$DI111,1,MATCH((Standards_Active!$C38-1),$CJ$81:$DI$81,FALSE)))/(Standards_Active!$D38-(Standards_Active!$C38-1))+CM111,Standards_Active!$I38*((1+Standards_Active!$N38)^(CN$81-Standards_Active!$D38))),TREND(Perform_Active!$E38:$F38,Perform_Active!$E$8:$F$8,CN$81))),)</f>
        <v>0</v>
      </c>
      <c r="CO111" s="625">
        <f>IF(AND(Tech_Specs!$E37="step",Standards_Active!$E38="yes"),IF(CO$81&lt;Standards_Active!$C38,TREND(Perform_Active!$E38:$F38,Perform_Active!$E$8:$F$8,CO$81),IF(ISNUMBER(Standards_Active!$I38),IF(AND(CO$81&gt;=Standards_Active!$C38,CO$81&lt;Standards_Active!$D38),(Standards_Active!$I38-INDEX($CJ111:$DI111,1,MATCH((Standards_Active!$C38-1),$CJ$81:$DI$81,FALSE)))/(Standards_Active!$D38-(Standards_Active!$C38-1))+CN111,Standards_Active!$I38*((1+Standards_Active!$N38)^(CO$81-Standards_Active!$D38))),TREND(Perform_Active!$E38:$F38,Perform_Active!$E$8:$F$8,CO$81))),)</f>
        <v>0</v>
      </c>
      <c r="CP111" s="625">
        <f>IF(AND(Tech_Specs!$E37="step",Standards_Active!$E38="yes"),IF(CP$81&lt;Standards_Active!$C38,TREND(Perform_Active!$E38:$F38,Perform_Active!$E$8:$F$8,CP$81),IF(ISNUMBER(Standards_Active!$I38),IF(AND(CP$81&gt;=Standards_Active!$C38,CP$81&lt;Standards_Active!$D38),(Standards_Active!$I38-INDEX($CJ111:$DI111,1,MATCH((Standards_Active!$C38-1),$CJ$81:$DI$81,FALSE)))/(Standards_Active!$D38-(Standards_Active!$C38-1))+CO111,Standards_Active!$I38*((1+Standards_Active!$N38)^(CP$81-Standards_Active!$D38))),TREND(Perform_Active!$E38:$F38,Perform_Active!$E$8:$F$8,CP$81))),)</f>
        <v>0</v>
      </c>
      <c r="CQ111" s="625">
        <f>IF(AND(Tech_Specs!$E37="step",Standards_Active!$E38="yes"),IF(CQ$81&lt;Standards_Active!$C38,TREND(Perform_Active!$E38:$F38,Perform_Active!$E$8:$F$8,CQ$81),IF(ISNUMBER(Standards_Active!$I38),IF(AND(CQ$81&gt;=Standards_Active!$C38,CQ$81&lt;Standards_Active!$D38),(Standards_Active!$I38-INDEX($CJ111:$DI111,1,MATCH((Standards_Active!$C38-1),$CJ$81:$DI$81,FALSE)))/(Standards_Active!$D38-(Standards_Active!$C38-1))+CP111,Standards_Active!$I38*((1+Standards_Active!$N38)^(CQ$81-Standards_Active!$D38))),TREND(Perform_Active!$E38:$F38,Perform_Active!$E$8:$F$8,CQ$81))),)</f>
        <v>0</v>
      </c>
      <c r="CR111" s="625">
        <f>IF(AND(Tech_Specs!$E37="step",Standards_Active!$E38="yes"),IF(CR$81&lt;Standards_Active!$C38,TREND(Perform_Active!$E38:$F38,Perform_Active!$E$8:$F$8,CR$81),IF(ISNUMBER(Standards_Active!$I38),IF(AND(CR$81&gt;=Standards_Active!$C38,CR$81&lt;Standards_Active!$D38),(Standards_Active!$I38-INDEX($CJ111:$DI111,1,MATCH((Standards_Active!$C38-1),$CJ$81:$DI$81,FALSE)))/(Standards_Active!$D38-(Standards_Active!$C38-1))+CQ111,Standards_Active!$I38*((1+Standards_Active!$N38)^(CR$81-Standards_Active!$D38))),TREND(Perform_Active!$E38:$F38,Perform_Active!$E$8:$F$8,CR$81))),)</f>
        <v>0</v>
      </c>
      <c r="CS111" s="625">
        <f>IF(AND(Tech_Specs!$E37="step",Standards_Active!$E38="yes"),IF(CS$81&lt;Standards_Active!$C38,TREND(Perform_Active!$E38:$F38,Perform_Active!$E$8:$F$8,CS$81),IF(ISNUMBER(Standards_Active!$I38),IF(AND(CS$81&gt;=Standards_Active!$C38,CS$81&lt;Standards_Active!$D38),(Standards_Active!$I38-INDEX($CJ111:$DI111,1,MATCH((Standards_Active!$C38-1),$CJ$81:$DI$81,FALSE)))/(Standards_Active!$D38-(Standards_Active!$C38-1))+CR111,Standards_Active!$I38*((1+Standards_Active!$N38)^(CS$81-Standards_Active!$D38))),TREND(Perform_Active!$E38:$F38,Perform_Active!$E$8:$F$8,CS$81))),)</f>
        <v>0</v>
      </c>
      <c r="CT111" s="625">
        <f>IF(AND(Tech_Specs!$E37="step",Standards_Active!$E38="yes"),IF(CT$81&lt;Standards_Active!$C38,TREND(Perform_Active!$E38:$F38,Perform_Active!$E$8:$F$8,CT$81),IF(ISNUMBER(Standards_Active!$I38),IF(AND(CT$81&gt;=Standards_Active!$C38,CT$81&lt;Standards_Active!$D38),(Standards_Active!$I38-INDEX($CJ111:$DI111,1,MATCH((Standards_Active!$C38-1),$CJ$81:$DI$81,FALSE)))/(Standards_Active!$D38-(Standards_Active!$C38-1))+CS111,Standards_Active!$I38*((1+Standards_Active!$N38)^(CT$81-Standards_Active!$D38))),TREND(Perform_Active!$E38:$F38,Perform_Active!$E$8:$F$8,CT$81))),)</f>
        <v>0</v>
      </c>
      <c r="CU111" s="625">
        <f>IF(AND(Tech_Specs!$E37="step",Standards_Active!$E38="yes"),IF(CU$81&lt;Standards_Active!$C38,TREND(Perform_Active!$E38:$F38,Perform_Active!$E$8:$F$8,CU$81),IF(ISNUMBER(Standards_Active!$I38),IF(AND(CU$81&gt;=Standards_Active!$C38,CU$81&lt;Standards_Active!$D38),(Standards_Active!$I38-INDEX($CJ111:$DI111,1,MATCH((Standards_Active!$C38-1),$CJ$81:$DI$81,FALSE)))/(Standards_Active!$D38-(Standards_Active!$C38-1))+CT111,Standards_Active!$I38*((1+Standards_Active!$N38)^(CU$81-Standards_Active!$D38))),TREND(Perform_Active!$E38:$F38,Perform_Active!$E$8:$F$8,CU$81))),)</f>
        <v>0</v>
      </c>
      <c r="CV111" s="625">
        <f>IF(AND(Tech_Specs!$E37="step",Standards_Active!$E38="yes"),IF(CV$81&lt;Standards_Active!$C38,TREND(Perform_Active!$E38:$F38,Perform_Active!$E$8:$F$8,CV$81),IF(ISNUMBER(Standards_Active!$I38),IF(AND(CV$81&gt;=Standards_Active!$C38,CV$81&lt;Standards_Active!$D38),(Standards_Active!$I38-INDEX($CJ111:$DI111,1,MATCH((Standards_Active!$C38-1),$CJ$81:$DI$81,FALSE)))/(Standards_Active!$D38-(Standards_Active!$C38-1))+CU111,Standards_Active!$I38*((1+Standards_Active!$N38)^(CV$81-Standards_Active!$D38))),TREND(Perform_Active!$E38:$F38,Perform_Active!$E$8:$F$8,CV$81))),)</f>
        <v>0</v>
      </c>
      <c r="CW111" s="625">
        <f>IF(AND(Tech_Specs!$E37="step",Standards_Active!$E38="yes"),IF(CW$81&lt;Standards_Active!$C38,TREND(Perform_Active!$E38:$F38,Perform_Active!$E$8:$F$8,CW$81),IF(ISNUMBER(Standards_Active!$I38),IF(AND(CW$81&gt;=Standards_Active!$C38,CW$81&lt;Standards_Active!$D38),(Standards_Active!$I38-INDEX($CJ111:$DI111,1,MATCH((Standards_Active!$C38-1),$CJ$81:$DI$81,FALSE)))/(Standards_Active!$D38-(Standards_Active!$C38-1))+CV111,Standards_Active!$I38*((1+Standards_Active!$N38)^(CW$81-Standards_Active!$D38))),TREND(Perform_Active!$E38:$F38,Perform_Active!$E$8:$F$8,CW$81))),)</f>
        <v>0</v>
      </c>
      <c r="CX111" s="625">
        <f>IF(AND(Tech_Specs!$E37="step",Standards_Active!$E38="yes"),IF(CX$81&lt;Standards_Active!$C38,TREND(Perform_Active!$E38:$F38,Perform_Active!$E$8:$F$8,CX$81),IF(ISNUMBER(Standards_Active!$I38),IF(AND(CX$81&gt;=Standards_Active!$C38,CX$81&lt;Standards_Active!$D38),(Standards_Active!$I38-INDEX($CJ111:$DI111,1,MATCH((Standards_Active!$C38-1),$CJ$81:$DI$81,FALSE)))/(Standards_Active!$D38-(Standards_Active!$C38-1))+CW111,Standards_Active!$I38*((1+Standards_Active!$N38)^(CX$81-Standards_Active!$D38))),TREND(Perform_Active!$E38:$F38,Perform_Active!$E$8:$F$8,CX$81))),)</f>
        <v>0</v>
      </c>
      <c r="CY111" s="625">
        <f>IF(AND(Tech_Specs!$E37="step",Standards_Active!$E38="yes"),IF(CY$81&lt;Standards_Active!$C38,TREND(Perform_Active!$E38:$F38,Perform_Active!$E$8:$F$8,CY$81),IF(ISNUMBER(Standards_Active!$I38),IF(AND(CY$81&gt;=Standards_Active!$C38,CY$81&lt;Standards_Active!$D38),(Standards_Active!$I38-INDEX($CJ111:$DI111,1,MATCH((Standards_Active!$C38-1),$CJ$81:$DI$81,FALSE)))/(Standards_Active!$D38-(Standards_Active!$C38-1))+CX111,Standards_Active!$I38*((1+Standards_Active!$N38)^(CY$81-Standards_Active!$D38))),TREND(Perform_Active!$E38:$F38,Perform_Active!$E$8:$F$8,CY$81))),)</f>
        <v>0</v>
      </c>
      <c r="CZ111" s="625">
        <f>IF(AND(Tech_Specs!$E37="step",Standards_Active!$E38="yes"),IF(CZ$81&lt;Standards_Active!$C38,TREND(Perform_Active!$E38:$F38,Perform_Active!$E$8:$F$8,CZ$81),IF(ISNUMBER(Standards_Active!$I38),IF(AND(CZ$81&gt;=Standards_Active!$C38,CZ$81&lt;Standards_Active!$D38),(Standards_Active!$I38-INDEX($CJ111:$DI111,1,MATCH((Standards_Active!$C38-1),$CJ$81:$DI$81,FALSE)))/(Standards_Active!$D38-(Standards_Active!$C38-1))+CY111,Standards_Active!$I38*((1+Standards_Active!$N38)^(CZ$81-Standards_Active!$D38))),TREND(Perform_Active!$E38:$F38,Perform_Active!$E$8:$F$8,CZ$81))),)</f>
        <v>0</v>
      </c>
      <c r="DA111" s="625">
        <f>IF(AND(Tech_Specs!$E37="step",Standards_Active!$E38="yes"),IF(DA$81&lt;Standards_Active!$C38,TREND(Perform_Active!$E38:$F38,Perform_Active!$E$8:$F$8,DA$81),IF(ISNUMBER(Standards_Active!$I38),IF(AND(DA$81&gt;=Standards_Active!$C38,DA$81&lt;Standards_Active!$D38),(Standards_Active!$I38-INDEX($CJ111:$DI111,1,MATCH((Standards_Active!$C38-1),$CJ$81:$DI$81,FALSE)))/(Standards_Active!$D38-(Standards_Active!$C38-1))+CZ111,Standards_Active!$I38*((1+Standards_Active!$N38)^(DA$81-Standards_Active!$D38))),TREND(Perform_Active!$E38:$F38,Perform_Active!$E$8:$F$8,DA$81))),)</f>
        <v>0</v>
      </c>
      <c r="DB111" s="625">
        <f>IF(AND(Tech_Specs!$E37="step",Standards_Active!$E38="yes"),IF(DB$81&lt;Standards_Active!$C38,TREND(Perform_Active!$E38:$F38,Perform_Active!$E$8:$F$8,DB$81),IF(ISNUMBER(Standards_Active!$I38),IF(AND(DB$81&gt;=Standards_Active!$C38,DB$81&lt;Standards_Active!$D38),(Standards_Active!$I38-INDEX($CJ111:$DI111,1,MATCH((Standards_Active!$C38-1),$CJ$81:$DI$81,FALSE)))/(Standards_Active!$D38-(Standards_Active!$C38-1))+DA111,Standards_Active!$I38*((1+Standards_Active!$N38)^(DB$81-Standards_Active!$D38))),TREND(Perform_Active!$E38:$F38,Perform_Active!$E$8:$F$8,DB$81))),)</f>
        <v>0</v>
      </c>
      <c r="DC111" s="625">
        <f>IF(AND(Tech_Specs!$E37="step",Standards_Active!$E38="yes"),IF(DC$81&lt;Standards_Active!$C38,TREND(Perform_Active!$E38:$F38,Perform_Active!$E$8:$F$8,DC$81),IF(ISNUMBER(Standards_Active!$I38),IF(AND(DC$81&gt;=Standards_Active!$C38,DC$81&lt;Standards_Active!$D38),(Standards_Active!$I38-INDEX($CJ111:$DI111,1,MATCH((Standards_Active!$C38-1),$CJ$81:$DI$81,FALSE)))/(Standards_Active!$D38-(Standards_Active!$C38-1))+DB111,Standards_Active!$I38*((1+Standards_Active!$N38)^(DC$81-Standards_Active!$D38))),TREND(Perform_Active!$E38:$F38,Perform_Active!$E$8:$F$8,DC$81))),)</f>
        <v>0</v>
      </c>
      <c r="DD111" s="625">
        <f>IF(AND(Tech_Specs!$E37="step",Standards_Active!$E38="yes"),IF(DD$81&lt;Standards_Active!$C38,TREND(Perform_Active!$E38:$F38,Perform_Active!$E$8:$F$8,DD$81),IF(ISNUMBER(Standards_Active!$I38),IF(AND(DD$81&gt;=Standards_Active!$C38,DD$81&lt;Standards_Active!$D38),(Standards_Active!$I38-INDEX($CJ111:$DI111,1,MATCH((Standards_Active!$C38-1),$CJ$81:$DI$81,FALSE)))/(Standards_Active!$D38-(Standards_Active!$C38-1))+DC111,Standards_Active!$I38*((1+Standards_Active!$N38)^(DD$81-Standards_Active!$D38))),TREND(Perform_Active!$E38:$F38,Perform_Active!$E$8:$F$8,DD$81))),)</f>
        <v>0</v>
      </c>
      <c r="DE111" s="625">
        <f>IF(AND(Tech_Specs!$E37="step",Standards_Active!$E38="yes"),IF(DE$81&lt;Standards_Active!$C38,TREND(Perform_Active!$E38:$F38,Perform_Active!$E$8:$F$8,DE$81),IF(ISNUMBER(Standards_Active!$I38),IF(AND(DE$81&gt;=Standards_Active!$C38,DE$81&lt;Standards_Active!$D38),(Standards_Active!$I38-INDEX($CJ111:$DI111,1,MATCH((Standards_Active!$C38-1),$CJ$81:$DI$81,FALSE)))/(Standards_Active!$D38-(Standards_Active!$C38-1))+DD111,Standards_Active!$I38*((1+Standards_Active!$N38)^(DE$81-Standards_Active!$D38))),TREND(Perform_Active!$E38:$F38,Perform_Active!$E$8:$F$8,DE$81))),)</f>
        <v>0</v>
      </c>
      <c r="DF111" s="625">
        <f>IF(AND(Tech_Specs!$E37="step",Standards_Active!$E38="yes"),IF(DF$81&lt;Standards_Active!$C38,TREND(Perform_Active!$E38:$F38,Perform_Active!$E$8:$F$8,DF$81),IF(ISNUMBER(Standards_Active!$I38),IF(AND(DF$81&gt;=Standards_Active!$C38,DF$81&lt;Standards_Active!$D38),(Standards_Active!$I38-INDEX($CJ111:$DI111,1,MATCH((Standards_Active!$C38-1),$CJ$81:$DI$81,FALSE)))/(Standards_Active!$D38-(Standards_Active!$C38-1))+DE111,Standards_Active!$I38*((1+Standards_Active!$N38)^(DF$81-Standards_Active!$D38))),TREND(Perform_Active!$E38:$F38,Perform_Active!$E$8:$F$8,DF$81))),)</f>
        <v>0</v>
      </c>
      <c r="DG111" s="625">
        <f>IF(AND(Tech_Specs!$E37="step",Standards_Active!$E38="yes"),IF(DG$81&lt;Standards_Active!$C38,TREND(Perform_Active!$E38:$F38,Perform_Active!$E$8:$F$8,DG$81),IF(ISNUMBER(Standards_Active!$I38),IF(AND(DG$81&gt;=Standards_Active!$C38,DG$81&lt;Standards_Active!$D38),(Standards_Active!$I38-INDEX($CJ111:$DI111,1,MATCH((Standards_Active!$C38-1),$CJ$81:$DI$81,FALSE)))/(Standards_Active!$D38-(Standards_Active!$C38-1))+DF111,Standards_Active!$I38*((1+Standards_Active!$N38)^(DG$81-Standards_Active!$D38))),TREND(Perform_Active!$E38:$F38,Perform_Active!$E$8:$F$8,DG$81))),)</f>
        <v>0</v>
      </c>
      <c r="DH111" s="625">
        <f>IF(AND(Tech_Specs!$E37="step",Standards_Active!$E38="yes"),IF(DH$81&lt;Standards_Active!$C38,TREND(Perform_Active!$E38:$F38,Perform_Active!$E$8:$F$8,DH$81),IF(ISNUMBER(Standards_Active!$I38),IF(AND(DH$81&gt;=Standards_Active!$C38,DH$81&lt;Standards_Active!$D38),(Standards_Active!$I38-INDEX($CJ111:$DI111,1,MATCH((Standards_Active!$C38-1),$CJ$81:$DI$81,FALSE)))/(Standards_Active!$D38-(Standards_Active!$C38-1))+DG111,Standards_Active!$I38*((1+Standards_Active!$N38)^(DH$81-Standards_Active!$D38))),TREND(Perform_Active!$E38:$F38,Perform_Active!$E$8:$F$8,DH$81))),)</f>
        <v>0</v>
      </c>
      <c r="DI111" s="625">
        <f>IF(AND(Tech_Specs!$E37="step",Standards_Active!$E38="yes"),IF(DI$81&lt;Standards_Active!$C38,TREND(Perform_Active!$E38:$F38,Perform_Active!$E$8:$F$8,DI$81),IF(ISNUMBER(Standards_Active!$I38),IF(AND(DI$81&gt;=Standards_Active!$C38,DI$81&lt;Standards_Active!$D38),(Standards_Active!$I38-INDEX($CJ111:$DI111,1,MATCH((Standards_Active!$C38-1),$CJ$81:$DI$81,FALSE)))/(Standards_Active!$D38-(Standards_Active!$C38-1))+DH111,Standards_Active!$I38*((1+Standards_Active!$N38)^(DI$81-Standards_Active!$D38))),TREND(Perform_Active!$E38:$F38,Perform_Active!$E$8:$F$8,DI$81))),)</f>
        <v>0</v>
      </c>
    </row>
    <row r="112" spans="1:113" s="376" customFormat="1" ht="12.6" x14ac:dyDescent="0.25">
      <c r="B112" s="388" t="s">
        <v>29</v>
      </c>
      <c r="D112" s="550"/>
      <c r="E112" s="550"/>
      <c r="F112" s="550"/>
      <c r="G112" s="390">
        <f t="shared" si="33"/>
        <v>36.873768202819726</v>
      </c>
      <c r="H112" s="390">
        <f t="shared" si="33"/>
        <v>48.266272480467556</v>
      </c>
      <c r="I112" s="390">
        <f t="shared" si="33"/>
        <v>61.701198700113544</v>
      </c>
      <c r="J112" s="390">
        <f t="shared" si="33"/>
        <v>77.591734715380795</v>
      </c>
      <c r="K112" s="390">
        <f t="shared" si="33"/>
        <v>94.800465488123137</v>
      </c>
      <c r="L112" s="390">
        <f t="shared" si="33"/>
        <v>112.50003941617493</v>
      </c>
      <c r="M112" s="390">
        <f t="shared" si="33"/>
        <v>129.3471504340618</v>
      </c>
      <c r="N112" s="390">
        <f t="shared" si="33"/>
        <v>145.03095133963808</v>
      </c>
      <c r="O112" s="390">
        <f t="shared" si="33"/>
        <v>159.127310954921</v>
      </c>
      <c r="P112" s="390">
        <f t="shared" si="33"/>
        <v>171.48202098927979</v>
      </c>
      <c r="Q112" s="390">
        <f t="shared" si="34"/>
        <v>182.15170200680319</v>
      </c>
      <c r="R112" s="390">
        <f t="shared" si="34"/>
        <v>187.8607232688625</v>
      </c>
      <c r="S112" s="390">
        <f t="shared" si="34"/>
        <v>192.15160570290442</v>
      </c>
      <c r="T112" s="390">
        <f t="shared" si="34"/>
        <v>195.33034204073093</v>
      </c>
      <c r="U112" s="390">
        <f t="shared" si="34"/>
        <v>197.66006127320361</v>
      </c>
      <c r="V112" s="390">
        <f t="shared" si="34"/>
        <v>199.35413887963063</v>
      </c>
      <c r="W112" s="390">
        <f t="shared" si="34"/>
        <v>200.57896356186501</v>
      </c>
      <c r="X112" s="390">
        <f t="shared" si="34"/>
        <v>201.46085171629713</v>
      </c>
      <c r="Y112" s="390">
        <f t="shared" si="34"/>
        <v>202.09392729485813</v>
      </c>
      <c r="Z112" s="390">
        <f t="shared" si="34"/>
        <v>202.54741526513342</v>
      </c>
      <c r="AA112" s="390">
        <f t="shared" si="35"/>
        <v>202.87176106409183</v>
      </c>
      <c r="AB112" s="390">
        <f t="shared" si="35"/>
        <v>203.10348618652321</v>
      </c>
      <c r="AC112" s="390">
        <f t="shared" si="35"/>
        <v>203.26890947460336</v>
      </c>
      <c r="AD112" s="390">
        <f t="shared" si="35"/>
        <v>203.38693514979437</v>
      </c>
      <c r="AE112" s="390">
        <f t="shared" si="35"/>
        <v>203.47111002115616</v>
      </c>
      <c r="AF112" s="390">
        <f t="shared" si="35"/>
        <v>203.53112565740346</v>
      </c>
      <c r="AH112" s="405">
        <f>IF(Tech_Specs!$E38="linear",TREND(Perform_Active!$E39:$F39,Perform_Active!$E$8:$F$8,AH$81),)</f>
        <v>0</v>
      </c>
      <c r="AI112" s="405">
        <f>IF(Tech_Specs!$E38="linear",TREND(Perform_Active!$E39:$F39,Perform_Active!$E$8:$F$8,AI$81),)</f>
        <v>0</v>
      </c>
      <c r="AJ112" s="405">
        <f>IF(Tech_Specs!$E38="linear",TREND(Perform_Active!$E39:$F39,Perform_Active!$E$8:$F$8,AJ$81),)</f>
        <v>0</v>
      </c>
      <c r="AK112" s="405">
        <f>IF(Tech_Specs!$E38="linear",TREND(Perform_Active!$E39:$F39,Perform_Active!$E$8:$F$8,AK$81),)</f>
        <v>0</v>
      </c>
      <c r="AL112" s="405">
        <f>IF(Tech_Specs!$E38="linear",TREND(Perform_Active!$E39:$F39,Perform_Active!$E$8:$F$8,AL$81),)</f>
        <v>0</v>
      </c>
      <c r="AM112" s="405">
        <f>IF(Tech_Specs!$E38="linear",TREND(Perform_Active!$E39:$F39,Perform_Active!$E$8:$F$8,AM$81),)</f>
        <v>0</v>
      </c>
      <c r="AN112" s="405">
        <f>IF(Tech_Specs!$E38="linear",TREND(Perform_Active!$E39:$F39,Perform_Active!$E$8:$F$8,AN$81),)</f>
        <v>0</v>
      </c>
      <c r="AO112" s="405">
        <f>IF(Tech_Specs!$E38="linear",TREND(Perform_Active!$E39:$F39,Perform_Active!$E$8:$F$8,AO$81),)</f>
        <v>0</v>
      </c>
      <c r="AP112" s="405">
        <f>IF(Tech_Specs!$E38="linear",TREND(Perform_Active!$E39:$F39,Perform_Active!$E$8:$F$8,AP$81),)</f>
        <v>0</v>
      </c>
      <c r="AQ112" s="405">
        <f>IF(Tech_Specs!$E38="linear",TREND(Perform_Active!$E39:$F39,Perform_Active!$E$8:$F$8,AQ$81),)</f>
        <v>0</v>
      </c>
      <c r="AR112" s="405">
        <f>IF(Tech_Specs!$E38="linear",TREND(Perform_Active!$E39:$F39,Perform_Active!$E$8:$F$8,AR$81),)</f>
        <v>0</v>
      </c>
      <c r="AS112" s="405">
        <f>IF(Tech_Specs!$E38="linear",TREND(Perform_Active!$E39:$F39,Perform_Active!$E$8:$F$8,AS$81),)</f>
        <v>0</v>
      </c>
      <c r="AT112" s="405">
        <f>IF(Tech_Specs!$E38="linear",TREND(Perform_Active!$E39:$F39,Perform_Active!$E$8:$F$8,AT$81),)</f>
        <v>0</v>
      </c>
      <c r="AU112" s="405">
        <f>IF(Tech_Specs!$E38="linear",TREND(Perform_Active!$E39:$F39,Perform_Active!$E$8:$F$8,AU$81),)</f>
        <v>0</v>
      </c>
      <c r="AV112" s="405">
        <f>IF(Tech_Specs!$E38="linear",TREND(Perform_Active!$E39:$F39,Perform_Active!$E$8:$F$8,AV$81),)</f>
        <v>0</v>
      </c>
      <c r="AW112" s="405">
        <f>IF(Tech_Specs!$E38="linear",TREND(Perform_Active!$E39:$F39,Perform_Active!$E$8:$F$8,AW$81),)</f>
        <v>0</v>
      </c>
      <c r="AX112" s="405">
        <f>IF(Tech_Specs!$E38="linear",TREND(Perform_Active!$E39:$F39,Perform_Active!$E$8:$F$8,AX$81),)</f>
        <v>0</v>
      </c>
      <c r="AY112" s="405">
        <f>IF(Tech_Specs!$E38="linear",TREND(Perform_Active!$E39:$F39,Perform_Active!$E$8:$F$8,AY$81),)</f>
        <v>0</v>
      </c>
      <c r="AZ112" s="405">
        <f>IF(Tech_Specs!$E38="linear",TREND(Perform_Active!$E39:$F39,Perform_Active!$E$8:$F$8,AZ$81),)</f>
        <v>0</v>
      </c>
      <c r="BA112" s="405">
        <f>IF(Tech_Specs!$E38="linear",TREND(Perform_Active!$E39:$F39,Perform_Active!$E$8:$F$8,BA$81),)</f>
        <v>0</v>
      </c>
      <c r="BB112" s="405">
        <f>IF(Tech_Specs!$E38="linear",TREND(Perform_Active!$E39:$F39,Perform_Active!$E$8:$F$8,BB$81),)</f>
        <v>0</v>
      </c>
      <c r="BC112" s="405">
        <f>IF(Tech_Specs!$E38="linear",TREND(Perform_Active!$E39:$F39,Perform_Active!$E$8:$F$8,BC$81),)</f>
        <v>0</v>
      </c>
      <c r="BD112" s="405">
        <f>IF(Tech_Specs!$E38="linear",TREND(Perform_Active!$E39:$F39,Perform_Active!$E$8:$F$8,BD$81),)</f>
        <v>0</v>
      </c>
      <c r="BE112" s="405">
        <f>IF(Tech_Specs!$E38="linear",TREND(Perform_Active!$E39:$F39,Perform_Active!$E$8:$F$8,BE$81),)</f>
        <v>0</v>
      </c>
      <c r="BF112" s="405">
        <f>IF(Tech_Specs!$E38="linear",TREND(Perform_Active!$E39:$F39,Perform_Active!$E$8:$F$8,BF$81),)</f>
        <v>0</v>
      </c>
      <c r="BG112" s="405">
        <f>IF(Tech_Specs!$E38="linear",TREND(Perform_Active!$E39:$F39,Perform_Active!$E$8:$F$8,BG$81),)</f>
        <v>0</v>
      </c>
      <c r="BI112" s="405">
        <f>IF(Tech_Specs!$E38="logistic",IF($B38="LED",IF(Tech_Specs!$K38="lamp",Perform_SSL!G$10,Perform_SSL!G$11)),)</f>
        <v>36.873768202819726</v>
      </c>
      <c r="BJ112" s="405">
        <f>IF(Tech_Specs!$E38="logistic",IF($B38="LED",IF(Tech_Specs!$K38="lamp",Perform_SSL!H$10,Perform_SSL!H$11)),)</f>
        <v>48.266272480467556</v>
      </c>
      <c r="BK112" s="405">
        <f>IF(Tech_Specs!$E38="logistic",IF($B38="LED",IF(Tech_Specs!$K38="lamp",Perform_SSL!I$10,Perform_SSL!I$11)),)</f>
        <v>61.701198700113544</v>
      </c>
      <c r="BL112" s="405">
        <f>IF(Tech_Specs!$E38="logistic",IF($B38="LED",IF(Tech_Specs!$K38="lamp",Perform_SSL!J$10,Perform_SSL!J$11)),)</f>
        <v>77.591734715380795</v>
      </c>
      <c r="BM112" s="405">
        <f>IF(Tech_Specs!$E38="logistic",IF($B38="LED",IF(Tech_Specs!$K38="lamp",Perform_SSL!K$10,Perform_SSL!K$11)),)</f>
        <v>94.800465488123137</v>
      </c>
      <c r="BN112" s="405">
        <f>IF(Tech_Specs!$E38="logistic",IF($B38="LED",IF(Tech_Specs!$K38="lamp",Perform_SSL!L$10,Perform_SSL!L$11)),)</f>
        <v>112.50003941617493</v>
      </c>
      <c r="BO112" s="405">
        <f>IF(Tech_Specs!$E38="logistic",IF($B38="LED",IF(Tech_Specs!$K38="lamp",Perform_SSL!M$10,Perform_SSL!M$11)),)</f>
        <v>129.3471504340618</v>
      </c>
      <c r="BP112" s="405">
        <f>IF(Tech_Specs!$E38="logistic",IF($B38="LED",IF(Tech_Specs!$K38="lamp",Perform_SSL!N$10,Perform_SSL!N$11)),)</f>
        <v>145.03095133963808</v>
      </c>
      <c r="BQ112" s="405">
        <f>IF(Tech_Specs!$E38="logistic",IF($B38="LED",IF(Tech_Specs!$K38="lamp",Perform_SSL!O$10,Perform_SSL!O$11)),)</f>
        <v>159.127310954921</v>
      </c>
      <c r="BR112" s="405">
        <f>IF(Tech_Specs!$E38="logistic",IF($B38="LED",IF(Tech_Specs!$K38="lamp",Perform_SSL!P$10,Perform_SSL!P$11)),)</f>
        <v>171.48202098927979</v>
      </c>
      <c r="BS112" s="405">
        <f>IF(Tech_Specs!$E38="logistic",IF($B38="LED",IF(Tech_Specs!$K38="lamp",Perform_SSL!Q$10,Perform_SSL!Q$11)),)</f>
        <v>182.15170200680319</v>
      </c>
      <c r="BT112" s="405">
        <f>IF(Tech_Specs!$E38="logistic",IF($B38="LED",IF(Tech_Specs!$K38="lamp",Perform_SSL!R$10,Perform_SSL!R$11)),)</f>
        <v>187.8607232688625</v>
      </c>
      <c r="BU112" s="405">
        <f>IF(Tech_Specs!$E38="logistic",IF($B38="LED",IF(Tech_Specs!$K38="lamp",Perform_SSL!S$10,Perform_SSL!S$11)),)</f>
        <v>192.15160570290442</v>
      </c>
      <c r="BV112" s="405">
        <f>IF(Tech_Specs!$E38="logistic",IF($B38="LED",IF(Tech_Specs!$K38="lamp",Perform_SSL!T$10,Perform_SSL!T$11)),)</f>
        <v>195.33034204073093</v>
      </c>
      <c r="BW112" s="405">
        <f>IF(Tech_Specs!$E38="logistic",IF($B38="LED",IF(Tech_Specs!$K38="lamp",Perform_SSL!U$10,Perform_SSL!U$11)),)</f>
        <v>197.66006127320361</v>
      </c>
      <c r="BX112" s="405">
        <f>IF(Tech_Specs!$E38="logistic",IF($B38="LED",IF(Tech_Specs!$K38="lamp",Perform_SSL!V$10,Perform_SSL!V$11)),)</f>
        <v>199.35413887963063</v>
      </c>
      <c r="BY112" s="405">
        <f>IF(Tech_Specs!$E38="logistic",IF($B38="LED",IF(Tech_Specs!$K38="lamp",Perform_SSL!W$10,Perform_SSL!W$11)),)</f>
        <v>200.57896356186501</v>
      </c>
      <c r="BZ112" s="405">
        <f>IF(Tech_Specs!$E38="logistic",IF($B38="LED",IF(Tech_Specs!$K38="lamp",Perform_SSL!X$10,Perform_SSL!X$11)),)</f>
        <v>201.46085171629713</v>
      </c>
      <c r="CA112" s="405">
        <f>IF(Tech_Specs!$E38="logistic",IF($B38="LED",IF(Tech_Specs!$K38="lamp",Perform_SSL!Y$10,Perform_SSL!Y$11)),)</f>
        <v>202.09392729485813</v>
      </c>
      <c r="CB112" s="405">
        <f>IF(Tech_Specs!$E38="logistic",IF($B38="LED",IF(Tech_Specs!$K38="lamp",Perform_SSL!Z$10,Perform_SSL!Z$11)),)</f>
        <v>202.54741526513342</v>
      </c>
      <c r="CC112" s="405">
        <f>IF(Tech_Specs!$E38="logistic",IF($B38="LED",IF(Tech_Specs!$K38="lamp",Perform_SSL!AA$10,Perform_SSL!AA$11)),)</f>
        <v>202.87176106409183</v>
      </c>
      <c r="CD112" s="405">
        <f>IF(Tech_Specs!$E38="logistic",IF($B38="LED",IF(Tech_Specs!$K38="lamp",Perform_SSL!AB$10,Perform_SSL!AB$11)),)</f>
        <v>203.10348618652321</v>
      </c>
      <c r="CE112" s="405">
        <f>IF(Tech_Specs!$E38="logistic",IF($B38="LED",IF(Tech_Specs!$K38="lamp",Perform_SSL!AC$10,Perform_SSL!AC$11)),)</f>
        <v>203.26890947460336</v>
      </c>
      <c r="CF112" s="405">
        <f>IF(Tech_Specs!$E38="logistic",IF($B38="LED",IF(Tech_Specs!$K38="lamp",Perform_SSL!AD$10,Perform_SSL!AD$11)),)</f>
        <v>203.38693514979437</v>
      </c>
      <c r="CG112" s="405">
        <f>IF(Tech_Specs!$E38="logistic",IF($B38="LED",IF(Tech_Specs!$K38="lamp",Perform_SSL!AE$10,Perform_SSL!AE$11)),)</f>
        <v>203.47111002115616</v>
      </c>
      <c r="CH112" s="405">
        <f>IF(Tech_Specs!$E38="logistic",IF($B38="LED",IF(Tech_Specs!$K38="lamp",Perform_SSL!AF$10,Perform_SSL!AF$11)),)</f>
        <v>203.53112565740346</v>
      </c>
      <c r="CJ112" s="625">
        <f>IF(AND(Tech_Specs!$E38="step",Standards_Active!$E39="yes"),IF(CJ$81&lt;Standards_Active!$C39,TREND(Perform_Active!$E39:$F39,Perform_Active!$E$8:$F$8,CJ$81),IF(ISNUMBER(Standards_Active!$I39),IF(AND(CJ$81&gt;=Standards_Active!$C39,CJ$81&lt;Standards_Active!$D39),(Standards_Active!$I39-INDEX($CJ112:$DI112,1,MATCH((Standards_Active!$C39-1),$CJ$81:$DI$81,FALSE)))/(Standards_Active!$D39-(Standards_Active!$C39-1))+CI112,Standards_Active!$I39*((1+Standards_Active!$N39)^(CJ$81-Standards_Active!$D39))),TREND(Perform_Active!$E39:$F39,Perform_Active!$E$8:$F$8,CJ$81))),)</f>
        <v>0</v>
      </c>
      <c r="CK112" s="625">
        <f>IF(AND(Tech_Specs!$E38="step",Standards_Active!$E39="yes"),IF(CK$81&lt;Standards_Active!$C39,TREND(Perform_Active!$E39:$F39,Perform_Active!$E$8:$F$8,CK$81),IF(ISNUMBER(Standards_Active!$I39),IF(AND(CK$81&gt;=Standards_Active!$C39,CK$81&lt;Standards_Active!$D39),(Standards_Active!$I39-INDEX($CJ112:$DI112,1,MATCH((Standards_Active!$C39-1),$CJ$81:$DI$81,FALSE)))/(Standards_Active!$D39-(Standards_Active!$C39-1))+CJ112,Standards_Active!$I39*((1+Standards_Active!$N39)^(CK$81-Standards_Active!$D39))),TREND(Perform_Active!$E39:$F39,Perform_Active!$E$8:$F$8,CK$81))),)</f>
        <v>0</v>
      </c>
      <c r="CL112" s="625">
        <f>IF(AND(Tech_Specs!$E38="step",Standards_Active!$E39="yes"),IF(CL$81&lt;Standards_Active!$C39,TREND(Perform_Active!$E39:$F39,Perform_Active!$E$8:$F$8,CL$81),IF(ISNUMBER(Standards_Active!$I39),IF(AND(CL$81&gt;=Standards_Active!$C39,CL$81&lt;Standards_Active!$D39),(Standards_Active!$I39-INDEX($CJ112:$DI112,1,MATCH((Standards_Active!$C39-1),$CJ$81:$DI$81,FALSE)))/(Standards_Active!$D39-(Standards_Active!$C39-1))+CK112,Standards_Active!$I39*((1+Standards_Active!$N39)^(CL$81-Standards_Active!$D39))),TREND(Perform_Active!$E39:$F39,Perform_Active!$E$8:$F$8,CL$81))),)</f>
        <v>0</v>
      </c>
      <c r="CM112" s="625">
        <f>IF(AND(Tech_Specs!$E38="step",Standards_Active!$E39="yes"),IF(CM$81&lt;Standards_Active!$C39,TREND(Perform_Active!$E39:$F39,Perform_Active!$E$8:$F$8,CM$81),IF(ISNUMBER(Standards_Active!$I39),IF(AND(CM$81&gt;=Standards_Active!$C39,CM$81&lt;Standards_Active!$D39),(Standards_Active!$I39-INDEX($CJ112:$DI112,1,MATCH((Standards_Active!$C39-1),$CJ$81:$DI$81,FALSE)))/(Standards_Active!$D39-(Standards_Active!$C39-1))+CL112,Standards_Active!$I39*((1+Standards_Active!$N39)^(CM$81-Standards_Active!$D39))),TREND(Perform_Active!$E39:$F39,Perform_Active!$E$8:$F$8,CM$81))),)</f>
        <v>0</v>
      </c>
      <c r="CN112" s="625">
        <f>IF(AND(Tech_Specs!$E38="step",Standards_Active!$E39="yes"),IF(CN$81&lt;Standards_Active!$C39,TREND(Perform_Active!$E39:$F39,Perform_Active!$E$8:$F$8,CN$81),IF(ISNUMBER(Standards_Active!$I39),IF(AND(CN$81&gt;=Standards_Active!$C39,CN$81&lt;Standards_Active!$D39),(Standards_Active!$I39-INDEX($CJ112:$DI112,1,MATCH((Standards_Active!$C39-1),$CJ$81:$DI$81,FALSE)))/(Standards_Active!$D39-(Standards_Active!$C39-1))+CM112,Standards_Active!$I39*((1+Standards_Active!$N39)^(CN$81-Standards_Active!$D39))),TREND(Perform_Active!$E39:$F39,Perform_Active!$E$8:$F$8,CN$81))),)</f>
        <v>0</v>
      </c>
      <c r="CO112" s="625">
        <f>IF(AND(Tech_Specs!$E38="step",Standards_Active!$E39="yes"),IF(CO$81&lt;Standards_Active!$C39,TREND(Perform_Active!$E39:$F39,Perform_Active!$E$8:$F$8,CO$81),IF(ISNUMBER(Standards_Active!$I39),IF(AND(CO$81&gt;=Standards_Active!$C39,CO$81&lt;Standards_Active!$D39),(Standards_Active!$I39-INDEX($CJ112:$DI112,1,MATCH((Standards_Active!$C39-1),$CJ$81:$DI$81,FALSE)))/(Standards_Active!$D39-(Standards_Active!$C39-1))+CN112,Standards_Active!$I39*((1+Standards_Active!$N39)^(CO$81-Standards_Active!$D39))),TREND(Perform_Active!$E39:$F39,Perform_Active!$E$8:$F$8,CO$81))),)</f>
        <v>0</v>
      </c>
      <c r="CP112" s="625">
        <f>IF(AND(Tech_Specs!$E38="step",Standards_Active!$E39="yes"),IF(CP$81&lt;Standards_Active!$C39,TREND(Perform_Active!$E39:$F39,Perform_Active!$E$8:$F$8,CP$81),IF(ISNUMBER(Standards_Active!$I39),IF(AND(CP$81&gt;=Standards_Active!$C39,CP$81&lt;Standards_Active!$D39),(Standards_Active!$I39-INDEX($CJ112:$DI112,1,MATCH((Standards_Active!$C39-1),$CJ$81:$DI$81,FALSE)))/(Standards_Active!$D39-(Standards_Active!$C39-1))+CO112,Standards_Active!$I39*((1+Standards_Active!$N39)^(CP$81-Standards_Active!$D39))),TREND(Perform_Active!$E39:$F39,Perform_Active!$E$8:$F$8,CP$81))),)</f>
        <v>0</v>
      </c>
      <c r="CQ112" s="625">
        <f>IF(AND(Tech_Specs!$E38="step",Standards_Active!$E39="yes"),IF(CQ$81&lt;Standards_Active!$C39,TREND(Perform_Active!$E39:$F39,Perform_Active!$E$8:$F$8,CQ$81),IF(ISNUMBER(Standards_Active!$I39),IF(AND(CQ$81&gt;=Standards_Active!$C39,CQ$81&lt;Standards_Active!$D39),(Standards_Active!$I39-INDEX($CJ112:$DI112,1,MATCH((Standards_Active!$C39-1),$CJ$81:$DI$81,FALSE)))/(Standards_Active!$D39-(Standards_Active!$C39-1))+CP112,Standards_Active!$I39*((1+Standards_Active!$N39)^(CQ$81-Standards_Active!$D39))),TREND(Perform_Active!$E39:$F39,Perform_Active!$E$8:$F$8,CQ$81))),)</f>
        <v>0</v>
      </c>
      <c r="CR112" s="625">
        <f>IF(AND(Tech_Specs!$E38="step",Standards_Active!$E39="yes"),IF(CR$81&lt;Standards_Active!$C39,TREND(Perform_Active!$E39:$F39,Perform_Active!$E$8:$F$8,CR$81),IF(ISNUMBER(Standards_Active!$I39),IF(AND(CR$81&gt;=Standards_Active!$C39,CR$81&lt;Standards_Active!$D39),(Standards_Active!$I39-INDEX($CJ112:$DI112,1,MATCH((Standards_Active!$C39-1),$CJ$81:$DI$81,FALSE)))/(Standards_Active!$D39-(Standards_Active!$C39-1))+CQ112,Standards_Active!$I39*((1+Standards_Active!$N39)^(CR$81-Standards_Active!$D39))),TREND(Perform_Active!$E39:$F39,Perform_Active!$E$8:$F$8,CR$81))),)</f>
        <v>0</v>
      </c>
      <c r="CS112" s="625">
        <f>IF(AND(Tech_Specs!$E38="step",Standards_Active!$E39="yes"),IF(CS$81&lt;Standards_Active!$C39,TREND(Perform_Active!$E39:$F39,Perform_Active!$E$8:$F$8,CS$81),IF(ISNUMBER(Standards_Active!$I39),IF(AND(CS$81&gt;=Standards_Active!$C39,CS$81&lt;Standards_Active!$D39),(Standards_Active!$I39-INDEX($CJ112:$DI112,1,MATCH((Standards_Active!$C39-1),$CJ$81:$DI$81,FALSE)))/(Standards_Active!$D39-(Standards_Active!$C39-1))+CR112,Standards_Active!$I39*((1+Standards_Active!$N39)^(CS$81-Standards_Active!$D39))),TREND(Perform_Active!$E39:$F39,Perform_Active!$E$8:$F$8,CS$81))),)</f>
        <v>0</v>
      </c>
      <c r="CT112" s="625">
        <f>IF(AND(Tech_Specs!$E38="step",Standards_Active!$E39="yes"),IF(CT$81&lt;Standards_Active!$C39,TREND(Perform_Active!$E39:$F39,Perform_Active!$E$8:$F$8,CT$81),IF(ISNUMBER(Standards_Active!$I39),IF(AND(CT$81&gt;=Standards_Active!$C39,CT$81&lt;Standards_Active!$D39),(Standards_Active!$I39-INDEX($CJ112:$DI112,1,MATCH((Standards_Active!$C39-1),$CJ$81:$DI$81,FALSE)))/(Standards_Active!$D39-(Standards_Active!$C39-1))+CS112,Standards_Active!$I39*((1+Standards_Active!$N39)^(CT$81-Standards_Active!$D39))),TREND(Perform_Active!$E39:$F39,Perform_Active!$E$8:$F$8,CT$81))),)</f>
        <v>0</v>
      </c>
      <c r="CU112" s="625">
        <f>IF(AND(Tech_Specs!$E38="step",Standards_Active!$E39="yes"),IF(CU$81&lt;Standards_Active!$C39,TREND(Perform_Active!$E39:$F39,Perform_Active!$E$8:$F$8,CU$81),IF(ISNUMBER(Standards_Active!$I39),IF(AND(CU$81&gt;=Standards_Active!$C39,CU$81&lt;Standards_Active!$D39),(Standards_Active!$I39-INDEX($CJ112:$DI112,1,MATCH((Standards_Active!$C39-1),$CJ$81:$DI$81,FALSE)))/(Standards_Active!$D39-(Standards_Active!$C39-1))+CT112,Standards_Active!$I39*((1+Standards_Active!$N39)^(CU$81-Standards_Active!$D39))),TREND(Perform_Active!$E39:$F39,Perform_Active!$E$8:$F$8,CU$81))),)</f>
        <v>0</v>
      </c>
      <c r="CV112" s="625">
        <f>IF(AND(Tech_Specs!$E38="step",Standards_Active!$E39="yes"),IF(CV$81&lt;Standards_Active!$C39,TREND(Perform_Active!$E39:$F39,Perform_Active!$E$8:$F$8,CV$81),IF(ISNUMBER(Standards_Active!$I39),IF(AND(CV$81&gt;=Standards_Active!$C39,CV$81&lt;Standards_Active!$D39),(Standards_Active!$I39-INDEX($CJ112:$DI112,1,MATCH((Standards_Active!$C39-1),$CJ$81:$DI$81,FALSE)))/(Standards_Active!$D39-(Standards_Active!$C39-1))+CU112,Standards_Active!$I39*((1+Standards_Active!$N39)^(CV$81-Standards_Active!$D39))),TREND(Perform_Active!$E39:$F39,Perform_Active!$E$8:$F$8,CV$81))),)</f>
        <v>0</v>
      </c>
      <c r="CW112" s="625">
        <f>IF(AND(Tech_Specs!$E38="step",Standards_Active!$E39="yes"),IF(CW$81&lt;Standards_Active!$C39,TREND(Perform_Active!$E39:$F39,Perform_Active!$E$8:$F$8,CW$81),IF(ISNUMBER(Standards_Active!$I39),IF(AND(CW$81&gt;=Standards_Active!$C39,CW$81&lt;Standards_Active!$D39),(Standards_Active!$I39-INDEX($CJ112:$DI112,1,MATCH((Standards_Active!$C39-1),$CJ$81:$DI$81,FALSE)))/(Standards_Active!$D39-(Standards_Active!$C39-1))+CV112,Standards_Active!$I39*((1+Standards_Active!$N39)^(CW$81-Standards_Active!$D39))),TREND(Perform_Active!$E39:$F39,Perform_Active!$E$8:$F$8,CW$81))),)</f>
        <v>0</v>
      </c>
      <c r="CX112" s="625">
        <f>IF(AND(Tech_Specs!$E38="step",Standards_Active!$E39="yes"),IF(CX$81&lt;Standards_Active!$C39,TREND(Perform_Active!$E39:$F39,Perform_Active!$E$8:$F$8,CX$81),IF(ISNUMBER(Standards_Active!$I39),IF(AND(CX$81&gt;=Standards_Active!$C39,CX$81&lt;Standards_Active!$D39),(Standards_Active!$I39-INDEX($CJ112:$DI112,1,MATCH((Standards_Active!$C39-1),$CJ$81:$DI$81,FALSE)))/(Standards_Active!$D39-(Standards_Active!$C39-1))+CW112,Standards_Active!$I39*((1+Standards_Active!$N39)^(CX$81-Standards_Active!$D39))),TREND(Perform_Active!$E39:$F39,Perform_Active!$E$8:$F$8,CX$81))),)</f>
        <v>0</v>
      </c>
      <c r="CY112" s="625">
        <f>IF(AND(Tech_Specs!$E38="step",Standards_Active!$E39="yes"),IF(CY$81&lt;Standards_Active!$C39,TREND(Perform_Active!$E39:$F39,Perform_Active!$E$8:$F$8,CY$81),IF(ISNUMBER(Standards_Active!$I39),IF(AND(CY$81&gt;=Standards_Active!$C39,CY$81&lt;Standards_Active!$D39),(Standards_Active!$I39-INDEX($CJ112:$DI112,1,MATCH((Standards_Active!$C39-1),$CJ$81:$DI$81,FALSE)))/(Standards_Active!$D39-(Standards_Active!$C39-1))+CX112,Standards_Active!$I39*((1+Standards_Active!$N39)^(CY$81-Standards_Active!$D39))),TREND(Perform_Active!$E39:$F39,Perform_Active!$E$8:$F$8,CY$81))),)</f>
        <v>0</v>
      </c>
      <c r="CZ112" s="625">
        <f>IF(AND(Tech_Specs!$E38="step",Standards_Active!$E39="yes"),IF(CZ$81&lt;Standards_Active!$C39,TREND(Perform_Active!$E39:$F39,Perform_Active!$E$8:$F$8,CZ$81),IF(ISNUMBER(Standards_Active!$I39),IF(AND(CZ$81&gt;=Standards_Active!$C39,CZ$81&lt;Standards_Active!$D39),(Standards_Active!$I39-INDEX($CJ112:$DI112,1,MATCH((Standards_Active!$C39-1),$CJ$81:$DI$81,FALSE)))/(Standards_Active!$D39-(Standards_Active!$C39-1))+CY112,Standards_Active!$I39*((1+Standards_Active!$N39)^(CZ$81-Standards_Active!$D39))),TREND(Perform_Active!$E39:$F39,Perform_Active!$E$8:$F$8,CZ$81))),)</f>
        <v>0</v>
      </c>
      <c r="DA112" s="625">
        <f>IF(AND(Tech_Specs!$E38="step",Standards_Active!$E39="yes"),IF(DA$81&lt;Standards_Active!$C39,TREND(Perform_Active!$E39:$F39,Perform_Active!$E$8:$F$8,DA$81),IF(ISNUMBER(Standards_Active!$I39),IF(AND(DA$81&gt;=Standards_Active!$C39,DA$81&lt;Standards_Active!$D39),(Standards_Active!$I39-INDEX($CJ112:$DI112,1,MATCH((Standards_Active!$C39-1),$CJ$81:$DI$81,FALSE)))/(Standards_Active!$D39-(Standards_Active!$C39-1))+CZ112,Standards_Active!$I39*((1+Standards_Active!$N39)^(DA$81-Standards_Active!$D39))),TREND(Perform_Active!$E39:$F39,Perform_Active!$E$8:$F$8,DA$81))),)</f>
        <v>0</v>
      </c>
      <c r="DB112" s="625">
        <f>IF(AND(Tech_Specs!$E38="step",Standards_Active!$E39="yes"),IF(DB$81&lt;Standards_Active!$C39,TREND(Perform_Active!$E39:$F39,Perform_Active!$E$8:$F$8,DB$81),IF(ISNUMBER(Standards_Active!$I39),IF(AND(DB$81&gt;=Standards_Active!$C39,DB$81&lt;Standards_Active!$D39),(Standards_Active!$I39-INDEX($CJ112:$DI112,1,MATCH((Standards_Active!$C39-1),$CJ$81:$DI$81,FALSE)))/(Standards_Active!$D39-(Standards_Active!$C39-1))+DA112,Standards_Active!$I39*((1+Standards_Active!$N39)^(DB$81-Standards_Active!$D39))),TREND(Perform_Active!$E39:$F39,Perform_Active!$E$8:$F$8,DB$81))),)</f>
        <v>0</v>
      </c>
      <c r="DC112" s="625">
        <f>IF(AND(Tech_Specs!$E38="step",Standards_Active!$E39="yes"),IF(DC$81&lt;Standards_Active!$C39,TREND(Perform_Active!$E39:$F39,Perform_Active!$E$8:$F$8,DC$81),IF(ISNUMBER(Standards_Active!$I39),IF(AND(DC$81&gt;=Standards_Active!$C39,DC$81&lt;Standards_Active!$D39),(Standards_Active!$I39-INDEX($CJ112:$DI112,1,MATCH((Standards_Active!$C39-1),$CJ$81:$DI$81,FALSE)))/(Standards_Active!$D39-(Standards_Active!$C39-1))+DB112,Standards_Active!$I39*((1+Standards_Active!$N39)^(DC$81-Standards_Active!$D39))),TREND(Perform_Active!$E39:$F39,Perform_Active!$E$8:$F$8,DC$81))),)</f>
        <v>0</v>
      </c>
      <c r="DD112" s="625">
        <f>IF(AND(Tech_Specs!$E38="step",Standards_Active!$E39="yes"),IF(DD$81&lt;Standards_Active!$C39,TREND(Perform_Active!$E39:$F39,Perform_Active!$E$8:$F$8,DD$81),IF(ISNUMBER(Standards_Active!$I39),IF(AND(DD$81&gt;=Standards_Active!$C39,DD$81&lt;Standards_Active!$D39),(Standards_Active!$I39-INDEX($CJ112:$DI112,1,MATCH((Standards_Active!$C39-1),$CJ$81:$DI$81,FALSE)))/(Standards_Active!$D39-(Standards_Active!$C39-1))+DC112,Standards_Active!$I39*((1+Standards_Active!$N39)^(DD$81-Standards_Active!$D39))),TREND(Perform_Active!$E39:$F39,Perform_Active!$E$8:$F$8,DD$81))),)</f>
        <v>0</v>
      </c>
      <c r="DE112" s="625">
        <f>IF(AND(Tech_Specs!$E38="step",Standards_Active!$E39="yes"),IF(DE$81&lt;Standards_Active!$C39,TREND(Perform_Active!$E39:$F39,Perform_Active!$E$8:$F$8,DE$81),IF(ISNUMBER(Standards_Active!$I39),IF(AND(DE$81&gt;=Standards_Active!$C39,DE$81&lt;Standards_Active!$D39),(Standards_Active!$I39-INDEX($CJ112:$DI112,1,MATCH((Standards_Active!$C39-1),$CJ$81:$DI$81,FALSE)))/(Standards_Active!$D39-(Standards_Active!$C39-1))+DD112,Standards_Active!$I39*((1+Standards_Active!$N39)^(DE$81-Standards_Active!$D39))),TREND(Perform_Active!$E39:$F39,Perform_Active!$E$8:$F$8,DE$81))),)</f>
        <v>0</v>
      </c>
      <c r="DF112" s="625">
        <f>IF(AND(Tech_Specs!$E38="step",Standards_Active!$E39="yes"),IF(DF$81&lt;Standards_Active!$C39,TREND(Perform_Active!$E39:$F39,Perform_Active!$E$8:$F$8,DF$81),IF(ISNUMBER(Standards_Active!$I39),IF(AND(DF$81&gt;=Standards_Active!$C39,DF$81&lt;Standards_Active!$D39),(Standards_Active!$I39-INDEX($CJ112:$DI112,1,MATCH((Standards_Active!$C39-1),$CJ$81:$DI$81,FALSE)))/(Standards_Active!$D39-(Standards_Active!$C39-1))+DE112,Standards_Active!$I39*((1+Standards_Active!$N39)^(DF$81-Standards_Active!$D39))),TREND(Perform_Active!$E39:$F39,Perform_Active!$E$8:$F$8,DF$81))),)</f>
        <v>0</v>
      </c>
      <c r="DG112" s="625">
        <f>IF(AND(Tech_Specs!$E38="step",Standards_Active!$E39="yes"),IF(DG$81&lt;Standards_Active!$C39,TREND(Perform_Active!$E39:$F39,Perform_Active!$E$8:$F$8,DG$81),IF(ISNUMBER(Standards_Active!$I39),IF(AND(DG$81&gt;=Standards_Active!$C39,DG$81&lt;Standards_Active!$D39),(Standards_Active!$I39-INDEX($CJ112:$DI112,1,MATCH((Standards_Active!$C39-1),$CJ$81:$DI$81,FALSE)))/(Standards_Active!$D39-(Standards_Active!$C39-1))+DF112,Standards_Active!$I39*((1+Standards_Active!$N39)^(DG$81-Standards_Active!$D39))),TREND(Perform_Active!$E39:$F39,Perform_Active!$E$8:$F$8,DG$81))),)</f>
        <v>0</v>
      </c>
      <c r="DH112" s="625">
        <f>IF(AND(Tech_Specs!$E38="step",Standards_Active!$E39="yes"),IF(DH$81&lt;Standards_Active!$C39,TREND(Perform_Active!$E39:$F39,Perform_Active!$E$8:$F$8,DH$81),IF(ISNUMBER(Standards_Active!$I39),IF(AND(DH$81&gt;=Standards_Active!$C39,DH$81&lt;Standards_Active!$D39),(Standards_Active!$I39-INDEX($CJ112:$DI112,1,MATCH((Standards_Active!$C39-1),$CJ$81:$DI$81,FALSE)))/(Standards_Active!$D39-(Standards_Active!$C39-1))+DG112,Standards_Active!$I39*((1+Standards_Active!$N39)^(DH$81-Standards_Active!$D39))),TREND(Perform_Active!$E39:$F39,Perform_Active!$E$8:$F$8,DH$81))),)</f>
        <v>0</v>
      </c>
      <c r="DI112" s="625">
        <f>IF(AND(Tech_Specs!$E38="step",Standards_Active!$E39="yes"),IF(DI$81&lt;Standards_Active!$C39,TREND(Perform_Active!$E39:$F39,Perform_Active!$E$8:$F$8,DI$81),IF(ISNUMBER(Standards_Active!$I39),IF(AND(DI$81&gt;=Standards_Active!$C39,DI$81&lt;Standards_Active!$D39),(Standards_Active!$I39-INDEX($CJ112:$DI112,1,MATCH((Standards_Active!$C39-1),$CJ$81:$DI$81,FALSE)))/(Standards_Active!$D39-(Standards_Active!$C39-1))+DH112,Standards_Active!$I39*((1+Standards_Active!$N39)^(DI$81-Standards_Active!$D39))),TREND(Perform_Active!$E39:$F39,Perform_Active!$E$8:$F$8,DI$81))),)</f>
        <v>0</v>
      </c>
    </row>
    <row r="113" spans="1:113" s="376" customFormat="1" ht="12.6" x14ac:dyDescent="0.25">
      <c r="B113" s="388" t="s">
        <v>53</v>
      </c>
      <c r="D113" s="550"/>
      <c r="E113" s="550"/>
      <c r="F113" s="550"/>
      <c r="G113" s="390">
        <f t="shared" si="33"/>
        <v>53.300000000000011</v>
      </c>
      <c r="H113" s="390">
        <f t="shared" si="33"/>
        <v>53.433249999999987</v>
      </c>
      <c r="I113" s="390">
        <f t="shared" si="33"/>
        <v>53.566499999999962</v>
      </c>
      <c r="J113" s="390">
        <f t="shared" si="33"/>
        <v>53.699749999999995</v>
      </c>
      <c r="K113" s="390">
        <f t="shared" si="33"/>
        <v>53.83299999999997</v>
      </c>
      <c r="L113" s="390">
        <f t="shared" si="33"/>
        <v>53.966250000000002</v>
      </c>
      <c r="M113" s="390">
        <f t="shared" si="33"/>
        <v>54.099499999999978</v>
      </c>
      <c r="N113" s="390">
        <f t="shared" si="33"/>
        <v>54.23275000000001</v>
      </c>
      <c r="O113" s="390">
        <f t="shared" si="33"/>
        <v>54.365999999999985</v>
      </c>
      <c r="P113" s="390">
        <f t="shared" si="33"/>
        <v>54.499250000000018</v>
      </c>
      <c r="Q113" s="390">
        <f t="shared" si="34"/>
        <v>54.632499999999993</v>
      </c>
      <c r="R113" s="390">
        <f t="shared" si="34"/>
        <v>54.765749999999969</v>
      </c>
      <c r="S113" s="390">
        <f t="shared" si="34"/>
        <v>54.899000000000001</v>
      </c>
      <c r="T113" s="390">
        <f t="shared" si="34"/>
        <v>55.032249999999976</v>
      </c>
      <c r="U113" s="390">
        <f t="shared" si="34"/>
        <v>55.165500000000009</v>
      </c>
      <c r="V113" s="390">
        <f t="shared" si="34"/>
        <v>55.298749999999984</v>
      </c>
      <c r="W113" s="390">
        <f t="shared" si="34"/>
        <v>55.432000000000016</v>
      </c>
      <c r="X113" s="390">
        <f t="shared" si="34"/>
        <v>55.565249999999992</v>
      </c>
      <c r="Y113" s="390">
        <f t="shared" si="34"/>
        <v>55.698499999999967</v>
      </c>
      <c r="Z113" s="390">
        <f t="shared" si="34"/>
        <v>55.83175</v>
      </c>
      <c r="AA113" s="390">
        <f t="shared" si="35"/>
        <v>55.964999999999975</v>
      </c>
      <c r="AB113" s="390">
        <f t="shared" si="35"/>
        <v>56.098250000000007</v>
      </c>
      <c r="AC113" s="390">
        <f t="shared" si="35"/>
        <v>56.231499999999983</v>
      </c>
      <c r="AD113" s="390">
        <f t="shared" si="35"/>
        <v>56.364750000000015</v>
      </c>
      <c r="AE113" s="390">
        <f t="shared" si="35"/>
        <v>56.49799999999999</v>
      </c>
      <c r="AF113" s="390">
        <f t="shared" si="35"/>
        <v>56.631249999999966</v>
      </c>
      <c r="AH113" s="405">
        <f>IF(Tech_Specs!$E39="linear",TREND(Perform_Active!$E40:$F40,Perform_Active!$E$8:$F$8,AH$81),)</f>
        <v>53.300000000000011</v>
      </c>
      <c r="AI113" s="405">
        <f>IF(Tech_Specs!$E39="linear",TREND(Perform_Active!$E40:$F40,Perform_Active!$E$8:$F$8,AI$81),)</f>
        <v>53.433249999999987</v>
      </c>
      <c r="AJ113" s="405">
        <f>IF(Tech_Specs!$E39="linear",TREND(Perform_Active!$E40:$F40,Perform_Active!$E$8:$F$8,AJ$81),)</f>
        <v>53.566499999999962</v>
      </c>
      <c r="AK113" s="405">
        <f>IF(Tech_Specs!$E39="linear",TREND(Perform_Active!$E40:$F40,Perform_Active!$E$8:$F$8,AK$81),)</f>
        <v>53.699749999999995</v>
      </c>
      <c r="AL113" s="405">
        <f>IF(Tech_Specs!$E39="linear",TREND(Perform_Active!$E40:$F40,Perform_Active!$E$8:$F$8,AL$81),)</f>
        <v>53.83299999999997</v>
      </c>
      <c r="AM113" s="405">
        <f>IF(Tech_Specs!$E39="linear",TREND(Perform_Active!$E40:$F40,Perform_Active!$E$8:$F$8,AM$81),)</f>
        <v>53.966250000000002</v>
      </c>
      <c r="AN113" s="405">
        <f>IF(Tech_Specs!$E39="linear",TREND(Perform_Active!$E40:$F40,Perform_Active!$E$8:$F$8,AN$81),)</f>
        <v>54.099499999999978</v>
      </c>
      <c r="AO113" s="405">
        <f>IF(Tech_Specs!$E39="linear",TREND(Perform_Active!$E40:$F40,Perform_Active!$E$8:$F$8,AO$81),)</f>
        <v>54.23275000000001</v>
      </c>
      <c r="AP113" s="405">
        <f>IF(Tech_Specs!$E39="linear",TREND(Perform_Active!$E40:$F40,Perform_Active!$E$8:$F$8,AP$81),)</f>
        <v>54.365999999999985</v>
      </c>
      <c r="AQ113" s="405">
        <f>IF(Tech_Specs!$E39="linear",TREND(Perform_Active!$E40:$F40,Perform_Active!$E$8:$F$8,AQ$81),)</f>
        <v>54.499250000000018</v>
      </c>
      <c r="AR113" s="405">
        <f>IF(Tech_Specs!$E39="linear",TREND(Perform_Active!$E40:$F40,Perform_Active!$E$8:$F$8,AR$81),)</f>
        <v>54.632499999999993</v>
      </c>
      <c r="AS113" s="405">
        <f>IF(Tech_Specs!$E39="linear",TREND(Perform_Active!$E40:$F40,Perform_Active!$E$8:$F$8,AS$81),)</f>
        <v>54.765749999999969</v>
      </c>
      <c r="AT113" s="405">
        <f>IF(Tech_Specs!$E39="linear",TREND(Perform_Active!$E40:$F40,Perform_Active!$E$8:$F$8,AT$81),)</f>
        <v>54.899000000000001</v>
      </c>
      <c r="AU113" s="405">
        <f>IF(Tech_Specs!$E39="linear",TREND(Perform_Active!$E40:$F40,Perform_Active!$E$8:$F$8,AU$81),)</f>
        <v>55.032249999999976</v>
      </c>
      <c r="AV113" s="405">
        <f>IF(Tech_Specs!$E39="linear",TREND(Perform_Active!$E40:$F40,Perform_Active!$E$8:$F$8,AV$81),)</f>
        <v>55.165500000000009</v>
      </c>
      <c r="AW113" s="405">
        <f>IF(Tech_Specs!$E39="linear",TREND(Perform_Active!$E40:$F40,Perform_Active!$E$8:$F$8,AW$81),)</f>
        <v>55.298749999999984</v>
      </c>
      <c r="AX113" s="405">
        <f>IF(Tech_Specs!$E39="linear",TREND(Perform_Active!$E40:$F40,Perform_Active!$E$8:$F$8,AX$81),)</f>
        <v>55.432000000000016</v>
      </c>
      <c r="AY113" s="405">
        <f>IF(Tech_Specs!$E39="linear",TREND(Perform_Active!$E40:$F40,Perform_Active!$E$8:$F$8,AY$81),)</f>
        <v>55.565249999999992</v>
      </c>
      <c r="AZ113" s="405">
        <f>IF(Tech_Specs!$E39="linear",TREND(Perform_Active!$E40:$F40,Perform_Active!$E$8:$F$8,AZ$81),)</f>
        <v>55.698499999999967</v>
      </c>
      <c r="BA113" s="405">
        <f>IF(Tech_Specs!$E39="linear",TREND(Perform_Active!$E40:$F40,Perform_Active!$E$8:$F$8,BA$81),)</f>
        <v>55.83175</v>
      </c>
      <c r="BB113" s="405">
        <f>IF(Tech_Specs!$E39="linear",TREND(Perform_Active!$E40:$F40,Perform_Active!$E$8:$F$8,BB$81),)</f>
        <v>55.964999999999975</v>
      </c>
      <c r="BC113" s="405">
        <f>IF(Tech_Specs!$E39="linear",TREND(Perform_Active!$E40:$F40,Perform_Active!$E$8:$F$8,BC$81),)</f>
        <v>56.098250000000007</v>
      </c>
      <c r="BD113" s="405">
        <f>IF(Tech_Specs!$E39="linear",TREND(Perform_Active!$E40:$F40,Perform_Active!$E$8:$F$8,BD$81),)</f>
        <v>56.231499999999983</v>
      </c>
      <c r="BE113" s="405">
        <f>IF(Tech_Specs!$E39="linear",TREND(Perform_Active!$E40:$F40,Perform_Active!$E$8:$F$8,BE$81),)</f>
        <v>56.364750000000015</v>
      </c>
      <c r="BF113" s="405">
        <f>IF(Tech_Specs!$E39="linear",TREND(Perform_Active!$E40:$F40,Perform_Active!$E$8:$F$8,BF$81),)</f>
        <v>56.49799999999999</v>
      </c>
      <c r="BG113" s="405">
        <f>IF(Tech_Specs!$E39="linear",TREND(Perform_Active!$E40:$F40,Perform_Active!$E$8:$F$8,BG$81),)</f>
        <v>56.631249999999966</v>
      </c>
      <c r="BI113" s="405">
        <f>IF(Tech_Specs!$E39="logistic",IF($B39="LED",IF(Tech_Specs!$K39="lamp",Perform_SSL!G$10,Perform_SSL!G$11)),)</f>
        <v>0</v>
      </c>
      <c r="BJ113" s="405">
        <f>IF(Tech_Specs!$E39="logistic",IF($B39="LED",IF(Tech_Specs!$K39="lamp",Perform_SSL!H$10,Perform_SSL!H$11)),)</f>
        <v>0</v>
      </c>
      <c r="BK113" s="405">
        <f>IF(Tech_Specs!$E39="logistic",IF($B39="LED",IF(Tech_Specs!$K39="lamp",Perform_SSL!I$10,Perform_SSL!I$11)),)</f>
        <v>0</v>
      </c>
      <c r="BL113" s="405">
        <f>IF(Tech_Specs!$E39="logistic",IF($B39="LED",IF(Tech_Specs!$K39="lamp",Perform_SSL!J$10,Perform_SSL!J$11)),)</f>
        <v>0</v>
      </c>
      <c r="BM113" s="405">
        <f>IF(Tech_Specs!$E39="logistic",IF($B39="LED",IF(Tech_Specs!$K39="lamp",Perform_SSL!K$10,Perform_SSL!K$11)),)</f>
        <v>0</v>
      </c>
      <c r="BN113" s="405">
        <f>IF(Tech_Specs!$E39="logistic",IF($B39="LED",IF(Tech_Specs!$K39="lamp",Perform_SSL!L$10,Perform_SSL!L$11)),)</f>
        <v>0</v>
      </c>
      <c r="BO113" s="405">
        <f>IF(Tech_Specs!$E39="logistic",IF($B39="LED",IF(Tech_Specs!$K39="lamp",Perform_SSL!M$10,Perform_SSL!M$11)),)</f>
        <v>0</v>
      </c>
      <c r="BP113" s="405">
        <f>IF(Tech_Specs!$E39="logistic",IF($B39="LED",IF(Tech_Specs!$K39="lamp",Perform_SSL!N$10,Perform_SSL!N$11)),)</f>
        <v>0</v>
      </c>
      <c r="BQ113" s="405">
        <f>IF(Tech_Specs!$E39="logistic",IF($B39="LED",IF(Tech_Specs!$K39="lamp",Perform_SSL!O$10,Perform_SSL!O$11)),)</f>
        <v>0</v>
      </c>
      <c r="BR113" s="405">
        <f>IF(Tech_Specs!$E39="logistic",IF($B39="LED",IF(Tech_Specs!$K39="lamp",Perform_SSL!P$10,Perform_SSL!P$11)),)</f>
        <v>0</v>
      </c>
      <c r="BS113" s="405">
        <f>IF(Tech_Specs!$E39="logistic",IF($B39="LED",IF(Tech_Specs!$K39="lamp",Perform_SSL!Q$10,Perform_SSL!Q$11)),)</f>
        <v>0</v>
      </c>
      <c r="BT113" s="405">
        <f>IF(Tech_Specs!$E39="logistic",IF($B39="LED",IF(Tech_Specs!$K39="lamp",Perform_SSL!R$10,Perform_SSL!R$11)),)</f>
        <v>0</v>
      </c>
      <c r="BU113" s="405">
        <f>IF(Tech_Specs!$E39="logistic",IF($B39="LED",IF(Tech_Specs!$K39="lamp",Perform_SSL!S$10,Perform_SSL!S$11)),)</f>
        <v>0</v>
      </c>
      <c r="BV113" s="405">
        <f>IF(Tech_Specs!$E39="logistic",IF($B39="LED",IF(Tech_Specs!$K39="lamp",Perform_SSL!T$10,Perform_SSL!T$11)),)</f>
        <v>0</v>
      </c>
      <c r="BW113" s="405">
        <f>IF(Tech_Specs!$E39="logistic",IF($B39="LED",IF(Tech_Specs!$K39="lamp",Perform_SSL!U$10,Perform_SSL!U$11)),)</f>
        <v>0</v>
      </c>
      <c r="BX113" s="405">
        <f>IF(Tech_Specs!$E39="logistic",IF($B39="LED",IF(Tech_Specs!$K39="lamp",Perform_SSL!V$10,Perform_SSL!V$11)),)</f>
        <v>0</v>
      </c>
      <c r="BY113" s="405">
        <f>IF(Tech_Specs!$E39="logistic",IF($B39="LED",IF(Tech_Specs!$K39="lamp",Perform_SSL!W$10,Perform_SSL!W$11)),)</f>
        <v>0</v>
      </c>
      <c r="BZ113" s="405">
        <f>IF(Tech_Specs!$E39="logistic",IF($B39="LED",IF(Tech_Specs!$K39="lamp",Perform_SSL!X$10,Perform_SSL!X$11)),)</f>
        <v>0</v>
      </c>
      <c r="CA113" s="405">
        <f>IF(Tech_Specs!$E39="logistic",IF($B39="LED",IF(Tech_Specs!$K39="lamp",Perform_SSL!Y$10,Perform_SSL!Y$11)),)</f>
        <v>0</v>
      </c>
      <c r="CB113" s="405">
        <f>IF(Tech_Specs!$E39="logistic",IF($B39="LED",IF(Tech_Specs!$K39="lamp",Perform_SSL!Z$10,Perform_SSL!Z$11)),)</f>
        <v>0</v>
      </c>
      <c r="CC113" s="405">
        <f>IF(Tech_Specs!$E39="logistic",IF($B39="LED",IF(Tech_Specs!$K39="lamp",Perform_SSL!AA$10,Perform_SSL!AA$11)),)</f>
        <v>0</v>
      </c>
      <c r="CD113" s="405">
        <f>IF(Tech_Specs!$E39="logistic",IF($B39="LED",IF(Tech_Specs!$K39="lamp",Perform_SSL!AB$10,Perform_SSL!AB$11)),)</f>
        <v>0</v>
      </c>
      <c r="CE113" s="405">
        <f>IF(Tech_Specs!$E39="logistic",IF($B39="LED",IF(Tech_Specs!$K39="lamp",Perform_SSL!AC$10,Perform_SSL!AC$11)),)</f>
        <v>0</v>
      </c>
      <c r="CF113" s="405">
        <f>IF(Tech_Specs!$E39="logistic",IF($B39="LED",IF(Tech_Specs!$K39="lamp",Perform_SSL!AD$10,Perform_SSL!AD$11)),)</f>
        <v>0</v>
      </c>
      <c r="CG113" s="405">
        <f>IF(Tech_Specs!$E39="logistic",IF($B39="LED",IF(Tech_Specs!$K39="lamp",Perform_SSL!AE$10,Perform_SSL!AE$11)),)</f>
        <v>0</v>
      </c>
      <c r="CH113" s="405">
        <f>IF(Tech_Specs!$E39="logistic",IF($B39="LED",IF(Tech_Specs!$K39="lamp",Perform_SSL!AF$10,Perform_SSL!AF$11)),)</f>
        <v>0</v>
      </c>
      <c r="CJ113" s="625">
        <f>IF(AND(Tech_Specs!$E39="step",Standards_Active!$E40="yes"),IF(CJ$81&lt;Standards_Active!$C40,TREND(Perform_Active!$E40:$F40,Perform_Active!$E$8:$F$8,CJ$81),IF(ISNUMBER(Standards_Active!$I40),IF(AND(CJ$81&gt;=Standards_Active!$C40,CJ$81&lt;Standards_Active!$D40),(Standards_Active!$I40-INDEX($CJ113:$DI113,1,MATCH((Standards_Active!$C40-1),$CJ$81:$DI$81,FALSE)))/(Standards_Active!$D40-(Standards_Active!$C40-1))+CI113,Standards_Active!$I40*((1+Standards_Active!$N40)^(CJ$81-Standards_Active!$D40))),TREND(Perform_Active!$E40:$F40,Perform_Active!$E$8:$F$8,CJ$81))),)</f>
        <v>0</v>
      </c>
      <c r="CK113" s="625">
        <f>IF(AND(Tech_Specs!$E39="step",Standards_Active!$E40="yes"),IF(CK$81&lt;Standards_Active!$C40,TREND(Perform_Active!$E40:$F40,Perform_Active!$E$8:$F$8,CK$81),IF(ISNUMBER(Standards_Active!$I40),IF(AND(CK$81&gt;=Standards_Active!$C40,CK$81&lt;Standards_Active!$D40),(Standards_Active!$I40-INDEX($CJ113:$DI113,1,MATCH((Standards_Active!$C40-1),$CJ$81:$DI$81,FALSE)))/(Standards_Active!$D40-(Standards_Active!$C40-1))+CJ113,Standards_Active!$I40*((1+Standards_Active!$N40)^(CK$81-Standards_Active!$D40))),TREND(Perform_Active!$E40:$F40,Perform_Active!$E$8:$F$8,CK$81))),)</f>
        <v>0</v>
      </c>
      <c r="CL113" s="625">
        <f>IF(AND(Tech_Specs!$E39="step",Standards_Active!$E40="yes"),IF(CL$81&lt;Standards_Active!$C40,TREND(Perform_Active!$E40:$F40,Perform_Active!$E$8:$F$8,CL$81),IF(ISNUMBER(Standards_Active!$I40),IF(AND(CL$81&gt;=Standards_Active!$C40,CL$81&lt;Standards_Active!$D40),(Standards_Active!$I40-INDEX($CJ113:$DI113,1,MATCH((Standards_Active!$C40-1),$CJ$81:$DI$81,FALSE)))/(Standards_Active!$D40-(Standards_Active!$C40-1))+CK113,Standards_Active!$I40*((1+Standards_Active!$N40)^(CL$81-Standards_Active!$D40))),TREND(Perform_Active!$E40:$F40,Perform_Active!$E$8:$F$8,CL$81))),)</f>
        <v>0</v>
      </c>
      <c r="CM113" s="625">
        <f>IF(AND(Tech_Specs!$E39="step",Standards_Active!$E40="yes"),IF(CM$81&lt;Standards_Active!$C40,TREND(Perform_Active!$E40:$F40,Perform_Active!$E$8:$F$8,CM$81),IF(ISNUMBER(Standards_Active!$I40),IF(AND(CM$81&gt;=Standards_Active!$C40,CM$81&lt;Standards_Active!$D40),(Standards_Active!$I40-INDEX($CJ113:$DI113,1,MATCH((Standards_Active!$C40-1),$CJ$81:$DI$81,FALSE)))/(Standards_Active!$D40-(Standards_Active!$C40-1))+CL113,Standards_Active!$I40*((1+Standards_Active!$N40)^(CM$81-Standards_Active!$D40))),TREND(Perform_Active!$E40:$F40,Perform_Active!$E$8:$F$8,CM$81))),)</f>
        <v>0</v>
      </c>
      <c r="CN113" s="625">
        <f>IF(AND(Tech_Specs!$E39="step",Standards_Active!$E40="yes"),IF(CN$81&lt;Standards_Active!$C40,TREND(Perform_Active!$E40:$F40,Perform_Active!$E$8:$F$8,CN$81),IF(ISNUMBER(Standards_Active!$I40),IF(AND(CN$81&gt;=Standards_Active!$C40,CN$81&lt;Standards_Active!$D40),(Standards_Active!$I40-INDEX($CJ113:$DI113,1,MATCH((Standards_Active!$C40-1),$CJ$81:$DI$81,FALSE)))/(Standards_Active!$D40-(Standards_Active!$C40-1))+CM113,Standards_Active!$I40*((1+Standards_Active!$N40)^(CN$81-Standards_Active!$D40))),TREND(Perform_Active!$E40:$F40,Perform_Active!$E$8:$F$8,CN$81))),)</f>
        <v>0</v>
      </c>
      <c r="CO113" s="625">
        <f>IF(AND(Tech_Specs!$E39="step",Standards_Active!$E40="yes"),IF(CO$81&lt;Standards_Active!$C40,TREND(Perform_Active!$E40:$F40,Perform_Active!$E$8:$F$8,CO$81),IF(ISNUMBER(Standards_Active!$I40),IF(AND(CO$81&gt;=Standards_Active!$C40,CO$81&lt;Standards_Active!$D40),(Standards_Active!$I40-INDEX($CJ113:$DI113,1,MATCH((Standards_Active!$C40-1),$CJ$81:$DI$81,FALSE)))/(Standards_Active!$D40-(Standards_Active!$C40-1))+CN113,Standards_Active!$I40*((1+Standards_Active!$N40)^(CO$81-Standards_Active!$D40))),TREND(Perform_Active!$E40:$F40,Perform_Active!$E$8:$F$8,CO$81))),)</f>
        <v>0</v>
      </c>
      <c r="CP113" s="625">
        <f>IF(AND(Tech_Specs!$E39="step",Standards_Active!$E40="yes"),IF(CP$81&lt;Standards_Active!$C40,TREND(Perform_Active!$E40:$F40,Perform_Active!$E$8:$F$8,CP$81),IF(ISNUMBER(Standards_Active!$I40),IF(AND(CP$81&gt;=Standards_Active!$C40,CP$81&lt;Standards_Active!$D40),(Standards_Active!$I40-INDEX($CJ113:$DI113,1,MATCH((Standards_Active!$C40-1),$CJ$81:$DI$81,FALSE)))/(Standards_Active!$D40-(Standards_Active!$C40-1))+CO113,Standards_Active!$I40*((1+Standards_Active!$N40)^(CP$81-Standards_Active!$D40))),TREND(Perform_Active!$E40:$F40,Perform_Active!$E$8:$F$8,CP$81))),)</f>
        <v>0</v>
      </c>
      <c r="CQ113" s="625">
        <f>IF(AND(Tech_Specs!$E39="step",Standards_Active!$E40="yes"),IF(CQ$81&lt;Standards_Active!$C40,TREND(Perform_Active!$E40:$F40,Perform_Active!$E$8:$F$8,CQ$81),IF(ISNUMBER(Standards_Active!$I40),IF(AND(CQ$81&gt;=Standards_Active!$C40,CQ$81&lt;Standards_Active!$D40),(Standards_Active!$I40-INDEX($CJ113:$DI113,1,MATCH((Standards_Active!$C40-1),$CJ$81:$DI$81,FALSE)))/(Standards_Active!$D40-(Standards_Active!$C40-1))+CP113,Standards_Active!$I40*((1+Standards_Active!$N40)^(CQ$81-Standards_Active!$D40))),TREND(Perform_Active!$E40:$F40,Perform_Active!$E$8:$F$8,CQ$81))),)</f>
        <v>0</v>
      </c>
      <c r="CR113" s="625">
        <f>IF(AND(Tech_Specs!$E39="step",Standards_Active!$E40="yes"),IF(CR$81&lt;Standards_Active!$C40,TREND(Perform_Active!$E40:$F40,Perform_Active!$E$8:$F$8,CR$81),IF(ISNUMBER(Standards_Active!$I40),IF(AND(CR$81&gt;=Standards_Active!$C40,CR$81&lt;Standards_Active!$D40),(Standards_Active!$I40-INDEX($CJ113:$DI113,1,MATCH((Standards_Active!$C40-1),$CJ$81:$DI$81,FALSE)))/(Standards_Active!$D40-(Standards_Active!$C40-1))+CQ113,Standards_Active!$I40*((1+Standards_Active!$N40)^(CR$81-Standards_Active!$D40))),TREND(Perform_Active!$E40:$F40,Perform_Active!$E$8:$F$8,CR$81))),)</f>
        <v>0</v>
      </c>
      <c r="CS113" s="625">
        <f>IF(AND(Tech_Specs!$E39="step",Standards_Active!$E40="yes"),IF(CS$81&lt;Standards_Active!$C40,TREND(Perform_Active!$E40:$F40,Perform_Active!$E$8:$F$8,CS$81),IF(ISNUMBER(Standards_Active!$I40),IF(AND(CS$81&gt;=Standards_Active!$C40,CS$81&lt;Standards_Active!$D40),(Standards_Active!$I40-INDEX($CJ113:$DI113,1,MATCH((Standards_Active!$C40-1),$CJ$81:$DI$81,FALSE)))/(Standards_Active!$D40-(Standards_Active!$C40-1))+CR113,Standards_Active!$I40*((1+Standards_Active!$N40)^(CS$81-Standards_Active!$D40))),TREND(Perform_Active!$E40:$F40,Perform_Active!$E$8:$F$8,CS$81))),)</f>
        <v>0</v>
      </c>
      <c r="CT113" s="625">
        <f>IF(AND(Tech_Specs!$E39="step",Standards_Active!$E40="yes"),IF(CT$81&lt;Standards_Active!$C40,TREND(Perform_Active!$E40:$F40,Perform_Active!$E$8:$F$8,CT$81),IF(ISNUMBER(Standards_Active!$I40),IF(AND(CT$81&gt;=Standards_Active!$C40,CT$81&lt;Standards_Active!$D40),(Standards_Active!$I40-INDEX($CJ113:$DI113,1,MATCH((Standards_Active!$C40-1),$CJ$81:$DI$81,FALSE)))/(Standards_Active!$D40-(Standards_Active!$C40-1))+CS113,Standards_Active!$I40*((1+Standards_Active!$N40)^(CT$81-Standards_Active!$D40))),TREND(Perform_Active!$E40:$F40,Perform_Active!$E$8:$F$8,CT$81))),)</f>
        <v>0</v>
      </c>
      <c r="CU113" s="625">
        <f>IF(AND(Tech_Specs!$E39="step",Standards_Active!$E40="yes"),IF(CU$81&lt;Standards_Active!$C40,TREND(Perform_Active!$E40:$F40,Perform_Active!$E$8:$F$8,CU$81),IF(ISNUMBER(Standards_Active!$I40),IF(AND(CU$81&gt;=Standards_Active!$C40,CU$81&lt;Standards_Active!$D40),(Standards_Active!$I40-INDEX($CJ113:$DI113,1,MATCH((Standards_Active!$C40-1),$CJ$81:$DI$81,FALSE)))/(Standards_Active!$D40-(Standards_Active!$C40-1))+CT113,Standards_Active!$I40*((1+Standards_Active!$N40)^(CU$81-Standards_Active!$D40))),TREND(Perform_Active!$E40:$F40,Perform_Active!$E$8:$F$8,CU$81))),)</f>
        <v>0</v>
      </c>
      <c r="CV113" s="625">
        <f>IF(AND(Tech_Specs!$E39="step",Standards_Active!$E40="yes"),IF(CV$81&lt;Standards_Active!$C40,TREND(Perform_Active!$E40:$F40,Perform_Active!$E$8:$F$8,CV$81),IF(ISNUMBER(Standards_Active!$I40),IF(AND(CV$81&gt;=Standards_Active!$C40,CV$81&lt;Standards_Active!$D40),(Standards_Active!$I40-INDEX($CJ113:$DI113,1,MATCH((Standards_Active!$C40-1),$CJ$81:$DI$81,FALSE)))/(Standards_Active!$D40-(Standards_Active!$C40-1))+CU113,Standards_Active!$I40*((1+Standards_Active!$N40)^(CV$81-Standards_Active!$D40))),TREND(Perform_Active!$E40:$F40,Perform_Active!$E$8:$F$8,CV$81))),)</f>
        <v>0</v>
      </c>
      <c r="CW113" s="625">
        <f>IF(AND(Tech_Specs!$E39="step",Standards_Active!$E40="yes"),IF(CW$81&lt;Standards_Active!$C40,TREND(Perform_Active!$E40:$F40,Perform_Active!$E$8:$F$8,CW$81),IF(ISNUMBER(Standards_Active!$I40),IF(AND(CW$81&gt;=Standards_Active!$C40,CW$81&lt;Standards_Active!$D40),(Standards_Active!$I40-INDEX($CJ113:$DI113,1,MATCH((Standards_Active!$C40-1),$CJ$81:$DI$81,FALSE)))/(Standards_Active!$D40-(Standards_Active!$C40-1))+CV113,Standards_Active!$I40*((1+Standards_Active!$N40)^(CW$81-Standards_Active!$D40))),TREND(Perform_Active!$E40:$F40,Perform_Active!$E$8:$F$8,CW$81))),)</f>
        <v>0</v>
      </c>
      <c r="CX113" s="625">
        <f>IF(AND(Tech_Specs!$E39="step",Standards_Active!$E40="yes"),IF(CX$81&lt;Standards_Active!$C40,TREND(Perform_Active!$E40:$F40,Perform_Active!$E$8:$F$8,CX$81),IF(ISNUMBER(Standards_Active!$I40),IF(AND(CX$81&gt;=Standards_Active!$C40,CX$81&lt;Standards_Active!$D40),(Standards_Active!$I40-INDEX($CJ113:$DI113,1,MATCH((Standards_Active!$C40-1),$CJ$81:$DI$81,FALSE)))/(Standards_Active!$D40-(Standards_Active!$C40-1))+CW113,Standards_Active!$I40*((1+Standards_Active!$N40)^(CX$81-Standards_Active!$D40))),TREND(Perform_Active!$E40:$F40,Perform_Active!$E$8:$F$8,CX$81))),)</f>
        <v>0</v>
      </c>
      <c r="CY113" s="625">
        <f>IF(AND(Tech_Specs!$E39="step",Standards_Active!$E40="yes"),IF(CY$81&lt;Standards_Active!$C40,TREND(Perform_Active!$E40:$F40,Perform_Active!$E$8:$F$8,CY$81),IF(ISNUMBER(Standards_Active!$I40),IF(AND(CY$81&gt;=Standards_Active!$C40,CY$81&lt;Standards_Active!$D40),(Standards_Active!$I40-INDEX($CJ113:$DI113,1,MATCH((Standards_Active!$C40-1),$CJ$81:$DI$81,FALSE)))/(Standards_Active!$D40-(Standards_Active!$C40-1))+CX113,Standards_Active!$I40*((1+Standards_Active!$N40)^(CY$81-Standards_Active!$D40))),TREND(Perform_Active!$E40:$F40,Perform_Active!$E$8:$F$8,CY$81))),)</f>
        <v>0</v>
      </c>
      <c r="CZ113" s="625">
        <f>IF(AND(Tech_Specs!$E39="step",Standards_Active!$E40="yes"),IF(CZ$81&lt;Standards_Active!$C40,TREND(Perform_Active!$E40:$F40,Perform_Active!$E$8:$F$8,CZ$81),IF(ISNUMBER(Standards_Active!$I40),IF(AND(CZ$81&gt;=Standards_Active!$C40,CZ$81&lt;Standards_Active!$D40),(Standards_Active!$I40-INDEX($CJ113:$DI113,1,MATCH((Standards_Active!$C40-1),$CJ$81:$DI$81,FALSE)))/(Standards_Active!$D40-(Standards_Active!$C40-1))+CY113,Standards_Active!$I40*((1+Standards_Active!$N40)^(CZ$81-Standards_Active!$D40))),TREND(Perform_Active!$E40:$F40,Perform_Active!$E$8:$F$8,CZ$81))),)</f>
        <v>0</v>
      </c>
      <c r="DA113" s="625">
        <f>IF(AND(Tech_Specs!$E39="step",Standards_Active!$E40="yes"),IF(DA$81&lt;Standards_Active!$C40,TREND(Perform_Active!$E40:$F40,Perform_Active!$E$8:$F$8,DA$81),IF(ISNUMBER(Standards_Active!$I40),IF(AND(DA$81&gt;=Standards_Active!$C40,DA$81&lt;Standards_Active!$D40),(Standards_Active!$I40-INDEX($CJ113:$DI113,1,MATCH((Standards_Active!$C40-1),$CJ$81:$DI$81,FALSE)))/(Standards_Active!$D40-(Standards_Active!$C40-1))+CZ113,Standards_Active!$I40*((1+Standards_Active!$N40)^(DA$81-Standards_Active!$D40))),TREND(Perform_Active!$E40:$F40,Perform_Active!$E$8:$F$8,DA$81))),)</f>
        <v>0</v>
      </c>
      <c r="DB113" s="625">
        <f>IF(AND(Tech_Specs!$E39="step",Standards_Active!$E40="yes"),IF(DB$81&lt;Standards_Active!$C40,TREND(Perform_Active!$E40:$F40,Perform_Active!$E$8:$F$8,DB$81),IF(ISNUMBER(Standards_Active!$I40),IF(AND(DB$81&gt;=Standards_Active!$C40,DB$81&lt;Standards_Active!$D40),(Standards_Active!$I40-INDEX($CJ113:$DI113,1,MATCH((Standards_Active!$C40-1),$CJ$81:$DI$81,FALSE)))/(Standards_Active!$D40-(Standards_Active!$C40-1))+DA113,Standards_Active!$I40*((1+Standards_Active!$N40)^(DB$81-Standards_Active!$D40))),TREND(Perform_Active!$E40:$F40,Perform_Active!$E$8:$F$8,DB$81))),)</f>
        <v>0</v>
      </c>
      <c r="DC113" s="625">
        <f>IF(AND(Tech_Specs!$E39="step",Standards_Active!$E40="yes"),IF(DC$81&lt;Standards_Active!$C40,TREND(Perform_Active!$E40:$F40,Perform_Active!$E$8:$F$8,DC$81),IF(ISNUMBER(Standards_Active!$I40),IF(AND(DC$81&gt;=Standards_Active!$C40,DC$81&lt;Standards_Active!$D40),(Standards_Active!$I40-INDEX($CJ113:$DI113,1,MATCH((Standards_Active!$C40-1),$CJ$81:$DI$81,FALSE)))/(Standards_Active!$D40-(Standards_Active!$C40-1))+DB113,Standards_Active!$I40*((1+Standards_Active!$N40)^(DC$81-Standards_Active!$D40))),TREND(Perform_Active!$E40:$F40,Perform_Active!$E$8:$F$8,DC$81))),)</f>
        <v>0</v>
      </c>
      <c r="DD113" s="625">
        <f>IF(AND(Tech_Specs!$E39="step",Standards_Active!$E40="yes"),IF(DD$81&lt;Standards_Active!$C40,TREND(Perform_Active!$E40:$F40,Perform_Active!$E$8:$F$8,DD$81),IF(ISNUMBER(Standards_Active!$I40),IF(AND(DD$81&gt;=Standards_Active!$C40,DD$81&lt;Standards_Active!$D40),(Standards_Active!$I40-INDEX($CJ113:$DI113,1,MATCH((Standards_Active!$C40-1),$CJ$81:$DI$81,FALSE)))/(Standards_Active!$D40-(Standards_Active!$C40-1))+DC113,Standards_Active!$I40*((1+Standards_Active!$N40)^(DD$81-Standards_Active!$D40))),TREND(Perform_Active!$E40:$F40,Perform_Active!$E$8:$F$8,DD$81))),)</f>
        <v>0</v>
      </c>
      <c r="DE113" s="625">
        <f>IF(AND(Tech_Specs!$E39="step",Standards_Active!$E40="yes"),IF(DE$81&lt;Standards_Active!$C40,TREND(Perform_Active!$E40:$F40,Perform_Active!$E$8:$F$8,DE$81),IF(ISNUMBER(Standards_Active!$I40),IF(AND(DE$81&gt;=Standards_Active!$C40,DE$81&lt;Standards_Active!$D40),(Standards_Active!$I40-INDEX($CJ113:$DI113,1,MATCH((Standards_Active!$C40-1),$CJ$81:$DI$81,FALSE)))/(Standards_Active!$D40-(Standards_Active!$C40-1))+DD113,Standards_Active!$I40*((1+Standards_Active!$N40)^(DE$81-Standards_Active!$D40))),TREND(Perform_Active!$E40:$F40,Perform_Active!$E$8:$F$8,DE$81))),)</f>
        <v>0</v>
      </c>
      <c r="DF113" s="625">
        <f>IF(AND(Tech_Specs!$E39="step",Standards_Active!$E40="yes"),IF(DF$81&lt;Standards_Active!$C40,TREND(Perform_Active!$E40:$F40,Perform_Active!$E$8:$F$8,DF$81),IF(ISNUMBER(Standards_Active!$I40),IF(AND(DF$81&gt;=Standards_Active!$C40,DF$81&lt;Standards_Active!$D40),(Standards_Active!$I40-INDEX($CJ113:$DI113,1,MATCH((Standards_Active!$C40-1),$CJ$81:$DI$81,FALSE)))/(Standards_Active!$D40-(Standards_Active!$C40-1))+DE113,Standards_Active!$I40*((1+Standards_Active!$N40)^(DF$81-Standards_Active!$D40))),TREND(Perform_Active!$E40:$F40,Perform_Active!$E$8:$F$8,DF$81))),)</f>
        <v>0</v>
      </c>
      <c r="DG113" s="625">
        <f>IF(AND(Tech_Specs!$E39="step",Standards_Active!$E40="yes"),IF(DG$81&lt;Standards_Active!$C40,TREND(Perform_Active!$E40:$F40,Perform_Active!$E$8:$F$8,DG$81),IF(ISNUMBER(Standards_Active!$I40),IF(AND(DG$81&gt;=Standards_Active!$C40,DG$81&lt;Standards_Active!$D40),(Standards_Active!$I40-INDEX($CJ113:$DI113,1,MATCH((Standards_Active!$C40-1),$CJ$81:$DI$81,FALSE)))/(Standards_Active!$D40-(Standards_Active!$C40-1))+DF113,Standards_Active!$I40*((1+Standards_Active!$N40)^(DG$81-Standards_Active!$D40))),TREND(Perform_Active!$E40:$F40,Perform_Active!$E$8:$F$8,DG$81))),)</f>
        <v>0</v>
      </c>
      <c r="DH113" s="625">
        <f>IF(AND(Tech_Specs!$E39="step",Standards_Active!$E40="yes"),IF(DH$81&lt;Standards_Active!$C40,TREND(Perform_Active!$E40:$F40,Perform_Active!$E$8:$F$8,DH$81),IF(ISNUMBER(Standards_Active!$I40),IF(AND(DH$81&gt;=Standards_Active!$C40,DH$81&lt;Standards_Active!$D40),(Standards_Active!$I40-INDEX($CJ113:$DI113,1,MATCH((Standards_Active!$C40-1),$CJ$81:$DI$81,FALSE)))/(Standards_Active!$D40-(Standards_Active!$C40-1))+DG113,Standards_Active!$I40*((1+Standards_Active!$N40)^(DH$81-Standards_Active!$D40))),TREND(Perform_Active!$E40:$F40,Perform_Active!$E$8:$F$8,DH$81))),)</f>
        <v>0</v>
      </c>
      <c r="DI113" s="625">
        <f>IF(AND(Tech_Specs!$E39="step",Standards_Active!$E40="yes"),IF(DI$81&lt;Standards_Active!$C40,TREND(Perform_Active!$E40:$F40,Perform_Active!$E$8:$F$8,DI$81),IF(ISNUMBER(Standards_Active!$I40),IF(AND(DI$81&gt;=Standards_Active!$C40,DI$81&lt;Standards_Active!$D40),(Standards_Active!$I40-INDEX($CJ113:$DI113,1,MATCH((Standards_Active!$C40-1),$CJ$81:$DI$81,FALSE)))/(Standards_Active!$D40-(Standards_Active!$C40-1))+DH113,Standards_Active!$I40*((1+Standards_Active!$N40)^(DI$81-Standards_Active!$D40))),TREND(Perform_Active!$E40:$F40,Perform_Active!$E$8:$F$8,DI$81))),)</f>
        <v>0</v>
      </c>
    </row>
    <row r="114" spans="1:113" s="376" customFormat="1" ht="12.6" x14ac:dyDescent="0.25">
      <c r="B114" s="388"/>
      <c r="D114" s="550"/>
      <c r="E114" s="550"/>
      <c r="F114" s="550"/>
      <c r="G114" s="390"/>
      <c r="H114" s="390"/>
      <c r="I114" s="390"/>
      <c r="J114" s="390"/>
      <c r="K114" s="390"/>
      <c r="L114" s="390"/>
      <c r="M114" s="390"/>
      <c r="N114" s="390"/>
      <c r="O114" s="390"/>
      <c r="P114" s="390"/>
      <c r="Q114" s="390"/>
      <c r="R114" s="390"/>
      <c r="S114" s="390"/>
      <c r="T114" s="390"/>
      <c r="U114" s="390"/>
      <c r="V114" s="390"/>
      <c r="W114" s="390"/>
      <c r="X114" s="390"/>
      <c r="Y114" s="390"/>
      <c r="Z114" s="390"/>
      <c r="AA114" s="390"/>
      <c r="AB114" s="390"/>
      <c r="AC114" s="390"/>
      <c r="AD114" s="390"/>
      <c r="AE114" s="390"/>
      <c r="AF114" s="390"/>
      <c r="AH114" s="405"/>
      <c r="AI114" s="405"/>
      <c r="AJ114" s="405"/>
      <c r="AK114" s="405"/>
      <c r="AL114" s="405"/>
      <c r="AM114" s="405"/>
      <c r="AN114" s="405"/>
      <c r="AO114" s="405"/>
      <c r="AP114" s="405"/>
      <c r="AQ114" s="405"/>
      <c r="AR114" s="405"/>
      <c r="AS114" s="405"/>
      <c r="AT114" s="405"/>
      <c r="AU114" s="405"/>
      <c r="AV114" s="405"/>
      <c r="AW114" s="405"/>
      <c r="AX114" s="405"/>
      <c r="AY114" s="405"/>
      <c r="AZ114" s="405"/>
      <c r="BA114" s="405"/>
      <c r="BB114" s="405"/>
      <c r="BC114" s="405"/>
      <c r="BD114" s="405"/>
      <c r="BE114" s="405"/>
      <c r="BF114" s="405"/>
      <c r="BG114" s="405"/>
      <c r="BI114" s="405"/>
      <c r="BJ114" s="405"/>
      <c r="BK114" s="405"/>
      <c r="BL114" s="405"/>
      <c r="BM114" s="405"/>
      <c r="BN114" s="405"/>
      <c r="BO114" s="405"/>
      <c r="BP114" s="405"/>
      <c r="BQ114" s="405"/>
      <c r="BR114" s="405"/>
      <c r="BS114" s="405"/>
      <c r="BT114" s="405"/>
      <c r="BU114" s="405"/>
      <c r="BV114" s="405"/>
      <c r="BW114" s="405"/>
      <c r="BX114" s="405"/>
      <c r="BY114" s="405"/>
      <c r="BZ114" s="405"/>
      <c r="CA114" s="405"/>
      <c r="CB114" s="405"/>
      <c r="CC114" s="405"/>
      <c r="CD114" s="405"/>
      <c r="CE114" s="405"/>
      <c r="CF114" s="405"/>
      <c r="CG114" s="405"/>
      <c r="CH114" s="405"/>
      <c r="CJ114" s="405"/>
      <c r="CK114" s="405"/>
      <c r="CL114" s="405"/>
      <c r="CM114" s="405"/>
      <c r="CN114" s="405"/>
      <c r="CO114" s="405"/>
      <c r="CP114" s="405"/>
      <c r="CQ114" s="405"/>
      <c r="CR114" s="405"/>
      <c r="CS114" s="405"/>
      <c r="CT114" s="405"/>
      <c r="CU114" s="405"/>
      <c r="CV114" s="405"/>
      <c r="CW114" s="405"/>
      <c r="CX114" s="405"/>
      <c r="CY114" s="405"/>
      <c r="CZ114" s="405"/>
      <c r="DA114" s="405"/>
      <c r="DB114" s="405"/>
      <c r="DC114" s="405"/>
      <c r="DD114" s="405"/>
      <c r="DE114" s="405"/>
      <c r="DF114" s="405"/>
      <c r="DG114" s="405"/>
      <c r="DH114" s="405"/>
      <c r="DI114" s="405"/>
    </row>
    <row r="115" spans="1:113" s="376" customFormat="1" ht="12.6" x14ac:dyDescent="0.25">
      <c r="B115" s="388"/>
      <c r="D115" s="550"/>
      <c r="E115" s="550"/>
      <c r="F115" s="550"/>
      <c r="G115" s="390"/>
      <c r="H115" s="390"/>
      <c r="I115" s="390"/>
      <c r="J115" s="390"/>
      <c r="K115" s="390"/>
      <c r="L115" s="390"/>
      <c r="M115" s="390"/>
      <c r="N115" s="390"/>
      <c r="O115" s="390"/>
      <c r="P115" s="390"/>
      <c r="Q115" s="390"/>
      <c r="R115" s="390"/>
      <c r="S115" s="390"/>
      <c r="T115" s="390"/>
      <c r="U115" s="390"/>
      <c r="V115" s="390"/>
      <c r="W115" s="390"/>
      <c r="X115" s="390"/>
      <c r="Y115" s="390"/>
      <c r="Z115" s="390"/>
      <c r="AA115" s="390"/>
      <c r="AB115" s="390"/>
      <c r="AC115" s="390"/>
      <c r="AD115" s="390"/>
      <c r="AE115" s="390"/>
      <c r="AF115" s="390"/>
      <c r="AH115" s="405"/>
      <c r="AI115" s="405"/>
      <c r="AJ115" s="405"/>
      <c r="AK115" s="405"/>
      <c r="AL115" s="405"/>
      <c r="AM115" s="405"/>
      <c r="AN115" s="405"/>
      <c r="AO115" s="405"/>
      <c r="AP115" s="405"/>
      <c r="AQ115" s="405"/>
      <c r="AR115" s="405"/>
      <c r="AS115" s="405"/>
      <c r="AT115" s="405"/>
      <c r="AU115" s="405"/>
      <c r="AV115" s="405"/>
      <c r="AW115" s="405"/>
      <c r="AX115" s="405"/>
      <c r="AY115" s="405"/>
      <c r="AZ115" s="405"/>
      <c r="BA115" s="405"/>
      <c r="BB115" s="405"/>
      <c r="BC115" s="405"/>
      <c r="BD115" s="405"/>
      <c r="BE115" s="405"/>
      <c r="BF115" s="405"/>
      <c r="BG115" s="405"/>
      <c r="BI115" s="405"/>
      <c r="BJ115" s="405"/>
      <c r="BK115" s="405"/>
      <c r="BL115" s="405"/>
      <c r="BM115" s="405"/>
      <c r="BN115" s="405"/>
      <c r="BO115" s="405"/>
      <c r="BP115" s="405"/>
      <c r="BQ115" s="405"/>
      <c r="BR115" s="405"/>
      <c r="BS115" s="405"/>
      <c r="BT115" s="405"/>
      <c r="BU115" s="405"/>
      <c r="BV115" s="405"/>
      <c r="BW115" s="405"/>
      <c r="BX115" s="405"/>
      <c r="BY115" s="405"/>
      <c r="BZ115" s="405"/>
      <c r="CA115" s="405"/>
      <c r="CB115" s="405"/>
      <c r="CC115" s="405"/>
      <c r="CD115" s="405"/>
      <c r="CE115" s="405"/>
      <c r="CF115" s="405"/>
      <c r="CG115" s="405"/>
      <c r="CH115" s="405"/>
      <c r="CI115" s="388"/>
      <c r="CJ115" s="406"/>
      <c r="CK115" s="406"/>
      <c r="CL115" s="406"/>
      <c r="CM115" s="406"/>
      <c r="CN115" s="406"/>
      <c r="CO115" s="406"/>
      <c r="CP115" s="406"/>
      <c r="CQ115" s="406"/>
      <c r="CR115" s="406"/>
      <c r="CS115" s="406"/>
      <c r="CT115" s="406"/>
      <c r="CU115" s="406"/>
      <c r="CV115" s="406"/>
      <c r="CW115" s="406"/>
      <c r="CX115" s="406"/>
      <c r="CY115" s="406"/>
      <c r="CZ115" s="406"/>
      <c r="DA115" s="406"/>
      <c r="DB115" s="406"/>
      <c r="DC115" s="406"/>
      <c r="DD115" s="406"/>
      <c r="DE115" s="406"/>
      <c r="DF115" s="406"/>
      <c r="DG115" s="406"/>
      <c r="DH115" s="406"/>
      <c r="DI115" s="406"/>
    </row>
    <row r="116" spans="1:113" s="81" customFormat="1" ht="12.6" x14ac:dyDescent="0.25">
      <c r="B116" s="101"/>
      <c r="D116" s="550"/>
      <c r="E116" s="550"/>
      <c r="F116" s="550"/>
      <c r="G116" s="128"/>
      <c r="H116" s="128"/>
      <c r="I116" s="128"/>
      <c r="J116" s="128"/>
      <c r="K116" s="128"/>
      <c r="L116" s="128"/>
      <c r="M116" s="128"/>
      <c r="N116" s="128"/>
      <c r="O116" s="128"/>
      <c r="P116" s="128"/>
      <c r="Q116" s="128"/>
      <c r="R116" s="128"/>
      <c r="S116" s="128"/>
      <c r="T116" s="128"/>
      <c r="U116" s="128"/>
      <c r="V116" s="128"/>
      <c r="W116" s="128"/>
      <c r="X116" s="128"/>
      <c r="Y116" s="128"/>
      <c r="Z116" s="128"/>
      <c r="AA116" s="128"/>
      <c r="AB116" s="128"/>
      <c r="AC116" s="128"/>
      <c r="AD116" s="128"/>
      <c r="AE116" s="128"/>
      <c r="AF116" s="128"/>
      <c r="AH116" s="187"/>
      <c r="AI116" s="187"/>
      <c r="AJ116" s="187"/>
      <c r="AK116" s="187"/>
      <c r="AL116" s="187"/>
      <c r="AM116" s="187"/>
      <c r="AN116" s="187"/>
      <c r="AO116" s="187"/>
      <c r="AP116" s="187"/>
      <c r="AQ116" s="187"/>
      <c r="AR116" s="187"/>
      <c r="AS116" s="187"/>
      <c r="AT116" s="187"/>
      <c r="AU116" s="187"/>
      <c r="AV116" s="187"/>
      <c r="AW116" s="187"/>
      <c r="AX116" s="187"/>
      <c r="AY116" s="187"/>
      <c r="AZ116" s="187"/>
      <c r="BA116" s="187"/>
      <c r="BB116" s="187"/>
      <c r="BC116" s="187"/>
      <c r="BD116" s="187"/>
      <c r="BE116" s="187"/>
      <c r="BF116" s="187"/>
      <c r="BG116" s="187"/>
      <c r="BI116" s="187"/>
      <c r="BJ116" s="187"/>
      <c r="BK116" s="187"/>
      <c r="BL116" s="187"/>
      <c r="BM116" s="187"/>
      <c r="BN116" s="187"/>
      <c r="BO116" s="187"/>
      <c r="BP116" s="187"/>
      <c r="BQ116" s="187"/>
      <c r="BR116" s="187"/>
      <c r="BS116" s="187"/>
      <c r="BT116" s="187"/>
      <c r="BU116" s="187"/>
      <c r="BV116" s="187"/>
      <c r="BW116" s="187"/>
      <c r="BX116" s="187"/>
      <c r="BY116" s="187"/>
      <c r="BZ116" s="187"/>
      <c r="CA116" s="187"/>
      <c r="CB116" s="187"/>
      <c r="CC116" s="187"/>
      <c r="CD116" s="187"/>
      <c r="CE116" s="187"/>
      <c r="CF116" s="187"/>
      <c r="CG116" s="187"/>
      <c r="CH116" s="405"/>
      <c r="CI116" s="388"/>
      <c r="CJ116" s="406"/>
      <c r="CK116" s="406"/>
      <c r="CL116" s="406"/>
      <c r="CM116" s="406"/>
      <c r="CN116" s="406"/>
      <c r="CO116" s="406"/>
      <c r="CP116" s="406"/>
      <c r="CQ116" s="406"/>
      <c r="CR116" s="406"/>
      <c r="CS116" s="406"/>
      <c r="CT116" s="406"/>
      <c r="CU116" s="406"/>
      <c r="CV116" s="406"/>
      <c r="CW116" s="406"/>
      <c r="CX116" s="406"/>
      <c r="CY116" s="406"/>
      <c r="CZ116" s="406"/>
      <c r="DA116" s="406"/>
      <c r="DB116" s="406"/>
      <c r="DC116" s="406"/>
      <c r="DD116" s="406"/>
      <c r="DE116" s="406"/>
      <c r="DF116" s="406"/>
      <c r="DG116" s="406"/>
      <c r="DH116" s="406"/>
      <c r="DI116" s="406"/>
    </row>
    <row r="117" spans="1:113" s="153" customFormat="1" ht="12.95" x14ac:dyDescent="0.3">
      <c r="A117" s="154" t="s">
        <v>390</v>
      </c>
      <c r="D117" s="403"/>
      <c r="E117" s="403"/>
      <c r="F117" s="403"/>
      <c r="G117" s="403" t="s">
        <v>395</v>
      </c>
    </row>
    <row r="118" spans="1:113" s="81" customFormat="1" ht="12.95" x14ac:dyDescent="0.3">
      <c r="D118" s="550"/>
      <c r="E118" s="550"/>
      <c r="F118" s="550"/>
      <c r="AH118" s="54" t="s">
        <v>28</v>
      </c>
      <c r="AI118" s="388"/>
      <c r="BI118" s="54" t="s">
        <v>159</v>
      </c>
      <c r="CJ118" s="54" t="s">
        <v>23</v>
      </c>
      <c r="CK118" s="376" t="s">
        <v>230</v>
      </c>
    </row>
    <row r="119" spans="1:113" s="81" customFormat="1" ht="12.95" x14ac:dyDescent="0.3">
      <c r="A119" s="54" t="s">
        <v>12</v>
      </c>
      <c r="D119" s="550"/>
      <c r="E119" s="550"/>
      <c r="F119" s="550"/>
      <c r="CM119" s="81" t="str">
        <f>Standards_Active!$Q10</f>
        <v/>
      </c>
      <c r="CQ119" s="376"/>
      <c r="CR119" s="376"/>
      <c r="CS119" s="376"/>
      <c r="CT119" s="376"/>
    </row>
    <row r="120" spans="1:113" s="81" customFormat="1" ht="12.6" x14ac:dyDescent="0.25">
      <c r="B120" s="81" t="s">
        <v>20</v>
      </c>
      <c r="D120" s="550"/>
      <c r="E120" s="550"/>
      <c r="F120" s="550"/>
      <c r="G120" s="81">
        <v>2010</v>
      </c>
      <c r="H120" s="81">
        <v>2011</v>
      </c>
      <c r="I120" s="81">
        <v>2012</v>
      </c>
      <c r="J120" s="81">
        <v>2013</v>
      </c>
      <c r="K120" s="81">
        <v>2014</v>
      </c>
      <c r="L120" s="81">
        <v>2015</v>
      </c>
      <c r="M120" s="81">
        <v>2016</v>
      </c>
      <c r="N120" s="81">
        <v>2017</v>
      </c>
      <c r="O120" s="81">
        <v>2018</v>
      </c>
      <c r="P120" s="81">
        <v>2019</v>
      </c>
      <c r="Q120" s="81">
        <v>2020</v>
      </c>
      <c r="R120" s="81">
        <v>2021</v>
      </c>
      <c r="S120" s="81">
        <v>2022</v>
      </c>
      <c r="T120" s="81">
        <v>2023</v>
      </c>
      <c r="U120" s="81">
        <v>2024</v>
      </c>
      <c r="V120" s="81">
        <v>2025</v>
      </c>
      <c r="W120" s="81">
        <v>2026</v>
      </c>
      <c r="X120" s="81">
        <v>2027</v>
      </c>
      <c r="Y120" s="81">
        <v>2028</v>
      </c>
      <c r="Z120" s="81">
        <v>2029</v>
      </c>
      <c r="AA120" s="81">
        <v>2030</v>
      </c>
      <c r="AB120" s="81">
        <v>2031</v>
      </c>
      <c r="AC120" s="81">
        <v>2032</v>
      </c>
      <c r="AD120" s="81">
        <v>2033</v>
      </c>
      <c r="AE120" s="81">
        <v>2034</v>
      </c>
      <c r="AF120" s="81">
        <v>2035</v>
      </c>
      <c r="AH120" s="81">
        <v>2010</v>
      </c>
      <c r="AI120" s="81">
        <v>2011</v>
      </c>
      <c r="AJ120" s="81">
        <v>2012</v>
      </c>
      <c r="AK120" s="81">
        <v>2013</v>
      </c>
      <c r="AL120" s="81">
        <v>2014</v>
      </c>
      <c r="AM120" s="81">
        <v>2015</v>
      </c>
      <c r="AN120" s="81">
        <v>2016</v>
      </c>
      <c r="AO120" s="81">
        <v>2017</v>
      </c>
      <c r="AP120" s="81">
        <v>2018</v>
      </c>
      <c r="AQ120" s="81">
        <v>2019</v>
      </c>
      <c r="AR120" s="81">
        <v>2020</v>
      </c>
      <c r="AS120" s="81">
        <v>2021</v>
      </c>
      <c r="AT120" s="81">
        <v>2022</v>
      </c>
      <c r="AU120" s="81">
        <v>2023</v>
      </c>
      <c r="AV120" s="81">
        <v>2024</v>
      </c>
      <c r="AW120" s="81">
        <v>2025</v>
      </c>
      <c r="AX120" s="81">
        <v>2026</v>
      </c>
      <c r="AY120" s="81">
        <v>2027</v>
      </c>
      <c r="AZ120" s="81">
        <v>2028</v>
      </c>
      <c r="BA120" s="81">
        <v>2029</v>
      </c>
      <c r="BB120" s="81">
        <v>2030</v>
      </c>
      <c r="BC120" s="81">
        <v>2031</v>
      </c>
      <c r="BD120" s="81">
        <v>2032</v>
      </c>
      <c r="BE120" s="81">
        <v>2033</v>
      </c>
      <c r="BF120" s="81">
        <v>2034</v>
      </c>
      <c r="BG120" s="81">
        <v>2035</v>
      </c>
      <c r="BI120" s="81">
        <v>2010</v>
      </c>
      <c r="BJ120" s="81">
        <v>2011</v>
      </c>
      <c r="BK120" s="81">
        <v>2012</v>
      </c>
      <c r="BL120" s="81">
        <v>2013</v>
      </c>
      <c r="BM120" s="81">
        <v>2014</v>
      </c>
      <c r="BN120" s="81">
        <v>2015</v>
      </c>
      <c r="BO120" s="81">
        <v>2016</v>
      </c>
      <c r="BP120" s="81">
        <v>2017</v>
      </c>
      <c r="BQ120" s="81">
        <v>2018</v>
      </c>
      <c r="BR120" s="81">
        <v>2019</v>
      </c>
      <c r="BS120" s="81">
        <v>2020</v>
      </c>
      <c r="BT120" s="81">
        <v>2021</v>
      </c>
      <c r="BU120" s="81">
        <v>2022</v>
      </c>
      <c r="BV120" s="81">
        <v>2023</v>
      </c>
      <c r="BW120" s="81">
        <v>2024</v>
      </c>
      <c r="BX120" s="81">
        <v>2025</v>
      </c>
      <c r="BY120" s="81">
        <v>2026</v>
      </c>
      <c r="BZ120" s="81">
        <v>2027</v>
      </c>
      <c r="CA120" s="81">
        <v>2028</v>
      </c>
      <c r="CB120" s="81">
        <v>2029</v>
      </c>
      <c r="CC120" s="81">
        <v>2030</v>
      </c>
      <c r="CD120" s="81">
        <v>2031</v>
      </c>
      <c r="CE120" s="81">
        <v>2032</v>
      </c>
      <c r="CF120" s="81">
        <v>2033</v>
      </c>
      <c r="CG120" s="81">
        <v>2034</v>
      </c>
      <c r="CH120" s="81">
        <v>2035</v>
      </c>
      <c r="CJ120" s="81">
        <v>2010</v>
      </c>
      <c r="CK120" s="81">
        <v>2011</v>
      </c>
      <c r="CL120" s="81">
        <v>2012</v>
      </c>
      <c r="CM120" s="81">
        <v>2013</v>
      </c>
      <c r="CN120" s="81">
        <v>2014</v>
      </c>
      <c r="CO120" s="81">
        <v>2015</v>
      </c>
      <c r="CP120" s="81">
        <v>2016</v>
      </c>
      <c r="CQ120" s="81">
        <v>2017</v>
      </c>
      <c r="CR120" s="81">
        <v>2018</v>
      </c>
      <c r="CS120" s="81">
        <v>2019</v>
      </c>
      <c r="CT120" s="81">
        <v>2020</v>
      </c>
      <c r="CU120" s="81">
        <v>2021</v>
      </c>
      <c r="CV120" s="81">
        <v>2022</v>
      </c>
      <c r="CW120" s="81">
        <v>2023</v>
      </c>
      <c r="CX120" s="81">
        <v>2024</v>
      </c>
      <c r="CY120" s="81">
        <v>2025</v>
      </c>
      <c r="CZ120" s="81">
        <v>2026</v>
      </c>
      <c r="DA120" s="81">
        <v>2027</v>
      </c>
      <c r="DB120" s="81">
        <v>2028</v>
      </c>
      <c r="DC120" s="81">
        <v>2029</v>
      </c>
      <c r="DD120" s="81">
        <v>2030</v>
      </c>
      <c r="DE120" s="81">
        <v>2031</v>
      </c>
      <c r="DF120" s="81">
        <v>2032</v>
      </c>
      <c r="DG120" s="81">
        <v>2033</v>
      </c>
      <c r="DH120" s="81">
        <v>2034</v>
      </c>
      <c r="DI120" s="81">
        <v>2035</v>
      </c>
    </row>
    <row r="121" spans="1:113" s="81" customFormat="1" ht="12.95" x14ac:dyDescent="0.3">
      <c r="A121" s="12" t="s">
        <v>21</v>
      </c>
      <c r="B121" s="30"/>
      <c r="C121" s="57"/>
      <c r="D121" s="501"/>
      <c r="E121" s="501"/>
      <c r="F121" s="501"/>
      <c r="G121" s="57"/>
      <c r="H121" s="57"/>
      <c r="I121" s="57"/>
      <c r="J121" s="57"/>
      <c r="K121" s="57"/>
      <c r="L121" s="57"/>
      <c r="M121" s="57"/>
      <c r="N121" s="57"/>
      <c r="O121" s="57"/>
      <c r="P121" s="57"/>
      <c r="Q121" s="57"/>
      <c r="R121" s="57"/>
      <c r="S121" s="57"/>
      <c r="T121" s="57"/>
      <c r="U121" s="57"/>
      <c r="V121" s="57"/>
      <c r="W121" s="57"/>
      <c r="X121" s="57"/>
      <c r="Y121" s="57"/>
      <c r="Z121" s="57"/>
      <c r="AA121" s="57"/>
      <c r="AB121" s="57"/>
      <c r="AC121" s="57"/>
      <c r="AD121" s="57"/>
      <c r="AE121" s="57"/>
      <c r="AF121" s="57"/>
      <c r="AH121" s="57"/>
      <c r="AI121" s="57"/>
      <c r="AJ121" s="57"/>
      <c r="AK121" s="57"/>
      <c r="AL121" s="57"/>
      <c r="AM121" s="57"/>
      <c r="AN121" s="57"/>
      <c r="AO121" s="57"/>
      <c r="AP121" s="57"/>
      <c r="AQ121" s="57"/>
      <c r="AR121" s="57"/>
      <c r="AS121" s="57"/>
      <c r="AT121" s="57"/>
      <c r="AU121" s="57"/>
      <c r="AV121" s="57"/>
      <c r="AW121" s="57"/>
      <c r="AX121" s="57"/>
      <c r="AY121" s="57"/>
      <c r="AZ121" s="57"/>
      <c r="BA121" s="57"/>
      <c r="BB121" s="57"/>
      <c r="BC121" s="57"/>
      <c r="BD121" s="57"/>
      <c r="BE121" s="57"/>
      <c r="BF121" s="57"/>
      <c r="BG121" s="57"/>
      <c r="BI121" s="57"/>
      <c r="BJ121" s="57"/>
      <c r="BK121" s="57"/>
      <c r="BL121" s="57"/>
      <c r="BM121" s="57"/>
      <c r="BN121" s="57"/>
      <c r="BO121" s="57"/>
      <c r="BP121" s="57"/>
      <c r="BQ121" s="57"/>
      <c r="BR121" s="57"/>
      <c r="BS121" s="57"/>
      <c r="BT121" s="57"/>
      <c r="BU121" s="57"/>
      <c r="BV121" s="57"/>
      <c r="BW121" s="57"/>
      <c r="BX121" s="57"/>
      <c r="BY121" s="57"/>
      <c r="BZ121" s="57"/>
      <c r="CA121" s="57"/>
      <c r="CB121" s="57"/>
      <c r="CC121" s="57"/>
      <c r="CD121" s="57"/>
      <c r="CE121" s="57"/>
      <c r="CF121" s="57"/>
      <c r="CG121" s="57"/>
      <c r="CH121" s="57"/>
      <c r="CJ121" s="57"/>
      <c r="CK121" s="57"/>
      <c r="CL121" s="57"/>
      <c r="CM121" s="57"/>
      <c r="CN121" s="57"/>
      <c r="CO121" s="57"/>
      <c r="CP121" s="57"/>
      <c r="CQ121" s="57"/>
      <c r="CR121" s="57"/>
      <c r="CS121" s="57"/>
      <c r="CT121" s="57"/>
      <c r="CU121" s="57"/>
      <c r="CV121" s="57"/>
      <c r="CW121" s="57"/>
      <c r="CX121" s="57"/>
      <c r="CY121" s="57"/>
      <c r="CZ121" s="57"/>
      <c r="DA121" s="57"/>
      <c r="DB121" s="57"/>
      <c r="DC121" s="57"/>
      <c r="DD121" s="57"/>
      <c r="DE121" s="57"/>
      <c r="DF121" s="57"/>
      <c r="DG121" s="57"/>
      <c r="DH121" s="57"/>
      <c r="DI121" s="57"/>
    </row>
    <row r="122" spans="1:113" s="81" customFormat="1" ht="12.6" x14ac:dyDescent="0.25">
      <c r="B122" s="81" t="s">
        <v>22</v>
      </c>
      <c r="C122" s="83"/>
      <c r="D122" s="379"/>
      <c r="E122" s="379"/>
      <c r="F122" s="379"/>
      <c r="G122" s="128">
        <f t="shared" ref="G122:P125" si="36">SUM(AH122,BI122,CJ122)</f>
        <v>1</v>
      </c>
      <c r="H122" s="128">
        <f t="shared" si="36"/>
        <v>1</v>
      </c>
      <c r="I122" s="128">
        <f t="shared" si="36"/>
        <v>1</v>
      </c>
      <c r="J122" s="128">
        <f t="shared" si="36"/>
        <v>1</v>
      </c>
      <c r="K122" s="128">
        <f t="shared" si="36"/>
        <v>1</v>
      </c>
      <c r="L122" s="128">
        <f t="shared" si="36"/>
        <v>1</v>
      </c>
      <c r="M122" s="128">
        <f t="shared" si="36"/>
        <v>1</v>
      </c>
      <c r="N122" s="128">
        <f t="shared" si="36"/>
        <v>1</v>
      </c>
      <c r="O122" s="128">
        <f t="shared" si="36"/>
        <v>1</v>
      </c>
      <c r="P122" s="128">
        <f t="shared" si="36"/>
        <v>1</v>
      </c>
      <c r="Q122" s="128">
        <f t="shared" ref="Q122:Z125" si="37">SUM(AR122,BS122,CT122)</f>
        <v>1</v>
      </c>
      <c r="R122" s="128">
        <f t="shared" si="37"/>
        <v>1</v>
      </c>
      <c r="S122" s="128">
        <f t="shared" si="37"/>
        <v>1</v>
      </c>
      <c r="T122" s="128">
        <f t="shared" si="37"/>
        <v>1</v>
      </c>
      <c r="U122" s="128">
        <f t="shared" si="37"/>
        <v>1</v>
      </c>
      <c r="V122" s="128">
        <f t="shared" si="37"/>
        <v>1</v>
      </c>
      <c r="W122" s="128">
        <f t="shared" si="37"/>
        <v>1</v>
      </c>
      <c r="X122" s="128">
        <f t="shared" si="37"/>
        <v>1</v>
      </c>
      <c r="Y122" s="128">
        <f t="shared" si="37"/>
        <v>1</v>
      </c>
      <c r="Z122" s="128">
        <f t="shared" si="37"/>
        <v>1</v>
      </c>
      <c r="AA122" s="128">
        <f t="shared" ref="AA122:AF125" si="38">SUM(BB122,CC122,DD122)</f>
        <v>1</v>
      </c>
      <c r="AB122" s="128">
        <f t="shared" si="38"/>
        <v>1</v>
      </c>
      <c r="AC122" s="128">
        <f t="shared" si="38"/>
        <v>1</v>
      </c>
      <c r="AD122" s="128">
        <f t="shared" si="38"/>
        <v>1</v>
      </c>
      <c r="AE122" s="128">
        <f t="shared" si="38"/>
        <v>1</v>
      </c>
      <c r="AF122" s="128">
        <f t="shared" si="38"/>
        <v>1</v>
      </c>
      <c r="AH122" s="187">
        <f>IF(Tech_Specs!$F9="linear",TREND(Perform_Active!$K10:$L10,Perform_Active!$K$8:$L$8,AH$120),)</f>
        <v>0</v>
      </c>
      <c r="AI122" s="405">
        <f>IF(Tech_Specs!$F9="linear",TREND(Perform_Active!$K10:$L10,Perform_Active!$K$8:$L$8,AI$120),)</f>
        <v>0</v>
      </c>
      <c r="AJ122" s="405">
        <f>IF(Tech_Specs!$F9="linear",TREND(Perform_Active!$K10:$L10,Perform_Active!$K$8:$L$8,AJ$120),)</f>
        <v>0</v>
      </c>
      <c r="AK122" s="405">
        <f>IF(Tech_Specs!$F9="linear",TREND(Perform_Active!$K10:$L10,Perform_Active!$K$8:$L$8,AK$120),)</f>
        <v>0</v>
      </c>
      <c r="AL122" s="405">
        <f>IF(Tech_Specs!$F9="linear",TREND(Perform_Active!$K10:$L10,Perform_Active!$K$8:$L$8,AL$120),)</f>
        <v>0</v>
      </c>
      <c r="AM122" s="405">
        <f>IF(Tech_Specs!$F9="linear",TREND(Perform_Active!$K10:$L10,Perform_Active!$K$8:$L$8,AM$120),)</f>
        <v>0</v>
      </c>
      <c r="AN122" s="405">
        <f>IF(Tech_Specs!$F9="linear",TREND(Perform_Active!$K10:$L10,Perform_Active!$K$8:$L$8,AN$120),)</f>
        <v>0</v>
      </c>
      <c r="AO122" s="405">
        <f>IF(Tech_Specs!$F9="linear",TREND(Perform_Active!$K10:$L10,Perform_Active!$K$8:$L$8,AO$120),)</f>
        <v>0</v>
      </c>
      <c r="AP122" s="405">
        <f>IF(Tech_Specs!$F9="linear",TREND(Perform_Active!$K10:$L10,Perform_Active!$K$8:$L$8,AP$120),)</f>
        <v>0</v>
      </c>
      <c r="AQ122" s="405">
        <f>IF(Tech_Specs!$F9="linear",TREND(Perform_Active!$K10:$L10,Perform_Active!$K$8:$L$8,AQ$120),)</f>
        <v>0</v>
      </c>
      <c r="AR122" s="405">
        <f>IF(Tech_Specs!$F9="linear",TREND(Perform_Active!$K10:$L10,Perform_Active!$K$8:$L$8,AR$120),)</f>
        <v>0</v>
      </c>
      <c r="AS122" s="405">
        <f>IF(Tech_Specs!$F9="linear",TREND(Perform_Active!$K10:$L10,Perform_Active!$K$8:$L$8,AS$120),)</f>
        <v>0</v>
      </c>
      <c r="AT122" s="405">
        <f>IF(Tech_Specs!$F9="linear",TREND(Perform_Active!$K10:$L10,Perform_Active!$K$8:$L$8,AT$120),)</f>
        <v>0</v>
      </c>
      <c r="AU122" s="405">
        <f>IF(Tech_Specs!$F9="linear",TREND(Perform_Active!$K10:$L10,Perform_Active!$K$8:$L$8,AU$120),)</f>
        <v>0</v>
      </c>
      <c r="AV122" s="405">
        <f>IF(Tech_Specs!$F9="linear",TREND(Perform_Active!$K10:$L10,Perform_Active!$K$8:$L$8,AV$120),)</f>
        <v>0</v>
      </c>
      <c r="AW122" s="405">
        <f>IF(Tech_Specs!$F9="linear",TREND(Perform_Active!$K10:$L10,Perform_Active!$K$8:$L$8,AW$120),)</f>
        <v>0</v>
      </c>
      <c r="AX122" s="405">
        <f>IF(Tech_Specs!$F9="linear",TREND(Perform_Active!$K10:$L10,Perform_Active!$K$8:$L$8,AX$120),)</f>
        <v>0</v>
      </c>
      <c r="AY122" s="405">
        <f>IF(Tech_Specs!$F9="linear",TREND(Perform_Active!$K10:$L10,Perform_Active!$K$8:$L$8,AY$120),)</f>
        <v>0</v>
      </c>
      <c r="AZ122" s="405">
        <f>IF(Tech_Specs!$F9="linear",TREND(Perform_Active!$K10:$L10,Perform_Active!$K$8:$L$8,AZ$120),)</f>
        <v>0</v>
      </c>
      <c r="BA122" s="405">
        <f>IF(Tech_Specs!$F9="linear",TREND(Perform_Active!$K10:$L10,Perform_Active!$K$8:$L$8,BA$120),)</f>
        <v>0</v>
      </c>
      <c r="BB122" s="405">
        <f>IF(Tech_Specs!$F9="linear",TREND(Perform_Active!$K10:$L10,Perform_Active!$K$8:$L$8,BB$120),)</f>
        <v>0</v>
      </c>
      <c r="BC122" s="405">
        <f>IF(Tech_Specs!$F9="linear",TREND(Perform_Active!$K10:$L10,Perform_Active!$K$8:$L$8,BC$120),)</f>
        <v>0</v>
      </c>
      <c r="BD122" s="405">
        <f>IF(Tech_Specs!$F9="linear",TREND(Perform_Active!$K10:$L10,Perform_Active!$K$8:$L$8,BD$120),)</f>
        <v>0</v>
      </c>
      <c r="BE122" s="405">
        <f>IF(Tech_Specs!$F9="linear",TREND(Perform_Active!$K10:$L10,Perform_Active!$K$8:$L$8,BE$120),)</f>
        <v>0</v>
      </c>
      <c r="BF122" s="405">
        <f>IF(Tech_Specs!$F9="linear",TREND(Perform_Active!$K10:$L10,Perform_Active!$K$8:$L$8,BF$120),)</f>
        <v>0</v>
      </c>
      <c r="BG122" s="405">
        <f>IF(Tech_Specs!$F9="linear",TREND(Perform_Active!$K10:$L10,Perform_Active!$K$8:$L$8,BG$120),)</f>
        <v>0</v>
      </c>
      <c r="BI122" s="187">
        <f>IF(Tech_Specs!$F9="Constant",Perform_Active!$K10,)</f>
        <v>1</v>
      </c>
      <c r="BJ122" s="338">
        <f>IF(Tech_Specs!$F9="Constant",Perform_Active!$K10,)</f>
        <v>1</v>
      </c>
      <c r="BK122" s="338">
        <f>IF(Tech_Specs!$F9="Constant",Perform_Active!$K10,)</f>
        <v>1</v>
      </c>
      <c r="BL122" s="338">
        <f>IF(Tech_Specs!$F9="Constant",Perform_Active!$K10,)</f>
        <v>1</v>
      </c>
      <c r="BM122" s="338">
        <f>IF(Tech_Specs!$F9="Constant",Perform_Active!$K10,)</f>
        <v>1</v>
      </c>
      <c r="BN122" s="338">
        <f>IF(Tech_Specs!$F9="Constant",Perform_Active!$K10,)</f>
        <v>1</v>
      </c>
      <c r="BO122" s="338">
        <f>IF(Tech_Specs!$F9="Constant",Perform_Active!$K10,)</f>
        <v>1</v>
      </c>
      <c r="BP122" s="338">
        <f>IF(Tech_Specs!$F9="Constant",Perform_Active!$K10,)</f>
        <v>1</v>
      </c>
      <c r="BQ122" s="338">
        <f>IF(Tech_Specs!$F9="Constant",Perform_Active!$K10,)</f>
        <v>1</v>
      </c>
      <c r="BR122" s="338">
        <f>IF(Tech_Specs!$F9="Constant",Perform_Active!$K10,)</f>
        <v>1</v>
      </c>
      <c r="BS122" s="338">
        <f>IF(Tech_Specs!$F9="Constant",Perform_Active!$K10,)</f>
        <v>1</v>
      </c>
      <c r="BT122" s="338">
        <f>IF(Tech_Specs!$F9="Constant",Perform_Active!$K10,)</f>
        <v>1</v>
      </c>
      <c r="BU122" s="338">
        <f>IF(Tech_Specs!$F9="Constant",Perform_Active!$K10,)</f>
        <v>1</v>
      </c>
      <c r="BV122" s="338">
        <f>IF(Tech_Specs!$F9="Constant",Perform_Active!$K10,)</f>
        <v>1</v>
      </c>
      <c r="BW122" s="338">
        <f>IF(Tech_Specs!$F9="Constant",Perform_Active!$K10,)</f>
        <v>1</v>
      </c>
      <c r="BX122" s="338">
        <f>IF(Tech_Specs!$F9="Constant",Perform_Active!$K10,)</f>
        <v>1</v>
      </c>
      <c r="BY122" s="338">
        <f>IF(Tech_Specs!$F9="Constant",Perform_Active!$K10,)</f>
        <v>1</v>
      </c>
      <c r="BZ122" s="338">
        <f>IF(Tech_Specs!$F9="Constant",Perform_Active!$K10,)</f>
        <v>1</v>
      </c>
      <c r="CA122" s="338">
        <f>IF(Tech_Specs!$F9="Constant",Perform_Active!$K10,)</f>
        <v>1</v>
      </c>
      <c r="CB122" s="338">
        <f>IF(Tech_Specs!$F9="Constant",Perform_Active!$K10,)</f>
        <v>1</v>
      </c>
      <c r="CC122" s="338">
        <f>IF(Tech_Specs!$F9="Constant",Perform_Active!$K10,)</f>
        <v>1</v>
      </c>
      <c r="CD122" s="338">
        <f>IF(Tech_Specs!$F9="Constant",Perform_Active!$K10,)</f>
        <v>1</v>
      </c>
      <c r="CE122" s="338">
        <f>IF(Tech_Specs!$F9="Constant",Perform_Active!$K10,)</f>
        <v>1</v>
      </c>
      <c r="CF122" s="338">
        <f>IF(Tech_Specs!$F9="Constant",Perform_Active!$K10,)</f>
        <v>1</v>
      </c>
      <c r="CG122" s="338">
        <f>IF(Tech_Specs!$F9="Constant",Perform_Active!$K10,)</f>
        <v>1</v>
      </c>
      <c r="CH122" s="338">
        <f>IF(Tech_Specs!$F9="Constant",Perform_Active!$K10,)</f>
        <v>1</v>
      </c>
      <c r="CJ122" s="625">
        <f>IF(AND(Tech_Specs!$F9="step",Standards_Active!$S10="yes"),IF(ISNUMBER(Standards_Active!$W10),IF(CJ$120&gt;=Standards_Active!$R10,Standards_Active!$W10,IF(CJ$120&lt;Standards_Active!$Q10,Perform_Active!$K10,(Standards_Active!$W10-Perform_Active!$K10)/(Standards_Active!$R10-(Standards_Active!$Q10-1))+CI122)),Perform_Active!$K10),)</f>
        <v>0</v>
      </c>
      <c r="CK122" s="625">
        <f>IF(AND(Tech_Specs!$F9="step",Standards_Active!$S10="yes"),IF(ISNUMBER(Standards_Active!$W10),IF(CK$120&gt;=Standards_Active!$R10,Standards_Active!$W10,IF(CK$120&lt;Standards_Active!$Q10,Perform_Active!$K10,(Standards_Active!$W10-Perform_Active!$K10)/(Standards_Active!$R10-(Standards_Active!$Q10-1))+CJ122)),Perform_Active!$K10),)</f>
        <v>0</v>
      </c>
      <c r="CL122" s="625">
        <f>IF(AND(Tech_Specs!$F9="step",Standards_Active!$S10="yes"),IF(ISNUMBER(Standards_Active!$W10),IF(CL$120&gt;=Standards_Active!$R10,Standards_Active!$W10,IF(CL$120&lt;Standards_Active!$Q10,Perform_Active!$K10,(Standards_Active!$W10-Perform_Active!$K10)/(Standards_Active!$R10-(Standards_Active!$Q10-1))+CK122)),Perform_Active!$K10),)</f>
        <v>0</v>
      </c>
      <c r="CM122" s="625">
        <f>IF(AND(Tech_Specs!$F9="step",Standards_Active!$S10="yes"),IF(ISNUMBER(Standards_Active!$W10),IF(CM$120&gt;=Standards_Active!$R10,Standards_Active!$W10,IF(CM$120&lt;Standards_Active!$Q10,Perform_Active!$K10,(Standards_Active!$W10-Perform_Active!$K10)/(Standards_Active!$R10-(Standards_Active!$Q10-1))+CL122)),Perform_Active!$K10),)</f>
        <v>0</v>
      </c>
      <c r="CN122" s="625">
        <f>IF(AND(Tech_Specs!$F9="step",Standards_Active!$S10="yes"),IF(ISNUMBER(Standards_Active!$W10),IF(CN$120&gt;=Standards_Active!$R10,Standards_Active!$W10,IF(CN$120&lt;Standards_Active!$Q10,Perform_Active!$K10,(Standards_Active!$W10-Perform_Active!$K10)/(Standards_Active!$R10-(Standards_Active!$Q10-1))+CM122)),Perform_Active!$K10),)</f>
        <v>0</v>
      </c>
      <c r="CO122" s="625">
        <f>IF(AND(Tech_Specs!$F9="step",Standards_Active!$S10="yes"),IF(ISNUMBER(Standards_Active!$W10),IF(CO$120&gt;=Standards_Active!$R10,Standards_Active!$W10,IF(CO$120&lt;Standards_Active!$Q10,Perform_Active!$K10,(Standards_Active!$W10-Perform_Active!$K10)/(Standards_Active!$R10-(Standards_Active!$Q10-1))+CN122)),Perform_Active!$K10),)</f>
        <v>0</v>
      </c>
      <c r="CP122" s="625">
        <f>IF(AND(Tech_Specs!$F9="step",Standards_Active!$S10="yes"),IF(ISNUMBER(Standards_Active!$W10),IF(CP$120&gt;=Standards_Active!$R10,Standards_Active!$W10,IF(CP$120&lt;Standards_Active!$Q10,Perform_Active!$K10,(Standards_Active!$W10-Perform_Active!$K10)/(Standards_Active!$R10-(Standards_Active!$Q10-1))+CO122)),Perform_Active!$K10),)</f>
        <v>0</v>
      </c>
      <c r="CQ122" s="625">
        <f>IF(AND(Tech_Specs!$F9="step",Standards_Active!$S10="yes"),IF(ISNUMBER(Standards_Active!$W10),IF(CQ$120&gt;=Standards_Active!$R10,Standards_Active!$W10,IF(CQ$120&lt;Standards_Active!$Q10,Perform_Active!$K10,(Standards_Active!$W10-Perform_Active!$K10)/(Standards_Active!$R10-(Standards_Active!$Q10-1))+CP122)),Perform_Active!$K10),)</f>
        <v>0</v>
      </c>
      <c r="CR122" s="625">
        <f>IF(AND(Tech_Specs!$F9="step",Standards_Active!$S10="yes"),IF(ISNUMBER(Standards_Active!$W10),IF(CR$120&gt;=Standards_Active!$R10,Standards_Active!$W10,IF(CR$120&lt;Standards_Active!$Q10,Perform_Active!$K10,(Standards_Active!$W10-Perform_Active!$K10)/(Standards_Active!$R10-(Standards_Active!$Q10-1))+CQ122)),Perform_Active!$K10),)</f>
        <v>0</v>
      </c>
      <c r="CS122" s="625">
        <f>IF(AND(Tech_Specs!$F9="step",Standards_Active!$S10="yes"),IF(ISNUMBER(Standards_Active!$W10),IF(CS$120&gt;=Standards_Active!$R10,Standards_Active!$W10,IF(CS$120&lt;Standards_Active!$Q10,Perform_Active!$K10,(Standards_Active!$W10-Perform_Active!$K10)/(Standards_Active!$R10-(Standards_Active!$Q10-1))+CR122)),Perform_Active!$K10),)</f>
        <v>0</v>
      </c>
      <c r="CT122" s="625">
        <f>IF(AND(Tech_Specs!$F9="step",Standards_Active!$S10="yes"),IF(ISNUMBER(Standards_Active!$W10),IF(CT$120&gt;=Standards_Active!$R10,Standards_Active!$W10,IF(CT$120&lt;Standards_Active!$Q10,Perform_Active!$K10,(Standards_Active!$W10-Perform_Active!$K10)/(Standards_Active!$R10-(Standards_Active!$Q10-1))+CS122)),Perform_Active!$K10),)</f>
        <v>0</v>
      </c>
      <c r="CU122" s="625">
        <f>IF(AND(Tech_Specs!$F9="step",Standards_Active!$S10="yes"),IF(ISNUMBER(Standards_Active!$W10),IF(CU$120&gt;=Standards_Active!$R10,Standards_Active!$W10,IF(CU$120&lt;Standards_Active!$Q10,Perform_Active!$K10,(Standards_Active!$W10-Perform_Active!$K10)/(Standards_Active!$R10-(Standards_Active!$Q10-1))+CT122)),Perform_Active!$K10),)</f>
        <v>0</v>
      </c>
      <c r="CV122" s="625">
        <f>IF(AND(Tech_Specs!$F9="step",Standards_Active!$S10="yes"),IF(ISNUMBER(Standards_Active!$W10),IF(CV$120&gt;=Standards_Active!$R10,Standards_Active!$W10,IF(CV$120&lt;Standards_Active!$Q10,Perform_Active!$K10,(Standards_Active!$W10-Perform_Active!$K10)/(Standards_Active!$R10-(Standards_Active!$Q10-1))+CU122)),Perform_Active!$K10),)</f>
        <v>0</v>
      </c>
      <c r="CW122" s="625">
        <f>IF(AND(Tech_Specs!$F9="step",Standards_Active!$S10="yes"),IF(ISNUMBER(Standards_Active!$W10),IF(CW$120&gt;=Standards_Active!$R10,Standards_Active!$W10,IF(CW$120&lt;Standards_Active!$Q10,Perform_Active!$K10,(Standards_Active!$W10-Perform_Active!$K10)/(Standards_Active!$R10-(Standards_Active!$Q10-1))+CV122)),Perform_Active!$K10),)</f>
        <v>0</v>
      </c>
      <c r="CX122" s="625">
        <f>IF(AND(Tech_Specs!$F9="step",Standards_Active!$S10="yes"),IF(ISNUMBER(Standards_Active!$W10),IF(CX$120&gt;=Standards_Active!$R10,Standards_Active!$W10,IF(CX$120&lt;Standards_Active!$Q10,Perform_Active!$K10,(Standards_Active!$W10-Perform_Active!$K10)/(Standards_Active!$R10-(Standards_Active!$Q10-1))+CW122)),Perform_Active!$K10),)</f>
        <v>0</v>
      </c>
      <c r="CY122" s="625">
        <f>IF(AND(Tech_Specs!$F9="step",Standards_Active!$S10="yes"),IF(ISNUMBER(Standards_Active!$W10),IF(CY$120&gt;=Standards_Active!$R10,Standards_Active!$W10,IF(CY$120&lt;Standards_Active!$Q10,Perform_Active!$K10,(Standards_Active!$W10-Perform_Active!$K10)/(Standards_Active!$R10-(Standards_Active!$Q10-1))+CX122)),Perform_Active!$K10),)</f>
        <v>0</v>
      </c>
      <c r="CZ122" s="625">
        <f>IF(AND(Tech_Specs!$F9="step",Standards_Active!$S10="yes"),IF(ISNUMBER(Standards_Active!$W10),IF(CZ$120&gt;=Standards_Active!$R10,Standards_Active!$W10,IF(CZ$120&lt;Standards_Active!$Q10,Perform_Active!$K10,(Standards_Active!$W10-Perform_Active!$K10)/(Standards_Active!$R10-(Standards_Active!$Q10-1))+CY122)),Perform_Active!$K10),)</f>
        <v>0</v>
      </c>
      <c r="DA122" s="625">
        <f>IF(AND(Tech_Specs!$F9="step",Standards_Active!$S10="yes"),IF(ISNUMBER(Standards_Active!$W10),IF(DA$120&gt;=Standards_Active!$R10,Standards_Active!$W10,IF(DA$120&lt;Standards_Active!$Q10,Perform_Active!$K10,(Standards_Active!$W10-Perform_Active!$K10)/(Standards_Active!$R10-(Standards_Active!$Q10-1))+CZ122)),Perform_Active!$K10),)</f>
        <v>0</v>
      </c>
      <c r="DB122" s="625">
        <f>IF(AND(Tech_Specs!$F9="step",Standards_Active!$S10="yes"),IF(ISNUMBER(Standards_Active!$W10),IF(DB$120&gt;=Standards_Active!$R10,Standards_Active!$W10,IF(DB$120&lt;Standards_Active!$Q10,Perform_Active!$K10,(Standards_Active!$W10-Perform_Active!$K10)/(Standards_Active!$R10-(Standards_Active!$Q10-1))+DA122)),Perform_Active!$K10),)</f>
        <v>0</v>
      </c>
      <c r="DC122" s="625">
        <f>IF(AND(Tech_Specs!$F9="step",Standards_Active!$S10="yes"),IF(ISNUMBER(Standards_Active!$W10),IF(DC$120&gt;=Standards_Active!$R10,Standards_Active!$W10,IF(DC$120&lt;Standards_Active!$Q10,Perform_Active!$K10,(Standards_Active!$W10-Perform_Active!$K10)/(Standards_Active!$R10-(Standards_Active!$Q10-1))+DB122)),Perform_Active!$K10),)</f>
        <v>0</v>
      </c>
      <c r="DD122" s="625">
        <f>IF(AND(Tech_Specs!$F9="step",Standards_Active!$S10="yes"),IF(ISNUMBER(Standards_Active!$W10),IF(DD$120&gt;=Standards_Active!$R10,Standards_Active!$W10,IF(DD$120&lt;Standards_Active!$Q10,Perform_Active!$K10,(Standards_Active!$W10-Perform_Active!$K10)/(Standards_Active!$R10-(Standards_Active!$Q10-1))+DC122)),Perform_Active!$K10),)</f>
        <v>0</v>
      </c>
      <c r="DE122" s="625">
        <f>IF(AND(Tech_Specs!$F9="step",Standards_Active!$S10="yes"),IF(ISNUMBER(Standards_Active!$W10),IF(DE$120&gt;=Standards_Active!$R10,Standards_Active!$W10,IF(DE$120&lt;Standards_Active!$Q10,Perform_Active!$K10,(Standards_Active!$W10-Perform_Active!$K10)/(Standards_Active!$R10-(Standards_Active!$Q10-1))+DD122)),Perform_Active!$K10),)</f>
        <v>0</v>
      </c>
      <c r="DF122" s="625">
        <f>IF(AND(Tech_Specs!$F9="step",Standards_Active!$S10="yes"),IF(ISNUMBER(Standards_Active!$W10),IF(DF$120&gt;=Standards_Active!$R10,Standards_Active!$W10,IF(DF$120&lt;Standards_Active!$Q10,Perform_Active!$K10,(Standards_Active!$W10-Perform_Active!$K10)/(Standards_Active!$R10-(Standards_Active!$Q10-1))+DE122)),Perform_Active!$K10),)</f>
        <v>0</v>
      </c>
      <c r="DG122" s="625">
        <f>IF(AND(Tech_Specs!$F9="step",Standards_Active!$S10="yes"),IF(ISNUMBER(Standards_Active!$W10),IF(DG$120&gt;=Standards_Active!$R10,Standards_Active!$W10,IF(DG$120&lt;Standards_Active!$Q10,Perform_Active!$K10,(Standards_Active!$W10-Perform_Active!$K10)/(Standards_Active!$R10-(Standards_Active!$Q10-1))+DF122)),Perform_Active!$K10),)</f>
        <v>0</v>
      </c>
      <c r="DH122" s="625">
        <f>IF(AND(Tech_Specs!$F9="step",Standards_Active!$S10="yes"),IF(ISNUMBER(Standards_Active!$W10),IF(DH$120&gt;=Standards_Active!$R10,Standards_Active!$W10,IF(DH$120&lt;Standards_Active!$Q10,Perform_Active!$K10,(Standards_Active!$W10-Perform_Active!$K10)/(Standards_Active!$R10-(Standards_Active!$Q10-1))+DG122)),Perform_Active!$K10),)</f>
        <v>0</v>
      </c>
      <c r="DI122" s="625">
        <f>IF(AND(Tech_Specs!$F9="step",Standards_Active!$S10="yes"),IF(ISNUMBER(Standards_Active!$W10),IF(DI$120&gt;=Standards_Active!$R10,Standards_Active!$W10,IF(DI$120&lt;Standards_Active!$Q10,Perform_Active!$K10,(Standards_Active!$W10-Perform_Active!$K10)/(Standards_Active!$R10-(Standards_Active!$Q10-1))+DH122)),Perform_Active!$K10),)</f>
        <v>0</v>
      </c>
    </row>
    <row r="123" spans="1:113" s="81" customFormat="1" ht="12.6" x14ac:dyDescent="0.25">
      <c r="B123" s="81" t="s">
        <v>26</v>
      </c>
      <c r="C123" s="83"/>
      <c r="D123" s="379"/>
      <c r="E123" s="379"/>
      <c r="F123" s="379"/>
      <c r="G123" s="128">
        <f t="shared" si="36"/>
        <v>1</v>
      </c>
      <c r="H123" s="128">
        <f t="shared" si="36"/>
        <v>1</v>
      </c>
      <c r="I123" s="128">
        <f t="shared" si="36"/>
        <v>1</v>
      </c>
      <c r="J123" s="128">
        <f t="shared" si="36"/>
        <v>1</v>
      </c>
      <c r="K123" s="128">
        <f t="shared" si="36"/>
        <v>1</v>
      </c>
      <c r="L123" s="128">
        <f t="shared" si="36"/>
        <v>1</v>
      </c>
      <c r="M123" s="128">
        <f t="shared" si="36"/>
        <v>1</v>
      </c>
      <c r="N123" s="128">
        <f t="shared" si="36"/>
        <v>1</v>
      </c>
      <c r="O123" s="128">
        <f t="shared" si="36"/>
        <v>1</v>
      </c>
      <c r="P123" s="128">
        <f t="shared" si="36"/>
        <v>1</v>
      </c>
      <c r="Q123" s="128">
        <f t="shared" si="37"/>
        <v>1</v>
      </c>
      <c r="R123" s="128">
        <f t="shared" si="37"/>
        <v>1</v>
      </c>
      <c r="S123" s="128">
        <f t="shared" si="37"/>
        <v>1</v>
      </c>
      <c r="T123" s="128">
        <f t="shared" si="37"/>
        <v>1</v>
      </c>
      <c r="U123" s="128">
        <f t="shared" si="37"/>
        <v>1</v>
      </c>
      <c r="V123" s="128">
        <f t="shared" si="37"/>
        <v>1</v>
      </c>
      <c r="W123" s="128">
        <f t="shared" si="37"/>
        <v>1</v>
      </c>
      <c r="X123" s="128">
        <f t="shared" si="37"/>
        <v>1</v>
      </c>
      <c r="Y123" s="128">
        <f t="shared" si="37"/>
        <v>1</v>
      </c>
      <c r="Z123" s="128">
        <f t="shared" si="37"/>
        <v>1</v>
      </c>
      <c r="AA123" s="128">
        <f t="shared" si="38"/>
        <v>1</v>
      </c>
      <c r="AB123" s="128">
        <f t="shared" si="38"/>
        <v>1</v>
      </c>
      <c r="AC123" s="128">
        <f t="shared" si="38"/>
        <v>1</v>
      </c>
      <c r="AD123" s="128">
        <f t="shared" si="38"/>
        <v>1</v>
      </c>
      <c r="AE123" s="128">
        <f t="shared" si="38"/>
        <v>1</v>
      </c>
      <c r="AF123" s="128">
        <f t="shared" si="38"/>
        <v>1</v>
      </c>
      <c r="AH123" s="405">
        <f>IF(Tech_Specs!$F10="linear",TREND(Perform_Active!$K11:$L11,Perform_Active!$K$8:$L$8,AH$120),)</f>
        <v>0</v>
      </c>
      <c r="AI123" s="405">
        <f>IF(Tech_Specs!$F10="linear",TREND(Perform_Active!$K11:$L11,Perform_Active!$K$8:$L$8,AI$120),)</f>
        <v>0</v>
      </c>
      <c r="AJ123" s="405">
        <f>IF(Tech_Specs!$F10="linear",TREND(Perform_Active!$K11:$L11,Perform_Active!$K$8:$L$8,AJ$120),)</f>
        <v>0</v>
      </c>
      <c r="AK123" s="405">
        <f>IF(Tech_Specs!$F10="linear",TREND(Perform_Active!$K11:$L11,Perform_Active!$K$8:$L$8,AK$120),)</f>
        <v>0</v>
      </c>
      <c r="AL123" s="405">
        <f>IF(Tech_Specs!$F10="linear",TREND(Perform_Active!$K11:$L11,Perform_Active!$K$8:$L$8,AL$120),)</f>
        <v>0</v>
      </c>
      <c r="AM123" s="405">
        <f>IF(Tech_Specs!$F10="linear",TREND(Perform_Active!$K11:$L11,Perform_Active!$K$8:$L$8,AM$120),)</f>
        <v>0</v>
      </c>
      <c r="AN123" s="405">
        <f>IF(Tech_Specs!$F10="linear",TREND(Perform_Active!$K11:$L11,Perform_Active!$K$8:$L$8,AN$120),)</f>
        <v>0</v>
      </c>
      <c r="AO123" s="405">
        <f>IF(Tech_Specs!$F10="linear",TREND(Perform_Active!$K11:$L11,Perform_Active!$K$8:$L$8,AO$120),)</f>
        <v>0</v>
      </c>
      <c r="AP123" s="405">
        <f>IF(Tech_Specs!$F10="linear",TREND(Perform_Active!$K11:$L11,Perform_Active!$K$8:$L$8,AP$120),)</f>
        <v>0</v>
      </c>
      <c r="AQ123" s="405">
        <f>IF(Tech_Specs!$F10="linear",TREND(Perform_Active!$K11:$L11,Perform_Active!$K$8:$L$8,AQ$120),)</f>
        <v>0</v>
      </c>
      <c r="AR123" s="405">
        <f>IF(Tech_Specs!$F10="linear",TREND(Perform_Active!$K11:$L11,Perform_Active!$K$8:$L$8,AR$120),)</f>
        <v>0</v>
      </c>
      <c r="AS123" s="405">
        <f>IF(Tech_Specs!$F10="linear",TREND(Perform_Active!$K11:$L11,Perform_Active!$K$8:$L$8,AS$120),)</f>
        <v>0</v>
      </c>
      <c r="AT123" s="405">
        <f>IF(Tech_Specs!$F10="linear",TREND(Perform_Active!$K11:$L11,Perform_Active!$K$8:$L$8,AT$120),)</f>
        <v>0</v>
      </c>
      <c r="AU123" s="405">
        <f>IF(Tech_Specs!$F10="linear",TREND(Perform_Active!$K11:$L11,Perform_Active!$K$8:$L$8,AU$120),)</f>
        <v>0</v>
      </c>
      <c r="AV123" s="405">
        <f>IF(Tech_Specs!$F10="linear",TREND(Perform_Active!$K11:$L11,Perform_Active!$K$8:$L$8,AV$120),)</f>
        <v>0</v>
      </c>
      <c r="AW123" s="405">
        <f>IF(Tech_Specs!$F10="linear",TREND(Perform_Active!$K11:$L11,Perform_Active!$K$8:$L$8,AW$120),)</f>
        <v>0</v>
      </c>
      <c r="AX123" s="405">
        <f>IF(Tech_Specs!$F10="linear",TREND(Perform_Active!$K11:$L11,Perform_Active!$K$8:$L$8,AX$120),)</f>
        <v>0</v>
      </c>
      <c r="AY123" s="405">
        <f>IF(Tech_Specs!$F10="linear",TREND(Perform_Active!$K11:$L11,Perform_Active!$K$8:$L$8,AY$120),)</f>
        <v>0</v>
      </c>
      <c r="AZ123" s="405">
        <f>IF(Tech_Specs!$F10="linear",TREND(Perform_Active!$K11:$L11,Perform_Active!$K$8:$L$8,AZ$120),)</f>
        <v>0</v>
      </c>
      <c r="BA123" s="405">
        <f>IF(Tech_Specs!$F10="linear",TREND(Perform_Active!$K11:$L11,Perform_Active!$K$8:$L$8,BA$120),)</f>
        <v>0</v>
      </c>
      <c r="BB123" s="405">
        <f>IF(Tech_Specs!$F10="linear",TREND(Perform_Active!$K11:$L11,Perform_Active!$K$8:$L$8,BB$120),)</f>
        <v>0</v>
      </c>
      <c r="BC123" s="405">
        <f>IF(Tech_Specs!$F10="linear",TREND(Perform_Active!$K11:$L11,Perform_Active!$K$8:$L$8,BC$120),)</f>
        <v>0</v>
      </c>
      <c r="BD123" s="405">
        <f>IF(Tech_Specs!$F10="linear",TREND(Perform_Active!$K11:$L11,Perform_Active!$K$8:$L$8,BD$120),)</f>
        <v>0</v>
      </c>
      <c r="BE123" s="405">
        <f>IF(Tech_Specs!$F10="linear",TREND(Perform_Active!$K11:$L11,Perform_Active!$K$8:$L$8,BE$120),)</f>
        <v>0</v>
      </c>
      <c r="BF123" s="405">
        <f>IF(Tech_Specs!$F10="linear",TREND(Perform_Active!$K11:$L11,Perform_Active!$K$8:$L$8,BF$120),)</f>
        <v>0</v>
      </c>
      <c r="BG123" s="405">
        <f>IF(Tech_Specs!$F10="linear",TREND(Perform_Active!$K11:$L11,Perform_Active!$K$8:$L$8,BG$120),)</f>
        <v>0</v>
      </c>
      <c r="BI123" s="338">
        <f>IF(Tech_Specs!$F10="Constant",Perform_Active!$K11,)</f>
        <v>1</v>
      </c>
      <c r="BJ123" s="338">
        <f>IF(Tech_Specs!$F10="Constant",Perform_Active!$K11,)</f>
        <v>1</v>
      </c>
      <c r="BK123" s="338">
        <f>IF(Tech_Specs!$F10="Constant",Perform_Active!$K11,)</f>
        <v>1</v>
      </c>
      <c r="BL123" s="338">
        <f>IF(Tech_Specs!$F10="Constant",Perform_Active!$K11,)</f>
        <v>1</v>
      </c>
      <c r="BM123" s="338">
        <f>IF(Tech_Specs!$F10="Constant",Perform_Active!$K11,)</f>
        <v>1</v>
      </c>
      <c r="BN123" s="338">
        <f>IF(Tech_Specs!$F10="Constant",Perform_Active!$K11,)</f>
        <v>1</v>
      </c>
      <c r="BO123" s="338">
        <f>IF(Tech_Specs!$F10="Constant",Perform_Active!$K11,)</f>
        <v>1</v>
      </c>
      <c r="BP123" s="338">
        <f>IF(Tech_Specs!$F10="Constant",Perform_Active!$K11,)</f>
        <v>1</v>
      </c>
      <c r="BQ123" s="338">
        <f>IF(Tech_Specs!$F10="Constant",Perform_Active!$K11,)</f>
        <v>1</v>
      </c>
      <c r="BR123" s="338">
        <f>IF(Tech_Specs!$F10="Constant",Perform_Active!$K11,)</f>
        <v>1</v>
      </c>
      <c r="BS123" s="338">
        <f>IF(Tech_Specs!$F10="Constant",Perform_Active!$K11,)</f>
        <v>1</v>
      </c>
      <c r="BT123" s="338">
        <f>IF(Tech_Specs!$F10="Constant",Perform_Active!$K11,)</f>
        <v>1</v>
      </c>
      <c r="BU123" s="338">
        <f>IF(Tech_Specs!$F10="Constant",Perform_Active!$K11,)</f>
        <v>1</v>
      </c>
      <c r="BV123" s="338">
        <f>IF(Tech_Specs!$F10="Constant",Perform_Active!$K11,)</f>
        <v>1</v>
      </c>
      <c r="BW123" s="338">
        <f>IF(Tech_Specs!$F10="Constant",Perform_Active!$K11,)</f>
        <v>1</v>
      </c>
      <c r="BX123" s="338">
        <f>IF(Tech_Specs!$F10="Constant",Perform_Active!$K11,)</f>
        <v>1</v>
      </c>
      <c r="BY123" s="338">
        <f>IF(Tech_Specs!$F10="Constant",Perform_Active!$K11,)</f>
        <v>1</v>
      </c>
      <c r="BZ123" s="338">
        <f>IF(Tech_Specs!$F10="Constant",Perform_Active!$K11,)</f>
        <v>1</v>
      </c>
      <c r="CA123" s="338">
        <f>IF(Tech_Specs!$F10="Constant",Perform_Active!$K11,)</f>
        <v>1</v>
      </c>
      <c r="CB123" s="338">
        <f>IF(Tech_Specs!$F10="Constant",Perform_Active!$K11,)</f>
        <v>1</v>
      </c>
      <c r="CC123" s="338">
        <f>IF(Tech_Specs!$F10="Constant",Perform_Active!$K11,)</f>
        <v>1</v>
      </c>
      <c r="CD123" s="338">
        <f>IF(Tech_Specs!$F10="Constant",Perform_Active!$K11,)</f>
        <v>1</v>
      </c>
      <c r="CE123" s="338">
        <f>IF(Tech_Specs!$F10="Constant",Perform_Active!$K11,)</f>
        <v>1</v>
      </c>
      <c r="CF123" s="338">
        <f>IF(Tech_Specs!$F10="Constant",Perform_Active!$K11,)</f>
        <v>1</v>
      </c>
      <c r="CG123" s="338">
        <f>IF(Tech_Specs!$F10="Constant",Perform_Active!$K11,)</f>
        <v>1</v>
      </c>
      <c r="CH123" s="338">
        <f>IF(Tech_Specs!$F10="Constant",Perform_Active!$K11,)</f>
        <v>1</v>
      </c>
      <c r="CJ123" s="625">
        <f>IF(AND(Tech_Specs!$F10="step",Standards_Active!$S11="yes"),IF(ISNUMBER(Standards_Active!$W11),IF(CJ$120&gt;=Standards_Active!$R11,Standards_Active!$W11,IF(CJ$120&lt;Standards_Active!$Q11,Perform_Active!$K11,(Standards_Active!$W11-Perform_Active!$K11)/(Standards_Active!$R11-(Standards_Active!$Q11-1))+CI123)),Perform_Active!$K11),)</f>
        <v>0</v>
      </c>
      <c r="CK123" s="625">
        <f>IF(AND(Tech_Specs!$F10="step",Standards_Active!$S11="yes"),IF(ISNUMBER(Standards_Active!$W11),IF(CK$120&gt;=Standards_Active!$R11,Standards_Active!$W11,IF(CK$120&lt;Standards_Active!$Q11,Perform_Active!$K11,(Standards_Active!$W11-Perform_Active!$K11)/(Standards_Active!$R11-(Standards_Active!$Q11-1))+CJ123)),Perform_Active!$K11),)</f>
        <v>0</v>
      </c>
      <c r="CL123" s="625">
        <f>IF(AND(Tech_Specs!$F10="step",Standards_Active!$S11="yes"),IF(ISNUMBER(Standards_Active!$W11),IF(CL$120&gt;=Standards_Active!$R11,Standards_Active!$W11,IF(CL$120&lt;Standards_Active!$Q11,Perform_Active!$K11,(Standards_Active!$W11-Perform_Active!$K11)/(Standards_Active!$R11-(Standards_Active!$Q11-1))+CK123)),Perform_Active!$K11),)</f>
        <v>0</v>
      </c>
      <c r="CM123" s="625">
        <f>IF(AND(Tech_Specs!$F10="step",Standards_Active!$S11="yes"),IF(ISNUMBER(Standards_Active!$W11),IF(CM$120&gt;=Standards_Active!$R11,Standards_Active!$W11,IF(CM$120&lt;Standards_Active!$Q11,Perform_Active!$K11,(Standards_Active!$W11-Perform_Active!$K11)/(Standards_Active!$R11-(Standards_Active!$Q11-1))+CL123)),Perform_Active!$K11),)</f>
        <v>0</v>
      </c>
      <c r="CN123" s="625">
        <f>IF(AND(Tech_Specs!$F10="step",Standards_Active!$S11="yes"),IF(ISNUMBER(Standards_Active!$W11),IF(CN$120&gt;=Standards_Active!$R11,Standards_Active!$W11,IF(CN$120&lt;Standards_Active!$Q11,Perform_Active!$K11,(Standards_Active!$W11-Perform_Active!$K11)/(Standards_Active!$R11-(Standards_Active!$Q11-1))+CM123)),Perform_Active!$K11),)</f>
        <v>0</v>
      </c>
      <c r="CO123" s="625">
        <f>IF(AND(Tech_Specs!$F10="step",Standards_Active!$S11="yes"),IF(ISNUMBER(Standards_Active!$W11),IF(CO$120&gt;=Standards_Active!$R11,Standards_Active!$W11,IF(CO$120&lt;Standards_Active!$Q11,Perform_Active!$K11,(Standards_Active!$W11-Perform_Active!$K11)/(Standards_Active!$R11-(Standards_Active!$Q11-1))+CN123)),Perform_Active!$K11),)</f>
        <v>0</v>
      </c>
      <c r="CP123" s="625">
        <f>IF(AND(Tech_Specs!$F10="step",Standards_Active!$S11="yes"),IF(ISNUMBER(Standards_Active!$W11),IF(CP$120&gt;=Standards_Active!$R11,Standards_Active!$W11,IF(CP$120&lt;Standards_Active!$Q11,Perform_Active!$K11,(Standards_Active!$W11-Perform_Active!$K11)/(Standards_Active!$R11-(Standards_Active!$Q11-1))+CO123)),Perform_Active!$K11),)</f>
        <v>0</v>
      </c>
      <c r="CQ123" s="625">
        <f>IF(AND(Tech_Specs!$F10="step",Standards_Active!$S11="yes"),IF(ISNUMBER(Standards_Active!$W11),IF(CQ$120&gt;=Standards_Active!$R11,Standards_Active!$W11,IF(CQ$120&lt;Standards_Active!$Q11,Perform_Active!$K11,(Standards_Active!$W11-Perform_Active!$K11)/(Standards_Active!$R11-(Standards_Active!$Q11-1))+CP123)),Perform_Active!$K11),)</f>
        <v>0</v>
      </c>
      <c r="CR123" s="625">
        <f>IF(AND(Tech_Specs!$F10="step",Standards_Active!$S11="yes"),IF(ISNUMBER(Standards_Active!$W11),IF(CR$120&gt;=Standards_Active!$R11,Standards_Active!$W11,IF(CR$120&lt;Standards_Active!$Q11,Perform_Active!$K11,(Standards_Active!$W11-Perform_Active!$K11)/(Standards_Active!$R11-(Standards_Active!$Q11-1))+CQ123)),Perform_Active!$K11),)</f>
        <v>0</v>
      </c>
      <c r="CS123" s="625">
        <f>IF(AND(Tech_Specs!$F10="step",Standards_Active!$S11="yes"),IF(ISNUMBER(Standards_Active!$W11),IF(CS$120&gt;=Standards_Active!$R11,Standards_Active!$W11,IF(CS$120&lt;Standards_Active!$Q11,Perform_Active!$K11,(Standards_Active!$W11-Perform_Active!$K11)/(Standards_Active!$R11-(Standards_Active!$Q11-1))+CR123)),Perform_Active!$K11),)</f>
        <v>0</v>
      </c>
      <c r="CT123" s="625">
        <f>IF(AND(Tech_Specs!$F10="step",Standards_Active!$S11="yes"),IF(ISNUMBER(Standards_Active!$W11),IF(CT$120&gt;=Standards_Active!$R11,Standards_Active!$W11,IF(CT$120&lt;Standards_Active!$Q11,Perform_Active!$K11,(Standards_Active!$W11-Perform_Active!$K11)/(Standards_Active!$R11-(Standards_Active!$Q11-1))+CS123)),Perform_Active!$K11),)</f>
        <v>0</v>
      </c>
      <c r="CU123" s="625">
        <f>IF(AND(Tech_Specs!$F10="step",Standards_Active!$S11="yes"),IF(ISNUMBER(Standards_Active!$W11),IF(CU$120&gt;=Standards_Active!$R11,Standards_Active!$W11,IF(CU$120&lt;Standards_Active!$Q11,Perform_Active!$K11,(Standards_Active!$W11-Perform_Active!$K11)/(Standards_Active!$R11-(Standards_Active!$Q11-1))+CT123)),Perform_Active!$K11),)</f>
        <v>0</v>
      </c>
      <c r="CV123" s="625">
        <f>IF(AND(Tech_Specs!$F10="step",Standards_Active!$S11="yes"),IF(ISNUMBER(Standards_Active!$W11),IF(CV$120&gt;=Standards_Active!$R11,Standards_Active!$W11,IF(CV$120&lt;Standards_Active!$Q11,Perform_Active!$K11,(Standards_Active!$W11-Perform_Active!$K11)/(Standards_Active!$R11-(Standards_Active!$Q11-1))+CU123)),Perform_Active!$K11),)</f>
        <v>0</v>
      </c>
      <c r="CW123" s="625">
        <f>IF(AND(Tech_Specs!$F10="step",Standards_Active!$S11="yes"),IF(ISNUMBER(Standards_Active!$W11),IF(CW$120&gt;=Standards_Active!$R11,Standards_Active!$W11,IF(CW$120&lt;Standards_Active!$Q11,Perform_Active!$K11,(Standards_Active!$W11-Perform_Active!$K11)/(Standards_Active!$R11-(Standards_Active!$Q11-1))+CV123)),Perform_Active!$K11),)</f>
        <v>0</v>
      </c>
      <c r="CX123" s="625">
        <f>IF(AND(Tech_Specs!$F10="step",Standards_Active!$S11="yes"),IF(ISNUMBER(Standards_Active!$W11),IF(CX$120&gt;=Standards_Active!$R11,Standards_Active!$W11,IF(CX$120&lt;Standards_Active!$Q11,Perform_Active!$K11,(Standards_Active!$W11-Perform_Active!$K11)/(Standards_Active!$R11-(Standards_Active!$Q11-1))+CW123)),Perform_Active!$K11),)</f>
        <v>0</v>
      </c>
      <c r="CY123" s="625">
        <f>IF(AND(Tech_Specs!$F10="step",Standards_Active!$S11="yes"),IF(ISNUMBER(Standards_Active!$W11),IF(CY$120&gt;=Standards_Active!$R11,Standards_Active!$W11,IF(CY$120&lt;Standards_Active!$Q11,Perform_Active!$K11,(Standards_Active!$W11-Perform_Active!$K11)/(Standards_Active!$R11-(Standards_Active!$Q11-1))+CX123)),Perform_Active!$K11),)</f>
        <v>0</v>
      </c>
      <c r="CZ123" s="625">
        <f>IF(AND(Tech_Specs!$F10="step",Standards_Active!$S11="yes"),IF(ISNUMBER(Standards_Active!$W11),IF(CZ$120&gt;=Standards_Active!$R11,Standards_Active!$W11,IF(CZ$120&lt;Standards_Active!$Q11,Perform_Active!$K11,(Standards_Active!$W11-Perform_Active!$K11)/(Standards_Active!$R11-(Standards_Active!$Q11-1))+CY123)),Perform_Active!$K11),)</f>
        <v>0</v>
      </c>
      <c r="DA123" s="625">
        <f>IF(AND(Tech_Specs!$F10="step",Standards_Active!$S11="yes"),IF(ISNUMBER(Standards_Active!$W11),IF(DA$120&gt;=Standards_Active!$R11,Standards_Active!$W11,IF(DA$120&lt;Standards_Active!$Q11,Perform_Active!$K11,(Standards_Active!$W11-Perform_Active!$K11)/(Standards_Active!$R11-(Standards_Active!$Q11-1))+CZ123)),Perform_Active!$K11),)</f>
        <v>0</v>
      </c>
      <c r="DB123" s="625">
        <f>IF(AND(Tech_Specs!$F10="step",Standards_Active!$S11="yes"),IF(ISNUMBER(Standards_Active!$W11),IF(DB$120&gt;=Standards_Active!$R11,Standards_Active!$W11,IF(DB$120&lt;Standards_Active!$Q11,Perform_Active!$K11,(Standards_Active!$W11-Perform_Active!$K11)/(Standards_Active!$R11-(Standards_Active!$Q11-1))+DA123)),Perform_Active!$K11),)</f>
        <v>0</v>
      </c>
      <c r="DC123" s="625">
        <f>IF(AND(Tech_Specs!$F10="step",Standards_Active!$S11="yes"),IF(ISNUMBER(Standards_Active!$W11),IF(DC$120&gt;=Standards_Active!$R11,Standards_Active!$W11,IF(DC$120&lt;Standards_Active!$Q11,Perform_Active!$K11,(Standards_Active!$W11-Perform_Active!$K11)/(Standards_Active!$R11-(Standards_Active!$Q11-1))+DB123)),Perform_Active!$K11),)</f>
        <v>0</v>
      </c>
      <c r="DD123" s="625">
        <f>IF(AND(Tech_Specs!$F10="step",Standards_Active!$S11="yes"),IF(ISNUMBER(Standards_Active!$W11),IF(DD$120&gt;=Standards_Active!$R11,Standards_Active!$W11,IF(DD$120&lt;Standards_Active!$Q11,Perform_Active!$K11,(Standards_Active!$W11-Perform_Active!$K11)/(Standards_Active!$R11-(Standards_Active!$Q11-1))+DC123)),Perform_Active!$K11),)</f>
        <v>0</v>
      </c>
      <c r="DE123" s="625">
        <f>IF(AND(Tech_Specs!$F10="step",Standards_Active!$S11="yes"),IF(ISNUMBER(Standards_Active!$W11),IF(DE$120&gt;=Standards_Active!$R11,Standards_Active!$W11,IF(DE$120&lt;Standards_Active!$Q11,Perform_Active!$K11,(Standards_Active!$W11-Perform_Active!$K11)/(Standards_Active!$R11-(Standards_Active!$Q11-1))+DD123)),Perform_Active!$K11),)</f>
        <v>0</v>
      </c>
      <c r="DF123" s="625">
        <f>IF(AND(Tech_Specs!$F10="step",Standards_Active!$S11="yes"),IF(ISNUMBER(Standards_Active!$W11),IF(DF$120&gt;=Standards_Active!$R11,Standards_Active!$W11,IF(DF$120&lt;Standards_Active!$Q11,Perform_Active!$K11,(Standards_Active!$W11-Perform_Active!$K11)/(Standards_Active!$R11-(Standards_Active!$Q11-1))+DE123)),Perform_Active!$K11),)</f>
        <v>0</v>
      </c>
      <c r="DG123" s="625">
        <f>IF(AND(Tech_Specs!$F10="step",Standards_Active!$S11="yes"),IF(ISNUMBER(Standards_Active!$W11),IF(DG$120&gt;=Standards_Active!$R11,Standards_Active!$W11,IF(DG$120&lt;Standards_Active!$Q11,Perform_Active!$K11,(Standards_Active!$W11-Perform_Active!$K11)/(Standards_Active!$R11-(Standards_Active!$Q11-1))+DF123)),Perform_Active!$K11),)</f>
        <v>0</v>
      </c>
      <c r="DH123" s="625">
        <f>IF(AND(Tech_Specs!$F10="step",Standards_Active!$S11="yes"),IF(ISNUMBER(Standards_Active!$W11),IF(DH$120&gt;=Standards_Active!$R11,Standards_Active!$W11,IF(DH$120&lt;Standards_Active!$Q11,Perform_Active!$K11,(Standards_Active!$W11-Perform_Active!$K11)/(Standards_Active!$R11-(Standards_Active!$Q11-1))+DG123)),Perform_Active!$K11),)</f>
        <v>0</v>
      </c>
      <c r="DI123" s="625">
        <f>IF(AND(Tech_Specs!$F10="step",Standards_Active!$S11="yes"),IF(ISNUMBER(Standards_Active!$W11),IF(DI$120&gt;=Standards_Active!$R11,Standards_Active!$W11,IF(DI$120&lt;Standards_Active!$Q11,Perform_Active!$K11,(Standards_Active!$W11-Perform_Active!$K11)/(Standards_Active!$R11-(Standards_Active!$Q11-1))+DH123)),Perform_Active!$K11),)</f>
        <v>0</v>
      </c>
    </row>
    <row r="124" spans="1:113" s="81" customFormat="1" ht="12.6" x14ac:dyDescent="0.25">
      <c r="B124" s="81" t="s">
        <v>27</v>
      </c>
      <c r="C124" s="83"/>
      <c r="D124" s="379"/>
      <c r="E124" s="379"/>
      <c r="F124" s="379"/>
      <c r="G124" s="128">
        <f t="shared" si="36"/>
        <v>1</v>
      </c>
      <c r="H124" s="128">
        <f t="shared" si="36"/>
        <v>1</v>
      </c>
      <c r="I124" s="128">
        <f t="shared" si="36"/>
        <v>1</v>
      </c>
      <c r="J124" s="128">
        <f t="shared" si="36"/>
        <v>1</v>
      </c>
      <c r="K124" s="128">
        <f t="shared" si="36"/>
        <v>1</v>
      </c>
      <c r="L124" s="128">
        <f t="shared" si="36"/>
        <v>1</v>
      </c>
      <c r="M124" s="128">
        <f t="shared" si="36"/>
        <v>1</v>
      </c>
      <c r="N124" s="128">
        <f t="shared" si="36"/>
        <v>1</v>
      </c>
      <c r="O124" s="128">
        <f t="shared" si="36"/>
        <v>1</v>
      </c>
      <c r="P124" s="128">
        <f t="shared" si="36"/>
        <v>1</v>
      </c>
      <c r="Q124" s="128">
        <f t="shared" si="37"/>
        <v>1</v>
      </c>
      <c r="R124" s="128">
        <f t="shared" si="37"/>
        <v>1</v>
      </c>
      <c r="S124" s="128">
        <f t="shared" si="37"/>
        <v>1</v>
      </c>
      <c r="T124" s="128">
        <f t="shared" si="37"/>
        <v>1</v>
      </c>
      <c r="U124" s="128">
        <f t="shared" si="37"/>
        <v>1</v>
      </c>
      <c r="V124" s="128">
        <f t="shared" si="37"/>
        <v>1</v>
      </c>
      <c r="W124" s="128">
        <f t="shared" si="37"/>
        <v>1</v>
      </c>
      <c r="X124" s="128">
        <f t="shared" si="37"/>
        <v>1</v>
      </c>
      <c r="Y124" s="128">
        <f t="shared" si="37"/>
        <v>1</v>
      </c>
      <c r="Z124" s="128">
        <f t="shared" si="37"/>
        <v>1</v>
      </c>
      <c r="AA124" s="128">
        <f t="shared" si="38"/>
        <v>1</v>
      </c>
      <c r="AB124" s="128">
        <f t="shared" si="38"/>
        <v>1</v>
      </c>
      <c r="AC124" s="128">
        <f t="shared" si="38"/>
        <v>1</v>
      </c>
      <c r="AD124" s="128">
        <f t="shared" si="38"/>
        <v>1</v>
      </c>
      <c r="AE124" s="128">
        <f t="shared" si="38"/>
        <v>1</v>
      </c>
      <c r="AF124" s="128">
        <f t="shared" si="38"/>
        <v>1</v>
      </c>
      <c r="AH124" s="405">
        <f>IF(Tech_Specs!$F11="linear",TREND(Perform_Active!$K12:$L12,Perform_Active!$K$8:$L$8,AH$120),)</f>
        <v>0</v>
      </c>
      <c r="AI124" s="405">
        <f>IF(Tech_Specs!$F11="linear",TREND(Perform_Active!$K12:$L12,Perform_Active!$K$8:$L$8,AI$120),)</f>
        <v>0</v>
      </c>
      <c r="AJ124" s="405">
        <f>IF(Tech_Specs!$F11="linear",TREND(Perform_Active!$K12:$L12,Perform_Active!$K$8:$L$8,AJ$120),)</f>
        <v>0</v>
      </c>
      <c r="AK124" s="405">
        <f>IF(Tech_Specs!$F11="linear",TREND(Perform_Active!$K12:$L12,Perform_Active!$K$8:$L$8,AK$120),)</f>
        <v>0</v>
      </c>
      <c r="AL124" s="405">
        <f>IF(Tech_Specs!$F11="linear",TREND(Perform_Active!$K12:$L12,Perform_Active!$K$8:$L$8,AL$120),)</f>
        <v>0</v>
      </c>
      <c r="AM124" s="405">
        <f>IF(Tech_Specs!$F11="linear",TREND(Perform_Active!$K12:$L12,Perform_Active!$K$8:$L$8,AM$120),)</f>
        <v>0</v>
      </c>
      <c r="AN124" s="405">
        <f>IF(Tech_Specs!$F11="linear",TREND(Perform_Active!$K12:$L12,Perform_Active!$K$8:$L$8,AN$120),)</f>
        <v>0</v>
      </c>
      <c r="AO124" s="405">
        <f>IF(Tech_Specs!$F11="linear",TREND(Perform_Active!$K12:$L12,Perform_Active!$K$8:$L$8,AO$120),)</f>
        <v>0</v>
      </c>
      <c r="AP124" s="405">
        <f>IF(Tech_Specs!$F11="linear",TREND(Perform_Active!$K12:$L12,Perform_Active!$K$8:$L$8,AP$120),)</f>
        <v>0</v>
      </c>
      <c r="AQ124" s="405">
        <f>IF(Tech_Specs!$F11="linear",TREND(Perform_Active!$K12:$L12,Perform_Active!$K$8:$L$8,AQ$120),)</f>
        <v>0</v>
      </c>
      <c r="AR124" s="405">
        <f>IF(Tech_Specs!$F11="linear",TREND(Perform_Active!$K12:$L12,Perform_Active!$K$8:$L$8,AR$120),)</f>
        <v>0</v>
      </c>
      <c r="AS124" s="405">
        <f>IF(Tech_Specs!$F11="linear",TREND(Perform_Active!$K12:$L12,Perform_Active!$K$8:$L$8,AS$120),)</f>
        <v>0</v>
      </c>
      <c r="AT124" s="405">
        <f>IF(Tech_Specs!$F11="linear",TREND(Perform_Active!$K12:$L12,Perform_Active!$K$8:$L$8,AT$120),)</f>
        <v>0</v>
      </c>
      <c r="AU124" s="405">
        <f>IF(Tech_Specs!$F11="linear",TREND(Perform_Active!$K12:$L12,Perform_Active!$K$8:$L$8,AU$120),)</f>
        <v>0</v>
      </c>
      <c r="AV124" s="405">
        <f>IF(Tech_Specs!$F11="linear",TREND(Perform_Active!$K12:$L12,Perform_Active!$K$8:$L$8,AV$120),)</f>
        <v>0</v>
      </c>
      <c r="AW124" s="405">
        <f>IF(Tech_Specs!$F11="linear",TREND(Perform_Active!$K12:$L12,Perform_Active!$K$8:$L$8,AW$120),)</f>
        <v>0</v>
      </c>
      <c r="AX124" s="405">
        <f>IF(Tech_Specs!$F11="linear",TREND(Perform_Active!$K12:$L12,Perform_Active!$K$8:$L$8,AX$120),)</f>
        <v>0</v>
      </c>
      <c r="AY124" s="405">
        <f>IF(Tech_Specs!$F11="linear",TREND(Perform_Active!$K12:$L12,Perform_Active!$K$8:$L$8,AY$120),)</f>
        <v>0</v>
      </c>
      <c r="AZ124" s="405">
        <f>IF(Tech_Specs!$F11="linear",TREND(Perform_Active!$K12:$L12,Perform_Active!$K$8:$L$8,AZ$120),)</f>
        <v>0</v>
      </c>
      <c r="BA124" s="405">
        <f>IF(Tech_Specs!$F11="linear",TREND(Perform_Active!$K12:$L12,Perform_Active!$K$8:$L$8,BA$120),)</f>
        <v>0</v>
      </c>
      <c r="BB124" s="405">
        <f>IF(Tech_Specs!$F11="linear",TREND(Perform_Active!$K12:$L12,Perform_Active!$K$8:$L$8,BB$120),)</f>
        <v>0</v>
      </c>
      <c r="BC124" s="405">
        <f>IF(Tech_Specs!$F11="linear",TREND(Perform_Active!$K12:$L12,Perform_Active!$K$8:$L$8,BC$120),)</f>
        <v>0</v>
      </c>
      <c r="BD124" s="405">
        <f>IF(Tech_Specs!$F11="linear",TREND(Perform_Active!$K12:$L12,Perform_Active!$K$8:$L$8,BD$120),)</f>
        <v>0</v>
      </c>
      <c r="BE124" s="405">
        <f>IF(Tech_Specs!$F11="linear",TREND(Perform_Active!$K12:$L12,Perform_Active!$K$8:$L$8,BE$120),)</f>
        <v>0</v>
      </c>
      <c r="BF124" s="405">
        <f>IF(Tech_Specs!$F11="linear",TREND(Perform_Active!$K12:$L12,Perform_Active!$K$8:$L$8,BF$120),)</f>
        <v>0</v>
      </c>
      <c r="BG124" s="405">
        <f>IF(Tech_Specs!$F11="linear",TREND(Perform_Active!$K12:$L12,Perform_Active!$K$8:$L$8,BG$120),)</f>
        <v>0</v>
      </c>
      <c r="BI124" s="338">
        <f>IF(Tech_Specs!$F11="Constant",Perform_Active!$K12,)</f>
        <v>1</v>
      </c>
      <c r="BJ124" s="338">
        <f>IF(Tech_Specs!$F11="Constant",Perform_Active!$K12,)</f>
        <v>1</v>
      </c>
      <c r="BK124" s="338">
        <f>IF(Tech_Specs!$F11="Constant",Perform_Active!$K12,)</f>
        <v>1</v>
      </c>
      <c r="BL124" s="338">
        <f>IF(Tech_Specs!$F11="Constant",Perform_Active!$K12,)</f>
        <v>1</v>
      </c>
      <c r="BM124" s="338">
        <f>IF(Tech_Specs!$F11="Constant",Perform_Active!$K12,)</f>
        <v>1</v>
      </c>
      <c r="BN124" s="338">
        <f>IF(Tech_Specs!$F11="Constant",Perform_Active!$K12,)</f>
        <v>1</v>
      </c>
      <c r="BO124" s="338">
        <f>IF(Tech_Specs!$F11="Constant",Perform_Active!$K12,)</f>
        <v>1</v>
      </c>
      <c r="BP124" s="338">
        <f>IF(Tech_Specs!$F11="Constant",Perform_Active!$K12,)</f>
        <v>1</v>
      </c>
      <c r="BQ124" s="338">
        <f>IF(Tech_Specs!$F11="Constant",Perform_Active!$K12,)</f>
        <v>1</v>
      </c>
      <c r="BR124" s="338">
        <f>IF(Tech_Specs!$F11="Constant",Perform_Active!$K12,)</f>
        <v>1</v>
      </c>
      <c r="BS124" s="338">
        <f>IF(Tech_Specs!$F11="Constant",Perform_Active!$K12,)</f>
        <v>1</v>
      </c>
      <c r="BT124" s="338">
        <f>IF(Tech_Specs!$F11="Constant",Perform_Active!$K12,)</f>
        <v>1</v>
      </c>
      <c r="BU124" s="338">
        <f>IF(Tech_Specs!$F11="Constant",Perform_Active!$K12,)</f>
        <v>1</v>
      </c>
      <c r="BV124" s="338">
        <f>IF(Tech_Specs!$F11="Constant",Perform_Active!$K12,)</f>
        <v>1</v>
      </c>
      <c r="BW124" s="338">
        <f>IF(Tech_Specs!$F11="Constant",Perform_Active!$K12,)</f>
        <v>1</v>
      </c>
      <c r="BX124" s="338">
        <f>IF(Tech_Specs!$F11="Constant",Perform_Active!$K12,)</f>
        <v>1</v>
      </c>
      <c r="BY124" s="338">
        <f>IF(Tech_Specs!$F11="Constant",Perform_Active!$K12,)</f>
        <v>1</v>
      </c>
      <c r="BZ124" s="338">
        <f>IF(Tech_Specs!$F11="Constant",Perform_Active!$K12,)</f>
        <v>1</v>
      </c>
      <c r="CA124" s="338">
        <f>IF(Tech_Specs!$F11="Constant",Perform_Active!$K12,)</f>
        <v>1</v>
      </c>
      <c r="CB124" s="338">
        <f>IF(Tech_Specs!$F11="Constant",Perform_Active!$K12,)</f>
        <v>1</v>
      </c>
      <c r="CC124" s="338">
        <f>IF(Tech_Specs!$F11="Constant",Perform_Active!$K12,)</f>
        <v>1</v>
      </c>
      <c r="CD124" s="338">
        <f>IF(Tech_Specs!$F11="Constant",Perform_Active!$K12,)</f>
        <v>1</v>
      </c>
      <c r="CE124" s="338">
        <f>IF(Tech_Specs!$F11="Constant",Perform_Active!$K12,)</f>
        <v>1</v>
      </c>
      <c r="CF124" s="338">
        <f>IF(Tech_Specs!$F11="Constant",Perform_Active!$K12,)</f>
        <v>1</v>
      </c>
      <c r="CG124" s="338">
        <f>IF(Tech_Specs!$F11="Constant",Perform_Active!$K12,)</f>
        <v>1</v>
      </c>
      <c r="CH124" s="338">
        <f>IF(Tech_Specs!$F11="Constant",Perform_Active!$K12,)</f>
        <v>1</v>
      </c>
      <c r="CJ124" s="625">
        <f>IF(AND(Tech_Specs!$F11="step",Standards_Active!$S12="yes"),IF(ISNUMBER(Standards_Active!$W12),IF(CJ$120&gt;=Standards_Active!$R12,Standards_Active!$W12,IF(CJ$120&lt;Standards_Active!$Q12,Perform_Active!$K12,(Standards_Active!$W12-Perform_Active!$K12)/(Standards_Active!$R12-(Standards_Active!$Q12-1))+CI124)),Perform_Active!$K12),)</f>
        <v>0</v>
      </c>
      <c r="CK124" s="625">
        <f>IF(AND(Tech_Specs!$F11="step",Standards_Active!$S12="yes"),IF(ISNUMBER(Standards_Active!$W12),IF(CK$120&gt;=Standards_Active!$R12,Standards_Active!$W12,IF(CK$120&lt;Standards_Active!$Q12,Perform_Active!$K12,(Standards_Active!$W12-Perform_Active!$K12)/(Standards_Active!$R12-(Standards_Active!$Q12-1))+CJ124)),Perform_Active!$K12),)</f>
        <v>0</v>
      </c>
      <c r="CL124" s="625">
        <f>IF(AND(Tech_Specs!$F11="step",Standards_Active!$S12="yes"),IF(ISNUMBER(Standards_Active!$W12),IF(CL$120&gt;=Standards_Active!$R12,Standards_Active!$W12,IF(CL$120&lt;Standards_Active!$Q12,Perform_Active!$K12,(Standards_Active!$W12-Perform_Active!$K12)/(Standards_Active!$R12-(Standards_Active!$Q12-1))+CK124)),Perform_Active!$K12),)</f>
        <v>0</v>
      </c>
      <c r="CM124" s="625">
        <f>IF(AND(Tech_Specs!$F11="step",Standards_Active!$S12="yes"),IF(ISNUMBER(Standards_Active!$W12),IF(CM$120&gt;=Standards_Active!$R12,Standards_Active!$W12,IF(CM$120&lt;Standards_Active!$Q12,Perform_Active!$K12,(Standards_Active!$W12-Perform_Active!$K12)/(Standards_Active!$R12-(Standards_Active!$Q12-1))+CL124)),Perform_Active!$K12),)</f>
        <v>0</v>
      </c>
      <c r="CN124" s="625">
        <f>IF(AND(Tech_Specs!$F11="step",Standards_Active!$S12="yes"),IF(ISNUMBER(Standards_Active!$W12),IF(CN$120&gt;=Standards_Active!$R12,Standards_Active!$W12,IF(CN$120&lt;Standards_Active!$Q12,Perform_Active!$K12,(Standards_Active!$W12-Perform_Active!$K12)/(Standards_Active!$R12-(Standards_Active!$Q12-1))+CM124)),Perform_Active!$K12),)</f>
        <v>0</v>
      </c>
      <c r="CO124" s="625">
        <f>IF(AND(Tech_Specs!$F11="step",Standards_Active!$S12="yes"),IF(ISNUMBER(Standards_Active!$W12),IF(CO$120&gt;=Standards_Active!$R12,Standards_Active!$W12,IF(CO$120&lt;Standards_Active!$Q12,Perform_Active!$K12,(Standards_Active!$W12-Perform_Active!$K12)/(Standards_Active!$R12-(Standards_Active!$Q12-1))+CN124)),Perform_Active!$K12),)</f>
        <v>0</v>
      </c>
      <c r="CP124" s="625">
        <f>IF(AND(Tech_Specs!$F11="step",Standards_Active!$S12="yes"),IF(ISNUMBER(Standards_Active!$W12),IF(CP$120&gt;=Standards_Active!$R12,Standards_Active!$W12,IF(CP$120&lt;Standards_Active!$Q12,Perform_Active!$K12,(Standards_Active!$W12-Perform_Active!$K12)/(Standards_Active!$R12-(Standards_Active!$Q12-1))+CO124)),Perform_Active!$K12),)</f>
        <v>0</v>
      </c>
      <c r="CQ124" s="625">
        <f>IF(AND(Tech_Specs!$F11="step",Standards_Active!$S12="yes"),IF(ISNUMBER(Standards_Active!$W12),IF(CQ$120&gt;=Standards_Active!$R12,Standards_Active!$W12,IF(CQ$120&lt;Standards_Active!$Q12,Perform_Active!$K12,(Standards_Active!$W12-Perform_Active!$K12)/(Standards_Active!$R12-(Standards_Active!$Q12-1))+CP124)),Perform_Active!$K12),)</f>
        <v>0</v>
      </c>
      <c r="CR124" s="625">
        <f>IF(AND(Tech_Specs!$F11="step",Standards_Active!$S12="yes"),IF(ISNUMBER(Standards_Active!$W12),IF(CR$120&gt;=Standards_Active!$R12,Standards_Active!$W12,IF(CR$120&lt;Standards_Active!$Q12,Perform_Active!$K12,(Standards_Active!$W12-Perform_Active!$K12)/(Standards_Active!$R12-(Standards_Active!$Q12-1))+CQ124)),Perform_Active!$K12),)</f>
        <v>0</v>
      </c>
      <c r="CS124" s="625">
        <f>IF(AND(Tech_Specs!$F11="step",Standards_Active!$S12="yes"),IF(ISNUMBER(Standards_Active!$W12),IF(CS$120&gt;=Standards_Active!$R12,Standards_Active!$W12,IF(CS$120&lt;Standards_Active!$Q12,Perform_Active!$K12,(Standards_Active!$W12-Perform_Active!$K12)/(Standards_Active!$R12-(Standards_Active!$Q12-1))+CR124)),Perform_Active!$K12),)</f>
        <v>0</v>
      </c>
      <c r="CT124" s="625">
        <f>IF(AND(Tech_Specs!$F11="step",Standards_Active!$S12="yes"),IF(ISNUMBER(Standards_Active!$W12),IF(CT$120&gt;=Standards_Active!$R12,Standards_Active!$W12,IF(CT$120&lt;Standards_Active!$Q12,Perform_Active!$K12,(Standards_Active!$W12-Perform_Active!$K12)/(Standards_Active!$R12-(Standards_Active!$Q12-1))+CS124)),Perform_Active!$K12),)</f>
        <v>0</v>
      </c>
      <c r="CU124" s="625">
        <f>IF(AND(Tech_Specs!$F11="step",Standards_Active!$S12="yes"),IF(ISNUMBER(Standards_Active!$W12),IF(CU$120&gt;=Standards_Active!$R12,Standards_Active!$W12,IF(CU$120&lt;Standards_Active!$Q12,Perform_Active!$K12,(Standards_Active!$W12-Perform_Active!$K12)/(Standards_Active!$R12-(Standards_Active!$Q12-1))+CT124)),Perform_Active!$K12),)</f>
        <v>0</v>
      </c>
      <c r="CV124" s="625">
        <f>IF(AND(Tech_Specs!$F11="step",Standards_Active!$S12="yes"),IF(ISNUMBER(Standards_Active!$W12),IF(CV$120&gt;=Standards_Active!$R12,Standards_Active!$W12,IF(CV$120&lt;Standards_Active!$Q12,Perform_Active!$K12,(Standards_Active!$W12-Perform_Active!$K12)/(Standards_Active!$R12-(Standards_Active!$Q12-1))+CU124)),Perform_Active!$K12),)</f>
        <v>0</v>
      </c>
      <c r="CW124" s="625">
        <f>IF(AND(Tech_Specs!$F11="step",Standards_Active!$S12="yes"),IF(ISNUMBER(Standards_Active!$W12),IF(CW$120&gt;=Standards_Active!$R12,Standards_Active!$W12,IF(CW$120&lt;Standards_Active!$Q12,Perform_Active!$K12,(Standards_Active!$W12-Perform_Active!$K12)/(Standards_Active!$R12-(Standards_Active!$Q12-1))+CV124)),Perform_Active!$K12),)</f>
        <v>0</v>
      </c>
      <c r="CX124" s="625">
        <f>IF(AND(Tech_Specs!$F11="step",Standards_Active!$S12="yes"),IF(ISNUMBER(Standards_Active!$W12),IF(CX$120&gt;=Standards_Active!$R12,Standards_Active!$W12,IF(CX$120&lt;Standards_Active!$Q12,Perform_Active!$K12,(Standards_Active!$W12-Perform_Active!$K12)/(Standards_Active!$R12-(Standards_Active!$Q12-1))+CW124)),Perform_Active!$K12),)</f>
        <v>0</v>
      </c>
      <c r="CY124" s="625">
        <f>IF(AND(Tech_Specs!$F11="step",Standards_Active!$S12="yes"),IF(ISNUMBER(Standards_Active!$W12),IF(CY$120&gt;=Standards_Active!$R12,Standards_Active!$W12,IF(CY$120&lt;Standards_Active!$Q12,Perform_Active!$K12,(Standards_Active!$W12-Perform_Active!$K12)/(Standards_Active!$R12-(Standards_Active!$Q12-1))+CX124)),Perform_Active!$K12),)</f>
        <v>0</v>
      </c>
      <c r="CZ124" s="625">
        <f>IF(AND(Tech_Specs!$F11="step",Standards_Active!$S12="yes"),IF(ISNUMBER(Standards_Active!$W12),IF(CZ$120&gt;=Standards_Active!$R12,Standards_Active!$W12,IF(CZ$120&lt;Standards_Active!$Q12,Perform_Active!$K12,(Standards_Active!$W12-Perform_Active!$K12)/(Standards_Active!$R12-(Standards_Active!$Q12-1))+CY124)),Perform_Active!$K12),)</f>
        <v>0</v>
      </c>
      <c r="DA124" s="625">
        <f>IF(AND(Tech_Specs!$F11="step",Standards_Active!$S12="yes"),IF(ISNUMBER(Standards_Active!$W12),IF(DA$120&gt;=Standards_Active!$R12,Standards_Active!$W12,IF(DA$120&lt;Standards_Active!$Q12,Perform_Active!$K12,(Standards_Active!$W12-Perform_Active!$K12)/(Standards_Active!$R12-(Standards_Active!$Q12-1))+CZ124)),Perform_Active!$K12),)</f>
        <v>0</v>
      </c>
      <c r="DB124" s="625">
        <f>IF(AND(Tech_Specs!$F11="step",Standards_Active!$S12="yes"),IF(ISNUMBER(Standards_Active!$W12),IF(DB$120&gt;=Standards_Active!$R12,Standards_Active!$W12,IF(DB$120&lt;Standards_Active!$Q12,Perform_Active!$K12,(Standards_Active!$W12-Perform_Active!$K12)/(Standards_Active!$R12-(Standards_Active!$Q12-1))+DA124)),Perform_Active!$K12),)</f>
        <v>0</v>
      </c>
      <c r="DC124" s="625">
        <f>IF(AND(Tech_Specs!$F11="step",Standards_Active!$S12="yes"),IF(ISNUMBER(Standards_Active!$W12),IF(DC$120&gt;=Standards_Active!$R12,Standards_Active!$W12,IF(DC$120&lt;Standards_Active!$Q12,Perform_Active!$K12,(Standards_Active!$W12-Perform_Active!$K12)/(Standards_Active!$R12-(Standards_Active!$Q12-1))+DB124)),Perform_Active!$K12),)</f>
        <v>0</v>
      </c>
      <c r="DD124" s="625">
        <f>IF(AND(Tech_Specs!$F11="step",Standards_Active!$S12="yes"),IF(ISNUMBER(Standards_Active!$W12),IF(DD$120&gt;=Standards_Active!$R12,Standards_Active!$W12,IF(DD$120&lt;Standards_Active!$Q12,Perform_Active!$K12,(Standards_Active!$W12-Perform_Active!$K12)/(Standards_Active!$R12-(Standards_Active!$Q12-1))+DC124)),Perform_Active!$K12),)</f>
        <v>0</v>
      </c>
      <c r="DE124" s="625">
        <f>IF(AND(Tech_Specs!$F11="step",Standards_Active!$S12="yes"),IF(ISNUMBER(Standards_Active!$W12),IF(DE$120&gt;=Standards_Active!$R12,Standards_Active!$W12,IF(DE$120&lt;Standards_Active!$Q12,Perform_Active!$K12,(Standards_Active!$W12-Perform_Active!$K12)/(Standards_Active!$R12-(Standards_Active!$Q12-1))+DD124)),Perform_Active!$K12),)</f>
        <v>0</v>
      </c>
      <c r="DF124" s="625">
        <f>IF(AND(Tech_Specs!$F11="step",Standards_Active!$S12="yes"),IF(ISNUMBER(Standards_Active!$W12),IF(DF$120&gt;=Standards_Active!$R12,Standards_Active!$W12,IF(DF$120&lt;Standards_Active!$Q12,Perform_Active!$K12,(Standards_Active!$W12-Perform_Active!$K12)/(Standards_Active!$R12-(Standards_Active!$Q12-1))+DE124)),Perform_Active!$K12),)</f>
        <v>0</v>
      </c>
      <c r="DG124" s="625">
        <f>IF(AND(Tech_Specs!$F11="step",Standards_Active!$S12="yes"),IF(ISNUMBER(Standards_Active!$W12),IF(DG$120&gt;=Standards_Active!$R12,Standards_Active!$W12,IF(DG$120&lt;Standards_Active!$Q12,Perform_Active!$K12,(Standards_Active!$W12-Perform_Active!$K12)/(Standards_Active!$R12-(Standards_Active!$Q12-1))+DF124)),Perform_Active!$K12),)</f>
        <v>0</v>
      </c>
      <c r="DH124" s="625">
        <f>IF(AND(Tech_Specs!$F11="step",Standards_Active!$S12="yes"),IF(ISNUMBER(Standards_Active!$W12),IF(DH$120&gt;=Standards_Active!$R12,Standards_Active!$W12,IF(DH$120&lt;Standards_Active!$Q12,Perform_Active!$K12,(Standards_Active!$W12-Perform_Active!$K12)/(Standards_Active!$R12-(Standards_Active!$Q12-1))+DG124)),Perform_Active!$K12),)</f>
        <v>0</v>
      </c>
      <c r="DI124" s="625">
        <f>IF(AND(Tech_Specs!$F11="step",Standards_Active!$S12="yes"),IF(ISNUMBER(Standards_Active!$W12),IF(DI$120&gt;=Standards_Active!$R12,Standards_Active!$W12,IF(DI$120&lt;Standards_Active!$Q12,Perform_Active!$K12,(Standards_Active!$W12-Perform_Active!$K12)/(Standards_Active!$R12-(Standards_Active!$Q12-1))+DH124)),Perform_Active!$K12),)</f>
        <v>0</v>
      </c>
    </row>
    <row r="125" spans="1:113" s="81" customFormat="1" ht="12.6" x14ac:dyDescent="0.25">
      <c r="B125" s="81" t="s">
        <v>29</v>
      </c>
      <c r="C125" s="83"/>
      <c r="D125" s="379"/>
      <c r="E125" s="379"/>
      <c r="F125" s="379"/>
      <c r="G125" s="128">
        <f t="shared" si="36"/>
        <v>1</v>
      </c>
      <c r="H125" s="128">
        <f t="shared" si="36"/>
        <v>1</v>
      </c>
      <c r="I125" s="128">
        <f t="shared" si="36"/>
        <v>1</v>
      </c>
      <c r="J125" s="128">
        <f t="shared" si="36"/>
        <v>1</v>
      </c>
      <c r="K125" s="128">
        <f t="shared" si="36"/>
        <v>1</v>
      </c>
      <c r="L125" s="128">
        <f t="shared" si="36"/>
        <v>1</v>
      </c>
      <c r="M125" s="128">
        <f t="shared" si="36"/>
        <v>1</v>
      </c>
      <c r="N125" s="128">
        <f t="shared" si="36"/>
        <v>1</v>
      </c>
      <c r="O125" s="128">
        <f t="shared" si="36"/>
        <v>1</v>
      </c>
      <c r="P125" s="128">
        <f t="shared" si="36"/>
        <v>1</v>
      </c>
      <c r="Q125" s="128">
        <f t="shared" si="37"/>
        <v>1</v>
      </c>
      <c r="R125" s="128">
        <f t="shared" si="37"/>
        <v>1</v>
      </c>
      <c r="S125" s="128">
        <f t="shared" si="37"/>
        <v>1</v>
      </c>
      <c r="T125" s="128">
        <f t="shared" si="37"/>
        <v>1</v>
      </c>
      <c r="U125" s="128">
        <f t="shared" si="37"/>
        <v>1</v>
      </c>
      <c r="V125" s="128">
        <f t="shared" si="37"/>
        <v>1</v>
      </c>
      <c r="W125" s="128">
        <f t="shared" si="37"/>
        <v>1</v>
      </c>
      <c r="X125" s="128">
        <f t="shared" si="37"/>
        <v>1</v>
      </c>
      <c r="Y125" s="128">
        <f t="shared" si="37"/>
        <v>1</v>
      </c>
      <c r="Z125" s="128">
        <f t="shared" si="37"/>
        <v>1</v>
      </c>
      <c r="AA125" s="128">
        <f t="shared" si="38"/>
        <v>1</v>
      </c>
      <c r="AB125" s="128">
        <f t="shared" si="38"/>
        <v>1</v>
      </c>
      <c r="AC125" s="128">
        <f t="shared" si="38"/>
        <v>1</v>
      </c>
      <c r="AD125" s="128">
        <f t="shared" si="38"/>
        <v>1</v>
      </c>
      <c r="AE125" s="128">
        <f t="shared" si="38"/>
        <v>1</v>
      </c>
      <c r="AF125" s="128">
        <f t="shared" si="38"/>
        <v>1</v>
      </c>
      <c r="AH125" s="405">
        <f>IF(Tech_Specs!$F12="linear",TREND(Perform_Active!$K13:$L13,Perform_Active!$K$8:$L$8,AH$120),)</f>
        <v>0</v>
      </c>
      <c r="AI125" s="405">
        <f>IF(Tech_Specs!$F12="linear",TREND(Perform_Active!$K13:$L13,Perform_Active!$K$8:$L$8,AI$120),)</f>
        <v>0</v>
      </c>
      <c r="AJ125" s="405">
        <f>IF(Tech_Specs!$F12="linear",TREND(Perform_Active!$K13:$L13,Perform_Active!$K$8:$L$8,AJ$120),)</f>
        <v>0</v>
      </c>
      <c r="AK125" s="405">
        <f>IF(Tech_Specs!$F12="linear",TREND(Perform_Active!$K13:$L13,Perform_Active!$K$8:$L$8,AK$120),)</f>
        <v>0</v>
      </c>
      <c r="AL125" s="405">
        <f>IF(Tech_Specs!$F12="linear",TREND(Perform_Active!$K13:$L13,Perform_Active!$K$8:$L$8,AL$120),)</f>
        <v>0</v>
      </c>
      <c r="AM125" s="405">
        <f>IF(Tech_Specs!$F12="linear",TREND(Perform_Active!$K13:$L13,Perform_Active!$K$8:$L$8,AM$120),)</f>
        <v>0</v>
      </c>
      <c r="AN125" s="405">
        <f>IF(Tech_Specs!$F12="linear",TREND(Perform_Active!$K13:$L13,Perform_Active!$K$8:$L$8,AN$120),)</f>
        <v>0</v>
      </c>
      <c r="AO125" s="405">
        <f>IF(Tech_Specs!$F12="linear",TREND(Perform_Active!$K13:$L13,Perform_Active!$K$8:$L$8,AO$120),)</f>
        <v>0</v>
      </c>
      <c r="AP125" s="405">
        <f>IF(Tech_Specs!$F12="linear",TREND(Perform_Active!$K13:$L13,Perform_Active!$K$8:$L$8,AP$120),)</f>
        <v>0</v>
      </c>
      <c r="AQ125" s="405">
        <f>IF(Tech_Specs!$F12="linear",TREND(Perform_Active!$K13:$L13,Perform_Active!$K$8:$L$8,AQ$120),)</f>
        <v>0</v>
      </c>
      <c r="AR125" s="405">
        <f>IF(Tech_Specs!$F12="linear",TREND(Perform_Active!$K13:$L13,Perform_Active!$K$8:$L$8,AR$120),)</f>
        <v>0</v>
      </c>
      <c r="AS125" s="405">
        <f>IF(Tech_Specs!$F12="linear",TREND(Perform_Active!$K13:$L13,Perform_Active!$K$8:$L$8,AS$120),)</f>
        <v>0</v>
      </c>
      <c r="AT125" s="405">
        <f>IF(Tech_Specs!$F12="linear",TREND(Perform_Active!$K13:$L13,Perform_Active!$K$8:$L$8,AT$120),)</f>
        <v>0</v>
      </c>
      <c r="AU125" s="405">
        <f>IF(Tech_Specs!$F12="linear",TREND(Perform_Active!$K13:$L13,Perform_Active!$K$8:$L$8,AU$120),)</f>
        <v>0</v>
      </c>
      <c r="AV125" s="405">
        <f>IF(Tech_Specs!$F12="linear",TREND(Perform_Active!$K13:$L13,Perform_Active!$K$8:$L$8,AV$120),)</f>
        <v>0</v>
      </c>
      <c r="AW125" s="405">
        <f>IF(Tech_Specs!$F12="linear",TREND(Perform_Active!$K13:$L13,Perform_Active!$K$8:$L$8,AW$120),)</f>
        <v>0</v>
      </c>
      <c r="AX125" s="405">
        <f>IF(Tech_Specs!$F12="linear",TREND(Perform_Active!$K13:$L13,Perform_Active!$K$8:$L$8,AX$120),)</f>
        <v>0</v>
      </c>
      <c r="AY125" s="405">
        <f>IF(Tech_Specs!$F12="linear",TREND(Perform_Active!$K13:$L13,Perform_Active!$K$8:$L$8,AY$120),)</f>
        <v>0</v>
      </c>
      <c r="AZ125" s="405">
        <f>IF(Tech_Specs!$F12="linear",TREND(Perform_Active!$K13:$L13,Perform_Active!$K$8:$L$8,AZ$120),)</f>
        <v>0</v>
      </c>
      <c r="BA125" s="405">
        <f>IF(Tech_Specs!$F12="linear",TREND(Perform_Active!$K13:$L13,Perform_Active!$K$8:$L$8,BA$120),)</f>
        <v>0</v>
      </c>
      <c r="BB125" s="405">
        <f>IF(Tech_Specs!$F12="linear",TREND(Perform_Active!$K13:$L13,Perform_Active!$K$8:$L$8,BB$120),)</f>
        <v>0</v>
      </c>
      <c r="BC125" s="405">
        <f>IF(Tech_Specs!$F12="linear",TREND(Perform_Active!$K13:$L13,Perform_Active!$K$8:$L$8,BC$120),)</f>
        <v>0</v>
      </c>
      <c r="BD125" s="405">
        <f>IF(Tech_Specs!$F12="linear",TREND(Perform_Active!$K13:$L13,Perform_Active!$K$8:$L$8,BD$120),)</f>
        <v>0</v>
      </c>
      <c r="BE125" s="405">
        <f>IF(Tech_Specs!$F12="linear",TREND(Perform_Active!$K13:$L13,Perform_Active!$K$8:$L$8,BE$120),)</f>
        <v>0</v>
      </c>
      <c r="BF125" s="405">
        <f>IF(Tech_Specs!$F12="linear",TREND(Perform_Active!$K13:$L13,Perform_Active!$K$8:$L$8,BF$120),)</f>
        <v>0</v>
      </c>
      <c r="BG125" s="405">
        <f>IF(Tech_Specs!$F12="linear",TREND(Perform_Active!$K13:$L13,Perform_Active!$K$8:$L$8,BG$120),)</f>
        <v>0</v>
      </c>
      <c r="BI125" s="338">
        <f>IF(Tech_Specs!$F12="Constant",Perform_Active!$K13,)</f>
        <v>1</v>
      </c>
      <c r="BJ125" s="338">
        <f>IF(Tech_Specs!$F12="Constant",Perform_Active!$K13,)</f>
        <v>1</v>
      </c>
      <c r="BK125" s="338">
        <f>IF(Tech_Specs!$F12="Constant",Perform_Active!$K13,)</f>
        <v>1</v>
      </c>
      <c r="BL125" s="338">
        <f>IF(Tech_Specs!$F12="Constant",Perform_Active!$K13,)</f>
        <v>1</v>
      </c>
      <c r="BM125" s="338">
        <f>IF(Tech_Specs!$F12="Constant",Perform_Active!$K13,)</f>
        <v>1</v>
      </c>
      <c r="BN125" s="338">
        <f>IF(Tech_Specs!$F12="Constant",Perform_Active!$K13,)</f>
        <v>1</v>
      </c>
      <c r="BO125" s="338">
        <f>IF(Tech_Specs!$F12="Constant",Perform_Active!$K13,)</f>
        <v>1</v>
      </c>
      <c r="BP125" s="338">
        <f>IF(Tech_Specs!$F12="Constant",Perform_Active!$K13,)</f>
        <v>1</v>
      </c>
      <c r="BQ125" s="338">
        <f>IF(Tech_Specs!$F12="Constant",Perform_Active!$K13,)</f>
        <v>1</v>
      </c>
      <c r="BR125" s="338">
        <f>IF(Tech_Specs!$F12="Constant",Perform_Active!$K13,)</f>
        <v>1</v>
      </c>
      <c r="BS125" s="338">
        <f>IF(Tech_Specs!$F12="Constant",Perform_Active!$K13,)</f>
        <v>1</v>
      </c>
      <c r="BT125" s="338">
        <f>IF(Tech_Specs!$F12="Constant",Perform_Active!$K13,)</f>
        <v>1</v>
      </c>
      <c r="BU125" s="338">
        <f>IF(Tech_Specs!$F12="Constant",Perform_Active!$K13,)</f>
        <v>1</v>
      </c>
      <c r="BV125" s="338">
        <f>IF(Tech_Specs!$F12="Constant",Perform_Active!$K13,)</f>
        <v>1</v>
      </c>
      <c r="BW125" s="338">
        <f>IF(Tech_Specs!$F12="Constant",Perform_Active!$K13,)</f>
        <v>1</v>
      </c>
      <c r="BX125" s="338">
        <f>IF(Tech_Specs!$F12="Constant",Perform_Active!$K13,)</f>
        <v>1</v>
      </c>
      <c r="BY125" s="338">
        <f>IF(Tech_Specs!$F12="Constant",Perform_Active!$K13,)</f>
        <v>1</v>
      </c>
      <c r="BZ125" s="338">
        <f>IF(Tech_Specs!$F12="Constant",Perform_Active!$K13,)</f>
        <v>1</v>
      </c>
      <c r="CA125" s="338">
        <f>IF(Tech_Specs!$F12="Constant",Perform_Active!$K13,)</f>
        <v>1</v>
      </c>
      <c r="CB125" s="338">
        <f>IF(Tech_Specs!$F12="Constant",Perform_Active!$K13,)</f>
        <v>1</v>
      </c>
      <c r="CC125" s="338">
        <f>IF(Tech_Specs!$F12="Constant",Perform_Active!$K13,)</f>
        <v>1</v>
      </c>
      <c r="CD125" s="338">
        <f>IF(Tech_Specs!$F12="Constant",Perform_Active!$K13,)</f>
        <v>1</v>
      </c>
      <c r="CE125" s="338">
        <f>IF(Tech_Specs!$F12="Constant",Perform_Active!$K13,)</f>
        <v>1</v>
      </c>
      <c r="CF125" s="338">
        <f>IF(Tech_Specs!$F12="Constant",Perform_Active!$K13,)</f>
        <v>1</v>
      </c>
      <c r="CG125" s="338">
        <f>IF(Tech_Specs!$F12="Constant",Perform_Active!$K13,)</f>
        <v>1</v>
      </c>
      <c r="CH125" s="338">
        <f>IF(Tech_Specs!$F12="Constant",Perform_Active!$K13,)</f>
        <v>1</v>
      </c>
      <c r="CJ125" s="625">
        <f>IF(AND(Tech_Specs!$F12="step",Standards_Active!$S13="yes"),IF(ISNUMBER(Standards_Active!$W13),IF(CJ$120&gt;=Standards_Active!$R13,Standards_Active!$W13,IF(CJ$120&lt;Standards_Active!$Q13,Perform_Active!$K13,(Standards_Active!$W13-Perform_Active!$K13)/(Standards_Active!$R13-(Standards_Active!$Q13-1))+CI125)),Perform_Active!$K13),)</f>
        <v>0</v>
      </c>
      <c r="CK125" s="625">
        <f>IF(AND(Tech_Specs!$F12="step",Standards_Active!$S13="yes"),IF(ISNUMBER(Standards_Active!$W13),IF(CK$120&gt;=Standards_Active!$R13,Standards_Active!$W13,IF(CK$120&lt;Standards_Active!$Q13,Perform_Active!$K13,(Standards_Active!$W13-Perform_Active!$K13)/(Standards_Active!$R13-(Standards_Active!$Q13-1))+CJ125)),Perform_Active!$K13),)</f>
        <v>0</v>
      </c>
      <c r="CL125" s="625">
        <f>IF(AND(Tech_Specs!$F12="step",Standards_Active!$S13="yes"),IF(ISNUMBER(Standards_Active!$W13),IF(CL$120&gt;=Standards_Active!$R13,Standards_Active!$W13,IF(CL$120&lt;Standards_Active!$Q13,Perform_Active!$K13,(Standards_Active!$W13-Perform_Active!$K13)/(Standards_Active!$R13-(Standards_Active!$Q13-1))+CK125)),Perform_Active!$K13),)</f>
        <v>0</v>
      </c>
      <c r="CM125" s="625">
        <f>IF(AND(Tech_Specs!$F12="step",Standards_Active!$S13="yes"),IF(ISNUMBER(Standards_Active!$W13),IF(CM$120&gt;=Standards_Active!$R13,Standards_Active!$W13,IF(CM$120&lt;Standards_Active!$Q13,Perform_Active!$K13,(Standards_Active!$W13-Perform_Active!$K13)/(Standards_Active!$R13-(Standards_Active!$Q13-1))+CL125)),Perform_Active!$K13),)</f>
        <v>0</v>
      </c>
      <c r="CN125" s="625">
        <f>IF(AND(Tech_Specs!$F12="step",Standards_Active!$S13="yes"),IF(ISNUMBER(Standards_Active!$W13),IF(CN$120&gt;=Standards_Active!$R13,Standards_Active!$W13,IF(CN$120&lt;Standards_Active!$Q13,Perform_Active!$K13,(Standards_Active!$W13-Perform_Active!$K13)/(Standards_Active!$R13-(Standards_Active!$Q13-1))+CM125)),Perform_Active!$K13),)</f>
        <v>0</v>
      </c>
      <c r="CO125" s="625">
        <f>IF(AND(Tech_Specs!$F12="step",Standards_Active!$S13="yes"),IF(ISNUMBER(Standards_Active!$W13),IF(CO$120&gt;=Standards_Active!$R13,Standards_Active!$W13,IF(CO$120&lt;Standards_Active!$Q13,Perform_Active!$K13,(Standards_Active!$W13-Perform_Active!$K13)/(Standards_Active!$R13-(Standards_Active!$Q13-1))+CN125)),Perform_Active!$K13),)</f>
        <v>0</v>
      </c>
      <c r="CP125" s="625">
        <f>IF(AND(Tech_Specs!$F12="step",Standards_Active!$S13="yes"),IF(ISNUMBER(Standards_Active!$W13),IF(CP$120&gt;=Standards_Active!$R13,Standards_Active!$W13,IF(CP$120&lt;Standards_Active!$Q13,Perform_Active!$K13,(Standards_Active!$W13-Perform_Active!$K13)/(Standards_Active!$R13-(Standards_Active!$Q13-1))+CO125)),Perform_Active!$K13),)</f>
        <v>0</v>
      </c>
      <c r="CQ125" s="625">
        <f>IF(AND(Tech_Specs!$F12="step",Standards_Active!$S13="yes"),IF(ISNUMBER(Standards_Active!$W13),IF(CQ$120&gt;=Standards_Active!$R13,Standards_Active!$W13,IF(CQ$120&lt;Standards_Active!$Q13,Perform_Active!$K13,(Standards_Active!$W13-Perform_Active!$K13)/(Standards_Active!$R13-(Standards_Active!$Q13-1))+CP125)),Perform_Active!$K13),)</f>
        <v>0</v>
      </c>
      <c r="CR125" s="625">
        <f>IF(AND(Tech_Specs!$F12="step",Standards_Active!$S13="yes"),IF(ISNUMBER(Standards_Active!$W13),IF(CR$120&gt;=Standards_Active!$R13,Standards_Active!$W13,IF(CR$120&lt;Standards_Active!$Q13,Perform_Active!$K13,(Standards_Active!$W13-Perform_Active!$K13)/(Standards_Active!$R13-(Standards_Active!$Q13-1))+CQ125)),Perform_Active!$K13),)</f>
        <v>0</v>
      </c>
      <c r="CS125" s="625">
        <f>IF(AND(Tech_Specs!$F12="step",Standards_Active!$S13="yes"),IF(ISNUMBER(Standards_Active!$W13),IF(CS$120&gt;=Standards_Active!$R13,Standards_Active!$W13,IF(CS$120&lt;Standards_Active!$Q13,Perform_Active!$K13,(Standards_Active!$W13-Perform_Active!$K13)/(Standards_Active!$R13-(Standards_Active!$Q13-1))+CR125)),Perform_Active!$K13),)</f>
        <v>0</v>
      </c>
      <c r="CT125" s="625">
        <f>IF(AND(Tech_Specs!$F12="step",Standards_Active!$S13="yes"),IF(ISNUMBER(Standards_Active!$W13),IF(CT$120&gt;=Standards_Active!$R13,Standards_Active!$W13,IF(CT$120&lt;Standards_Active!$Q13,Perform_Active!$K13,(Standards_Active!$W13-Perform_Active!$K13)/(Standards_Active!$R13-(Standards_Active!$Q13-1))+CS125)),Perform_Active!$K13),)</f>
        <v>0</v>
      </c>
      <c r="CU125" s="625">
        <f>IF(AND(Tech_Specs!$F12="step",Standards_Active!$S13="yes"),IF(ISNUMBER(Standards_Active!$W13),IF(CU$120&gt;=Standards_Active!$R13,Standards_Active!$W13,IF(CU$120&lt;Standards_Active!$Q13,Perform_Active!$K13,(Standards_Active!$W13-Perform_Active!$K13)/(Standards_Active!$R13-(Standards_Active!$Q13-1))+CT125)),Perform_Active!$K13),)</f>
        <v>0</v>
      </c>
      <c r="CV125" s="625">
        <f>IF(AND(Tech_Specs!$F12="step",Standards_Active!$S13="yes"),IF(ISNUMBER(Standards_Active!$W13),IF(CV$120&gt;=Standards_Active!$R13,Standards_Active!$W13,IF(CV$120&lt;Standards_Active!$Q13,Perform_Active!$K13,(Standards_Active!$W13-Perform_Active!$K13)/(Standards_Active!$R13-(Standards_Active!$Q13-1))+CU125)),Perform_Active!$K13),)</f>
        <v>0</v>
      </c>
      <c r="CW125" s="625">
        <f>IF(AND(Tech_Specs!$F12="step",Standards_Active!$S13="yes"),IF(ISNUMBER(Standards_Active!$W13),IF(CW$120&gt;=Standards_Active!$R13,Standards_Active!$W13,IF(CW$120&lt;Standards_Active!$Q13,Perform_Active!$K13,(Standards_Active!$W13-Perform_Active!$K13)/(Standards_Active!$R13-(Standards_Active!$Q13-1))+CV125)),Perform_Active!$K13),)</f>
        <v>0</v>
      </c>
      <c r="CX125" s="625">
        <f>IF(AND(Tech_Specs!$F12="step",Standards_Active!$S13="yes"),IF(ISNUMBER(Standards_Active!$W13),IF(CX$120&gt;=Standards_Active!$R13,Standards_Active!$W13,IF(CX$120&lt;Standards_Active!$Q13,Perform_Active!$K13,(Standards_Active!$W13-Perform_Active!$K13)/(Standards_Active!$R13-(Standards_Active!$Q13-1))+CW125)),Perform_Active!$K13),)</f>
        <v>0</v>
      </c>
      <c r="CY125" s="625">
        <f>IF(AND(Tech_Specs!$F12="step",Standards_Active!$S13="yes"),IF(ISNUMBER(Standards_Active!$W13),IF(CY$120&gt;=Standards_Active!$R13,Standards_Active!$W13,IF(CY$120&lt;Standards_Active!$Q13,Perform_Active!$K13,(Standards_Active!$W13-Perform_Active!$K13)/(Standards_Active!$R13-(Standards_Active!$Q13-1))+CX125)),Perform_Active!$K13),)</f>
        <v>0</v>
      </c>
      <c r="CZ125" s="625">
        <f>IF(AND(Tech_Specs!$F12="step",Standards_Active!$S13="yes"),IF(ISNUMBER(Standards_Active!$W13),IF(CZ$120&gt;=Standards_Active!$R13,Standards_Active!$W13,IF(CZ$120&lt;Standards_Active!$Q13,Perform_Active!$K13,(Standards_Active!$W13-Perform_Active!$K13)/(Standards_Active!$R13-(Standards_Active!$Q13-1))+CY125)),Perform_Active!$K13),)</f>
        <v>0</v>
      </c>
      <c r="DA125" s="625">
        <f>IF(AND(Tech_Specs!$F12="step",Standards_Active!$S13="yes"),IF(ISNUMBER(Standards_Active!$W13),IF(DA$120&gt;=Standards_Active!$R13,Standards_Active!$W13,IF(DA$120&lt;Standards_Active!$Q13,Perform_Active!$K13,(Standards_Active!$W13-Perform_Active!$K13)/(Standards_Active!$R13-(Standards_Active!$Q13-1))+CZ125)),Perform_Active!$K13),)</f>
        <v>0</v>
      </c>
      <c r="DB125" s="625">
        <f>IF(AND(Tech_Specs!$F12="step",Standards_Active!$S13="yes"),IF(ISNUMBER(Standards_Active!$W13),IF(DB$120&gt;=Standards_Active!$R13,Standards_Active!$W13,IF(DB$120&lt;Standards_Active!$Q13,Perform_Active!$K13,(Standards_Active!$W13-Perform_Active!$K13)/(Standards_Active!$R13-(Standards_Active!$Q13-1))+DA125)),Perform_Active!$K13),)</f>
        <v>0</v>
      </c>
      <c r="DC125" s="625">
        <f>IF(AND(Tech_Specs!$F12="step",Standards_Active!$S13="yes"),IF(ISNUMBER(Standards_Active!$W13),IF(DC$120&gt;=Standards_Active!$R13,Standards_Active!$W13,IF(DC$120&lt;Standards_Active!$Q13,Perform_Active!$K13,(Standards_Active!$W13-Perform_Active!$K13)/(Standards_Active!$R13-(Standards_Active!$Q13-1))+DB125)),Perform_Active!$K13),)</f>
        <v>0</v>
      </c>
      <c r="DD125" s="625">
        <f>IF(AND(Tech_Specs!$F12="step",Standards_Active!$S13="yes"),IF(ISNUMBER(Standards_Active!$W13),IF(DD$120&gt;=Standards_Active!$R13,Standards_Active!$W13,IF(DD$120&lt;Standards_Active!$Q13,Perform_Active!$K13,(Standards_Active!$W13-Perform_Active!$K13)/(Standards_Active!$R13-(Standards_Active!$Q13-1))+DC125)),Perform_Active!$K13),)</f>
        <v>0</v>
      </c>
      <c r="DE125" s="625">
        <f>IF(AND(Tech_Specs!$F12="step",Standards_Active!$S13="yes"),IF(ISNUMBER(Standards_Active!$W13),IF(DE$120&gt;=Standards_Active!$R13,Standards_Active!$W13,IF(DE$120&lt;Standards_Active!$Q13,Perform_Active!$K13,(Standards_Active!$W13-Perform_Active!$K13)/(Standards_Active!$R13-(Standards_Active!$Q13-1))+DD125)),Perform_Active!$K13),)</f>
        <v>0</v>
      </c>
      <c r="DF125" s="625">
        <f>IF(AND(Tech_Specs!$F12="step",Standards_Active!$S13="yes"),IF(ISNUMBER(Standards_Active!$W13),IF(DF$120&gt;=Standards_Active!$R13,Standards_Active!$W13,IF(DF$120&lt;Standards_Active!$Q13,Perform_Active!$K13,(Standards_Active!$W13-Perform_Active!$K13)/(Standards_Active!$R13-(Standards_Active!$Q13-1))+DE125)),Perform_Active!$K13),)</f>
        <v>0</v>
      </c>
      <c r="DG125" s="625">
        <f>IF(AND(Tech_Specs!$F12="step",Standards_Active!$S13="yes"),IF(ISNUMBER(Standards_Active!$W13),IF(DG$120&gt;=Standards_Active!$R13,Standards_Active!$W13,IF(DG$120&lt;Standards_Active!$Q13,Perform_Active!$K13,(Standards_Active!$W13-Perform_Active!$K13)/(Standards_Active!$R13-(Standards_Active!$Q13-1))+DF125)),Perform_Active!$K13),)</f>
        <v>0</v>
      </c>
      <c r="DH125" s="625">
        <f>IF(AND(Tech_Specs!$F12="step",Standards_Active!$S13="yes"),IF(ISNUMBER(Standards_Active!$W13),IF(DH$120&gt;=Standards_Active!$R13,Standards_Active!$W13,IF(DH$120&lt;Standards_Active!$Q13,Perform_Active!$K13,(Standards_Active!$W13-Perform_Active!$K13)/(Standards_Active!$R13-(Standards_Active!$Q13-1))+DG125)),Perform_Active!$K13),)</f>
        <v>0</v>
      </c>
      <c r="DI125" s="625">
        <f>IF(AND(Tech_Specs!$F12="step",Standards_Active!$S13="yes"),IF(ISNUMBER(Standards_Active!$W13),IF(DI$120&gt;=Standards_Active!$R13,Standards_Active!$W13,IF(DI$120&lt;Standards_Active!$Q13,Perform_Active!$K13,(Standards_Active!$W13-Perform_Active!$K13)/(Standards_Active!$R13-(Standards_Active!$Q13-1))+DH125)),Perform_Active!$K13),)</f>
        <v>0</v>
      </c>
    </row>
    <row r="126" spans="1:113" s="81" customFormat="1" ht="12.6" x14ac:dyDescent="0.25">
      <c r="D126" s="550"/>
      <c r="E126" s="550"/>
      <c r="F126" s="550"/>
      <c r="G126" s="128"/>
      <c r="H126" s="128"/>
      <c r="I126" s="128"/>
      <c r="J126" s="128"/>
      <c r="K126" s="128"/>
      <c r="L126" s="128"/>
      <c r="M126" s="128"/>
      <c r="N126" s="128"/>
      <c r="O126" s="128"/>
      <c r="P126" s="128"/>
      <c r="Q126" s="128"/>
      <c r="R126" s="128"/>
      <c r="S126" s="128"/>
      <c r="T126" s="128"/>
      <c r="U126" s="128"/>
      <c r="V126" s="128"/>
      <c r="W126" s="128"/>
      <c r="X126" s="128"/>
      <c r="Y126" s="128"/>
      <c r="Z126" s="128"/>
      <c r="AA126" s="128"/>
      <c r="AB126" s="128"/>
      <c r="AC126" s="128"/>
      <c r="AD126" s="128"/>
      <c r="AE126" s="128"/>
      <c r="AF126" s="128"/>
    </row>
    <row r="127" spans="1:113" s="81" customFormat="1" ht="12.95" x14ac:dyDescent="0.3">
      <c r="A127" s="58" t="s">
        <v>32</v>
      </c>
      <c r="B127" s="57"/>
      <c r="C127" s="130"/>
      <c r="D127" s="387"/>
      <c r="E127" s="387"/>
      <c r="F127" s="387"/>
      <c r="G127" s="188"/>
      <c r="H127" s="188"/>
      <c r="I127" s="188"/>
      <c r="J127" s="188"/>
      <c r="K127" s="188"/>
      <c r="L127" s="188"/>
      <c r="M127" s="188"/>
      <c r="N127" s="188"/>
      <c r="O127" s="188"/>
      <c r="P127" s="188"/>
      <c r="Q127" s="188"/>
      <c r="R127" s="188"/>
      <c r="S127" s="188"/>
      <c r="T127" s="188"/>
      <c r="U127" s="188"/>
      <c r="V127" s="188"/>
      <c r="W127" s="188"/>
      <c r="X127" s="188"/>
      <c r="Y127" s="188"/>
      <c r="Z127" s="188"/>
      <c r="AA127" s="188"/>
      <c r="AB127" s="188"/>
      <c r="AC127" s="188"/>
      <c r="AD127" s="188"/>
      <c r="AE127" s="188"/>
      <c r="AF127" s="188"/>
      <c r="AH127" s="57"/>
      <c r="AI127" s="57"/>
      <c r="AJ127" s="57"/>
      <c r="AK127" s="57"/>
      <c r="AL127" s="57"/>
      <c r="AM127" s="57"/>
      <c r="AN127" s="57"/>
      <c r="AO127" s="57"/>
      <c r="AP127" s="57"/>
      <c r="AQ127" s="57"/>
      <c r="AR127" s="57"/>
      <c r="AS127" s="57"/>
      <c r="AT127" s="57"/>
      <c r="AU127" s="57"/>
      <c r="AV127" s="57"/>
      <c r="AW127" s="57"/>
      <c r="AX127" s="57"/>
      <c r="AY127" s="57"/>
      <c r="AZ127" s="57"/>
      <c r="BA127" s="57"/>
      <c r="BB127" s="57"/>
      <c r="BC127" s="57"/>
      <c r="BD127" s="57"/>
      <c r="BE127" s="57"/>
      <c r="BF127" s="57"/>
      <c r="BG127" s="57"/>
      <c r="BI127" s="57"/>
      <c r="BJ127" s="57"/>
      <c r="BK127" s="57"/>
      <c r="BL127" s="57"/>
      <c r="BM127" s="57"/>
      <c r="BN127" s="57"/>
      <c r="BO127" s="57"/>
      <c r="BP127" s="57"/>
      <c r="BQ127" s="57"/>
      <c r="BR127" s="57"/>
      <c r="BS127" s="57"/>
      <c r="BT127" s="57"/>
      <c r="BU127" s="57"/>
      <c r="BV127" s="57"/>
      <c r="BW127" s="57"/>
      <c r="BX127" s="57"/>
      <c r="BY127" s="57"/>
      <c r="BZ127" s="57"/>
      <c r="CA127" s="57"/>
      <c r="CB127" s="57"/>
      <c r="CC127" s="57"/>
      <c r="CD127" s="57"/>
      <c r="CE127" s="57"/>
      <c r="CF127" s="57"/>
      <c r="CG127" s="57"/>
      <c r="CH127" s="57"/>
      <c r="CJ127" s="57"/>
      <c r="CK127" s="57"/>
      <c r="CL127" s="57"/>
      <c r="CM127" s="57"/>
      <c r="CN127" s="57"/>
      <c r="CO127" s="57"/>
      <c r="CP127" s="57"/>
      <c r="CQ127" s="57"/>
      <c r="CR127" s="57"/>
      <c r="CS127" s="57"/>
      <c r="CT127" s="57"/>
      <c r="CU127" s="57"/>
      <c r="CV127" s="57"/>
      <c r="CW127" s="57"/>
      <c r="CX127" s="57"/>
      <c r="CY127" s="57"/>
      <c r="CZ127" s="57"/>
      <c r="DA127" s="57"/>
      <c r="DB127" s="57"/>
      <c r="DC127" s="57"/>
      <c r="DD127" s="57"/>
      <c r="DE127" s="57"/>
      <c r="DF127" s="57"/>
      <c r="DG127" s="57"/>
      <c r="DH127" s="57"/>
      <c r="DI127" s="57"/>
    </row>
    <row r="128" spans="1:113" s="81" customFormat="1" ht="12.6" x14ac:dyDescent="0.25">
      <c r="B128" s="81" t="s">
        <v>33</v>
      </c>
      <c r="C128" s="83"/>
      <c r="D128" s="379"/>
      <c r="E128" s="379"/>
      <c r="F128" s="379"/>
      <c r="G128" s="128">
        <f t="shared" ref="G128:P131" si="39">SUM(AH128,BI128,CJ128)</f>
        <v>1</v>
      </c>
      <c r="H128" s="128">
        <f t="shared" si="39"/>
        <v>1</v>
      </c>
      <c r="I128" s="128">
        <f t="shared" si="39"/>
        <v>1</v>
      </c>
      <c r="J128" s="128">
        <f t="shared" si="39"/>
        <v>1</v>
      </c>
      <c r="K128" s="128">
        <f t="shared" si="39"/>
        <v>1</v>
      </c>
      <c r="L128" s="128">
        <f t="shared" si="39"/>
        <v>1</v>
      </c>
      <c r="M128" s="128">
        <f t="shared" si="39"/>
        <v>1</v>
      </c>
      <c r="N128" s="128">
        <f t="shared" si="39"/>
        <v>1</v>
      </c>
      <c r="O128" s="128">
        <f t="shared" si="39"/>
        <v>1</v>
      </c>
      <c r="P128" s="128">
        <f t="shared" si="39"/>
        <v>1</v>
      </c>
      <c r="Q128" s="128">
        <f t="shared" ref="Q128:Z131" si="40">SUM(AR128,BS128,CT128)</f>
        <v>1</v>
      </c>
      <c r="R128" s="128">
        <f t="shared" si="40"/>
        <v>1</v>
      </c>
      <c r="S128" s="128">
        <f t="shared" si="40"/>
        <v>1</v>
      </c>
      <c r="T128" s="128">
        <f t="shared" si="40"/>
        <v>1</v>
      </c>
      <c r="U128" s="128">
        <f t="shared" si="40"/>
        <v>1</v>
      </c>
      <c r="V128" s="128">
        <f t="shared" si="40"/>
        <v>1</v>
      </c>
      <c r="W128" s="128">
        <f t="shared" si="40"/>
        <v>1</v>
      </c>
      <c r="X128" s="128">
        <f t="shared" si="40"/>
        <v>1</v>
      </c>
      <c r="Y128" s="128">
        <f t="shared" si="40"/>
        <v>1</v>
      </c>
      <c r="Z128" s="128">
        <f t="shared" si="40"/>
        <v>1</v>
      </c>
      <c r="AA128" s="128">
        <f t="shared" ref="AA128:AF131" si="41">SUM(BB128,CC128,DD128)</f>
        <v>1</v>
      </c>
      <c r="AB128" s="128">
        <f t="shared" si="41"/>
        <v>1</v>
      </c>
      <c r="AC128" s="128">
        <f t="shared" si="41"/>
        <v>1</v>
      </c>
      <c r="AD128" s="128">
        <f t="shared" si="41"/>
        <v>1</v>
      </c>
      <c r="AE128" s="128">
        <f t="shared" si="41"/>
        <v>1</v>
      </c>
      <c r="AF128" s="128">
        <f t="shared" si="41"/>
        <v>1</v>
      </c>
      <c r="AH128" s="405">
        <f>IF(Tech_Specs!$F15="linear",TREND(Perform_Active!$K16:$L16,Perform_Active!$K$8:$L$8,AH$120),)</f>
        <v>0</v>
      </c>
      <c r="AI128" s="405">
        <f>IF(Tech_Specs!$F15="linear",TREND(Perform_Active!$K16:$L16,Perform_Active!$K$8:$L$8,AI$120),)</f>
        <v>0</v>
      </c>
      <c r="AJ128" s="405">
        <f>IF(Tech_Specs!$F15="linear",TREND(Perform_Active!$K16:$L16,Perform_Active!$K$8:$L$8,AJ$120),)</f>
        <v>0</v>
      </c>
      <c r="AK128" s="405">
        <f>IF(Tech_Specs!$F15="linear",TREND(Perform_Active!$K16:$L16,Perform_Active!$K$8:$L$8,AK$120),)</f>
        <v>0</v>
      </c>
      <c r="AL128" s="405">
        <f>IF(Tech_Specs!$F15="linear",TREND(Perform_Active!$K16:$L16,Perform_Active!$K$8:$L$8,AL$120),)</f>
        <v>0</v>
      </c>
      <c r="AM128" s="405">
        <f>IF(Tech_Specs!$F15="linear",TREND(Perform_Active!$K16:$L16,Perform_Active!$K$8:$L$8,AM$120),)</f>
        <v>0</v>
      </c>
      <c r="AN128" s="405">
        <f>IF(Tech_Specs!$F15="linear",TREND(Perform_Active!$K16:$L16,Perform_Active!$K$8:$L$8,AN$120),)</f>
        <v>0</v>
      </c>
      <c r="AO128" s="405">
        <f>IF(Tech_Specs!$F15="linear",TREND(Perform_Active!$K16:$L16,Perform_Active!$K$8:$L$8,AO$120),)</f>
        <v>0</v>
      </c>
      <c r="AP128" s="405">
        <f>IF(Tech_Specs!$F15="linear",TREND(Perform_Active!$K16:$L16,Perform_Active!$K$8:$L$8,AP$120),)</f>
        <v>0</v>
      </c>
      <c r="AQ128" s="405">
        <f>IF(Tech_Specs!$F15="linear",TREND(Perform_Active!$K16:$L16,Perform_Active!$K$8:$L$8,AQ$120),)</f>
        <v>0</v>
      </c>
      <c r="AR128" s="405">
        <f>IF(Tech_Specs!$F15="linear",TREND(Perform_Active!$K16:$L16,Perform_Active!$K$8:$L$8,AR$120),)</f>
        <v>0</v>
      </c>
      <c r="AS128" s="405">
        <f>IF(Tech_Specs!$F15="linear",TREND(Perform_Active!$K16:$L16,Perform_Active!$K$8:$L$8,AS$120),)</f>
        <v>0</v>
      </c>
      <c r="AT128" s="405">
        <f>IF(Tech_Specs!$F15="linear",TREND(Perform_Active!$K16:$L16,Perform_Active!$K$8:$L$8,AT$120),)</f>
        <v>0</v>
      </c>
      <c r="AU128" s="405">
        <f>IF(Tech_Specs!$F15="linear",TREND(Perform_Active!$K16:$L16,Perform_Active!$K$8:$L$8,AU$120),)</f>
        <v>0</v>
      </c>
      <c r="AV128" s="405">
        <f>IF(Tech_Specs!$F15="linear",TREND(Perform_Active!$K16:$L16,Perform_Active!$K$8:$L$8,AV$120),)</f>
        <v>0</v>
      </c>
      <c r="AW128" s="405">
        <f>IF(Tech_Specs!$F15="linear",TREND(Perform_Active!$K16:$L16,Perform_Active!$K$8:$L$8,AW$120),)</f>
        <v>0</v>
      </c>
      <c r="AX128" s="405">
        <f>IF(Tech_Specs!$F15="linear",TREND(Perform_Active!$K16:$L16,Perform_Active!$K$8:$L$8,AX$120),)</f>
        <v>0</v>
      </c>
      <c r="AY128" s="405">
        <f>IF(Tech_Specs!$F15="linear",TREND(Perform_Active!$K16:$L16,Perform_Active!$K$8:$L$8,AY$120),)</f>
        <v>0</v>
      </c>
      <c r="AZ128" s="405">
        <f>IF(Tech_Specs!$F15="linear",TREND(Perform_Active!$K16:$L16,Perform_Active!$K$8:$L$8,AZ$120),)</f>
        <v>0</v>
      </c>
      <c r="BA128" s="405">
        <f>IF(Tech_Specs!$F15="linear",TREND(Perform_Active!$K16:$L16,Perform_Active!$K$8:$L$8,BA$120),)</f>
        <v>0</v>
      </c>
      <c r="BB128" s="405">
        <f>IF(Tech_Specs!$F15="linear",TREND(Perform_Active!$K16:$L16,Perform_Active!$K$8:$L$8,BB$120),)</f>
        <v>0</v>
      </c>
      <c r="BC128" s="405">
        <f>IF(Tech_Specs!$F15="linear",TREND(Perform_Active!$K16:$L16,Perform_Active!$K$8:$L$8,BC$120),)</f>
        <v>0</v>
      </c>
      <c r="BD128" s="405">
        <f>IF(Tech_Specs!$F15="linear",TREND(Perform_Active!$K16:$L16,Perform_Active!$K$8:$L$8,BD$120),)</f>
        <v>0</v>
      </c>
      <c r="BE128" s="405">
        <f>IF(Tech_Specs!$F15="linear",TREND(Perform_Active!$K16:$L16,Perform_Active!$K$8:$L$8,BE$120),)</f>
        <v>0</v>
      </c>
      <c r="BF128" s="405">
        <f>IF(Tech_Specs!$F15="linear",TREND(Perform_Active!$K16:$L16,Perform_Active!$K$8:$L$8,BF$120),)</f>
        <v>0</v>
      </c>
      <c r="BG128" s="405">
        <f>IF(Tech_Specs!$F15="linear",TREND(Perform_Active!$K16:$L16,Perform_Active!$K$8:$L$8,BG$120),)</f>
        <v>0</v>
      </c>
      <c r="BI128" s="338">
        <f>IF(Tech_Specs!$F15="Constant",Perform_Active!$K16,)</f>
        <v>1</v>
      </c>
      <c r="BJ128" s="338">
        <f>IF(Tech_Specs!$F15="Constant",Perform_Active!$K16,)</f>
        <v>1</v>
      </c>
      <c r="BK128" s="338">
        <f>IF(Tech_Specs!$F15="Constant",Perform_Active!$K16,)</f>
        <v>1</v>
      </c>
      <c r="BL128" s="338">
        <f>IF(Tech_Specs!$F15="Constant",Perform_Active!$K16,)</f>
        <v>1</v>
      </c>
      <c r="BM128" s="338">
        <f>IF(Tech_Specs!$F15="Constant",Perform_Active!$K16,)</f>
        <v>1</v>
      </c>
      <c r="BN128" s="338">
        <f>IF(Tech_Specs!$F15="Constant",Perform_Active!$K16,)</f>
        <v>1</v>
      </c>
      <c r="BO128" s="338">
        <f>IF(Tech_Specs!$F15="Constant",Perform_Active!$K16,)</f>
        <v>1</v>
      </c>
      <c r="BP128" s="338">
        <f>IF(Tech_Specs!$F15="Constant",Perform_Active!$K16,)</f>
        <v>1</v>
      </c>
      <c r="BQ128" s="338">
        <f>IF(Tech_Specs!$F15="Constant",Perform_Active!$K16,)</f>
        <v>1</v>
      </c>
      <c r="BR128" s="338">
        <f>IF(Tech_Specs!$F15="Constant",Perform_Active!$K16,)</f>
        <v>1</v>
      </c>
      <c r="BS128" s="338">
        <f>IF(Tech_Specs!$F15="Constant",Perform_Active!$K16,)</f>
        <v>1</v>
      </c>
      <c r="BT128" s="338">
        <f>IF(Tech_Specs!$F15="Constant",Perform_Active!$K16,)</f>
        <v>1</v>
      </c>
      <c r="BU128" s="338">
        <f>IF(Tech_Specs!$F15="Constant",Perform_Active!$K16,)</f>
        <v>1</v>
      </c>
      <c r="BV128" s="338">
        <f>IF(Tech_Specs!$F15="Constant",Perform_Active!$K16,)</f>
        <v>1</v>
      </c>
      <c r="BW128" s="338">
        <f>IF(Tech_Specs!$F15="Constant",Perform_Active!$K16,)</f>
        <v>1</v>
      </c>
      <c r="BX128" s="338">
        <f>IF(Tech_Specs!$F15="Constant",Perform_Active!$K16,)</f>
        <v>1</v>
      </c>
      <c r="BY128" s="338">
        <f>IF(Tech_Specs!$F15="Constant",Perform_Active!$K16,)</f>
        <v>1</v>
      </c>
      <c r="BZ128" s="338">
        <f>IF(Tech_Specs!$F15="Constant",Perform_Active!$K16,)</f>
        <v>1</v>
      </c>
      <c r="CA128" s="338">
        <f>IF(Tech_Specs!$F15="Constant",Perform_Active!$K16,)</f>
        <v>1</v>
      </c>
      <c r="CB128" s="338">
        <f>IF(Tech_Specs!$F15="Constant",Perform_Active!$K16,)</f>
        <v>1</v>
      </c>
      <c r="CC128" s="338">
        <f>IF(Tech_Specs!$F15="Constant",Perform_Active!$K16,)</f>
        <v>1</v>
      </c>
      <c r="CD128" s="338">
        <f>IF(Tech_Specs!$F15="Constant",Perform_Active!$K16,)</f>
        <v>1</v>
      </c>
      <c r="CE128" s="338">
        <f>IF(Tech_Specs!$F15="Constant",Perform_Active!$K16,)</f>
        <v>1</v>
      </c>
      <c r="CF128" s="338">
        <f>IF(Tech_Specs!$F15="Constant",Perform_Active!$K16,)</f>
        <v>1</v>
      </c>
      <c r="CG128" s="338">
        <f>IF(Tech_Specs!$F15="Constant",Perform_Active!$K16,)</f>
        <v>1</v>
      </c>
      <c r="CH128" s="338">
        <f>IF(Tech_Specs!$F15="Constant",Perform_Active!$K16,)</f>
        <v>1</v>
      </c>
      <c r="CJ128" s="625">
        <f>IF(AND(Tech_Specs!$F15="step",Standards_Active!$S16="yes"),IF(ISNUMBER(Standards_Active!$W16),IF(CJ$120&gt;=Standards_Active!$R16,Standards_Active!$W16,IF(CJ$120&lt;Standards_Active!$Q16,Perform_Active!$K16,(Standards_Active!$W16-Perform_Active!$K16)/(Standards_Active!$R16-(Standards_Active!$Q16-1))+CI128)),Perform_Active!$K16),)</f>
        <v>0</v>
      </c>
      <c r="CK128" s="625">
        <f>IF(AND(Tech_Specs!$F15="step",Standards_Active!$S16="yes"),IF(ISNUMBER(Standards_Active!$W16),IF(CK$120&gt;=Standards_Active!$R16,Standards_Active!$W16,IF(CK$120&lt;Standards_Active!$Q16,Perform_Active!$K16,(Standards_Active!$W16-Perform_Active!$K16)/(Standards_Active!$R16-(Standards_Active!$Q16-1))+CJ128)),Perform_Active!$K16),)</f>
        <v>0</v>
      </c>
      <c r="CL128" s="625">
        <f>IF(AND(Tech_Specs!$F15="step",Standards_Active!$S16="yes"),IF(ISNUMBER(Standards_Active!$W16),IF(CL$120&gt;=Standards_Active!$R16,Standards_Active!$W16,IF(CL$120&lt;Standards_Active!$Q16,Perform_Active!$K16,(Standards_Active!$W16-Perform_Active!$K16)/(Standards_Active!$R16-(Standards_Active!$Q16-1))+CK128)),Perform_Active!$K16),)</f>
        <v>0</v>
      </c>
      <c r="CM128" s="625">
        <f>IF(AND(Tech_Specs!$F15="step",Standards_Active!$S16="yes"),IF(ISNUMBER(Standards_Active!$W16),IF(CM$120&gt;=Standards_Active!$R16,Standards_Active!$W16,IF(CM$120&lt;Standards_Active!$Q16,Perform_Active!$K16,(Standards_Active!$W16-Perform_Active!$K16)/(Standards_Active!$R16-(Standards_Active!$Q16-1))+CL128)),Perform_Active!$K16),)</f>
        <v>0</v>
      </c>
      <c r="CN128" s="625">
        <f>IF(AND(Tech_Specs!$F15="step",Standards_Active!$S16="yes"),IF(ISNUMBER(Standards_Active!$W16),IF(CN$120&gt;=Standards_Active!$R16,Standards_Active!$W16,IF(CN$120&lt;Standards_Active!$Q16,Perform_Active!$K16,(Standards_Active!$W16-Perform_Active!$K16)/(Standards_Active!$R16-(Standards_Active!$Q16-1))+CM128)),Perform_Active!$K16),)</f>
        <v>0</v>
      </c>
      <c r="CO128" s="625">
        <f>IF(AND(Tech_Specs!$F15="step",Standards_Active!$S16="yes"),IF(ISNUMBER(Standards_Active!$W16),IF(CO$120&gt;=Standards_Active!$R16,Standards_Active!$W16,IF(CO$120&lt;Standards_Active!$Q16,Perform_Active!$K16,(Standards_Active!$W16-Perform_Active!$K16)/(Standards_Active!$R16-(Standards_Active!$Q16-1))+CN128)),Perform_Active!$K16),)</f>
        <v>0</v>
      </c>
      <c r="CP128" s="625">
        <f>IF(AND(Tech_Specs!$F15="step",Standards_Active!$S16="yes"),IF(ISNUMBER(Standards_Active!$W16),IF(CP$120&gt;=Standards_Active!$R16,Standards_Active!$W16,IF(CP$120&lt;Standards_Active!$Q16,Perform_Active!$K16,(Standards_Active!$W16-Perform_Active!$K16)/(Standards_Active!$R16-(Standards_Active!$Q16-1))+CO128)),Perform_Active!$K16),)</f>
        <v>0</v>
      </c>
      <c r="CQ128" s="625">
        <f>IF(AND(Tech_Specs!$F15="step",Standards_Active!$S16="yes"),IF(ISNUMBER(Standards_Active!$W16),IF(CQ$120&gt;=Standards_Active!$R16,Standards_Active!$W16,IF(CQ$120&lt;Standards_Active!$Q16,Perform_Active!$K16,(Standards_Active!$W16-Perform_Active!$K16)/(Standards_Active!$R16-(Standards_Active!$Q16-1))+CP128)),Perform_Active!$K16),)</f>
        <v>0</v>
      </c>
      <c r="CR128" s="625">
        <f>IF(AND(Tech_Specs!$F15="step",Standards_Active!$S16="yes"),IF(ISNUMBER(Standards_Active!$W16),IF(CR$120&gt;=Standards_Active!$R16,Standards_Active!$W16,IF(CR$120&lt;Standards_Active!$Q16,Perform_Active!$K16,(Standards_Active!$W16-Perform_Active!$K16)/(Standards_Active!$R16-(Standards_Active!$Q16-1))+CQ128)),Perform_Active!$K16),)</f>
        <v>0</v>
      </c>
      <c r="CS128" s="625">
        <f>IF(AND(Tech_Specs!$F15="step",Standards_Active!$S16="yes"),IF(ISNUMBER(Standards_Active!$W16),IF(CS$120&gt;=Standards_Active!$R16,Standards_Active!$W16,IF(CS$120&lt;Standards_Active!$Q16,Perform_Active!$K16,(Standards_Active!$W16-Perform_Active!$K16)/(Standards_Active!$R16-(Standards_Active!$Q16-1))+CR128)),Perform_Active!$K16),)</f>
        <v>0</v>
      </c>
      <c r="CT128" s="625">
        <f>IF(AND(Tech_Specs!$F15="step",Standards_Active!$S16="yes"),IF(ISNUMBER(Standards_Active!$W16),IF(CT$120&gt;=Standards_Active!$R16,Standards_Active!$W16,IF(CT$120&lt;Standards_Active!$Q16,Perform_Active!$K16,(Standards_Active!$W16-Perform_Active!$K16)/(Standards_Active!$R16-(Standards_Active!$Q16-1))+CS128)),Perform_Active!$K16),)</f>
        <v>0</v>
      </c>
      <c r="CU128" s="625">
        <f>IF(AND(Tech_Specs!$F15="step",Standards_Active!$S16="yes"),IF(ISNUMBER(Standards_Active!$W16),IF(CU$120&gt;=Standards_Active!$R16,Standards_Active!$W16,IF(CU$120&lt;Standards_Active!$Q16,Perform_Active!$K16,(Standards_Active!$W16-Perform_Active!$K16)/(Standards_Active!$R16-(Standards_Active!$Q16-1))+CT128)),Perform_Active!$K16),)</f>
        <v>0</v>
      </c>
      <c r="CV128" s="625">
        <f>IF(AND(Tech_Specs!$F15="step",Standards_Active!$S16="yes"),IF(ISNUMBER(Standards_Active!$W16),IF(CV$120&gt;=Standards_Active!$R16,Standards_Active!$W16,IF(CV$120&lt;Standards_Active!$Q16,Perform_Active!$K16,(Standards_Active!$W16-Perform_Active!$K16)/(Standards_Active!$R16-(Standards_Active!$Q16-1))+CU128)),Perform_Active!$K16),)</f>
        <v>0</v>
      </c>
      <c r="CW128" s="625">
        <f>IF(AND(Tech_Specs!$F15="step",Standards_Active!$S16="yes"),IF(ISNUMBER(Standards_Active!$W16),IF(CW$120&gt;=Standards_Active!$R16,Standards_Active!$W16,IF(CW$120&lt;Standards_Active!$Q16,Perform_Active!$K16,(Standards_Active!$W16-Perform_Active!$K16)/(Standards_Active!$R16-(Standards_Active!$Q16-1))+CV128)),Perform_Active!$K16),)</f>
        <v>0</v>
      </c>
      <c r="CX128" s="625">
        <f>IF(AND(Tech_Specs!$F15="step",Standards_Active!$S16="yes"),IF(ISNUMBER(Standards_Active!$W16),IF(CX$120&gt;=Standards_Active!$R16,Standards_Active!$W16,IF(CX$120&lt;Standards_Active!$Q16,Perform_Active!$K16,(Standards_Active!$W16-Perform_Active!$K16)/(Standards_Active!$R16-(Standards_Active!$Q16-1))+CW128)),Perform_Active!$K16),)</f>
        <v>0</v>
      </c>
      <c r="CY128" s="625">
        <f>IF(AND(Tech_Specs!$F15="step",Standards_Active!$S16="yes"),IF(ISNUMBER(Standards_Active!$W16),IF(CY$120&gt;=Standards_Active!$R16,Standards_Active!$W16,IF(CY$120&lt;Standards_Active!$Q16,Perform_Active!$K16,(Standards_Active!$W16-Perform_Active!$K16)/(Standards_Active!$R16-(Standards_Active!$Q16-1))+CX128)),Perform_Active!$K16),)</f>
        <v>0</v>
      </c>
      <c r="CZ128" s="625">
        <f>IF(AND(Tech_Specs!$F15="step",Standards_Active!$S16="yes"),IF(ISNUMBER(Standards_Active!$W16),IF(CZ$120&gt;=Standards_Active!$R16,Standards_Active!$W16,IF(CZ$120&lt;Standards_Active!$Q16,Perform_Active!$K16,(Standards_Active!$W16-Perform_Active!$K16)/(Standards_Active!$R16-(Standards_Active!$Q16-1))+CY128)),Perform_Active!$K16),)</f>
        <v>0</v>
      </c>
      <c r="DA128" s="625">
        <f>IF(AND(Tech_Specs!$F15="step",Standards_Active!$S16="yes"),IF(ISNUMBER(Standards_Active!$W16),IF(DA$120&gt;=Standards_Active!$R16,Standards_Active!$W16,IF(DA$120&lt;Standards_Active!$Q16,Perform_Active!$K16,(Standards_Active!$W16-Perform_Active!$K16)/(Standards_Active!$R16-(Standards_Active!$Q16-1))+CZ128)),Perform_Active!$K16),)</f>
        <v>0</v>
      </c>
      <c r="DB128" s="625">
        <f>IF(AND(Tech_Specs!$F15="step",Standards_Active!$S16="yes"),IF(ISNUMBER(Standards_Active!$W16),IF(DB$120&gt;=Standards_Active!$R16,Standards_Active!$W16,IF(DB$120&lt;Standards_Active!$Q16,Perform_Active!$K16,(Standards_Active!$W16-Perform_Active!$K16)/(Standards_Active!$R16-(Standards_Active!$Q16-1))+DA128)),Perform_Active!$K16),)</f>
        <v>0</v>
      </c>
      <c r="DC128" s="625">
        <f>IF(AND(Tech_Specs!$F15="step",Standards_Active!$S16="yes"),IF(ISNUMBER(Standards_Active!$W16),IF(DC$120&gt;=Standards_Active!$R16,Standards_Active!$W16,IF(DC$120&lt;Standards_Active!$Q16,Perform_Active!$K16,(Standards_Active!$W16-Perform_Active!$K16)/(Standards_Active!$R16-(Standards_Active!$Q16-1))+DB128)),Perform_Active!$K16),)</f>
        <v>0</v>
      </c>
      <c r="DD128" s="625">
        <f>IF(AND(Tech_Specs!$F15="step",Standards_Active!$S16="yes"),IF(ISNUMBER(Standards_Active!$W16),IF(DD$120&gt;=Standards_Active!$R16,Standards_Active!$W16,IF(DD$120&lt;Standards_Active!$Q16,Perform_Active!$K16,(Standards_Active!$W16-Perform_Active!$K16)/(Standards_Active!$R16-(Standards_Active!$Q16-1))+DC128)),Perform_Active!$K16),)</f>
        <v>0</v>
      </c>
      <c r="DE128" s="625">
        <f>IF(AND(Tech_Specs!$F15="step",Standards_Active!$S16="yes"),IF(ISNUMBER(Standards_Active!$W16),IF(DE$120&gt;=Standards_Active!$R16,Standards_Active!$W16,IF(DE$120&lt;Standards_Active!$Q16,Perform_Active!$K16,(Standards_Active!$W16-Perform_Active!$K16)/(Standards_Active!$R16-(Standards_Active!$Q16-1))+DD128)),Perform_Active!$K16),)</f>
        <v>0</v>
      </c>
      <c r="DF128" s="625">
        <f>IF(AND(Tech_Specs!$F15="step",Standards_Active!$S16="yes"),IF(ISNUMBER(Standards_Active!$W16),IF(DF$120&gt;=Standards_Active!$R16,Standards_Active!$W16,IF(DF$120&lt;Standards_Active!$Q16,Perform_Active!$K16,(Standards_Active!$W16-Perform_Active!$K16)/(Standards_Active!$R16-(Standards_Active!$Q16-1))+DE128)),Perform_Active!$K16),)</f>
        <v>0</v>
      </c>
      <c r="DG128" s="625">
        <f>IF(AND(Tech_Specs!$F15="step",Standards_Active!$S16="yes"),IF(ISNUMBER(Standards_Active!$W16),IF(DG$120&gt;=Standards_Active!$R16,Standards_Active!$W16,IF(DG$120&lt;Standards_Active!$Q16,Perform_Active!$K16,(Standards_Active!$W16-Perform_Active!$K16)/(Standards_Active!$R16-(Standards_Active!$Q16-1))+DF128)),Perform_Active!$K16),)</f>
        <v>0</v>
      </c>
      <c r="DH128" s="625">
        <f>IF(AND(Tech_Specs!$F15="step",Standards_Active!$S16="yes"),IF(ISNUMBER(Standards_Active!$W16),IF(DH$120&gt;=Standards_Active!$R16,Standards_Active!$W16,IF(DH$120&lt;Standards_Active!$Q16,Perform_Active!$K16,(Standards_Active!$W16-Perform_Active!$K16)/(Standards_Active!$R16-(Standards_Active!$Q16-1))+DG128)),Perform_Active!$K16),)</f>
        <v>0</v>
      </c>
      <c r="DI128" s="625">
        <f>IF(AND(Tech_Specs!$F15="step",Standards_Active!$S16="yes"),IF(ISNUMBER(Standards_Active!$W16),IF(DI$120&gt;=Standards_Active!$R16,Standards_Active!$W16,IF(DI$120&lt;Standards_Active!$Q16,Perform_Active!$K16,(Standards_Active!$W16-Perform_Active!$K16)/(Standards_Active!$R16-(Standards_Active!$Q16-1))+DH128)),Perform_Active!$K16),)</f>
        <v>0</v>
      </c>
    </row>
    <row r="129" spans="1:113" s="81" customFormat="1" ht="12.6" x14ac:dyDescent="0.25">
      <c r="A129" s="101"/>
      <c r="B129" s="101" t="s">
        <v>34</v>
      </c>
      <c r="C129" s="83"/>
      <c r="D129" s="379"/>
      <c r="E129" s="379"/>
      <c r="F129" s="379"/>
      <c r="G129" s="128">
        <f t="shared" si="39"/>
        <v>1</v>
      </c>
      <c r="H129" s="128">
        <f t="shared" si="39"/>
        <v>1</v>
      </c>
      <c r="I129" s="128">
        <f t="shared" si="39"/>
        <v>1</v>
      </c>
      <c r="J129" s="128">
        <f t="shared" si="39"/>
        <v>1</v>
      </c>
      <c r="K129" s="128">
        <f t="shared" si="39"/>
        <v>1</v>
      </c>
      <c r="L129" s="128">
        <f t="shared" si="39"/>
        <v>1</v>
      </c>
      <c r="M129" s="128">
        <f t="shared" si="39"/>
        <v>1</v>
      </c>
      <c r="N129" s="128">
        <f t="shared" si="39"/>
        <v>1</v>
      </c>
      <c r="O129" s="128">
        <f t="shared" si="39"/>
        <v>1</v>
      </c>
      <c r="P129" s="128">
        <f t="shared" si="39"/>
        <v>1</v>
      </c>
      <c r="Q129" s="128">
        <f t="shared" si="40"/>
        <v>1</v>
      </c>
      <c r="R129" s="128">
        <f t="shared" si="40"/>
        <v>1</v>
      </c>
      <c r="S129" s="128">
        <f t="shared" si="40"/>
        <v>1</v>
      </c>
      <c r="T129" s="128">
        <f t="shared" si="40"/>
        <v>1</v>
      </c>
      <c r="U129" s="128">
        <f t="shared" si="40"/>
        <v>1</v>
      </c>
      <c r="V129" s="128">
        <f t="shared" si="40"/>
        <v>1</v>
      </c>
      <c r="W129" s="128">
        <f t="shared" si="40"/>
        <v>1</v>
      </c>
      <c r="X129" s="128">
        <f t="shared" si="40"/>
        <v>1</v>
      </c>
      <c r="Y129" s="128">
        <f t="shared" si="40"/>
        <v>1</v>
      </c>
      <c r="Z129" s="128">
        <f t="shared" si="40"/>
        <v>1</v>
      </c>
      <c r="AA129" s="128">
        <f t="shared" si="41"/>
        <v>1</v>
      </c>
      <c r="AB129" s="128">
        <f t="shared" si="41"/>
        <v>1</v>
      </c>
      <c r="AC129" s="128">
        <f t="shared" si="41"/>
        <v>1</v>
      </c>
      <c r="AD129" s="128">
        <f t="shared" si="41"/>
        <v>1</v>
      </c>
      <c r="AE129" s="128">
        <f t="shared" si="41"/>
        <v>1</v>
      </c>
      <c r="AF129" s="128">
        <f t="shared" si="41"/>
        <v>1</v>
      </c>
      <c r="AH129" s="405">
        <f>IF(Tech_Specs!$F16="linear",TREND(Perform_Active!$K17:$L17,Perform_Active!$K$8:$L$8,AH$120),)</f>
        <v>0</v>
      </c>
      <c r="AI129" s="405">
        <f>IF(Tech_Specs!$F16="linear",TREND(Perform_Active!$K17:$L17,Perform_Active!$K$8:$L$8,AI$120),)</f>
        <v>0</v>
      </c>
      <c r="AJ129" s="405">
        <f>IF(Tech_Specs!$F16="linear",TREND(Perform_Active!$K17:$L17,Perform_Active!$K$8:$L$8,AJ$120),)</f>
        <v>0</v>
      </c>
      <c r="AK129" s="405">
        <f>IF(Tech_Specs!$F16="linear",TREND(Perform_Active!$K17:$L17,Perform_Active!$K$8:$L$8,AK$120),)</f>
        <v>0</v>
      </c>
      <c r="AL129" s="405">
        <f>IF(Tech_Specs!$F16="linear",TREND(Perform_Active!$K17:$L17,Perform_Active!$K$8:$L$8,AL$120),)</f>
        <v>0</v>
      </c>
      <c r="AM129" s="405">
        <f>IF(Tech_Specs!$F16="linear",TREND(Perform_Active!$K17:$L17,Perform_Active!$K$8:$L$8,AM$120),)</f>
        <v>0</v>
      </c>
      <c r="AN129" s="405">
        <f>IF(Tech_Specs!$F16="linear",TREND(Perform_Active!$K17:$L17,Perform_Active!$K$8:$L$8,AN$120),)</f>
        <v>0</v>
      </c>
      <c r="AO129" s="405">
        <f>IF(Tech_Specs!$F16="linear",TREND(Perform_Active!$K17:$L17,Perform_Active!$K$8:$L$8,AO$120),)</f>
        <v>0</v>
      </c>
      <c r="AP129" s="405">
        <f>IF(Tech_Specs!$F16="linear",TREND(Perform_Active!$K17:$L17,Perform_Active!$K$8:$L$8,AP$120),)</f>
        <v>0</v>
      </c>
      <c r="AQ129" s="405">
        <f>IF(Tech_Specs!$F16="linear",TREND(Perform_Active!$K17:$L17,Perform_Active!$K$8:$L$8,AQ$120),)</f>
        <v>0</v>
      </c>
      <c r="AR129" s="405">
        <f>IF(Tech_Specs!$F16="linear",TREND(Perform_Active!$K17:$L17,Perform_Active!$K$8:$L$8,AR$120),)</f>
        <v>0</v>
      </c>
      <c r="AS129" s="405">
        <f>IF(Tech_Specs!$F16="linear",TREND(Perform_Active!$K17:$L17,Perform_Active!$K$8:$L$8,AS$120),)</f>
        <v>0</v>
      </c>
      <c r="AT129" s="405">
        <f>IF(Tech_Specs!$F16="linear",TREND(Perform_Active!$K17:$L17,Perform_Active!$K$8:$L$8,AT$120),)</f>
        <v>0</v>
      </c>
      <c r="AU129" s="405">
        <f>IF(Tech_Specs!$F16="linear",TREND(Perform_Active!$K17:$L17,Perform_Active!$K$8:$L$8,AU$120),)</f>
        <v>0</v>
      </c>
      <c r="AV129" s="405">
        <f>IF(Tech_Specs!$F16="linear",TREND(Perform_Active!$K17:$L17,Perform_Active!$K$8:$L$8,AV$120),)</f>
        <v>0</v>
      </c>
      <c r="AW129" s="405">
        <f>IF(Tech_Specs!$F16="linear",TREND(Perform_Active!$K17:$L17,Perform_Active!$K$8:$L$8,AW$120),)</f>
        <v>0</v>
      </c>
      <c r="AX129" s="405">
        <f>IF(Tech_Specs!$F16="linear",TREND(Perform_Active!$K17:$L17,Perform_Active!$K$8:$L$8,AX$120),)</f>
        <v>0</v>
      </c>
      <c r="AY129" s="405">
        <f>IF(Tech_Specs!$F16="linear",TREND(Perform_Active!$K17:$L17,Perform_Active!$K$8:$L$8,AY$120),)</f>
        <v>0</v>
      </c>
      <c r="AZ129" s="405">
        <f>IF(Tech_Specs!$F16="linear",TREND(Perform_Active!$K17:$L17,Perform_Active!$K$8:$L$8,AZ$120),)</f>
        <v>0</v>
      </c>
      <c r="BA129" s="405">
        <f>IF(Tech_Specs!$F16="linear",TREND(Perform_Active!$K17:$L17,Perform_Active!$K$8:$L$8,BA$120),)</f>
        <v>0</v>
      </c>
      <c r="BB129" s="405">
        <f>IF(Tech_Specs!$F16="linear",TREND(Perform_Active!$K17:$L17,Perform_Active!$K$8:$L$8,BB$120),)</f>
        <v>0</v>
      </c>
      <c r="BC129" s="405">
        <f>IF(Tech_Specs!$F16="linear",TREND(Perform_Active!$K17:$L17,Perform_Active!$K$8:$L$8,BC$120),)</f>
        <v>0</v>
      </c>
      <c r="BD129" s="405">
        <f>IF(Tech_Specs!$F16="linear",TREND(Perform_Active!$K17:$L17,Perform_Active!$K$8:$L$8,BD$120),)</f>
        <v>0</v>
      </c>
      <c r="BE129" s="405">
        <f>IF(Tech_Specs!$F16="linear",TREND(Perform_Active!$K17:$L17,Perform_Active!$K$8:$L$8,BE$120),)</f>
        <v>0</v>
      </c>
      <c r="BF129" s="405">
        <f>IF(Tech_Specs!$F16="linear",TREND(Perform_Active!$K17:$L17,Perform_Active!$K$8:$L$8,BF$120),)</f>
        <v>0</v>
      </c>
      <c r="BG129" s="405">
        <f>IF(Tech_Specs!$F16="linear",TREND(Perform_Active!$K17:$L17,Perform_Active!$K$8:$L$8,BG$120),)</f>
        <v>0</v>
      </c>
      <c r="BI129" s="338">
        <f>IF(Tech_Specs!$F16="Constant",Perform_Active!$K17,)</f>
        <v>1</v>
      </c>
      <c r="BJ129" s="338">
        <f>IF(Tech_Specs!$F16="Constant",Perform_Active!$K17,)</f>
        <v>1</v>
      </c>
      <c r="BK129" s="338">
        <f>IF(Tech_Specs!$F16="Constant",Perform_Active!$K17,)</f>
        <v>1</v>
      </c>
      <c r="BL129" s="338">
        <f>IF(Tech_Specs!$F16="Constant",Perform_Active!$K17,)</f>
        <v>1</v>
      </c>
      <c r="BM129" s="338">
        <f>IF(Tech_Specs!$F16="Constant",Perform_Active!$K17,)</f>
        <v>1</v>
      </c>
      <c r="BN129" s="338">
        <f>IF(Tech_Specs!$F16="Constant",Perform_Active!$K17,)</f>
        <v>1</v>
      </c>
      <c r="BO129" s="338">
        <f>IF(Tech_Specs!$F16="Constant",Perform_Active!$K17,)</f>
        <v>1</v>
      </c>
      <c r="BP129" s="338">
        <f>IF(Tech_Specs!$F16="Constant",Perform_Active!$K17,)</f>
        <v>1</v>
      </c>
      <c r="BQ129" s="338">
        <f>IF(Tech_Specs!$F16="Constant",Perform_Active!$K17,)</f>
        <v>1</v>
      </c>
      <c r="BR129" s="338">
        <f>IF(Tech_Specs!$F16="Constant",Perform_Active!$K17,)</f>
        <v>1</v>
      </c>
      <c r="BS129" s="338">
        <f>IF(Tech_Specs!$F16="Constant",Perform_Active!$K17,)</f>
        <v>1</v>
      </c>
      <c r="BT129" s="338">
        <f>IF(Tech_Specs!$F16="Constant",Perform_Active!$K17,)</f>
        <v>1</v>
      </c>
      <c r="BU129" s="338">
        <f>IF(Tech_Specs!$F16="Constant",Perform_Active!$K17,)</f>
        <v>1</v>
      </c>
      <c r="BV129" s="338">
        <f>IF(Tech_Specs!$F16="Constant",Perform_Active!$K17,)</f>
        <v>1</v>
      </c>
      <c r="BW129" s="338">
        <f>IF(Tech_Specs!$F16="Constant",Perform_Active!$K17,)</f>
        <v>1</v>
      </c>
      <c r="BX129" s="338">
        <f>IF(Tech_Specs!$F16="Constant",Perform_Active!$K17,)</f>
        <v>1</v>
      </c>
      <c r="BY129" s="338">
        <f>IF(Tech_Specs!$F16="Constant",Perform_Active!$K17,)</f>
        <v>1</v>
      </c>
      <c r="BZ129" s="338">
        <f>IF(Tech_Specs!$F16="Constant",Perform_Active!$K17,)</f>
        <v>1</v>
      </c>
      <c r="CA129" s="338">
        <f>IF(Tech_Specs!$F16="Constant",Perform_Active!$K17,)</f>
        <v>1</v>
      </c>
      <c r="CB129" s="338">
        <f>IF(Tech_Specs!$F16="Constant",Perform_Active!$K17,)</f>
        <v>1</v>
      </c>
      <c r="CC129" s="338">
        <f>IF(Tech_Specs!$F16="Constant",Perform_Active!$K17,)</f>
        <v>1</v>
      </c>
      <c r="CD129" s="338">
        <f>IF(Tech_Specs!$F16="Constant",Perform_Active!$K17,)</f>
        <v>1</v>
      </c>
      <c r="CE129" s="338">
        <f>IF(Tech_Specs!$F16="Constant",Perform_Active!$K17,)</f>
        <v>1</v>
      </c>
      <c r="CF129" s="338">
        <f>IF(Tech_Specs!$F16="Constant",Perform_Active!$K17,)</f>
        <v>1</v>
      </c>
      <c r="CG129" s="338">
        <f>IF(Tech_Specs!$F16="Constant",Perform_Active!$K17,)</f>
        <v>1</v>
      </c>
      <c r="CH129" s="338">
        <f>IF(Tech_Specs!$F16="Constant",Perform_Active!$K17,)</f>
        <v>1</v>
      </c>
      <c r="CJ129" s="625">
        <f>IF(AND(Tech_Specs!$F16="step",Standards_Active!$S17="yes"),IF(ISNUMBER(Standards_Active!$W17),IF(CJ$120&gt;=Standards_Active!$R17,Standards_Active!$W17,IF(CJ$120&lt;Standards_Active!$Q17,Perform_Active!$K17,(Standards_Active!$W17-Perform_Active!$K17)/(Standards_Active!$R17-(Standards_Active!$Q17-1))+CI129)),Perform_Active!$K17),)</f>
        <v>0</v>
      </c>
      <c r="CK129" s="625">
        <f>IF(AND(Tech_Specs!$F16="step",Standards_Active!$S17="yes"),IF(ISNUMBER(Standards_Active!$W17),IF(CK$120&gt;=Standards_Active!$R17,Standards_Active!$W17,IF(CK$120&lt;Standards_Active!$Q17,Perform_Active!$K17,(Standards_Active!$W17-Perform_Active!$K17)/(Standards_Active!$R17-(Standards_Active!$Q17-1))+CJ129)),Perform_Active!$K17),)</f>
        <v>0</v>
      </c>
      <c r="CL129" s="625">
        <f>IF(AND(Tech_Specs!$F16="step",Standards_Active!$S17="yes"),IF(ISNUMBER(Standards_Active!$W17),IF(CL$120&gt;=Standards_Active!$R17,Standards_Active!$W17,IF(CL$120&lt;Standards_Active!$Q17,Perform_Active!$K17,(Standards_Active!$W17-Perform_Active!$K17)/(Standards_Active!$R17-(Standards_Active!$Q17-1))+CK129)),Perform_Active!$K17),)</f>
        <v>0</v>
      </c>
      <c r="CM129" s="625">
        <f>IF(AND(Tech_Specs!$F16="step",Standards_Active!$S17="yes"),IF(ISNUMBER(Standards_Active!$W17),IF(CM$120&gt;=Standards_Active!$R17,Standards_Active!$W17,IF(CM$120&lt;Standards_Active!$Q17,Perform_Active!$K17,(Standards_Active!$W17-Perform_Active!$K17)/(Standards_Active!$R17-(Standards_Active!$Q17-1))+CL129)),Perform_Active!$K17),)</f>
        <v>0</v>
      </c>
      <c r="CN129" s="625">
        <f>IF(AND(Tech_Specs!$F16="step",Standards_Active!$S17="yes"),IF(ISNUMBER(Standards_Active!$W17),IF(CN$120&gt;=Standards_Active!$R17,Standards_Active!$W17,IF(CN$120&lt;Standards_Active!$Q17,Perform_Active!$K17,(Standards_Active!$W17-Perform_Active!$K17)/(Standards_Active!$R17-(Standards_Active!$Q17-1))+CM129)),Perform_Active!$K17),)</f>
        <v>0</v>
      </c>
      <c r="CO129" s="625">
        <f>IF(AND(Tech_Specs!$F16="step",Standards_Active!$S17="yes"),IF(ISNUMBER(Standards_Active!$W17),IF(CO$120&gt;=Standards_Active!$R17,Standards_Active!$W17,IF(CO$120&lt;Standards_Active!$Q17,Perform_Active!$K17,(Standards_Active!$W17-Perform_Active!$K17)/(Standards_Active!$R17-(Standards_Active!$Q17-1))+CN129)),Perform_Active!$K17),)</f>
        <v>0</v>
      </c>
      <c r="CP129" s="625">
        <f>IF(AND(Tech_Specs!$F16="step",Standards_Active!$S17="yes"),IF(ISNUMBER(Standards_Active!$W17),IF(CP$120&gt;=Standards_Active!$R17,Standards_Active!$W17,IF(CP$120&lt;Standards_Active!$Q17,Perform_Active!$K17,(Standards_Active!$W17-Perform_Active!$K17)/(Standards_Active!$R17-(Standards_Active!$Q17-1))+CO129)),Perform_Active!$K17),)</f>
        <v>0</v>
      </c>
      <c r="CQ129" s="625">
        <f>IF(AND(Tech_Specs!$F16="step",Standards_Active!$S17="yes"),IF(ISNUMBER(Standards_Active!$W17),IF(CQ$120&gt;=Standards_Active!$R17,Standards_Active!$W17,IF(CQ$120&lt;Standards_Active!$Q17,Perform_Active!$K17,(Standards_Active!$W17-Perform_Active!$K17)/(Standards_Active!$R17-(Standards_Active!$Q17-1))+CP129)),Perform_Active!$K17),)</f>
        <v>0</v>
      </c>
      <c r="CR129" s="625">
        <f>IF(AND(Tech_Specs!$F16="step",Standards_Active!$S17="yes"),IF(ISNUMBER(Standards_Active!$W17),IF(CR$120&gt;=Standards_Active!$R17,Standards_Active!$W17,IF(CR$120&lt;Standards_Active!$Q17,Perform_Active!$K17,(Standards_Active!$W17-Perform_Active!$K17)/(Standards_Active!$R17-(Standards_Active!$Q17-1))+CQ129)),Perform_Active!$K17),)</f>
        <v>0</v>
      </c>
      <c r="CS129" s="625">
        <f>IF(AND(Tech_Specs!$F16="step",Standards_Active!$S17="yes"),IF(ISNUMBER(Standards_Active!$W17),IF(CS$120&gt;=Standards_Active!$R17,Standards_Active!$W17,IF(CS$120&lt;Standards_Active!$Q17,Perform_Active!$K17,(Standards_Active!$W17-Perform_Active!$K17)/(Standards_Active!$R17-(Standards_Active!$Q17-1))+CR129)),Perform_Active!$K17),)</f>
        <v>0</v>
      </c>
      <c r="CT129" s="625">
        <f>IF(AND(Tech_Specs!$F16="step",Standards_Active!$S17="yes"),IF(ISNUMBER(Standards_Active!$W17),IF(CT$120&gt;=Standards_Active!$R17,Standards_Active!$W17,IF(CT$120&lt;Standards_Active!$Q17,Perform_Active!$K17,(Standards_Active!$W17-Perform_Active!$K17)/(Standards_Active!$R17-(Standards_Active!$Q17-1))+CS129)),Perform_Active!$K17),)</f>
        <v>0</v>
      </c>
      <c r="CU129" s="625">
        <f>IF(AND(Tech_Specs!$F16="step",Standards_Active!$S17="yes"),IF(ISNUMBER(Standards_Active!$W17),IF(CU$120&gt;=Standards_Active!$R17,Standards_Active!$W17,IF(CU$120&lt;Standards_Active!$Q17,Perform_Active!$K17,(Standards_Active!$W17-Perform_Active!$K17)/(Standards_Active!$R17-(Standards_Active!$Q17-1))+CT129)),Perform_Active!$K17),)</f>
        <v>0</v>
      </c>
      <c r="CV129" s="625">
        <f>IF(AND(Tech_Specs!$F16="step",Standards_Active!$S17="yes"),IF(ISNUMBER(Standards_Active!$W17),IF(CV$120&gt;=Standards_Active!$R17,Standards_Active!$W17,IF(CV$120&lt;Standards_Active!$Q17,Perform_Active!$K17,(Standards_Active!$W17-Perform_Active!$K17)/(Standards_Active!$R17-(Standards_Active!$Q17-1))+CU129)),Perform_Active!$K17),)</f>
        <v>0</v>
      </c>
      <c r="CW129" s="625">
        <f>IF(AND(Tech_Specs!$F16="step",Standards_Active!$S17="yes"),IF(ISNUMBER(Standards_Active!$W17),IF(CW$120&gt;=Standards_Active!$R17,Standards_Active!$W17,IF(CW$120&lt;Standards_Active!$Q17,Perform_Active!$K17,(Standards_Active!$W17-Perform_Active!$K17)/(Standards_Active!$R17-(Standards_Active!$Q17-1))+CV129)),Perform_Active!$K17),)</f>
        <v>0</v>
      </c>
      <c r="CX129" s="625">
        <f>IF(AND(Tech_Specs!$F16="step",Standards_Active!$S17="yes"),IF(ISNUMBER(Standards_Active!$W17),IF(CX$120&gt;=Standards_Active!$R17,Standards_Active!$W17,IF(CX$120&lt;Standards_Active!$Q17,Perform_Active!$K17,(Standards_Active!$W17-Perform_Active!$K17)/(Standards_Active!$R17-(Standards_Active!$Q17-1))+CW129)),Perform_Active!$K17),)</f>
        <v>0</v>
      </c>
      <c r="CY129" s="625">
        <f>IF(AND(Tech_Specs!$F16="step",Standards_Active!$S17="yes"),IF(ISNUMBER(Standards_Active!$W17),IF(CY$120&gt;=Standards_Active!$R17,Standards_Active!$W17,IF(CY$120&lt;Standards_Active!$Q17,Perform_Active!$K17,(Standards_Active!$W17-Perform_Active!$K17)/(Standards_Active!$R17-(Standards_Active!$Q17-1))+CX129)),Perform_Active!$K17),)</f>
        <v>0</v>
      </c>
      <c r="CZ129" s="625">
        <f>IF(AND(Tech_Specs!$F16="step",Standards_Active!$S17="yes"),IF(ISNUMBER(Standards_Active!$W17),IF(CZ$120&gt;=Standards_Active!$R17,Standards_Active!$W17,IF(CZ$120&lt;Standards_Active!$Q17,Perform_Active!$K17,(Standards_Active!$W17-Perform_Active!$K17)/(Standards_Active!$R17-(Standards_Active!$Q17-1))+CY129)),Perform_Active!$K17),)</f>
        <v>0</v>
      </c>
      <c r="DA129" s="625">
        <f>IF(AND(Tech_Specs!$F16="step",Standards_Active!$S17="yes"),IF(ISNUMBER(Standards_Active!$W17),IF(DA$120&gt;=Standards_Active!$R17,Standards_Active!$W17,IF(DA$120&lt;Standards_Active!$Q17,Perform_Active!$K17,(Standards_Active!$W17-Perform_Active!$K17)/(Standards_Active!$R17-(Standards_Active!$Q17-1))+CZ129)),Perform_Active!$K17),)</f>
        <v>0</v>
      </c>
      <c r="DB129" s="625">
        <f>IF(AND(Tech_Specs!$F16="step",Standards_Active!$S17="yes"),IF(ISNUMBER(Standards_Active!$W17),IF(DB$120&gt;=Standards_Active!$R17,Standards_Active!$W17,IF(DB$120&lt;Standards_Active!$Q17,Perform_Active!$K17,(Standards_Active!$W17-Perform_Active!$K17)/(Standards_Active!$R17-(Standards_Active!$Q17-1))+DA129)),Perform_Active!$K17),)</f>
        <v>0</v>
      </c>
      <c r="DC129" s="625">
        <f>IF(AND(Tech_Specs!$F16="step",Standards_Active!$S17="yes"),IF(ISNUMBER(Standards_Active!$W17),IF(DC$120&gt;=Standards_Active!$R17,Standards_Active!$W17,IF(DC$120&lt;Standards_Active!$Q17,Perform_Active!$K17,(Standards_Active!$W17-Perform_Active!$K17)/(Standards_Active!$R17-(Standards_Active!$Q17-1))+DB129)),Perform_Active!$K17),)</f>
        <v>0</v>
      </c>
      <c r="DD129" s="625">
        <f>IF(AND(Tech_Specs!$F16="step",Standards_Active!$S17="yes"),IF(ISNUMBER(Standards_Active!$W17),IF(DD$120&gt;=Standards_Active!$R17,Standards_Active!$W17,IF(DD$120&lt;Standards_Active!$Q17,Perform_Active!$K17,(Standards_Active!$W17-Perform_Active!$K17)/(Standards_Active!$R17-(Standards_Active!$Q17-1))+DC129)),Perform_Active!$K17),)</f>
        <v>0</v>
      </c>
      <c r="DE129" s="625">
        <f>IF(AND(Tech_Specs!$F16="step",Standards_Active!$S17="yes"),IF(ISNUMBER(Standards_Active!$W17),IF(DE$120&gt;=Standards_Active!$R17,Standards_Active!$W17,IF(DE$120&lt;Standards_Active!$Q17,Perform_Active!$K17,(Standards_Active!$W17-Perform_Active!$K17)/(Standards_Active!$R17-(Standards_Active!$Q17-1))+DD129)),Perform_Active!$K17),)</f>
        <v>0</v>
      </c>
      <c r="DF129" s="625">
        <f>IF(AND(Tech_Specs!$F16="step",Standards_Active!$S17="yes"),IF(ISNUMBER(Standards_Active!$W17),IF(DF$120&gt;=Standards_Active!$R17,Standards_Active!$W17,IF(DF$120&lt;Standards_Active!$Q17,Perform_Active!$K17,(Standards_Active!$W17-Perform_Active!$K17)/(Standards_Active!$R17-(Standards_Active!$Q17-1))+DE129)),Perform_Active!$K17),)</f>
        <v>0</v>
      </c>
      <c r="DG129" s="625">
        <f>IF(AND(Tech_Specs!$F16="step",Standards_Active!$S17="yes"),IF(ISNUMBER(Standards_Active!$W17),IF(DG$120&gt;=Standards_Active!$R17,Standards_Active!$W17,IF(DG$120&lt;Standards_Active!$Q17,Perform_Active!$K17,(Standards_Active!$W17-Perform_Active!$K17)/(Standards_Active!$R17-(Standards_Active!$Q17-1))+DF129)),Perform_Active!$K17),)</f>
        <v>0</v>
      </c>
      <c r="DH129" s="625">
        <f>IF(AND(Tech_Specs!$F16="step",Standards_Active!$S17="yes"),IF(ISNUMBER(Standards_Active!$W17),IF(DH$120&gt;=Standards_Active!$R17,Standards_Active!$W17,IF(DH$120&lt;Standards_Active!$Q17,Perform_Active!$K17,(Standards_Active!$W17-Perform_Active!$K17)/(Standards_Active!$R17-(Standards_Active!$Q17-1))+DG129)),Perform_Active!$K17),)</f>
        <v>0</v>
      </c>
      <c r="DI129" s="625">
        <f>IF(AND(Tech_Specs!$F16="step",Standards_Active!$S17="yes"),IF(ISNUMBER(Standards_Active!$W17),IF(DI$120&gt;=Standards_Active!$R17,Standards_Active!$W17,IF(DI$120&lt;Standards_Active!$Q17,Perform_Active!$K17,(Standards_Active!$W17-Perform_Active!$K17)/(Standards_Active!$R17-(Standards_Active!$Q17-1))+DH129)),Perform_Active!$K17),)</f>
        <v>0</v>
      </c>
    </row>
    <row r="130" spans="1:113" s="81" customFormat="1" ht="12.6" x14ac:dyDescent="0.25">
      <c r="B130" s="101" t="s">
        <v>35</v>
      </c>
      <c r="C130" s="83"/>
      <c r="D130" s="379"/>
      <c r="E130" s="379"/>
      <c r="F130" s="379"/>
      <c r="G130" s="128">
        <f t="shared" si="39"/>
        <v>1</v>
      </c>
      <c r="H130" s="128">
        <f t="shared" si="39"/>
        <v>1</v>
      </c>
      <c r="I130" s="128">
        <f t="shared" si="39"/>
        <v>1</v>
      </c>
      <c r="J130" s="128">
        <f t="shared" si="39"/>
        <v>1</v>
      </c>
      <c r="K130" s="128">
        <f t="shared" si="39"/>
        <v>1</v>
      </c>
      <c r="L130" s="128">
        <f t="shared" si="39"/>
        <v>1</v>
      </c>
      <c r="M130" s="128">
        <f t="shared" si="39"/>
        <v>1</v>
      </c>
      <c r="N130" s="128">
        <f t="shared" si="39"/>
        <v>1</v>
      </c>
      <c r="O130" s="128">
        <f t="shared" si="39"/>
        <v>1</v>
      </c>
      <c r="P130" s="128">
        <f t="shared" si="39"/>
        <v>1</v>
      </c>
      <c r="Q130" s="128">
        <f t="shared" si="40"/>
        <v>1</v>
      </c>
      <c r="R130" s="128">
        <f t="shared" si="40"/>
        <v>1</v>
      </c>
      <c r="S130" s="128">
        <f t="shared" si="40"/>
        <v>1</v>
      </c>
      <c r="T130" s="128">
        <f t="shared" si="40"/>
        <v>1</v>
      </c>
      <c r="U130" s="128">
        <f t="shared" si="40"/>
        <v>1</v>
      </c>
      <c r="V130" s="128">
        <f t="shared" si="40"/>
        <v>1</v>
      </c>
      <c r="W130" s="128">
        <f t="shared" si="40"/>
        <v>1</v>
      </c>
      <c r="X130" s="128">
        <f t="shared" si="40"/>
        <v>1</v>
      </c>
      <c r="Y130" s="128">
        <f t="shared" si="40"/>
        <v>1</v>
      </c>
      <c r="Z130" s="128">
        <f t="shared" si="40"/>
        <v>1</v>
      </c>
      <c r="AA130" s="128">
        <f t="shared" si="41"/>
        <v>1</v>
      </c>
      <c r="AB130" s="128">
        <f t="shared" si="41"/>
        <v>1</v>
      </c>
      <c r="AC130" s="128">
        <f t="shared" si="41"/>
        <v>1</v>
      </c>
      <c r="AD130" s="128">
        <f t="shared" si="41"/>
        <v>1</v>
      </c>
      <c r="AE130" s="128">
        <f t="shared" si="41"/>
        <v>1</v>
      </c>
      <c r="AF130" s="128">
        <f t="shared" si="41"/>
        <v>1</v>
      </c>
      <c r="AH130" s="405">
        <f>IF(Tech_Specs!$F17="linear",TREND(Perform_Active!$K18:$L18,Perform_Active!$K$8:$L$8,AH$120),)</f>
        <v>0</v>
      </c>
      <c r="AI130" s="405">
        <f>IF(Tech_Specs!$F17="linear",TREND(Perform_Active!$K18:$L18,Perform_Active!$K$8:$L$8,AI$120),)</f>
        <v>0</v>
      </c>
      <c r="AJ130" s="405">
        <f>IF(Tech_Specs!$F17="linear",TREND(Perform_Active!$K18:$L18,Perform_Active!$K$8:$L$8,AJ$120),)</f>
        <v>0</v>
      </c>
      <c r="AK130" s="405">
        <f>IF(Tech_Specs!$F17="linear",TREND(Perform_Active!$K18:$L18,Perform_Active!$K$8:$L$8,AK$120),)</f>
        <v>0</v>
      </c>
      <c r="AL130" s="405">
        <f>IF(Tech_Specs!$F17="linear",TREND(Perform_Active!$K18:$L18,Perform_Active!$K$8:$L$8,AL$120),)</f>
        <v>0</v>
      </c>
      <c r="AM130" s="405">
        <f>IF(Tech_Specs!$F17="linear",TREND(Perform_Active!$K18:$L18,Perform_Active!$K$8:$L$8,AM$120),)</f>
        <v>0</v>
      </c>
      <c r="AN130" s="405">
        <f>IF(Tech_Specs!$F17="linear",TREND(Perform_Active!$K18:$L18,Perform_Active!$K$8:$L$8,AN$120),)</f>
        <v>0</v>
      </c>
      <c r="AO130" s="405">
        <f>IF(Tech_Specs!$F17="linear",TREND(Perform_Active!$K18:$L18,Perform_Active!$K$8:$L$8,AO$120),)</f>
        <v>0</v>
      </c>
      <c r="AP130" s="405">
        <f>IF(Tech_Specs!$F17="linear",TREND(Perform_Active!$K18:$L18,Perform_Active!$K$8:$L$8,AP$120),)</f>
        <v>0</v>
      </c>
      <c r="AQ130" s="405">
        <f>IF(Tech_Specs!$F17="linear",TREND(Perform_Active!$K18:$L18,Perform_Active!$K$8:$L$8,AQ$120),)</f>
        <v>0</v>
      </c>
      <c r="AR130" s="405">
        <f>IF(Tech_Specs!$F17="linear",TREND(Perform_Active!$K18:$L18,Perform_Active!$K$8:$L$8,AR$120),)</f>
        <v>0</v>
      </c>
      <c r="AS130" s="405">
        <f>IF(Tech_Specs!$F17="linear",TREND(Perform_Active!$K18:$L18,Perform_Active!$K$8:$L$8,AS$120),)</f>
        <v>0</v>
      </c>
      <c r="AT130" s="405">
        <f>IF(Tech_Specs!$F17="linear",TREND(Perform_Active!$K18:$L18,Perform_Active!$K$8:$L$8,AT$120),)</f>
        <v>0</v>
      </c>
      <c r="AU130" s="405">
        <f>IF(Tech_Specs!$F17="linear",TREND(Perform_Active!$K18:$L18,Perform_Active!$K$8:$L$8,AU$120),)</f>
        <v>0</v>
      </c>
      <c r="AV130" s="405">
        <f>IF(Tech_Specs!$F17="linear",TREND(Perform_Active!$K18:$L18,Perform_Active!$K$8:$L$8,AV$120),)</f>
        <v>0</v>
      </c>
      <c r="AW130" s="405">
        <f>IF(Tech_Specs!$F17="linear",TREND(Perform_Active!$K18:$L18,Perform_Active!$K$8:$L$8,AW$120),)</f>
        <v>0</v>
      </c>
      <c r="AX130" s="405">
        <f>IF(Tech_Specs!$F17="linear",TREND(Perform_Active!$K18:$L18,Perform_Active!$K$8:$L$8,AX$120),)</f>
        <v>0</v>
      </c>
      <c r="AY130" s="405">
        <f>IF(Tech_Specs!$F17="linear",TREND(Perform_Active!$K18:$L18,Perform_Active!$K$8:$L$8,AY$120),)</f>
        <v>0</v>
      </c>
      <c r="AZ130" s="405">
        <f>IF(Tech_Specs!$F17="linear",TREND(Perform_Active!$K18:$L18,Perform_Active!$K$8:$L$8,AZ$120),)</f>
        <v>0</v>
      </c>
      <c r="BA130" s="405">
        <f>IF(Tech_Specs!$F17="linear",TREND(Perform_Active!$K18:$L18,Perform_Active!$K$8:$L$8,BA$120),)</f>
        <v>0</v>
      </c>
      <c r="BB130" s="405">
        <f>IF(Tech_Specs!$F17="linear",TREND(Perform_Active!$K18:$L18,Perform_Active!$K$8:$L$8,BB$120),)</f>
        <v>0</v>
      </c>
      <c r="BC130" s="405">
        <f>IF(Tech_Specs!$F17="linear",TREND(Perform_Active!$K18:$L18,Perform_Active!$K$8:$L$8,BC$120),)</f>
        <v>0</v>
      </c>
      <c r="BD130" s="405">
        <f>IF(Tech_Specs!$F17="linear",TREND(Perform_Active!$K18:$L18,Perform_Active!$K$8:$L$8,BD$120),)</f>
        <v>0</v>
      </c>
      <c r="BE130" s="405">
        <f>IF(Tech_Specs!$F17="linear",TREND(Perform_Active!$K18:$L18,Perform_Active!$K$8:$L$8,BE$120),)</f>
        <v>0</v>
      </c>
      <c r="BF130" s="405">
        <f>IF(Tech_Specs!$F17="linear",TREND(Perform_Active!$K18:$L18,Perform_Active!$K$8:$L$8,BF$120),)</f>
        <v>0</v>
      </c>
      <c r="BG130" s="405">
        <f>IF(Tech_Specs!$F17="linear",TREND(Perform_Active!$K18:$L18,Perform_Active!$K$8:$L$8,BG$120),)</f>
        <v>0</v>
      </c>
      <c r="BI130" s="338">
        <f>IF(Tech_Specs!$F17="Constant",Perform_Active!$K18,)</f>
        <v>1</v>
      </c>
      <c r="BJ130" s="338">
        <f>IF(Tech_Specs!$F17="Constant",Perform_Active!$K18,)</f>
        <v>1</v>
      </c>
      <c r="BK130" s="338">
        <f>IF(Tech_Specs!$F17="Constant",Perform_Active!$K18,)</f>
        <v>1</v>
      </c>
      <c r="BL130" s="338">
        <f>IF(Tech_Specs!$F17="Constant",Perform_Active!$K18,)</f>
        <v>1</v>
      </c>
      <c r="BM130" s="338">
        <f>IF(Tech_Specs!$F17="Constant",Perform_Active!$K18,)</f>
        <v>1</v>
      </c>
      <c r="BN130" s="338">
        <f>IF(Tech_Specs!$F17="Constant",Perform_Active!$K18,)</f>
        <v>1</v>
      </c>
      <c r="BO130" s="338">
        <f>IF(Tech_Specs!$F17="Constant",Perform_Active!$K18,)</f>
        <v>1</v>
      </c>
      <c r="BP130" s="338">
        <f>IF(Tech_Specs!$F17="Constant",Perform_Active!$K18,)</f>
        <v>1</v>
      </c>
      <c r="BQ130" s="338">
        <f>IF(Tech_Specs!$F17="Constant",Perform_Active!$K18,)</f>
        <v>1</v>
      </c>
      <c r="BR130" s="338">
        <f>IF(Tech_Specs!$F17="Constant",Perform_Active!$K18,)</f>
        <v>1</v>
      </c>
      <c r="BS130" s="338">
        <f>IF(Tech_Specs!$F17="Constant",Perform_Active!$K18,)</f>
        <v>1</v>
      </c>
      <c r="BT130" s="338">
        <f>IF(Tech_Specs!$F17="Constant",Perform_Active!$K18,)</f>
        <v>1</v>
      </c>
      <c r="BU130" s="338">
        <f>IF(Tech_Specs!$F17="Constant",Perform_Active!$K18,)</f>
        <v>1</v>
      </c>
      <c r="BV130" s="338">
        <f>IF(Tech_Specs!$F17="Constant",Perform_Active!$K18,)</f>
        <v>1</v>
      </c>
      <c r="BW130" s="338">
        <f>IF(Tech_Specs!$F17="Constant",Perform_Active!$K18,)</f>
        <v>1</v>
      </c>
      <c r="BX130" s="338">
        <f>IF(Tech_Specs!$F17="Constant",Perform_Active!$K18,)</f>
        <v>1</v>
      </c>
      <c r="BY130" s="338">
        <f>IF(Tech_Specs!$F17="Constant",Perform_Active!$K18,)</f>
        <v>1</v>
      </c>
      <c r="BZ130" s="338">
        <f>IF(Tech_Specs!$F17="Constant",Perform_Active!$K18,)</f>
        <v>1</v>
      </c>
      <c r="CA130" s="338">
        <f>IF(Tech_Specs!$F17="Constant",Perform_Active!$K18,)</f>
        <v>1</v>
      </c>
      <c r="CB130" s="338">
        <f>IF(Tech_Specs!$F17="Constant",Perform_Active!$K18,)</f>
        <v>1</v>
      </c>
      <c r="CC130" s="338">
        <f>IF(Tech_Specs!$F17="Constant",Perform_Active!$K18,)</f>
        <v>1</v>
      </c>
      <c r="CD130" s="338">
        <f>IF(Tech_Specs!$F17="Constant",Perform_Active!$K18,)</f>
        <v>1</v>
      </c>
      <c r="CE130" s="338">
        <f>IF(Tech_Specs!$F17="Constant",Perform_Active!$K18,)</f>
        <v>1</v>
      </c>
      <c r="CF130" s="338">
        <f>IF(Tech_Specs!$F17="Constant",Perform_Active!$K18,)</f>
        <v>1</v>
      </c>
      <c r="CG130" s="338">
        <f>IF(Tech_Specs!$F17="Constant",Perform_Active!$K18,)</f>
        <v>1</v>
      </c>
      <c r="CH130" s="338">
        <f>IF(Tech_Specs!$F17="Constant",Perform_Active!$K18,)</f>
        <v>1</v>
      </c>
      <c r="CJ130" s="625">
        <f>IF(AND(Tech_Specs!$F17="step",Standards_Active!$S18="yes"),IF(ISNUMBER(Standards_Active!$W18),IF(CJ$120&gt;=Standards_Active!$R18,Standards_Active!$W18,IF(CJ$120&lt;Standards_Active!$Q18,Perform_Active!$K18,(Standards_Active!$W18-Perform_Active!$K18)/(Standards_Active!$R18-(Standards_Active!$Q18-1))+CI130)),Perform_Active!$K18),)</f>
        <v>0</v>
      </c>
      <c r="CK130" s="625">
        <f>IF(AND(Tech_Specs!$F17="step",Standards_Active!$S18="yes"),IF(ISNUMBER(Standards_Active!$W18),IF(CK$120&gt;=Standards_Active!$R18,Standards_Active!$W18,IF(CK$120&lt;Standards_Active!$Q18,Perform_Active!$K18,(Standards_Active!$W18-Perform_Active!$K18)/(Standards_Active!$R18-(Standards_Active!$Q18-1))+CJ130)),Perform_Active!$K18),)</f>
        <v>0</v>
      </c>
      <c r="CL130" s="625">
        <f>IF(AND(Tech_Specs!$F17="step",Standards_Active!$S18="yes"),IF(ISNUMBER(Standards_Active!$W18),IF(CL$120&gt;=Standards_Active!$R18,Standards_Active!$W18,IF(CL$120&lt;Standards_Active!$Q18,Perform_Active!$K18,(Standards_Active!$W18-Perform_Active!$K18)/(Standards_Active!$R18-(Standards_Active!$Q18-1))+CK130)),Perform_Active!$K18),)</f>
        <v>0</v>
      </c>
      <c r="CM130" s="625">
        <f>IF(AND(Tech_Specs!$F17="step",Standards_Active!$S18="yes"),IF(ISNUMBER(Standards_Active!$W18),IF(CM$120&gt;=Standards_Active!$R18,Standards_Active!$W18,IF(CM$120&lt;Standards_Active!$Q18,Perform_Active!$K18,(Standards_Active!$W18-Perform_Active!$K18)/(Standards_Active!$R18-(Standards_Active!$Q18-1))+CL130)),Perform_Active!$K18),)</f>
        <v>0</v>
      </c>
      <c r="CN130" s="625">
        <f>IF(AND(Tech_Specs!$F17="step",Standards_Active!$S18="yes"),IF(ISNUMBER(Standards_Active!$W18),IF(CN$120&gt;=Standards_Active!$R18,Standards_Active!$W18,IF(CN$120&lt;Standards_Active!$Q18,Perform_Active!$K18,(Standards_Active!$W18-Perform_Active!$K18)/(Standards_Active!$R18-(Standards_Active!$Q18-1))+CM130)),Perform_Active!$K18),)</f>
        <v>0</v>
      </c>
      <c r="CO130" s="625">
        <f>IF(AND(Tech_Specs!$F17="step",Standards_Active!$S18="yes"),IF(ISNUMBER(Standards_Active!$W18),IF(CO$120&gt;=Standards_Active!$R18,Standards_Active!$W18,IF(CO$120&lt;Standards_Active!$Q18,Perform_Active!$K18,(Standards_Active!$W18-Perform_Active!$K18)/(Standards_Active!$R18-(Standards_Active!$Q18-1))+CN130)),Perform_Active!$K18),)</f>
        <v>0</v>
      </c>
      <c r="CP130" s="625">
        <f>IF(AND(Tech_Specs!$F17="step",Standards_Active!$S18="yes"),IF(ISNUMBER(Standards_Active!$W18),IF(CP$120&gt;=Standards_Active!$R18,Standards_Active!$W18,IF(CP$120&lt;Standards_Active!$Q18,Perform_Active!$K18,(Standards_Active!$W18-Perform_Active!$K18)/(Standards_Active!$R18-(Standards_Active!$Q18-1))+CO130)),Perform_Active!$K18),)</f>
        <v>0</v>
      </c>
      <c r="CQ130" s="625">
        <f>IF(AND(Tech_Specs!$F17="step",Standards_Active!$S18="yes"),IF(ISNUMBER(Standards_Active!$W18),IF(CQ$120&gt;=Standards_Active!$R18,Standards_Active!$W18,IF(CQ$120&lt;Standards_Active!$Q18,Perform_Active!$K18,(Standards_Active!$W18-Perform_Active!$K18)/(Standards_Active!$R18-(Standards_Active!$Q18-1))+CP130)),Perform_Active!$K18),)</f>
        <v>0</v>
      </c>
      <c r="CR130" s="625">
        <f>IF(AND(Tech_Specs!$F17="step",Standards_Active!$S18="yes"),IF(ISNUMBER(Standards_Active!$W18),IF(CR$120&gt;=Standards_Active!$R18,Standards_Active!$W18,IF(CR$120&lt;Standards_Active!$Q18,Perform_Active!$K18,(Standards_Active!$W18-Perform_Active!$K18)/(Standards_Active!$R18-(Standards_Active!$Q18-1))+CQ130)),Perform_Active!$K18),)</f>
        <v>0</v>
      </c>
      <c r="CS130" s="625">
        <f>IF(AND(Tech_Specs!$F17="step",Standards_Active!$S18="yes"),IF(ISNUMBER(Standards_Active!$W18),IF(CS$120&gt;=Standards_Active!$R18,Standards_Active!$W18,IF(CS$120&lt;Standards_Active!$Q18,Perform_Active!$K18,(Standards_Active!$W18-Perform_Active!$K18)/(Standards_Active!$R18-(Standards_Active!$Q18-1))+CR130)),Perform_Active!$K18),)</f>
        <v>0</v>
      </c>
      <c r="CT130" s="625">
        <f>IF(AND(Tech_Specs!$F17="step",Standards_Active!$S18="yes"),IF(ISNUMBER(Standards_Active!$W18),IF(CT$120&gt;=Standards_Active!$R18,Standards_Active!$W18,IF(CT$120&lt;Standards_Active!$Q18,Perform_Active!$K18,(Standards_Active!$W18-Perform_Active!$K18)/(Standards_Active!$R18-(Standards_Active!$Q18-1))+CS130)),Perform_Active!$K18),)</f>
        <v>0</v>
      </c>
      <c r="CU130" s="625">
        <f>IF(AND(Tech_Specs!$F17="step",Standards_Active!$S18="yes"),IF(ISNUMBER(Standards_Active!$W18),IF(CU$120&gt;=Standards_Active!$R18,Standards_Active!$W18,IF(CU$120&lt;Standards_Active!$Q18,Perform_Active!$K18,(Standards_Active!$W18-Perform_Active!$K18)/(Standards_Active!$R18-(Standards_Active!$Q18-1))+CT130)),Perform_Active!$K18),)</f>
        <v>0</v>
      </c>
      <c r="CV130" s="625">
        <f>IF(AND(Tech_Specs!$F17="step",Standards_Active!$S18="yes"),IF(ISNUMBER(Standards_Active!$W18),IF(CV$120&gt;=Standards_Active!$R18,Standards_Active!$W18,IF(CV$120&lt;Standards_Active!$Q18,Perform_Active!$K18,(Standards_Active!$W18-Perform_Active!$K18)/(Standards_Active!$R18-(Standards_Active!$Q18-1))+CU130)),Perform_Active!$K18),)</f>
        <v>0</v>
      </c>
      <c r="CW130" s="625">
        <f>IF(AND(Tech_Specs!$F17="step",Standards_Active!$S18="yes"),IF(ISNUMBER(Standards_Active!$W18),IF(CW$120&gt;=Standards_Active!$R18,Standards_Active!$W18,IF(CW$120&lt;Standards_Active!$Q18,Perform_Active!$K18,(Standards_Active!$W18-Perform_Active!$K18)/(Standards_Active!$R18-(Standards_Active!$Q18-1))+CV130)),Perform_Active!$K18),)</f>
        <v>0</v>
      </c>
      <c r="CX130" s="625">
        <f>IF(AND(Tech_Specs!$F17="step",Standards_Active!$S18="yes"),IF(ISNUMBER(Standards_Active!$W18),IF(CX$120&gt;=Standards_Active!$R18,Standards_Active!$W18,IF(CX$120&lt;Standards_Active!$Q18,Perform_Active!$K18,(Standards_Active!$W18-Perform_Active!$K18)/(Standards_Active!$R18-(Standards_Active!$Q18-1))+CW130)),Perform_Active!$K18),)</f>
        <v>0</v>
      </c>
      <c r="CY130" s="625">
        <f>IF(AND(Tech_Specs!$F17="step",Standards_Active!$S18="yes"),IF(ISNUMBER(Standards_Active!$W18),IF(CY$120&gt;=Standards_Active!$R18,Standards_Active!$W18,IF(CY$120&lt;Standards_Active!$Q18,Perform_Active!$K18,(Standards_Active!$W18-Perform_Active!$K18)/(Standards_Active!$R18-(Standards_Active!$Q18-1))+CX130)),Perform_Active!$K18),)</f>
        <v>0</v>
      </c>
      <c r="CZ130" s="625">
        <f>IF(AND(Tech_Specs!$F17="step",Standards_Active!$S18="yes"),IF(ISNUMBER(Standards_Active!$W18),IF(CZ$120&gt;=Standards_Active!$R18,Standards_Active!$W18,IF(CZ$120&lt;Standards_Active!$Q18,Perform_Active!$K18,(Standards_Active!$W18-Perform_Active!$K18)/(Standards_Active!$R18-(Standards_Active!$Q18-1))+CY130)),Perform_Active!$K18),)</f>
        <v>0</v>
      </c>
      <c r="DA130" s="625">
        <f>IF(AND(Tech_Specs!$F17="step",Standards_Active!$S18="yes"),IF(ISNUMBER(Standards_Active!$W18),IF(DA$120&gt;=Standards_Active!$R18,Standards_Active!$W18,IF(DA$120&lt;Standards_Active!$Q18,Perform_Active!$K18,(Standards_Active!$W18-Perform_Active!$K18)/(Standards_Active!$R18-(Standards_Active!$Q18-1))+CZ130)),Perform_Active!$K18),)</f>
        <v>0</v>
      </c>
      <c r="DB130" s="625">
        <f>IF(AND(Tech_Specs!$F17="step",Standards_Active!$S18="yes"),IF(ISNUMBER(Standards_Active!$W18),IF(DB$120&gt;=Standards_Active!$R18,Standards_Active!$W18,IF(DB$120&lt;Standards_Active!$Q18,Perform_Active!$K18,(Standards_Active!$W18-Perform_Active!$K18)/(Standards_Active!$R18-(Standards_Active!$Q18-1))+DA130)),Perform_Active!$K18),)</f>
        <v>0</v>
      </c>
      <c r="DC130" s="625">
        <f>IF(AND(Tech_Specs!$F17="step",Standards_Active!$S18="yes"),IF(ISNUMBER(Standards_Active!$W18),IF(DC$120&gt;=Standards_Active!$R18,Standards_Active!$W18,IF(DC$120&lt;Standards_Active!$Q18,Perform_Active!$K18,(Standards_Active!$W18-Perform_Active!$K18)/(Standards_Active!$R18-(Standards_Active!$Q18-1))+DB130)),Perform_Active!$K18),)</f>
        <v>0</v>
      </c>
      <c r="DD130" s="625">
        <f>IF(AND(Tech_Specs!$F17="step",Standards_Active!$S18="yes"),IF(ISNUMBER(Standards_Active!$W18),IF(DD$120&gt;=Standards_Active!$R18,Standards_Active!$W18,IF(DD$120&lt;Standards_Active!$Q18,Perform_Active!$K18,(Standards_Active!$W18-Perform_Active!$K18)/(Standards_Active!$R18-(Standards_Active!$Q18-1))+DC130)),Perform_Active!$K18),)</f>
        <v>0</v>
      </c>
      <c r="DE130" s="625">
        <f>IF(AND(Tech_Specs!$F17="step",Standards_Active!$S18="yes"),IF(ISNUMBER(Standards_Active!$W18),IF(DE$120&gt;=Standards_Active!$R18,Standards_Active!$W18,IF(DE$120&lt;Standards_Active!$Q18,Perform_Active!$K18,(Standards_Active!$W18-Perform_Active!$K18)/(Standards_Active!$R18-(Standards_Active!$Q18-1))+DD130)),Perform_Active!$K18),)</f>
        <v>0</v>
      </c>
      <c r="DF130" s="625">
        <f>IF(AND(Tech_Specs!$F17="step",Standards_Active!$S18="yes"),IF(ISNUMBER(Standards_Active!$W18),IF(DF$120&gt;=Standards_Active!$R18,Standards_Active!$W18,IF(DF$120&lt;Standards_Active!$Q18,Perform_Active!$K18,(Standards_Active!$W18-Perform_Active!$K18)/(Standards_Active!$R18-(Standards_Active!$Q18-1))+DE130)),Perform_Active!$K18),)</f>
        <v>0</v>
      </c>
      <c r="DG130" s="625">
        <f>IF(AND(Tech_Specs!$F17="step",Standards_Active!$S18="yes"),IF(ISNUMBER(Standards_Active!$W18),IF(DG$120&gt;=Standards_Active!$R18,Standards_Active!$W18,IF(DG$120&lt;Standards_Active!$Q18,Perform_Active!$K18,(Standards_Active!$W18-Perform_Active!$K18)/(Standards_Active!$R18-(Standards_Active!$Q18-1))+DF130)),Perform_Active!$K18),)</f>
        <v>0</v>
      </c>
      <c r="DH130" s="625">
        <f>IF(AND(Tech_Specs!$F17="step",Standards_Active!$S18="yes"),IF(ISNUMBER(Standards_Active!$W18),IF(DH$120&gt;=Standards_Active!$R18,Standards_Active!$W18,IF(DH$120&lt;Standards_Active!$Q18,Perform_Active!$K18,(Standards_Active!$W18-Perform_Active!$K18)/(Standards_Active!$R18-(Standards_Active!$Q18-1))+DG130)),Perform_Active!$K18),)</f>
        <v>0</v>
      </c>
      <c r="DI130" s="625">
        <f>IF(AND(Tech_Specs!$F17="step",Standards_Active!$S18="yes"),IF(ISNUMBER(Standards_Active!$W18),IF(DI$120&gt;=Standards_Active!$R18,Standards_Active!$W18,IF(DI$120&lt;Standards_Active!$Q18,Perform_Active!$K18,(Standards_Active!$W18-Perform_Active!$K18)/(Standards_Active!$R18-(Standards_Active!$Q18-1))+DH130)),Perform_Active!$K18),)</f>
        <v>0</v>
      </c>
    </row>
    <row r="131" spans="1:113" s="81" customFormat="1" ht="12.6" x14ac:dyDescent="0.25">
      <c r="B131" s="101" t="s">
        <v>29</v>
      </c>
      <c r="D131" s="550"/>
      <c r="E131" s="550"/>
      <c r="F131" s="550"/>
      <c r="G131" s="128">
        <f t="shared" si="39"/>
        <v>1</v>
      </c>
      <c r="H131" s="128">
        <f t="shared" si="39"/>
        <v>1</v>
      </c>
      <c r="I131" s="128">
        <f t="shared" si="39"/>
        <v>1</v>
      </c>
      <c r="J131" s="128">
        <f t="shared" si="39"/>
        <v>1</v>
      </c>
      <c r="K131" s="128">
        <f t="shared" si="39"/>
        <v>1</v>
      </c>
      <c r="L131" s="128">
        <f t="shared" si="39"/>
        <v>1</v>
      </c>
      <c r="M131" s="128">
        <f t="shared" si="39"/>
        <v>1</v>
      </c>
      <c r="N131" s="128">
        <f t="shared" si="39"/>
        <v>1</v>
      </c>
      <c r="O131" s="128">
        <f t="shared" si="39"/>
        <v>1</v>
      </c>
      <c r="P131" s="128">
        <f t="shared" si="39"/>
        <v>1</v>
      </c>
      <c r="Q131" s="128">
        <f t="shared" si="40"/>
        <v>1</v>
      </c>
      <c r="R131" s="128">
        <f t="shared" si="40"/>
        <v>1</v>
      </c>
      <c r="S131" s="128">
        <f t="shared" si="40"/>
        <v>1</v>
      </c>
      <c r="T131" s="128">
        <f t="shared" si="40"/>
        <v>1</v>
      </c>
      <c r="U131" s="128">
        <f t="shared" si="40"/>
        <v>1</v>
      </c>
      <c r="V131" s="128">
        <f t="shared" si="40"/>
        <v>1</v>
      </c>
      <c r="W131" s="128">
        <f t="shared" si="40"/>
        <v>1</v>
      </c>
      <c r="X131" s="128">
        <f t="shared" si="40"/>
        <v>1</v>
      </c>
      <c r="Y131" s="128">
        <f t="shared" si="40"/>
        <v>1</v>
      </c>
      <c r="Z131" s="128">
        <f t="shared" si="40"/>
        <v>1</v>
      </c>
      <c r="AA131" s="128">
        <f t="shared" si="41"/>
        <v>1</v>
      </c>
      <c r="AB131" s="128">
        <f t="shared" si="41"/>
        <v>1</v>
      </c>
      <c r="AC131" s="128">
        <f t="shared" si="41"/>
        <v>1</v>
      </c>
      <c r="AD131" s="128">
        <f t="shared" si="41"/>
        <v>1</v>
      </c>
      <c r="AE131" s="128">
        <f t="shared" si="41"/>
        <v>1</v>
      </c>
      <c r="AF131" s="128">
        <f t="shared" si="41"/>
        <v>1</v>
      </c>
      <c r="AH131" s="405">
        <f>IF(Tech_Specs!$F18="linear",TREND(Perform_Active!$K19:$L19,Perform_Active!$K$8:$L$8,AH$120),)</f>
        <v>0</v>
      </c>
      <c r="AI131" s="405">
        <f>IF(Tech_Specs!$F18="linear",TREND(Perform_Active!$K19:$L19,Perform_Active!$K$8:$L$8,AI$120),)</f>
        <v>0</v>
      </c>
      <c r="AJ131" s="405">
        <f>IF(Tech_Specs!$F18="linear",TREND(Perform_Active!$K19:$L19,Perform_Active!$K$8:$L$8,AJ$120),)</f>
        <v>0</v>
      </c>
      <c r="AK131" s="405">
        <f>IF(Tech_Specs!$F18="linear",TREND(Perform_Active!$K19:$L19,Perform_Active!$K$8:$L$8,AK$120),)</f>
        <v>0</v>
      </c>
      <c r="AL131" s="405">
        <f>IF(Tech_Specs!$F18="linear",TREND(Perform_Active!$K19:$L19,Perform_Active!$K$8:$L$8,AL$120),)</f>
        <v>0</v>
      </c>
      <c r="AM131" s="405">
        <f>IF(Tech_Specs!$F18="linear",TREND(Perform_Active!$K19:$L19,Perform_Active!$K$8:$L$8,AM$120),)</f>
        <v>0</v>
      </c>
      <c r="AN131" s="405">
        <f>IF(Tech_Specs!$F18="linear",TREND(Perform_Active!$K19:$L19,Perform_Active!$K$8:$L$8,AN$120),)</f>
        <v>0</v>
      </c>
      <c r="AO131" s="405">
        <f>IF(Tech_Specs!$F18="linear",TREND(Perform_Active!$K19:$L19,Perform_Active!$K$8:$L$8,AO$120),)</f>
        <v>0</v>
      </c>
      <c r="AP131" s="405">
        <f>IF(Tech_Specs!$F18="linear",TREND(Perform_Active!$K19:$L19,Perform_Active!$K$8:$L$8,AP$120),)</f>
        <v>0</v>
      </c>
      <c r="AQ131" s="405">
        <f>IF(Tech_Specs!$F18="linear",TREND(Perform_Active!$K19:$L19,Perform_Active!$K$8:$L$8,AQ$120),)</f>
        <v>0</v>
      </c>
      <c r="AR131" s="405">
        <f>IF(Tech_Specs!$F18="linear",TREND(Perform_Active!$K19:$L19,Perform_Active!$K$8:$L$8,AR$120),)</f>
        <v>0</v>
      </c>
      <c r="AS131" s="405">
        <f>IF(Tech_Specs!$F18="linear",TREND(Perform_Active!$K19:$L19,Perform_Active!$K$8:$L$8,AS$120),)</f>
        <v>0</v>
      </c>
      <c r="AT131" s="405">
        <f>IF(Tech_Specs!$F18="linear",TREND(Perform_Active!$K19:$L19,Perform_Active!$K$8:$L$8,AT$120),)</f>
        <v>0</v>
      </c>
      <c r="AU131" s="405">
        <f>IF(Tech_Specs!$F18="linear",TREND(Perform_Active!$K19:$L19,Perform_Active!$K$8:$L$8,AU$120),)</f>
        <v>0</v>
      </c>
      <c r="AV131" s="405">
        <f>IF(Tech_Specs!$F18="linear",TREND(Perform_Active!$K19:$L19,Perform_Active!$K$8:$L$8,AV$120),)</f>
        <v>0</v>
      </c>
      <c r="AW131" s="405">
        <f>IF(Tech_Specs!$F18="linear",TREND(Perform_Active!$K19:$L19,Perform_Active!$K$8:$L$8,AW$120),)</f>
        <v>0</v>
      </c>
      <c r="AX131" s="405">
        <f>IF(Tech_Specs!$F18="linear",TREND(Perform_Active!$K19:$L19,Perform_Active!$K$8:$L$8,AX$120),)</f>
        <v>0</v>
      </c>
      <c r="AY131" s="405">
        <f>IF(Tech_Specs!$F18="linear",TREND(Perform_Active!$K19:$L19,Perform_Active!$K$8:$L$8,AY$120),)</f>
        <v>0</v>
      </c>
      <c r="AZ131" s="405">
        <f>IF(Tech_Specs!$F18="linear",TREND(Perform_Active!$K19:$L19,Perform_Active!$K$8:$L$8,AZ$120),)</f>
        <v>0</v>
      </c>
      <c r="BA131" s="405">
        <f>IF(Tech_Specs!$F18="linear",TREND(Perform_Active!$K19:$L19,Perform_Active!$K$8:$L$8,BA$120),)</f>
        <v>0</v>
      </c>
      <c r="BB131" s="405">
        <f>IF(Tech_Specs!$F18="linear",TREND(Perform_Active!$K19:$L19,Perform_Active!$K$8:$L$8,BB$120),)</f>
        <v>0</v>
      </c>
      <c r="BC131" s="405">
        <f>IF(Tech_Specs!$F18="linear",TREND(Perform_Active!$K19:$L19,Perform_Active!$K$8:$L$8,BC$120),)</f>
        <v>0</v>
      </c>
      <c r="BD131" s="405">
        <f>IF(Tech_Specs!$F18="linear",TREND(Perform_Active!$K19:$L19,Perform_Active!$K$8:$L$8,BD$120),)</f>
        <v>0</v>
      </c>
      <c r="BE131" s="405">
        <f>IF(Tech_Specs!$F18="linear",TREND(Perform_Active!$K19:$L19,Perform_Active!$K$8:$L$8,BE$120),)</f>
        <v>0</v>
      </c>
      <c r="BF131" s="405">
        <f>IF(Tech_Specs!$F18="linear",TREND(Perform_Active!$K19:$L19,Perform_Active!$K$8:$L$8,BF$120),)</f>
        <v>0</v>
      </c>
      <c r="BG131" s="405">
        <f>IF(Tech_Specs!$F18="linear",TREND(Perform_Active!$K19:$L19,Perform_Active!$K$8:$L$8,BG$120),)</f>
        <v>0</v>
      </c>
      <c r="BI131" s="338">
        <f>IF(Tech_Specs!$F18="Constant",Perform_Active!$K19,)</f>
        <v>1</v>
      </c>
      <c r="BJ131" s="338">
        <f>IF(Tech_Specs!$F18="Constant",Perform_Active!$K19,)</f>
        <v>1</v>
      </c>
      <c r="BK131" s="338">
        <f>IF(Tech_Specs!$F18="Constant",Perform_Active!$K19,)</f>
        <v>1</v>
      </c>
      <c r="BL131" s="338">
        <f>IF(Tech_Specs!$F18="Constant",Perform_Active!$K19,)</f>
        <v>1</v>
      </c>
      <c r="BM131" s="338">
        <f>IF(Tech_Specs!$F18="Constant",Perform_Active!$K19,)</f>
        <v>1</v>
      </c>
      <c r="BN131" s="338">
        <f>IF(Tech_Specs!$F18="Constant",Perform_Active!$K19,)</f>
        <v>1</v>
      </c>
      <c r="BO131" s="338">
        <f>IF(Tech_Specs!$F18="Constant",Perform_Active!$K19,)</f>
        <v>1</v>
      </c>
      <c r="BP131" s="338">
        <f>IF(Tech_Specs!$F18="Constant",Perform_Active!$K19,)</f>
        <v>1</v>
      </c>
      <c r="BQ131" s="338">
        <f>IF(Tech_Specs!$F18="Constant",Perform_Active!$K19,)</f>
        <v>1</v>
      </c>
      <c r="BR131" s="338">
        <f>IF(Tech_Specs!$F18="Constant",Perform_Active!$K19,)</f>
        <v>1</v>
      </c>
      <c r="BS131" s="338">
        <f>IF(Tech_Specs!$F18="Constant",Perform_Active!$K19,)</f>
        <v>1</v>
      </c>
      <c r="BT131" s="338">
        <f>IF(Tech_Specs!$F18="Constant",Perform_Active!$K19,)</f>
        <v>1</v>
      </c>
      <c r="BU131" s="338">
        <f>IF(Tech_Specs!$F18="Constant",Perform_Active!$K19,)</f>
        <v>1</v>
      </c>
      <c r="BV131" s="338">
        <f>IF(Tech_Specs!$F18="Constant",Perform_Active!$K19,)</f>
        <v>1</v>
      </c>
      <c r="BW131" s="338">
        <f>IF(Tech_Specs!$F18="Constant",Perform_Active!$K19,)</f>
        <v>1</v>
      </c>
      <c r="BX131" s="338">
        <f>IF(Tech_Specs!$F18="Constant",Perform_Active!$K19,)</f>
        <v>1</v>
      </c>
      <c r="BY131" s="338">
        <f>IF(Tech_Specs!$F18="Constant",Perform_Active!$K19,)</f>
        <v>1</v>
      </c>
      <c r="BZ131" s="338">
        <f>IF(Tech_Specs!$F18="Constant",Perform_Active!$K19,)</f>
        <v>1</v>
      </c>
      <c r="CA131" s="338">
        <f>IF(Tech_Specs!$F18="Constant",Perform_Active!$K19,)</f>
        <v>1</v>
      </c>
      <c r="CB131" s="338">
        <f>IF(Tech_Specs!$F18="Constant",Perform_Active!$K19,)</f>
        <v>1</v>
      </c>
      <c r="CC131" s="338">
        <f>IF(Tech_Specs!$F18="Constant",Perform_Active!$K19,)</f>
        <v>1</v>
      </c>
      <c r="CD131" s="338">
        <f>IF(Tech_Specs!$F18="Constant",Perform_Active!$K19,)</f>
        <v>1</v>
      </c>
      <c r="CE131" s="338">
        <f>IF(Tech_Specs!$F18="Constant",Perform_Active!$K19,)</f>
        <v>1</v>
      </c>
      <c r="CF131" s="338">
        <f>IF(Tech_Specs!$F18="Constant",Perform_Active!$K19,)</f>
        <v>1</v>
      </c>
      <c r="CG131" s="338">
        <f>IF(Tech_Specs!$F18="Constant",Perform_Active!$K19,)</f>
        <v>1</v>
      </c>
      <c r="CH131" s="338">
        <f>IF(Tech_Specs!$F18="Constant",Perform_Active!$K19,)</f>
        <v>1</v>
      </c>
      <c r="CJ131" s="625">
        <f>IF(AND(Tech_Specs!$F18="step",Standards_Active!$S19="yes"),IF(ISNUMBER(Standards_Active!$W19),IF(CJ$120&gt;=Standards_Active!$R19,Standards_Active!$W19,IF(CJ$120&lt;Standards_Active!$Q19,Perform_Active!$K19,(Standards_Active!$W19-Perform_Active!$K19)/(Standards_Active!$R19-(Standards_Active!$Q19-1))+CI131)),Perform_Active!$K19),)</f>
        <v>0</v>
      </c>
      <c r="CK131" s="625">
        <f>IF(AND(Tech_Specs!$F18="step",Standards_Active!$S19="yes"),IF(ISNUMBER(Standards_Active!$W19),IF(CK$120&gt;=Standards_Active!$R19,Standards_Active!$W19,IF(CK$120&lt;Standards_Active!$Q19,Perform_Active!$K19,(Standards_Active!$W19-Perform_Active!$K19)/(Standards_Active!$R19-(Standards_Active!$Q19-1))+CJ131)),Perform_Active!$K19),)</f>
        <v>0</v>
      </c>
      <c r="CL131" s="625">
        <f>IF(AND(Tech_Specs!$F18="step",Standards_Active!$S19="yes"),IF(ISNUMBER(Standards_Active!$W19),IF(CL$120&gt;=Standards_Active!$R19,Standards_Active!$W19,IF(CL$120&lt;Standards_Active!$Q19,Perform_Active!$K19,(Standards_Active!$W19-Perform_Active!$K19)/(Standards_Active!$R19-(Standards_Active!$Q19-1))+CK131)),Perform_Active!$K19),)</f>
        <v>0</v>
      </c>
      <c r="CM131" s="625">
        <f>IF(AND(Tech_Specs!$F18="step",Standards_Active!$S19="yes"),IF(ISNUMBER(Standards_Active!$W19),IF(CM$120&gt;=Standards_Active!$R19,Standards_Active!$W19,IF(CM$120&lt;Standards_Active!$Q19,Perform_Active!$K19,(Standards_Active!$W19-Perform_Active!$K19)/(Standards_Active!$R19-(Standards_Active!$Q19-1))+CL131)),Perform_Active!$K19),)</f>
        <v>0</v>
      </c>
      <c r="CN131" s="625">
        <f>IF(AND(Tech_Specs!$F18="step",Standards_Active!$S19="yes"),IF(ISNUMBER(Standards_Active!$W19),IF(CN$120&gt;=Standards_Active!$R19,Standards_Active!$W19,IF(CN$120&lt;Standards_Active!$Q19,Perform_Active!$K19,(Standards_Active!$W19-Perform_Active!$K19)/(Standards_Active!$R19-(Standards_Active!$Q19-1))+CM131)),Perform_Active!$K19),)</f>
        <v>0</v>
      </c>
      <c r="CO131" s="625">
        <f>IF(AND(Tech_Specs!$F18="step",Standards_Active!$S19="yes"),IF(ISNUMBER(Standards_Active!$W19),IF(CO$120&gt;=Standards_Active!$R19,Standards_Active!$W19,IF(CO$120&lt;Standards_Active!$Q19,Perform_Active!$K19,(Standards_Active!$W19-Perform_Active!$K19)/(Standards_Active!$R19-(Standards_Active!$Q19-1))+CN131)),Perform_Active!$K19),)</f>
        <v>0</v>
      </c>
      <c r="CP131" s="625">
        <f>IF(AND(Tech_Specs!$F18="step",Standards_Active!$S19="yes"),IF(ISNUMBER(Standards_Active!$W19),IF(CP$120&gt;=Standards_Active!$R19,Standards_Active!$W19,IF(CP$120&lt;Standards_Active!$Q19,Perform_Active!$K19,(Standards_Active!$W19-Perform_Active!$K19)/(Standards_Active!$R19-(Standards_Active!$Q19-1))+CO131)),Perform_Active!$K19),)</f>
        <v>0</v>
      </c>
      <c r="CQ131" s="625">
        <f>IF(AND(Tech_Specs!$F18="step",Standards_Active!$S19="yes"),IF(ISNUMBER(Standards_Active!$W19),IF(CQ$120&gt;=Standards_Active!$R19,Standards_Active!$W19,IF(CQ$120&lt;Standards_Active!$Q19,Perform_Active!$K19,(Standards_Active!$W19-Perform_Active!$K19)/(Standards_Active!$R19-(Standards_Active!$Q19-1))+CP131)),Perform_Active!$K19),)</f>
        <v>0</v>
      </c>
      <c r="CR131" s="625">
        <f>IF(AND(Tech_Specs!$F18="step",Standards_Active!$S19="yes"),IF(ISNUMBER(Standards_Active!$W19),IF(CR$120&gt;=Standards_Active!$R19,Standards_Active!$W19,IF(CR$120&lt;Standards_Active!$Q19,Perform_Active!$K19,(Standards_Active!$W19-Perform_Active!$K19)/(Standards_Active!$R19-(Standards_Active!$Q19-1))+CQ131)),Perform_Active!$K19),)</f>
        <v>0</v>
      </c>
      <c r="CS131" s="625">
        <f>IF(AND(Tech_Specs!$F18="step",Standards_Active!$S19="yes"),IF(ISNUMBER(Standards_Active!$W19),IF(CS$120&gt;=Standards_Active!$R19,Standards_Active!$W19,IF(CS$120&lt;Standards_Active!$Q19,Perform_Active!$K19,(Standards_Active!$W19-Perform_Active!$K19)/(Standards_Active!$R19-(Standards_Active!$Q19-1))+CR131)),Perform_Active!$K19),)</f>
        <v>0</v>
      </c>
      <c r="CT131" s="625">
        <f>IF(AND(Tech_Specs!$F18="step",Standards_Active!$S19="yes"),IF(ISNUMBER(Standards_Active!$W19),IF(CT$120&gt;=Standards_Active!$R19,Standards_Active!$W19,IF(CT$120&lt;Standards_Active!$Q19,Perform_Active!$K19,(Standards_Active!$W19-Perform_Active!$K19)/(Standards_Active!$R19-(Standards_Active!$Q19-1))+CS131)),Perform_Active!$K19),)</f>
        <v>0</v>
      </c>
      <c r="CU131" s="625">
        <f>IF(AND(Tech_Specs!$F18="step",Standards_Active!$S19="yes"),IF(ISNUMBER(Standards_Active!$W19),IF(CU$120&gt;=Standards_Active!$R19,Standards_Active!$W19,IF(CU$120&lt;Standards_Active!$Q19,Perform_Active!$K19,(Standards_Active!$W19-Perform_Active!$K19)/(Standards_Active!$R19-(Standards_Active!$Q19-1))+CT131)),Perform_Active!$K19),)</f>
        <v>0</v>
      </c>
      <c r="CV131" s="625">
        <f>IF(AND(Tech_Specs!$F18="step",Standards_Active!$S19="yes"),IF(ISNUMBER(Standards_Active!$W19),IF(CV$120&gt;=Standards_Active!$R19,Standards_Active!$W19,IF(CV$120&lt;Standards_Active!$Q19,Perform_Active!$K19,(Standards_Active!$W19-Perform_Active!$K19)/(Standards_Active!$R19-(Standards_Active!$Q19-1))+CU131)),Perform_Active!$K19),)</f>
        <v>0</v>
      </c>
      <c r="CW131" s="625">
        <f>IF(AND(Tech_Specs!$F18="step",Standards_Active!$S19="yes"),IF(ISNUMBER(Standards_Active!$W19),IF(CW$120&gt;=Standards_Active!$R19,Standards_Active!$W19,IF(CW$120&lt;Standards_Active!$Q19,Perform_Active!$K19,(Standards_Active!$W19-Perform_Active!$K19)/(Standards_Active!$R19-(Standards_Active!$Q19-1))+CV131)),Perform_Active!$K19),)</f>
        <v>0</v>
      </c>
      <c r="CX131" s="625">
        <f>IF(AND(Tech_Specs!$F18="step",Standards_Active!$S19="yes"),IF(ISNUMBER(Standards_Active!$W19),IF(CX$120&gt;=Standards_Active!$R19,Standards_Active!$W19,IF(CX$120&lt;Standards_Active!$Q19,Perform_Active!$K19,(Standards_Active!$W19-Perform_Active!$K19)/(Standards_Active!$R19-(Standards_Active!$Q19-1))+CW131)),Perform_Active!$K19),)</f>
        <v>0</v>
      </c>
      <c r="CY131" s="625">
        <f>IF(AND(Tech_Specs!$F18="step",Standards_Active!$S19="yes"),IF(ISNUMBER(Standards_Active!$W19),IF(CY$120&gt;=Standards_Active!$R19,Standards_Active!$W19,IF(CY$120&lt;Standards_Active!$Q19,Perform_Active!$K19,(Standards_Active!$W19-Perform_Active!$K19)/(Standards_Active!$R19-(Standards_Active!$Q19-1))+CX131)),Perform_Active!$K19),)</f>
        <v>0</v>
      </c>
      <c r="CZ131" s="625">
        <f>IF(AND(Tech_Specs!$F18="step",Standards_Active!$S19="yes"),IF(ISNUMBER(Standards_Active!$W19),IF(CZ$120&gt;=Standards_Active!$R19,Standards_Active!$W19,IF(CZ$120&lt;Standards_Active!$Q19,Perform_Active!$K19,(Standards_Active!$W19-Perform_Active!$K19)/(Standards_Active!$R19-(Standards_Active!$Q19-1))+CY131)),Perform_Active!$K19),)</f>
        <v>0</v>
      </c>
      <c r="DA131" s="625">
        <f>IF(AND(Tech_Specs!$F18="step",Standards_Active!$S19="yes"),IF(ISNUMBER(Standards_Active!$W19),IF(DA$120&gt;=Standards_Active!$R19,Standards_Active!$W19,IF(DA$120&lt;Standards_Active!$Q19,Perform_Active!$K19,(Standards_Active!$W19-Perform_Active!$K19)/(Standards_Active!$R19-(Standards_Active!$Q19-1))+CZ131)),Perform_Active!$K19),)</f>
        <v>0</v>
      </c>
      <c r="DB131" s="625">
        <f>IF(AND(Tech_Specs!$F18="step",Standards_Active!$S19="yes"),IF(ISNUMBER(Standards_Active!$W19),IF(DB$120&gt;=Standards_Active!$R19,Standards_Active!$W19,IF(DB$120&lt;Standards_Active!$Q19,Perform_Active!$K19,(Standards_Active!$W19-Perform_Active!$K19)/(Standards_Active!$R19-(Standards_Active!$Q19-1))+DA131)),Perform_Active!$K19),)</f>
        <v>0</v>
      </c>
      <c r="DC131" s="625">
        <f>IF(AND(Tech_Specs!$F18="step",Standards_Active!$S19="yes"),IF(ISNUMBER(Standards_Active!$W19),IF(DC$120&gt;=Standards_Active!$R19,Standards_Active!$W19,IF(DC$120&lt;Standards_Active!$Q19,Perform_Active!$K19,(Standards_Active!$W19-Perform_Active!$K19)/(Standards_Active!$R19-(Standards_Active!$Q19-1))+DB131)),Perform_Active!$K19),)</f>
        <v>0</v>
      </c>
      <c r="DD131" s="625">
        <f>IF(AND(Tech_Specs!$F18="step",Standards_Active!$S19="yes"),IF(ISNUMBER(Standards_Active!$W19),IF(DD$120&gt;=Standards_Active!$R19,Standards_Active!$W19,IF(DD$120&lt;Standards_Active!$Q19,Perform_Active!$K19,(Standards_Active!$W19-Perform_Active!$K19)/(Standards_Active!$R19-(Standards_Active!$Q19-1))+DC131)),Perform_Active!$K19),)</f>
        <v>0</v>
      </c>
      <c r="DE131" s="625">
        <f>IF(AND(Tech_Specs!$F18="step",Standards_Active!$S19="yes"),IF(ISNUMBER(Standards_Active!$W19),IF(DE$120&gt;=Standards_Active!$R19,Standards_Active!$W19,IF(DE$120&lt;Standards_Active!$Q19,Perform_Active!$K19,(Standards_Active!$W19-Perform_Active!$K19)/(Standards_Active!$R19-(Standards_Active!$Q19-1))+DD131)),Perform_Active!$K19),)</f>
        <v>0</v>
      </c>
      <c r="DF131" s="625">
        <f>IF(AND(Tech_Specs!$F18="step",Standards_Active!$S19="yes"),IF(ISNUMBER(Standards_Active!$W19),IF(DF$120&gt;=Standards_Active!$R19,Standards_Active!$W19,IF(DF$120&lt;Standards_Active!$Q19,Perform_Active!$K19,(Standards_Active!$W19-Perform_Active!$K19)/(Standards_Active!$R19-(Standards_Active!$Q19-1))+DE131)),Perform_Active!$K19),)</f>
        <v>0</v>
      </c>
      <c r="DG131" s="625">
        <f>IF(AND(Tech_Specs!$F18="step",Standards_Active!$S19="yes"),IF(ISNUMBER(Standards_Active!$W19),IF(DG$120&gt;=Standards_Active!$R19,Standards_Active!$W19,IF(DG$120&lt;Standards_Active!$Q19,Perform_Active!$K19,(Standards_Active!$W19-Perform_Active!$K19)/(Standards_Active!$R19-(Standards_Active!$Q19-1))+DF131)),Perform_Active!$K19),)</f>
        <v>0</v>
      </c>
      <c r="DH131" s="625">
        <f>IF(AND(Tech_Specs!$F18="step",Standards_Active!$S19="yes"),IF(ISNUMBER(Standards_Active!$W19),IF(DH$120&gt;=Standards_Active!$R19,Standards_Active!$W19,IF(DH$120&lt;Standards_Active!$Q19,Perform_Active!$K19,(Standards_Active!$W19-Perform_Active!$K19)/(Standards_Active!$R19-(Standards_Active!$Q19-1))+DG131)),Perform_Active!$K19),)</f>
        <v>0</v>
      </c>
      <c r="DI131" s="625">
        <f>IF(AND(Tech_Specs!$F18="step",Standards_Active!$S19="yes"),IF(ISNUMBER(Standards_Active!$W19),IF(DI$120&gt;=Standards_Active!$R19,Standards_Active!$W19,IF(DI$120&lt;Standards_Active!$Q19,Perform_Active!$K19,(Standards_Active!$W19-Perform_Active!$K19)/(Standards_Active!$R19-(Standards_Active!$Q19-1))+DH131)),Perform_Active!$K19),)</f>
        <v>0</v>
      </c>
    </row>
    <row r="132" spans="1:113" s="81" customFormat="1" ht="12.6" x14ac:dyDescent="0.25">
      <c r="D132" s="550"/>
      <c r="E132" s="550"/>
      <c r="F132" s="550"/>
      <c r="G132" s="128"/>
      <c r="H132" s="128"/>
      <c r="I132" s="128"/>
      <c r="J132" s="128"/>
      <c r="K132" s="128"/>
      <c r="L132" s="128"/>
      <c r="M132" s="128"/>
      <c r="N132" s="128"/>
      <c r="O132" s="128"/>
      <c r="P132" s="128"/>
      <c r="Q132" s="128"/>
      <c r="R132" s="128"/>
      <c r="S132" s="128"/>
      <c r="T132" s="128"/>
      <c r="U132" s="128"/>
      <c r="V132" s="128"/>
      <c r="W132" s="128"/>
      <c r="X132" s="128"/>
      <c r="Y132" s="128"/>
      <c r="Z132" s="128"/>
      <c r="AA132" s="128"/>
      <c r="AB132" s="128"/>
      <c r="AC132" s="128"/>
      <c r="AD132" s="128"/>
      <c r="AE132" s="128"/>
      <c r="AF132" s="128"/>
    </row>
    <row r="133" spans="1:113" s="81" customFormat="1" ht="12.95" x14ac:dyDescent="0.3">
      <c r="A133" s="58" t="s">
        <v>36</v>
      </c>
      <c r="B133" s="57"/>
      <c r="C133" s="130"/>
      <c r="D133" s="387"/>
      <c r="E133" s="387"/>
      <c r="F133" s="387"/>
      <c r="G133" s="188"/>
      <c r="H133" s="188"/>
      <c r="I133" s="188"/>
      <c r="J133" s="188"/>
      <c r="K133" s="188"/>
      <c r="L133" s="188"/>
      <c r="M133" s="188"/>
      <c r="N133" s="188"/>
      <c r="O133" s="188"/>
      <c r="P133" s="188"/>
      <c r="Q133" s="188"/>
      <c r="R133" s="188"/>
      <c r="S133" s="188"/>
      <c r="T133" s="188"/>
      <c r="U133" s="188"/>
      <c r="V133" s="188"/>
      <c r="W133" s="188"/>
      <c r="X133" s="188"/>
      <c r="Y133" s="188"/>
      <c r="Z133" s="188"/>
      <c r="AA133" s="188"/>
      <c r="AB133" s="188"/>
      <c r="AC133" s="188"/>
      <c r="AD133" s="188"/>
      <c r="AE133" s="188"/>
      <c r="AF133" s="188"/>
      <c r="AH133" s="57"/>
      <c r="AI133" s="57"/>
      <c r="AJ133" s="57"/>
      <c r="AK133" s="57"/>
      <c r="AL133" s="57"/>
      <c r="AM133" s="57"/>
      <c r="AN133" s="57"/>
      <c r="AO133" s="57"/>
      <c r="AP133" s="57"/>
      <c r="AQ133" s="57"/>
      <c r="AR133" s="57"/>
      <c r="AS133" s="57"/>
      <c r="AT133" s="57"/>
      <c r="AU133" s="57"/>
      <c r="AV133" s="57"/>
      <c r="AW133" s="57"/>
      <c r="AX133" s="57"/>
      <c r="AY133" s="57"/>
      <c r="AZ133" s="57"/>
      <c r="BA133" s="57"/>
      <c r="BB133" s="57"/>
      <c r="BC133" s="57"/>
      <c r="BD133" s="57"/>
      <c r="BE133" s="57"/>
      <c r="BF133" s="57"/>
      <c r="BG133" s="57"/>
      <c r="BI133" s="57"/>
      <c r="BJ133" s="57"/>
      <c r="BK133" s="57"/>
      <c r="BL133" s="57"/>
      <c r="BM133" s="57"/>
      <c r="BN133" s="57"/>
      <c r="BO133" s="57"/>
      <c r="BP133" s="57"/>
      <c r="BQ133" s="57"/>
      <c r="BR133" s="57"/>
      <c r="BS133" s="57"/>
      <c r="BT133" s="57"/>
      <c r="BU133" s="57"/>
      <c r="BV133" s="57"/>
      <c r="BW133" s="57"/>
      <c r="BX133" s="57"/>
      <c r="BY133" s="57"/>
      <c r="BZ133" s="57"/>
      <c r="CA133" s="57"/>
      <c r="CB133" s="57"/>
      <c r="CC133" s="57"/>
      <c r="CD133" s="57"/>
      <c r="CE133" s="57"/>
      <c r="CF133" s="57"/>
      <c r="CG133" s="57"/>
      <c r="CH133" s="57"/>
      <c r="CJ133" s="57"/>
      <c r="CK133" s="57"/>
      <c r="CL133" s="57"/>
      <c r="CM133" s="57"/>
      <c r="CN133" s="57"/>
      <c r="CO133" s="57"/>
      <c r="CP133" s="57"/>
      <c r="CQ133" s="57"/>
      <c r="CR133" s="57"/>
      <c r="CS133" s="57"/>
      <c r="CT133" s="57"/>
      <c r="CU133" s="57"/>
      <c r="CV133" s="57"/>
      <c r="CW133" s="57"/>
      <c r="CX133" s="57"/>
      <c r="CY133" s="57"/>
      <c r="CZ133" s="57"/>
      <c r="DA133" s="57"/>
      <c r="DB133" s="57"/>
      <c r="DC133" s="57"/>
      <c r="DD133" s="57"/>
      <c r="DE133" s="57"/>
      <c r="DF133" s="57"/>
      <c r="DG133" s="57"/>
      <c r="DH133" s="57"/>
      <c r="DI133" s="57"/>
    </row>
    <row r="134" spans="1:113" s="81" customFormat="1" ht="12.6" x14ac:dyDescent="0.25">
      <c r="B134" s="81" t="s">
        <v>37</v>
      </c>
      <c r="C134" s="83"/>
      <c r="D134" s="379"/>
      <c r="E134" s="379"/>
      <c r="F134" s="379"/>
      <c r="G134" s="895">
        <f t="shared" ref="G134:P137" si="42">SUM(AH134,BI134,CJ134)</f>
        <v>0.78202230148427576</v>
      </c>
      <c r="H134" s="895">
        <f t="shared" si="42"/>
        <v>0.78202230148427576</v>
      </c>
      <c r="I134" s="895">
        <f t="shared" si="42"/>
        <v>0.78202230148427576</v>
      </c>
      <c r="J134" s="895">
        <f t="shared" si="42"/>
        <v>0.78202230148427576</v>
      </c>
      <c r="K134" s="895">
        <f t="shared" si="42"/>
        <v>0.78202230148427576</v>
      </c>
      <c r="L134" s="895">
        <f t="shared" si="42"/>
        <v>0.78202230148427576</v>
      </c>
      <c r="M134" s="895">
        <f t="shared" si="42"/>
        <v>0.78202230148427576</v>
      </c>
      <c r="N134" s="895">
        <f t="shared" si="42"/>
        <v>0.78202230148427576</v>
      </c>
      <c r="O134" s="895">
        <f t="shared" si="42"/>
        <v>0.78202230148427576</v>
      </c>
      <c r="P134" s="895">
        <f t="shared" si="42"/>
        <v>0.78202230148427576</v>
      </c>
      <c r="Q134" s="895">
        <f t="shared" ref="Q134:Z137" si="43">SUM(AR134,BS134,CT134)</f>
        <v>0.78202230148427576</v>
      </c>
      <c r="R134" s="895">
        <f t="shared" si="43"/>
        <v>0.78202230148427576</v>
      </c>
      <c r="S134" s="895">
        <f t="shared" si="43"/>
        <v>0.78202230148427576</v>
      </c>
      <c r="T134" s="895">
        <f t="shared" si="43"/>
        <v>0.78202230148427576</v>
      </c>
      <c r="U134" s="895">
        <f t="shared" si="43"/>
        <v>0.78202230148427576</v>
      </c>
      <c r="V134" s="895">
        <f t="shared" si="43"/>
        <v>0.78202230148427576</v>
      </c>
      <c r="W134" s="895">
        <f t="shared" si="43"/>
        <v>0.78202230148427576</v>
      </c>
      <c r="X134" s="895">
        <f t="shared" si="43"/>
        <v>0.78202230148427576</v>
      </c>
      <c r="Y134" s="895">
        <f t="shared" si="43"/>
        <v>0.78202230148427576</v>
      </c>
      <c r="Z134" s="895">
        <f t="shared" si="43"/>
        <v>0.78202230148427576</v>
      </c>
      <c r="AA134" s="895">
        <f t="shared" ref="AA134:AF137" si="44">SUM(BB134,CC134,DD134)</f>
        <v>0.78202230148427576</v>
      </c>
      <c r="AB134" s="895">
        <f t="shared" si="44"/>
        <v>0.78202230148427576</v>
      </c>
      <c r="AC134" s="895">
        <f t="shared" si="44"/>
        <v>0.78202230148427576</v>
      </c>
      <c r="AD134" s="895">
        <f t="shared" si="44"/>
        <v>0.78202230148427576</v>
      </c>
      <c r="AE134" s="895">
        <f t="shared" si="44"/>
        <v>0.78202230148427576</v>
      </c>
      <c r="AF134" s="895">
        <f t="shared" si="44"/>
        <v>0.78202230148427576</v>
      </c>
      <c r="AH134" s="405">
        <f>IF(Tech_Specs!$F21="linear",TREND(Perform_Active!$K22:$L22,Perform_Active!$K$8:$L$8,AH$120),)</f>
        <v>0</v>
      </c>
      <c r="AI134" s="405">
        <f>IF(Tech_Specs!$F21="linear",TREND(Perform_Active!$K22:$L22,Perform_Active!$K$8:$L$8,AI$120),)</f>
        <v>0</v>
      </c>
      <c r="AJ134" s="405">
        <f>IF(Tech_Specs!$F21="linear",TREND(Perform_Active!$K22:$L22,Perform_Active!$K$8:$L$8,AJ$120),)</f>
        <v>0</v>
      </c>
      <c r="AK134" s="405">
        <f>IF(Tech_Specs!$F21="linear",TREND(Perform_Active!$K22:$L22,Perform_Active!$K$8:$L$8,AK$120),)</f>
        <v>0</v>
      </c>
      <c r="AL134" s="405">
        <f>IF(Tech_Specs!$F21="linear",TREND(Perform_Active!$K22:$L22,Perform_Active!$K$8:$L$8,AL$120),)</f>
        <v>0</v>
      </c>
      <c r="AM134" s="405">
        <f>IF(Tech_Specs!$F21="linear",TREND(Perform_Active!$K22:$L22,Perform_Active!$K$8:$L$8,AM$120),)</f>
        <v>0</v>
      </c>
      <c r="AN134" s="405">
        <f>IF(Tech_Specs!$F21="linear",TREND(Perform_Active!$K22:$L22,Perform_Active!$K$8:$L$8,AN$120),)</f>
        <v>0</v>
      </c>
      <c r="AO134" s="405">
        <f>IF(Tech_Specs!$F21="linear",TREND(Perform_Active!$K22:$L22,Perform_Active!$K$8:$L$8,AO$120),)</f>
        <v>0</v>
      </c>
      <c r="AP134" s="405">
        <f>IF(Tech_Specs!$F21="linear",TREND(Perform_Active!$K22:$L22,Perform_Active!$K$8:$L$8,AP$120),)</f>
        <v>0</v>
      </c>
      <c r="AQ134" s="405">
        <f>IF(Tech_Specs!$F21="linear",TREND(Perform_Active!$K22:$L22,Perform_Active!$K$8:$L$8,AQ$120),)</f>
        <v>0</v>
      </c>
      <c r="AR134" s="405">
        <f>IF(Tech_Specs!$F21="linear",TREND(Perform_Active!$K22:$L22,Perform_Active!$K$8:$L$8,AR$120),)</f>
        <v>0</v>
      </c>
      <c r="AS134" s="405">
        <f>IF(Tech_Specs!$F21="linear",TREND(Perform_Active!$K22:$L22,Perform_Active!$K$8:$L$8,AS$120),)</f>
        <v>0</v>
      </c>
      <c r="AT134" s="405">
        <f>IF(Tech_Specs!$F21="linear",TREND(Perform_Active!$K22:$L22,Perform_Active!$K$8:$L$8,AT$120),)</f>
        <v>0</v>
      </c>
      <c r="AU134" s="405">
        <f>IF(Tech_Specs!$F21="linear",TREND(Perform_Active!$K22:$L22,Perform_Active!$K$8:$L$8,AU$120),)</f>
        <v>0</v>
      </c>
      <c r="AV134" s="405">
        <f>IF(Tech_Specs!$F21="linear",TREND(Perform_Active!$K22:$L22,Perform_Active!$K$8:$L$8,AV$120),)</f>
        <v>0</v>
      </c>
      <c r="AW134" s="405">
        <f>IF(Tech_Specs!$F21="linear",TREND(Perform_Active!$K22:$L22,Perform_Active!$K$8:$L$8,AW$120),)</f>
        <v>0</v>
      </c>
      <c r="AX134" s="405">
        <f>IF(Tech_Specs!$F21="linear",TREND(Perform_Active!$K22:$L22,Perform_Active!$K$8:$L$8,AX$120),)</f>
        <v>0</v>
      </c>
      <c r="AY134" s="405">
        <f>IF(Tech_Specs!$F21="linear",TREND(Perform_Active!$K22:$L22,Perform_Active!$K$8:$L$8,AY$120),)</f>
        <v>0</v>
      </c>
      <c r="AZ134" s="405">
        <f>IF(Tech_Specs!$F21="linear",TREND(Perform_Active!$K22:$L22,Perform_Active!$K$8:$L$8,AZ$120),)</f>
        <v>0</v>
      </c>
      <c r="BA134" s="405">
        <f>IF(Tech_Specs!$F21="linear",TREND(Perform_Active!$K22:$L22,Perform_Active!$K$8:$L$8,BA$120),)</f>
        <v>0</v>
      </c>
      <c r="BB134" s="405">
        <f>IF(Tech_Specs!$F21="linear",TREND(Perform_Active!$K22:$L22,Perform_Active!$K$8:$L$8,BB$120),)</f>
        <v>0</v>
      </c>
      <c r="BC134" s="405">
        <f>IF(Tech_Specs!$F21="linear",TREND(Perform_Active!$K22:$L22,Perform_Active!$K$8:$L$8,BC$120),)</f>
        <v>0</v>
      </c>
      <c r="BD134" s="405">
        <f>IF(Tech_Specs!$F21="linear",TREND(Perform_Active!$K22:$L22,Perform_Active!$K$8:$L$8,BD$120),)</f>
        <v>0</v>
      </c>
      <c r="BE134" s="405">
        <f>IF(Tech_Specs!$F21="linear",TREND(Perform_Active!$K22:$L22,Perform_Active!$K$8:$L$8,BE$120),)</f>
        <v>0</v>
      </c>
      <c r="BF134" s="405">
        <f>IF(Tech_Specs!$F21="linear",TREND(Perform_Active!$K22:$L22,Perform_Active!$K$8:$L$8,BF$120),)</f>
        <v>0</v>
      </c>
      <c r="BG134" s="405">
        <f>IF(Tech_Specs!$F21="linear",TREND(Perform_Active!$K22:$L22,Perform_Active!$K$8:$L$8,BG$120),)</f>
        <v>0</v>
      </c>
      <c r="BI134" s="338">
        <f>IF(Tech_Specs!$F21="Constant",Perform_Active!$K22,)</f>
        <v>0</v>
      </c>
      <c r="BJ134" s="338">
        <f>IF(Tech_Specs!$F21="Constant",Perform_Active!$K22,)</f>
        <v>0</v>
      </c>
      <c r="BK134" s="338">
        <f>IF(Tech_Specs!$F21="Constant",Perform_Active!$K22,)</f>
        <v>0</v>
      </c>
      <c r="BL134" s="338">
        <f>IF(Tech_Specs!$F21="Constant",Perform_Active!$K22,)</f>
        <v>0</v>
      </c>
      <c r="BM134" s="338">
        <f>IF(Tech_Specs!$F21="Constant",Perform_Active!$K22,)</f>
        <v>0</v>
      </c>
      <c r="BN134" s="338">
        <f>IF(Tech_Specs!$F21="Constant",Perform_Active!$K22,)</f>
        <v>0</v>
      </c>
      <c r="BO134" s="338">
        <f>IF(Tech_Specs!$F21="Constant",Perform_Active!$K22,)</f>
        <v>0</v>
      </c>
      <c r="BP134" s="338">
        <f>IF(Tech_Specs!$F21="Constant",Perform_Active!$K22,)</f>
        <v>0</v>
      </c>
      <c r="BQ134" s="338">
        <f>IF(Tech_Specs!$F21="Constant",Perform_Active!$K22,)</f>
        <v>0</v>
      </c>
      <c r="BR134" s="338">
        <f>IF(Tech_Specs!$F21="Constant",Perform_Active!$K22,)</f>
        <v>0</v>
      </c>
      <c r="BS134" s="338">
        <f>IF(Tech_Specs!$F21="Constant",Perform_Active!$K22,)</f>
        <v>0</v>
      </c>
      <c r="BT134" s="338">
        <f>IF(Tech_Specs!$F21="Constant",Perform_Active!$K22,)</f>
        <v>0</v>
      </c>
      <c r="BU134" s="338">
        <f>IF(Tech_Specs!$F21="Constant",Perform_Active!$K22,)</f>
        <v>0</v>
      </c>
      <c r="BV134" s="338">
        <f>IF(Tech_Specs!$F21="Constant",Perform_Active!$K22,)</f>
        <v>0</v>
      </c>
      <c r="BW134" s="338">
        <f>IF(Tech_Specs!$F21="Constant",Perform_Active!$K22,)</f>
        <v>0</v>
      </c>
      <c r="BX134" s="338">
        <f>IF(Tech_Specs!$F21="Constant",Perform_Active!$K22,)</f>
        <v>0</v>
      </c>
      <c r="BY134" s="338">
        <f>IF(Tech_Specs!$F21="Constant",Perform_Active!$K22,)</f>
        <v>0</v>
      </c>
      <c r="BZ134" s="338">
        <f>IF(Tech_Specs!$F21="Constant",Perform_Active!$K22,)</f>
        <v>0</v>
      </c>
      <c r="CA134" s="338">
        <f>IF(Tech_Specs!$F21="Constant",Perform_Active!$K22,)</f>
        <v>0</v>
      </c>
      <c r="CB134" s="338">
        <f>IF(Tech_Specs!$F21="Constant",Perform_Active!$K22,)</f>
        <v>0</v>
      </c>
      <c r="CC134" s="338">
        <f>IF(Tech_Specs!$F21="Constant",Perform_Active!$K22,)</f>
        <v>0</v>
      </c>
      <c r="CD134" s="338">
        <f>IF(Tech_Specs!$F21="Constant",Perform_Active!$K22,)</f>
        <v>0</v>
      </c>
      <c r="CE134" s="338">
        <f>IF(Tech_Specs!$F21="Constant",Perform_Active!$K22,)</f>
        <v>0</v>
      </c>
      <c r="CF134" s="338">
        <f>IF(Tech_Specs!$F21="Constant",Perform_Active!$K22,)</f>
        <v>0</v>
      </c>
      <c r="CG134" s="338">
        <f>IF(Tech_Specs!$F21="Constant",Perform_Active!$K22,)</f>
        <v>0</v>
      </c>
      <c r="CH134" s="338">
        <f>IF(Tech_Specs!$F21="Constant",Perform_Active!$K22,)</f>
        <v>0</v>
      </c>
      <c r="CJ134" s="625">
        <f>IF(AND(Tech_Specs!$F21="step",Standards_Active!$S22="yes"),IF(ISNUMBER(Standards_Active!$W22),IF(CJ$120&gt;=Standards_Active!$R22,Standards_Active!$W22,IF(CJ$120&lt;Standards_Active!$Q22,Perform_Active!$K22,(Standards_Active!$W22-Perform_Active!$K22)/(Standards_Active!$R22-(Standards_Active!$Q22-1))+CI134)),Perform_Active!$K22),)</f>
        <v>0.78202230148427576</v>
      </c>
      <c r="CK134" s="625">
        <f>IF(AND(Tech_Specs!$F21="step",Standards_Active!$S22="yes"),IF(ISNUMBER(Standards_Active!$W22),IF(CK$120&gt;=Standards_Active!$R22,Standards_Active!$W22,IF(CK$120&lt;Standards_Active!$Q22,Perform_Active!$K22,(Standards_Active!$W22-Perform_Active!$K22)/(Standards_Active!$R22-(Standards_Active!$Q22-1))+CJ134)),Perform_Active!$K22),)</f>
        <v>0.78202230148427576</v>
      </c>
      <c r="CL134" s="625">
        <f>IF(AND(Tech_Specs!$F21="step",Standards_Active!$S22="yes"),IF(ISNUMBER(Standards_Active!$W22),IF(CL$120&gt;=Standards_Active!$R22,Standards_Active!$W22,IF(CL$120&lt;Standards_Active!$Q22,Perform_Active!$K22,(Standards_Active!$W22-Perform_Active!$K22)/(Standards_Active!$R22-(Standards_Active!$Q22-1))+CK134)),Perform_Active!$K22),)</f>
        <v>0.78202230148427576</v>
      </c>
      <c r="CM134" s="625">
        <f>IF(AND(Tech_Specs!$F21="step",Standards_Active!$S22="yes"),IF(ISNUMBER(Standards_Active!$W22),IF(CM$120&gt;=Standards_Active!$R22,Standards_Active!$W22,IF(CM$120&lt;Standards_Active!$Q22,Perform_Active!$K22,(Standards_Active!$W22-Perform_Active!$K22)/(Standards_Active!$R22-(Standards_Active!$Q22-1))+CL134)),Perform_Active!$K22),)</f>
        <v>0.78202230148427576</v>
      </c>
      <c r="CN134" s="625">
        <f>IF(AND(Tech_Specs!$F21="step",Standards_Active!$S22="yes"),IF(ISNUMBER(Standards_Active!$W22),IF(CN$120&gt;=Standards_Active!$R22,Standards_Active!$W22,IF(CN$120&lt;Standards_Active!$Q22,Perform_Active!$K22,(Standards_Active!$W22-Perform_Active!$K22)/(Standards_Active!$R22-(Standards_Active!$Q22-1))+CM134)),Perform_Active!$K22),)</f>
        <v>0.78202230148427576</v>
      </c>
      <c r="CO134" s="625">
        <f>IF(AND(Tech_Specs!$F21="step",Standards_Active!$S22="yes"),IF(ISNUMBER(Standards_Active!$W22),IF(CO$120&gt;=Standards_Active!$R22,Standards_Active!$W22,IF(CO$120&lt;Standards_Active!$Q22,Perform_Active!$K22,(Standards_Active!$W22-Perform_Active!$K22)/(Standards_Active!$R22-(Standards_Active!$Q22-1))+CN134)),Perform_Active!$K22),)</f>
        <v>0.78202230148427576</v>
      </c>
      <c r="CP134" s="625">
        <f>IF(AND(Tech_Specs!$F21="step",Standards_Active!$S22="yes"),IF(ISNUMBER(Standards_Active!$W22),IF(CP$120&gt;=Standards_Active!$R22,Standards_Active!$W22,IF(CP$120&lt;Standards_Active!$Q22,Perform_Active!$K22,(Standards_Active!$W22-Perform_Active!$K22)/(Standards_Active!$R22-(Standards_Active!$Q22-1))+CO134)),Perform_Active!$K22),)</f>
        <v>0.78202230148427576</v>
      </c>
      <c r="CQ134" s="625">
        <f>IF(AND(Tech_Specs!$F21="step",Standards_Active!$S22="yes"),IF(ISNUMBER(Standards_Active!$W22),IF(CQ$120&gt;=Standards_Active!$R22,Standards_Active!$W22,IF(CQ$120&lt;Standards_Active!$Q22,Perform_Active!$K22,(Standards_Active!$W22-Perform_Active!$K22)/(Standards_Active!$R22-(Standards_Active!$Q22-1))+CP134)),Perform_Active!$K22),)</f>
        <v>0.78202230148427576</v>
      </c>
      <c r="CR134" s="625">
        <f>IF(AND(Tech_Specs!$F21="step",Standards_Active!$S22="yes"),IF(ISNUMBER(Standards_Active!$W22),IF(CR$120&gt;=Standards_Active!$R22,Standards_Active!$W22,IF(CR$120&lt;Standards_Active!$Q22,Perform_Active!$K22,(Standards_Active!$W22-Perform_Active!$K22)/(Standards_Active!$R22-(Standards_Active!$Q22-1))+CQ134)),Perform_Active!$K22),)</f>
        <v>0.78202230148427576</v>
      </c>
      <c r="CS134" s="625">
        <f>IF(AND(Tech_Specs!$F21="step",Standards_Active!$S22="yes"),IF(ISNUMBER(Standards_Active!$W22),IF(CS$120&gt;=Standards_Active!$R22,Standards_Active!$W22,IF(CS$120&lt;Standards_Active!$Q22,Perform_Active!$K22,(Standards_Active!$W22-Perform_Active!$K22)/(Standards_Active!$R22-(Standards_Active!$Q22-1))+CR134)),Perform_Active!$K22),)</f>
        <v>0.78202230148427576</v>
      </c>
      <c r="CT134" s="625">
        <f>IF(AND(Tech_Specs!$F21="step",Standards_Active!$S22="yes"),IF(ISNUMBER(Standards_Active!$W22),IF(CT$120&gt;=Standards_Active!$R22,Standards_Active!$W22,IF(CT$120&lt;Standards_Active!$Q22,Perform_Active!$K22,(Standards_Active!$W22-Perform_Active!$K22)/(Standards_Active!$R22-(Standards_Active!$Q22-1))+CS134)),Perform_Active!$K22),)</f>
        <v>0.78202230148427576</v>
      </c>
      <c r="CU134" s="625">
        <f>IF(AND(Tech_Specs!$F21="step",Standards_Active!$S22="yes"),IF(ISNUMBER(Standards_Active!$W22),IF(CU$120&gt;=Standards_Active!$R22,Standards_Active!$W22,IF(CU$120&lt;Standards_Active!$Q22,Perform_Active!$K22,(Standards_Active!$W22-Perform_Active!$K22)/(Standards_Active!$R22-(Standards_Active!$Q22-1))+CT134)),Perform_Active!$K22),)</f>
        <v>0.78202230148427576</v>
      </c>
      <c r="CV134" s="625">
        <f>IF(AND(Tech_Specs!$F21="step",Standards_Active!$S22="yes"),IF(ISNUMBER(Standards_Active!$W22),IF(CV$120&gt;=Standards_Active!$R22,Standards_Active!$W22,IF(CV$120&lt;Standards_Active!$Q22,Perform_Active!$K22,(Standards_Active!$W22-Perform_Active!$K22)/(Standards_Active!$R22-(Standards_Active!$Q22-1))+CU134)),Perform_Active!$K22),)</f>
        <v>0.78202230148427576</v>
      </c>
      <c r="CW134" s="625">
        <f>IF(AND(Tech_Specs!$F21="step",Standards_Active!$S22="yes"),IF(ISNUMBER(Standards_Active!$W22),IF(CW$120&gt;=Standards_Active!$R22,Standards_Active!$W22,IF(CW$120&lt;Standards_Active!$Q22,Perform_Active!$K22,(Standards_Active!$W22-Perform_Active!$K22)/(Standards_Active!$R22-(Standards_Active!$Q22-1))+CV134)),Perform_Active!$K22),)</f>
        <v>0.78202230148427576</v>
      </c>
      <c r="CX134" s="625">
        <f>IF(AND(Tech_Specs!$F21="step",Standards_Active!$S22="yes"),IF(ISNUMBER(Standards_Active!$W22),IF(CX$120&gt;=Standards_Active!$R22,Standards_Active!$W22,IF(CX$120&lt;Standards_Active!$Q22,Perform_Active!$K22,(Standards_Active!$W22-Perform_Active!$K22)/(Standards_Active!$R22-(Standards_Active!$Q22-1))+CW134)),Perform_Active!$K22),)</f>
        <v>0.78202230148427576</v>
      </c>
      <c r="CY134" s="625">
        <f>IF(AND(Tech_Specs!$F21="step",Standards_Active!$S22="yes"),IF(ISNUMBER(Standards_Active!$W22),IF(CY$120&gt;=Standards_Active!$R22,Standards_Active!$W22,IF(CY$120&lt;Standards_Active!$Q22,Perform_Active!$K22,(Standards_Active!$W22-Perform_Active!$K22)/(Standards_Active!$R22-(Standards_Active!$Q22-1))+CX134)),Perform_Active!$K22),)</f>
        <v>0.78202230148427576</v>
      </c>
      <c r="CZ134" s="625">
        <f>IF(AND(Tech_Specs!$F21="step",Standards_Active!$S22="yes"),IF(ISNUMBER(Standards_Active!$W22),IF(CZ$120&gt;=Standards_Active!$R22,Standards_Active!$W22,IF(CZ$120&lt;Standards_Active!$Q22,Perform_Active!$K22,(Standards_Active!$W22-Perform_Active!$K22)/(Standards_Active!$R22-(Standards_Active!$Q22-1))+CY134)),Perform_Active!$K22),)</f>
        <v>0.78202230148427576</v>
      </c>
      <c r="DA134" s="625">
        <f>IF(AND(Tech_Specs!$F21="step",Standards_Active!$S22="yes"),IF(ISNUMBER(Standards_Active!$W22),IF(DA$120&gt;=Standards_Active!$R22,Standards_Active!$W22,IF(DA$120&lt;Standards_Active!$Q22,Perform_Active!$K22,(Standards_Active!$W22-Perform_Active!$K22)/(Standards_Active!$R22-(Standards_Active!$Q22-1))+CZ134)),Perform_Active!$K22),)</f>
        <v>0.78202230148427576</v>
      </c>
      <c r="DB134" s="625">
        <f>IF(AND(Tech_Specs!$F21="step",Standards_Active!$S22="yes"),IF(ISNUMBER(Standards_Active!$W22),IF(DB$120&gt;=Standards_Active!$R22,Standards_Active!$W22,IF(DB$120&lt;Standards_Active!$Q22,Perform_Active!$K22,(Standards_Active!$W22-Perform_Active!$K22)/(Standards_Active!$R22-(Standards_Active!$Q22-1))+DA134)),Perform_Active!$K22),)</f>
        <v>0.78202230148427576</v>
      </c>
      <c r="DC134" s="625">
        <f>IF(AND(Tech_Specs!$F21="step",Standards_Active!$S22="yes"),IF(ISNUMBER(Standards_Active!$W22),IF(DC$120&gt;=Standards_Active!$R22,Standards_Active!$W22,IF(DC$120&lt;Standards_Active!$Q22,Perform_Active!$K22,(Standards_Active!$W22-Perform_Active!$K22)/(Standards_Active!$R22-(Standards_Active!$Q22-1))+DB134)),Perform_Active!$K22),)</f>
        <v>0.78202230148427576</v>
      </c>
      <c r="DD134" s="625">
        <f>IF(AND(Tech_Specs!$F21="step",Standards_Active!$S22="yes"),IF(ISNUMBER(Standards_Active!$W22),IF(DD$120&gt;=Standards_Active!$R22,Standards_Active!$W22,IF(DD$120&lt;Standards_Active!$Q22,Perform_Active!$K22,(Standards_Active!$W22-Perform_Active!$K22)/(Standards_Active!$R22-(Standards_Active!$Q22-1))+DC134)),Perform_Active!$K22),)</f>
        <v>0.78202230148427576</v>
      </c>
      <c r="DE134" s="625">
        <f>IF(AND(Tech_Specs!$F21="step",Standards_Active!$S22="yes"),IF(ISNUMBER(Standards_Active!$W22),IF(DE$120&gt;=Standards_Active!$R22,Standards_Active!$W22,IF(DE$120&lt;Standards_Active!$Q22,Perform_Active!$K22,(Standards_Active!$W22-Perform_Active!$K22)/(Standards_Active!$R22-(Standards_Active!$Q22-1))+DD134)),Perform_Active!$K22),)</f>
        <v>0.78202230148427576</v>
      </c>
      <c r="DF134" s="625">
        <f>IF(AND(Tech_Specs!$F21="step",Standards_Active!$S22="yes"),IF(ISNUMBER(Standards_Active!$W22),IF(DF$120&gt;=Standards_Active!$R22,Standards_Active!$W22,IF(DF$120&lt;Standards_Active!$Q22,Perform_Active!$K22,(Standards_Active!$W22-Perform_Active!$K22)/(Standards_Active!$R22-(Standards_Active!$Q22-1))+DE134)),Perform_Active!$K22),)</f>
        <v>0.78202230148427576</v>
      </c>
      <c r="DG134" s="625">
        <f>IF(AND(Tech_Specs!$F21="step",Standards_Active!$S22="yes"),IF(ISNUMBER(Standards_Active!$W22),IF(DG$120&gt;=Standards_Active!$R22,Standards_Active!$W22,IF(DG$120&lt;Standards_Active!$Q22,Perform_Active!$K22,(Standards_Active!$W22-Perform_Active!$K22)/(Standards_Active!$R22-(Standards_Active!$Q22-1))+DF134)),Perform_Active!$K22),)</f>
        <v>0.78202230148427576</v>
      </c>
      <c r="DH134" s="625">
        <f>IF(AND(Tech_Specs!$F21="step",Standards_Active!$S22="yes"),IF(ISNUMBER(Standards_Active!$W22),IF(DH$120&gt;=Standards_Active!$R22,Standards_Active!$W22,IF(DH$120&lt;Standards_Active!$Q22,Perform_Active!$K22,(Standards_Active!$W22-Perform_Active!$K22)/(Standards_Active!$R22-(Standards_Active!$Q22-1))+DG134)),Perform_Active!$K22),)</f>
        <v>0.78202230148427576</v>
      </c>
      <c r="DI134" s="625">
        <f>IF(AND(Tech_Specs!$F21="step",Standards_Active!$S22="yes"),IF(ISNUMBER(Standards_Active!$W22),IF(DI$120&gt;=Standards_Active!$R22,Standards_Active!$W22,IF(DI$120&lt;Standards_Active!$Q22,Perform_Active!$K22,(Standards_Active!$W22-Perform_Active!$K22)/(Standards_Active!$R22-(Standards_Active!$Q22-1))+DH134)),Perform_Active!$K22),)</f>
        <v>0.78202230148427576</v>
      </c>
    </row>
    <row r="135" spans="1:113" s="81" customFormat="1" ht="12.6" x14ac:dyDescent="0.25">
      <c r="B135" s="81" t="s">
        <v>39</v>
      </c>
      <c r="D135" s="550"/>
      <c r="E135" s="550"/>
      <c r="F135" s="550"/>
      <c r="G135" s="895">
        <f t="shared" si="42"/>
        <v>0.872</v>
      </c>
      <c r="H135" s="895">
        <f t="shared" si="42"/>
        <v>0.872</v>
      </c>
      <c r="I135" s="895">
        <f t="shared" si="42"/>
        <v>0.872</v>
      </c>
      <c r="J135" s="895">
        <f t="shared" si="42"/>
        <v>0.872</v>
      </c>
      <c r="K135" s="895">
        <f t="shared" si="42"/>
        <v>0.872</v>
      </c>
      <c r="L135" s="895">
        <f t="shared" si="42"/>
        <v>0.872</v>
      </c>
      <c r="M135" s="895">
        <f t="shared" si="42"/>
        <v>0.872</v>
      </c>
      <c r="N135" s="895">
        <f t="shared" si="42"/>
        <v>0.872</v>
      </c>
      <c r="O135" s="895">
        <f t="shared" si="42"/>
        <v>0.872</v>
      </c>
      <c r="P135" s="895">
        <f t="shared" si="42"/>
        <v>0.872</v>
      </c>
      <c r="Q135" s="895">
        <f t="shared" si="43"/>
        <v>0.872</v>
      </c>
      <c r="R135" s="895">
        <f t="shared" si="43"/>
        <v>0.872</v>
      </c>
      <c r="S135" s="895">
        <f t="shared" si="43"/>
        <v>0.872</v>
      </c>
      <c r="T135" s="895">
        <f t="shared" si="43"/>
        <v>0.872</v>
      </c>
      <c r="U135" s="895">
        <f t="shared" si="43"/>
        <v>0.872</v>
      </c>
      <c r="V135" s="895">
        <f t="shared" si="43"/>
        <v>0.872</v>
      </c>
      <c r="W135" s="895">
        <f t="shared" si="43"/>
        <v>0.872</v>
      </c>
      <c r="X135" s="895">
        <f t="shared" si="43"/>
        <v>0.872</v>
      </c>
      <c r="Y135" s="895">
        <f t="shared" si="43"/>
        <v>0.872</v>
      </c>
      <c r="Z135" s="895">
        <f t="shared" si="43"/>
        <v>0.872</v>
      </c>
      <c r="AA135" s="895">
        <f t="shared" si="44"/>
        <v>0.872</v>
      </c>
      <c r="AB135" s="895">
        <f t="shared" si="44"/>
        <v>0.872</v>
      </c>
      <c r="AC135" s="895">
        <f t="shared" si="44"/>
        <v>0.872</v>
      </c>
      <c r="AD135" s="895">
        <f t="shared" si="44"/>
        <v>0.872</v>
      </c>
      <c r="AE135" s="895">
        <f t="shared" si="44"/>
        <v>0.872</v>
      </c>
      <c r="AF135" s="895">
        <f t="shared" si="44"/>
        <v>0.872</v>
      </c>
      <c r="AH135" s="405">
        <f>IF(Tech_Specs!$F22="linear",TREND(Perform_Active!$K23:$L23,Perform_Active!$K$8:$L$8,AH$120),)</f>
        <v>0.872</v>
      </c>
      <c r="AI135" s="405">
        <f>IF(Tech_Specs!$F22="linear",TREND(Perform_Active!$K23:$L23,Perform_Active!$K$8:$L$8,AI$120),)</f>
        <v>0.872</v>
      </c>
      <c r="AJ135" s="405">
        <f>IF(Tech_Specs!$F22="linear",TREND(Perform_Active!$K23:$L23,Perform_Active!$K$8:$L$8,AJ$120),)</f>
        <v>0.872</v>
      </c>
      <c r="AK135" s="405">
        <f>IF(Tech_Specs!$F22="linear",TREND(Perform_Active!$K23:$L23,Perform_Active!$K$8:$L$8,AK$120),)</f>
        <v>0.872</v>
      </c>
      <c r="AL135" s="405">
        <f>IF(Tech_Specs!$F22="linear",TREND(Perform_Active!$K23:$L23,Perform_Active!$K$8:$L$8,AL$120),)</f>
        <v>0.872</v>
      </c>
      <c r="AM135" s="405">
        <f>IF(Tech_Specs!$F22="linear",TREND(Perform_Active!$K23:$L23,Perform_Active!$K$8:$L$8,AM$120),)</f>
        <v>0.872</v>
      </c>
      <c r="AN135" s="405">
        <f>IF(Tech_Specs!$F22="linear",TREND(Perform_Active!$K23:$L23,Perform_Active!$K$8:$L$8,AN$120),)</f>
        <v>0.872</v>
      </c>
      <c r="AO135" s="405">
        <f>IF(Tech_Specs!$F22="linear",TREND(Perform_Active!$K23:$L23,Perform_Active!$K$8:$L$8,AO$120),)</f>
        <v>0.872</v>
      </c>
      <c r="AP135" s="405">
        <f>IF(Tech_Specs!$F22="linear",TREND(Perform_Active!$K23:$L23,Perform_Active!$K$8:$L$8,AP$120),)</f>
        <v>0.872</v>
      </c>
      <c r="AQ135" s="405">
        <f>IF(Tech_Specs!$F22="linear",TREND(Perform_Active!$K23:$L23,Perform_Active!$K$8:$L$8,AQ$120),)</f>
        <v>0.872</v>
      </c>
      <c r="AR135" s="405">
        <f>IF(Tech_Specs!$F22="linear",TREND(Perform_Active!$K23:$L23,Perform_Active!$K$8:$L$8,AR$120),)</f>
        <v>0.872</v>
      </c>
      <c r="AS135" s="405">
        <f>IF(Tech_Specs!$F22="linear",TREND(Perform_Active!$K23:$L23,Perform_Active!$K$8:$L$8,AS$120),)</f>
        <v>0.872</v>
      </c>
      <c r="AT135" s="405">
        <f>IF(Tech_Specs!$F22="linear",TREND(Perform_Active!$K23:$L23,Perform_Active!$K$8:$L$8,AT$120),)</f>
        <v>0.872</v>
      </c>
      <c r="AU135" s="405">
        <f>IF(Tech_Specs!$F22="linear",TREND(Perform_Active!$K23:$L23,Perform_Active!$K$8:$L$8,AU$120),)</f>
        <v>0.872</v>
      </c>
      <c r="AV135" s="405">
        <f>IF(Tech_Specs!$F22="linear",TREND(Perform_Active!$K23:$L23,Perform_Active!$K$8:$L$8,AV$120),)</f>
        <v>0.872</v>
      </c>
      <c r="AW135" s="405">
        <f>IF(Tech_Specs!$F22="linear",TREND(Perform_Active!$K23:$L23,Perform_Active!$K$8:$L$8,AW$120),)</f>
        <v>0.872</v>
      </c>
      <c r="AX135" s="405">
        <f>IF(Tech_Specs!$F22="linear",TREND(Perform_Active!$K23:$L23,Perform_Active!$K$8:$L$8,AX$120),)</f>
        <v>0.872</v>
      </c>
      <c r="AY135" s="405">
        <f>IF(Tech_Specs!$F22="linear",TREND(Perform_Active!$K23:$L23,Perform_Active!$K$8:$L$8,AY$120),)</f>
        <v>0.872</v>
      </c>
      <c r="AZ135" s="405">
        <f>IF(Tech_Specs!$F22="linear",TREND(Perform_Active!$K23:$L23,Perform_Active!$K$8:$L$8,AZ$120),)</f>
        <v>0.872</v>
      </c>
      <c r="BA135" s="405">
        <f>IF(Tech_Specs!$F22="linear",TREND(Perform_Active!$K23:$L23,Perform_Active!$K$8:$L$8,BA$120),)</f>
        <v>0.872</v>
      </c>
      <c r="BB135" s="405">
        <f>IF(Tech_Specs!$F22="linear",TREND(Perform_Active!$K23:$L23,Perform_Active!$K$8:$L$8,BB$120),)</f>
        <v>0.872</v>
      </c>
      <c r="BC135" s="405">
        <f>IF(Tech_Specs!$F22="linear",TREND(Perform_Active!$K23:$L23,Perform_Active!$K$8:$L$8,BC$120),)</f>
        <v>0.872</v>
      </c>
      <c r="BD135" s="405">
        <f>IF(Tech_Specs!$F22="linear",TREND(Perform_Active!$K23:$L23,Perform_Active!$K$8:$L$8,BD$120),)</f>
        <v>0.872</v>
      </c>
      <c r="BE135" s="405">
        <f>IF(Tech_Specs!$F22="linear",TREND(Perform_Active!$K23:$L23,Perform_Active!$K$8:$L$8,BE$120),)</f>
        <v>0.872</v>
      </c>
      <c r="BF135" s="405">
        <f>IF(Tech_Specs!$F22="linear",TREND(Perform_Active!$K23:$L23,Perform_Active!$K$8:$L$8,BF$120),)</f>
        <v>0.872</v>
      </c>
      <c r="BG135" s="405">
        <f>IF(Tech_Specs!$F22="linear",TREND(Perform_Active!$K23:$L23,Perform_Active!$K$8:$L$8,BG$120),)</f>
        <v>0.872</v>
      </c>
      <c r="BI135" s="338">
        <f>IF(Tech_Specs!$F22="Constant",Perform_Active!$K23,)</f>
        <v>0</v>
      </c>
      <c r="BJ135" s="338">
        <f>IF(Tech_Specs!$F22="Constant",Perform_Active!$K23,)</f>
        <v>0</v>
      </c>
      <c r="BK135" s="338">
        <f>IF(Tech_Specs!$F22="Constant",Perform_Active!$K23,)</f>
        <v>0</v>
      </c>
      <c r="BL135" s="338">
        <f>IF(Tech_Specs!$F22="Constant",Perform_Active!$K23,)</f>
        <v>0</v>
      </c>
      <c r="BM135" s="338">
        <f>IF(Tech_Specs!$F22="Constant",Perform_Active!$K23,)</f>
        <v>0</v>
      </c>
      <c r="BN135" s="338">
        <f>IF(Tech_Specs!$F22="Constant",Perform_Active!$K23,)</f>
        <v>0</v>
      </c>
      <c r="BO135" s="338">
        <f>IF(Tech_Specs!$F22="Constant",Perform_Active!$K23,)</f>
        <v>0</v>
      </c>
      <c r="BP135" s="338">
        <f>IF(Tech_Specs!$F22="Constant",Perform_Active!$K23,)</f>
        <v>0</v>
      </c>
      <c r="BQ135" s="338">
        <f>IF(Tech_Specs!$F22="Constant",Perform_Active!$K23,)</f>
        <v>0</v>
      </c>
      <c r="BR135" s="338">
        <f>IF(Tech_Specs!$F22="Constant",Perform_Active!$K23,)</f>
        <v>0</v>
      </c>
      <c r="BS135" s="338">
        <f>IF(Tech_Specs!$F22="Constant",Perform_Active!$K23,)</f>
        <v>0</v>
      </c>
      <c r="BT135" s="338">
        <f>IF(Tech_Specs!$F22="Constant",Perform_Active!$K23,)</f>
        <v>0</v>
      </c>
      <c r="BU135" s="338">
        <f>IF(Tech_Specs!$F22="Constant",Perform_Active!$K23,)</f>
        <v>0</v>
      </c>
      <c r="BV135" s="338">
        <f>IF(Tech_Specs!$F22="Constant",Perform_Active!$K23,)</f>
        <v>0</v>
      </c>
      <c r="BW135" s="338">
        <f>IF(Tech_Specs!$F22="Constant",Perform_Active!$K23,)</f>
        <v>0</v>
      </c>
      <c r="BX135" s="338">
        <f>IF(Tech_Specs!$F22="Constant",Perform_Active!$K23,)</f>
        <v>0</v>
      </c>
      <c r="BY135" s="338">
        <f>IF(Tech_Specs!$F22="Constant",Perform_Active!$K23,)</f>
        <v>0</v>
      </c>
      <c r="BZ135" s="338">
        <f>IF(Tech_Specs!$F22="Constant",Perform_Active!$K23,)</f>
        <v>0</v>
      </c>
      <c r="CA135" s="338">
        <f>IF(Tech_Specs!$F22="Constant",Perform_Active!$K23,)</f>
        <v>0</v>
      </c>
      <c r="CB135" s="338">
        <f>IF(Tech_Specs!$F22="Constant",Perform_Active!$K23,)</f>
        <v>0</v>
      </c>
      <c r="CC135" s="338">
        <f>IF(Tech_Specs!$F22="Constant",Perform_Active!$K23,)</f>
        <v>0</v>
      </c>
      <c r="CD135" s="338">
        <f>IF(Tech_Specs!$F22="Constant",Perform_Active!$K23,)</f>
        <v>0</v>
      </c>
      <c r="CE135" s="338">
        <f>IF(Tech_Specs!$F22="Constant",Perform_Active!$K23,)</f>
        <v>0</v>
      </c>
      <c r="CF135" s="338">
        <f>IF(Tech_Specs!$F22="Constant",Perform_Active!$K23,)</f>
        <v>0</v>
      </c>
      <c r="CG135" s="338">
        <f>IF(Tech_Specs!$F22="Constant",Perform_Active!$K23,)</f>
        <v>0</v>
      </c>
      <c r="CH135" s="338">
        <f>IF(Tech_Specs!$F22="Constant",Perform_Active!$K23,)</f>
        <v>0</v>
      </c>
      <c r="CJ135" s="625">
        <f>IF(AND(Tech_Specs!$F22="step",Standards_Active!$S23="yes"),IF(ISNUMBER(Standards_Active!$W23),IF(CJ$120&gt;=Standards_Active!$R23,Standards_Active!$W23,IF(CJ$120&lt;Standards_Active!$Q23,Perform_Active!$K23,(Standards_Active!$W23-Perform_Active!$K23)/(Standards_Active!$R23-(Standards_Active!$Q23-1))+CI135)),Perform_Active!$K23),)</f>
        <v>0</v>
      </c>
      <c r="CK135" s="625">
        <f>IF(AND(Tech_Specs!$F22="step",Standards_Active!$S23="yes"),IF(ISNUMBER(Standards_Active!$W23),IF(CK$120&gt;=Standards_Active!$R23,Standards_Active!$W23,IF(CK$120&lt;Standards_Active!$Q23,Perform_Active!$K23,(Standards_Active!$W23-Perform_Active!$K23)/(Standards_Active!$R23-(Standards_Active!$Q23-1))+CJ135)),Perform_Active!$K23),)</f>
        <v>0</v>
      </c>
      <c r="CL135" s="625">
        <f>IF(AND(Tech_Specs!$F22="step",Standards_Active!$S23="yes"),IF(ISNUMBER(Standards_Active!$W23),IF(CL$120&gt;=Standards_Active!$R23,Standards_Active!$W23,IF(CL$120&lt;Standards_Active!$Q23,Perform_Active!$K23,(Standards_Active!$W23-Perform_Active!$K23)/(Standards_Active!$R23-(Standards_Active!$Q23-1))+CK135)),Perform_Active!$K23),)</f>
        <v>0</v>
      </c>
      <c r="CM135" s="625">
        <f>IF(AND(Tech_Specs!$F22="step",Standards_Active!$S23="yes"),IF(ISNUMBER(Standards_Active!$W23),IF(CM$120&gt;=Standards_Active!$R23,Standards_Active!$W23,IF(CM$120&lt;Standards_Active!$Q23,Perform_Active!$K23,(Standards_Active!$W23-Perform_Active!$K23)/(Standards_Active!$R23-(Standards_Active!$Q23-1))+CL135)),Perform_Active!$K23),)</f>
        <v>0</v>
      </c>
      <c r="CN135" s="625">
        <f>IF(AND(Tech_Specs!$F22="step",Standards_Active!$S23="yes"),IF(ISNUMBER(Standards_Active!$W23),IF(CN$120&gt;=Standards_Active!$R23,Standards_Active!$W23,IF(CN$120&lt;Standards_Active!$Q23,Perform_Active!$K23,(Standards_Active!$W23-Perform_Active!$K23)/(Standards_Active!$R23-(Standards_Active!$Q23-1))+CM135)),Perform_Active!$K23),)</f>
        <v>0</v>
      </c>
      <c r="CO135" s="625">
        <f>IF(AND(Tech_Specs!$F22="step",Standards_Active!$S23="yes"),IF(ISNUMBER(Standards_Active!$W23),IF(CO$120&gt;=Standards_Active!$R23,Standards_Active!$W23,IF(CO$120&lt;Standards_Active!$Q23,Perform_Active!$K23,(Standards_Active!$W23-Perform_Active!$K23)/(Standards_Active!$R23-(Standards_Active!$Q23-1))+CN135)),Perform_Active!$K23),)</f>
        <v>0</v>
      </c>
      <c r="CP135" s="625">
        <f>IF(AND(Tech_Specs!$F22="step",Standards_Active!$S23="yes"),IF(ISNUMBER(Standards_Active!$W23),IF(CP$120&gt;=Standards_Active!$R23,Standards_Active!$W23,IF(CP$120&lt;Standards_Active!$Q23,Perform_Active!$K23,(Standards_Active!$W23-Perform_Active!$K23)/(Standards_Active!$R23-(Standards_Active!$Q23-1))+CO135)),Perform_Active!$K23),)</f>
        <v>0</v>
      </c>
      <c r="CQ135" s="625">
        <f>IF(AND(Tech_Specs!$F22="step",Standards_Active!$S23="yes"),IF(ISNUMBER(Standards_Active!$W23),IF(CQ$120&gt;=Standards_Active!$R23,Standards_Active!$W23,IF(CQ$120&lt;Standards_Active!$Q23,Perform_Active!$K23,(Standards_Active!$W23-Perform_Active!$K23)/(Standards_Active!$R23-(Standards_Active!$Q23-1))+CP135)),Perform_Active!$K23),)</f>
        <v>0</v>
      </c>
      <c r="CR135" s="625">
        <f>IF(AND(Tech_Specs!$F22="step",Standards_Active!$S23="yes"),IF(ISNUMBER(Standards_Active!$W23),IF(CR$120&gt;=Standards_Active!$R23,Standards_Active!$W23,IF(CR$120&lt;Standards_Active!$Q23,Perform_Active!$K23,(Standards_Active!$W23-Perform_Active!$K23)/(Standards_Active!$R23-(Standards_Active!$Q23-1))+CQ135)),Perform_Active!$K23),)</f>
        <v>0</v>
      </c>
      <c r="CS135" s="625">
        <f>IF(AND(Tech_Specs!$F22="step",Standards_Active!$S23="yes"),IF(ISNUMBER(Standards_Active!$W23),IF(CS$120&gt;=Standards_Active!$R23,Standards_Active!$W23,IF(CS$120&lt;Standards_Active!$Q23,Perform_Active!$K23,(Standards_Active!$W23-Perform_Active!$K23)/(Standards_Active!$R23-(Standards_Active!$Q23-1))+CR135)),Perform_Active!$K23),)</f>
        <v>0</v>
      </c>
      <c r="CT135" s="625">
        <f>IF(AND(Tech_Specs!$F22="step",Standards_Active!$S23="yes"),IF(ISNUMBER(Standards_Active!$W23),IF(CT$120&gt;=Standards_Active!$R23,Standards_Active!$W23,IF(CT$120&lt;Standards_Active!$Q23,Perform_Active!$K23,(Standards_Active!$W23-Perform_Active!$K23)/(Standards_Active!$R23-(Standards_Active!$Q23-1))+CS135)),Perform_Active!$K23),)</f>
        <v>0</v>
      </c>
      <c r="CU135" s="625">
        <f>IF(AND(Tech_Specs!$F22="step",Standards_Active!$S23="yes"),IF(ISNUMBER(Standards_Active!$W23),IF(CU$120&gt;=Standards_Active!$R23,Standards_Active!$W23,IF(CU$120&lt;Standards_Active!$Q23,Perform_Active!$K23,(Standards_Active!$W23-Perform_Active!$K23)/(Standards_Active!$R23-(Standards_Active!$Q23-1))+CT135)),Perform_Active!$K23),)</f>
        <v>0</v>
      </c>
      <c r="CV135" s="625">
        <f>IF(AND(Tech_Specs!$F22="step",Standards_Active!$S23="yes"),IF(ISNUMBER(Standards_Active!$W23),IF(CV$120&gt;=Standards_Active!$R23,Standards_Active!$W23,IF(CV$120&lt;Standards_Active!$Q23,Perform_Active!$K23,(Standards_Active!$W23-Perform_Active!$K23)/(Standards_Active!$R23-(Standards_Active!$Q23-1))+CU135)),Perform_Active!$K23),)</f>
        <v>0</v>
      </c>
      <c r="CW135" s="625">
        <f>IF(AND(Tech_Specs!$F22="step",Standards_Active!$S23="yes"),IF(ISNUMBER(Standards_Active!$W23),IF(CW$120&gt;=Standards_Active!$R23,Standards_Active!$W23,IF(CW$120&lt;Standards_Active!$Q23,Perform_Active!$K23,(Standards_Active!$W23-Perform_Active!$K23)/(Standards_Active!$R23-(Standards_Active!$Q23-1))+CV135)),Perform_Active!$K23),)</f>
        <v>0</v>
      </c>
      <c r="CX135" s="625">
        <f>IF(AND(Tech_Specs!$F22="step",Standards_Active!$S23="yes"),IF(ISNUMBER(Standards_Active!$W23),IF(CX$120&gt;=Standards_Active!$R23,Standards_Active!$W23,IF(CX$120&lt;Standards_Active!$Q23,Perform_Active!$K23,(Standards_Active!$W23-Perform_Active!$K23)/(Standards_Active!$R23-(Standards_Active!$Q23-1))+CW135)),Perform_Active!$K23),)</f>
        <v>0</v>
      </c>
      <c r="CY135" s="625">
        <f>IF(AND(Tech_Specs!$F22="step",Standards_Active!$S23="yes"),IF(ISNUMBER(Standards_Active!$W23),IF(CY$120&gt;=Standards_Active!$R23,Standards_Active!$W23,IF(CY$120&lt;Standards_Active!$Q23,Perform_Active!$K23,(Standards_Active!$W23-Perform_Active!$K23)/(Standards_Active!$R23-(Standards_Active!$Q23-1))+CX135)),Perform_Active!$K23),)</f>
        <v>0</v>
      </c>
      <c r="CZ135" s="625">
        <f>IF(AND(Tech_Specs!$F22="step",Standards_Active!$S23="yes"),IF(ISNUMBER(Standards_Active!$W23),IF(CZ$120&gt;=Standards_Active!$R23,Standards_Active!$W23,IF(CZ$120&lt;Standards_Active!$Q23,Perform_Active!$K23,(Standards_Active!$W23-Perform_Active!$K23)/(Standards_Active!$R23-(Standards_Active!$Q23-1))+CY135)),Perform_Active!$K23),)</f>
        <v>0</v>
      </c>
      <c r="DA135" s="625">
        <f>IF(AND(Tech_Specs!$F22="step",Standards_Active!$S23="yes"),IF(ISNUMBER(Standards_Active!$W23),IF(DA$120&gt;=Standards_Active!$R23,Standards_Active!$W23,IF(DA$120&lt;Standards_Active!$Q23,Perform_Active!$K23,(Standards_Active!$W23-Perform_Active!$K23)/(Standards_Active!$R23-(Standards_Active!$Q23-1))+CZ135)),Perform_Active!$K23),)</f>
        <v>0</v>
      </c>
      <c r="DB135" s="625">
        <f>IF(AND(Tech_Specs!$F22="step",Standards_Active!$S23="yes"),IF(ISNUMBER(Standards_Active!$W23),IF(DB$120&gt;=Standards_Active!$R23,Standards_Active!$W23,IF(DB$120&lt;Standards_Active!$Q23,Perform_Active!$K23,(Standards_Active!$W23-Perform_Active!$K23)/(Standards_Active!$R23-(Standards_Active!$Q23-1))+DA135)),Perform_Active!$K23),)</f>
        <v>0</v>
      </c>
      <c r="DC135" s="625">
        <f>IF(AND(Tech_Specs!$F22="step",Standards_Active!$S23="yes"),IF(ISNUMBER(Standards_Active!$W23),IF(DC$120&gt;=Standards_Active!$R23,Standards_Active!$W23,IF(DC$120&lt;Standards_Active!$Q23,Perform_Active!$K23,(Standards_Active!$W23-Perform_Active!$K23)/(Standards_Active!$R23-(Standards_Active!$Q23-1))+DB135)),Perform_Active!$K23),)</f>
        <v>0</v>
      </c>
      <c r="DD135" s="625">
        <f>IF(AND(Tech_Specs!$F22="step",Standards_Active!$S23="yes"),IF(ISNUMBER(Standards_Active!$W23),IF(DD$120&gt;=Standards_Active!$R23,Standards_Active!$W23,IF(DD$120&lt;Standards_Active!$Q23,Perform_Active!$K23,(Standards_Active!$W23-Perform_Active!$K23)/(Standards_Active!$R23-(Standards_Active!$Q23-1))+DC135)),Perform_Active!$K23),)</f>
        <v>0</v>
      </c>
      <c r="DE135" s="625">
        <f>IF(AND(Tech_Specs!$F22="step",Standards_Active!$S23="yes"),IF(ISNUMBER(Standards_Active!$W23),IF(DE$120&gt;=Standards_Active!$R23,Standards_Active!$W23,IF(DE$120&lt;Standards_Active!$Q23,Perform_Active!$K23,(Standards_Active!$W23-Perform_Active!$K23)/(Standards_Active!$R23-(Standards_Active!$Q23-1))+DD135)),Perform_Active!$K23),)</f>
        <v>0</v>
      </c>
      <c r="DF135" s="625">
        <f>IF(AND(Tech_Specs!$F22="step",Standards_Active!$S23="yes"),IF(ISNUMBER(Standards_Active!$W23),IF(DF$120&gt;=Standards_Active!$R23,Standards_Active!$W23,IF(DF$120&lt;Standards_Active!$Q23,Perform_Active!$K23,(Standards_Active!$W23-Perform_Active!$K23)/(Standards_Active!$R23-(Standards_Active!$Q23-1))+DE135)),Perform_Active!$K23),)</f>
        <v>0</v>
      </c>
      <c r="DG135" s="625">
        <f>IF(AND(Tech_Specs!$F22="step",Standards_Active!$S23="yes"),IF(ISNUMBER(Standards_Active!$W23),IF(DG$120&gt;=Standards_Active!$R23,Standards_Active!$W23,IF(DG$120&lt;Standards_Active!$Q23,Perform_Active!$K23,(Standards_Active!$W23-Perform_Active!$K23)/(Standards_Active!$R23-(Standards_Active!$Q23-1))+DF135)),Perform_Active!$K23),)</f>
        <v>0</v>
      </c>
      <c r="DH135" s="625">
        <f>IF(AND(Tech_Specs!$F22="step",Standards_Active!$S23="yes"),IF(ISNUMBER(Standards_Active!$W23),IF(DH$120&gt;=Standards_Active!$R23,Standards_Active!$W23,IF(DH$120&lt;Standards_Active!$Q23,Perform_Active!$K23,(Standards_Active!$W23-Perform_Active!$K23)/(Standards_Active!$R23-(Standards_Active!$Q23-1))+DG135)),Perform_Active!$K23),)</f>
        <v>0</v>
      </c>
      <c r="DI135" s="625">
        <f>IF(AND(Tech_Specs!$F22="step",Standards_Active!$S23="yes"),IF(ISNUMBER(Standards_Active!$W23),IF(DI$120&gt;=Standards_Active!$R23,Standards_Active!$W23,IF(DI$120&lt;Standards_Active!$Q23,Perform_Active!$K23,(Standards_Active!$W23-Perform_Active!$K23)/(Standards_Active!$R23-(Standards_Active!$Q23-1))+DH135)),Perform_Active!$K23),)</f>
        <v>0</v>
      </c>
    </row>
    <row r="136" spans="1:113" s="81" customFormat="1" ht="12.6" x14ac:dyDescent="0.25">
      <c r="B136" s="81" t="s">
        <v>40</v>
      </c>
      <c r="C136" s="101"/>
      <c r="D136" s="552"/>
      <c r="E136" s="552"/>
      <c r="F136" s="552"/>
      <c r="G136" s="895">
        <f t="shared" si="42"/>
        <v>0.85346228522241319</v>
      </c>
      <c r="H136" s="895">
        <f t="shared" si="42"/>
        <v>0.85346228522241319</v>
      </c>
      <c r="I136" s="895">
        <f t="shared" si="42"/>
        <v>0.85346228522241319</v>
      </c>
      <c r="J136" s="895">
        <f t="shared" si="42"/>
        <v>0.85346228522241319</v>
      </c>
      <c r="K136" s="895">
        <f t="shared" si="42"/>
        <v>0.85346228522241319</v>
      </c>
      <c r="L136" s="895">
        <f t="shared" si="42"/>
        <v>0.85346228522241319</v>
      </c>
      <c r="M136" s="895">
        <f t="shared" si="42"/>
        <v>0.85346228522241319</v>
      </c>
      <c r="N136" s="895">
        <f t="shared" si="42"/>
        <v>0.85346228522241319</v>
      </c>
      <c r="O136" s="895">
        <f t="shared" si="42"/>
        <v>0.85346228522241319</v>
      </c>
      <c r="P136" s="895">
        <f t="shared" si="42"/>
        <v>0.85346228522241319</v>
      </c>
      <c r="Q136" s="895">
        <f t="shared" si="43"/>
        <v>0.85346228522241319</v>
      </c>
      <c r="R136" s="895">
        <f t="shared" si="43"/>
        <v>0.85346228522241319</v>
      </c>
      <c r="S136" s="895">
        <f t="shared" si="43"/>
        <v>0.85346228522241319</v>
      </c>
      <c r="T136" s="895">
        <f t="shared" si="43"/>
        <v>0.85346228522241319</v>
      </c>
      <c r="U136" s="895">
        <f t="shared" si="43"/>
        <v>0.85346228522241319</v>
      </c>
      <c r="V136" s="895">
        <f t="shared" si="43"/>
        <v>0.85346228522241319</v>
      </c>
      <c r="W136" s="895">
        <f t="shared" si="43"/>
        <v>0.85346228522241319</v>
      </c>
      <c r="X136" s="895">
        <f t="shared" si="43"/>
        <v>0.85346228522241319</v>
      </c>
      <c r="Y136" s="895">
        <f t="shared" si="43"/>
        <v>0.85346228522241319</v>
      </c>
      <c r="Z136" s="895">
        <f t="shared" si="43"/>
        <v>0.85346228522241319</v>
      </c>
      <c r="AA136" s="895">
        <f t="shared" si="44"/>
        <v>0.85346228522241319</v>
      </c>
      <c r="AB136" s="895">
        <f t="shared" si="44"/>
        <v>0.85346228522241319</v>
      </c>
      <c r="AC136" s="895">
        <f t="shared" si="44"/>
        <v>0.85346228522241319</v>
      </c>
      <c r="AD136" s="895">
        <f t="shared" si="44"/>
        <v>0.85346228522241319</v>
      </c>
      <c r="AE136" s="895">
        <f t="shared" si="44"/>
        <v>0.85346228522241319</v>
      </c>
      <c r="AF136" s="895">
        <f t="shared" si="44"/>
        <v>0.85346228522241319</v>
      </c>
      <c r="AH136" s="405">
        <f>IF(Tech_Specs!$F23="linear",TREND(Perform_Active!$K24:$L24,Perform_Active!$K$8:$L$8,AH$120),)</f>
        <v>0.85346228522241319</v>
      </c>
      <c r="AI136" s="405">
        <f>IF(Tech_Specs!$F23="linear",TREND(Perform_Active!$K24:$L24,Perform_Active!$K$8:$L$8,AI$120),)</f>
        <v>0.85346228522241319</v>
      </c>
      <c r="AJ136" s="405">
        <f>IF(Tech_Specs!$F23="linear",TREND(Perform_Active!$K24:$L24,Perform_Active!$K$8:$L$8,AJ$120),)</f>
        <v>0.85346228522241319</v>
      </c>
      <c r="AK136" s="405">
        <f>IF(Tech_Specs!$F23="linear",TREND(Perform_Active!$K24:$L24,Perform_Active!$K$8:$L$8,AK$120),)</f>
        <v>0.85346228522241319</v>
      </c>
      <c r="AL136" s="405">
        <f>IF(Tech_Specs!$F23="linear",TREND(Perform_Active!$K24:$L24,Perform_Active!$K$8:$L$8,AL$120),)</f>
        <v>0.85346228522241319</v>
      </c>
      <c r="AM136" s="405">
        <f>IF(Tech_Specs!$F23="linear",TREND(Perform_Active!$K24:$L24,Perform_Active!$K$8:$L$8,AM$120),)</f>
        <v>0.85346228522241319</v>
      </c>
      <c r="AN136" s="405">
        <f>IF(Tech_Specs!$F23="linear",TREND(Perform_Active!$K24:$L24,Perform_Active!$K$8:$L$8,AN$120),)</f>
        <v>0.85346228522241319</v>
      </c>
      <c r="AO136" s="405">
        <f>IF(Tech_Specs!$F23="linear",TREND(Perform_Active!$K24:$L24,Perform_Active!$K$8:$L$8,AO$120),)</f>
        <v>0.85346228522241319</v>
      </c>
      <c r="AP136" s="405">
        <f>IF(Tech_Specs!$F23="linear",TREND(Perform_Active!$K24:$L24,Perform_Active!$K$8:$L$8,AP$120),)</f>
        <v>0.85346228522241319</v>
      </c>
      <c r="AQ136" s="405">
        <f>IF(Tech_Specs!$F23="linear",TREND(Perform_Active!$K24:$L24,Perform_Active!$K$8:$L$8,AQ$120),)</f>
        <v>0.85346228522241319</v>
      </c>
      <c r="AR136" s="405">
        <f>IF(Tech_Specs!$F23="linear",TREND(Perform_Active!$K24:$L24,Perform_Active!$K$8:$L$8,AR$120),)</f>
        <v>0.85346228522241319</v>
      </c>
      <c r="AS136" s="405">
        <f>IF(Tech_Specs!$F23="linear",TREND(Perform_Active!$K24:$L24,Perform_Active!$K$8:$L$8,AS$120),)</f>
        <v>0.85346228522241319</v>
      </c>
      <c r="AT136" s="405">
        <f>IF(Tech_Specs!$F23="linear",TREND(Perform_Active!$K24:$L24,Perform_Active!$K$8:$L$8,AT$120),)</f>
        <v>0.85346228522241319</v>
      </c>
      <c r="AU136" s="405">
        <f>IF(Tech_Specs!$F23="linear",TREND(Perform_Active!$K24:$L24,Perform_Active!$K$8:$L$8,AU$120),)</f>
        <v>0.85346228522241319</v>
      </c>
      <c r="AV136" s="405">
        <f>IF(Tech_Specs!$F23="linear",TREND(Perform_Active!$K24:$L24,Perform_Active!$K$8:$L$8,AV$120),)</f>
        <v>0.85346228522241319</v>
      </c>
      <c r="AW136" s="405">
        <f>IF(Tech_Specs!$F23="linear",TREND(Perform_Active!$K24:$L24,Perform_Active!$K$8:$L$8,AW$120),)</f>
        <v>0.85346228522241319</v>
      </c>
      <c r="AX136" s="405">
        <f>IF(Tech_Specs!$F23="linear",TREND(Perform_Active!$K24:$L24,Perform_Active!$K$8:$L$8,AX$120),)</f>
        <v>0.85346228522241319</v>
      </c>
      <c r="AY136" s="405">
        <f>IF(Tech_Specs!$F23="linear",TREND(Perform_Active!$K24:$L24,Perform_Active!$K$8:$L$8,AY$120),)</f>
        <v>0.85346228522241319</v>
      </c>
      <c r="AZ136" s="405">
        <f>IF(Tech_Specs!$F23="linear",TREND(Perform_Active!$K24:$L24,Perform_Active!$K$8:$L$8,AZ$120),)</f>
        <v>0.85346228522241319</v>
      </c>
      <c r="BA136" s="405">
        <f>IF(Tech_Specs!$F23="linear",TREND(Perform_Active!$K24:$L24,Perform_Active!$K$8:$L$8,BA$120),)</f>
        <v>0.85346228522241319</v>
      </c>
      <c r="BB136" s="405">
        <f>IF(Tech_Specs!$F23="linear",TREND(Perform_Active!$K24:$L24,Perform_Active!$K$8:$L$8,BB$120),)</f>
        <v>0.85346228522241319</v>
      </c>
      <c r="BC136" s="405">
        <f>IF(Tech_Specs!$F23="linear",TREND(Perform_Active!$K24:$L24,Perform_Active!$K$8:$L$8,BC$120),)</f>
        <v>0.85346228522241319</v>
      </c>
      <c r="BD136" s="405">
        <f>IF(Tech_Specs!$F23="linear",TREND(Perform_Active!$K24:$L24,Perform_Active!$K$8:$L$8,BD$120),)</f>
        <v>0.85346228522241319</v>
      </c>
      <c r="BE136" s="405">
        <f>IF(Tech_Specs!$F23="linear",TREND(Perform_Active!$K24:$L24,Perform_Active!$K$8:$L$8,BE$120),)</f>
        <v>0.85346228522241319</v>
      </c>
      <c r="BF136" s="405">
        <f>IF(Tech_Specs!$F23="linear",TREND(Perform_Active!$K24:$L24,Perform_Active!$K$8:$L$8,BF$120),)</f>
        <v>0.85346228522241319</v>
      </c>
      <c r="BG136" s="405">
        <f>IF(Tech_Specs!$F23="linear",TREND(Perform_Active!$K24:$L24,Perform_Active!$K$8:$L$8,BG$120),)</f>
        <v>0.85346228522241319</v>
      </c>
      <c r="BI136" s="338">
        <f>IF(Tech_Specs!$F23="Constant",Perform_Active!$K24,)</f>
        <v>0</v>
      </c>
      <c r="BJ136" s="338">
        <f>IF(Tech_Specs!$F23="Constant",Perform_Active!$K24,)</f>
        <v>0</v>
      </c>
      <c r="BK136" s="338">
        <f>IF(Tech_Specs!$F23="Constant",Perform_Active!$K24,)</f>
        <v>0</v>
      </c>
      <c r="BL136" s="338">
        <f>IF(Tech_Specs!$F23="Constant",Perform_Active!$K24,)</f>
        <v>0</v>
      </c>
      <c r="BM136" s="338">
        <f>IF(Tech_Specs!$F23="Constant",Perform_Active!$K24,)</f>
        <v>0</v>
      </c>
      <c r="BN136" s="338">
        <f>IF(Tech_Specs!$F23="Constant",Perform_Active!$K24,)</f>
        <v>0</v>
      </c>
      <c r="BO136" s="338">
        <f>IF(Tech_Specs!$F23="Constant",Perform_Active!$K24,)</f>
        <v>0</v>
      </c>
      <c r="BP136" s="338">
        <f>IF(Tech_Specs!$F23="Constant",Perform_Active!$K24,)</f>
        <v>0</v>
      </c>
      <c r="BQ136" s="338">
        <f>IF(Tech_Specs!$F23="Constant",Perform_Active!$K24,)</f>
        <v>0</v>
      </c>
      <c r="BR136" s="338">
        <f>IF(Tech_Specs!$F23="Constant",Perform_Active!$K24,)</f>
        <v>0</v>
      </c>
      <c r="BS136" s="338">
        <f>IF(Tech_Specs!$F23="Constant",Perform_Active!$K24,)</f>
        <v>0</v>
      </c>
      <c r="BT136" s="338">
        <f>IF(Tech_Specs!$F23="Constant",Perform_Active!$K24,)</f>
        <v>0</v>
      </c>
      <c r="BU136" s="338">
        <f>IF(Tech_Specs!$F23="Constant",Perform_Active!$K24,)</f>
        <v>0</v>
      </c>
      <c r="BV136" s="338">
        <f>IF(Tech_Specs!$F23="Constant",Perform_Active!$K24,)</f>
        <v>0</v>
      </c>
      <c r="BW136" s="338">
        <f>IF(Tech_Specs!$F23="Constant",Perform_Active!$K24,)</f>
        <v>0</v>
      </c>
      <c r="BX136" s="338">
        <f>IF(Tech_Specs!$F23="Constant",Perform_Active!$K24,)</f>
        <v>0</v>
      </c>
      <c r="BY136" s="338">
        <f>IF(Tech_Specs!$F23="Constant",Perform_Active!$K24,)</f>
        <v>0</v>
      </c>
      <c r="BZ136" s="338">
        <f>IF(Tech_Specs!$F23="Constant",Perform_Active!$K24,)</f>
        <v>0</v>
      </c>
      <c r="CA136" s="338">
        <f>IF(Tech_Specs!$F23="Constant",Perform_Active!$K24,)</f>
        <v>0</v>
      </c>
      <c r="CB136" s="338">
        <f>IF(Tech_Specs!$F23="Constant",Perform_Active!$K24,)</f>
        <v>0</v>
      </c>
      <c r="CC136" s="338">
        <f>IF(Tech_Specs!$F23="Constant",Perform_Active!$K24,)</f>
        <v>0</v>
      </c>
      <c r="CD136" s="338">
        <f>IF(Tech_Specs!$F23="Constant",Perform_Active!$K24,)</f>
        <v>0</v>
      </c>
      <c r="CE136" s="338">
        <f>IF(Tech_Specs!$F23="Constant",Perform_Active!$K24,)</f>
        <v>0</v>
      </c>
      <c r="CF136" s="338">
        <f>IF(Tech_Specs!$F23="Constant",Perform_Active!$K24,)</f>
        <v>0</v>
      </c>
      <c r="CG136" s="338">
        <f>IF(Tech_Specs!$F23="Constant",Perform_Active!$K24,)</f>
        <v>0</v>
      </c>
      <c r="CH136" s="338">
        <f>IF(Tech_Specs!$F23="Constant",Perform_Active!$K24,)</f>
        <v>0</v>
      </c>
      <c r="CJ136" s="625">
        <f>IF(AND(Tech_Specs!$F23="step",Standards_Active!$S24="yes"),IF(ISNUMBER(Standards_Active!$W24),IF(CJ$120&gt;=Standards_Active!$R24,Standards_Active!$W24,IF(CJ$120&lt;Standards_Active!$Q24,Perform_Active!$K24,(Standards_Active!$W24-Perform_Active!$K24)/(Standards_Active!$R24-(Standards_Active!$Q24-1))+CI136)),Perform_Active!$K24),)</f>
        <v>0</v>
      </c>
      <c r="CK136" s="625">
        <f>IF(AND(Tech_Specs!$F23="step",Standards_Active!$S24="yes"),IF(ISNUMBER(Standards_Active!$W24),IF(CK$120&gt;=Standards_Active!$R24,Standards_Active!$W24,IF(CK$120&lt;Standards_Active!$Q24,Perform_Active!$K24,(Standards_Active!$W24-Perform_Active!$K24)/(Standards_Active!$R24-(Standards_Active!$Q24-1))+CJ136)),Perform_Active!$K24),)</f>
        <v>0</v>
      </c>
      <c r="CL136" s="625">
        <f>IF(AND(Tech_Specs!$F23="step",Standards_Active!$S24="yes"),IF(ISNUMBER(Standards_Active!$W24),IF(CL$120&gt;=Standards_Active!$R24,Standards_Active!$W24,IF(CL$120&lt;Standards_Active!$Q24,Perform_Active!$K24,(Standards_Active!$W24-Perform_Active!$K24)/(Standards_Active!$R24-(Standards_Active!$Q24-1))+CK136)),Perform_Active!$K24),)</f>
        <v>0</v>
      </c>
      <c r="CM136" s="625">
        <f>IF(AND(Tech_Specs!$F23="step",Standards_Active!$S24="yes"),IF(ISNUMBER(Standards_Active!$W24),IF(CM$120&gt;=Standards_Active!$R24,Standards_Active!$W24,IF(CM$120&lt;Standards_Active!$Q24,Perform_Active!$K24,(Standards_Active!$W24-Perform_Active!$K24)/(Standards_Active!$R24-(Standards_Active!$Q24-1))+CL136)),Perform_Active!$K24),)</f>
        <v>0</v>
      </c>
      <c r="CN136" s="625">
        <f>IF(AND(Tech_Specs!$F23="step",Standards_Active!$S24="yes"),IF(ISNUMBER(Standards_Active!$W24),IF(CN$120&gt;=Standards_Active!$R24,Standards_Active!$W24,IF(CN$120&lt;Standards_Active!$Q24,Perform_Active!$K24,(Standards_Active!$W24-Perform_Active!$K24)/(Standards_Active!$R24-(Standards_Active!$Q24-1))+CM136)),Perform_Active!$K24),)</f>
        <v>0</v>
      </c>
      <c r="CO136" s="625">
        <f>IF(AND(Tech_Specs!$F23="step",Standards_Active!$S24="yes"),IF(ISNUMBER(Standards_Active!$W24),IF(CO$120&gt;=Standards_Active!$R24,Standards_Active!$W24,IF(CO$120&lt;Standards_Active!$Q24,Perform_Active!$K24,(Standards_Active!$W24-Perform_Active!$K24)/(Standards_Active!$R24-(Standards_Active!$Q24-1))+CN136)),Perform_Active!$K24),)</f>
        <v>0</v>
      </c>
      <c r="CP136" s="625">
        <f>IF(AND(Tech_Specs!$F23="step",Standards_Active!$S24="yes"),IF(ISNUMBER(Standards_Active!$W24),IF(CP$120&gt;=Standards_Active!$R24,Standards_Active!$W24,IF(CP$120&lt;Standards_Active!$Q24,Perform_Active!$K24,(Standards_Active!$W24-Perform_Active!$K24)/(Standards_Active!$R24-(Standards_Active!$Q24-1))+CO136)),Perform_Active!$K24),)</f>
        <v>0</v>
      </c>
      <c r="CQ136" s="625">
        <f>IF(AND(Tech_Specs!$F23="step",Standards_Active!$S24="yes"),IF(ISNUMBER(Standards_Active!$W24),IF(CQ$120&gt;=Standards_Active!$R24,Standards_Active!$W24,IF(CQ$120&lt;Standards_Active!$Q24,Perform_Active!$K24,(Standards_Active!$W24-Perform_Active!$K24)/(Standards_Active!$R24-(Standards_Active!$Q24-1))+CP136)),Perform_Active!$K24),)</f>
        <v>0</v>
      </c>
      <c r="CR136" s="625">
        <f>IF(AND(Tech_Specs!$F23="step",Standards_Active!$S24="yes"),IF(ISNUMBER(Standards_Active!$W24),IF(CR$120&gt;=Standards_Active!$R24,Standards_Active!$W24,IF(CR$120&lt;Standards_Active!$Q24,Perform_Active!$K24,(Standards_Active!$W24-Perform_Active!$K24)/(Standards_Active!$R24-(Standards_Active!$Q24-1))+CQ136)),Perform_Active!$K24),)</f>
        <v>0</v>
      </c>
      <c r="CS136" s="625">
        <f>IF(AND(Tech_Specs!$F23="step",Standards_Active!$S24="yes"),IF(ISNUMBER(Standards_Active!$W24),IF(CS$120&gt;=Standards_Active!$R24,Standards_Active!$W24,IF(CS$120&lt;Standards_Active!$Q24,Perform_Active!$K24,(Standards_Active!$W24-Perform_Active!$K24)/(Standards_Active!$R24-(Standards_Active!$Q24-1))+CR136)),Perform_Active!$K24),)</f>
        <v>0</v>
      </c>
      <c r="CT136" s="625">
        <f>IF(AND(Tech_Specs!$F23="step",Standards_Active!$S24="yes"),IF(ISNUMBER(Standards_Active!$W24),IF(CT$120&gt;=Standards_Active!$R24,Standards_Active!$W24,IF(CT$120&lt;Standards_Active!$Q24,Perform_Active!$K24,(Standards_Active!$W24-Perform_Active!$K24)/(Standards_Active!$R24-(Standards_Active!$Q24-1))+CS136)),Perform_Active!$K24),)</f>
        <v>0</v>
      </c>
      <c r="CU136" s="625">
        <f>IF(AND(Tech_Specs!$F23="step",Standards_Active!$S24="yes"),IF(ISNUMBER(Standards_Active!$W24),IF(CU$120&gt;=Standards_Active!$R24,Standards_Active!$W24,IF(CU$120&lt;Standards_Active!$Q24,Perform_Active!$K24,(Standards_Active!$W24-Perform_Active!$K24)/(Standards_Active!$R24-(Standards_Active!$Q24-1))+CT136)),Perform_Active!$K24),)</f>
        <v>0</v>
      </c>
      <c r="CV136" s="625">
        <f>IF(AND(Tech_Specs!$F23="step",Standards_Active!$S24="yes"),IF(ISNUMBER(Standards_Active!$W24),IF(CV$120&gt;=Standards_Active!$R24,Standards_Active!$W24,IF(CV$120&lt;Standards_Active!$Q24,Perform_Active!$K24,(Standards_Active!$W24-Perform_Active!$K24)/(Standards_Active!$R24-(Standards_Active!$Q24-1))+CU136)),Perform_Active!$K24),)</f>
        <v>0</v>
      </c>
      <c r="CW136" s="625">
        <f>IF(AND(Tech_Specs!$F23="step",Standards_Active!$S24="yes"),IF(ISNUMBER(Standards_Active!$W24),IF(CW$120&gt;=Standards_Active!$R24,Standards_Active!$W24,IF(CW$120&lt;Standards_Active!$Q24,Perform_Active!$K24,(Standards_Active!$W24-Perform_Active!$K24)/(Standards_Active!$R24-(Standards_Active!$Q24-1))+CV136)),Perform_Active!$K24),)</f>
        <v>0</v>
      </c>
      <c r="CX136" s="625">
        <f>IF(AND(Tech_Specs!$F23="step",Standards_Active!$S24="yes"),IF(ISNUMBER(Standards_Active!$W24),IF(CX$120&gt;=Standards_Active!$R24,Standards_Active!$W24,IF(CX$120&lt;Standards_Active!$Q24,Perform_Active!$K24,(Standards_Active!$W24-Perform_Active!$K24)/(Standards_Active!$R24-(Standards_Active!$Q24-1))+CW136)),Perform_Active!$K24),)</f>
        <v>0</v>
      </c>
      <c r="CY136" s="625">
        <f>IF(AND(Tech_Specs!$F23="step",Standards_Active!$S24="yes"),IF(ISNUMBER(Standards_Active!$W24),IF(CY$120&gt;=Standards_Active!$R24,Standards_Active!$W24,IF(CY$120&lt;Standards_Active!$Q24,Perform_Active!$K24,(Standards_Active!$W24-Perform_Active!$K24)/(Standards_Active!$R24-(Standards_Active!$Q24-1))+CX136)),Perform_Active!$K24),)</f>
        <v>0</v>
      </c>
      <c r="CZ136" s="625">
        <f>IF(AND(Tech_Specs!$F23="step",Standards_Active!$S24="yes"),IF(ISNUMBER(Standards_Active!$W24),IF(CZ$120&gt;=Standards_Active!$R24,Standards_Active!$W24,IF(CZ$120&lt;Standards_Active!$Q24,Perform_Active!$K24,(Standards_Active!$W24-Perform_Active!$K24)/(Standards_Active!$R24-(Standards_Active!$Q24-1))+CY136)),Perform_Active!$K24),)</f>
        <v>0</v>
      </c>
      <c r="DA136" s="625">
        <f>IF(AND(Tech_Specs!$F23="step",Standards_Active!$S24="yes"),IF(ISNUMBER(Standards_Active!$W24),IF(DA$120&gt;=Standards_Active!$R24,Standards_Active!$W24,IF(DA$120&lt;Standards_Active!$Q24,Perform_Active!$K24,(Standards_Active!$W24-Perform_Active!$K24)/(Standards_Active!$R24-(Standards_Active!$Q24-1))+CZ136)),Perform_Active!$K24),)</f>
        <v>0</v>
      </c>
      <c r="DB136" s="625">
        <f>IF(AND(Tech_Specs!$F23="step",Standards_Active!$S24="yes"),IF(ISNUMBER(Standards_Active!$W24),IF(DB$120&gt;=Standards_Active!$R24,Standards_Active!$W24,IF(DB$120&lt;Standards_Active!$Q24,Perform_Active!$K24,(Standards_Active!$W24-Perform_Active!$K24)/(Standards_Active!$R24-(Standards_Active!$Q24-1))+DA136)),Perform_Active!$K24),)</f>
        <v>0</v>
      </c>
      <c r="DC136" s="625">
        <f>IF(AND(Tech_Specs!$F23="step",Standards_Active!$S24="yes"),IF(ISNUMBER(Standards_Active!$W24),IF(DC$120&gt;=Standards_Active!$R24,Standards_Active!$W24,IF(DC$120&lt;Standards_Active!$Q24,Perform_Active!$K24,(Standards_Active!$W24-Perform_Active!$K24)/(Standards_Active!$R24-(Standards_Active!$Q24-1))+DB136)),Perform_Active!$K24),)</f>
        <v>0</v>
      </c>
      <c r="DD136" s="625">
        <f>IF(AND(Tech_Specs!$F23="step",Standards_Active!$S24="yes"),IF(ISNUMBER(Standards_Active!$W24),IF(DD$120&gt;=Standards_Active!$R24,Standards_Active!$W24,IF(DD$120&lt;Standards_Active!$Q24,Perform_Active!$K24,(Standards_Active!$W24-Perform_Active!$K24)/(Standards_Active!$R24-(Standards_Active!$Q24-1))+DC136)),Perform_Active!$K24),)</f>
        <v>0</v>
      </c>
      <c r="DE136" s="625">
        <f>IF(AND(Tech_Specs!$F23="step",Standards_Active!$S24="yes"),IF(ISNUMBER(Standards_Active!$W24),IF(DE$120&gt;=Standards_Active!$R24,Standards_Active!$W24,IF(DE$120&lt;Standards_Active!$Q24,Perform_Active!$K24,(Standards_Active!$W24-Perform_Active!$K24)/(Standards_Active!$R24-(Standards_Active!$Q24-1))+DD136)),Perform_Active!$K24),)</f>
        <v>0</v>
      </c>
      <c r="DF136" s="625">
        <f>IF(AND(Tech_Specs!$F23="step",Standards_Active!$S24="yes"),IF(ISNUMBER(Standards_Active!$W24),IF(DF$120&gt;=Standards_Active!$R24,Standards_Active!$W24,IF(DF$120&lt;Standards_Active!$Q24,Perform_Active!$K24,(Standards_Active!$W24-Perform_Active!$K24)/(Standards_Active!$R24-(Standards_Active!$Q24-1))+DE136)),Perform_Active!$K24),)</f>
        <v>0</v>
      </c>
      <c r="DG136" s="625">
        <f>IF(AND(Tech_Specs!$F23="step",Standards_Active!$S24="yes"),IF(ISNUMBER(Standards_Active!$W24),IF(DG$120&gt;=Standards_Active!$R24,Standards_Active!$W24,IF(DG$120&lt;Standards_Active!$Q24,Perform_Active!$K24,(Standards_Active!$W24-Perform_Active!$K24)/(Standards_Active!$R24-(Standards_Active!$Q24-1))+DF136)),Perform_Active!$K24),)</f>
        <v>0</v>
      </c>
      <c r="DH136" s="625">
        <f>IF(AND(Tech_Specs!$F23="step",Standards_Active!$S24="yes"),IF(ISNUMBER(Standards_Active!$W24),IF(DH$120&gt;=Standards_Active!$R24,Standards_Active!$W24,IF(DH$120&lt;Standards_Active!$Q24,Perform_Active!$K24,(Standards_Active!$W24-Perform_Active!$K24)/(Standards_Active!$R24-(Standards_Active!$Q24-1))+DG136)),Perform_Active!$K24),)</f>
        <v>0</v>
      </c>
      <c r="DI136" s="625">
        <f>IF(AND(Tech_Specs!$F23="step",Standards_Active!$S24="yes"),IF(ISNUMBER(Standards_Active!$W24),IF(DI$120&gt;=Standards_Active!$R24,Standards_Active!$W24,IF(DI$120&lt;Standards_Active!$Q24,Perform_Active!$K24,(Standards_Active!$W24-Perform_Active!$K24)/(Standards_Active!$R24-(Standards_Active!$Q24-1))+DH136)),Perform_Active!$K24),)</f>
        <v>0</v>
      </c>
    </row>
    <row r="137" spans="1:113" s="81" customFormat="1" ht="12.6" x14ac:dyDescent="0.25">
      <c r="B137" s="81" t="s">
        <v>29</v>
      </c>
      <c r="D137" s="550"/>
      <c r="E137" s="550"/>
      <c r="F137" s="550"/>
      <c r="G137" s="895">
        <f t="shared" si="42"/>
        <v>1</v>
      </c>
      <c r="H137" s="895">
        <f t="shared" si="42"/>
        <v>1</v>
      </c>
      <c r="I137" s="895">
        <f t="shared" si="42"/>
        <v>1</v>
      </c>
      <c r="J137" s="895">
        <f t="shared" si="42"/>
        <v>1</v>
      </c>
      <c r="K137" s="895">
        <f t="shared" si="42"/>
        <v>1</v>
      </c>
      <c r="L137" s="895">
        <f t="shared" si="42"/>
        <v>1</v>
      </c>
      <c r="M137" s="895">
        <f t="shared" si="42"/>
        <v>1</v>
      </c>
      <c r="N137" s="895">
        <f t="shared" si="42"/>
        <v>1</v>
      </c>
      <c r="O137" s="895">
        <f t="shared" si="42"/>
        <v>1</v>
      </c>
      <c r="P137" s="895">
        <f t="shared" si="42"/>
        <v>1</v>
      </c>
      <c r="Q137" s="895">
        <f t="shared" si="43"/>
        <v>1</v>
      </c>
      <c r="R137" s="895">
        <f t="shared" si="43"/>
        <v>1</v>
      </c>
      <c r="S137" s="895">
        <f t="shared" si="43"/>
        <v>1</v>
      </c>
      <c r="T137" s="895">
        <f t="shared" si="43"/>
        <v>1</v>
      </c>
      <c r="U137" s="895">
        <f t="shared" si="43"/>
        <v>1</v>
      </c>
      <c r="V137" s="895">
        <f t="shared" si="43"/>
        <v>1</v>
      </c>
      <c r="W137" s="895">
        <f t="shared" si="43"/>
        <v>1</v>
      </c>
      <c r="X137" s="895">
        <f t="shared" si="43"/>
        <v>1</v>
      </c>
      <c r="Y137" s="895">
        <f t="shared" si="43"/>
        <v>1</v>
      </c>
      <c r="Z137" s="895">
        <f t="shared" si="43"/>
        <v>1</v>
      </c>
      <c r="AA137" s="895">
        <f t="shared" si="44"/>
        <v>1</v>
      </c>
      <c r="AB137" s="895">
        <f t="shared" si="44"/>
        <v>1</v>
      </c>
      <c r="AC137" s="895">
        <f t="shared" si="44"/>
        <v>1</v>
      </c>
      <c r="AD137" s="895">
        <f t="shared" si="44"/>
        <v>1</v>
      </c>
      <c r="AE137" s="895">
        <f t="shared" si="44"/>
        <v>1</v>
      </c>
      <c r="AF137" s="895">
        <f t="shared" si="44"/>
        <v>1</v>
      </c>
      <c r="AH137" s="405">
        <f>IF(Tech_Specs!$F24="linear",TREND(Perform_Active!$K25:$L25,Perform_Active!$K$8:$L$8,AH$120),)</f>
        <v>0</v>
      </c>
      <c r="AI137" s="405">
        <f>IF(Tech_Specs!$F24="linear",TREND(Perform_Active!$K25:$L25,Perform_Active!$K$8:$L$8,AI$120),)</f>
        <v>0</v>
      </c>
      <c r="AJ137" s="405">
        <f>IF(Tech_Specs!$F24="linear",TREND(Perform_Active!$K25:$L25,Perform_Active!$K$8:$L$8,AJ$120),)</f>
        <v>0</v>
      </c>
      <c r="AK137" s="405">
        <f>IF(Tech_Specs!$F24="linear",TREND(Perform_Active!$K25:$L25,Perform_Active!$K$8:$L$8,AK$120),)</f>
        <v>0</v>
      </c>
      <c r="AL137" s="405">
        <f>IF(Tech_Specs!$F24="linear",TREND(Perform_Active!$K25:$L25,Perform_Active!$K$8:$L$8,AL$120),)</f>
        <v>0</v>
      </c>
      <c r="AM137" s="405">
        <f>IF(Tech_Specs!$F24="linear",TREND(Perform_Active!$K25:$L25,Perform_Active!$K$8:$L$8,AM$120),)</f>
        <v>0</v>
      </c>
      <c r="AN137" s="405">
        <f>IF(Tech_Specs!$F24="linear",TREND(Perform_Active!$K25:$L25,Perform_Active!$K$8:$L$8,AN$120),)</f>
        <v>0</v>
      </c>
      <c r="AO137" s="405">
        <f>IF(Tech_Specs!$F24="linear",TREND(Perform_Active!$K25:$L25,Perform_Active!$K$8:$L$8,AO$120),)</f>
        <v>0</v>
      </c>
      <c r="AP137" s="405">
        <f>IF(Tech_Specs!$F24="linear",TREND(Perform_Active!$K25:$L25,Perform_Active!$K$8:$L$8,AP$120),)</f>
        <v>0</v>
      </c>
      <c r="AQ137" s="405">
        <f>IF(Tech_Specs!$F24="linear",TREND(Perform_Active!$K25:$L25,Perform_Active!$K$8:$L$8,AQ$120),)</f>
        <v>0</v>
      </c>
      <c r="AR137" s="405">
        <f>IF(Tech_Specs!$F24="linear",TREND(Perform_Active!$K25:$L25,Perform_Active!$K$8:$L$8,AR$120),)</f>
        <v>0</v>
      </c>
      <c r="AS137" s="405">
        <f>IF(Tech_Specs!$F24="linear",TREND(Perform_Active!$K25:$L25,Perform_Active!$K$8:$L$8,AS$120),)</f>
        <v>0</v>
      </c>
      <c r="AT137" s="405">
        <f>IF(Tech_Specs!$F24="linear",TREND(Perform_Active!$K25:$L25,Perform_Active!$K$8:$L$8,AT$120),)</f>
        <v>0</v>
      </c>
      <c r="AU137" s="405">
        <f>IF(Tech_Specs!$F24="linear",TREND(Perform_Active!$K25:$L25,Perform_Active!$K$8:$L$8,AU$120),)</f>
        <v>0</v>
      </c>
      <c r="AV137" s="405">
        <f>IF(Tech_Specs!$F24="linear",TREND(Perform_Active!$K25:$L25,Perform_Active!$K$8:$L$8,AV$120),)</f>
        <v>0</v>
      </c>
      <c r="AW137" s="405">
        <f>IF(Tech_Specs!$F24="linear",TREND(Perform_Active!$K25:$L25,Perform_Active!$K$8:$L$8,AW$120),)</f>
        <v>0</v>
      </c>
      <c r="AX137" s="405">
        <f>IF(Tech_Specs!$F24="linear",TREND(Perform_Active!$K25:$L25,Perform_Active!$K$8:$L$8,AX$120),)</f>
        <v>0</v>
      </c>
      <c r="AY137" s="405">
        <f>IF(Tech_Specs!$F24="linear",TREND(Perform_Active!$K25:$L25,Perform_Active!$K$8:$L$8,AY$120),)</f>
        <v>0</v>
      </c>
      <c r="AZ137" s="405">
        <f>IF(Tech_Specs!$F24="linear",TREND(Perform_Active!$K25:$L25,Perform_Active!$K$8:$L$8,AZ$120),)</f>
        <v>0</v>
      </c>
      <c r="BA137" s="405">
        <f>IF(Tech_Specs!$F24="linear",TREND(Perform_Active!$K25:$L25,Perform_Active!$K$8:$L$8,BA$120),)</f>
        <v>0</v>
      </c>
      <c r="BB137" s="405">
        <f>IF(Tech_Specs!$F24="linear",TREND(Perform_Active!$K25:$L25,Perform_Active!$K$8:$L$8,BB$120),)</f>
        <v>0</v>
      </c>
      <c r="BC137" s="405">
        <f>IF(Tech_Specs!$F24="linear",TREND(Perform_Active!$K25:$L25,Perform_Active!$K$8:$L$8,BC$120),)</f>
        <v>0</v>
      </c>
      <c r="BD137" s="405">
        <f>IF(Tech_Specs!$F24="linear",TREND(Perform_Active!$K25:$L25,Perform_Active!$K$8:$L$8,BD$120),)</f>
        <v>0</v>
      </c>
      <c r="BE137" s="405">
        <f>IF(Tech_Specs!$F24="linear",TREND(Perform_Active!$K25:$L25,Perform_Active!$K$8:$L$8,BE$120),)</f>
        <v>0</v>
      </c>
      <c r="BF137" s="405">
        <f>IF(Tech_Specs!$F24="linear",TREND(Perform_Active!$K25:$L25,Perform_Active!$K$8:$L$8,BF$120),)</f>
        <v>0</v>
      </c>
      <c r="BG137" s="405">
        <f>IF(Tech_Specs!$F24="linear",TREND(Perform_Active!$K25:$L25,Perform_Active!$K$8:$L$8,BG$120),)</f>
        <v>0</v>
      </c>
      <c r="BI137" s="338">
        <f>IF(Tech_Specs!$F24="Constant",Perform_Active!$K25,)</f>
        <v>1</v>
      </c>
      <c r="BJ137" s="338">
        <f>IF(Tech_Specs!$F24="Constant",Perform_Active!$K25,)</f>
        <v>1</v>
      </c>
      <c r="BK137" s="338">
        <f>IF(Tech_Specs!$F24="Constant",Perform_Active!$K25,)</f>
        <v>1</v>
      </c>
      <c r="BL137" s="338">
        <f>IF(Tech_Specs!$F24="Constant",Perform_Active!$K25,)</f>
        <v>1</v>
      </c>
      <c r="BM137" s="338">
        <f>IF(Tech_Specs!$F24="Constant",Perform_Active!$K25,)</f>
        <v>1</v>
      </c>
      <c r="BN137" s="338">
        <f>IF(Tech_Specs!$F24="Constant",Perform_Active!$K25,)</f>
        <v>1</v>
      </c>
      <c r="BO137" s="338">
        <f>IF(Tech_Specs!$F24="Constant",Perform_Active!$K25,)</f>
        <v>1</v>
      </c>
      <c r="BP137" s="338">
        <f>IF(Tech_Specs!$F24="Constant",Perform_Active!$K25,)</f>
        <v>1</v>
      </c>
      <c r="BQ137" s="338">
        <f>IF(Tech_Specs!$F24="Constant",Perform_Active!$K25,)</f>
        <v>1</v>
      </c>
      <c r="BR137" s="338">
        <f>IF(Tech_Specs!$F24="Constant",Perform_Active!$K25,)</f>
        <v>1</v>
      </c>
      <c r="BS137" s="338">
        <f>IF(Tech_Specs!$F24="Constant",Perform_Active!$K25,)</f>
        <v>1</v>
      </c>
      <c r="BT137" s="338">
        <f>IF(Tech_Specs!$F24="Constant",Perform_Active!$K25,)</f>
        <v>1</v>
      </c>
      <c r="BU137" s="338">
        <f>IF(Tech_Specs!$F24="Constant",Perform_Active!$K25,)</f>
        <v>1</v>
      </c>
      <c r="BV137" s="338">
        <f>IF(Tech_Specs!$F24="Constant",Perform_Active!$K25,)</f>
        <v>1</v>
      </c>
      <c r="BW137" s="338">
        <f>IF(Tech_Specs!$F24="Constant",Perform_Active!$K25,)</f>
        <v>1</v>
      </c>
      <c r="BX137" s="338">
        <f>IF(Tech_Specs!$F24="Constant",Perform_Active!$K25,)</f>
        <v>1</v>
      </c>
      <c r="BY137" s="338">
        <f>IF(Tech_Specs!$F24="Constant",Perform_Active!$K25,)</f>
        <v>1</v>
      </c>
      <c r="BZ137" s="338">
        <f>IF(Tech_Specs!$F24="Constant",Perform_Active!$K25,)</f>
        <v>1</v>
      </c>
      <c r="CA137" s="338">
        <f>IF(Tech_Specs!$F24="Constant",Perform_Active!$K25,)</f>
        <v>1</v>
      </c>
      <c r="CB137" s="338">
        <f>IF(Tech_Specs!$F24="Constant",Perform_Active!$K25,)</f>
        <v>1</v>
      </c>
      <c r="CC137" s="338">
        <f>IF(Tech_Specs!$F24="Constant",Perform_Active!$K25,)</f>
        <v>1</v>
      </c>
      <c r="CD137" s="338">
        <f>IF(Tech_Specs!$F24="Constant",Perform_Active!$K25,)</f>
        <v>1</v>
      </c>
      <c r="CE137" s="338">
        <f>IF(Tech_Specs!$F24="Constant",Perform_Active!$K25,)</f>
        <v>1</v>
      </c>
      <c r="CF137" s="338">
        <f>IF(Tech_Specs!$F24="Constant",Perform_Active!$K25,)</f>
        <v>1</v>
      </c>
      <c r="CG137" s="338">
        <f>IF(Tech_Specs!$F24="Constant",Perform_Active!$K25,)</f>
        <v>1</v>
      </c>
      <c r="CH137" s="338">
        <f>IF(Tech_Specs!$F24="Constant",Perform_Active!$K25,)</f>
        <v>1</v>
      </c>
      <c r="CJ137" s="625">
        <f>IF(AND(Tech_Specs!$F24="step",Standards_Active!$S25="yes"),IF(ISNUMBER(Standards_Active!$W25),IF(CJ$120&gt;=Standards_Active!$R25,Standards_Active!$W25,IF(CJ$120&lt;Standards_Active!$Q25,Perform_Active!$K25,(Standards_Active!$W25-Perform_Active!$K25)/(Standards_Active!$R25-(Standards_Active!$Q25-1))+CI137)),Perform_Active!$K25),)</f>
        <v>0</v>
      </c>
      <c r="CK137" s="625">
        <f>IF(AND(Tech_Specs!$F24="step",Standards_Active!$S25="yes"),IF(ISNUMBER(Standards_Active!$W25),IF(CK$120&gt;=Standards_Active!$R25,Standards_Active!$W25,IF(CK$120&lt;Standards_Active!$Q25,Perform_Active!$K25,(Standards_Active!$W25-Perform_Active!$K25)/(Standards_Active!$R25-(Standards_Active!$Q25-1))+CJ137)),Perform_Active!$K25),)</f>
        <v>0</v>
      </c>
      <c r="CL137" s="625">
        <f>IF(AND(Tech_Specs!$F24="step",Standards_Active!$S25="yes"),IF(ISNUMBER(Standards_Active!$W25),IF(CL$120&gt;=Standards_Active!$R25,Standards_Active!$W25,IF(CL$120&lt;Standards_Active!$Q25,Perform_Active!$K25,(Standards_Active!$W25-Perform_Active!$K25)/(Standards_Active!$R25-(Standards_Active!$Q25-1))+CK137)),Perform_Active!$K25),)</f>
        <v>0</v>
      </c>
      <c r="CM137" s="625">
        <f>IF(AND(Tech_Specs!$F24="step",Standards_Active!$S25="yes"),IF(ISNUMBER(Standards_Active!$W25),IF(CM$120&gt;=Standards_Active!$R25,Standards_Active!$W25,IF(CM$120&lt;Standards_Active!$Q25,Perform_Active!$K25,(Standards_Active!$W25-Perform_Active!$K25)/(Standards_Active!$R25-(Standards_Active!$Q25-1))+CL137)),Perform_Active!$K25),)</f>
        <v>0</v>
      </c>
      <c r="CN137" s="625">
        <f>IF(AND(Tech_Specs!$F24="step",Standards_Active!$S25="yes"),IF(ISNUMBER(Standards_Active!$W25),IF(CN$120&gt;=Standards_Active!$R25,Standards_Active!$W25,IF(CN$120&lt;Standards_Active!$Q25,Perform_Active!$K25,(Standards_Active!$W25-Perform_Active!$K25)/(Standards_Active!$R25-(Standards_Active!$Q25-1))+CM137)),Perform_Active!$K25),)</f>
        <v>0</v>
      </c>
      <c r="CO137" s="625">
        <f>IF(AND(Tech_Specs!$F24="step",Standards_Active!$S25="yes"),IF(ISNUMBER(Standards_Active!$W25),IF(CO$120&gt;=Standards_Active!$R25,Standards_Active!$W25,IF(CO$120&lt;Standards_Active!$Q25,Perform_Active!$K25,(Standards_Active!$W25-Perform_Active!$K25)/(Standards_Active!$R25-(Standards_Active!$Q25-1))+CN137)),Perform_Active!$K25),)</f>
        <v>0</v>
      </c>
      <c r="CP137" s="625">
        <f>IF(AND(Tech_Specs!$F24="step",Standards_Active!$S25="yes"),IF(ISNUMBER(Standards_Active!$W25),IF(CP$120&gt;=Standards_Active!$R25,Standards_Active!$W25,IF(CP$120&lt;Standards_Active!$Q25,Perform_Active!$K25,(Standards_Active!$W25-Perform_Active!$K25)/(Standards_Active!$R25-(Standards_Active!$Q25-1))+CO137)),Perform_Active!$K25),)</f>
        <v>0</v>
      </c>
      <c r="CQ137" s="625">
        <f>IF(AND(Tech_Specs!$F24="step",Standards_Active!$S25="yes"),IF(ISNUMBER(Standards_Active!$W25),IF(CQ$120&gt;=Standards_Active!$R25,Standards_Active!$W25,IF(CQ$120&lt;Standards_Active!$Q25,Perform_Active!$K25,(Standards_Active!$W25-Perform_Active!$K25)/(Standards_Active!$R25-(Standards_Active!$Q25-1))+CP137)),Perform_Active!$K25),)</f>
        <v>0</v>
      </c>
      <c r="CR137" s="625">
        <f>IF(AND(Tech_Specs!$F24="step",Standards_Active!$S25="yes"),IF(ISNUMBER(Standards_Active!$W25),IF(CR$120&gt;=Standards_Active!$R25,Standards_Active!$W25,IF(CR$120&lt;Standards_Active!$Q25,Perform_Active!$K25,(Standards_Active!$W25-Perform_Active!$K25)/(Standards_Active!$R25-(Standards_Active!$Q25-1))+CQ137)),Perform_Active!$K25),)</f>
        <v>0</v>
      </c>
      <c r="CS137" s="625">
        <f>IF(AND(Tech_Specs!$F24="step",Standards_Active!$S25="yes"),IF(ISNUMBER(Standards_Active!$W25),IF(CS$120&gt;=Standards_Active!$R25,Standards_Active!$W25,IF(CS$120&lt;Standards_Active!$Q25,Perform_Active!$K25,(Standards_Active!$W25-Perform_Active!$K25)/(Standards_Active!$R25-(Standards_Active!$Q25-1))+CR137)),Perform_Active!$K25),)</f>
        <v>0</v>
      </c>
      <c r="CT137" s="625">
        <f>IF(AND(Tech_Specs!$F24="step",Standards_Active!$S25="yes"),IF(ISNUMBER(Standards_Active!$W25),IF(CT$120&gt;=Standards_Active!$R25,Standards_Active!$W25,IF(CT$120&lt;Standards_Active!$Q25,Perform_Active!$K25,(Standards_Active!$W25-Perform_Active!$K25)/(Standards_Active!$R25-(Standards_Active!$Q25-1))+CS137)),Perform_Active!$K25),)</f>
        <v>0</v>
      </c>
      <c r="CU137" s="625">
        <f>IF(AND(Tech_Specs!$F24="step",Standards_Active!$S25="yes"),IF(ISNUMBER(Standards_Active!$W25),IF(CU$120&gt;=Standards_Active!$R25,Standards_Active!$W25,IF(CU$120&lt;Standards_Active!$Q25,Perform_Active!$K25,(Standards_Active!$W25-Perform_Active!$K25)/(Standards_Active!$R25-(Standards_Active!$Q25-1))+CT137)),Perform_Active!$K25),)</f>
        <v>0</v>
      </c>
      <c r="CV137" s="625">
        <f>IF(AND(Tech_Specs!$F24="step",Standards_Active!$S25="yes"),IF(ISNUMBER(Standards_Active!$W25),IF(CV$120&gt;=Standards_Active!$R25,Standards_Active!$W25,IF(CV$120&lt;Standards_Active!$Q25,Perform_Active!$K25,(Standards_Active!$W25-Perform_Active!$K25)/(Standards_Active!$R25-(Standards_Active!$Q25-1))+CU137)),Perform_Active!$K25),)</f>
        <v>0</v>
      </c>
      <c r="CW137" s="625">
        <f>IF(AND(Tech_Specs!$F24="step",Standards_Active!$S25="yes"),IF(ISNUMBER(Standards_Active!$W25),IF(CW$120&gt;=Standards_Active!$R25,Standards_Active!$W25,IF(CW$120&lt;Standards_Active!$Q25,Perform_Active!$K25,(Standards_Active!$W25-Perform_Active!$K25)/(Standards_Active!$R25-(Standards_Active!$Q25-1))+CV137)),Perform_Active!$K25),)</f>
        <v>0</v>
      </c>
      <c r="CX137" s="625">
        <f>IF(AND(Tech_Specs!$F24="step",Standards_Active!$S25="yes"),IF(ISNUMBER(Standards_Active!$W25),IF(CX$120&gt;=Standards_Active!$R25,Standards_Active!$W25,IF(CX$120&lt;Standards_Active!$Q25,Perform_Active!$K25,(Standards_Active!$W25-Perform_Active!$K25)/(Standards_Active!$R25-(Standards_Active!$Q25-1))+CW137)),Perform_Active!$K25),)</f>
        <v>0</v>
      </c>
      <c r="CY137" s="625">
        <f>IF(AND(Tech_Specs!$F24="step",Standards_Active!$S25="yes"),IF(ISNUMBER(Standards_Active!$W25),IF(CY$120&gt;=Standards_Active!$R25,Standards_Active!$W25,IF(CY$120&lt;Standards_Active!$Q25,Perform_Active!$K25,(Standards_Active!$W25-Perform_Active!$K25)/(Standards_Active!$R25-(Standards_Active!$Q25-1))+CX137)),Perform_Active!$K25),)</f>
        <v>0</v>
      </c>
      <c r="CZ137" s="625">
        <f>IF(AND(Tech_Specs!$F24="step",Standards_Active!$S25="yes"),IF(ISNUMBER(Standards_Active!$W25),IF(CZ$120&gt;=Standards_Active!$R25,Standards_Active!$W25,IF(CZ$120&lt;Standards_Active!$Q25,Perform_Active!$K25,(Standards_Active!$W25-Perform_Active!$K25)/(Standards_Active!$R25-(Standards_Active!$Q25-1))+CY137)),Perform_Active!$K25),)</f>
        <v>0</v>
      </c>
      <c r="DA137" s="625">
        <f>IF(AND(Tech_Specs!$F24="step",Standards_Active!$S25="yes"),IF(ISNUMBER(Standards_Active!$W25),IF(DA$120&gt;=Standards_Active!$R25,Standards_Active!$W25,IF(DA$120&lt;Standards_Active!$Q25,Perform_Active!$K25,(Standards_Active!$W25-Perform_Active!$K25)/(Standards_Active!$R25-(Standards_Active!$Q25-1))+CZ137)),Perform_Active!$K25),)</f>
        <v>0</v>
      </c>
      <c r="DB137" s="625">
        <f>IF(AND(Tech_Specs!$F24="step",Standards_Active!$S25="yes"),IF(ISNUMBER(Standards_Active!$W25),IF(DB$120&gt;=Standards_Active!$R25,Standards_Active!$W25,IF(DB$120&lt;Standards_Active!$Q25,Perform_Active!$K25,(Standards_Active!$W25-Perform_Active!$K25)/(Standards_Active!$R25-(Standards_Active!$Q25-1))+DA137)),Perform_Active!$K25),)</f>
        <v>0</v>
      </c>
      <c r="DC137" s="625">
        <f>IF(AND(Tech_Specs!$F24="step",Standards_Active!$S25="yes"),IF(ISNUMBER(Standards_Active!$W25),IF(DC$120&gt;=Standards_Active!$R25,Standards_Active!$W25,IF(DC$120&lt;Standards_Active!$Q25,Perform_Active!$K25,(Standards_Active!$W25-Perform_Active!$K25)/(Standards_Active!$R25-(Standards_Active!$Q25-1))+DB137)),Perform_Active!$K25),)</f>
        <v>0</v>
      </c>
      <c r="DD137" s="625">
        <f>IF(AND(Tech_Specs!$F24="step",Standards_Active!$S25="yes"),IF(ISNUMBER(Standards_Active!$W25),IF(DD$120&gt;=Standards_Active!$R25,Standards_Active!$W25,IF(DD$120&lt;Standards_Active!$Q25,Perform_Active!$K25,(Standards_Active!$W25-Perform_Active!$K25)/(Standards_Active!$R25-(Standards_Active!$Q25-1))+DC137)),Perform_Active!$K25),)</f>
        <v>0</v>
      </c>
      <c r="DE137" s="625">
        <f>IF(AND(Tech_Specs!$F24="step",Standards_Active!$S25="yes"),IF(ISNUMBER(Standards_Active!$W25),IF(DE$120&gt;=Standards_Active!$R25,Standards_Active!$W25,IF(DE$120&lt;Standards_Active!$Q25,Perform_Active!$K25,(Standards_Active!$W25-Perform_Active!$K25)/(Standards_Active!$R25-(Standards_Active!$Q25-1))+DD137)),Perform_Active!$K25),)</f>
        <v>0</v>
      </c>
      <c r="DF137" s="625">
        <f>IF(AND(Tech_Specs!$F24="step",Standards_Active!$S25="yes"),IF(ISNUMBER(Standards_Active!$W25),IF(DF$120&gt;=Standards_Active!$R25,Standards_Active!$W25,IF(DF$120&lt;Standards_Active!$Q25,Perform_Active!$K25,(Standards_Active!$W25-Perform_Active!$K25)/(Standards_Active!$R25-(Standards_Active!$Q25-1))+DE137)),Perform_Active!$K25),)</f>
        <v>0</v>
      </c>
      <c r="DG137" s="625">
        <f>IF(AND(Tech_Specs!$F24="step",Standards_Active!$S25="yes"),IF(ISNUMBER(Standards_Active!$W25),IF(DG$120&gt;=Standards_Active!$R25,Standards_Active!$W25,IF(DG$120&lt;Standards_Active!$Q25,Perform_Active!$K25,(Standards_Active!$W25-Perform_Active!$K25)/(Standards_Active!$R25-(Standards_Active!$Q25-1))+DF137)),Perform_Active!$K25),)</f>
        <v>0</v>
      </c>
      <c r="DH137" s="625">
        <f>IF(AND(Tech_Specs!$F24="step",Standards_Active!$S25="yes"),IF(ISNUMBER(Standards_Active!$W25),IF(DH$120&gt;=Standards_Active!$R25,Standards_Active!$W25,IF(DH$120&lt;Standards_Active!$Q25,Perform_Active!$K25,(Standards_Active!$W25-Perform_Active!$K25)/(Standards_Active!$R25-(Standards_Active!$Q25-1))+DG137)),Perform_Active!$K25),)</f>
        <v>0</v>
      </c>
      <c r="DI137" s="625">
        <f>IF(AND(Tech_Specs!$F24="step",Standards_Active!$S25="yes"),IF(ISNUMBER(Standards_Active!$W25),IF(DI$120&gt;=Standards_Active!$R25,Standards_Active!$W25,IF(DI$120&lt;Standards_Active!$Q25,Perform_Active!$K25,(Standards_Active!$W25-Perform_Active!$K25)/(Standards_Active!$R25-(Standards_Active!$Q25-1))+DH137)),Perform_Active!$K25),)</f>
        <v>0</v>
      </c>
    </row>
    <row r="138" spans="1:113" s="81" customFormat="1" ht="12.6" x14ac:dyDescent="0.25">
      <c r="D138" s="550"/>
      <c r="E138" s="550"/>
      <c r="F138" s="550"/>
      <c r="G138" s="895"/>
      <c r="H138" s="895"/>
      <c r="I138" s="895"/>
      <c r="J138" s="895"/>
      <c r="K138" s="895"/>
      <c r="L138" s="895"/>
      <c r="M138" s="895"/>
      <c r="N138" s="895"/>
      <c r="O138" s="895"/>
      <c r="P138" s="895"/>
      <c r="Q138" s="895"/>
      <c r="R138" s="895"/>
      <c r="S138" s="895"/>
      <c r="T138" s="895"/>
      <c r="U138" s="895"/>
      <c r="V138" s="895"/>
      <c r="W138" s="895"/>
      <c r="X138" s="895"/>
      <c r="Y138" s="895"/>
      <c r="Z138" s="895"/>
      <c r="AA138" s="895"/>
      <c r="AB138" s="895"/>
      <c r="AC138" s="895"/>
      <c r="AD138" s="895"/>
      <c r="AE138" s="895"/>
      <c r="AF138" s="895"/>
    </row>
    <row r="139" spans="1:113" s="81" customFormat="1" ht="12.95" x14ac:dyDescent="0.3">
      <c r="A139" s="58" t="s">
        <v>42</v>
      </c>
      <c r="B139" s="57"/>
      <c r="C139" s="130"/>
      <c r="D139" s="387"/>
      <c r="E139" s="387"/>
      <c r="F139" s="387"/>
      <c r="G139" s="188"/>
      <c r="H139" s="188"/>
      <c r="I139" s="188"/>
      <c r="J139" s="188"/>
      <c r="K139" s="188"/>
      <c r="L139" s="188"/>
      <c r="M139" s="188"/>
      <c r="N139" s="188"/>
      <c r="O139" s="188"/>
      <c r="P139" s="188"/>
      <c r="Q139" s="188"/>
      <c r="R139" s="188"/>
      <c r="S139" s="188"/>
      <c r="T139" s="188"/>
      <c r="U139" s="188"/>
      <c r="V139" s="188"/>
      <c r="W139" s="188"/>
      <c r="X139" s="188"/>
      <c r="Y139" s="188"/>
      <c r="Z139" s="188"/>
      <c r="AA139" s="188"/>
      <c r="AB139" s="188"/>
      <c r="AC139" s="188"/>
      <c r="AD139" s="188"/>
      <c r="AE139" s="188"/>
      <c r="AF139" s="188"/>
      <c r="AH139" s="57"/>
      <c r="AI139" s="57"/>
      <c r="AJ139" s="57"/>
      <c r="AK139" s="57"/>
      <c r="AL139" s="57"/>
      <c r="AM139" s="57"/>
      <c r="AN139" s="57"/>
      <c r="AO139" s="57"/>
      <c r="AP139" s="57"/>
      <c r="AQ139" s="57"/>
      <c r="AR139" s="57"/>
      <c r="AS139" s="57"/>
      <c r="AT139" s="57"/>
      <c r="AU139" s="57"/>
      <c r="AV139" s="57"/>
      <c r="AW139" s="57"/>
      <c r="AX139" s="57"/>
      <c r="AY139" s="57"/>
      <c r="AZ139" s="57"/>
      <c r="BA139" s="57"/>
      <c r="BB139" s="57"/>
      <c r="BC139" s="57"/>
      <c r="BD139" s="57"/>
      <c r="BE139" s="57"/>
      <c r="BF139" s="57"/>
      <c r="BG139" s="57"/>
      <c r="BI139" s="57"/>
      <c r="BJ139" s="57"/>
      <c r="BK139" s="57"/>
      <c r="BL139" s="57"/>
      <c r="BM139" s="57"/>
      <c r="BN139" s="57"/>
      <c r="BO139" s="57"/>
      <c r="BP139" s="57"/>
      <c r="BQ139" s="57"/>
      <c r="BR139" s="57"/>
      <c r="BS139" s="57"/>
      <c r="BT139" s="57"/>
      <c r="BU139" s="57"/>
      <c r="BV139" s="57"/>
      <c r="BW139" s="57"/>
      <c r="BX139" s="57"/>
      <c r="BY139" s="57"/>
      <c r="BZ139" s="57"/>
      <c r="CA139" s="57"/>
      <c r="CB139" s="57"/>
      <c r="CC139" s="57"/>
      <c r="CD139" s="57"/>
      <c r="CE139" s="57"/>
      <c r="CF139" s="57"/>
      <c r="CG139" s="57"/>
      <c r="CH139" s="57"/>
      <c r="CJ139" s="57"/>
      <c r="CK139" s="57"/>
      <c r="CL139" s="57"/>
      <c r="CM139" s="57"/>
      <c r="CN139" s="57"/>
      <c r="CO139" s="57"/>
      <c r="CP139" s="57"/>
      <c r="CQ139" s="57"/>
      <c r="CR139" s="57"/>
      <c r="CS139" s="57"/>
      <c r="CT139" s="57"/>
      <c r="CU139" s="57"/>
      <c r="CV139" s="57"/>
      <c r="CW139" s="57"/>
      <c r="CX139" s="57"/>
      <c r="CY139" s="57"/>
      <c r="CZ139" s="57"/>
      <c r="DA139" s="57"/>
      <c r="DB139" s="57"/>
      <c r="DC139" s="57"/>
      <c r="DD139" s="57"/>
      <c r="DE139" s="57"/>
      <c r="DF139" s="57"/>
      <c r="DG139" s="57"/>
      <c r="DH139" s="57"/>
      <c r="DI139" s="57"/>
    </row>
    <row r="140" spans="1:113" s="81" customFormat="1" ht="12.6" x14ac:dyDescent="0.25">
      <c r="B140" s="101" t="s">
        <v>43</v>
      </c>
      <c r="C140" s="101"/>
      <c r="D140" s="552"/>
      <c r="E140" s="552"/>
      <c r="F140" s="552"/>
      <c r="G140" s="128">
        <f t="shared" ref="G140:P144" si="45">SUM(AH140,BI140,CJ140)</f>
        <v>0.87785587961905431</v>
      </c>
      <c r="H140" s="128">
        <f t="shared" si="45"/>
        <v>0.87785587961905431</v>
      </c>
      <c r="I140" s="128">
        <f t="shared" si="45"/>
        <v>0.87785587961905431</v>
      </c>
      <c r="J140" s="128">
        <f t="shared" si="45"/>
        <v>0.87785587961905431</v>
      </c>
      <c r="K140" s="128">
        <f t="shared" si="45"/>
        <v>0.87785587961905431</v>
      </c>
      <c r="L140" s="128">
        <f t="shared" si="45"/>
        <v>0.87785587961905431</v>
      </c>
      <c r="M140" s="128">
        <f t="shared" si="45"/>
        <v>0.87785587961905431</v>
      </c>
      <c r="N140" s="128">
        <f t="shared" si="45"/>
        <v>0.87785587961905431</v>
      </c>
      <c r="O140" s="128">
        <f t="shared" si="45"/>
        <v>0.87785587961905431</v>
      </c>
      <c r="P140" s="128">
        <f t="shared" si="45"/>
        <v>0.87785587961905431</v>
      </c>
      <c r="Q140" s="128">
        <f t="shared" ref="Q140:Z144" si="46">SUM(AR140,BS140,CT140)</f>
        <v>0.87785587961905431</v>
      </c>
      <c r="R140" s="128">
        <f t="shared" si="46"/>
        <v>0.87785587961905431</v>
      </c>
      <c r="S140" s="128">
        <f t="shared" si="46"/>
        <v>0.87785587961905431</v>
      </c>
      <c r="T140" s="128">
        <f t="shared" si="46"/>
        <v>0.87785587961905431</v>
      </c>
      <c r="U140" s="128">
        <f t="shared" si="46"/>
        <v>0.87785587961905431</v>
      </c>
      <c r="V140" s="128">
        <f t="shared" si="46"/>
        <v>0.87785587961905431</v>
      </c>
      <c r="W140" s="128">
        <f t="shared" si="46"/>
        <v>0.87785587961905431</v>
      </c>
      <c r="X140" s="128">
        <f t="shared" si="46"/>
        <v>0.87785587961905431</v>
      </c>
      <c r="Y140" s="128">
        <f t="shared" si="46"/>
        <v>0.87785587961905431</v>
      </c>
      <c r="Z140" s="128">
        <f t="shared" si="46"/>
        <v>0.87785587961905431</v>
      </c>
      <c r="AA140" s="128">
        <f t="shared" ref="AA140:AF144" si="47">SUM(BB140,CC140,DD140)</f>
        <v>0.87785587961905431</v>
      </c>
      <c r="AB140" s="128">
        <f t="shared" si="47"/>
        <v>0.87785587961905431</v>
      </c>
      <c r="AC140" s="128">
        <f t="shared" si="47"/>
        <v>0.87785587961905431</v>
      </c>
      <c r="AD140" s="128">
        <f t="shared" si="47"/>
        <v>0.87785587961905431</v>
      </c>
      <c r="AE140" s="128">
        <f t="shared" si="47"/>
        <v>0.87785587961905431</v>
      </c>
      <c r="AF140" s="128">
        <f t="shared" si="47"/>
        <v>0.87785587961905431</v>
      </c>
      <c r="AH140" s="405">
        <f>IF(Tech_Specs!$F27="linear",TREND(Perform_Active!$K28:$L28,Perform_Active!$K$8:$L$8,AH$120),)</f>
        <v>0</v>
      </c>
      <c r="AI140" s="405">
        <f>IF(Tech_Specs!$F27="linear",TREND(Perform_Active!$K28:$L28,Perform_Active!$K$8:$L$8,AI$120),)</f>
        <v>0</v>
      </c>
      <c r="AJ140" s="405">
        <f>IF(Tech_Specs!$F27="linear",TREND(Perform_Active!$K28:$L28,Perform_Active!$K$8:$L$8,AJ$120),)</f>
        <v>0</v>
      </c>
      <c r="AK140" s="405">
        <f>IF(Tech_Specs!$F27="linear",TREND(Perform_Active!$K28:$L28,Perform_Active!$K$8:$L$8,AK$120),)</f>
        <v>0</v>
      </c>
      <c r="AL140" s="405">
        <f>IF(Tech_Specs!$F27="linear",TREND(Perform_Active!$K28:$L28,Perform_Active!$K$8:$L$8,AL$120),)</f>
        <v>0</v>
      </c>
      <c r="AM140" s="405">
        <f>IF(Tech_Specs!$F27="linear",TREND(Perform_Active!$K28:$L28,Perform_Active!$K$8:$L$8,AM$120),)</f>
        <v>0</v>
      </c>
      <c r="AN140" s="405">
        <f>IF(Tech_Specs!$F27="linear",TREND(Perform_Active!$K28:$L28,Perform_Active!$K$8:$L$8,AN$120),)</f>
        <v>0</v>
      </c>
      <c r="AO140" s="405">
        <f>IF(Tech_Specs!$F27="linear",TREND(Perform_Active!$K28:$L28,Perform_Active!$K$8:$L$8,AO$120),)</f>
        <v>0</v>
      </c>
      <c r="AP140" s="405">
        <f>IF(Tech_Specs!$F27="linear",TREND(Perform_Active!$K28:$L28,Perform_Active!$K$8:$L$8,AP$120),)</f>
        <v>0</v>
      </c>
      <c r="AQ140" s="405">
        <f>IF(Tech_Specs!$F27="linear",TREND(Perform_Active!$K28:$L28,Perform_Active!$K$8:$L$8,AQ$120),)</f>
        <v>0</v>
      </c>
      <c r="AR140" s="405">
        <f>IF(Tech_Specs!$F27="linear",TREND(Perform_Active!$K28:$L28,Perform_Active!$K$8:$L$8,AR$120),)</f>
        <v>0</v>
      </c>
      <c r="AS140" s="405">
        <f>IF(Tech_Specs!$F27="linear",TREND(Perform_Active!$K28:$L28,Perform_Active!$K$8:$L$8,AS$120),)</f>
        <v>0</v>
      </c>
      <c r="AT140" s="405">
        <f>IF(Tech_Specs!$F27="linear",TREND(Perform_Active!$K28:$L28,Perform_Active!$K$8:$L$8,AT$120),)</f>
        <v>0</v>
      </c>
      <c r="AU140" s="405">
        <f>IF(Tech_Specs!$F27="linear",TREND(Perform_Active!$K28:$L28,Perform_Active!$K$8:$L$8,AU$120),)</f>
        <v>0</v>
      </c>
      <c r="AV140" s="405">
        <f>IF(Tech_Specs!$F27="linear",TREND(Perform_Active!$K28:$L28,Perform_Active!$K$8:$L$8,AV$120),)</f>
        <v>0</v>
      </c>
      <c r="AW140" s="405">
        <f>IF(Tech_Specs!$F27="linear",TREND(Perform_Active!$K28:$L28,Perform_Active!$K$8:$L$8,AW$120),)</f>
        <v>0</v>
      </c>
      <c r="AX140" s="405">
        <f>IF(Tech_Specs!$F27="linear",TREND(Perform_Active!$K28:$L28,Perform_Active!$K$8:$L$8,AX$120),)</f>
        <v>0</v>
      </c>
      <c r="AY140" s="405">
        <f>IF(Tech_Specs!$F27="linear",TREND(Perform_Active!$K28:$L28,Perform_Active!$K$8:$L$8,AY$120),)</f>
        <v>0</v>
      </c>
      <c r="AZ140" s="405">
        <f>IF(Tech_Specs!$F27="linear",TREND(Perform_Active!$K28:$L28,Perform_Active!$K$8:$L$8,AZ$120),)</f>
        <v>0</v>
      </c>
      <c r="BA140" s="405">
        <f>IF(Tech_Specs!$F27="linear",TREND(Perform_Active!$K28:$L28,Perform_Active!$K$8:$L$8,BA$120),)</f>
        <v>0</v>
      </c>
      <c r="BB140" s="405">
        <f>IF(Tech_Specs!$F27="linear",TREND(Perform_Active!$K28:$L28,Perform_Active!$K$8:$L$8,BB$120),)</f>
        <v>0</v>
      </c>
      <c r="BC140" s="405">
        <f>IF(Tech_Specs!$F27="linear",TREND(Perform_Active!$K28:$L28,Perform_Active!$K$8:$L$8,BC$120),)</f>
        <v>0</v>
      </c>
      <c r="BD140" s="405">
        <f>IF(Tech_Specs!$F27="linear",TREND(Perform_Active!$K28:$L28,Perform_Active!$K$8:$L$8,BD$120),)</f>
        <v>0</v>
      </c>
      <c r="BE140" s="405">
        <f>IF(Tech_Specs!$F27="linear",TREND(Perform_Active!$K28:$L28,Perform_Active!$K$8:$L$8,BE$120),)</f>
        <v>0</v>
      </c>
      <c r="BF140" s="405">
        <f>IF(Tech_Specs!$F27="linear",TREND(Perform_Active!$K28:$L28,Perform_Active!$K$8:$L$8,BF$120),)</f>
        <v>0</v>
      </c>
      <c r="BG140" s="405">
        <f>IF(Tech_Specs!$F27="linear",TREND(Perform_Active!$K28:$L28,Perform_Active!$K$8:$L$8,BG$120),)</f>
        <v>0</v>
      </c>
      <c r="BI140" s="338">
        <f>IF(Tech_Specs!$F27="Constant",Perform_Active!$K28,)</f>
        <v>0</v>
      </c>
      <c r="BJ140" s="338">
        <f>IF(Tech_Specs!$F27="Constant",Perform_Active!$K28,)</f>
        <v>0</v>
      </c>
      <c r="BK140" s="338">
        <f>IF(Tech_Specs!$F27="Constant",Perform_Active!$K28,)</f>
        <v>0</v>
      </c>
      <c r="BL140" s="338">
        <f>IF(Tech_Specs!$F27="Constant",Perform_Active!$K28,)</f>
        <v>0</v>
      </c>
      <c r="BM140" s="338">
        <f>IF(Tech_Specs!$F27="Constant",Perform_Active!$K28,)</f>
        <v>0</v>
      </c>
      <c r="BN140" s="338">
        <f>IF(Tech_Specs!$F27="Constant",Perform_Active!$K28,)</f>
        <v>0</v>
      </c>
      <c r="BO140" s="338">
        <f>IF(Tech_Specs!$F27="Constant",Perform_Active!$K28,)</f>
        <v>0</v>
      </c>
      <c r="BP140" s="338">
        <f>IF(Tech_Specs!$F27="Constant",Perform_Active!$K28,)</f>
        <v>0</v>
      </c>
      <c r="BQ140" s="338">
        <f>IF(Tech_Specs!$F27="Constant",Perform_Active!$K28,)</f>
        <v>0</v>
      </c>
      <c r="BR140" s="338">
        <f>IF(Tech_Specs!$F27="Constant",Perform_Active!$K28,)</f>
        <v>0</v>
      </c>
      <c r="BS140" s="338">
        <f>IF(Tech_Specs!$F27="Constant",Perform_Active!$K28,)</f>
        <v>0</v>
      </c>
      <c r="BT140" s="338">
        <f>IF(Tech_Specs!$F27="Constant",Perform_Active!$K28,)</f>
        <v>0</v>
      </c>
      <c r="BU140" s="338">
        <f>IF(Tech_Specs!$F27="Constant",Perform_Active!$K28,)</f>
        <v>0</v>
      </c>
      <c r="BV140" s="338">
        <f>IF(Tech_Specs!$F27="Constant",Perform_Active!$K28,)</f>
        <v>0</v>
      </c>
      <c r="BW140" s="338">
        <f>IF(Tech_Specs!$F27="Constant",Perform_Active!$K28,)</f>
        <v>0</v>
      </c>
      <c r="BX140" s="338">
        <f>IF(Tech_Specs!$F27="Constant",Perform_Active!$K28,)</f>
        <v>0</v>
      </c>
      <c r="BY140" s="338">
        <f>IF(Tech_Specs!$F27="Constant",Perform_Active!$K28,)</f>
        <v>0</v>
      </c>
      <c r="BZ140" s="338">
        <f>IF(Tech_Specs!$F27="Constant",Perform_Active!$K28,)</f>
        <v>0</v>
      </c>
      <c r="CA140" s="338">
        <f>IF(Tech_Specs!$F27="Constant",Perform_Active!$K28,)</f>
        <v>0</v>
      </c>
      <c r="CB140" s="338">
        <f>IF(Tech_Specs!$F27="Constant",Perform_Active!$K28,)</f>
        <v>0</v>
      </c>
      <c r="CC140" s="338">
        <f>IF(Tech_Specs!$F27="Constant",Perform_Active!$K28,)</f>
        <v>0</v>
      </c>
      <c r="CD140" s="338">
        <f>IF(Tech_Specs!$F27="Constant",Perform_Active!$K28,)</f>
        <v>0</v>
      </c>
      <c r="CE140" s="338">
        <f>IF(Tech_Specs!$F27="Constant",Perform_Active!$K28,)</f>
        <v>0</v>
      </c>
      <c r="CF140" s="338">
        <f>IF(Tech_Specs!$F27="Constant",Perform_Active!$K28,)</f>
        <v>0</v>
      </c>
      <c r="CG140" s="338">
        <f>IF(Tech_Specs!$F27="Constant",Perform_Active!$K28,)</f>
        <v>0</v>
      </c>
      <c r="CH140" s="338">
        <f>IF(Tech_Specs!$F27="Constant",Perform_Active!$K28,)</f>
        <v>0</v>
      </c>
      <c r="CJ140" s="625">
        <f>IF(AND(Tech_Specs!$F27="step",Standards_Active!$S28="yes"),IF(ISNUMBER(Standards_Active!$W28),IF(CJ$120&gt;=Standards_Active!$R28,Standards_Active!$W28,IF(CJ$120&lt;Standards_Active!$Q28,Perform_Active!$K28,(Standards_Active!$W28-Perform_Active!$K28)/(Standards_Active!$R28-(Standards_Active!$Q28-1))+CI140)),Perform_Active!$K28),)</f>
        <v>0.87785587961905431</v>
      </c>
      <c r="CK140" s="625">
        <f>IF(AND(Tech_Specs!$F27="step",Standards_Active!$S28="yes"),IF(ISNUMBER(Standards_Active!$W28),IF(CK$120&gt;=Standards_Active!$R28,Standards_Active!$W28,IF(CK$120&lt;Standards_Active!$Q28,Perform_Active!$K28,(Standards_Active!$W28-Perform_Active!$K28)/(Standards_Active!$R28-(Standards_Active!$Q28-1))+CJ140)),Perform_Active!$K28),)</f>
        <v>0.87785587961905431</v>
      </c>
      <c r="CL140" s="625">
        <f>IF(AND(Tech_Specs!$F27="step",Standards_Active!$S28="yes"),IF(ISNUMBER(Standards_Active!$W28),IF(CL$120&gt;=Standards_Active!$R28,Standards_Active!$W28,IF(CL$120&lt;Standards_Active!$Q28,Perform_Active!$K28,(Standards_Active!$W28-Perform_Active!$K28)/(Standards_Active!$R28-(Standards_Active!$Q28-1))+CK140)),Perform_Active!$K28),)</f>
        <v>0.87785587961905431</v>
      </c>
      <c r="CM140" s="625">
        <f>IF(AND(Tech_Specs!$F27="step",Standards_Active!$S28="yes"),IF(ISNUMBER(Standards_Active!$W28),IF(CM$120&gt;=Standards_Active!$R28,Standards_Active!$W28,IF(CM$120&lt;Standards_Active!$Q28,Perform_Active!$K28,(Standards_Active!$W28-Perform_Active!$K28)/(Standards_Active!$R28-(Standards_Active!$Q28-1))+CL140)),Perform_Active!$K28),)</f>
        <v>0.87785587961905431</v>
      </c>
      <c r="CN140" s="625">
        <f>IF(AND(Tech_Specs!$F27="step",Standards_Active!$S28="yes"),IF(ISNUMBER(Standards_Active!$W28),IF(CN$120&gt;=Standards_Active!$R28,Standards_Active!$W28,IF(CN$120&lt;Standards_Active!$Q28,Perform_Active!$K28,(Standards_Active!$W28-Perform_Active!$K28)/(Standards_Active!$R28-(Standards_Active!$Q28-1))+CM140)),Perform_Active!$K28),)</f>
        <v>0.87785587961905431</v>
      </c>
      <c r="CO140" s="625">
        <f>IF(AND(Tech_Specs!$F27="step",Standards_Active!$S28="yes"),IF(ISNUMBER(Standards_Active!$W28),IF(CO$120&gt;=Standards_Active!$R28,Standards_Active!$W28,IF(CO$120&lt;Standards_Active!$Q28,Perform_Active!$K28,(Standards_Active!$W28-Perform_Active!$K28)/(Standards_Active!$R28-(Standards_Active!$Q28-1))+CN140)),Perform_Active!$K28),)</f>
        <v>0.87785587961905431</v>
      </c>
      <c r="CP140" s="625">
        <f>IF(AND(Tech_Specs!$F27="step",Standards_Active!$S28="yes"),IF(ISNUMBER(Standards_Active!$W28),IF(CP$120&gt;=Standards_Active!$R28,Standards_Active!$W28,IF(CP$120&lt;Standards_Active!$Q28,Perform_Active!$K28,(Standards_Active!$W28-Perform_Active!$K28)/(Standards_Active!$R28-(Standards_Active!$Q28-1))+CO140)),Perform_Active!$K28),)</f>
        <v>0.87785587961905431</v>
      </c>
      <c r="CQ140" s="625">
        <f>IF(AND(Tech_Specs!$F27="step",Standards_Active!$S28="yes"),IF(ISNUMBER(Standards_Active!$W28),IF(CQ$120&gt;=Standards_Active!$R28,Standards_Active!$W28,IF(CQ$120&lt;Standards_Active!$Q28,Perform_Active!$K28,(Standards_Active!$W28-Perform_Active!$K28)/(Standards_Active!$R28-(Standards_Active!$Q28-1))+CP140)),Perform_Active!$K28),)</f>
        <v>0.87785587961905431</v>
      </c>
      <c r="CR140" s="625">
        <f>IF(AND(Tech_Specs!$F27="step",Standards_Active!$S28="yes"),IF(ISNUMBER(Standards_Active!$W28),IF(CR$120&gt;=Standards_Active!$R28,Standards_Active!$W28,IF(CR$120&lt;Standards_Active!$Q28,Perform_Active!$K28,(Standards_Active!$W28-Perform_Active!$K28)/(Standards_Active!$R28-(Standards_Active!$Q28-1))+CQ140)),Perform_Active!$K28),)</f>
        <v>0.87785587961905431</v>
      </c>
      <c r="CS140" s="625">
        <f>IF(AND(Tech_Specs!$F27="step",Standards_Active!$S28="yes"),IF(ISNUMBER(Standards_Active!$W28),IF(CS$120&gt;=Standards_Active!$R28,Standards_Active!$W28,IF(CS$120&lt;Standards_Active!$Q28,Perform_Active!$K28,(Standards_Active!$W28-Perform_Active!$K28)/(Standards_Active!$R28-(Standards_Active!$Q28-1))+CR140)),Perform_Active!$K28),)</f>
        <v>0.87785587961905431</v>
      </c>
      <c r="CT140" s="625">
        <f>IF(AND(Tech_Specs!$F27="step",Standards_Active!$S28="yes"),IF(ISNUMBER(Standards_Active!$W28),IF(CT$120&gt;=Standards_Active!$R28,Standards_Active!$W28,IF(CT$120&lt;Standards_Active!$Q28,Perform_Active!$K28,(Standards_Active!$W28-Perform_Active!$K28)/(Standards_Active!$R28-(Standards_Active!$Q28-1))+CS140)),Perform_Active!$K28),)</f>
        <v>0.87785587961905431</v>
      </c>
      <c r="CU140" s="625">
        <f>IF(AND(Tech_Specs!$F27="step",Standards_Active!$S28="yes"),IF(ISNUMBER(Standards_Active!$W28),IF(CU$120&gt;=Standards_Active!$R28,Standards_Active!$W28,IF(CU$120&lt;Standards_Active!$Q28,Perform_Active!$K28,(Standards_Active!$W28-Perform_Active!$K28)/(Standards_Active!$R28-(Standards_Active!$Q28-1))+CT140)),Perform_Active!$K28),)</f>
        <v>0.87785587961905431</v>
      </c>
      <c r="CV140" s="625">
        <f>IF(AND(Tech_Specs!$F27="step",Standards_Active!$S28="yes"),IF(ISNUMBER(Standards_Active!$W28),IF(CV$120&gt;=Standards_Active!$R28,Standards_Active!$W28,IF(CV$120&lt;Standards_Active!$Q28,Perform_Active!$K28,(Standards_Active!$W28-Perform_Active!$K28)/(Standards_Active!$R28-(Standards_Active!$Q28-1))+CU140)),Perform_Active!$K28),)</f>
        <v>0.87785587961905431</v>
      </c>
      <c r="CW140" s="625">
        <f>IF(AND(Tech_Specs!$F27="step",Standards_Active!$S28="yes"),IF(ISNUMBER(Standards_Active!$W28),IF(CW$120&gt;=Standards_Active!$R28,Standards_Active!$W28,IF(CW$120&lt;Standards_Active!$Q28,Perform_Active!$K28,(Standards_Active!$W28-Perform_Active!$K28)/(Standards_Active!$R28-(Standards_Active!$Q28-1))+CV140)),Perform_Active!$K28),)</f>
        <v>0.87785587961905431</v>
      </c>
      <c r="CX140" s="625">
        <f>IF(AND(Tech_Specs!$F27="step",Standards_Active!$S28="yes"),IF(ISNUMBER(Standards_Active!$W28),IF(CX$120&gt;=Standards_Active!$R28,Standards_Active!$W28,IF(CX$120&lt;Standards_Active!$Q28,Perform_Active!$K28,(Standards_Active!$W28-Perform_Active!$K28)/(Standards_Active!$R28-(Standards_Active!$Q28-1))+CW140)),Perform_Active!$K28),)</f>
        <v>0.87785587961905431</v>
      </c>
      <c r="CY140" s="625">
        <f>IF(AND(Tech_Specs!$F27="step",Standards_Active!$S28="yes"),IF(ISNUMBER(Standards_Active!$W28),IF(CY$120&gt;=Standards_Active!$R28,Standards_Active!$W28,IF(CY$120&lt;Standards_Active!$Q28,Perform_Active!$K28,(Standards_Active!$W28-Perform_Active!$K28)/(Standards_Active!$R28-(Standards_Active!$Q28-1))+CX140)),Perform_Active!$K28),)</f>
        <v>0.87785587961905431</v>
      </c>
      <c r="CZ140" s="625">
        <f>IF(AND(Tech_Specs!$F27="step",Standards_Active!$S28="yes"),IF(ISNUMBER(Standards_Active!$W28),IF(CZ$120&gt;=Standards_Active!$R28,Standards_Active!$W28,IF(CZ$120&lt;Standards_Active!$Q28,Perform_Active!$K28,(Standards_Active!$W28-Perform_Active!$K28)/(Standards_Active!$R28-(Standards_Active!$Q28-1))+CY140)),Perform_Active!$K28),)</f>
        <v>0.87785587961905431</v>
      </c>
      <c r="DA140" s="625">
        <f>IF(AND(Tech_Specs!$F27="step",Standards_Active!$S28="yes"),IF(ISNUMBER(Standards_Active!$W28),IF(DA$120&gt;=Standards_Active!$R28,Standards_Active!$W28,IF(DA$120&lt;Standards_Active!$Q28,Perform_Active!$K28,(Standards_Active!$W28-Perform_Active!$K28)/(Standards_Active!$R28-(Standards_Active!$Q28-1))+CZ140)),Perform_Active!$K28),)</f>
        <v>0.87785587961905431</v>
      </c>
      <c r="DB140" s="625">
        <f>IF(AND(Tech_Specs!$F27="step",Standards_Active!$S28="yes"),IF(ISNUMBER(Standards_Active!$W28),IF(DB$120&gt;=Standards_Active!$R28,Standards_Active!$W28,IF(DB$120&lt;Standards_Active!$Q28,Perform_Active!$K28,(Standards_Active!$W28-Perform_Active!$K28)/(Standards_Active!$R28-(Standards_Active!$Q28-1))+DA140)),Perform_Active!$K28),)</f>
        <v>0.87785587961905431</v>
      </c>
      <c r="DC140" s="625">
        <f>IF(AND(Tech_Specs!$F27="step",Standards_Active!$S28="yes"),IF(ISNUMBER(Standards_Active!$W28),IF(DC$120&gt;=Standards_Active!$R28,Standards_Active!$W28,IF(DC$120&lt;Standards_Active!$Q28,Perform_Active!$K28,(Standards_Active!$W28-Perform_Active!$K28)/(Standards_Active!$R28-(Standards_Active!$Q28-1))+DB140)),Perform_Active!$K28),)</f>
        <v>0.87785587961905431</v>
      </c>
      <c r="DD140" s="625">
        <f>IF(AND(Tech_Specs!$F27="step",Standards_Active!$S28="yes"),IF(ISNUMBER(Standards_Active!$W28),IF(DD$120&gt;=Standards_Active!$R28,Standards_Active!$W28,IF(DD$120&lt;Standards_Active!$Q28,Perform_Active!$K28,(Standards_Active!$W28-Perform_Active!$K28)/(Standards_Active!$R28-(Standards_Active!$Q28-1))+DC140)),Perform_Active!$K28),)</f>
        <v>0.87785587961905431</v>
      </c>
      <c r="DE140" s="625">
        <f>IF(AND(Tech_Specs!$F27="step",Standards_Active!$S28="yes"),IF(ISNUMBER(Standards_Active!$W28),IF(DE$120&gt;=Standards_Active!$R28,Standards_Active!$W28,IF(DE$120&lt;Standards_Active!$Q28,Perform_Active!$K28,(Standards_Active!$W28-Perform_Active!$K28)/(Standards_Active!$R28-(Standards_Active!$Q28-1))+DD140)),Perform_Active!$K28),)</f>
        <v>0.87785587961905431</v>
      </c>
      <c r="DF140" s="625">
        <f>IF(AND(Tech_Specs!$F27="step",Standards_Active!$S28="yes"),IF(ISNUMBER(Standards_Active!$W28),IF(DF$120&gt;=Standards_Active!$R28,Standards_Active!$W28,IF(DF$120&lt;Standards_Active!$Q28,Perform_Active!$K28,(Standards_Active!$W28-Perform_Active!$K28)/(Standards_Active!$R28-(Standards_Active!$Q28-1))+DE140)),Perform_Active!$K28),)</f>
        <v>0.87785587961905431</v>
      </c>
      <c r="DG140" s="625">
        <f>IF(AND(Tech_Specs!$F27="step",Standards_Active!$S28="yes"),IF(ISNUMBER(Standards_Active!$W28),IF(DG$120&gt;=Standards_Active!$R28,Standards_Active!$W28,IF(DG$120&lt;Standards_Active!$Q28,Perform_Active!$K28,(Standards_Active!$W28-Perform_Active!$K28)/(Standards_Active!$R28-(Standards_Active!$Q28-1))+DF140)),Perform_Active!$K28),)</f>
        <v>0.87785587961905431</v>
      </c>
      <c r="DH140" s="625">
        <f>IF(AND(Tech_Specs!$F27="step",Standards_Active!$S28="yes"),IF(ISNUMBER(Standards_Active!$W28),IF(DH$120&gt;=Standards_Active!$R28,Standards_Active!$W28,IF(DH$120&lt;Standards_Active!$Q28,Perform_Active!$K28,(Standards_Active!$W28-Perform_Active!$K28)/(Standards_Active!$R28-(Standards_Active!$Q28-1))+DG140)),Perform_Active!$K28),)</f>
        <v>0.87785587961905431</v>
      </c>
      <c r="DI140" s="625">
        <f>IF(AND(Tech_Specs!$F27="step",Standards_Active!$S28="yes"),IF(ISNUMBER(Standards_Active!$W28),IF(DI$120&gt;=Standards_Active!$R28,Standards_Active!$W28,IF(DI$120&lt;Standards_Active!$Q28,Perform_Active!$K28,(Standards_Active!$W28-Perform_Active!$K28)/(Standards_Active!$R28-(Standards_Active!$Q28-1))+DH140)),Perform_Active!$K28),)</f>
        <v>0.87785587961905431</v>
      </c>
    </row>
    <row r="141" spans="1:113" s="81" customFormat="1" ht="12.6" x14ac:dyDescent="0.25">
      <c r="B141" s="101" t="s">
        <v>44</v>
      </c>
      <c r="D141" s="550"/>
      <c r="E141" s="550"/>
      <c r="F141" s="550"/>
      <c r="G141" s="895">
        <f t="shared" si="45"/>
        <v>0.87430612878477942</v>
      </c>
      <c r="H141" s="895">
        <f t="shared" si="45"/>
        <v>0.87430612878477942</v>
      </c>
      <c r="I141" s="895">
        <f t="shared" si="45"/>
        <v>0.87430612878477942</v>
      </c>
      <c r="J141" s="895">
        <f t="shared" si="45"/>
        <v>0.87430612878477942</v>
      </c>
      <c r="K141" s="895">
        <f t="shared" si="45"/>
        <v>0.87430612878477942</v>
      </c>
      <c r="L141" s="895">
        <f t="shared" si="45"/>
        <v>0.87430612878477942</v>
      </c>
      <c r="M141" s="895">
        <f t="shared" si="45"/>
        <v>0.87430612878477942</v>
      </c>
      <c r="N141" s="895">
        <f t="shared" si="45"/>
        <v>0.87430612878477942</v>
      </c>
      <c r="O141" s="895">
        <f t="shared" si="45"/>
        <v>0.87430612878477942</v>
      </c>
      <c r="P141" s="128">
        <f t="shared" si="45"/>
        <v>0.87430612878477942</v>
      </c>
      <c r="Q141" s="128">
        <f t="shared" si="46"/>
        <v>0.87430612878477942</v>
      </c>
      <c r="R141" s="128">
        <f t="shared" si="46"/>
        <v>0.87430612878477942</v>
      </c>
      <c r="S141" s="128">
        <f t="shared" si="46"/>
        <v>0.87430612878477942</v>
      </c>
      <c r="T141" s="128">
        <f t="shared" si="46"/>
        <v>0.87430612878477942</v>
      </c>
      <c r="U141" s="128">
        <f t="shared" si="46"/>
        <v>0.87430612878477942</v>
      </c>
      <c r="V141" s="128">
        <f t="shared" si="46"/>
        <v>0.87430612878477942</v>
      </c>
      <c r="W141" s="128">
        <f t="shared" si="46"/>
        <v>0.87430612878477942</v>
      </c>
      <c r="X141" s="128">
        <f t="shared" si="46"/>
        <v>0.87430612878477942</v>
      </c>
      <c r="Y141" s="128">
        <f t="shared" si="46"/>
        <v>0.87430612878477942</v>
      </c>
      <c r="Z141" s="128">
        <f t="shared" si="46"/>
        <v>0.87430612878477942</v>
      </c>
      <c r="AA141" s="128">
        <f t="shared" si="47"/>
        <v>0.87430612878477942</v>
      </c>
      <c r="AB141" s="128">
        <f t="shared" si="47"/>
        <v>0.87430612878477942</v>
      </c>
      <c r="AC141" s="128">
        <f t="shared" si="47"/>
        <v>0.87430612878477942</v>
      </c>
      <c r="AD141" s="128">
        <f t="shared" si="47"/>
        <v>0.87430612878477942</v>
      </c>
      <c r="AE141" s="128">
        <f t="shared" si="47"/>
        <v>0.87430612878477942</v>
      </c>
      <c r="AF141" s="128">
        <f t="shared" si="47"/>
        <v>0.87430612878477942</v>
      </c>
      <c r="AH141" s="405">
        <f>IF(Tech_Specs!$F28="linear",TREND(Perform_Active!$K29:$L29,Perform_Active!$K$8:$L$8,AH$120),)</f>
        <v>0.87430612878477942</v>
      </c>
      <c r="AI141" s="405">
        <f>IF(Tech_Specs!$F28="linear",TREND(Perform_Active!$K29:$L29,Perform_Active!$K$8:$L$8,AI$120),)</f>
        <v>0.87430612878477942</v>
      </c>
      <c r="AJ141" s="405">
        <f>IF(Tech_Specs!$F28="linear",TREND(Perform_Active!$K29:$L29,Perform_Active!$K$8:$L$8,AJ$120),)</f>
        <v>0.87430612878477942</v>
      </c>
      <c r="AK141" s="405">
        <f>IF(Tech_Specs!$F28="linear",TREND(Perform_Active!$K29:$L29,Perform_Active!$K$8:$L$8,AK$120),)</f>
        <v>0.87430612878477942</v>
      </c>
      <c r="AL141" s="405">
        <f>IF(Tech_Specs!$F28="linear",TREND(Perform_Active!$K29:$L29,Perform_Active!$K$8:$L$8,AL$120),)</f>
        <v>0.87430612878477942</v>
      </c>
      <c r="AM141" s="405">
        <f>IF(Tech_Specs!$F28="linear",TREND(Perform_Active!$K29:$L29,Perform_Active!$K$8:$L$8,AM$120),)</f>
        <v>0.87430612878477942</v>
      </c>
      <c r="AN141" s="405">
        <f>IF(Tech_Specs!$F28="linear",TREND(Perform_Active!$K29:$L29,Perform_Active!$K$8:$L$8,AN$120),)</f>
        <v>0.87430612878477942</v>
      </c>
      <c r="AO141" s="405">
        <f>IF(Tech_Specs!$F28="linear",TREND(Perform_Active!$K29:$L29,Perform_Active!$K$8:$L$8,AO$120),)</f>
        <v>0.87430612878477942</v>
      </c>
      <c r="AP141" s="405">
        <f>IF(Tech_Specs!$F28="linear",TREND(Perform_Active!$K29:$L29,Perform_Active!$K$8:$L$8,AP$120),)</f>
        <v>0.87430612878477942</v>
      </c>
      <c r="AQ141" s="405">
        <f>IF(Tech_Specs!$F28="linear",TREND(Perform_Active!$K29:$L29,Perform_Active!$K$8:$L$8,AQ$120),)</f>
        <v>0.87430612878477942</v>
      </c>
      <c r="AR141" s="405">
        <f>IF(Tech_Specs!$F28="linear",TREND(Perform_Active!$K29:$L29,Perform_Active!$K$8:$L$8,AR$120),)</f>
        <v>0.87430612878477942</v>
      </c>
      <c r="AS141" s="405">
        <f>IF(Tech_Specs!$F28="linear",TREND(Perform_Active!$K29:$L29,Perform_Active!$K$8:$L$8,AS$120),)</f>
        <v>0.87430612878477942</v>
      </c>
      <c r="AT141" s="405">
        <f>IF(Tech_Specs!$F28="linear",TREND(Perform_Active!$K29:$L29,Perform_Active!$K$8:$L$8,AT$120),)</f>
        <v>0.87430612878477942</v>
      </c>
      <c r="AU141" s="405">
        <f>IF(Tech_Specs!$F28="linear",TREND(Perform_Active!$K29:$L29,Perform_Active!$K$8:$L$8,AU$120),)</f>
        <v>0.87430612878477942</v>
      </c>
      <c r="AV141" s="405">
        <f>IF(Tech_Specs!$F28="linear",TREND(Perform_Active!$K29:$L29,Perform_Active!$K$8:$L$8,AV$120),)</f>
        <v>0.87430612878477942</v>
      </c>
      <c r="AW141" s="405">
        <f>IF(Tech_Specs!$F28="linear",TREND(Perform_Active!$K29:$L29,Perform_Active!$K$8:$L$8,AW$120),)</f>
        <v>0.87430612878477942</v>
      </c>
      <c r="AX141" s="405">
        <f>IF(Tech_Specs!$F28="linear",TREND(Perform_Active!$K29:$L29,Perform_Active!$K$8:$L$8,AX$120),)</f>
        <v>0.87430612878477942</v>
      </c>
      <c r="AY141" s="405">
        <f>IF(Tech_Specs!$F28="linear",TREND(Perform_Active!$K29:$L29,Perform_Active!$K$8:$L$8,AY$120),)</f>
        <v>0.87430612878477942</v>
      </c>
      <c r="AZ141" s="405">
        <f>IF(Tech_Specs!$F28="linear",TREND(Perform_Active!$K29:$L29,Perform_Active!$K$8:$L$8,AZ$120),)</f>
        <v>0.87430612878477942</v>
      </c>
      <c r="BA141" s="405">
        <f>IF(Tech_Specs!$F28="linear",TREND(Perform_Active!$K29:$L29,Perform_Active!$K$8:$L$8,BA$120),)</f>
        <v>0.87430612878477942</v>
      </c>
      <c r="BB141" s="405">
        <f>IF(Tech_Specs!$F28="linear",TREND(Perform_Active!$K29:$L29,Perform_Active!$K$8:$L$8,BB$120),)</f>
        <v>0.87430612878477942</v>
      </c>
      <c r="BC141" s="405">
        <f>IF(Tech_Specs!$F28="linear",TREND(Perform_Active!$K29:$L29,Perform_Active!$K$8:$L$8,BC$120),)</f>
        <v>0.87430612878477942</v>
      </c>
      <c r="BD141" s="405">
        <f>IF(Tech_Specs!$F28="linear",TREND(Perform_Active!$K29:$L29,Perform_Active!$K$8:$L$8,BD$120),)</f>
        <v>0.87430612878477942</v>
      </c>
      <c r="BE141" s="405">
        <f>IF(Tech_Specs!$F28="linear",TREND(Perform_Active!$K29:$L29,Perform_Active!$K$8:$L$8,BE$120),)</f>
        <v>0.87430612878477942</v>
      </c>
      <c r="BF141" s="405">
        <f>IF(Tech_Specs!$F28="linear",TREND(Perform_Active!$K29:$L29,Perform_Active!$K$8:$L$8,BF$120),)</f>
        <v>0.87430612878477942</v>
      </c>
      <c r="BG141" s="405">
        <f>IF(Tech_Specs!$F28="linear",TREND(Perform_Active!$K29:$L29,Perform_Active!$K$8:$L$8,BG$120),)</f>
        <v>0.87430612878477942</v>
      </c>
      <c r="BI141" s="338">
        <f>IF(Tech_Specs!$F28="Constant",Perform_Active!$K29,)</f>
        <v>0</v>
      </c>
      <c r="BJ141" s="338">
        <f>IF(Tech_Specs!$F28="Constant",Perform_Active!$K29,)</f>
        <v>0</v>
      </c>
      <c r="BK141" s="338">
        <f>IF(Tech_Specs!$F28="Constant",Perform_Active!$K29,)</f>
        <v>0</v>
      </c>
      <c r="BL141" s="338">
        <f>IF(Tech_Specs!$F28="Constant",Perform_Active!$K29,)</f>
        <v>0</v>
      </c>
      <c r="BM141" s="338">
        <f>IF(Tech_Specs!$F28="Constant",Perform_Active!$K29,)</f>
        <v>0</v>
      </c>
      <c r="BN141" s="338">
        <f>IF(Tech_Specs!$F28="Constant",Perform_Active!$K29,)</f>
        <v>0</v>
      </c>
      <c r="BO141" s="338">
        <f>IF(Tech_Specs!$F28="Constant",Perform_Active!$K29,)</f>
        <v>0</v>
      </c>
      <c r="BP141" s="338">
        <f>IF(Tech_Specs!$F28="Constant",Perform_Active!$K29,)</f>
        <v>0</v>
      </c>
      <c r="BQ141" s="338">
        <f>IF(Tech_Specs!$F28="Constant",Perform_Active!$K29,)</f>
        <v>0</v>
      </c>
      <c r="BR141" s="338">
        <f>IF(Tech_Specs!$F28="Constant",Perform_Active!$K29,)</f>
        <v>0</v>
      </c>
      <c r="BS141" s="338">
        <f>IF(Tech_Specs!$F28="Constant",Perform_Active!$K29,)</f>
        <v>0</v>
      </c>
      <c r="BT141" s="338">
        <f>IF(Tech_Specs!$F28="Constant",Perform_Active!$K29,)</f>
        <v>0</v>
      </c>
      <c r="BU141" s="338">
        <f>IF(Tech_Specs!$F28="Constant",Perform_Active!$K29,)</f>
        <v>0</v>
      </c>
      <c r="BV141" s="338">
        <f>IF(Tech_Specs!$F28="Constant",Perform_Active!$K29,)</f>
        <v>0</v>
      </c>
      <c r="BW141" s="338">
        <f>IF(Tech_Specs!$F28="Constant",Perform_Active!$K29,)</f>
        <v>0</v>
      </c>
      <c r="BX141" s="338">
        <f>IF(Tech_Specs!$F28="Constant",Perform_Active!$K29,)</f>
        <v>0</v>
      </c>
      <c r="BY141" s="338">
        <f>IF(Tech_Specs!$F28="Constant",Perform_Active!$K29,)</f>
        <v>0</v>
      </c>
      <c r="BZ141" s="338">
        <f>IF(Tech_Specs!$F28="Constant",Perform_Active!$K29,)</f>
        <v>0</v>
      </c>
      <c r="CA141" s="338">
        <f>IF(Tech_Specs!$F28="Constant",Perform_Active!$K29,)</f>
        <v>0</v>
      </c>
      <c r="CB141" s="338">
        <f>IF(Tech_Specs!$F28="Constant",Perform_Active!$K29,)</f>
        <v>0</v>
      </c>
      <c r="CC141" s="338">
        <f>IF(Tech_Specs!$F28="Constant",Perform_Active!$K29,)</f>
        <v>0</v>
      </c>
      <c r="CD141" s="338">
        <f>IF(Tech_Specs!$F28="Constant",Perform_Active!$K29,)</f>
        <v>0</v>
      </c>
      <c r="CE141" s="338">
        <f>IF(Tech_Specs!$F28="Constant",Perform_Active!$K29,)</f>
        <v>0</v>
      </c>
      <c r="CF141" s="338">
        <f>IF(Tech_Specs!$F28="Constant",Perform_Active!$K29,)</f>
        <v>0</v>
      </c>
      <c r="CG141" s="338">
        <f>IF(Tech_Specs!$F28="Constant",Perform_Active!$K29,)</f>
        <v>0</v>
      </c>
      <c r="CH141" s="338">
        <f>IF(Tech_Specs!$F28="Constant",Perform_Active!$K29,)</f>
        <v>0</v>
      </c>
      <c r="CJ141" s="625">
        <f>IF(AND(Tech_Specs!$F28="step",Standards_Active!$S29="yes"),IF(ISNUMBER(Standards_Active!$W29),IF(CJ$120&gt;=Standards_Active!$R29,Standards_Active!$W29,IF(CJ$120&lt;Standards_Active!$Q29,Perform_Active!$K29,(Standards_Active!$W29-Perform_Active!$K29)/(Standards_Active!$R29-(Standards_Active!$Q29-1))+CI141)),Perform_Active!$K29),)</f>
        <v>0</v>
      </c>
      <c r="CK141" s="625">
        <f>IF(AND(Tech_Specs!$F28="step",Standards_Active!$S29="yes"),IF(ISNUMBER(Standards_Active!$W29),IF(CK$120&gt;=Standards_Active!$R29,Standards_Active!$W29,IF(CK$120&lt;Standards_Active!$Q29,Perform_Active!$K29,(Standards_Active!$W29-Perform_Active!$K29)/(Standards_Active!$R29-(Standards_Active!$Q29-1))+CJ141)),Perform_Active!$K29),)</f>
        <v>0</v>
      </c>
      <c r="CL141" s="625">
        <f>IF(AND(Tech_Specs!$F28="step",Standards_Active!$S29="yes"),IF(ISNUMBER(Standards_Active!$W29),IF(CL$120&gt;=Standards_Active!$R29,Standards_Active!$W29,IF(CL$120&lt;Standards_Active!$Q29,Perform_Active!$K29,(Standards_Active!$W29-Perform_Active!$K29)/(Standards_Active!$R29-(Standards_Active!$Q29-1))+CK141)),Perform_Active!$K29),)</f>
        <v>0</v>
      </c>
      <c r="CM141" s="625">
        <f>IF(AND(Tech_Specs!$F28="step",Standards_Active!$S29="yes"),IF(ISNUMBER(Standards_Active!$W29),IF(CM$120&gt;=Standards_Active!$R29,Standards_Active!$W29,IF(CM$120&lt;Standards_Active!$Q29,Perform_Active!$K29,(Standards_Active!$W29-Perform_Active!$K29)/(Standards_Active!$R29-(Standards_Active!$Q29-1))+CL141)),Perform_Active!$K29),)</f>
        <v>0</v>
      </c>
      <c r="CN141" s="625">
        <f>IF(AND(Tech_Specs!$F28="step",Standards_Active!$S29="yes"),IF(ISNUMBER(Standards_Active!$W29),IF(CN$120&gt;=Standards_Active!$R29,Standards_Active!$W29,IF(CN$120&lt;Standards_Active!$Q29,Perform_Active!$K29,(Standards_Active!$W29-Perform_Active!$K29)/(Standards_Active!$R29-(Standards_Active!$Q29-1))+CM141)),Perform_Active!$K29),)</f>
        <v>0</v>
      </c>
      <c r="CO141" s="625">
        <f>IF(AND(Tech_Specs!$F28="step",Standards_Active!$S29="yes"),IF(ISNUMBER(Standards_Active!$W29),IF(CO$120&gt;=Standards_Active!$R29,Standards_Active!$W29,IF(CO$120&lt;Standards_Active!$Q29,Perform_Active!$K29,(Standards_Active!$W29-Perform_Active!$K29)/(Standards_Active!$R29-(Standards_Active!$Q29-1))+CN141)),Perform_Active!$K29),)</f>
        <v>0</v>
      </c>
      <c r="CP141" s="625">
        <f>IF(AND(Tech_Specs!$F28="step",Standards_Active!$S29="yes"),IF(ISNUMBER(Standards_Active!$W29),IF(CP$120&gt;=Standards_Active!$R29,Standards_Active!$W29,IF(CP$120&lt;Standards_Active!$Q29,Perform_Active!$K29,(Standards_Active!$W29-Perform_Active!$K29)/(Standards_Active!$R29-(Standards_Active!$Q29-1))+CO141)),Perform_Active!$K29),)</f>
        <v>0</v>
      </c>
      <c r="CQ141" s="625">
        <f>IF(AND(Tech_Specs!$F28="step",Standards_Active!$S29="yes"),IF(ISNUMBER(Standards_Active!$W29),IF(CQ$120&gt;=Standards_Active!$R29,Standards_Active!$W29,IF(CQ$120&lt;Standards_Active!$Q29,Perform_Active!$K29,(Standards_Active!$W29-Perform_Active!$K29)/(Standards_Active!$R29-(Standards_Active!$Q29-1))+CP141)),Perform_Active!$K29),)</f>
        <v>0</v>
      </c>
      <c r="CR141" s="625">
        <f>IF(AND(Tech_Specs!$F28="step",Standards_Active!$S29="yes"),IF(ISNUMBER(Standards_Active!$W29),IF(CR$120&gt;=Standards_Active!$R29,Standards_Active!$W29,IF(CR$120&lt;Standards_Active!$Q29,Perform_Active!$K29,(Standards_Active!$W29-Perform_Active!$K29)/(Standards_Active!$R29-(Standards_Active!$Q29-1))+CQ141)),Perform_Active!$K29),)</f>
        <v>0</v>
      </c>
      <c r="CS141" s="625">
        <f>IF(AND(Tech_Specs!$F28="step",Standards_Active!$S29="yes"),IF(ISNUMBER(Standards_Active!$W29),IF(CS$120&gt;=Standards_Active!$R29,Standards_Active!$W29,IF(CS$120&lt;Standards_Active!$Q29,Perform_Active!$K29,(Standards_Active!$W29-Perform_Active!$K29)/(Standards_Active!$R29-(Standards_Active!$Q29-1))+CR141)),Perform_Active!$K29),)</f>
        <v>0</v>
      </c>
      <c r="CT141" s="625">
        <f>IF(AND(Tech_Specs!$F28="step",Standards_Active!$S29="yes"),IF(ISNUMBER(Standards_Active!$W29),IF(CT$120&gt;=Standards_Active!$R29,Standards_Active!$W29,IF(CT$120&lt;Standards_Active!$Q29,Perform_Active!$K29,(Standards_Active!$W29-Perform_Active!$K29)/(Standards_Active!$R29-(Standards_Active!$Q29-1))+CS141)),Perform_Active!$K29),)</f>
        <v>0</v>
      </c>
      <c r="CU141" s="625">
        <f>IF(AND(Tech_Specs!$F28="step",Standards_Active!$S29="yes"),IF(ISNUMBER(Standards_Active!$W29),IF(CU$120&gt;=Standards_Active!$R29,Standards_Active!$W29,IF(CU$120&lt;Standards_Active!$Q29,Perform_Active!$K29,(Standards_Active!$W29-Perform_Active!$K29)/(Standards_Active!$R29-(Standards_Active!$Q29-1))+CT141)),Perform_Active!$K29),)</f>
        <v>0</v>
      </c>
      <c r="CV141" s="625">
        <f>IF(AND(Tech_Specs!$F28="step",Standards_Active!$S29="yes"),IF(ISNUMBER(Standards_Active!$W29),IF(CV$120&gt;=Standards_Active!$R29,Standards_Active!$W29,IF(CV$120&lt;Standards_Active!$Q29,Perform_Active!$K29,(Standards_Active!$W29-Perform_Active!$K29)/(Standards_Active!$R29-(Standards_Active!$Q29-1))+CU141)),Perform_Active!$K29),)</f>
        <v>0</v>
      </c>
      <c r="CW141" s="625">
        <f>IF(AND(Tech_Specs!$F28="step",Standards_Active!$S29="yes"),IF(ISNUMBER(Standards_Active!$W29),IF(CW$120&gt;=Standards_Active!$R29,Standards_Active!$W29,IF(CW$120&lt;Standards_Active!$Q29,Perform_Active!$K29,(Standards_Active!$W29-Perform_Active!$K29)/(Standards_Active!$R29-(Standards_Active!$Q29-1))+CV141)),Perform_Active!$K29),)</f>
        <v>0</v>
      </c>
      <c r="CX141" s="625">
        <f>IF(AND(Tech_Specs!$F28="step",Standards_Active!$S29="yes"),IF(ISNUMBER(Standards_Active!$W29),IF(CX$120&gt;=Standards_Active!$R29,Standards_Active!$W29,IF(CX$120&lt;Standards_Active!$Q29,Perform_Active!$K29,(Standards_Active!$W29-Perform_Active!$K29)/(Standards_Active!$R29-(Standards_Active!$Q29-1))+CW141)),Perform_Active!$K29),)</f>
        <v>0</v>
      </c>
      <c r="CY141" s="625">
        <f>IF(AND(Tech_Specs!$F28="step",Standards_Active!$S29="yes"),IF(ISNUMBER(Standards_Active!$W29),IF(CY$120&gt;=Standards_Active!$R29,Standards_Active!$W29,IF(CY$120&lt;Standards_Active!$Q29,Perform_Active!$K29,(Standards_Active!$W29-Perform_Active!$K29)/(Standards_Active!$R29-(Standards_Active!$Q29-1))+CX141)),Perform_Active!$K29),)</f>
        <v>0</v>
      </c>
      <c r="CZ141" s="625">
        <f>IF(AND(Tech_Specs!$F28="step",Standards_Active!$S29="yes"),IF(ISNUMBER(Standards_Active!$W29),IF(CZ$120&gt;=Standards_Active!$R29,Standards_Active!$W29,IF(CZ$120&lt;Standards_Active!$Q29,Perform_Active!$K29,(Standards_Active!$W29-Perform_Active!$K29)/(Standards_Active!$R29-(Standards_Active!$Q29-1))+CY141)),Perform_Active!$K29),)</f>
        <v>0</v>
      </c>
      <c r="DA141" s="625">
        <f>IF(AND(Tech_Specs!$F28="step",Standards_Active!$S29="yes"),IF(ISNUMBER(Standards_Active!$W29),IF(DA$120&gt;=Standards_Active!$R29,Standards_Active!$W29,IF(DA$120&lt;Standards_Active!$Q29,Perform_Active!$K29,(Standards_Active!$W29-Perform_Active!$K29)/(Standards_Active!$R29-(Standards_Active!$Q29-1))+CZ141)),Perform_Active!$K29),)</f>
        <v>0</v>
      </c>
      <c r="DB141" s="625">
        <f>IF(AND(Tech_Specs!$F28="step",Standards_Active!$S29="yes"),IF(ISNUMBER(Standards_Active!$W29),IF(DB$120&gt;=Standards_Active!$R29,Standards_Active!$W29,IF(DB$120&lt;Standards_Active!$Q29,Perform_Active!$K29,(Standards_Active!$W29-Perform_Active!$K29)/(Standards_Active!$R29-(Standards_Active!$Q29-1))+DA141)),Perform_Active!$K29),)</f>
        <v>0</v>
      </c>
      <c r="DC141" s="625">
        <f>IF(AND(Tech_Specs!$F28="step",Standards_Active!$S29="yes"),IF(ISNUMBER(Standards_Active!$W29),IF(DC$120&gt;=Standards_Active!$R29,Standards_Active!$W29,IF(DC$120&lt;Standards_Active!$Q29,Perform_Active!$K29,(Standards_Active!$W29-Perform_Active!$K29)/(Standards_Active!$R29-(Standards_Active!$Q29-1))+DB141)),Perform_Active!$K29),)</f>
        <v>0</v>
      </c>
      <c r="DD141" s="625">
        <f>IF(AND(Tech_Specs!$F28="step",Standards_Active!$S29="yes"),IF(ISNUMBER(Standards_Active!$W29),IF(DD$120&gt;=Standards_Active!$R29,Standards_Active!$W29,IF(DD$120&lt;Standards_Active!$Q29,Perform_Active!$K29,(Standards_Active!$W29-Perform_Active!$K29)/(Standards_Active!$R29-(Standards_Active!$Q29-1))+DC141)),Perform_Active!$K29),)</f>
        <v>0</v>
      </c>
      <c r="DE141" s="625">
        <f>IF(AND(Tech_Specs!$F28="step",Standards_Active!$S29="yes"),IF(ISNUMBER(Standards_Active!$W29),IF(DE$120&gt;=Standards_Active!$R29,Standards_Active!$W29,IF(DE$120&lt;Standards_Active!$Q29,Perform_Active!$K29,(Standards_Active!$W29-Perform_Active!$K29)/(Standards_Active!$R29-(Standards_Active!$Q29-1))+DD141)),Perform_Active!$K29),)</f>
        <v>0</v>
      </c>
      <c r="DF141" s="625">
        <f>IF(AND(Tech_Specs!$F28="step",Standards_Active!$S29="yes"),IF(ISNUMBER(Standards_Active!$W29),IF(DF$120&gt;=Standards_Active!$R29,Standards_Active!$W29,IF(DF$120&lt;Standards_Active!$Q29,Perform_Active!$K29,(Standards_Active!$W29-Perform_Active!$K29)/(Standards_Active!$R29-(Standards_Active!$Q29-1))+DE141)),Perform_Active!$K29),)</f>
        <v>0</v>
      </c>
      <c r="DG141" s="625">
        <f>IF(AND(Tech_Specs!$F28="step",Standards_Active!$S29="yes"),IF(ISNUMBER(Standards_Active!$W29),IF(DG$120&gt;=Standards_Active!$R29,Standards_Active!$W29,IF(DG$120&lt;Standards_Active!$Q29,Perform_Active!$K29,(Standards_Active!$W29-Perform_Active!$K29)/(Standards_Active!$R29-(Standards_Active!$Q29-1))+DF141)),Perform_Active!$K29),)</f>
        <v>0</v>
      </c>
      <c r="DH141" s="625">
        <f>IF(AND(Tech_Specs!$F28="step",Standards_Active!$S29="yes"),IF(ISNUMBER(Standards_Active!$W29),IF(DH$120&gt;=Standards_Active!$R29,Standards_Active!$W29,IF(DH$120&lt;Standards_Active!$Q29,Perform_Active!$K29,(Standards_Active!$W29-Perform_Active!$K29)/(Standards_Active!$R29-(Standards_Active!$Q29-1))+DG141)),Perform_Active!$K29),)</f>
        <v>0</v>
      </c>
      <c r="DI141" s="625">
        <f>IF(AND(Tech_Specs!$F28="step",Standards_Active!$S29="yes"),IF(ISNUMBER(Standards_Active!$W29),IF(DI$120&gt;=Standards_Active!$R29,Standards_Active!$W29,IF(DI$120&lt;Standards_Active!$Q29,Perform_Active!$K29,(Standards_Active!$W29-Perform_Active!$K29)/(Standards_Active!$R29-(Standards_Active!$Q29-1))+DH141)),Perform_Active!$K29),)</f>
        <v>0</v>
      </c>
    </row>
    <row r="142" spans="1:113" s="81" customFormat="1" ht="12.6" x14ac:dyDescent="0.25">
      <c r="B142" s="101" t="s">
        <v>45</v>
      </c>
      <c r="D142" s="550"/>
      <c r="E142" s="550"/>
      <c r="F142" s="550"/>
      <c r="G142" s="128">
        <f t="shared" si="45"/>
        <v>0.8443721273824677</v>
      </c>
      <c r="H142" s="128">
        <f t="shared" si="45"/>
        <v>0.8443721273824677</v>
      </c>
      <c r="I142" s="128">
        <f t="shared" si="45"/>
        <v>0.8443721273824677</v>
      </c>
      <c r="J142" s="128">
        <f t="shared" si="45"/>
        <v>0.8443721273824677</v>
      </c>
      <c r="K142" s="128">
        <f t="shared" si="45"/>
        <v>0.8443721273824677</v>
      </c>
      <c r="L142" s="128">
        <f t="shared" si="45"/>
        <v>0.8443721273824677</v>
      </c>
      <c r="M142" s="128">
        <f t="shared" si="45"/>
        <v>0.8443721273824677</v>
      </c>
      <c r="N142" s="128">
        <f t="shared" si="45"/>
        <v>0.8443721273824677</v>
      </c>
      <c r="O142" s="128">
        <f t="shared" si="45"/>
        <v>0.8443721273824677</v>
      </c>
      <c r="P142" s="128">
        <f t="shared" si="45"/>
        <v>0.8443721273824677</v>
      </c>
      <c r="Q142" s="128">
        <f t="shared" si="46"/>
        <v>0.8443721273824677</v>
      </c>
      <c r="R142" s="128">
        <f t="shared" si="46"/>
        <v>0.8443721273824677</v>
      </c>
      <c r="S142" s="128">
        <f t="shared" si="46"/>
        <v>0.8443721273824677</v>
      </c>
      <c r="T142" s="128">
        <f t="shared" si="46"/>
        <v>0.8443721273824677</v>
      </c>
      <c r="U142" s="128">
        <f t="shared" si="46"/>
        <v>0.8443721273824677</v>
      </c>
      <c r="V142" s="128">
        <f t="shared" si="46"/>
        <v>0.8443721273824677</v>
      </c>
      <c r="W142" s="128">
        <f t="shared" si="46"/>
        <v>0.8443721273824677</v>
      </c>
      <c r="X142" s="128">
        <f t="shared" si="46"/>
        <v>0.8443721273824677</v>
      </c>
      <c r="Y142" s="128">
        <f t="shared" si="46"/>
        <v>0.8443721273824677</v>
      </c>
      <c r="Z142" s="128">
        <f t="shared" si="46"/>
        <v>0.8443721273824677</v>
      </c>
      <c r="AA142" s="128">
        <f t="shared" si="47"/>
        <v>0.8443721273824677</v>
      </c>
      <c r="AB142" s="128">
        <f t="shared" si="47"/>
        <v>0.8443721273824677</v>
      </c>
      <c r="AC142" s="128">
        <f t="shared" si="47"/>
        <v>0.8443721273824677</v>
      </c>
      <c r="AD142" s="128">
        <f t="shared" si="47"/>
        <v>0.8443721273824677</v>
      </c>
      <c r="AE142" s="128">
        <f t="shared" si="47"/>
        <v>0.8443721273824677</v>
      </c>
      <c r="AF142" s="128">
        <f t="shared" si="47"/>
        <v>0.8443721273824677</v>
      </c>
      <c r="AH142" s="405">
        <f>IF(Tech_Specs!$F29="linear",TREND(Perform_Active!$K30:$L30,Perform_Active!$K$8:$L$8,AH$120),)</f>
        <v>0.8443721273824677</v>
      </c>
      <c r="AI142" s="405">
        <f>IF(Tech_Specs!$F29="linear",TREND(Perform_Active!$K30:$L30,Perform_Active!$K$8:$L$8,AI$120),)</f>
        <v>0.8443721273824677</v>
      </c>
      <c r="AJ142" s="405">
        <f>IF(Tech_Specs!$F29="linear",TREND(Perform_Active!$K30:$L30,Perform_Active!$K$8:$L$8,AJ$120),)</f>
        <v>0.8443721273824677</v>
      </c>
      <c r="AK142" s="405">
        <f>IF(Tech_Specs!$F29="linear",TREND(Perform_Active!$K30:$L30,Perform_Active!$K$8:$L$8,AK$120),)</f>
        <v>0.8443721273824677</v>
      </c>
      <c r="AL142" s="405">
        <f>IF(Tech_Specs!$F29="linear",TREND(Perform_Active!$K30:$L30,Perform_Active!$K$8:$L$8,AL$120),)</f>
        <v>0.8443721273824677</v>
      </c>
      <c r="AM142" s="405">
        <f>IF(Tech_Specs!$F29="linear",TREND(Perform_Active!$K30:$L30,Perform_Active!$K$8:$L$8,AM$120),)</f>
        <v>0.8443721273824677</v>
      </c>
      <c r="AN142" s="405">
        <f>IF(Tech_Specs!$F29="linear",TREND(Perform_Active!$K30:$L30,Perform_Active!$K$8:$L$8,AN$120),)</f>
        <v>0.8443721273824677</v>
      </c>
      <c r="AO142" s="405">
        <f>IF(Tech_Specs!$F29="linear",TREND(Perform_Active!$K30:$L30,Perform_Active!$K$8:$L$8,AO$120),)</f>
        <v>0.8443721273824677</v>
      </c>
      <c r="AP142" s="405">
        <f>IF(Tech_Specs!$F29="linear",TREND(Perform_Active!$K30:$L30,Perform_Active!$K$8:$L$8,AP$120),)</f>
        <v>0.8443721273824677</v>
      </c>
      <c r="AQ142" s="405">
        <f>IF(Tech_Specs!$F29="linear",TREND(Perform_Active!$K30:$L30,Perform_Active!$K$8:$L$8,AQ$120),)</f>
        <v>0.8443721273824677</v>
      </c>
      <c r="AR142" s="405">
        <f>IF(Tech_Specs!$F29="linear",TREND(Perform_Active!$K30:$L30,Perform_Active!$K$8:$L$8,AR$120),)</f>
        <v>0.8443721273824677</v>
      </c>
      <c r="AS142" s="405">
        <f>IF(Tech_Specs!$F29="linear",TREND(Perform_Active!$K30:$L30,Perform_Active!$K$8:$L$8,AS$120),)</f>
        <v>0.8443721273824677</v>
      </c>
      <c r="AT142" s="405">
        <f>IF(Tech_Specs!$F29="linear",TREND(Perform_Active!$K30:$L30,Perform_Active!$K$8:$L$8,AT$120),)</f>
        <v>0.8443721273824677</v>
      </c>
      <c r="AU142" s="405">
        <f>IF(Tech_Specs!$F29="linear",TREND(Perform_Active!$K30:$L30,Perform_Active!$K$8:$L$8,AU$120),)</f>
        <v>0.8443721273824677</v>
      </c>
      <c r="AV142" s="405">
        <f>IF(Tech_Specs!$F29="linear",TREND(Perform_Active!$K30:$L30,Perform_Active!$K$8:$L$8,AV$120),)</f>
        <v>0.8443721273824677</v>
      </c>
      <c r="AW142" s="405">
        <f>IF(Tech_Specs!$F29="linear",TREND(Perform_Active!$K30:$L30,Perform_Active!$K$8:$L$8,AW$120),)</f>
        <v>0.8443721273824677</v>
      </c>
      <c r="AX142" s="405">
        <f>IF(Tech_Specs!$F29="linear",TREND(Perform_Active!$K30:$L30,Perform_Active!$K$8:$L$8,AX$120),)</f>
        <v>0.8443721273824677</v>
      </c>
      <c r="AY142" s="405">
        <f>IF(Tech_Specs!$F29="linear",TREND(Perform_Active!$K30:$L30,Perform_Active!$K$8:$L$8,AY$120),)</f>
        <v>0.8443721273824677</v>
      </c>
      <c r="AZ142" s="405">
        <f>IF(Tech_Specs!$F29="linear",TREND(Perform_Active!$K30:$L30,Perform_Active!$K$8:$L$8,AZ$120),)</f>
        <v>0.8443721273824677</v>
      </c>
      <c r="BA142" s="405">
        <f>IF(Tech_Specs!$F29="linear",TREND(Perform_Active!$K30:$L30,Perform_Active!$K$8:$L$8,BA$120),)</f>
        <v>0.8443721273824677</v>
      </c>
      <c r="BB142" s="405">
        <f>IF(Tech_Specs!$F29="linear",TREND(Perform_Active!$K30:$L30,Perform_Active!$K$8:$L$8,BB$120),)</f>
        <v>0.8443721273824677</v>
      </c>
      <c r="BC142" s="405">
        <f>IF(Tech_Specs!$F29="linear",TREND(Perform_Active!$K30:$L30,Perform_Active!$K$8:$L$8,BC$120),)</f>
        <v>0.8443721273824677</v>
      </c>
      <c r="BD142" s="405">
        <f>IF(Tech_Specs!$F29="linear",TREND(Perform_Active!$K30:$L30,Perform_Active!$K$8:$L$8,BD$120),)</f>
        <v>0.8443721273824677</v>
      </c>
      <c r="BE142" s="405">
        <f>IF(Tech_Specs!$F29="linear",TREND(Perform_Active!$K30:$L30,Perform_Active!$K$8:$L$8,BE$120),)</f>
        <v>0.8443721273824677</v>
      </c>
      <c r="BF142" s="405">
        <f>IF(Tech_Specs!$F29="linear",TREND(Perform_Active!$K30:$L30,Perform_Active!$K$8:$L$8,BF$120),)</f>
        <v>0.8443721273824677</v>
      </c>
      <c r="BG142" s="405">
        <f>IF(Tech_Specs!$F29="linear",TREND(Perform_Active!$K30:$L30,Perform_Active!$K$8:$L$8,BG$120),)</f>
        <v>0.8443721273824677</v>
      </c>
      <c r="BI142" s="338">
        <f>IF(Tech_Specs!$F29="Constant",Perform_Active!$K30,)</f>
        <v>0</v>
      </c>
      <c r="BJ142" s="338">
        <f>IF(Tech_Specs!$F29="Constant",Perform_Active!$K30,)</f>
        <v>0</v>
      </c>
      <c r="BK142" s="338">
        <f>IF(Tech_Specs!$F29="Constant",Perform_Active!$K30,)</f>
        <v>0</v>
      </c>
      <c r="BL142" s="338">
        <f>IF(Tech_Specs!$F29="Constant",Perform_Active!$K30,)</f>
        <v>0</v>
      </c>
      <c r="BM142" s="338">
        <f>IF(Tech_Specs!$F29="Constant",Perform_Active!$K30,)</f>
        <v>0</v>
      </c>
      <c r="BN142" s="338">
        <f>IF(Tech_Specs!$F29="Constant",Perform_Active!$K30,)</f>
        <v>0</v>
      </c>
      <c r="BO142" s="338">
        <f>IF(Tech_Specs!$F29="Constant",Perform_Active!$K30,)</f>
        <v>0</v>
      </c>
      <c r="BP142" s="338">
        <f>IF(Tech_Specs!$F29="Constant",Perform_Active!$K30,)</f>
        <v>0</v>
      </c>
      <c r="BQ142" s="338">
        <f>IF(Tech_Specs!$F29="Constant",Perform_Active!$K30,)</f>
        <v>0</v>
      </c>
      <c r="BR142" s="338">
        <f>IF(Tech_Specs!$F29="Constant",Perform_Active!$K30,)</f>
        <v>0</v>
      </c>
      <c r="BS142" s="338">
        <f>IF(Tech_Specs!$F29="Constant",Perform_Active!$K30,)</f>
        <v>0</v>
      </c>
      <c r="BT142" s="338">
        <f>IF(Tech_Specs!$F29="Constant",Perform_Active!$K30,)</f>
        <v>0</v>
      </c>
      <c r="BU142" s="338">
        <f>IF(Tech_Specs!$F29="Constant",Perform_Active!$K30,)</f>
        <v>0</v>
      </c>
      <c r="BV142" s="338">
        <f>IF(Tech_Specs!$F29="Constant",Perform_Active!$K30,)</f>
        <v>0</v>
      </c>
      <c r="BW142" s="338">
        <f>IF(Tech_Specs!$F29="Constant",Perform_Active!$K30,)</f>
        <v>0</v>
      </c>
      <c r="BX142" s="338">
        <f>IF(Tech_Specs!$F29="Constant",Perform_Active!$K30,)</f>
        <v>0</v>
      </c>
      <c r="BY142" s="338">
        <f>IF(Tech_Specs!$F29="Constant",Perform_Active!$K30,)</f>
        <v>0</v>
      </c>
      <c r="BZ142" s="338">
        <f>IF(Tech_Specs!$F29="Constant",Perform_Active!$K30,)</f>
        <v>0</v>
      </c>
      <c r="CA142" s="338">
        <f>IF(Tech_Specs!$F29="Constant",Perform_Active!$K30,)</f>
        <v>0</v>
      </c>
      <c r="CB142" s="338">
        <f>IF(Tech_Specs!$F29="Constant",Perform_Active!$K30,)</f>
        <v>0</v>
      </c>
      <c r="CC142" s="338">
        <f>IF(Tech_Specs!$F29="Constant",Perform_Active!$K30,)</f>
        <v>0</v>
      </c>
      <c r="CD142" s="338">
        <f>IF(Tech_Specs!$F29="Constant",Perform_Active!$K30,)</f>
        <v>0</v>
      </c>
      <c r="CE142" s="338">
        <f>IF(Tech_Specs!$F29="Constant",Perform_Active!$K30,)</f>
        <v>0</v>
      </c>
      <c r="CF142" s="338">
        <f>IF(Tech_Specs!$F29="Constant",Perform_Active!$K30,)</f>
        <v>0</v>
      </c>
      <c r="CG142" s="338">
        <f>IF(Tech_Specs!$F29="Constant",Perform_Active!$K30,)</f>
        <v>0</v>
      </c>
      <c r="CH142" s="338">
        <f>IF(Tech_Specs!$F29="Constant",Perform_Active!$K30,)</f>
        <v>0</v>
      </c>
      <c r="CJ142" s="625">
        <f>IF(AND(Tech_Specs!$F29="step",Standards_Active!$S30="yes"),IF(ISNUMBER(Standards_Active!$W30),IF(CJ$120&gt;=Standards_Active!$R30,Standards_Active!$W30,IF(CJ$120&lt;Standards_Active!$Q30,Perform_Active!$K30,(Standards_Active!$W30-Perform_Active!$K30)/(Standards_Active!$R30-(Standards_Active!$Q30-1))+CI142)),Perform_Active!$K30),)</f>
        <v>0</v>
      </c>
      <c r="CK142" s="625">
        <f>IF(AND(Tech_Specs!$F29="step",Standards_Active!$S30="yes"),IF(ISNUMBER(Standards_Active!$W30),IF(CK$120&gt;=Standards_Active!$R30,Standards_Active!$W30,IF(CK$120&lt;Standards_Active!$Q30,Perform_Active!$K30,(Standards_Active!$W30-Perform_Active!$K30)/(Standards_Active!$R30-(Standards_Active!$Q30-1))+CJ142)),Perform_Active!$K30),)</f>
        <v>0</v>
      </c>
      <c r="CL142" s="625">
        <f>IF(AND(Tech_Specs!$F29="step",Standards_Active!$S30="yes"),IF(ISNUMBER(Standards_Active!$W30),IF(CL$120&gt;=Standards_Active!$R30,Standards_Active!$W30,IF(CL$120&lt;Standards_Active!$Q30,Perform_Active!$K30,(Standards_Active!$W30-Perform_Active!$K30)/(Standards_Active!$R30-(Standards_Active!$Q30-1))+CK142)),Perform_Active!$K30),)</f>
        <v>0</v>
      </c>
      <c r="CM142" s="625">
        <f>IF(AND(Tech_Specs!$F29="step",Standards_Active!$S30="yes"),IF(ISNUMBER(Standards_Active!$W30),IF(CM$120&gt;=Standards_Active!$R30,Standards_Active!$W30,IF(CM$120&lt;Standards_Active!$Q30,Perform_Active!$K30,(Standards_Active!$W30-Perform_Active!$K30)/(Standards_Active!$R30-(Standards_Active!$Q30-1))+CL142)),Perform_Active!$K30),)</f>
        <v>0</v>
      </c>
      <c r="CN142" s="625">
        <f>IF(AND(Tech_Specs!$F29="step",Standards_Active!$S30="yes"),IF(ISNUMBER(Standards_Active!$W30),IF(CN$120&gt;=Standards_Active!$R30,Standards_Active!$W30,IF(CN$120&lt;Standards_Active!$Q30,Perform_Active!$K30,(Standards_Active!$W30-Perform_Active!$K30)/(Standards_Active!$R30-(Standards_Active!$Q30-1))+CM142)),Perform_Active!$K30),)</f>
        <v>0</v>
      </c>
      <c r="CO142" s="625">
        <f>IF(AND(Tech_Specs!$F29="step",Standards_Active!$S30="yes"),IF(ISNUMBER(Standards_Active!$W30),IF(CO$120&gt;=Standards_Active!$R30,Standards_Active!$W30,IF(CO$120&lt;Standards_Active!$Q30,Perform_Active!$K30,(Standards_Active!$W30-Perform_Active!$K30)/(Standards_Active!$R30-(Standards_Active!$Q30-1))+CN142)),Perform_Active!$K30),)</f>
        <v>0</v>
      </c>
      <c r="CP142" s="625">
        <f>IF(AND(Tech_Specs!$F29="step",Standards_Active!$S30="yes"),IF(ISNUMBER(Standards_Active!$W30),IF(CP$120&gt;=Standards_Active!$R30,Standards_Active!$W30,IF(CP$120&lt;Standards_Active!$Q30,Perform_Active!$K30,(Standards_Active!$W30-Perform_Active!$K30)/(Standards_Active!$R30-(Standards_Active!$Q30-1))+CO142)),Perform_Active!$K30),)</f>
        <v>0</v>
      </c>
      <c r="CQ142" s="625">
        <f>IF(AND(Tech_Specs!$F29="step",Standards_Active!$S30="yes"),IF(ISNUMBER(Standards_Active!$W30),IF(CQ$120&gt;=Standards_Active!$R30,Standards_Active!$W30,IF(CQ$120&lt;Standards_Active!$Q30,Perform_Active!$K30,(Standards_Active!$W30-Perform_Active!$K30)/(Standards_Active!$R30-(Standards_Active!$Q30-1))+CP142)),Perform_Active!$K30),)</f>
        <v>0</v>
      </c>
      <c r="CR142" s="625">
        <f>IF(AND(Tech_Specs!$F29="step",Standards_Active!$S30="yes"),IF(ISNUMBER(Standards_Active!$W30),IF(CR$120&gt;=Standards_Active!$R30,Standards_Active!$W30,IF(CR$120&lt;Standards_Active!$Q30,Perform_Active!$K30,(Standards_Active!$W30-Perform_Active!$K30)/(Standards_Active!$R30-(Standards_Active!$Q30-1))+CQ142)),Perform_Active!$K30),)</f>
        <v>0</v>
      </c>
      <c r="CS142" s="625">
        <f>IF(AND(Tech_Specs!$F29="step",Standards_Active!$S30="yes"),IF(ISNUMBER(Standards_Active!$W30),IF(CS$120&gt;=Standards_Active!$R30,Standards_Active!$W30,IF(CS$120&lt;Standards_Active!$Q30,Perform_Active!$K30,(Standards_Active!$W30-Perform_Active!$K30)/(Standards_Active!$R30-(Standards_Active!$Q30-1))+CR142)),Perform_Active!$K30),)</f>
        <v>0</v>
      </c>
      <c r="CT142" s="625">
        <f>IF(AND(Tech_Specs!$F29="step",Standards_Active!$S30="yes"),IF(ISNUMBER(Standards_Active!$W30),IF(CT$120&gt;=Standards_Active!$R30,Standards_Active!$W30,IF(CT$120&lt;Standards_Active!$Q30,Perform_Active!$K30,(Standards_Active!$W30-Perform_Active!$K30)/(Standards_Active!$R30-(Standards_Active!$Q30-1))+CS142)),Perform_Active!$K30),)</f>
        <v>0</v>
      </c>
      <c r="CU142" s="625">
        <f>IF(AND(Tech_Specs!$F29="step",Standards_Active!$S30="yes"),IF(ISNUMBER(Standards_Active!$W30),IF(CU$120&gt;=Standards_Active!$R30,Standards_Active!$W30,IF(CU$120&lt;Standards_Active!$Q30,Perform_Active!$K30,(Standards_Active!$W30-Perform_Active!$K30)/(Standards_Active!$R30-(Standards_Active!$Q30-1))+CT142)),Perform_Active!$K30),)</f>
        <v>0</v>
      </c>
      <c r="CV142" s="625">
        <f>IF(AND(Tech_Specs!$F29="step",Standards_Active!$S30="yes"),IF(ISNUMBER(Standards_Active!$W30),IF(CV$120&gt;=Standards_Active!$R30,Standards_Active!$W30,IF(CV$120&lt;Standards_Active!$Q30,Perform_Active!$K30,(Standards_Active!$W30-Perform_Active!$K30)/(Standards_Active!$R30-(Standards_Active!$Q30-1))+CU142)),Perform_Active!$K30),)</f>
        <v>0</v>
      </c>
      <c r="CW142" s="625">
        <f>IF(AND(Tech_Specs!$F29="step",Standards_Active!$S30="yes"),IF(ISNUMBER(Standards_Active!$W30),IF(CW$120&gt;=Standards_Active!$R30,Standards_Active!$W30,IF(CW$120&lt;Standards_Active!$Q30,Perform_Active!$K30,(Standards_Active!$W30-Perform_Active!$K30)/(Standards_Active!$R30-(Standards_Active!$Q30-1))+CV142)),Perform_Active!$K30),)</f>
        <v>0</v>
      </c>
      <c r="CX142" s="625">
        <f>IF(AND(Tech_Specs!$F29="step",Standards_Active!$S30="yes"),IF(ISNUMBER(Standards_Active!$W30),IF(CX$120&gt;=Standards_Active!$R30,Standards_Active!$W30,IF(CX$120&lt;Standards_Active!$Q30,Perform_Active!$K30,(Standards_Active!$W30-Perform_Active!$K30)/(Standards_Active!$R30-(Standards_Active!$Q30-1))+CW142)),Perform_Active!$K30),)</f>
        <v>0</v>
      </c>
      <c r="CY142" s="625">
        <f>IF(AND(Tech_Specs!$F29="step",Standards_Active!$S30="yes"),IF(ISNUMBER(Standards_Active!$W30),IF(CY$120&gt;=Standards_Active!$R30,Standards_Active!$W30,IF(CY$120&lt;Standards_Active!$Q30,Perform_Active!$K30,(Standards_Active!$W30-Perform_Active!$K30)/(Standards_Active!$R30-(Standards_Active!$Q30-1))+CX142)),Perform_Active!$K30),)</f>
        <v>0</v>
      </c>
      <c r="CZ142" s="625">
        <f>IF(AND(Tech_Specs!$F29="step",Standards_Active!$S30="yes"),IF(ISNUMBER(Standards_Active!$W30),IF(CZ$120&gt;=Standards_Active!$R30,Standards_Active!$W30,IF(CZ$120&lt;Standards_Active!$Q30,Perform_Active!$K30,(Standards_Active!$W30-Perform_Active!$K30)/(Standards_Active!$R30-(Standards_Active!$Q30-1))+CY142)),Perform_Active!$K30),)</f>
        <v>0</v>
      </c>
      <c r="DA142" s="625">
        <f>IF(AND(Tech_Specs!$F29="step",Standards_Active!$S30="yes"),IF(ISNUMBER(Standards_Active!$W30),IF(DA$120&gt;=Standards_Active!$R30,Standards_Active!$W30,IF(DA$120&lt;Standards_Active!$Q30,Perform_Active!$K30,(Standards_Active!$W30-Perform_Active!$K30)/(Standards_Active!$R30-(Standards_Active!$Q30-1))+CZ142)),Perform_Active!$K30),)</f>
        <v>0</v>
      </c>
      <c r="DB142" s="625">
        <f>IF(AND(Tech_Specs!$F29="step",Standards_Active!$S30="yes"),IF(ISNUMBER(Standards_Active!$W30),IF(DB$120&gt;=Standards_Active!$R30,Standards_Active!$W30,IF(DB$120&lt;Standards_Active!$Q30,Perform_Active!$K30,(Standards_Active!$W30-Perform_Active!$K30)/(Standards_Active!$R30-(Standards_Active!$Q30-1))+DA142)),Perform_Active!$K30),)</f>
        <v>0</v>
      </c>
      <c r="DC142" s="625">
        <f>IF(AND(Tech_Specs!$F29="step",Standards_Active!$S30="yes"),IF(ISNUMBER(Standards_Active!$W30),IF(DC$120&gt;=Standards_Active!$R30,Standards_Active!$W30,IF(DC$120&lt;Standards_Active!$Q30,Perform_Active!$K30,(Standards_Active!$W30-Perform_Active!$K30)/(Standards_Active!$R30-(Standards_Active!$Q30-1))+DB142)),Perform_Active!$K30),)</f>
        <v>0</v>
      </c>
      <c r="DD142" s="625">
        <f>IF(AND(Tech_Specs!$F29="step",Standards_Active!$S30="yes"),IF(ISNUMBER(Standards_Active!$W30),IF(DD$120&gt;=Standards_Active!$R30,Standards_Active!$W30,IF(DD$120&lt;Standards_Active!$Q30,Perform_Active!$K30,(Standards_Active!$W30-Perform_Active!$K30)/(Standards_Active!$R30-(Standards_Active!$Q30-1))+DC142)),Perform_Active!$K30),)</f>
        <v>0</v>
      </c>
      <c r="DE142" s="625">
        <f>IF(AND(Tech_Specs!$F29="step",Standards_Active!$S30="yes"),IF(ISNUMBER(Standards_Active!$W30),IF(DE$120&gt;=Standards_Active!$R30,Standards_Active!$W30,IF(DE$120&lt;Standards_Active!$Q30,Perform_Active!$K30,(Standards_Active!$W30-Perform_Active!$K30)/(Standards_Active!$R30-(Standards_Active!$Q30-1))+DD142)),Perform_Active!$K30),)</f>
        <v>0</v>
      </c>
      <c r="DF142" s="625">
        <f>IF(AND(Tech_Specs!$F29="step",Standards_Active!$S30="yes"),IF(ISNUMBER(Standards_Active!$W30),IF(DF$120&gt;=Standards_Active!$R30,Standards_Active!$W30,IF(DF$120&lt;Standards_Active!$Q30,Perform_Active!$K30,(Standards_Active!$W30-Perform_Active!$K30)/(Standards_Active!$R30-(Standards_Active!$Q30-1))+DE142)),Perform_Active!$K30),)</f>
        <v>0</v>
      </c>
      <c r="DG142" s="625">
        <f>IF(AND(Tech_Specs!$F29="step",Standards_Active!$S30="yes"),IF(ISNUMBER(Standards_Active!$W30),IF(DG$120&gt;=Standards_Active!$R30,Standards_Active!$W30,IF(DG$120&lt;Standards_Active!$Q30,Perform_Active!$K30,(Standards_Active!$W30-Perform_Active!$K30)/(Standards_Active!$R30-(Standards_Active!$Q30-1))+DF142)),Perform_Active!$K30),)</f>
        <v>0</v>
      </c>
      <c r="DH142" s="625">
        <f>IF(AND(Tech_Specs!$F29="step",Standards_Active!$S30="yes"),IF(ISNUMBER(Standards_Active!$W30),IF(DH$120&gt;=Standards_Active!$R30,Standards_Active!$W30,IF(DH$120&lt;Standards_Active!$Q30,Perform_Active!$K30,(Standards_Active!$W30-Perform_Active!$K30)/(Standards_Active!$R30-(Standards_Active!$Q30-1))+DG142)),Perform_Active!$K30),)</f>
        <v>0</v>
      </c>
      <c r="DI142" s="625">
        <f>IF(AND(Tech_Specs!$F29="step",Standards_Active!$S30="yes"),IF(ISNUMBER(Standards_Active!$W30),IF(DI$120&gt;=Standards_Active!$R30,Standards_Active!$W30,IF(DI$120&lt;Standards_Active!$Q30,Perform_Active!$K30,(Standards_Active!$W30-Perform_Active!$K30)/(Standards_Active!$R30-(Standards_Active!$Q30-1))+DH142)),Perform_Active!$K30),)</f>
        <v>0</v>
      </c>
    </row>
    <row r="143" spans="1:113" s="81" customFormat="1" ht="12.6" x14ac:dyDescent="0.25">
      <c r="B143" s="101" t="s">
        <v>46</v>
      </c>
      <c r="C143" s="101"/>
      <c r="D143" s="552"/>
      <c r="E143" s="552"/>
      <c r="F143" s="552"/>
      <c r="G143" s="128">
        <f t="shared" si="45"/>
        <v>0.74268392264446903</v>
      </c>
      <c r="H143" s="128">
        <f t="shared" si="45"/>
        <v>0.74268392264446903</v>
      </c>
      <c r="I143" s="128">
        <f t="shared" si="45"/>
        <v>0.74268392264446903</v>
      </c>
      <c r="J143" s="128">
        <f t="shared" si="45"/>
        <v>0.74268392264446903</v>
      </c>
      <c r="K143" s="128">
        <f t="shared" si="45"/>
        <v>0.74268392264446903</v>
      </c>
      <c r="L143" s="128">
        <f t="shared" si="45"/>
        <v>0.74268392264446903</v>
      </c>
      <c r="M143" s="128">
        <f t="shared" si="45"/>
        <v>0.74268392264446903</v>
      </c>
      <c r="N143" s="128">
        <f t="shared" si="45"/>
        <v>0.74268392264446903</v>
      </c>
      <c r="O143" s="128">
        <f t="shared" si="45"/>
        <v>0.74268392264446903</v>
      </c>
      <c r="P143" s="128">
        <f t="shared" si="45"/>
        <v>0.74268392264446903</v>
      </c>
      <c r="Q143" s="128">
        <f t="shared" si="46"/>
        <v>0.74268392264446903</v>
      </c>
      <c r="R143" s="128">
        <f t="shared" si="46"/>
        <v>0.74268392264446903</v>
      </c>
      <c r="S143" s="128">
        <f t="shared" si="46"/>
        <v>0.74268392264446903</v>
      </c>
      <c r="T143" s="128">
        <f t="shared" si="46"/>
        <v>0.74268392264446903</v>
      </c>
      <c r="U143" s="128">
        <f t="shared" si="46"/>
        <v>0.74268392264446903</v>
      </c>
      <c r="V143" s="128">
        <f t="shared" si="46"/>
        <v>0.74268392264446903</v>
      </c>
      <c r="W143" s="128">
        <f t="shared" si="46"/>
        <v>0.74268392264446903</v>
      </c>
      <c r="X143" s="128">
        <f t="shared" si="46"/>
        <v>0.74268392264446903</v>
      </c>
      <c r="Y143" s="128">
        <f t="shared" si="46"/>
        <v>0.74268392264446903</v>
      </c>
      <c r="Z143" s="128">
        <f t="shared" si="46"/>
        <v>0.74268392264446903</v>
      </c>
      <c r="AA143" s="128">
        <f t="shared" si="47"/>
        <v>0.74268392264446903</v>
      </c>
      <c r="AB143" s="128">
        <f t="shared" si="47"/>
        <v>0.74268392264446903</v>
      </c>
      <c r="AC143" s="128">
        <f t="shared" si="47"/>
        <v>0.74268392264446903</v>
      </c>
      <c r="AD143" s="128">
        <f t="shared" si="47"/>
        <v>0.74268392264446903</v>
      </c>
      <c r="AE143" s="128">
        <f t="shared" si="47"/>
        <v>0.74268392264446903</v>
      </c>
      <c r="AF143" s="128">
        <f t="shared" si="47"/>
        <v>0.74268392264446903</v>
      </c>
      <c r="AH143" s="405">
        <f>IF(Tech_Specs!$F30="linear",TREND(Perform_Active!$K31:$L31,Perform_Active!$K$8:$L$8,AH$120),)</f>
        <v>0.74268392264446903</v>
      </c>
      <c r="AI143" s="405">
        <f>IF(Tech_Specs!$F30="linear",TREND(Perform_Active!$K31:$L31,Perform_Active!$K$8:$L$8,AI$120),)</f>
        <v>0.74268392264446903</v>
      </c>
      <c r="AJ143" s="405">
        <f>IF(Tech_Specs!$F30="linear",TREND(Perform_Active!$K31:$L31,Perform_Active!$K$8:$L$8,AJ$120),)</f>
        <v>0.74268392264446903</v>
      </c>
      <c r="AK143" s="405">
        <f>IF(Tech_Specs!$F30="linear",TREND(Perform_Active!$K31:$L31,Perform_Active!$K$8:$L$8,AK$120),)</f>
        <v>0.74268392264446903</v>
      </c>
      <c r="AL143" s="405">
        <f>IF(Tech_Specs!$F30="linear",TREND(Perform_Active!$K31:$L31,Perform_Active!$K$8:$L$8,AL$120),)</f>
        <v>0.74268392264446903</v>
      </c>
      <c r="AM143" s="405">
        <f>IF(Tech_Specs!$F30="linear",TREND(Perform_Active!$K31:$L31,Perform_Active!$K$8:$L$8,AM$120),)</f>
        <v>0.74268392264446903</v>
      </c>
      <c r="AN143" s="405">
        <f>IF(Tech_Specs!$F30="linear",TREND(Perform_Active!$K31:$L31,Perform_Active!$K$8:$L$8,AN$120),)</f>
        <v>0.74268392264446903</v>
      </c>
      <c r="AO143" s="405">
        <f>IF(Tech_Specs!$F30="linear",TREND(Perform_Active!$K31:$L31,Perform_Active!$K$8:$L$8,AO$120),)</f>
        <v>0.74268392264446903</v>
      </c>
      <c r="AP143" s="405">
        <f>IF(Tech_Specs!$F30="linear",TREND(Perform_Active!$K31:$L31,Perform_Active!$K$8:$L$8,AP$120),)</f>
        <v>0.74268392264446903</v>
      </c>
      <c r="AQ143" s="405">
        <f>IF(Tech_Specs!$F30="linear",TREND(Perform_Active!$K31:$L31,Perform_Active!$K$8:$L$8,AQ$120),)</f>
        <v>0.74268392264446903</v>
      </c>
      <c r="AR143" s="405">
        <f>IF(Tech_Specs!$F30="linear",TREND(Perform_Active!$K31:$L31,Perform_Active!$K$8:$L$8,AR$120),)</f>
        <v>0.74268392264446903</v>
      </c>
      <c r="AS143" s="405">
        <f>IF(Tech_Specs!$F30="linear",TREND(Perform_Active!$K31:$L31,Perform_Active!$K$8:$L$8,AS$120),)</f>
        <v>0.74268392264446903</v>
      </c>
      <c r="AT143" s="405">
        <f>IF(Tech_Specs!$F30="linear",TREND(Perform_Active!$K31:$L31,Perform_Active!$K$8:$L$8,AT$120),)</f>
        <v>0.74268392264446903</v>
      </c>
      <c r="AU143" s="405">
        <f>IF(Tech_Specs!$F30="linear",TREND(Perform_Active!$K31:$L31,Perform_Active!$K$8:$L$8,AU$120),)</f>
        <v>0.74268392264446903</v>
      </c>
      <c r="AV143" s="405">
        <f>IF(Tech_Specs!$F30="linear",TREND(Perform_Active!$K31:$L31,Perform_Active!$K$8:$L$8,AV$120),)</f>
        <v>0.74268392264446903</v>
      </c>
      <c r="AW143" s="405">
        <f>IF(Tech_Specs!$F30="linear",TREND(Perform_Active!$K31:$L31,Perform_Active!$K$8:$L$8,AW$120),)</f>
        <v>0.74268392264446903</v>
      </c>
      <c r="AX143" s="405">
        <f>IF(Tech_Specs!$F30="linear",TREND(Perform_Active!$K31:$L31,Perform_Active!$K$8:$L$8,AX$120),)</f>
        <v>0.74268392264446903</v>
      </c>
      <c r="AY143" s="405">
        <f>IF(Tech_Specs!$F30="linear",TREND(Perform_Active!$K31:$L31,Perform_Active!$K$8:$L$8,AY$120),)</f>
        <v>0.74268392264446903</v>
      </c>
      <c r="AZ143" s="405">
        <f>IF(Tech_Specs!$F30="linear",TREND(Perform_Active!$K31:$L31,Perform_Active!$K$8:$L$8,AZ$120),)</f>
        <v>0.74268392264446903</v>
      </c>
      <c r="BA143" s="405">
        <f>IF(Tech_Specs!$F30="linear",TREND(Perform_Active!$K31:$L31,Perform_Active!$K$8:$L$8,BA$120),)</f>
        <v>0.74268392264446903</v>
      </c>
      <c r="BB143" s="405">
        <f>IF(Tech_Specs!$F30="linear",TREND(Perform_Active!$K31:$L31,Perform_Active!$K$8:$L$8,BB$120),)</f>
        <v>0.74268392264446903</v>
      </c>
      <c r="BC143" s="405">
        <f>IF(Tech_Specs!$F30="linear",TREND(Perform_Active!$K31:$L31,Perform_Active!$K$8:$L$8,BC$120),)</f>
        <v>0.74268392264446903</v>
      </c>
      <c r="BD143" s="405">
        <f>IF(Tech_Specs!$F30="linear",TREND(Perform_Active!$K31:$L31,Perform_Active!$K$8:$L$8,BD$120),)</f>
        <v>0.74268392264446903</v>
      </c>
      <c r="BE143" s="405">
        <f>IF(Tech_Specs!$F30="linear",TREND(Perform_Active!$K31:$L31,Perform_Active!$K$8:$L$8,BE$120),)</f>
        <v>0.74268392264446903</v>
      </c>
      <c r="BF143" s="405">
        <f>IF(Tech_Specs!$F30="linear",TREND(Perform_Active!$K31:$L31,Perform_Active!$K$8:$L$8,BF$120),)</f>
        <v>0.74268392264446903</v>
      </c>
      <c r="BG143" s="405">
        <f>IF(Tech_Specs!$F30="linear",TREND(Perform_Active!$K31:$L31,Perform_Active!$K$8:$L$8,BG$120),)</f>
        <v>0.74268392264446903</v>
      </c>
      <c r="BI143" s="338">
        <f>IF(Tech_Specs!$F30="Constant",Perform_Active!$K31,)</f>
        <v>0</v>
      </c>
      <c r="BJ143" s="338">
        <f>IF(Tech_Specs!$F30="Constant",Perform_Active!$K31,)</f>
        <v>0</v>
      </c>
      <c r="BK143" s="338">
        <f>IF(Tech_Specs!$F30="Constant",Perform_Active!$K31,)</f>
        <v>0</v>
      </c>
      <c r="BL143" s="338">
        <f>IF(Tech_Specs!$F30="Constant",Perform_Active!$K31,)</f>
        <v>0</v>
      </c>
      <c r="BM143" s="338">
        <f>IF(Tech_Specs!$F30="Constant",Perform_Active!$K31,)</f>
        <v>0</v>
      </c>
      <c r="BN143" s="338">
        <f>IF(Tech_Specs!$F30="Constant",Perform_Active!$K31,)</f>
        <v>0</v>
      </c>
      <c r="BO143" s="338">
        <f>IF(Tech_Specs!$F30="Constant",Perform_Active!$K31,)</f>
        <v>0</v>
      </c>
      <c r="BP143" s="338">
        <f>IF(Tech_Specs!$F30="Constant",Perform_Active!$K31,)</f>
        <v>0</v>
      </c>
      <c r="BQ143" s="338">
        <f>IF(Tech_Specs!$F30="Constant",Perform_Active!$K31,)</f>
        <v>0</v>
      </c>
      <c r="BR143" s="338">
        <f>IF(Tech_Specs!$F30="Constant",Perform_Active!$K31,)</f>
        <v>0</v>
      </c>
      <c r="BS143" s="338">
        <f>IF(Tech_Specs!$F30="Constant",Perform_Active!$K31,)</f>
        <v>0</v>
      </c>
      <c r="BT143" s="338">
        <f>IF(Tech_Specs!$F30="Constant",Perform_Active!$K31,)</f>
        <v>0</v>
      </c>
      <c r="BU143" s="338">
        <f>IF(Tech_Specs!$F30="Constant",Perform_Active!$K31,)</f>
        <v>0</v>
      </c>
      <c r="BV143" s="338">
        <f>IF(Tech_Specs!$F30="Constant",Perform_Active!$K31,)</f>
        <v>0</v>
      </c>
      <c r="BW143" s="338">
        <f>IF(Tech_Specs!$F30="Constant",Perform_Active!$K31,)</f>
        <v>0</v>
      </c>
      <c r="BX143" s="338">
        <f>IF(Tech_Specs!$F30="Constant",Perform_Active!$K31,)</f>
        <v>0</v>
      </c>
      <c r="BY143" s="338">
        <f>IF(Tech_Specs!$F30="Constant",Perform_Active!$K31,)</f>
        <v>0</v>
      </c>
      <c r="BZ143" s="338">
        <f>IF(Tech_Specs!$F30="Constant",Perform_Active!$K31,)</f>
        <v>0</v>
      </c>
      <c r="CA143" s="338">
        <f>IF(Tech_Specs!$F30="Constant",Perform_Active!$K31,)</f>
        <v>0</v>
      </c>
      <c r="CB143" s="338">
        <f>IF(Tech_Specs!$F30="Constant",Perform_Active!$K31,)</f>
        <v>0</v>
      </c>
      <c r="CC143" s="338">
        <f>IF(Tech_Specs!$F30="Constant",Perform_Active!$K31,)</f>
        <v>0</v>
      </c>
      <c r="CD143" s="338">
        <f>IF(Tech_Specs!$F30="Constant",Perform_Active!$K31,)</f>
        <v>0</v>
      </c>
      <c r="CE143" s="338">
        <f>IF(Tech_Specs!$F30="Constant",Perform_Active!$K31,)</f>
        <v>0</v>
      </c>
      <c r="CF143" s="338">
        <f>IF(Tech_Specs!$F30="Constant",Perform_Active!$K31,)</f>
        <v>0</v>
      </c>
      <c r="CG143" s="338">
        <f>IF(Tech_Specs!$F30="Constant",Perform_Active!$K31,)</f>
        <v>0</v>
      </c>
      <c r="CH143" s="338">
        <f>IF(Tech_Specs!$F30="Constant",Perform_Active!$K31,)</f>
        <v>0</v>
      </c>
      <c r="CJ143" s="625">
        <f>IF(AND(Tech_Specs!$F30="step",Standards_Active!$S31="yes"),IF(ISNUMBER(Standards_Active!$W31),IF(CJ$120&gt;=Standards_Active!$R31,Standards_Active!$W31,IF(CJ$120&lt;Standards_Active!$Q31,Perform_Active!$K31,(Standards_Active!$W31-Perform_Active!$K31)/(Standards_Active!$R31-(Standards_Active!$Q31-1))+CI143)),Perform_Active!$K31),)</f>
        <v>0</v>
      </c>
      <c r="CK143" s="625">
        <f>IF(AND(Tech_Specs!$F30="step",Standards_Active!$S31="yes"),IF(ISNUMBER(Standards_Active!$W31),IF(CK$120&gt;=Standards_Active!$R31,Standards_Active!$W31,IF(CK$120&lt;Standards_Active!$Q31,Perform_Active!$K31,(Standards_Active!$W31-Perform_Active!$K31)/(Standards_Active!$R31-(Standards_Active!$Q31-1))+CJ143)),Perform_Active!$K31),)</f>
        <v>0</v>
      </c>
      <c r="CL143" s="625">
        <f>IF(AND(Tech_Specs!$F30="step",Standards_Active!$S31="yes"),IF(ISNUMBER(Standards_Active!$W31),IF(CL$120&gt;=Standards_Active!$R31,Standards_Active!$W31,IF(CL$120&lt;Standards_Active!$Q31,Perform_Active!$K31,(Standards_Active!$W31-Perform_Active!$K31)/(Standards_Active!$R31-(Standards_Active!$Q31-1))+CK143)),Perform_Active!$K31),)</f>
        <v>0</v>
      </c>
      <c r="CM143" s="625">
        <f>IF(AND(Tech_Specs!$F30="step",Standards_Active!$S31="yes"),IF(ISNUMBER(Standards_Active!$W31),IF(CM$120&gt;=Standards_Active!$R31,Standards_Active!$W31,IF(CM$120&lt;Standards_Active!$Q31,Perform_Active!$K31,(Standards_Active!$W31-Perform_Active!$K31)/(Standards_Active!$R31-(Standards_Active!$Q31-1))+CL143)),Perform_Active!$K31),)</f>
        <v>0</v>
      </c>
      <c r="CN143" s="625">
        <f>IF(AND(Tech_Specs!$F30="step",Standards_Active!$S31="yes"),IF(ISNUMBER(Standards_Active!$W31),IF(CN$120&gt;=Standards_Active!$R31,Standards_Active!$W31,IF(CN$120&lt;Standards_Active!$Q31,Perform_Active!$K31,(Standards_Active!$W31-Perform_Active!$K31)/(Standards_Active!$R31-(Standards_Active!$Q31-1))+CM143)),Perform_Active!$K31),)</f>
        <v>0</v>
      </c>
      <c r="CO143" s="625">
        <f>IF(AND(Tech_Specs!$F30="step",Standards_Active!$S31="yes"),IF(ISNUMBER(Standards_Active!$W31),IF(CO$120&gt;=Standards_Active!$R31,Standards_Active!$W31,IF(CO$120&lt;Standards_Active!$Q31,Perform_Active!$K31,(Standards_Active!$W31-Perform_Active!$K31)/(Standards_Active!$R31-(Standards_Active!$Q31-1))+CN143)),Perform_Active!$K31),)</f>
        <v>0</v>
      </c>
      <c r="CP143" s="625">
        <f>IF(AND(Tech_Specs!$F30="step",Standards_Active!$S31="yes"),IF(ISNUMBER(Standards_Active!$W31),IF(CP$120&gt;=Standards_Active!$R31,Standards_Active!$W31,IF(CP$120&lt;Standards_Active!$Q31,Perform_Active!$K31,(Standards_Active!$W31-Perform_Active!$K31)/(Standards_Active!$R31-(Standards_Active!$Q31-1))+CO143)),Perform_Active!$K31),)</f>
        <v>0</v>
      </c>
      <c r="CQ143" s="625">
        <f>IF(AND(Tech_Specs!$F30="step",Standards_Active!$S31="yes"),IF(ISNUMBER(Standards_Active!$W31),IF(CQ$120&gt;=Standards_Active!$R31,Standards_Active!$W31,IF(CQ$120&lt;Standards_Active!$Q31,Perform_Active!$K31,(Standards_Active!$W31-Perform_Active!$K31)/(Standards_Active!$R31-(Standards_Active!$Q31-1))+CP143)),Perform_Active!$K31),)</f>
        <v>0</v>
      </c>
      <c r="CR143" s="625">
        <f>IF(AND(Tech_Specs!$F30="step",Standards_Active!$S31="yes"),IF(ISNUMBER(Standards_Active!$W31),IF(CR$120&gt;=Standards_Active!$R31,Standards_Active!$W31,IF(CR$120&lt;Standards_Active!$Q31,Perform_Active!$K31,(Standards_Active!$W31-Perform_Active!$K31)/(Standards_Active!$R31-(Standards_Active!$Q31-1))+CQ143)),Perform_Active!$K31),)</f>
        <v>0</v>
      </c>
      <c r="CS143" s="625">
        <f>IF(AND(Tech_Specs!$F30="step",Standards_Active!$S31="yes"),IF(ISNUMBER(Standards_Active!$W31),IF(CS$120&gt;=Standards_Active!$R31,Standards_Active!$W31,IF(CS$120&lt;Standards_Active!$Q31,Perform_Active!$K31,(Standards_Active!$W31-Perform_Active!$K31)/(Standards_Active!$R31-(Standards_Active!$Q31-1))+CR143)),Perform_Active!$K31),)</f>
        <v>0</v>
      </c>
      <c r="CT143" s="625">
        <f>IF(AND(Tech_Specs!$F30="step",Standards_Active!$S31="yes"),IF(ISNUMBER(Standards_Active!$W31),IF(CT$120&gt;=Standards_Active!$R31,Standards_Active!$W31,IF(CT$120&lt;Standards_Active!$Q31,Perform_Active!$K31,(Standards_Active!$W31-Perform_Active!$K31)/(Standards_Active!$R31-(Standards_Active!$Q31-1))+CS143)),Perform_Active!$K31),)</f>
        <v>0</v>
      </c>
      <c r="CU143" s="625">
        <f>IF(AND(Tech_Specs!$F30="step",Standards_Active!$S31="yes"),IF(ISNUMBER(Standards_Active!$W31),IF(CU$120&gt;=Standards_Active!$R31,Standards_Active!$W31,IF(CU$120&lt;Standards_Active!$Q31,Perform_Active!$K31,(Standards_Active!$W31-Perform_Active!$K31)/(Standards_Active!$R31-(Standards_Active!$Q31-1))+CT143)),Perform_Active!$K31),)</f>
        <v>0</v>
      </c>
      <c r="CV143" s="625">
        <f>IF(AND(Tech_Specs!$F30="step",Standards_Active!$S31="yes"),IF(ISNUMBER(Standards_Active!$W31),IF(CV$120&gt;=Standards_Active!$R31,Standards_Active!$W31,IF(CV$120&lt;Standards_Active!$Q31,Perform_Active!$K31,(Standards_Active!$W31-Perform_Active!$K31)/(Standards_Active!$R31-(Standards_Active!$Q31-1))+CU143)),Perform_Active!$K31),)</f>
        <v>0</v>
      </c>
      <c r="CW143" s="625">
        <f>IF(AND(Tech_Specs!$F30="step",Standards_Active!$S31="yes"),IF(ISNUMBER(Standards_Active!$W31),IF(CW$120&gt;=Standards_Active!$R31,Standards_Active!$W31,IF(CW$120&lt;Standards_Active!$Q31,Perform_Active!$K31,(Standards_Active!$W31-Perform_Active!$K31)/(Standards_Active!$R31-(Standards_Active!$Q31-1))+CV143)),Perform_Active!$K31),)</f>
        <v>0</v>
      </c>
      <c r="CX143" s="625">
        <f>IF(AND(Tech_Specs!$F30="step",Standards_Active!$S31="yes"),IF(ISNUMBER(Standards_Active!$W31),IF(CX$120&gt;=Standards_Active!$R31,Standards_Active!$W31,IF(CX$120&lt;Standards_Active!$Q31,Perform_Active!$K31,(Standards_Active!$W31-Perform_Active!$K31)/(Standards_Active!$R31-(Standards_Active!$Q31-1))+CW143)),Perform_Active!$K31),)</f>
        <v>0</v>
      </c>
      <c r="CY143" s="625">
        <f>IF(AND(Tech_Specs!$F30="step",Standards_Active!$S31="yes"),IF(ISNUMBER(Standards_Active!$W31),IF(CY$120&gt;=Standards_Active!$R31,Standards_Active!$W31,IF(CY$120&lt;Standards_Active!$Q31,Perform_Active!$K31,(Standards_Active!$W31-Perform_Active!$K31)/(Standards_Active!$R31-(Standards_Active!$Q31-1))+CX143)),Perform_Active!$K31),)</f>
        <v>0</v>
      </c>
      <c r="CZ143" s="625">
        <f>IF(AND(Tech_Specs!$F30="step",Standards_Active!$S31="yes"),IF(ISNUMBER(Standards_Active!$W31),IF(CZ$120&gt;=Standards_Active!$R31,Standards_Active!$W31,IF(CZ$120&lt;Standards_Active!$Q31,Perform_Active!$K31,(Standards_Active!$W31-Perform_Active!$K31)/(Standards_Active!$R31-(Standards_Active!$Q31-1))+CY143)),Perform_Active!$K31),)</f>
        <v>0</v>
      </c>
      <c r="DA143" s="625">
        <f>IF(AND(Tech_Specs!$F30="step",Standards_Active!$S31="yes"),IF(ISNUMBER(Standards_Active!$W31),IF(DA$120&gt;=Standards_Active!$R31,Standards_Active!$W31,IF(DA$120&lt;Standards_Active!$Q31,Perform_Active!$K31,(Standards_Active!$W31-Perform_Active!$K31)/(Standards_Active!$R31-(Standards_Active!$Q31-1))+CZ143)),Perform_Active!$K31),)</f>
        <v>0</v>
      </c>
      <c r="DB143" s="625">
        <f>IF(AND(Tech_Specs!$F30="step",Standards_Active!$S31="yes"),IF(ISNUMBER(Standards_Active!$W31),IF(DB$120&gt;=Standards_Active!$R31,Standards_Active!$W31,IF(DB$120&lt;Standards_Active!$Q31,Perform_Active!$K31,(Standards_Active!$W31-Perform_Active!$K31)/(Standards_Active!$R31-(Standards_Active!$Q31-1))+DA143)),Perform_Active!$K31),)</f>
        <v>0</v>
      </c>
      <c r="DC143" s="625">
        <f>IF(AND(Tech_Specs!$F30="step",Standards_Active!$S31="yes"),IF(ISNUMBER(Standards_Active!$W31),IF(DC$120&gt;=Standards_Active!$R31,Standards_Active!$W31,IF(DC$120&lt;Standards_Active!$Q31,Perform_Active!$K31,(Standards_Active!$W31-Perform_Active!$K31)/(Standards_Active!$R31-(Standards_Active!$Q31-1))+DB143)),Perform_Active!$K31),)</f>
        <v>0</v>
      </c>
      <c r="DD143" s="625">
        <f>IF(AND(Tech_Specs!$F30="step",Standards_Active!$S31="yes"),IF(ISNUMBER(Standards_Active!$W31),IF(DD$120&gt;=Standards_Active!$R31,Standards_Active!$W31,IF(DD$120&lt;Standards_Active!$Q31,Perform_Active!$K31,(Standards_Active!$W31-Perform_Active!$K31)/(Standards_Active!$R31-(Standards_Active!$Q31-1))+DC143)),Perform_Active!$K31),)</f>
        <v>0</v>
      </c>
      <c r="DE143" s="625">
        <f>IF(AND(Tech_Specs!$F30="step",Standards_Active!$S31="yes"),IF(ISNUMBER(Standards_Active!$W31),IF(DE$120&gt;=Standards_Active!$R31,Standards_Active!$W31,IF(DE$120&lt;Standards_Active!$Q31,Perform_Active!$K31,(Standards_Active!$W31-Perform_Active!$K31)/(Standards_Active!$R31-(Standards_Active!$Q31-1))+DD143)),Perform_Active!$K31),)</f>
        <v>0</v>
      </c>
      <c r="DF143" s="625">
        <f>IF(AND(Tech_Specs!$F30="step",Standards_Active!$S31="yes"),IF(ISNUMBER(Standards_Active!$W31),IF(DF$120&gt;=Standards_Active!$R31,Standards_Active!$W31,IF(DF$120&lt;Standards_Active!$Q31,Perform_Active!$K31,(Standards_Active!$W31-Perform_Active!$K31)/(Standards_Active!$R31-(Standards_Active!$Q31-1))+DE143)),Perform_Active!$K31),)</f>
        <v>0</v>
      </c>
      <c r="DG143" s="625">
        <f>IF(AND(Tech_Specs!$F30="step",Standards_Active!$S31="yes"),IF(ISNUMBER(Standards_Active!$W31),IF(DG$120&gt;=Standards_Active!$R31,Standards_Active!$W31,IF(DG$120&lt;Standards_Active!$Q31,Perform_Active!$K31,(Standards_Active!$W31-Perform_Active!$K31)/(Standards_Active!$R31-(Standards_Active!$Q31-1))+DF143)),Perform_Active!$K31),)</f>
        <v>0</v>
      </c>
      <c r="DH143" s="625">
        <f>IF(AND(Tech_Specs!$F30="step",Standards_Active!$S31="yes"),IF(ISNUMBER(Standards_Active!$W31),IF(DH$120&gt;=Standards_Active!$R31,Standards_Active!$W31,IF(DH$120&lt;Standards_Active!$Q31,Perform_Active!$K31,(Standards_Active!$W31-Perform_Active!$K31)/(Standards_Active!$R31-(Standards_Active!$Q31-1))+DG143)),Perform_Active!$K31),)</f>
        <v>0</v>
      </c>
      <c r="DI143" s="625">
        <f>IF(AND(Tech_Specs!$F30="step",Standards_Active!$S31="yes"),IF(ISNUMBER(Standards_Active!$W31),IF(DI$120&gt;=Standards_Active!$R31,Standards_Active!$W31,IF(DI$120&lt;Standards_Active!$Q31,Perform_Active!$K31,(Standards_Active!$W31-Perform_Active!$K31)/(Standards_Active!$R31-(Standards_Active!$Q31-1))+DH143)),Perform_Active!$K31),)</f>
        <v>0</v>
      </c>
    </row>
    <row r="144" spans="1:113" s="81" customFormat="1" ht="12.6" x14ac:dyDescent="0.25">
      <c r="B144" s="81" t="s">
        <v>29</v>
      </c>
      <c r="D144" s="550"/>
      <c r="E144" s="550"/>
      <c r="F144" s="550"/>
      <c r="G144" s="128">
        <f t="shared" si="45"/>
        <v>1</v>
      </c>
      <c r="H144" s="128">
        <f t="shared" si="45"/>
        <v>1</v>
      </c>
      <c r="I144" s="128">
        <f t="shared" si="45"/>
        <v>1</v>
      </c>
      <c r="J144" s="128">
        <f t="shared" si="45"/>
        <v>1</v>
      </c>
      <c r="K144" s="128">
        <f t="shared" si="45"/>
        <v>1</v>
      </c>
      <c r="L144" s="128">
        <f t="shared" si="45"/>
        <v>1</v>
      </c>
      <c r="M144" s="128">
        <f t="shared" si="45"/>
        <v>1</v>
      </c>
      <c r="N144" s="128">
        <f t="shared" si="45"/>
        <v>1</v>
      </c>
      <c r="O144" s="128">
        <f t="shared" si="45"/>
        <v>1</v>
      </c>
      <c r="P144" s="128">
        <f t="shared" si="45"/>
        <v>1</v>
      </c>
      <c r="Q144" s="128">
        <f t="shared" si="46"/>
        <v>1</v>
      </c>
      <c r="R144" s="128">
        <f t="shared" si="46"/>
        <v>1</v>
      </c>
      <c r="S144" s="128">
        <f t="shared" si="46"/>
        <v>1</v>
      </c>
      <c r="T144" s="128">
        <f t="shared" si="46"/>
        <v>1</v>
      </c>
      <c r="U144" s="128">
        <f t="shared" si="46"/>
        <v>1</v>
      </c>
      <c r="V144" s="128">
        <f t="shared" si="46"/>
        <v>1</v>
      </c>
      <c r="W144" s="128">
        <f t="shared" si="46"/>
        <v>1</v>
      </c>
      <c r="X144" s="128">
        <f t="shared" si="46"/>
        <v>1</v>
      </c>
      <c r="Y144" s="128">
        <f t="shared" si="46"/>
        <v>1</v>
      </c>
      <c r="Z144" s="128">
        <f t="shared" si="46"/>
        <v>1</v>
      </c>
      <c r="AA144" s="128">
        <f t="shared" si="47"/>
        <v>1</v>
      </c>
      <c r="AB144" s="128">
        <f t="shared" si="47"/>
        <v>1</v>
      </c>
      <c r="AC144" s="128">
        <f t="shared" si="47"/>
        <v>1</v>
      </c>
      <c r="AD144" s="128">
        <f t="shared" si="47"/>
        <v>1</v>
      </c>
      <c r="AE144" s="128">
        <f t="shared" si="47"/>
        <v>1</v>
      </c>
      <c r="AF144" s="128">
        <f t="shared" si="47"/>
        <v>1</v>
      </c>
      <c r="AH144" s="405">
        <f>IF(Tech_Specs!$F31="linear",TREND(Perform_Active!$K32:$L32,Perform_Active!$K$8:$L$8,AH$120),)</f>
        <v>0</v>
      </c>
      <c r="AI144" s="405">
        <f>IF(Tech_Specs!$F31="linear",TREND(Perform_Active!$K32:$L32,Perform_Active!$K$8:$L$8,AI$120),)</f>
        <v>0</v>
      </c>
      <c r="AJ144" s="405">
        <f>IF(Tech_Specs!$F31="linear",TREND(Perform_Active!$K32:$L32,Perform_Active!$K$8:$L$8,AJ$120),)</f>
        <v>0</v>
      </c>
      <c r="AK144" s="405">
        <f>IF(Tech_Specs!$F31="linear",TREND(Perform_Active!$K32:$L32,Perform_Active!$K$8:$L$8,AK$120),)</f>
        <v>0</v>
      </c>
      <c r="AL144" s="405">
        <f>IF(Tech_Specs!$F31="linear",TREND(Perform_Active!$K32:$L32,Perform_Active!$K$8:$L$8,AL$120),)</f>
        <v>0</v>
      </c>
      <c r="AM144" s="405">
        <f>IF(Tech_Specs!$F31="linear",TREND(Perform_Active!$K32:$L32,Perform_Active!$K$8:$L$8,AM$120),)</f>
        <v>0</v>
      </c>
      <c r="AN144" s="405">
        <f>IF(Tech_Specs!$F31="linear",TREND(Perform_Active!$K32:$L32,Perform_Active!$K$8:$L$8,AN$120),)</f>
        <v>0</v>
      </c>
      <c r="AO144" s="405">
        <f>IF(Tech_Specs!$F31="linear",TREND(Perform_Active!$K32:$L32,Perform_Active!$K$8:$L$8,AO$120),)</f>
        <v>0</v>
      </c>
      <c r="AP144" s="405">
        <f>IF(Tech_Specs!$F31="linear",TREND(Perform_Active!$K32:$L32,Perform_Active!$K$8:$L$8,AP$120),)</f>
        <v>0</v>
      </c>
      <c r="AQ144" s="405">
        <f>IF(Tech_Specs!$F31="linear",TREND(Perform_Active!$K32:$L32,Perform_Active!$K$8:$L$8,AQ$120),)</f>
        <v>0</v>
      </c>
      <c r="AR144" s="405">
        <f>IF(Tech_Specs!$F31="linear",TREND(Perform_Active!$K32:$L32,Perform_Active!$K$8:$L$8,AR$120),)</f>
        <v>0</v>
      </c>
      <c r="AS144" s="405">
        <f>IF(Tech_Specs!$F31="linear",TREND(Perform_Active!$K32:$L32,Perform_Active!$K$8:$L$8,AS$120),)</f>
        <v>0</v>
      </c>
      <c r="AT144" s="405">
        <f>IF(Tech_Specs!$F31="linear",TREND(Perform_Active!$K32:$L32,Perform_Active!$K$8:$L$8,AT$120),)</f>
        <v>0</v>
      </c>
      <c r="AU144" s="405">
        <f>IF(Tech_Specs!$F31="linear",TREND(Perform_Active!$K32:$L32,Perform_Active!$K$8:$L$8,AU$120),)</f>
        <v>0</v>
      </c>
      <c r="AV144" s="405">
        <f>IF(Tech_Specs!$F31="linear",TREND(Perform_Active!$K32:$L32,Perform_Active!$K$8:$L$8,AV$120),)</f>
        <v>0</v>
      </c>
      <c r="AW144" s="405">
        <f>IF(Tech_Specs!$F31="linear",TREND(Perform_Active!$K32:$L32,Perform_Active!$K$8:$L$8,AW$120),)</f>
        <v>0</v>
      </c>
      <c r="AX144" s="405">
        <f>IF(Tech_Specs!$F31="linear",TREND(Perform_Active!$K32:$L32,Perform_Active!$K$8:$L$8,AX$120),)</f>
        <v>0</v>
      </c>
      <c r="AY144" s="405">
        <f>IF(Tech_Specs!$F31="linear",TREND(Perform_Active!$K32:$L32,Perform_Active!$K$8:$L$8,AY$120),)</f>
        <v>0</v>
      </c>
      <c r="AZ144" s="405">
        <f>IF(Tech_Specs!$F31="linear",TREND(Perform_Active!$K32:$L32,Perform_Active!$K$8:$L$8,AZ$120),)</f>
        <v>0</v>
      </c>
      <c r="BA144" s="405">
        <f>IF(Tech_Specs!$F31="linear",TREND(Perform_Active!$K32:$L32,Perform_Active!$K$8:$L$8,BA$120),)</f>
        <v>0</v>
      </c>
      <c r="BB144" s="405">
        <f>IF(Tech_Specs!$F31="linear",TREND(Perform_Active!$K32:$L32,Perform_Active!$K$8:$L$8,BB$120),)</f>
        <v>0</v>
      </c>
      <c r="BC144" s="405">
        <f>IF(Tech_Specs!$F31="linear",TREND(Perform_Active!$K32:$L32,Perform_Active!$K$8:$L$8,BC$120),)</f>
        <v>0</v>
      </c>
      <c r="BD144" s="405">
        <f>IF(Tech_Specs!$F31="linear",TREND(Perform_Active!$K32:$L32,Perform_Active!$K$8:$L$8,BD$120),)</f>
        <v>0</v>
      </c>
      <c r="BE144" s="405">
        <f>IF(Tech_Specs!$F31="linear",TREND(Perform_Active!$K32:$L32,Perform_Active!$K$8:$L$8,BE$120),)</f>
        <v>0</v>
      </c>
      <c r="BF144" s="405">
        <f>IF(Tech_Specs!$F31="linear",TREND(Perform_Active!$K32:$L32,Perform_Active!$K$8:$L$8,BF$120),)</f>
        <v>0</v>
      </c>
      <c r="BG144" s="405">
        <f>IF(Tech_Specs!$F31="linear",TREND(Perform_Active!$K32:$L32,Perform_Active!$K$8:$L$8,BG$120),)</f>
        <v>0</v>
      </c>
      <c r="BI144" s="338">
        <f>IF(Tech_Specs!$F31="Constant",Perform_Active!$K32,)</f>
        <v>1</v>
      </c>
      <c r="BJ144" s="338">
        <f>IF(Tech_Specs!$F31="Constant",Perform_Active!$K32,)</f>
        <v>1</v>
      </c>
      <c r="BK144" s="338">
        <f>IF(Tech_Specs!$F31="Constant",Perform_Active!$K32,)</f>
        <v>1</v>
      </c>
      <c r="BL144" s="338">
        <f>IF(Tech_Specs!$F31="Constant",Perform_Active!$K32,)</f>
        <v>1</v>
      </c>
      <c r="BM144" s="338">
        <f>IF(Tech_Specs!$F31="Constant",Perform_Active!$K32,)</f>
        <v>1</v>
      </c>
      <c r="BN144" s="338">
        <f>IF(Tech_Specs!$F31="Constant",Perform_Active!$K32,)</f>
        <v>1</v>
      </c>
      <c r="BO144" s="338">
        <f>IF(Tech_Specs!$F31="Constant",Perform_Active!$K32,)</f>
        <v>1</v>
      </c>
      <c r="BP144" s="338">
        <f>IF(Tech_Specs!$F31="Constant",Perform_Active!$K32,)</f>
        <v>1</v>
      </c>
      <c r="BQ144" s="338">
        <f>IF(Tech_Specs!$F31="Constant",Perform_Active!$K32,)</f>
        <v>1</v>
      </c>
      <c r="BR144" s="338">
        <f>IF(Tech_Specs!$F31="Constant",Perform_Active!$K32,)</f>
        <v>1</v>
      </c>
      <c r="BS144" s="338">
        <f>IF(Tech_Specs!$F31="Constant",Perform_Active!$K32,)</f>
        <v>1</v>
      </c>
      <c r="BT144" s="338">
        <f>IF(Tech_Specs!$F31="Constant",Perform_Active!$K32,)</f>
        <v>1</v>
      </c>
      <c r="BU144" s="338">
        <f>IF(Tech_Specs!$F31="Constant",Perform_Active!$K32,)</f>
        <v>1</v>
      </c>
      <c r="BV144" s="338">
        <f>IF(Tech_Specs!$F31="Constant",Perform_Active!$K32,)</f>
        <v>1</v>
      </c>
      <c r="BW144" s="338">
        <f>IF(Tech_Specs!$F31="Constant",Perform_Active!$K32,)</f>
        <v>1</v>
      </c>
      <c r="BX144" s="338">
        <f>IF(Tech_Specs!$F31="Constant",Perform_Active!$K32,)</f>
        <v>1</v>
      </c>
      <c r="BY144" s="338">
        <f>IF(Tech_Specs!$F31="Constant",Perform_Active!$K32,)</f>
        <v>1</v>
      </c>
      <c r="BZ144" s="338">
        <f>IF(Tech_Specs!$F31="Constant",Perform_Active!$K32,)</f>
        <v>1</v>
      </c>
      <c r="CA144" s="338">
        <f>IF(Tech_Specs!$F31="Constant",Perform_Active!$K32,)</f>
        <v>1</v>
      </c>
      <c r="CB144" s="338">
        <f>IF(Tech_Specs!$F31="Constant",Perform_Active!$K32,)</f>
        <v>1</v>
      </c>
      <c r="CC144" s="338">
        <f>IF(Tech_Specs!$F31="Constant",Perform_Active!$K32,)</f>
        <v>1</v>
      </c>
      <c r="CD144" s="338">
        <f>IF(Tech_Specs!$F31="Constant",Perform_Active!$K32,)</f>
        <v>1</v>
      </c>
      <c r="CE144" s="338">
        <f>IF(Tech_Specs!$F31="Constant",Perform_Active!$K32,)</f>
        <v>1</v>
      </c>
      <c r="CF144" s="338">
        <f>IF(Tech_Specs!$F31="Constant",Perform_Active!$K32,)</f>
        <v>1</v>
      </c>
      <c r="CG144" s="338">
        <f>IF(Tech_Specs!$F31="Constant",Perform_Active!$K32,)</f>
        <v>1</v>
      </c>
      <c r="CH144" s="338">
        <f>IF(Tech_Specs!$F31="Constant",Perform_Active!$K32,)</f>
        <v>1</v>
      </c>
      <c r="CJ144" s="625">
        <f>IF(AND(Tech_Specs!$F31="step",Standards_Active!$S32="yes"),IF(ISNUMBER(Standards_Active!$W32),IF(CJ$120&gt;=Standards_Active!$R32,Standards_Active!$W32,IF(CJ$120&lt;Standards_Active!$Q32,Perform_Active!$K32,(Standards_Active!$W32-Perform_Active!$K32)/(Standards_Active!$R32-(Standards_Active!$Q32-1))+CI144)),Perform_Active!$K32),)</f>
        <v>0</v>
      </c>
      <c r="CK144" s="625">
        <f>IF(AND(Tech_Specs!$F31="step",Standards_Active!$S32="yes"),IF(ISNUMBER(Standards_Active!$W32),IF(CK$120&gt;=Standards_Active!$R32,Standards_Active!$W32,IF(CK$120&lt;Standards_Active!$Q32,Perform_Active!$K32,(Standards_Active!$W32-Perform_Active!$K32)/(Standards_Active!$R32-(Standards_Active!$Q32-1))+CJ144)),Perform_Active!$K32),)</f>
        <v>0</v>
      </c>
      <c r="CL144" s="625">
        <f>IF(AND(Tech_Specs!$F31="step",Standards_Active!$S32="yes"),IF(ISNUMBER(Standards_Active!$W32),IF(CL$120&gt;=Standards_Active!$R32,Standards_Active!$W32,IF(CL$120&lt;Standards_Active!$Q32,Perform_Active!$K32,(Standards_Active!$W32-Perform_Active!$K32)/(Standards_Active!$R32-(Standards_Active!$Q32-1))+CK144)),Perform_Active!$K32),)</f>
        <v>0</v>
      </c>
      <c r="CM144" s="625">
        <f>IF(AND(Tech_Specs!$F31="step",Standards_Active!$S32="yes"),IF(ISNUMBER(Standards_Active!$W32),IF(CM$120&gt;=Standards_Active!$R32,Standards_Active!$W32,IF(CM$120&lt;Standards_Active!$Q32,Perform_Active!$K32,(Standards_Active!$W32-Perform_Active!$K32)/(Standards_Active!$R32-(Standards_Active!$Q32-1))+CL144)),Perform_Active!$K32),)</f>
        <v>0</v>
      </c>
      <c r="CN144" s="625">
        <f>IF(AND(Tech_Specs!$F31="step",Standards_Active!$S32="yes"),IF(ISNUMBER(Standards_Active!$W32),IF(CN$120&gt;=Standards_Active!$R32,Standards_Active!$W32,IF(CN$120&lt;Standards_Active!$Q32,Perform_Active!$K32,(Standards_Active!$W32-Perform_Active!$K32)/(Standards_Active!$R32-(Standards_Active!$Q32-1))+CM144)),Perform_Active!$K32),)</f>
        <v>0</v>
      </c>
      <c r="CO144" s="625">
        <f>IF(AND(Tech_Specs!$F31="step",Standards_Active!$S32="yes"),IF(ISNUMBER(Standards_Active!$W32),IF(CO$120&gt;=Standards_Active!$R32,Standards_Active!$W32,IF(CO$120&lt;Standards_Active!$Q32,Perform_Active!$K32,(Standards_Active!$W32-Perform_Active!$K32)/(Standards_Active!$R32-(Standards_Active!$Q32-1))+CN144)),Perform_Active!$K32),)</f>
        <v>0</v>
      </c>
      <c r="CP144" s="625">
        <f>IF(AND(Tech_Specs!$F31="step",Standards_Active!$S32="yes"),IF(ISNUMBER(Standards_Active!$W32),IF(CP$120&gt;=Standards_Active!$R32,Standards_Active!$W32,IF(CP$120&lt;Standards_Active!$Q32,Perform_Active!$K32,(Standards_Active!$W32-Perform_Active!$K32)/(Standards_Active!$R32-(Standards_Active!$Q32-1))+CO144)),Perform_Active!$K32),)</f>
        <v>0</v>
      </c>
      <c r="CQ144" s="625">
        <f>IF(AND(Tech_Specs!$F31="step",Standards_Active!$S32="yes"),IF(ISNUMBER(Standards_Active!$W32),IF(CQ$120&gt;=Standards_Active!$R32,Standards_Active!$W32,IF(CQ$120&lt;Standards_Active!$Q32,Perform_Active!$K32,(Standards_Active!$W32-Perform_Active!$K32)/(Standards_Active!$R32-(Standards_Active!$Q32-1))+CP144)),Perform_Active!$K32),)</f>
        <v>0</v>
      </c>
      <c r="CR144" s="625">
        <f>IF(AND(Tech_Specs!$F31="step",Standards_Active!$S32="yes"),IF(ISNUMBER(Standards_Active!$W32),IF(CR$120&gt;=Standards_Active!$R32,Standards_Active!$W32,IF(CR$120&lt;Standards_Active!$Q32,Perform_Active!$K32,(Standards_Active!$W32-Perform_Active!$K32)/(Standards_Active!$R32-(Standards_Active!$Q32-1))+CQ144)),Perform_Active!$K32),)</f>
        <v>0</v>
      </c>
      <c r="CS144" s="625">
        <f>IF(AND(Tech_Specs!$F31="step",Standards_Active!$S32="yes"),IF(ISNUMBER(Standards_Active!$W32),IF(CS$120&gt;=Standards_Active!$R32,Standards_Active!$W32,IF(CS$120&lt;Standards_Active!$Q32,Perform_Active!$K32,(Standards_Active!$W32-Perform_Active!$K32)/(Standards_Active!$R32-(Standards_Active!$Q32-1))+CR144)),Perform_Active!$K32),)</f>
        <v>0</v>
      </c>
      <c r="CT144" s="625">
        <f>IF(AND(Tech_Specs!$F31="step",Standards_Active!$S32="yes"),IF(ISNUMBER(Standards_Active!$W32),IF(CT$120&gt;=Standards_Active!$R32,Standards_Active!$W32,IF(CT$120&lt;Standards_Active!$Q32,Perform_Active!$K32,(Standards_Active!$W32-Perform_Active!$K32)/(Standards_Active!$R32-(Standards_Active!$Q32-1))+CS144)),Perform_Active!$K32),)</f>
        <v>0</v>
      </c>
      <c r="CU144" s="625">
        <f>IF(AND(Tech_Specs!$F31="step",Standards_Active!$S32="yes"),IF(ISNUMBER(Standards_Active!$W32),IF(CU$120&gt;=Standards_Active!$R32,Standards_Active!$W32,IF(CU$120&lt;Standards_Active!$Q32,Perform_Active!$K32,(Standards_Active!$W32-Perform_Active!$K32)/(Standards_Active!$R32-(Standards_Active!$Q32-1))+CT144)),Perform_Active!$K32),)</f>
        <v>0</v>
      </c>
      <c r="CV144" s="625">
        <f>IF(AND(Tech_Specs!$F31="step",Standards_Active!$S32="yes"),IF(ISNUMBER(Standards_Active!$W32),IF(CV$120&gt;=Standards_Active!$R32,Standards_Active!$W32,IF(CV$120&lt;Standards_Active!$Q32,Perform_Active!$K32,(Standards_Active!$W32-Perform_Active!$K32)/(Standards_Active!$R32-(Standards_Active!$Q32-1))+CU144)),Perform_Active!$K32),)</f>
        <v>0</v>
      </c>
      <c r="CW144" s="625">
        <f>IF(AND(Tech_Specs!$F31="step",Standards_Active!$S32="yes"),IF(ISNUMBER(Standards_Active!$W32),IF(CW$120&gt;=Standards_Active!$R32,Standards_Active!$W32,IF(CW$120&lt;Standards_Active!$Q32,Perform_Active!$K32,(Standards_Active!$W32-Perform_Active!$K32)/(Standards_Active!$R32-(Standards_Active!$Q32-1))+CV144)),Perform_Active!$K32),)</f>
        <v>0</v>
      </c>
      <c r="CX144" s="625">
        <f>IF(AND(Tech_Specs!$F31="step",Standards_Active!$S32="yes"),IF(ISNUMBER(Standards_Active!$W32),IF(CX$120&gt;=Standards_Active!$R32,Standards_Active!$W32,IF(CX$120&lt;Standards_Active!$Q32,Perform_Active!$K32,(Standards_Active!$W32-Perform_Active!$K32)/(Standards_Active!$R32-(Standards_Active!$Q32-1))+CW144)),Perform_Active!$K32),)</f>
        <v>0</v>
      </c>
      <c r="CY144" s="625">
        <f>IF(AND(Tech_Specs!$F31="step",Standards_Active!$S32="yes"),IF(ISNUMBER(Standards_Active!$W32),IF(CY$120&gt;=Standards_Active!$R32,Standards_Active!$W32,IF(CY$120&lt;Standards_Active!$Q32,Perform_Active!$K32,(Standards_Active!$W32-Perform_Active!$K32)/(Standards_Active!$R32-(Standards_Active!$Q32-1))+CX144)),Perform_Active!$K32),)</f>
        <v>0</v>
      </c>
      <c r="CZ144" s="625">
        <f>IF(AND(Tech_Specs!$F31="step",Standards_Active!$S32="yes"),IF(ISNUMBER(Standards_Active!$W32),IF(CZ$120&gt;=Standards_Active!$R32,Standards_Active!$W32,IF(CZ$120&lt;Standards_Active!$Q32,Perform_Active!$K32,(Standards_Active!$W32-Perform_Active!$K32)/(Standards_Active!$R32-(Standards_Active!$Q32-1))+CY144)),Perform_Active!$K32),)</f>
        <v>0</v>
      </c>
      <c r="DA144" s="625">
        <f>IF(AND(Tech_Specs!$F31="step",Standards_Active!$S32="yes"),IF(ISNUMBER(Standards_Active!$W32),IF(DA$120&gt;=Standards_Active!$R32,Standards_Active!$W32,IF(DA$120&lt;Standards_Active!$Q32,Perform_Active!$K32,(Standards_Active!$W32-Perform_Active!$K32)/(Standards_Active!$R32-(Standards_Active!$Q32-1))+CZ144)),Perform_Active!$K32),)</f>
        <v>0</v>
      </c>
      <c r="DB144" s="625">
        <f>IF(AND(Tech_Specs!$F31="step",Standards_Active!$S32="yes"),IF(ISNUMBER(Standards_Active!$W32),IF(DB$120&gt;=Standards_Active!$R32,Standards_Active!$W32,IF(DB$120&lt;Standards_Active!$Q32,Perform_Active!$K32,(Standards_Active!$W32-Perform_Active!$K32)/(Standards_Active!$R32-(Standards_Active!$Q32-1))+DA144)),Perform_Active!$K32),)</f>
        <v>0</v>
      </c>
      <c r="DC144" s="625">
        <f>IF(AND(Tech_Specs!$F31="step",Standards_Active!$S32="yes"),IF(ISNUMBER(Standards_Active!$W32),IF(DC$120&gt;=Standards_Active!$R32,Standards_Active!$W32,IF(DC$120&lt;Standards_Active!$Q32,Perform_Active!$K32,(Standards_Active!$W32-Perform_Active!$K32)/(Standards_Active!$R32-(Standards_Active!$Q32-1))+DB144)),Perform_Active!$K32),)</f>
        <v>0</v>
      </c>
      <c r="DD144" s="625">
        <f>IF(AND(Tech_Specs!$F31="step",Standards_Active!$S32="yes"),IF(ISNUMBER(Standards_Active!$W32),IF(DD$120&gt;=Standards_Active!$R32,Standards_Active!$W32,IF(DD$120&lt;Standards_Active!$Q32,Perform_Active!$K32,(Standards_Active!$W32-Perform_Active!$K32)/(Standards_Active!$R32-(Standards_Active!$Q32-1))+DC144)),Perform_Active!$K32),)</f>
        <v>0</v>
      </c>
      <c r="DE144" s="625">
        <f>IF(AND(Tech_Specs!$F31="step",Standards_Active!$S32="yes"),IF(ISNUMBER(Standards_Active!$W32),IF(DE$120&gt;=Standards_Active!$R32,Standards_Active!$W32,IF(DE$120&lt;Standards_Active!$Q32,Perform_Active!$K32,(Standards_Active!$W32-Perform_Active!$K32)/(Standards_Active!$R32-(Standards_Active!$Q32-1))+DD144)),Perform_Active!$K32),)</f>
        <v>0</v>
      </c>
      <c r="DF144" s="625">
        <f>IF(AND(Tech_Specs!$F31="step",Standards_Active!$S32="yes"),IF(ISNUMBER(Standards_Active!$W32),IF(DF$120&gt;=Standards_Active!$R32,Standards_Active!$W32,IF(DF$120&lt;Standards_Active!$Q32,Perform_Active!$K32,(Standards_Active!$W32-Perform_Active!$K32)/(Standards_Active!$R32-(Standards_Active!$Q32-1))+DE144)),Perform_Active!$K32),)</f>
        <v>0</v>
      </c>
      <c r="DG144" s="625">
        <f>IF(AND(Tech_Specs!$F31="step",Standards_Active!$S32="yes"),IF(ISNUMBER(Standards_Active!$W32),IF(DG$120&gt;=Standards_Active!$R32,Standards_Active!$W32,IF(DG$120&lt;Standards_Active!$Q32,Perform_Active!$K32,(Standards_Active!$W32-Perform_Active!$K32)/(Standards_Active!$R32-(Standards_Active!$Q32-1))+DF144)),Perform_Active!$K32),)</f>
        <v>0</v>
      </c>
      <c r="DH144" s="625">
        <f>IF(AND(Tech_Specs!$F31="step",Standards_Active!$S32="yes"),IF(ISNUMBER(Standards_Active!$W32),IF(DH$120&gt;=Standards_Active!$R32,Standards_Active!$W32,IF(DH$120&lt;Standards_Active!$Q32,Perform_Active!$K32,(Standards_Active!$W32-Perform_Active!$K32)/(Standards_Active!$R32-(Standards_Active!$Q32-1))+DG144)),Perform_Active!$K32),)</f>
        <v>0</v>
      </c>
      <c r="DI144" s="625">
        <f>IF(AND(Tech_Specs!$F31="step",Standards_Active!$S32="yes"),IF(ISNUMBER(Standards_Active!$W32),IF(DI$120&gt;=Standards_Active!$R32,Standards_Active!$W32,IF(DI$120&lt;Standards_Active!$Q32,Perform_Active!$K32,(Standards_Active!$W32-Perform_Active!$K32)/(Standards_Active!$R32-(Standards_Active!$Q32-1))+DH144)),Perform_Active!$K32),)</f>
        <v>0</v>
      </c>
    </row>
    <row r="145" spans="1:113" s="81" customFormat="1" ht="12.6" x14ac:dyDescent="0.25">
      <c r="D145" s="550"/>
      <c r="E145" s="550"/>
      <c r="F145" s="550"/>
    </row>
    <row r="146" spans="1:113" s="81" customFormat="1" ht="12.95" x14ac:dyDescent="0.25">
      <c r="A146" s="11" t="s">
        <v>47</v>
      </c>
      <c r="B146" s="10"/>
      <c r="C146" s="130"/>
      <c r="D146" s="387"/>
      <c r="E146" s="387"/>
      <c r="F146" s="387"/>
      <c r="G146" s="188"/>
      <c r="H146" s="188"/>
      <c r="I146" s="188"/>
      <c r="J146" s="188"/>
      <c r="K146" s="188"/>
      <c r="L146" s="188"/>
      <c r="M146" s="188"/>
      <c r="N146" s="188"/>
      <c r="O146" s="188"/>
      <c r="P146" s="188"/>
      <c r="Q146" s="188"/>
      <c r="R146" s="188"/>
      <c r="S146" s="188"/>
      <c r="T146" s="188"/>
      <c r="U146" s="188"/>
      <c r="V146" s="188"/>
      <c r="W146" s="188"/>
      <c r="X146" s="188"/>
      <c r="Y146" s="188"/>
      <c r="Z146" s="188"/>
      <c r="AA146" s="188"/>
      <c r="AB146" s="188"/>
      <c r="AC146" s="188"/>
      <c r="AD146" s="188"/>
      <c r="AE146" s="188"/>
      <c r="AF146" s="188"/>
      <c r="AH146" s="57"/>
      <c r="AI146" s="57"/>
      <c r="AJ146" s="57"/>
      <c r="AK146" s="57"/>
      <c r="AL146" s="57"/>
      <c r="AM146" s="57"/>
      <c r="AN146" s="57"/>
      <c r="AO146" s="57"/>
      <c r="AP146" s="57"/>
      <c r="AQ146" s="57"/>
      <c r="AR146" s="57"/>
      <c r="AS146" s="57"/>
      <c r="AT146" s="57"/>
      <c r="AU146" s="57"/>
      <c r="AV146" s="57"/>
      <c r="AW146" s="57"/>
      <c r="AX146" s="57"/>
      <c r="AY146" s="57"/>
      <c r="AZ146" s="57"/>
      <c r="BA146" s="57"/>
      <c r="BB146" s="57"/>
      <c r="BC146" s="57"/>
      <c r="BD146" s="57"/>
      <c r="BE146" s="57"/>
      <c r="BF146" s="57"/>
      <c r="BG146" s="57"/>
      <c r="BI146" s="57"/>
      <c r="BJ146" s="57"/>
      <c r="BK146" s="57"/>
      <c r="BL146" s="57"/>
      <c r="BM146" s="57"/>
      <c r="BN146" s="57"/>
      <c r="BO146" s="57"/>
      <c r="BP146" s="57"/>
      <c r="BQ146" s="57"/>
      <c r="BR146" s="57"/>
      <c r="BS146" s="57"/>
      <c r="BT146" s="57"/>
      <c r="BU146" s="57"/>
      <c r="BV146" s="57"/>
      <c r="BW146" s="57"/>
      <c r="BX146" s="57"/>
      <c r="BY146" s="57"/>
      <c r="BZ146" s="57"/>
      <c r="CA146" s="57"/>
      <c r="CB146" s="57"/>
      <c r="CC146" s="57"/>
      <c r="CD146" s="57"/>
      <c r="CE146" s="57"/>
      <c r="CF146" s="57"/>
      <c r="CG146" s="57"/>
      <c r="CH146" s="57"/>
      <c r="CJ146" s="57"/>
      <c r="CK146" s="57"/>
      <c r="CL146" s="57"/>
      <c r="CM146" s="57"/>
      <c r="CN146" s="57"/>
      <c r="CO146" s="57"/>
      <c r="CP146" s="57"/>
      <c r="CQ146" s="57"/>
      <c r="CR146" s="57"/>
      <c r="CS146" s="57"/>
      <c r="CT146" s="57"/>
      <c r="CU146" s="57"/>
      <c r="CV146" s="57"/>
      <c r="CW146" s="57"/>
      <c r="CX146" s="57"/>
      <c r="CY146" s="57"/>
      <c r="CZ146" s="57"/>
      <c r="DA146" s="57"/>
      <c r="DB146" s="57"/>
      <c r="DC146" s="57"/>
      <c r="DD146" s="57"/>
      <c r="DE146" s="57"/>
      <c r="DF146" s="57"/>
      <c r="DG146" s="57"/>
      <c r="DH146" s="57"/>
      <c r="DI146" s="57"/>
    </row>
    <row r="147" spans="1:113" s="81" customFormat="1" ht="12.6" x14ac:dyDescent="0.25">
      <c r="B147" s="81" t="s">
        <v>48</v>
      </c>
      <c r="C147" s="101"/>
      <c r="D147" s="552"/>
      <c r="E147" s="552"/>
      <c r="F147" s="552"/>
      <c r="G147" s="128">
        <f t="shared" ref="G147:P152" si="48">SUM(AH147,BI147,CJ147)</f>
        <v>1</v>
      </c>
      <c r="H147" s="128">
        <f t="shared" si="48"/>
        <v>1</v>
      </c>
      <c r="I147" s="128">
        <f t="shared" si="48"/>
        <v>1</v>
      </c>
      <c r="J147" s="128">
        <f t="shared" si="48"/>
        <v>1</v>
      </c>
      <c r="K147" s="128">
        <f t="shared" si="48"/>
        <v>1</v>
      </c>
      <c r="L147" s="128">
        <f t="shared" si="48"/>
        <v>1</v>
      </c>
      <c r="M147" s="128">
        <f t="shared" si="48"/>
        <v>1</v>
      </c>
      <c r="N147" s="128">
        <f t="shared" si="48"/>
        <v>1</v>
      </c>
      <c r="O147" s="128">
        <f t="shared" si="48"/>
        <v>1</v>
      </c>
      <c r="P147" s="128">
        <f t="shared" si="48"/>
        <v>1</v>
      </c>
      <c r="Q147" s="128">
        <f t="shared" ref="Q147:Z152" si="49">SUM(AR147,BS147,CT147)</f>
        <v>1</v>
      </c>
      <c r="R147" s="128">
        <f t="shared" si="49"/>
        <v>1</v>
      </c>
      <c r="S147" s="128">
        <f t="shared" si="49"/>
        <v>1</v>
      </c>
      <c r="T147" s="128">
        <f t="shared" si="49"/>
        <v>1</v>
      </c>
      <c r="U147" s="128">
        <f t="shared" si="49"/>
        <v>1</v>
      </c>
      <c r="V147" s="128">
        <f t="shared" si="49"/>
        <v>1</v>
      </c>
      <c r="W147" s="128">
        <f t="shared" si="49"/>
        <v>1</v>
      </c>
      <c r="X147" s="128">
        <f t="shared" si="49"/>
        <v>1</v>
      </c>
      <c r="Y147" s="128">
        <f t="shared" si="49"/>
        <v>1</v>
      </c>
      <c r="Z147" s="128">
        <f t="shared" si="49"/>
        <v>1</v>
      </c>
      <c r="AA147" s="128">
        <f t="shared" ref="AA147:AF152" si="50">SUM(BB147,CC147,DD147)</f>
        <v>1</v>
      </c>
      <c r="AB147" s="128">
        <f t="shared" si="50"/>
        <v>1</v>
      </c>
      <c r="AC147" s="128">
        <f t="shared" si="50"/>
        <v>1</v>
      </c>
      <c r="AD147" s="128">
        <f t="shared" si="50"/>
        <v>1</v>
      </c>
      <c r="AE147" s="128">
        <f t="shared" si="50"/>
        <v>1</v>
      </c>
      <c r="AF147" s="128">
        <f t="shared" si="50"/>
        <v>1</v>
      </c>
      <c r="AH147" s="405">
        <f>IF(Tech_Specs!$F34="linear",TREND(Perform_Active!$K35:$L35,Perform_Active!$K$8:$L$8,AH$120),)</f>
        <v>0</v>
      </c>
      <c r="AI147" s="405">
        <f>IF(Tech_Specs!$F34="linear",TREND(Perform_Active!$K35:$L35,Perform_Active!$K$8:$L$8,AI$120),)</f>
        <v>0</v>
      </c>
      <c r="AJ147" s="405">
        <f>IF(Tech_Specs!$F34="linear",TREND(Perform_Active!$K35:$L35,Perform_Active!$K$8:$L$8,AJ$120),)</f>
        <v>0</v>
      </c>
      <c r="AK147" s="405">
        <f>IF(Tech_Specs!$F34="linear",TREND(Perform_Active!$K35:$L35,Perform_Active!$K$8:$L$8,AK$120),)</f>
        <v>0</v>
      </c>
      <c r="AL147" s="405">
        <f>IF(Tech_Specs!$F34="linear",TREND(Perform_Active!$K35:$L35,Perform_Active!$K$8:$L$8,AL$120),)</f>
        <v>0</v>
      </c>
      <c r="AM147" s="405">
        <f>IF(Tech_Specs!$F34="linear",TREND(Perform_Active!$K35:$L35,Perform_Active!$K$8:$L$8,AM$120),)</f>
        <v>0</v>
      </c>
      <c r="AN147" s="405">
        <f>IF(Tech_Specs!$F34="linear",TREND(Perform_Active!$K35:$L35,Perform_Active!$K$8:$L$8,AN$120),)</f>
        <v>0</v>
      </c>
      <c r="AO147" s="405">
        <f>IF(Tech_Specs!$F34="linear",TREND(Perform_Active!$K35:$L35,Perform_Active!$K$8:$L$8,AO$120),)</f>
        <v>0</v>
      </c>
      <c r="AP147" s="405">
        <f>IF(Tech_Specs!$F34="linear",TREND(Perform_Active!$K35:$L35,Perform_Active!$K$8:$L$8,AP$120),)</f>
        <v>0</v>
      </c>
      <c r="AQ147" s="405">
        <f>IF(Tech_Specs!$F34="linear",TREND(Perform_Active!$K35:$L35,Perform_Active!$K$8:$L$8,AQ$120),)</f>
        <v>0</v>
      </c>
      <c r="AR147" s="405">
        <f>IF(Tech_Specs!$F34="linear",TREND(Perform_Active!$K35:$L35,Perform_Active!$K$8:$L$8,AR$120),)</f>
        <v>0</v>
      </c>
      <c r="AS147" s="405">
        <f>IF(Tech_Specs!$F34="linear",TREND(Perform_Active!$K35:$L35,Perform_Active!$K$8:$L$8,AS$120),)</f>
        <v>0</v>
      </c>
      <c r="AT147" s="405">
        <f>IF(Tech_Specs!$F34="linear",TREND(Perform_Active!$K35:$L35,Perform_Active!$K$8:$L$8,AT$120),)</f>
        <v>0</v>
      </c>
      <c r="AU147" s="405">
        <f>IF(Tech_Specs!$F34="linear",TREND(Perform_Active!$K35:$L35,Perform_Active!$K$8:$L$8,AU$120),)</f>
        <v>0</v>
      </c>
      <c r="AV147" s="405">
        <f>IF(Tech_Specs!$F34="linear",TREND(Perform_Active!$K35:$L35,Perform_Active!$K$8:$L$8,AV$120),)</f>
        <v>0</v>
      </c>
      <c r="AW147" s="405">
        <f>IF(Tech_Specs!$F34="linear",TREND(Perform_Active!$K35:$L35,Perform_Active!$K$8:$L$8,AW$120),)</f>
        <v>0</v>
      </c>
      <c r="AX147" s="405">
        <f>IF(Tech_Specs!$F34="linear",TREND(Perform_Active!$K35:$L35,Perform_Active!$K$8:$L$8,AX$120),)</f>
        <v>0</v>
      </c>
      <c r="AY147" s="405">
        <f>IF(Tech_Specs!$F34="linear",TREND(Perform_Active!$K35:$L35,Perform_Active!$K$8:$L$8,AY$120),)</f>
        <v>0</v>
      </c>
      <c r="AZ147" s="405">
        <f>IF(Tech_Specs!$F34="linear",TREND(Perform_Active!$K35:$L35,Perform_Active!$K$8:$L$8,AZ$120),)</f>
        <v>0</v>
      </c>
      <c r="BA147" s="405">
        <f>IF(Tech_Specs!$F34="linear",TREND(Perform_Active!$K35:$L35,Perform_Active!$K$8:$L$8,BA$120),)</f>
        <v>0</v>
      </c>
      <c r="BB147" s="405">
        <f>IF(Tech_Specs!$F34="linear",TREND(Perform_Active!$K35:$L35,Perform_Active!$K$8:$L$8,BB$120),)</f>
        <v>0</v>
      </c>
      <c r="BC147" s="405">
        <f>IF(Tech_Specs!$F34="linear",TREND(Perform_Active!$K35:$L35,Perform_Active!$K$8:$L$8,BC$120),)</f>
        <v>0</v>
      </c>
      <c r="BD147" s="405">
        <f>IF(Tech_Specs!$F34="linear",TREND(Perform_Active!$K35:$L35,Perform_Active!$K$8:$L$8,BD$120),)</f>
        <v>0</v>
      </c>
      <c r="BE147" s="405">
        <f>IF(Tech_Specs!$F34="linear",TREND(Perform_Active!$K35:$L35,Perform_Active!$K$8:$L$8,BE$120),)</f>
        <v>0</v>
      </c>
      <c r="BF147" s="405">
        <f>IF(Tech_Specs!$F34="linear",TREND(Perform_Active!$K35:$L35,Perform_Active!$K$8:$L$8,BF$120),)</f>
        <v>0</v>
      </c>
      <c r="BG147" s="405">
        <f>IF(Tech_Specs!$F34="linear",TREND(Perform_Active!$K35:$L35,Perform_Active!$K$8:$L$8,BG$120),)</f>
        <v>0</v>
      </c>
      <c r="BI147" s="338">
        <f>IF(Tech_Specs!$F34="Constant",Perform_Active!$K35,)</f>
        <v>1</v>
      </c>
      <c r="BJ147" s="338">
        <f>IF(Tech_Specs!$F34="Constant",Perform_Active!$K35,)</f>
        <v>1</v>
      </c>
      <c r="BK147" s="338">
        <f>IF(Tech_Specs!$F34="Constant",Perform_Active!$K35,)</f>
        <v>1</v>
      </c>
      <c r="BL147" s="338">
        <f>IF(Tech_Specs!$F34="Constant",Perform_Active!$K35,)</f>
        <v>1</v>
      </c>
      <c r="BM147" s="338">
        <f>IF(Tech_Specs!$F34="Constant",Perform_Active!$K35,)</f>
        <v>1</v>
      </c>
      <c r="BN147" s="338">
        <f>IF(Tech_Specs!$F34="Constant",Perform_Active!$K35,)</f>
        <v>1</v>
      </c>
      <c r="BO147" s="338">
        <f>IF(Tech_Specs!$F34="Constant",Perform_Active!$K35,)</f>
        <v>1</v>
      </c>
      <c r="BP147" s="338">
        <f>IF(Tech_Specs!$F34="Constant",Perform_Active!$K35,)</f>
        <v>1</v>
      </c>
      <c r="BQ147" s="338">
        <f>IF(Tech_Specs!$F34="Constant",Perform_Active!$K35,)</f>
        <v>1</v>
      </c>
      <c r="BR147" s="338">
        <f>IF(Tech_Specs!$F34="Constant",Perform_Active!$K35,)</f>
        <v>1</v>
      </c>
      <c r="BS147" s="338">
        <f>IF(Tech_Specs!$F34="Constant",Perform_Active!$K35,)</f>
        <v>1</v>
      </c>
      <c r="BT147" s="338">
        <f>IF(Tech_Specs!$F34="Constant",Perform_Active!$K35,)</f>
        <v>1</v>
      </c>
      <c r="BU147" s="338">
        <f>IF(Tech_Specs!$F34="Constant",Perform_Active!$K35,)</f>
        <v>1</v>
      </c>
      <c r="BV147" s="338">
        <f>IF(Tech_Specs!$F34="Constant",Perform_Active!$K35,)</f>
        <v>1</v>
      </c>
      <c r="BW147" s="338">
        <f>IF(Tech_Specs!$F34="Constant",Perform_Active!$K35,)</f>
        <v>1</v>
      </c>
      <c r="BX147" s="338">
        <f>IF(Tech_Specs!$F34="Constant",Perform_Active!$K35,)</f>
        <v>1</v>
      </c>
      <c r="BY147" s="338">
        <f>IF(Tech_Specs!$F34="Constant",Perform_Active!$K35,)</f>
        <v>1</v>
      </c>
      <c r="BZ147" s="338">
        <f>IF(Tech_Specs!$F34="Constant",Perform_Active!$K35,)</f>
        <v>1</v>
      </c>
      <c r="CA147" s="338">
        <f>IF(Tech_Specs!$F34="Constant",Perform_Active!$K35,)</f>
        <v>1</v>
      </c>
      <c r="CB147" s="338">
        <f>IF(Tech_Specs!$F34="Constant",Perform_Active!$K35,)</f>
        <v>1</v>
      </c>
      <c r="CC147" s="338">
        <f>IF(Tech_Specs!$F34="Constant",Perform_Active!$K35,)</f>
        <v>1</v>
      </c>
      <c r="CD147" s="338">
        <f>IF(Tech_Specs!$F34="Constant",Perform_Active!$K35,)</f>
        <v>1</v>
      </c>
      <c r="CE147" s="338">
        <f>IF(Tech_Specs!$F34="Constant",Perform_Active!$K35,)</f>
        <v>1</v>
      </c>
      <c r="CF147" s="338">
        <f>IF(Tech_Specs!$F34="Constant",Perform_Active!$K35,)</f>
        <v>1</v>
      </c>
      <c r="CG147" s="338">
        <f>IF(Tech_Specs!$F34="Constant",Perform_Active!$K35,)</f>
        <v>1</v>
      </c>
      <c r="CH147" s="338">
        <f>IF(Tech_Specs!$F34="Constant",Perform_Active!$K35,)</f>
        <v>1</v>
      </c>
      <c r="CJ147" s="625">
        <f>IF(AND(Tech_Specs!$F34="step",Standards_Active!$S35="yes"),IF(ISNUMBER(Standards_Active!$W35),IF(CJ$120&gt;=Standards_Active!$R35,Standards_Active!$W35,IF(CJ$120&lt;Standards_Active!$Q35,Perform_Active!$K35,(Standards_Active!$W35-Perform_Active!$K35)/(Standards_Active!$R35-(Standards_Active!$Q35-1))+CI147)),Perform_Active!$K35),)</f>
        <v>0</v>
      </c>
      <c r="CK147" s="625">
        <f>IF(AND(Tech_Specs!$F34="step",Standards_Active!$S35="yes"),IF(ISNUMBER(Standards_Active!$W35),IF(CK$120&gt;=Standards_Active!$R35,Standards_Active!$W35,IF(CK$120&lt;Standards_Active!$Q35,Perform_Active!$K35,(Standards_Active!$W35-Perform_Active!$K35)/(Standards_Active!$R35-(Standards_Active!$Q35-1))+CJ147)),Perform_Active!$K35),)</f>
        <v>0</v>
      </c>
      <c r="CL147" s="625">
        <f>IF(AND(Tech_Specs!$F34="step",Standards_Active!$S35="yes"),IF(ISNUMBER(Standards_Active!$W35),IF(CL$120&gt;=Standards_Active!$R35,Standards_Active!$W35,IF(CL$120&lt;Standards_Active!$Q35,Perform_Active!$K35,(Standards_Active!$W35-Perform_Active!$K35)/(Standards_Active!$R35-(Standards_Active!$Q35-1))+CK147)),Perform_Active!$K35),)</f>
        <v>0</v>
      </c>
      <c r="CM147" s="625">
        <f>IF(AND(Tech_Specs!$F34="step",Standards_Active!$S35="yes"),IF(ISNUMBER(Standards_Active!$W35),IF(CM$120&gt;=Standards_Active!$R35,Standards_Active!$W35,IF(CM$120&lt;Standards_Active!$Q35,Perform_Active!$K35,(Standards_Active!$W35-Perform_Active!$K35)/(Standards_Active!$R35-(Standards_Active!$Q35-1))+CL147)),Perform_Active!$K35),)</f>
        <v>0</v>
      </c>
      <c r="CN147" s="625">
        <f>IF(AND(Tech_Specs!$F34="step",Standards_Active!$S35="yes"),IF(ISNUMBER(Standards_Active!$W35),IF(CN$120&gt;=Standards_Active!$R35,Standards_Active!$W35,IF(CN$120&lt;Standards_Active!$Q35,Perform_Active!$K35,(Standards_Active!$W35-Perform_Active!$K35)/(Standards_Active!$R35-(Standards_Active!$Q35-1))+CM147)),Perform_Active!$K35),)</f>
        <v>0</v>
      </c>
      <c r="CO147" s="625">
        <f>IF(AND(Tech_Specs!$F34="step",Standards_Active!$S35="yes"),IF(ISNUMBER(Standards_Active!$W35),IF(CO$120&gt;=Standards_Active!$R35,Standards_Active!$W35,IF(CO$120&lt;Standards_Active!$Q35,Perform_Active!$K35,(Standards_Active!$W35-Perform_Active!$K35)/(Standards_Active!$R35-(Standards_Active!$Q35-1))+CN147)),Perform_Active!$K35),)</f>
        <v>0</v>
      </c>
      <c r="CP147" s="625">
        <f>IF(AND(Tech_Specs!$F34="step",Standards_Active!$S35="yes"),IF(ISNUMBER(Standards_Active!$W35),IF(CP$120&gt;=Standards_Active!$R35,Standards_Active!$W35,IF(CP$120&lt;Standards_Active!$Q35,Perform_Active!$K35,(Standards_Active!$W35-Perform_Active!$K35)/(Standards_Active!$R35-(Standards_Active!$Q35-1))+CO147)),Perform_Active!$K35),)</f>
        <v>0</v>
      </c>
      <c r="CQ147" s="625">
        <f>IF(AND(Tech_Specs!$F34="step",Standards_Active!$S35="yes"),IF(ISNUMBER(Standards_Active!$W35),IF(CQ$120&gt;=Standards_Active!$R35,Standards_Active!$W35,IF(CQ$120&lt;Standards_Active!$Q35,Perform_Active!$K35,(Standards_Active!$W35-Perform_Active!$K35)/(Standards_Active!$R35-(Standards_Active!$Q35-1))+CP147)),Perform_Active!$K35),)</f>
        <v>0</v>
      </c>
      <c r="CR147" s="625">
        <f>IF(AND(Tech_Specs!$F34="step",Standards_Active!$S35="yes"),IF(ISNUMBER(Standards_Active!$W35),IF(CR$120&gt;=Standards_Active!$R35,Standards_Active!$W35,IF(CR$120&lt;Standards_Active!$Q35,Perform_Active!$K35,(Standards_Active!$W35-Perform_Active!$K35)/(Standards_Active!$R35-(Standards_Active!$Q35-1))+CQ147)),Perform_Active!$K35),)</f>
        <v>0</v>
      </c>
      <c r="CS147" s="625">
        <f>IF(AND(Tech_Specs!$F34="step",Standards_Active!$S35="yes"),IF(ISNUMBER(Standards_Active!$W35),IF(CS$120&gt;=Standards_Active!$R35,Standards_Active!$W35,IF(CS$120&lt;Standards_Active!$Q35,Perform_Active!$K35,(Standards_Active!$W35-Perform_Active!$K35)/(Standards_Active!$R35-(Standards_Active!$Q35-1))+CR147)),Perform_Active!$K35),)</f>
        <v>0</v>
      </c>
      <c r="CT147" s="625">
        <f>IF(AND(Tech_Specs!$F34="step",Standards_Active!$S35="yes"),IF(ISNUMBER(Standards_Active!$W35),IF(CT$120&gt;=Standards_Active!$R35,Standards_Active!$W35,IF(CT$120&lt;Standards_Active!$Q35,Perform_Active!$K35,(Standards_Active!$W35-Perform_Active!$K35)/(Standards_Active!$R35-(Standards_Active!$Q35-1))+CS147)),Perform_Active!$K35),)</f>
        <v>0</v>
      </c>
      <c r="CU147" s="625">
        <f>IF(AND(Tech_Specs!$F34="step",Standards_Active!$S35="yes"),IF(ISNUMBER(Standards_Active!$W35),IF(CU$120&gt;=Standards_Active!$R35,Standards_Active!$W35,IF(CU$120&lt;Standards_Active!$Q35,Perform_Active!$K35,(Standards_Active!$W35-Perform_Active!$K35)/(Standards_Active!$R35-(Standards_Active!$Q35-1))+CT147)),Perform_Active!$K35),)</f>
        <v>0</v>
      </c>
      <c r="CV147" s="625">
        <f>IF(AND(Tech_Specs!$F34="step",Standards_Active!$S35="yes"),IF(ISNUMBER(Standards_Active!$W35),IF(CV$120&gt;=Standards_Active!$R35,Standards_Active!$W35,IF(CV$120&lt;Standards_Active!$Q35,Perform_Active!$K35,(Standards_Active!$W35-Perform_Active!$K35)/(Standards_Active!$R35-(Standards_Active!$Q35-1))+CU147)),Perform_Active!$K35),)</f>
        <v>0</v>
      </c>
      <c r="CW147" s="625">
        <f>IF(AND(Tech_Specs!$F34="step",Standards_Active!$S35="yes"),IF(ISNUMBER(Standards_Active!$W35),IF(CW$120&gt;=Standards_Active!$R35,Standards_Active!$W35,IF(CW$120&lt;Standards_Active!$Q35,Perform_Active!$K35,(Standards_Active!$W35-Perform_Active!$K35)/(Standards_Active!$R35-(Standards_Active!$Q35-1))+CV147)),Perform_Active!$K35),)</f>
        <v>0</v>
      </c>
      <c r="CX147" s="625">
        <f>IF(AND(Tech_Specs!$F34="step",Standards_Active!$S35="yes"),IF(ISNUMBER(Standards_Active!$W35),IF(CX$120&gt;=Standards_Active!$R35,Standards_Active!$W35,IF(CX$120&lt;Standards_Active!$Q35,Perform_Active!$K35,(Standards_Active!$W35-Perform_Active!$K35)/(Standards_Active!$R35-(Standards_Active!$Q35-1))+CW147)),Perform_Active!$K35),)</f>
        <v>0</v>
      </c>
      <c r="CY147" s="625">
        <f>IF(AND(Tech_Specs!$F34="step",Standards_Active!$S35="yes"),IF(ISNUMBER(Standards_Active!$W35),IF(CY$120&gt;=Standards_Active!$R35,Standards_Active!$W35,IF(CY$120&lt;Standards_Active!$Q35,Perform_Active!$K35,(Standards_Active!$W35-Perform_Active!$K35)/(Standards_Active!$R35-(Standards_Active!$Q35-1))+CX147)),Perform_Active!$K35),)</f>
        <v>0</v>
      </c>
      <c r="CZ147" s="625">
        <f>IF(AND(Tech_Specs!$F34="step",Standards_Active!$S35="yes"),IF(ISNUMBER(Standards_Active!$W35),IF(CZ$120&gt;=Standards_Active!$R35,Standards_Active!$W35,IF(CZ$120&lt;Standards_Active!$Q35,Perform_Active!$K35,(Standards_Active!$W35-Perform_Active!$K35)/(Standards_Active!$R35-(Standards_Active!$Q35-1))+CY147)),Perform_Active!$K35),)</f>
        <v>0</v>
      </c>
      <c r="DA147" s="625">
        <f>IF(AND(Tech_Specs!$F34="step",Standards_Active!$S35="yes"),IF(ISNUMBER(Standards_Active!$W35),IF(DA$120&gt;=Standards_Active!$R35,Standards_Active!$W35,IF(DA$120&lt;Standards_Active!$Q35,Perform_Active!$K35,(Standards_Active!$W35-Perform_Active!$K35)/(Standards_Active!$R35-(Standards_Active!$Q35-1))+CZ147)),Perform_Active!$K35),)</f>
        <v>0</v>
      </c>
      <c r="DB147" s="625">
        <f>IF(AND(Tech_Specs!$F34="step",Standards_Active!$S35="yes"),IF(ISNUMBER(Standards_Active!$W35),IF(DB$120&gt;=Standards_Active!$R35,Standards_Active!$W35,IF(DB$120&lt;Standards_Active!$Q35,Perform_Active!$K35,(Standards_Active!$W35-Perform_Active!$K35)/(Standards_Active!$R35-(Standards_Active!$Q35-1))+DA147)),Perform_Active!$K35),)</f>
        <v>0</v>
      </c>
      <c r="DC147" s="625">
        <f>IF(AND(Tech_Specs!$F34="step",Standards_Active!$S35="yes"),IF(ISNUMBER(Standards_Active!$W35),IF(DC$120&gt;=Standards_Active!$R35,Standards_Active!$W35,IF(DC$120&lt;Standards_Active!$Q35,Perform_Active!$K35,(Standards_Active!$W35-Perform_Active!$K35)/(Standards_Active!$R35-(Standards_Active!$Q35-1))+DB147)),Perform_Active!$K35),)</f>
        <v>0</v>
      </c>
      <c r="DD147" s="625">
        <f>IF(AND(Tech_Specs!$F34="step",Standards_Active!$S35="yes"),IF(ISNUMBER(Standards_Active!$W35),IF(DD$120&gt;=Standards_Active!$R35,Standards_Active!$W35,IF(DD$120&lt;Standards_Active!$Q35,Perform_Active!$K35,(Standards_Active!$W35-Perform_Active!$K35)/(Standards_Active!$R35-(Standards_Active!$Q35-1))+DC147)),Perform_Active!$K35),)</f>
        <v>0</v>
      </c>
      <c r="DE147" s="625">
        <f>IF(AND(Tech_Specs!$F34="step",Standards_Active!$S35="yes"),IF(ISNUMBER(Standards_Active!$W35),IF(DE$120&gt;=Standards_Active!$R35,Standards_Active!$W35,IF(DE$120&lt;Standards_Active!$Q35,Perform_Active!$K35,(Standards_Active!$W35-Perform_Active!$K35)/(Standards_Active!$R35-(Standards_Active!$Q35-1))+DD147)),Perform_Active!$K35),)</f>
        <v>0</v>
      </c>
      <c r="DF147" s="625">
        <f>IF(AND(Tech_Specs!$F34="step",Standards_Active!$S35="yes"),IF(ISNUMBER(Standards_Active!$W35),IF(DF$120&gt;=Standards_Active!$R35,Standards_Active!$W35,IF(DF$120&lt;Standards_Active!$Q35,Perform_Active!$K35,(Standards_Active!$W35-Perform_Active!$K35)/(Standards_Active!$R35-(Standards_Active!$Q35-1))+DE147)),Perform_Active!$K35),)</f>
        <v>0</v>
      </c>
      <c r="DG147" s="625">
        <f>IF(AND(Tech_Specs!$F34="step",Standards_Active!$S35="yes"),IF(ISNUMBER(Standards_Active!$W35),IF(DG$120&gt;=Standards_Active!$R35,Standards_Active!$W35,IF(DG$120&lt;Standards_Active!$Q35,Perform_Active!$K35,(Standards_Active!$W35-Perform_Active!$K35)/(Standards_Active!$R35-(Standards_Active!$Q35-1))+DF147)),Perform_Active!$K35),)</f>
        <v>0</v>
      </c>
      <c r="DH147" s="625">
        <f>IF(AND(Tech_Specs!$F34="step",Standards_Active!$S35="yes"),IF(ISNUMBER(Standards_Active!$W35),IF(DH$120&gt;=Standards_Active!$R35,Standards_Active!$W35,IF(DH$120&lt;Standards_Active!$Q35,Perform_Active!$K35,(Standards_Active!$W35-Perform_Active!$K35)/(Standards_Active!$R35-(Standards_Active!$Q35-1))+DG147)),Perform_Active!$K35),)</f>
        <v>0</v>
      </c>
      <c r="DI147" s="625">
        <f>IF(AND(Tech_Specs!$F34="step",Standards_Active!$S35="yes"),IF(ISNUMBER(Standards_Active!$W35),IF(DI$120&gt;=Standards_Active!$R35,Standards_Active!$W35,IF(DI$120&lt;Standards_Active!$Q35,Perform_Active!$K35,(Standards_Active!$W35-Perform_Active!$K35)/(Standards_Active!$R35-(Standards_Active!$Q35-1))+DH147)),Perform_Active!$K35),)</f>
        <v>0</v>
      </c>
    </row>
    <row r="148" spans="1:113" s="81" customFormat="1" ht="12.6" x14ac:dyDescent="0.25">
      <c r="B148" s="101" t="s">
        <v>50</v>
      </c>
      <c r="C148" s="83"/>
      <c r="D148" s="379"/>
      <c r="E148" s="379"/>
      <c r="F148" s="379"/>
      <c r="G148" s="128">
        <f t="shared" si="48"/>
        <v>1</v>
      </c>
      <c r="H148" s="128">
        <f t="shared" si="48"/>
        <v>1</v>
      </c>
      <c r="I148" s="128">
        <f t="shared" si="48"/>
        <v>1</v>
      </c>
      <c r="J148" s="128">
        <f t="shared" si="48"/>
        <v>1</v>
      </c>
      <c r="K148" s="128">
        <f t="shared" si="48"/>
        <v>1</v>
      </c>
      <c r="L148" s="128">
        <f t="shared" si="48"/>
        <v>1</v>
      </c>
      <c r="M148" s="128">
        <f t="shared" si="48"/>
        <v>1</v>
      </c>
      <c r="N148" s="128">
        <f t="shared" si="48"/>
        <v>1</v>
      </c>
      <c r="O148" s="128">
        <f t="shared" si="48"/>
        <v>1</v>
      </c>
      <c r="P148" s="128">
        <f t="shared" si="48"/>
        <v>1</v>
      </c>
      <c r="Q148" s="128">
        <f t="shared" si="49"/>
        <v>1</v>
      </c>
      <c r="R148" s="128">
        <f t="shared" si="49"/>
        <v>1</v>
      </c>
      <c r="S148" s="128">
        <f t="shared" si="49"/>
        <v>1</v>
      </c>
      <c r="T148" s="128">
        <f t="shared" si="49"/>
        <v>1</v>
      </c>
      <c r="U148" s="128">
        <f t="shared" si="49"/>
        <v>1</v>
      </c>
      <c r="V148" s="128">
        <f t="shared" si="49"/>
        <v>1</v>
      </c>
      <c r="W148" s="128">
        <f t="shared" si="49"/>
        <v>1</v>
      </c>
      <c r="X148" s="128">
        <f t="shared" si="49"/>
        <v>1</v>
      </c>
      <c r="Y148" s="128">
        <f t="shared" si="49"/>
        <v>1</v>
      </c>
      <c r="Z148" s="128">
        <f t="shared" si="49"/>
        <v>1</v>
      </c>
      <c r="AA148" s="128">
        <f t="shared" si="50"/>
        <v>1</v>
      </c>
      <c r="AB148" s="128">
        <f t="shared" si="50"/>
        <v>1</v>
      </c>
      <c r="AC148" s="128">
        <f t="shared" si="50"/>
        <v>1</v>
      </c>
      <c r="AD148" s="128">
        <f t="shared" si="50"/>
        <v>1</v>
      </c>
      <c r="AE148" s="128">
        <f t="shared" si="50"/>
        <v>1</v>
      </c>
      <c r="AF148" s="128">
        <f t="shared" si="50"/>
        <v>1</v>
      </c>
      <c r="AH148" s="405">
        <f>IF(Tech_Specs!$F35="linear",TREND(Perform_Active!$K36:$L36,Perform_Active!$K$8:$L$8,AH$120),)</f>
        <v>0</v>
      </c>
      <c r="AI148" s="405">
        <f>IF(Tech_Specs!$F35="linear",TREND(Perform_Active!$K36:$L36,Perform_Active!$K$8:$L$8,AI$120),)</f>
        <v>0</v>
      </c>
      <c r="AJ148" s="405">
        <f>IF(Tech_Specs!$F35="linear",TREND(Perform_Active!$K36:$L36,Perform_Active!$K$8:$L$8,AJ$120),)</f>
        <v>0</v>
      </c>
      <c r="AK148" s="405">
        <f>IF(Tech_Specs!$F35="linear",TREND(Perform_Active!$K36:$L36,Perform_Active!$K$8:$L$8,AK$120),)</f>
        <v>0</v>
      </c>
      <c r="AL148" s="405">
        <f>IF(Tech_Specs!$F35="linear",TREND(Perform_Active!$K36:$L36,Perform_Active!$K$8:$L$8,AL$120),)</f>
        <v>0</v>
      </c>
      <c r="AM148" s="405">
        <f>IF(Tech_Specs!$F35="linear",TREND(Perform_Active!$K36:$L36,Perform_Active!$K$8:$L$8,AM$120),)</f>
        <v>0</v>
      </c>
      <c r="AN148" s="405">
        <f>IF(Tech_Specs!$F35="linear",TREND(Perform_Active!$K36:$L36,Perform_Active!$K$8:$L$8,AN$120),)</f>
        <v>0</v>
      </c>
      <c r="AO148" s="405">
        <f>IF(Tech_Specs!$F35="linear",TREND(Perform_Active!$K36:$L36,Perform_Active!$K$8:$L$8,AO$120),)</f>
        <v>0</v>
      </c>
      <c r="AP148" s="405">
        <f>IF(Tech_Specs!$F35="linear",TREND(Perform_Active!$K36:$L36,Perform_Active!$K$8:$L$8,AP$120),)</f>
        <v>0</v>
      </c>
      <c r="AQ148" s="405">
        <f>IF(Tech_Specs!$F35="linear",TREND(Perform_Active!$K36:$L36,Perform_Active!$K$8:$L$8,AQ$120),)</f>
        <v>0</v>
      </c>
      <c r="AR148" s="405">
        <f>IF(Tech_Specs!$F35="linear",TREND(Perform_Active!$K36:$L36,Perform_Active!$K$8:$L$8,AR$120),)</f>
        <v>0</v>
      </c>
      <c r="AS148" s="405">
        <f>IF(Tech_Specs!$F35="linear",TREND(Perform_Active!$K36:$L36,Perform_Active!$K$8:$L$8,AS$120),)</f>
        <v>0</v>
      </c>
      <c r="AT148" s="405">
        <f>IF(Tech_Specs!$F35="linear",TREND(Perform_Active!$K36:$L36,Perform_Active!$K$8:$L$8,AT$120),)</f>
        <v>0</v>
      </c>
      <c r="AU148" s="405">
        <f>IF(Tech_Specs!$F35="linear",TREND(Perform_Active!$K36:$L36,Perform_Active!$K$8:$L$8,AU$120),)</f>
        <v>0</v>
      </c>
      <c r="AV148" s="405">
        <f>IF(Tech_Specs!$F35="linear",TREND(Perform_Active!$K36:$L36,Perform_Active!$K$8:$L$8,AV$120),)</f>
        <v>0</v>
      </c>
      <c r="AW148" s="405">
        <f>IF(Tech_Specs!$F35="linear",TREND(Perform_Active!$K36:$L36,Perform_Active!$K$8:$L$8,AW$120),)</f>
        <v>0</v>
      </c>
      <c r="AX148" s="405">
        <f>IF(Tech_Specs!$F35="linear",TREND(Perform_Active!$K36:$L36,Perform_Active!$K$8:$L$8,AX$120),)</f>
        <v>0</v>
      </c>
      <c r="AY148" s="405">
        <f>IF(Tech_Specs!$F35="linear",TREND(Perform_Active!$K36:$L36,Perform_Active!$K$8:$L$8,AY$120),)</f>
        <v>0</v>
      </c>
      <c r="AZ148" s="405">
        <f>IF(Tech_Specs!$F35="linear",TREND(Perform_Active!$K36:$L36,Perform_Active!$K$8:$L$8,AZ$120),)</f>
        <v>0</v>
      </c>
      <c r="BA148" s="405">
        <f>IF(Tech_Specs!$F35="linear",TREND(Perform_Active!$K36:$L36,Perform_Active!$K$8:$L$8,BA$120),)</f>
        <v>0</v>
      </c>
      <c r="BB148" s="405">
        <f>IF(Tech_Specs!$F35="linear",TREND(Perform_Active!$K36:$L36,Perform_Active!$K$8:$L$8,BB$120),)</f>
        <v>0</v>
      </c>
      <c r="BC148" s="405">
        <f>IF(Tech_Specs!$F35="linear",TREND(Perform_Active!$K36:$L36,Perform_Active!$K$8:$L$8,BC$120),)</f>
        <v>0</v>
      </c>
      <c r="BD148" s="405">
        <f>IF(Tech_Specs!$F35="linear",TREND(Perform_Active!$K36:$L36,Perform_Active!$K$8:$L$8,BD$120),)</f>
        <v>0</v>
      </c>
      <c r="BE148" s="405">
        <f>IF(Tech_Specs!$F35="linear",TREND(Perform_Active!$K36:$L36,Perform_Active!$K$8:$L$8,BE$120),)</f>
        <v>0</v>
      </c>
      <c r="BF148" s="405">
        <f>IF(Tech_Specs!$F35="linear",TREND(Perform_Active!$K36:$L36,Perform_Active!$K$8:$L$8,BF$120),)</f>
        <v>0</v>
      </c>
      <c r="BG148" s="405">
        <f>IF(Tech_Specs!$F35="linear",TREND(Perform_Active!$K36:$L36,Perform_Active!$K$8:$L$8,BG$120),)</f>
        <v>0</v>
      </c>
      <c r="BI148" s="338">
        <f>IF(Tech_Specs!$F35="Constant",Perform_Active!$K36,)</f>
        <v>1</v>
      </c>
      <c r="BJ148" s="338">
        <f>IF(Tech_Specs!$F35="Constant",Perform_Active!$K36,)</f>
        <v>1</v>
      </c>
      <c r="BK148" s="338">
        <f>IF(Tech_Specs!$F35="Constant",Perform_Active!$K36,)</f>
        <v>1</v>
      </c>
      <c r="BL148" s="338">
        <f>IF(Tech_Specs!$F35="Constant",Perform_Active!$K36,)</f>
        <v>1</v>
      </c>
      <c r="BM148" s="338">
        <f>IF(Tech_Specs!$F35="Constant",Perform_Active!$K36,)</f>
        <v>1</v>
      </c>
      <c r="BN148" s="338">
        <f>IF(Tech_Specs!$F35="Constant",Perform_Active!$K36,)</f>
        <v>1</v>
      </c>
      <c r="BO148" s="338">
        <f>IF(Tech_Specs!$F35="Constant",Perform_Active!$K36,)</f>
        <v>1</v>
      </c>
      <c r="BP148" s="338">
        <f>IF(Tech_Specs!$F35="Constant",Perform_Active!$K36,)</f>
        <v>1</v>
      </c>
      <c r="BQ148" s="338">
        <f>IF(Tech_Specs!$F35="Constant",Perform_Active!$K36,)</f>
        <v>1</v>
      </c>
      <c r="BR148" s="338">
        <f>IF(Tech_Specs!$F35="Constant",Perform_Active!$K36,)</f>
        <v>1</v>
      </c>
      <c r="BS148" s="338">
        <f>IF(Tech_Specs!$F35="Constant",Perform_Active!$K36,)</f>
        <v>1</v>
      </c>
      <c r="BT148" s="338">
        <f>IF(Tech_Specs!$F35="Constant",Perform_Active!$K36,)</f>
        <v>1</v>
      </c>
      <c r="BU148" s="338">
        <f>IF(Tech_Specs!$F35="Constant",Perform_Active!$K36,)</f>
        <v>1</v>
      </c>
      <c r="BV148" s="338">
        <f>IF(Tech_Specs!$F35="Constant",Perform_Active!$K36,)</f>
        <v>1</v>
      </c>
      <c r="BW148" s="338">
        <f>IF(Tech_Specs!$F35="Constant",Perform_Active!$K36,)</f>
        <v>1</v>
      </c>
      <c r="BX148" s="338">
        <f>IF(Tech_Specs!$F35="Constant",Perform_Active!$K36,)</f>
        <v>1</v>
      </c>
      <c r="BY148" s="338">
        <f>IF(Tech_Specs!$F35="Constant",Perform_Active!$K36,)</f>
        <v>1</v>
      </c>
      <c r="BZ148" s="338">
        <f>IF(Tech_Specs!$F35="Constant",Perform_Active!$K36,)</f>
        <v>1</v>
      </c>
      <c r="CA148" s="338">
        <f>IF(Tech_Specs!$F35="Constant",Perform_Active!$K36,)</f>
        <v>1</v>
      </c>
      <c r="CB148" s="338">
        <f>IF(Tech_Specs!$F35="Constant",Perform_Active!$K36,)</f>
        <v>1</v>
      </c>
      <c r="CC148" s="338">
        <f>IF(Tech_Specs!$F35="Constant",Perform_Active!$K36,)</f>
        <v>1</v>
      </c>
      <c r="CD148" s="338">
        <f>IF(Tech_Specs!$F35="Constant",Perform_Active!$K36,)</f>
        <v>1</v>
      </c>
      <c r="CE148" s="338">
        <f>IF(Tech_Specs!$F35="Constant",Perform_Active!$K36,)</f>
        <v>1</v>
      </c>
      <c r="CF148" s="338">
        <f>IF(Tech_Specs!$F35="Constant",Perform_Active!$K36,)</f>
        <v>1</v>
      </c>
      <c r="CG148" s="338">
        <f>IF(Tech_Specs!$F35="Constant",Perform_Active!$K36,)</f>
        <v>1</v>
      </c>
      <c r="CH148" s="338">
        <f>IF(Tech_Specs!$F35="Constant",Perform_Active!$K36,)</f>
        <v>1</v>
      </c>
      <c r="CJ148" s="625">
        <f>IF(AND(Tech_Specs!$F35="step",Standards_Active!$S36="yes"),IF(ISNUMBER(Standards_Active!$W36),IF(CJ$120&gt;=Standards_Active!$R36,Standards_Active!$W36,IF(CJ$120&lt;Standards_Active!$Q36,Perform_Active!$K36,(Standards_Active!$W36-Perform_Active!$K36)/(Standards_Active!$R36-(Standards_Active!$Q36-1))+CI148)),Perform_Active!$K36),)</f>
        <v>0</v>
      </c>
      <c r="CK148" s="625">
        <f>IF(AND(Tech_Specs!$F35="step",Standards_Active!$S36="yes"),IF(ISNUMBER(Standards_Active!$W36),IF(CK$120&gt;=Standards_Active!$R36,Standards_Active!$W36,IF(CK$120&lt;Standards_Active!$Q36,Perform_Active!$K36,(Standards_Active!$W36-Perform_Active!$K36)/(Standards_Active!$R36-(Standards_Active!$Q36-1))+CJ148)),Perform_Active!$K36),)</f>
        <v>0</v>
      </c>
      <c r="CL148" s="625">
        <f>IF(AND(Tech_Specs!$F35="step",Standards_Active!$S36="yes"),IF(ISNUMBER(Standards_Active!$W36),IF(CL$120&gt;=Standards_Active!$R36,Standards_Active!$W36,IF(CL$120&lt;Standards_Active!$Q36,Perform_Active!$K36,(Standards_Active!$W36-Perform_Active!$K36)/(Standards_Active!$R36-(Standards_Active!$Q36-1))+CK148)),Perform_Active!$K36),)</f>
        <v>0</v>
      </c>
      <c r="CM148" s="625">
        <f>IF(AND(Tech_Specs!$F35="step",Standards_Active!$S36="yes"),IF(ISNUMBER(Standards_Active!$W36),IF(CM$120&gt;=Standards_Active!$R36,Standards_Active!$W36,IF(CM$120&lt;Standards_Active!$Q36,Perform_Active!$K36,(Standards_Active!$W36-Perform_Active!$K36)/(Standards_Active!$R36-(Standards_Active!$Q36-1))+CL148)),Perform_Active!$K36),)</f>
        <v>0</v>
      </c>
      <c r="CN148" s="625">
        <f>IF(AND(Tech_Specs!$F35="step",Standards_Active!$S36="yes"),IF(ISNUMBER(Standards_Active!$W36),IF(CN$120&gt;=Standards_Active!$R36,Standards_Active!$W36,IF(CN$120&lt;Standards_Active!$Q36,Perform_Active!$K36,(Standards_Active!$W36-Perform_Active!$K36)/(Standards_Active!$R36-(Standards_Active!$Q36-1))+CM148)),Perform_Active!$K36),)</f>
        <v>0</v>
      </c>
      <c r="CO148" s="625">
        <f>IF(AND(Tech_Specs!$F35="step",Standards_Active!$S36="yes"),IF(ISNUMBER(Standards_Active!$W36),IF(CO$120&gt;=Standards_Active!$R36,Standards_Active!$W36,IF(CO$120&lt;Standards_Active!$Q36,Perform_Active!$K36,(Standards_Active!$W36-Perform_Active!$K36)/(Standards_Active!$R36-(Standards_Active!$Q36-1))+CN148)),Perform_Active!$K36),)</f>
        <v>0</v>
      </c>
      <c r="CP148" s="625">
        <f>IF(AND(Tech_Specs!$F35="step",Standards_Active!$S36="yes"),IF(ISNUMBER(Standards_Active!$W36),IF(CP$120&gt;=Standards_Active!$R36,Standards_Active!$W36,IF(CP$120&lt;Standards_Active!$Q36,Perform_Active!$K36,(Standards_Active!$W36-Perform_Active!$K36)/(Standards_Active!$R36-(Standards_Active!$Q36-1))+CO148)),Perform_Active!$K36),)</f>
        <v>0</v>
      </c>
      <c r="CQ148" s="625">
        <f>IF(AND(Tech_Specs!$F35="step",Standards_Active!$S36="yes"),IF(ISNUMBER(Standards_Active!$W36),IF(CQ$120&gt;=Standards_Active!$R36,Standards_Active!$W36,IF(CQ$120&lt;Standards_Active!$Q36,Perform_Active!$K36,(Standards_Active!$W36-Perform_Active!$K36)/(Standards_Active!$R36-(Standards_Active!$Q36-1))+CP148)),Perform_Active!$K36),)</f>
        <v>0</v>
      </c>
      <c r="CR148" s="625">
        <f>IF(AND(Tech_Specs!$F35="step",Standards_Active!$S36="yes"),IF(ISNUMBER(Standards_Active!$W36),IF(CR$120&gt;=Standards_Active!$R36,Standards_Active!$W36,IF(CR$120&lt;Standards_Active!$Q36,Perform_Active!$K36,(Standards_Active!$W36-Perform_Active!$K36)/(Standards_Active!$R36-(Standards_Active!$Q36-1))+CQ148)),Perform_Active!$K36),)</f>
        <v>0</v>
      </c>
      <c r="CS148" s="625">
        <f>IF(AND(Tech_Specs!$F35="step",Standards_Active!$S36="yes"),IF(ISNUMBER(Standards_Active!$W36),IF(CS$120&gt;=Standards_Active!$R36,Standards_Active!$W36,IF(CS$120&lt;Standards_Active!$Q36,Perform_Active!$K36,(Standards_Active!$W36-Perform_Active!$K36)/(Standards_Active!$R36-(Standards_Active!$Q36-1))+CR148)),Perform_Active!$K36),)</f>
        <v>0</v>
      </c>
      <c r="CT148" s="625">
        <f>IF(AND(Tech_Specs!$F35="step",Standards_Active!$S36="yes"),IF(ISNUMBER(Standards_Active!$W36),IF(CT$120&gt;=Standards_Active!$R36,Standards_Active!$W36,IF(CT$120&lt;Standards_Active!$Q36,Perform_Active!$K36,(Standards_Active!$W36-Perform_Active!$K36)/(Standards_Active!$R36-(Standards_Active!$Q36-1))+CS148)),Perform_Active!$K36),)</f>
        <v>0</v>
      </c>
      <c r="CU148" s="625">
        <f>IF(AND(Tech_Specs!$F35="step",Standards_Active!$S36="yes"),IF(ISNUMBER(Standards_Active!$W36),IF(CU$120&gt;=Standards_Active!$R36,Standards_Active!$W36,IF(CU$120&lt;Standards_Active!$Q36,Perform_Active!$K36,(Standards_Active!$W36-Perform_Active!$K36)/(Standards_Active!$R36-(Standards_Active!$Q36-1))+CT148)),Perform_Active!$K36),)</f>
        <v>0</v>
      </c>
      <c r="CV148" s="625">
        <f>IF(AND(Tech_Specs!$F35="step",Standards_Active!$S36="yes"),IF(ISNUMBER(Standards_Active!$W36),IF(CV$120&gt;=Standards_Active!$R36,Standards_Active!$W36,IF(CV$120&lt;Standards_Active!$Q36,Perform_Active!$K36,(Standards_Active!$W36-Perform_Active!$K36)/(Standards_Active!$R36-(Standards_Active!$Q36-1))+CU148)),Perform_Active!$K36),)</f>
        <v>0</v>
      </c>
      <c r="CW148" s="625">
        <f>IF(AND(Tech_Specs!$F35="step",Standards_Active!$S36="yes"),IF(ISNUMBER(Standards_Active!$W36),IF(CW$120&gt;=Standards_Active!$R36,Standards_Active!$W36,IF(CW$120&lt;Standards_Active!$Q36,Perform_Active!$K36,(Standards_Active!$W36-Perform_Active!$K36)/(Standards_Active!$R36-(Standards_Active!$Q36-1))+CV148)),Perform_Active!$K36),)</f>
        <v>0</v>
      </c>
      <c r="CX148" s="625">
        <f>IF(AND(Tech_Specs!$F35="step",Standards_Active!$S36="yes"),IF(ISNUMBER(Standards_Active!$W36),IF(CX$120&gt;=Standards_Active!$R36,Standards_Active!$W36,IF(CX$120&lt;Standards_Active!$Q36,Perform_Active!$K36,(Standards_Active!$W36-Perform_Active!$K36)/(Standards_Active!$R36-(Standards_Active!$Q36-1))+CW148)),Perform_Active!$K36),)</f>
        <v>0</v>
      </c>
      <c r="CY148" s="625">
        <f>IF(AND(Tech_Specs!$F35="step",Standards_Active!$S36="yes"),IF(ISNUMBER(Standards_Active!$W36),IF(CY$120&gt;=Standards_Active!$R36,Standards_Active!$W36,IF(CY$120&lt;Standards_Active!$Q36,Perform_Active!$K36,(Standards_Active!$W36-Perform_Active!$K36)/(Standards_Active!$R36-(Standards_Active!$Q36-1))+CX148)),Perform_Active!$K36),)</f>
        <v>0</v>
      </c>
      <c r="CZ148" s="625">
        <f>IF(AND(Tech_Specs!$F35="step",Standards_Active!$S36="yes"),IF(ISNUMBER(Standards_Active!$W36),IF(CZ$120&gt;=Standards_Active!$R36,Standards_Active!$W36,IF(CZ$120&lt;Standards_Active!$Q36,Perform_Active!$K36,(Standards_Active!$W36-Perform_Active!$K36)/(Standards_Active!$R36-(Standards_Active!$Q36-1))+CY148)),Perform_Active!$K36),)</f>
        <v>0</v>
      </c>
      <c r="DA148" s="625">
        <f>IF(AND(Tech_Specs!$F35="step",Standards_Active!$S36="yes"),IF(ISNUMBER(Standards_Active!$W36),IF(DA$120&gt;=Standards_Active!$R36,Standards_Active!$W36,IF(DA$120&lt;Standards_Active!$Q36,Perform_Active!$K36,(Standards_Active!$W36-Perform_Active!$K36)/(Standards_Active!$R36-(Standards_Active!$Q36-1))+CZ148)),Perform_Active!$K36),)</f>
        <v>0</v>
      </c>
      <c r="DB148" s="625">
        <f>IF(AND(Tech_Specs!$F35="step",Standards_Active!$S36="yes"),IF(ISNUMBER(Standards_Active!$W36),IF(DB$120&gt;=Standards_Active!$R36,Standards_Active!$W36,IF(DB$120&lt;Standards_Active!$Q36,Perform_Active!$K36,(Standards_Active!$W36-Perform_Active!$K36)/(Standards_Active!$R36-(Standards_Active!$Q36-1))+DA148)),Perform_Active!$K36),)</f>
        <v>0</v>
      </c>
      <c r="DC148" s="625">
        <f>IF(AND(Tech_Specs!$F35="step",Standards_Active!$S36="yes"),IF(ISNUMBER(Standards_Active!$W36),IF(DC$120&gt;=Standards_Active!$R36,Standards_Active!$W36,IF(DC$120&lt;Standards_Active!$Q36,Perform_Active!$K36,(Standards_Active!$W36-Perform_Active!$K36)/(Standards_Active!$R36-(Standards_Active!$Q36-1))+DB148)),Perform_Active!$K36),)</f>
        <v>0</v>
      </c>
      <c r="DD148" s="625">
        <f>IF(AND(Tech_Specs!$F35="step",Standards_Active!$S36="yes"),IF(ISNUMBER(Standards_Active!$W36),IF(DD$120&gt;=Standards_Active!$R36,Standards_Active!$W36,IF(DD$120&lt;Standards_Active!$Q36,Perform_Active!$K36,(Standards_Active!$W36-Perform_Active!$K36)/(Standards_Active!$R36-(Standards_Active!$Q36-1))+DC148)),Perform_Active!$K36),)</f>
        <v>0</v>
      </c>
      <c r="DE148" s="625">
        <f>IF(AND(Tech_Specs!$F35="step",Standards_Active!$S36="yes"),IF(ISNUMBER(Standards_Active!$W36),IF(DE$120&gt;=Standards_Active!$R36,Standards_Active!$W36,IF(DE$120&lt;Standards_Active!$Q36,Perform_Active!$K36,(Standards_Active!$W36-Perform_Active!$K36)/(Standards_Active!$R36-(Standards_Active!$Q36-1))+DD148)),Perform_Active!$K36),)</f>
        <v>0</v>
      </c>
      <c r="DF148" s="625">
        <f>IF(AND(Tech_Specs!$F35="step",Standards_Active!$S36="yes"),IF(ISNUMBER(Standards_Active!$W36),IF(DF$120&gt;=Standards_Active!$R36,Standards_Active!$W36,IF(DF$120&lt;Standards_Active!$Q36,Perform_Active!$K36,(Standards_Active!$W36-Perform_Active!$K36)/(Standards_Active!$R36-(Standards_Active!$Q36-1))+DE148)),Perform_Active!$K36),)</f>
        <v>0</v>
      </c>
      <c r="DG148" s="625">
        <f>IF(AND(Tech_Specs!$F35="step",Standards_Active!$S36="yes"),IF(ISNUMBER(Standards_Active!$W36),IF(DG$120&gt;=Standards_Active!$R36,Standards_Active!$W36,IF(DG$120&lt;Standards_Active!$Q36,Perform_Active!$K36,(Standards_Active!$W36-Perform_Active!$K36)/(Standards_Active!$R36-(Standards_Active!$Q36-1))+DF148)),Perform_Active!$K36),)</f>
        <v>0</v>
      </c>
      <c r="DH148" s="625">
        <f>IF(AND(Tech_Specs!$F35="step",Standards_Active!$S36="yes"),IF(ISNUMBER(Standards_Active!$W36),IF(DH$120&gt;=Standards_Active!$R36,Standards_Active!$W36,IF(DH$120&lt;Standards_Active!$Q36,Perform_Active!$K36,(Standards_Active!$W36-Perform_Active!$K36)/(Standards_Active!$R36-(Standards_Active!$Q36-1))+DG148)),Perform_Active!$K36),)</f>
        <v>0</v>
      </c>
      <c r="DI148" s="625">
        <f>IF(AND(Tech_Specs!$F35="step",Standards_Active!$S36="yes"),IF(ISNUMBER(Standards_Active!$W36),IF(DI$120&gt;=Standards_Active!$R36,Standards_Active!$W36,IF(DI$120&lt;Standards_Active!$Q36,Perform_Active!$K36,(Standards_Active!$W36-Perform_Active!$K36)/(Standards_Active!$R36-(Standards_Active!$Q36-1))+DH148)),Perform_Active!$K36),)</f>
        <v>0</v>
      </c>
    </row>
    <row r="149" spans="1:113" s="81" customFormat="1" ht="12.6" x14ac:dyDescent="0.25">
      <c r="B149" s="81" t="s">
        <v>51</v>
      </c>
      <c r="C149" s="83"/>
      <c r="D149" s="379"/>
      <c r="E149" s="379"/>
      <c r="F149" s="379"/>
      <c r="G149" s="128">
        <f t="shared" si="48"/>
        <v>1</v>
      </c>
      <c r="H149" s="128">
        <f t="shared" si="48"/>
        <v>1</v>
      </c>
      <c r="I149" s="128">
        <f t="shared" si="48"/>
        <v>1</v>
      </c>
      <c r="J149" s="128">
        <f t="shared" si="48"/>
        <v>1</v>
      </c>
      <c r="K149" s="128">
        <f t="shared" si="48"/>
        <v>1</v>
      </c>
      <c r="L149" s="128">
        <f t="shared" si="48"/>
        <v>1</v>
      </c>
      <c r="M149" s="128">
        <f t="shared" si="48"/>
        <v>1</v>
      </c>
      <c r="N149" s="128">
        <f t="shared" si="48"/>
        <v>1</v>
      </c>
      <c r="O149" s="128">
        <f t="shared" si="48"/>
        <v>1</v>
      </c>
      <c r="P149" s="128">
        <f t="shared" si="48"/>
        <v>1</v>
      </c>
      <c r="Q149" s="128">
        <f t="shared" si="49"/>
        <v>1</v>
      </c>
      <c r="R149" s="128">
        <f t="shared" si="49"/>
        <v>1</v>
      </c>
      <c r="S149" s="128">
        <f t="shared" si="49"/>
        <v>1</v>
      </c>
      <c r="T149" s="128">
        <f t="shared" si="49"/>
        <v>1</v>
      </c>
      <c r="U149" s="128">
        <f t="shared" si="49"/>
        <v>1</v>
      </c>
      <c r="V149" s="128">
        <f t="shared" si="49"/>
        <v>1</v>
      </c>
      <c r="W149" s="128">
        <f t="shared" si="49"/>
        <v>1</v>
      </c>
      <c r="X149" s="128">
        <f t="shared" si="49"/>
        <v>1</v>
      </c>
      <c r="Y149" s="128">
        <f t="shared" si="49"/>
        <v>1</v>
      </c>
      <c r="Z149" s="128">
        <f t="shared" si="49"/>
        <v>1</v>
      </c>
      <c r="AA149" s="128">
        <f t="shared" si="50"/>
        <v>1</v>
      </c>
      <c r="AB149" s="128">
        <f t="shared" si="50"/>
        <v>1</v>
      </c>
      <c r="AC149" s="128">
        <f t="shared" si="50"/>
        <v>1</v>
      </c>
      <c r="AD149" s="128">
        <f t="shared" si="50"/>
        <v>1</v>
      </c>
      <c r="AE149" s="128">
        <f t="shared" si="50"/>
        <v>1</v>
      </c>
      <c r="AF149" s="128">
        <f t="shared" si="50"/>
        <v>1</v>
      </c>
      <c r="AH149" s="405">
        <f>IF(Tech_Specs!$F36="linear",TREND(Perform_Active!$K37:$L37,Perform_Active!$K$8:$L$8,AH$120),)</f>
        <v>0</v>
      </c>
      <c r="AI149" s="405">
        <f>IF(Tech_Specs!$F36="linear",TREND(Perform_Active!$K37:$L37,Perform_Active!$K$8:$L$8,AI$120),)</f>
        <v>0</v>
      </c>
      <c r="AJ149" s="405">
        <f>IF(Tech_Specs!$F36="linear",TREND(Perform_Active!$K37:$L37,Perform_Active!$K$8:$L$8,AJ$120),)</f>
        <v>0</v>
      </c>
      <c r="AK149" s="405">
        <f>IF(Tech_Specs!$F36="linear",TREND(Perform_Active!$K37:$L37,Perform_Active!$K$8:$L$8,AK$120),)</f>
        <v>0</v>
      </c>
      <c r="AL149" s="405">
        <f>IF(Tech_Specs!$F36="linear",TREND(Perform_Active!$K37:$L37,Perform_Active!$K$8:$L$8,AL$120),)</f>
        <v>0</v>
      </c>
      <c r="AM149" s="405">
        <f>IF(Tech_Specs!$F36="linear",TREND(Perform_Active!$K37:$L37,Perform_Active!$K$8:$L$8,AM$120),)</f>
        <v>0</v>
      </c>
      <c r="AN149" s="405">
        <f>IF(Tech_Specs!$F36="linear",TREND(Perform_Active!$K37:$L37,Perform_Active!$K$8:$L$8,AN$120),)</f>
        <v>0</v>
      </c>
      <c r="AO149" s="405">
        <f>IF(Tech_Specs!$F36="linear",TREND(Perform_Active!$K37:$L37,Perform_Active!$K$8:$L$8,AO$120),)</f>
        <v>0</v>
      </c>
      <c r="AP149" s="405">
        <f>IF(Tech_Specs!$F36="linear",TREND(Perform_Active!$K37:$L37,Perform_Active!$K$8:$L$8,AP$120),)</f>
        <v>0</v>
      </c>
      <c r="AQ149" s="405">
        <f>IF(Tech_Specs!$F36="linear",TREND(Perform_Active!$K37:$L37,Perform_Active!$K$8:$L$8,AQ$120),)</f>
        <v>0</v>
      </c>
      <c r="AR149" s="405">
        <f>IF(Tech_Specs!$F36="linear",TREND(Perform_Active!$K37:$L37,Perform_Active!$K$8:$L$8,AR$120),)</f>
        <v>0</v>
      </c>
      <c r="AS149" s="405">
        <f>IF(Tech_Specs!$F36="linear",TREND(Perform_Active!$K37:$L37,Perform_Active!$K$8:$L$8,AS$120),)</f>
        <v>0</v>
      </c>
      <c r="AT149" s="405">
        <f>IF(Tech_Specs!$F36="linear",TREND(Perform_Active!$K37:$L37,Perform_Active!$K$8:$L$8,AT$120),)</f>
        <v>0</v>
      </c>
      <c r="AU149" s="405">
        <f>IF(Tech_Specs!$F36="linear",TREND(Perform_Active!$K37:$L37,Perform_Active!$K$8:$L$8,AU$120),)</f>
        <v>0</v>
      </c>
      <c r="AV149" s="405">
        <f>IF(Tech_Specs!$F36="linear",TREND(Perform_Active!$K37:$L37,Perform_Active!$K$8:$L$8,AV$120),)</f>
        <v>0</v>
      </c>
      <c r="AW149" s="405">
        <f>IF(Tech_Specs!$F36="linear",TREND(Perform_Active!$K37:$L37,Perform_Active!$K$8:$L$8,AW$120),)</f>
        <v>0</v>
      </c>
      <c r="AX149" s="405">
        <f>IF(Tech_Specs!$F36="linear",TREND(Perform_Active!$K37:$L37,Perform_Active!$K$8:$L$8,AX$120),)</f>
        <v>0</v>
      </c>
      <c r="AY149" s="405">
        <f>IF(Tech_Specs!$F36="linear",TREND(Perform_Active!$K37:$L37,Perform_Active!$K$8:$L$8,AY$120),)</f>
        <v>0</v>
      </c>
      <c r="AZ149" s="405">
        <f>IF(Tech_Specs!$F36="linear",TREND(Perform_Active!$K37:$L37,Perform_Active!$K$8:$L$8,AZ$120),)</f>
        <v>0</v>
      </c>
      <c r="BA149" s="405">
        <f>IF(Tech_Specs!$F36="linear",TREND(Perform_Active!$K37:$L37,Perform_Active!$K$8:$L$8,BA$120),)</f>
        <v>0</v>
      </c>
      <c r="BB149" s="405">
        <f>IF(Tech_Specs!$F36="linear",TREND(Perform_Active!$K37:$L37,Perform_Active!$K$8:$L$8,BB$120),)</f>
        <v>0</v>
      </c>
      <c r="BC149" s="405">
        <f>IF(Tech_Specs!$F36="linear",TREND(Perform_Active!$K37:$L37,Perform_Active!$K$8:$L$8,BC$120),)</f>
        <v>0</v>
      </c>
      <c r="BD149" s="405">
        <f>IF(Tech_Specs!$F36="linear",TREND(Perform_Active!$K37:$L37,Perform_Active!$K$8:$L$8,BD$120),)</f>
        <v>0</v>
      </c>
      <c r="BE149" s="405">
        <f>IF(Tech_Specs!$F36="linear",TREND(Perform_Active!$K37:$L37,Perform_Active!$K$8:$L$8,BE$120),)</f>
        <v>0</v>
      </c>
      <c r="BF149" s="405">
        <f>IF(Tech_Specs!$F36="linear",TREND(Perform_Active!$K37:$L37,Perform_Active!$K$8:$L$8,BF$120),)</f>
        <v>0</v>
      </c>
      <c r="BG149" s="405">
        <f>IF(Tech_Specs!$F36="linear",TREND(Perform_Active!$K37:$L37,Perform_Active!$K$8:$L$8,BG$120),)</f>
        <v>0</v>
      </c>
      <c r="BI149" s="338">
        <f>IF(Tech_Specs!$F36="Constant",Perform_Active!$K37,)</f>
        <v>1</v>
      </c>
      <c r="BJ149" s="338">
        <f>IF(Tech_Specs!$F36="Constant",Perform_Active!$K37,)</f>
        <v>1</v>
      </c>
      <c r="BK149" s="338">
        <f>IF(Tech_Specs!$F36="Constant",Perform_Active!$K37,)</f>
        <v>1</v>
      </c>
      <c r="BL149" s="338">
        <f>IF(Tech_Specs!$F36="Constant",Perform_Active!$K37,)</f>
        <v>1</v>
      </c>
      <c r="BM149" s="338">
        <f>IF(Tech_Specs!$F36="Constant",Perform_Active!$K37,)</f>
        <v>1</v>
      </c>
      <c r="BN149" s="338">
        <f>IF(Tech_Specs!$F36="Constant",Perform_Active!$K37,)</f>
        <v>1</v>
      </c>
      <c r="BO149" s="338">
        <f>IF(Tech_Specs!$F36="Constant",Perform_Active!$K37,)</f>
        <v>1</v>
      </c>
      <c r="BP149" s="338">
        <f>IF(Tech_Specs!$F36="Constant",Perform_Active!$K37,)</f>
        <v>1</v>
      </c>
      <c r="BQ149" s="338">
        <f>IF(Tech_Specs!$F36="Constant",Perform_Active!$K37,)</f>
        <v>1</v>
      </c>
      <c r="BR149" s="338">
        <f>IF(Tech_Specs!$F36="Constant",Perform_Active!$K37,)</f>
        <v>1</v>
      </c>
      <c r="BS149" s="338">
        <f>IF(Tech_Specs!$F36="Constant",Perform_Active!$K37,)</f>
        <v>1</v>
      </c>
      <c r="BT149" s="338">
        <f>IF(Tech_Specs!$F36="Constant",Perform_Active!$K37,)</f>
        <v>1</v>
      </c>
      <c r="BU149" s="338">
        <f>IF(Tech_Specs!$F36="Constant",Perform_Active!$K37,)</f>
        <v>1</v>
      </c>
      <c r="BV149" s="338">
        <f>IF(Tech_Specs!$F36="Constant",Perform_Active!$K37,)</f>
        <v>1</v>
      </c>
      <c r="BW149" s="338">
        <f>IF(Tech_Specs!$F36="Constant",Perform_Active!$K37,)</f>
        <v>1</v>
      </c>
      <c r="BX149" s="338">
        <f>IF(Tech_Specs!$F36="Constant",Perform_Active!$K37,)</f>
        <v>1</v>
      </c>
      <c r="BY149" s="338">
        <f>IF(Tech_Specs!$F36="Constant",Perform_Active!$K37,)</f>
        <v>1</v>
      </c>
      <c r="BZ149" s="338">
        <f>IF(Tech_Specs!$F36="Constant",Perform_Active!$K37,)</f>
        <v>1</v>
      </c>
      <c r="CA149" s="338">
        <f>IF(Tech_Specs!$F36="Constant",Perform_Active!$K37,)</f>
        <v>1</v>
      </c>
      <c r="CB149" s="338">
        <f>IF(Tech_Specs!$F36="Constant",Perform_Active!$K37,)</f>
        <v>1</v>
      </c>
      <c r="CC149" s="338">
        <f>IF(Tech_Specs!$F36="Constant",Perform_Active!$K37,)</f>
        <v>1</v>
      </c>
      <c r="CD149" s="338">
        <f>IF(Tech_Specs!$F36="Constant",Perform_Active!$K37,)</f>
        <v>1</v>
      </c>
      <c r="CE149" s="338">
        <f>IF(Tech_Specs!$F36="Constant",Perform_Active!$K37,)</f>
        <v>1</v>
      </c>
      <c r="CF149" s="338">
        <f>IF(Tech_Specs!$F36="Constant",Perform_Active!$K37,)</f>
        <v>1</v>
      </c>
      <c r="CG149" s="338">
        <f>IF(Tech_Specs!$F36="Constant",Perform_Active!$K37,)</f>
        <v>1</v>
      </c>
      <c r="CH149" s="338">
        <f>IF(Tech_Specs!$F36="Constant",Perform_Active!$K37,)</f>
        <v>1</v>
      </c>
      <c r="CJ149" s="625">
        <f>IF(AND(Tech_Specs!$F36="step",Standards_Active!$S37="yes"),IF(ISNUMBER(Standards_Active!$W37),IF(CJ$120&gt;=Standards_Active!$R37,Standards_Active!$W37,IF(CJ$120&lt;Standards_Active!$Q37,Perform_Active!$K37,(Standards_Active!$W37-Perform_Active!$K37)/(Standards_Active!$R37-(Standards_Active!$Q37-1))+CI149)),Perform_Active!$K37),)</f>
        <v>0</v>
      </c>
      <c r="CK149" s="625">
        <f>IF(AND(Tech_Specs!$F36="step",Standards_Active!$S37="yes"),IF(ISNUMBER(Standards_Active!$W37),IF(CK$120&gt;=Standards_Active!$R37,Standards_Active!$W37,IF(CK$120&lt;Standards_Active!$Q37,Perform_Active!$K37,(Standards_Active!$W37-Perform_Active!$K37)/(Standards_Active!$R37-(Standards_Active!$Q37-1))+CJ149)),Perform_Active!$K37),)</f>
        <v>0</v>
      </c>
      <c r="CL149" s="625">
        <f>IF(AND(Tech_Specs!$F36="step",Standards_Active!$S37="yes"),IF(ISNUMBER(Standards_Active!$W37),IF(CL$120&gt;=Standards_Active!$R37,Standards_Active!$W37,IF(CL$120&lt;Standards_Active!$Q37,Perform_Active!$K37,(Standards_Active!$W37-Perform_Active!$K37)/(Standards_Active!$R37-(Standards_Active!$Q37-1))+CK149)),Perform_Active!$K37),)</f>
        <v>0</v>
      </c>
      <c r="CM149" s="625">
        <f>IF(AND(Tech_Specs!$F36="step",Standards_Active!$S37="yes"),IF(ISNUMBER(Standards_Active!$W37),IF(CM$120&gt;=Standards_Active!$R37,Standards_Active!$W37,IF(CM$120&lt;Standards_Active!$Q37,Perform_Active!$K37,(Standards_Active!$W37-Perform_Active!$K37)/(Standards_Active!$R37-(Standards_Active!$Q37-1))+CL149)),Perform_Active!$K37),)</f>
        <v>0</v>
      </c>
      <c r="CN149" s="625">
        <f>IF(AND(Tech_Specs!$F36="step",Standards_Active!$S37="yes"),IF(ISNUMBER(Standards_Active!$W37),IF(CN$120&gt;=Standards_Active!$R37,Standards_Active!$W37,IF(CN$120&lt;Standards_Active!$Q37,Perform_Active!$K37,(Standards_Active!$W37-Perform_Active!$K37)/(Standards_Active!$R37-(Standards_Active!$Q37-1))+CM149)),Perform_Active!$K37),)</f>
        <v>0</v>
      </c>
      <c r="CO149" s="625">
        <f>IF(AND(Tech_Specs!$F36="step",Standards_Active!$S37="yes"),IF(ISNUMBER(Standards_Active!$W37),IF(CO$120&gt;=Standards_Active!$R37,Standards_Active!$W37,IF(CO$120&lt;Standards_Active!$Q37,Perform_Active!$K37,(Standards_Active!$W37-Perform_Active!$K37)/(Standards_Active!$R37-(Standards_Active!$Q37-1))+CN149)),Perform_Active!$K37),)</f>
        <v>0</v>
      </c>
      <c r="CP149" s="625">
        <f>IF(AND(Tech_Specs!$F36="step",Standards_Active!$S37="yes"),IF(ISNUMBER(Standards_Active!$W37),IF(CP$120&gt;=Standards_Active!$R37,Standards_Active!$W37,IF(CP$120&lt;Standards_Active!$Q37,Perform_Active!$K37,(Standards_Active!$W37-Perform_Active!$K37)/(Standards_Active!$R37-(Standards_Active!$Q37-1))+CO149)),Perform_Active!$K37),)</f>
        <v>0</v>
      </c>
      <c r="CQ149" s="625">
        <f>IF(AND(Tech_Specs!$F36="step",Standards_Active!$S37="yes"),IF(ISNUMBER(Standards_Active!$W37),IF(CQ$120&gt;=Standards_Active!$R37,Standards_Active!$W37,IF(CQ$120&lt;Standards_Active!$Q37,Perform_Active!$K37,(Standards_Active!$W37-Perform_Active!$K37)/(Standards_Active!$R37-(Standards_Active!$Q37-1))+CP149)),Perform_Active!$K37),)</f>
        <v>0</v>
      </c>
      <c r="CR149" s="625">
        <f>IF(AND(Tech_Specs!$F36="step",Standards_Active!$S37="yes"),IF(ISNUMBER(Standards_Active!$W37),IF(CR$120&gt;=Standards_Active!$R37,Standards_Active!$W37,IF(CR$120&lt;Standards_Active!$Q37,Perform_Active!$K37,(Standards_Active!$W37-Perform_Active!$K37)/(Standards_Active!$R37-(Standards_Active!$Q37-1))+CQ149)),Perform_Active!$K37),)</f>
        <v>0</v>
      </c>
      <c r="CS149" s="625">
        <f>IF(AND(Tech_Specs!$F36="step",Standards_Active!$S37="yes"),IF(ISNUMBER(Standards_Active!$W37),IF(CS$120&gt;=Standards_Active!$R37,Standards_Active!$W37,IF(CS$120&lt;Standards_Active!$Q37,Perform_Active!$K37,(Standards_Active!$W37-Perform_Active!$K37)/(Standards_Active!$R37-(Standards_Active!$Q37-1))+CR149)),Perform_Active!$K37),)</f>
        <v>0</v>
      </c>
      <c r="CT149" s="625">
        <f>IF(AND(Tech_Specs!$F36="step",Standards_Active!$S37="yes"),IF(ISNUMBER(Standards_Active!$W37),IF(CT$120&gt;=Standards_Active!$R37,Standards_Active!$W37,IF(CT$120&lt;Standards_Active!$Q37,Perform_Active!$K37,(Standards_Active!$W37-Perform_Active!$K37)/(Standards_Active!$R37-(Standards_Active!$Q37-1))+CS149)),Perform_Active!$K37),)</f>
        <v>0</v>
      </c>
      <c r="CU149" s="625">
        <f>IF(AND(Tech_Specs!$F36="step",Standards_Active!$S37="yes"),IF(ISNUMBER(Standards_Active!$W37),IF(CU$120&gt;=Standards_Active!$R37,Standards_Active!$W37,IF(CU$120&lt;Standards_Active!$Q37,Perform_Active!$K37,(Standards_Active!$W37-Perform_Active!$K37)/(Standards_Active!$R37-(Standards_Active!$Q37-1))+CT149)),Perform_Active!$K37),)</f>
        <v>0</v>
      </c>
      <c r="CV149" s="625">
        <f>IF(AND(Tech_Specs!$F36="step",Standards_Active!$S37="yes"),IF(ISNUMBER(Standards_Active!$W37),IF(CV$120&gt;=Standards_Active!$R37,Standards_Active!$W37,IF(CV$120&lt;Standards_Active!$Q37,Perform_Active!$K37,(Standards_Active!$W37-Perform_Active!$K37)/(Standards_Active!$R37-(Standards_Active!$Q37-1))+CU149)),Perform_Active!$K37),)</f>
        <v>0</v>
      </c>
      <c r="CW149" s="625">
        <f>IF(AND(Tech_Specs!$F36="step",Standards_Active!$S37="yes"),IF(ISNUMBER(Standards_Active!$W37),IF(CW$120&gt;=Standards_Active!$R37,Standards_Active!$W37,IF(CW$120&lt;Standards_Active!$Q37,Perform_Active!$K37,(Standards_Active!$W37-Perform_Active!$K37)/(Standards_Active!$R37-(Standards_Active!$Q37-1))+CV149)),Perform_Active!$K37),)</f>
        <v>0</v>
      </c>
      <c r="CX149" s="625">
        <f>IF(AND(Tech_Specs!$F36="step",Standards_Active!$S37="yes"),IF(ISNUMBER(Standards_Active!$W37),IF(CX$120&gt;=Standards_Active!$R37,Standards_Active!$W37,IF(CX$120&lt;Standards_Active!$Q37,Perform_Active!$K37,(Standards_Active!$W37-Perform_Active!$K37)/(Standards_Active!$R37-(Standards_Active!$Q37-1))+CW149)),Perform_Active!$K37),)</f>
        <v>0</v>
      </c>
      <c r="CY149" s="625">
        <f>IF(AND(Tech_Specs!$F36="step",Standards_Active!$S37="yes"),IF(ISNUMBER(Standards_Active!$W37),IF(CY$120&gt;=Standards_Active!$R37,Standards_Active!$W37,IF(CY$120&lt;Standards_Active!$Q37,Perform_Active!$K37,(Standards_Active!$W37-Perform_Active!$K37)/(Standards_Active!$R37-(Standards_Active!$Q37-1))+CX149)),Perform_Active!$K37),)</f>
        <v>0</v>
      </c>
      <c r="CZ149" s="625">
        <f>IF(AND(Tech_Specs!$F36="step",Standards_Active!$S37="yes"),IF(ISNUMBER(Standards_Active!$W37),IF(CZ$120&gt;=Standards_Active!$R37,Standards_Active!$W37,IF(CZ$120&lt;Standards_Active!$Q37,Perform_Active!$K37,(Standards_Active!$W37-Perform_Active!$K37)/(Standards_Active!$R37-(Standards_Active!$Q37-1))+CY149)),Perform_Active!$K37),)</f>
        <v>0</v>
      </c>
      <c r="DA149" s="625">
        <f>IF(AND(Tech_Specs!$F36="step",Standards_Active!$S37="yes"),IF(ISNUMBER(Standards_Active!$W37),IF(DA$120&gt;=Standards_Active!$R37,Standards_Active!$W37,IF(DA$120&lt;Standards_Active!$Q37,Perform_Active!$K37,(Standards_Active!$W37-Perform_Active!$K37)/(Standards_Active!$R37-(Standards_Active!$Q37-1))+CZ149)),Perform_Active!$K37),)</f>
        <v>0</v>
      </c>
      <c r="DB149" s="625">
        <f>IF(AND(Tech_Specs!$F36="step",Standards_Active!$S37="yes"),IF(ISNUMBER(Standards_Active!$W37),IF(DB$120&gt;=Standards_Active!$R37,Standards_Active!$W37,IF(DB$120&lt;Standards_Active!$Q37,Perform_Active!$K37,(Standards_Active!$W37-Perform_Active!$K37)/(Standards_Active!$R37-(Standards_Active!$Q37-1))+DA149)),Perform_Active!$K37),)</f>
        <v>0</v>
      </c>
      <c r="DC149" s="625">
        <f>IF(AND(Tech_Specs!$F36="step",Standards_Active!$S37="yes"),IF(ISNUMBER(Standards_Active!$W37),IF(DC$120&gt;=Standards_Active!$R37,Standards_Active!$W37,IF(DC$120&lt;Standards_Active!$Q37,Perform_Active!$K37,(Standards_Active!$W37-Perform_Active!$K37)/(Standards_Active!$R37-(Standards_Active!$Q37-1))+DB149)),Perform_Active!$K37),)</f>
        <v>0</v>
      </c>
      <c r="DD149" s="625">
        <f>IF(AND(Tech_Specs!$F36="step",Standards_Active!$S37="yes"),IF(ISNUMBER(Standards_Active!$W37),IF(DD$120&gt;=Standards_Active!$R37,Standards_Active!$W37,IF(DD$120&lt;Standards_Active!$Q37,Perform_Active!$K37,(Standards_Active!$W37-Perform_Active!$K37)/(Standards_Active!$R37-(Standards_Active!$Q37-1))+DC149)),Perform_Active!$K37),)</f>
        <v>0</v>
      </c>
      <c r="DE149" s="625">
        <f>IF(AND(Tech_Specs!$F36="step",Standards_Active!$S37="yes"),IF(ISNUMBER(Standards_Active!$W37),IF(DE$120&gt;=Standards_Active!$R37,Standards_Active!$W37,IF(DE$120&lt;Standards_Active!$Q37,Perform_Active!$K37,(Standards_Active!$W37-Perform_Active!$K37)/(Standards_Active!$R37-(Standards_Active!$Q37-1))+DD149)),Perform_Active!$K37),)</f>
        <v>0</v>
      </c>
      <c r="DF149" s="625">
        <f>IF(AND(Tech_Specs!$F36="step",Standards_Active!$S37="yes"),IF(ISNUMBER(Standards_Active!$W37),IF(DF$120&gt;=Standards_Active!$R37,Standards_Active!$W37,IF(DF$120&lt;Standards_Active!$Q37,Perform_Active!$K37,(Standards_Active!$W37-Perform_Active!$K37)/(Standards_Active!$R37-(Standards_Active!$Q37-1))+DE149)),Perform_Active!$K37),)</f>
        <v>0</v>
      </c>
      <c r="DG149" s="625">
        <f>IF(AND(Tech_Specs!$F36="step",Standards_Active!$S37="yes"),IF(ISNUMBER(Standards_Active!$W37),IF(DG$120&gt;=Standards_Active!$R37,Standards_Active!$W37,IF(DG$120&lt;Standards_Active!$Q37,Perform_Active!$K37,(Standards_Active!$W37-Perform_Active!$K37)/(Standards_Active!$R37-(Standards_Active!$Q37-1))+DF149)),Perform_Active!$K37),)</f>
        <v>0</v>
      </c>
      <c r="DH149" s="625">
        <f>IF(AND(Tech_Specs!$F36="step",Standards_Active!$S37="yes"),IF(ISNUMBER(Standards_Active!$W37),IF(DH$120&gt;=Standards_Active!$R37,Standards_Active!$W37,IF(DH$120&lt;Standards_Active!$Q37,Perform_Active!$K37,(Standards_Active!$W37-Perform_Active!$K37)/(Standards_Active!$R37-(Standards_Active!$Q37-1))+DG149)),Perform_Active!$K37),)</f>
        <v>0</v>
      </c>
      <c r="DI149" s="625">
        <f>IF(AND(Tech_Specs!$F36="step",Standards_Active!$S37="yes"),IF(ISNUMBER(Standards_Active!$W37),IF(DI$120&gt;=Standards_Active!$R37,Standards_Active!$W37,IF(DI$120&lt;Standards_Active!$Q37,Perform_Active!$K37,(Standards_Active!$W37-Perform_Active!$K37)/(Standards_Active!$R37-(Standards_Active!$Q37-1))+DH149)),Perform_Active!$K37),)</f>
        <v>0</v>
      </c>
    </row>
    <row r="150" spans="1:113" s="81" customFormat="1" ht="12.6" x14ac:dyDescent="0.25">
      <c r="B150" s="81" t="s">
        <v>52</v>
      </c>
      <c r="C150" s="83"/>
      <c r="D150" s="379"/>
      <c r="E150" s="379"/>
      <c r="F150" s="379"/>
      <c r="G150" s="128">
        <f t="shared" si="48"/>
        <v>0.872</v>
      </c>
      <c r="H150" s="128">
        <f t="shared" si="48"/>
        <v>0.872</v>
      </c>
      <c r="I150" s="128">
        <f t="shared" si="48"/>
        <v>0.872</v>
      </c>
      <c r="J150" s="128">
        <f t="shared" si="48"/>
        <v>0.872</v>
      </c>
      <c r="K150" s="128">
        <f t="shared" si="48"/>
        <v>0.872</v>
      </c>
      <c r="L150" s="128">
        <f t="shared" si="48"/>
        <v>0.872</v>
      </c>
      <c r="M150" s="128">
        <f t="shared" si="48"/>
        <v>0.872</v>
      </c>
      <c r="N150" s="128">
        <f t="shared" si="48"/>
        <v>0.872</v>
      </c>
      <c r="O150" s="128">
        <f t="shared" si="48"/>
        <v>0.872</v>
      </c>
      <c r="P150" s="128">
        <f t="shared" si="48"/>
        <v>0.872</v>
      </c>
      <c r="Q150" s="128">
        <f t="shared" si="49"/>
        <v>0.872</v>
      </c>
      <c r="R150" s="128">
        <f t="shared" si="49"/>
        <v>0.872</v>
      </c>
      <c r="S150" s="128">
        <f t="shared" si="49"/>
        <v>0.872</v>
      </c>
      <c r="T150" s="128">
        <f t="shared" si="49"/>
        <v>0.872</v>
      </c>
      <c r="U150" s="128">
        <f t="shared" si="49"/>
        <v>0.872</v>
      </c>
      <c r="V150" s="128">
        <f t="shared" si="49"/>
        <v>0.872</v>
      </c>
      <c r="W150" s="128">
        <f t="shared" si="49"/>
        <v>0.872</v>
      </c>
      <c r="X150" s="128">
        <f t="shared" si="49"/>
        <v>0.872</v>
      </c>
      <c r="Y150" s="128">
        <f t="shared" si="49"/>
        <v>0.872</v>
      </c>
      <c r="Z150" s="128">
        <f t="shared" si="49"/>
        <v>0.872</v>
      </c>
      <c r="AA150" s="128">
        <f t="shared" si="50"/>
        <v>0.872</v>
      </c>
      <c r="AB150" s="128">
        <f t="shared" si="50"/>
        <v>0.872</v>
      </c>
      <c r="AC150" s="128">
        <f t="shared" si="50"/>
        <v>0.872</v>
      </c>
      <c r="AD150" s="128">
        <f t="shared" si="50"/>
        <v>0.872</v>
      </c>
      <c r="AE150" s="128">
        <f t="shared" si="50"/>
        <v>0.872</v>
      </c>
      <c r="AF150" s="128">
        <f t="shared" si="50"/>
        <v>0.872</v>
      </c>
      <c r="AH150" s="405">
        <f>IF(Tech_Specs!$F37="linear",TREND(Perform_Active!$K38:$L38,Perform_Active!$K$8:$L$8,AH$120),)</f>
        <v>0.872</v>
      </c>
      <c r="AI150" s="405">
        <f>IF(Tech_Specs!$F37="linear",TREND(Perform_Active!$K38:$L38,Perform_Active!$K$8:$L$8,AI$120),)</f>
        <v>0.872</v>
      </c>
      <c r="AJ150" s="405">
        <f>IF(Tech_Specs!$F37="linear",TREND(Perform_Active!$K38:$L38,Perform_Active!$K$8:$L$8,AJ$120),)</f>
        <v>0.872</v>
      </c>
      <c r="AK150" s="405">
        <f>IF(Tech_Specs!$F37="linear",TREND(Perform_Active!$K38:$L38,Perform_Active!$K$8:$L$8,AK$120),)</f>
        <v>0.872</v>
      </c>
      <c r="AL150" s="405">
        <f>IF(Tech_Specs!$F37="linear",TREND(Perform_Active!$K38:$L38,Perform_Active!$K$8:$L$8,AL$120),)</f>
        <v>0.872</v>
      </c>
      <c r="AM150" s="405">
        <f>IF(Tech_Specs!$F37="linear",TREND(Perform_Active!$K38:$L38,Perform_Active!$K$8:$L$8,AM$120),)</f>
        <v>0.872</v>
      </c>
      <c r="AN150" s="405">
        <f>IF(Tech_Specs!$F37="linear",TREND(Perform_Active!$K38:$L38,Perform_Active!$K$8:$L$8,AN$120),)</f>
        <v>0.872</v>
      </c>
      <c r="AO150" s="405">
        <f>IF(Tech_Specs!$F37="linear",TREND(Perform_Active!$K38:$L38,Perform_Active!$K$8:$L$8,AO$120),)</f>
        <v>0.872</v>
      </c>
      <c r="AP150" s="405">
        <f>IF(Tech_Specs!$F37="linear",TREND(Perform_Active!$K38:$L38,Perform_Active!$K$8:$L$8,AP$120),)</f>
        <v>0.872</v>
      </c>
      <c r="AQ150" s="405">
        <f>IF(Tech_Specs!$F37="linear",TREND(Perform_Active!$K38:$L38,Perform_Active!$K$8:$L$8,AQ$120),)</f>
        <v>0.872</v>
      </c>
      <c r="AR150" s="405">
        <f>IF(Tech_Specs!$F37="linear",TREND(Perform_Active!$K38:$L38,Perform_Active!$K$8:$L$8,AR$120),)</f>
        <v>0.872</v>
      </c>
      <c r="AS150" s="405">
        <f>IF(Tech_Specs!$F37="linear",TREND(Perform_Active!$K38:$L38,Perform_Active!$K$8:$L$8,AS$120),)</f>
        <v>0.872</v>
      </c>
      <c r="AT150" s="405">
        <f>IF(Tech_Specs!$F37="linear",TREND(Perform_Active!$K38:$L38,Perform_Active!$K$8:$L$8,AT$120),)</f>
        <v>0.872</v>
      </c>
      <c r="AU150" s="405">
        <f>IF(Tech_Specs!$F37="linear",TREND(Perform_Active!$K38:$L38,Perform_Active!$K$8:$L$8,AU$120),)</f>
        <v>0.872</v>
      </c>
      <c r="AV150" s="405">
        <f>IF(Tech_Specs!$F37="linear",TREND(Perform_Active!$K38:$L38,Perform_Active!$K$8:$L$8,AV$120),)</f>
        <v>0.872</v>
      </c>
      <c r="AW150" s="405">
        <f>IF(Tech_Specs!$F37="linear",TREND(Perform_Active!$K38:$L38,Perform_Active!$K$8:$L$8,AW$120),)</f>
        <v>0.872</v>
      </c>
      <c r="AX150" s="405">
        <f>IF(Tech_Specs!$F37="linear",TREND(Perform_Active!$K38:$L38,Perform_Active!$K$8:$L$8,AX$120),)</f>
        <v>0.872</v>
      </c>
      <c r="AY150" s="405">
        <f>IF(Tech_Specs!$F37="linear",TREND(Perform_Active!$K38:$L38,Perform_Active!$K$8:$L$8,AY$120),)</f>
        <v>0.872</v>
      </c>
      <c r="AZ150" s="405">
        <f>IF(Tech_Specs!$F37="linear",TREND(Perform_Active!$K38:$L38,Perform_Active!$K$8:$L$8,AZ$120),)</f>
        <v>0.872</v>
      </c>
      <c r="BA150" s="405">
        <f>IF(Tech_Specs!$F37="linear",TREND(Perform_Active!$K38:$L38,Perform_Active!$K$8:$L$8,BA$120),)</f>
        <v>0.872</v>
      </c>
      <c r="BB150" s="405">
        <f>IF(Tech_Specs!$F37="linear",TREND(Perform_Active!$K38:$L38,Perform_Active!$K$8:$L$8,BB$120),)</f>
        <v>0.872</v>
      </c>
      <c r="BC150" s="405">
        <f>IF(Tech_Specs!$F37="linear",TREND(Perform_Active!$K38:$L38,Perform_Active!$K$8:$L$8,BC$120),)</f>
        <v>0.872</v>
      </c>
      <c r="BD150" s="405">
        <f>IF(Tech_Specs!$F37="linear",TREND(Perform_Active!$K38:$L38,Perform_Active!$K$8:$L$8,BD$120),)</f>
        <v>0.872</v>
      </c>
      <c r="BE150" s="405">
        <f>IF(Tech_Specs!$F37="linear",TREND(Perform_Active!$K38:$L38,Perform_Active!$K$8:$L$8,BE$120),)</f>
        <v>0.872</v>
      </c>
      <c r="BF150" s="405">
        <f>IF(Tech_Specs!$F37="linear",TREND(Perform_Active!$K38:$L38,Perform_Active!$K$8:$L$8,BF$120),)</f>
        <v>0.872</v>
      </c>
      <c r="BG150" s="405">
        <f>IF(Tech_Specs!$F37="linear",TREND(Perform_Active!$K38:$L38,Perform_Active!$K$8:$L$8,BG$120),)</f>
        <v>0.872</v>
      </c>
      <c r="BI150" s="338">
        <f>IF(Tech_Specs!$F37="Constant",Perform_Active!$K38,)</f>
        <v>0</v>
      </c>
      <c r="BJ150" s="338">
        <f>IF(Tech_Specs!$F37="Constant",Perform_Active!$K38,)</f>
        <v>0</v>
      </c>
      <c r="BK150" s="338">
        <f>IF(Tech_Specs!$F37="Constant",Perform_Active!$K38,)</f>
        <v>0</v>
      </c>
      <c r="BL150" s="338">
        <f>IF(Tech_Specs!$F37="Constant",Perform_Active!$K38,)</f>
        <v>0</v>
      </c>
      <c r="BM150" s="338">
        <f>IF(Tech_Specs!$F37="Constant",Perform_Active!$K38,)</f>
        <v>0</v>
      </c>
      <c r="BN150" s="338">
        <f>IF(Tech_Specs!$F37="Constant",Perform_Active!$K38,)</f>
        <v>0</v>
      </c>
      <c r="BO150" s="338">
        <f>IF(Tech_Specs!$F37="Constant",Perform_Active!$K38,)</f>
        <v>0</v>
      </c>
      <c r="BP150" s="338">
        <f>IF(Tech_Specs!$F37="Constant",Perform_Active!$K38,)</f>
        <v>0</v>
      </c>
      <c r="BQ150" s="338">
        <f>IF(Tech_Specs!$F37="Constant",Perform_Active!$K38,)</f>
        <v>0</v>
      </c>
      <c r="BR150" s="338">
        <f>IF(Tech_Specs!$F37="Constant",Perform_Active!$K38,)</f>
        <v>0</v>
      </c>
      <c r="BS150" s="338">
        <f>IF(Tech_Specs!$F37="Constant",Perform_Active!$K38,)</f>
        <v>0</v>
      </c>
      <c r="BT150" s="338">
        <f>IF(Tech_Specs!$F37="Constant",Perform_Active!$K38,)</f>
        <v>0</v>
      </c>
      <c r="BU150" s="338">
        <f>IF(Tech_Specs!$F37="Constant",Perform_Active!$K38,)</f>
        <v>0</v>
      </c>
      <c r="BV150" s="338">
        <f>IF(Tech_Specs!$F37="Constant",Perform_Active!$K38,)</f>
        <v>0</v>
      </c>
      <c r="BW150" s="338">
        <f>IF(Tech_Specs!$F37="Constant",Perform_Active!$K38,)</f>
        <v>0</v>
      </c>
      <c r="BX150" s="338">
        <f>IF(Tech_Specs!$F37="Constant",Perform_Active!$K38,)</f>
        <v>0</v>
      </c>
      <c r="BY150" s="338">
        <f>IF(Tech_Specs!$F37="Constant",Perform_Active!$K38,)</f>
        <v>0</v>
      </c>
      <c r="BZ150" s="338">
        <f>IF(Tech_Specs!$F37="Constant",Perform_Active!$K38,)</f>
        <v>0</v>
      </c>
      <c r="CA150" s="338">
        <f>IF(Tech_Specs!$F37="Constant",Perform_Active!$K38,)</f>
        <v>0</v>
      </c>
      <c r="CB150" s="338">
        <f>IF(Tech_Specs!$F37="Constant",Perform_Active!$K38,)</f>
        <v>0</v>
      </c>
      <c r="CC150" s="338">
        <f>IF(Tech_Specs!$F37="Constant",Perform_Active!$K38,)</f>
        <v>0</v>
      </c>
      <c r="CD150" s="338">
        <f>IF(Tech_Specs!$F37="Constant",Perform_Active!$K38,)</f>
        <v>0</v>
      </c>
      <c r="CE150" s="338">
        <f>IF(Tech_Specs!$F37="Constant",Perform_Active!$K38,)</f>
        <v>0</v>
      </c>
      <c r="CF150" s="338">
        <f>IF(Tech_Specs!$F37="Constant",Perform_Active!$K38,)</f>
        <v>0</v>
      </c>
      <c r="CG150" s="338">
        <f>IF(Tech_Specs!$F37="Constant",Perform_Active!$K38,)</f>
        <v>0</v>
      </c>
      <c r="CH150" s="338">
        <f>IF(Tech_Specs!$F37="Constant",Perform_Active!$K38,)</f>
        <v>0</v>
      </c>
      <c r="CJ150" s="625">
        <f>IF(AND(Tech_Specs!$F37="step",Standards_Active!$S38="yes"),IF(ISNUMBER(Standards_Active!$W38),IF(CJ$120&gt;=Standards_Active!$R38,Standards_Active!$W38,IF(CJ$120&lt;Standards_Active!$Q38,Perform_Active!$K38,(Standards_Active!$W38-Perform_Active!$K38)/(Standards_Active!$R38-(Standards_Active!$Q38-1))+CI150)),Perform_Active!$K38),)</f>
        <v>0</v>
      </c>
      <c r="CK150" s="625">
        <f>IF(AND(Tech_Specs!$F37="step",Standards_Active!$S38="yes"),IF(ISNUMBER(Standards_Active!$W38),IF(CK$120&gt;=Standards_Active!$R38,Standards_Active!$W38,IF(CK$120&lt;Standards_Active!$Q38,Perform_Active!$K38,(Standards_Active!$W38-Perform_Active!$K38)/(Standards_Active!$R38-(Standards_Active!$Q38-1))+CJ150)),Perform_Active!$K38),)</f>
        <v>0</v>
      </c>
      <c r="CL150" s="625">
        <f>IF(AND(Tech_Specs!$F37="step",Standards_Active!$S38="yes"),IF(ISNUMBER(Standards_Active!$W38),IF(CL$120&gt;=Standards_Active!$R38,Standards_Active!$W38,IF(CL$120&lt;Standards_Active!$Q38,Perform_Active!$K38,(Standards_Active!$W38-Perform_Active!$K38)/(Standards_Active!$R38-(Standards_Active!$Q38-1))+CK150)),Perform_Active!$K38),)</f>
        <v>0</v>
      </c>
      <c r="CM150" s="625">
        <f>IF(AND(Tech_Specs!$F37="step",Standards_Active!$S38="yes"),IF(ISNUMBER(Standards_Active!$W38),IF(CM$120&gt;=Standards_Active!$R38,Standards_Active!$W38,IF(CM$120&lt;Standards_Active!$Q38,Perform_Active!$K38,(Standards_Active!$W38-Perform_Active!$K38)/(Standards_Active!$R38-(Standards_Active!$Q38-1))+CL150)),Perform_Active!$K38),)</f>
        <v>0</v>
      </c>
      <c r="CN150" s="625">
        <f>IF(AND(Tech_Specs!$F37="step",Standards_Active!$S38="yes"),IF(ISNUMBER(Standards_Active!$W38),IF(CN$120&gt;=Standards_Active!$R38,Standards_Active!$W38,IF(CN$120&lt;Standards_Active!$Q38,Perform_Active!$K38,(Standards_Active!$W38-Perform_Active!$K38)/(Standards_Active!$R38-(Standards_Active!$Q38-1))+CM150)),Perform_Active!$K38),)</f>
        <v>0</v>
      </c>
      <c r="CO150" s="625">
        <f>IF(AND(Tech_Specs!$F37="step",Standards_Active!$S38="yes"),IF(ISNUMBER(Standards_Active!$W38),IF(CO$120&gt;=Standards_Active!$R38,Standards_Active!$W38,IF(CO$120&lt;Standards_Active!$Q38,Perform_Active!$K38,(Standards_Active!$W38-Perform_Active!$K38)/(Standards_Active!$R38-(Standards_Active!$Q38-1))+CN150)),Perform_Active!$K38),)</f>
        <v>0</v>
      </c>
      <c r="CP150" s="625">
        <f>IF(AND(Tech_Specs!$F37="step",Standards_Active!$S38="yes"),IF(ISNUMBER(Standards_Active!$W38),IF(CP$120&gt;=Standards_Active!$R38,Standards_Active!$W38,IF(CP$120&lt;Standards_Active!$Q38,Perform_Active!$K38,(Standards_Active!$W38-Perform_Active!$K38)/(Standards_Active!$R38-(Standards_Active!$Q38-1))+CO150)),Perform_Active!$K38),)</f>
        <v>0</v>
      </c>
      <c r="CQ150" s="625">
        <f>IF(AND(Tech_Specs!$F37="step",Standards_Active!$S38="yes"),IF(ISNUMBER(Standards_Active!$W38),IF(CQ$120&gt;=Standards_Active!$R38,Standards_Active!$W38,IF(CQ$120&lt;Standards_Active!$Q38,Perform_Active!$K38,(Standards_Active!$W38-Perform_Active!$K38)/(Standards_Active!$R38-(Standards_Active!$Q38-1))+CP150)),Perform_Active!$K38),)</f>
        <v>0</v>
      </c>
      <c r="CR150" s="625">
        <f>IF(AND(Tech_Specs!$F37="step",Standards_Active!$S38="yes"),IF(ISNUMBER(Standards_Active!$W38),IF(CR$120&gt;=Standards_Active!$R38,Standards_Active!$W38,IF(CR$120&lt;Standards_Active!$Q38,Perform_Active!$K38,(Standards_Active!$W38-Perform_Active!$K38)/(Standards_Active!$R38-(Standards_Active!$Q38-1))+CQ150)),Perform_Active!$K38),)</f>
        <v>0</v>
      </c>
      <c r="CS150" s="625">
        <f>IF(AND(Tech_Specs!$F37="step",Standards_Active!$S38="yes"),IF(ISNUMBER(Standards_Active!$W38),IF(CS$120&gt;=Standards_Active!$R38,Standards_Active!$W38,IF(CS$120&lt;Standards_Active!$Q38,Perform_Active!$K38,(Standards_Active!$W38-Perform_Active!$K38)/(Standards_Active!$R38-(Standards_Active!$Q38-1))+CR150)),Perform_Active!$K38),)</f>
        <v>0</v>
      </c>
      <c r="CT150" s="625">
        <f>IF(AND(Tech_Specs!$F37="step",Standards_Active!$S38="yes"),IF(ISNUMBER(Standards_Active!$W38),IF(CT$120&gt;=Standards_Active!$R38,Standards_Active!$W38,IF(CT$120&lt;Standards_Active!$Q38,Perform_Active!$K38,(Standards_Active!$W38-Perform_Active!$K38)/(Standards_Active!$R38-(Standards_Active!$Q38-1))+CS150)),Perform_Active!$K38),)</f>
        <v>0</v>
      </c>
      <c r="CU150" s="625">
        <f>IF(AND(Tech_Specs!$F37="step",Standards_Active!$S38="yes"),IF(ISNUMBER(Standards_Active!$W38),IF(CU$120&gt;=Standards_Active!$R38,Standards_Active!$W38,IF(CU$120&lt;Standards_Active!$Q38,Perform_Active!$K38,(Standards_Active!$W38-Perform_Active!$K38)/(Standards_Active!$R38-(Standards_Active!$Q38-1))+CT150)),Perform_Active!$K38),)</f>
        <v>0</v>
      </c>
      <c r="CV150" s="625">
        <f>IF(AND(Tech_Specs!$F37="step",Standards_Active!$S38="yes"),IF(ISNUMBER(Standards_Active!$W38),IF(CV$120&gt;=Standards_Active!$R38,Standards_Active!$W38,IF(CV$120&lt;Standards_Active!$Q38,Perform_Active!$K38,(Standards_Active!$W38-Perform_Active!$K38)/(Standards_Active!$R38-(Standards_Active!$Q38-1))+CU150)),Perform_Active!$K38),)</f>
        <v>0</v>
      </c>
      <c r="CW150" s="625">
        <f>IF(AND(Tech_Specs!$F37="step",Standards_Active!$S38="yes"),IF(ISNUMBER(Standards_Active!$W38),IF(CW$120&gt;=Standards_Active!$R38,Standards_Active!$W38,IF(CW$120&lt;Standards_Active!$Q38,Perform_Active!$K38,(Standards_Active!$W38-Perform_Active!$K38)/(Standards_Active!$R38-(Standards_Active!$Q38-1))+CV150)),Perform_Active!$K38),)</f>
        <v>0</v>
      </c>
      <c r="CX150" s="625">
        <f>IF(AND(Tech_Specs!$F37="step",Standards_Active!$S38="yes"),IF(ISNUMBER(Standards_Active!$W38),IF(CX$120&gt;=Standards_Active!$R38,Standards_Active!$W38,IF(CX$120&lt;Standards_Active!$Q38,Perform_Active!$K38,(Standards_Active!$W38-Perform_Active!$K38)/(Standards_Active!$R38-(Standards_Active!$Q38-1))+CW150)),Perform_Active!$K38),)</f>
        <v>0</v>
      </c>
      <c r="CY150" s="625">
        <f>IF(AND(Tech_Specs!$F37="step",Standards_Active!$S38="yes"),IF(ISNUMBER(Standards_Active!$W38),IF(CY$120&gt;=Standards_Active!$R38,Standards_Active!$W38,IF(CY$120&lt;Standards_Active!$Q38,Perform_Active!$K38,(Standards_Active!$W38-Perform_Active!$K38)/(Standards_Active!$R38-(Standards_Active!$Q38-1))+CX150)),Perform_Active!$K38),)</f>
        <v>0</v>
      </c>
      <c r="CZ150" s="625">
        <f>IF(AND(Tech_Specs!$F37="step",Standards_Active!$S38="yes"),IF(ISNUMBER(Standards_Active!$W38),IF(CZ$120&gt;=Standards_Active!$R38,Standards_Active!$W38,IF(CZ$120&lt;Standards_Active!$Q38,Perform_Active!$K38,(Standards_Active!$W38-Perform_Active!$K38)/(Standards_Active!$R38-(Standards_Active!$Q38-1))+CY150)),Perform_Active!$K38),)</f>
        <v>0</v>
      </c>
      <c r="DA150" s="625">
        <f>IF(AND(Tech_Specs!$F37="step",Standards_Active!$S38="yes"),IF(ISNUMBER(Standards_Active!$W38),IF(DA$120&gt;=Standards_Active!$R38,Standards_Active!$W38,IF(DA$120&lt;Standards_Active!$Q38,Perform_Active!$K38,(Standards_Active!$W38-Perform_Active!$K38)/(Standards_Active!$R38-(Standards_Active!$Q38-1))+CZ150)),Perform_Active!$K38),)</f>
        <v>0</v>
      </c>
      <c r="DB150" s="625">
        <f>IF(AND(Tech_Specs!$F37="step",Standards_Active!$S38="yes"),IF(ISNUMBER(Standards_Active!$W38),IF(DB$120&gt;=Standards_Active!$R38,Standards_Active!$W38,IF(DB$120&lt;Standards_Active!$Q38,Perform_Active!$K38,(Standards_Active!$W38-Perform_Active!$K38)/(Standards_Active!$R38-(Standards_Active!$Q38-1))+DA150)),Perform_Active!$K38),)</f>
        <v>0</v>
      </c>
      <c r="DC150" s="625">
        <f>IF(AND(Tech_Specs!$F37="step",Standards_Active!$S38="yes"),IF(ISNUMBER(Standards_Active!$W38),IF(DC$120&gt;=Standards_Active!$R38,Standards_Active!$W38,IF(DC$120&lt;Standards_Active!$Q38,Perform_Active!$K38,(Standards_Active!$W38-Perform_Active!$K38)/(Standards_Active!$R38-(Standards_Active!$Q38-1))+DB150)),Perform_Active!$K38),)</f>
        <v>0</v>
      </c>
      <c r="DD150" s="625">
        <f>IF(AND(Tech_Specs!$F37="step",Standards_Active!$S38="yes"),IF(ISNUMBER(Standards_Active!$W38),IF(DD$120&gt;=Standards_Active!$R38,Standards_Active!$W38,IF(DD$120&lt;Standards_Active!$Q38,Perform_Active!$K38,(Standards_Active!$W38-Perform_Active!$K38)/(Standards_Active!$R38-(Standards_Active!$Q38-1))+DC150)),Perform_Active!$K38),)</f>
        <v>0</v>
      </c>
      <c r="DE150" s="625">
        <f>IF(AND(Tech_Specs!$F37="step",Standards_Active!$S38="yes"),IF(ISNUMBER(Standards_Active!$W38),IF(DE$120&gt;=Standards_Active!$R38,Standards_Active!$W38,IF(DE$120&lt;Standards_Active!$Q38,Perform_Active!$K38,(Standards_Active!$W38-Perform_Active!$K38)/(Standards_Active!$R38-(Standards_Active!$Q38-1))+DD150)),Perform_Active!$K38),)</f>
        <v>0</v>
      </c>
      <c r="DF150" s="625">
        <f>IF(AND(Tech_Specs!$F37="step",Standards_Active!$S38="yes"),IF(ISNUMBER(Standards_Active!$W38),IF(DF$120&gt;=Standards_Active!$R38,Standards_Active!$W38,IF(DF$120&lt;Standards_Active!$Q38,Perform_Active!$K38,(Standards_Active!$W38-Perform_Active!$K38)/(Standards_Active!$R38-(Standards_Active!$Q38-1))+DE150)),Perform_Active!$K38),)</f>
        <v>0</v>
      </c>
      <c r="DG150" s="625">
        <f>IF(AND(Tech_Specs!$F37="step",Standards_Active!$S38="yes"),IF(ISNUMBER(Standards_Active!$W38),IF(DG$120&gt;=Standards_Active!$R38,Standards_Active!$W38,IF(DG$120&lt;Standards_Active!$Q38,Perform_Active!$K38,(Standards_Active!$W38-Perform_Active!$K38)/(Standards_Active!$R38-(Standards_Active!$Q38-1))+DF150)),Perform_Active!$K38),)</f>
        <v>0</v>
      </c>
      <c r="DH150" s="625">
        <f>IF(AND(Tech_Specs!$F37="step",Standards_Active!$S38="yes"),IF(ISNUMBER(Standards_Active!$W38),IF(DH$120&gt;=Standards_Active!$R38,Standards_Active!$W38,IF(DH$120&lt;Standards_Active!$Q38,Perform_Active!$K38,(Standards_Active!$W38-Perform_Active!$K38)/(Standards_Active!$R38-(Standards_Active!$Q38-1))+DG150)),Perform_Active!$K38),)</f>
        <v>0</v>
      </c>
      <c r="DI150" s="625">
        <f>IF(AND(Tech_Specs!$F37="step",Standards_Active!$S38="yes"),IF(ISNUMBER(Standards_Active!$W38),IF(DI$120&gt;=Standards_Active!$R38,Standards_Active!$W38,IF(DI$120&lt;Standards_Active!$Q38,Perform_Active!$K38,(Standards_Active!$W38-Perform_Active!$K38)/(Standards_Active!$R38-(Standards_Active!$Q38-1))+DH150)),Perform_Active!$K38),)</f>
        <v>0</v>
      </c>
    </row>
    <row r="151" spans="1:113" s="81" customFormat="1" ht="12.6" x14ac:dyDescent="0.25">
      <c r="B151" s="101" t="s">
        <v>29</v>
      </c>
      <c r="D151" s="550"/>
      <c r="E151" s="550"/>
      <c r="F151" s="550"/>
      <c r="G151" s="128">
        <f t="shared" si="48"/>
        <v>1</v>
      </c>
      <c r="H151" s="128">
        <f t="shared" si="48"/>
        <v>1</v>
      </c>
      <c r="I151" s="128">
        <f t="shared" si="48"/>
        <v>1</v>
      </c>
      <c r="J151" s="128">
        <f t="shared" si="48"/>
        <v>1</v>
      </c>
      <c r="K151" s="128">
        <f t="shared" si="48"/>
        <v>1</v>
      </c>
      <c r="L151" s="128">
        <f t="shared" si="48"/>
        <v>1</v>
      </c>
      <c r="M151" s="128">
        <f t="shared" si="48"/>
        <v>1</v>
      </c>
      <c r="N151" s="128">
        <f t="shared" si="48"/>
        <v>1</v>
      </c>
      <c r="O151" s="128">
        <f t="shared" si="48"/>
        <v>1</v>
      </c>
      <c r="P151" s="128">
        <f t="shared" si="48"/>
        <v>1</v>
      </c>
      <c r="Q151" s="128">
        <f t="shared" si="49"/>
        <v>1</v>
      </c>
      <c r="R151" s="128">
        <f t="shared" si="49"/>
        <v>1</v>
      </c>
      <c r="S151" s="128">
        <f t="shared" si="49"/>
        <v>1</v>
      </c>
      <c r="T151" s="128">
        <f t="shared" si="49"/>
        <v>1</v>
      </c>
      <c r="U151" s="128">
        <f t="shared" si="49"/>
        <v>1</v>
      </c>
      <c r="V151" s="128">
        <f t="shared" si="49"/>
        <v>1</v>
      </c>
      <c r="W151" s="128">
        <f t="shared" si="49"/>
        <v>1</v>
      </c>
      <c r="X151" s="128">
        <f t="shared" si="49"/>
        <v>1</v>
      </c>
      <c r="Y151" s="128">
        <f t="shared" si="49"/>
        <v>1</v>
      </c>
      <c r="Z151" s="128">
        <f t="shared" si="49"/>
        <v>1</v>
      </c>
      <c r="AA151" s="128">
        <f t="shared" si="50"/>
        <v>1</v>
      </c>
      <c r="AB151" s="128">
        <f t="shared" si="50"/>
        <v>1</v>
      </c>
      <c r="AC151" s="128">
        <f t="shared" si="50"/>
        <v>1</v>
      </c>
      <c r="AD151" s="128">
        <f t="shared" si="50"/>
        <v>1</v>
      </c>
      <c r="AE151" s="128">
        <f t="shared" si="50"/>
        <v>1</v>
      </c>
      <c r="AF151" s="128">
        <f t="shared" si="50"/>
        <v>1</v>
      </c>
      <c r="AH151" s="405">
        <f>IF(Tech_Specs!$F38="linear",TREND(Perform_Active!$K39:$L39,Perform_Active!$K$8:$L$8,AH$120),)</f>
        <v>0</v>
      </c>
      <c r="AI151" s="405">
        <f>IF(Tech_Specs!$F38="linear",TREND(Perform_Active!$K39:$L39,Perform_Active!$K$8:$L$8,AI$120),)</f>
        <v>0</v>
      </c>
      <c r="AJ151" s="405">
        <f>IF(Tech_Specs!$F38="linear",TREND(Perform_Active!$K39:$L39,Perform_Active!$K$8:$L$8,AJ$120),)</f>
        <v>0</v>
      </c>
      <c r="AK151" s="405">
        <f>IF(Tech_Specs!$F38="linear",TREND(Perform_Active!$K39:$L39,Perform_Active!$K$8:$L$8,AK$120),)</f>
        <v>0</v>
      </c>
      <c r="AL151" s="405">
        <f>IF(Tech_Specs!$F38="linear",TREND(Perform_Active!$K39:$L39,Perform_Active!$K$8:$L$8,AL$120),)</f>
        <v>0</v>
      </c>
      <c r="AM151" s="405">
        <f>IF(Tech_Specs!$F38="linear",TREND(Perform_Active!$K39:$L39,Perform_Active!$K$8:$L$8,AM$120),)</f>
        <v>0</v>
      </c>
      <c r="AN151" s="405">
        <f>IF(Tech_Specs!$F38="linear",TREND(Perform_Active!$K39:$L39,Perform_Active!$K$8:$L$8,AN$120),)</f>
        <v>0</v>
      </c>
      <c r="AO151" s="405">
        <f>IF(Tech_Specs!$F38="linear",TREND(Perform_Active!$K39:$L39,Perform_Active!$K$8:$L$8,AO$120),)</f>
        <v>0</v>
      </c>
      <c r="AP151" s="405">
        <f>IF(Tech_Specs!$F38="linear",TREND(Perform_Active!$K39:$L39,Perform_Active!$K$8:$L$8,AP$120),)</f>
        <v>0</v>
      </c>
      <c r="AQ151" s="405">
        <f>IF(Tech_Specs!$F38="linear",TREND(Perform_Active!$K39:$L39,Perform_Active!$K$8:$L$8,AQ$120),)</f>
        <v>0</v>
      </c>
      <c r="AR151" s="405">
        <f>IF(Tech_Specs!$F38="linear",TREND(Perform_Active!$K39:$L39,Perform_Active!$K$8:$L$8,AR$120),)</f>
        <v>0</v>
      </c>
      <c r="AS151" s="405">
        <f>IF(Tech_Specs!$F38="linear",TREND(Perform_Active!$K39:$L39,Perform_Active!$K$8:$L$8,AS$120),)</f>
        <v>0</v>
      </c>
      <c r="AT151" s="405">
        <f>IF(Tech_Specs!$F38="linear",TREND(Perform_Active!$K39:$L39,Perform_Active!$K$8:$L$8,AT$120),)</f>
        <v>0</v>
      </c>
      <c r="AU151" s="405">
        <f>IF(Tech_Specs!$F38="linear",TREND(Perform_Active!$K39:$L39,Perform_Active!$K$8:$L$8,AU$120),)</f>
        <v>0</v>
      </c>
      <c r="AV151" s="405">
        <f>IF(Tech_Specs!$F38="linear",TREND(Perform_Active!$K39:$L39,Perform_Active!$K$8:$L$8,AV$120),)</f>
        <v>0</v>
      </c>
      <c r="AW151" s="405">
        <f>IF(Tech_Specs!$F38="linear",TREND(Perform_Active!$K39:$L39,Perform_Active!$K$8:$L$8,AW$120),)</f>
        <v>0</v>
      </c>
      <c r="AX151" s="405">
        <f>IF(Tech_Specs!$F38="linear",TREND(Perform_Active!$K39:$L39,Perform_Active!$K$8:$L$8,AX$120),)</f>
        <v>0</v>
      </c>
      <c r="AY151" s="405">
        <f>IF(Tech_Specs!$F38="linear",TREND(Perform_Active!$K39:$L39,Perform_Active!$K$8:$L$8,AY$120),)</f>
        <v>0</v>
      </c>
      <c r="AZ151" s="405">
        <f>IF(Tech_Specs!$F38="linear",TREND(Perform_Active!$K39:$L39,Perform_Active!$K$8:$L$8,AZ$120),)</f>
        <v>0</v>
      </c>
      <c r="BA151" s="405">
        <f>IF(Tech_Specs!$F38="linear",TREND(Perform_Active!$K39:$L39,Perform_Active!$K$8:$L$8,BA$120),)</f>
        <v>0</v>
      </c>
      <c r="BB151" s="405">
        <f>IF(Tech_Specs!$F38="linear",TREND(Perform_Active!$K39:$L39,Perform_Active!$K$8:$L$8,BB$120),)</f>
        <v>0</v>
      </c>
      <c r="BC151" s="405">
        <f>IF(Tech_Specs!$F38="linear",TREND(Perform_Active!$K39:$L39,Perform_Active!$K$8:$L$8,BC$120),)</f>
        <v>0</v>
      </c>
      <c r="BD151" s="405">
        <f>IF(Tech_Specs!$F38="linear",TREND(Perform_Active!$K39:$L39,Perform_Active!$K$8:$L$8,BD$120),)</f>
        <v>0</v>
      </c>
      <c r="BE151" s="405">
        <f>IF(Tech_Specs!$F38="linear",TREND(Perform_Active!$K39:$L39,Perform_Active!$K$8:$L$8,BE$120),)</f>
        <v>0</v>
      </c>
      <c r="BF151" s="405">
        <f>IF(Tech_Specs!$F38="linear",TREND(Perform_Active!$K39:$L39,Perform_Active!$K$8:$L$8,BF$120),)</f>
        <v>0</v>
      </c>
      <c r="BG151" s="405">
        <f>IF(Tech_Specs!$F38="linear",TREND(Perform_Active!$K39:$L39,Perform_Active!$K$8:$L$8,BG$120),)</f>
        <v>0</v>
      </c>
      <c r="BI151" s="338">
        <f>IF(Tech_Specs!$F38="Constant",Perform_Active!$K39,)</f>
        <v>1</v>
      </c>
      <c r="BJ151" s="338">
        <f>IF(Tech_Specs!$F38="Constant",Perform_Active!$K39,)</f>
        <v>1</v>
      </c>
      <c r="BK151" s="338">
        <f>IF(Tech_Specs!$F38="Constant",Perform_Active!$K39,)</f>
        <v>1</v>
      </c>
      <c r="BL151" s="338">
        <f>IF(Tech_Specs!$F38="Constant",Perform_Active!$K39,)</f>
        <v>1</v>
      </c>
      <c r="BM151" s="338">
        <f>IF(Tech_Specs!$F38="Constant",Perform_Active!$K39,)</f>
        <v>1</v>
      </c>
      <c r="BN151" s="338">
        <f>IF(Tech_Specs!$F38="Constant",Perform_Active!$K39,)</f>
        <v>1</v>
      </c>
      <c r="BO151" s="338">
        <f>IF(Tech_Specs!$F38="Constant",Perform_Active!$K39,)</f>
        <v>1</v>
      </c>
      <c r="BP151" s="338">
        <f>IF(Tech_Specs!$F38="Constant",Perform_Active!$K39,)</f>
        <v>1</v>
      </c>
      <c r="BQ151" s="338">
        <f>IF(Tech_Specs!$F38="Constant",Perform_Active!$K39,)</f>
        <v>1</v>
      </c>
      <c r="BR151" s="338">
        <f>IF(Tech_Specs!$F38="Constant",Perform_Active!$K39,)</f>
        <v>1</v>
      </c>
      <c r="BS151" s="338">
        <f>IF(Tech_Specs!$F38="Constant",Perform_Active!$K39,)</f>
        <v>1</v>
      </c>
      <c r="BT151" s="338">
        <f>IF(Tech_Specs!$F38="Constant",Perform_Active!$K39,)</f>
        <v>1</v>
      </c>
      <c r="BU151" s="338">
        <f>IF(Tech_Specs!$F38="Constant",Perform_Active!$K39,)</f>
        <v>1</v>
      </c>
      <c r="BV151" s="338">
        <f>IF(Tech_Specs!$F38="Constant",Perform_Active!$K39,)</f>
        <v>1</v>
      </c>
      <c r="BW151" s="338">
        <f>IF(Tech_Specs!$F38="Constant",Perform_Active!$K39,)</f>
        <v>1</v>
      </c>
      <c r="BX151" s="338">
        <f>IF(Tech_Specs!$F38="Constant",Perform_Active!$K39,)</f>
        <v>1</v>
      </c>
      <c r="BY151" s="338">
        <f>IF(Tech_Specs!$F38="Constant",Perform_Active!$K39,)</f>
        <v>1</v>
      </c>
      <c r="BZ151" s="338">
        <f>IF(Tech_Specs!$F38="Constant",Perform_Active!$K39,)</f>
        <v>1</v>
      </c>
      <c r="CA151" s="338">
        <f>IF(Tech_Specs!$F38="Constant",Perform_Active!$K39,)</f>
        <v>1</v>
      </c>
      <c r="CB151" s="338">
        <f>IF(Tech_Specs!$F38="Constant",Perform_Active!$K39,)</f>
        <v>1</v>
      </c>
      <c r="CC151" s="338">
        <f>IF(Tech_Specs!$F38="Constant",Perform_Active!$K39,)</f>
        <v>1</v>
      </c>
      <c r="CD151" s="338">
        <f>IF(Tech_Specs!$F38="Constant",Perform_Active!$K39,)</f>
        <v>1</v>
      </c>
      <c r="CE151" s="338">
        <f>IF(Tech_Specs!$F38="Constant",Perform_Active!$K39,)</f>
        <v>1</v>
      </c>
      <c r="CF151" s="338">
        <f>IF(Tech_Specs!$F38="Constant",Perform_Active!$K39,)</f>
        <v>1</v>
      </c>
      <c r="CG151" s="338">
        <f>IF(Tech_Specs!$F38="Constant",Perform_Active!$K39,)</f>
        <v>1</v>
      </c>
      <c r="CH151" s="338">
        <f>IF(Tech_Specs!$F38="Constant",Perform_Active!$K39,)</f>
        <v>1</v>
      </c>
      <c r="CJ151" s="625">
        <f>IF(AND(Tech_Specs!$F38="step",Standards_Active!$S39="yes"),IF(ISNUMBER(Standards_Active!$W39),IF(CJ$120&gt;=Standards_Active!$R39,Standards_Active!$W39,IF(CJ$120&lt;Standards_Active!$Q39,Perform_Active!$K39,(Standards_Active!$W39-Perform_Active!$K39)/(Standards_Active!$R39-(Standards_Active!$Q39-1))+CI151)),Perform_Active!$K39),)</f>
        <v>0</v>
      </c>
      <c r="CK151" s="625">
        <f>IF(AND(Tech_Specs!$F38="step",Standards_Active!$S39="yes"),IF(ISNUMBER(Standards_Active!$W39),IF(CK$120&gt;=Standards_Active!$R39,Standards_Active!$W39,IF(CK$120&lt;Standards_Active!$Q39,Perform_Active!$K39,(Standards_Active!$W39-Perform_Active!$K39)/(Standards_Active!$R39-(Standards_Active!$Q39-1))+CJ151)),Perform_Active!$K39),)</f>
        <v>0</v>
      </c>
      <c r="CL151" s="625">
        <f>IF(AND(Tech_Specs!$F38="step",Standards_Active!$S39="yes"),IF(ISNUMBER(Standards_Active!$W39),IF(CL$120&gt;=Standards_Active!$R39,Standards_Active!$W39,IF(CL$120&lt;Standards_Active!$Q39,Perform_Active!$K39,(Standards_Active!$W39-Perform_Active!$K39)/(Standards_Active!$R39-(Standards_Active!$Q39-1))+CK151)),Perform_Active!$K39),)</f>
        <v>0</v>
      </c>
      <c r="CM151" s="625">
        <f>IF(AND(Tech_Specs!$F38="step",Standards_Active!$S39="yes"),IF(ISNUMBER(Standards_Active!$W39),IF(CM$120&gt;=Standards_Active!$R39,Standards_Active!$W39,IF(CM$120&lt;Standards_Active!$Q39,Perform_Active!$K39,(Standards_Active!$W39-Perform_Active!$K39)/(Standards_Active!$R39-(Standards_Active!$Q39-1))+CL151)),Perform_Active!$K39),)</f>
        <v>0</v>
      </c>
      <c r="CN151" s="625">
        <f>IF(AND(Tech_Specs!$F38="step",Standards_Active!$S39="yes"),IF(ISNUMBER(Standards_Active!$W39),IF(CN$120&gt;=Standards_Active!$R39,Standards_Active!$W39,IF(CN$120&lt;Standards_Active!$Q39,Perform_Active!$K39,(Standards_Active!$W39-Perform_Active!$K39)/(Standards_Active!$R39-(Standards_Active!$Q39-1))+CM151)),Perform_Active!$K39),)</f>
        <v>0</v>
      </c>
      <c r="CO151" s="625">
        <f>IF(AND(Tech_Specs!$F38="step",Standards_Active!$S39="yes"),IF(ISNUMBER(Standards_Active!$W39),IF(CO$120&gt;=Standards_Active!$R39,Standards_Active!$W39,IF(CO$120&lt;Standards_Active!$Q39,Perform_Active!$K39,(Standards_Active!$W39-Perform_Active!$K39)/(Standards_Active!$R39-(Standards_Active!$Q39-1))+CN151)),Perform_Active!$K39),)</f>
        <v>0</v>
      </c>
      <c r="CP151" s="625">
        <f>IF(AND(Tech_Specs!$F38="step",Standards_Active!$S39="yes"),IF(ISNUMBER(Standards_Active!$W39),IF(CP$120&gt;=Standards_Active!$R39,Standards_Active!$W39,IF(CP$120&lt;Standards_Active!$Q39,Perform_Active!$K39,(Standards_Active!$W39-Perform_Active!$K39)/(Standards_Active!$R39-(Standards_Active!$Q39-1))+CO151)),Perform_Active!$K39),)</f>
        <v>0</v>
      </c>
      <c r="CQ151" s="625">
        <f>IF(AND(Tech_Specs!$F38="step",Standards_Active!$S39="yes"),IF(ISNUMBER(Standards_Active!$W39),IF(CQ$120&gt;=Standards_Active!$R39,Standards_Active!$W39,IF(CQ$120&lt;Standards_Active!$Q39,Perform_Active!$K39,(Standards_Active!$W39-Perform_Active!$K39)/(Standards_Active!$R39-(Standards_Active!$Q39-1))+CP151)),Perform_Active!$K39),)</f>
        <v>0</v>
      </c>
      <c r="CR151" s="625">
        <f>IF(AND(Tech_Specs!$F38="step",Standards_Active!$S39="yes"),IF(ISNUMBER(Standards_Active!$W39),IF(CR$120&gt;=Standards_Active!$R39,Standards_Active!$W39,IF(CR$120&lt;Standards_Active!$Q39,Perform_Active!$K39,(Standards_Active!$W39-Perform_Active!$K39)/(Standards_Active!$R39-(Standards_Active!$Q39-1))+CQ151)),Perform_Active!$K39),)</f>
        <v>0</v>
      </c>
      <c r="CS151" s="625">
        <f>IF(AND(Tech_Specs!$F38="step",Standards_Active!$S39="yes"),IF(ISNUMBER(Standards_Active!$W39),IF(CS$120&gt;=Standards_Active!$R39,Standards_Active!$W39,IF(CS$120&lt;Standards_Active!$Q39,Perform_Active!$K39,(Standards_Active!$W39-Perform_Active!$K39)/(Standards_Active!$R39-(Standards_Active!$Q39-1))+CR151)),Perform_Active!$K39),)</f>
        <v>0</v>
      </c>
      <c r="CT151" s="625">
        <f>IF(AND(Tech_Specs!$F38="step",Standards_Active!$S39="yes"),IF(ISNUMBER(Standards_Active!$W39),IF(CT$120&gt;=Standards_Active!$R39,Standards_Active!$W39,IF(CT$120&lt;Standards_Active!$Q39,Perform_Active!$K39,(Standards_Active!$W39-Perform_Active!$K39)/(Standards_Active!$R39-(Standards_Active!$Q39-1))+CS151)),Perform_Active!$K39),)</f>
        <v>0</v>
      </c>
      <c r="CU151" s="625">
        <f>IF(AND(Tech_Specs!$F38="step",Standards_Active!$S39="yes"),IF(ISNUMBER(Standards_Active!$W39),IF(CU$120&gt;=Standards_Active!$R39,Standards_Active!$W39,IF(CU$120&lt;Standards_Active!$Q39,Perform_Active!$K39,(Standards_Active!$W39-Perform_Active!$K39)/(Standards_Active!$R39-(Standards_Active!$Q39-1))+CT151)),Perform_Active!$K39),)</f>
        <v>0</v>
      </c>
      <c r="CV151" s="625">
        <f>IF(AND(Tech_Specs!$F38="step",Standards_Active!$S39="yes"),IF(ISNUMBER(Standards_Active!$W39),IF(CV$120&gt;=Standards_Active!$R39,Standards_Active!$W39,IF(CV$120&lt;Standards_Active!$Q39,Perform_Active!$K39,(Standards_Active!$W39-Perform_Active!$K39)/(Standards_Active!$R39-(Standards_Active!$Q39-1))+CU151)),Perform_Active!$K39),)</f>
        <v>0</v>
      </c>
      <c r="CW151" s="625">
        <f>IF(AND(Tech_Specs!$F38="step",Standards_Active!$S39="yes"),IF(ISNUMBER(Standards_Active!$W39),IF(CW$120&gt;=Standards_Active!$R39,Standards_Active!$W39,IF(CW$120&lt;Standards_Active!$Q39,Perform_Active!$K39,(Standards_Active!$W39-Perform_Active!$K39)/(Standards_Active!$R39-(Standards_Active!$Q39-1))+CV151)),Perform_Active!$K39),)</f>
        <v>0</v>
      </c>
      <c r="CX151" s="625">
        <f>IF(AND(Tech_Specs!$F38="step",Standards_Active!$S39="yes"),IF(ISNUMBER(Standards_Active!$W39),IF(CX$120&gt;=Standards_Active!$R39,Standards_Active!$W39,IF(CX$120&lt;Standards_Active!$Q39,Perform_Active!$K39,(Standards_Active!$W39-Perform_Active!$K39)/(Standards_Active!$R39-(Standards_Active!$Q39-1))+CW151)),Perform_Active!$K39),)</f>
        <v>0</v>
      </c>
      <c r="CY151" s="625">
        <f>IF(AND(Tech_Specs!$F38="step",Standards_Active!$S39="yes"),IF(ISNUMBER(Standards_Active!$W39),IF(CY$120&gt;=Standards_Active!$R39,Standards_Active!$W39,IF(CY$120&lt;Standards_Active!$Q39,Perform_Active!$K39,(Standards_Active!$W39-Perform_Active!$K39)/(Standards_Active!$R39-(Standards_Active!$Q39-1))+CX151)),Perform_Active!$K39),)</f>
        <v>0</v>
      </c>
      <c r="CZ151" s="625">
        <f>IF(AND(Tech_Specs!$F38="step",Standards_Active!$S39="yes"),IF(ISNUMBER(Standards_Active!$W39),IF(CZ$120&gt;=Standards_Active!$R39,Standards_Active!$W39,IF(CZ$120&lt;Standards_Active!$Q39,Perform_Active!$K39,(Standards_Active!$W39-Perform_Active!$K39)/(Standards_Active!$R39-(Standards_Active!$Q39-1))+CY151)),Perform_Active!$K39),)</f>
        <v>0</v>
      </c>
      <c r="DA151" s="625">
        <f>IF(AND(Tech_Specs!$F38="step",Standards_Active!$S39="yes"),IF(ISNUMBER(Standards_Active!$W39),IF(DA$120&gt;=Standards_Active!$R39,Standards_Active!$W39,IF(DA$120&lt;Standards_Active!$Q39,Perform_Active!$K39,(Standards_Active!$W39-Perform_Active!$K39)/(Standards_Active!$R39-(Standards_Active!$Q39-1))+CZ151)),Perform_Active!$K39),)</f>
        <v>0</v>
      </c>
      <c r="DB151" s="625">
        <f>IF(AND(Tech_Specs!$F38="step",Standards_Active!$S39="yes"),IF(ISNUMBER(Standards_Active!$W39),IF(DB$120&gt;=Standards_Active!$R39,Standards_Active!$W39,IF(DB$120&lt;Standards_Active!$Q39,Perform_Active!$K39,(Standards_Active!$W39-Perform_Active!$K39)/(Standards_Active!$R39-(Standards_Active!$Q39-1))+DA151)),Perform_Active!$K39),)</f>
        <v>0</v>
      </c>
      <c r="DC151" s="625">
        <f>IF(AND(Tech_Specs!$F38="step",Standards_Active!$S39="yes"),IF(ISNUMBER(Standards_Active!$W39),IF(DC$120&gt;=Standards_Active!$R39,Standards_Active!$W39,IF(DC$120&lt;Standards_Active!$Q39,Perform_Active!$K39,(Standards_Active!$W39-Perform_Active!$K39)/(Standards_Active!$R39-(Standards_Active!$Q39-1))+DB151)),Perform_Active!$K39),)</f>
        <v>0</v>
      </c>
      <c r="DD151" s="625">
        <f>IF(AND(Tech_Specs!$F38="step",Standards_Active!$S39="yes"),IF(ISNUMBER(Standards_Active!$W39),IF(DD$120&gt;=Standards_Active!$R39,Standards_Active!$W39,IF(DD$120&lt;Standards_Active!$Q39,Perform_Active!$K39,(Standards_Active!$W39-Perform_Active!$K39)/(Standards_Active!$R39-(Standards_Active!$Q39-1))+DC151)),Perform_Active!$K39),)</f>
        <v>0</v>
      </c>
      <c r="DE151" s="625">
        <f>IF(AND(Tech_Specs!$F38="step",Standards_Active!$S39="yes"),IF(ISNUMBER(Standards_Active!$W39),IF(DE$120&gt;=Standards_Active!$R39,Standards_Active!$W39,IF(DE$120&lt;Standards_Active!$Q39,Perform_Active!$K39,(Standards_Active!$W39-Perform_Active!$K39)/(Standards_Active!$R39-(Standards_Active!$Q39-1))+DD151)),Perform_Active!$K39),)</f>
        <v>0</v>
      </c>
      <c r="DF151" s="625">
        <f>IF(AND(Tech_Specs!$F38="step",Standards_Active!$S39="yes"),IF(ISNUMBER(Standards_Active!$W39),IF(DF$120&gt;=Standards_Active!$R39,Standards_Active!$W39,IF(DF$120&lt;Standards_Active!$Q39,Perform_Active!$K39,(Standards_Active!$W39-Perform_Active!$K39)/(Standards_Active!$R39-(Standards_Active!$Q39-1))+DE151)),Perform_Active!$K39),)</f>
        <v>0</v>
      </c>
      <c r="DG151" s="625">
        <f>IF(AND(Tech_Specs!$F38="step",Standards_Active!$S39="yes"),IF(ISNUMBER(Standards_Active!$W39),IF(DG$120&gt;=Standards_Active!$R39,Standards_Active!$W39,IF(DG$120&lt;Standards_Active!$Q39,Perform_Active!$K39,(Standards_Active!$W39-Perform_Active!$K39)/(Standards_Active!$R39-(Standards_Active!$Q39-1))+DF151)),Perform_Active!$K39),)</f>
        <v>0</v>
      </c>
      <c r="DH151" s="625">
        <f>IF(AND(Tech_Specs!$F38="step",Standards_Active!$S39="yes"),IF(ISNUMBER(Standards_Active!$W39),IF(DH$120&gt;=Standards_Active!$R39,Standards_Active!$W39,IF(DH$120&lt;Standards_Active!$Q39,Perform_Active!$K39,(Standards_Active!$W39-Perform_Active!$K39)/(Standards_Active!$R39-(Standards_Active!$Q39-1))+DG151)),Perform_Active!$K39),)</f>
        <v>0</v>
      </c>
      <c r="DI151" s="625">
        <f>IF(AND(Tech_Specs!$F38="step",Standards_Active!$S39="yes"),IF(ISNUMBER(Standards_Active!$W39),IF(DI$120&gt;=Standards_Active!$R39,Standards_Active!$W39,IF(DI$120&lt;Standards_Active!$Q39,Perform_Active!$K39,(Standards_Active!$W39-Perform_Active!$K39)/(Standards_Active!$R39-(Standards_Active!$Q39-1))+DH151)),Perform_Active!$K39),)</f>
        <v>0</v>
      </c>
    </row>
    <row r="152" spans="1:113" s="81" customFormat="1" ht="12.6" x14ac:dyDescent="0.25">
      <c r="B152" s="101" t="s">
        <v>53</v>
      </c>
      <c r="D152" s="550"/>
      <c r="E152" s="550"/>
      <c r="F152" s="550"/>
      <c r="G152" s="128">
        <f t="shared" si="48"/>
        <v>1</v>
      </c>
      <c r="H152" s="128">
        <f t="shared" si="48"/>
        <v>1</v>
      </c>
      <c r="I152" s="128">
        <f t="shared" si="48"/>
        <v>1</v>
      </c>
      <c r="J152" s="128">
        <f t="shared" si="48"/>
        <v>1</v>
      </c>
      <c r="K152" s="128">
        <f t="shared" si="48"/>
        <v>1</v>
      </c>
      <c r="L152" s="128">
        <f t="shared" si="48"/>
        <v>1</v>
      </c>
      <c r="M152" s="128">
        <f t="shared" si="48"/>
        <v>1</v>
      </c>
      <c r="N152" s="128">
        <f t="shared" si="48"/>
        <v>1</v>
      </c>
      <c r="O152" s="128">
        <f t="shared" si="48"/>
        <v>1</v>
      </c>
      <c r="P152" s="128">
        <f t="shared" si="48"/>
        <v>1</v>
      </c>
      <c r="Q152" s="128">
        <f t="shared" si="49"/>
        <v>1</v>
      </c>
      <c r="R152" s="128">
        <f t="shared" si="49"/>
        <v>1</v>
      </c>
      <c r="S152" s="128">
        <f t="shared" si="49"/>
        <v>1</v>
      </c>
      <c r="T152" s="128">
        <f t="shared" si="49"/>
        <v>1</v>
      </c>
      <c r="U152" s="128">
        <f t="shared" si="49"/>
        <v>1</v>
      </c>
      <c r="V152" s="128">
        <f t="shared" si="49"/>
        <v>1</v>
      </c>
      <c r="W152" s="128">
        <f t="shared" si="49"/>
        <v>1</v>
      </c>
      <c r="X152" s="128">
        <f t="shared" si="49"/>
        <v>1</v>
      </c>
      <c r="Y152" s="128">
        <f t="shared" si="49"/>
        <v>1</v>
      </c>
      <c r="Z152" s="128">
        <f t="shared" si="49"/>
        <v>1</v>
      </c>
      <c r="AA152" s="128">
        <f t="shared" si="50"/>
        <v>1</v>
      </c>
      <c r="AB152" s="128">
        <f t="shared" si="50"/>
        <v>1</v>
      </c>
      <c r="AC152" s="128">
        <f t="shared" si="50"/>
        <v>1</v>
      </c>
      <c r="AD152" s="128">
        <f t="shared" si="50"/>
        <v>1</v>
      </c>
      <c r="AE152" s="128">
        <f t="shared" si="50"/>
        <v>1</v>
      </c>
      <c r="AF152" s="128">
        <f t="shared" si="50"/>
        <v>1</v>
      </c>
      <c r="AH152" s="405">
        <f>IF(Tech_Specs!$F39="linear",TREND(Perform_Active!$K40:$L40,Perform_Active!$K$8:$L$8,AH$120),)</f>
        <v>1</v>
      </c>
      <c r="AI152" s="405">
        <f>IF(Tech_Specs!$F39="linear",TREND(Perform_Active!$K40:$L40,Perform_Active!$K$8:$L$8,AI$120),)</f>
        <v>1</v>
      </c>
      <c r="AJ152" s="405">
        <f>IF(Tech_Specs!$F39="linear",TREND(Perform_Active!$K40:$L40,Perform_Active!$K$8:$L$8,AJ$120),)</f>
        <v>1</v>
      </c>
      <c r="AK152" s="405">
        <f>IF(Tech_Specs!$F39="linear",TREND(Perform_Active!$K40:$L40,Perform_Active!$K$8:$L$8,AK$120),)</f>
        <v>1</v>
      </c>
      <c r="AL152" s="405">
        <f>IF(Tech_Specs!$F39="linear",TREND(Perform_Active!$K40:$L40,Perform_Active!$K$8:$L$8,AL$120),)</f>
        <v>1</v>
      </c>
      <c r="AM152" s="405">
        <f>IF(Tech_Specs!$F39="linear",TREND(Perform_Active!$K40:$L40,Perform_Active!$K$8:$L$8,AM$120),)</f>
        <v>1</v>
      </c>
      <c r="AN152" s="405">
        <f>IF(Tech_Specs!$F39="linear",TREND(Perform_Active!$K40:$L40,Perform_Active!$K$8:$L$8,AN$120),)</f>
        <v>1</v>
      </c>
      <c r="AO152" s="405">
        <f>IF(Tech_Specs!$F39="linear",TREND(Perform_Active!$K40:$L40,Perform_Active!$K$8:$L$8,AO$120),)</f>
        <v>1</v>
      </c>
      <c r="AP152" s="405">
        <f>IF(Tech_Specs!$F39="linear",TREND(Perform_Active!$K40:$L40,Perform_Active!$K$8:$L$8,AP$120),)</f>
        <v>1</v>
      </c>
      <c r="AQ152" s="405">
        <f>IF(Tech_Specs!$F39="linear",TREND(Perform_Active!$K40:$L40,Perform_Active!$K$8:$L$8,AQ$120),)</f>
        <v>1</v>
      </c>
      <c r="AR152" s="405">
        <f>IF(Tech_Specs!$F39="linear",TREND(Perform_Active!$K40:$L40,Perform_Active!$K$8:$L$8,AR$120),)</f>
        <v>1</v>
      </c>
      <c r="AS152" s="405">
        <f>IF(Tech_Specs!$F39="linear",TREND(Perform_Active!$K40:$L40,Perform_Active!$K$8:$L$8,AS$120),)</f>
        <v>1</v>
      </c>
      <c r="AT152" s="405">
        <f>IF(Tech_Specs!$F39="linear",TREND(Perform_Active!$K40:$L40,Perform_Active!$K$8:$L$8,AT$120),)</f>
        <v>1</v>
      </c>
      <c r="AU152" s="405">
        <f>IF(Tech_Specs!$F39="linear",TREND(Perform_Active!$K40:$L40,Perform_Active!$K$8:$L$8,AU$120),)</f>
        <v>1</v>
      </c>
      <c r="AV152" s="405">
        <f>IF(Tech_Specs!$F39="linear",TREND(Perform_Active!$K40:$L40,Perform_Active!$K$8:$L$8,AV$120),)</f>
        <v>1</v>
      </c>
      <c r="AW152" s="405">
        <f>IF(Tech_Specs!$F39="linear",TREND(Perform_Active!$K40:$L40,Perform_Active!$K$8:$L$8,AW$120),)</f>
        <v>1</v>
      </c>
      <c r="AX152" s="405">
        <f>IF(Tech_Specs!$F39="linear",TREND(Perform_Active!$K40:$L40,Perform_Active!$K$8:$L$8,AX$120),)</f>
        <v>1</v>
      </c>
      <c r="AY152" s="405">
        <f>IF(Tech_Specs!$F39="linear",TREND(Perform_Active!$K40:$L40,Perform_Active!$K$8:$L$8,AY$120),)</f>
        <v>1</v>
      </c>
      <c r="AZ152" s="405">
        <f>IF(Tech_Specs!$F39="linear",TREND(Perform_Active!$K40:$L40,Perform_Active!$K$8:$L$8,AZ$120),)</f>
        <v>1</v>
      </c>
      <c r="BA152" s="405">
        <f>IF(Tech_Specs!$F39="linear",TREND(Perform_Active!$K40:$L40,Perform_Active!$K$8:$L$8,BA$120),)</f>
        <v>1</v>
      </c>
      <c r="BB152" s="405">
        <f>IF(Tech_Specs!$F39="linear",TREND(Perform_Active!$K40:$L40,Perform_Active!$K$8:$L$8,BB$120),)</f>
        <v>1</v>
      </c>
      <c r="BC152" s="405">
        <f>IF(Tech_Specs!$F39="linear",TREND(Perform_Active!$K40:$L40,Perform_Active!$K$8:$L$8,BC$120),)</f>
        <v>1</v>
      </c>
      <c r="BD152" s="405">
        <f>IF(Tech_Specs!$F39="linear",TREND(Perform_Active!$K40:$L40,Perform_Active!$K$8:$L$8,BD$120),)</f>
        <v>1</v>
      </c>
      <c r="BE152" s="405">
        <f>IF(Tech_Specs!$F39="linear",TREND(Perform_Active!$K40:$L40,Perform_Active!$K$8:$L$8,BE$120),)</f>
        <v>1</v>
      </c>
      <c r="BF152" s="405">
        <f>IF(Tech_Specs!$F39="linear",TREND(Perform_Active!$K40:$L40,Perform_Active!$K$8:$L$8,BF$120),)</f>
        <v>1</v>
      </c>
      <c r="BG152" s="405">
        <f>IF(Tech_Specs!$F39="linear",TREND(Perform_Active!$K40:$L40,Perform_Active!$K$8:$L$8,BG$120),)</f>
        <v>1</v>
      </c>
      <c r="BI152" s="338">
        <f>IF(Tech_Specs!$F39="Constant",Perform_Active!$K40,)</f>
        <v>0</v>
      </c>
      <c r="BJ152" s="338">
        <f>IF(Tech_Specs!$F39="Constant",Perform_Active!$K40,)</f>
        <v>0</v>
      </c>
      <c r="BK152" s="338">
        <f>IF(Tech_Specs!$F39="Constant",Perform_Active!$K40,)</f>
        <v>0</v>
      </c>
      <c r="BL152" s="338">
        <f>IF(Tech_Specs!$F39="Constant",Perform_Active!$K40,)</f>
        <v>0</v>
      </c>
      <c r="BM152" s="338">
        <f>IF(Tech_Specs!$F39="Constant",Perform_Active!$K40,)</f>
        <v>0</v>
      </c>
      <c r="BN152" s="338">
        <f>IF(Tech_Specs!$F39="Constant",Perform_Active!$K40,)</f>
        <v>0</v>
      </c>
      <c r="BO152" s="338">
        <f>IF(Tech_Specs!$F39="Constant",Perform_Active!$K40,)</f>
        <v>0</v>
      </c>
      <c r="BP152" s="338">
        <f>IF(Tech_Specs!$F39="Constant",Perform_Active!$K40,)</f>
        <v>0</v>
      </c>
      <c r="BQ152" s="338">
        <f>IF(Tech_Specs!$F39="Constant",Perform_Active!$K40,)</f>
        <v>0</v>
      </c>
      <c r="BR152" s="338">
        <f>IF(Tech_Specs!$F39="Constant",Perform_Active!$K40,)</f>
        <v>0</v>
      </c>
      <c r="BS152" s="338">
        <f>IF(Tech_Specs!$F39="Constant",Perform_Active!$K40,)</f>
        <v>0</v>
      </c>
      <c r="BT152" s="338">
        <f>IF(Tech_Specs!$F39="Constant",Perform_Active!$K40,)</f>
        <v>0</v>
      </c>
      <c r="BU152" s="338">
        <f>IF(Tech_Specs!$F39="Constant",Perform_Active!$K40,)</f>
        <v>0</v>
      </c>
      <c r="BV152" s="338">
        <f>IF(Tech_Specs!$F39="Constant",Perform_Active!$K40,)</f>
        <v>0</v>
      </c>
      <c r="BW152" s="338">
        <f>IF(Tech_Specs!$F39="Constant",Perform_Active!$K40,)</f>
        <v>0</v>
      </c>
      <c r="BX152" s="338">
        <f>IF(Tech_Specs!$F39="Constant",Perform_Active!$K40,)</f>
        <v>0</v>
      </c>
      <c r="BY152" s="338">
        <f>IF(Tech_Specs!$F39="Constant",Perform_Active!$K40,)</f>
        <v>0</v>
      </c>
      <c r="BZ152" s="338">
        <f>IF(Tech_Specs!$F39="Constant",Perform_Active!$K40,)</f>
        <v>0</v>
      </c>
      <c r="CA152" s="338">
        <f>IF(Tech_Specs!$F39="Constant",Perform_Active!$K40,)</f>
        <v>0</v>
      </c>
      <c r="CB152" s="338">
        <f>IF(Tech_Specs!$F39="Constant",Perform_Active!$K40,)</f>
        <v>0</v>
      </c>
      <c r="CC152" s="338">
        <f>IF(Tech_Specs!$F39="Constant",Perform_Active!$K40,)</f>
        <v>0</v>
      </c>
      <c r="CD152" s="338">
        <f>IF(Tech_Specs!$F39="Constant",Perform_Active!$K40,)</f>
        <v>0</v>
      </c>
      <c r="CE152" s="338">
        <f>IF(Tech_Specs!$F39="Constant",Perform_Active!$K40,)</f>
        <v>0</v>
      </c>
      <c r="CF152" s="338">
        <f>IF(Tech_Specs!$F39="Constant",Perform_Active!$K40,)</f>
        <v>0</v>
      </c>
      <c r="CG152" s="338">
        <f>IF(Tech_Specs!$F39="Constant",Perform_Active!$K40,)</f>
        <v>0</v>
      </c>
      <c r="CH152" s="338">
        <f>IF(Tech_Specs!$F39="Constant",Perform_Active!$K40,)</f>
        <v>0</v>
      </c>
      <c r="CJ152" s="625">
        <f>IF(AND(Tech_Specs!$F39="step",Standards_Active!$S40="yes"),IF(ISNUMBER(Standards_Active!$W40),IF(CJ$120&gt;=Standards_Active!$R40,Standards_Active!$W40,IF(CJ$120&lt;Standards_Active!$Q40,Perform_Active!$K40,(Standards_Active!$W40-Perform_Active!$K40)/(Standards_Active!$R40-(Standards_Active!$Q40-1))+CI152)),Perform_Active!$K40),)</f>
        <v>0</v>
      </c>
      <c r="CK152" s="625">
        <f>IF(AND(Tech_Specs!$F39="step",Standards_Active!$S40="yes"),IF(ISNUMBER(Standards_Active!$W40),IF(CK$120&gt;=Standards_Active!$R40,Standards_Active!$W40,IF(CK$120&lt;Standards_Active!$Q40,Perform_Active!$K40,(Standards_Active!$W40-Perform_Active!$K40)/(Standards_Active!$R40-(Standards_Active!$Q40-1))+CJ152)),Perform_Active!$K40),)</f>
        <v>0</v>
      </c>
      <c r="CL152" s="625">
        <f>IF(AND(Tech_Specs!$F39="step",Standards_Active!$S40="yes"),IF(ISNUMBER(Standards_Active!$W40),IF(CL$120&gt;=Standards_Active!$R40,Standards_Active!$W40,IF(CL$120&lt;Standards_Active!$Q40,Perform_Active!$K40,(Standards_Active!$W40-Perform_Active!$K40)/(Standards_Active!$R40-(Standards_Active!$Q40-1))+CK152)),Perform_Active!$K40),)</f>
        <v>0</v>
      </c>
      <c r="CM152" s="625">
        <f>IF(AND(Tech_Specs!$F39="step",Standards_Active!$S40="yes"),IF(ISNUMBER(Standards_Active!$W40),IF(CM$120&gt;=Standards_Active!$R40,Standards_Active!$W40,IF(CM$120&lt;Standards_Active!$Q40,Perform_Active!$K40,(Standards_Active!$W40-Perform_Active!$K40)/(Standards_Active!$R40-(Standards_Active!$Q40-1))+CL152)),Perform_Active!$K40),)</f>
        <v>0</v>
      </c>
      <c r="CN152" s="625">
        <f>IF(AND(Tech_Specs!$F39="step",Standards_Active!$S40="yes"),IF(ISNUMBER(Standards_Active!$W40),IF(CN$120&gt;=Standards_Active!$R40,Standards_Active!$W40,IF(CN$120&lt;Standards_Active!$Q40,Perform_Active!$K40,(Standards_Active!$W40-Perform_Active!$K40)/(Standards_Active!$R40-(Standards_Active!$Q40-1))+CM152)),Perform_Active!$K40),)</f>
        <v>0</v>
      </c>
      <c r="CO152" s="625">
        <f>IF(AND(Tech_Specs!$F39="step",Standards_Active!$S40="yes"),IF(ISNUMBER(Standards_Active!$W40),IF(CO$120&gt;=Standards_Active!$R40,Standards_Active!$W40,IF(CO$120&lt;Standards_Active!$Q40,Perform_Active!$K40,(Standards_Active!$W40-Perform_Active!$K40)/(Standards_Active!$R40-(Standards_Active!$Q40-1))+CN152)),Perform_Active!$K40),)</f>
        <v>0</v>
      </c>
      <c r="CP152" s="625">
        <f>IF(AND(Tech_Specs!$F39="step",Standards_Active!$S40="yes"),IF(ISNUMBER(Standards_Active!$W40),IF(CP$120&gt;=Standards_Active!$R40,Standards_Active!$W40,IF(CP$120&lt;Standards_Active!$Q40,Perform_Active!$K40,(Standards_Active!$W40-Perform_Active!$K40)/(Standards_Active!$R40-(Standards_Active!$Q40-1))+CO152)),Perform_Active!$K40),)</f>
        <v>0</v>
      </c>
      <c r="CQ152" s="625">
        <f>IF(AND(Tech_Specs!$F39="step",Standards_Active!$S40="yes"),IF(ISNUMBER(Standards_Active!$W40),IF(CQ$120&gt;=Standards_Active!$R40,Standards_Active!$W40,IF(CQ$120&lt;Standards_Active!$Q40,Perform_Active!$K40,(Standards_Active!$W40-Perform_Active!$K40)/(Standards_Active!$R40-(Standards_Active!$Q40-1))+CP152)),Perform_Active!$K40),)</f>
        <v>0</v>
      </c>
      <c r="CR152" s="625">
        <f>IF(AND(Tech_Specs!$F39="step",Standards_Active!$S40="yes"),IF(ISNUMBER(Standards_Active!$W40),IF(CR$120&gt;=Standards_Active!$R40,Standards_Active!$W40,IF(CR$120&lt;Standards_Active!$Q40,Perform_Active!$K40,(Standards_Active!$W40-Perform_Active!$K40)/(Standards_Active!$R40-(Standards_Active!$Q40-1))+CQ152)),Perform_Active!$K40),)</f>
        <v>0</v>
      </c>
      <c r="CS152" s="625">
        <f>IF(AND(Tech_Specs!$F39="step",Standards_Active!$S40="yes"),IF(ISNUMBER(Standards_Active!$W40),IF(CS$120&gt;=Standards_Active!$R40,Standards_Active!$W40,IF(CS$120&lt;Standards_Active!$Q40,Perform_Active!$K40,(Standards_Active!$W40-Perform_Active!$K40)/(Standards_Active!$R40-(Standards_Active!$Q40-1))+CR152)),Perform_Active!$K40),)</f>
        <v>0</v>
      </c>
      <c r="CT152" s="625">
        <f>IF(AND(Tech_Specs!$F39="step",Standards_Active!$S40="yes"),IF(ISNUMBER(Standards_Active!$W40),IF(CT$120&gt;=Standards_Active!$R40,Standards_Active!$W40,IF(CT$120&lt;Standards_Active!$Q40,Perform_Active!$K40,(Standards_Active!$W40-Perform_Active!$K40)/(Standards_Active!$R40-(Standards_Active!$Q40-1))+CS152)),Perform_Active!$K40),)</f>
        <v>0</v>
      </c>
      <c r="CU152" s="625">
        <f>IF(AND(Tech_Specs!$F39="step",Standards_Active!$S40="yes"),IF(ISNUMBER(Standards_Active!$W40),IF(CU$120&gt;=Standards_Active!$R40,Standards_Active!$W40,IF(CU$120&lt;Standards_Active!$Q40,Perform_Active!$K40,(Standards_Active!$W40-Perform_Active!$K40)/(Standards_Active!$R40-(Standards_Active!$Q40-1))+CT152)),Perform_Active!$K40),)</f>
        <v>0</v>
      </c>
      <c r="CV152" s="625">
        <f>IF(AND(Tech_Specs!$F39="step",Standards_Active!$S40="yes"),IF(ISNUMBER(Standards_Active!$W40),IF(CV$120&gt;=Standards_Active!$R40,Standards_Active!$W40,IF(CV$120&lt;Standards_Active!$Q40,Perform_Active!$K40,(Standards_Active!$W40-Perform_Active!$K40)/(Standards_Active!$R40-(Standards_Active!$Q40-1))+CU152)),Perform_Active!$K40),)</f>
        <v>0</v>
      </c>
      <c r="CW152" s="625">
        <f>IF(AND(Tech_Specs!$F39="step",Standards_Active!$S40="yes"),IF(ISNUMBER(Standards_Active!$W40),IF(CW$120&gt;=Standards_Active!$R40,Standards_Active!$W40,IF(CW$120&lt;Standards_Active!$Q40,Perform_Active!$K40,(Standards_Active!$W40-Perform_Active!$K40)/(Standards_Active!$R40-(Standards_Active!$Q40-1))+CV152)),Perform_Active!$K40),)</f>
        <v>0</v>
      </c>
      <c r="CX152" s="625">
        <f>IF(AND(Tech_Specs!$F39="step",Standards_Active!$S40="yes"),IF(ISNUMBER(Standards_Active!$W40),IF(CX$120&gt;=Standards_Active!$R40,Standards_Active!$W40,IF(CX$120&lt;Standards_Active!$Q40,Perform_Active!$K40,(Standards_Active!$W40-Perform_Active!$K40)/(Standards_Active!$R40-(Standards_Active!$Q40-1))+CW152)),Perform_Active!$K40),)</f>
        <v>0</v>
      </c>
      <c r="CY152" s="625">
        <f>IF(AND(Tech_Specs!$F39="step",Standards_Active!$S40="yes"),IF(ISNUMBER(Standards_Active!$W40),IF(CY$120&gt;=Standards_Active!$R40,Standards_Active!$W40,IF(CY$120&lt;Standards_Active!$Q40,Perform_Active!$K40,(Standards_Active!$W40-Perform_Active!$K40)/(Standards_Active!$R40-(Standards_Active!$Q40-1))+CX152)),Perform_Active!$K40),)</f>
        <v>0</v>
      </c>
      <c r="CZ152" s="625">
        <f>IF(AND(Tech_Specs!$F39="step",Standards_Active!$S40="yes"),IF(ISNUMBER(Standards_Active!$W40),IF(CZ$120&gt;=Standards_Active!$R40,Standards_Active!$W40,IF(CZ$120&lt;Standards_Active!$Q40,Perform_Active!$K40,(Standards_Active!$W40-Perform_Active!$K40)/(Standards_Active!$R40-(Standards_Active!$Q40-1))+CY152)),Perform_Active!$K40),)</f>
        <v>0</v>
      </c>
      <c r="DA152" s="625">
        <f>IF(AND(Tech_Specs!$F39="step",Standards_Active!$S40="yes"),IF(ISNUMBER(Standards_Active!$W40),IF(DA$120&gt;=Standards_Active!$R40,Standards_Active!$W40,IF(DA$120&lt;Standards_Active!$Q40,Perform_Active!$K40,(Standards_Active!$W40-Perform_Active!$K40)/(Standards_Active!$R40-(Standards_Active!$Q40-1))+CZ152)),Perform_Active!$K40),)</f>
        <v>0</v>
      </c>
      <c r="DB152" s="625">
        <f>IF(AND(Tech_Specs!$F39="step",Standards_Active!$S40="yes"),IF(ISNUMBER(Standards_Active!$W40),IF(DB$120&gt;=Standards_Active!$R40,Standards_Active!$W40,IF(DB$120&lt;Standards_Active!$Q40,Perform_Active!$K40,(Standards_Active!$W40-Perform_Active!$K40)/(Standards_Active!$R40-(Standards_Active!$Q40-1))+DA152)),Perform_Active!$K40),)</f>
        <v>0</v>
      </c>
      <c r="DC152" s="625">
        <f>IF(AND(Tech_Specs!$F39="step",Standards_Active!$S40="yes"),IF(ISNUMBER(Standards_Active!$W40),IF(DC$120&gt;=Standards_Active!$R40,Standards_Active!$W40,IF(DC$120&lt;Standards_Active!$Q40,Perform_Active!$K40,(Standards_Active!$W40-Perform_Active!$K40)/(Standards_Active!$R40-(Standards_Active!$Q40-1))+DB152)),Perform_Active!$K40),)</f>
        <v>0</v>
      </c>
      <c r="DD152" s="625">
        <f>IF(AND(Tech_Specs!$F39="step",Standards_Active!$S40="yes"),IF(ISNUMBER(Standards_Active!$W40),IF(DD$120&gt;=Standards_Active!$R40,Standards_Active!$W40,IF(DD$120&lt;Standards_Active!$Q40,Perform_Active!$K40,(Standards_Active!$W40-Perform_Active!$K40)/(Standards_Active!$R40-(Standards_Active!$Q40-1))+DC152)),Perform_Active!$K40),)</f>
        <v>0</v>
      </c>
      <c r="DE152" s="625">
        <f>IF(AND(Tech_Specs!$F39="step",Standards_Active!$S40="yes"),IF(ISNUMBER(Standards_Active!$W40),IF(DE$120&gt;=Standards_Active!$R40,Standards_Active!$W40,IF(DE$120&lt;Standards_Active!$Q40,Perform_Active!$K40,(Standards_Active!$W40-Perform_Active!$K40)/(Standards_Active!$R40-(Standards_Active!$Q40-1))+DD152)),Perform_Active!$K40),)</f>
        <v>0</v>
      </c>
      <c r="DF152" s="625">
        <f>IF(AND(Tech_Specs!$F39="step",Standards_Active!$S40="yes"),IF(ISNUMBER(Standards_Active!$W40),IF(DF$120&gt;=Standards_Active!$R40,Standards_Active!$W40,IF(DF$120&lt;Standards_Active!$Q40,Perform_Active!$K40,(Standards_Active!$W40-Perform_Active!$K40)/(Standards_Active!$R40-(Standards_Active!$Q40-1))+DE152)),Perform_Active!$K40),)</f>
        <v>0</v>
      </c>
      <c r="DG152" s="625">
        <f>IF(AND(Tech_Specs!$F39="step",Standards_Active!$S40="yes"),IF(ISNUMBER(Standards_Active!$W40),IF(DG$120&gt;=Standards_Active!$R40,Standards_Active!$W40,IF(DG$120&lt;Standards_Active!$Q40,Perform_Active!$K40,(Standards_Active!$W40-Perform_Active!$K40)/(Standards_Active!$R40-(Standards_Active!$Q40-1))+DF152)),Perform_Active!$K40),)</f>
        <v>0</v>
      </c>
      <c r="DH152" s="625">
        <f>IF(AND(Tech_Specs!$F39="step",Standards_Active!$S40="yes"),IF(ISNUMBER(Standards_Active!$W40),IF(DH$120&gt;=Standards_Active!$R40,Standards_Active!$W40,IF(DH$120&lt;Standards_Active!$Q40,Perform_Active!$K40,(Standards_Active!$W40-Perform_Active!$K40)/(Standards_Active!$R40-(Standards_Active!$Q40-1))+DG152)),Perform_Active!$K40),)</f>
        <v>0</v>
      </c>
      <c r="DI152" s="625">
        <f>IF(AND(Tech_Specs!$F39="step",Standards_Active!$S40="yes"),IF(ISNUMBER(Standards_Active!$W40),IF(DI$120&gt;=Standards_Active!$R40,Standards_Active!$W40,IF(DI$120&lt;Standards_Active!$Q40,Perform_Active!$K40,(Standards_Active!$W40-Perform_Active!$K40)/(Standards_Active!$R40-(Standards_Active!$Q40-1))+DH152)),Perform_Active!$K40),)</f>
        <v>0</v>
      </c>
    </row>
    <row r="153" spans="1:113" s="376" customFormat="1" ht="12.75" x14ac:dyDescent="0.2">
      <c r="B153" s="388"/>
      <c r="D153" s="550"/>
      <c r="E153" s="550"/>
      <c r="F153" s="550"/>
      <c r="G153" s="390"/>
      <c r="H153" s="390"/>
      <c r="I153" s="390"/>
      <c r="J153" s="390"/>
      <c r="K153" s="390"/>
      <c r="L153" s="390"/>
      <c r="M153" s="390"/>
      <c r="N153" s="390"/>
      <c r="O153" s="390"/>
      <c r="P153" s="390"/>
      <c r="Q153" s="390"/>
      <c r="R153" s="390"/>
      <c r="S153" s="390"/>
      <c r="T153" s="390"/>
      <c r="U153" s="390"/>
      <c r="V153" s="390"/>
      <c r="W153" s="390"/>
      <c r="X153" s="390"/>
      <c r="Y153" s="390"/>
      <c r="Z153" s="390"/>
      <c r="AA153" s="390"/>
      <c r="AB153" s="390"/>
      <c r="AC153" s="390"/>
      <c r="AD153" s="390"/>
      <c r="AE153" s="390"/>
      <c r="AF153" s="390"/>
      <c r="AH153" s="405"/>
      <c r="AI153" s="405"/>
      <c r="AJ153" s="405"/>
      <c r="AK153" s="405"/>
      <c r="AL153" s="405"/>
      <c r="AM153" s="405"/>
      <c r="AN153" s="405"/>
      <c r="AO153" s="405"/>
      <c r="AP153" s="405"/>
      <c r="AQ153" s="405"/>
      <c r="AR153" s="405"/>
      <c r="AS153" s="405"/>
      <c r="AT153" s="405"/>
      <c r="AU153" s="405"/>
      <c r="AV153" s="405"/>
      <c r="AW153" s="405"/>
      <c r="AX153" s="405"/>
      <c r="AY153" s="405"/>
      <c r="AZ153" s="405"/>
      <c r="BA153" s="405"/>
      <c r="BB153" s="405"/>
      <c r="BC153" s="405"/>
      <c r="BD153" s="405"/>
      <c r="BE153" s="405"/>
      <c r="BF153" s="405"/>
      <c r="BG153" s="405"/>
      <c r="BI153" s="405"/>
      <c r="BJ153" s="405"/>
      <c r="BK153" s="405"/>
      <c r="BL153" s="405"/>
      <c r="BM153" s="405"/>
      <c r="BN153" s="405"/>
      <c r="BO153" s="405"/>
      <c r="BP153" s="405"/>
      <c r="BQ153" s="405"/>
      <c r="BR153" s="405"/>
      <c r="BS153" s="405"/>
      <c r="BT153" s="405"/>
      <c r="BU153" s="405"/>
      <c r="BV153" s="405"/>
      <c r="BW153" s="405"/>
      <c r="BX153" s="405"/>
      <c r="BY153" s="405"/>
      <c r="BZ153" s="405"/>
      <c r="CA153" s="405"/>
      <c r="CB153" s="405"/>
      <c r="CC153" s="405"/>
      <c r="CD153" s="405"/>
      <c r="CE153" s="405"/>
      <c r="CF153" s="405"/>
      <c r="CG153" s="405"/>
      <c r="CH153" s="405"/>
      <c r="CJ153" s="405"/>
      <c r="CK153" s="405"/>
      <c r="CL153" s="405"/>
      <c r="CM153" s="405"/>
      <c r="CN153" s="405"/>
      <c r="CO153" s="405"/>
      <c r="CP153" s="405"/>
      <c r="CQ153" s="405"/>
      <c r="CR153" s="405"/>
      <c r="CS153" s="405"/>
      <c r="CT153" s="405"/>
      <c r="CU153" s="405"/>
      <c r="CV153" s="405"/>
      <c r="CW153" s="405"/>
      <c r="CX153" s="405"/>
      <c r="CY153" s="405"/>
      <c r="CZ153" s="405"/>
      <c r="DA153" s="405"/>
      <c r="DB153" s="405"/>
      <c r="DC153" s="405"/>
      <c r="DD153" s="405"/>
      <c r="DE153" s="405"/>
      <c r="DF153" s="405"/>
      <c r="DG153" s="405"/>
      <c r="DH153" s="405"/>
      <c r="DI153" s="405"/>
    </row>
    <row r="154" spans="1:113" s="153" customFormat="1" ht="12.75" x14ac:dyDescent="0.2">
      <c r="A154" s="154" t="s">
        <v>176</v>
      </c>
      <c r="D154" s="403"/>
      <c r="E154" s="403"/>
      <c r="F154" s="403"/>
      <c r="G154" s="153" t="s">
        <v>427</v>
      </c>
    </row>
    <row r="155" spans="1:113" s="101" customFormat="1" ht="12.75" x14ac:dyDescent="0.2">
      <c r="A155" s="81"/>
      <c r="B155" s="366"/>
      <c r="C155" s="81"/>
      <c r="D155" s="550"/>
      <c r="E155" s="550"/>
      <c r="F155" s="550"/>
      <c r="H155" s="81"/>
      <c r="I155" s="81"/>
      <c r="J155" s="81"/>
      <c r="K155" s="81"/>
      <c r="L155" s="408"/>
      <c r="M155" s="81"/>
      <c r="N155" s="81"/>
      <c r="O155" s="81"/>
      <c r="P155" s="81"/>
      <c r="Q155" s="81"/>
      <c r="R155" s="81"/>
      <c r="S155" s="81"/>
      <c r="T155" s="81"/>
      <c r="U155" s="81"/>
      <c r="V155" s="81"/>
      <c r="W155" s="81"/>
      <c r="X155" s="81"/>
      <c r="Y155" s="81"/>
      <c r="Z155" s="81"/>
      <c r="AA155" s="81"/>
      <c r="AB155" s="81"/>
      <c r="AC155" s="81"/>
      <c r="AD155" s="81"/>
      <c r="AE155" s="81"/>
      <c r="AF155" s="81"/>
    </row>
    <row r="156" spans="1:113" s="101" customFormat="1" ht="12.75" x14ac:dyDescent="0.2">
      <c r="A156" s="54" t="s">
        <v>12</v>
      </c>
      <c r="B156" s="373"/>
      <c r="C156" s="81"/>
      <c r="D156" s="550"/>
      <c r="E156" s="550"/>
      <c r="F156" s="550"/>
      <c r="G156" s="141"/>
      <c r="H156" s="81"/>
      <c r="I156" s="81"/>
      <c r="J156" s="81"/>
      <c r="K156" s="81"/>
      <c r="L156" s="81"/>
      <c r="M156" s="81"/>
      <c r="N156" s="81"/>
      <c r="O156" s="81"/>
      <c r="P156" s="81"/>
      <c r="Q156" s="81"/>
      <c r="R156" s="81"/>
      <c r="S156" s="81"/>
      <c r="T156" s="81"/>
      <c r="U156" s="81"/>
      <c r="V156" s="81"/>
      <c r="W156" s="81"/>
      <c r="X156" s="81"/>
      <c r="Y156" s="81"/>
      <c r="Z156" s="81"/>
      <c r="AA156" s="81"/>
      <c r="AB156" s="81"/>
      <c r="AC156" s="81"/>
      <c r="AD156" s="81"/>
      <c r="AE156" s="81"/>
      <c r="AF156" s="81"/>
    </row>
    <row r="157" spans="1:113" s="101" customFormat="1" ht="12.75" x14ac:dyDescent="0.2">
      <c r="A157" s="81"/>
      <c r="B157" s="81" t="s">
        <v>20</v>
      </c>
      <c r="C157" s="81"/>
      <c r="D157" s="550"/>
      <c r="E157" s="550"/>
      <c r="F157" s="550"/>
      <c r="G157" s="81">
        <v>2010</v>
      </c>
      <c r="H157" s="81">
        <v>2011</v>
      </c>
      <c r="I157" s="81">
        <v>2012</v>
      </c>
      <c r="J157" s="81">
        <v>2013</v>
      </c>
      <c r="K157" s="81">
        <v>2014</v>
      </c>
      <c r="L157" s="81">
        <v>2015</v>
      </c>
      <c r="M157" s="81">
        <v>2016</v>
      </c>
      <c r="N157" s="81">
        <v>2017</v>
      </c>
      <c r="O157" s="81">
        <v>2018</v>
      </c>
      <c r="P157" s="81">
        <v>2019</v>
      </c>
      <c r="Q157" s="81">
        <v>2020</v>
      </c>
      <c r="R157" s="81">
        <v>2021</v>
      </c>
      <c r="S157" s="81">
        <v>2022</v>
      </c>
      <c r="T157" s="81">
        <v>2023</v>
      </c>
      <c r="U157" s="81">
        <v>2024</v>
      </c>
      <c r="V157" s="81">
        <v>2025</v>
      </c>
      <c r="W157" s="81">
        <v>2026</v>
      </c>
      <c r="X157" s="81">
        <v>2027</v>
      </c>
      <c r="Y157" s="81">
        <v>2028</v>
      </c>
      <c r="Z157" s="81">
        <v>2029</v>
      </c>
      <c r="AA157" s="81">
        <v>2030</v>
      </c>
      <c r="AB157" s="81">
        <v>2031</v>
      </c>
      <c r="AC157" s="81">
        <v>2032</v>
      </c>
      <c r="AD157" s="81">
        <v>2033</v>
      </c>
      <c r="AE157" s="81">
        <v>2034</v>
      </c>
      <c r="AF157" s="81">
        <v>2035</v>
      </c>
    </row>
    <row r="158" spans="1:113" s="101" customFormat="1" ht="12.75" x14ac:dyDescent="0.2">
      <c r="A158" s="12" t="s">
        <v>21</v>
      </c>
      <c r="B158" s="30"/>
      <c r="C158" s="57"/>
      <c r="D158" s="501"/>
      <c r="E158" s="501"/>
      <c r="F158" s="501"/>
      <c r="G158" s="191"/>
      <c r="H158" s="57"/>
      <c r="I158" s="57"/>
      <c r="J158" s="57"/>
      <c r="K158" s="57"/>
      <c r="L158" s="57"/>
      <c r="M158" s="57"/>
      <c r="N158" s="57"/>
      <c r="O158" s="57"/>
      <c r="P158" s="57"/>
      <c r="Q158" s="57"/>
      <c r="R158" s="57"/>
      <c r="S158" s="57"/>
      <c r="T158" s="57"/>
      <c r="U158" s="57"/>
      <c r="V158" s="57"/>
      <c r="W158" s="57"/>
      <c r="X158" s="57"/>
      <c r="Y158" s="57"/>
      <c r="Z158" s="57"/>
      <c r="AA158" s="57"/>
      <c r="AB158" s="57"/>
      <c r="AC158" s="57"/>
      <c r="AD158" s="57"/>
      <c r="AE158" s="57"/>
      <c r="AF158" s="57"/>
    </row>
    <row r="159" spans="1:113" s="101" customFormat="1" ht="12.75" x14ac:dyDescent="0.2">
      <c r="A159" s="81"/>
      <c r="B159" s="81" t="s">
        <v>22</v>
      </c>
      <c r="C159" s="81"/>
      <c r="D159" s="550"/>
      <c r="E159" s="550"/>
      <c r="F159" s="550"/>
      <c r="G159" s="373">
        <f t="array" ref="G159">IF(G$157=Misc_Inputs!$D$6,$G83,IF(SUM(IF($G$157:$AF$157&gt;=ROUND(IF((G$157-Sys_Repl_Rate!G117)&lt;Tech_Specs!$C9,Tech_Specs!$C9,(G$157-Sys_Repl_Rate!G117)),0),IF($G$157:$AF$157&lt;=G$157,IF(Tech_Specs!$K9="lamp",System_Mkt_Repl!$F335:$AE335+System_Mkt_NC!$G335:$AF335,Lamp_Mkt_Repl!$G45:$AF45+System_Mkt_NC!$G335:$AF335))))=0,0,SUMPRODUCT(IF($G$157:$AF$157&gt;=ROUND(IF((G$157-Sys_Repl_Rate!G117)&lt;Tech_Specs!$C9,Tech_Specs!$C9,(G$157-Sys_Repl_Rate!G117)),0),IF($G$157:$AF$157&lt;=G$157,$G83:$AF83)),IF(Tech_Specs!$K9="lamp",System_Mkt_Repl!$F335:$AE335+System_Mkt_NC!$G335:$AF335,Lamp_Mkt_Repl!$G45:$AF45+System_Mkt_NC!$G335:$AF335))/SUM(IF($G$157:$AF$157&gt;=ROUND(IF((G$157-Sys_Repl_Rate!G117)&lt;Tech_Specs!$C9,Tech_Specs!$C9,(G$157-Sys_Repl_Rate!G117)),0),IF($G$157:$AF$157&lt;=G$157,IF(Tech_Specs!$K9="lamp",System_Mkt_Repl!$F335:$AE335+System_Mkt_NC!$G335:$AF335,Lamp_Mkt_Repl!$G45:$AF45+System_Mkt_NC!$G335:$AF335))))))</f>
        <v>12.9</v>
      </c>
      <c r="H159" s="373">
        <f t="array" aca="1" ref="H159" ca="1">IF(H$157=Misc_Inputs!$D$6,$G83,IF(SUM(IF($G$157:$AF$157&gt;=ROUND(IF((H$157-Sys_Repl_Rate!H117)&lt;Tech_Specs!$C9,Tech_Specs!$C9,(H$157-Sys_Repl_Rate!H117)),0),IF($G$157:$AF$157&lt;=H$157,IF(Tech_Specs!$K9="lamp",System_Mkt_Repl!$F335:$AE335+System_Mkt_NC!$G335:$AF335,Lamp_Mkt_Repl!$G45:$AF45+System_Mkt_NC!$G335:$AF335))))=0,0,SUMPRODUCT(IF($G$157:$AF$157&gt;=ROUND(IF((H$157-Sys_Repl_Rate!H117)&lt;Tech_Specs!$C9,Tech_Specs!$C9,(H$157-Sys_Repl_Rate!H117)),0),IF($G$157:$AF$157&lt;=H$157,$G83:$AF83)),IF(Tech_Specs!$K9="lamp",System_Mkt_Repl!$F335:$AE335+System_Mkt_NC!$G335:$AF335,Lamp_Mkt_Repl!$G45:$AF45+System_Mkt_NC!$G335:$AF335))/SUM(IF($G$157:$AF$157&gt;=ROUND(IF((H$157-Sys_Repl_Rate!H117)&lt;Tech_Specs!$C9,Tech_Specs!$C9,(H$157-Sys_Repl_Rate!H117)),0),IF($G$157:$AF$157&lt;=H$157,IF(Tech_Specs!$K9="lamp",System_Mkt_Repl!$F335:$AE335+System_Mkt_NC!$G335:$AF335,Lamp_Mkt_Repl!$G45:$AF45+System_Mkt_NC!$G335:$AF335))))))</f>
        <v>12.9</v>
      </c>
      <c r="I159" s="373">
        <f t="array" aca="1" ref="I159" ca="1">IF(I$157=Misc_Inputs!$D$6,$G83,IF(SUM(IF($G$157:$AF$157&gt;=ROUND(IF((I$157-Sys_Repl_Rate!I117)&lt;Tech_Specs!$C9,Tech_Specs!$C9,(I$157-Sys_Repl_Rate!I117)),0),IF($G$157:$AF$157&lt;=I$157,IF(Tech_Specs!$K9="lamp",System_Mkt_Repl!$F335:$AE335+System_Mkt_NC!$G335:$AF335,Lamp_Mkt_Repl!$G45:$AF45+System_Mkt_NC!$G335:$AF335))))=0,0,SUMPRODUCT(IF($G$157:$AF$157&gt;=ROUND(IF((I$157-Sys_Repl_Rate!I117)&lt;Tech_Specs!$C9,Tech_Specs!$C9,(I$157-Sys_Repl_Rate!I117)),0),IF($G$157:$AF$157&lt;=I$157,$G83:$AF83)),IF(Tech_Specs!$K9="lamp",System_Mkt_Repl!$F335:$AE335+System_Mkt_NC!$G335:$AF335,Lamp_Mkt_Repl!$G45:$AF45+System_Mkt_NC!$G335:$AF335))/SUM(IF($G$157:$AF$157&gt;=ROUND(IF((I$157-Sys_Repl_Rate!I117)&lt;Tech_Specs!$C9,Tech_Specs!$C9,(I$157-Sys_Repl_Rate!I117)),0),IF($G$157:$AF$157&lt;=I$157,IF(Tech_Specs!$K9="lamp",System_Mkt_Repl!$F335:$AE335+System_Mkt_NC!$G335:$AF335,Lamp_Mkt_Repl!$G45:$AF45+System_Mkt_NC!$G335:$AF335))))))</f>
        <v>12.9</v>
      </c>
      <c r="J159" s="373">
        <f t="array" aca="1" ref="J159" ca="1">IF(J$157=Misc_Inputs!$D$6,$G83,IF(SUM(IF($G$157:$AF$157&gt;=ROUND(IF((J$157-Sys_Repl_Rate!J117)&lt;Tech_Specs!$C9,Tech_Specs!$C9,(J$157-Sys_Repl_Rate!J117)),0),IF($G$157:$AF$157&lt;=J$157,IF(Tech_Specs!$K9="lamp",System_Mkt_Repl!$F335:$AE335+System_Mkt_NC!$G335:$AF335,Lamp_Mkt_Repl!$G45:$AF45+System_Mkt_NC!$G335:$AF335))))=0,0,SUMPRODUCT(IF($G$157:$AF$157&gt;=ROUND(IF((J$157-Sys_Repl_Rate!J117)&lt;Tech_Specs!$C9,Tech_Specs!$C9,(J$157-Sys_Repl_Rate!J117)),0),IF($G$157:$AF$157&lt;=J$157,$G83:$AF83)),IF(Tech_Specs!$K9="lamp",System_Mkt_Repl!$F335:$AE335+System_Mkt_NC!$G335:$AF335,Lamp_Mkt_Repl!$G45:$AF45+System_Mkt_NC!$G335:$AF335))/SUM(IF($G$157:$AF$157&gt;=ROUND(IF((J$157-Sys_Repl_Rate!J117)&lt;Tech_Specs!$C9,Tech_Specs!$C9,(J$157-Sys_Repl_Rate!J117)),0),IF($G$157:$AF$157&lt;=J$157,IF(Tech_Specs!$K9="lamp",System_Mkt_Repl!$F335:$AE335+System_Mkt_NC!$G335:$AF335,Lamp_Mkt_Repl!$G45:$AF45+System_Mkt_NC!$G335:$AF335))))))</f>
        <v>12.899999999999999</v>
      </c>
      <c r="K159" s="373">
        <f t="array" aca="1" ref="K159" ca="1">IF(K$157=Misc_Inputs!$D$6,$G83,IF(SUM(IF($G$157:$AF$157&gt;=ROUND(IF((K$157-Sys_Repl_Rate!K117)&lt;Tech_Specs!$C9,Tech_Specs!$C9,(K$157-Sys_Repl_Rate!K117)),0),IF($G$157:$AF$157&lt;=K$157,IF(Tech_Specs!$K9="lamp",System_Mkt_Repl!$F335:$AE335+System_Mkt_NC!$G335:$AF335,Lamp_Mkt_Repl!$G45:$AF45+System_Mkt_NC!$G335:$AF335))))=0,0,SUMPRODUCT(IF($G$157:$AF$157&gt;=ROUND(IF((K$157-Sys_Repl_Rate!K117)&lt;Tech_Specs!$C9,Tech_Specs!$C9,(K$157-Sys_Repl_Rate!K117)),0),IF($G$157:$AF$157&lt;=K$157,$G83:$AF83)),IF(Tech_Specs!$K9="lamp",System_Mkt_Repl!$F335:$AE335+System_Mkt_NC!$G335:$AF335,Lamp_Mkt_Repl!$G45:$AF45+System_Mkt_NC!$G335:$AF335))/SUM(IF($G$157:$AF$157&gt;=ROUND(IF((K$157-Sys_Repl_Rate!K117)&lt;Tech_Specs!$C9,Tech_Specs!$C9,(K$157-Sys_Repl_Rate!K117)),0),IF($G$157:$AF$157&lt;=K$157,IF(Tech_Specs!$K9="lamp",System_Mkt_Repl!$F335:$AE335+System_Mkt_NC!$G335:$AF335,Lamp_Mkt_Repl!$G45:$AF45+System_Mkt_NC!$G335:$AF335))))))</f>
        <v>12.900000000000002</v>
      </c>
      <c r="L159" s="373">
        <f t="array" aca="1" ref="L159" ca="1">IF(L$157=Misc_Inputs!$D$6,$G83,IF(SUM(IF($G$157:$AF$157&gt;=ROUND(IF((L$157-Sys_Repl_Rate!L117)&lt;Tech_Specs!$C9,Tech_Specs!$C9,(L$157-Sys_Repl_Rate!L117)),0),IF($G$157:$AF$157&lt;=L$157,IF(Tech_Specs!$K9="lamp",System_Mkt_Repl!$F335:$AE335+System_Mkt_NC!$G335:$AF335,Lamp_Mkt_Repl!$G45:$AF45+System_Mkt_NC!$G335:$AF335))))=0,0,SUMPRODUCT(IF($G$157:$AF$157&gt;=ROUND(IF((L$157-Sys_Repl_Rate!L117)&lt;Tech_Specs!$C9,Tech_Specs!$C9,(L$157-Sys_Repl_Rate!L117)),0),IF($G$157:$AF$157&lt;=L$157,$G83:$AF83)),IF(Tech_Specs!$K9="lamp",System_Mkt_Repl!$F335:$AE335+System_Mkt_NC!$G335:$AF335,Lamp_Mkt_Repl!$G45:$AF45+System_Mkt_NC!$G335:$AF335))/SUM(IF($G$157:$AF$157&gt;=ROUND(IF((L$157-Sys_Repl_Rate!L117)&lt;Tech_Specs!$C9,Tech_Specs!$C9,(L$157-Sys_Repl_Rate!L117)),0),IF($G$157:$AF$157&lt;=L$157,IF(Tech_Specs!$K9="lamp",System_Mkt_Repl!$F335:$AE335+System_Mkt_NC!$G335:$AF335,Lamp_Mkt_Repl!$G45:$AF45+System_Mkt_NC!$G335:$AF335))))))</f>
        <v>12.9</v>
      </c>
      <c r="M159" s="373">
        <f t="array" aca="1" ref="M159" ca="1">IF(M$157=Misc_Inputs!$D$6,$G83,IF(SUM(IF($G$157:$AF$157&gt;=ROUND(IF((M$157-Sys_Repl_Rate!M117)&lt;Tech_Specs!$C9,Tech_Specs!$C9,(M$157-Sys_Repl_Rate!M117)),0),IF($G$157:$AF$157&lt;=M$157,IF(Tech_Specs!$K9="lamp",System_Mkt_Repl!$F335:$AE335+System_Mkt_NC!$G335:$AF335,Lamp_Mkt_Repl!$G45:$AF45+System_Mkt_NC!$G335:$AF335))))=0,0,SUMPRODUCT(IF($G$157:$AF$157&gt;=ROUND(IF((M$157-Sys_Repl_Rate!M117)&lt;Tech_Specs!$C9,Tech_Specs!$C9,(M$157-Sys_Repl_Rate!M117)),0),IF($G$157:$AF$157&lt;=M$157,$G83:$AF83)),IF(Tech_Specs!$K9="lamp",System_Mkt_Repl!$F335:$AE335+System_Mkt_NC!$G335:$AF335,Lamp_Mkt_Repl!$G45:$AF45+System_Mkt_NC!$G335:$AF335))/SUM(IF($G$157:$AF$157&gt;=ROUND(IF((M$157-Sys_Repl_Rate!M117)&lt;Tech_Specs!$C9,Tech_Specs!$C9,(M$157-Sys_Repl_Rate!M117)),0),IF($G$157:$AF$157&lt;=M$157,IF(Tech_Specs!$K9="lamp",System_Mkt_Repl!$F335:$AE335+System_Mkt_NC!$G335:$AF335,Lamp_Mkt_Repl!$G45:$AF45+System_Mkt_NC!$G335:$AF335))))))</f>
        <v>12.9</v>
      </c>
      <c r="N159" s="373">
        <f t="array" aca="1" ref="N159" ca="1">IF(N$157=Misc_Inputs!$D$6,$G83,IF(SUM(IF($G$157:$AF$157&gt;=ROUND(IF((N$157-Sys_Repl_Rate!N117)&lt;Tech_Specs!$C9,Tech_Specs!$C9,(N$157-Sys_Repl_Rate!N117)),0),IF($G$157:$AF$157&lt;=N$157,IF(Tech_Specs!$K9="lamp",System_Mkt_Repl!$F335:$AE335+System_Mkt_NC!$G335:$AF335,Lamp_Mkt_Repl!$G45:$AF45+System_Mkt_NC!$G335:$AF335))))=0,0,SUMPRODUCT(IF($G$157:$AF$157&gt;=ROUND(IF((N$157-Sys_Repl_Rate!N117)&lt;Tech_Specs!$C9,Tech_Specs!$C9,(N$157-Sys_Repl_Rate!N117)),0),IF($G$157:$AF$157&lt;=N$157,$G83:$AF83)),IF(Tech_Specs!$K9="lamp",System_Mkt_Repl!$F335:$AE335+System_Mkt_NC!$G335:$AF335,Lamp_Mkt_Repl!$G45:$AF45+System_Mkt_NC!$G335:$AF335))/SUM(IF($G$157:$AF$157&gt;=ROUND(IF((N$157-Sys_Repl_Rate!N117)&lt;Tech_Specs!$C9,Tech_Specs!$C9,(N$157-Sys_Repl_Rate!N117)),0),IF($G$157:$AF$157&lt;=N$157,IF(Tech_Specs!$K9="lamp",System_Mkt_Repl!$F335:$AE335+System_Mkt_NC!$G335:$AF335,Lamp_Mkt_Repl!$G45:$AF45+System_Mkt_NC!$G335:$AF335))))))</f>
        <v>12.9</v>
      </c>
      <c r="O159" s="373">
        <f t="array" aca="1" ref="O159" ca="1">IF(O$157=Misc_Inputs!$D$6,$G83,IF(SUM(IF($G$157:$AF$157&gt;=ROUND(IF((O$157-Sys_Repl_Rate!O117)&lt;Tech_Specs!$C9,Tech_Specs!$C9,(O$157-Sys_Repl_Rate!O117)),0),IF($G$157:$AF$157&lt;=O$157,IF(Tech_Specs!$K9="lamp",System_Mkt_Repl!$F335:$AE335+System_Mkt_NC!$G335:$AF335,Lamp_Mkt_Repl!$G45:$AF45+System_Mkt_NC!$G335:$AF335))))=0,0,SUMPRODUCT(IF($G$157:$AF$157&gt;=ROUND(IF((O$157-Sys_Repl_Rate!O117)&lt;Tech_Specs!$C9,Tech_Specs!$C9,(O$157-Sys_Repl_Rate!O117)),0),IF($G$157:$AF$157&lt;=O$157,$G83:$AF83)),IF(Tech_Specs!$K9="lamp",System_Mkt_Repl!$F335:$AE335+System_Mkt_NC!$G335:$AF335,Lamp_Mkt_Repl!$G45:$AF45+System_Mkt_NC!$G335:$AF335))/SUM(IF($G$157:$AF$157&gt;=ROUND(IF((O$157-Sys_Repl_Rate!O117)&lt;Tech_Specs!$C9,Tech_Specs!$C9,(O$157-Sys_Repl_Rate!O117)),0),IF($G$157:$AF$157&lt;=O$157,IF(Tech_Specs!$K9="lamp",System_Mkt_Repl!$F335:$AE335+System_Mkt_NC!$G335:$AF335,Lamp_Mkt_Repl!$G45:$AF45+System_Mkt_NC!$G335:$AF335))))))</f>
        <v>12.9</v>
      </c>
      <c r="P159" s="373">
        <f t="array" aca="1" ref="P159" ca="1">IF(P$157=Misc_Inputs!$D$6,$G83,IF(SUM(IF($G$157:$AF$157&gt;=ROUND(IF((P$157-Sys_Repl_Rate!P117)&lt;Tech_Specs!$C9,Tech_Specs!$C9,(P$157-Sys_Repl_Rate!P117)),0),IF($G$157:$AF$157&lt;=P$157,IF(Tech_Specs!$K9="lamp",System_Mkt_Repl!$F335:$AE335+System_Mkt_NC!$G335:$AF335,Lamp_Mkt_Repl!$G45:$AF45+System_Mkt_NC!$G335:$AF335))))=0,0,SUMPRODUCT(IF($G$157:$AF$157&gt;=ROUND(IF((P$157-Sys_Repl_Rate!P117)&lt;Tech_Specs!$C9,Tech_Specs!$C9,(P$157-Sys_Repl_Rate!P117)),0),IF($G$157:$AF$157&lt;=P$157,$G83:$AF83)),IF(Tech_Specs!$K9="lamp",System_Mkt_Repl!$F335:$AE335+System_Mkt_NC!$G335:$AF335,Lamp_Mkt_Repl!$G45:$AF45+System_Mkt_NC!$G335:$AF335))/SUM(IF($G$157:$AF$157&gt;=ROUND(IF((P$157-Sys_Repl_Rate!P117)&lt;Tech_Specs!$C9,Tech_Specs!$C9,(P$157-Sys_Repl_Rate!P117)),0),IF($G$157:$AF$157&lt;=P$157,IF(Tech_Specs!$K9="lamp",System_Mkt_Repl!$F335:$AE335+System_Mkt_NC!$G335:$AF335,Lamp_Mkt_Repl!$G45:$AF45+System_Mkt_NC!$G335:$AF335))))))</f>
        <v>12.900000000000002</v>
      </c>
      <c r="Q159" s="373">
        <f t="array" aca="1" ref="Q159" ca="1">IF(Q$157=Misc_Inputs!$D$6,$G83,IF(SUM(IF($G$157:$AF$157&gt;=ROUND(IF((Q$157-Sys_Repl_Rate!Q117)&lt;Tech_Specs!$C9,Tech_Specs!$C9,(Q$157-Sys_Repl_Rate!Q117)),0),IF($G$157:$AF$157&lt;=Q$157,IF(Tech_Specs!$K9="lamp",System_Mkt_Repl!$F335:$AE335+System_Mkt_NC!$G335:$AF335,Lamp_Mkt_Repl!$G45:$AF45+System_Mkt_NC!$G335:$AF335))))=0,0,SUMPRODUCT(IF($G$157:$AF$157&gt;=ROUND(IF((Q$157-Sys_Repl_Rate!Q117)&lt;Tech_Specs!$C9,Tech_Specs!$C9,(Q$157-Sys_Repl_Rate!Q117)),0),IF($G$157:$AF$157&lt;=Q$157,$G83:$AF83)),IF(Tech_Specs!$K9="lamp",System_Mkt_Repl!$F335:$AE335+System_Mkt_NC!$G335:$AF335,Lamp_Mkt_Repl!$G45:$AF45+System_Mkt_NC!$G335:$AF335))/SUM(IF($G$157:$AF$157&gt;=ROUND(IF((Q$157-Sys_Repl_Rate!Q117)&lt;Tech_Specs!$C9,Tech_Specs!$C9,(Q$157-Sys_Repl_Rate!Q117)),0),IF($G$157:$AF$157&lt;=Q$157,IF(Tech_Specs!$K9="lamp",System_Mkt_Repl!$F335:$AE335+System_Mkt_NC!$G335:$AF335,Lamp_Mkt_Repl!$G45:$AF45+System_Mkt_NC!$G335:$AF335))))))</f>
        <v>12.9</v>
      </c>
      <c r="R159" s="373">
        <f t="array" aca="1" ref="R159" ca="1">IF(R$157=Misc_Inputs!$D$6,$G83,IF(SUM(IF($G$157:$AF$157&gt;=ROUND(IF((R$157-Sys_Repl_Rate!R117)&lt;Tech_Specs!$C9,Tech_Specs!$C9,(R$157-Sys_Repl_Rate!R117)),0),IF($G$157:$AF$157&lt;=R$157,IF(Tech_Specs!$K9="lamp",System_Mkt_Repl!$F335:$AE335+System_Mkt_NC!$G335:$AF335,Lamp_Mkt_Repl!$G45:$AF45+System_Mkt_NC!$G335:$AF335))))=0,0,SUMPRODUCT(IF($G$157:$AF$157&gt;=ROUND(IF((R$157-Sys_Repl_Rate!R117)&lt;Tech_Specs!$C9,Tech_Specs!$C9,(R$157-Sys_Repl_Rate!R117)),0),IF($G$157:$AF$157&lt;=R$157,$G83:$AF83)),IF(Tech_Specs!$K9="lamp",System_Mkt_Repl!$F335:$AE335+System_Mkt_NC!$G335:$AF335,Lamp_Mkt_Repl!$G45:$AF45+System_Mkt_NC!$G335:$AF335))/SUM(IF($G$157:$AF$157&gt;=ROUND(IF((R$157-Sys_Repl_Rate!R117)&lt;Tech_Specs!$C9,Tech_Specs!$C9,(R$157-Sys_Repl_Rate!R117)),0),IF($G$157:$AF$157&lt;=R$157,IF(Tech_Specs!$K9="lamp",System_Mkt_Repl!$F335:$AE335+System_Mkt_NC!$G335:$AF335,Lamp_Mkt_Repl!$G45:$AF45+System_Mkt_NC!$G335:$AF335))))))</f>
        <v>12.899999999999999</v>
      </c>
      <c r="S159" s="373">
        <f t="array" aca="1" ref="S159" ca="1">IF(S$157=Misc_Inputs!$D$6,$G83,IF(SUM(IF($G$157:$AF$157&gt;=ROUND(IF((S$157-Sys_Repl_Rate!S117)&lt;Tech_Specs!$C9,Tech_Specs!$C9,(S$157-Sys_Repl_Rate!S117)),0),IF($G$157:$AF$157&lt;=S$157,IF(Tech_Specs!$K9="lamp",System_Mkt_Repl!$F335:$AE335+System_Mkt_NC!$G335:$AF335,Lamp_Mkt_Repl!$G45:$AF45+System_Mkt_NC!$G335:$AF335))))=0,0,SUMPRODUCT(IF($G$157:$AF$157&gt;=ROUND(IF((S$157-Sys_Repl_Rate!S117)&lt;Tech_Specs!$C9,Tech_Specs!$C9,(S$157-Sys_Repl_Rate!S117)),0),IF($G$157:$AF$157&lt;=S$157,$G83:$AF83)),IF(Tech_Specs!$K9="lamp",System_Mkt_Repl!$F335:$AE335+System_Mkt_NC!$G335:$AF335,Lamp_Mkt_Repl!$G45:$AF45+System_Mkt_NC!$G335:$AF335))/SUM(IF($G$157:$AF$157&gt;=ROUND(IF((S$157-Sys_Repl_Rate!S117)&lt;Tech_Specs!$C9,Tech_Specs!$C9,(S$157-Sys_Repl_Rate!S117)),0),IF($G$157:$AF$157&lt;=S$157,IF(Tech_Specs!$K9="lamp",System_Mkt_Repl!$F335:$AE335+System_Mkt_NC!$G335:$AF335,Lamp_Mkt_Repl!$G45:$AF45+System_Mkt_NC!$G335:$AF335))))))</f>
        <v>12.9</v>
      </c>
      <c r="T159" s="373">
        <f t="array" aca="1" ref="T159" ca="1">IF(T$157=Misc_Inputs!$D$6,$G83,IF(SUM(IF($G$157:$AF$157&gt;=ROUND(IF((T$157-Sys_Repl_Rate!T117)&lt;Tech_Specs!$C9,Tech_Specs!$C9,(T$157-Sys_Repl_Rate!T117)),0),IF($G$157:$AF$157&lt;=T$157,IF(Tech_Specs!$K9="lamp",System_Mkt_Repl!$F335:$AE335+System_Mkt_NC!$G335:$AF335,Lamp_Mkt_Repl!$G45:$AF45+System_Mkt_NC!$G335:$AF335))))=0,0,SUMPRODUCT(IF($G$157:$AF$157&gt;=ROUND(IF((T$157-Sys_Repl_Rate!T117)&lt;Tech_Specs!$C9,Tech_Specs!$C9,(T$157-Sys_Repl_Rate!T117)),0),IF($G$157:$AF$157&lt;=T$157,$G83:$AF83)),IF(Tech_Specs!$K9="lamp",System_Mkt_Repl!$F335:$AE335+System_Mkt_NC!$G335:$AF335,Lamp_Mkt_Repl!$G45:$AF45+System_Mkt_NC!$G335:$AF335))/SUM(IF($G$157:$AF$157&gt;=ROUND(IF((T$157-Sys_Repl_Rate!T117)&lt;Tech_Specs!$C9,Tech_Specs!$C9,(T$157-Sys_Repl_Rate!T117)),0),IF($G$157:$AF$157&lt;=T$157,IF(Tech_Specs!$K9="lamp",System_Mkt_Repl!$F335:$AE335+System_Mkt_NC!$G335:$AF335,Lamp_Mkt_Repl!$G45:$AF45+System_Mkt_NC!$G335:$AF335))))))</f>
        <v>12.9</v>
      </c>
      <c r="U159" s="373">
        <f t="array" aca="1" ref="U159" ca="1">IF(U$157=Misc_Inputs!$D$6,$G83,IF(SUM(IF($G$157:$AF$157&gt;=ROUND(IF((U$157-Sys_Repl_Rate!U117)&lt;Tech_Specs!$C9,Tech_Specs!$C9,(U$157-Sys_Repl_Rate!U117)),0),IF($G$157:$AF$157&lt;=U$157,IF(Tech_Specs!$K9="lamp",System_Mkt_Repl!$F335:$AE335+System_Mkt_NC!$G335:$AF335,Lamp_Mkt_Repl!$G45:$AF45+System_Mkt_NC!$G335:$AF335))))=0,0,SUMPRODUCT(IF($G$157:$AF$157&gt;=ROUND(IF((U$157-Sys_Repl_Rate!U117)&lt;Tech_Specs!$C9,Tech_Specs!$C9,(U$157-Sys_Repl_Rate!U117)),0),IF($G$157:$AF$157&lt;=U$157,$G83:$AF83)),IF(Tech_Specs!$K9="lamp",System_Mkt_Repl!$F335:$AE335+System_Mkt_NC!$G335:$AF335,Lamp_Mkt_Repl!$G45:$AF45+System_Mkt_NC!$G335:$AF335))/SUM(IF($G$157:$AF$157&gt;=ROUND(IF((U$157-Sys_Repl_Rate!U117)&lt;Tech_Specs!$C9,Tech_Specs!$C9,(U$157-Sys_Repl_Rate!U117)),0),IF($G$157:$AF$157&lt;=U$157,IF(Tech_Specs!$K9="lamp",System_Mkt_Repl!$F335:$AE335+System_Mkt_NC!$G335:$AF335,Lamp_Mkt_Repl!$G45:$AF45+System_Mkt_NC!$G335:$AF335))))))</f>
        <v>12.9</v>
      </c>
      <c r="V159" s="373">
        <f t="array" aca="1" ref="V159" ca="1">IF(V$157=Misc_Inputs!$D$6,$G83,IF(SUM(IF($G$157:$AF$157&gt;=ROUND(IF((V$157-Sys_Repl_Rate!V117)&lt;Tech_Specs!$C9,Tech_Specs!$C9,(V$157-Sys_Repl_Rate!V117)),0),IF($G$157:$AF$157&lt;=V$157,IF(Tech_Specs!$K9="lamp",System_Mkt_Repl!$F335:$AE335+System_Mkt_NC!$G335:$AF335,Lamp_Mkt_Repl!$G45:$AF45+System_Mkt_NC!$G335:$AF335))))=0,0,SUMPRODUCT(IF($G$157:$AF$157&gt;=ROUND(IF((V$157-Sys_Repl_Rate!V117)&lt;Tech_Specs!$C9,Tech_Specs!$C9,(V$157-Sys_Repl_Rate!V117)),0),IF($G$157:$AF$157&lt;=V$157,$G83:$AF83)),IF(Tech_Specs!$K9="lamp",System_Mkt_Repl!$F335:$AE335+System_Mkt_NC!$G335:$AF335,Lamp_Mkt_Repl!$G45:$AF45+System_Mkt_NC!$G335:$AF335))/SUM(IF($G$157:$AF$157&gt;=ROUND(IF((V$157-Sys_Repl_Rate!V117)&lt;Tech_Specs!$C9,Tech_Specs!$C9,(V$157-Sys_Repl_Rate!V117)),0),IF($G$157:$AF$157&lt;=V$157,IF(Tech_Specs!$K9="lamp",System_Mkt_Repl!$F335:$AE335+System_Mkt_NC!$G335:$AF335,Lamp_Mkt_Repl!$G45:$AF45+System_Mkt_NC!$G335:$AF335))))))</f>
        <v>12.9</v>
      </c>
      <c r="W159" s="373">
        <f t="array" aca="1" ref="W159" ca="1">IF(W$157=Misc_Inputs!$D$6,$G83,IF(SUM(IF($G$157:$AF$157&gt;=ROUND(IF((W$157-Sys_Repl_Rate!W117)&lt;Tech_Specs!$C9,Tech_Specs!$C9,(W$157-Sys_Repl_Rate!W117)),0),IF($G$157:$AF$157&lt;=W$157,IF(Tech_Specs!$K9="lamp",System_Mkt_Repl!$F335:$AE335+System_Mkt_NC!$G335:$AF335,Lamp_Mkt_Repl!$G45:$AF45+System_Mkt_NC!$G335:$AF335))))=0,0,SUMPRODUCT(IF($G$157:$AF$157&gt;=ROUND(IF((W$157-Sys_Repl_Rate!W117)&lt;Tech_Specs!$C9,Tech_Specs!$C9,(W$157-Sys_Repl_Rate!W117)),0),IF($G$157:$AF$157&lt;=W$157,$G83:$AF83)),IF(Tech_Specs!$K9="lamp",System_Mkt_Repl!$F335:$AE335+System_Mkt_NC!$G335:$AF335,Lamp_Mkt_Repl!$G45:$AF45+System_Mkt_NC!$G335:$AF335))/SUM(IF($G$157:$AF$157&gt;=ROUND(IF((W$157-Sys_Repl_Rate!W117)&lt;Tech_Specs!$C9,Tech_Specs!$C9,(W$157-Sys_Repl_Rate!W117)),0),IF($G$157:$AF$157&lt;=W$157,IF(Tech_Specs!$K9="lamp",System_Mkt_Repl!$F335:$AE335+System_Mkt_NC!$G335:$AF335,Lamp_Mkt_Repl!$G45:$AF45+System_Mkt_NC!$G335:$AF335))))))</f>
        <v>12.900000000000002</v>
      </c>
      <c r="X159" s="373">
        <f t="array" aca="1" ref="X159" ca="1">IF(X$157=Misc_Inputs!$D$6,$G83,IF(SUM(IF($G$157:$AF$157&gt;=ROUND(IF((X$157-Sys_Repl_Rate!X117)&lt;Tech_Specs!$C9,Tech_Specs!$C9,(X$157-Sys_Repl_Rate!X117)),0),IF($G$157:$AF$157&lt;=X$157,IF(Tech_Specs!$K9="lamp",System_Mkt_Repl!$F335:$AE335+System_Mkt_NC!$G335:$AF335,Lamp_Mkt_Repl!$G45:$AF45+System_Mkt_NC!$G335:$AF335))))=0,0,SUMPRODUCT(IF($G$157:$AF$157&gt;=ROUND(IF((X$157-Sys_Repl_Rate!X117)&lt;Tech_Specs!$C9,Tech_Specs!$C9,(X$157-Sys_Repl_Rate!X117)),0),IF($G$157:$AF$157&lt;=X$157,$G83:$AF83)),IF(Tech_Specs!$K9="lamp",System_Mkt_Repl!$F335:$AE335+System_Mkt_NC!$G335:$AF335,Lamp_Mkt_Repl!$G45:$AF45+System_Mkt_NC!$G335:$AF335))/SUM(IF($G$157:$AF$157&gt;=ROUND(IF((X$157-Sys_Repl_Rate!X117)&lt;Tech_Specs!$C9,Tech_Specs!$C9,(X$157-Sys_Repl_Rate!X117)),0),IF($G$157:$AF$157&lt;=X$157,IF(Tech_Specs!$K9="lamp",System_Mkt_Repl!$F335:$AE335+System_Mkt_NC!$G335:$AF335,Lamp_Mkt_Repl!$G45:$AF45+System_Mkt_NC!$G335:$AF335))))))</f>
        <v>12.9</v>
      </c>
      <c r="Y159" s="373">
        <f t="array" aca="1" ref="Y159" ca="1">IF(Y$157=Misc_Inputs!$D$6,$G83,IF(SUM(IF($G$157:$AF$157&gt;=ROUND(IF((Y$157-Sys_Repl_Rate!Y117)&lt;Tech_Specs!$C9,Tech_Specs!$C9,(Y$157-Sys_Repl_Rate!Y117)),0),IF($G$157:$AF$157&lt;=Y$157,IF(Tech_Specs!$K9="lamp",System_Mkt_Repl!$F335:$AE335+System_Mkt_NC!$G335:$AF335,Lamp_Mkt_Repl!$G45:$AF45+System_Mkt_NC!$G335:$AF335))))=0,0,SUMPRODUCT(IF($G$157:$AF$157&gt;=ROUND(IF((Y$157-Sys_Repl_Rate!Y117)&lt;Tech_Specs!$C9,Tech_Specs!$C9,(Y$157-Sys_Repl_Rate!Y117)),0),IF($G$157:$AF$157&lt;=Y$157,$G83:$AF83)),IF(Tech_Specs!$K9="lamp",System_Mkt_Repl!$F335:$AE335+System_Mkt_NC!$G335:$AF335,Lamp_Mkt_Repl!$G45:$AF45+System_Mkt_NC!$G335:$AF335))/SUM(IF($G$157:$AF$157&gt;=ROUND(IF((Y$157-Sys_Repl_Rate!Y117)&lt;Tech_Specs!$C9,Tech_Specs!$C9,(Y$157-Sys_Repl_Rate!Y117)),0),IF($G$157:$AF$157&lt;=Y$157,IF(Tech_Specs!$K9="lamp",System_Mkt_Repl!$F335:$AE335+System_Mkt_NC!$G335:$AF335,Lamp_Mkt_Repl!$G45:$AF45+System_Mkt_NC!$G335:$AF335))))))</f>
        <v>12.9</v>
      </c>
      <c r="Z159" s="373">
        <f t="array" aca="1" ref="Z159" ca="1">IF(Z$157=Misc_Inputs!$D$6,$G83,IF(SUM(IF($G$157:$AF$157&gt;=ROUND(IF((Z$157-Sys_Repl_Rate!Z117)&lt;Tech_Specs!$C9,Tech_Specs!$C9,(Z$157-Sys_Repl_Rate!Z117)),0),IF($G$157:$AF$157&lt;=Z$157,IF(Tech_Specs!$K9="lamp",System_Mkt_Repl!$F335:$AE335+System_Mkt_NC!$G335:$AF335,Lamp_Mkt_Repl!$G45:$AF45+System_Mkt_NC!$G335:$AF335))))=0,0,SUMPRODUCT(IF($G$157:$AF$157&gt;=ROUND(IF((Z$157-Sys_Repl_Rate!Z117)&lt;Tech_Specs!$C9,Tech_Specs!$C9,(Z$157-Sys_Repl_Rate!Z117)),0),IF($G$157:$AF$157&lt;=Z$157,$G83:$AF83)),IF(Tech_Specs!$K9="lamp",System_Mkt_Repl!$F335:$AE335+System_Mkt_NC!$G335:$AF335,Lamp_Mkt_Repl!$G45:$AF45+System_Mkt_NC!$G335:$AF335))/SUM(IF($G$157:$AF$157&gt;=ROUND(IF((Z$157-Sys_Repl_Rate!Z117)&lt;Tech_Specs!$C9,Tech_Specs!$C9,(Z$157-Sys_Repl_Rate!Z117)),0),IF($G$157:$AF$157&lt;=Z$157,IF(Tech_Specs!$K9="lamp",System_Mkt_Repl!$F335:$AE335+System_Mkt_NC!$G335:$AF335,Lamp_Mkt_Repl!$G45:$AF45+System_Mkt_NC!$G335:$AF335))))))</f>
        <v>12.9</v>
      </c>
      <c r="AA159" s="373">
        <f t="array" aca="1" ref="AA159" ca="1">IF(AA$157=Misc_Inputs!$D$6,$G83,IF(SUM(IF($G$157:$AF$157&gt;=ROUND(IF((AA$157-Sys_Repl_Rate!AA117)&lt;Tech_Specs!$C9,Tech_Specs!$C9,(AA$157-Sys_Repl_Rate!AA117)),0),IF($G$157:$AF$157&lt;=AA$157,IF(Tech_Specs!$K9="lamp",System_Mkt_Repl!$F335:$AE335+System_Mkt_NC!$G335:$AF335,Lamp_Mkt_Repl!$G45:$AF45+System_Mkt_NC!$G335:$AF335))))=0,0,SUMPRODUCT(IF($G$157:$AF$157&gt;=ROUND(IF((AA$157-Sys_Repl_Rate!AA117)&lt;Tech_Specs!$C9,Tech_Specs!$C9,(AA$157-Sys_Repl_Rate!AA117)),0),IF($G$157:$AF$157&lt;=AA$157,$G83:$AF83)),IF(Tech_Specs!$K9="lamp",System_Mkt_Repl!$F335:$AE335+System_Mkt_NC!$G335:$AF335,Lamp_Mkt_Repl!$G45:$AF45+System_Mkt_NC!$G335:$AF335))/SUM(IF($G$157:$AF$157&gt;=ROUND(IF((AA$157-Sys_Repl_Rate!AA117)&lt;Tech_Specs!$C9,Tech_Specs!$C9,(AA$157-Sys_Repl_Rate!AA117)),0),IF($G$157:$AF$157&lt;=AA$157,IF(Tech_Specs!$K9="lamp",System_Mkt_Repl!$F335:$AE335+System_Mkt_NC!$G335:$AF335,Lamp_Mkt_Repl!$G45:$AF45+System_Mkt_NC!$G335:$AF335))))))</f>
        <v>12.899999999999999</v>
      </c>
      <c r="AB159" s="373">
        <f t="array" aca="1" ref="AB159" ca="1">IF(AB$157=Misc_Inputs!$D$6,$G83,IF(SUM(IF($G$157:$AF$157&gt;=ROUND(IF((AB$157-Sys_Repl_Rate!AB117)&lt;Tech_Specs!$C9,Tech_Specs!$C9,(AB$157-Sys_Repl_Rate!AB117)),0),IF($G$157:$AF$157&lt;=AB$157,IF(Tech_Specs!$K9="lamp",System_Mkt_Repl!$F335:$AE335+System_Mkt_NC!$G335:$AF335,Lamp_Mkt_Repl!$G45:$AF45+System_Mkt_NC!$G335:$AF335))))=0,0,SUMPRODUCT(IF($G$157:$AF$157&gt;=ROUND(IF((AB$157-Sys_Repl_Rate!AB117)&lt;Tech_Specs!$C9,Tech_Specs!$C9,(AB$157-Sys_Repl_Rate!AB117)),0),IF($G$157:$AF$157&lt;=AB$157,$G83:$AF83)),IF(Tech_Specs!$K9="lamp",System_Mkt_Repl!$F335:$AE335+System_Mkt_NC!$G335:$AF335,Lamp_Mkt_Repl!$G45:$AF45+System_Mkt_NC!$G335:$AF335))/SUM(IF($G$157:$AF$157&gt;=ROUND(IF((AB$157-Sys_Repl_Rate!AB117)&lt;Tech_Specs!$C9,Tech_Specs!$C9,(AB$157-Sys_Repl_Rate!AB117)),0),IF($G$157:$AF$157&lt;=AB$157,IF(Tech_Specs!$K9="lamp",System_Mkt_Repl!$F335:$AE335+System_Mkt_NC!$G335:$AF335,Lamp_Mkt_Repl!$G45:$AF45+System_Mkt_NC!$G335:$AF335))))))</f>
        <v>12.9</v>
      </c>
      <c r="AC159" s="373">
        <f t="array" aca="1" ref="AC159" ca="1">IF(AC$157=Misc_Inputs!$D$6,$G83,IF(SUM(IF($G$157:$AF$157&gt;=ROUND(IF((AC$157-Sys_Repl_Rate!AC117)&lt;Tech_Specs!$C9,Tech_Specs!$C9,(AC$157-Sys_Repl_Rate!AC117)),0),IF($G$157:$AF$157&lt;=AC$157,IF(Tech_Specs!$K9="lamp",System_Mkt_Repl!$F335:$AE335+System_Mkt_NC!$G335:$AF335,Lamp_Mkt_Repl!$G45:$AF45+System_Mkt_NC!$G335:$AF335))))=0,0,SUMPRODUCT(IF($G$157:$AF$157&gt;=ROUND(IF((AC$157-Sys_Repl_Rate!AC117)&lt;Tech_Specs!$C9,Tech_Specs!$C9,(AC$157-Sys_Repl_Rate!AC117)),0),IF($G$157:$AF$157&lt;=AC$157,$G83:$AF83)),IF(Tech_Specs!$K9="lamp",System_Mkt_Repl!$F335:$AE335+System_Mkt_NC!$G335:$AF335,Lamp_Mkt_Repl!$G45:$AF45+System_Mkt_NC!$G335:$AF335))/SUM(IF($G$157:$AF$157&gt;=ROUND(IF((AC$157-Sys_Repl_Rate!AC117)&lt;Tech_Specs!$C9,Tech_Specs!$C9,(AC$157-Sys_Repl_Rate!AC117)),0),IF($G$157:$AF$157&lt;=AC$157,IF(Tech_Specs!$K9="lamp",System_Mkt_Repl!$F335:$AE335+System_Mkt_NC!$G335:$AF335,Lamp_Mkt_Repl!$G45:$AF45+System_Mkt_NC!$G335:$AF335))))))</f>
        <v>12.9</v>
      </c>
      <c r="AD159" s="373">
        <f t="array" aca="1" ref="AD159" ca="1">IF(AD$157=Misc_Inputs!$D$6,$G83,IF(SUM(IF($G$157:$AF$157&gt;=ROUND(IF((AD$157-Sys_Repl_Rate!AD117)&lt;Tech_Specs!$C9,Tech_Specs!$C9,(AD$157-Sys_Repl_Rate!AD117)),0),IF($G$157:$AF$157&lt;=AD$157,IF(Tech_Specs!$K9="lamp",System_Mkt_Repl!$F335:$AE335+System_Mkt_NC!$G335:$AF335,Lamp_Mkt_Repl!$G45:$AF45+System_Mkt_NC!$G335:$AF335))))=0,0,SUMPRODUCT(IF($G$157:$AF$157&gt;=ROUND(IF((AD$157-Sys_Repl_Rate!AD117)&lt;Tech_Specs!$C9,Tech_Specs!$C9,(AD$157-Sys_Repl_Rate!AD117)),0),IF($G$157:$AF$157&lt;=AD$157,$G83:$AF83)),IF(Tech_Specs!$K9="lamp",System_Mkt_Repl!$F335:$AE335+System_Mkt_NC!$G335:$AF335,Lamp_Mkt_Repl!$G45:$AF45+System_Mkt_NC!$G335:$AF335))/SUM(IF($G$157:$AF$157&gt;=ROUND(IF((AD$157-Sys_Repl_Rate!AD117)&lt;Tech_Specs!$C9,Tech_Specs!$C9,(AD$157-Sys_Repl_Rate!AD117)),0),IF($G$157:$AF$157&lt;=AD$157,IF(Tech_Specs!$K9="lamp",System_Mkt_Repl!$F335:$AE335+System_Mkt_NC!$G335:$AF335,Lamp_Mkt_Repl!$G45:$AF45+System_Mkt_NC!$G335:$AF335))))))</f>
        <v>12.900000000000002</v>
      </c>
      <c r="AE159" s="373">
        <f t="array" aca="1" ref="AE159" ca="1">IF(AE$157=Misc_Inputs!$D$6,$G83,IF(SUM(IF($G$157:$AF$157&gt;=ROUND(IF((AE$157-Sys_Repl_Rate!AE117)&lt;Tech_Specs!$C9,Tech_Specs!$C9,(AE$157-Sys_Repl_Rate!AE117)),0),IF($G$157:$AF$157&lt;=AE$157,IF(Tech_Specs!$K9="lamp",System_Mkt_Repl!$F335:$AE335+System_Mkt_NC!$G335:$AF335,Lamp_Mkt_Repl!$G45:$AF45+System_Mkt_NC!$G335:$AF335))))=0,0,SUMPRODUCT(IF($G$157:$AF$157&gt;=ROUND(IF((AE$157-Sys_Repl_Rate!AE117)&lt;Tech_Specs!$C9,Tech_Specs!$C9,(AE$157-Sys_Repl_Rate!AE117)),0),IF($G$157:$AF$157&lt;=AE$157,$G83:$AF83)),IF(Tech_Specs!$K9="lamp",System_Mkt_Repl!$F335:$AE335+System_Mkt_NC!$G335:$AF335,Lamp_Mkt_Repl!$G45:$AF45+System_Mkt_NC!$G335:$AF335))/SUM(IF($G$157:$AF$157&gt;=ROUND(IF((AE$157-Sys_Repl_Rate!AE117)&lt;Tech_Specs!$C9,Tech_Specs!$C9,(AE$157-Sys_Repl_Rate!AE117)),0),IF($G$157:$AF$157&lt;=AE$157,IF(Tech_Specs!$K9="lamp",System_Mkt_Repl!$F335:$AE335+System_Mkt_NC!$G335:$AF335,Lamp_Mkt_Repl!$G45:$AF45+System_Mkt_NC!$G335:$AF335))))))</f>
        <v>12.899999999999999</v>
      </c>
      <c r="AF159" s="373">
        <f t="array" aca="1" ref="AF159" ca="1">IF(AF$157=Misc_Inputs!$D$6,$G83,IF(SUM(IF($G$157:$AF$157&gt;=ROUND(IF((AF$157-Sys_Repl_Rate!AF117)&lt;Tech_Specs!$C9,Tech_Specs!$C9,(AF$157-Sys_Repl_Rate!AF117)),0),IF($G$157:$AF$157&lt;=AF$157,IF(Tech_Specs!$K9="lamp",System_Mkt_Repl!$F335:$AE335+System_Mkt_NC!$G335:$AF335,Lamp_Mkt_Repl!$G45:$AF45+System_Mkt_NC!$G335:$AF335))))=0,0,SUMPRODUCT(IF($G$157:$AF$157&gt;=ROUND(IF((AF$157-Sys_Repl_Rate!AF117)&lt;Tech_Specs!$C9,Tech_Specs!$C9,(AF$157-Sys_Repl_Rate!AF117)),0),IF($G$157:$AF$157&lt;=AF$157,$G83:$AF83)),IF(Tech_Specs!$K9="lamp",System_Mkt_Repl!$F335:$AE335+System_Mkt_NC!$G335:$AF335,Lamp_Mkt_Repl!$G45:$AF45+System_Mkt_NC!$G335:$AF335))/SUM(IF($G$157:$AF$157&gt;=ROUND(IF((AF$157-Sys_Repl_Rate!AF117)&lt;Tech_Specs!$C9,Tech_Specs!$C9,(AF$157-Sys_Repl_Rate!AF117)),0),IF($G$157:$AF$157&lt;=AF$157,IF(Tech_Specs!$K9="lamp",System_Mkt_Repl!$F335:$AE335+System_Mkt_NC!$G335:$AF335,Lamp_Mkt_Repl!$G45:$AF45+System_Mkt_NC!$G335:$AF335))))))</f>
        <v>12.899999999999999</v>
      </c>
    </row>
    <row r="160" spans="1:113" s="101" customFormat="1" ht="12.75" x14ac:dyDescent="0.2">
      <c r="A160" s="81"/>
      <c r="B160" s="81" t="s">
        <v>26</v>
      </c>
      <c r="C160" s="81"/>
      <c r="D160" s="550"/>
      <c r="E160" s="550"/>
      <c r="F160" s="550"/>
      <c r="G160" s="373">
        <f>IF(G$157=Misc_Inputs!$D$6,$G84,IF(SUM(IF($G$157:$AF$157&gt;=ROUND(IF((G$157-Sys_Repl_Rate!G118)&lt;Tech_Specs!$C10,Tech_Specs!$C10,(G$157-Sys_Repl_Rate!G118)),0),IF($G$157:$AF$157&lt;=G$157,IF(Tech_Specs!$K10="lamp",System_Mkt_Repl!$F336:$AE336+System_Mkt_NC!$G336:$AF336,Lamp_Mkt_Repl!$G46:$AF46+System_Mkt_NC!$G336:$AF336))))=0,0,SUMPRODUCT(IF($G$157:$AF$157&gt;=ROUND(IF((G$157-Sys_Repl_Rate!G118)&lt;Tech_Specs!$C10,Tech_Specs!$C10,(G$157-Sys_Repl_Rate!G118)),0),IF($G$157:$AF$157&lt;=G$157,$G84:$AF84)),IF(Tech_Specs!$K10="lamp",System_Mkt_Repl!$F336:$AE336+System_Mkt_NC!$G336:$AF336,Lamp_Mkt_Repl!$G46:$AF46+System_Mkt_NC!$G336:$AF336))/SUM(IF($G$157:$AF$157&gt;=ROUND(IF((G$157-Sys_Repl_Rate!G118)&lt;Tech_Specs!$C10,Tech_Specs!$C10,(G$157-Sys_Repl_Rate!G118)),0),IF($G$157:$AF$157&lt;=G$157,IF(Tech_Specs!$K10="lamp",System_Mkt_Repl!$F336:$AE336+System_Mkt_NC!$G336:$AF336,Lamp_Mkt_Repl!$G46:$AF46+System_Mkt_NC!$G336:$AF336))))))</f>
        <v>15</v>
      </c>
      <c r="H160" s="373">
        <f t="array" aca="1" ref="H160" ca="1">IF(H$157=Misc_Inputs!$D$6,$G84,IF(SUM(IF($G$157:$AF$157&gt;=ROUND(IF((H$157-Sys_Repl_Rate!H118)&lt;Tech_Specs!$C10,Tech_Specs!$C10,(H$157-Sys_Repl_Rate!H118)),0),IF($G$157:$AF$157&lt;=H$157,IF(Tech_Specs!$K10="lamp",System_Mkt_Repl!$F336:$AE336+System_Mkt_NC!$G336:$AF336,Lamp_Mkt_Repl!$G46:$AF46+System_Mkt_NC!$G336:$AF336))))=0,0,SUMPRODUCT(IF($G$157:$AF$157&gt;=ROUND(IF((H$157-Sys_Repl_Rate!H118)&lt;Tech_Specs!$C10,Tech_Specs!$C10,(H$157-Sys_Repl_Rate!H118)),0),IF($G$157:$AF$157&lt;=H$157,$G84:$AF84)),IF(Tech_Specs!$K10="lamp",System_Mkt_Repl!$F336:$AE336+System_Mkt_NC!$G336:$AF336,Lamp_Mkt_Repl!$G46:$AF46+System_Mkt_NC!$G336:$AF336))/SUM(IF($G$157:$AF$157&gt;=ROUND(IF((H$157-Sys_Repl_Rate!H118)&lt;Tech_Specs!$C10,Tech_Specs!$C10,(H$157-Sys_Repl_Rate!H118)),0),IF($G$157:$AF$157&lt;=H$157,IF(Tech_Specs!$K10="lamp",System_Mkt_Repl!$F336:$AE336+System_Mkt_NC!$G336:$AF336,Lamp_Mkt_Repl!$G46:$AF46+System_Mkt_NC!$G336:$AF336))))))</f>
        <v>15.07499999999999</v>
      </c>
      <c r="I160" s="373">
        <f t="array" aca="1" ref="I160" ca="1">IF(I$157=Misc_Inputs!$D$6,$G84,IF(SUM(IF($G$157:$AF$157&gt;=ROUND(IF((I$157-Sys_Repl_Rate!I118)&lt;Tech_Specs!$C10,Tech_Specs!$C10,(I$157-Sys_Repl_Rate!I118)),0),IF($G$157:$AF$157&lt;=I$157,IF(Tech_Specs!$K10="lamp",System_Mkt_Repl!$F336:$AE336+System_Mkt_NC!$G336:$AF336,Lamp_Mkt_Repl!$G46:$AF46+System_Mkt_NC!$G336:$AF336))))=0,0,SUMPRODUCT(IF($G$157:$AF$157&gt;=ROUND(IF((I$157-Sys_Repl_Rate!I118)&lt;Tech_Specs!$C10,Tech_Specs!$C10,(I$157-Sys_Repl_Rate!I118)),0),IF($G$157:$AF$157&lt;=I$157,$G84:$AF84)),IF(Tech_Specs!$K10="lamp",System_Mkt_Repl!$F336:$AE336+System_Mkt_NC!$G336:$AF336,Lamp_Mkt_Repl!$G46:$AF46+System_Mkt_NC!$G336:$AF336))/SUM(IF($G$157:$AF$157&gt;=ROUND(IF((I$157-Sys_Repl_Rate!I118)&lt;Tech_Specs!$C10,Tech_Specs!$C10,(I$157-Sys_Repl_Rate!I118)),0),IF($G$157:$AF$157&lt;=I$157,IF(Tech_Specs!$K10="lamp",System_Mkt_Repl!$F336:$AE336+System_Mkt_NC!$G336:$AF336,Lamp_Mkt_Repl!$G46:$AF46+System_Mkt_NC!$G336:$AF336))))))</f>
        <v>15.135866246500926</v>
      </c>
      <c r="J160" s="373">
        <f t="array" aca="1" ref="J160" ca="1">IF(J$157=Misc_Inputs!$D$6,$G84,IF(SUM(IF($G$157:$AF$157&gt;=ROUND(IF((J$157-Sys_Repl_Rate!J118)&lt;Tech_Specs!$C10,Tech_Specs!$C10,(J$157-Sys_Repl_Rate!J118)),0),IF($G$157:$AF$157&lt;=J$157,IF(Tech_Specs!$K10="lamp",System_Mkt_Repl!$F336:$AE336+System_Mkt_NC!$G336:$AF336,Lamp_Mkt_Repl!$G46:$AF46+System_Mkt_NC!$G336:$AF336))))=0,0,SUMPRODUCT(IF($G$157:$AF$157&gt;=ROUND(IF((J$157-Sys_Repl_Rate!J118)&lt;Tech_Specs!$C10,Tech_Specs!$C10,(J$157-Sys_Repl_Rate!J118)),0),IF($G$157:$AF$157&lt;=J$157,$G84:$AF84)),IF(Tech_Specs!$K10="lamp",System_Mkt_Repl!$F336:$AE336+System_Mkt_NC!$G336:$AF336,Lamp_Mkt_Repl!$G46:$AF46+System_Mkt_NC!$G336:$AF336))/SUM(IF($G$157:$AF$157&gt;=ROUND(IF((J$157-Sys_Repl_Rate!J118)&lt;Tech_Specs!$C10,Tech_Specs!$C10,(J$157-Sys_Repl_Rate!J118)),0),IF($G$157:$AF$157&lt;=J$157,IF(Tech_Specs!$K10="lamp",System_Mkt_Repl!$F336:$AE336+System_Mkt_NC!$G336:$AF336,Lamp_Mkt_Repl!$G46:$AF46+System_Mkt_NC!$G336:$AF336))))))</f>
        <v>15.199248505156795</v>
      </c>
      <c r="K160" s="373">
        <f t="array" aca="1" ref="K160" ca="1">IF(K$157=Misc_Inputs!$D$6,$G84,IF(SUM(IF($G$157:$AF$157&gt;=ROUND(IF((K$157-Sys_Repl_Rate!K118)&lt;Tech_Specs!$C10,Tech_Specs!$C10,(K$157-Sys_Repl_Rate!K118)),0),IF($G$157:$AF$157&lt;=K$157,IF(Tech_Specs!$K10="lamp",System_Mkt_Repl!$F336:$AE336+System_Mkt_NC!$G336:$AF336,Lamp_Mkt_Repl!$G46:$AF46+System_Mkt_NC!$G336:$AF336))))=0,0,SUMPRODUCT(IF($G$157:$AF$157&gt;=ROUND(IF((K$157-Sys_Repl_Rate!K118)&lt;Tech_Specs!$C10,Tech_Specs!$C10,(K$157-Sys_Repl_Rate!K118)),0),IF($G$157:$AF$157&lt;=K$157,$G84:$AF84)),IF(Tech_Specs!$K10="lamp",System_Mkt_Repl!$F336:$AE336+System_Mkt_NC!$G336:$AF336,Lamp_Mkt_Repl!$G46:$AF46+System_Mkt_NC!$G336:$AF336))/SUM(IF($G$157:$AF$157&gt;=ROUND(IF((K$157-Sys_Repl_Rate!K118)&lt;Tech_Specs!$C10,Tech_Specs!$C10,(K$157-Sys_Repl_Rate!K118)),0),IF($G$157:$AF$157&lt;=K$157,IF(Tech_Specs!$K10="lamp",System_Mkt_Repl!$F336:$AE336+System_Mkt_NC!$G336:$AF336,Lamp_Mkt_Repl!$G46:$AF46+System_Mkt_NC!$G336:$AF336))))))</f>
        <v>15.254518507343731</v>
      </c>
      <c r="L160" s="373">
        <f t="array" aca="1" ref="L160" ca="1">IF(L$157=Misc_Inputs!$D$6,$G84,IF(SUM(IF($G$157:$AF$157&gt;=ROUND(IF((L$157-Sys_Repl_Rate!L118)&lt;Tech_Specs!$C10,Tech_Specs!$C10,(L$157-Sys_Repl_Rate!L118)),0),IF($G$157:$AF$157&lt;=L$157,IF(Tech_Specs!$K10="lamp",System_Mkt_Repl!$F336:$AE336+System_Mkt_NC!$G336:$AF336,Lamp_Mkt_Repl!$G46:$AF46+System_Mkt_NC!$G336:$AF336))))=0,0,SUMPRODUCT(IF($G$157:$AF$157&gt;=ROUND(IF((L$157-Sys_Repl_Rate!L118)&lt;Tech_Specs!$C10,Tech_Specs!$C10,(L$157-Sys_Repl_Rate!L118)),0),IF($G$157:$AF$157&lt;=L$157,$G84:$AF84)),IF(Tech_Specs!$K10="lamp",System_Mkt_Repl!$F336:$AE336+System_Mkt_NC!$G336:$AF336,Lamp_Mkt_Repl!$G46:$AF46+System_Mkt_NC!$G336:$AF336))/SUM(IF($G$157:$AF$157&gt;=ROUND(IF((L$157-Sys_Repl_Rate!L118)&lt;Tech_Specs!$C10,Tech_Specs!$C10,(L$157-Sys_Repl_Rate!L118)),0),IF($G$157:$AF$157&lt;=L$157,IF(Tech_Specs!$K10="lamp",System_Mkt_Repl!$F336:$AE336+System_Mkt_NC!$G336:$AF336,Lamp_Mkt_Repl!$G46:$AF46+System_Mkt_NC!$G336:$AF336))))))</f>
        <v>15.309731767036444</v>
      </c>
      <c r="M160" s="373">
        <f t="array" aca="1" ref="M160" ca="1">IF(M$157=Misc_Inputs!$D$6,$G84,IF(SUM(IF($G$157:$AF$157&gt;=ROUND(IF((M$157-Sys_Repl_Rate!M118)&lt;Tech_Specs!$C10,Tech_Specs!$C10,(M$157-Sys_Repl_Rate!M118)),0),IF($G$157:$AF$157&lt;=M$157,IF(Tech_Specs!$K10="lamp",System_Mkt_Repl!$F336:$AE336+System_Mkt_NC!$G336:$AF336,Lamp_Mkt_Repl!$G46:$AF46+System_Mkt_NC!$G336:$AF336))))=0,0,SUMPRODUCT(IF($G$157:$AF$157&gt;=ROUND(IF((M$157-Sys_Repl_Rate!M118)&lt;Tech_Specs!$C10,Tech_Specs!$C10,(M$157-Sys_Repl_Rate!M118)),0),IF($G$157:$AF$157&lt;=M$157,$G84:$AF84)),IF(Tech_Specs!$K10="lamp",System_Mkt_Repl!$F336:$AE336+System_Mkt_NC!$G336:$AF336,Lamp_Mkt_Repl!$G46:$AF46+System_Mkt_NC!$G336:$AF336))/SUM(IF($G$157:$AF$157&gt;=ROUND(IF((M$157-Sys_Repl_Rate!M118)&lt;Tech_Specs!$C10,Tech_Specs!$C10,(M$157-Sys_Repl_Rate!M118)),0),IF($G$157:$AF$157&lt;=M$157,IF(Tech_Specs!$K10="lamp",System_Mkt_Repl!$F336:$AE336+System_Mkt_NC!$G336:$AF336,Lamp_Mkt_Repl!$G46:$AF46+System_Mkt_NC!$G336:$AF336))))))</f>
        <v>15.377965583255584</v>
      </c>
      <c r="N160" s="373">
        <f t="array" aca="1" ref="N160" ca="1">IF(N$157=Misc_Inputs!$D$6,$G84,IF(SUM(IF($G$157:$AF$157&gt;=ROUND(IF((N$157-Sys_Repl_Rate!N118)&lt;Tech_Specs!$C10,Tech_Specs!$C10,(N$157-Sys_Repl_Rate!N118)),0),IF($G$157:$AF$157&lt;=N$157,IF(Tech_Specs!$K10="lamp",System_Mkt_Repl!$F336:$AE336+System_Mkt_NC!$G336:$AF336,Lamp_Mkt_Repl!$G46:$AF46+System_Mkt_NC!$G336:$AF336))))=0,0,SUMPRODUCT(IF($G$157:$AF$157&gt;=ROUND(IF((N$157-Sys_Repl_Rate!N118)&lt;Tech_Specs!$C10,Tech_Specs!$C10,(N$157-Sys_Repl_Rate!N118)),0),IF($G$157:$AF$157&lt;=N$157,$G84:$AF84)),IF(Tech_Specs!$K10="lamp",System_Mkt_Repl!$F336:$AE336+System_Mkt_NC!$G336:$AF336,Lamp_Mkt_Repl!$G46:$AF46+System_Mkt_NC!$G336:$AF336))/SUM(IF($G$157:$AF$157&gt;=ROUND(IF((N$157-Sys_Repl_Rate!N118)&lt;Tech_Specs!$C10,Tech_Specs!$C10,(N$157-Sys_Repl_Rate!N118)),0),IF($G$157:$AF$157&lt;=N$157,IF(Tech_Specs!$K10="lamp",System_Mkt_Repl!$F336:$AE336+System_Mkt_NC!$G336:$AF336,Lamp_Mkt_Repl!$G46:$AF46+System_Mkt_NC!$G336:$AF336))))))</f>
        <v>15.44769665984326</v>
      </c>
      <c r="O160" s="373">
        <f t="array" aca="1" ref="O160" ca="1">IF(O$157=Misc_Inputs!$D$6,$G84,IF(SUM(IF($G$157:$AF$157&gt;=ROUND(IF((O$157-Sys_Repl_Rate!O118)&lt;Tech_Specs!$C10,Tech_Specs!$C10,(O$157-Sys_Repl_Rate!O118)),0),IF($G$157:$AF$157&lt;=O$157,IF(Tech_Specs!$K10="lamp",System_Mkt_Repl!$F336:$AE336+System_Mkt_NC!$G336:$AF336,Lamp_Mkt_Repl!$G46:$AF46+System_Mkt_NC!$G336:$AF336))))=0,0,SUMPRODUCT(IF($G$157:$AF$157&gt;=ROUND(IF((O$157-Sys_Repl_Rate!O118)&lt;Tech_Specs!$C10,Tech_Specs!$C10,(O$157-Sys_Repl_Rate!O118)),0),IF($G$157:$AF$157&lt;=O$157,$G84:$AF84)),IF(Tech_Specs!$K10="lamp",System_Mkt_Repl!$F336:$AE336+System_Mkt_NC!$G336:$AF336,Lamp_Mkt_Repl!$G46:$AF46+System_Mkt_NC!$G336:$AF336))/SUM(IF($G$157:$AF$157&gt;=ROUND(IF((O$157-Sys_Repl_Rate!O118)&lt;Tech_Specs!$C10,Tech_Specs!$C10,(O$157-Sys_Repl_Rate!O118)),0),IF($G$157:$AF$157&lt;=O$157,IF(Tech_Specs!$K10="lamp",System_Mkt_Repl!$F336:$AE336+System_Mkt_NC!$G336:$AF336,Lamp_Mkt_Repl!$G46:$AF46+System_Mkt_NC!$G336:$AF336))))))</f>
        <v>15.518057072947022</v>
      </c>
      <c r="P160" s="373">
        <f t="array" aca="1" ref="P160" ca="1">IF(P$157=Misc_Inputs!$D$6,$G84,IF(SUM(IF($G$157:$AF$157&gt;=ROUND(IF((P$157-Sys_Repl_Rate!P118)&lt;Tech_Specs!$C10,Tech_Specs!$C10,(P$157-Sys_Repl_Rate!P118)),0),IF($G$157:$AF$157&lt;=P$157,IF(Tech_Specs!$K10="lamp",System_Mkt_Repl!$F336:$AE336+System_Mkt_NC!$G336:$AF336,Lamp_Mkt_Repl!$G46:$AF46+System_Mkt_NC!$G336:$AF336))))=0,0,SUMPRODUCT(IF($G$157:$AF$157&gt;=ROUND(IF((P$157-Sys_Repl_Rate!P118)&lt;Tech_Specs!$C10,Tech_Specs!$C10,(P$157-Sys_Repl_Rate!P118)),0),IF($G$157:$AF$157&lt;=P$157,$G84:$AF84)),IF(Tech_Specs!$K10="lamp",System_Mkt_Repl!$F336:$AE336+System_Mkt_NC!$G336:$AF336,Lamp_Mkt_Repl!$G46:$AF46+System_Mkt_NC!$G336:$AF336))/SUM(IF($G$157:$AF$157&gt;=ROUND(IF((P$157-Sys_Repl_Rate!P118)&lt;Tech_Specs!$C10,Tech_Specs!$C10,(P$157-Sys_Repl_Rate!P118)),0),IF($G$157:$AF$157&lt;=P$157,IF(Tech_Specs!$K10="lamp",System_Mkt_Repl!$F336:$AE336+System_Mkt_NC!$G336:$AF336,Lamp_Mkt_Repl!$G46:$AF46+System_Mkt_NC!$G336:$AF336))))))</f>
        <v>15.593494123480818</v>
      </c>
      <c r="Q160" s="373">
        <f t="array" aca="1" ref="Q160" ca="1">IF(Q$157=Misc_Inputs!$D$6,$G84,IF(SUM(IF($G$157:$AF$157&gt;=ROUND(IF((Q$157-Sys_Repl_Rate!Q118)&lt;Tech_Specs!$C10,Tech_Specs!$C10,(Q$157-Sys_Repl_Rate!Q118)),0),IF($G$157:$AF$157&lt;=Q$157,IF(Tech_Specs!$K10="lamp",System_Mkt_Repl!$F336:$AE336+System_Mkt_NC!$G336:$AF336,Lamp_Mkt_Repl!$G46:$AF46+System_Mkt_NC!$G336:$AF336))))=0,0,SUMPRODUCT(IF($G$157:$AF$157&gt;=ROUND(IF((Q$157-Sys_Repl_Rate!Q118)&lt;Tech_Specs!$C10,Tech_Specs!$C10,(Q$157-Sys_Repl_Rate!Q118)),0),IF($G$157:$AF$157&lt;=Q$157,$G84:$AF84)),IF(Tech_Specs!$K10="lamp",System_Mkt_Repl!$F336:$AE336+System_Mkt_NC!$G336:$AF336,Lamp_Mkt_Repl!$G46:$AF46+System_Mkt_NC!$G336:$AF336))/SUM(IF($G$157:$AF$157&gt;=ROUND(IF((Q$157-Sys_Repl_Rate!Q118)&lt;Tech_Specs!$C10,Tech_Specs!$C10,(Q$157-Sys_Repl_Rate!Q118)),0),IF($G$157:$AF$157&lt;=Q$157,IF(Tech_Specs!$K10="lamp",System_Mkt_Repl!$F336:$AE336+System_Mkt_NC!$G336:$AF336,Lamp_Mkt_Repl!$G46:$AF46+System_Mkt_NC!$G336:$AF336))))))</f>
        <v>15.668396800483917</v>
      </c>
      <c r="R160" s="373">
        <f t="array" aca="1" ref="R160" ca="1">IF(R$157=Misc_Inputs!$D$6,$G84,IF(SUM(IF($G$157:$AF$157&gt;=ROUND(IF((R$157-Sys_Repl_Rate!R118)&lt;Tech_Specs!$C10,Tech_Specs!$C10,(R$157-Sys_Repl_Rate!R118)),0),IF($G$157:$AF$157&lt;=R$157,IF(Tech_Specs!$K10="lamp",System_Mkt_Repl!$F336:$AE336+System_Mkt_NC!$G336:$AF336,Lamp_Mkt_Repl!$G46:$AF46+System_Mkt_NC!$G336:$AF336))))=0,0,SUMPRODUCT(IF($G$157:$AF$157&gt;=ROUND(IF((R$157-Sys_Repl_Rate!R118)&lt;Tech_Specs!$C10,Tech_Specs!$C10,(R$157-Sys_Repl_Rate!R118)),0),IF($G$157:$AF$157&lt;=R$157,$G84:$AF84)),IF(Tech_Specs!$K10="lamp",System_Mkt_Repl!$F336:$AE336+System_Mkt_NC!$G336:$AF336,Lamp_Mkt_Repl!$G46:$AF46+System_Mkt_NC!$G336:$AF336))/SUM(IF($G$157:$AF$157&gt;=ROUND(IF((R$157-Sys_Repl_Rate!R118)&lt;Tech_Specs!$C10,Tech_Specs!$C10,(R$157-Sys_Repl_Rate!R118)),0),IF($G$157:$AF$157&lt;=R$157,IF(Tech_Specs!$K10="lamp",System_Mkt_Repl!$F336:$AE336+System_Mkt_NC!$G336:$AF336,Lamp_Mkt_Repl!$G46:$AF46+System_Mkt_NC!$G336:$AF336))))))</f>
        <v>15.74276111377484</v>
      </c>
      <c r="S160" s="373">
        <f t="array" aca="1" ref="S160" ca="1">IF(S$157=Misc_Inputs!$D$6,$G84,IF(SUM(IF($G$157:$AF$157&gt;=ROUND(IF((S$157-Sys_Repl_Rate!S118)&lt;Tech_Specs!$C10,Tech_Specs!$C10,(S$157-Sys_Repl_Rate!S118)),0),IF($G$157:$AF$157&lt;=S$157,IF(Tech_Specs!$K10="lamp",System_Mkt_Repl!$F336:$AE336+System_Mkt_NC!$G336:$AF336,Lamp_Mkt_Repl!$G46:$AF46+System_Mkt_NC!$G336:$AF336))))=0,0,SUMPRODUCT(IF($G$157:$AF$157&gt;=ROUND(IF((S$157-Sys_Repl_Rate!S118)&lt;Tech_Specs!$C10,Tech_Specs!$C10,(S$157-Sys_Repl_Rate!S118)),0),IF($G$157:$AF$157&lt;=S$157,$G84:$AF84)),IF(Tech_Specs!$K10="lamp",System_Mkt_Repl!$F336:$AE336+System_Mkt_NC!$G336:$AF336,Lamp_Mkt_Repl!$G46:$AF46+System_Mkt_NC!$G336:$AF336))/SUM(IF($G$157:$AF$157&gt;=ROUND(IF((S$157-Sys_Repl_Rate!S118)&lt;Tech_Specs!$C10,Tech_Specs!$C10,(S$157-Sys_Repl_Rate!S118)),0),IF($G$157:$AF$157&lt;=S$157,IF(Tech_Specs!$K10="lamp",System_Mkt_Repl!$F336:$AE336+System_Mkt_NC!$G336:$AF336,Lamp_Mkt_Repl!$G46:$AF46+System_Mkt_NC!$G336:$AF336))))))</f>
        <v>15.817158184103446</v>
      </c>
      <c r="T160" s="373">
        <f t="array" aca="1" ref="T160" ca="1">IF(T$157=Misc_Inputs!$D$6,$G84,IF(SUM(IF($G$157:$AF$157&gt;=ROUND(IF((T$157-Sys_Repl_Rate!T118)&lt;Tech_Specs!$C10,Tech_Specs!$C10,(T$157-Sys_Repl_Rate!T118)),0),IF($G$157:$AF$157&lt;=T$157,IF(Tech_Specs!$K10="lamp",System_Mkt_Repl!$F336:$AE336+System_Mkt_NC!$G336:$AF336,Lamp_Mkt_Repl!$G46:$AF46+System_Mkt_NC!$G336:$AF336))))=0,0,SUMPRODUCT(IF($G$157:$AF$157&gt;=ROUND(IF((T$157-Sys_Repl_Rate!T118)&lt;Tech_Specs!$C10,Tech_Specs!$C10,(T$157-Sys_Repl_Rate!T118)),0),IF($G$157:$AF$157&lt;=T$157,$G84:$AF84)),IF(Tech_Specs!$K10="lamp",System_Mkt_Repl!$F336:$AE336+System_Mkt_NC!$G336:$AF336,Lamp_Mkt_Repl!$G46:$AF46+System_Mkt_NC!$G336:$AF336))/SUM(IF($G$157:$AF$157&gt;=ROUND(IF((T$157-Sys_Repl_Rate!T118)&lt;Tech_Specs!$C10,Tech_Specs!$C10,(T$157-Sys_Repl_Rate!T118)),0),IF($G$157:$AF$157&lt;=T$157,IF(Tech_Specs!$K10="lamp",System_Mkt_Repl!$F336:$AE336+System_Mkt_NC!$G336:$AF336,Lamp_Mkt_Repl!$G46:$AF46+System_Mkt_NC!$G336:$AF336))))))</f>
        <v>15.891759078517607</v>
      </c>
      <c r="U160" s="373">
        <f t="array" aca="1" ref="U160" ca="1">IF(U$157=Misc_Inputs!$D$6,$G84,IF(SUM(IF($G$157:$AF$157&gt;=ROUND(IF((U$157-Sys_Repl_Rate!U118)&lt;Tech_Specs!$C10,Tech_Specs!$C10,(U$157-Sys_Repl_Rate!U118)),0),IF($G$157:$AF$157&lt;=U$157,IF(Tech_Specs!$K10="lamp",System_Mkt_Repl!$F336:$AE336+System_Mkt_NC!$G336:$AF336,Lamp_Mkt_Repl!$G46:$AF46+System_Mkt_NC!$G336:$AF336))))=0,0,SUMPRODUCT(IF($G$157:$AF$157&gt;=ROUND(IF((U$157-Sys_Repl_Rate!U118)&lt;Tech_Specs!$C10,Tech_Specs!$C10,(U$157-Sys_Repl_Rate!U118)),0),IF($G$157:$AF$157&lt;=U$157,$G84:$AF84)),IF(Tech_Specs!$K10="lamp",System_Mkt_Repl!$F336:$AE336+System_Mkt_NC!$G336:$AF336,Lamp_Mkt_Repl!$G46:$AF46+System_Mkt_NC!$G336:$AF336))/SUM(IF($G$157:$AF$157&gt;=ROUND(IF((U$157-Sys_Repl_Rate!U118)&lt;Tech_Specs!$C10,Tech_Specs!$C10,(U$157-Sys_Repl_Rate!U118)),0),IF($G$157:$AF$157&lt;=U$157,IF(Tech_Specs!$K10="lamp",System_Mkt_Repl!$F336:$AE336+System_Mkt_NC!$G336:$AF336,Lamp_Mkt_Repl!$G46:$AF46+System_Mkt_NC!$G336:$AF336))))))</f>
        <v>15.966433112539049</v>
      </c>
      <c r="V160" s="373">
        <f t="array" aca="1" ref="V160" ca="1">IF(V$157=Misc_Inputs!$D$6,$G84,IF(SUM(IF($G$157:$AF$157&gt;=ROUND(IF((V$157-Sys_Repl_Rate!V118)&lt;Tech_Specs!$C10,Tech_Specs!$C10,(V$157-Sys_Repl_Rate!V118)),0),IF($G$157:$AF$157&lt;=V$157,IF(Tech_Specs!$K10="lamp",System_Mkt_Repl!$F336:$AE336+System_Mkt_NC!$G336:$AF336,Lamp_Mkt_Repl!$G46:$AF46+System_Mkt_NC!$G336:$AF336))))=0,0,SUMPRODUCT(IF($G$157:$AF$157&gt;=ROUND(IF((V$157-Sys_Repl_Rate!V118)&lt;Tech_Specs!$C10,Tech_Specs!$C10,(V$157-Sys_Repl_Rate!V118)),0),IF($G$157:$AF$157&lt;=V$157,$G84:$AF84)),IF(Tech_Specs!$K10="lamp",System_Mkt_Repl!$F336:$AE336+System_Mkt_NC!$G336:$AF336,Lamp_Mkt_Repl!$G46:$AF46+System_Mkt_NC!$G336:$AF336))/SUM(IF($G$157:$AF$157&gt;=ROUND(IF((V$157-Sys_Repl_Rate!V118)&lt;Tech_Specs!$C10,Tech_Specs!$C10,(V$157-Sys_Repl_Rate!V118)),0),IF($G$157:$AF$157&lt;=V$157,IF(Tech_Specs!$K10="lamp",System_Mkt_Repl!$F336:$AE336+System_Mkt_NC!$G336:$AF336,Lamp_Mkt_Repl!$G46:$AF46+System_Mkt_NC!$G336:$AF336))))))</f>
        <v>16.041424866738282</v>
      </c>
      <c r="W160" s="373">
        <f t="array" aca="1" ref="W160" ca="1">IF(W$157=Misc_Inputs!$D$6,$G84,IF(SUM(IF($G$157:$AF$157&gt;=ROUND(IF((W$157-Sys_Repl_Rate!W118)&lt;Tech_Specs!$C10,Tech_Specs!$C10,(W$157-Sys_Repl_Rate!W118)),0),IF($G$157:$AF$157&lt;=W$157,IF(Tech_Specs!$K10="lamp",System_Mkt_Repl!$F336:$AE336+System_Mkt_NC!$G336:$AF336,Lamp_Mkt_Repl!$G46:$AF46+System_Mkt_NC!$G336:$AF336))))=0,0,SUMPRODUCT(IF($G$157:$AF$157&gt;=ROUND(IF((W$157-Sys_Repl_Rate!W118)&lt;Tech_Specs!$C10,Tech_Specs!$C10,(W$157-Sys_Repl_Rate!W118)),0),IF($G$157:$AF$157&lt;=W$157,$G84:$AF84)),IF(Tech_Specs!$K10="lamp",System_Mkt_Repl!$F336:$AE336+System_Mkt_NC!$G336:$AF336,Lamp_Mkt_Repl!$G46:$AF46+System_Mkt_NC!$G336:$AF336))/SUM(IF($G$157:$AF$157&gt;=ROUND(IF((W$157-Sys_Repl_Rate!W118)&lt;Tech_Specs!$C10,Tech_Specs!$C10,(W$157-Sys_Repl_Rate!W118)),0),IF($G$157:$AF$157&lt;=W$157,IF(Tech_Specs!$K10="lamp",System_Mkt_Repl!$F336:$AE336+System_Mkt_NC!$G336:$AF336,Lamp_Mkt_Repl!$G46:$AF46+System_Mkt_NC!$G336:$AF336))))))</f>
        <v>16.116646662223008</v>
      </c>
      <c r="X160" s="373">
        <f t="array" aca="1" ref="X160" ca="1">IF(X$157=Misc_Inputs!$D$6,$G84,IF(SUM(IF($G$157:$AF$157&gt;=ROUND(IF((X$157-Sys_Repl_Rate!X118)&lt;Tech_Specs!$C10,Tech_Specs!$C10,(X$157-Sys_Repl_Rate!X118)),0),IF($G$157:$AF$157&lt;=X$157,IF(Tech_Specs!$K10="lamp",System_Mkt_Repl!$F336:$AE336+System_Mkt_NC!$G336:$AF336,Lamp_Mkt_Repl!$G46:$AF46+System_Mkt_NC!$G336:$AF336))))=0,0,SUMPRODUCT(IF($G$157:$AF$157&gt;=ROUND(IF((X$157-Sys_Repl_Rate!X118)&lt;Tech_Specs!$C10,Tech_Specs!$C10,(X$157-Sys_Repl_Rate!X118)),0),IF($G$157:$AF$157&lt;=X$157,$G84:$AF84)),IF(Tech_Specs!$K10="lamp",System_Mkt_Repl!$F336:$AE336+System_Mkt_NC!$G336:$AF336,Lamp_Mkt_Repl!$G46:$AF46+System_Mkt_NC!$G336:$AF336))/SUM(IF($G$157:$AF$157&gt;=ROUND(IF((X$157-Sys_Repl_Rate!X118)&lt;Tech_Specs!$C10,Tech_Specs!$C10,(X$157-Sys_Repl_Rate!X118)),0),IF($G$157:$AF$157&lt;=X$157,IF(Tech_Specs!$K10="lamp",System_Mkt_Repl!$F336:$AE336+System_Mkt_NC!$G336:$AF336,Lamp_Mkt_Repl!$G46:$AF46+System_Mkt_NC!$G336:$AF336))))))</f>
        <v>16.191873793933738</v>
      </c>
      <c r="Y160" s="373">
        <f t="array" aca="1" ref="Y160" ca="1">IF(Y$157=Misc_Inputs!$D$6,$G84,IF(SUM(IF($G$157:$AF$157&gt;=ROUND(IF((Y$157-Sys_Repl_Rate!Y118)&lt;Tech_Specs!$C10,Tech_Specs!$C10,(Y$157-Sys_Repl_Rate!Y118)),0),IF($G$157:$AF$157&lt;=Y$157,IF(Tech_Specs!$K10="lamp",System_Mkt_Repl!$F336:$AE336+System_Mkt_NC!$G336:$AF336,Lamp_Mkt_Repl!$G46:$AF46+System_Mkt_NC!$G336:$AF336))))=0,0,SUMPRODUCT(IF($G$157:$AF$157&gt;=ROUND(IF((Y$157-Sys_Repl_Rate!Y118)&lt;Tech_Specs!$C10,Tech_Specs!$C10,(Y$157-Sys_Repl_Rate!Y118)),0),IF($G$157:$AF$157&lt;=Y$157,$G84:$AF84)),IF(Tech_Specs!$K10="lamp",System_Mkt_Repl!$F336:$AE336+System_Mkt_NC!$G336:$AF336,Lamp_Mkt_Repl!$G46:$AF46+System_Mkt_NC!$G336:$AF336))/SUM(IF($G$157:$AF$157&gt;=ROUND(IF((Y$157-Sys_Repl_Rate!Y118)&lt;Tech_Specs!$C10,Tech_Specs!$C10,(Y$157-Sys_Repl_Rate!Y118)),0),IF($G$157:$AF$157&lt;=Y$157,IF(Tech_Specs!$K10="lamp",System_Mkt_Repl!$F336:$AE336+System_Mkt_NC!$G336:$AF336,Lamp_Mkt_Repl!$G46:$AF46+System_Mkt_NC!$G336:$AF336))))))</f>
        <v>16.26722687106129</v>
      </c>
      <c r="Z160" s="373">
        <f t="array" aca="1" ref="Z160" ca="1">IF(Z$157=Misc_Inputs!$D$6,$G84,IF(SUM(IF($G$157:$AF$157&gt;=ROUND(IF((Z$157-Sys_Repl_Rate!Z118)&lt;Tech_Specs!$C10,Tech_Specs!$C10,(Z$157-Sys_Repl_Rate!Z118)),0),IF($G$157:$AF$157&lt;=Z$157,IF(Tech_Specs!$K10="lamp",System_Mkt_Repl!$F336:$AE336+System_Mkt_NC!$G336:$AF336,Lamp_Mkt_Repl!$G46:$AF46+System_Mkt_NC!$G336:$AF336))))=0,0,SUMPRODUCT(IF($G$157:$AF$157&gt;=ROUND(IF((Z$157-Sys_Repl_Rate!Z118)&lt;Tech_Specs!$C10,Tech_Specs!$C10,(Z$157-Sys_Repl_Rate!Z118)),0),IF($G$157:$AF$157&lt;=Z$157,$G84:$AF84)),IF(Tech_Specs!$K10="lamp",System_Mkt_Repl!$F336:$AE336+System_Mkt_NC!$G336:$AF336,Lamp_Mkt_Repl!$G46:$AF46+System_Mkt_NC!$G336:$AF336))/SUM(IF($G$157:$AF$157&gt;=ROUND(IF((Z$157-Sys_Repl_Rate!Z118)&lt;Tech_Specs!$C10,Tech_Specs!$C10,(Z$157-Sys_Repl_Rate!Z118)),0),IF($G$157:$AF$157&lt;=Z$157,IF(Tech_Specs!$K10="lamp",System_Mkt_Repl!$F336:$AE336+System_Mkt_NC!$G336:$AF336,Lamp_Mkt_Repl!$G46:$AF46+System_Mkt_NC!$G336:$AF336))))))</f>
        <v>16.342775537700451</v>
      </c>
      <c r="AA160" s="373">
        <f t="array" aca="1" ref="AA160" ca="1">IF(AA$157=Misc_Inputs!$D$6,$G84,IF(SUM(IF($G$157:$AF$157&gt;=ROUND(IF((AA$157-Sys_Repl_Rate!AA118)&lt;Tech_Specs!$C10,Tech_Specs!$C10,(AA$157-Sys_Repl_Rate!AA118)),0),IF($G$157:$AF$157&lt;=AA$157,IF(Tech_Specs!$K10="lamp",System_Mkt_Repl!$F336:$AE336+System_Mkt_NC!$G336:$AF336,Lamp_Mkt_Repl!$G46:$AF46+System_Mkt_NC!$G336:$AF336))))=0,0,SUMPRODUCT(IF($G$157:$AF$157&gt;=ROUND(IF((AA$157-Sys_Repl_Rate!AA118)&lt;Tech_Specs!$C10,Tech_Specs!$C10,(AA$157-Sys_Repl_Rate!AA118)),0),IF($G$157:$AF$157&lt;=AA$157,$G84:$AF84)),IF(Tech_Specs!$K10="lamp",System_Mkt_Repl!$F336:$AE336+System_Mkt_NC!$G336:$AF336,Lamp_Mkt_Repl!$G46:$AF46+System_Mkt_NC!$G336:$AF336))/SUM(IF($G$157:$AF$157&gt;=ROUND(IF((AA$157-Sys_Repl_Rate!AA118)&lt;Tech_Specs!$C10,Tech_Specs!$C10,(AA$157-Sys_Repl_Rate!AA118)),0),IF($G$157:$AF$157&lt;=AA$157,IF(Tech_Specs!$K10="lamp",System_Mkt_Repl!$F336:$AE336+System_Mkt_NC!$G336:$AF336,Lamp_Mkt_Repl!$G46:$AF46+System_Mkt_NC!$G336:$AF336))))))</f>
        <v>16.374654500917245</v>
      </c>
      <c r="AB160" s="373">
        <f t="array" aca="1" ref="AB160" ca="1">IF(AB$157=Misc_Inputs!$D$6,$G84,IF(SUM(IF($G$157:$AF$157&gt;=ROUND(IF((AB$157-Sys_Repl_Rate!AB118)&lt;Tech_Specs!$C10,Tech_Specs!$C10,(AB$157-Sys_Repl_Rate!AB118)),0),IF($G$157:$AF$157&lt;=AB$157,IF(Tech_Specs!$K10="lamp",System_Mkt_Repl!$F336:$AE336+System_Mkt_NC!$G336:$AF336,Lamp_Mkt_Repl!$G46:$AF46+System_Mkt_NC!$G336:$AF336))))=0,0,SUMPRODUCT(IF($G$157:$AF$157&gt;=ROUND(IF((AB$157-Sys_Repl_Rate!AB118)&lt;Tech_Specs!$C10,Tech_Specs!$C10,(AB$157-Sys_Repl_Rate!AB118)),0),IF($G$157:$AF$157&lt;=AB$157,$G84:$AF84)),IF(Tech_Specs!$K10="lamp",System_Mkt_Repl!$F336:$AE336+System_Mkt_NC!$G336:$AF336,Lamp_Mkt_Repl!$G46:$AF46+System_Mkt_NC!$G336:$AF336))/SUM(IF($G$157:$AF$157&gt;=ROUND(IF((AB$157-Sys_Repl_Rate!AB118)&lt;Tech_Specs!$C10,Tech_Specs!$C10,(AB$157-Sys_Repl_Rate!AB118)),0),IF($G$157:$AF$157&lt;=AB$157,IF(Tech_Specs!$K10="lamp",System_Mkt_Repl!$F336:$AE336+System_Mkt_NC!$G336:$AF336,Lamp_Mkt_Repl!$G46:$AF46+System_Mkt_NC!$G336:$AF336))))))</f>
        <v>16.45096011413299</v>
      </c>
      <c r="AC160" s="373">
        <f t="array" aca="1" ref="AC160" ca="1">IF(AC$157=Misc_Inputs!$D$6,$G84,IF(SUM(IF($G$157:$AF$157&gt;=ROUND(IF((AC$157-Sys_Repl_Rate!AC118)&lt;Tech_Specs!$C10,Tech_Specs!$C10,(AC$157-Sys_Repl_Rate!AC118)),0),IF($G$157:$AF$157&lt;=AC$157,IF(Tech_Specs!$K10="lamp",System_Mkt_Repl!$F336:$AE336+System_Mkt_NC!$G336:$AF336,Lamp_Mkt_Repl!$G46:$AF46+System_Mkt_NC!$G336:$AF336))))=0,0,SUMPRODUCT(IF($G$157:$AF$157&gt;=ROUND(IF((AC$157-Sys_Repl_Rate!AC118)&lt;Tech_Specs!$C10,Tech_Specs!$C10,(AC$157-Sys_Repl_Rate!AC118)),0),IF($G$157:$AF$157&lt;=AC$157,$G84:$AF84)),IF(Tech_Specs!$K10="lamp",System_Mkt_Repl!$F336:$AE336+System_Mkt_NC!$G336:$AF336,Lamp_Mkt_Repl!$G46:$AF46+System_Mkt_NC!$G336:$AF336))/SUM(IF($G$157:$AF$157&gt;=ROUND(IF((AC$157-Sys_Repl_Rate!AC118)&lt;Tech_Specs!$C10,Tech_Specs!$C10,(AC$157-Sys_Repl_Rate!AC118)),0),IF($G$157:$AF$157&lt;=AC$157,IF(Tech_Specs!$K10="lamp",System_Mkt_Repl!$F336:$AE336+System_Mkt_NC!$G336:$AF336,Lamp_Mkt_Repl!$G46:$AF46+System_Mkt_NC!$G336:$AF336))))))</f>
        <v>16.52708934528512</v>
      </c>
      <c r="AD160" s="373">
        <f t="array" aca="1" ref="AD160" ca="1">IF(AD$157=Misc_Inputs!$D$6,$G84,IF(SUM(IF($G$157:$AF$157&gt;=ROUND(IF((AD$157-Sys_Repl_Rate!AD118)&lt;Tech_Specs!$C10,Tech_Specs!$C10,(AD$157-Sys_Repl_Rate!AD118)),0),IF($G$157:$AF$157&lt;=AD$157,IF(Tech_Specs!$K10="lamp",System_Mkt_Repl!$F336:$AE336+System_Mkt_NC!$G336:$AF336,Lamp_Mkt_Repl!$G46:$AF46+System_Mkt_NC!$G336:$AF336))))=0,0,SUMPRODUCT(IF($G$157:$AF$157&gt;=ROUND(IF((AD$157-Sys_Repl_Rate!AD118)&lt;Tech_Specs!$C10,Tech_Specs!$C10,(AD$157-Sys_Repl_Rate!AD118)),0),IF($G$157:$AF$157&lt;=AD$157,$G84:$AF84)),IF(Tech_Specs!$K10="lamp",System_Mkt_Repl!$F336:$AE336+System_Mkt_NC!$G336:$AF336,Lamp_Mkt_Repl!$G46:$AF46+System_Mkt_NC!$G336:$AF336))/SUM(IF($G$157:$AF$157&gt;=ROUND(IF((AD$157-Sys_Repl_Rate!AD118)&lt;Tech_Specs!$C10,Tech_Specs!$C10,(AD$157-Sys_Repl_Rate!AD118)),0),IF($G$157:$AF$157&lt;=AD$157,IF(Tech_Specs!$K10="lamp",System_Mkt_Repl!$F336:$AE336+System_Mkt_NC!$G336:$AF336,Lamp_Mkt_Repl!$G46:$AF46+System_Mkt_NC!$G336:$AF336))))))</f>
        <v>16.602953870665488</v>
      </c>
      <c r="AE160" s="373">
        <f t="array" aca="1" ref="AE160" ca="1">IF(AE$157=Misc_Inputs!$D$6,$G84,IF(SUM(IF($G$157:$AF$157&gt;=ROUND(IF((AE$157-Sys_Repl_Rate!AE118)&lt;Tech_Specs!$C10,Tech_Specs!$C10,(AE$157-Sys_Repl_Rate!AE118)),0),IF($G$157:$AF$157&lt;=AE$157,IF(Tech_Specs!$K10="lamp",System_Mkt_Repl!$F336:$AE336+System_Mkt_NC!$G336:$AF336,Lamp_Mkt_Repl!$G46:$AF46+System_Mkt_NC!$G336:$AF336))))=0,0,SUMPRODUCT(IF($G$157:$AF$157&gt;=ROUND(IF((AE$157-Sys_Repl_Rate!AE118)&lt;Tech_Specs!$C10,Tech_Specs!$C10,(AE$157-Sys_Repl_Rate!AE118)),0),IF($G$157:$AF$157&lt;=AE$157,$G84:$AF84)),IF(Tech_Specs!$K10="lamp",System_Mkt_Repl!$F336:$AE336+System_Mkt_NC!$G336:$AF336,Lamp_Mkt_Repl!$G46:$AF46+System_Mkt_NC!$G336:$AF336))/SUM(IF($G$157:$AF$157&gt;=ROUND(IF((AE$157-Sys_Repl_Rate!AE118)&lt;Tech_Specs!$C10,Tech_Specs!$C10,(AE$157-Sys_Repl_Rate!AE118)),0),IF($G$157:$AF$157&lt;=AE$157,IF(Tech_Specs!$K10="lamp",System_Mkt_Repl!$F336:$AE336+System_Mkt_NC!$G336:$AF336,Lamp_Mkt_Repl!$G46:$AF46+System_Mkt_NC!$G336:$AF336))))))</f>
        <v>16.678662260228965</v>
      </c>
      <c r="AF160" s="373">
        <f t="array" aca="1" ref="AF160" ca="1">IF(AF$157=Misc_Inputs!$D$6,$G84,IF(SUM(IF($G$157:$AF$157&gt;=ROUND(IF((AF$157-Sys_Repl_Rate!AF118)&lt;Tech_Specs!$C10,Tech_Specs!$C10,(AF$157-Sys_Repl_Rate!AF118)),0),IF($G$157:$AF$157&lt;=AF$157,IF(Tech_Specs!$K10="lamp",System_Mkt_Repl!$F336:$AE336+System_Mkt_NC!$G336:$AF336,Lamp_Mkt_Repl!$G46:$AF46+System_Mkt_NC!$G336:$AF336))))=0,0,SUMPRODUCT(IF($G$157:$AF$157&gt;=ROUND(IF((AF$157-Sys_Repl_Rate!AF118)&lt;Tech_Specs!$C10,Tech_Specs!$C10,(AF$157-Sys_Repl_Rate!AF118)),0),IF($G$157:$AF$157&lt;=AF$157,$G84:$AF84)),IF(Tech_Specs!$K10="lamp",System_Mkt_Repl!$F336:$AE336+System_Mkt_NC!$G336:$AF336,Lamp_Mkt_Repl!$G46:$AF46+System_Mkt_NC!$G336:$AF336))/SUM(IF($G$157:$AF$157&gt;=ROUND(IF((AF$157-Sys_Repl_Rate!AF118)&lt;Tech_Specs!$C10,Tech_Specs!$C10,(AF$157-Sys_Repl_Rate!AF118)),0),IF($G$157:$AF$157&lt;=AF$157,IF(Tech_Specs!$K10="lamp",System_Mkt_Repl!$F336:$AE336+System_Mkt_NC!$G336:$AF336,Lamp_Mkt_Repl!$G46:$AF46+System_Mkt_NC!$G336:$AF336))))))</f>
        <v>16.753914261607875</v>
      </c>
    </row>
    <row r="161" spans="1:32" s="101" customFormat="1" ht="12.75" x14ac:dyDescent="0.2">
      <c r="A161" s="81"/>
      <c r="B161" s="81" t="s">
        <v>27</v>
      </c>
      <c r="C161" s="81"/>
      <c r="D161" s="550"/>
      <c r="E161" s="550"/>
      <c r="F161" s="550"/>
      <c r="G161" s="373">
        <f t="array" ref="G161">IF(G$157=Misc_Inputs!$D$6,$G85,IF(SUM(IF($G$157:$AF$157&gt;=ROUND(IF((G$157-Sys_Repl_Rate!G119)&lt;Tech_Specs!$C11,Tech_Specs!$C11,(G$157-Sys_Repl_Rate!G119)),0),IF($G$157:$AF$157&lt;=G$157,IF(Tech_Specs!$K11="lamp",System_Mkt_Repl!$F337:$AE337+System_Mkt_NC!$G337:$AF337,Lamp_Mkt_Repl!$G47:$AF47+System_Mkt_NC!$G337:$AF337))))=0,0,SUMPRODUCT(IF($G$157:$AF$157&gt;=ROUND(IF((G$157-Sys_Repl_Rate!G119)&lt;Tech_Specs!$C11,Tech_Specs!$C11,(G$157-Sys_Repl_Rate!G119)),0),IF($G$157:$AF$157&lt;=G$157,$G85:$AF85)),IF(Tech_Specs!$K11="lamp",System_Mkt_Repl!$F337:$AE337+System_Mkt_NC!$G337:$AF337,Lamp_Mkt_Repl!$G47:$AF47+System_Mkt_NC!$G337:$AF337))/SUM(IF($G$157:$AF$157&gt;=ROUND(IF((G$157-Sys_Repl_Rate!G119)&lt;Tech_Specs!$C11,Tech_Specs!$C11,(G$157-Sys_Repl_Rate!G119)),0),IF($G$157:$AF$157&lt;=G$157,IF(Tech_Specs!$K11="lamp",System_Mkt_Repl!$F337:$AE337+System_Mkt_NC!$G337:$AF337,Lamp_Mkt_Repl!$G47:$AF47+System_Mkt_NC!$G337:$AF337))))))</f>
        <v>53</v>
      </c>
      <c r="H161" s="373">
        <f t="array" aca="1" ref="H161" ca="1">IF(H$157=Misc_Inputs!$D$6,$G85,IF(SUM(IF($G$157:$AF$157&gt;=ROUND(IF((H$157-Sys_Repl_Rate!H119)&lt;Tech_Specs!$C11,Tech_Specs!$C11,(H$157-Sys_Repl_Rate!H119)),0),IF($G$157:$AF$157&lt;=H$157,IF(Tech_Specs!$K11="lamp",System_Mkt_Repl!$F337:$AE337+System_Mkt_NC!$G337:$AF337,Lamp_Mkt_Repl!$G47:$AF47+System_Mkt_NC!$G337:$AF337))))=0,0,SUMPRODUCT(IF($G$157:$AF$157&gt;=ROUND(IF((H$157-Sys_Repl_Rate!H119)&lt;Tech_Specs!$C11,Tech_Specs!$C11,(H$157-Sys_Repl_Rate!H119)),0),IF($G$157:$AF$157&lt;=H$157,$G85:$AF85)),IF(Tech_Specs!$K11="lamp",System_Mkt_Repl!$F337:$AE337+System_Mkt_NC!$G337:$AF337,Lamp_Mkt_Repl!$G47:$AF47+System_Mkt_NC!$G337:$AF337))/SUM(IF($G$157:$AF$157&gt;=ROUND(IF((H$157-Sys_Repl_Rate!H119)&lt;Tech_Specs!$C11,Tech_Specs!$C11,(H$157-Sys_Repl_Rate!H119)),0),IF($G$157:$AF$157&lt;=H$157,IF(Tech_Specs!$K11="lamp",System_Mkt_Repl!$F337:$AE337+System_Mkt_NC!$G337:$AF337,Lamp_Mkt_Repl!$G47:$AF47+System_Mkt_NC!$G337:$AF337))))))</f>
        <v>53.2650000000001</v>
      </c>
      <c r="I161" s="373">
        <f t="array" aca="1" ref="I161" ca="1">IF(I$157=Misc_Inputs!$D$6,$G85,IF(SUM(IF($G$157:$AF$157&gt;=ROUND(IF((I$157-Sys_Repl_Rate!I119)&lt;Tech_Specs!$C11,Tech_Specs!$C11,(I$157-Sys_Repl_Rate!I119)),0),IF($G$157:$AF$157&lt;=I$157,IF(Tech_Specs!$K11="lamp",System_Mkt_Repl!$F337:$AE337+System_Mkt_NC!$G337:$AF337,Lamp_Mkt_Repl!$G47:$AF47+System_Mkt_NC!$G337:$AF337))))=0,0,SUMPRODUCT(IF($G$157:$AF$157&gt;=ROUND(IF((I$157-Sys_Repl_Rate!I119)&lt;Tech_Specs!$C11,Tech_Specs!$C11,(I$157-Sys_Repl_Rate!I119)),0),IF($G$157:$AF$157&lt;=I$157,$G85:$AF85)),IF(Tech_Specs!$K11="lamp",System_Mkt_Repl!$F337:$AE337+System_Mkt_NC!$G337:$AF337,Lamp_Mkt_Repl!$G47:$AF47+System_Mkt_NC!$G337:$AF337))/SUM(IF($G$157:$AF$157&gt;=ROUND(IF((I$157-Sys_Repl_Rate!I119)&lt;Tech_Specs!$C11,Tech_Specs!$C11,(I$157-Sys_Repl_Rate!I119)),0),IF($G$157:$AF$157&lt;=I$157,IF(Tech_Specs!$K11="lamp",System_Mkt_Repl!$F337:$AE337+System_Mkt_NC!$G337:$AF337,Lamp_Mkt_Repl!$G47:$AF47+System_Mkt_NC!$G337:$AF337))))))</f>
        <v>53.398592169411103</v>
      </c>
      <c r="J161" s="373">
        <f t="array" aca="1" ref="J161" ca="1">IF(J$157=Misc_Inputs!$D$6,$G85,IF(SUM(IF($G$157:$AF$157&gt;=ROUND(IF((J$157-Sys_Repl_Rate!J119)&lt;Tech_Specs!$C11,Tech_Specs!$C11,(J$157-Sys_Repl_Rate!J119)),0),IF($G$157:$AF$157&lt;=J$157,IF(Tech_Specs!$K11="lamp",System_Mkt_Repl!$F337:$AE337+System_Mkt_NC!$G337:$AF337,Lamp_Mkt_Repl!$G47:$AF47+System_Mkt_NC!$G337:$AF337))))=0,0,SUMPRODUCT(IF($G$157:$AF$157&gt;=ROUND(IF((J$157-Sys_Repl_Rate!J119)&lt;Tech_Specs!$C11,Tech_Specs!$C11,(J$157-Sys_Repl_Rate!J119)),0),IF($G$157:$AF$157&lt;=J$157,$G85:$AF85)),IF(Tech_Specs!$K11="lamp",System_Mkt_Repl!$F337:$AE337+System_Mkt_NC!$G337:$AF337,Lamp_Mkt_Repl!$G47:$AF47+System_Mkt_NC!$G337:$AF337))/SUM(IF($G$157:$AF$157&gt;=ROUND(IF((J$157-Sys_Repl_Rate!J119)&lt;Tech_Specs!$C11,Tech_Specs!$C11,(J$157-Sys_Repl_Rate!J119)),0),IF($G$157:$AF$157&lt;=J$157,IF(Tech_Specs!$K11="lamp",System_Mkt_Repl!$F337:$AE337+System_Mkt_NC!$G337:$AF337,Lamp_Mkt_Repl!$G47:$AF47+System_Mkt_NC!$G337:$AF337))))))</f>
        <v>53.545676097010855</v>
      </c>
      <c r="K161" s="373">
        <f t="array" aca="1" ref="K161" ca="1">IF(K$157=Misc_Inputs!$D$6,$G85,IF(SUM(IF($G$157:$AF$157&gt;=ROUND(IF((K$157-Sys_Repl_Rate!K119)&lt;Tech_Specs!$C11,Tech_Specs!$C11,(K$157-Sys_Repl_Rate!K119)),0),IF($G$157:$AF$157&lt;=K$157,IF(Tech_Specs!$K11="lamp",System_Mkt_Repl!$F337:$AE337+System_Mkt_NC!$G337:$AF337,Lamp_Mkt_Repl!$G47:$AF47+System_Mkt_NC!$G337:$AF337))))=0,0,SUMPRODUCT(IF($G$157:$AF$157&gt;=ROUND(IF((K$157-Sys_Repl_Rate!K119)&lt;Tech_Specs!$C11,Tech_Specs!$C11,(K$157-Sys_Repl_Rate!K119)),0),IF($G$157:$AF$157&lt;=K$157,$G85:$AF85)),IF(Tech_Specs!$K11="lamp",System_Mkt_Repl!$F337:$AE337+System_Mkt_NC!$G337:$AF337,Lamp_Mkt_Repl!$G47:$AF47+System_Mkt_NC!$G337:$AF337))/SUM(IF($G$157:$AF$157&gt;=ROUND(IF((K$157-Sys_Repl_Rate!K119)&lt;Tech_Specs!$C11,Tech_Specs!$C11,(K$157-Sys_Repl_Rate!K119)),0),IF($G$157:$AF$157&lt;=K$157,IF(Tech_Specs!$K11="lamp",System_Mkt_Repl!$F337:$AE337+System_Mkt_NC!$G337:$AF337,Lamp_Mkt_Repl!$G47:$AF47+System_Mkt_NC!$G337:$AF337))))))</f>
        <v>53.684545036755395</v>
      </c>
      <c r="L161" s="373">
        <f t="array" aca="1" ref="L161" ca="1">IF(L$157=Misc_Inputs!$D$6,$G85,IF(SUM(IF($G$157:$AF$157&gt;=ROUND(IF((L$157-Sys_Repl_Rate!L119)&lt;Tech_Specs!$C11,Tech_Specs!$C11,(L$157-Sys_Repl_Rate!L119)),0),IF($G$157:$AF$157&lt;=L$157,IF(Tech_Specs!$K11="lamp",System_Mkt_Repl!$F337:$AE337+System_Mkt_NC!$G337:$AF337,Lamp_Mkt_Repl!$G47:$AF47+System_Mkt_NC!$G337:$AF337))))=0,0,SUMPRODUCT(IF($G$157:$AF$157&gt;=ROUND(IF((L$157-Sys_Repl_Rate!L119)&lt;Tech_Specs!$C11,Tech_Specs!$C11,(L$157-Sys_Repl_Rate!L119)),0),IF($G$157:$AF$157&lt;=L$157,$G85:$AF85)),IF(Tech_Specs!$K11="lamp",System_Mkt_Repl!$F337:$AE337+System_Mkt_NC!$G337:$AF337,Lamp_Mkt_Repl!$G47:$AF47+System_Mkt_NC!$G337:$AF337))/SUM(IF($G$157:$AF$157&gt;=ROUND(IF((L$157-Sys_Repl_Rate!L119)&lt;Tech_Specs!$C11,Tech_Specs!$C11,(L$157-Sys_Repl_Rate!L119)),0),IF($G$157:$AF$157&lt;=L$157,IF(Tech_Specs!$K11="lamp",System_Mkt_Repl!$F337:$AE337+System_Mkt_NC!$G337:$AF337,Lamp_Mkt_Repl!$G47:$AF47+System_Mkt_NC!$G337:$AF337))))))</f>
        <v>53.827973073058004</v>
      </c>
      <c r="M161" s="373">
        <f t="array" aca="1" ref="M161" ca="1">IF(M$157=Misc_Inputs!$D$6,$G85,IF(SUM(IF($G$157:$AF$157&gt;=ROUND(IF((M$157-Sys_Repl_Rate!M119)&lt;Tech_Specs!$C11,Tech_Specs!$C11,(M$157-Sys_Repl_Rate!M119)),0),IF($G$157:$AF$157&lt;=M$157,IF(Tech_Specs!$K11="lamp",System_Mkt_Repl!$F337:$AE337+System_Mkt_NC!$G337:$AF337,Lamp_Mkt_Repl!$G47:$AF47+System_Mkt_NC!$G337:$AF337))))=0,0,SUMPRODUCT(IF($G$157:$AF$157&gt;=ROUND(IF((M$157-Sys_Repl_Rate!M119)&lt;Tech_Specs!$C11,Tech_Specs!$C11,(M$157-Sys_Repl_Rate!M119)),0),IF($G$157:$AF$157&lt;=M$157,$G85:$AF85)),IF(Tech_Specs!$K11="lamp",System_Mkt_Repl!$F337:$AE337+System_Mkt_NC!$G337:$AF337,Lamp_Mkt_Repl!$G47:$AF47+System_Mkt_NC!$G337:$AF337))/SUM(IF($G$157:$AF$157&gt;=ROUND(IF((M$157-Sys_Repl_Rate!M119)&lt;Tech_Specs!$C11,Tech_Specs!$C11,(M$157-Sys_Repl_Rate!M119)),0),IF($G$157:$AF$157&lt;=M$157,IF(Tech_Specs!$K11="lamp",System_Mkt_Repl!$F337:$AE337+System_Mkt_NC!$G337:$AF337,Lamp_Mkt_Repl!$G47:$AF47+System_Mkt_NC!$G337:$AF337))))))</f>
        <v>53.976460068297143</v>
      </c>
      <c r="N161" s="373">
        <f t="array" aca="1" ref="N161" ca="1">IF(N$157=Misc_Inputs!$D$6,$G85,IF(SUM(IF($G$157:$AF$157&gt;=ROUND(IF((N$157-Sys_Repl_Rate!N119)&lt;Tech_Specs!$C11,Tech_Specs!$C11,(N$157-Sys_Repl_Rate!N119)),0),IF($G$157:$AF$157&lt;=N$157,IF(Tech_Specs!$K11="lamp",System_Mkt_Repl!$F337:$AE337+System_Mkt_NC!$G337:$AF337,Lamp_Mkt_Repl!$G47:$AF47+System_Mkt_NC!$G337:$AF337))))=0,0,SUMPRODUCT(IF($G$157:$AF$157&gt;=ROUND(IF((N$157-Sys_Repl_Rate!N119)&lt;Tech_Specs!$C11,Tech_Specs!$C11,(N$157-Sys_Repl_Rate!N119)),0),IF($G$157:$AF$157&lt;=N$157,$G85:$AF85)),IF(Tech_Specs!$K11="lamp",System_Mkt_Repl!$F337:$AE337+System_Mkt_NC!$G337:$AF337,Lamp_Mkt_Repl!$G47:$AF47+System_Mkt_NC!$G337:$AF337))/SUM(IF($G$157:$AF$157&gt;=ROUND(IF((N$157-Sys_Repl_Rate!N119)&lt;Tech_Specs!$C11,Tech_Specs!$C11,(N$157-Sys_Repl_Rate!N119)),0),IF($G$157:$AF$157&lt;=N$157,IF(Tech_Specs!$K11="lamp",System_Mkt_Repl!$F337:$AE337+System_Mkt_NC!$G337:$AF337,Lamp_Mkt_Repl!$G47:$AF47+System_Mkt_NC!$G337:$AF337))))))</f>
        <v>54.106882321672138</v>
      </c>
      <c r="O161" s="373">
        <f t="array" aca="1" ref="O161" ca="1">IF(O$157=Misc_Inputs!$D$6,$G85,IF(SUM(IF($G$157:$AF$157&gt;=ROUND(IF((O$157-Sys_Repl_Rate!O119)&lt;Tech_Specs!$C11,Tech_Specs!$C11,(O$157-Sys_Repl_Rate!O119)),0),IF($G$157:$AF$157&lt;=O$157,IF(Tech_Specs!$K11="lamp",System_Mkt_Repl!$F337:$AE337+System_Mkt_NC!$G337:$AF337,Lamp_Mkt_Repl!$G47:$AF47+System_Mkt_NC!$G337:$AF337))))=0,0,SUMPRODUCT(IF($G$157:$AF$157&gt;=ROUND(IF((O$157-Sys_Repl_Rate!O119)&lt;Tech_Specs!$C11,Tech_Specs!$C11,(O$157-Sys_Repl_Rate!O119)),0),IF($G$157:$AF$157&lt;=O$157,$G85:$AF85)),IF(Tech_Specs!$K11="lamp",System_Mkt_Repl!$F337:$AE337+System_Mkt_NC!$G337:$AF337,Lamp_Mkt_Repl!$G47:$AF47+System_Mkt_NC!$G337:$AF337))/SUM(IF($G$157:$AF$157&gt;=ROUND(IF((O$157-Sys_Repl_Rate!O119)&lt;Tech_Specs!$C11,Tech_Specs!$C11,(O$157-Sys_Repl_Rate!O119)),0),IF($G$157:$AF$157&lt;=O$157,IF(Tech_Specs!$K11="lamp",System_Mkt_Repl!$F337:$AE337+System_Mkt_NC!$G337:$AF337,Lamp_Mkt_Repl!$G47:$AF47+System_Mkt_NC!$G337:$AF337))))))</f>
        <v>54.226056281753458</v>
      </c>
      <c r="P161" s="373">
        <f t="array" aca="1" ref="P161" ca="1">IF(P$157=Misc_Inputs!$D$6,$G85,IF(SUM(IF($G$157:$AF$157&gt;=ROUND(IF((P$157-Sys_Repl_Rate!P119)&lt;Tech_Specs!$C11,Tech_Specs!$C11,(P$157-Sys_Repl_Rate!P119)),0),IF($G$157:$AF$157&lt;=P$157,IF(Tech_Specs!$K11="lamp",System_Mkt_Repl!$F337:$AE337+System_Mkt_NC!$G337:$AF337,Lamp_Mkt_Repl!$G47:$AF47+System_Mkt_NC!$G337:$AF337))))=0,0,SUMPRODUCT(IF($G$157:$AF$157&gt;=ROUND(IF((P$157-Sys_Repl_Rate!P119)&lt;Tech_Specs!$C11,Tech_Specs!$C11,(P$157-Sys_Repl_Rate!P119)),0),IF($G$157:$AF$157&lt;=P$157,$G85:$AF85)),IF(Tech_Specs!$K11="lamp",System_Mkt_Repl!$F337:$AE337+System_Mkt_NC!$G337:$AF337,Lamp_Mkt_Repl!$G47:$AF47+System_Mkt_NC!$G337:$AF337))/SUM(IF($G$157:$AF$157&gt;=ROUND(IF((P$157-Sys_Repl_Rate!P119)&lt;Tech_Specs!$C11,Tech_Specs!$C11,(P$157-Sys_Repl_Rate!P119)),0),IF($G$157:$AF$157&lt;=P$157,IF(Tech_Specs!$K11="lamp",System_Mkt_Repl!$F337:$AE337+System_Mkt_NC!$G337:$AF337,Lamp_Mkt_Repl!$G47:$AF47+System_Mkt_NC!$G337:$AF337))))))</f>
        <v>54.336196732880744</v>
      </c>
      <c r="Q161" s="373">
        <f t="array" aca="1" ref="Q161" ca="1">IF(Q$157=Misc_Inputs!$D$6,$G85,IF(SUM(IF($G$157:$AF$157&gt;=ROUND(IF((Q$157-Sys_Repl_Rate!Q119)&lt;Tech_Specs!$C11,Tech_Specs!$C11,(Q$157-Sys_Repl_Rate!Q119)),0),IF($G$157:$AF$157&lt;=Q$157,IF(Tech_Specs!$K11="lamp",System_Mkt_Repl!$F337:$AE337+System_Mkt_NC!$G337:$AF337,Lamp_Mkt_Repl!$G47:$AF47+System_Mkt_NC!$G337:$AF337))))=0,0,SUMPRODUCT(IF($G$157:$AF$157&gt;=ROUND(IF((Q$157-Sys_Repl_Rate!Q119)&lt;Tech_Specs!$C11,Tech_Specs!$C11,(Q$157-Sys_Repl_Rate!Q119)),0),IF($G$157:$AF$157&lt;=Q$157,$G85:$AF85)),IF(Tech_Specs!$K11="lamp",System_Mkt_Repl!$F337:$AE337+System_Mkt_NC!$G337:$AF337,Lamp_Mkt_Repl!$G47:$AF47+System_Mkt_NC!$G337:$AF337))/SUM(IF($G$157:$AF$157&gt;=ROUND(IF((Q$157-Sys_Repl_Rate!Q119)&lt;Tech_Specs!$C11,Tech_Specs!$C11,(Q$157-Sys_Repl_Rate!Q119)),0),IF($G$157:$AF$157&lt;=Q$157,IF(Tech_Specs!$K11="lamp",System_Mkt_Repl!$F337:$AE337+System_Mkt_NC!$G337:$AF337,Lamp_Mkt_Repl!$G47:$AF47+System_Mkt_NC!$G337:$AF337))))))</f>
        <v>54.438565415913516</v>
      </c>
      <c r="R161" s="373">
        <f t="array" aca="1" ref="R161" ca="1">IF(R$157=Misc_Inputs!$D$6,$G85,IF(SUM(IF($G$157:$AF$157&gt;=ROUND(IF((R$157-Sys_Repl_Rate!R119)&lt;Tech_Specs!$C11,Tech_Specs!$C11,(R$157-Sys_Repl_Rate!R119)),0),IF($G$157:$AF$157&lt;=R$157,IF(Tech_Specs!$K11="lamp",System_Mkt_Repl!$F337:$AE337+System_Mkt_NC!$G337:$AF337,Lamp_Mkt_Repl!$G47:$AF47+System_Mkt_NC!$G337:$AF337))))=0,0,SUMPRODUCT(IF($G$157:$AF$157&gt;=ROUND(IF((R$157-Sys_Repl_Rate!R119)&lt;Tech_Specs!$C11,Tech_Specs!$C11,(R$157-Sys_Repl_Rate!R119)),0),IF($G$157:$AF$157&lt;=R$157,$G85:$AF85)),IF(Tech_Specs!$K11="lamp",System_Mkt_Repl!$F337:$AE337+System_Mkt_NC!$G337:$AF337,Lamp_Mkt_Repl!$G47:$AF47+System_Mkt_NC!$G337:$AF337))/SUM(IF($G$157:$AF$157&gt;=ROUND(IF((R$157-Sys_Repl_Rate!R119)&lt;Tech_Specs!$C11,Tech_Specs!$C11,(R$157-Sys_Repl_Rate!R119)),0),IF($G$157:$AF$157&lt;=R$157,IF(Tech_Specs!$K11="lamp",System_Mkt_Repl!$F337:$AE337+System_Mkt_NC!$G337:$AF337,Lamp_Mkt_Repl!$G47:$AF47+System_Mkt_NC!$G337:$AF337))))))</f>
        <v>54.533573531390076</v>
      </c>
      <c r="S161" s="373">
        <f t="array" aca="1" ref="S161" ca="1">IF(S$157=Misc_Inputs!$D$6,$G85,IF(SUM(IF($G$157:$AF$157&gt;=ROUND(IF((S$157-Sys_Repl_Rate!S119)&lt;Tech_Specs!$C11,Tech_Specs!$C11,(S$157-Sys_Repl_Rate!S119)),0),IF($G$157:$AF$157&lt;=S$157,IF(Tech_Specs!$K11="lamp",System_Mkt_Repl!$F337:$AE337+System_Mkt_NC!$G337:$AF337,Lamp_Mkt_Repl!$G47:$AF47+System_Mkt_NC!$G337:$AF337))))=0,0,SUMPRODUCT(IF($G$157:$AF$157&gt;=ROUND(IF((S$157-Sys_Repl_Rate!S119)&lt;Tech_Specs!$C11,Tech_Specs!$C11,(S$157-Sys_Repl_Rate!S119)),0),IF($G$157:$AF$157&lt;=S$157,$G85:$AF85)),IF(Tech_Specs!$K11="lamp",System_Mkt_Repl!$F337:$AE337+System_Mkt_NC!$G337:$AF337,Lamp_Mkt_Repl!$G47:$AF47+System_Mkt_NC!$G337:$AF337))/SUM(IF($G$157:$AF$157&gt;=ROUND(IF((S$157-Sys_Repl_Rate!S119)&lt;Tech_Specs!$C11,Tech_Specs!$C11,(S$157-Sys_Repl_Rate!S119)),0),IF($G$157:$AF$157&lt;=S$157,IF(Tech_Specs!$K11="lamp",System_Mkt_Repl!$F337:$AE337+System_Mkt_NC!$G337:$AF337,Lamp_Mkt_Repl!$G47:$AF47+System_Mkt_NC!$G337:$AF337))))))</f>
        <v>54.621407006038574</v>
      </c>
      <c r="T161" s="373">
        <f t="array" aca="1" ref="T161" ca="1">IF(T$157=Misc_Inputs!$D$6,$G85,IF(SUM(IF($G$157:$AF$157&gt;=ROUND(IF((T$157-Sys_Repl_Rate!T119)&lt;Tech_Specs!$C11,Tech_Specs!$C11,(T$157-Sys_Repl_Rate!T119)),0),IF($G$157:$AF$157&lt;=T$157,IF(Tech_Specs!$K11="lamp",System_Mkt_Repl!$F337:$AE337+System_Mkt_NC!$G337:$AF337,Lamp_Mkt_Repl!$G47:$AF47+System_Mkt_NC!$G337:$AF337))))=0,0,SUMPRODUCT(IF($G$157:$AF$157&gt;=ROUND(IF((T$157-Sys_Repl_Rate!T119)&lt;Tech_Specs!$C11,Tech_Specs!$C11,(T$157-Sys_Repl_Rate!T119)),0),IF($G$157:$AF$157&lt;=T$157,$G85:$AF85)),IF(Tech_Specs!$K11="lamp",System_Mkt_Repl!$F337:$AE337+System_Mkt_NC!$G337:$AF337,Lamp_Mkt_Repl!$G47:$AF47+System_Mkt_NC!$G337:$AF337))/SUM(IF($G$157:$AF$157&gt;=ROUND(IF((T$157-Sys_Repl_Rate!T119)&lt;Tech_Specs!$C11,Tech_Specs!$C11,(T$157-Sys_Repl_Rate!T119)),0),IF($G$157:$AF$157&lt;=T$157,IF(Tech_Specs!$K11="lamp",System_Mkt_Repl!$F337:$AE337+System_Mkt_NC!$G337:$AF337,Lamp_Mkt_Repl!$G47:$AF47+System_Mkt_NC!$G337:$AF337))))))</f>
        <v>54.702392422488181</v>
      </c>
      <c r="U161" s="373">
        <f t="array" aca="1" ref="U161" ca="1">IF(U$157=Misc_Inputs!$D$6,$G85,IF(SUM(IF($G$157:$AF$157&gt;=ROUND(IF((U$157-Sys_Repl_Rate!U119)&lt;Tech_Specs!$C11,Tech_Specs!$C11,(U$157-Sys_Repl_Rate!U119)),0),IF($G$157:$AF$157&lt;=U$157,IF(Tech_Specs!$K11="lamp",System_Mkt_Repl!$F337:$AE337+System_Mkt_NC!$G337:$AF337,Lamp_Mkt_Repl!$G47:$AF47+System_Mkt_NC!$G337:$AF337))))=0,0,SUMPRODUCT(IF($G$157:$AF$157&gt;=ROUND(IF((U$157-Sys_Repl_Rate!U119)&lt;Tech_Specs!$C11,Tech_Specs!$C11,(U$157-Sys_Repl_Rate!U119)),0),IF($G$157:$AF$157&lt;=U$157,$G85:$AF85)),IF(Tech_Specs!$K11="lamp",System_Mkt_Repl!$F337:$AE337+System_Mkt_NC!$G337:$AF337,Lamp_Mkt_Repl!$G47:$AF47+System_Mkt_NC!$G337:$AF337))/SUM(IF($G$157:$AF$157&gt;=ROUND(IF((U$157-Sys_Repl_Rate!U119)&lt;Tech_Specs!$C11,Tech_Specs!$C11,(U$157-Sys_Repl_Rate!U119)),0),IF($G$157:$AF$157&lt;=U$157,IF(Tech_Specs!$K11="lamp",System_Mkt_Repl!$F337:$AE337+System_Mkt_NC!$G337:$AF337,Lamp_Mkt_Repl!$G47:$AF47+System_Mkt_NC!$G337:$AF337))))))</f>
        <v>54.777103601191925</v>
      </c>
      <c r="V161" s="373">
        <f t="array" aca="1" ref="V161" ca="1">IF(V$157=Misc_Inputs!$D$6,$G85,IF(SUM(IF($G$157:$AF$157&gt;=ROUND(IF((V$157-Sys_Repl_Rate!V119)&lt;Tech_Specs!$C11,Tech_Specs!$C11,(V$157-Sys_Repl_Rate!V119)),0),IF($G$157:$AF$157&lt;=V$157,IF(Tech_Specs!$K11="lamp",System_Mkt_Repl!$F337:$AE337+System_Mkt_NC!$G337:$AF337,Lamp_Mkt_Repl!$G47:$AF47+System_Mkt_NC!$G337:$AF337))))=0,0,SUMPRODUCT(IF($G$157:$AF$157&gt;=ROUND(IF((V$157-Sys_Repl_Rate!V119)&lt;Tech_Specs!$C11,Tech_Specs!$C11,(V$157-Sys_Repl_Rate!V119)),0),IF($G$157:$AF$157&lt;=V$157,$G85:$AF85)),IF(Tech_Specs!$K11="lamp",System_Mkt_Repl!$F337:$AE337+System_Mkt_NC!$G337:$AF337,Lamp_Mkt_Repl!$G47:$AF47+System_Mkt_NC!$G337:$AF337))/SUM(IF($G$157:$AF$157&gt;=ROUND(IF((V$157-Sys_Repl_Rate!V119)&lt;Tech_Specs!$C11,Tech_Specs!$C11,(V$157-Sys_Repl_Rate!V119)),0),IF($G$157:$AF$157&lt;=V$157,IF(Tech_Specs!$K11="lamp",System_Mkt_Repl!$F337:$AE337+System_Mkt_NC!$G337:$AF337,Lamp_Mkt_Repl!$G47:$AF47+System_Mkt_NC!$G337:$AF337))))))</f>
        <v>54.846320830175223</v>
      </c>
      <c r="W161" s="373">
        <f t="array" aca="1" ref="W161" ca="1">IF(W$157=Misc_Inputs!$D$6,$G85,IF(SUM(IF($G$157:$AF$157&gt;=ROUND(IF((W$157-Sys_Repl_Rate!W119)&lt;Tech_Specs!$C11,Tech_Specs!$C11,(W$157-Sys_Repl_Rate!W119)),0),IF($G$157:$AF$157&lt;=W$157,IF(Tech_Specs!$K11="lamp",System_Mkt_Repl!$F337:$AE337+System_Mkt_NC!$G337:$AF337,Lamp_Mkt_Repl!$G47:$AF47+System_Mkt_NC!$G337:$AF337))))=0,0,SUMPRODUCT(IF($G$157:$AF$157&gt;=ROUND(IF((W$157-Sys_Repl_Rate!W119)&lt;Tech_Specs!$C11,Tech_Specs!$C11,(W$157-Sys_Repl_Rate!W119)),0),IF($G$157:$AF$157&lt;=W$157,$G85:$AF85)),IF(Tech_Specs!$K11="lamp",System_Mkt_Repl!$F337:$AE337+System_Mkt_NC!$G337:$AF337,Lamp_Mkt_Repl!$G47:$AF47+System_Mkt_NC!$G337:$AF337))/SUM(IF($G$157:$AF$157&gt;=ROUND(IF((W$157-Sys_Repl_Rate!W119)&lt;Tech_Specs!$C11,Tech_Specs!$C11,(W$157-Sys_Repl_Rate!W119)),0),IF($G$157:$AF$157&lt;=W$157,IF(Tech_Specs!$K11="lamp",System_Mkt_Repl!$F337:$AE337+System_Mkt_NC!$G337:$AF337,Lamp_Mkt_Repl!$G47:$AF47+System_Mkt_NC!$G337:$AF337))))))</f>
        <v>54.910904945219826</v>
      </c>
      <c r="X161" s="373">
        <f t="array" aca="1" ref="X161" ca="1">IF(X$157=Misc_Inputs!$D$6,$G85,IF(SUM(IF($G$157:$AF$157&gt;=ROUND(IF((X$157-Sys_Repl_Rate!X119)&lt;Tech_Specs!$C11,Tech_Specs!$C11,(X$157-Sys_Repl_Rate!X119)),0),IF($G$157:$AF$157&lt;=X$157,IF(Tech_Specs!$K11="lamp",System_Mkt_Repl!$F337:$AE337+System_Mkt_NC!$G337:$AF337,Lamp_Mkt_Repl!$G47:$AF47+System_Mkt_NC!$G337:$AF337))))=0,0,SUMPRODUCT(IF($G$157:$AF$157&gt;=ROUND(IF((X$157-Sys_Repl_Rate!X119)&lt;Tech_Specs!$C11,Tech_Specs!$C11,(X$157-Sys_Repl_Rate!X119)),0),IF($G$157:$AF$157&lt;=X$157,$G85:$AF85)),IF(Tech_Specs!$K11="lamp",System_Mkt_Repl!$F337:$AE337+System_Mkt_NC!$G337:$AF337,Lamp_Mkt_Repl!$G47:$AF47+System_Mkt_NC!$G337:$AF337))/SUM(IF($G$157:$AF$157&gt;=ROUND(IF((X$157-Sys_Repl_Rate!X119)&lt;Tech_Specs!$C11,Tech_Specs!$C11,(X$157-Sys_Repl_Rate!X119)),0),IF($G$157:$AF$157&lt;=X$157,IF(Tech_Specs!$K11="lamp",System_Mkt_Repl!$F337:$AE337+System_Mkt_NC!$G337:$AF337,Lamp_Mkt_Repl!$G47:$AF47+System_Mkt_NC!$G337:$AF337))))))</f>
        <v>54.971653842545329</v>
      </c>
      <c r="Y161" s="373">
        <f t="array" aca="1" ref="Y161" ca="1">IF(Y$157=Misc_Inputs!$D$6,$G85,IF(SUM(IF($G$157:$AF$157&gt;=ROUND(IF((Y$157-Sys_Repl_Rate!Y119)&lt;Tech_Specs!$C11,Tech_Specs!$C11,(Y$157-Sys_Repl_Rate!Y119)),0),IF($G$157:$AF$157&lt;=Y$157,IF(Tech_Specs!$K11="lamp",System_Mkt_Repl!$F337:$AE337+System_Mkt_NC!$G337:$AF337,Lamp_Mkt_Repl!$G47:$AF47+System_Mkt_NC!$G337:$AF337))))=0,0,SUMPRODUCT(IF($G$157:$AF$157&gt;=ROUND(IF((Y$157-Sys_Repl_Rate!Y119)&lt;Tech_Specs!$C11,Tech_Specs!$C11,(Y$157-Sys_Repl_Rate!Y119)),0),IF($G$157:$AF$157&lt;=Y$157,$G85:$AF85)),IF(Tech_Specs!$K11="lamp",System_Mkt_Repl!$F337:$AE337+System_Mkt_NC!$G337:$AF337,Lamp_Mkt_Repl!$G47:$AF47+System_Mkt_NC!$G337:$AF337))/SUM(IF($G$157:$AF$157&gt;=ROUND(IF((Y$157-Sys_Repl_Rate!Y119)&lt;Tech_Specs!$C11,Tech_Specs!$C11,(Y$157-Sys_Repl_Rate!Y119)),0),IF($G$157:$AF$157&lt;=Y$157,IF(Tech_Specs!$K11="lamp",System_Mkt_Repl!$F337:$AE337+System_Mkt_NC!$G337:$AF337,Lamp_Mkt_Repl!$G47:$AF47+System_Mkt_NC!$G337:$AF337))))))</f>
        <v>55.029373194045618</v>
      </c>
      <c r="Z161" s="373">
        <f t="array" aca="1" ref="Z161" ca="1">IF(Z$157=Misc_Inputs!$D$6,$G85,IF(SUM(IF($G$157:$AF$157&gt;=ROUND(IF((Z$157-Sys_Repl_Rate!Z119)&lt;Tech_Specs!$C11,Tech_Specs!$C11,(Z$157-Sys_Repl_Rate!Z119)),0),IF($G$157:$AF$157&lt;=Z$157,IF(Tech_Specs!$K11="lamp",System_Mkt_Repl!$F337:$AE337+System_Mkt_NC!$G337:$AF337,Lamp_Mkt_Repl!$G47:$AF47+System_Mkt_NC!$G337:$AF337))))=0,0,SUMPRODUCT(IF($G$157:$AF$157&gt;=ROUND(IF((Z$157-Sys_Repl_Rate!Z119)&lt;Tech_Specs!$C11,Tech_Specs!$C11,(Z$157-Sys_Repl_Rate!Z119)),0),IF($G$157:$AF$157&lt;=Z$157,$G85:$AF85)),IF(Tech_Specs!$K11="lamp",System_Mkt_Repl!$F337:$AE337+System_Mkt_NC!$G337:$AF337,Lamp_Mkt_Repl!$G47:$AF47+System_Mkt_NC!$G337:$AF337))/SUM(IF($G$157:$AF$157&gt;=ROUND(IF((Z$157-Sys_Repl_Rate!Z119)&lt;Tech_Specs!$C11,Tech_Specs!$C11,(Z$157-Sys_Repl_Rate!Z119)),0),IF($G$157:$AF$157&lt;=Z$157,IF(Tech_Specs!$K11="lamp",System_Mkt_Repl!$F337:$AE337+System_Mkt_NC!$G337:$AF337,Lamp_Mkt_Repl!$G47:$AF47+System_Mkt_NC!$G337:$AF337))))))</f>
        <v>55.209933699328765</v>
      </c>
      <c r="AA161" s="373">
        <f t="array" aca="1" ref="AA161" ca="1">IF(AA$157=Misc_Inputs!$D$6,$G85,IF(SUM(IF($G$157:$AF$157&gt;=ROUND(IF((AA$157-Sys_Repl_Rate!AA119)&lt;Tech_Specs!$C11,Tech_Specs!$C11,(AA$157-Sys_Repl_Rate!AA119)),0),IF($G$157:$AF$157&lt;=AA$157,IF(Tech_Specs!$K11="lamp",System_Mkt_Repl!$F337:$AE337+System_Mkt_NC!$G337:$AF337,Lamp_Mkt_Repl!$G47:$AF47+System_Mkt_NC!$G337:$AF337))))=0,0,SUMPRODUCT(IF($G$157:$AF$157&gt;=ROUND(IF((AA$157-Sys_Repl_Rate!AA119)&lt;Tech_Specs!$C11,Tech_Specs!$C11,(AA$157-Sys_Repl_Rate!AA119)),0),IF($G$157:$AF$157&lt;=AA$157,$G85:$AF85)),IF(Tech_Specs!$K11="lamp",System_Mkt_Repl!$F337:$AE337+System_Mkt_NC!$G337:$AF337,Lamp_Mkt_Repl!$G47:$AF47+System_Mkt_NC!$G337:$AF337))/SUM(IF($G$157:$AF$157&gt;=ROUND(IF((AA$157-Sys_Repl_Rate!AA119)&lt;Tech_Specs!$C11,Tech_Specs!$C11,(AA$157-Sys_Repl_Rate!AA119)),0),IF($G$157:$AF$157&lt;=AA$157,IF(Tech_Specs!$K11="lamp",System_Mkt_Repl!$F337:$AE337+System_Mkt_NC!$G337:$AF337,Lamp_Mkt_Repl!$G47:$AF47+System_Mkt_NC!$G337:$AF337))))))</f>
        <v>55.393186846213951</v>
      </c>
      <c r="AB161" s="373">
        <f t="array" aca="1" ref="AB161" ca="1">IF(AB$157=Misc_Inputs!$D$6,$G85,IF(SUM(IF($G$157:$AF$157&gt;=ROUND(IF((AB$157-Sys_Repl_Rate!AB119)&lt;Tech_Specs!$C11,Tech_Specs!$C11,(AB$157-Sys_Repl_Rate!AB119)),0),IF($G$157:$AF$157&lt;=AB$157,IF(Tech_Specs!$K11="lamp",System_Mkt_Repl!$F337:$AE337+System_Mkt_NC!$G337:$AF337,Lamp_Mkt_Repl!$G47:$AF47+System_Mkt_NC!$G337:$AF337))))=0,0,SUMPRODUCT(IF($G$157:$AF$157&gt;=ROUND(IF((AB$157-Sys_Repl_Rate!AB119)&lt;Tech_Specs!$C11,Tech_Specs!$C11,(AB$157-Sys_Repl_Rate!AB119)),0),IF($G$157:$AF$157&lt;=AB$157,$G85:$AF85)),IF(Tech_Specs!$K11="lamp",System_Mkt_Repl!$F337:$AE337+System_Mkt_NC!$G337:$AF337,Lamp_Mkt_Repl!$G47:$AF47+System_Mkt_NC!$G337:$AF337))/SUM(IF($G$157:$AF$157&gt;=ROUND(IF((AB$157-Sys_Repl_Rate!AB119)&lt;Tech_Specs!$C11,Tech_Specs!$C11,(AB$157-Sys_Repl_Rate!AB119)),0),IF($G$157:$AF$157&lt;=AB$157,IF(Tech_Specs!$K11="lamp",System_Mkt_Repl!$F337:$AE337+System_Mkt_NC!$G337:$AF337,Lamp_Mkt_Repl!$G47:$AF47+System_Mkt_NC!$G337:$AF337))))))</f>
        <v>55.602555268096204</v>
      </c>
      <c r="AC161" s="373">
        <f t="array" aca="1" ref="AC161" ca="1">IF(AC$157=Misc_Inputs!$D$6,$G85,IF(SUM(IF($G$157:$AF$157&gt;=ROUND(IF((AC$157-Sys_Repl_Rate!AC119)&lt;Tech_Specs!$C11,Tech_Specs!$C11,(AC$157-Sys_Repl_Rate!AC119)),0),IF($G$157:$AF$157&lt;=AC$157,IF(Tech_Specs!$K11="lamp",System_Mkt_Repl!$F337:$AE337+System_Mkt_NC!$G337:$AF337,Lamp_Mkt_Repl!$G47:$AF47+System_Mkt_NC!$G337:$AF337))))=0,0,SUMPRODUCT(IF($G$157:$AF$157&gt;=ROUND(IF((AC$157-Sys_Repl_Rate!AC119)&lt;Tech_Specs!$C11,Tech_Specs!$C11,(AC$157-Sys_Repl_Rate!AC119)),0),IF($G$157:$AF$157&lt;=AC$157,$G85:$AF85)),IF(Tech_Specs!$K11="lamp",System_Mkt_Repl!$F337:$AE337+System_Mkt_NC!$G337:$AF337,Lamp_Mkt_Repl!$G47:$AF47+System_Mkt_NC!$G337:$AF337))/SUM(IF($G$157:$AF$157&gt;=ROUND(IF((AC$157-Sys_Repl_Rate!AC119)&lt;Tech_Specs!$C11,Tech_Specs!$C11,(AC$157-Sys_Repl_Rate!AC119)),0),IF($G$157:$AF$157&lt;=AC$157,IF(Tech_Specs!$K11="lamp",System_Mkt_Repl!$F337:$AE337+System_Mkt_NC!$G337:$AF337,Lamp_Mkt_Repl!$G47:$AF47+System_Mkt_NC!$G337:$AF337))))))</f>
        <v>55.820099090774214</v>
      </c>
      <c r="AD161" s="373">
        <f t="array" aca="1" ref="AD161" ca="1">IF(AD$157=Misc_Inputs!$D$6,$G85,IF(SUM(IF($G$157:$AF$157&gt;=ROUND(IF((AD$157-Sys_Repl_Rate!AD119)&lt;Tech_Specs!$C11,Tech_Specs!$C11,(AD$157-Sys_Repl_Rate!AD119)),0),IF($G$157:$AF$157&lt;=AD$157,IF(Tech_Specs!$K11="lamp",System_Mkt_Repl!$F337:$AE337+System_Mkt_NC!$G337:$AF337,Lamp_Mkt_Repl!$G47:$AF47+System_Mkt_NC!$G337:$AF337))))=0,0,SUMPRODUCT(IF($G$157:$AF$157&gt;=ROUND(IF((AD$157-Sys_Repl_Rate!AD119)&lt;Tech_Specs!$C11,Tech_Specs!$C11,(AD$157-Sys_Repl_Rate!AD119)),0),IF($G$157:$AF$157&lt;=AD$157,$G85:$AF85)),IF(Tech_Specs!$K11="lamp",System_Mkt_Repl!$F337:$AE337+System_Mkt_NC!$G337:$AF337,Lamp_Mkt_Repl!$G47:$AF47+System_Mkt_NC!$G337:$AF337))/SUM(IF($G$157:$AF$157&gt;=ROUND(IF((AD$157-Sys_Repl_Rate!AD119)&lt;Tech_Specs!$C11,Tech_Specs!$C11,(AD$157-Sys_Repl_Rate!AD119)),0),IF($G$157:$AF$157&lt;=AD$157,IF(Tech_Specs!$K11="lamp",System_Mkt_Repl!$F337:$AE337+System_Mkt_NC!$G337:$AF337,Lamp_Mkt_Repl!$G47:$AF47+System_Mkt_NC!$G337:$AF337))))))</f>
        <v>56.062298928727657</v>
      </c>
      <c r="AE161" s="373">
        <f t="array" aca="1" ref="AE161" ca="1">IF(AE$157=Misc_Inputs!$D$6,$G85,IF(SUM(IF($G$157:$AF$157&gt;=ROUND(IF((AE$157-Sys_Repl_Rate!AE119)&lt;Tech_Specs!$C11,Tech_Specs!$C11,(AE$157-Sys_Repl_Rate!AE119)),0),IF($G$157:$AF$157&lt;=AE$157,IF(Tech_Specs!$K11="lamp",System_Mkt_Repl!$F337:$AE337+System_Mkt_NC!$G337:$AF337,Lamp_Mkt_Repl!$G47:$AF47+System_Mkt_NC!$G337:$AF337))))=0,0,SUMPRODUCT(IF($G$157:$AF$157&gt;=ROUND(IF((AE$157-Sys_Repl_Rate!AE119)&lt;Tech_Specs!$C11,Tech_Specs!$C11,(AE$157-Sys_Repl_Rate!AE119)),0),IF($G$157:$AF$157&lt;=AE$157,$G85:$AF85)),IF(Tech_Specs!$K11="lamp",System_Mkt_Repl!$F337:$AE337+System_Mkt_NC!$G337:$AF337,Lamp_Mkt_Repl!$G47:$AF47+System_Mkt_NC!$G337:$AF337))/SUM(IF($G$157:$AF$157&gt;=ROUND(IF((AE$157-Sys_Repl_Rate!AE119)&lt;Tech_Specs!$C11,Tech_Specs!$C11,(AE$157-Sys_Repl_Rate!AE119)),0),IF($G$157:$AF$157&lt;=AE$157,IF(Tech_Specs!$K11="lamp",System_Mkt_Repl!$F337:$AE337+System_Mkt_NC!$G337:$AF337,Lamp_Mkt_Repl!$G47:$AF47+System_Mkt_NC!$G337:$AF337))))))</f>
        <v>56.126626514210521</v>
      </c>
      <c r="AF161" s="373">
        <f t="array" aca="1" ref="AF161" ca="1">IF(AF$157=Misc_Inputs!$D$6,$G85,IF(SUM(IF($G$157:$AF$157&gt;=ROUND(IF((AF$157-Sys_Repl_Rate!AF119)&lt;Tech_Specs!$C11,Tech_Specs!$C11,(AF$157-Sys_Repl_Rate!AF119)),0),IF($G$157:$AF$157&lt;=AF$157,IF(Tech_Specs!$K11="lamp",System_Mkt_Repl!$F337:$AE337+System_Mkt_NC!$G337:$AF337,Lamp_Mkt_Repl!$G47:$AF47+System_Mkt_NC!$G337:$AF337))))=0,0,SUMPRODUCT(IF($G$157:$AF$157&gt;=ROUND(IF((AF$157-Sys_Repl_Rate!AF119)&lt;Tech_Specs!$C11,Tech_Specs!$C11,(AF$157-Sys_Repl_Rate!AF119)),0),IF($G$157:$AF$157&lt;=AF$157,$G85:$AF85)),IF(Tech_Specs!$K11="lamp",System_Mkt_Repl!$F337:$AE337+System_Mkt_NC!$G337:$AF337,Lamp_Mkt_Repl!$G47:$AF47+System_Mkt_NC!$G337:$AF337))/SUM(IF($G$157:$AF$157&gt;=ROUND(IF((AF$157-Sys_Repl_Rate!AF119)&lt;Tech_Specs!$C11,Tech_Specs!$C11,(AF$157-Sys_Repl_Rate!AF119)),0),IF($G$157:$AF$157&lt;=AF$157,IF(Tech_Specs!$K11="lamp",System_Mkt_Repl!$F337:$AE337+System_Mkt_NC!$G337:$AF337,Lamp_Mkt_Repl!$G47:$AF47+System_Mkt_NC!$G337:$AF337))))))</f>
        <v>56.412251218172806</v>
      </c>
    </row>
    <row r="162" spans="1:32" s="101" customFormat="1" ht="12.75" x14ac:dyDescent="0.2">
      <c r="A162" s="81"/>
      <c r="B162" s="81" t="s">
        <v>29</v>
      </c>
      <c r="C162" s="81"/>
      <c r="D162" s="550"/>
      <c r="E162" s="550"/>
      <c r="F162" s="550"/>
      <c r="G162" s="373">
        <f t="array" ref="G162">IF(G$157=Misc_Inputs!$D$6,$G86,IF(SUM(IF($G$157:$AF$157&gt;=ROUND(IF((G$157-Sys_Repl_Rate!G120)&lt;Tech_Specs!$C12,Tech_Specs!$C12,(G$157-Sys_Repl_Rate!G120)),0),IF($G$157:$AF$157&lt;=G$157,IF(Tech_Specs!$K12="lamp",System_Mkt_Repl!$F338:$AE338+System_Mkt_NC!$G338:$AF338,Lamp_Mkt_Repl!$G48:$AF48+System_Mkt_NC!$G338:$AF338))))=0,0,SUMPRODUCT(IF($G$157:$AF$157&gt;=ROUND(IF((G$157-Sys_Repl_Rate!G120)&lt;Tech_Specs!$C12,Tech_Specs!$C12,(G$157-Sys_Repl_Rate!G120)),0),IF($G$157:$AF$157&lt;=G$157,$G86:$AF86)),IF(Tech_Specs!$K12="lamp",System_Mkt_Repl!$F338:$AE338+System_Mkt_NC!$G338:$AF338,Lamp_Mkt_Repl!$G48:$AF48+System_Mkt_NC!$G338:$AF338))/SUM(IF($G$157:$AF$157&gt;=ROUND(IF((G$157-Sys_Repl_Rate!G120)&lt;Tech_Specs!$C12,Tech_Specs!$C12,(G$157-Sys_Repl_Rate!G120)),0),IF($G$157:$AF$157&lt;=G$157,IF(Tech_Specs!$K12="lamp",System_Mkt_Repl!$F338:$AE338+System_Mkt_NC!$G338:$AF338,Lamp_Mkt_Repl!$G48:$AF48+System_Mkt_NC!$G338:$AF338))))))</f>
        <v>36.873768202819726</v>
      </c>
      <c r="H162" s="373">
        <f t="array" aca="1" ref="H162" ca="1">IF(H$157=Misc_Inputs!$D$6,$G86,IF(SUM(IF($G$157:$AF$157&gt;=ROUND(IF((H$157-Sys_Repl_Rate!H120)&lt;Tech_Specs!$C12,Tech_Specs!$C12,(H$157-Sys_Repl_Rate!H120)),0),IF($G$157:$AF$157&lt;=H$157,IF(Tech_Specs!$K12="lamp",System_Mkt_Repl!$F338:$AE338+System_Mkt_NC!$G338:$AF338,Lamp_Mkt_Repl!$G48:$AF48+System_Mkt_NC!$G338:$AF338))))=0,0,SUMPRODUCT(IF($G$157:$AF$157&gt;=ROUND(IF((H$157-Sys_Repl_Rate!H120)&lt;Tech_Specs!$C12,Tech_Specs!$C12,(H$157-Sys_Repl_Rate!H120)),0),IF($G$157:$AF$157&lt;=H$157,$G86:$AF86)),IF(Tech_Specs!$K12="lamp",System_Mkt_Repl!$F338:$AE338+System_Mkt_NC!$G338:$AF338,Lamp_Mkt_Repl!$G48:$AF48+System_Mkt_NC!$G338:$AF338))/SUM(IF($G$157:$AF$157&gt;=ROUND(IF((H$157-Sys_Repl_Rate!H120)&lt;Tech_Specs!$C12,Tech_Specs!$C12,(H$157-Sys_Repl_Rate!H120)),0),IF($G$157:$AF$157&lt;=H$157,IF(Tech_Specs!$K12="lamp",System_Mkt_Repl!$F338:$AE338+System_Mkt_NC!$G338:$AF338,Lamp_Mkt_Repl!$G48:$AF48+System_Mkt_NC!$G338:$AF338))))))</f>
        <v>48.266272480467556</v>
      </c>
      <c r="I162" s="373">
        <f t="array" aca="1" ref="I162" ca="1">IF(I$157=Misc_Inputs!$D$6,$G86,IF(SUM(IF($G$157:$AF$157&gt;=ROUND(IF((I$157-Sys_Repl_Rate!I120)&lt;Tech_Specs!$C12,Tech_Specs!$C12,(I$157-Sys_Repl_Rate!I120)),0),IF($G$157:$AF$157&lt;=I$157,IF(Tech_Specs!$K12="lamp",System_Mkt_Repl!$F338:$AE338+System_Mkt_NC!$G338:$AF338,Lamp_Mkt_Repl!$G48:$AF48+System_Mkt_NC!$G338:$AF338))))=0,0,SUMPRODUCT(IF($G$157:$AF$157&gt;=ROUND(IF((I$157-Sys_Repl_Rate!I120)&lt;Tech_Specs!$C12,Tech_Specs!$C12,(I$157-Sys_Repl_Rate!I120)),0),IF($G$157:$AF$157&lt;=I$157,$G86:$AF86)),IF(Tech_Specs!$K12="lamp",System_Mkt_Repl!$F338:$AE338+System_Mkt_NC!$G338:$AF338,Lamp_Mkt_Repl!$G48:$AF48+System_Mkt_NC!$G338:$AF338))/SUM(IF($G$157:$AF$157&gt;=ROUND(IF((I$157-Sys_Repl_Rate!I120)&lt;Tech_Specs!$C12,Tech_Specs!$C12,(I$157-Sys_Repl_Rate!I120)),0),IF($G$157:$AF$157&lt;=I$157,IF(Tech_Specs!$K12="lamp",System_Mkt_Repl!$F338:$AE338+System_Mkt_NC!$G338:$AF338,Lamp_Mkt_Repl!$G48:$AF48+System_Mkt_NC!$G338:$AF338))))))</f>
        <v>57.900240560180464</v>
      </c>
      <c r="J162" s="373">
        <f t="array" aca="1" ref="J162" ca="1">IF(J$157=Misc_Inputs!$D$6,$G86,IF(SUM(IF($G$157:$AF$157&gt;=ROUND(IF((J$157-Sys_Repl_Rate!J120)&lt;Tech_Specs!$C12,Tech_Specs!$C12,(J$157-Sys_Repl_Rate!J120)),0),IF($G$157:$AF$157&lt;=J$157,IF(Tech_Specs!$K12="lamp",System_Mkt_Repl!$F338:$AE338+System_Mkt_NC!$G338:$AF338,Lamp_Mkt_Repl!$G48:$AF48+System_Mkt_NC!$G338:$AF338))))=0,0,SUMPRODUCT(IF($G$157:$AF$157&gt;=ROUND(IF((J$157-Sys_Repl_Rate!J120)&lt;Tech_Specs!$C12,Tech_Specs!$C12,(J$157-Sys_Repl_Rate!J120)),0),IF($G$157:$AF$157&lt;=J$157,$G86:$AF86)),IF(Tech_Specs!$K12="lamp",System_Mkt_Repl!$F338:$AE338+System_Mkt_NC!$G338:$AF338,Lamp_Mkt_Repl!$G48:$AF48+System_Mkt_NC!$G338:$AF338))/SUM(IF($G$157:$AF$157&gt;=ROUND(IF((J$157-Sys_Repl_Rate!J120)&lt;Tech_Specs!$C12,Tech_Specs!$C12,(J$157-Sys_Repl_Rate!J120)),0),IF($G$157:$AF$157&lt;=J$157,IF(Tech_Specs!$K12="lamp",System_Mkt_Repl!$F338:$AE338+System_Mkt_NC!$G338:$AF338,Lamp_Mkt_Repl!$G48:$AF48+System_Mkt_NC!$G338:$AF338))))))</f>
        <v>68.509629323534909</v>
      </c>
      <c r="K162" s="373">
        <f t="array" aca="1" ref="K162" ca="1">IF(K$157=Misc_Inputs!$D$6,$G86,IF(SUM(IF($G$157:$AF$157&gt;=ROUND(IF((K$157-Sys_Repl_Rate!K120)&lt;Tech_Specs!$C12,Tech_Specs!$C12,(K$157-Sys_Repl_Rate!K120)),0),IF($G$157:$AF$157&lt;=K$157,IF(Tech_Specs!$K12="lamp",System_Mkt_Repl!$F338:$AE338+System_Mkt_NC!$G338:$AF338,Lamp_Mkt_Repl!$G48:$AF48+System_Mkt_NC!$G338:$AF338))))=0,0,SUMPRODUCT(IF($G$157:$AF$157&gt;=ROUND(IF((K$157-Sys_Repl_Rate!K120)&lt;Tech_Specs!$C12,Tech_Specs!$C12,(K$157-Sys_Repl_Rate!K120)),0),IF($G$157:$AF$157&lt;=K$157,$G86:$AF86)),IF(Tech_Specs!$K12="lamp",System_Mkt_Repl!$F338:$AE338+System_Mkt_NC!$G338:$AF338,Lamp_Mkt_Repl!$G48:$AF48+System_Mkt_NC!$G338:$AF338))/SUM(IF($G$157:$AF$157&gt;=ROUND(IF((K$157-Sys_Repl_Rate!K120)&lt;Tech_Specs!$C12,Tech_Specs!$C12,(K$157-Sys_Repl_Rate!K120)),0),IF($G$157:$AF$157&lt;=K$157,IF(Tech_Specs!$K12="lamp",System_Mkt_Repl!$F338:$AE338+System_Mkt_NC!$G338:$AF338,Lamp_Mkt_Repl!$G48:$AF48+System_Mkt_NC!$G338:$AF338))))))</f>
        <v>80.837859571939177</v>
      </c>
      <c r="L162" s="373">
        <f t="array" aca="1" ref="L162" ca="1">IF(L$157=Misc_Inputs!$D$6,$G86,IF(SUM(IF($G$157:$AF$157&gt;=ROUND(IF((L$157-Sys_Repl_Rate!L120)&lt;Tech_Specs!$C12,Tech_Specs!$C12,(L$157-Sys_Repl_Rate!L120)),0),IF($G$157:$AF$157&lt;=L$157,IF(Tech_Specs!$K12="lamp",System_Mkt_Repl!$F338:$AE338+System_Mkt_NC!$G338:$AF338,Lamp_Mkt_Repl!$G48:$AF48+System_Mkt_NC!$G338:$AF338))))=0,0,SUMPRODUCT(IF($G$157:$AF$157&gt;=ROUND(IF((L$157-Sys_Repl_Rate!L120)&lt;Tech_Specs!$C12,Tech_Specs!$C12,(L$157-Sys_Repl_Rate!L120)),0),IF($G$157:$AF$157&lt;=L$157,$G86:$AF86)),IF(Tech_Specs!$K12="lamp",System_Mkt_Repl!$F338:$AE338+System_Mkt_NC!$G338:$AF338,Lamp_Mkt_Repl!$G48:$AF48+System_Mkt_NC!$G338:$AF338))/SUM(IF($G$157:$AF$157&gt;=ROUND(IF((L$157-Sys_Repl_Rate!L120)&lt;Tech_Specs!$C12,Tech_Specs!$C12,(L$157-Sys_Repl_Rate!L120)),0),IF($G$157:$AF$157&lt;=L$157,IF(Tech_Specs!$K12="lamp",System_Mkt_Repl!$F338:$AE338+System_Mkt_NC!$G338:$AF338,Lamp_Mkt_Repl!$G48:$AF48+System_Mkt_NC!$G338:$AF338))))))</f>
        <v>94.390847862098568</v>
      </c>
      <c r="M162" s="373">
        <f t="array" aca="1" ref="M162" ca="1">IF(M$157=Misc_Inputs!$D$6,$G86,IF(SUM(IF($G$157:$AF$157&gt;=ROUND(IF((M$157-Sys_Repl_Rate!M120)&lt;Tech_Specs!$C12,Tech_Specs!$C12,(M$157-Sys_Repl_Rate!M120)),0),IF($G$157:$AF$157&lt;=M$157,IF(Tech_Specs!$K12="lamp",System_Mkt_Repl!$F338:$AE338+System_Mkt_NC!$G338:$AF338,Lamp_Mkt_Repl!$G48:$AF48+System_Mkt_NC!$G338:$AF338))))=0,0,SUMPRODUCT(IF($G$157:$AF$157&gt;=ROUND(IF((M$157-Sys_Repl_Rate!M120)&lt;Tech_Specs!$C12,Tech_Specs!$C12,(M$157-Sys_Repl_Rate!M120)),0),IF($G$157:$AF$157&lt;=M$157,$G86:$AF86)),IF(Tech_Specs!$K12="lamp",System_Mkt_Repl!$F338:$AE338+System_Mkt_NC!$G338:$AF338,Lamp_Mkt_Repl!$G48:$AF48+System_Mkt_NC!$G338:$AF338))/SUM(IF($G$157:$AF$157&gt;=ROUND(IF((M$157-Sys_Repl_Rate!M120)&lt;Tech_Specs!$C12,Tech_Specs!$C12,(M$157-Sys_Repl_Rate!M120)),0),IF($G$157:$AF$157&lt;=M$157,IF(Tech_Specs!$K12="lamp",System_Mkt_Repl!$F338:$AE338+System_Mkt_NC!$G338:$AF338,Lamp_Mkt_Repl!$G48:$AF48+System_Mkt_NC!$G338:$AF338))))))</f>
        <v>108.43217492000821</v>
      </c>
      <c r="N162" s="373">
        <f t="array" aca="1" ref="N162" ca="1">IF(N$157=Misc_Inputs!$D$6,$G86,IF(SUM(IF($G$157:$AF$157&gt;=ROUND(IF((N$157-Sys_Repl_Rate!N120)&lt;Tech_Specs!$C12,Tech_Specs!$C12,(N$157-Sys_Repl_Rate!N120)),0),IF($G$157:$AF$157&lt;=N$157,IF(Tech_Specs!$K12="lamp",System_Mkt_Repl!$F338:$AE338+System_Mkt_NC!$G338:$AF338,Lamp_Mkt_Repl!$G48:$AF48+System_Mkt_NC!$G338:$AF338))))=0,0,SUMPRODUCT(IF($G$157:$AF$157&gt;=ROUND(IF((N$157-Sys_Repl_Rate!N120)&lt;Tech_Specs!$C12,Tech_Specs!$C12,(N$157-Sys_Repl_Rate!N120)),0),IF($G$157:$AF$157&lt;=N$157,$G86:$AF86)),IF(Tech_Specs!$K12="lamp",System_Mkt_Repl!$F338:$AE338+System_Mkt_NC!$G338:$AF338,Lamp_Mkt_Repl!$G48:$AF48+System_Mkt_NC!$G338:$AF338))/SUM(IF($G$157:$AF$157&gt;=ROUND(IF((N$157-Sys_Repl_Rate!N120)&lt;Tech_Specs!$C12,Tech_Specs!$C12,(N$157-Sys_Repl_Rate!N120)),0),IF($G$157:$AF$157&lt;=N$157,IF(Tech_Specs!$K12="lamp",System_Mkt_Repl!$F338:$AE338+System_Mkt_NC!$G338:$AF338,Lamp_Mkt_Repl!$G48:$AF48+System_Mkt_NC!$G338:$AF338))))))</f>
        <v>121.87578680223153</v>
      </c>
      <c r="O162" s="373">
        <f t="array" aca="1" ref="O162" ca="1">IF(O$157=Misc_Inputs!$D$6,$G86,IF(SUM(IF($G$157:$AF$157&gt;=ROUND(IF((O$157-Sys_Repl_Rate!O120)&lt;Tech_Specs!$C12,Tech_Specs!$C12,(O$157-Sys_Repl_Rate!O120)),0),IF($G$157:$AF$157&lt;=O$157,IF(Tech_Specs!$K12="lamp",System_Mkt_Repl!$F338:$AE338+System_Mkt_NC!$G338:$AF338,Lamp_Mkt_Repl!$G48:$AF48+System_Mkt_NC!$G338:$AF338))))=0,0,SUMPRODUCT(IF($G$157:$AF$157&gt;=ROUND(IF((O$157-Sys_Repl_Rate!O120)&lt;Tech_Specs!$C12,Tech_Specs!$C12,(O$157-Sys_Repl_Rate!O120)),0),IF($G$157:$AF$157&lt;=O$157,$G86:$AF86)),IF(Tech_Specs!$K12="lamp",System_Mkt_Repl!$F338:$AE338+System_Mkt_NC!$G338:$AF338,Lamp_Mkt_Repl!$G48:$AF48+System_Mkt_NC!$G338:$AF338))/SUM(IF($G$157:$AF$157&gt;=ROUND(IF((O$157-Sys_Repl_Rate!O120)&lt;Tech_Specs!$C12,Tech_Specs!$C12,(O$157-Sys_Repl_Rate!O120)),0),IF($G$157:$AF$157&lt;=O$157,IF(Tech_Specs!$K12="lamp",System_Mkt_Repl!$F338:$AE338+System_Mkt_NC!$G338:$AF338,Lamp_Mkt_Repl!$G48:$AF48+System_Mkt_NC!$G338:$AF338))))))</f>
        <v>134.42975135276666</v>
      </c>
      <c r="P162" s="373">
        <f t="array" aca="1" ref="P162" ca="1">IF(P$157=Misc_Inputs!$D$6,$G86,IF(SUM(IF($G$157:$AF$157&gt;=ROUND(IF((P$157-Sys_Repl_Rate!P120)&lt;Tech_Specs!$C12,Tech_Specs!$C12,(P$157-Sys_Repl_Rate!P120)),0),IF($G$157:$AF$157&lt;=P$157,IF(Tech_Specs!$K12="lamp",System_Mkt_Repl!$F338:$AE338+System_Mkt_NC!$G338:$AF338,Lamp_Mkt_Repl!$G48:$AF48+System_Mkt_NC!$G338:$AF338))))=0,0,SUMPRODUCT(IF($G$157:$AF$157&gt;=ROUND(IF((P$157-Sys_Repl_Rate!P120)&lt;Tech_Specs!$C12,Tech_Specs!$C12,(P$157-Sys_Repl_Rate!P120)),0),IF($G$157:$AF$157&lt;=P$157,$G86:$AF86)),IF(Tech_Specs!$K12="lamp",System_Mkt_Repl!$F338:$AE338+System_Mkt_NC!$G338:$AF338,Lamp_Mkt_Repl!$G48:$AF48+System_Mkt_NC!$G338:$AF338))/SUM(IF($G$157:$AF$157&gt;=ROUND(IF((P$157-Sys_Repl_Rate!P120)&lt;Tech_Specs!$C12,Tech_Specs!$C12,(P$157-Sys_Repl_Rate!P120)),0),IF($G$157:$AF$157&lt;=P$157,IF(Tech_Specs!$K12="lamp",System_Mkt_Repl!$F338:$AE338+System_Mkt_NC!$G338:$AF338,Lamp_Mkt_Repl!$G48:$AF48+System_Mkt_NC!$G338:$AF338))))))</f>
        <v>145.81118616380624</v>
      </c>
      <c r="Q162" s="373">
        <f t="array" aca="1" ref="Q162" ca="1">IF(Q$157=Misc_Inputs!$D$6,$G86,IF(SUM(IF($G$157:$AF$157&gt;=ROUND(IF((Q$157-Sys_Repl_Rate!Q120)&lt;Tech_Specs!$C12,Tech_Specs!$C12,(Q$157-Sys_Repl_Rate!Q120)),0),IF($G$157:$AF$157&lt;=Q$157,IF(Tech_Specs!$K12="lamp",System_Mkt_Repl!$F338:$AE338+System_Mkt_NC!$G338:$AF338,Lamp_Mkt_Repl!$G48:$AF48+System_Mkt_NC!$G338:$AF338))))=0,0,SUMPRODUCT(IF($G$157:$AF$157&gt;=ROUND(IF((Q$157-Sys_Repl_Rate!Q120)&lt;Tech_Specs!$C12,Tech_Specs!$C12,(Q$157-Sys_Repl_Rate!Q120)),0),IF($G$157:$AF$157&lt;=Q$157,$G86:$AF86)),IF(Tech_Specs!$K12="lamp",System_Mkt_Repl!$F338:$AE338+System_Mkt_NC!$G338:$AF338,Lamp_Mkt_Repl!$G48:$AF48+System_Mkt_NC!$G338:$AF338))/SUM(IF($G$157:$AF$157&gt;=ROUND(IF((Q$157-Sys_Repl_Rate!Q120)&lt;Tech_Specs!$C12,Tech_Specs!$C12,(Q$157-Sys_Repl_Rate!Q120)),0),IF($G$157:$AF$157&lt;=Q$157,IF(Tech_Specs!$K12="lamp",System_Mkt_Repl!$F338:$AE338+System_Mkt_NC!$G338:$AF338,Lamp_Mkt_Repl!$G48:$AF48+System_Mkt_NC!$G338:$AF338))))))</f>
        <v>155.9280408613408</v>
      </c>
      <c r="R162" s="373">
        <f t="array" aca="1" ref="R162" ca="1">IF(R$157=Misc_Inputs!$D$6,$G86,IF(SUM(IF($G$157:$AF$157&gt;=ROUND(IF((R$157-Sys_Repl_Rate!R120)&lt;Tech_Specs!$C12,Tech_Specs!$C12,(R$157-Sys_Repl_Rate!R120)),0),IF($G$157:$AF$157&lt;=R$157,IF(Tech_Specs!$K12="lamp",System_Mkt_Repl!$F338:$AE338+System_Mkt_NC!$G338:$AF338,Lamp_Mkt_Repl!$G48:$AF48+System_Mkt_NC!$G338:$AF338))))=0,0,SUMPRODUCT(IF($G$157:$AF$157&gt;=ROUND(IF((R$157-Sys_Repl_Rate!R120)&lt;Tech_Specs!$C12,Tech_Specs!$C12,(R$157-Sys_Repl_Rate!R120)),0),IF($G$157:$AF$157&lt;=R$157,$G86:$AF86)),IF(Tech_Specs!$K12="lamp",System_Mkt_Repl!$F338:$AE338+System_Mkt_NC!$G338:$AF338,Lamp_Mkt_Repl!$G48:$AF48+System_Mkt_NC!$G338:$AF338))/SUM(IF($G$157:$AF$157&gt;=ROUND(IF((R$157-Sys_Repl_Rate!R120)&lt;Tech_Specs!$C12,Tech_Specs!$C12,(R$157-Sys_Repl_Rate!R120)),0),IF($G$157:$AF$157&lt;=R$157,IF(Tech_Specs!$K12="lamp",System_Mkt_Repl!$F338:$AE338+System_Mkt_NC!$G338:$AF338,Lamp_Mkt_Repl!$G48:$AF48+System_Mkt_NC!$G338:$AF338))))))</f>
        <v>163.91888734483095</v>
      </c>
      <c r="S162" s="373">
        <f t="array" aca="1" ref="S162" ca="1">IF(S$157=Misc_Inputs!$D$6,$G86,IF(SUM(IF($G$157:$AF$157&gt;=ROUND(IF((S$157-Sys_Repl_Rate!S120)&lt;Tech_Specs!$C12,Tech_Specs!$C12,(S$157-Sys_Repl_Rate!S120)),0),IF($G$157:$AF$157&lt;=S$157,IF(Tech_Specs!$K12="lamp",System_Mkt_Repl!$F338:$AE338+System_Mkt_NC!$G338:$AF338,Lamp_Mkt_Repl!$G48:$AF48+System_Mkt_NC!$G338:$AF338))))=0,0,SUMPRODUCT(IF($G$157:$AF$157&gt;=ROUND(IF((S$157-Sys_Repl_Rate!S120)&lt;Tech_Specs!$C12,Tech_Specs!$C12,(S$157-Sys_Repl_Rate!S120)),0),IF($G$157:$AF$157&lt;=S$157,$G86:$AF86)),IF(Tech_Specs!$K12="lamp",System_Mkt_Repl!$F338:$AE338+System_Mkt_NC!$G338:$AF338,Lamp_Mkt_Repl!$G48:$AF48+System_Mkt_NC!$G338:$AF338))/SUM(IF($G$157:$AF$157&gt;=ROUND(IF((S$157-Sys_Repl_Rate!S120)&lt;Tech_Specs!$C12,Tech_Specs!$C12,(S$157-Sys_Repl_Rate!S120)),0),IF($G$157:$AF$157&lt;=S$157,IF(Tech_Specs!$K12="lamp",System_Mkt_Repl!$F338:$AE338+System_Mkt_NC!$G338:$AF338,Lamp_Mkt_Repl!$G48:$AF48+System_Mkt_NC!$G338:$AF338))))))</f>
        <v>170.24119641701279</v>
      </c>
      <c r="T162" s="373">
        <f t="array" aca="1" ref="T162" ca="1">IF(T$157=Misc_Inputs!$D$6,$G86,IF(SUM(IF($G$157:$AF$157&gt;=ROUND(IF((T$157-Sys_Repl_Rate!T120)&lt;Tech_Specs!$C12,Tech_Specs!$C12,(T$157-Sys_Repl_Rate!T120)),0),IF($G$157:$AF$157&lt;=T$157,IF(Tech_Specs!$K12="lamp",System_Mkt_Repl!$F338:$AE338+System_Mkt_NC!$G338:$AF338,Lamp_Mkt_Repl!$G48:$AF48+System_Mkt_NC!$G338:$AF338))))=0,0,SUMPRODUCT(IF($G$157:$AF$157&gt;=ROUND(IF((T$157-Sys_Repl_Rate!T120)&lt;Tech_Specs!$C12,Tech_Specs!$C12,(T$157-Sys_Repl_Rate!T120)),0),IF($G$157:$AF$157&lt;=T$157,$G86:$AF86)),IF(Tech_Specs!$K12="lamp",System_Mkt_Repl!$F338:$AE338+System_Mkt_NC!$G338:$AF338,Lamp_Mkt_Repl!$G48:$AF48+System_Mkt_NC!$G338:$AF338))/SUM(IF($G$157:$AF$157&gt;=ROUND(IF((T$157-Sys_Repl_Rate!T120)&lt;Tech_Specs!$C12,Tech_Specs!$C12,(T$157-Sys_Repl_Rate!T120)),0),IF($G$157:$AF$157&lt;=T$157,IF(Tech_Specs!$K12="lamp",System_Mkt_Repl!$F338:$AE338+System_Mkt_NC!$G338:$AF338,Lamp_Mkt_Repl!$G48:$AF48+System_Mkt_NC!$G338:$AF338))))))</f>
        <v>175.24986060844185</v>
      </c>
      <c r="U162" s="373">
        <f t="array" aca="1" ref="U162" ca="1">IF(U$157=Misc_Inputs!$D$6,$G86,IF(SUM(IF($G$157:$AF$157&gt;=ROUND(IF((U$157-Sys_Repl_Rate!U120)&lt;Tech_Specs!$C12,Tech_Specs!$C12,(U$157-Sys_Repl_Rate!U120)),0),IF($G$157:$AF$157&lt;=U$157,IF(Tech_Specs!$K12="lamp",System_Mkt_Repl!$F338:$AE338+System_Mkt_NC!$G338:$AF338,Lamp_Mkt_Repl!$G48:$AF48+System_Mkt_NC!$G338:$AF338))))=0,0,SUMPRODUCT(IF($G$157:$AF$157&gt;=ROUND(IF((U$157-Sys_Repl_Rate!U120)&lt;Tech_Specs!$C12,Tech_Specs!$C12,(U$157-Sys_Repl_Rate!U120)),0),IF($G$157:$AF$157&lt;=U$157,$G86:$AF86)),IF(Tech_Specs!$K12="lamp",System_Mkt_Repl!$F338:$AE338+System_Mkt_NC!$G338:$AF338,Lamp_Mkt_Repl!$G48:$AF48+System_Mkt_NC!$G338:$AF338))/SUM(IF($G$157:$AF$157&gt;=ROUND(IF((U$157-Sys_Repl_Rate!U120)&lt;Tech_Specs!$C12,Tech_Specs!$C12,(U$157-Sys_Repl_Rate!U120)),0),IF($G$157:$AF$157&lt;=U$157,IF(Tech_Specs!$K12="lamp",System_Mkt_Repl!$F338:$AE338+System_Mkt_NC!$G338:$AF338,Lamp_Mkt_Repl!$G48:$AF48+System_Mkt_NC!$G338:$AF338))))))</f>
        <v>179.23372968118099</v>
      </c>
      <c r="V162" s="373">
        <f t="array" aca="1" ref="V162" ca="1">IF(V$157=Misc_Inputs!$D$6,$G86,IF(SUM(IF($G$157:$AF$157&gt;=ROUND(IF((V$157-Sys_Repl_Rate!V120)&lt;Tech_Specs!$C12,Tech_Specs!$C12,(V$157-Sys_Repl_Rate!V120)),0),IF($G$157:$AF$157&lt;=V$157,IF(Tech_Specs!$K12="lamp",System_Mkt_Repl!$F338:$AE338+System_Mkt_NC!$G338:$AF338,Lamp_Mkt_Repl!$G48:$AF48+System_Mkt_NC!$G338:$AF338))))=0,0,SUMPRODUCT(IF($G$157:$AF$157&gt;=ROUND(IF((V$157-Sys_Repl_Rate!V120)&lt;Tech_Specs!$C12,Tech_Specs!$C12,(V$157-Sys_Repl_Rate!V120)),0),IF($G$157:$AF$157&lt;=V$157,$G86:$AF86)),IF(Tech_Specs!$K12="lamp",System_Mkt_Repl!$F338:$AE338+System_Mkt_NC!$G338:$AF338,Lamp_Mkt_Repl!$G48:$AF48+System_Mkt_NC!$G338:$AF338))/SUM(IF($G$157:$AF$157&gt;=ROUND(IF((V$157-Sys_Repl_Rate!V120)&lt;Tech_Specs!$C12,Tech_Specs!$C12,(V$157-Sys_Repl_Rate!V120)),0),IF($G$157:$AF$157&lt;=V$157,IF(Tech_Specs!$K12="lamp",System_Mkt_Repl!$F338:$AE338+System_Mkt_NC!$G338:$AF338,Lamp_Mkt_Repl!$G48:$AF48+System_Mkt_NC!$G338:$AF338))))))</f>
        <v>182.42164607469331</v>
      </c>
      <c r="W162" s="373">
        <f t="array" aca="1" ref="W162" ca="1">IF(W$157=Misc_Inputs!$D$6,$G86,IF(SUM(IF($G$157:$AF$157&gt;=ROUND(IF((W$157-Sys_Repl_Rate!W120)&lt;Tech_Specs!$C12,Tech_Specs!$C12,(W$157-Sys_Repl_Rate!W120)),0),IF($G$157:$AF$157&lt;=W$157,IF(Tech_Specs!$K12="lamp",System_Mkt_Repl!$F338:$AE338+System_Mkt_NC!$G338:$AF338,Lamp_Mkt_Repl!$G48:$AF48+System_Mkt_NC!$G338:$AF338))))=0,0,SUMPRODUCT(IF($G$157:$AF$157&gt;=ROUND(IF((W$157-Sys_Repl_Rate!W120)&lt;Tech_Specs!$C12,Tech_Specs!$C12,(W$157-Sys_Repl_Rate!W120)),0),IF($G$157:$AF$157&lt;=W$157,$G86:$AF86)),IF(Tech_Specs!$K12="lamp",System_Mkt_Repl!$F338:$AE338+System_Mkt_NC!$G338:$AF338,Lamp_Mkt_Repl!$G48:$AF48+System_Mkt_NC!$G338:$AF338))/SUM(IF($G$157:$AF$157&gt;=ROUND(IF((W$157-Sys_Repl_Rate!W120)&lt;Tech_Specs!$C12,Tech_Specs!$C12,(W$157-Sys_Repl_Rate!W120)),0),IF($G$157:$AF$157&lt;=W$157,IF(Tech_Specs!$K12="lamp",System_Mkt_Repl!$F338:$AE338+System_Mkt_NC!$G338:$AF338,Lamp_Mkt_Repl!$G48:$AF48+System_Mkt_NC!$G338:$AF338))))))</f>
        <v>184.99231507598023</v>
      </c>
      <c r="X162" s="373">
        <f t="array" aca="1" ref="X162" ca="1">IF(X$157=Misc_Inputs!$D$6,$G86,IF(SUM(IF($G$157:$AF$157&gt;=ROUND(IF((X$157-Sys_Repl_Rate!X120)&lt;Tech_Specs!$C12,Tech_Specs!$C12,(X$157-Sys_Repl_Rate!X120)),0),IF($G$157:$AF$157&lt;=X$157,IF(Tech_Specs!$K12="lamp",System_Mkt_Repl!$F338:$AE338+System_Mkt_NC!$G338:$AF338,Lamp_Mkt_Repl!$G48:$AF48+System_Mkt_NC!$G338:$AF338))))=0,0,SUMPRODUCT(IF($G$157:$AF$157&gt;=ROUND(IF((X$157-Sys_Repl_Rate!X120)&lt;Tech_Specs!$C12,Tech_Specs!$C12,(X$157-Sys_Repl_Rate!X120)),0),IF($G$157:$AF$157&lt;=X$157,$G86:$AF86)),IF(Tech_Specs!$K12="lamp",System_Mkt_Repl!$F338:$AE338+System_Mkt_NC!$G338:$AF338,Lamp_Mkt_Repl!$G48:$AF48+System_Mkt_NC!$G338:$AF338))/SUM(IF($G$157:$AF$157&gt;=ROUND(IF((X$157-Sys_Repl_Rate!X120)&lt;Tech_Specs!$C12,Tech_Specs!$C12,(X$157-Sys_Repl_Rate!X120)),0),IF($G$157:$AF$157&lt;=X$157,IF(Tech_Specs!$K12="lamp",System_Mkt_Repl!$F338:$AE338+System_Mkt_NC!$G338:$AF338,Lamp_Mkt_Repl!$G48:$AF48+System_Mkt_NC!$G338:$AF338))))))</f>
        <v>187.0820043281596</v>
      </c>
      <c r="Y162" s="373">
        <f t="array" aca="1" ref="Y162" ca="1">IF(Y$157=Misc_Inputs!$D$6,$G86,IF(SUM(IF($G$157:$AF$157&gt;=ROUND(IF((Y$157-Sys_Repl_Rate!Y120)&lt;Tech_Specs!$C12,Tech_Specs!$C12,(Y$157-Sys_Repl_Rate!Y120)),0),IF($G$157:$AF$157&lt;=Y$157,IF(Tech_Specs!$K12="lamp",System_Mkt_Repl!$F338:$AE338+System_Mkt_NC!$G338:$AF338,Lamp_Mkt_Repl!$G48:$AF48+System_Mkt_NC!$G338:$AF338))))=0,0,SUMPRODUCT(IF($G$157:$AF$157&gt;=ROUND(IF((Y$157-Sys_Repl_Rate!Y120)&lt;Tech_Specs!$C12,Tech_Specs!$C12,(Y$157-Sys_Repl_Rate!Y120)),0),IF($G$157:$AF$157&lt;=Y$157,$G86:$AF86)),IF(Tech_Specs!$K12="lamp",System_Mkt_Repl!$F338:$AE338+System_Mkt_NC!$G338:$AF338,Lamp_Mkt_Repl!$G48:$AF48+System_Mkt_NC!$G338:$AF338))/SUM(IF($G$157:$AF$157&gt;=ROUND(IF((Y$157-Sys_Repl_Rate!Y120)&lt;Tech_Specs!$C12,Tech_Specs!$C12,(Y$157-Sys_Repl_Rate!Y120)),0),IF($G$157:$AF$157&lt;=Y$157,IF(Tech_Specs!$K12="lamp",System_Mkt_Repl!$F338:$AE338+System_Mkt_NC!$G338:$AF338,Lamp_Mkt_Repl!$G48:$AF48+System_Mkt_NC!$G338:$AF338))))))</f>
        <v>188.79766569063835</v>
      </c>
      <c r="Z162" s="373">
        <f t="array" aca="1" ref="Z162" ca="1">IF(Z$157=Misc_Inputs!$D$6,$G86,IF(SUM(IF($G$157:$AF$157&gt;=ROUND(IF((Z$157-Sys_Repl_Rate!Z120)&lt;Tech_Specs!$C12,Tech_Specs!$C12,(Z$157-Sys_Repl_Rate!Z120)),0),IF($G$157:$AF$157&lt;=Z$157,IF(Tech_Specs!$K12="lamp",System_Mkt_Repl!$F338:$AE338+System_Mkt_NC!$G338:$AF338,Lamp_Mkt_Repl!$G48:$AF48+System_Mkt_NC!$G338:$AF338))))=0,0,SUMPRODUCT(IF($G$157:$AF$157&gt;=ROUND(IF((Z$157-Sys_Repl_Rate!Z120)&lt;Tech_Specs!$C12,Tech_Specs!$C12,(Z$157-Sys_Repl_Rate!Z120)),0),IF($G$157:$AF$157&lt;=Z$157,$G86:$AF86)),IF(Tech_Specs!$K12="lamp",System_Mkt_Repl!$F338:$AE338+System_Mkt_NC!$G338:$AF338,Lamp_Mkt_Repl!$G48:$AF48+System_Mkt_NC!$G338:$AF338))/SUM(IF($G$157:$AF$157&gt;=ROUND(IF((Z$157-Sys_Repl_Rate!Z120)&lt;Tech_Specs!$C12,Tech_Specs!$C12,(Z$157-Sys_Repl_Rate!Z120)),0),IF($G$157:$AF$157&lt;=Z$157,IF(Tech_Specs!$K12="lamp",System_Mkt_Repl!$F338:$AE338+System_Mkt_NC!$G338:$AF338,Lamp_Mkt_Repl!$G48:$AF48+System_Mkt_NC!$G338:$AF338))))))</f>
        <v>190.22224034506908</v>
      </c>
      <c r="AA162" s="373">
        <f t="array" aca="1" ref="AA162" ca="1">IF(AA$157=Misc_Inputs!$D$6,$G86,IF(SUM(IF($G$157:$AF$157&gt;=ROUND(IF((AA$157-Sys_Repl_Rate!AA120)&lt;Tech_Specs!$C12,Tech_Specs!$C12,(AA$157-Sys_Repl_Rate!AA120)),0),IF($G$157:$AF$157&lt;=AA$157,IF(Tech_Specs!$K12="lamp",System_Mkt_Repl!$F338:$AE338+System_Mkt_NC!$G338:$AF338,Lamp_Mkt_Repl!$G48:$AF48+System_Mkt_NC!$G338:$AF338))))=0,0,SUMPRODUCT(IF($G$157:$AF$157&gt;=ROUND(IF((AA$157-Sys_Repl_Rate!AA120)&lt;Tech_Specs!$C12,Tech_Specs!$C12,(AA$157-Sys_Repl_Rate!AA120)),0),IF($G$157:$AF$157&lt;=AA$157,$G86:$AF86)),IF(Tech_Specs!$K12="lamp",System_Mkt_Repl!$F338:$AE338+System_Mkt_NC!$G338:$AF338,Lamp_Mkt_Repl!$G48:$AF48+System_Mkt_NC!$G338:$AF338))/SUM(IF($G$157:$AF$157&gt;=ROUND(IF((AA$157-Sys_Repl_Rate!AA120)&lt;Tech_Specs!$C12,Tech_Specs!$C12,(AA$157-Sys_Repl_Rate!AA120)),0),IF($G$157:$AF$157&lt;=AA$157,IF(Tech_Specs!$K12="lamp",System_Mkt_Repl!$F338:$AE338+System_Mkt_NC!$G338:$AF338,Lamp_Mkt_Repl!$G48:$AF48+System_Mkt_NC!$G338:$AF338))))))</f>
        <v>191.41892555186757</v>
      </c>
      <c r="AB162" s="373">
        <f t="array" aca="1" ref="AB162" ca="1">IF(AB$157=Misc_Inputs!$D$6,$G86,IF(SUM(IF($G$157:$AF$157&gt;=ROUND(IF((AB$157-Sys_Repl_Rate!AB120)&lt;Tech_Specs!$C12,Tech_Specs!$C12,(AB$157-Sys_Repl_Rate!AB120)),0),IF($G$157:$AF$157&lt;=AB$157,IF(Tech_Specs!$K12="lamp",System_Mkt_Repl!$F338:$AE338+System_Mkt_NC!$G338:$AF338,Lamp_Mkt_Repl!$G48:$AF48+System_Mkt_NC!$G338:$AF338))))=0,0,SUMPRODUCT(IF($G$157:$AF$157&gt;=ROUND(IF((AB$157-Sys_Repl_Rate!AB120)&lt;Tech_Specs!$C12,Tech_Specs!$C12,(AB$157-Sys_Repl_Rate!AB120)),0),IF($G$157:$AF$157&lt;=AB$157,$G86:$AF86)),IF(Tech_Specs!$K12="lamp",System_Mkt_Repl!$F338:$AE338+System_Mkt_NC!$G338:$AF338,Lamp_Mkt_Repl!$G48:$AF48+System_Mkt_NC!$G338:$AF338))/SUM(IF($G$157:$AF$157&gt;=ROUND(IF((AB$157-Sys_Repl_Rate!AB120)&lt;Tech_Specs!$C12,Tech_Specs!$C12,(AB$157-Sys_Repl_Rate!AB120)),0),IF($G$157:$AF$157&lt;=AB$157,IF(Tech_Specs!$K12="lamp",System_Mkt_Repl!$F338:$AE338+System_Mkt_NC!$G338:$AF338,Lamp_Mkt_Repl!$G48:$AF48+System_Mkt_NC!$G338:$AF338))))))</f>
        <v>192.43714603928441</v>
      </c>
      <c r="AC162" s="373">
        <f t="array" aca="1" ref="AC162" ca="1">IF(AC$157=Misc_Inputs!$D$6,$G86,IF(SUM(IF($G$157:$AF$157&gt;=ROUND(IF((AC$157-Sys_Repl_Rate!AC120)&lt;Tech_Specs!$C12,Tech_Specs!$C12,(AC$157-Sys_Repl_Rate!AC120)),0),IF($G$157:$AF$157&lt;=AC$157,IF(Tech_Specs!$K12="lamp",System_Mkt_Repl!$F338:$AE338+System_Mkt_NC!$G338:$AF338,Lamp_Mkt_Repl!$G48:$AF48+System_Mkt_NC!$G338:$AF338))))=0,0,SUMPRODUCT(IF($G$157:$AF$157&gt;=ROUND(IF((AC$157-Sys_Repl_Rate!AC120)&lt;Tech_Specs!$C12,Tech_Specs!$C12,(AC$157-Sys_Repl_Rate!AC120)),0),IF($G$157:$AF$157&lt;=AC$157,$G86:$AF86)),IF(Tech_Specs!$K12="lamp",System_Mkt_Repl!$F338:$AE338+System_Mkt_NC!$G338:$AF338,Lamp_Mkt_Repl!$G48:$AF48+System_Mkt_NC!$G338:$AF338))/SUM(IF($G$157:$AF$157&gt;=ROUND(IF((AC$157-Sys_Repl_Rate!AC120)&lt;Tech_Specs!$C12,Tech_Specs!$C12,(AC$157-Sys_Repl_Rate!AC120)),0),IF($G$157:$AF$157&lt;=AC$157,IF(Tech_Specs!$K12="lamp",System_Mkt_Repl!$F338:$AE338+System_Mkt_NC!$G338:$AF338,Lamp_Mkt_Repl!$G48:$AF48+System_Mkt_NC!$G338:$AF338))))))</f>
        <v>193.309216095247</v>
      </c>
      <c r="AD162" s="373">
        <f t="array" aca="1" ref="AD162" ca="1">IF(AD$157=Misc_Inputs!$D$6,$G86,IF(SUM(IF($G$157:$AF$157&gt;=ROUND(IF((AD$157-Sys_Repl_Rate!AD120)&lt;Tech_Specs!$C12,Tech_Specs!$C12,(AD$157-Sys_Repl_Rate!AD120)),0),IF($G$157:$AF$157&lt;=AD$157,IF(Tech_Specs!$K12="lamp",System_Mkt_Repl!$F338:$AE338+System_Mkt_NC!$G338:$AF338,Lamp_Mkt_Repl!$G48:$AF48+System_Mkt_NC!$G338:$AF338))))=0,0,SUMPRODUCT(IF($G$157:$AF$157&gt;=ROUND(IF((AD$157-Sys_Repl_Rate!AD120)&lt;Tech_Specs!$C12,Tech_Specs!$C12,(AD$157-Sys_Repl_Rate!AD120)),0),IF($G$157:$AF$157&lt;=AD$157,$G86:$AF86)),IF(Tech_Specs!$K12="lamp",System_Mkt_Repl!$F338:$AE338+System_Mkt_NC!$G338:$AF338,Lamp_Mkt_Repl!$G48:$AF48+System_Mkt_NC!$G338:$AF338))/SUM(IF($G$157:$AF$157&gt;=ROUND(IF((AD$157-Sys_Repl_Rate!AD120)&lt;Tech_Specs!$C12,Tech_Specs!$C12,(AD$157-Sys_Repl_Rate!AD120)),0),IF($G$157:$AF$157&lt;=AD$157,IF(Tech_Specs!$K12="lamp",System_Mkt_Repl!$F338:$AE338+System_Mkt_NC!$G338:$AF338,Lamp_Mkt_Repl!$G48:$AF48+System_Mkt_NC!$G338:$AF338))))))</f>
        <v>194.06248008823411</v>
      </c>
      <c r="AE162" s="373">
        <f t="array" aca="1" ref="AE162" ca="1">IF(AE$157=Misc_Inputs!$D$6,$G86,IF(SUM(IF($G$157:$AF$157&gt;=ROUND(IF((AE$157-Sys_Repl_Rate!AE120)&lt;Tech_Specs!$C12,Tech_Specs!$C12,(AE$157-Sys_Repl_Rate!AE120)),0),IF($G$157:$AF$157&lt;=AE$157,IF(Tech_Specs!$K12="lamp",System_Mkt_Repl!$F338:$AE338+System_Mkt_NC!$G338:$AF338,Lamp_Mkt_Repl!$G48:$AF48+System_Mkt_NC!$G338:$AF338))))=0,0,SUMPRODUCT(IF($G$157:$AF$157&gt;=ROUND(IF((AE$157-Sys_Repl_Rate!AE120)&lt;Tech_Specs!$C12,Tech_Specs!$C12,(AE$157-Sys_Repl_Rate!AE120)),0),IF($G$157:$AF$157&lt;=AE$157,$G86:$AF86)),IF(Tech_Specs!$K12="lamp",System_Mkt_Repl!$F338:$AE338+System_Mkt_NC!$G338:$AF338,Lamp_Mkt_Repl!$G48:$AF48+System_Mkt_NC!$G338:$AF338))/SUM(IF($G$157:$AF$157&gt;=ROUND(IF((AE$157-Sys_Repl_Rate!AE120)&lt;Tech_Specs!$C12,Tech_Specs!$C12,(AE$157-Sys_Repl_Rate!AE120)),0),IF($G$157:$AF$157&lt;=AE$157,IF(Tech_Specs!$K12="lamp",System_Mkt_Repl!$F338:$AE338+System_Mkt_NC!$G338:$AF338,Lamp_Mkt_Repl!$G48:$AF48+System_Mkt_NC!$G338:$AF338))))))</f>
        <v>194.71866823704642</v>
      </c>
      <c r="AF162" s="373">
        <f t="array" aca="1" ref="AF162" ca="1">IF(AF$157=Misc_Inputs!$D$6,$G86,IF(SUM(IF($G$157:$AF$157&gt;=ROUND(IF((AF$157-Sys_Repl_Rate!AF120)&lt;Tech_Specs!$C12,Tech_Specs!$C12,(AF$157-Sys_Repl_Rate!AF120)),0),IF($G$157:$AF$157&lt;=AF$157,IF(Tech_Specs!$K12="lamp",System_Mkt_Repl!$F338:$AE338+System_Mkt_NC!$G338:$AF338,Lamp_Mkt_Repl!$G48:$AF48+System_Mkt_NC!$G338:$AF338))))=0,0,SUMPRODUCT(IF($G$157:$AF$157&gt;=ROUND(IF((AF$157-Sys_Repl_Rate!AF120)&lt;Tech_Specs!$C12,Tech_Specs!$C12,(AF$157-Sys_Repl_Rate!AF120)),0),IF($G$157:$AF$157&lt;=AF$157,$G86:$AF86)),IF(Tech_Specs!$K12="lamp",System_Mkt_Repl!$F338:$AE338+System_Mkt_NC!$G338:$AF338,Lamp_Mkt_Repl!$G48:$AF48+System_Mkt_NC!$G338:$AF338))/SUM(IF($G$157:$AF$157&gt;=ROUND(IF((AF$157-Sys_Repl_Rate!AF120)&lt;Tech_Specs!$C12,Tech_Specs!$C12,(AF$157-Sys_Repl_Rate!AF120)),0),IF($G$157:$AF$157&lt;=AF$157,IF(Tech_Specs!$K12="lamp",System_Mkt_Repl!$F338:$AE338+System_Mkt_NC!$G338:$AF338,Lamp_Mkt_Repl!$G48:$AF48+System_Mkt_NC!$G338:$AF338))))))</f>
        <v>195.29528566581968</v>
      </c>
    </row>
    <row r="163" spans="1:32" s="101" customFormat="1" ht="12.75" x14ac:dyDescent="0.2">
      <c r="A163" s="81"/>
      <c r="B163" s="81"/>
      <c r="C163" s="81"/>
      <c r="D163" s="550"/>
      <c r="E163" s="550"/>
      <c r="F163" s="550"/>
      <c r="G163" s="128"/>
      <c r="H163" s="128"/>
      <c r="I163" s="128"/>
      <c r="J163" s="128"/>
      <c r="K163" s="128"/>
      <c r="L163" s="128"/>
      <c r="M163" s="128"/>
      <c r="N163" s="128"/>
      <c r="O163" s="128"/>
      <c r="P163" s="128"/>
      <c r="Q163" s="128"/>
      <c r="R163" s="128"/>
      <c r="S163" s="128"/>
      <c r="T163" s="128"/>
      <c r="U163" s="128"/>
      <c r="V163" s="128"/>
      <c r="W163" s="128"/>
      <c r="X163" s="128"/>
      <c r="Y163" s="128"/>
      <c r="Z163" s="128"/>
      <c r="AA163" s="128"/>
      <c r="AB163" s="128"/>
      <c r="AC163" s="128"/>
      <c r="AD163" s="128"/>
      <c r="AE163" s="128"/>
      <c r="AF163" s="128"/>
    </row>
    <row r="164" spans="1:32" s="101" customFormat="1" ht="12.75" x14ac:dyDescent="0.2">
      <c r="A164" s="58" t="s">
        <v>32</v>
      </c>
      <c r="B164" s="57"/>
      <c r="C164" s="57"/>
      <c r="D164" s="501"/>
      <c r="E164" s="501"/>
      <c r="F164" s="501"/>
      <c r="G164" s="191"/>
      <c r="H164" s="57"/>
      <c r="I164" s="57"/>
      <c r="J164" s="57"/>
      <c r="K164" s="57"/>
      <c r="L164" s="57"/>
      <c r="M164" s="57"/>
      <c r="N164" s="57"/>
      <c r="O164" s="57"/>
      <c r="P164" s="57"/>
      <c r="Q164" s="57"/>
      <c r="R164" s="57"/>
      <c r="S164" s="57"/>
      <c r="T164" s="57"/>
      <c r="U164" s="57"/>
      <c r="V164" s="57"/>
      <c r="W164" s="57"/>
      <c r="X164" s="57"/>
      <c r="Y164" s="57"/>
      <c r="Z164" s="57"/>
      <c r="AA164" s="57"/>
      <c r="AB164" s="57"/>
      <c r="AC164" s="57"/>
      <c r="AD164" s="57"/>
      <c r="AE164" s="57"/>
      <c r="AF164" s="57"/>
    </row>
    <row r="165" spans="1:32" s="101" customFormat="1" ht="12.75" x14ac:dyDescent="0.2">
      <c r="A165" s="81"/>
      <c r="B165" s="81" t="s">
        <v>33</v>
      </c>
      <c r="C165" s="81"/>
      <c r="D165" s="550"/>
      <c r="E165" s="550"/>
      <c r="F165" s="550"/>
      <c r="G165" s="373">
        <f t="array" ref="G165">IF(G$157=Misc_Inputs!$D$6,$G89,IF(SUM(IF($G$157:$AF$157&gt;=ROUND(IF((G$157-Sys_Repl_Rate!G123)&lt;Tech_Specs!$C15,Tech_Specs!$C15,(G$157-Sys_Repl_Rate!G123)),0),IF($G$157:$AF$157&lt;=G$157,IF(Tech_Specs!$K15="lamp",System_Mkt_Repl!$F341:$AE341+System_Mkt_NC!$G341:$AF341,Lamp_Mkt_Repl!$G51:$AF51+System_Mkt_NC!$G341:$AF341))))=0,0,SUMPRODUCT(IF($G$157:$AF$157&gt;=ROUND(IF((G$157-Sys_Repl_Rate!G123)&lt;Tech_Specs!$C15,Tech_Specs!$C15,(G$157-Sys_Repl_Rate!G123)),0),IF($G$157:$AF$157&lt;=G$157,$G89:$AF89)),IF(Tech_Specs!$K15="lamp",System_Mkt_Repl!$F341:$AE341+System_Mkt_NC!$G341:$AF341,Lamp_Mkt_Repl!$G51:$AF51+System_Mkt_NC!$G341:$AF341))/SUM(IF($G$157:$AF$157&gt;=ROUND(IF((G$157-Sys_Repl_Rate!G123)&lt;Tech_Specs!$C15,Tech_Specs!$C15,(G$157-Sys_Repl_Rate!G123)),0),IF($G$157:$AF$157&lt;=G$157,IF(Tech_Specs!$K15="lamp",System_Mkt_Repl!$F341:$AE341+System_Mkt_NC!$G341:$AF341,Lamp_Mkt_Repl!$G51:$AF51+System_Mkt_NC!$G341:$AF341))))))</f>
        <v>10.199999999999999</v>
      </c>
      <c r="H165" s="373">
        <f t="array" ref="H165">IF(H$157=Misc_Inputs!$D$6,$G89,IF(SUM(IF($G$157:$AF$157&gt;=ROUND(IF((H$157-Sys_Repl_Rate!H123)&lt;Tech_Specs!$C15,Tech_Specs!$C15,(H$157-Sys_Repl_Rate!H123)),0),IF($G$157:$AF$157&lt;=H$157,IF(Tech_Specs!$K15="lamp",System_Mkt_Repl!$F341:$AE341+System_Mkt_NC!$G341:$AF341,Lamp_Mkt_Repl!$G51:$AF51+System_Mkt_NC!$G341:$AF341))))=0,0,SUMPRODUCT(IF($G$157:$AF$157&gt;=ROUND(IF((H$157-Sys_Repl_Rate!H123)&lt;Tech_Specs!$C15,Tech_Specs!$C15,(H$157-Sys_Repl_Rate!H123)),0),IF($G$157:$AF$157&lt;=H$157,$G89:$AF89)),IF(Tech_Specs!$K15="lamp",System_Mkt_Repl!$F341:$AE341+System_Mkt_NC!$G341:$AF341,Lamp_Mkt_Repl!$G51:$AF51+System_Mkt_NC!$G341:$AF341))/SUM(IF($G$157:$AF$157&gt;=ROUND(IF((H$157-Sys_Repl_Rate!H123)&lt;Tech_Specs!$C15,Tech_Specs!$C15,(H$157-Sys_Repl_Rate!H123)),0),IF($G$157:$AF$157&lt;=H$157,IF(Tech_Specs!$K15="lamp",System_Mkt_Repl!$F341:$AE341+System_Mkt_NC!$G341:$AF341,Lamp_Mkt_Repl!$G51:$AF51+System_Mkt_NC!$G341:$AF341))))))</f>
        <v>10.199999999999999</v>
      </c>
      <c r="I165" s="373">
        <f t="array" ref="I165">IF(I$157=Misc_Inputs!$D$6,$G89,IF(SUM(IF($G$157:$AF$157&gt;=ROUND(IF((I$157-Sys_Repl_Rate!I123)&lt;Tech_Specs!$C15,Tech_Specs!$C15,(I$157-Sys_Repl_Rate!I123)),0),IF($G$157:$AF$157&lt;=I$157,IF(Tech_Specs!$K15="lamp",System_Mkt_Repl!$F341:$AE341+System_Mkt_NC!$G341:$AF341,Lamp_Mkt_Repl!$G51:$AF51+System_Mkt_NC!$G341:$AF341))))=0,0,SUMPRODUCT(IF($G$157:$AF$157&gt;=ROUND(IF((I$157-Sys_Repl_Rate!I123)&lt;Tech_Specs!$C15,Tech_Specs!$C15,(I$157-Sys_Repl_Rate!I123)),0),IF($G$157:$AF$157&lt;=I$157,$G89:$AF89)),IF(Tech_Specs!$K15="lamp",System_Mkt_Repl!$F341:$AE341+System_Mkt_NC!$G341:$AF341,Lamp_Mkt_Repl!$G51:$AF51+System_Mkt_NC!$G341:$AF341))/SUM(IF($G$157:$AF$157&gt;=ROUND(IF((I$157-Sys_Repl_Rate!I123)&lt;Tech_Specs!$C15,Tech_Specs!$C15,(I$157-Sys_Repl_Rate!I123)),0),IF($G$157:$AF$157&lt;=I$157,IF(Tech_Specs!$K15="lamp",System_Mkt_Repl!$F341:$AE341+System_Mkt_NC!$G341:$AF341,Lamp_Mkt_Repl!$G51:$AF51+System_Mkt_NC!$G341:$AF341))))))</f>
        <v>10.199999999999999</v>
      </c>
      <c r="J165" s="373">
        <f t="array" ref="J165">IF(J$157=Misc_Inputs!$D$6,$G89,IF(SUM(IF($G$157:$AF$157&gt;=ROUND(IF((J$157-Sys_Repl_Rate!J123)&lt;Tech_Specs!$C15,Tech_Specs!$C15,(J$157-Sys_Repl_Rate!J123)),0),IF($G$157:$AF$157&lt;=J$157,IF(Tech_Specs!$K15="lamp",System_Mkt_Repl!$F341:$AE341+System_Mkt_NC!$G341:$AF341,Lamp_Mkt_Repl!$G51:$AF51+System_Mkt_NC!$G341:$AF341))))=0,0,SUMPRODUCT(IF($G$157:$AF$157&gt;=ROUND(IF((J$157-Sys_Repl_Rate!J123)&lt;Tech_Specs!$C15,Tech_Specs!$C15,(J$157-Sys_Repl_Rate!J123)),0),IF($G$157:$AF$157&lt;=J$157,$G89:$AF89)),IF(Tech_Specs!$K15="lamp",System_Mkt_Repl!$F341:$AE341+System_Mkt_NC!$G341:$AF341,Lamp_Mkt_Repl!$G51:$AF51+System_Mkt_NC!$G341:$AF341))/SUM(IF($G$157:$AF$157&gt;=ROUND(IF((J$157-Sys_Repl_Rate!J123)&lt;Tech_Specs!$C15,Tech_Specs!$C15,(J$157-Sys_Repl_Rate!J123)),0),IF($G$157:$AF$157&lt;=J$157,IF(Tech_Specs!$K15="lamp",System_Mkt_Repl!$F341:$AE341+System_Mkt_NC!$G341:$AF341,Lamp_Mkt_Repl!$G51:$AF51+System_Mkt_NC!$G341:$AF341))))))</f>
        <v>10.199999999999999</v>
      </c>
      <c r="K165" s="373">
        <f t="array" ref="K165">IF(K$157=Misc_Inputs!$D$6,$G89,IF(SUM(IF($G$157:$AF$157&gt;=ROUND(IF((K$157-Sys_Repl_Rate!K123)&lt;Tech_Specs!$C15,Tech_Specs!$C15,(K$157-Sys_Repl_Rate!K123)),0),IF($G$157:$AF$157&lt;=K$157,IF(Tech_Specs!$K15="lamp",System_Mkt_Repl!$F341:$AE341+System_Mkt_NC!$G341:$AF341,Lamp_Mkt_Repl!$G51:$AF51+System_Mkt_NC!$G341:$AF341))))=0,0,SUMPRODUCT(IF($G$157:$AF$157&gt;=ROUND(IF((K$157-Sys_Repl_Rate!K123)&lt;Tech_Specs!$C15,Tech_Specs!$C15,(K$157-Sys_Repl_Rate!K123)),0),IF($G$157:$AF$157&lt;=K$157,$G89:$AF89)),IF(Tech_Specs!$K15="lamp",System_Mkt_Repl!$F341:$AE341+System_Mkt_NC!$G341:$AF341,Lamp_Mkt_Repl!$G51:$AF51+System_Mkt_NC!$G341:$AF341))/SUM(IF($G$157:$AF$157&gt;=ROUND(IF((K$157-Sys_Repl_Rate!K123)&lt;Tech_Specs!$C15,Tech_Specs!$C15,(K$157-Sys_Repl_Rate!K123)),0),IF($G$157:$AF$157&lt;=K$157,IF(Tech_Specs!$K15="lamp",System_Mkt_Repl!$F341:$AE341+System_Mkt_NC!$G341:$AF341,Lamp_Mkt_Repl!$G51:$AF51+System_Mkt_NC!$G341:$AF341))))))</f>
        <v>10.200000000000001</v>
      </c>
      <c r="L165" s="373">
        <f t="array" ref="L165">IF(L$157=Misc_Inputs!$D$6,$G89,IF(SUM(IF($G$157:$AF$157&gt;=ROUND(IF((L$157-Sys_Repl_Rate!L123)&lt;Tech_Specs!$C15,Tech_Specs!$C15,(L$157-Sys_Repl_Rate!L123)),0),IF($G$157:$AF$157&lt;=L$157,IF(Tech_Specs!$K15="lamp",System_Mkt_Repl!$F341:$AE341+System_Mkt_NC!$G341:$AF341,Lamp_Mkt_Repl!$G51:$AF51+System_Mkt_NC!$G341:$AF341))))=0,0,SUMPRODUCT(IF($G$157:$AF$157&gt;=ROUND(IF((L$157-Sys_Repl_Rate!L123)&lt;Tech_Specs!$C15,Tech_Specs!$C15,(L$157-Sys_Repl_Rate!L123)),0),IF($G$157:$AF$157&lt;=L$157,$G89:$AF89)),IF(Tech_Specs!$K15="lamp",System_Mkt_Repl!$F341:$AE341+System_Mkt_NC!$G341:$AF341,Lamp_Mkt_Repl!$G51:$AF51+System_Mkt_NC!$G341:$AF341))/SUM(IF($G$157:$AF$157&gt;=ROUND(IF((L$157-Sys_Repl_Rate!L123)&lt;Tech_Specs!$C15,Tech_Specs!$C15,(L$157-Sys_Repl_Rate!L123)),0),IF($G$157:$AF$157&lt;=L$157,IF(Tech_Specs!$K15="lamp",System_Mkt_Repl!$F341:$AE341+System_Mkt_NC!$G341:$AF341,Lamp_Mkt_Repl!$G51:$AF51+System_Mkt_NC!$G341:$AF341))))))</f>
        <v>10.199999999999999</v>
      </c>
      <c r="M165" s="373">
        <f t="array" ref="M165">IF(M$157=Misc_Inputs!$D$6,$G89,IF(SUM(IF($G$157:$AF$157&gt;=ROUND(IF((M$157-Sys_Repl_Rate!M123)&lt;Tech_Specs!$C15,Tech_Specs!$C15,(M$157-Sys_Repl_Rate!M123)),0),IF($G$157:$AF$157&lt;=M$157,IF(Tech_Specs!$K15="lamp",System_Mkt_Repl!$F341:$AE341+System_Mkt_NC!$G341:$AF341,Lamp_Mkt_Repl!$G51:$AF51+System_Mkt_NC!$G341:$AF341))))=0,0,SUMPRODUCT(IF($G$157:$AF$157&gt;=ROUND(IF((M$157-Sys_Repl_Rate!M123)&lt;Tech_Specs!$C15,Tech_Specs!$C15,(M$157-Sys_Repl_Rate!M123)),0),IF($G$157:$AF$157&lt;=M$157,$G89:$AF89)),IF(Tech_Specs!$K15="lamp",System_Mkt_Repl!$F341:$AE341+System_Mkt_NC!$G341:$AF341,Lamp_Mkt_Repl!$G51:$AF51+System_Mkt_NC!$G341:$AF341))/SUM(IF($G$157:$AF$157&gt;=ROUND(IF((M$157-Sys_Repl_Rate!M123)&lt;Tech_Specs!$C15,Tech_Specs!$C15,(M$157-Sys_Repl_Rate!M123)),0),IF($G$157:$AF$157&lt;=M$157,IF(Tech_Specs!$K15="lamp",System_Mkt_Repl!$F341:$AE341+System_Mkt_NC!$G341:$AF341,Lamp_Mkt_Repl!$G51:$AF51+System_Mkt_NC!$G341:$AF341))))))</f>
        <v>10.199999999999999</v>
      </c>
      <c r="N165" s="373">
        <f t="array" ref="N165">IF(N$157=Misc_Inputs!$D$6,$G89,IF(SUM(IF($G$157:$AF$157&gt;=ROUND(IF((N$157-Sys_Repl_Rate!N123)&lt;Tech_Specs!$C15,Tech_Specs!$C15,(N$157-Sys_Repl_Rate!N123)),0),IF($G$157:$AF$157&lt;=N$157,IF(Tech_Specs!$K15="lamp",System_Mkt_Repl!$F341:$AE341+System_Mkt_NC!$G341:$AF341,Lamp_Mkt_Repl!$G51:$AF51+System_Mkt_NC!$G341:$AF341))))=0,0,SUMPRODUCT(IF($G$157:$AF$157&gt;=ROUND(IF((N$157-Sys_Repl_Rate!N123)&lt;Tech_Specs!$C15,Tech_Specs!$C15,(N$157-Sys_Repl_Rate!N123)),0),IF($G$157:$AF$157&lt;=N$157,$G89:$AF89)),IF(Tech_Specs!$K15="lamp",System_Mkt_Repl!$F341:$AE341+System_Mkt_NC!$G341:$AF341,Lamp_Mkt_Repl!$G51:$AF51+System_Mkt_NC!$G341:$AF341))/SUM(IF($G$157:$AF$157&gt;=ROUND(IF((N$157-Sys_Repl_Rate!N123)&lt;Tech_Specs!$C15,Tech_Specs!$C15,(N$157-Sys_Repl_Rate!N123)),0),IF($G$157:$AF$157&lt;=N$157,IF(Tech_Specs!$K15="lamp",System_Mkt_Repl!$F341:$AE341+System_Mkt_NC!$G341:$AF341,Lamp_Mkt_Repl!$G51:$AF51+System_Mkt_NC!$G341:$AF341))))))</f>
        <v>10.199999999999998</v>
      </c>
      <c r="O165" s="373">
        <f t="array" ref="O165">IF(O$157=Misc_Inputs!$D$6,$G89,IF(SUM(IF($G$157:$AF$157&gt;=ROUND(IF((O$157-Sys_Repl_Rate!O123)&lt;Tech_Specs!$C15,Tech_Specs!$C15,(O$157-Sys_Repl_Rate!O123)),0),IF($G$157:$AF$157&lt;=O$157,IF(Tech_Specs!$K15="lamp",System_Mkt_Repl!$F341:$AE341+System_Mkt_NC!$G341:$AF341,Lamp_Mkt_Repl!$G51:$AF51+System_Mkt_NC!$G341:$AF341))))=0,0,SUMPRODUCT(IF($G$157:$AF$157&gt;=ROUND(IF((O$157-Sys_Repl_Rate!O123)&lt;Tech_Specs!$C15,Tech_Specs!$C15,(O$157-Sys_Repl_Rate!O123)),0),IF($G$157:$AF$157&lt;=O$157,$G89:$AF89)),IF(Tech_Specs!$K15="lamp",System_Mkt_Repl!$F341:$AE341+System_Mkt_NC!$G341:$AF341,Lamp_Mkt_Repl!$G51:$AF51+System_Mkt_NC!$G341:$AF341))/SUM(IF($G$157:$AF$157&gt;=ROUND(IF((O$157-Sys_Repl_Rate!O123)&lt;Tech_Specs!$C15,Tech_Specs!$C15,(O$157-Sys_Repl_Rate!O123)),0),IF($G$157:$AF$157&lt;=O$157,IF(Tech_Specs!$K15="lamp",System_Mkt_Repl!$F341:$AE341+System_Mkt_NC!$G341:$AF341,Lamp_Mkt_Repl!$G51:$AF51+System_Mkt_NC!$G341:$AF341))))))</f>
        <v>10.199999999999999</v>
      </c>
      <c r="P165" s="373">
        <f t="array" ref="P165">IF(P$157=Misc_Inputs!$D$6,$G89,IF(SUM(IF($G$157:$AF$157&gt;=ROUND(IF((P$157-Sys_Repl_Rate!P123)&lt;Tech_Specs!$C15,Tech_Specs!$C15,(P$157-Sys_Repl_Rate!P123)),0),IF($G$157:$AF$157&lt;=P$157,IF(Tech_Specs!$K15="lamp",System_Mkt_Repl!$F341:$AE341+System_Mkt_NC!$G341:$AF341,Lamp_Mkt_Repl!$G51:$AF51+System_Mkt_NC!$G341:$AF341))))=0,0,SUMPRODUCT(IF($G$157:$AF$157&gt;=ROUND(IF((P$157-Sys_Repl_Rate!P123)&lt;Tech_Specs!$C15,Tech_Specs!$C15,(P$157-Sys_Repl_Rate!P123)),0),IF($G$157:$AF$157&lt;=P$157,$G89:$AF89)),IF(Tech_Specs!$K15="lamp",System_Mkt_Repl!$F341:$AE341+System_Mkt_NC!$G341:$AF341,Lamp_Mkt_Repl!$G51:$AF51+System_Mkt_NC!$G341:$AF341))/SUM(IF($G$157:$AF$157&gt;=ROUND(IF((P$157-Sys_Repl_Rate!P123)&lt;Tech_Specs!$C15,Tech_Specs!$C15,(P$157-Sys_Repl_Rate!P123)),0),IF($G$157:$AF$157&lt;=P$157,IF(Tech_Specs!$K15="lamp",System_Mkt_Repl!$F341:$AE341+System_Mkt_NC!$G341:$AF341,Lamp_Mkt_Repl!$G51:$AF51+System_Mkt_NC!$G341:$AF341))))))</f>
        <v>10.199999999999999</v>
      </c>
      <c r="Q165" s="373">
        <f t="array" ref="Q165">IF(Q$157=Misc_Inputs!$D$6,$G89,IF(SUM(IF($G$157:$AF$157&gt;=ROUND(IF((Q$157-Sys_Repl_Rate!Q123)&lt;Tech_Specs!$C15,Tech_Specs!$C15,(Q$157-Sys_Repl_Rate!Q123)),0),IF($G$157:$AF$157&lt;=Q$157,IF(Tech_Specs!$K15="lamp",System_Mkt_Repl!$F341:$AE341+System_Mkt_NC!$G341:$AF341,Lamp_Mkt_Repl!$G51:$AF51+System_Mkt_NC!$G341:$AF341))))=0,0,SUMPRODUCT(IF($G$157:$AF$157&gt;=ROUND(IF((Q$157-Sys_Repl_Rate!Q123)&lt;Tech_Specs!$C15,Tech_Specs!$C15,(Q$157-Sys_Repl_Rate!Q123)),0),IF($G$157:$AF$157&lt;=Q$157,$G89:$AF89)),IF(Tech_Specs!$K15="lamp",System_Mkt_Repl!$F341:$AE341+System_Mkt_NC!$G341:$AF341,Lamp_Mkt_Repl!$G51:$AF51+System_Mkt_NC!$G341:$AF341))/SUM(IF($G$157:$AF$157&gt;=ROUND(IF((Q$157-Sys_Repl_Rate!Q123)&lt;Tech_Specs!$C15,Tech_Specs!$C15,(Q$157-Sys_Repl_Rate!Q123)),0),IF($G$157:$AF$157&lt;=Q$157,IF(Tech_Specs!$K15="lamp",System_Mkt_Repl!$F341:$AE341+System_Mkt_NC!$G341:$AF341,Lamp_Mkt_Repl!$G51:$AF51+System_Mkt_NC!$G341:$AF341))))))</f>
        <v>10.199999999999999</v>
      </c>
      <c r="R165" s="373">
        <f t="array" ref="R165">IF(R$157=Misc_Inputs!$D$6,$G89,IF(SUM(IF($G$157:$AF$157&gt;=ROUND(IF((R$157-Sys_Repl_Rate!R123)&lt;Tech_Specs!$C15,Tech_Specs!$C15,(R$157-Sys_Repl_Rate!R123)),0),IF($G$157:$AF$157&lt;=R$157,IF(Tech_Specs!$K15="lamp",System_Mkt_Repl!$F341:$AE341+System_Mkt_NC!$G341:$AF341,Lamp_Mkt_Repl!$G51:$AF51+System_Mkt_NC!$G341:$AF341))))=0,0,SUMPRODUCT(IF($G$157:$AF$157&gt;=ROUND(IF((R$157-Sys_Repl_Rate!R123)&lt;Tech_Specs!$C15,Tech_Specs!$C15,(R$157-Sys_Repl_Rate!R123)),0),IF($G$157:$AF$157&lt;=R$157,$G89:$AF89)),IF(Tech_Specs!$K15="lamp",System_Mkt_Repl!$F341:$AE341+System_Mkt_NC!$G341:$AF341,Lamp_Mkt_Repl!$G51:$AF51+System_Mkt_NC!$G341:$AF341))/SUM(IF($G$157:$AF$157&gt;=ROUND(IF((R$157-Sys_Repl_Rate!R123)&lt;Tech_Specs!$C15,Tech_Specs!$C15,(R$157-Sys_Repl_Rate!R123)),0),IF($G$157:$AF$157&lt;=R$157,IF(Tech_Specs!$K15="lamp",System_Mkt_Repl!$F341:$AE341+System_Mkt_NC!$G341:$AF341,Lamp_Mkt_Repl!$G51:$AF51+System_Mkt_NC!$G341:$AF341))))))</f>
        <v>10.199999999999998</v>
      </c>
      <c r="S165" s="373">
        <f t="array" ref="S165">IF(S$157=Misc_Inputs!$D$6,$G89,IF(SUM(IF($G$157:$AF$157&gt;=ROUND(IF((S$157-Sys_Repl_Rate!S123)&lt;Tech_Specs!$C15,Tech_Specs!$C15,(S$157-Sys_Repl_Rate!S123)),0),IF($G$157:$AF$157&lt;=S$157,IF(Tech_Specs!$K15="lamp",System_Mkt_Repl!$F341:$AE341+System_Mkt_NC!$G341:$AF341,Lamp_Mkt_Repl!$G51:$AF51+System_Mkt_NC!$G341:$AF341))))=0,0,SUMPRODUCT(IF($G$157:$AF$157&gt;=ROUND(IF((S$157-Sys_Repl_Rate!S123)&lt;Tech_Specs!$C15,Tech_Specs!$C15,(S$157-Sys_Repl_Rate!S123)),0),IF($G$157:$AF$157&lt;=S$157,$G89:$AF89)),IF(Tech_Specs!$K15="lamp",System_Mkt_Repl!$F341:$AE341+System_Mkt_NC!$G341:$AF341,Lamp_Mkt_Repl!$G51:$AF51+System_Mkt_NC!$G341:$AF341))/SUM(IF($G$157:$AF$157&gt;=ROUND(IF((S$157-Sys_Repl_Rate!S123)&lt;Tech_Specs!$C15,Tech_Specs!$C15,(S$157-Sys_Repl_Rate!S123)),0),IF($G$157:$AF$157&lt;=S$157,IF(Tech_Specs!$K15="lamp",System_Mkt_Repl!$F341:$AE341+System_Mkt_NC!$G341:$AF341,Lamp_Mkt_Repl!$G51:$AF51+System_Mkt_NC!$G341:$AF341))))))</f>
        <v>10.199999999999998</v>
      </c>
      <c r="T165" s="373">
        <f t="array" ref="T165">IF(T$157=Misc_Inputs!$D$6,$G89,IF(SUM(IF($G$157:$AF$157&gt;=ROUND(IF((T$157-Sys_Repl_Rate!T123)&lt;Tech_Specs!$C15,Tech_Specs!$C15,(T$157-Sys_Repl_Rate!T123)),0),IF($G$157:$AF$157&lt;=T$157,IF(Tech_Specs!$K15="lamp",System_Mkt_Repl!$F341:$AE341+System_Mkt_NC!$G341:$AF341,Lamp_Mkt_Repl!$G51:$AF51+System_Mkt_NC!$G341:$AF341))))=0,0,SUMPRODUCT(IF($G$157:$AF$157&gt;=ROUND(IF((T$157-Sys_Repl_Rate!T123)&lt;Tech_Specs!$C15,Tech_Specs!$C15,(T$157-Sys_Repl_Rate!T123)),0),IF($G$157:$AF$157&lt;=T$157,$G89:$AF89)),IF(Tech_Specs!$K15="lamp",System_Mkt_Repl!$F341:$AE341+System_Mkt_NC!$G341:$AF341,Lamp_Mkt_Repl!$G51:$AF51+System_Mkt_NC!$G341:$AF341))/SUM(IF($G$157:$AF$157&gt;=ROUND(IF((T$157-Sys_Repl_Rate!T123)&lt;Tech_Specs!$C15,Tech_Specs!$C15,(T$157-Sys_Repl_Rate!T123)),0),IF($G$157:$AF$157&lt;=T$157,IF(Tech_Specs!$K15="lamp",System_Mkt_Repl!$F341:$AE341+System_Mkt_NC!$G341:$AF341,Lamp_Mkt_Repl!$G51:$AF51+System_Mkt_NC!$G341:$AF341))))))</f>
        <v>10.200000000000001</v>
      </c>
      <c r="U165" s="373">
        <f t="array" ref="U165">IF(U$157=Misc_Inputs!$D$6,$G89,IF(SUM(IF($G$157:$AF$157&gt;=ROUND(IF((U$157-Sys_Repl_Rate!U123)&lt;Tech_Specs!$C15,Tech_Specs!$C15,(U$157-Sys_Repl_Rate!U123)),0),IF($G$157:$AF$157&lt;=U$157,IF(Tech_Specs!$K15="lamp",System_Mkt_Repl!$F341:$AE341+System_Mkt_NC!$G341:$AF341,Lamp_Mkt_Repl!$G51:$AF51+System_Mkt_NC!$G341:$AF341))))=0,0,SUMPRODUCT(IF($G$157:$AF$157&gt;=ROUND(IF((U$157-Sys_Repl_Rate!U123)&lt;Tech_Specs!$C15,Tech_Specs!$C15,(U$157-Sys_Repl_Rate!U123)),0),IF($G$157:$AF$157&lt;=U$157,$G89:$AF89)),IF(Tech_Specs!$K15="lamp",System_Mkt_Repl!$F341:$AE341+System_Mkt_NC!$G341:$AF341,Lamp_Mkt_Repl!$G51:$AF51+System_Mkt_NC!$G341:$AF341))/SUM(IF($G$157:$AF$157&gt;=ROUND(IF((U$157-Sys_Repl_Rate!U123)&lt;Tech_Specs!$C15,Tech_Specs!$C15,(U$157-Sys_Repl_Rate!U123)),0),IF($G$157:$AF$157&lt;=U$157,IF(Tech_Specs!$K15="lamp",System_Mkt_Repl!$F341:$AE341+System_Mkt_NC!$G341:$AF341,Lamp_Mkt_Repl!$G51:$AF51+System_Mkt_NC!$G341:$AF341))))))</f>
        <v>10.199999999999999</v>
      </c>
      <c r="V165" s="373">
        <f t="array" ref="V165">IF(V$157=Misc_Inputs!$D$6,$G89,IF(SUM(IF($G$157:$AF$157&gt;=ROUND(IF((V$157-Sys_Repl_Rate!V123)&lt;Tech_Specs!$C15,Tech_Specs!$C15,(V$157-Sys_Repl_Rate!V123)),0),IF($G$157:$AF$157&lt;=V$157,IF(Tech_Specs!$K15="lamp",System_Mkt_Repl!$F341:$AE341+System_Mkt_NC!$G341:$AF341,Lamp_Mkt_Repl!$G51:$AF51+System_Mkt_NC!$G341:$AF341))))=0,0,SUMPRODUCT(IF($G$157:$AF$157&gt;=ROUND(IF((V$157-Sys_Repl_Rate!V123)&lt;Tech_Specs!$C15,Tech_Specs!$C15,(V$157-Sys_Repl_Rate!V123)),0),IF($G$157:$AF$157&lt;=V$157,$G89:$AF89)),IF(Tech_Specs!$K15="lamp",System_Mkt_Repl!$F341:$AE341+System_Mkt_NC!$G341:$AF341,Lamp_Mkt_Repl!$G51:$AF51+System_Mkt_NC!$G341:$AF341))/SUM(IF($G$157:$AF$157&gt;=ROUND(IF((V$157-Sys_Repl_Rate!V123)&lt;Tech_Specs!$C15,Tech_Specs!$C15,(V$157-Sys_Repl_Rate!V123)),0),IF($G$157:$AF$157&lt;=V$157,IF(Tech_Specs!$K15="lamp",System_Mkt_Repl!$F341:$AE341+System_Mkt_NC!$G341:$AF341,Lamp_Mkt_Repl!$G51:$AF51+System_Mkt_NC!$G341:$AF341))))))</f>
        <v>10.199999999999999</v>
      </c>
      <c r="W165" s="373">
        <f t="array" ref="W165">IF(W$157=Misc_Inputs!$D$6,$G89,IF(SUM(IF($G$157:$AF$157&gt;=ROUND(IF((W$157-Sys_Repl_Rate!W123)&lt;Tech_Specs!$C15,Tech_Specs!$C15,(W$157-Sys_Repl_Rate!W123)),0),IF($G$157:$AF$157&lt;=W$157,IF(Tech_Specs!$K15="lamp",System_Mkt_Repl!$F341:$AE341+System_Mkt_NC!$G341:$AF341,Lamp_Mkt_Repl!$G51:$AF51+System_Mkt_NC!$G341:$AF341))))=0,0,SUMPRODUCT(IF($G$157:$AF$157&gt;=ROUND(IF((W$157-Sys_Repl_Rate!W123)&lt;Tech_Specs!$C15,Tech_Specs!$C15,(W$157-Sys_Repl_Rate!W123)),0),IF($G$157:$AF$157&lt;=W$157,$G89:$AF89)),IF(Tech_Specs!$K15="lamp",System_Mkt_Repl!$F341:$AE341+System_Mkt_NC!$G341:$AF341,Lamp_Mkt_Repl!$G51:$AF51+System_Mkt_NC!$G341:$AF341))/SUM(IF($G$157:$AF$157&gt;=ROUND(IF((W$157-Sys_Repl_Rate!W123)&lt;Tech_Specs!$C15,Tech_Specs!$C15,(W$157-Sys_Repl_Rate!W123)),0),IF($G$157:$AF$157&lt;=W$157,IF(Tech_Specs!$K15="lamp",System_Mkt_Repl!$F341:$AE341+System_Mkt_NC!$G341:$AF341,Lamp_Mkt_Repl!$G51:$AF51+System_Mkt_NC!$G341:$AF341))))))</f>
        <v>10.199999999999999</v>
      </c>
      <c r="X165" s="373">
        <f t="array" ref="X165">IF(X$157=Misc_Inputs!$D$6,$G89,IF(SUM(IF($G$157:$AF$157&gt;=ROUND(IF((X$157-Sys_Repl_Rate!X123)&lt;Tech_Specs!$C15,Tech_Specs!$C15,(X$157-Sys_Repl_Rate!X123)),0),IF($G$157:$AF$157&lt;=X$157,IF(Tech_Specs!$K15="lamp",System_Mkt_Repl!$F341:$AE341+System_Mkt_NC!$G341:$AF341,Lamp_Mkt_Repl!$G51:$AF51+System_Mkt_NC!$G341:$AF341))))=0,0,SUMPRODUCT(IF($G$157:$AF$157&gt;=ROUND(IF((X$157-Sys_Repl_Rate!X123)&lt;Tech_Specs!$C15,Tech_Specs!$C15,(X$157-Sys_Repl_Rate!X123)),0),IF($G$157:$AF$157&lt;=X$157,$G89:$AF89)),IF(Tech_Specs!$K15="lamp",System_Mkt_Repl!$F341:$AE341+System_Mkt_NC!$G341:$AF341,Lamp_Mkt_Repl!$G51:$AF51+System_Mkt_NC!$G341:$AF341))/SUM(IF($G$157:$AF$157&gt;=ROUND(IF((X$157-Sys_Repl_Rate!X123)&lt;Tech_Specs!$C15,Tech_Specs!$C15,(X$157-Sys_Repl_Rate!X123)),0),IF($G$157:$AF$157&lt;=X$157,IF(Tech_Specs!$K15="lamp",System_Mkt_Repl!$F341:$AE341+System_Mkt_NC!$G341:$AF341,Lamp_Mkt_Repl!$G51:$AF51+System_Mkt_NC!$G341:$AF341))))))</f>
        <v>10.199999999999998</v>
      </c>
      <c r="Y165" s="373">
        <f t="array" ref="Y165">IF(Y$157=Misc_Inputs!$D$6,$G89,IF(SUM(IF($G$157:$AF$157&gt;=ROUND(IF((Y$157-Sys_Repl_Rate!Y123)&lt;Tech_Specs!$C15,Tech_Specs!$C15,(Y$157-Sys_Repl_Rate!Y123)),0),IF($G$157:$AF$157&lt;=Y$157,IF(Tech_Specs!$K15="lamp",System_Mkt_Repl!$F341:$AE341+System_Mkt_NC!$G341:$AF341,Lamp_Mkt_Repl!$G51:$AF51+System_Mkt_NC!$G341:$AF341))))=0,0,SUMPRODUCT(IF($G$157:$AF$157&gt;=ROUND(IF((Y$157-Sys_Repl_Rate!Y123)&lt;Tech_Specs!$C15,Tech_Specs!$C15,(Y$157-Sys_Repl_Rate!Y123)),0),IF($G$157:$AF$157&lt;=Y$157,$G89:$AF89)),IF(Tech_Specs!$K15="lamp",System_Mkt_Repl!$F341:$AE341+System_Mkt_NC!$G341:$AF341,Lamp_Mkt_Repl!$G51:$AF51+System_Mkt_NC!$G341:$AF341))/SUM(IF($G$157:$AF$157&gt;=ROUND(IF((Y$157-Sys_Repl_Rate!Y123)&lt;Tech_Specs!$C15,Tech_Specs!$C15,(Y$157-Sys_Repl_Rate!Y123)),0),IF($G$157:$AF$157&lt;=Y$157,IF(Tech_Specs!$K15="lamp",System_Mkt_Repl!$F341:$AE341+System_Mkt_NC!$G341:$AF341,Lamp_Mkt_Repl!$G51:$AF51+System_Mkt_NC!$G341:$AF341))))))</f>
        <v>10.199999999999998</v>
      </c>
      <c r="Z165" s="373">
        <f t="array" ref="Z165">IF(Z$157=Misc_Inputs!$D$6,$G89,IF(SUM(IF($G$157:$AF$157&gt;=ROUND(IF((Z$157-Sys_Repl_Rate!Z123)&lt;Tech_Specs!$C15,Tech_Specs!$C15,(Z$157-Sys_Repl_Rate!Z123)),0),IF($G$157:$AF$157&lt;=Z$157,IF(Tech_Specs!$K15="lamp",System_Mkt_Repl!$F341:$AE341+System_Mkt_NC!$G341:$AF341,Lamp_Mkt_Repl!$G51:$AF51+System_Mkt_NC!$G341:$AF341))))=0,0,SUMPRODUCT(IF($G$157:$AF$157&gt;=ROUND(IF((Z$157-Sys_Repl_Rate!Z123)&lt;Tech_Specs!$C15,Tech_Specs!$C15,(Z$157-Sys_Repl_Rate!Z123)),0),IF($G$157:$AF$157&lt;=Z$157,$G89:$AF89)),IF(Tech_Specs!$K15="lamp",System_Mkt_Repl!$F341:$AE341+System_Mkt_NC!$G341:$AF341,Lamp_Mkt_Repl!$G51:$AF51+System_Mkt_NC!$G341:$AF341))/SUM(IF($G$157:$AF$157&gt;=ROUND(IF((Z$157-Sys_Repl_Rate!Z123)&lt;Tech_Specs!$C15,Tech_Specs!$C15,(Z$157-Sys_Repl_Rate!Z123)),0),IF($G$157:$AF$157&lt;=Z$157,IF(Tech_Specs!$K15="lamp",System_Mkt_Repl!$F341:$AE341+System_Mkt_NC!$G341:$AF341,Lamp_Mkt_Repl!$G51:$AF51+System_Mkt_NC!$G341:$AF341))))))</f>
        <v>10.199999999999999</v>
      </c>
      <c r="AA165" s="373">
        <f t="array" ref="AA165">IF(AA$157=Misc_Inputs!$D$6,$G89,IF(SUM(IF($G$157:$AF$157&gt;=ROUND(IF((AA$157-Sys_Repl_Rate!AA123)&lt;Tech_Specs!$C15,Tech_Specs!$C15,(AA$157-Sys_Repl_Rate!AA123)),0),IF($G$157:$AF$157&lt;=AA$157,IF(Tech_Specs!$K15="lamp",System_Mkt_Repl!$F341:$AE341+System_Mkt_NC!$G341:$AF341,Lamp_Mkt_Repl!$G51:$AF51+System_Mkt_NC!$G341:$AF341))))=0,0,SUMPRODUCT(IF($G$157:$AF$157&gt;=ROUND(IF((AA$157-Sys_Repl_Rate!AA123)&lt;Tech_Specs!$C15,Tech_Specs!$C15,(AA$157-Sys_Repl_Rate!AA123)),0),IF($G$157:$AF$157&lt;=AA$157,$G89:$AF89)),IF(Tech_Specs!$K15="lamp",System_Mkt_Repl!$F341:$AE341+System_Mkt_NC!$G341:$AF341,Lamp_Mkt_Repl!$G51:$AF51+System_Mkt_NC!$G341:$AF341))/SUM(IF($G$157:$AF$157&gt;=ROUND(IF((AA$157-Sys_Repl_Rate!AA123)&lt;Tech_Specs!$C15,Tech_Specs!$C15,(AA$157-Sys_Repl_Rate!AA123)),0),IF($G$157:$AF$157&lt;=AA$157,IF(Tech_Specs!$K15="lamp",System_Mkt_Repl!$F341:$AE341+System_Mkt_NC!$G341:$AF341,Lamp_Mkt_Repl!$G51:$AF51+System_Mkt_NC!$G341:$AF341))))))</f>
        <v>10.200000000000001</v>
      </c>
      <c r="AB165" s="373">
        <f t="array" ref="AB165">IF(AB$157=Misc_Inputs!$D$6,$G89,IF(SUM(IF($G$157:$AF$157&gt;=ROUND(IF((AB$157-Sys_Repl_Rate!AB123)&lt;Tech_Specs!$C15,Tech_Specs!$C15,(AB$157-Sys_Repl_Rate!AB123)),0),IF($G$157:$AF$157&lt;=AB$157,IF(Tech_Specs!$K15="lamp",System_Mkt_Repl!$F341:$AE341+System_Mkt_NC!$G341:$AF341,Lamp_Mkt_Repl!$G51:$AF51+System_Mkt_NC!$G341:$AF341))))=0,0,SUMPRODUCT(IF($G$157:$AF$157&gt;=ROUND(IF((AB$157-Sys_Repl_Rate!AB123)&lt;Tech_Specs!$C15,Tech_Specs!$C15,(AB$157-Sys_Repl_Rate!AB123)),0),IF($G$157:$AF$157&lt;=AB$157,$G89:$AF89)),IF(Tech_Specs!$K15="lamp",System_Mkt_Repl!$F341:$AE341+System_Mkt_NC!$G341:$AF341,Lamp_Mkt_Repl!$G51:$AF51+System_Mkt_NC!$G341:$AF341))/SUM(IF($G$157:$AF$157&gt;=ROUND(IF((AB$157-Sys_Repl_Rate!AB123)&lt;Tech_Specs!$C15,Tech_Specs!$C15,(AB$157-Sys_Repl_Rate!AB123)),0),IF($G$157:$AF$157&lt;=AB$157,IF(Tech_Specs!$K15="lamp",System_Mkt_Repl!$F341:$AE341+System_Mkt_NC!$G341:$AF341,Lamp_Mkt_Repl!$G51:$AF51+System_Mkt_NC!$G341:$AF341))))))</f>
        <v>10.199999999999998</v>
      </c>
      <c r="AC165" s="373">
        <f t="array" ref="AC165">IF(AC$157=Misc_Inputs!$D$6,$G89,IF(SUM(IF($G$157:$AF$157&gt;=ROUND(IF((AC$157-Sys_Repl_Rate!AC123)&lt;Tech_Specs!$C15,Tech_Specs!$C15,(AC$157-Sys_Repl_Rate!AC123)),0),IF($G$157:$AF$157&lt;=AC$157,IF(Tech_Specs!$K15="lamp",System_Mkt_Repl!$F341:$AE341+System_Mkt_NC!$G341:$AF341,Lamp_Mkt_Repl!$G51:$AF51+System_Mkt_NC!$G341:$AF341))))=0,0,SUMPRODUCT(IF($G$157:$AF$157&gt;=ROUND(IF((AC$157-Sys_Repl_Rate!AC123)&lt;Tech_Specs!$C15,Tech_Specs!$C15,(AC$157-Sys_Repl_Rate!AC123)),0),IF($G$157:$AF$157&lt;=AC$157,$G89:$AF89)),IF(Tech_Specs!$K15="lamp",System_Mkt_Repl!$F341:$AE341+System_Mkt_NC!$G341:$AF341,Lamp_Mkt_Repl!$G51:$AF51+System_Mkt_NC!$G341:$AF341))/SUM(IF($G$157:$AF$157&gt;=ROUND(IF((AC$157-Sys_Repl_Rate!AC123)&lt;Tech_Specs!$C15,Tech_Specs!$C15,(AC$157-Sys_Repl_Rate!AC123)),0),IF($G$157:$AF$157&lt;=AC$157,IF(Tech_Specs!$K15="lamp",System_Mkt_Repl!$F341:$AE341+System_Mkt_NC!$G341:$AF341,Lamp_Mkt_Repl!$G51:$AF51+System_Mkt_NC!$G341:$AF341))))))</f>
        <v>10.199999999999999</v>
      </c>
      <c r="AD165" s="373">
        <f t="array" ref="AD165">IF(AD$157=Misc_Inputs!$D$6,$G89,IF(SUM(IF($G$157:$AF$157&gt;=ROUND(IF((AD$157-Sys_Repl_Rate!AD123)&lt;Tech_Specs!$C15,Tech_Specs!$C15,(AD$157-Sys_Repl_Rate!AD123)),0),IF($G$157:$AF$157&lt;=AD$157,IF(Tech_Specs!$K15="lamp",System_Mkt_Repl!$F341:$AE341+System_Mkt_NC!$G341:$AF341,Lamp_Mkt_Repl!$G51:$AF51+System_Mkt_NC!$G341:$AF341))))=0,0,SUMPRODUCT(IF($G$157:$AF$157&gt;=ROUND(IF((AD$157-Sys_Repl_Rate!AD123)&lt;Tech_Specs!$C15,Tech_Specs!$C15,(AD$157-Sys_Repl_Rate!AD123)),0),IF($G$157:$AF$157&lt;=AD$157,$G89:$AF89)),IF(Tech_Specs!$K15="lamp",System_Mkt_Repl!$F341:$AE341+System_Mkt_NC!$G341:$AF341,Lamp_Mkt_Repl!$G51:$AF51+System_Mkt_NC!$G341:$AF341))/SUM(IF($G$157:$AF$157&gt;=ROUND(IF((AD$157-Sys_Repl_Rate!AD123)&lt;Tech_Specs!$C15,Tech_Specs!$C15,(AD$157-Sys_Repl_Rate!AD123)),0),IF($G$157:$AF$157&lt;=AD$157,IF(Tech_Specs!$K15="lamp",System_Mkt_Repl!$F341:$AE341+System_Mkt_NC!$G341:$AF341,Lamp_Mkt_Repl!$G51:$AF51+System_Mkt_NC!$G341:$AF341))))))</f>
        <v>10.199999999999999</v>
      </c>
      <c r="AE165" s="373">
        <f t="array" ref="AE165">IF(AE$157=Misc_Inputs!$D$6,$G89,IF(SUM(IF($G$157:$AF$157&gt;=ROUND(IF((AE$157-Sys_Repl_Rate!AE123)&lt;Tech_Specs!$C15,Tech_Specs!$C15,(AE$157-Sys_Repl_Rate!AE123)),0),IF($G$157:$AF$157&lt;=AE$157,IF(Tech_Specs!$K15="lamp",System_Mkt_Repl!$F341:$AE341+System_Mkt_NC!$G341:$AF341,Lamp_Mkt_Repl!$G51:$AF51+System_Mkt_NC!$G341:$AF341))))=0,0,SUMPRODUCT(IF($G$157:$AF$157&gt;=ROUND(IF((AE$157-Sys_Repl_Rate!AE123)&lt;Tech_Specs!$C15,Tech_Specs!$C15,(AE$157-Sys_Repl_Rate!AE123)),0),IF($G$157:$AF$157&lt;=AE$157,$G89:$AF89)),IF(Tech_Specs!$K15="lamp",System_Mkt_Repl!$F341:$AE341+System_Mkt_NC!$G341:$AF341,Lamp_Mkt_Repl!$G51:$AF51+System_Mkt_NC!$G341:$AF341))/SUM(IF($G$157:$AF$157&gt;=ROUND(IF((AE$157-Sys_Repl_Rate!AE123)&lt;Tech_Specs!$C15,Tech_Specs!$C15,(AE$157-Sys_Repl_Rate!AE123)),0),IF($G$157:$AF$157&lt;=AE$157,IF(Tech_Specs!$K15="lamp",System_Mkt_Repl!$F341:$AE341+System_Mkt_NC!$G341:$AF341,Lamp_Mkt_Repl!$G51:$AF51+System_Mkt_NC!$G341:$AF341))))))</f>
        <v>10.199999999999998</v>
      </c>
      <c r="AF165" s="373">
        <f t="array" ref="AF165">IF(AF$157=Misc_Inputs!$D$6,$G89,IF(SUM(IF($G$157:$AF$157&gt;=ROUND(IF((AF$157-Sys_Repl_Rate!AF123)&lt;Tech_Specs!$C15,Tech_Specs!$C15,(AF$157-Sys_Repl_Rate!AF123)),0),IF($G$157:$AF$157&lt;=AF$157,IF(Tech_Specs!$K15="lamp",System_Mkt_Repl!$F341:$AE341+System_Mkt_NC!$G341:$AF341,Lamp_Mkt_Repl!$G51:$AF51+System_Mkt_NC!$G341:$AF341))))=0,0,SUMPRODUCT(IF($G$157:$AF$157&gt;=ROUND(IF((AF$157-Sys_Repl_Rate!AF123)&lt;Tech_Specs!$C15,Tech_Specs!$C15,(AF$157-Sys_Repl_Rate!AF123)),0),IF($G$157:$AF$157&lt;=AF$157,$G89:$AF89)),IF(Tech_Specs!$K15="lamp",System_Mkt_Repl!$F341:$AE341+System_Mkt_NC!$G341:$AF341,Lamp_Mkt_Repl!$G51:$AF51+System_Mkt_NC!$G341:$AF341))/SUM(IF($G$157:$AF$157&gt;=ROUND(IF((AF$157-Sys_Repl_Rate!AF123)&lt;Tech_Specs!$C15,Tech_Specs!$C15,(AF$157-Sys_Repl_Rate!AF123)),0),IF($G$157:$AF$157&lt;=AF$157,IF(Tech_Specs!$K15="lamp",System_Mkt_Repl!$F341:$AE341+System_Mkt_NC!$G341:$AF341,Lamp_Mkt_Repl!$G51:$AF51+System_Mkt_NC!$G341:$AF341))))))</f>
        <v>10.199999999999999</v>
      </c>
    </row>
    <row r="166" spans="1:32" s="101" customFormat="1" ht="12.75" x14ac:dyDescent="0.2">
      <c r="B166" s="101" t="s">
        <v>34</v>
      </c>
      <c r="C166" s="81"/>
      <c r="D166" s="550"/>
      <c r="E166" s="550"/>
      <c r="F166" s="550"/>
      <c r="G166" s="373">
        <f t="array" ref="G166">IF(G$157=Misc_Inputs!$D$6,$G90,IF(SUM(IF($G$157:$AF$157&gt;=ROUND(IF((G$157-Sys_Repl_Rate!G124)&lt;Tech_Specs!$C16,Tech_Specs!$C16,(G$157-Sys_Repl_Rate!G124)),0),IF($G$157:$AF$157&lt;=G$157,IF(Tech_Specs!$K16="lamp",System_Mkt_Repl!$F342:$AE342+System_Mkt_NC!$G342:$AF342,Lamp_Mkt_Repl!$G52:$AF52+System_Mkt_NC!$G342:$AF342))))=0,0,SUMPRODUCT(IF($G$157:$AF$157&gt;=ROUND(IF((G$157-Sys_Repl_Rate!G124)&lt;Tech_Specs!$C16,Tech_Specs!$C16,(G$157-Sys_Repl_Rate!G124)),0),IF($G$157:$AF$157&lt;=G$157,$G90:$AF90)),IF(Tech_Specs!$K16="lamp",System_Mkt_Repl!$F342:$AE342+System_Mkt_NC!$G342:$AF342,Lamp_Mkt_Repl!$G52:$AF52+System_Mkt_NC!$G342:$AF342))/SUM(IF($G$157:$AF$157&gt;=ROUND(IF((G$157-Sys_Repl_Rate!G124)&lt;Tech_Specs!$C16,Tech_Specs!$C16,(G$157-Sys_Repl_Rate!G124)),0),IF($G$157:$AF$157&lt;=G$157,IF(Tech_Specs!$K16="lamp",System_Mkt_Repl!$F342:$AE342+System_Mkt_NC!$G342:$AF342,Lamp_Mkt_Repl!$G52:$AF52+System_Mkt_NC!$G342:$AF342))))))</f>
        <v>14.100000000000009</v>
      </c>
      <c r="H166" s="373">
        <f t="array" ref="H166">IF(H$157=Misc_Inputs!$D$6,$G90,IF(SUM(IF($G$157:$AF$157&gt;=ROUND(IF((H$157-Sys_Repl_Rate!H124)&lt;Tech_Specs!$C16,Tech_Specs!$C16,(H$157-Sys_Repl_Rate!H124)),0),IF($G$157:$AF$157&lt;=H$157,IF(Tech_Specs!$K16="lamp",System_Mkt_Repl!$F342:$AE342+System_Mkt_NC!$G342:$AF342,Lamp_Mkt_Repl!$G52:$AF52+System_Mkt_NC!$G342:$AF342))))=0,0,SUMPRODUCT(IF($G$157:$AF$157&gt;=ROUND(IF((H$157-Sys_Repl_Rate!H124)&lt;Tech_Specs!$C16,Tech_Specs!$C16,(H$157-Sys_Repl_Rate!H124)),0),IF($G$157:$AF$157&lt;=H$157,$G90:$AF90)),IF(Tech_Specs!$K16="lamp",System_Mkt_Repl!$F342:$AE342+System_Mkt_NC!$G342:$AF342,Lamp_Mkt_Repl!$G52:$AF52+System_Mkt_NC!$G342:$AF342))/SUM(IF($G$157:$AF$157&gt;=ROUND(IF((H$157-Sys_Repl_Rate!H124)&lt;Tech_Specs!$C16,Tech_Specs!$C16,(H$157-Sys_Repl_Rate!H124)),0),IF($G$157:$AF$157&lt;=H$157,IF(Tech_Specs!$K16="lamp",System_Mkt_Repl!$F342:$AE342+System_Mkt_NC!$G342:$AF342,Lamp_Mkt_Repl!$G52:$AF52+System_Mkt_NC!$G342:$AF342))))))</f>
        <v>14.170500000000018</v>
      </c>
      <c r="I166" s="373">
        <f t="array" ref="I166">IF(I$157=Misc_Inputs!$D$6,$G90,IF(SUM(IF($G$157:$AF$157&gt;=ROUND(IF((I$157-Sys_Repl_Rate!I124)&lt;Tech_Specs!$C16,Tech_Specs!$C16,(I$157-Sys_Repl_Rate!I124)),0),IF($G$157:$AF$157&lt;=I$157,IF(Tech_Specs!$K16="lamp",System_Mkt_Repl!$F342:$AE342+System_Mkt_NC!$G342:$AF342,Lamp_Mkt_Repl!$G52:$AF52+System_Mkt_NC!$G342:$AF342))))=0,0,SUMPRODUCT(IF($G$157:$AF$157&gt;=ROUND(IF((I$157-Sys_Repl_Rate!I124)&lt;Tech_Specs!$C16,Tech_Specs!$C16,(I$157-Sys_Repl_Rate!I124)),0),IF($G$157:$AF$157&lt;=I$157,$G90:$AF90)),IF(Tech_Specs!$K16="lamp",System_Mkt_Repl!$F342:$AE342+System_Mkt_NC!$G342:$AF342,Lamp_Mkt_Repl!$G52:$AF52+System_Mkt_NC!$G342:$AF342))/SUM(IF($G$157:$AF$157&gt;=ROUND(IF((I$157-Sys_Repl_Rate!I124)&lt;Tech_Specs!$C16,Tech_Specs!$C16,(I$157-Sys_Repl_Rate!I124)),0),IF($G$157:$AF$157&lt;=I$157,IF(Tech_Specs!$K16="lamp",System_Mkt_Repl!$F342:$AE342+System_Mkt_NC!$G342:$AF342,Lamp_Mkt_Repl!$G52:$AF52+System_Mkt_NC!$G342:$AF342))))))</f>
        <v>14.697492301909044</v>
      </c>
      <c r="J166" s="373">
        <f t="array" ref="J166">IF(J$157=Misc_Inputs!$D$6,$G90,IF(SUM(IF($G$157:$AF$157&gt;=ROUND(IF((J$157-Sys_Repl_Rate!J124)&lt;Tech_Specs!$C16,Tech_Specs!$C16,(J$157-Sys_Repl_Rate!J124)),0),IF($G$157:$AF$157&lt;=J$157,IF(Tech_Specs!$K16="lamp",System_Mkt_Repl!$F342:$AE342+System_Mkt_NC!$G342:$AF342,Lamp_Mkt_Repl!$G52:$AF52+System_Mkt_NC!$G342:$AF342))))=0,0,SUMPRODUCT(IF($G$157:$AF$157&gt;=ROUND(IF((J$157-Sys_Repl_Rate!J124)&lt;Tech_Specs!$C16,Tech_Specs!$C16,(J$157-Sys_Repl_Rate!J124)),0),IF($G$157:$AF$157&lt;=J$157,$G90:$AF90)),IF(Tech_Specs!$K16="lamp",System_Mkt_Repl!$F342:$AE342+System_Mkt_NC!$G342:$AF342,Lamp_Mkt_Repl!$G52:$AF52+System_Mkt_NC!$G342:$AF342))/SUM(IF($G$157:$AF$157&gt;=ROUND(IF((J$157-Sys_Repl_Rate!J124)&lt;Tech_Specs!$C16,Tech_Specs!$C16,(J$157-Sys_Repl_Rate!J124)),0),IF($G$157:$AF$157&lt;=J$157,IF(Tech_Specs!$K16="lamp",System_Mkt_Repl!$F342:$AE342+System_Mkt_NC!$G342:$AF342,Lamp_Mkt_Repl!$G52:$AF52+System_Mkt_NC!$G342:$AF342))))))</f>
        <v>15.209045957420591</v>
      </c>
      <c r="K166" s="373">
        <f t="array" ref="K166">IF(K$157=Misc_Inputs!$D$6,$G90,IF(SUM(IF($G$157:$AF$157&gt;=ROUND(IF((K$157-Sys_Repl_Rate!K124)&lt;Tech_Specs!$C16,Tech_Specs!$C16,(K$157-Sys_Repl_Rate!K124)),0),IF($G$157:$AF$157&lt;=K$157,IF(Tech_Specs!$K16="lamp",System_Mkt_Repl!$F342:$AE342+System_Mkt_NC!$G342:$AF342,Lamp_Mkt_Repl!$G52:$AF52+System_Mkt_NC!$G342:$AF342))))=0,0,SUMPRODUCT(IF($G$157:$AF$157&gt;=ROUND(IF((K$157-Sys_Repl_Rate!K124)&lt;Tech_Specs!$C16,Tech_Specs!$C16,(K$157-Sys_Repl_Rate!K124)),0),IF($G$157:$AF$157&lt;=K$157,$G90:$AF90)),IF(Tech_Specs!$K16="lamp",System_Mkt_Repl!$F342:$AE342+System_Mkt_NC!$G342:$AF342,Lamp_Mkt_Repl!$G52:$AF52+System_Mkt_NC!$G342:$AF342))/SUM(IF($G$157:$AF$157&gt;=ROUND(IF((K$157-Sys_Repl_Rate!K124)&lt;Tech_Specs!$C16,Tech_Specs!$C16,(K$157-Sys_Repl_Rate!K124)),0),IF($G$157:$AF$157&lt;=K$157,IF(Tech_Specs!$K16="lamp",System_Mkt_Repl!$F342:$AE342+System_Mkt_NC!$G342:$AF342,Lamp_Mkt_Repl!$G52:$AF52+System_Mkt_NC!$G342:$AF342))))))</f>
        <v>15.698329064785197</v>
      </c>
      <c r="L166" s="373">
        <f t="array" ref="L166">IF(L$157=Misc_Inputs!$D$6,$G90,IF(SUM(IF($G$157:$AF$157&gt;=ROUND(IF((L$157-Sys_Repl_Rate!L124)&lt;Tech_Specs!$C16,Tech_Specs!$C16,(L$157-Sys_Repl_Rate!L124)),0),IF($G$157:$AF$157&lt;=L$157,IF(Tech_Specs!$K16="lamp",System_Mkt_Repl!$F342:$AE342+System_Mkt_NC!$G342:$AF342,Lamp_Mkt_Repl!$G52:$AF52+System_Mkt_NC!$G342:$AF342))))=0,0,SUMPRODUCT(IF($G$157:$AF$157&gt;=ROUND(IF((L$157-Sys_Repl_Rate!L124)&lt;Tech_Specs!$C16,Tech_Specs!$C16,(L$157-Sys_Repl_Rate!L124)),0),IF($G$157:$AF$157&lt;=L$157,$G90:$AF90)),IF(Tech_Specs!$K16="lamp",System_Mkt_Repl!$F342:$AE342+System_Mkt_NC!$G342:$AF342,Lamp_Mkt_Repl!$G52:$AF52+System_Mkt_NC!$G342:$AF342))/SUM(IF($G$157:$AF$157&gt;=ROUND(IF((L$157-Sys_Repl_Rate!L124)&lt;Tech_Specs!$C16,Tech_Specs!$C16,(L$157-Sys_Repl_Rate!L124)),0),IF($G$157:$AF$157&lt;=L$157,IF(Tech_Specs!$K16="lamp",System_Mkt_Repl!$F342:$AE342+System_Mkt_NC!$G342:$AF342,Lamp_Mkt_Repl!$G52:$AF52+System_Mkt_NC!$G342:$AF342))))))</f>
        <v>16.013216364529271</v>
      </c>
      <c r="M166" s="373">
        <f t="array" ref="M166">IF(M$157=Misc_Inputs!$D$6,$G90,IF(SUM(IF($G$157:$AF$157&gt;=ROUND(IF((M$157-Sys_Repl_Rate!M124)&lt;Tech_Specs!$C16,Tech_Specs!$C16,(M$157-Sys_Repl_Rate!M124)),0),IF($G$157:$AF$157&lt;=M$157,IF(Tech_Specs!$K16="lamp",System_Mkt_Repl!$F342:$AE342+System_Mkt_NC!$G342:$AF342,Lamp_Mkt_Repl!$G52:$AF52+System_Mkt_NC!$G342:$AF342))))=0,0,SUMPRODUCT(IF($G$157:$AF$157&gt;=ROUND(IF((M$157-Sys_Repl_Rate!M124)&lt;Tech_Specs!$C16,Tech_Specs!$C16,(M$157-Sys_Repl_Rate!M124)),0),IF($G$157:$AF$157&lt;=M$157,$G90:$AF90)),IF(Tech_Specs!$K16="lamp",System_Mkt_Repl!$F342:$AE342+System_Mkt_NC!$G342:$AF342,Lamp_Mkt_Repl!$G52:$AF52+System_Mkt_NC!$G342:$AF342))/SUM(IF($G$157:$AF$157&gt;=ROUND(IF((M$157-Sys_Repl_Rate!M124)&lt;Tech_Specs!$C16,Tech_Specs!$C16,(M$157-Sys_Repl_Rate!M124)),0),IF($G$157:$AF$157&lt;=M$157,IF(Tech_Specs!$K16="lamp",System_Mkt_Repl!$F342:$AE342+System_Mkt_NC!$G342:$AF342,Lamp_Mkt_Repl!$G52:$AF52+System_Mkt_NC!$G342:$AF342))))))</f>
        <v>16.234575697770335</v>
      </c>
      <c r="N166" s="373">
        <f t="array" ref="N166">IF(N$157=Misc_Inputs!$D$6,$G90,IF(SUM(IF($G$157:$AF$157&gt;=ROUND(IF((N$157-Sys_Repl_Rate!N124)&lt;Tech_Specs!$C16,Tech_Specs!$C16,(N$157-Sys_Repl_Rate!N124)),0),IF($G$157:$AF$157&lt;=N$157,IF(Tech_Specs!$K16="lamp",System_Mkt_Repl!$F342:$AE342+System_Mkt_NC!$G342:$AF342,Lamp_Mkt_Repl!$G52:$AF52+System_Mkt_NC!$G342:$AF342))))=0,0,SUMPRODUCT(IF($G$157:$AF$157&gt;=ROUND(IF((N$157-Sys_Repl_Rate!N124)&lt;Tech_Specs!$C16,Tech_Specs!$C16,(N$157-Sys_Repl_Rate!N124)),0),IF($G$157:$AF$157&lt;=N$157,$G90:$AF90)),IF(Tech_Specs!$K16="lamp",System_Mkt_Repl!$F342:$AE342+System_Mkt_NC!$G342:$AF342,Lamp_Mkt_Repl!$G52:$AF52+System_Mkt_NC!$G342:$AF342))/SUM(IF($G$157:$AF$157&gt;=ROUND(IF((N$157-Sys_Repl_Rate!N124)&lt;Tech_Specs!$C16,Tech_Specs!$C16,(N$157-Sys_Repl_Rate!N124)),0),IF($G$157:$AF$157&lt;=N$157,IF(Tech_Specs!$K16="lamp",System_Mkt_Repl!$F342:$AE342+System_Mkt_NC!$G342:$AF342,Lamp_Mkt_Repl!$G52:$AF52+System_Mkt_NC!$G342:$AF342))))))</f>
        <v>16.858993478805946</v>
      </c>
      <c r="O166" s="373">
        <f t="array" ref="O166">IF(O$157=Misc_Inputs!$D$6,$G90,IF(SUM(IF($G$157:$AF$157&gt;=ROUND(IF((O$157-Sys_Repl_Rate!O124)&lt;Tech_Specs!$C16,Tech_Specs!$C16,(O$157-Sys_Repl_Rate!O124)),0),IF($G$157:$AF$157&lt;=O$157,IF(Tech_Specs!$K16="lamp",System_Mkt_Repl!$F342:$AE342+System_Mkt_NC!$G342:$AF342,Lamp_Mkt_Repl!$G52:$AF52+System_Mkt_NC!$G342:$AF342))))=0,0,SUMPRODUCT(IF($G$157:$AF$157&gt;=ROUND(IF((O$157-Sys_Repl_Rate!O124)&lt;Tech_Specs!$C16,Tech_Specs!$C16,(O$157-Sys_Repl_Rate!O124)),0),IF($G$157:$AF$157&lt;=O$157,$G90:$AF90)),IF(Tech_Specs!$K16="lamp",System_Mkt_Repl!$F342:$AE342+System_Mkt_NC!$G342:$AF342,Lamp_Mkt_Repl!$G52:$AF52+System_Mkt_NC!$G342:$AF342))/SUM(IF($G$157:$AF$157&gt;=ROUND(IF((O$157-Sys_Repl_Rate!O124)&lt;Tech_Specs!$C16,Tech_Specs!$C16,(O$157-Sys_Repl_Rate!O124)),0),IF($G$157:$AF$157&lt;=O$157,IF(Tech_Specs!$K16="lamp",System_Mkt_Repl!$F342:$AE342+System_Mkt_NC!$G342:$AF342,Lamp_Mkt_Repl!$G52:$AF52+System_Mkt_NC!$G342:$AF342))))))</f>
        <v>17.321588310993057</v>
      </c>
      <c r="P166" s="373">
        <f t="array" ref="P166">IF(P$157=Misc_Inputs!$D$6,$G90,IF(SUM(IF($G$157:$AF$157&gt;=ROUND(IF((P$157-Sys_Repl_Rate!P124)&lt;Tech_Specs!$C16,Tech_Specs!$C16,(P$157-Sys_Repl_Rate!P124)),0),IF($G$157:$AF$157&lt;=P$157,IF(Tech_Specs!$K16="lamp",System_Mkt_Repl!$F342:$AE342+System_Mkt_NC!$G342:$AF342,Lamp_Mkt_Repl!$G52:$AF52+System_Mkt_NC!$G342:$AF342))))=0,0,SUMPRODUCT(IF($G$157:$AF$157&gt;=ROUND(IF((P$157-Sys_Repl_Rate!P124)&lt;Tech_Specs!$C16,Tech_Specs!$C16,(P$157-Sys_Repl_Rate!P124)),0),IF($G$157:$AF$157&lt;=P$157,$G90:$AF90)),IF(Tech_Specs!$K16="lamp",System_Mkt_Repl!$F342:$AE342+System_Mkt_NC!$G342:$AF342,Lamp_Mkt_Repl!$G52:$AF52+System_Mkt_NC!$G342:$AF342))/SUM(IF($G$157:$AF$157&gt;=ROUND(IF((P$157-Sys_Repl_Rate!P124)&lt;Tech_Specs!$C16,Tech_Specs!$C16,(P$157-Sys_Repl_Rate!P124)),0),IF($G$157:$AF$157&lt;=P$157,IF(Tech_Specs!$K16="lamp",System_Mkt_Repl!$F342:$AE342+System_Mkt_NC!$G342:$AF342,Lamp_Mkt_Repl!$G52:$AF52+System_Mkt_NC!$G342:$AF342))))))</f>
        <v>17.604311829725063</v>
      </c>
      <c r="Q166" s="373">
        <f t="array" ref="Q166">IF(Q$157=Misc_Inputs!$D$6,$G90,IF(SUM(IF($G$157:$AF$157&gt;=ROUND(IF((Q$157-Sys_Repl_Rate!Q124)&lt;Tech_Specs!$C16,Tech_Specs!$C16,(Q$157-Sys_Repl_Rate!Q124)),0),IF($G$157:$AF$157&lt;=Q$157,IF(Tech_Specs!$K16="lamp",System_Mkt_Repl!$F342:$AE342+System_Mkt_NC!$G342:$AF342,Lamp_Mkt_Repl!$G52:$AF52+System_Mkt_NC!$G342:$AF342))))=0,0,SUMPRODUCT(IF($G$157:$AF$157&gt;=ROUND(IF((Q$157-Sys_Repl_Rate!Q124)&lt;Tech_Specs!$C16,Tech_Specs!$C16,(Q$157-Sys_Repl_Rate!Q124)),0),IF($G$157:$AF$157&lt;=Q$157,$G90:$AF90)),IF(Tech_Specs!$K16="lamp",System_Mkt_Repl!$F342:$AE342+System_Mkt_NC!$G342:$AF342,Lamp_Mkt_Repl!$G52:$AF52+System_Mkt_NC!$G342:$AF342))/SUM(IF($G$157:$AF$157&gt;=ROUND(IF((Q$157-Sys_Repl_Rate!Q124)&lt;Tech_Specs!$C16,Tech_Specs!$C16,(Q$157-Sys_Repl_Rate!Q124)),0),IF($G$157:$AF$157&lt;=Q$157,IF(Tech_Specs!$K16="lamp",System_Mkt_Repl!$F342:$AE342+System_Mkt_NC!$G342:$AF342,Lamp_Mkt_Repl!$G52:$AF52+System_Mkt_NC!$G342:$AF342))))))</f>
        <v>17.686882648448748</v>
      </c>
      <c r="R166" s="373">
        <f t="array" ref="R166">IF(R$157=Misc_Inputs!$D$6,$G90,IF(SUM(IF($G$157:$AF$157&gt;=ROUND(IF((R$157-Sys_Repl_Rate!R124)&lt;Tech_Specs!$C16,Tech_Specs!$C16,(R$157-Sys_Repl_Rate!R124)),0),IF($G$157:$AF$157&lt;=R$157,IF(Tech_Specs!$K16="lamp",System_Mkt_Repl!$F342:$AE342+System_Mkt_NC!$G342:$AF342,Lamp_Mkt_Repl!$G52:$AF52+System_Mkt_NC!$G342:$AF342))))=0,0,SUMPRODUCT(IF($G$157:$AF$157&gt;=ROUND(IF((R$157-Sys_Repl_Rate!R124)&lt;Tech_Specs!$C16,Tech_Specs!$C16,(R$157-Sys_Repl_Rate!R124)),0),IF($G$157:$AF$157&lt;=R$157,$G90:$AF90)),IF(Tech_Specs!$K16="lamp",System_Mkt_Repl!$F342:$AE342+System_Mkt_NC!$G342:$AF342,Lamp_Mkt_Repl!$G52:$AF52+System_Mkt_NC!$G342:$AF342))/SUM(IF($G$157:$AF$157&gt;=ROUND(IF((R$157-Sys_Repl_Rate!R124)&lt;Tech_Specs!$C16,Tech_Specs!$C16,(R$157-Sys_Repl_Rate!R124)),0),IF($G$157:$AF$157&lt;=R$157,IF(Tech_Specs!$K16="lamp",System_Mkt_Repl!$F342:$AE342+System_Mkt_NC!$G342:$AF342,Lamp_Mkt_Repl!$G52:$AF52+System_Mkt_NC!$G342:$AF342))))))</f>
        <v>17.770181872500892</v>
      </c>
      <c r="S166" s="373">
        <f t="array" ref="S166">IF(S$157=Misc_Inputs!$D$6,$G90,IF(SUM(IF($G$157:$AF$157&gt;=ROUND(IF((S$157-Sys_Repl_Rate!S124)&lt;Tech_Specs!$C16,Tech_Specs!$C16,(S$157-Sys_Repl_Rate!S124)),0),IF($G$157:$AF$157&lt;=S$157,IF(Tech_Specs!$K16="lamp",System_Mkt_Repl!$F342:$AE342+System_Mkt_NC!$G342:$AF342,Lamp_Mkt_Repl!$G52:$AF52+System_Mkt_NC!$G342:$AF342))))=0,0,SUMPRODUCT(IF($G$157:$AF$157&gt;=ROUND(IF((S$157-Sys_Repl_Rate!S124)&lt;Tech_Specs!$C16,Tech_Specs!$C16,(S$157-Sys_Repl_Rate!S124)),0),IF($G$157:$AF$157&lt;=S$157,$G90:$AF90)),IF(Tech_Specs!$K16="lamp",System_Mkt_Repl!$F342:$AE342+System_Mkt_NC!$G342:$AF342,Lamp_Mkt_Repl!$G52:$AF52+System_Mkt_NC!$G342:$AF342))/SUM(IF($G$157:$AF$157&gt;=ROUND(IF((S$157-Sys_Repl_Rate!S124)&lt;Tech_Specs!$C16,Tech_Specs!$C16,(S$157-Sys_Repl_Rate!S124)),0),IF($G$157:$AF$157&lt;=S$157,IF(Tech_Specs!$K16="lamp",System_Mkt_Repl!$F342:$AE342+System_Mkt_NC!$G342:$AF342,Lamp_Mkt_Repl!$G52:$AF52+System_Mkt_NC!$G342:$AF342))))))</f>
        <v>17.854727936272457</v>
      </c>
      <c r="T166" s="373">
        <f t="array" ref="T166">IF(T$157=Misc_Inputs!$D$6,$G90,IF(SUM(IF($G$157:$AF$157&gt;=ROUND(IF((T$157-Sys_Repl_Rate!T124)&lt;Tech_Specs!$C16,Tech_Specs!$C16,(T$157-Sys_Repl_Rate!T124)),0),IF($G$157:$AF$157&lt;=T$157,IF(Tech_Specs!$K16="lamp",System_Mkt_Repl!$F342:$AE342+System_Mkt_NC!$G342:$AF342,Lamp_Mkt_Repl!$G52:$AF52+System_Mkt_NC!$G342:$AF342))))=0,0,SUMPRODUCT(IF($G$157:$AF$157&gt;=ROUND(IF((T$157-Sys_Repl_Rate!T124)&lt;Tech_Specs!$C16,Tech_Specs!$C16,(T$157-Sys_Repl_Rate!T124)),0),IF($G$157:$AF$157&lt;=T$157,$G90:$AF90)),IF(Tech_Specs!$K16="lamp",System_Mkt_Repl!$F342:$AE342+System_Mkt_NC!$G342:$AF342,Lamp_Mkt_Repl!$G52:$AF52+System_Mkt_NC!$G342:$AF342))/SUM(IF($G$157:$AF$157&gt;=ROUND(IF((T$157-Sys_Repl_Rate!T124)&lt;Tech_Specs!$C16,Tech_Specs!$C16,(T$157-Sys_Repl_Rate!T124)),0),IF($G$157:$AF$157&lt;=T$157,IF(Tech_Specs!$K16="lamp",System_Mkt_Repl!$F342:$AE342+System_Mkt_NC!$G342:$AF342,Lamp_Mkt_Repl!$G52:$AF52+System_Mkt_NC!$G342:$AF342))))))</f>
        <v>17.940602957492214</v>
      </c>
      <c r="U166" s="373">
        <f t="array" ref="U166">IF(U$157=Misc_Inputs!$D$6,$G90,IF(SUM(IF($G$157:$AF$157&gt;=ROUND(IF((U$157-Sys_Repl_Rate!U124)&lt;Tech_Specs!$C16,Tech_Specs!$C16,(U$157-Sys_Repl_Rate!U124)),0),IF($G$157:$AF$157&lt;=U$157,IF(Tech_Specs!$K16="lamp",System_Mkt_Repl!$F342:$AE342+System_Mkt_NC!$G342:$AF342,Lamp_Mkt_Repl!$G52:$AF52+System_Mkt_NC!$G342:$AF342))))=0,0,SUMPRODUCT(IF($G$157:$AF$157&gt;=ROUND(IF((U$157-Sys_Repl_Rate!U124)&lt;Tech_Specs!$C16,Tech_Specs!$C16,(U$157-Sys_Repl_Rate!U124)),0),IF($G$157:$AF$157&lt;=U$157,$G90:$AF90)),IF(Tech_Specs!$K16="lamp",System_Mkt_Repl!$F342:$AE342+System_Mkt_NC!$G342:$AF342,Lamp_Mkt_Repl!$G52:$AF52+System_Mkt_NC!$G342:$AF342))/SUM(IF($G$157:$AF$157&gt;=ROUND(IF((U$157-Sys_Repl_Rate!U124)&lt;Tech_Specs!$C16,Tech_Specs!$C16,(U$157-Sys_Repl_Rate!U124)),0),IF($G$157:$AF$157&lt;=U$157,IF(Tech_Specs!$K16="lamp",System_Mkt_Repl!$F342:$AE342+System_Mkt_NC!$G342:$AF342,Lamp_Mkt_Repl!$G52:$AF52+System_Mkt_NC!$G342:$AF342))))))</f>
        <v>18.027954768474675</v>
      </c>
      <c r="V166" s="373">
        <f t="array" ref="V166">IF(V$157=Misc_Inputs!$D$6,$G90,IF(SUM(IF($G$157:$AF$157&gt;=ROUND(IF((V$157-Sys_Repl_Rate!V124)&lt;Tech_Specs!$C16,Tech_Specs!$C16,(V$157-Sys_Repl_Rate!V124)),0),IF($G$157:$AF$157&lt;=V$157,IF(Tech_Specs!$K16="lamp",System_Mkt_Repl!$F342:$AE342+System_Mkt_NC!$G342:$AF342,Lamp_Mkt_Repl!$G52:$AF52+System_Mkt_NC!$G342:$AF342))))=0,0,SUMPRODUCT(IF($G$157:$AF$157&gt;=ROUND(IF((V$157-Sys_Repl_Rate!V124)&lt;Tech_Specs!$C16,Tech_Specs!$C16,(V$157-Sys_Repl_Rate!V124)),0),IF($G$157:$AF$157&lt;=V$157,$G90:$AF90)),IF(Tech_Specs!$K16="lamp",System_Mkt_Repl!$F342:$AE342+System_Mkt_NC!$G342:$AF342,Lamp_Mkt_Repl!$G52:$AF52+System_Mkt_NC!$G342:$AF342))/SUM(IF($G$157:$AF$157&gt;=ROUND(IF((V$157-Sys_Repl_Rate!V124)&lt;Tech_Specs!$C16,Tech_Specs!$C16,(V$157-Sys_Repl_Rate!V124)),0),IF($G$157:$AF$157&lt;=V$157,IF(Tech_Specs!$K16="lamp",System_Mkt_Repl!$F342:$AE342+System_Mkt_NC!$G342:$AF342,Lamp_Mkt_Repl!$G52:$AF52+System_Mkt_NC!$G342:$AF342))))))</f>
        <v>18.117016918741321</v>
      </c>
      <c r="W166" s="373">
        <f t="array" ref="W166">IF(W$157=Misc_Inputs!$D$6,$G90,IF(SUM(IF($G$157:$AF$157&gt;=ROUND(IF((W$157-Sys_Repl_Rate!W124)&lt;Tech_Specs!$C16,Tech_Specs!$C16,(W$157-Sys_Repl_Rate!W124)),0),IF($G$157:$AF$157&lt;=W$157,IF(Tech_Specs!$K16="lamp",System_Mkt_Repl!$F342:$AE342+System_Mkt_NC!$G342:$AF342,Lamp_Mkt_Repl!$G52:$AF52+System_Mkt_NC!$G342:$AF342))))=0,0,SUMPRODUCT(IF($G$157:$AF$157&gt;=ROUND(IF((W$157-Sys_Repl_Rate!W124)&lt;Tech_Specs!$C16,Tech_Specs!$C16,(W$157-Sys_Repl_Rate!W124)),0),IF($G$157:$AF$157&lt;=W$157,$G90:$AF90)),IF(Tech_Specs!$K16="lamp",System_Mkt_Repl!$F342:$AE342+System_Mkt_NC!$G342:$AF342,Lamp_Mkt_Repl!$G52:$AF52+System_Mkt_NC!$G342:$AF342))/SUM(IF($G$157:$AF$157&gt;=ROUND(IF((W$157-Sys_Repl_Rate!W124)&lt;Tech_Specs!$C16,Tech_Specs!$C16,(W$157-Sys_Repl_Rate!W124)),0),IF($G$157:$AF$157&lt;=W$157,IF(Tech_Specs!$K16="lamp",System_Mkt_Repl!$F342:$AE342+System_Mkt_NC!$G342:$AF342,Lamp_Mkt_Repl!$G52:$AF52+System_Mkt_NC!$G342:$AF342))))))</f>
        <v>18.207912644462393</v>
      </c>
      <c r="X166" s="373">
        <f t="array" ref="X166">IF(X$157=Misc_Inputs!$D$6,$G90,IF(SUM(IF($G$157:$AF$157&gt;=ROUND(IF((X$157-Sys_Repl_Rate!X124)&lt;Tech_Specs!$C16,Tech_Specs!$C16,(X$157-Sys_Repl_Rate!X124)),0),IF($G$157:$AF$157&lt;=X$157,IF(Tech_Specs!$K16="lamp",System_Mkt_Repl!$F342:$AE342+System_Mkt_NC!$G342:$AF342,Lamp_Mkt_Repl!$G52:$AF52+System_Mkt_NC!$G342:$AF342))))=0,0,SUMPRODUCT(IF($G$157:$AF$157&gt;=ROUND(IF((X$157-Sys_Repl_Rate!X124)&lt;Tech_Specs!$C16,Tech_Specs!$C16,(X$157-Sys_Repl_Rate!X124)),0),IF($G$157:$AF$157&lt;=X$157,$G90:$AF90)),IF(Tech_Specs!$K16="lamp",System_Mkt_Repl!$F342:$AE342+System_Mkt_NC!$G342:$AF342,Lamp_Mkt_Repl!$G52:$AF52+System_Mkt_NC!$G342:$AF342))/SUM(IF($G$157:$AF$157&gt;=ROUND(IF((X$157-Sys_Repl_Rate!X124)&lt;Tech_Specs!$C16,Tech_Specs!$C16,(X$157-Sys_Repl_Rate!X124)),0),IF($G$157:$AF$157&lt;=X$157,IF(Tech_Specs!$K16="lamp",System_Mkt_Repl!$F342:$AE342+System_Mkt_NC!$G342:$AF342,Lamp_Mkt_Repl!$G52:$AF52+System_Mkt_NC!$G342:$AF342))))))</f>
        <v>18.300529877604948</v>
      </c>
      <c r="Y166" s="373">
        <f t="array" ref="Y166">IF(Y$157=Misc_Inputs!$D$6,$G90,IF(SUM(IF($G$157:$AF$157&gt;=ROUND(IF((Y$157-Sys_Repl_Rate!Y124)&lt;Tech_Specs!$C16,Tech_Specs!$C16,(Y$157-Sys_Repl_Rate!Y124)),0),IF($G$157:$AF$157&lt;=Y$157,IF(Tech_Specs!$K16="lamp",System_Mkt_Repl!$F342:$AE342+System_Mkt_NC!$G342:$AF342,Lamp_Mkt_Repl!$G52:$AF52+System_Mkt_NC!$G342:$AF342))))=0,0,SUMPRODUCT(IF($G$157:$AF$157&gt;=ROUND(IF((Y$157-Sys_Repl_Rate!Y124)&lt;Tech_Specs!$C16,Tech_Specs!$C16,(Y$157-Sys_Repl_Rate!Y124)),0),IF($G$157:$AF$157&lt;=Y$157,$G90:$AF90)),IF(Tech_Specs!$K16="lamp",System_Mkt_Repl!$F342:$AE342+System_Mkt_NC!$G342:$AF342,Lamp_Mkt_Repl!$G52:$AF52+System_Mkt_NC!$G342:$AF342))/SUM(IF($G$157:$AF$157&gt;=ROUND(IF((Y$157-Sys_Repl_Rate!Y124)&lt;Tech_Specs!$C16,Tech_Specs!$C16,(Y$157-Sys_Repl_Rate!Y124)),0),IF($G$157:$AF$157&lt;=Y$157,IF(Tech_Specs!$K16="lamp",System_Mkt_Repl!$F342:$AE342+System_Mkt_NC!$G342:$AF342,Lamp_Mkt_Repl!$G52:$AF52+System_Mkt_NC!$G342:$AF342))))))</f>
        <v>18.394764013866855</v>
      </c>
      <c r="Z166" s="373">
        <f t="array" ref="Z166">IF(Z$157=Misc_Inputs!$D$6,$G90,IF(SUM(IF($G$157:$AF$157&gt;=ROUND(IF((Z$157-Sys_Repl_Rate!Z124)&lt;Tech_Specs!$C16,Tech_Specs!$C16,(Z$157-Sys_Repl_Rate!Z124)),0),IF($G$157:$AF$157&lt;=Z$157,IF(Tech_Specs!$K16="lamp",System_Mkt_Repl!$F342:$AE342+System_Mkt_NC!$G342:$AF342,Lamp_Mkt_Repl!$G52:$AF52+System_Mkt_NC!$G342:$AF342))))=0,0,SUMPRODUCT(IF($G$157:$AF$157&gt;=ROUND(IF((Z$157-Sys_Repl_Rate!Z124)&lt;Tech_Specs!$C16,Tech_Specs!$C16,(Z$157-Sys_Repl_Rate!Z124)),0),IF($G$157:$AF$157&lt;=Z$157,$G90:$AF90)),IF(Tech_Specs!$K16="lamp",System_Mkt_Repl!$F342:$AE342+System_Mkt_NC!$G342:$AF342,Lamp_Mkt_Repl!$G52:$AF52+System_Mkt_NC!$G342:$AF342))/SUM(IF($G$157:$AF$157&gt;=ROUND(IF((Z$157-Sys_Repl_Rate!Z124)&lt;Tech_Specs!$C16,Tech_Specs!$C16,(Z$157-Sys_Repl_Rate!Z124)),0),IF($G$157:$AF$157&lt;=Z$157,IF(Tech_Specs!$K16="lamp",System_Mkt_Repl!$F342:$AE342+System_Mkt_NC!$G342:$AF342,Lamp_Mkt_Repl!$G52:$AF52+System_Mkt_NC!$G342:$AF342))))))</f>
        <v>18.490394158934745</v>
      </c>
      <c r="AA166" s="373">
        <f t="array" ref="AA166">IF(AA$157=Misc_Inputs!$D$6,$G90,IF(SUM(IF($G$157:$AF$157&gt;=ROUND(IF((AA$157-Sys_Repl_Rate!AA124)&lt;Tech_Specs!$C16,Tech_Specs!$C16,(AA$157-Sys_Repl_Rate!AA124)),0),IF($G$157:$AF$157&lt;=AA$157,IF(Tech_Specs!$K16="lamp",System_Mkt_Repl!$F342:$AE342+System_Mkt_NC!$G342:$AF342,Lamp_Mkt_Repl!$G52:$AF52+System_Mkt_NC!$G342:$AF342))))=0,0,SUMPRODUCT(IF($G$157:$AF$157&gt;=ROUND(IF((AA$157-Sys_Repl_Rate!AA124)&lt;Tech_Specs!$C16,Tech_Specs!$C16,(AA$157-Sys_Repl_Rate!AA124)),0),IF($G$157:$AF$157&lt;=AA$157,$G90:$AF90)),IF(Tech_Specs!$K16="lamp",System_Mkt_Repl!$F342:$AE342+System_Mkt_NC!$G342:$AF342,Lamp_Mkt_Repl!$G52:$AF52+System_Mkt_NC!$G342:$AF342))/SUM(IF($G$157:$AF$157&gt;=ROUND(IF((AA$157-Sys_Repl_Rate!AA124)&lt;Tech_Specs!$C16,Tech_Specs!$C16,(AA$157-Sys_Repl_Rate!AA124)),0),IF($G$157:$AF$157&lt;=AA$157,IF(Tech_Specs!$K16="lamp",System_Mkt_Repl!$F342:$AE342+System_Mkt_NC!$G342:$AF342,Lamp_Mkt_Repl!$G52:$AF52+System_Mkt_NC!$G342:$AF342))))))</f>
        <v>18.587124717541869</v>
      </c>
      <c r="AB166" s="373">
        <f t="array" ref="AB166">IF(AB$157=Misc_Inputs!$D$6,$G90,IF(SUM(IF($G$157:$AF$157&gt;=ROUND(IF((AB$157-Sys_Repl_Rate!AB124)&lt;Tech_Specs!$C16,Tech_Specs!$C16,(AB$157-Sys_Repl_Rate!AB124)),0),IF($G$157:$AF$157&lt;=AB$157,IF(Tech_Specs!$K16="lamp",System_Mkt_Repl!$F342:$AE342+System_Mkt_NC!$G342:$AF342,Lamp_Mkt_Repl!$G52:$AF52+System_Mkt_NC!$G342:$AF342))))=0,0,SUMPRODUCT(IF($G$157:$AF$157&gt;=ROUND(IF((AB$157-Sys_Repl_Rate!AB124)&lt;Tech_Specs!$C16,Tech_Specs!$C16,(AB$157-Sys_Repl_Rate!AB124)),0),IF($G$157:$AF$157&lt;=AB$157,$G90:$AF90)),IF(Tech_Specs!$K16="lamp",System_Mkt_Repl!$F342:$AE342+System_Mkt_NC!$G342:$AF342,Lamp_Mkt_Repl!$G52:$AF52+System_Mkt_NC!$G342:$AF342))/SUM(IF($G$157:$AF$157&gt;=ROUND(IF((AB$157-Sys_Repl_Rate!AB124)&lt;Tech_Specs!$C16,Tech_Specs!$C16,(AB$157-Sys_Repl_Rate!AB124)),0),IF($G$157:$AF$157&lt;=AB$157,IF(Tech_Specs!$K16="lamp",System_Mkt_Repl!$F342:$AE342+System_Mkt_NC!$G342:$AF342,Lamp_Mkt_Repl!$G52:$AF52+System_Mkt_NC!$G342:$AF342))))))</f>
        <v>18.684754877297276</v>
      </c>
      <c r="AC166" s="373">
        <f t="array" ref="AC166">IF(AC$157=Misc_Inputs!$D$6,$G90,IF(SUM(IF($G$157:$AF$157&gt;=ROUND(IF((AC$157-Sys_Repl_Rate!AC124)&lt;Tech_Specs!$C16,Tech_Specs!$C16,(AC$157-Sys_Repl_Rate!AC124)),0),IF($G$157:$AF$157&lt;=AC$157,IF(Tech_Specs!$K16="lamp",System_Mkt_Repl!$F342:$AE342+System_Mkt_NC!$G342:$AF342,Lamp_Mkt_Repl!$G52:$AF52+System_Mkt_NC!$G342:$AF342))))=0,0,SUMPRODUCT(IF($G$157:$AF$157&gt;=ROUND(IF((AC$157-Sys_Repl_Rate!AC124)&lt;Tech_Specs!$C16,Tech_Specs!$C16,(AC$157-Sys_Repl_Rate!AC124)),0),IF($G$157:$AF$157&lt;=AC$157,$G90:$AF90)),IF(Tech_Specs!$K16="lamp",System_Mkt_Repl!$F342:$AE342+System_Mkt_NC!$G342:$AF342,Lamp_Mkt_Repl!$G52:$AF52+System_Mkt_NC!$G342:$AF342))/SUM(IF($G$157:$AF$157&gt;=ROUND(IF((AC$157-Sys_Repl_Rate!AC124)&lt;Tech_Specs!$C16,Tech_Specs!$C16,(AC$157-Sys_Repl_Rate!AC124)),0),IF($G$157:$AF$157&lt;=AC$157,IF(Tech_Specs!$K16="lamp",System_Mkt_Repl!$F342:$AE342+System_Mkt_NC!$G342:$AF342,Lamp_Mkt_Repl!$G52:$AF52+System_Mkt_NC!$G342:$AF342))))))</f>
        <v>18.782761397658476</v>
      </c>
      <c r="AD166" s="373">
        <f t="array" ref="AD166">IF(AD$157=Misc_Inputs!$D$6,$G90,IF(SUM(IF($G$157:$AF$157&gt;=ROUND(IF((AD$157-Sys_Repl_Rate!AD124)&lt;Tech_Specs!$C16,Tech_Specs!$C16,(AD$157-Sys_Repl_Rate!AD124)),0),IF($G$157:$AF$157&lt;=AD$157,IF(Tech_Specs!$K16="lamp",System_Mkt_Repl!$F342:$AE342+System_Mkt_NC!$G342:$AF342,Lamp_Mkt_Repl!$G52:$AF52+System_Mkt_NC!$G342:$AF342))))=0,0,SUMPRODUCT(IF($G$157:$AF$157&gt;=ROUND(IF((AD$157-Sys_Repl_Rate!AD124)&lt;Tech_Specs!$C16,Tech_Specs!$C16,(AD$157-Sys_Repl_Rate!AD124)),0),IF($G$157:$AF$157&lt;=AD$157,$G90:$AF90)),IF(Tech_Specs!$K16="lamp",System_Mkt_Repl!$F342:$AE342+System_Mkt_NC!$G342:$AF342,Lamp_Mkt_Repl!$G52:$AF52+System_Mkt_NC!$G342:$AF342))/SUM(IF($G$157:$AF$157&gt;=ROUND(IF((AD$157-Sys_Repl_Rate!AD124)&lt;Tech_Specs!$C16,Tech_Specs!$C16,(AD$157-Sys_Repl_Rate!AD124)),0),IF($G$157:$AF$157&lt;=AD$157,IF(Tech_Specs!$K16="lamp",System_Mkt_Repl!$F342:$AE342+System_Mkt_NC!$G342:$AF342,Lamp_Mkt_Repl!$G52:$AF52+System_Mkt_NC!$G342:$AF342))))))</f>
        <v>18.880779376520479</v>
      </c>
      <c r="AE166" s="373">
        <f t="array" ref="AE166">IF(AE$157=Misc_Inputs!$D$6,$G90,IF(SUM(IF($G$157:$AF$157&gt;=ROUND(IF((AE$157-Sys_Repl_Rate!AE124)&lt;Tech_Specs!$C16,Tech_Specs!$C16,(AE$157-Sys_Repl_Rate!AE124)),0),IF($G$157:$AF$157&lt;=AE$157,IF(Tech_Specs!$K16="lamp",System_Mkt_Repl!$F342:$AE342+System_Mkt_NC!$G342:$AF342,Lamp_Mkt_Repl!$G52:$AF52+System_Mkt_NC!$G342:$AF342))))=0,0,SUMPRODUCT(IF($G$157:$AF$157&gt;=ROUND(IF((AE$157-Sys_Repl_Rate!AE124)&lt;Tech_Specs!$C16,Tech_Specs!$C16,(AE$157-Sys_Repl_Rate!AE124)),0),IF($G$157:$AF$157&lt;=AE$157,$G90:$AF90)),IF(Tech_Specs!$K16="lamp",System_Mkt_Repl!$F342:$AE342+System_Mkt_NC!$G342:$AF342,Lamp_Mkt_Repl!$G52:$AF52+System_Mkt_NC!$G342:$AF342))/SUM(IF($G$157:$AF$157&gt;=ROUND(IF((AE$157-Sys_Repl_Rate!AE124)&lt;Tech_Specs!$C16,Tech_Specs!$C16,(AE$157-Sys_Repl_Rate!AE124)),0),IF($G$157:$AF$157&lt;=AE$157,IF(Tech_Specs!$K16="lamp",System_Mkt_Repl!$F342:$AE342+System_Mkt_NC!$G342:$AF342,Lamp_Mkt_Repl!$G52:$AF52+System_Mkt_NC!$G342:$AF342))))))</f>
        <v>18.978465255593402</v>
      </c>
      <c r="AF166" s="373">
        <f t="array" ref="AF166">IF(AF$157=Misc_Inputs!$D$6,$G90,IF(SUM(IF($G$157:$AF$157&gt;=ROUND(IF((AF$157-Sys_Repl_Rate!AF124)&lt;Tech_Specs!$C16,Tech_Specs!$C16,(AF$157-Sys_Repl_Rate!AF124)),0),IF($G$157:$AF$157&lt;=AF$157,IF(Tech_Specs!$K16="lamp",System_Mkt_Repl!$F342:$AE342+System_Mkt_NC!$G342:$AF342,Lamp_Mkt_Repl!$G52:$AF52+System_Mkt_NC!$G342:$AF342))))=0,0,SUMPRODUCT(IF($G$157:$AF$157&gt;=ROUND(IF((AF$157-Sys_Repl_Rate!AF124)&lt;Tech_Specs!$C16,Tech_Specs!$C16,(AF$157-Sys_Repl_Rate!AF124)),0),IF($G$157:$AF$157&lt;=AF$157,$G90:$AF90)),IF(Tech_Specs!$K16="lamp",System_Mkt_Repl!$F342:$AE342+System_Mkt_NC!$G342:$AF342,Lamp_Mkt_Repl!$G52:$AF52+System_Mkt_NC!$G342:$AF342))/SUM(IF($G$157:$AF$157&gt;=ROUND(IF((AF$157-Sys_Repl_Rate!AF124)&lt;Tech_Specs!$C16,Tech_Specs!$C16,(AF$157-Sys_Repl_Rate!AF124)),0),IF($G$157:$AF$157&lt;=AF$157,IF(Tech_Specs!$K16="lamp",System_Mkt_Repl!$F342:$AE342+System_Mkt_NC!$G342:$AF342,Lamp_Mkt_Repl!$G52:$AF52+System_Mkt_NC!$G342:$AF342))))))</f>
        <v>19.075539036963168</v>
      </c>
    </row>
    <row r="167" spans="1:32" s="101" customFormat="1" ht="12.75" x14ac:dyDescent="0.2">
      <c r="A167" s="81"/>
      <c r="B167" s="101" t="s">
        <v>35</v>
      </c>
      <c r="C167" s="81"/>
      <c r="D167" s="550"/>
      <c r="E167" s="550"/>
      <c r="F167" s="550"/>
      <c r="G167" s="373">
        <f t="array" ref="G167">IF(G$157=Misc_Inputs!$D$6,$G91,IF(SUM(IF($G$157:$AF$157&gt;=ROUND(IF((G$157-Sys_Repl_Rate!G125)&lt;Tech_Specs!$C17,Tech_Specs!$C17,(G$157-Sys_Repl_Rate!G125)),0),IF($G$157:$AF$157&lt;=G$157,IF(Tech_Specs!$K17="lamp",System_Mkt_Repl!$F343:$AE343+System_Mkt_NC!$G343:$AF343,Lamp_Mkt_Repl!$G53:$AF53+System_Mkt_NC!$G343:$AF343))))=0,0,SUMPRODUCT(IF($G$157:$AF$157&gt;=ROUND(IF((G$157-Sys_Repl_Rate!G125)&lt;Tech_Specs!$C17,Tech_Specs!$C17,(G$157-Sys_Repl_Rate!G125)),0),IF($G$157:$AF$157&lt;=G$157,$G91:$AF91)),IF(Tech_Specs!$K17="lamp",System_Mkt_Repl!$F343:$AE343+System_Mkt_NC!$G343:$AF343,Lamp_Mkt_Repl!$G53:$AF53+System_Mkt_NC!$G343:$AF343))/SUM(IF($G$157:$AF$157&gt;=ROUND(IF((G$157-Sys_Repl_Rate!G125)&lt;Tech_Specs!$C17,Tech_Specs!$C17,(G$157-Sys_Repl_Rate!G125)),0),IF($G$157:$AF$157&lt;=G$157,IF(Tech_Specs!$K17="lamp",System_Mkt_Repl!$F343:$AE343+System_Mkt_NC!$G343:$AF343,Lamp_Mkt_Repl!$G53:$AF53+System_Mkt_NC!$G343:$AF343))))))</f>
        <v>43.099999999999966</v>
      </c>
      <c r="H167" s="373">
        <f t="array" ref="H167">IF(H$157=Misc_Inputs!$D$6,$G91,IF(SUM(IF($G$157:$AF$157&gt;=ROUND(IF((H$157-Sys_Repl_Rate!H125)&lt;Tech_Specs!$C17,Tech_Specs!$C17,(H$157-Sys_Repl_Rate!H125)),0),IF($G$157:$AF$157&lt;=H$157,IF(Tech_Specs!$K17="lamp",System_Mkt_Repl!$F343:$AE343+System_Mkt_NC!$G343:$AF343,Lamp_Mkt_Repl!$G53:$AF53+System_Mkt_NC!$G343:$AF343))))=0,0,SUMPRODUCT(IF($G$157:$AF$157&gt;=ROUND(IF((H$157-Sys_Repl_Rate!H125)&lt;Tech_Specs!$C17,Tech_Specs!$C17,(H$157-Sys_Repl_Rate!H125)),0),IF($G$157:$AF$157&lt;=H$157,$G91:$AF91)),IF(Tech_Specs!$K17="lamp",System_Mkt_Repl!$F343:$AE343+System_Mkt_NC!$G343:$AF343,Lamp_Mkt_Repl!$G53:$AF53+System_Mkt_NC!$G343:$AF343))/SUM(IF($G$157:$AF$157&gt;=ROUND(IF((H$157-Sys_Repl_Rate!H125)&lt;Tech_Specs!$C17,Tech_Specs!$C17,(H$157-Sys_Repl_Rate!H125)),0),IF($G$157:$AF$157&lt;=H$157,IF(Tech_Specs!$K17="lamp",System_Mkt_Repl!$F343:$AE343+System_Mkt_NC!$G343:$AF343,Lamp_Mkt_Repl!$G53:$AF53+System_Mkt_NC!$G343:$AF343))))))</f>
        <v>43.315499999999986</v>
      </c>
      <c r="I167" s="373">
        <f t="array" ref="I167">IF(I$157=Misc_Inputs!$D$6,$G91,IF(SUM(IF($G$157:$AF$157&gt;=ROUND(IF((I$157-Sys_Repl_Rate!I125)&lt;Tech_Specs!$C17,Tech_Specs!$C17,(I$157-Sys_Repl_Rate!I125)),0),IF($G$157:$AF$157&lt;=I$157,IF(Tech_Specs!$K17="lamp",System_Mkt_Repl!$F343:$AE343+System_Mkt_NC!$G343:$AF343,Lamp_Mkt_Repl!$G53:$AF53+System_Mkt_NC!$G343:$AF343))))=0,0,SUMPRODUCT(IF($G$157:$AF$157&gt;=ROUND(IF((I$157-Sys_Repl_Rate!I125)&lt;Tech_Specs!$C17,Tech_Specs!$C17,(I$157-Sys_Repl_Rate!I125)),0),IF($G$157:$AF$157&lt;=I$157,$G91:$AF91)),IF(Tech_Specs!$K17="lamp",System_Mkt_Repl!$F343:$AE343+System_Mkt_NC!$G343:$AF343,Lamp_Mkt_Repl!$G53:$AF53+System_Mkt_NC!$G343:$AF343))/SUM(IF($G$157:$AF$157&gt;=ROUND(IF((I$157-Sys_Repl_Rate!I125)&lt;Tech_Specs!$C17,Tech_Specs!$C17,(I$157-Sys_Repl_Rate!I125)),0),IF($G$157:$AF$157&lt;=I$157,IF(Tech_Specs!$K17="lamp",System_Mkt_Repl!$F343:$AE343+System_Mkt_NC!$G343:$AF343,Lamp_Mkt_Repl!$G53:$AF53+System_Mkt_NC!$G343:$AF343))))))</f>
        <v>43.42462722889757</v>
      </c>
      <c r="J167" s="373">
        <f t="array" ref="J167">IF(J$157=Misc_Inputs!$D$6,$G91,IF(SUM(IF($G$157:$AF$157&gt;=ROUND(IF((J$157-Sys_Repl_Rate!J125)&lt;Tech_Specs!$C17,Tech_Specs!$C17,(J$157-Sys_Repl_Rate!J125)),0),IF($G$157:$AF$157&lt;=J$157,IF(Tech_Specs!$K17="lamp",System_Mkt_Repl!$F343:$AE343+System_Mkt_NC!$G343:$AF343,Lamp_Mkt_Repl!$G53:$AF53+System_Mkt_NC!$G343:$AF343))))=0,0,SUMPRODUCT(IF($G$157:$AF$157&gt;=ROUND(IF((J$157-Sys_Repl_Rate!J125)&lt;Tech_Specs!$C17,Tech_Specs!$C17,(J$157-Sys_Repl_Rate!J125)),0),IF($G$157:$AF$157&lt;=J$157,$G91:$AF91)),IF(Tech_Specs!$K17="lamp",System_Mkt_Repl!$F343:$AE343+System_Mkt_NC!$G343:$AF343,Lamp_Mkt_Repl!$G53:$AF53+System_Mkt_NC!$G343:$AF343))/SUM(IF($G$157:$AF$157&gt;=ROUND(IF((J$157-Sys_Repl_Rate!J125)&lt;Tech_Specs!$C17,Tech_Specs!$C17,(J$157-Sys_Repl_Rate!J125)),0),IF($G$157:$AF$157&lt;=J$157,IF(Tech_Specs!$K17="lamp",System_Mkt_Repl!$F343:$AE343+System_Mkt_NC!$G343:$AF343,Lamp_Mkt_Repl!$G53:$AF53+System_Mkt_NC!$G343:$AF343))))))</f>
        <v>43.53626634539954</v>
      </c>
      <c r="K167" s="373">
        <f t="array" ref="K167">IF(K$157=Misc_Inputs!$D$6,$G91,IF(SUM(IF($G$157:$AF$157&gt;=ROUND(IF((K$157-Sys_Repl_Rate!K125)&lt;Tech_Specs!$C17,Tech_Specs!$C17,(K$157-Sys_Repl_Rate!K125)),0),IF($G$157:$AF$157&lt;=K$157,IF(Tech_Specs!$K17="lamp",System_Mkt_Repl!$F343:$AE343+System_Mkt_NC!$G343:$AF343,Lamp_Mkt_Repl!$G53:$AF53+System_Mkt_NC!$G343:$AF343))))=0,0,SUMPRODUCT(IF($G$157:$AF$157&gt;=ROUND(IF((K$157-Sys_Repl_Rate!K125)&lt;Tech_Specs!$C17,Tech_Specs!$C17,(K$157-Sys_Repl_Rate!K125)),0),IF($G$157:$AF$157&lt;=K$157,$G91:$AF91)),IF(Tech_Specs!$K17="lamp",System_Mkt_Repl!$F343:$AE343+System_Mkt_NC!$G343:$AF343,Lamp_Mkt_Repl!$G53:$AF53+System_Mkt_NC!$G343:$AF343))/SUM(IF($G$157:$AF$157&gt;=ROUND(IF((K$157-Sys_Repl_Rate!K125)&lt;Tech_Specs!$C17,Tech_Specs!$C17,(K$157-Sys_Repl_Rate!K125)),0),IF($G$157:$AF$157&lt;=K$157,IF(Tech_Specs!$K17="lamp",System_Mkt_Repl!$F343:$AE343+System_Mkt_NC!$G343:$AF343,Lamp_Mkt_Repl!$G53:$AF53+System_Mkt_NC!$G343:$AF343))))))</f>
        <v>43.650177187464728</v>
      </c>
      <c r="L167" s="373">
        <f t="array" ref="L167">IF(L$157=Misc_Inputs!$D$6,$G91,IF(SUM(IF($G$157:$AF$157&gt;=ROUND(IF((L$157-Sys_Repl_Rate!L125)&lt;Tech_Specs!$C17,Tech_Specs!$C17,(L$157-Sys_Repl_Rate!L125)),0),IF($G$157:$AF$157&lt;=L$157,IF(Tech_Specs!$K17="lamp",System_Mkt_Repl!$F343:$AE343+System_Mkt_NC!$G343:$AF343,Lamp_Mkt_Repl!$G53:$AF53+System_Mkt_NC!$G343:$AF343))))=0,0,SUMPRODUCT(IF($G$157:$AF$157&gt;=ROUND(IF((L$157-Sys_Repl_Rate!L125)&lt;Tech_Specs!$C17,Tech_Specs!$C17,(L$157-Sys_Repl_Rate!L125)),0),IF($G$157:$AF$157&lt;=L$157,$G91:$AF91)),IF(Tech_Specs!$K17="lamp",System_Mkt_Repl!$F343:$AE343+System_Mkt_NC!$G343:$AF343,Lamp_Mkt_Repl!$G53:$AF53+System_Mkt_NC!$G343:$AF343))/SUM(IF($G$157:$AF$157&gt;=ROUND(IF((L$157-Sys_Repl_Rate!L125)&lt;Tech_Specs!$C17,Tech_Specs!$C17,(L$157-Sys_Repl_Rate!L125)),0),IF($G$157:$AF$157&lt;=L$157,IF(Tech_Specs!$K17="lamp",System_Mkt_Repl!$F343:$AE343+System_Mkt_NC!$G343:$AF343,Lamp_Mkt_Repl!$G53:$AF53+System_Mkt_NC!$G343:$AF343))))))</f>
        <v>43.758452284126996</v>
      </c>
      <c r="M167" s="373">
        <f t="array" ref="M167">IF(M$157=Misc_Inputs!$D$6,$G91,IF(SUM(IF($G$157:$AF$157&gt;=ROUND(IF((M$157-Sys_Repl_Rate!M125)&lt;Tech_Specs!$C17,Tech_Specs!$C17,(M$157-Sys_Repl_Rate!M125)),0),IF($G$157:$AF$157&lt;=M$157,IF(Tech_Specs!$K17="lamp",System_Mkt_Repl!$F343:$AE343+System_Mkt_NC!$G343:$AF343,Lamp_Mkt_Repl!$G53:$AF53+System_Mkt_NC!$G343:$AF343))))=0,0,SUMPRODUCT(IF($G$157:$AF$157&gt;=ROUND(IF((M$157-Sys_Repl_Rate!M125)&lt;Tech_Specs!$C17,Tech_Specs!$C17,(M$157-Sys_Repl_Rate!M125)),0),IF($G$157:$AF$157&lt;=M$157,$G91:$AF91)),IF(Tech_Specs!$K17="lamp",System_Mkt_Repl!$F343:$AE343+System_Mkt_NC!$G343:$AF343,Lamp_Mkt_Repl!$G53:$AF53+System_Mkt_NC!$G343:$AF343))/SUM(IF($G$157:$AF$157&gt;=ROUND(IF((M$157-Sys_Repl_Rate!M125)&lt;Tech_Specs!$C17,Tech_Specs!$C17,(M$157-Sys_Repl_Rate!M125)),0),IF($G$157:$AF$157&lt;=M$157,IF(Tech_Specs!$K17="lamp",System_Mkt_Repl!$F343:$AE343+System_Mkt_NC!$G343:$AF343,Lamp_Mkt_Repl!$G53:$AF53+System_Mkt_NC!$G343:$AF343))))))</f>
        <v>43.863387287885551</v>
      </c>
      <c r="N167" s="373">
        <f t="array" ref="N167">IF(N$157=Misc_Inputs!$D$6,$G91,IF(SUM(IF($G$157:$AF$157&gt;=ROUND(IF((N$157-Sys_Repl_Rate!N125)&lt;Tech_Specs!$C17,Tech_Specs!$C17,(N$157-Sys_Repl_Rate!N125)),0),IF($G$157:$AF$157&lt;=N$157,IF(Tech_Specs!$K17="lamp",System_Mkt_Repl!$F343:$AE343+System_Mkt_NC!$G343:$AF343,Lamp_Mkt_Repl!$G53:$AF53+System_Mkt_NC!$G343:$AF343))))=0,0,SUMPRODUCT(IF($G$157:$AF$157&gt;=ROUND(IF((N$157-Sys_Repl_Rate!N125)&lt;Tech_Specs!$C17,Tech_Specs!$C17,(N$157-Sys_Repl_Rate!N125)),0),IF($G$157:$AF$157&lt;=N$157,$G91:$AF91)),IF(Tech_Specs!$K17="lamp",System_Mkt_Repl!$F343:$AE343+System_Mkt_NC!$G343:$AF343,Lamp_Mkt_Repl!$G53:$AF53+System_Mkt_NC!$G343:$AF343))/SUM(IF($G$157:$AF$157&gt;=ROUND(IF((N$157-Sys_Repl_Rate!N125)&lt;Tech_Specs!$C17,Tech_Specs!$C17,(N$157-Sys_Repl_Rate!N125)),0),IF($G$157:$AF$157&lt;=N$157,IF(Tech_Specs!$K17="lamp",System_Mkt_Repl!$F343:$AE343+System_Mkt_NC!$G343:$AF343,Lamp_Mkt_Repl!$G53:$AF53+System_Mkt_NC!$G343:$AF343))))))</f>
        <v>43.963026101825093</v>
      </c>
      <c r="O167" s="373">
        <f t="array" ref="O167">IF(O$157=Misc_Inputs!$D$6,$G91,IF(SUM(IF($G$157:$AF$157&gt;=ROUND(IF((O$157-Sys_Repl_Rate!O125)&lt;Tech_Specs!$C17,Tech_Specs!$C17,(O$157-Sys_Repl_Rate!O125)),0),IF($G$157:$AF$157&lt;=O$157,IF(Tech_Specs!$K17="lamp",System_Mkt_Repl!$F343:$AE343+System_Mkt_NC!$G343:$AF343,Lamp_Mkt_Repl!$G53:$AF53+System_Mkt_NC!$G343:$AF343))))=0,0,SUMPRODUCT(IF($G$157:$AF$157&gt;=ROUND(IF((O$157-Sys_Repl_Rate!O125)&lt;Tech_Specs!$C17,Tech_Specs!$C17,(O$157-Sys_Repl_Rate!O125)),0),IF($G$157:$AF$157&lt;=O$157,$G91:$AF91)),IF(Tech_Specs!$K17="lamp",System_Mkt_Repl!$F343:$AE343+System_Mkt_NC!$G343:$AF343,Lamp_Mkt_Repl!$G53:$AF53+System_Mkt_NC!$G343:$AF343))/SUM(IF($G$157:$AF$157&gt;=ROUND(IF((O$157-Sys_Repl_Rate!O125)&lt;Tech_Specs!$C17,Tech_Specs!$C17,(O$157-Sys_Repl_Rate!O125)),0),IF($G$157:$AF$157&lt;=O$157,IF(Tech_Specs!$K17="lamp",System_Mkt_Repl!$F343:$AE343+System_Mkt_NC!$G343:$AF343,Lamp_Mkt_Repl!$G53:$AF53+System_Mkt_NC!$G343:$AF343))))))</f>
        <v>44.056446255709233</v>
      </c>
      <c r="P167" s="373">
        <f t="array" ref="P167">IF(P$157=Misc_Inputs!$D$6,$G91,IF(SUM(IF($G$157:$AF$157&gt;=ROUND(IF((P$157-Sys_Repl_Rate!P125)&lt;Tech_Specs!$C17,Tech_Specs!$C17,(P$157-Sys_Repl_Rate!P125)),0),IF($G$157:$AF$157&lt;=P$157,IF(Tech_Specs!$K17="lamp",System_Mkt_Repl!$F343:$AE343+System_Mkt_NC!$G343:$AF343,Lamp_Mkt_Repl!$G53:$AF53+System_Mkt_NC!$G343:$AF343))))=0,0,SUMPRODUCT(IF($G$157:$AF$157&gt;=ROUND(IF((P$157-Sys_Repl_Rate!P125)&lt;Tech_Specs!$C17,Tech_Specs!$C17,(P$157-Sys_Repl_Rate!P125)),0),IF($G$157:$AF$157&lt;=P$157,$G91:$AF91)),IF(Tech_Specs!$K17="lamp",System_Mkt_Repl!$F343:$AE343+System_Mkt_NC!$G343:$AF343,Lamp_Mkt_Repl!$G53:$AF53+System_Mkt_NC!$G343:$AF343))/SUM(IF($G$157:$AF$157&gt;=ROUND(IF((P$157-Sys_Repl_Rate!P125)&lt;Tech_Specs!$C17,Tech_Specs!$C17,(P$157-Sys_Repl_Rate!P125)),0),IF($G$157:$AF$157&lt;=P$157,IF(Tech_Specs!$K17="lamp",System_Mkt_Repl!$F343:$AE343+System_Mkt_NC!$G343:$AF343,Lamp_Mkt_Repl!$G53:$AF53+System_Mkt_NC!$G343:$AF343))))))</f>
        <v>44.142804775139012</v>
      </c>
      <c r="Q167" s="373">
        <f t="array" ref="Q167">IF(Q$157=Misc_Inputs!$D$6,$G91,IF(SUM(IF($G$157:$AF$157&gt;=ROUND(IF((Q$157-Sys_Repl_Rate!Q125)&lt;Tech_Specs!$C17,Tech_Specs!$C17,(Q$157-Sys_Repl_Rate!Q125)),0),IF($G$157:$AF$157&lt;=Q$157,IF(Tech_Specs!$K17="lamp",System_Mkt_Repl!$F343:$AE343+System_Mkt_NC!$G343:$AF343,Lamp_Mkt_Repl!$G53:$AF53+System_Mkt_NC!$G343:$AF343))))=0,0,SUMPRODUCT(IF($G$157:$AF$157&gt;=ROUND(IF((Q$157-Sys_Repl_Rate!Q125)&lt;Tech_Specs!$C17,Tech_Specs!$C17,(Q$157-Sys_Repl_Rate!Q125)),0),IF($G$157:$AF$157&lt;=Q$157,$G91:$AF91)),IF(Tech_Specs!$K17="lamp",System_Mkt_Repl!$F343:$AE343+System_Mkt_NC!$G343:$AF343,Lamp_Mkt_Repl!$G53:$AF53+System_Mkt_NC!$G343:$AF343))/SUM(IF($G$157:$AF$157&gt;=ROUND(IF((Q$157-Sys_Repl_Rate!Q125)&lt;Tech_Specs!$C17,Tech_Specs!$C17,(Q$157-Sys_Repl_Rate!Q125)),0),IF($G$157:$AF$157&lt;=Q$157,IF(Tech_Specs!$K17="lamp",System_Mkt_Repl!$F343:$AE343+System_Mkt_NC!$G343:$AF343,Lamp_Mkt_Repl!$G53:$AF53+System_Mkt_NC!$G343:$AF343))))))</f>
        <v>44.222353619027295</v>
      </c>
      <c r="R167" s="373">
        <f t="array" ref="R167">IF(R$157=Misc_Inputs!$D$6,$G91,IF(SUM(IF($G$157:$AF$157&gt;=ROUND(IF((R$157-Sys_Repl_Rate!R125)&lt;Tech_Specs!$C17,Tech_Specs!$C17,(R$157-Sys_Repl_Rate!R125)),0),IF($G$157:$AF$157&lt;=R$157,IF(Tech_Specs!$K17="lamp",System_Mkt_Repl!$F343:$AE343+System_Mkt_NC!$G343:$AF343,Lamp_Mkt_Repl!$G53:$AF53+System_Mkt_NC!$G343:$AF343))))=0,0,SUMPRODUCT(IF($G$157:$AF$157&gt;=ROUND(IF((R$157-Sys_Repl_Rate!R125)&lt;Tech_Specs!$C17,Tech_Specs!$C17,(R$157-Sys_Repl_Rate!R125)),0),IF($G$157:$AF$157&lt;=R$157,$G91:$AF91)),IF(Tech_Specs!$K17="lamp",System_Mkt_Repl!$F343:$AE343+System_Mkt_NC!$G343:$AF343,Lamp_Mkt_Repl!$G53:$AF53+System_Mkt_NC!$G343:$AF343))/SUM(IF($G$157:$AF$157&gt;=ROUND(IF((R$157-Sys_Repl_Rate!R125)&lt;Tech_Specs!$C17,Tech_Specs!$C17,(R$157-Sys_Repl_Rate!R125)),0),IF($G$157:$AF$157&lt;=R$157,IF(Tech_Specs!$K17="lamp",System_Mkt_Repl!$F343:$AE343+System_Mkt_NC!$G343:$AF343,Lamp_Mkt_Repl!$G53:$AF53+System_Mkt_NC!$G343:$AF343))))))</f>
        <v>44.295361915218137</v>
      </c>
      <c r="S167" s="373">
        <f t="array" ref="S167">IF(S$157=Misc_Inputs!$D$6,$G91,IF(SUM(IF($G$157:$AF$157&gt;=ROUND(IF((S$157-Sys_Repl_Rate!S125)&lt;Tech_Specs!$C17,Tech_Specs!$C17,(S$157-Sys_Repl_Rate!S125)),0),IF($G$157:$AF$157&lt;=S$157,IF(Tech_Specs!$K17="lamp",System_Mkt_Repl!$F343:$AE343+System_Mkt_NC!$G343:$AF343,Lamp_Mkt_Repl!$G53:$AF53+System_Mkt_NC!$G343:$AF343))))=0,0,SUMPRODUCT(IF($G$157:$AF$157&gt;=ROUND(IF((S$157-Sys_Repl_Rate!S125)&lt;Tech_Specs!$C17,Tech_Specs!$C17,(S$157-Sys_Repl_Rate!S125)),0),IF($G$157:$AF$157&lt;=S$157,$G91:$AF91)),IF(Tech_Specs!$K17="lamp",System_Mkt_Repl!$F343:$AE343+System_Mkt_NC!$G343:$AF343,Lamp_Mkt_Repl!$G53:$AF53+System_Mkt_NC!$G343:$AF343))/SUM(IF($G$157:$AF$157&gt;=ROUND(IF((S$157-Sys_Repl_Rate!S125)&lt;Tech_Specs!$C17,Tech_Specs!$C17,(S$157-Sys_Repl_Rate!S125)),0),IF($G$157:$AF$157&lt;=S$157,IF(Tech_Specs!$K17="lamp",System_Mkt_Repl!$F343:$AE343+System_Mkt_NC!$G343:$AF343,Lamp_Mkt_Repl!$G53:$AF53+System_Mkt_NC!$G343:$AF343))))))</f>
        <v>44.362151978983803</v>
      </c>
      <c r="T167" s="373">
        <f t="array" ref="T167">IF(T$157=Misc_Inputs!$D$6,$G91,IF(SUM(IF($G$157:$AF$157&gt;=ROUND(IF((T$157-Sys_Repl_Rate!T125)&lt;Tech_Specs!$C17,Tech_Specs!$C17,(T$157-Sys_Repl_Rate!T125)),0),IF($G$157:$AF$157&lt;=T$157,IF(Tech_Specs!$K17="lamp",System_Mkt_Repl!$F343:$AE343+System_Mkt_NC!$G343:$AF343,Lamp_Mkt_Repl!$G53:$AF53+System_Mkt_NC!$G343:$AF343))))=0,0,SUMPRODUCT(IF($G$157:$AF$157&gt;=ROUND(IF((T$157-Sys_Repl_Rate!T125)&lt;Tech_Specs!$C17,Tech_Specs!$C17,(T$157-Sys_Repl_Rate!T125)),0),IF($G$157:$AF$157&lt;=T$157,$G91:$AF91)),IF(Tech_Specs!$K17="lamp",System_Mkt_Repl!$F343:$AE343+System_Mkt_NC!$G343:$AF343,Lamp_Mkt_Repl!$G53:$AF53+System_Mkt_NC!$G343:$AF343))/SUM(IF($G$157:$AF$157&gt;=ROUND(IF((T$157-Sys_Repl_Rate!T125)&lt;Tech_Specs!$C17,Tech_Specs!$C17,(T$157-Sys_Repl_Rate!T125)),0),IF($G$157:$AF$157&lt;=T$157,IF(Tech_Specs!$K17="lamp",System_Mkt_Repl!$F343:$AE343+System_Mkt_NC!$G343:$AF343,Lamp_Mkt_Repl!$G53:$AF53+System_Mkt_NC!$G343:$AF343))))))</f>
        <v>44.42322376206301</v>
      </c>
      <c r="U167" s="373">
        <f t="array" ref="U167">IF(U$157=Misc_Inputs!$D$6,$G91,IF(SUM(IF($G$157:$AF$157&gt;=ROUND(IF((U$157-Sys_Repl_Rate!U125)&lt;Tech_Specs!$C17,Tech_Specs!$C17,(U$157-Sys_Repl_Rate!U125)),0),IF($G$157:$AF$157&lt;=U$157,IF(Tech_Specs!$K17="lamp",System_Mkt_Repl!$F343:$AE343+System_Mkt_NC!$G343:$AF343,Lamp_Mkt_Repl!$G53:$AF53+System_Mkt_NC!$G343:$AF343))))=0,0,SUMPRODUCT(IF($G$157:$AF$157&gt;=ROUND(IF((U$157-Sys_Repl_Rate!U125)&lt;Tech_Specs!$C17,Tech_Specs!$C17,(U$157-Sys_Repl_Rate!U125)),0),IF($G$157:$AF$157&lt;=U$157,$G91:$AF91)),IF(Tech_Specs!$K17="lamp",System_Mkt_Repl!$F343:$AE343+System_Mkt_NC!$G343:$AF343,Lamp_Mkt_Repl!$G53:$AF53+System_Mkt_NC!$G343:$AF343))/SUM(IF($G$157:$AF$157&gt;=ROUND(IF((U$157-Sys_Repl_Rate!U125)&lt;Tech_Specs!$C17,Tech_Specs!$C17,(U$157-Sys_Repl_Rate!U125)),0),IF($G$157:$AF$157&lt;=U$157,IF(Tech_Specs!$K17="lamp",System_Mkt_Repl!$F343:$AE343+System_Mkt_NC!$G343:$AF343,Lamp_Mkt_Repl!$G53:$AF53+System_Mkt_NC!$G343:$AF343))))))</f>
        <v>44.479299594779171</v>
      </c>
      <c r="V167" s="373">
        <f t="array" ref="V167">IF(V$157=Misc_Inputs!$D$6,$G91,IF(SUM(IF($G$157:$AF$157&gt;=ROUND(IF((V$157-Sys_Repl_Rate!V125)&lt;Tech_Specs!$C17,Tech_Specs!$C17,(V$157-Sys_Repl_Rate!V125)),0),IF($G$157:$AF$157&lt;=V$157,IF(Tech_Specs!$K17="lamp",System_Mkt_Repl!$F343:$AE343+System_Mkt_NC!$G343:$AF343,Lamp_Mkt_Repl!$G53:$AF53+System_Mkt_NC!$G343:$AF343))))=0,0,SUMPRODUCT(IF($G$157:$AF$157&gt;=ROUND(IF((V$157-Sys_Repl_Rate!V125)&lt;Tech_Specs!$C17,Tech_Specs!$C17,(V$157-Sys_Repl_Rate!V125)),0),IF($G$157:$AF$157&lt;=V$157,$G91:$AF91)),IF(Tech_Specs!$K17="lamp",System_Mkt_Repl!$F343:$AE343+System_Mkt_NC!$G343:$AF343,Lamp_Mkt_Repl!$G53:$AF53+System_Mkt_NC!$G343:$AF343))/SUM(IF($G$157:$AF$157&gt;=ROUND(IF((V$157-Sys_Repl_Rate!V125)&lt;Tech_Specs!$C17,Tech_Specs!$C17,(V$157-Sys_Repl_Rate!V125)),0),IF($G$157:$AF$157&lt;=V$157,IF(Tech_Specs!$K17="lamp",System_Mkt_Repl!$F343:$AE343+System_Mkt_NC!$G343:$AF343,Lamp_Mkt_Repl!$G53:$AF53+System_Mkt_NC!$G343:$AF343))))))</f>
        <v>44.531204610907693</v>
      </c>
      <c r="W167" s="373">
        <f t="array" ref="W167">IF(W$157=Misc_Inputs!$D$6,$G91,IF(SUM(IF($G$157:$AF$157&gt;=ROUND(IF((W$157-Sys_Repl_Rate!W125)&lt;Tech_Specs!$C17,Tech_Specs!$C17,(W$157-Sys_Repl_Rate!W125)),0),IF($G$157:$AF$157&lt;=W$157,IF(Tech_Specs!$K17="lamp",System_Mkt_Repl!$F343:$AE343+System_Mkt_NC!$G343:$AF343,Lamp_Mkt_Repl!$G53:$AF53+System_Mkt_NC!$G343:$AF343))))=0,0,SUMPRODUCT(IF($G$157:$AF$157&gt;=ROUND(IF((W$157-Sys_Repl_Rate!W125)&lt;Tech_Specs!$C17,Tech_Specs!$C17,(W$157-Sys_Repl_Rate!W125)),0),IF($G$157:$AF$157&lt;=W$157,$G91:$AF91)),IF(Tech_Specs!$K17="lamp",System_Mkt_Repl!$F343:$AE343+System_Mkt_NC!$G343:$AF343,Lamp_Mkt_Repl!$G53:$AF53+System_Mkt_NC!$G343:$AF343))/SUM(IF($G$157:$AF$157&gt;=ROUND(IF((W$157-Sys_Repl_Rate!W125)&lt;Tech_Specs!$C17,Tech_Specs!$C17,(W$157-Sys_Repl_Rate!W125)),0),IF($G$157:$AF$157&lt;=W$157,IF(Tech_Specs!$K17="lamp",System_Mkt_Repl!$F343:$AE343+System_Mkt_NC!$G343:$AF343,Lamp_Mkt_Repl!$G53:$AF53+System_Mkt_NC!$G343:$AF343))))))</f>
        <v>44.579799963210199</v>
      </c>
      <c r="X167" s="373">
        <f t="array" ref="X167">IF(X$157=Misc_Inputs!$D$6,$G91,IF(SUM(IF($G$157:$AF$157&gt;=ROUND(IF((X$157-Sys_Repl_Rate!X125)&lt;Tech_Specs!$C17,Tech_Specs!$C17,(X$157-Sys_Repl_Rate!X125)),0),IF($G$157:$AF$157&lt;=X$157,IF(Tech_Specs!$K17="lamp",System_Mkt_Repl!$F343:$AE343+System_Mkt_NC!$G343:$AF343,Lamp_Mkt_Repl!$G53:$AF53+System_Mkt_NC!$G343:$AF343))))=0,0,SUMPRODUCT(IF($G$157:$AF$157&gt;=ROUND(IF((X$157-Sys_Repl_Rate!X125)&lt;Tech_Specs!$C17,Tech_Specs!$C17,(X$157-Sys_Repl_Rate!X125)),0),IF($G$157:$AF$157&lt;=X$157,$G91:$AF91)),IF(Tech_Specs!$K17="lamp",System_Mkt_Repl!$F343:$AE343+System_Mkt_NC!$G343:$AF343,Lamp_Mkt_Repl!$G53:$AF53+System_Mkt_NC!$G343:$AF343))/SUM(IF($G$157:$AF$157&gt;=ROUND(IF((X$157-Sys_Repl_Rate!X125)&lt;Tech_Specs!$C17,Tech_Specs!$C17,(X$157-Sys_Repl_Rate!X125)),0),IF($G$157:$AF$157&lt;=X$157,IF(Tech_Specs!$K17="lamp",System_Mkt_Repl!$F343:$AE343+System_Mkt_NC!$G343:$AF343,Lamp_Mkt_Repl!$G53:$AF53+System_Mkt_NC!$G343:$AF343))))))</f>
        <v>44.625875101041842</v>
      </c>
      <c r="Y167" s="373">
        <f t="array" ref="Y167">IF(Y$157=Misc_Inputs!$D$6,$G91,IF(SUM(IF($G$157:$AF$157&gt;=ROUND(IF((Y$157-Sys_Repl_Rate!Y125)&lt;Tech_Specs!$C17,Tech_Specs!$C17,(Y$157-Sys_Repl_Rate!Y125)),0),IF($G$157:$AF$157&lt;=Y$157,IF(Tech_Specs!$K17="lamp",System_Mkt_Repl!$F343:$AE343+System_Mkt_NC!$G343:$AF343,Lamp_Mkt_Repl!$G53:$AF53+System_Mkt_NC!$G343:$AF343))))=0,0,SUMPRODUCT(IF($G$157:$AF$157&gt;=ROUND(IF((Y$157-Sys_Repl_Rate!Y125)&lt;Tech_Specs!$C17,Tech_Specs!$C17,(Y$157-Sys_Repl_Rate!Y125)),0),IF($G$157:$AF$157&lt;=Y$157,$G91:$AF91)),IF(Tech_Specs!$K17="lamp",System_Mkt_Repl!$F343:$AE343+System_Mkt_NC!$G343:$AF343,Lamp_Mkt_Repl!$G53:$AF53+System_Mkt_NC!$G343:$AF343))/SUM(IF($G$157:$AF$157&gt;=ROUND(IF((Y$157-Sys_Repl_Rate!Y125)&lt;Tech_Specs!$C17,Tech_Specs!$C17,(Y$157-Sys_Repl_Rate!Y125)),0),IF($G$157:$AF$157&lt;=Y$157,IF(Tech_Specs!$K17="lamp",System_Mkt_Repl!$F343:$AE343+System_Mkt_NC!$G343:$AF343,Lamp_Mkt_Repl!$G53:$AF53+System_Mkt_NC!$G343:$AF343))))))</f>
        <v>44.670161870873272</v>
      </c>
      <c r="Z167" s="373">
        <f t="array" ref="Z167">IF(Z$157=Misc_Inputs!$D$6,$G91,IF(SUM(IF($G$157:$AF$157&gt;=ROUND(IF((Z$157-Sys_Repl_Rate!Z125)&lt;Tech_Specs!$C17,Tech_Specs!$C17,(Z$157-Sys_Repl_Rate!Z125)),0),IF($G$157:$AF$157&lt;=Z$157,IF(Tech_Specs!$K17="lamp",System_Mkt_Repl!$F343:$AE343+System_Mkt_NC!$G343:$AF343,Lamp_Mkt_Repl!$G53:$AF53+System_Mkt_NC!$G343:$AF343))))=0,0,SUMPRODUCT(IF($G$157:$AF$157&gt;=ROUND(IF((Z$157-Sys_Repl_Rate!Z125)&lt;Tech_Specs!$C17,Tech_Specs!$C17,(Z$157-Sys_Repl_Rate!Z125)),0),IF($G$157:$AF$157&lt;=Z$157,$G91:$AF91)),IF(Tech_Specs!$K17="lamp",System_Mkt_Repl!$F343:$AE343+System_Mkt_NC!$G343:$AF343,Lamp_Mkt_Repl!$G53:$AF53+System_Mkt_NC!$G343:$AF343))/SUM(IF($G$157:$AF$157&gt;=ROUND(IF((Z$157-Sys_Repl_Rate!Z125)&lt;Tech_Specs!$C17,Tech_Specs!$C17,(Z$157-Sys_Repl_Rate!Z125)),0),IF($G$157:$AF$157&lt;=Z$157,IF(Tech_Specs!$K17="lamp",System_Mkt_Repl!$F343:$AE343+System_Mkt_NC!$G343:$AF343,Lamp_Mkt_Repl!$G53:$AF53+System_Mkt_NC!$G343:$AF343))))))</f>
        <v>44.828905143754127</v>
      </c>
      <c r="AA167" s="373">
        <f t="array" ref="AA167">IF(AA$157=Misc_Inputs!$D$6,$G91,IF(SUM(IF($G$157:$AF$157&gt;=ROUND(IF((AA$157-Sys_Repl_Rate!AA125)&lt;Tech_Specs!$C17,Tech_Specs!$C17,(AA$157-Sys_Repl_Rate!AA125)),0),IF($G$157:$AF$157&lt;=AA$157,IF(Tech_Specs!$K17="lamp",System_Mkt_Repl!$F343:$AE343+System_Mkt_NC!$G343:$AF343,Lamp_Mkt_Repl!$G53:$AF53+System_Mkt_NC!$G343:$AF343))))=0,0,SUMPRODUCT(IF($G$157:$AF$157&gt;=ROUND(IF((AA$157-Sys_Repl_Rate!AA125)&lt;Tech_Specs!$C17,Tech_Specs!$C17,(AA$157-Sys_Repl_Rate!AA125)),0),IF($G$157:$AF$157&lt;=AA$157,$G91:$AF91)),IF(Tech_Specs!$K17="lamp",System_Mkt_Repl!$F343:$AE343+System_Mkt_NC!$G343:$AF343,Lamp_Mkt_Repl!$G53:$AF53+System_Mkt_NC!$G343:$AF343))/SUM(IF($G$157:$AF$157&gt;=ROUND(IF((AA$157-Sys_Repl_Rate!AA125)&lt;Tech_Specs!$C17,Tech_Specs!$C17,(AA$157-Sys_Repl_Rate!AA125)),0),IF($G$157:$AF$157&lt;=AA$157,IF(Tech_Specs!$K17="lamp",System_Mkt_Repl!$F343:$AE343+System_Mkt_NC!$G343:$AF343,Lamp_Mkt_Repl!$G53:$AF53+System_Mkt_NC!$G343:$AF343))))))</f>
        <v>44.995181484866798</v>
      </c>
      <c r="AB167" s="373">
        <f t="array" ref="AB167">IF(AB$157=Misc_Inputs!$D$6,$G91,IF(SUM(IF($G$157:$AF$157&gt;=ROUND(IF((AB$157-Sys_Repl_Rate!AB125)&lt;Tech_Specs!$C17,Tech_Specs!$C17,(AB$157-Sys_Repl_Rate!AB125)),0),IF($G$157:$AF$157&lt;=AB$157,IF(Tech_Specs!$K17="lamp",System_Mkt_Repl!$F343:$AE343+System_Mkt_NC!$G343:$AF343,Lamp_Mkt_Repl!$G53:$AF53+System_Mkt_NC!$G343:$AF343))))=0,0,SUMPRODUCT(IF($G$157:$AF$157&gt;=ROUND(IF((AB$157-Sys_Repl_Rate!AB125)&lt;Tech_Specs!$C17,Tech_Specs!$C17,(AB$157-Sys_Repl_Rate!AB125)),0),IF($G$157:$AF$157&lt;=AB$157,$G91:$AF91)),IF(Tech_Specs!$K17="lamp",System_Mkt_Repl!$F343:$AE343+System_Mkt_NC!$G343:$AF343,Lamp_Mkt_Repl!$G53:$AF53+System_Mkt_NC!$G343:$AF343))/SUM(IF($G$157:$AF$157&gt;=ROUND(IF((AB$157-Sys_Repl_Rate!AB125)&lt;Tech_Specs!$C17,Tech_Specs!$C17,(AB$157-Sys_Repl_Rate!AB125)),0),IF($G$157:$AF$157&lt;=AB$157,IF(Tech_Specs!$K17="lamp",System_Mkt_Repl!$F343:$AE343+System_Mkt_NC!$G343:$AF343,Lamp_Mkt_Repl!$G53:$AF53+System_Mkt_NC!$G343:$AF343))))))</f>
        <v>45.175254985094369</v>
      </c>
      <c r="AC167" s="373">
        <f t="array" ref="AC167">IF(AC$157=Misc_Inputs!$D$6,$G91,IF(SUM(IF($G$157:$AF$157&gt;=ROUND(IF((AC$157-Sys_Repl_Rate!AC125)&lt;Tech_Specs!$C17,Tech_Specs!$C17,(AC$157-Sys_Repl_Rate!AC125)),0),IF($G$157:$AF$157&lt;=AC$157,IF(Tech_Specs!$K17="lamp",System_Mkt_Repl!$F343:$AE343+System_Mkt_NC!$G343:$AF343,Lamp_Mkt_Repl!$G53:$AF53+System_Mkt_NC!$G343:$AF343))))=0,0,SUMPRODUCT(IF($G$157:$AF$157&gt;=ROUND(IF((AC$157-Sys_Repl_Rate!AC125)&lt;Tech_Specs!$C17,Tech_Specs!$C17,(AC$157-Sys_Repl_Rate!AC125)),0),IF($G$157:$AF$157&lt;=AC$157,$G91:$AF91)),IF(Tech_Specs!$K17="lamp",System_Mkt_Repl!$F343:$AE343+System_Mkt_NC!$G343:$AF343,Lamp_Mkt_Repl!$G53:$AF53+System_Mkt_NC!$G343:$AF343))/SUM(IF($G$157:$AF$157&gt;=ROUND(IF((AC$157-Sys_Repl_Rate!AC125)&lt;Tech_Specs!$C17,Tech_Specs!$C17,(AC$157-Sys_Repl_Rate!AC125)),0),IF($G$157:$AF$157&lt;=AC$157,IF(Tech_Specs!$K17="lamp",System_Mkt_Repl!$F343:$AE343+System_Mkt_NC!$G343:$AF343,Lamp_Mkt_Repl!$G53:$AF53+System_Mkt_NC!$G343:$AF343))))))</f>
        <v>45.375166370510748</v>
      </c>
      <c r="AD167" s="373">
        <f t="array" ref="AD167">IF(AD$157=Misc_Inputs!$D$6,$G91,IF(SUM(IF($G$157:$AF$157&gt;=ROUND(IF((AD$157-Sys_Repl_Rate!AD125)&lt;Tech_Specs!$C17,Tech_Specs!$C17,(AD$157-Sys_Repl_Rate!AD125)),0),IF($G$157:$AF$157&lt;=AD$157,IF(Tech_Specs!$K17="lamp",System_Mkt_Repl!$F343:$AE343+System_Mkt_NC!$G343:$AF343,Lamp_Mkt_Repl!$G53:$AF53+System_Mkt_NC!$G343:$AF343))))=0,0,SUMPRODUCT(IF($G$157:$AF$157&gt;=ROUND(IF((AD$157-Sys_Repl_Rate!AD125)&lt;Tech_Specs!$C17,Tech_Specs!$C17,(AD$157-Sys_Repl_Rate!AD125)),0),IF($G$157:$AF$157&lt;=AD$157,$G91:$AF91)),IF(Tech_Specs!$K17="lamp",System_Mkt_Repl!$F343:$AE343+System_Mkt_NC!$G343:$AF343,Lamp_Mkt_Repl!$G53:$AF53+System_Mkt_NC!$G343:$AF343))/SUM(IF($G$157:$AF$157&gt;=ROUND(IF((AD$157-Sys_Repl_Rate!AD125)&lt;Tech_Specs!$C17,Tech_Specs!$C17,(AD$157-Sys_Repl_Rate!AD125)),0),IF($G$157:$AF$157&lt;=AD$157,IF(Tech_Specs!$K17="lamp",System_Mkt_Repl!$F343:$AE343+System_Mkt_NC!$G343:$AF343,Lamp_Mkt_Repl!$G53:$AF53+System_Mkt_NC!$G343:$AF343))))))</f>
        <v>45.58735277064924</v>
      </c>
      <c r="AE167" s="373">
        <f t="array" ref="AE167">IF(AE$157=Misc_Inputs!$D$6,$G91,IF(SUM(IF($G$157:$AF$157&gt;=ROUND(IF((AE$157-Sys_Repl_Rate!AE125)&lt;Tech_Specs!$C17,Tech_Specs!$C17,(AE$157-Sys_Repl_Rate!AE125)),0),IF($G$157:$AF$157&lt;=AE$157,IF(Tech_Specs!$K17="lamp",System_Mkt_Repl!$F343:$AE343+System_Mkt_NC!$G343:$AF343,Lamp_Mkt_Repl!$G53:$AF53+System_Mkt_NC!$G343:$AF343))))=0,0,SUMPRODUCT(IF($G$157:$AF$157&gt;=ROUND(IF((AE$157-Sys_Repl_Rate!AE125)&lt;Tech_Specs!$C17,Tech_Specs!$C17,(AE$157-Sys_Repl_Rate!AE125)),0),IF($G$157:$AF$157&lt;=AE$157,$G91:$AF91)),IF(Tech_Specs!$K17="lamp",System_Mkt_Repl!$F343:$AE343+System_Mkt_NC!$G343:$AF343,Lamp_Mkt_Repl!$G53:$AF53+System_Mkt_NC!$G343:$AF343))/SUM(IF($G$157:$AF$157&gt;=ROUND(IF((AE$157-Sys_Repl_Rate!AE125)&lt;Tech_Specs!$C17,Tech_Specs!$C17,(AE$157-Sys_Repl_Rate!AE125)),0),IF($G$157:$AF$157&lt;=AE$157,IF(Tech_Specs!$K17="lamp",System_Mkt_Repl!$F343:$AE343+System_Mkt_NC!$G343:$AF343,Lamp_Mkt_Repl!$G53:$AF53+System_Mkt_NC!$G343:$AF343))))))</f>
        <v>45.815777218305833</v>
      </c>
      <c r="AF167" s="373">
        <f t="array" ref="AF167">IF(AF$157=Misc_Inputs!$D$6,$G91,IF(SUM(IF($G$157:$AF$157&gt;=ROUND(IF((AF$157-Sys_Repl_Rate!AF125)&lt;Tech_Specs!$C17,Tech_Specs!$C17,(AF$157-Sys_Repl_Rate!AF125)),0),IF($G$157:$AF$157&lt;=AF$157,IF(Tech_Specs!$K17="lamp",System_Mkt_Repl!$F343:$AE343+System_Mkt_NC!$G343:$AF343,Lamp_Mkt_Repl!$G53:$AF53+System_Mkt_NC!$G343:$AF343))))=0,0,SUMPRODUCT(IF($G$157:$AF$157&gt;=ROUND(IF((AF$157-Sys_Repl_Rate!AF125)&lt;Tech_Specs!$C17,Tech_Specs!$C17,(AF$157-Sys_Repl_Rate!AF125)),0),IF($G$157:$AF$157&lt;=AF$157,$G91:$AF91)),IF(Tech_Specs!$K17="lamp",System_Mkt_Repl!$F343:$AE343+System_Mkt_NC!$G343:$AF343,Lamp_Mkt_Repl!$G53:$AF53+System_Mkt_NC!$G343:$AF343))/SUM(IF($G$157:$AF$157&gt;=ROUND(IF((AF$157-Sys_Repl_Rate!AF125)&lt;Tech_Specs!$C17,Tech_Specs!$C17,(AF$157-Sys_Repl_Rate!AF125)),0),IF($G$157:$AF$157&lt;=AF$157,IF(Tech_Specs!$K17="lamp",System_Mkt_Repl!$F343:$AE343+System_Mkt_NC!$G343:$AF343,Lamp_Mkt_Repl!$G53:$AF53+System_Mkt_NC!$G343:$AF343))))))</f>
        <v>46.058870405750163</v>
      </c>
    </row>
    <row r="168" spans="1:32" s="101" customFormat="1" ht="12.75" x14ac:dyDescent="0.2">
      <c r="A168" s="81"/>
      <c r="B168" s="101" t="s">
        <v>29</v>
      </c>
      <c r="C168" s="81"/>
      <c r="D168" s="550"/>
      <c r="E168" s="550"/>
      <c r="F168" s="550"/>
      <c r="G168" s="373">
        <f t="array" ref="G168">IF(G$157=Misc_Inputs!$D$6,$G92,IF(SUM(IF($G$157:$AF$157&gt;=ROUND(IF((G$157-Sys_Repl_Rate!G126)&lt;Tech_Specs!$C18,Tech_Specs!$C18,(G$157-Sys_Repl_Rate!G126)),0),IF($G$157:$AF$157&lt;=G$157,IF(Tech_Specs!$K18="lamp",System_Mkt_Repl!$F344:$AE344+System_Mkt_NC!$G344:$AF344,Lamp_Mkt_Repl!$G54:$AF54+System_Mkt_NC!$G344:$AF344))))=0,0,SUMPRODUCT(IF($G$157:$AF$157&gt;=ROUND(IF((G$157-Sys_Repl_Rate!G126)&lt;Tech_Specs!$C18,Tech_Specs!$C18,(G$157-Sys_Repl_Rate!G126)),0),IF($G$157:$AF$157&lt;=G$157,$G92:$AF92)),IF(Tech_Specs!$K18="lamp",System_Mkt_Repl!$F344:$AE344+System_Mkt_NC!$G344:$AF344,Lamp_Mkt_Repl!$G54:$AF54+System_Mkt_NC!$G344:$AF344))/SUM(IF($G$157:$AF$157&gt;=ROUND(IF((G$157-Sys_Repl_Rate!G126)&lt;Tech_Specs!$C18,Tech_Specs!$C18,(G$157-Sys_Repl_Rate!G126)),0),IF($G$157:$AF$157&lt;=G$157,IF(Tech_Specs!$K18="lamp",System_Mkt_Repl!$F344:$AE344+System_Mkt_NC!$G344:$AF344,Lamp_Mkt_Repl!$G54:$AF54+System_Mkt_NC!$G344:$AF344))))))</f>
        <v>36.873768202819726</v>
      </c>
      <c r="H168" s="373">
        <f t="array" ref="H168">IF(H$157=Misc_Inputs!$D$6,$G92,IF(SUM(IF($G$157:$AF$157&gt;=ROUND(IF((H$157-Sys_Repl_Rate!H126)&lt;Tech_Specs!$C18,Tech_Specs!$C18,(H$157-Sys_Repl_Rate!H126)),0),IF($G$157:$AF$157&lt;=H$157,IF(Tech_Specs!$K18="lamp",System_Mkt_Repl!$F344:$AE344+System_Mkt_NC!$G344:$AF344,Lamp_Mkt_Repl!$G54:$AF54+System_Mkt_NC!$G344:$AF344))))=0,0,SUMPRODUCT(IF($G$157:$AF$157&gt;=ROUND(IF((H$157-Sys_Repl_Rate!H126)&lt;Tech_Specs!$C18,Tech_Specs!$C18,(H$157-Sys_Repl_Rate!H126)),0),IF($G$157:$AF$157&lt;=H$157,$G92:$AF92)),IF(Tech_Specs!$K18="lamp",System_Mkt_Repl!$F344:$AE344+System_Mkt_NC!$G344:$AF344,Lamp_Mkt_Repl!$G54:$AF54+System_Mkt_NC!$G344:$AF344))/SUM(IF($G$157:$AF$157&gt;=ROUND(IF((H$157-Sys_Repl_Rate!H126)&lt;Tech_Specs!$C18,Tech_Specs!$C18,(H$157-Sys_Repl_Rate!H126)),0),IF($G$157:$AF$157&lt;=H$157,IF(Tech_Specs!$K18="lamp",System_Mkt_Repl!$F344:$AE344+System_Mkt_NC!$G344:$AF344,Lamp_Mkt_Repl!$G54:$AF54+System_Mkt_NC!$G344:$AF344))))))</f>
        <v>48.266272480467556</v>
      </c>
      <c r="I168" s="373">
        <f t="array" ref="I168">IF(I$157=Misc_Inputs!$D$6,$G92,IF(SUM(IF($G$157:$AF$157&gt;=ROUND(IF((I$157-Sys_Repl_Rate!I126)&lt;Tech_Specs!$C18,Tech_Specs!$C18,(I$157-Sys_Repl_Rate!I126)),0),IF($G$157:$AF$157&lt;=I$157,IF(Tech_Specs!$K18="lamp",System_Mkt_Repl!$F344:$AE344+System_Mkt_NC!$G344:$AF344,Lamp_Mkt_Repl!$G54:$AF54+System_Mkt_NC!$G344:$AF344))))=0,0,SUMPRODUCT(IF($G$157:$AF$157&gt;=ROUND(IF((I$157-Sys_Repl_Rate!I126)&lt;Tech_Specs!$C18,Tech_Specs!$C18,(I$157-Sys_Repl_Rate!I126)),0),IF($G$157:$AF$157&lt;=I$157,$G92:$AF92)),IF(Tech_Specs!$K18="lamp",System_Mkt_Repl!$F344:$AE344+System_Mkt_NC!$G344:$AF344,Lamp_Mkt_Repl!$G54:$AF54+System_Mkt_NC!$G344:$AF344))/SUM(IF($G$157:$AF$157&gt;=ROUND(IF((I$157-Sys_Repl_Rate!I126)&lt;Tech_Specs!$C18,Tech_Specs!$C18,(I$157-Sys_Repl_Rate!I126)),0),IF($G$157:$AF$157&lt;=I$157,IF(Tech_Specs!$K18="lamp",System_Mkt_Repl!$F344:$AE344+System_Mkt_NC!$G344:$AF344,Lamp_Mkt_Repl!$G54:$AF54+System_Mkt_NC!$G344:$AF344))))))</f>
        <v>58.510434811129144</v>
      </c>
      <c r="J168" s="373">
        <f t="array" ref="J168">IF(J$157=Misc_Inputs!$D$6,$G92,IF(SUM(IF($G$157:$AF$157&gt;=ROUND(IF((J$157-Sys_Repl_Rate!J126)&lt;Tech_Specs!$C18,Tech_Specs!$C18,(J$157-Sys_Repl_Rate!J126)),0),IF($G$157:$AF$157&lt;=J$157,IF(Tech_Specs!$K18="lamp",System_Mkt_Repl!$F344:$AE344+System_Mkt_NC!$G344:$AF344,Lamp_Mkt_Repl!$G54:$AF54+System_Mkt_NC!$G344:$AF344))))=0,0,SUMPRODUCT(IF($G$157:$AF$157&gt;=ROUND(IF((J$157-Sys_Repl_Rate!J126)&lt;Tech_Specs!$C18,Tech_Specs!$C18,(J$157-Sys_Repl_Rate!J126)),0),IF($G$157:$AF$157&lt;=J$157,$G92:$AF92)),IF(Tech_Specs!$K18="lamp",System_Mkt_Repl!$F344:$AE344+System_Mkt_NC!$G344:$AF344,Lamp_Mkt_Repl!$G54:$AF54+System_Mkt_NC!$G344:$AF344))/SUM(IF($G$157:$AF$157&gt;=ROUND(IF((J$157-Sys_Repl_Rate!J126)&lt;Tech_Specs!$C18,Tech_Specs!$C18,(J$157-Sys_Repl_Rate!J126)),0),IF($G$157:$AF$157&lt;=J$157,IF(Tech_Specs!$K18="lamp",System_Mkt_Repl!$F344:$AE344+System_Mkt_NC!$G344:$AF344,Lamp_Mkt_Repl!$G54:$AF54+System_Mkt_NC!$G344:$AF344))))))</f>
        <v>70.882712510081063</v>
      </c>
      <c r="K168" s="373">
        <f t="array" ref="K168">IF(K$157=Misc_Inputs!$D$6,$G92,IF(SUM(IF($G$157:$AF$157&gt;=ROUND(IF((K$157-Sys_Repl_Rate!K126)&lt;Tech_Specs!$C18,Tech_Specs!$C18,(K$157-Sys_Repl_Rate!K126)),0),IF($G$157:$AF$157&lt;=K$157,IF(Tech_Specs!$K18="lamp",System_Mkt_Repl!$F344:$AE344+System_Mkt_NC!$G344:$AF344,Lamp_Mkt_Repl!$G54:$AF54+System_Mkt_NC!$G344:$AF344))))=0,0,SUMPRODUCT(IF($G$157:$AF$157&gt;=ROUND(IF((K$157-Sys_Repl_Rate!K126)&lt;Tech_Specs!$C18,Tech_Specs!$C18,(K$157-Sys_Repl_Rate!K126)),0),IF($G$157:$AF$157&lt;=K$157,$G92:$AF92)),IF(Tech_Specs!$K18="lamp",System_Mkt_Repl!$F344:$AE344+System_Mkt_NC!$G344:$AF344,Lamp_Mkt_Repl!$G54:$AF54+System_Mkt_NC!$G344:$AF344))/SUM(IF($G$157:$AF$157&gt;=ROUND(IF((K$157-Sys_Repl_Rate!K126)&lt;Tech_Specs!$C18,Tech_Specs!$C18,(K$157-Sys_Repl_Rate!K126)),0),IF($G$157:$AF$157&lt;=K$157,IF(Tech_Specs!$K18="lamp",System_Mkt_Repl!$F344:$AE344+System_Mkt_NC!$G344:$AF344,Lamp_Mkt_Repl!$G54:$AF54+System_Mkt_NC!$G344:$AF344))))))</f>
        <v>84.093882716170981</v>
      </c>
      <c r="L168" s="373">
        <f t="array" ref="L168">IF(L$157=Misc_Inputs!$D$6,$G92,IF(SUM(IF($G$157:$AF$157&gt;=ROUND(IF((L$157-Sys_Repl_Rate!L126)&lt;Tech_Specs!$C18,Tech_Specs!$C18,(L$157-Sys_Repl_Rate!L126)),0),IF($G$157:$AF$157&lt;=L$157,IF(Tech_Specs!$K18="lamp",System_Mkt_Repl!$F344:$AE344+System_Mkt_NC!$G344:$AF344,Lamp_Mkt_Repl!$G54:$AF54+System_Mkt_NC!$G344:$AF344))))=0,0,SUMPRODUCT(IF($G$157:$AF$157&gt;=ROUND(IF((L$157-Sys_Repl_Rate!L126)&lt;Tech_Specs!$C18,Tech_Specs!$C18,(L$157-Sys_Repl_Rate!L126)),0),IF($G$157:$AF$157&lt;=L$157,$G92:$AF92)),IF(Tech_Specs!$K18="lamp",System_Mkt_Repl!$F344:$AE344+System_Mkt_NC!$G344:$AF344,Lamp_Mkt_Repl!$G54:$AF54+System_Mkt_NC!$G344:$AF344))/SUM(IF($G$157:$AF$157&gt;=ROUND(IF((L$157-Sys_Repl_Rate!L126)&lt;Tech_Specs!$C18,Tech_Specs!$C18,(L$157-Sys_Repl_Rate!L126)),0),IF($G$157:$AF$157&lt;=L$157,IF(Tech_Specs!$K18="lamp",System_Mkt_Repl!$F344:$AE344+System_Mkt_NC!$G344:$AF344,Lamp_Mkt_Repl!$G54:$AF54+System_Mkt_NC!$G344:$AF344))))))</f>
        <v>97.256033348723975</v>
      </c>
      <c r="M168" s="373">
        <f t="array" ref="M168">IF(M$157=Misc_Inputs!$D$6,$G92,IF(SUM(IF($G$157:$AF$157&gt;=ROUND(IF((M$157-Sys_Repl_Rate!M126)&lt;Tech_Specs!$C18,Tech_Specs!$C18,(M$157-Sys_Repl_Rate!M126)),0),IF($G$157:$AF$157&lt;=M$157,IF(Tech_Specs!$K18="lamp",System_Mkt_Repl!$F344:$AE344+System_Mkt_NC!$G344:$AF344,Lamp_Mkt_Repl!$G54:$AF54+System_Mkt_NC!$G344:$AF344))))=0,0,SUMPRODUCT(IF($G$157:$AF$157&gt;=ROUND(IF((M$157-Sys_Repl_Rate!M126)&lt;Tech_Specs!$C18,Tech_Specs!$C18,(M$157-Sys_Repl_Rate!M126)),0),IF($G$157:$AF$157&lt;=M$157,$G92:$AF92)),IF(Tech_Specs!$K18="lamp",System_Mkt_Repl!$F344:$AE344+System_Mkt_NC!$G344:$AF344,Lamp_Mkt_Repl!$G54:$AF54+System_Mkt_NC!$G344:$AF344))/SUM(IF($G$157:$AF$157&gt;=ROUND(IF((M$157-Sys_Repl_Rate!M126)&lt;Tech_Specs!$C18,Tech_Specs!$C18,(M$157-Sys_Repl_Rate!M126)),0),IF($G$157:$AF$157&lt;=M$157,IF(Tech_Specs!$K18="lamp",System_Mkt_Repl!$F344:$AE344+System_Mkt_NC!$G344:$AF344,Lamp_Mkt_Repl!$G54:$AF54+System_Mkt_NC!$G344:$AF344))))))</f>
        <v>110.01139663124061</v>
      </c>
      <c r="N168" s="373">
        <f t="array" ref="N168">IF(N$157=Misc_Inputs!$D$6,$G92,IF(SUM(IF($G$157:$AF$157&gt;=ROUND(IF((N$157-Sys_Repl_Rate!N126)&lt;Tech_Specs!$C18,Tech_Specs!$C18,(N$157-Sys_Repl_Rate!N126)),0),IF($G$157:$AF$157&lt;=N$157,IF(Tech_Specs!$K18="lamp",System_Mkt_Repl!$F344:$AE344+System_Mkt_NC!$G344:$AF344,Lamp_Mkt_Repl!$G54:$AF54+System_Mkt_NC!$G344:$AF344))))=0,0,SUMPRODUCT(IF($G$157:$AF$157&gt;=ROUND(IF((N$157-Sys_Repl_Rate!N126)&lt;Tech_Specs!$C18,Tech_Specs!$C18,(N$157-Sys_Repl_Rate!N126)),0),IF($G$157:$AF$157&lt;=N$157,$G92:$AF92)),IF(Tech_Specs!$K18="lamp",System_Mkt_Repl!$F344:$AE344+System_Mkt_NC!$G344:$AF344,Lamp_Mkt_Repl!$G54:$AF54+System_Mkt_NC!$G344:$AF344))/SUM(IF($G$157:$AF$157&gt;=ROUND(IF((N$157-Sys_Repl_Rate!N126)&lt;Tech_Specs!$C18,Tech_Specs!$C18,(N$157-Sys_Repl_Rate!N126)),0),IF($G$157:$AF$157&lt;=N$157,IF(Tech_Specs!$K18="lamp",System_Mkt_Repl!$F344:$AE344+System_Mkt_NC!$G344:$AF344,Lamp_Mkt_Repl!$G54:$AF54+System_Mkt_NC!$G344:$AF344))))))</f>
        <v>121.99703714690204</v>
      </c>
      <c r="O168" s="373">
        <f t="array" ref="O168">IF(O$157=Misc_Inputs!$D$6,$G92,IF(SUM(IF($G$157:$AF$157&gt;=ROUND(IF((O$157-Sys_Repl_Rate!O126)&lt;Tech_Specs!$C18,Tech_Specs!$C18,(O$157-Sys_Repl_Rate!O126)),0),IF($G$157:$AF$157&lt;=O$157,IF(Tech_Specs!$K18="lamp",System_Mkt_Repl!$F344:$AE344+System_Mkt_NC!$G344:$AF344,Lamp_Mkt_Repl!$G54:$AF54+System_Mkt_NC!$G344:$AF344))))=0,0,SUMPRODUCT(IF($G$157:$AF$157&gt;=ROUND(IF((O$157-Sys_Repl_Rate!O126)&lt;Tech_Specs!$C18,Tech_Specs!$C18,(O$157-Sys_Repl_Rate!O126)),0),IF($G$157:$AF$157&lt;=O$157,$G92:$AF92)),IF(Tech_Specs!$K18="lamp",System_Mkt_Repl!$F344:$AE344+System_Mkt_NC!$G344:$AF344,Lamp_Mkt_Repl!$G54:$AF54+System_Mkt_NC!$G344:$AF344))/SUM(IF($G$157:$AF$157&gt;=ROUND(IF((O$157-Sys_Repl_Rate!O126)&lt;Tech_Specs!$C18,Tech_Specs!$C18,(O$157-Sys_Repl_Rate!O126)),0),IF($G$157:$AF$157&lt;=O$157,IF(Tech_Specs!$K18="lamp",System_Mkt_Repl!$F344:$AE344+System_Mkt_NC!$G344:$AF344,Lamp_Mkt_Repl!$G54:$AF54+System_Mkt_NC!$G344:$AF344))))))</f>
        <v>132.98408298755839</v>
      </c>
      <c r="P168" s="373">
        <f t="array" ref="P168">IF(P$157=Misc_Inputs!$D$6,$G92,IF(SUM(IF($G$157:$AF$157&gt;=ROUND(IF((P$157-Sys_Repl_Rate!P126)&lt;Tech_Specs!$C18,Tech_Specs!$C18,(P$157-Sys_Repl_Rate!P126)),0),IF($G$157:$AF$157&lt;=P$157,IF(Tech_Specs!$K18="lamp",System_Mkt_Repl!$F344:$AE344+System_Mkt_NC!$G344:$AF344,Lamp_Mkt_Repl!$G54:$AF54+System_Mkt_NC!$G344:$AF344))))=0,0,SUMPRODUCT(IF($G$157:$AF$157&gt;=ROUND(IF((P$157-Sys_Repl_Rate!P126)&lt;Tech_Specs!$C18,Tech_Specs!$C18,(P$157-Sys_Repl_Rate!P126)),0),IF($G$157:$AF$157&lt;=P$157,$G92:$AF92)),IF(Tech_Specs!$K18="lamp",System_Mkt_Repl!$F344:$AE344+System_Mkt_NC!$G344:$AF344,Lamp_Mkt_Repl!$G54:$AF54+System_Mkt_NC!$G344:$AF344))/SUM(IF($G$157:$AF$157&gt;=ROUND(IF((P$157-Sys_Repl_Rate!P126)&lt;Tech_Specs!$C18,Tech_Specs!$C18,(P$157-Sys_Repl_Rate!P126)),0),IF($G$157:$AF$157&lt;=P$157,IF(Tech_Specs!$K18="lamp",System_Mkt_Repl!$F344:$AE344+System_Mkt_NC!$G344:$AF344,Lamp_Mkt_Repl!$G54:$AF54+System_Mkt_NC!$G344:$AF344))))))</f>
        <v>142.8454676644146</v>
      </c>
      <c r="Q168" s="373">
        <f t="array" ref="Q168">IF(Q$157=Misc_Inputs!$D$6,$G92,IF(SUM(IF($G$157:$AF$157&gt;=ROUND(IF((Q$157-Sys_Repl_Rate!Q126)&lt;Tech_Specs!$C18,Tech_Specs!$C18,(Q$157-Sys_Repl_Rate!Q126)),0),IF($G$157:$AF$157&lt;=Q$157,IF(Tech_Specs!$K18="lamp",System_Mkt_Repl!$F344:$AE344+System_Mkt_NC!$G344:$AF344,Lamp_Mkt_Repl!$G54:$AF54+System_Mkt_NC!$G344:$AF344))))=0,0,SUMPRODUCT(IF($G$157:$AF$157&gt;=ROUND(IF((Q$157-Sys_Repl_Rate!Q126)&lt;Tech_Specs!$C18,Tech_Specs!$C18,(Q$157-Sys_Repl_Rate!Q126)),0),IF($G$157:$AF$157&lt;=Q$157,$G92:$AF92)),IF(Tech_Specs!$K18="lamp",System_Mkt_Repl!$F344:$AE344+System_Mkt_NC!$G344:$AF344,Lamp_Mkt_Repl!$G54:$AF54+System_Mkt_NC!$G344:$AF344))/SUM(IF($G$157:$AF$157&gt;=ROUND(IF((Q$157-Sys_Repl_Rate!Q126)&lt;Tech_Specs!$C18,Tech_Specs!$C18,(Q$157-Sys_Repl_Rate!Q126)),0),IF($G$157:$AF$157&lt;=Q$157,IF(Tech_Specs!$K18="lamp",System_Mkt_Repl!$F344:$AE344+System_Mkt_NC!$G344:$AF344,Lamp_Mkt_Repl!$G54:$AF54+System_Mkt_NC!$G344:$AF344))))))</f>
        <v>151.59162691193444</v>
      </c>
      <c r="R168" s="373">
        <f t="array" ref="R168">IF(R$157=Misc_Inputs!$D$6,$G92,IF(SUM(IF($G$157:$AF$157&gt;=ROUND(IF((R$157-Sys_Repl_Rate!R126)&lt;Tech_Specs!$C18,Tech_Specs!$C18,(R$157-Sys_Repl_Rate!R126)),0),IF($G$157:$AF$157&lt;=R$157,IF(Tech_Specs!$K18="lamp",System_Mkt_Repl!$F344:$AE344+System_Mkt_NC!$G344:$AF344,Lamp_Mkt_Repl!$G54:$AF54+System_Mkt_NC!$G344:$AF344))))=0,0,SUMPRODUCT(IF($G$157:$AF$157&gt;=ROUND(IF((R$157-Sys_Repl_Rate!R126)&lt;Tech_Specs!$C18,Tech_Specs!$C18,(R$157-Sys_Repl_Rate!R126)),0),IF($G$157:$AF$157&lt;=R$157,$G92:$AF92)),IF(Tech_Specs!$K18="lamp",System_Mkt_Repl!$F344:$AE344+System_Mkt_NC!$G344:$AF344,Lamp_Mkt_Repl!$G54:$AF54+System_Mkt_NC!$G344:$AF344))/SUM(IF($G$157:$AF$157&gt;=ROUND(IF((R$157-Sys_Repl_Rate!R126)&lt;Tech_Specs!$C18,Tech_Specs!$C18,(R$157-Sys_Repl_Rate!R126)),0),IF($G$157:$AF$157&lt;=R$157,IF(Tech_Specs!$K18="lamp",System_Mkt_Repl!$F344:$AE344+System_Mkt_NC!$G344:$AF344,Lamp_Mkt_Repl!$G54:$AF54+System_Mkt_NC!$G344:$AF344))))))</f>
        <v>158.6143863082126</v>
      </c>
      <c r="S168" s="373">
        <f t="array" ref="S168">IF(S$157=Misc_Inputs!$D$6,$G92,IF(SUM(IF($G$157:$AF$157&gt;=ROUND(IF((S$157-Sys_Repl_Rate!S126)&lt;Tech_Specs!$C18,Tech_Specs!$C18,(S$157-Sys_Repl_Rate!S126)),0),IF($G$157:$AF$157&lt;=S$157,IF(Tech_Specs!$K18="lamp",System_Mkt_Repl!$F344:$AE344+System_Mkt_NC!$G344:$AF344,Lamp_Mkt_Repl!$G54:$AF54+System_Mkt_NC!$G344:$AF344))))=0,0,SUMPRODUCT(IF($G$157:$AF$157&gt;=ROUND(IF((S$157-Sys_Repl_Rate!S126)&lt;Tech_Specs!$C18,Tech_Specs!$C18,(S$157-Sys_Repl_Rate!S126)),0),IF($G$157:$AF$157&lt;=S$157,$G92:$AF92)),IF(Tech_Specs!$K18="lamp",System_Mkt_Repl!$F344:$AE344+System_Mkt_NC!$G344:$AF344,Lamp_Mkt_Repl!$G54:$AF54+System_Mkt_NC!$G344:$AF344))/SUM(IF($G$157:$AF$157&gt;=ROUND(IF((S$157-Sys_Repl_Rate!S126)&lt;Tech_Specs!$C18,Tech_Specs!$C18,(S$157-Sys_Repl_Rate!S126)),0),IF($G$157:$AF$157&lt;=S$157,IF(Tech_Specs!$K18="lamp",System_Mkt_Repl!$F344:$AE344+System_Mkt_NC!$G344:$AF344,Lamp_Mkt_Repl!$G54:$AF54+System_Mkt_NC!$G344:$AF344))))))</f>
        <v>164.28212703870656</v>
      </c>
      <c r="T168" s="373">
        <f t="array" ref="T168">IF(T$157=Misc_Inputs!$D$6,$G92,IF(SUM(IF($G$157:$AF$157&gt;=ROUND(IF((T$157-Sys_Repl_Rate!T126)&lt;Tech_Specs!$C18,Tech_Specs!$C18,(T$157-Sys_Repl_Rate!T126)),0),IF($G$157:$AF$157&lt;=T$157,IF(Tech_Specs!$K18="lamp",System_Mkt_Repl!$F344:$AE344+System_Mkt_NC!$G344:$AF344,Lamp_Mkt_Repl!$G54:$AF54+System_Mkt_NC!$G344:$AF344))))=0,0,SUMPRODUCT(IF($G$157:$AF$157&gt;=ROUND(IF((T$157-Sys_Repl_Rate!T126)&lt;Tech_Specs!$C18,Tech_Specs!$C18,(T$157-Sys_Repl_Rate!T126)),0),IF($G$157:$AF$157&lt;=T$157,$G92:$AF92)),IF(Tech_Specs!$K18="lamp",System_Mkt_Repl!$F344:$AE344+System_Mkt_NC!$G344:$AF344,Lamp_Mkt_Repl!$G54:$AF54+System_Mkt_NC!$G344:$AF344))/SUM(IF($G$157:$AF$157&gt;=ROUND(IF((T$157-Sys_Repl_Rate!T126)&lt;Tech_Specs!$C18,Tech_Specs!$C18,(T$157-Sys_Repl_Rate!T126)),0),IF($G$157:$AF$157&lt;=T$157,IF(Tech_Specs!$K18="lamp",System_Mkt_Repl!$F344:$AE344+System_Mkt_NC!$G344:$AF344,Lamp_Mkt_Repl!$G54:$AF54+System_Mkt_NC!$G344:$AF344))))))</f>
        <v>168.87558298179962</v>
      </c>
      <c r="U168" s="373">
        <f t="array" ref="U168">IF(U$157=Misc_Inputs!$D$6,$G92,IF(SUM(IF($G$157:$AF$157&gt;=ROUND(IF((U$157-Sys_Repl_Rate!U126)&lt;Tech_Specs!$C18,Tech_Specs!$C18,(U$157-Sys_Repl_Rate!U126)),0),IF($G$157:$AF$157&lt;=U$157,IF(Tech_Specs!$K18="lamp",System_Mkt_Repl!$F344:$AE344+System_Mkt_NC!$G344:$AF344,Lamp_Mkt_Repl!$G54:$AF54+System_Mkt_NC!$G344:$AF344))))=0,0,SUMPRODUCT(IF($G$157:$AF$157&gt;=ROUND(IF((U$157-Sys_Repl_Rate!U126)&lt;Tech_Specs!$C18,Tech_Specs!$C18,(U$157-Sys_Repl_Rate!U126)),0),IF($G$157:$AF$157&lt;=U$157,$G92:$AF92)),IF(Tech_Specs!$K18="lamp",System_Mkt_Repl!$F344:$AE344+System_Mkt_NC!$G344:$AF344,Lamp_Mkt_Repl!$G54:$AF54+System_Mkt_NC!$G344:$AF344))/SUM(IF($G$157:$AF$157&gt;=ROUND(IF((U$157-Sys_Repl_Rate!U126)&lt;Tech_Specs!$C18,Tech_Specs!$C18,(U$157-Sys_Repl_Rate!U126)),0),IF($G$157:$AF$157&lt;=U$157,IF(Tech_Specs!$K18="lamp",System_Mkt_Repl!$F344:$AE344+System_Mkt_NC!$G344:$AF344,Lamp_Mkt_Repl!$G54:$AF54+System_Mkt_NC!$G344:$AF344))))))</f>
        <v>172.61937014012108</v>
      </c>
      <c r="V168" s="373">
        <f t="array" ref="V168">IF(V$157=Misc_Inputs!$D$6,$G92,IF(SUM(IF($G$157:$AF$157&gt;=ROUND(IF((V$157-Sys_Repl_Rate!V126)&lt;Tech_Specs!$C18,Tech_Specs!$C18,(V$157-Sys_Repl_Rate!V126)),0),IF($G$157:$AF$157&lt;=V$157,IF(Tech_Specs!$K18="lamp",System_Mkt_Repl!$F344:$AE344+System_Mkt_NC!$G344:$AF344,Lamp_Mkt_Repl!$G54:$AF54+System_Mkt_NC!$G344:$AF344))))=0,0,SUMPRODUCT(IF($G$157:$AF$157&gt;=ROUND(IF((V$157-Sys_Repl_Rate!V126)&lt;Tech_Specs!$C18,Tech_Specs!$C18,(V$157-Sys_Repl_Rate!V126)),0),IF($G$157:$AF$157&lt;=V$157,$G92:$AF92)),IF(Tech_Specs!$K18="lamp",System_Mkt_Repl!$F344:$AE344+System_Mkt_NC!$G344:$AF344,Lamp_Mkt_Repl!$G54:$AF54+System_Mkt_NC!$G344:$AF344))/SUM(IF($G$157:$AF$157&gt;=ROUND(IF((V$157-Sys_Repl_Rate!V126)&lt;Tech_Specs!$C18,Tech_Specs!$C18,(V$157-Sys_Repl_Rate!V126)),0),IF($G$157:$AF$157&lt;=V$157,IF(Tech_Specs!$K18="lamp",System_Mkt_Repl!$F344:$AE344+System_Mkt_NC!$G344:$AF344,Lamp_Mkt_Repl!$G54:$AF54+System_Mkt_NC!$G344:$AF344))))))</f>
        <v>175.69274236155232</v>
      </c>
      <c r="W168" s="373">
        <f t="array" ref="W168">IF(W$157=Misc_Inputs!$D$6,$G92,IF(SUM(IF($G$157:$AF$157&gt;=ROUND(IF((W$157-Sys_Repl_Rate!W126)&lt;Tech_Specs!$C18,Tech_Specs!$C18,(W$157-Sys_Repl_Rate!W126)),0),IF($G$157:$AF$157&lt;=W$157,IF(Tech_Specs!$K18="lamp",System_Mkt_Repl!$F344:$AE344+System_Mkt_NC!$G344:$AF344,Lamp_Mkt_Repl!$G54:$AF54+System_Mkt_NC!$G344:$AF344))))=0,0,SUMPRODUCT(IF($G$157:$AF$157&gt;=ROUND(IF((W$157-Sys_Repl_Rate!W126)&lt;Tech_Specs!$C18,Tech_Specs!$C18,(W$157-Sys_Repl_Rate!W126)),0),IF($G$157:$AF$157&lt;=W$157,$G92:$AF92)),IF(Tech_Specs!$K18="lamp",System_Mkt_Repl!$F344:$AE344+System_Mkt_NC!$G344:$AF344,Lamp_Mkt_Repl!$G54:$AF54+System_Mkt_NC!$G344:$AF344))/SUM(IF($G$157:$AF$157&gt;=ROUND(IF((W$157-Sys_Repl_Rate!W126)&lt;Tech_Specs!$C18,Tech_Specs!$C18,(W$157-Sys_Repl_Rate!W126)),0),IF($G$157:$AF$157&lt;=W$157,IF(Tech_Specs!$K18="lamp",System_Mkt_Repl!$F344:$AE344+System_Mkt_NC!$G344:$AF344,Lamp_Mkt_Repl!$G54:$AF54+System_Mkt_NC!$G344:$AF344))))))</f>
        <v>178.23707463271819</v>
      </c>
      <c r="X168" s="373">
        <f t="array" ref="X168">IF(X$157=Misc_Inputs!$D$6,$G92,IF(SUM(IF($G$157:$AF$157&gt;=ROUND(IF((X$157-Sys_Repl_Rate!X126)&lt;Tech_Specs!$C18,Tech_Specs!$C18,(X$157-Sys_Repl_Rate!X126)),0),IF($G$157:$AF$157&lt;=X$157,IF(Tech_Specs!$K18="lamp",System_Mkt_Repl!$F344:$AE344+System_Mkt_NC!$G344:$AF344,Lamp_Mkt_Repl!$G54:$AF54+System_Mkt_NC!$G344:$AF344))))=0,0,SUMPRODUCT(IF($G$157:$AF$157&gt;=ROUND(IF((X$157-Sys_Repl_Rate!X126)&lt;Tech_Specs!$C18,Tech_Specs!$C18,(X$157-Sys_Repl_Rate!X126)),0),IF($G$157:$AF$157&lt;=X$157,$G92:$AF92)),IF(Tech_Specs!$K18="lamp",System_Mkt_Repl!$F344:$AE344+System_Mkt_NC!$G344:$AF344,Lamp_Mkt_Repl!$G54:$AF54+System_Mkt_NC!$G344:$AF344))/SUM(IF($G$157:$AF$157&gt;=ROUND(IF((X$157-Sys_Repl_Rate!X126)&lt;Tech_Specs!$C18,Tech_Specs!$C18,(X$157-Sys_Repl_Rate!X126)),0),IF($G$157:$AF$157&lt;=X$157,IF(Tech_Specs!$K18="lamp",System_Mkt_Repl!$F344:$AE344+System_Mkt_NC!$G344:$AF344,Lamp_Mkt_Repl!$G54:$AF54+System_Mkt_NC!$G344:$AF344))))))</f>
        <v>180.36264844696086</v>
      </c>
      <c r="Y168" s="373">
        <f t="array" ref="Y168">IF(Y$157=Misc_Inputs!$D$6,$G92,IF(SUM(IF($G$157:$AF$157&gt;=ROUND(IF((Y$157-Sys_Repl_Rate!Y126)&lt;Tech_Specs!$C18,Tech_Specs!$C18,(Y$157-Sys_Repl_Rate!Y126)),0),IF($G$157:$AF$157&lt;=Y$157,IF(Tech_Specs!$K18="lamp",System_Mkt_Repl!$F344:$AE344+System_Mkt_NC!$G344:$AF344,Lamp_Mkt_Repl!$G54:$AF54+System_Mkt_NC!$G344:$AF344))))=0,0,SUMPRODUCT(IF($G$157:$AF$157&gt;=ROUND(IF((Y$157-Sys_Repl_Rate!Y126)&lt;Tech_Specs!$C18,Tech_Specs!$C18,(Y$157-Sys_Repl_Rate!Y126)),0),IF($G$157:$AF$157&lt;=Y$157,$G92:$AF92)),IF(Tech_Specs!$K18="lamp",System_Mkt_Repl!$F344:$AE344+System_Mkt_NC!$G344:$AF344,Lamp_Mkt_Repl!$G54:$AF54+System_Mkt_NC!$G344:$AF344))/SUM(IF($G$157:$AF$157&gt;=ROUND(IF((Y$157-Sys_Repl_Rate!Y126)&lt;Tech_Specs!$C18,Tech_Specs!$C18,(Y$157-Sys_Repl_Rate!Y126)),0),IF($G$157:$AF$157&lt;=Y$157,IF(Tech_Specs!$K18="lamp",System_Mkt_Repl!$F344:$AE344+System_Mkt_NC!$G344:$AF344,Lamp_Mkt_Repl!$G54:$AF54+System_Mkt_NC!$G344:$AF344))))))</f>
        <v>182.15682253221411</v>
      </c>
      <c r="Z168" s="373">
        <f t="array" ref="Z168">IF(Z$157=Misc_Inputs!$D$6,$G92,IF(SUM(IF($G$157:$AF$157&gt;=ROUND(IF((Z$157-Sys_Repl_Rate!Z126)&lt;Tech_Specs!$C18,Tech_Specs!$C18,(Z$157-Sys_Repl_Rate!Z126)),0),IF($G$157:$AF$157&lt;=Z$157,IF(Tech_Specs!$K18="lamp",System_Mkt_Repl!$F344:$AE344+System_Mkt_NC!$G344:$AF344,Lamp_Mkt_Repl!$G54:$AF54+System_Mkt_NC!$G344:$AF344))))=0,0,SUMPRODUCT(IF($G$157:$AF$157&gt;=ROUND(IF((Z$157-Sys_Repl_Rate!Z126)&lt;Tech_Specs!$C18,Tech_Specs!$C18,(Z$157-Sys_Repl_Rate!Z126)),0),IF($G$157:$AF$157&lt;=Z$157,$G92:$AF92)),IF(Tech_Specs!$K18="lamp",System_Mkt_Repl!$F344:$AE344+System_Mkt_NC!$G344:$AF344,Lamp_Mkt_Repl!$G54:$AF54+System_Mkt_NC!$G344:$AF344))/SUM(IF($G$157:$AF$157&gt;=ROUND(IF((Z$157-Sys_Repl_Rate!Z126)&lt;Tech_Specs!$C18,Tech_Specs!$C18,(Z$157-Sys_Repl_Rate!Z126)),0),IF($G$157:$AF$157&lt;=Z$157,IF(Tech_Specs!$K18="lamp",System_Mkt_Repl!$F344:$AE344+System_Mkt_NC!$G344:$AF344,Lamp_Mkt_Repl!$G54:$AF54+System_Mkt_NC!$G344:$AF344))))))</f>
        <v>183.68894875225692</v>
      </c>
      <c r="AA168" s="373">
        <f t="array" ref="AA168">IF(AA$157=Misc_Inputs!$D$6,$G92,IF(SUM(IF($G$157:$AF$157&gt;=ROUND(IF((AA$157-Sys_Repl_Rate!AA126)&lt;Tech_Specs!$C18,Tech_Specs!$C18,(AA$157-Sys_Repl_Rate!AA126)),0),IF($G$157:$AF$157&lt;=AA$157,IF(Tech_Specs!$K18="lamp",System_Mkt_Repl!$F344:$AE344+System_Mkt_NC!$G344:$AF344,Lamp_Mkt_Repl!$G54:$AF54+System_Mkt_NC!$G344:$AF344))))=0,0,SUMPRODUCT(IF($G$157:$AF$157&gt;=ROUND(IF((AA$157-Sys_Repl_Rate!AA126)&lt;Tech_Specs!$C18,Tech_Specs!$C18,(AA$157-Sys_Repl_Rate!AA126)),0),IF($G$157:$AF$157&lt;=AA$157,$G92:$AF92)),IF(Tech_Specs!$K18="lamp",System_Mkt_Repl!$F344:$AE344+System_Mkt_NC!$G344:$AF344,Lamp_Mkt_Repl!$G54:$AF54+System_Mkt_NC!$G344:$AF344))/SUM(IF($G$157:$AF$157&gt;=ROUND(IF((AA$157-Sys_Repl_Rate!AA126)&lt;Tech_Specs!$C18,Tech_Specs!$C18,(AA$157-Sys_Repl_Rate!AA126)),0),IF($G$157:$AF$157&lt;=AA$157,IF(Tech_Specs!$K18="lamp",System_Mkt_Repl!$F344:$AE344+System_Mkt_NC!$G344:$AF344,Lamp_Mkt_Repl!$G54:$AF54+System_Mkt_NC!$G344:$AF344))))))</f>
        <v>185.0129105665618</v>
      </c>
      <c r="AB168" s="373">
        <f t="array" ref="AB168">IF(AB$157=Misc_Inputs!$D$6,$G92,IF(SUM(IF($G$157:$AF$157&gt;=ROUND(IF((AB$157-Sys_Repl_Rate!AB126)&lt;Tech_Specs!$C18,Tech_Specs!$C18,(AB$157-Sys_Repl_Rate!AB126)),0),IF($G$157:$AF$157&lt;=AB$157,IF(Tech_Specs!$K18="lamp",System_Mkt_Repl!$F344:$AE344+System_Mkt_NC!$G344:$AF344,Lamp_Mkt_Repl!$G54:$AF54+System_Mkt_NC!$G344:$AF344))))=0,0,SUMPRODUCT(IF($G$157:$AF$157&gt;=ROUND(IF((AB$157-Sys_Repl_Rate!AB126)&lt;Tech_Specs!$C18,Tech_Specs!$C18,(AB$157-Sys_Repl_Rate!AB126)),0),IF($G$157:$AF$157&lt;=AB$157,$G92:$AF92)),IF(Tech_Specs!$K18="lamp",System_Mkt_Repl!$F344:$AE344+System_Mkt_NC!$G344:$AF344,Lamp_Mkt_Repl!$G54:$AF54+System_Mkt_NC!$G344:$AF344))/SUM(IF($G$157:$AF$157&gt;=ROUND(IF((AB$157-Sys_Repl_Rate!AB126)&lt;Tech_Specs!$C18,Tech_Specs!$C18,(AB$157-Sys_Repl_Rate!AB126)),0),IF($G$157:$AF$157&lt;=AB$157,IF(Tech_Specs!$K18="lamp",System_Mkt_Repl!$F344:$AE344+System_Mkt_NC!$G344:$AF344,Lamp_Mkt_Repl!$G54:$AF54+System_Mkt_NC!$G344:$AF344))))))</f>
        <v>186.17188435293824</v>
      </c>
      <c r="AC168" s="373">
        <f t="array" ref="AC168">IF(AC$157=Misc_Inputs!$D$6,$G92,IF(SUM(IF($G$157:$AF$157&gt;=ROUND(IF((AC$157-Sys_Repl_Rate!AC126)&lt;Tech_Specs!$C18,Tech_Specs!$C18,(AC$157-Sys_Repl_Rate!AC126)),0),IF($G$157:$AF$157&lt;=AC$157,IF(Tech_Specs!$K18="lamp",System_Mkt_Repl!$F344:$AE344+System_Mkt_NC!$G344:$AF344,Lamp_Mkt_Repl!$G54:$AF54+System_Mkt_NC!$G344:$AF344))))=0,0,SUMPRODUCT(IF($G$157:$AF$157&gt;=ROUND(IF((AC$157-Sys_Repl_Rate!AC126)&lt;Tech_Specs!$C18,Tech_Specs!$C18,(AC$157-Sys_Repl_Rate!AC126)),0),IF($G$157:$AF$157&lt;=AC$157,$G92:$AF92)),IF(Tech_Specs!$K18="lamp",System_Mkt_Repl!$F344:$AE344+System_Mkt_NC!$G344:$AF344,Lamp_Mkt_Repl!$G54:$AF54+System_Mkt_NC!$G344:$AF344))/SUM(IF($G$157:$AF$157&gt;=ROUND(IF((AC$157-Sys_Repl_Rate!AC126)&lt;Tech_Specs!$C18,Tech_Specs!$C18,(AC$157-Sys_Repl_Rate!AC126)),0),IF($G$157:$AF$157&lt;=AC$157,IF(Tech_Specs!$K18="lamp",System_Mkt_Repl!$F344:$AE344+System_Mkt_NC!$G344:$AF344,Lamp_Mkt_Repl!$G54:$AF54+System_Mkt_NC!$G344:$AF344))))))</f>
        <v>187.19275036137287</v>
      </c>
      <c r="AD168" s="373">
        <f t="array" ref="AD168">IF(AD$157=Misc_Inputs!$D$6,$G92,IF(SUM(IF($G$157:$AF$157&gt;=ROUND(IF((AD$157-Sys_Repl_Rate!AD126)&lt;Tech_Specs!$C18,Tech_Specs!$C18,(AD$157-Sys_Repl_Rate!AD126)),0),IF($G$157:$AF$157&lt;=AD$157,IF(Tech_Specs!$K18="lamp",System_Mkt_Repl!$F344:$AE344+System_Mkt_NC!$G344:$AF344,Lamp_Mkt_Repl!$G54:$AF54+System_Mkt_NC!$G344:$AF344))))=0,0,SUMPRODUCT(IF($G$157:$AF$157&gt;=ROUND(IF((AD$157-Sys_Repl_Rate!AD126)&lt;Tech_Specs!$C18,Tech_Specs!$C18,(AD$157-Sys_Repl_Rate!AD126)),0),IF($G$157:$AF$157&lt;=AD$157,$G92:$AF92)),IF(Tech_Specs!$K18="lamp",System_Mkt_Repl!$F344:$AE344+System_Mkt_NC!$G344:$AF344,Lamp_Mkt_Repl!$G54:$AF54+System_Mkt_NC!$G344:$AF344))/SUM(IF($G$157:$AF$157&gt;=ROUND(IF((AD$157-Sys_Repl_Rate!AD126)&lt;Tech_Specs!$C18,Tech_Specs!$C18,(AD$157-Sys_Repl_Rate!AD126)),0),IF($G$157:$AF$157&lt;=AD$157,IF(Tech_Specs!$K18="lamp",System_Mkt_Repl!$F344:$AE344+System_Mkt_NC!$G344:$AF344,Lamp_Mkt_Repl!$G54:$AF54+System_Mkt_NC!$G344:$AF344))))))</f>
        <v>188.09994402609942</v>
      </c>
      <c r="AE168" s="373">
        <f t="array" ref="AE168">IF(AE$157=Misc_Inputs!$D$6,$G92,IF(SUM(IF($G$157:$AF$157&gt;=ROUND(IF((AE$157-Sys_Repl_Rate!AE126)&lt;Tech_Specs!$C18,Tech_Specs!$C18,(AE$157-Sys_Repl_Rate!AE126)),0),IF($G$157:$AF$157&lt;=AE$157,IF(Tech_Specs!$K18="lamp",System_Mkt_Repl!$F344:$AE344+System_Mkt_NC!$G344:$AF344,Lamp_Mkt_Repl!$G54:$AF54+System_Mkt_NC!$G344:$AF344))))=0,0,SUMPRODUCT(IF($G$157:$AF$157&gt;=ROUND(IF((AE$157-Sys_Repl_Rate!AE126)&lt;Tech_Specs!$C18,Tech_Specs!$C18,(AE$157-Sys_Repl_Rate!AE126)),0),IF($G$157:$AF$157&lt;=AE$157,$G92:$AF92)),IF(Tech_Specs!$K18="lamp",System_Mkt_Repl!$F344:$AE344+System_Mkt_NC!$G344:$AF344,Lamp_Mkt_Repl!$G54:$AF54+System_Mkt_NC!$G344:$AF344))/SUM(IF($G$157:$AF$157&gt;=ROUND(IF((AE$157-Sys_Repl_Rate!AE126)&lt;Tech_Specs!$C18,Tech_Specs!$C18,(AE$157-Sys_Repl_Rate!AE126)),0),IF($G$157:$AF$157&lt;=AE$157,IF(Tech_Specs!$K18="lamp",System_Mkt_Repl!$F344:$AE344+System_Mkt_NC!$G344:$AF344,Lamp_Mkt_Repl!$G54:$AF54+System_Mkt_NC!$G344:$AF344))))))</f>
        <v>188.91213820520181</v>
      </c>
      <c r="AF168" s="373">
        <f t="array" ref="AF168">IF(AF$157=Misc_Inputs!$D$6,$G92,IF(SUM(IF($G$157:$AF$157&gt;=ROUND(IF((AF$157-Sys_Repl_Rate!AF126)&lt;Tech_Specs!$C18,Tech_Specs!$C18,(AF$157-Sys_Repl_Rate!AF126)),0),IF($G$157:$AF$157&lt;=AF$157,IF(Tech_Specs!$K18="lamp",System_Mkt_Repl!$F344:$AE344+System_Mkt_NC!$G344:$AF344,Lamp_Mkt_Repl!$G54:$AF54+System_Mkt_NC!$G344:$AF344))))=0,0,SUMPRODUCT(IF($G$157:$AF$157&gt;=ROUND(IF((AF$157-Sys_Repl_Rate!AF126)&lt;Tech_Specs!$C18,Tech_Specs!$C18,(AF$157-Sys_Repl_Rate!AF126)),0),IF($G$157:$AF$157&lt;=AF$157,$G92:$AF92)),IF(Tech_Specs!$K18="lamp",System_Mkt_Repl!$F344:$AE344+System_Mkt_NC!$G344:$AF344,Lamp_Mkt_Repl!$G54:$AF54+System_Mkt_NC!$G344:$AF344))/SUM(IF($G$157:$AF$157&gt;=ROUND(IF((AF$157-Sys_Repl_Rate!AF126)&lt;Tech_Specs!$C18,Tech_Specs!$C18,(AF$157-Sys_Repl_Rate!AF126)),0),IF($G$157:$AF$157&lt;=AF$157,IF(Tech_Specs!$K18="lamp",System_Mkt_Repl!$F344:$AE344+System_Mkt_NC!$G344:$AF344,Lamp_Mkt_Repl!$G54:$AF54+System_Mkt_NC!$G344:$AF344))))))</f>
        <v>189.64509962244895</v>
      </c>
    </row>
    <row r="169" spans="1:32" s="101" customFormat="1" ht="12.75" x14ac:dyDescent="0.2">
      <c r="A169" s="81"/>
      <c r="B169" s="81"/>
      <c r="C169" s="81"/>
      <c r="D169" s="550"/>
      <c r="E169" s="550"/>
      <c r="F169" s="550"/>
      <c r="G169" s="128"/>
      <c r="H169" s="128"/>
      <c r="I169" s="128"/>
      <c r="J169" s="128"/>
      <c r="K169" s="128"/>
      <c r="L169" s="128"/>
      <c r="M169" s="128"/>
      <c r="N169" s="128"/>
      <c r="O169" s="128"/>
      <c r="P169" s="128"/>
      <c r="Q169" s="128"/>
      <c r="R169" s="128"/>
      <c r="S169" s="128"/>
      <c r="T169" s="128"/>
      <c r="U169" s="128"/>
      <c r="V169" s="128"/>
      <c r="W169" s="128"/>
      <c r="X169" s="128"/>
      <c r="Y169" s="128"/>
      <c r="Z169" s="128"/>
      <c r="AA169" s="128"/>
      <c r="AB169" s="128"/>
      <c r="AC169" s="128"/>
      <c r="AD169" s="128"/>
      <c r="AE169" s="128"/>
      <c r="AF169" s="128"/>
    </row>
    <row r="170" spans="1:32" s="101" customFormat="1" ht="12.75" x14ac:dyDescent="0.2">
      <c r="A170" s="58" t="s">
        <v>36</v>
      </c>
      <c r="B170" s="57"/>
      <c r="C170" s="57"/>
      <c r="D170" s="501"/>
      <c r="E170" s="501"/>
      <c r="F170" s="501"/>
      <c r="G170" s="191"/>
      <c r="H170" s="57"/>
      <c r="I170" s="57"/>
      <c r="J170" s="57"/>
      <c r="K170" s="57"/>
      <c r="L170" s="57"/>
      <c r="M170" s="57"/>
      <c r="N170" s="57"/>
      <c r="O170" s="57"/>
      <c r="P170" s="57"/>
      <c r="Q170" s="57"/>
      <c r="R170" s="57"/>
      <c r="S170" s="57"/>
      <c r="T170" s="57"/>
      <c r="U170" s="57"/>
      <c r="V170" s="57"/>
      <c r="W170" s="57"/>
      <c r="X170" s="57"/>
      <c r="Y170" s="57"/>
      <c r="Z170" s="57"/>
      <c r="AA170" s="57"/>
      <c r="AB170" s="57"/>
      <c r="AC170" s="57"/>
      <c r="AD170" s="57"/>
      <c r="AE170" s="57"/>
      <c r="AF170" s="57"/>
    </row>
    <row r="171" spans="1:32" s="101" customFormat="1" ht="12.75" x14ac:dyDescent="0.2">
      <c r="A171" s="81"/>
      <c r="B171" s="81" t="s">
        <v>37</v>
      </c>
      <c r="C171" s="81"/>
      <c r="D171" s="550"/>
      <c r="E171" s="550"/>
      <c r="F171" s="550"/>
      <c r="G171" s="373">
        <f t="array" ref="G171">IF(G$157=Misc_Inputs!$D$6,$G95,IF(SUM(IF($G$157:$AF$157&gt;=ROUND(IF((G$157-Sys_Repl_Rate!G129)&lt;Tech_Specs!$C21,Tech_Specs!$C21,(G$157-Sys_Repl_Rate!G129)),0),IF($G$157:$AF$157&lt;=G$157,IF(Tech_Specs!$K21="lamp",System_Mkt_Repl!$F347:$AE347+System_Mkt_NC!$G347:$AF347,Lamp_Mkt_Repl!$G57:$AF57+System_Mkt_NC!$G347:$AF347))))=0,0,SUMPRODUCT(IF($G$157:$AF$157&gt;=ROUND(IF((G$157-Sys_Repl_Rate!G129)&lt;Tech_Specs!$C21,Tech_Specs!$C21,(G$157-Sys_Repl_Rate!G129)),0),IF($G$157:$AF$157&lt;=G$157,$G95:$AF95)),IF(Tech_Specs!$K21="lamp",System_Mkt_Repl!$F347:$AE347+System_Mkt_NC!$G347:$AF347,Lamp_Mkt_Repl!$G57:$AF57+System_Mkt_NC!$G347:$AF347))/SUM(IF($G$157:$AF$157&gt;=ROUND(IF((G$157-Sys_Repl_Rate!G129)&lt;Tech_Specs!$C21,Tech_Specs!$C21,(G$157-Sys_Repl_Rate!G129)),0),IF($G$157:$AF$157&lt;=G$157,IF(Tech_Specs!$K21="lamp",System_Mkt_Repl!$F347:$AE347+System_Mkt_NC!$G347:$AF347,Lamp_Mkt_Repl!$G57:$AF57+System_Mkt_NC!$G347:$AF347))))))</f>
        <v>85.675306027506153</v>
      </c>
      <c r="H171" s="373">
        <f t="array" ref="H171">IF(H$157=Misc_Inputs!$D$6,$G95,IF(SUM(IF($G$157:$AF$157&gt;=ROUND(IF((H$157-Sys_Repl_Rate!H129)&lt;Tech_Specs!$C21,Tech_Specs!$C21,(H$157-Sys_Repl_Rate!H129)),0),IF($G$157:$AF$157&lt;=H$157,IF(Tech_Specs!$K21="lamp",System_Mkt_Repl!$F347:$AE347+System_Mkt_NC!$G347:$AF347,Lamp_Mkt_Repl!$G57:$AF57+System_Mkt_NC!$G347:$AF347))))=0,0,SUMPRODUCT(IF($G$157:$AF$157&gt;=ROUND(IF((H$157-Sys_Repl_Rate!H129)&lt;Tech_Specs!$C21,Tech_Specs!$C21,(H$157-Sys_Repl_Rate!H129)),0),IF($G$157:$AF$157&lt;=H$157,$G95:$AF95)),IF(Tech_Specs!$K21="lamp",System_Mkt_Repl!$F347:$AE347+System_Mkt_NC!$G347:$AF347,Lamp_Mkt_Repl!$G57:$AF57+System_Mkt_NC!$G347:$AF347))/SUM(IF($G$157:$AF$157&gt;=ROUND(IF((H$157-Sys_Repl_Rate!H129)&lt;Tech_Specs!$C21,Tech_Specs!$C21,(H$157-Sys_Repl_Rate!H129)),0),IF($G$157:$AF$157&lt;=H$157,IF(Tech_Specs!$K21="lamp",System_Mkt_Repl!$F347:$AE347+System_Mkt_NC!$G347:$AF347,Lamp_Mkt_Repl!$G57:$AF57+System_Mkt_NC!$G347:$AF347))))))</f>
        <v>85.675306027506153</v>
      </c>
      <c r="I171" s="373">
        <f t="array" ref="I171">IF(I$157=Misc_Inputs!$D$6,$G95,IF(SUM(IF($G$157:$AF$157&gt;=ROUND(IF((I$157-Sys_Repl_Rate!I129)&lt;Tech_Specs!$C21,Tech_Specs!$C21,(I$157-Sys_Repl_Rate!I129)),0),IF($G$157:$AF$157&lt;=I$157,IF(Tech_Specs!$K21="lamp",System_Mkt_Repl!$F347:$AE347+System_Mkt_NC!$G347:$AF347,Lamp_Mkt_Repl!$G57:$AF57+System_Mkt_NC!$G347:$AF347))))=0,0,SUMPRODUCT(IF($G$157:$AF$157&gt;=ROUND(IF((I$157-Sys_Repl_Rate!I129)&lt;Tech_Specs!$C21,Tech_Specs!$C21,(I$157-Sys_Repl_Rate!I129)),0),IF($G$157:$AF$157&lt;=I$157,$G95:$AF95)),IF(Tech_Specs!$K21="lamp",System_Mkt_Repl!$F347:$AE347+System_Mkt_NC!$G347:$AF347,Lamp_Mkt_Repl!$G57:$AF57+System_Mkt_NC!$G347:$AF347))/SUM(IF($G$157:$AF$157&gt;=ROUND(IF((I$157-Sys_Repl_Rate!I129)&lt;Tech_Specs!$C21,Tech_Specs!$C21,(I$157-Sys_Repl_Rate!I129)),0),IF($G$157:$AF$157&lt;=I$157,IF(Tech_Specs!$K21="lamp",System_Mkt_Repl!$F347:$AE347+System_Mkt_NC!$G347:$AF347,Lamp_Mkt_Repl!$G57:$AF57+System_Mkt_NC!$G347:$AF347))))))</f>
        <v>85.675306027506153</v>
      </c>
      <c r="J171" s="373">
        <f t="array" ref="J171">IF(J$157=Misc_Inputs!$D$6,$G95,IF(SUM(IF($G$157:$AF$157&gt;=ROUND(IF((J$157-Sys_Repl_Rate!J129)&lt;Tech_Specs!$C21,Tech_Specs!$C21,(J$157-Sys_Repl_Rate!J129)),0),IF($G$157:$AF$157&lt;=J$157,IF(Tech_Specs!$K21="lamp",System_Mkt_Repl!$F347:$AE347+System_Mkt_NC!$G347:$AF347,Lamp_Mkt_Repl!$G57:$AF57+System_Mkt_NC!$G347:$AF347))))=0,0,SUMPRODUCT(IF($G$157:$AF$157&gt;=ROUND(IF((J$157-Sys_Repl_Rate!J129)&lt;Tech_Specs!$C21,Tech_Specs!$C21,(J$157-Sys_Repl_Rate!J129)),0),IF($G$157:$AF$157&lt;=J$157,$G95:$AF95)),IF(Tech_Specs!$K21="lamp",System_Mkt_Repl!$F347:$AE347+System_Mkt_NC!$G347:$AF347,Lamp_Mkt_Repl!$G57:$AF57+System_Mkt_NC!$G347:$AF347))/SUM(IF($G$157:$AF$157&gt;=ROUND(IF((J$157-Sys_Repl_Rate!J129)&lt;Tech_Specs!$C21,Tech_Specs!$C21,(J$157-Sys_Repl_Rate!J129)),0),IF($G$157:$AF$157&lt;=J$157,IF(Tech_Specs!$K21="lamp",System_Mkt_Repl!$F347:$AE347+System_Mkt_NC!$G347:$AF347,Lamp_Mkt_Repl!$G57:$AF57+System_Mkt_NC!$G347:$AF347))))))</f>
        <v>85.675306027506167</v>
      </c>
      <c r="K171" s="373">
        <f t="array" ref="K171">IF(K$157=Misc_Inputs!$D$6,$G95,IF(SUM(IF($G$157:$AF$157&gt;=ROUND(IF((K$157-Sys_Repl_Rate!K129)&lt;Tech_Specs!$C21,Tech_Specs!$C21,(K$157-Sys_Repl_Rate!K129)),0),IF($G$157:$AF$157&lt;=K$157,IF(Tech_Specs!$K21="lamp",System_Mkt_Repl!$F347:$AE347+System_Mkt_NC!$G347:$AF347,Lamp_Mkt_Repl!$G57:$AF57+System_Mkt_NC!$G347:$AF347))))=0,0,SUMPRODUCT(IF($G$157:$AF$157&gt;=ROUND(IF((K$157-Sys_Repl_Rate!K129)&lt;Tech_Specs!$C21,Tech_Specs!$C21,(K$157-Sys_Repl_Rate!K129)),0),IF($G$157:$AF$157&lt;=K$157,$G95:$AF95)),IF(Tech_Specs!$K21="lamp",System_Mkt_Repl!$F347:$AE347+System_Mkt_NC!$G347:$AF347,Lamp_Mkt_Repl!$G57:$AF57+System_Mkt_NC!$G347:$AF347))/SUM(IF($G$157:$AF$157&gt;=ROUND(IF((K$157-Sys_Repl_Rate!K129)&lt;Tech_Specs!$C21,Tech_Specs!$C21,(K$157-Sys_Repl_Rate!K129)),0),IF($G$157:$AF$157&lt;=K$157,IF(Tech_Specs!$K21="lamp",System_Mkt_Repl!$F347:$AE347+System_Mkt_NC!$G347:$AF347,Lamp_Mkt_Repl!$G57:$AF57+System_Mkt_NC!$G347:$AF347))))))</f>
        <v>85.675306027506167</v>
      </c>
      <c r="L171" s="373">
        <f t="array" ref="L171">IF(L$157=Misc_Inputs!$D$6,$G95,IF(SUM(IF($G$157:$AF$157&gt;=ROUND(IF((L$157-Sys_Repl_Rate!L129)&lt;Tech_Specs!$C21,Tech_Specs!$C21,(L$157-Sys_Repl_Rate!L129)),0),IF($G$157:$AF$157&lt;=L$157,IF(Tech_Specs!$K21="lamp",System_Mkt_Repl!$F347:$AE347+System_Mkt_NC!$G347:$AF347,Lamp_Mkt_Repl!$G57:$AF57+System_Mkt_NC!$G347:$AF347))))=0,0,SUMPRODUCT(IF($G$157:$AF$157&gt;=ROUND(IF((L$157-Sys_Repl_Rate!L129)&lt;Tech_Specs!$C21,Tech_Specs!$C21,(L$157-Sys_Repl_Rate!L129)),0),IF($G$157:$AF$157&lt;=L$157,$G95:$AF95)),IF(Tech_Specs!$K21="lamp",System_Mkt_Repl!$F347:$AE347+System_Mkt_NC!$G347:$AF347,Lamp_Mkt_Repl!$G57:$AF57+System_Mkt_NC!$G347:$AF347))/SUM(IF($G$157:$AF$157&gt;=ROUND(IF((L$157-Sys_Repl_Rate!L129)&lt;Tech_Specs!$C21,Tech_Specs!$C21,(L$157-Sys_Repl_Rate!L129)),0),IF($G$157:$AF$157&lt;=L$157,IF(Tech_Specs!$K21="lamp",System_Mkt_Repl!$F347:$AE347+System_Mkt_NC!$G347:$AF347,Lamp_Mkt_Repl!$G57:$AF57+System_Mkt_NC!$G347:$AF347))))))</f>
        <v>85.675306027506167</v>
      </c>
      <c r="M171" s="373">
        <f t="array" ref="M171">IF(M$157=Misc_Inputs!$D$6,$G95,IF(SUM(IF($G$157:$AF$157&gt;=ROUND(IF((M$157-Sys_Repl_Rate!M129)&lt;Tech_Specs!$C21,Tech_Specs!$C21,(M$157-Sys_Repl_Rate!M129)),0),IF($G$157:$AF$157&lt;=M$157,IF(Tech_Specs!$K21="lamp",System_Mkt_Repl!$F347:$AE347+System_Mkt_NC!$G347:$AF347,Lamp_Mkt_Repl!$G57:$AF57+System_Mkt_NC!$G347:$AF347))))=0,0,SUMPRODUCT(IF($G$157:$AF$157&gt;=ROUND(IF((M$157-Sys_Repl_Rate!M129)&lt;Tech_Specs!$C21,Tech_Specs!$C21,(M$157-Sys_Repl_Rate!M129)),0),IF($G$157:$AF$157&lt;=M$157,$G95:$AF95)),IF(Tech_Specs!$K21="lamp",System_Mkt_Repl!$F347:$AE347+System_Mkt_NC!$G347:$AF347,Lamp_Mkt_Repl!$G57:$AF57+System_Mkt_NC!$G347:$AF347))/SUM(IF($G$157:$AF$157&gt;=ROUND(IF((M$157-Sys_Repl_Rate!M129)&lt;Tech_Specs!$C21,Tech_Specs!$C21,(M$157-Sys_Repl_Rate!M129)),0),IF($G$157:$AF$157&lt;=M$157,IF(Tech_Specs!$K21="lamp",System_Mkt_Repl!$F347:$AE347+System_Mkt_NC!$G347:$AF347,Lamp_Mkt_Repl!$G57:$AF57+System_Mkt_NC!$G347:$AF347))))))</f>
        <v>85.675306027506167</v>
      </c>
      <c r="N171" s="373">
        <f t="array" ref="N171">IF(N$157=Misc_Inputs!$D$6,$G95,IF(SUM(IF($G$157:$AF$157&gt;=ROUND(IF((N$157-Sys_Repl_Rate!N129)&lt;Tech_Specs!$C21,Tech_Specs!$C21,(N$157-Sys_Repl_Rate!N129)),0),IF($G$157:$AF$157&lt;=N$157,IF(Tech_Specs!$K21="lamp",System_Mkt_Repl!$F347:$AE347+System_Mkt_NC!$G347:$AF347,Lamp_Mkt_Repl!$G57:$AF57+System_Mkt_NC!$G347:$AF347))))=0,0,SUMPRODUCT(IF($G$157:$AF$157&gt;=ROUND(IF((N$157-Sys_Repl_Rate!N129)&lt;Tech_Specs!$C21,Tech_Specs!$C21,(N$157-Sys_Repl_Rate!N129)),0),IF($G$157:$AF$157&lt;=N$157,$G95:$AF95)),IF(Tech_Specs!$K21="lamp",System_Mkt_Repl!$F347:$AE347+System_Mkt_NC!$G347:$AF347,Lamp_Mkt_Repl!$G57:$AF57+System_Mkt_NC!$G347:$AF347))/SUM(IF($G$157:$AF$157&gt;=ROUND(IF((N$157-Sys_Repl_Rate!N129)&lt;Tech_Specs!$C21,Tech_Specs!$C21,(N$157-Sys_Repl_Rate!N129)),0),IF($G$157:$AF$157&lt;=N$157,IF(Tech_Specs!$K21="lamp",System_Mkt_Repl!$F347:$AE347+System_Mkt_NC!$G347:$AF347,Lamp_Mkt_Repl!$G57:$AF57+System_Mkt_NC!$G347:$AF347))))))</f>
        <v>85.675306027506167</v>
      </c>
      <c r="O171" s="373">
        <f t="array" ref="O171">IF(O$157=Misc_Inputs!$D$6,$G95,IF(SUM(IF($G$157:$AF$157&gt;=ROUND(IF((O$157-Sys_Repl_Rate!O129)&lt;Tech_Specs!$C21,Tech_Specs!$C21,(O$157-Sys_Repl_Rate!O129)),0),IF($G$157:$AF$157&lt;=O$157,IF(Tech_Specs!$K21="lamp",System_Mkt_Repl!$F347:$AE347+System_Mkt_NC!$G347:$AF347,Lamp_Mkt_Repl!$G57:$AF57+System_Mkt_NC!$G347:$AF347))))=0,0,SUMPRODUCT(IF($G$157:$AF$157&gt;=ROUND(IF((O$157-Sys_Repl_Rate!O129)&lt;Tech_Specs!$C21,Tech_Specs!$C21,(O$157-Sys_Repl_Rate!O129)),0),IF($G$157:$AF$157&lt;=O$157,$G95:$AF95)),IF(Tech_Specs!$K21="lamp",System_Mkt_Repl!$F347:$AE347+System_Mkt_NC!$G347:$AF347,Lamp_Mkt_Repl!$G57:$AF57+System_Mkt_NC!$G347:$AF347))/SUM(IF($G$157:$AF$157&gt;=ROUND(IF((O$157-Sys_Repl_Rate!O129)&lt;Tech_Specs!$C21,Tech_Specs!$C21,(O$157-Sys_Repl_Rate!O129)),0),IF($G$157:$AF$157&lt;=O$157,IF(Tech_Specs!$K21="lamp",System_Mkt_Repl!$F347:$AE347+System_Mkt_NC!$G347:$AF347,Lamp_Mkt_Repl!$G57:$AF57+System_Mkt_NC!$G347:$AF347))))))</f>
        <v>85.675306027506167</v>
      </c>
      <c r="P171" s="373">
        <f t="array" ref="P171">IF(P$157=Misc_Inputs!$D$6,$G95,IF(SUM(IF($G$157:$AF$157&gt;=ROUND(IF((P$157-Sys_Repl_Rate!P129)&lt;Tech_Specs!$C21,Tech_Specs!$C21,(P$157-Sys_Repl_Rate!P129)),0),IF($G$157:$AF$157&lt;=P$157,IF(Tech_Specs!$K21="lamp",System_Mkt_Repl!$F347:$AE347+System_Mkt_NC!$G347:$AF347,Lamp_Mkt_Repl!$G57:$AF57+System_Mkt_NC!$G347:$AF347))))=0,0,SUMPRODUCT(IF($G$157:$AF$157&gt;=ROUND(IF((P$157-Sys_Repl_Rate!P129)&lt;Tech_Specs!$C21,Tech_Specs!$C21,(P$157-Sys_Repl_Rate!P129)),0),IF($G$157:$AF$157&lt;=P$157,$G95:$AF95)),IF(Tech_Specs!$K21="lamp",System_Mkt_Repl!$F347:$AE347+System_Mkt_NC!$G347:$AF347,Lamp_Mkt_Repl!$G57:$AF57+System_Mkt_NC!$G347:$AF347))/SUM(IF($G$157:$AF$157&gt;=ROUND(IF((P$157-Sys_Repl_Rate!P129)&lt;Tech_Specs!$C21,Tech_Specs!$C21,(P$157-Sys_Repl_Rate!P129)),0),IF($G$157:$AF$157&lt;=P$157,IF(Tech_Specs!$K21="lamp",System_Mkt_Repl!$F347:$AE347+System_Mkt_NC!$G347:$AF347,Lamp_Mkt_Repl!$G57:$AF57+System_Mkt_NC!$G347:$AF347))))))</f>
        <v>85.675306027506167</v>
      </c>
      <c r="Q171" s="373">
        <f t="array" ref="Q171">IF(Q$157=Misc_Inputs!$D$6,$G95,IF(SUM(IF($G$157:$AF$157&gt;=ROUND(IF((Q$157-Sys_Repl_Rate!Q129)&lt;Tech_Specs!$C21,Tech_Specs!$C21,(Q$157-Sys_Repl_Rate!Q129)),0),IF($G$157:$AF$157&lt;=Q$157,IF(Tech_Specs!$K21="lamp",System_Mkt_Repl!$F347:$AE347+System_Mkt_NC!$G347:$AF347,Lamp_Mkt_Repl!$G57:$AF57+System_Mkt_NC!$G347:$AF347))))=0,0,SUMPRODUCT(IF($G$157:$AF$157&gt;=ROUND(IF((Q$157-Sys_Repl_Rate!Q129)&lt;Tech_Specs!$C21,Tech_Specs!$C21,(Q$157-Sys_Repl_Rate!Q129)),0),IF($G$157:$AF$157&lt;=Q$157,$G95:$AF95)),IF(Tech_Specs!$K21="lamp",System_Mkt_Repl!$F347:$AE347+System_Mkt_NC!$G347:$AF347,Lamp_Mkt_Repl!$G57:$AF57+System_Mkt_NC!$G347:$AF347))/SUM(IF($G$157:$AF$157&gt;=ROUND(IF((Q$157-Sys_Repl_Rate!Q129)&lt;Tech_Specs!$C21,Tech_Specs!$C21,(Q$157-Sys_Repl_Rate!Q129)),0),IF($G$157:$AF$157&lt;=Q$157,IF(Tech_Specs!$K21="lamp",System_Mkt_Repl!$F347:$AE347+System_Mkt_NC!$G347:$AF347,Lamp_Mkt_Repl!$G57:$AF57+System_Mkt_NC!$G347:$AF347))))))</f>
        <v>85.675306027506181</v>
      </c>
      <c r="R171" s="373">
        <f t="array" ref="R171">IF(R$157=Misc_Inputs!$D$6,$G95,IF(SUM(IF($G$157:$AF$157&gt;=ROUND(IF((R$157-Sys_Repl_Rate!R129)&lt;Tech_Specs!$C21,Tech_Specs!$C21,(R$157-Sys_Repl_Rate!R129)),0),IF($G$157:$AF$157&lt;=R$157,IF(Tech_Specs!$K21="lamp",System_Mkt_Repl!$F347:$AE347+System_Mkt_NC!$G347:$AF347,Lamp_Mkt_Repl!$G57:$AF57+System_Mkt_NC!$G347:$AF347))))=0,0,SUMPRODUCT(IF($G$157:$AF$157&gt;=ROUND(IF((R$157-Sys_Repl_Rate!R129)&lt;Tech_Specs!$C21,Tech_Specs!$C21,(R$157-Sys_Repl_Rate!R129)),0),IF($G$157:$AF$157&lt;=R$157,$G95:$AF95)),IF(Tech_Specs!$K21="lamp",System_Mkt_Repl!$F347:$AE347+System_Mkt_NC!$G347:$AF347,Lamp_Mkt_Repl!$G57:$AF57+System_Mkt_NC!$G347:$AF347))/SUM(IF($G$157:$AF$157&gt;=ROUND(IF((R$157-Sys_Repl_Rate!R129)&lt;Tech_Specs!$C21,Tech_Specs!$C21,(R$157-Sys_Repl_Rate!R129)),0),IF($G$157:$AF$157&lt;=R$157,IF(Tech_Specs!$K21="lamp",System_Mkt_Repl!$F347:$AE347+System_Mkt_NC!$G347:$AF347,Lamp_Mkt_Repl!$G57:$AF57+System_Mkt_NC!$G347:$AF347))))))</f>
        <v>85.675306027506181</v>
      </c>
      <c r="S171" s="373">
        <f t="array" ref="S171">IF(S$157=Misc_Inputs!$D$6,$G95,IF(SUM(IF($G$157:$AF$157&gt;=ROUND(IF((S$157-Sys_Repl_Rate!S129)&lt;Tech_Specs!$C21,Tech_Specs!$C21,(S$157-Sys_Repl_Rate!S129)),0),IF($G$157:$AF$157&lt;=S$157,IF(Tech_Specs!$K21="lamp",System_Mkt_Repl!$F347:$AE347+System_Mkt_NC!$G347:$AF347,Lamp_Mkt_Repl!$G57:$AF57+System_Mkt_NC!$G347:$AF347))))=0,0,SUMPRODUCT(IF($G$157:$AF$157&gt;=ROUND(IF((S$157-Sys_Repl_Rate!S129)&lt;Tech_Specs!$C21,Tech_Specs!$C21,(S$157-Sys_Repl_Rate!S129)),0),IF($G$157:$AF$157&lt;=S$157,$G95:$AF95)),IF(Tech_Specs!$K21="lamp",System_Mkt_Repl!$F347:$AE347+System_Mkt_NC!$G347:$AF347,Lamp_Mkt_Repl!$G57:$AF57+System_Mkt_NC!$G347:$AF347))/SUM(IF($G$157:$AF$157&gt;=ROUND(IF((S$157-Sys_Repl_Rate!S129)&lt;Tech_Specs!$C21,Tech_Specs!$C21,(S$157-Sys_Repl_Rate!S129)),0),IF($G$157:$AF$157&lt;=S$157,IF(Tech_Specs!$K21="lamp",System_Mkt_Repl!$F347:$AE347+System_Mkt_NC!$G347:$AF347,Lamp_Mkt_Repl!$G57:$AF57+System_Mkt_NC!$G347:$AF347))))))</f>
        <v>85.675306027506167</v>
      </c>
      <c r="T171" s="373">
        <f t="array" ref="T171">IF(T$157=Misc_Inputs!$D$6,$G95,IF(SUM(IF($G$157:$AF$157&gt;=ROUND(IF((T$157-Sys_Repl_Rate!T129)&lt;Tech_Specs!$C21,Tech_Specs!$C21,(T$157-Sys_Repl_Rate!T129)),0),IF($G$157:$AF$157&lt;=T$157,IF(Tech_Specs!$K21="lamp",System_Mkt_Repl!$F347:$AE347+System_Mkt_NC!$G347:$AF347,Lamp_Mkt_Repl!$G57:$AF57+System_Mkt_NC!$G347:$AF347))))=0,0,SUMPRODUCT(IF($G$157:$AF$157&gt;=ROUND(IF((T$157-Sys_Repl_Rate!T129)&lt;Tech_Specs!$C21,Tech_Specs!$C21,(T$157-Sys_Repl_Rate!T129)),0),IF($G$157:$AF$157&lt;=T$157,$G95:$AF95)),IF(Tech_Specs!$K21="lamp",System_Mkt_Repl!$F347:$AE347+System_Mkt_NC!$G347:$AF347,Lamp_Mkt_Repl!$G57:$AF57+System_Mkt_NC!$G347:$AF347))/SUM(IF($G$157:$AF$157&gt;=ROUND(IF((T$157-Sys_Repl_Rate!T129)&lt;Tech_Specs!$C21,Tech_Specs!$C21,(T$157-Sys_Repl_Rate!T129)),0),IF($G$157:$AF$157&lt;=T$157,IF(Tech_Specs!$K21="lamp",System_Mkt_Repl!$F347:$AE347+System_Mkt_NC!$G347:$AF347,Lamp_Mkt_Repl!$G57:$AF57+System_Mkt_NC!$G347:$AF347))))))</f>
        <v>85.675306027506167</v>
      </c>
      <c r="U171" s="373">
        <f t="array" ref="U171">IF(U$157=Misc_Inputs!$D$6,$G95,IF(SUM(IF($G$157:$AF$157&gt;=ROUND(IF((U$157-Sys_Repl_Rate!U129)&lt;Tech_Specs!$C21,Tech_Specs!$C21,(U$157-Sys_Repl_Rate!U129)),0),IF($G$157:$AF$157&lt;=U$157,IF(Tech_Specs!$K21="lamp",System_Mkt_Repl!$F347:$AE347+System_Mkt_NC!$G347:$AF347,Lamp_Mkt_Repl!$G57:$AF57+System_Mkt_NC!$G347:$AF347))))=0,0,SUMPRODUCT(IF($G$157:$AF$157&gt;=ROUND(IF((U$157-Sys_Repl_Rate!U129)&lt;Tech_Specs!$C21,Tech_Specs!$C21,(U$157-Sys_Repl_Rate!U129)),0),IF($G$157:$AF$157&lt;=U$157,$G95:$AF95)),IF(Tech_Specs!$K21="lamp",System_Mkt_Repl!$F347:$AE347+System_Mkt_NC!$G347:$AF347,Lamp_Mkt_Repl!$G57:$AF57+System_Mkt_NC!$G347:$AF347))/SUM(IF($G$157:$AF$157&gt;=ROUND(IF((U$157-Sys_Repl_Rate!U129)&lt;Tech_Specs!$C21,Tech_Specs!$C21,(U$157-Sys_Repl_Rate!U129)),0),IF($G$157:$AF$157&lt;=U$157,IF(Tech_Specs!$K21="lamp",System_Mkt_Repl!$F347:$AE347+System_Mkt_NC!$G347:$AF347,Lamp_Mkt_Repl!$G57:$AF57+System_Mkt_NC!$G347:$AF347))))))</f>
        <v>85.675306027506181</v>
      </c>
      <c r="V171" s="373">
        <f t="array" ref="V171">IF(V$157=Misc_Inputs!$D$6,$G95,IF(SUM(IF($G$157:$AF$157&gt;=ROUND(IF((V$157-Sys_Repl_Rate!V129)&lt;Tech_Specs!$C21,Tech_Specs!$C21,(V$157-Sys_Repl_Rate!V129)),0),IF($G$157:$AF$157&lt;=V$157,IF(Tech_Specs!$K21="lamp",System_Mkt_Repl!$F347:$AE347+System_Mkt_NC!$G347:$AF347,Lamp_Mkt_Repl!$G57:$AF57+System_Mkt_NC!$G347:$AF347))))=0,0,SUMPRODUCT(IF($G$157:$AF$157&gt;=ROUND(IF((V$157-Sys_Repl_Rate!V129)&lt;Tech_Specs!$C21,Tech_Specs!$C21,(V$157-Sys_Repl_Rate!V129)),0),IF($G$157:$AF$157&lt;=V$157,$G95:$AF95)),IF(Tech_Specs!$K21="lamp",System_Mkt_Repl!$F347:$AE347+System_Mkt_NC!$G347:$AF347,Lamp_Mkt_Repl!$G57:$AF57+System_Mkt_NC!$G347:$AF347))/SUM(IF($G$157:$AF$157&gt;=ROUND(IF((V$157-Sys_Repl_Rate!V129)&lt;Tech_Specs!$C21,Tech_Specs!$C21,(V$157-Sys_Repl_Rate!V129)),0),IF($G$157:$AF$157&lt;=V$157,IF(Tech_Specs!$K21="lamp",System_Mkt_Repl!$F347:$AE347+System_Mkt_NC!$G347:$AF347,Lamp_Mkt_Repl!$G57:$AF57+System_Mkt_NC!$G347:$AF347))))))</f>
        <v>85.675306027506181</v>
      </c>
      <c r="W171" s="373">
        <f t="array" ref="W171">IF(W$157=Misc_Inputs!$D$6,$G95,IF(SUM(IF($G$157:$AF$157&gt;=ROUND(IF((W$157-Sys_Repl_Rate!W129)&lt;Tech_Specs!$C21,Tech_Specs!$C21,(W$157-Sys_Repl_Rate!W129)),0),IF($G$157:$AF$157&lt;=W$157,IF(Tech_Specs!$K21="lamp",System_Mkt_Repl!$F347:$AE347+System_Mkt_NC!$G347:$AF347,Lamp_Mkt_Repl!$G57:$AF57+System_Mkt_NC!$G347:$AF347))))=0,0,SUMPRODUCT(IF($G$157:$AF$157&gt;=ROUND(IF((W$157-Sys_Repl_Rate!W129)&lt;Tech_Specs!$C21,Tech_Specs!$C21,(W$157-Sys_Repl_Rate!W129)),0),IF($G$157:$AF$157&lt;=W$157,$G95:$AF95)),IF(Tech_Specs!$K21="lamp",System_Mkt_Repl!$F347:$AE347+System_Mkt_NC!$G347:$AF347,Lamp_Mkt_Repl!$G57:$AF57+System_Mkt_NC!$G347:$AF347))/SUM(IF($G$157:$AF$157&gt;=ROUND(IF((W$157-Sys_Repl_Rate!W129)&lt;Tech_Specs!$C21,Tech_Specs!$C21,(W$157-Sys_Repl_Rate!W129)),0),IF($G$157:$AF$157&lt;=W$157,IF(Tech_Specs!$K21="lamp",System_Mkt_Repl!$F347:$AE347+System_Mkt_NC!$G347:$AF347,Lamp_Mkt_Repl!$G57:$AF57+System_Mkt_NC!$G347:$AF347))))))</f>
        <v>85.675306027506181</v>
      </c>
      <c r="X171" s="373">
        <f t="array" ref="X171">IF(X$157=Misc_Inputs!$D$6,$G95,IF(SUM(IF($G$157:$AF$157&gt;=ROUND(IF((X$157-Sys_Repl_Rate!X129)&lt;Tech_Specs!$C21,Tech_Specs!$C21,(X$157-Sys_Repl_Rate!X129)),0),IF($G$157:$AF$157&lt;=X$157,IF(Tech_Specs!$K21="lamp",System_Mkt_Repl!$F347:$AE347+System_Mkt_NC!$G347:$AF347,Lamp_Mkt_Repl!$G57:$AF57+System_Mkt_NC!$G347:$AF347))))=0,0,SUMPRODUCT(IF($G$157:$AF$157&gt;=ROUND(IF((X$157-Sys_Repl_Rate!X129)&lt;Tech_Specs!$C21,Tech_Specs!$C21,(X$157-Sys_Repl_Rate!X129)),0),IF($G$157:$AF$157&lt;=X$157,$G95:$AF95)),IF(Tech_Specs!$K21="lamp",System_Mkt_Repl!$F347:$AE347+System_Mkt_NC!$G347:$AF347,Lamp_Mkt_Repl!$G57:$AF57+System_Mkt_NC!$G347:$AF347))/SUM(IF($G$157:$AF$157&gt;=ROUND(IF((X$157-Sys_Repl_Rate!X129)&lt;Tech_Specs!$C21,Tech_Specs!$C21,(X$157-Sys_Repl_Rate!X129)),0),IF($G$157:$AF$157&lt;=X$157,IF(Tech_Specs!$K21="lamp",System_Mkt_Repl!$F347:$AE347+System_Mkt_NC!$G347:$AF347,Lamp_Mkt_Repl!$G57:$AF57+System_Mkt_NC!$G347:$AF347))))))</f>
        <v>85.675306027506167</v>
      </c>
      <c r="Y171" s="373">
        <f t="array" ref="Y171">IF(Y$157=Misc_Inputs!$D$6,$G95,IF(SUM(IF($G$157:$AF$157&gt;=ROUND(IF((Y$157-Sys_Repl_Rate!Y129)&lt;Tech_Specs!$C21,Tech_Specs!$C21,(Y$157-Sys_Repl_Rate!Y129)),0),IF($G$157:$AF$157&lt;=Y$157,IF(Tech_Specs!$K21="lamp",System_Mkt_Repl!$F347:$AE347+System_Mkt_NC!$G347:$AF347,Lamp_Mkt_Repl!$G57:$AF57+System_Mkt_NC!$G347:$AF347))))=0,0,SUMPRODUCT(IF($G$157:$AF$157&gt;=ROUND(IF((Y$157-Sys_Repl_Rate!Y129)&lt;Tech_Specs!$C21,Tech_Specs!$C21,(Y$157-Sys_Repl_Rate!Y129)),0),IF($G$157:$AF$157&lt;=Y$157,$G95:$AF95)),IF(Tech_Specs!$K21="lamp",System_Mkt_Repl!$F347:$AE347+System_Mkt_NC!$G347:$AF347,Lamp_Mkt_Repl!$G57:$AF57+System_Mkt_NC!$G347:$AF347))/SUM(IF($G$157:$AF$157&gt;=ROUND(IF((Y$157-Sys_Repl_Rate!Y129)&lt;Tech_Specs!$C21,Tech_Specs!$C21,(Y$157-Sys_Repl_Rate!Y129)),0),IF($G$157:$AF$157&lt;=Y$157,IF(Tech_Specs!$K21="lamp",System_Mkt_Repl!$F347:$AE347+System_Mkt_NC!$G347:$AF347,Lamp_Mkt_Repl!$G57:$AF57+System_Mkt_NC!$G347:$AF347))))))</f>
        <v>85.675306027506181</v>
      </c>
      <c r="Z171" s="373">
        <f t="array" ref="Z171">IF(Z$157=Misc_Inputs!$D$6,$G95,IF(SUM(IF($G$157:$AF$157&gt;=ROUND(IF((Z$157-Sys_Repl_Rate!Z129)&lt;Tech_Specs!$C21,Tech_Specs!$C21,(Z$157-Sys_Repl_Rate!Z129)),0),IF($G$157:$AF$157&lt;=Z$157,IF(Tech_Specs!$K21="lamp",System_Mkt_Repl!$F347:$AE347+System_Mkt_NC!$G347:$AF347,Lamp_Mkt_Repl!$G57:$AF57+System_Mkt_NC!$G347:$AF347))))=0,0,SUMPRODUCT(IF($G$157:$AF$157&gt;=ROUND(IF((Z$157-Sys_Repl_Rate!Z129)&lt;Tech_Specs!$C21,Tech_Specs!$C21,(Z$157-Sys_Repl_Rate!Z129)),0),IF($G$157:$AF$157&lt;=Z$157,$G95:$AF95)),IF(Tech_Specs!$K21="lamp",System_Mkt_Repl!$F347:$AE347+System_Mkt_NC!$G347:$AF347,Lamp_Mkt_Repl!$G57:$AF57+System_Mkt_NC!$G347:$AF347))/SUM(IF($G$157:$AF$157&gt;=ROUND(IF((Z$157-Sys_Repl_Rate!Z129)&lt;Tech_Specs!$C21,Tech_Specs!$C21,(Z$157-Sys_Repl_Rate!Z129)),0),IF($G$157:$AF$157&lt;=Z$157,IF(Tech_Specs!$K21="lamp",System_Mkt_Repl!$F347:$AE347+System_Mkt_NC!$G347:$AF347,Lamp_Mkt_Repl!$G57:$AF57+System_Mkt_NC!$G347:$AF347))))))</f>
        <v>85.675306027506181</v>
      </c>
      <c r="AA171" s="373">
        <f t="array" ref="AA171">IF(AA$157=Misc_Inputs!$D$6,$G95,IF(SUM(IF($G$157:$AF$157&gt;=ROUND(IF((AA$157-Sys_Repl_Rate!AA129)&lt;Tech_Specs!$C21,Tech_Specs!$C21,(AA$157-Sys_Repl_Rate!AA129)),0),IF($G$157:$AF$157&lt;=AA$157,IF(Tech_Specs!$K21="lamp",System_Mkt_Repl!$F347:$AE347+System_Mkt_NC!$G347:$AF347,Lamp_Mkt_Repl!$G57:$AF57+System_Mkt_NC!$G347:$AF347))))=0,0,SUMPRODUCT(IF($G$157:$AF$157&gt;=ROUND(IF((AA$157-Sys_Repl_Rate!AA129)&lt;Tech_Specs!$C21,Tech_Specs!$C21,(AA$157-Sys_Repl_Rate!AA129)),0),IF($G$157:$AF$157&lt;=AA$157,$G95:$AF95)),IF(Tech_Specs!$K21="lamp",System_Mkt_Repl!$F347:$AE347+System_Mkt_NC!$G347:$AF347,Lamp_Mkt_Repl!$G57:$AF57+System_Mkt_NC!$G347:$AF347))/SUM(IF($G$157:$AF$157&gt;=ROUND(IF((AA$157-Sys_Repl_Rate!AA129)&lt;Tech_Specs!$C21,Tech_Specs!$C21,(AA$157-Sys_Repl_Rate!AA129)),0),IF($G$157:$AF$157&lt;=AA$157,IF(Tech_Specs!$K21="lamp",System_Mkt_Repl!$F347:$AE347+System_Mkt_NC!$G347:$AF347,Lamp_Mkt_Repl!$G57:$AF57+System_Mkt_NC!$G347:$AF347))))))</f>
        <v>85.675306027506167</v>
      </c>
      <c r="AB171" s="373">
        <f t="array" ref="AB171">IF(AB$157=Misc_Inputs!$D$6,$G95,IF(SUM(IF($G$157:$AF$157&gt;=ROUND(IF((AB$157-Sys_Repl_Rate!AB129)&lt;Tech_Specs!$C21,Tech_Specs!$C21,(AB$157-Sys_Repl_Rate!AB129)),0),IF($G$157:$AF$157&lt;=AB$157,IF(Tech_Specs!$K21="lamp",System_Mkt_Repl!$F347:$AE347+System_Mkt_NC!$G347:$AF347,Lamp_Mkt_Repl!$G57:$AF57+System_Mkt_NC!$G347:$AF347))))=0,0,SUMPRODUCT(IF($G$157:$AF$157&gt;=ROUND(IF((AB$157-Sys_Repl_Rate!AB129)&lt;Tech_Specs!$C21,Tech_Specs!$C21,(AB$157-Sys_Repl_Rate!AB129)),0),IF($G$157:$AF$157&lt;=AB$157,$G95:$AF95)),IF(Tech_Specs!$K21="lamp",System_Mkt_Repl!$F347:$AE347+System_Mkt_NC!$G347:$AF347,Lamp_Mkt_Repl!$G57:$AF57+System_Mkt_NC!$G347:$AF347))/SUM(IF($G$157:$AF$157&gt;=ROUND(IF((AB$157-Sys_Repl_Rate!AB129)&lt;Tech_Specs!$C21,Tech_Specs!$C21,(AB$157-Sys_Repl_Rate!AB129)),0),IF($G$157:$AF$157&lt;=AB$157,IF(Tech_Specs!$K21="lamp",System_Mkt_Repl!$F347:$AE347+System_Mkt_NC!$G347:$AF347,Lamp_Mkt_Repl!$G57:$AF57+System_Mkt_NC!$G347:$AF347))))))</f>
        <v>85.675306027506167</v>
      </c>
      <c r="AC171" s="373">
        <f t="array" ref="AC171">IF(AC$157=Misc_Inputs!$D$6,$G95,IF(SUM(IF($G$157:$AF$157&gt;=ROUND(IF((AC$157-Sys_Repl_Rate!AC129)&lt;Tech_Specs!$C21,Tech_Specs!$C21,(AC$157-Sys_Repl_Rate!AC129)),0),IF($G$157:$AF$157&lt;=AC$157,IF(Tech_Specs!$K21="lamp",System_Mkt_Repl!$F347:$AE347+System_Mkt_NC!$G347:$AF347,Lamp_Mkt_Repl!$G57:$AF57+System_Mkt_NC!$G347:$AF347))))=0,0,SUMPRODUCT(IF($G$157:$AF$157&gt;=ROUND(IF((AC$157-Sys_Repl_Rate!AC129)&lt;Tech_Specs!$C21,Tech_Specs!$C21,(AC$157-Sys_Repl_Rate!AC129)),0),IF($G$157:$AF$157&lt;=AC$157,$G95:$AF95)),IF(Tech_Specs!$K21="lamp",System_Mkt_Repl!$F347:$AE347+System_Mkt_NC!$G347:$AF347,Lamp_Mkt_Repl!$G57:$AF57+System_Mkt_NC!$G347:$AF347))/SUM(IF($G$157:$AF$157&gt;=ROUND(IF((AC$157-Sys_Repl_Rate!AC129)&lt;Tech_Specs!$C21,Tech_Specs!$C21,(AC$157-Sys_Repl_Rate!AC129)),0),IF($G$157:$AF$157&lt;=AC$157,IF(Tech_Specs!$K21="lamp",System_Mkt_Repl!$F347:$AE347+System_Mkt_NC!$G347:$AF347,Lamp_Mkt_Repl!$G57:$AF57+System_Mkt_NC!$G347:$AF347))))))</f>
        <v>85.675306027506167</v>
      </c>
      <c r="AD171" s="373">
        <f t="array" ref="AD171">IF(AD$157=Misc_Inputs!$D$6,$G95,IF(SUM(IF($G$157:$AF$157&gt;=ROUND(IF((AD$157-Sys_Repl_Rate!AD129)&lt;Tech_Specs!$C21,Tech_Specs!$C21,(AD$157-Sys_Repl_Rate!AD129)),0),IF($G$157:$AF$157&lt;=AD$157,IF(Tech_Specs!$K21="lamp",System_Mkt_Repl!$F347:$AE347+System_Mkt_NC!$G347:$AF347,Lamp_Mkt_Repl!$G57:$AF57+System_Mkt_NC!$G347:$AF347))))=0,0,SUMPRODUCT(IF($G$157:$AF$157&gt;=ROUND(IF((AD$157-Sys_Repl_Rate!AD129)&lt;Tech_Specs!$C21,Tech_Specs!$C21,(AD$157-Sys_Repl_Rate!AD129)),0),IF($G$157:$AF$157&lt;=AD$157,$G95:$AF95)),IF(Tech_Specs!$K21="lamp",System_Mkt_Repl!$F347:$AE347+System_Mkt_NC!$G347:$AF347,Lamp_Mkt_Repl!$G57:$AF57+System_Mkt_NC!$G347:$AF347))/SUM(IF($G$157:$AF$157&gt;=ROUND(IF((AD$157-Sys_Repl_Rate!AD129)&lt;Tech_Specs!$C21,Tech_Specs!$C21,(AD$157-Sys_Repl_Rate!AD129)),0),IF($G$157:$AF$157&lt;=AD$157,IF(Tech_Specs!$K21="lamp",System_Mkt_Repl!$F347:$AE347+System_Mkt_NC!$G347:$AF347,Lamp_Mkt_Repl!$G57:$AF57+System_Mkt_NC!$G347:$AF347))))))</f>
        <v>85.675306027506167</v>
      </c>
      <c r="AE171" s="373">
        <f t="array" ref="AE171">IF(AE$157=Misc_Inputs!$D$6,$G95,IF(SUM(IF($G$157:$AF$157&gt;=ROUND(IF((AE$157-Sys_Repl_Rate!AE129)&lt;Tech_Specs!$C21,Tech_Specs!$C21,(AE$157-Sys_Repl_Rate!AE129)),0),IF($G$157:$AF$157&lt;=AE$157,IF(Tech_Specs!$K21="lamp",System_Mkt_Repl!$F347:$AE347+System_Mkt_NC!$G347:$AF347,Lamp_Mkt_Repl!$G57:$AF57+System_Mkt_NC!$G347:$AF347))))=0,0,SUMPRODUCT(IF($G$157:$AF$157&gt;=ROUND(IF((AE$157-Sys_Repl_Rate!AE129)&lt;Tech_Specs!$C21,Tech_Specs!$C21,(AE$157-Sys_Repl_Rate!AE129)),0),IF($G$157:$AF$157&lt;=AE$157,$G95:$AF95)),IF(Tech_Specs!$K21="lamp",System_Mkt_Repl!$F347:$AE347+System_Mkt_NC!$G347:$AF347,Lamp_Mkt_Repl!$G57:$AF57+System_Mkt_NC!$G347:$AF347))/SUM(IF($G$157:$AF$157&gt;=ROUND(IF((AE$157-Sys_Repl_Rate!AE129)&lt;Tech_Specs!$C21,Tech_Specs!$C21,(AE$157-Sys_Repl_Rate!AE129)),0),IF($G$157:$AF$157&lt;=AE$157,IF(Tech_Specs!$K21="lamp",System_Mkt_Repl!$F347:$AE347+System_Mkt_NC!$G347:$AF347,Lamp_Mkt_Repl!$G57:$AF57+System_Mkt_NC!$G347:$AF347))))))</f>
        <v>85.675306027506181</v>
      </c>
      <c r="AF171" s="373">
        <f t="array" ref="AF171">IF(AF$157=Misc_Inputs!$D$6,$G95,IF(SUM(IF($G$157:$AF$157&gt;=ROUND(IF((AF$157-Sys_Repl_Rate!AF129)&lt;Tech_Specs!$C21,Tech_Specs!$C21,(AF$157-Sys_Repl_Rate!AF129)),0),IF($G$157:$AF$157&lt;=AF$157,IF(Tech_Specs!$K21="lamp",System_Mkt_Repl!$F347:$AE347+System_Mkt_NC!$G347:$AF347,Lamp_Mkt_Repl!$G57:$AF57+System_Mkt_NC!$G347:$AF347))))=0,0,SUMPRODUCT(IF($G$157:$AF$157&gt;=ROUND(IF((AF$157-Sys_Repl_Rate!AF129)&lt;Tech_Specs!$C21,Tech_Specs!$C21,(AF$157-Sys_Repl_Rate!AF129)),0),IF($G$157:$AF$157&lt;=AF$157,$G95:$AF95)),IF(Tech_Specs!$K21="lamp",System_Mkt_Repl!$F347:$AE347+System_Mkt_NC!$G347:$AF347,Lamp_Mkt_Repl!$G57:$AF57+System_Mkt_NC!$G347:$AF347))/SUM(IF($G$157:$AF$157&gt;=ROUND(IF((AF$157-Sys_Repl_Rate!AF129)&lt;Tech_Specs!$C21,Tech_Specs!$C21,(AF$157-Sys_Repl_Rate!AF129)),0),IF($G$157:$AF$157&lt;=AF$157,IF(Tech_Specs!$K21="lamp",System_Mkt_Repl!$F347:$AE347+System_Mkt_NC!$G347:$AF347,Lamp_Mkt_Repl!$G57:$AF57+System_Mkt_NC!$G347:$AF347))))))</f>
        <v>85.675306027506181</v>
      </c>
    </row>
    <row r="172" spans="1:32" s="101" customFormat="1" ht="12.75" x14ac:dyDescent="0.2">
      <c r="A172" s="81"/>
      <c r="B172" s="81" t="s">
        <v>39</v>
      </c>
      <c r="C172" s="81"/>
      <c r="D172" s="550"/>
      <c r="E172" s="550"/>
      <c r="F172" s="550"/>
      <c r="G172" s="373">
        <f t="array" ref="G172">IF(G$157=Misc_Inputs!$D$6,$G96,IF(SUM(IF($G$157:$AF$157&gt;=ROUND(IF((G$157-Sys_Repl_Rate!G130)&lt;Tech_Specs!$C22,Tech_Specs!$C22,(G$157-Sys_Repl_Rate!G130)),0),IF($G$157:$AF$157&lt;=G$157,IF(Tech_Specs!$K22="lamp",System_Mkt_Repl!$F348:$AE348+System_Mkt_NC!$G348:$AF348,Lamp_Mkt_Repl!$G58:$AF58+System_Mkt_NC!$G348:$AF348))))=0,0,SUMPRODUCT(IF($G$157:$AF$157&gt;=ROUND(IF((G$157-Sys_Repl_Rate!G130)&lt;Tech_Specs!$C22,Tech_Specs!$C22,(G$157-Sys_Repl_Rate!G130)),0),IF($G$157:$AF$157&lt;=G$157,$G96:$AF96)),IF(Tech_Specs!$K22="lamp",System_Mkt_Repl!$F348:$AE348+System_Mkt_NC!$G348:$AF348,Lamp_Mkt_Repl!$G58:$AF58+System_Mkt_NC!$G348:$AF348))/SUM(IF($G$157:$AF$157&gt;=ROUND(IF((G$157-Sys_Repl_Rate!G130)&lt;Tech_Specs!$C22,Tech_Specs!$C22,(G$157-Sys_Repl_Rate!G130)),0),IF($G$157:$AF$157&lt;=G$157,IF(Tech_Specs!$K22="lamp",System_Mkt_Repl!$F348:$AE348+System_Mkt_NC!$G348:$AF348,Lamp_Mkt_Repl!$G58:$AF58+System_Mkt_NC!$G348:$AF348))))))</f>
        <v>83.142201834862362</v>
      </c>
      <c r="H172" s="373">
        <f t="array" ref="H172">IF(H$157=Misc_Inputs!$D$6,$G96,IF(SUM(IF($G$157:$AF$157&gt;=ROUND(IF((H$157-Sys_Repl_Rate!H130)&lt;Tech_Specs!$C22,Tech_Specs!$C22,(H$157-Sys_Repl_Rate!H130)),0),IF($G$157:$AF$157&lt;=H$157,IF(Tech_Specs!$K22="lamp",System_Mkt_Repl!$F348:$AE348+System_Mkt_NC!$G348:$AF348,Lamp_Mkt_Repl!$G58:$AF58+System_Mkt_NC!$G348:$AF348))))=0,0,SUMPRODUCT(IF($G$157:$AF$157&gt;=ROUND(IF((H$157-Sys_Repl_Rate!H130)&lt;Tech_Specs!$C22,Tech_Specs!$C22,(H$157-Sys_Repl_Rate!H130)),0),IF($G$157:$AF$157&lt;=H$157,$G96:$AF96)),IF(Tech_Specs!$K22="lamp",System_Mkt_Repl!$F348:$AE348+System_Mkt_NC!$G348:$AF348,Lamp_Mkt_Repl!$G58:$AF58+System_Mkt_NC!$G348:$AF348))/SUM(IF($G$157:$AF$157&gt;=ROUND(IF((H$157-Sys_Repl_Rate!H130)&lt;Tech_Specs!$C22,Tech_Specs!$C22,(H$157-Sys_Repl_Rate!H130)),0),IF($G$157:$AF$157&lt;=H$157,IF(Tech_Specs!$K22="lamp",System_Mkt_Repl!$F348:$AE348+System_Mkt_NC!$G348:$AF348,Lamp_Mkt_Repl!$G58:$AF58+System_Mkt_NC!$G348:$AF348))))))</f>
        <v>83.55791284403665</v>
      </c>
      <c r="I172" s="373">
        <f t="array" ref="I172">IF(I$157=Misc_Inputs!$D$6,$G96,IF(SUM(IF($G$157:$AF$157&gt;=ROUND(IF((I$157-Sys_Repl_Rate!I130)&lt;Tech_Specs!$C22,Tech_Specs!$C22,(I$157-Sys_Repl_Rate!I130)),0),IF($G$157:$AF$157&lt;=I$157,IF(Tech_Specs!$K22="lamp",System_Mkt_Repl!$F348:$AE348+System_Mkt_NC!$G348:$AF348,Lamp_Mkt_Repl!$G58:$AF58+System_Mkt_NC!$G348:$AF348))))=0,0,SUMPRODUCT(IF($G$157:$AF$157&gt;=ROUND(IF((I$157-Sys_Repl_Rate!I130)&lt;Tech_Specs!$C22,Tech_Specs!$C22,(I$157-Sys_Repl_Rate!I130)),0),IF($G$157:$AF$157&lt;=I$157,$G96:$AF96)),IF(Tech_Specs!$K22="lamp",System_Mkt_Repl!$F348:$AE348+System_Mkt_NC!$G348:$AF348,Lamp_Mkt_Repl!$G58:$AF58+System_Mkt_NC!$G348:$AF348))/SUM(IF($G$157:$AF$157&gt;=ROUND(IF((I$157-Sys_Repl_Rate!I130)&lt;Tech_Specs!$C22,Tech_Specs!$C22,(I$157-Sys_Repl_Rate!I130)),0),IF($G$157:$AF$157&lt;=I$157,IF(Tech_Specs!$K22="lamp",System_Mkt_Repl!$F348:$AE348+System_Mkt_NC!$G348:$AF348,Lamp_Mkt_Repl!$G58:$AF58+System_Mkt_NC!$G348:$AF348))))))</f>
        <v>83.765559088981107</v>
      </c>
      <c r="J172" s="373">
        <f t="array" ref="J172">IF(J$157=Misc_Inputs!$D$6,$G96,IF(SUM(IF($G$157:$AF$157&gt;=ROUND(IF((J$157-Sys_Repl_Rate!J130)&lt;Tech_Specs!$C22,Tech_Specs!$C22,(J$157-Sys_Repl_Rate!J130)),0),IF($G$157:$AF$157&lt;=J$157,IF(Tech_Specs!$K22="lamp",System_Mkt_Repl!$F348:$AE348+System_Mkt_NC!$G348:$AF348,Lamp_Mkt_Repl!$G58:$AF58+System_Mkt_NC!$G348:$AF348))))=0,0,SUMPRODUCT(IF($G$157:$AF$157&gt;=ROUND(IF((J$157-Sys_Repl_Rate!J130)&lt;Tech_Specs!$C22,Tech_Specs!$C22,(J$157-Sys_Repl_Rate!J130)),0),IF($G$157:$AF$157&lt;=J$157,$G96:$AF96)),IF(Tech_Specs!$K22="lamp",System_Mkt_Repl!$F348:$AE348+System_Mkt_NC!$G348:$AF348,Lamp_Mkt_Repl!$G58:$AF58+System_Mkt_NC!$G348:$AF348))/SUM(IF($G$157:$AF$157&gt;=ROUND(IF((J$157-Sys_Repl_Rate!J130)&lt;Tech_Specs!$C22,Tech_Specs!$C22,(J$157-Sys_Repl_Rate!J130)),0),IF($G$157:$AF$157&lt;=J$157,IF(Tech_Specs!$K22="lamp",System_Mkt_Repl!$F348:$AE348+System_Mkt_NC!$G348:$AF348,Lamp_Mkt_Repl!$G58:$AF58+System_Mkt_NC!$G348:$AF348))))))</f>
        <v>83.971197165228887</v>
      </c>
      <c r="K172" s="373">
        <f t="array" ref="K172">IF(K$157=Misc_Inputs!$D$6,$G96,IF(SUM(IF($G$157:$AF$157&gt;=ROUND(IF((K$157-Sys_Repl_Rate!K130)&lt;Tech_Specs!$C22,Tech_Specs!$C22,(K$157-Sys_Repl_Rate!K130)),0),IF($G$157:$AF$157&lt;=K$157,IF(Tech_Specs!$K22="lamp",System_Mkt_Repl!$F348:$AE348+System_Mkt_NC!$G348:$AF348,Lamp_Mkt_Repl!$G58:$AF58+System_Mkt_NC!$G348:$AF348))))=0,0,SUMPRODUCT(IF($G$157:$AF$157&gt;=ROUND(IF((K$157-Sys_Repl_Rate!K130)&lt;Tech_Specs!$C22,Tech_Specs!$C22,(K$157-Sys_Repl_Rate!K130)),0),IF($G$157:$AF$157&lt;=K$157,$G96:$AF96)),IF(Tech_Specs!$K22="lamp",System_Mkt_Repl!$F348:$AE348+System_Mkt_NC!$G348:$AF348,Lamp_Mkt_Repl!$G58:$AF58+System_Mkt_NC!$G348:$AF348))/SUM(IF($G$157:$AF$157&gt;=ROUND(IF((K$157-Sys_Repl_Rate!K130)&lt;Tech_Specs!$C22,Tech_Specs!$C22,(K$157-Sys_Repl_Rate!K130)),0),IF($G$157:$AF$157&lt;=K$157,IF(Tech_Specs!$K22="lamp",System_Mkt_Repl!$F348:$AE348+System_Mkt_NC!$G348:$AF348,Lamp_Mkt_Repl!$G58:$AF58+System_Mkt_NC!$G348:$AF348))))))</f>
        <v>84.441864322223097</v>
      </c>
      <c r="L172" s="373">
        <f t="array" ref="L172">IF(L$157=Misc_Inputs!$D$6,$G96,IF(SUM(IF($G$157:$AF$157&gt;=ROUND(IF((L$157-Sys_Repl_Rate!L130)&lt;Tech_Specs!$C22,Tech_Specs!$C22,(L$157-Sys_Repl_Rate!L130)),0),IF($G$157:$AF$157&lt;=L$157,IF(Tech_Specs!$K22="lamp",System_Mkt_Repl!$F348:$AE348+System_Mkt_NC!$G348:$AF348,Lamp_Mkt_Repl!$G58:$AF58+System_Mkt_NC!$G348:$AF348))))=0,0,SUMPRODUCT(IF($G$157:$AF$157&gt;=ROUND(IF((L$157-Sys_Repl_Rate!L130)&lt;Tech_Specs!$C22,Tech_Specs!$C22,(L$157-Sys_Repl_Rate!L130)),0),IF($G$157:$AF$157&lt;=L$157,$G96:$AF96)),IF(Tech_Specs!$K22="lamp",System_Mkt_Repl!$F348:$AE348+System_Mkt_NC!$G348:$AF348,Lamp_Mkt_Repl!$G58:$AF58+System_Mkt_NC!$G348:$AF348))/SUM(IF($G$157:$AF$157&gt;=ROUND(IF((L$157-Sys_Repl_Rate!L130)&lt;Tech_Specs!$C22,Tech_Specs!$C22,(L$157-Sys_Repl_Rate!L130)),0),IF($G$157:$AF$157&lt;=L$157,IF(Tech_Specs!$K22="lamp",System_Mkt_Repl!$F348:$AE348+System_Mkt_NC!$G348:$AF348,Lamp_Mkt_Repl!$G58:$AF58+System_Mkt_NC!$G348:$AF348))))))</f>
        <v>85.007343831453284</v>
      </c>
      <c r="M172" s="373">
        <f t="array" ref="M172">IF(M$157=Misc_Inputs!$D$6,$G96,IF(SUM(IF($G$157:$AF$157&gt;=ROUND(IF((M$157-Sys_Repl_Rate!M130)&lt;Tech_Specs!$C22,Tech_Specs!$C22,(M$157-Sys_Repl_Rate!M130)),0),IF($G$157:$AF$157&lt;=M$157,IF(Tech_Specs!$K22="lamp",System_Mkt_Repl!$F348:$AE348+System_Mkt_NC!$G348:$AF348,Lamp_Mkt_Repl!$G58:$AF58+System_Mkt_NC!$G348:$AF348))))=0,0,SUMPRODUCT(IF($G$157:$AF$157&gt;=ROUND(IF((M$157-Sys_Repl_Rate!M130)&lt;Tech_Specs!$C22,Tech_Specs!$C22,(M$157-Sys_Repl_Rate!M130)),0),IF($G$157:$AF$157&lt;=M$157,$G96:$AF96)),IF(Tech_Specs!$K22="lamp",System_Mkt_Repl!$F348:$AE348+System_Mkt_NC!$G348:$AF348,Lamp_Mkt_Repl!$G58:$AF58+System_Mkt_NC!$G348:$AF348))/SUM(IF($G$157:$AF$157&gt;=ROUND(IF((M$157-Sys_Repl_Rate!M130)&lt;Tech_Specs!$C22,Tech_Specs!$C22,(M$157-Sys_Repl_Rate!M130)),0),IF($G$157:$AF$157&lt;=M$157,IF(Tech_Specs!$K22="lamp",System_Mkt_Repl!$F348:$AE348+System_Mkt_NC!$G348:$AF348,Lamp_Mkt_Repl!$G58:$AF58+System_Mkt_NC!$G348:$AF348))))))</f>
        <v>85.60532736602562</v>
      </c>
      <c r="N172" s="373">
        <f t="array" ref="N172">IF(N$157=Misc_Inputs!$D$6,$G96,IF(SUM(IF($G$157:$AF$157&gt;=ROUND(IF((N$157-Sys_Repl_Rate!N130)&lt;Tech_Specs!$C22,Tech_Specs!$C22,(N$157-Sys_Repl_Rate!N130)),0),IF($G$157:$AF$157&lt;=N$157,IF(Tech_Specs!$K22="lamp",System_Mkt_Repl!$F348:$AE348+System_Mkt_NC!$G348:$AF348,Lamp_Mkt_Repl!$G58:$AF58+System_Mkt_NC!$G348:$AF348))))=0,0,SUMPRODUCT(IF($G$157:$AF$157&gt;=ROUND(IF((N$157-Sys_Repl_Rate!N130)&lt;Tech_Specs!$C22,Tech_Specs!$C22,(N$157-Sys_Repl_Rate!N130)),0),IF($G$157:$AF$157&lt;=N$157,$G96:$AF96)),IF(Tech_Specs!$K22="lamp",System_Mkt_Repl!$F348:$AE348+System_Mkt_NC!$G348:$AF348,Lamp_Mkt_Repl!$G58:$AF58+System_Mkt_NC!$G348:$AF348))/SUM(IF($G$157:$AF$157&gt;=ROUND(IF((N$157-Sys_Repl_Rate!N130)&lt;Tech_Specs!$C22,Tech_Specs!$C22,(N$157-Sys_Repl_Rate!N130)),0),IF($G$157:$AF$157&lt;=N$157,IF(Tech_Specs!$K22="lamp",System_Mkt_Repl!$F348:$AE348+System_Mkt_NC!$G348:$AF348,Lamp_Mkt_Repl!$G58:$AF58+System_Mkt_NC!$G348:$AF348))))))</f>
        <v>86.075007054454744</v>
      </c>
      <c r="O172" s="373">
        <f t="array" ref="O172">IF(O$157=Misc_Inputs!$D$6,$G96,IF(SUM(IF($G$157:$AF$157&gt;=ROUND(IF((O$157-Sys_Repl_Rate!O130)&lt;Tech_Specs!$C22,Tech_Specs!$C22,(O$157-Sys_Repl_Rate!O130)),0),IF($G$157:$AF$157&lt;=O$157,IF(Tech_Specs!$K22="lamp",System_Mkt_Repl!$F348:$AE348+System_Mkt_NC!$G348:$AF348,Lamp_Mkt_Repl!$G58:$AF58+System_Mkt_NC!$G348:$AF348))))=0,0,SUMPRODUCT(IF($G$157:$AF$157&gt;=ROUND(IF((O$157-Sys_Repl_Rate!O130)&lt;Tech_Specs!$C22,Tech_Specs!$C22,(O$157-Sys_Repl_Rate!O130)),0),IF($G$157:$AF$157&lt;=O$157,$G96:$AF96)),IF(Tech_Specs!$K22="lamp",System_Mkt_Repl!$F348:$AE348+System_Mkt_NC!$G348:$AF348,Lamp_Mkt_Repl!$G58:$AF58+System_Mkt_NC!$G348:$AF348))/SUM(IF($G$157:$AF$157&gt;=ROUND(IF((O$157-Sys_Repl_Rate!O130)&lt;Tech_Specs!$C22,Tech_Specs!$C22,(O$157-Sys_Repl_Rate!O130)),0),IF($G$157:$AF$157&lt;=O$157,IF(Tech_Specs!$K22="lamp",System_Mkt_Repl!$F348:$AE348+System_Mkt_NC!$G348:$AF348,Lamp_Mkt_Repl!$G58:$AF58+System_Mkt_NC!$G348:$AF348))))))</f>
        <v>86.46324877157258</v>
      </c>
      <c r="P172" s="373">
        <f t="array" ref="P172">IF(P$157=Misc_Inputs!$D$6,$G96,IF(SUM(IF($G$157:$AF$157&gt;=ROUND(IF((P$157-Sys_Repl_Rate!P130)&lt;Tech_Specs!$C22,Tech_Specs!$C22,(P$157-Sys_Repl_Rate!P130)),0),IF($G$157:$AF$157&lt;=P$157,IF(Tech_Specs!$K22="lamp",System_Mkt_Repl!$F348:$AE348+System_Mkt_NC!$G348:$AF348,Lamp_Mkt_Repl!$G58:$AF58+System_Mkt_NC!$G348:$AF348))))=0,0,SUMPRODUCT(IF($G$157:$AF$157&gt;=ROUND(IF((P$157-Sys_Repl_Rate!P130)&lt;Tech_Specs!$C22,Tech_Specs!$C22,(P$157-Sys_Repl_Rate!P130)),0),IF($G$157:$AF$157&lt;=P$157,$G96:$AF96)),IF(Tech_Specs!$K22="lamp",System_Mkt_Repl!$F348:$AE348+System_Mkt_NC!$G348:$AF348,Lamp_Mkt_Repl!$G58:$AF58+System_Mkt_NC!$G348:$AF348))/SUM(IF($G$157:$AF$157&gt;=ROUND(IF((P$157-Sys_Repl_Rate!P130)&lt;Tech_Specs!$C22,Tech_Specs!$C22,(P$157-Sys_Repl_Rate!P130)),0),IF($G$157:$AF$157&lt;=P$157,IF(Tech_Specs!$K22="lamp",System_Mkt_Repl!$F348:$AE348+System_Mkt_NC!$G348:$AF348,Lamp_Mkt_Repl!$G58:$AF58+System_Mkt_NC!$G348:$AF348))))))</f>
        <v>86.797377823284492</v>
      </c>
      <c r="Q172" s="373">
        <f t="array" ref="Q172">IF(Q$157=Misc_Inputs!$D$6,$G96,IF(SUM(IF($G$157:$AF$157&gt;=ROUND(IF((Q$157-Sys_Repl_Rate!Q130)&lt;Tech_Specs!$C22,Tech_Specs!$C22,(Q$157-Sys_Repl_Rate!Q130)),0),IF($G$157:$AF$157&lt;=Q$157,IF(Tech_Specs!$K22="lamp",System_Mkt_Repl!$F348:$AE348+System_Mkt_NC!$G348:$AF348,Lamp_Mkt_Repl!$G58:$AF58+System_Mkt_NC!$G348:$AF348))))=0,0,SUMPRODUCT(IF($G$157:$AF$157&gt;=ROUND(IF((Q$157-Sys_Repl_Rate!Q130)&lt;Tech_Specs!$C22,Tech_Specs!$C22,(Q$157-Sys_Repl_Rate!Q130)),0),IF($G$157:$AF$157&lt;=Q$157,$G96:$AF96)),IF(Tech_Specs!$K22="lamp",System_Mkt_Repl!$F348:$AE348+System_Mkt_NC!$G348:$AF348,Lamp_Mkt_Repl!$G58:$AF58+System_Mkt_NC!$G348:$AF348))/SUM(IF($G$157:$AF$157&gt;=ROUND(IF((Q$157-Sys_Repl_Rate!Q130)&lt;Tech_Specs!$C22,Tech_Specs!$C22,(Q$157-Sys_Repl_Rate!Q130)),0),IF($G$157:$AF$157&lt;=Q$157,IF(Tech_Specs!$K22="lamp",System_Mkt_Repl!$F348:$AE348+System_Mkt_NC!$G348:$AF348,Lamp_Mkt_Repl!$G58:$AF58+System_Mkt_NC!$G348:$AF348))))))</f>
        <v>87.092998265459144</v>
      </c>
      <c r="R172" s="373">
        <f t="array" ref="R172">IF(R$157=Misc_Inputs!$D$6,$G96,IF(SUM(IF($G$157:$AF$157&gt;=ROUND(IF((R$157-Sys_Repl_Rate!R130)&lt;Tech_Specs!$C22,Tech_Specs!$C22,(R$157-Sys_Repl_Rate!R130)),0),IF($G$157:$AF$157&lt;=R$157,IF(Tech_Specs!$K22="lamp",System_Mkt_Repl!$F348:$AE348+System_Mkt_NC!$G348:$AF348,Lamp_Mkt_Repl!$G58:$AF58+System_Mkt_NC!$G348:$AF348))))=0,0,SUMPRODUCT(IF($G$157:$AF$157&gt;=ROUND(IF((R$157-Sys_Repl_Rate!R130)&lt;Tech_Specs!$C22,Tech_Specs!$C22,(R$157-Sys_Repl_Rate!R130)),0),IF($G$157:$AF$157&lt;=R$157,$G96:$AF96)),IF(Tech_Specs!$K22="lamp",System_Mkt_Repl!$F348:$AE348+System_Mkt_NC!$G348:$AF348,Lamp_Mkt_Repl!$G58:$AF58+System_Mkt_NC!$G348:$AF348))/SUM(IF($G$157:$AF$157&gt;=ROUND(IF((R$157-Sys_Repl_Rate!R130)&lt;Tech_Specs!$C22,Tech_Specs!$C22,(R$157-Sys_Repl_Rate!R130)),0),IF($G$157:$AF$157&lt;=R$157,IF(Tech_Specs!$K22="lamp",System_Mkt_Repl!$F348:$AE348+System_Mkt_NC!$G348:$AF348,Lamp_Mkt_Repl!$G58:$AF58+System_Mkt_NC!$G348:$AF348))))))</f>
        <v>87.3598927316919</v>
      </c>
      <c r="S172" s="373">
        <f t="array" ref="S172">IF(S$157=Misc_Inputs!$D$6,$G96,IF(SUM(IF($G$157:$AF$157&gt;=ROUND(IF((S$157-Sys_Repl_Rate!S130)&lt;Tech_Specs!$C22,Tech_Specs!$C22,(S$157-Sys_Repl_Rate!S130)),0),IF($G$157:$AF$157&lt;=S$157,IF(Tech_Specs!$K22="lamp",System_Mkt_Repl!$F348:$AE348+System_Mkt_NC!$G348:$AF348,Lamp_Mkt_Repl!$G58:$AF58+System_Mkt_NC!$G348:$AF348))))=0,0,SUMPRODUCT(IF($G$157:$AF$157&gt;=ROUND(IF((S$157-Sys_Repl_Rate!S130)&lt;Tech_Specs!$C22,Tech_Specs!$C22,(S$157-Sys_Repl_Rate!S130)),0),IF($G$157:$AF$157&lt;=S$157,$G96:$AF96)),IF(Tech_Specs!$K22="lamp",System_Mkt_Repl!$F348:$AE348+System_Mkt_NC!$G348:$AF348,Lamp_Mkt_Repl!$G58:$AF58+System_Mkt_NC!$G348:$AF348))/SUM(IF($G$157:$AF$157&gt;=ROUND(IF((S$157-Sys_Repl_Rate!S130)&lt;Tech_Specs!$C22,Tech_Specs!$C22,(S$157-Sys_Repl_Rate!S130)),0),IF($G$157:$AF$157&lt;=S$157,IF(Tech_Specs!$K22="lamp",System_Mkt_Repl!$F348:$AE348+System_Mkt_NC!$G348:$AF348,Lamp_Mkt_Repl!$G58:$AF58+System_Mkt_NC!$G348:$AF348))))))</f>
        <v>87.605810836015436</v>
      </c>
      <c r="T172" s="373">
        <f t="array" ref="T172">IF(T$157=Misc_Inputs!$D$6,$G96,IF(SUM(IF($G$157:$AF$157&gt;=ROUND(IF((T$157-Sys_Repl_Rate!T130)&lt;Tech_Specs!$C22,Tech_Specs!$C22,(T$157-Sys_Repl_Rate!T130)),0),IF($G$157:$AF$157&lt;=T$157,IF(Tech_Specs!$K22="lamp",System_Mkt_Repl!$F348:$AE348+System_Mkt_NC!$G348:$AF348,Lamp_Mkt_Repl!$G58:$AF58+System_Mkt_NC!$G348:$AF348))))=0,0,SUMPRODUCT(IF($G$157:$AF$157&gt;=ROUND(IF((T$157-Sys_Repl_Rate!T130)&lt;Tech_Specs!$C22,Tech_Specs!$C22,(T$157-Sys_Repl_Rate!T130)),0),IF($G$157:$AF$157&lt;=T$157,$G96:$AF96)),IF(Tech_Specs!$K22="lamp",System_Mkt_Repl!$F348:$AE348+System_Mkt_NC!$G348:$AF348,Lamp_Mkt_Repl!$G58:$AF58+System_Mkt_NC!$G348:$AF348))/SUM(IF($G$157:$AF$157&gt;=ROUND(IF((T$157-Sys_Repl_Rate!T130)&lt;Tech_Specs!$C22,Tech_Specs!$C22,(T$157-Sys_Repl_Rate!T130)),0),IF($G$157:$AF$157&lt;=T$157,IF(Tech_Specs!$K22="lamp",System_Mkt_Repl!$F348:$AE348+System_Mkt_NC!$G348:$AF348,Lamp_Mkt_Repl!$G58:$AF58+System_Mkt_NC!$G348:$AF348))))))</f>
        <v>87.835472173337052</v>
      </c>
      <c r="U172" s="373">
        <f t="array" ref="U172">IF(U$157=Misc_Inputs!$D$6,$G96,IF(SUM(IF($G$157:$AF$157&gt;=ROUND(IF((U$157-Sys_Repl_Rate!U130)&lt;Tech_Specs!$C22,Tech_Specs!$C22,(U$157-Sys_Repl_Rate!U130)),0),IF($G$157:$AF$157&lt;=U$157,IF(Tech_Specs!$K22="lamp",System_Mkt_Repl!$F348:$AE348+System_Mkt_NC!$G348:$AF348,Lamp_Mkt_Repl!$G58:$AF58+System_Mkt_NC!$G348:$AF348))))=0,0,SUMPRODUCT(IF($G$157:$AF$157&gt;=ROUND(IF((U$157-Sys_Repl_Rate!U130)&lt;Tech_Specs!$C22,Tech_Specs!$C22,(U$157-Sys_Repl_Rate!U130)),0),IF($G$157:$AF$157&lt;=U$157,$G96:$AF96)),IF(Tech_Specs!$K22="lamp",System_Mkt_Repl!$F348:$AE348+System_Mkt_NC!$G348:$AF348,Lamp_Mkt_Repl!$G58:$AF58+System_Mkt_NC!$G348:$AF348))/SUM(IF($G$157:$AF$157&gt;=ROUND(IF((U$157-Sys_Repl_Rate!U130)&lt;Tech_Specs!$C22,Tech_Specs!$C22,(U$157-Sys_Repl_Rate!U130)),0),IF($G$157:$AF$157&lt;=U$157,IF(Tech_Specs!$K22="lamp",System_Mkt_Repl!$F348:$AE348+System_Mkt_NC!$G348:$AF348,Lamp_Mkt_Repl!$G58:$AF58+System_Mkt_NC!$G348:$AF348))))))</f>
        <v>88.052243191418668</v>
      </c>
      <c r="V172" s="373">
        <f t="array" ref="V172">IF(V$157=Misc_Inputs!$D$6,$G96,IF(SUM(IF($G$157:$AF$157&gt;=ROUND(IF((V$157-Sys_Repl_Rate!V130)&lt;Tech_Specs!$C22,Tech_Specs!$C22,(V$157-Sys_Repl_Rate!V130)),0),IF($G$157:$AF$157&lt;=V$157,IF(Tech_Specs!$K22="lamp",System_Mkt_Repl!$F348:$AE348+System_Mkt_NC!$G348:$AF348,Lamp_Mkt_Repl!$G58:$AF58+System_Mkt_NC!$G348:$AF348))))=0,0,SUMPRODUCT(IF($G$157:$AF$157&gt;=ROUND(IF((V$157-Sys_Repl_Rate!V130)&lt;Tech_Specs!$C22,Tech_Specs!$C22,(V$157-Sys_Repl_Rate!V130)),0),IF($G$157:$AF$157&lt;=V$157,$G96:$AF96)),IF(Tech_Specs!$K22="lamp",System_Mkt_Repl!$F348:$AE348+System_Mkt_NC!$G348:$AF348,Lamp_Mkt_Repl!$G58:$AF58+System_Mkt_NC!$G348:$AF348))/SUM(IF($G$157:$AF$157&gt;=ROUND(IF((V$157-Sys_Repl_Rate!V130)&lt;Tech_Specs!$C22,Tech_Specs!$C22,(V$157-Sys_Repl_Rate!V130)),0),IF($G$157:$AF$157&lt;=V$157,IF(Tech_Specs!$K22="lamp",System_Mkt_Repl!$F348:$AE348+System_Mkt_NC!$G348:$AF348,Lamp_Mkt_Repl!$G58:$AF58+System_Mkt_NC!$G348:$AF348))))))</f>
        <v>88.259164884828962</v>
      </c>
      <c r="W172" s="373">
        <f t="array" ref="W172">IF(W$157=Misc_Inputs!$D$6,$G96,IF(SUM(IF($G$157:$AF$157&gt;=ROUND(IF((W$157-Sys_Repl_Rate!W130)&lt;Tech_Specs!$C22,Tech_Specs!$C22,(W$157-Sys_Repl_Rate!W130)),0),IF($G$157:$AF$157&lt;=W$157,IF(Tech_Specs!$K22="lamp",System_Mkt_Repl!$F348:$AE348+System_Mkt_NC!$G348:$AF348,Lamp_Mkt_Repl!$G58:$AF58+System_Mkt_NC!$G348:$AF348))))=0,0,SUMPRODUCT(IF($G$157:$AF$157&gt;=ROUND(IF((W$157-Sys_Repl_Rate!W130)&lt;Tech_Specs!$C22,Tech_Specs!$C22,(W$157-Sys_Repl_Rate!W130)),0),IF($G$157:$AF$157&lt;=W$157,$G96:$AF96)),IF(Tech_Specs!$K22="lamp",System_Mkt_Repl!$F348:$AE348+System_Mkt_NC!$G348:$AF348,Lamp_Mkt_Repl!$G58:$AF58+System_Mkt_NC!$G348:$AF348))/SUM(IF($G$157:$AF$157&gt;=ROUND(IF((W$157-Sys_Repl_Rate!W130)&lt;Tech_Specs!$C22,Tech_Specs!$C22,(W$157-Sys_Repl_Rate!W130)),0),IF($G$157:$AF$157&lt;=W$157,IF(Tech_Specs!$K22="lamp",System_Mkt_Repl!$F348:$AE348+System_Mkt_NC!$G348:$AF348,Lamp_Mkt_Repl!$G58:$AF58+System_Mkt_NC!$G348:$AF348))))))</f>
        <v>88.457955810296852</v>
      </c>
      <c r="X172" s="373">
        <f t="array" ref="X172">IF(X$157=Misc_Inputs!$D$6,$G96,IF(SUM(IF($G$157:$AF$157&gt;=ROUND(IF((X$157-Sys_Repl_Rate!X130)&lt;Tech_Specs!$C22,Tech_Specs!$C22,(X$157-Sys_Repl_Rate!X130)),0),IF($G$157:$AF$157&lt;=X$157,IF(Tech_Specs!$K22="lamp",System_Mkt_Repl!$F348:$AE348+System_Mkt_NC!$G348:$AF348,Lamp_Mkt_Repl!$G58:$AF58+System_Mkt_NC!$G348:$AF348))))=0,0,SUMPRODUCT(IF($G$157:$AF$157&gt;=ROUND(IF((X$157-Sys_Repl_Rate!X130)&lt;Tech_Specs!$C22,Tech_Specs!$C22,(X$157-Sys_Repl_Rate!X130)),0),IF($G$157:$AF$157&lt;=X$157,$G96:$AF96)),IF(Tech_Specs!$K22="lamp",System_Mkt_Repl!$F348:$AE348+System_Mkt_NC!$G348:$AF348,Lamp_Mkt_Repl!$G58:$AF58+System_Mkt_NC!$G348:$AF348))/SUM(IF($G$157:$AF$157&gt;=ROUND(IF((X$157-Sys_Repl_Rate!X130)&lt;Tech_Specs!$C22,Tech_Specs!$C22,(X$157-Sys_Repl_Rate!X130)),0),IF($G$157:$AF$157&lt;=X$157,IF(Tech_Specs!$K22="lamp",System_Mkt_Repl!$F348:$AE348+System_Mkt_NC!$G348:$AF348,Lamp_Mkt_Repl!$G58:$AF58+System_Mkt_NC!$G348:$AF348))))))</f>
        <v>88.649953239833522</v>
      </c>
      <c r="Y172" s="373">
        <f t="array" ref="Y172">IF(Y$157=Misc_Inputs!$D$6,$G96,IF(SUM(IF($G$157:$AF$157&gt;=ROUND(IF((Y$157-Sys_Repl_Rate!Y130)&lt;Tech_Specs!$C22,Tech_Specs!$C22,(Y$157-Sys_Repl_Rate!Y130)),0),IF($G$157:$AF$157&lt;=Y$157,IF(Tech_Specs!$K22="lamp",System_Mkt_Repl!$F348:$AE348+System_Mkt_NC!$G348:$AF348,Lamp_Mkt_Repl!$G58:$AF58+System_Mkt_NC!$G348:$AF348))))=0,0,SUMPRODUCT(IF($G$157:$AF$157&gt;=ROUND(IF((Y$157-Sys_Repl_Rate!Y130)&lt;Tech_Specs!$C22,Tech_Specs!$C22,(Y$157-Sys_Repl_Rate!Y130)),0),IF($G$157:$AF$157&lt;=Y$157,$G96:$AF96)),IF(Tech_Specs!$K22="lamp",System_Mkt_Repl!$F348:$AE348+System_Mkt_NC!$G348:$AF348,Lamp_Mkt_Repl!$G58:$AF58+System_Mkt_NC!$G348:$AF348))/SUM(IF($G$157:$AF$157&gt;=ROUND(IF((Y$157-Sys_Repl_Rate!Y130)&lt;Tech_Specs!$C22,Tech_Specs!$C22,(Y$157-Sys_Repl_Rate!Y130)),0),IF($G$157:$AF$157&lt;=Y$157,IF(Tech_Specs!$K22="lamp",System_Mkt_Repl!$F348:$AE348+System_Mkt_NC!$G348:$AF348,Lamp_Mkt_Repl!$G58:$AF58+System_Mkt_NC!$G348:$AF348))))))</f>
        <v>88.836231477393611</v>
      </c>
      <c r="Z172" s="373">
        <f t="array" ref="Z172">IF(Z$157=Misc_Inputs!$D$6,$G96,IF(SUM(IF($G$157:$AF$157&gt;=ROUND(IF((Z$157-Sys_Repl_Rate!Z130)&lt;Tech_Specs!$C22,Tech_Specs!$C22,(Z$157-Sys_Repl_Rate!Z130)),0),IF($G$157:$AF$157&lt;=Z$157,IF(Tech_Specs!$K22="lamp",System_Mkt_Repl!$F348:$AE348+System_Mkt_NC!$G348:$AF348,Lamp_Mkt_Repl!$G58:$AF58+System_Mkt_NC!$G348:$AF348))))=0,0,SUMPRODUCT(IF($G$157:$AF$157&gt;=ROUND(IF((Z$157-Sys_Repl_Rate!Z130)&lt;Tech_Specs!$C22,Tech_Specs!$C22,(Z$157-Sys_Repl_Rate!Z130)),0),IF($G$157:$AF$157&lt;=Z$157,$G96:$AF96)),IF(Tech_Specs!$K22="lamp",System_Mkt_Repl!$F348:$AE348+System_Mkt_NC!$G348:$AF348,Lamp_Mkt_Repl!$G58:$AF58+System_Mkt_NC!$G348:$AF348))/SUM(IF($G$157:$AF$157&gt;=ROUND(IF((Z$157-Sys_Repl_Rate!Z130)&lt;Tech_Specs!$C22,Tech_Specs!$C22,(Z$157-Sys_Repl_Rate!Z130)),0),IF($G$157:$AF$157&lt;=Z$157,IF(Tech_Specs!$K22="lamp",System_Mkt_Repl!$F348:$AE348+System_Mkt_NC!$G348:$AF348,Lamp_Mkt_Repl!$G58:$AF58+System_Mkt_NC!$G348:$AF348))))))</f>
        <v>89.017971855362575</v>
      </c>
      <c r="AA172" s="373">
        <f t="array" ref="AA172">IF(AA$157=Misc_Inputs!$D$6,$G96,IF(SUM(IF($G$157:$AF$157&gt;=ROUND(IF((AA$157-Sys_Repl_Rate!AA130)&lt;Tech_Specs!$C22,Tech_Specs!$C22,(AA$157-Sys_Repl_Rate!AA130)),0),IF($G$157:$AF$157&lt;=AA$157,IF(Tech_Specs!$K22="lamp",System_Mkt_Repl!$F348:$AE348+System_Mkt_NC!$G348:$AF348,Lamp_Mkt_Repl!$G58:$AF58+System_Mkt_NC!$G348:$AF348))))=0,0,SUMPRODUCT(IF($G$157:$AF$157&gt;=ROUND(IF((AA$157-Sys_Repl_Rate!AA130)&lt;Tech_Specs!$C22,Tech_Specs!$C22,(AA$157-Sys_Repl_Rate!AA130)),0),IF($G$157:$AF$157&lt;=AA$157,$G96:$AF96)),IF(Tech_Specs!$K22="lamp",System_Mkt_Repl!$F348:$AE348+System_Mkt_NC!$G348:$AF348,Lamp_Mkt_Repl!$G58:$AF58+System_Mkt_NC!$G348:$AF348))/SUM(IF($G$157:$AF$157&gt;=ROUND(IF((AA$157-Sys_Repl_Rate!AA130)&lt;Tech_Specs!$C22,Tech_Specs!$C22,(AA$157-Sys_Repl_Rate!AA130)),0),IF($G$157:$AF$157&lt;=AA$157,IF(Tech_Specs!$K22="lamp",System_Mkt_Repl!$F348:$AE348+System_Mkt_NC!$G348:$AF348,Lamp_Mkt_Repl!$G58:$AF58+System_Mkt_NC!$G348:$AF348))))))</f>
        <v>89.196238912149553</v>
      </c>
      <c r="AB172" s="373">
        <f t="array" ref="AB172">IF(AB$157=Misc_Inputs!$D$6,$G96,IF(SUM(IF($G$157:$AF$157&gt;=ROUND(IF((AB$157-Sys_Repl_Rate!AB130)&lt;Tech_Specs!$C22,Tech_Specs!$C22,(AB$157-Sys_Repl_Rate!AB130)),0),IF($G$157:$AF$157&lt;=AB$157,IF(Tech_Specs!$K22="lamp",System_Mkt_Repl!$F348:$AE348+System_Mkt_NC!$G348:$AF348,Lamp_Mkt_Repl!$G58:$AF58+System_Mkt_NC!$G348:$AF348))))=0,0,SUMPRODUCT(IF($G$157:$AF$157&gt;=ROUND(IF((AB$157-Sys_Repl_Rate!AB130)&lt;Tech_Specs!$C22,Tech_Specs!$C22,(AB$157-Sys_Repl_Rate!AB130)),0),IF($G$157:$AF$157&lt;=AB$157,$G96:$AF96)),IF(Tech_Specs!$K22="lamp",System_Mkt_Repl!$F348:$AE348+System_Mkt_NC!$G348:$AF348,Lamp_Mkt_Repl!$G58:$AF58+System_Mkt_NC!$G348:$AF348))/SUM(IF($G$157:$AF$157&gt;=ROUND(IF((AB$157-Sys_Repl_Rate!AB130)&lt;Tech_Specs!$C22,Tech_Specs!$C22,(AB$157-Sys_Repl_Rate!AB130)),0),IF($G$157:$AF$157&lt;=AB$157,IF(Tech_Specs!$K22="lamp",System_Mkt_Repl!$F348:$AE348+System_Mkt_NC!$G348:$AF348,Lamp_Mkt_Repl!$G58:$AF58+System_Mkt_NC!$G348:$AF348))))))</f>
        <v>89.371721509021882</v>
      </c>
      <c r="AC172" s="373">
        <f t="array" ref="AC172">IF(AC$157=Misc_Inputs!$D$6,$G96,IF(SUM(IF($G$157:$AF$157&gt;=ROUND(IF((AC$157-Sys_Repl_Rate!AC130)&lt;Tech_Specs!$C22,Tech_Specs!$C22,(AC$157-Sys_Repl_Rate!AC130)),0),IF($G$157:$AF$157&lt;=AC$157,IF(Tech_Specs!$K22="lamp",System_Mkt_Repl!$F348:$AE348+System_Mkt_NC!$G348:$AF348,Lamp_Mkt_Repl!$G58:$AF58+System_Mkt_NC!$G348:$AF348))))=0,0,SUMPRODUCT(IF($G$157:$AF$157&gt;=ROUND(IF((AC$157-Sys_Repl_Rate!AC130)&lt;Tech_Specs!$C22,Tech_Specs!$C22,(AC$157-Sys_Repl_Rate!AC130)),0),IF($G$157:$AF$157&lt;=AC$157,$G96:$AF96)),IF(Tech_Specs!$K22="lamp",System_Mkt_Repl!$F348:$AE348+System_Mkt_NC!$G348:$AF348,Lamp_Mkt_Repl!$G58:$AF58+System_Mkt_NC!$G348:$AF348))/SUM(IF($G$157:$AF$157&gt;=ROUND(IF((AC$157-Sys_Repl_Rate!AC130)&lt;Tech_Specs!$C22,Tech_Specs!$C22,(AC$157-Sys_Repl_Rate!AC130)),0),IF($G$157:$AF$157&lt;=AC$157,IF(Tech_Specs!$K22="lamp",System_Mkt_Repl!$F348:$AE348+System_Mkt_NC!$G348:$AF348,Lamp_Mkt_Repl!$G58:$AF58+System_Mkt_NC!$G348:$AF348))))))</f>
        <v>89.544487649547307</v>
      </c>
      <c r="AD172" s="373">
        <f t="array" ref="AD172">IF(AD$157=Misc_Inputs!$D$6,$G96,IF(SUM(IF($G$157:$AF$157&gt;=ROUND(IF((AD$157-Sys_Repl_Rate!AD130)&lt;Tech_Specs!$C22,Tech_Specs!$C22,(AD$157-Sys_Repl_Rate!AD130)),0),IF($G$157:$AF$157&lt;=AD$157,IF(Tech_Specs!$K22="lamp",System_Mkt_Repl!$F348:$AE348+System_Mkt_NC!$G348:$AF348,Lamp_Mkt_Repl!$G58:$AF58+System_Mkt_NC!$G348:$AF348))))=0,0,SUMPRODUCT(IF($G$157:$AF$157&gt;=ROUND(IF((AD$157-Sys_Repl_Rate!AD130)&lt;Tech_Specs!$C22,Tech_Specs!$C22,(AD$157-Sys_Repl_Rate!AD130)),0),IF($G$157:$AF$157&lt;=AD$157,$G96:$AF96)),IF(Tech_Specs!$K22="lamp",System_Mkt_Repl!$F348:$AE348+System_Mkt_NC!$G348:$AF348,Lamp_Mkt_Repl!$G58:$AF58+System_Mkt_NC!$G348:$AF348))/SUM(IF($G$157:$AF$157&gt;=ROUND(IF((AD$157-Sys_Repl_Rate!AD130)&lt;Tech_Specs!$C22,Tech_Specs!$C22,(AD$157-Sys_Repl_Rate!AD130)),0),IF($G$157:$AF$157&lt;=AD$157,IF(Tech_Specs!$K22="lamp",System_Mkt_Repl!$F348:$AE348+System_Mkt_NC!$G348:$AF348,Lamp_Mkt_Repl!$G58:$AF58+System_Mkt_NC!$G348:$AF348))))))</f>
        <v>89.714840719046933</v>
      </c>
      <c r="AE172" s="373">
        <f t="array" ref="AE172">IF(AE$157=Misc_Inputs!$D$6,$G96,IF(SUM(IF($G$157:$AF$157&gt;=ROUND(IF((AE$157-Sys_Repl_Rate!AE130)&lt;Tech_Specs!$C22,Tech_Specs!$C22,(AE$157-Sys_Repl_Rate!AE130)),0),IF($G$157:$AF$157&lt;=AE$157,IF(Tech_Specs!$K22="lamp",System_Mkt_Repl!$F348:$AE348+System_Mkt_NC!$G348:$AF348,Lamp_Mkt_Repl!$G58:$AF58+System_Mkt_NC!$G348:$AF348))))=0,0,SUMPRODUCT(IF($G$157:$AF$157&gt;=ROUND(IF((AE$157-Sys_Repl_Rate!AE130)&lt;Tech_Specs!$C22,Tech_Specs!$C22,(AE$157-Sys_Repl_Rate!AE130)),0),IF($G$157:$AF$157&lt;=AE$157,$G96:$AF96)),IF(Tech_Specs!$K22="lamp",System_Mkt_Repl!$F348:$AE348+System_Mkt_NC!$G348:$AF348,Lamp_Mkt_Repl!$G58:$AF58+System_Mkt_NC!$G348:$AF348))/SUM(IF($G$157:$AF$157&gt;=ROUND(IF((AE$157-Sys_Repl_Rate!AE130)&lt;Tech_Specs!$C22,Tech_Specs!$C22,(AE$157-Sys_Repl_Rate!AE130)),0),IF($G$157:$AF$157&lt;=AE$157,IF(Tech_Specs!$K22="lamp",System_Mkt_Repl!$F348:$AE348+System_Mkt_NC!$G348:$AF348,Lamp_Mkt_Repl!$G58:$AF58+System_Mkt_NC!$G348:$AF348))))))</f>
        <v>89.882936118474618</v>
      </c>
      <c r="AF172" s="373">
        <f t="array" ref="AF172">IF(AF$157=Misc_Inputs!$D$6,$G96,IF(SUM(IF($G$157:$AF$157&gt;=ROUND(IF((AF$157-Sys_Repl_Rate!AF130)&lt;Tech_Specs!$C22,Tech_Specs!$C22,(AF$157-Sys_Repl_Rate!AF130)),0),IF($G$157:$AF$157&lt;=AF$157,IF(Tech_Specs!$K22="lamp",System_Mkt_Repl!$F348:$AE348+System_Mkt_NC!$G348:$AF348,Lamp_Mkt_Repl!$G58:$AF58+System_Mkt_NC!$G348:$AF348))))=0,0,SUMPRODUCT(IF($G$157:$AF$157&gt;=ROUND(IF((AF$157-Sys_Repl_Rate!AF130)&lt;Tech_Specs!$C22,Tech_Specs!$C22,(AF$157-Sys_Repl_Rate!AF130)),0),IF($G$157:$AF$157&lt;=AF$157,$G96:$AF96)),IF(Tech_Specs!$K22="lamp",System_Mkt_Repl!$F348:$AE348+System_Mkt_NC!$G348:$AF348,Lamp_Mkt_Repl!$G58:$AF58+System_Mkt_NC!$G348:$AF348))/SUM(IF($G$157:$AF$157&gt;=ROUND(IF((AF$157-Sys_Repl_Rate!AF130)&lt;Tech_Specs!$C22,Tech_Specs!$C22,(AF$157-Sys_Repl_Rate!AF130)),0),IF($G$157:$AF$157&lt;=AF$157,IF(Tech_Specs!$K22="lamp",System_Mkt_Repl!$F348:$AE348+System_Mkt_NC!$G348:$AF348,Lamp_Mkt_Repl!$G58:$AF58+System_Mkt_NC!$G348:$AF348))))))</f>
        <v>90.048423013848463</v>
      </c>
    </row>
    <row r="173" spans="1:32" s="101" customFormat="1" ht="12.75" x14ac:dyDescent="0.2">
      <c r="A173" s="81"/>
      <c r="B173" s="81" t="s">
        <v>40</v>
      </c>
      <c r="C173" s="81"/>
      <c r="D173" s="550"/>
      <c r="E173" s="550"/>
      <c r="F173" s="550"/>
      <c r="G173" s="373">
        <f t="array" ref="G173">IF(G$157=Misc_Inputs!$D$6,$G97,IF(SUM(IF($G$157:$AF$157&gt;=ROUND(IF((G$157-Sys_Repl_Rate!G131)&lt;Tech_Specs!$C23,Tech_Specs!$C23,(G$157-Sys_Repl_Rate!G131)),0),IF($G$157:$AF$157&lt;=G$157,IF(Tech_Specs!$K23="lamp",System_Mkt_Repl!$F349:$AE349+System_Mkt_NC!$G349:$AF349,Lamp_Mkt_Repl!$G59:$AF59+System_Mkt_NC!$G349:$AF349))))=0,0,SUMPRODUCT(IF($G$157:$AF$157&gt;=ROUND(IF((G$157-Sys_Repl_Rate!G131)&lt;Tech_Specs!$C23,Tech_Specs!$C23,(G$157-Sys_Repl_Rate!G131)),0),IF($G$157:$AF$157&lt;=G$157,$G97:$AF97)),IF(Tech_Specs!$K23="lamp",System_Mkt_Repl!$F349:$AE349+System_Mkt_NC!$G349:$AF349,Lamp_Mkt_Repl!$G59:$AF59+System_Mkt_NC!$G349:$AF349))/SUM(IF($G$157:$AF$157&gt;=ROUND(IF((G$157-Sys_Repl_Rate!G131)&lt;Tech_Specs!$C23,Tech_Specs!$C23,(G$157-Sys_Repl_Rate!G131)),0),IF($G$157:$AF$157&lt;=G$157,IF(Tech_Specs!$K23="lamp",System_Mkt_Repl!$F349:$AE349+System_Mkt_NC!$G349:$AF349,Lamp_Mkt_Repl!$G59:$AF59+System_Mkt_NC!$G349:$AF349))))))</f>
        <v>100.41451331111421</v>
      </c>
      <c r="H173" s="373">
        <f t="array" ref="H173">IF(H$157=Misc_Inputs!$D$6,$G97,IF(SUM(IF($G$157:$AF$157&gt;=ROUND(IF((H$157-Sys_Repl_Rate!H131)&lt;Tech_Specs!$C23,Tech_Specs!$C23,(H$157-Sys_Repl_Rate!H131)),0),IF($G$157:$AF$157&lt;=H$157,IF(Tech_Specs!$K23="lamp",System_Mkt_Repl!$F349:$AE349+System_Mkt_NC!$G349:$AF349,Lamp_Mkt_Repl!$G59:$AF59+System_Mkt_NC!$G349:$AF349))))=0,0,SUMPRODUCT(IF($G$157:$AF$157&gt;=ROUND(IF((H$157-Sys_Repl_Rate!H131)&lt;Tech_Specs!$C23,Tech_Specs!$C23,(H$157-Sys_Repl_Rate!H131)),0),IF($G$157:$AF$157&lt;=H$157,$G97:$AF97)),IF(Tech_Specs!$K23="lamp",System_Mkt_Repl!$F349:$AE349+System_Mkt_NC!$G349:$AF349,Lamp_Mkt_Repl!$G59:$AF59+System_Mkt_NC!$G349:$AF349))/SUM(IF($G$157:$AF$157&gt;=ROUND(IF((H$157-Sys_Repl_Rate!H131)&lt;Tech_Specs!$C23,Tech_Specs!$C23,(H$157-Sys_Repl_Rate!H131)),0),IF($G$157:$AF$157&lt;=H$157,IF(Tech_Specs!$K23="lamp",System_Mkt_Repl!$F349:$AE349+System_Mkt_NC!$G349:$AF349,Lamp_Mkt_Repl!$G59:$AF59+System_Mkt_NC!$G349:$AF349))))))</f>
        <v>100.91658587766983</v>
      </c>
      <c r="I173" s="373">
        <f t="array" ref="I173">IF(I$157=Misc_Inputs!$D$6,$G97,IF(SUM(IF($G$157:$AF$157&gt;=ROUND(IF((I$157-Sys_Repl_Rate!I131)&lt;Tech_Specs!$C23,Tech_Specs!$C23,(I$157-Sys_Repl_Rate!I131)),0),IF($G$157:$AF$157&lt;=I$157,IF(Tech_Specs!$K23="lamp",System_Mkt_Repl!$F349:$AE349+System_Mkt_NC!$G349:$AF349,Lamp_Mkt_Repl!$G59:$AF59+System_Mkt_NC!$G349:$AF349))))=0,0,SUMPRODUCT(IF($G$157:$AF$157&gt;=ROUND(IF((I$157-Sys_Repl_Rate!I131)&lt;Tech_Specs!$C23,Tech_Specs!$C23,(I$157-Sys_Repl_Rate!I131)),0),IF($G$157:$AF$157&lt;=I$157,$G97:$AF97)),IF(Tech_Specs!$K23="lamp",System_Mkt_Repl!$F349:$AE349+System_Mkt_NC!$G349:$AF349,Lamp_Mkt_Repl!$G59:$AF59+System_Mkt_NC!$G349:$AF349))/SUM(IF($G$157:$AF$157&gt;=ROUND(IF((I$157-Sys_Repl_Rate!I131)&lt;Tech_Specs!$C23,Tech_Specs!$C23,(I$157-Sys_Repl_Rate!I131)),0),IF($G$157:$AF$157&lt;=I$157,IF(Tech_Specs!$K23="lamp",System_Mkt_Repl!$F349:$AE349+System_Mkt_NC!$G349:$AF349,Lamp_Mkt_Repl!$G59:$AF59+System_Mkt_NC!$G349:$AF349))))))</f>
        <v>101.19970042443293</v>
      </c>
      <c r="J173" s="373">
        <f t="array" ref="J173">IF(J$157=Misc_Inputs!$D$6,$G97,IF(SUM(IF($G$157:$AF$157&gt;=ROUND(IF((J$157-Sys_Repl_Rate!J131)&lt;Tech_Specs!$C23,Tech_Specs!$C23,(J$157-Sys_Repl_Rate!J131)),0),IF($G$157:$AF$157&lt;=J$157,IF(Tech_Specs!$K23="lamp",System_Mkt_Repl!$F349:$AE349+System_Mkt_NC!$G349:$AF349,Lamp_Mkt_Repl!$G59:$AF59+System_Mkt_NC!$G349:$AF349))))=0,0,SUMPRODUCT(IF($G$157:$AF$157&gt;=ROUND(IF((J$157-Sys_Repl_Rate!J131)&lt;Tech_Specs!$C23,Tech_Specs!$C23,(J$157-Sys_Repl_Rate!J131)),0),IF($G$157:$AF$157&lt;=J$157,$G97:$AF97)),IF(Tech_Specs!$K23="lamp",System_Mkt_Repl!$F349:$AE349+System_Mkt_NC!$G349:$AF349,Lamp_Mkt_Repl!$G59:$AF59+System_Mkt_NC!$G349:$AF349))/SUM(IF($G$157:$AF$157&gt;=ROUND(IF((J$157-Sys_Repl_Rate!J131)&lt;Tech_Specs!$C23,Tech_Specs!$C23,(J$157-Sys_Repl_Rate!J131)),0),IF($G$157:$AF$157&lt;=J$157,IF(Tech_Specs!$K23="lamp",System_Mkt_Repl!$F349:$AE349+System_Mkt_NC!$G349:$AF349,Lamp_Mkt_Repl!$G59:$AF59+System_Mkt_NC!$G349:$AF349))))))</f>
        <v>101.49659455358885</v>
      </c>
      <c r="K173" s="373">
        <f t="array" ref="K173">IF(K$157=Misc_Inputs!$D$6,$G97,IF(SUM(IF($G$157:$AF$157&gt;=ROUND(IF((K$157-Sys_Repl_Rate!K131)&lt;Tech_Specs!$C23,Tech_Specs!$C23,(K$157-Sys_Repl_Rate!K131)),0),IF($G$157:$AF$157&lt;=K$157,IF(Tech_Specs!$K23="lamp",System_Mkt_Repl!$F349:$AE349+System_Mkt_NC!$G349:$AF349,Lamp_Mkt_Repl!$G59:$AF59+System_Mkt_NC!$G349:$AF349))))=0,0,SUMPRODUCT(IF($G$157:$AF$157&gt;=ROUND(IF((K$157-Sys_Repl_Rate!K131)&lt;Tech_Specs!$C23,Tech_Specs!$C23,(K$157-Sys_Repl_Rate!K131)),0),IF($G$157:$AF$157&lt;=K$157,$G97:$AF97)),IF(Tech_Specs!$K23="lamp",System_Mkt_Repl!$F349:$AE349+System_Mkt_NC!$G349:$AF349,Lamp_Mkt_Repl!$G59:$AF59+System_Mkt_NC!$G349:$AF349))/SUM(IF($G$157:$AF$157&gt;=ROUND(IF((K$157-Sys_Repl_Rate!K131)&lt;Tech_Specs!$C23,Tech_Specs!$C23,(K$157-Sys_Repl_Rate!K131)),0),IF($G$157:$AF$157&lt;=K$157,IF(Tech_Specs!$K23="lamp",System_Mkt_Repl!$F349:$AE349+System_Mkt_NC!$G349:$AF349,Lamp_Mkt_Repl!$G59:$AF59+System_Mkt_NC!$G349:$AF349))))))</f>
        <v>101.80047169891007</v>
      </c>
      <c r="L173" s="373">
        <f t="array" ref="L173">IF(L$157=Misc_Inputs!$D$6,$G97,IF(SUM(IF($G$157:$AF$157&gt;=ROUND(IF((L$157-Sys_Repl_Rate!L131)&lt;Tech_Specs!$C23,Tech_Specs!$C23,(L$157-Sys_Repl_Rate!L131)),0),IF($G$157:$AF$157&lt;=L$157,IF(Tech_Specs!$K23="lamp",System_Mkt_Repl!$F349:$AE349+System_Mkt_NC!$G349:$AF349,Lamp_Mkt_Repl!$G59:$AF59+System_Mkt_NC!$G349:$AF349))))=0,0,SUMPRODUCT(IF($G$157:$AF$157&gt;=ROUND(IF((L$157-Sys_Repl_Rate!L131)&lt;Tech_Specs!$C23,Tech_Specs!$C23,(L$157-Sys_Repl_Rate!L131)),0),IF($G$157:$AF$157&lt;=L$157,$G97:$AF97)),IF(Tech_Specs!$K23="lamp",System_Mkt_Repl!$F349:$AE349+System_Mkt_NC!$G349:$AF349,Lamp_Mkt_Repl!$G59:$AF59+System_Mkt_NC!$G349:$AF349))/SUM(IF($G$157:$AF$157&gt;=ROUND(IF((L$157-Sys_Repl_Rate!L131)&lt;Tech_Specs!$C23,Tech_Specs!$C23,(L$157-Sys_Repl_Rate!L131)),0),IF($G$157:$AF$157&lt;=L$157,IF(Tech_Specs!$K23="lamp",System_Mkt_Repl!$F349:$AE349+System_Mkt_NC!$G349:$AF349,Lamp_Mkt_Repl!$G59:$AF59+System_Mkt_NC!$G349:$AF349))))))</f>
        <v>102.10832543007558</v>
      </c>
      <c r="M173" s="373">
        <f t="array" ref="M173">IF(M$157=Misc_Inputs!$D$6,$G97,IF(SUM(IF($G$157:$AF$157&gt;=ROUND(IF((M$157-Sys_Repl_Rate!M131)&lt;Tech_Specs!$C23,Tech_Specs!$C23,(M$157-Sys_Repl_Rate!M131)),0),IF($G$157:$AF$157&lt;=M$157,IF(Tech_Specs!$K23="lamp",System_Mkt_Repl!$F349:$AE349+System_Mkt_NC!$G349:$AF349,Lamp_Mkt_Repl!$G59:$AF59+System_Mkt_NC!$G349:$AF349))))=0,0,SUMPRODUCT(IF($G$157:$AF$157&gt;=ROUND(IF((M$157-Sys_Repl_Rate!M131)&lt;Tech_Specs!$C23,Tech_Specs!$C23,(M$157-Sys_Repl_Rate!M131)),0),IF($G$157:$AF$157&lt;=M$157,$G97:$AF97)),IF(Tech_Specs!$K23="lamp",System_Mkt_Repl!$F349:$AE349+System_Mkt_NC!$G349:$AF349,Lamp_Mkt_Repl!$G59:$AF59+System_Mkt_NC!$G349:$AF349))/SUM(IF($G$157:$AF$157&gt;=ROUND(IF((M$157-Sys_Repl_Rate!M131)&lt;Tech_Specs!$C23,Tech_Specs!$C23,(M$157-Sys_Repl_Rate!M131)),0),IF($G$157:$AF$157&lt;=M$157,IF(Tech_Specs!$K23="lamp",System_Mkt_Repl!$F349:$AE349+System_Mkt_NC!$G349:$AF349,Lamp_Mkt_Repl!$G59:$AF59+System_Mkt_NC!$G349:$AF349))))))</f>
        <v>102.41599499535911</v>
      </c>
      <c r="N173" s="373">
        <f t="array" ref="N173">IF(N$157=Misc_Inputs!$D$6,$G97,IF(SUM(IF($G$157:$AF$157&gt;=ROUND(IF((N$157-Sys_Repl_Rate!N131)&lt;Tech_Specs!$C23,Tech_Specs!$C23,(N$157-Sys_Repl_Rate!N131)),0),IF($G$157:$AF$157&lt;=N$157,IF(Tech_Specs!$K23="lamp",System_Mkt_Repl!$F349:$AE349+System_Mkt_NC!$G349:$AF349,Lamp_Mkt_Repl!$G59:$AF59+System_Mkt_NC!$G349:$AF349))))=0,0,SUMPRODUCT(IF($G$157:$AF$157&gt;=ROUND(IF((N$157-Sys_Repl_Rate!N131)&lt;Tech_Specs!$C23,Tech_Specs!$C23,(N$157-Sys_Repl_Rate!N131)),0),IF($G$157:$AF$157&lt;=N$157,$G97:$AF97)),IF(Tech_Specs!$K23="lamp",System_Mkt_Repl!$F349:$AE349+System_Mkt_NC!$G349:$AF349,Lamp_Mkt_Repl!$G59:$AF59+System_Mkt_NC!$G349:$AF349))/SUM(IF($G$157:$AF$157&gt;=ROUND(IF((N$157-Sys_Repl_Rate!N131)&lt;Tech_Specs!$C23,Tech_Specs!$C23,(N$157-Sys_Repl_Rate!N131)),0),IF($G$157:$AF$157&lt;=N$157,IF(Tech_Specs!$K23="lamp",System_Mkt_Repl!$F349:$AE349+System_Mkt_NC!$G349:$AF349,Lamp_Mkt_Repl!$G59:$AF59+System_Mkt_NC!$G349:$AF349))))))</f>
        <v>102.71879565435643</v>
      </c>
      <c r="O173" s="373">
        <f t="array" ref="O173">IF(O$157=Misc_Inputs!$D$6,$G97,IF(SUM(IF($G$157:$AF$157&gt;=ROUND(IF((O$157-Sys_Repl_Rate!O131)&lt;Tech_Specs!$C23,Tech_Specs!$C23,(O$157-Sys_Repl_Rate!O131)),0),IF($G$157:$AF$157&lt;=O$157,IF(Tech_Specs!$K23="lamp",System_Mkt_Repl!$F349:$AE349+System_Mkt_NC!$G349:$AF349,Lamp_Mkt_Repl!$G59:$AF59+System_Mkt_NC!$G349:$AF349))))=0,0,SUMPRODUCT(IF($G$157:$AF$157&gt;=ROUND(IF((O$157-Sys_Repl_Rate!O131)&lt;Tech_Specs!$C23,Tech_Specs!$C23,(O$157-Sys_Repl_Rate!O131)),0),IF($G$157:$AF$157&lt;=O$157,$G97:$AF97)),IF(Tech_Specs!$K23="lamp",System_Mkt_Repl!$F349:$AE349+System_Mkt_NC!$G349:$AF349,Lamp_Mkt_Repl!$G59:$AF59+System_Mkt_NC!$G349:$AF349))/SUM(IF($G$157:$AF$157&gt;=ROUND(IF((O$157-Sys_Repl_Rate!O131)&lt;Tech_Specs!$C23,Tech_Specs!$C23,(O$157-Sys_Repl_Rate!O131)),0),IF($G$157:$AF$157&lt;=O$157,IF(Tech_Specs!$K23="lamp",System_Mkt_Repl!$F349:$AE349+System_Mkt_NC!$G349:$AF349,Lamp_Mkt_Repl!$G59:$AF59+System_Mkt_NC!$G349:$AF349))))))</f>
        <v>103.0148456557647</v>
      </c>
      <c r="P173" s="373">
        <f t="array" ref="P173">IF(P$157=Misc_Inputs!$D$6,$G97,IF(SUM(IF($G$157:$AF$157&gt;=ROUND(IF((P$157-Sys_Repl_Rate!P131)&lt;Tech_Specs!$C23,Tech_Specs!$C23,(P$157-Sys_Repl_Rate!P131)),0),IF($G$157:$AF$157&lt;=P$157,IF(Tech_Specs!$K23="lamp",System_Mkt_Repl!$F349:$AE349+System_Mkt_NC!$G349:$AF349,Lamp_Mkt_Repl!$G59:$AF59+System_Mkt_NC!$G349:$AF349))))=0,0,SUMPRODUCT(IF($G$157:$AF$157&gt;=ROUND(IF((P$157-Sys_Repl_Rate!P131)&lt;Tech_Specs!$C23,Tech_Specs!$C23,(P$157-Sys_Repl_Rate!P131)),0),IF($G$157:$AF$157&lt;=P$157,$G97:$AF97)),IF(Tech_Specs!$K23="lamp",System_Mkt_Repl!$F349:$AE349+System_Mkt_NC!$G349:$AF349,Lamp_Mkt_Repl!$G59:$AF59+System_Mkt_NC!$G349:$AF349))/SUM(IF($G$157:$AF$157&gt;=ROUND(IF((P$157-Sys_Repl_Rate!P131)&lt;Tech_Specs!$C23,Tech_Specs!$C23,(P$157-Sys_Repl_Rate!P131)),0),IF($G$157:$AF$157&lt;=P$157,IF(Tech_Specs!$K23="lamp",System_Mkt_Repl!$F349:$AE349+System_Mkt_NC!$G349:$AF349,Lamp_Mkt_Repl!$G59:$AF59+System_Mkt_NC!$G349:$AF349))))))</f>
        <v>103.30324504525473</v>
      </c>
      <c r="Q173" s="373">
        <f t="array" ref="Q173">IF(Q$157=Misc_Inputs!$D$6,$G97,IF(SUM(IF($G$157:$AF$157&gt;=ROUND(IF((Q$157-Sys_Repl_Rate!Q131)&lt;Tech_Specs!$C23,Tech_Specs!$C23,(Q$157-Sys_Repl_Rate!Q131)),0),IF($G$157:$AF$157&lt;=Q$157,IF(Tech_Specs!$K23="lamp",System_Mkt_Repl!$F349:$AE349+System_Mkt_NC!$G349:$AF349,Lamp_Mkt_Repl!$G59:$AF59+System_Mkt_NC!$G349:$AF349))))=0,0,SUMPRODUCT(IF($G$157:$AF$157&gt;=ROUND(IF((Q$157-Sys_Repl_Rate!Q131)&lt;Tech_Specs!$C23,Tech_Specs!$C23,(Q$157-Sys_Repl_Rate!Q131)),0),IF($G$157:$AF$157&lt;=Q$157,$G97:$AF97)),IF(Tech_Specs!$K23="lamp",System_Mkt_Repl!$F349:$AE349+System_Mkt_NC!$G349:$AF349,Lamp_Mkt_Repl!$G59:$AF59+System_Mkt_NC!$G349:$AF349))/SUM(IF($G$157:$AF$157&gt;=ROUND(IF((Q$157-Sys_Repl_Rate!Q131)&lt;Tech_Specs!$C23,Tech_Specs!$C23,(Q$157-Sys_Repl_Rate!Q131)),0),IF($G$157:$AF$157&lt;=Q$157,IF(Tech_Specs!$K23="lamp",System_Mkt_Repl!$F349:$AE349+System_Mkt_NC!$G349:$AF349,Lamp_Mkt_Repl!$G59:$AF59+System_Mkt_NC!$G349:$AF349))))))</f>
        <v>103.58345440153491</v>
      </c>
      <c r="R173" s="373">
        <f t="array" ref="R173">IF(R$157=Misc_Inputs!$D$6,$G97,IF(SUM(IF($G$157:$AF$157&gt;=ROUND(IF((R$157-Sys_Repl_Rate!R131)&lt;Tech_Specs!$C23,Tech_Specs!$C23,(R$157-Sys_Repl_Rate!R131)),0),IF($G$157:$AF$157&lt;=R$157,IF(Tech_Specs!$K23="lamp",System_Mkt_Repl!$F349:$AE349+System_Mkt_NC!$G349:$AF349,Lamp_Mkt_Repl!$G59:$AF59+System_Mkt_NC!$G349:$AF349))))=0,0,SUMPRODUCT(IF($G$157:$AF$157&gt;=ROUND(IF((R$157-Sys_Repl_Rate!R131)&lt;Tech_Specs!$C23,Tech_Specs!$C23,(R$157-Sys_Repl_Rate!R131)),0),IF($G$157:$AF$157&lt;=R$157,$G97:$AF97)),IF(Tech_Specs!$K23="lamp",System_Mkt_Repl!$F349:$AE349+System_Mkt_NC!$G349:$AF349,Lamp_Mkt_Repl!$G59:$AF59+System_Mkt_NC!$G349:$AF349))/SUM(IF($G$157:$AF$157&gt;=ROUND(IF((R$157-Sys_Repl_Rate!R131)&lt;Tech_Specs!$C23,Tech_Specs!$C23,(R$157-Sys_Repl_Rate!R131)),0),IF($G$157:$AF$157&lt;=R$157,IF(Tech_Specs!$K23="lamp",System_Mkt_Repl!$F349:$AE349+System_Mkt_NC!$G349:$AF349,Lamp_Mkt_Repl!$G59:$AF59+System_Mkt_NC!$G349:$AF349))))))</f>
        <v>103.85515342026852</v>
      </c>
      <c r="S173" s="373">
        <f t="array" ref="S173">IF(S$157=Misc_Inputs!$D$6,$G97,IF(SUM(IF($G$157:$AF$157&gt;=ROUND(IF((S$157-Sys_Repl_Rate!S131)&lt;Tech_Specs!$C23,Tech_Specs!$C23,(S$157-Sys_Repl_Rate!S131)),0),IF($G$157:$AF$157&lt;=S$157,IF(Tech_Specs!$K23="lamp",System_Mkt_Repl!$F349:$AE349+System_Mkt_NC!$G349:$AF349,Lamp_Mkt_Repl!$G59:$AF59+System_Mkt_NC!$G349:$AF349))))=0,0,SUMPRODUCT(IF($G$157:$AF$157&gt;=ROUND(IF((S$157-Sys_Repl_Rate!S131)&lt;Tech_Specs!$C23,Tech_Specs!$C23,(S$157-Sys_Repl_Rate!S131)),0),IF($G$157:$AF$157&lt;=S$157,$G97:$AF97)),IF(Tech_Specs!$K23="lamp",System_Mkt_Repl!$F349:$AE349+System_Mkt_NC!$G349:$AF349,Lamp_Mkt_Repl!$G59:$AF59+System_Mkt_NC!$G349:$AF349))/SUM(IF($G$157:$AF$157&gt;=ROUND(IF((S$157-Sys_Repl_Rate!S131)&lt;Tech_Specs!$C23,Tech_Specs!$C23,(S$157-Sys_Repl_Rate!S131)),0),IF($G$157:$AF$157&lt;=S$157,IF(Tech_Specs!$K23="lamp",System_Mkt_Repl!$F349:$AE349+System_Mkt_NC!$G349:$AF349,Lamp_Mkt_Repl!$G59:$AF59+System_Mkt_NC!$G349:$AF349))))))</f>
        <v>104.11940813614234</v>
      </c>
      <c r="T173" s="373">
        <f t="array" ref="T173">IF(T$157=Misc_Inputs!$D$6,$G97,IF(SUM(IF($G$157:$AF$157&gt;=ROUND(IF((T$157-Sys_Repl_Rate!T131)&lt;Tech_Specs!$C23,Tech_Specs!$C23,(T$157-Sys_Repl_Rate!T131)),0),IF($G$157:$AF$157&lt;=T$157,IF(Tech_Specs!$K23="lamp",System_Mkt_Repl!$F349:$AE349+System_Mkt_NC!$G349:$AF349,Lamp_Mkt_Repl!$G59:$AF59+System_Mkt_NC!$G349:$AF349))))=0,0,SUMPRODUCT(IF($G$157:$AF$157&gt;=ROUND(IF((T$157-Sys_Repl_Rate!T131)&lt;Tech_Specs!$C23,Tech_Specs!$C23,(T$157-Sys_Repl_Rate!T131)),0),IF($G$157:$AF$157&lt;=T$157,$G97:$AF97)),IF(Tech_Specs!$K23="lamp",System_Mkt_Repl!$F349:$AE349+System_Mkt_NC!$G349:$AF349,Lamp_Mkt_Repl!$G59:$AF59+System_Mkt_NC!$G349:$AF349))/SUM(IF($G$157:$AF$157&gt;=ROUND(IF((T$157-Sys_Repl_Rate!T131)&lt;Tech_Specs!$C23,Tech_Specs!$C23,(T$157-Sys_Repl_Rate!T131)),0),IF($G$157:$AF$157&lt;=T$157,IF(Tech_Specs!$K23="lamp",System_Mkt_Repl!$F349:$AE349+System_Mkt_NC!$G349:$AF349,Lamp_Mkt_Repl!$G59:$AF59+System_Mkt_NC!$G349:$AF349))))))</f>
        <v>104.37657927614779</v>
      </c>
      <c r="U173" s="373">
        <f t="array" ref="U173">IF(U$157=Misc_Inputs!$D$6,$G97,IF(SUM(IF($G$157:$AF$157&gt;=ROUND(IF((U$157-Sys_Repl_Rate!U131)&lt;Tech_Specs!$C23,Tech_Specs!$C23,(U$157-Sys_Repl_Rate!U131)),0),IF($G$157:$AF$157&lt;=U$157,IF(Tech_Specs!$K23="lamp",System_Mkt_Repl!$F349:$AE349+System_Mkt_NC!$G349:$AF349,Lamp_Mkt_Repl!$G59:$AF59+System_Mkt_NC!$G349:$AF349))))=0,0,SUMPRODUCT(IF($G$157:$AF$157&gt;=ROUND(IF((U$157-Sys_Repl_Rate!U131)&lt;Tech_Specs!$C23,Tech_Specs!$C23,(U$157-Sys_Repl_Rate!U131)),0),IF($G$157:$AF$157&lt;=U$157,$G97:$AF97)),IF(Tech_Specs!$K23="lamp",System_Mkt_Repl!$F349:$AE349+System_Mkt_NC!$G349:$AF349,Lamp_Mkt_Repl!$G59:$AF59+System_Mkt_NC!$G349:$AF349))/SUM(IF($G$157:$AF$157&gt;=ROUND(IF((U$157-Sys_Repl_Rate!U131)&lt;Tech_Specs!$C23,Tech_Specs!$C23,(U$157-Sys_Repl_Rate!U131)),0),IF($G$157:$AF$157&lt;=U$157,IF(Tech_Specs!$K23="lamp",System_Mkt_Repl!$F349:$AE349+System_Mkt_NC!$G349:$AF349,Lamp_Mkt_Repl!$G59:$AF59+System_Mkt_NC!$G349:$AF349))))))</f>
        <v>104.62727153966807</v>
      </c>
      <c r="V173" s="373">
        <f t="array" ref="V173">IF(V$157=Misc_Inputs!$D$6,$G97,IF(SUM(IF($G$157:$AF$157&gt;=ROUND(IF((V$157-Sys_Repl_Rate!V131)&lt;Tech_Specs!$C23,Tech_Specs!$C23,(V$157-Sys_Repl_Rate!V131)),0),IF($G$157:$AF$157&lt;=V$157,IF(Tech_Specs!$K23="lamp",System_Mkt_Repl!$F349:$AE349+System_Mkt_NC!$G349:$AF349,Lamp_Mkt_Repl!$G59:$AF59+System_Mkt_NC!$G349:$AF349))))=0,0,SUMPRODUCT(IF($G$157:$AF$157&gt;=ROUND(IF((V$157-Sys_Repl_Rate!V131)&lt;Tech_Specs!$C23,Tech_Specs!$C23,(V$157-Sys_Repl_Rate!V131)),0),IF($G$157:$AF$157&lt;=V$157,$G97:$AF97)),IF(Tech_Specs!$K23="lamp",System_Mkt_Repl!$F349:$AE349+System_Mkt_NC!$G349:$AF349,Lamp_Mkt_Repl!$G59:$AF59+System_Mkt_NC!$G349:$AF349))/SUM(IF($G$157:$AF$157&gt;=ROUND(IF((V$157-Sys_Repl_Rate!V131)&lt;Tech_Specs!$C23,Tech_Specs!$C23,(V$157-Sys_Repl_Rate!V131)),0),IF($G$157:$AF$157&lt;=V$157,IF(Tech_Specs!$K23="lamp",System_Mkt_Repl!$F349:$AE349+System_Mkt_NC!$G349:$AF349,Lamp_Mkt_Repl!$G59:$AF59+System_Mkt_NC!$G349:$AF349))))))</f>
        <v>104.87269103757025</v>
      </c>
      <c r="W173" s="373">
        <f t="array" ref="W173">IF(W$157=Misc_Inputs!$D$6,$G97,IF(SUM(IF($G$157:$AF$157&gt;=ROUND(IF((W$157-Sys_Repl_Rate!W131)&lt;Tech_Specs!$C23,Tech_Specs!$C23,(W$157-Sys_Repl_Rate!W131)),0),IF($G$157:$AF$157&lt;=W$157,IF(Tech_Specs!$K23="lamp",System_Mkt_Repl!$F349:$AE349+System_Mkt_NC!$G349:$AF349,Lamp_Mkt_Repl!$G59:$AF59+System_Mkt_NC!$G349:$AF349))))=0,0,SUMPRODUCT(IF($G$157:$AF$157&gt;=ROUND(IF((W$157-Sys_Repl_Rate!W131)&lt;Tech_Specs!$C23,Tech_Specs!$C23,(W$157-Sys_Repl_Rate!W131)),0),IF($G$157:$AF$157&lt;=W$157,$G97:$AF97)),IF(Tech_Specs!$K23="lamp",System_Mkt_Repl!$F349:$AE349+System_Mkt_NC!$G349:$AF349,Lamp_Mkt_Repl!$G59:$AF59+System_Mkt_NC!$G349:$AF349))/SUM(IF($G$157:$AF$157&gt;=ROUND(IF((W$157-Sys_Repl_Rate!W131)&lt;Tech_Specs!$C23,Tech_Specs!$C23,(W$157-Sys_Repl_Rate!W131)),0),IF($G$157:$AF$157&lt;=W$157,IF(Tech_Specs!$K23="lamp",System_Mkt_Repl!$F349:$AE349+System_Mkt_NC!$G349:$AF349,Lamp_Mkt_Repl!$G59:$AF59+System_Mkt_NC!$G349:$AF349))))))</f>
        <v>105.11340709788837</v>
      </c>
      <c r="X173" s="373">
        <f t="array" ref="X173">IF(X$157=Misc_Inputs!$D$6,$G97,IF(SUM(IF($G$157:$AF$157&gt;=ROUND(IF((X$157-Sys_Repl_Rate!X131)&lt;Tech_Specs!$C23,Tech_Specs!$C23,(X$157-Sys_Repl_Rate!X131)),0),IF($G$157:$AF$157&lt;=X$157,IF(Tech_Specs!$K23="lamp",System_Mkt_Repl!$F349:$AE349+System_Mkt_NC!$G349:$AF349,Lamp_Mkt_Repl!$G59:$AF59+System_Mkt_NC!$G349:$AF349))))=0,0,SUMPRODUCT(IF($G$157:$AF$157&gt;=ROUND(IF((X$157-Sys_Repl_Rate!X131)&lt;Tech_Specs!$C23,Tech_Specs!$C23,(X$157-Sys_Repl_Rate!X131)),0),IF($G$157:$AF$157&lt;=X$157,$G97:$AF97)),IF(Tech_Specs!$K23="lamp",System_Mkt_Repl!$F349:$AE349+System_Mkt_NC!$G349:$AF349,Lamp_Mkt_Repl!$G59:$AF59+System_Mkt_NC!$G349:$AF349))/SUM(IF($G$157:$AF$157&gt;=ROUND(IF((X$157-Sys_Repl_Rate!X131)&lt;Tech_Specs!$C23,Tech_Specs!$C23,(X$157-Sys_Repl_Rate!X131)),0),IF($G$157:$AF$157&lt;=X$157,IF(Tech_Specs!$K23="lamp",System_Mkt_Repl!$F349:$AE349+System_Mkt_NC!$G349:$AF349,Lamp_Mkt_Repl!$G59:$AF59+System_Mkt_NC!$G349:$AF349))))))</f>
        <v>105.34999435358303</v>
      </c>
      <c r="Y173" s="373">
        <f t="array" ref="Y173">IF(Y$157=Misc_Inputs!$D$6,$G97,IF(SUM(IF($G$157:$AF$157&gt;=ROUND(IF((Y$157-Sys_Repl_Rate!Y131)&lt;Tech_Specs!$C23,Tech_Specs!$C23,(Y$157-Sys_Repl_Rate!Y131)),0),IF($G$157:$AF$157&lt;=Y$157,IF(Tech_Specs!$K23="lamp",System_Mkt_Repl!$F349:$AE349+System_Mkt_NC!$G349:$AF349,Lamp_Mkt_Repl!$G59:$AF59+System_Mkt_NC!$G349:$AF349))))=0,0,SUMPRODUCT(IF($G$157:$AF$157&gt;=ROUND(IF((Y$157-Sys_Repl_Rate!Y131)&lt;Tech_Specs!$C23,Tech_Specs!$C23,(Y$157-Sys_Repl_Rate!Y131)),0),IF($G$157:$AF$157&lt;=Y$157,$G97:$AF97)),IF(Tech_Specs!$K23="lamp",System_Mkt_Repl!$F349:$AE349+System_Mkt_NC!$G349:$AF349,Lamp_Mkt_Repl!$G59:$AF59+System_Mkt_NC!$G349:$AF349))/SUM(IF($G$157:$AF$157&gt;=ROUND(IF((Y$157-Sys_Repl_Rate!Y131)&lt;Tech_Specs!$C23,Tech_Specs!$C23,(Y$157-Sys_Repl_Rate!Y131)),0),IF($G$157:$AF$157&lt;=Y$157,IF(Tech_Specs!$K23="lamp",System_Mkt_Repl!$F349:$AE349+System_Mkt_NC!$G349:$AF349,Lamp_Mkt_Repl!$G59:$AF59+System_Mkt_NC!$G349:$AF349))))))</f>
        <v>105.58306622764417</v>
      </c>
      <c r="Z173" s="373">
        <f t="array" ref="Z173">IF(Z$157=Misc_Inputs!$D$6,$G97,IF(SUM(IF($G$157:$AF$157&gt;=ROUND(IF((Z$157-Sys_Repl_Rate!Z131)&lt;Tech_Specs!$C23,Tech_Specs!$C23,(Z$157-Sys_Repl_Rate!Z131)),0),IF($G$157:$AF$157&lt;=Z$157,IF(Tech_Specs!$K23="lamp",System_Mkt_Repl!$F349:$AE349+System_Mkt_NC!$G349:$AF349,Lamp_Mkt_Repl!$G59:$AF59+System_Mkt_NC!$G349:$AF349))))=0,0,SUMPRODUCT(IF($G$157:$AF$157&gt;=ROUND(IF((Z$157-Sys_Repl_Rate!Z131)&lt;Tech_Specs!$C23,Tech_Specs!$C23,(Z$157-Sys_Repl_Rate!Z131)),0),IF($G$157:$AF$157&lt;=Z$157,$G97:$AF97)),IF(Tech_Specs!$K23="lamp",System_Mkt_Repl!$F349:$AE349+System_Mkt_NC!$G349:$AF349,Lamp_Mkt_Repl!$G59:$AF59+System_Mkt_NC!$G349:$AF349))/SUM(IF($G$157:$AF$157&gt;=ROUND(IF((Z$157-Sys_Repl_Rate!Z131)&lt;Tech_Specs!$C23,Tech_Specs!$C23,(Z$157-Sys_Repl_Rate!Z131)),0),IF($G$157:$AF$157&lt;=Z$157,IF(Tech_Specs!$K23="lamp",System_Mkt_Repl!$F349:$AE349+System_Mkt_NC!$G349:$AF349,Lamp_Mkt_Repl!$G59:$AF59+System_Mkt_NC!$G349:$AF349))))))</f>
        <v>105.8135417247975</v>
      </c>
      <c r="AA173" s="373">
        <f t="array" ref="AA173">IF(AA$157=Misc_Inputs!$D$6,$G97,IF(SUM(IF($G$157:$AF$157&gt;=ROUND(IF((AA$157-Sys_Repl_Rate!AA131)&lt;Tech_Specs!$C23,Tech_Specs!$C23,(AA$157-Sys_Repl_Rate!AA131)),0),IF($G$157:$AF$157&lt;=AA$157,IF(Tech_Specs!$K23="lamp",System_Mkt_Repl!$F349:$AE349+System_Mkt_NC!$G349:$AF349,Lamp_Mkt_Repl!$G59:$AF59+System_Mkt_NC!$G349:$AF349))))=0,0,SUMPRODUCT(IF($G$157:$AF$157&gt;=ROUND(IF((AA$157-Sys_Repl_Rate!AA131)&lt;Tech_Specs!$C23,Tech_Specs!$C23,(AA$157-Sys_Repl_Rate!AA131)),0),IF($G$157:$AF$157&lt;=AA$157,$G97:$AF97)),IF(Tech_Specs!$K23="lamp",System_Mkt_Repl!$F349:$AE349+System_Mkt_NC!$G349:$AF349,Lamp_Mkt_Repl!$G59:$AF59+System_Mkt_NC!$G349:$AF349))/SUM(IF($G$157:$AF$157&gt;=ROUND(IF((AA$157-Sys_Repl_Rate!AA131)&lt;Tech_Specs!$C23,Tech_Specs!$C23,(AA$157-Sys_Repl_Rate!AA131)),0),IF($G$157:$AF$157&lt;=AA$157,IF(Tech_Specs!$K23="lamp",System_Mkt_Repl!$F349:$AE349+System_Mkt_NC!$G349:$AF349,Lamp_Mkt_Repl!$G59:$AF59+System_Mkt_NC!$G349:$AF349))))))</f>
        <v>106.04230478746679</v>
      </c>
      <c r="AB173" s="373">
        <f t="array" ref="AB173">IF(AB$157=Misc_Inputs!$D$6,$G97,IF(SUM(IF($G$157:$AF$157&gt;=ROUND(IF((AB$157-Sys_Repl_Rate!AB131)&lt;Tech_Specs!$C23,Tech_Specs!$C23,(AB$157-Sys_Repl_Rate!AB131)),0),IF($G$157:$AF$157&lt;=AB$157,IF(Tech_Specs!$K23="lamp",System_Mkt_Repl!$F349:$AE349+System_Mkt_NC!$G349:$AF349,Lamp_Mkt_Repl!$G59:$AF59+System_Mkt_NC!$G349:$AF349))))=0,0,SUMPRODUCT(IF($G$157:$AF$157&gt;=ROUND(IF((AB$157-Sys_Repl_Rate!AB131)&lt;Tech_Specs!$C23,Tech_Specs!$C23,(AB$157-Sys_Repl_Rate!AB131)),0),IF($G$157:$AF$157&lt;=AB$157,$G97:$AF97)),IF(Tech_Specs!$K23="lamp",System_Mkt_Repl!$F349:$AE349+System_Mkt_NC!$G349:$AF349,Lamp_Mkt_Repl!$G59:$AF59+System_Mkt_NC!$G349:$AF349))/SUM(IF($G$157:$AF$157&gt;=ROUND(IF((AB$157-Sys_Repl_Rate!AB131)&lt;Tech_Specs!$C23,Tech_Specs!$C23,(AB$157-Sys_Repl_Rate!AB131)),0),IF($G$157:$AF$157&lt;=AB$157,IF(Tech_Specs!$K23="lamp",System_Mkt_Repl!$F349:$AE349+System_Mkt_NC!$G349:$AF349,Lamp_Mkt_Repl!$G59:$AF59+System_Mkt_NC!$G349:$AF349))))))</f>
        <v>106.27004589592656</v>
      </c>
      <c r="AC173" s="373">
        <f t="array" ref="AC173">IF(AC$157=Misc_Inputs!$D$6,$G97,IF(SUM(IF($G$157:$AF$157&gt;=ROUND(IF((AC$157-Sys_Repl_Rate!AC131)&lt;Tech_Specs!$C23,Tech_Specs!$C23,(AC$157-Sys_Repl_Rate!AC131)),0),IF($G$157:$AF$157&lt;=AC$157,IF(Tech_Specs!$K23="lamp",System_Mkt_Repl!$F349:$AE349+System_Mkt_NC!$G349:$AF349,Lamp_Mkt_Repl!$G59:$AF59+System_Mkt_NC!$G349:$AF349))))=0,0,SUMPRODUCT(IF($G$157:$AF$157&gt;=ROUND(IF((AC$157-Sys_Repl_Rate!AC131)&lt;Tech_Specs!$C23,Tech_Specs!$C23,(AC$157-Sys_Repl_Rate!AC131)),0),IF($G$157:$AF$157&lt;=AC$157,$G97:$AF97)),IF(Tech_Specs!$K23="lamp",System_Mkt_Repl!$F349:$AE349+System_Mkt_NC!$G349:$AF349,Lamp_Mkt_Repl!$G59:$AF59+System_Mkt_NC!$G349:$AF349))/SUM(IF($G$157:$AF$157&gt;=ROUND(IF((AC$157-Sys_Repl_Rate!AC131)&lt;Tech_Specs!$C23,Tech_Specs!$C23,(AC$157-Sys_Repl_Rate!AC131)),0),IF($G$157:$AF$157&lt;=AC$157,IF(Tech_Specs!$K23="lamp",System_Mkt_Repl!$F349:$AE349+System_Mkt_NC!$G349:$AF349,Lamp_Mkt_Repl!$G59:$AF59+System_Mkt_NC!$G349:$AF349))))))</f>
        <v>106.49644721470432</v>
      </c>
      <c r="AD173" s="373">
        <f t="array" ref="AD173">IF(AD$157=Misc_Inputs!$D$6,$G97,IF(SUM(IF($G$157:$AF$157&gt;=ROUND(IF((AD$157-Sys_Repl_Rate!AD131)&lt;Tech_Specs!$C23,Tech_Specs!$C23,(AD$157-Sys_Repl_Rate!AD131)),0),IF($G$157:$AF$157&lt;=AD$157,IF(Tech_Specs!$K23="lamp",System_Mkt_Repl!$F349:$AE349+System_Mkt_NC!$G349:$AF349,Lamp_Mkt_Repl!$G59:$AF59+System_Mkt_NC!$G349:$AF349))))=0,0,SUMPRODUCT(IF($G$157:$AF$157&gt;=ROUND(IF((AD$157-Sys_Repl_Rate!AD131)&lt;Tech_Specs!$C23,Tech_Specs!$C23,(AD$157-Sys_Repl_Rate!AD131)),0),IF($G$157:$AF$157&lt;=AD$157,$G97:$AF97)),IF(Tech_Specs!$K23="lamp",System_Mkt_Repl!$F349:$AE349+System_Mkt_NC!$G349:$AF349,Lamp_Mkt_Repl!$G59:$AF59+System_Mkt_NC!$G349:$AF349))/SUM(IF($G$157:$AF$157&gt;=ROUND(IF((AD$157-Sys_Repl_Rate!AD131)&lt;Tech_Specs!$C23,Tech_Specs!$C23,(AD$157-Sys_Repl_Rate!AD131)),0),IF($G$157:$AF$157&lt;=AD$157,IF(Tech_Specs!$K23="lamp",System_Mkt_Repl!$F349:$AE349+System_Mkt_NC!$G349:$AF349,Lamp_Mkt_Repl!$G59:$AF59+System_Mkt_NC!$G349:$AF349))))))</f>
        <v>106.72168090844475</v>
      </c>
      <c r="AE173" s="373">
        <f t="array" ref="AE173">IF(AE$157=Misc_Inputs!$D$6,$G97,IF(SUM(IF($G$157:$AF$157&gt;=ROUND(IF((AE$157-Sys_Repl_Rate!AE131)&lt;Tech_Specs!$C23,Tech_Specs!$C23,(AE$157-Sys_Repl_Rate!AE131)),0),IF($G$157:$AF$157&lt;=AE$157,IF(Tech_Specs!$K23="lamp",System_Mkt_Repl!$F349:$AE349+System_Mkt_NC!$G349:$AF349,Lamp_Mkt_Repl!$G59:$AF59+System_Mkt_NC!$G349:$AF349))))=0,0,SUMPRODUCT(IF($G$157:$AF$157&gt;=ROUND(IF((AE$157-Sys_Repl_Rate!AE131)&lt;Tech_Specs!$C23,Tech_Specs!$C23,(AE$157-Sys_Repl_Rate!AE131)),0),IF($G$157:$AF$157&lt;=AE$157,$G97:$AF97)),IF(Tech_Specs!$K23="lamp",System_Mkt_Repl!$F349:$AE349+System_Mkt_NC!$G349:$AF349,Lamp_Mkt_Repl!$G59:$AF59+System_Mkt_NC!$G349:$AF349))/SUM(IF($G$157:$AF$157&gt;=ROUND(IF((AE$157-Sys_Repl_Rate!AE131)&lt;Tech_Specs!$C23,Tech_Specs!$C23,(AE$157-Sys_Repl_Rate!AE131)),0),IF($G$157:$AF$157&lt;=AE$157,IF(Tech_Specs!$K23="lamp",System_Mkt_Repl!$F349:$AE349+System_Mkt_NC!$G349:$AF349,Lamp_Mkt_Repl!$G59:$AF59+System_Mkt_NC!$G349:$AF349))))))</f>
        <v>106.94580519614725</v>
      </c>
      <c r="AF173" s="373">
        <f t="array" ref="AF173">IF(AF$157=Misc_Inputs!$D$6,$G97,IF(SUM(IF($G$157:$AF$157&gt;=ROUND(IF((AF$157-Sys_Repl_Rate!AF131)&lt;Tech_Specs!$C23,Tech_Specs!$C23,(AF$157-Sys_Repl_Rate!AF131)),0),IF($G$157:$AF$157&lt;=AF$157,IF(Tech_Specs!$K23="lamp",System_Mkt_Repl!$F349:$AE349+System_Mkt_NC!$G349:$AF349,Lamp_Mkt_Repl!$G59:$AF59+System_Mkt_NC!$G349:$AF349))))=0,0,SUMPRODUCT(IF($G$157:$AF$157&gt;=ROUND(IF((AF$157-Sys_Repl_Rate!AF131)&lt;Tech_Specs!$C23,Tech_Specs!$C23,(AF$157-Sys_Repl_Rate!AF131)),0),IF($G$157:$AF$157&lt;=AF$157,$G97:$AF97)),IF(Tech_Specs!$K23="lamp",System_Mkt_Repl!$F349:$AE349+System_Mkt_NC!$G349:$AF349,Lamp_Mkt_Repl!$G59:$AF59+System_Mkt_NC!$G349:$AF349))/SUM(IF($G$157:$AF$157&gt;=ROUND(IF((AF$157-Sys_Repl_Rate!AF131)&lt;Tech_Specs!$C23,Tech_Specs!$C23,(AF$157-Sys_Repl_Rate!AF131)),0),IF($G$157:$AF$157&lt;=AF$157,IF(Tech_Specs!$K23="lamp",System_Mkt_Repl!$F349:$AE349+System_Mkt_NC!$G349:$AF349,Lamp_Mkt_Repl!$G59:$AF59+System_Mkt_NC!$G349:$AF349))))))</f>
        <v>107.16827232196559</v>
      </c>
    </row>
    <row r="174" spans="1:32" s="101" customFormat="1" ht="12.75" x14ac:dyDescent="0.2">
      <c r="A174" s="81"/>
      <c r="B174" s="81" t="s">
        <v>29</v>
      </c>
      <c r="C174" s="81"/>
      <c r="D174" s="550"/>
      <c r="E174" s="550"/>
      <c r="F174" s="550"/>
      <c r="G174" s="373">
        <f t="array" ref="G174">IF(G$157=Misc_Inputs!$D$6,$G98,IF(SUM(IF($G$157:$AF$157&gt;=ROUND(IF((G$157-Sys_Repl_Rate!G132)&lt;Tech_Specs!$C24,Tech_Specs!$C24,(G$157-Sys_Repl_Rate!G132)),0),IF($G$157:$AF$157&lt;=G$157,IF(Tech_Specs!$K24="lamp",System_Mkt_Repl!$F350:$AE350+System_Mkt_NC!$G350:$AF350,Lamp_Mkt_Repl!$G60:$AF60+System_Mkt_NC!$G350:$AF350))))=0,0,SUMPRODUCT(IF($G$157:$AF$157&gt;=ROUND(IF((G$157-Sys_Repl_Rate!G132)&lt;Tech_Specs!$C24,Tech_Specs!$C24,(G$157-Sys_Repl_Rate!G132)),0),IF($G$157:$AF$157&lt;=G$157,$G98:$AF98)),IF(Tech_Specs!$K24="lamp",System_Mkt_Repl!$F350:$AE350+System_Mkt_NC!$G350:$AF350,Lamp_Mkt_Repl!$G60:$AF60+System_Mkt_NC!$G350:$AF350))/SUM(IF($G$157:$AF$157&gt;=ROUND(IF((G$157-Sys_Repl_Rate!G132)&lt;Tech_Specs!$C24,Tech_Specs!$C24,(G$157-Sys_Repl_Rate!G132)),0),IF($G$157:$AF$157&lt;=G$157,IF(Tech_Specs!$K24="lamp",System_Mkt_Repl!$F350:$AE350+System_Mkt_NC!$G350:$AF350,Lamp_Mkt_Repl!$G60:$AF60+System_Mkt_NC!$G350:$AF350))))))</f>
        <v>69.886712931315586</v>
      </c>
      <c r="H174" s="373">
        <f t="array" ref="H174">IF(H$157=Misc_Inputs!$D$6,$G98,IF(SUM(IF($G$157:$AF$157&gt;=ROUND(IF((H$157-Sys_Repl_Rate!H132)&lt;Tech_Specs!$C24,Tech_Specs!$C24,(H$157-Sys_Repl_Rate!H132)),0),IF($G$157:$AF$157&lt;=H$157,IF(Tech_Specs!$K24="lamp",System_Mkt_Repl!$F350:$AE350+System_Mkt_NC!$G350:$AF350,Lamp_Mkt_Repl!$G60:$AF60+System_Mkt_NC!$G350:$AF350))))=0,0,SUMPRODUCT(IF($G$157:$AF$157&gt;=ROUND(IF((H$157-Sys_Repl_Rate!H132)&lt;Tech_Specs!$C24,Tech_Specs!$C24,(H$157-Sys_Repl_Rate!H132)),0),IF($G$157:$AF$157&lt;=H$157,$G98:$AF98)),IF(Tech_Specs!$K24="lamp",System_Mkt_Repl!$F350:$AE350+System_Mkt_NC!$G350:$AF350,Lamp_Mkt_Repl!$G60:$AF60+System_Mkt_NC!$G350:$AF350))/SUM(IF($G$157:$AF$157&gt;=ROUND(IF((H$157-Sys_Repl_Rate!H132)&lt;Tech_Specs!$C24,Tech_Specs!$C24,(H$157-Sys_Repl_Rate!H132)),0),IF($G$157:$AF$157&lt;=H$157,IF(Tech_Specs!$K24="lamp",System_Mkt_Repl!$F350:$AE350+System_Mkt_NC!$G350:$AF350,Lamp_Mkt_Repl!$G60:$AF60+System_Mkt_NC!$G350:$AF350))))))</f>
        <v>84.617739005122857</v>
      </c>
      <c r="I174" s="373">
        <f t="array" ref="I174">IF(I$157=Misc_Inputs!$D$6,$G98,IF(SUM(IF($G$157:$AF$157&gt;=ROUND(IF((I$157-Sys_Repl_Rate!I132)&lt;Tech_Specs!$C24,Tech_Specs!$C24,(I$157-Sys_Repl_Rate!I132)),0),IF($G$157:$AF$157&lt;=I$157,IF(Tech_Specs!$K24="lamp",System_Mkt_Repl!$F350:$AE350+System_Mkt_NC!$G350:$AF350,Lamp_Mkt_Repl!$G60:$AF60+System_Mkt_NC!$G350:$AF350))))=0,0,SUMPRODUCT(IF($G$157:$AF$157&gt;=ROUND(IF((I$157-Sys_Repl_Rate!I132)&lt;Tech_Specs!$C24,Tech_Specs!$C24,(I$157-Sys_Repl_Rate!I132)),0),IF($G$157:$AF$157&lt;=I$157,$G98:$AF98)),IF(Tech_Specs!$K24="lamp",System_Mkt_Repl!$F350:$AE350+System_Mkt_NC!$G350:$AF350,Lamp_Mkt_Repl!$G60:$AF60+System_Mkt_NC!$G350:$AF350))/SUM(IF($G$157:$AF$157&gt;=ROUND(IF((I$157-Sys_Repl_Rate!I132)&lt;Tech_Specs!$C24,Tech_Specs!$C24,(I$157-Sys_Repl_Rate!I132)),0),IF($G$157:$AF$157&lt;=I$157,IF(Tech_Specs!$K24="lamp",System_Mkt_Repl!$F350:$AE350+System_Mkt_NC!$G350:$AF350,Lamp_Mkt_Repl!$G60:$AF60+System_Mkt_NC!$G350:$AF350))))))</f>
        <v>99.165841338011688</v>
      </c>
      <c r="J174" s="373">
        <f t="array" ref="J174">IF(J$157=Misc_Inputs!$D$6,$G98,IF(SUM(IF($G$157:$AF$157&gt;=ROUND(IF((J$157-Sys_Repl_Rate!J132)&lt;Tech_Specs!$C24,Tech_Specs!$C24,(J$157-Sys_Repl_Rate!J132)),0),IF($G$157:$AF$157&lt;=J$157,IF(Tech_Specs!$K24="lamp",System_Mkt_Repl!$F350:$AE350+System_Mkt_NC!$G350:$AF350,Lamp_Mkt_Repl!$G60:$AF60+System_Mkt_NC!$G350:$AF350))))=0,0,SUMPRODUCT(IF($G$157:$AF$157&gt;=ROUND(IF((J$157-Sys_Repl_Rate!J132)&lt;Tech_Specs!$C24,Tech_Specs!$C24,(J$157-Sys_Repl_Rate!J132)),0),IF($G$157:$AF$157&lt;=J$157,$G98:$AF98)),IF(Tech_Specs!$K24="lamp",System_Mkt_Repl!$F350:$AE350+System_Mkt_NC!$G350:$AF350,Lamp_Mkt_Repl!$G60:$AF60+System_Mkt_NC!$G350:$AF350))/SUM(IF($G$157:$AF$157&gt;=ROUND(IF((J$157-Sys_Repl_Rate!J132)&lt;Tech_Specs!$C24,Tech_Specs!$C24,(J$157-Sys_Repl_Rate!J132)),0),IF($G$157:$AF$157&lt;=J$157,IF(Tech_Specs!$K24="lamp",System_Mkt_Repl!$F350:$AE350+System_Mkt_NC!$G350:$AF350,Lamp_Mkt_Repl!$G60:$AF60+System_Mkt_NC!$G350:$AF350))))))</f>
        <v>113.4994157422137</v>
      </c>
      <c r="K174" s="373">
        <f t="array" ref="K174">IF(K$157=Misc_Inputs!$D$6,$G98,IF(SUM(IF($G$157:$AF$157&gt;=ROUND(IF((K$157-Sys_Repl_Rate!K132)&lt;Tech_Specs!$C24,Tech_Specs!$C24,(K$157-Sys_Repl_Rate!K132)),0),IF($G$157:$AF$157&lt;=K$157,IF(Tech_Specs!$K24="lamp",System_Mkt_Repl!$F350:$AE350+System_Mkt_NC!$G350:$AF350,Lamp_Mkt_Repl!$G60:$AF60+System_Mkt_NC!$G350:$AF350))))=0,0,SUMPRODUCT(IF($G$157:$AF$157&gt;=ROUND(IF((K$157-Sys_Repl_Rate!K132)&lt;Tech_Specs!$C24,Tech_Specs!$C24,(K$157-Sys_Repl_Rate!K132)),0),IF($G$157:$AF$157&lt;=K$157,$G98:$AF98)),IF(Tech_Specs!$K24="lamp",System_Mkt_Repl!$F350:$AE350+System_Mkt_NC!$G350:$AF350,Lamp_Mkt_Repl!$G60:$AF60+System_Mkt_NC!$G350:$AF350))/SUM(IF($G$157:$AF$157&gt;=ROUND(IF((K$157-Sys_Repl_Rate!K132)&lt;Tech_Specs!$C24,Tech_Specs!$C24,(K$157-Sys_Repl_Rate!K132)),0),IF($G$157:$AF$157&lt;=K$157,IF(Tech_Specs!$K24="lamp",System_Mkt_Repl!$F350:$AE350+System_Mkt_NC!$G350:$AF350,Lamp_Mkt_Repl!$G60:$AF60+System_Mkt_NC!$G350:$AF350))))))</f>
        <v>126.69191670591707</v>
      </c>
      <c r="L174" s="373">
        <f t="array" ref="L174">IF(L$157=Misc_Inputs!$D$6,$G98,IF(SUM(IF($G$157:$AF$157&gt;=ROUND(IF((L$157-Sys_Repl_Rate!L132)&lt;Tech_Specs!$C24,Tech_Specs!$C24,(L$157-Sys_Repl_Rate!L132)),0),IF($G$157:$AF$157&lt;=L$157,IF(Tech_Specs!$K24="lamp",System_Mkt_Repl!$F350:$AE350+System_Mkt_NC!$G350:$AF350,Lamp_Mkt_Repl!$G60:$AF60+System_Mkt_NC!$G350:$AF350))))=0,0,SUMPRODUCT(IF($G$157:$AF$157&gt;=ROUND(IF((L$157-Sys_Repl_Rate!L132)&lt;Tech_Specs!$C24,Tech_Specs!$C24,(L$157-Sys_Repl_Rate!L132)),0),IF($G$157:$AF$157&lt;=L$157,$G98:$AF98)),IF(Tech_Specs!$K24="lamp",System_Mkt_Repl!$F350:$AE350+System_Mkt_NC!$G350:$AF350,Lamp_Mkt_Repl!$G60:$AF60+System_Mkt_NC!$G350:$AF350))/SUM(IF($G$157:$AF$157&gt;=ROUND(IF((L$157-Sys_Repl_Rate!L132)&lt;Tech_Specs!$C24,Tech_Specs!$C24,(L$157-Sys_Repl_Rate!L132)),0),IF($G$157:$AF$157&lt;=L$157,IF(Tech_Specs!$K24="lamp",System_Mkt_Repl!$F350:$AE350+System_Mkt_NC!$G350:$AF350,Lamp_Mkt_Repl!$G60:$AF60+System_Mkt_NC!$G350:$AF350))))))</f>
        <v>138.66781563248901</v>
      </c>
      <c r="M174" s="373">
        <f t="array" ref="M174">IF(M$157=Misc_Inputs!$D$6,$G98,IF(SUM(IF($G$157:$AF$157&gt;=ROUND(IF((M$157-Sys_Repl_Rate!M132)&lt;Tech_Specs!$C24,Tech_Specs!$C24,(M$157-Sys_Repl_Rate!M132)),0),IF($G$157:$AF$157&lt;=M$157,IF(Tech_Specs!$K24="lamp",System_Mkt_Repl!$F350:$AE350+System_Mkt_NC!$G350:$AF350,Lamp_Mkt_Repl!$G60:$AF60+System_Mkt_NC!$G350:$AF350))))=0,0,SUMPRODUCT(IF($G$157:$AF$157&gt;=ROUND(IF((M$157-Sys_Repl_Rate!M132)&lt;Tech_Specs!$C24,Tech_Specs!$C24,(M$157-Sys_Repl_Rate!M132)),0),IF($G$157:$AF$157&lt;=M$157,$G98:$AF98)),IF(Tech_Specs!$K24="lamp",System_Mkt_Repl!$F350:$AE350+System_Mkt_NC!$G350:$AF350,Lamp_Mkt_Repl!$G60:$AF60+System_Mkt_NC!$G350:$AF350))/SUM(IF($G$157:$AF$157&gt;=ROUND(IF((M$157-Sys_Repl_Rate!M132)&lt;Tech_Specs!$C24,Tech_Specs!$C24,(M$157-Sys_Repl_Rate!M132)),0),IF($G$157:$AF$157&lt;=M$157,IF(Tech_Specs!$K24="lamp",System_Mkt_Repl!$F350:$AE350+System_Mkt_NC!$G350:$AF350,Lamp_Mkt_Repl!$G60:$AF60+System_Mkt_NC!$G350:$AF350))))))</f>
        <v>149.12801267692475</v>
      </c>
      <c r="N174" s="373">
        <f t="array" ref="N174">IF(N$157=Misc_Inputs!$D$6,$G98,IF(SUM(IF($G$157:$AF$157&gt;=ROUND(IF((N$157-Sys_Repl_Rate!N132)&lt;Tech_Specs!$C24,Tech_Specs!$C24,(N$157-Sys_Repl_Rate!N132)),0),IF($G$157:$AF$157&lt;=N$157,IF(Tech_Specs!$K24="lamp",System_Mkt_Repl!$F350:$AE350+System_Mkt_NC!$G350:$AF350,Lamp_Mkt_Repl!$G60:$AF60+System_Mkt_NC!$G350:$AF350))))=0,0,SUMPRODUCT(IF($G$157:$AF$157&gt;=ROUND(IF((N$157-Sys_Repl_Rate!N132)&lt;Tech_Specs!$C24,Tech_Specs!$C24,(N$157-Sys_Repl_Rate!N132)),0),IF($G$157:$AF$157&lt;=N$157,$G98:$AF98)),IF(Tech_Specs!$K24="lamp",System_Mkt_Repl!$F350:$AE350+System_Mkt_NC!$G350:$AF350,Lamp_Mkt_Repl!$G60:$AF60+System_Mkt_NC!$G350:$AF350))/SUM(IF($G$157:$AF$157&gt;=ROUND(IF((N$157-Sys_Repl_Rate!N132)&lt;Tech_Specs!$C24,Tech_Specs!$C24,(N$157-Sys_Repl_Rate!N132)),0),IF($G$157:$AF$157&lt;=N$157,IF(Tech_Specs!$K24="lamp",System_Mkt_Repl!$F350:$AE350+System_Mkt_NC!$G350:$AF350,Lamp_Mkt_Repl!$G60:$AF60+System_Mkt_NC!$G350:$AF350))))))</f>
        <v>158.26190156451329</v>
      </c>
      <c r="O174" s="373">
        <f t="array" ref="O174">IF(O$157=Misc_Inputs!$D$6,$G98,IF(SUM(IF($G$157:$AF$157&gt;=ROUND(IF((O$157-Sys_Repl_Rate!O132)&lt;Tech_Specs!$C24,Tech_Specs!$C24,(O$157-Sys_Repl_Rate!O132)),0),IF($G$157:$AF$157&lt;=O$157,IF(Tech_Specs!$K24="lamp",System_Mkt_Repl!$F350:$AE350+System_Mkt_NC!$G350:$AF350,Lamp_Mkt_Repl!$G60:$AF60+System_Mkt_NC!$G350:$AF350))))=0,0,SUMPRODUCT(IF($G$157:$AF$157&gt;=ROUND(IF((O$157-Sys_Repl_Rate!O132)&lt;Tech_Specs!$C24,Tech_Specs!$C24,(O$157-Sys_Repl_Rate!O132)),0),IF($G$157:$AF$157&lt;=O$157,$G98:$AF98)),IF(Tech_Specs!$K24="lamp",System_Mkt_Repl!$F350:$AE350+System_Mkt_NC!$G350:$AF350,Lamp_Mkt_Repl!$G60:$AF60+System_Mkt_NC!$G350:$AF350))/SUM(IF($G$157:$AF$157&gt;=ROUND(IF((O$157-Sys_Repl_Rate!O132)&lt;Tech_Specs!$C24,Tech_Specs!$C24,(O$157-Sys_Repl_Rate!O132)),0),IF($G$157:$AF$157&lt;=O$157,IF(Tech_Specs!$K24="lamp",System_Mkt_Repl!$F350:$AE350+System_Mkt_NC!$G350:$AF350,Lamp_Mkt_Repl!$G60:$AF60+System_Mkt_NC!$G350:$AF350))))))</f>
        <v>166.26566054449634</v>
      </c>
      <c r="P174" s="373">
        <f t="array" ref="P174">IF(P$157=Misc_Inputs!$D$6,$G98,IF(SUM(IF($G$157:$AF$157&gt;=ROUND(IF((P$157-Sys_Repl_Rate!P132)&lt;Tech_Specs!$C24,Tech_Specs!$C24,(P$157-Sys_Repl_Rate!P132)),0),IF($G$157:$AF$157&lt;=P$157,IF(Tech_Specs!$K24="lamp",System_Mkt_Repl!$F350:$AE350+System_Mkt_NC!$G350:$AF350,Lamp_Mkt_Repl!$G60:$AF60+System_Mkt_NC!$G350:$AF350))))=0,0,SUMPRODUCT(IF($G$157:$AF$157&gt;=ROUND(IF((P$157-Sys_Repl_Rate!P132)&lt;Tech_Specs!$C24,Tech_Specs!$C24,(P$157-Sys_Repl_Rate!P132)),0),IF($G$157:$AF$157&lt;=P$157,$G98:$AF98)),IF(Tech_Specs!$K24="lamp",System_Mkt_Repl!$F350:$AE350+System_Mkt_NC!$G350:$AF350,Lamp_Mkt_Repl!$G60:$AF60+System_Mkt_NC!$G350:$AF350))/SUM(IF($G$157:$AF$157&gt;=ROUND(IF((P$157-Sys_Repl_Rate!P132)&lt;Tech_Specs!$C24,Tech_Specs!$C24,(P$157-Sys_Repl_Rate!P132)),0),IF($G$157:$AF$157&lt;=P$157,IF(Tech_Specs!$K24="lamp",System_Mkt_Repl!$F350:$AE350+System_Mkt_NC!$G350:$AF350,Lamp_Mkt_Repl!$G60:$AF60+System_Mkt_NC!$G350:$AF350))))))</f>
        <v>173.29710917834271</v>
      </c>
      <c r="Q174" s="373">
        <f t="array" ref="Q174">IF(Q$157=Misc_Inputs!$D$6,$G98,IF(SUM(IF($G$157:$AF$157&gt;=ROUND(IF((Q$157-Sys_Repl_Rate!Q132)&lt;Tech_Specs!$C24,Tech_Specs!$C24,(Q$157-Sys_Repl_Rate!Q132)),0),IF($G$157:$AF$157&lt;=Q$157,IF(Tech_Specs!$K24="lamp",System_Mkt_Repl!$F350:$AE350+System_Mkt_NC!$G350:$AF350,Lamp_Mkt_Repl!$G60:$AF60+System_Mkt_NC!$G350:$AF350))))=0,0,SUMPRODUCT(IF($G$157:$AF$157&gt;=ROUND(IF((Q$157-Sys_Repl_Rate!Q132)&lt;Tech_Specs!$C24,Tech_Specs!$C24,(Q$157-Sys_Repl_Rate!Q132)),0),IF($G$157:$AF$157&lt;=Q$157,$G98:$AF98)),IF(Tech_Specs!$K24="lamp",System_Mkt_Repl!$F350:$AE350+System_Mkt_NC!$G350:$AF350,Lamp_Mkt_Repl!$G60:$AF60+System_Mkt_NC!$G350:$AF350))/SUM(IF($G$157:$AF$157&gt;=ROUND(IF((Q$157-Sys_Repl_Rate!Q132)&lt;Tech_Specs!$C24,Tech_Specs!$C24,(Q$157-Sys_Repl_Rate!Q132)),0),IF($G$157:$AF$157&lt;=Q$157,IF(Tech_Specs!$K24="lamp",System_Mkt_Repl!$F350:$AE350+System_Mkt_NC!$G350:$AF350,Lamp_Mkt_Repl!$G60:$AF60+System_Mkt_NC!$G350:$AF350))))))</f>
        <v>179.52004093590949</v>
      </c>
      <c r="R174" s="373">
        <f t="array" ref="R174">IF(R$157=Misc_Inputs!$D$6,$G98,IF(SUM(IF($G$157:$AF$157&gt;=ROUND(IF((R$157-Sys_Repl_Rate!R132)&lt;Tech_Specs!$C24,Tech_Specs!$C24,(R$157-Sys_Repl_Rate!R132)),0),IF($G$157:$AF$157&lt;=R$157,IF(Tech_Specs!$K24="lamp",System_Mkt_Repl!$F350:$AE350+System_Mkt_NC!$G350:$AF350,Lamp_Mkt_Repl!$G60:$AF60+System_Mkt_NC!$G350:$AF350))))=0,0,SUMPRODUCT(IF($G$157:$AF$157&gt;=ROUND(IF((R$157-Sys_Repl_Rate!R132)&lt;Tech_Specs!$C24,Tech_Specs!$C24,(R$157-Sys_Repl_Rate!R132)),0),IF($G$157:$AF$157&lt;=R$157,$G98:$AF98)),IF(Tech_Specs!$K24="lamp",System_Mkt_Repl!$F350:$AE350+System_Mkt_NC!$G350:$AF350,Lamp_Mkt_Repl!$G60:$AF60+System_Mkt_NC!$G350:$AF350))/SUM(IF($G$157:$AF$157&gt;=ROUND(IF((R$157-Sys_Repl_Rate!R132)&lt;Tech_Specs!$C24,Tech_Specs!$C24,(R$157-Sys_Repl_Rate!R132)),0),IF($G$157:$AF$157&lt;=R$157,IF(Tech_Specs!$K24="lamp",System_Mkt_Repl!$F350:$AE350+System_Mkt_NC!$G350:$AF350,Lamp_Mkt_Repl!$G60:$AF60+System_Mkt_NC!$G350:$AF350))))))</f>
        <v>184.05678095275604</v>
      </c>
      <c r="S174" s="373">
        <f t="array" ref="S174">IF(S$157=Misc_Inputs!$D$6,$G98,IF(SUM(IF($G$157:$AF$157&gt;=ROUND(IF((S$157-Sys_Repl_Rate!S132)&lt;Tech_Specs!$C24,Tech_Specs!$C24,(S$157-Sys_Repl_Rate!S132)),0),IF($G$157:$AF$157&lt;=S$157,IF(Tech_Specs!$K24="lamp",System_Mkt_Repl!$F350:$AE350+System_Mkt_NC!$G350:$AF350,Lamp_Mkt_Repl!$G60:$AF60+System_Mkt_NC!$G350:$AF350))))=0,0,SUMPRODUCT(IF($G$157:$AF$157&gt;=ROUND(IF((S$157-Sys_Repl_Rate!S132)&lt;Tech_Specs!$C24,Tech_Specs!$C24,(S$157-Sys_Repl_Rate!S132)),0),IF($G$157:$AF$157&lt;=S$157,$G98:$AF98)),IF(Tech_Specs!$K24="lamp",System_Mkt_Repl!$F350:$AE350+System_Mkt_NC!$G350:$AF350,Lamp_Mkt_Repl!$G60:$AF60+System_Mkt_NC!$G350:$AF350))/SUM(IF($G$157:$AF$157&gt;=ROUND(IF((S$157-Sys_Repl_Rate!S132)&lt;Tech_Specs!$C24,Tech_Specs!$C24,(S$157-Sys_Repl_Rate!S132)),0),IF($G$157:$AF$157&lt;=S$157,IF(Tech_Specs!$K24="lamp",System_Mkt_Repl!$F350:$AE350+System_Mkt_NC!$G350:$AF350,Lamp_Mkt_Repl!$G60:$AF60+System_Mkt_NC!$G350:$AF350))))))</f>
        <v>187.48916394895042</v>
      </c>
      <c r="T174" s="373">
        <f t="array" ref="T174">IF(T$157=Misc_Inputs!$D$6,$G98,IF(SUM(IF($G$157:$AF$157&gt;=ROUND(IF((T$157-Sys_Repl_Rate!T132)&lt;Tech_Specs!$C24,Tech_Specs!$C24,(T$157-Sys_Repl_Rate!T132)),0),IF($G$157:$AF$157&lt;=T$157,IF(Tech_Specs!$K24="lamp",System_Mkt_Repl!$F350:$AE350+System_Mkt_NC!$G350:$AF350,Lamp_Mkt_Repl!$G60:$AF60+System_Mkt_NC!$G350:$AF350))))=0,0,SUMPRODUCT(IF($G$157:$AF$157&gt;=ROUND(IF((T$157-Sys_Repl_Rate!T132)&lt;Tech_Specs!$C24,Tech_Specs!$C24,(T$157-Sys_Repl_Rate!T132)),0),IF($G$157:$AF$157&lt;=T$157,$G98:$AF98)),IF(Tech_Specs!$K24="lamp",System_Mkt_Repl!$F350:$AE350+System_Mkt_NC!$G350:$AF350,Lamp_Mkt_Repl!$G60:$AF60+System_Mkt_NC!$G350:$AF350))/SUM(IF($G$157:$AF$157&gt;=ROUND(IF((T$157-Sys_Repl_Rate!T132)&lt;Tech_Specs!$C24,Tech_Specs!$C24,(T$157-Sys_Repl_Rate!T132)),0),IF($G$157:$AF$157&lt;=T$157,IF(Tech_Specs!$K24="lamp",System_Mkt_Repl!$F350:$AE350+System_Mkt_NC!$G350:$AF350,Lamp_Mkt_Repl!$G60:$AF60+System_Mkt_NC!$G350:$AF350))))))</f>
        <v>190.14189113554647</v>
      </c>
      <c r="U174" s="373">
        <f t="array" ref="U174">IF(U$157=Misc_Inputs!$D$6,$G98,IF(SUM(IF($G$157:$AF$157&gt;=ROUND(IF((U$157-Sys_Repl_Rate!U132)&lt;Tech_Specs!$C24,Tech_Specs!$C24,(U$157-Sys_Repl_Rate!U132)),0),IF($G$157:$AF$157&lt;=U$157,IF(Tech_Specs!$K24="lamp",System_Mkt_Repl!$F350:$AE350+System_Mkt_NC!$G350:$AF350,Lamp_Mkt_Repl!$G60:$AF60+System_Mkt_NC!$G350:$AF350))))=0,0,SUMPRODUCT(IF($G$157:$AF$157&gt;=ROUND(IF((U$157-Sys_Repl_Rate!U132)&lt;Tech_Specs!$C24,Tech_Specs!$C24,(U$157-Sys_Repl_Rate!U132)),0),IF($G$157:$AF$157&lt;=U$157,$G98:$AF98)),IF(Tech_Specs!$K24="lamp",System_Mkt_Repl!$F350:$AE350+System_Mkt_NC!$G350:$AF350,Lamp_Mkt_Repl!$G60:$AF60+System_Mkt_NC!$G350:$AF350))/SUM(IF($G$157:$AF$157&gt;=ROUND(IF((U$157-Sys_Repl_Rate!U132)&lt;Tech_Specs!$C24,Tech_Specs!$C24,(U$157-Sys_Repl_Rate!U132)),0),IF($G$157:$AF$157&lt;=U$157,IF(Tech_Specs!$K24="lamp",System_Mkt_Repl!$F350:$AE350+System_Mkt_NC!$G350:$AF350,Lamp_Mkt_Repl!$G60:$AF60+System_Mkt_NC!$G350:$AF350))))))</f>
        <v>192.22484459783422</v>
      </c>
      <c r="V174" s="373">
        <f t="array" ref="V174">IF(V$157=Misc_Inputs!$D$6,$G98,IF(SUM(IF($G$157:$AF$157&gt;=ROUND(IF((V$157-Sys_Repl_Rate!V132)&lt;Tech_Specs!$C24,Tech_Specs!$C24,(V$157-Sys_Repl_Rate!V132)),0),IF($G$157:$AF$157&lt;=V$157,IF(Tech_Specs!$K24="lamp",System_Mkt_Repl!$F350:$AE350+System_Mkt_NC!$G350:$AF350,Lamp_Mkt_Repl!$G60:$AF60+System_Mkt_NC!$G350:$AF350))))=0,0,SUMPRODUCT(IF($G$157:$AF$157&gt;=ROUND(IF((V$157-Sys_Repl_Rate!V132)&lt;Tech_Specs!$C24,Tech_Specs!$C24,(V$157-Sys_Repl_Rate!V132)),0),IF($G$157:$AF$157&lt;=V$157,$G98:$AF98)),IF(Tech_Specs!$K24="lamp",System_Mkt_Repl!$F350:$AE350+System_Mkt_NC!$G350:$AF350,Lamp_Mkt_Repl!$G60:$AF60+System_Mkt_NC!$G350:$AF350))/SUM(IF($G$157:$AF$157&gt;=ROUND(IF((V$157-Sys_Repl_Rate!V132)&lt;Tech_Specs!$C24,Tech_Specs!$C24,(V$157-Sys_Repl_Rate!V132)),0),IF($G$157:$AF$157&lt;=V$157,IF(Tech_Specs!$K24="lamp",System_Mkt_Repl!$F350:$AE350+System_Mkt_NC!$G350:$AF350,Lamp_Mkt_Repl!$G60:$AF60+System_Mkt_NC!$G350:$AF350))))))</f>
        <v>193.88248785977157</v>
      </c>
      <c r="W174" s="373">
        <f t="array" ref="W174">IF(W$157=Misc_Inputs!$D$6,$G98,IF(SUM(IF($G$157:$AF$157&gt;=ROUND(IF((W$157-Sys_Repl_Rate!W132)&lt;Tech_Specs!$C24,Tech_Specs!$C24,(W$157-Sys_Repl_Rate!W132)),0),IF($G$157:$AF$157&lt;=W$157,IF(Tech_Specs!$K24="lamp",System_Mkt_Repl!$F350:$AE350+System_Mkt_NC!$G350:$AF350,Lamp_Mkt_Repl!$G60:$AF60+System_Mkt_NC!$G350:$AF350))))=0,0,SUMPRODUCT(IF($G$157:$AF$157&gt;=ROUND(IF((W$157-Sys_Repl_Rate!W132)&lt;Tech_Specs!$C24,Tech_Specs!$C24,(W$157-Sys_Repl_Rate!W132)),0),IF($G$157:$AF$157&lt;=W$157,$G98:$AF98)),IF(Tech_Specs!$K24="lamp",System_Mkt_Repl!$F350:$AE350+System_Mkt_NC!$G350:$AF350,Lamp_Mkt_Repl!$G60:$AF60+System_Mkt_NC!$G350:$AF350))/SUM(IF($G$157:$AF$157&gt;=ROUND(IF((W$157-Sys_Repl_Rate!W132)&lt;Tech_Specs!$C24,Tech_Specs!$C24,(W$157-Sys_Repl_Rate!W132)),0),IF($G$157:$AF$157&lt;=W$157,IF(Tech_Specs!$K24="lamp",System_Mkt_Repl!$F350:$AE350+System_Mkt_NC!$G350:$AF350,Lamp_Mkt_Repl!$G60:$AF60+System_Mkt_NC!$G350:$AF350))))))</f>
        <v>195.21443011905586</v>
      </c>
      <c r="X174" s="373">
        <f t="array" ref="X174">IF(X$157=Misc_Inputs!$D$6,$G98,IF(SUM(IF($G$157:$AF$157&gt;=ROUND(IF((X$157-Sys_Repl_Rate!X132)&lt;Tech_Specs!$C24,Tech_Specs!$C24,(X$157-Sys_Repl_Rate!X132)),0),IF($G$157:$AF$157&lt;=X$157,IF(Tech_Specs!$K24="lamp",System_Mkt_Repl!$F350:$AE350+System_Mkt_NC!$G350:$AF350,Lamp_Mkt_Repl!$G60:$AF60+System_Mkt_NC!$G350:$AF350))))=0,0,SUMPRODUCT(IF($G$157:$AF$157&gt;=ROUND(IF((X$157-Sys_Repl_Rate!X132)&lt;Tech_Specs!$C24,Tech_Specs!$C24,(X$157-Sys_Repl_Rate!X132)),0),IF($G$157:$AF$157&lt;=X$157,$G98:$AF98)),IF(Tech_Specs!$K24="lamp",System_Mkt_Repl!$F350:$AE350+System_Mkt_NC!$G350:$AF350,Lamp_Mkt_Repl!$G60:$AF60+System_Mkt_NC!$G350:$AF350))/SUM(IF($G$157:$AF$157&gt;=ROUND(IF((X$157-Sys_Repl_Rate!X132)&lt;Tech_Specs!$C24,Tech_Specs!$C24,(X$157-Sys_Repl_Rate!X132)),0),IF($G$157:$AF$157&lt;=X$157,IF(Tech_Specs!$K24="lamp",System_Mkt_Repl!$F350:$AE350+System_Mkt_NC!$G350:$AF350,Lamp_Mkt_Repl!$G60:$AF60+System_Mkt_NC!$G350:$AF350))))))</f>
        <v>196.29412240126166</v>
      </c>
      <c r="Y174" s="373">
        <f t="array" ref="Y174">IF(Y$157=Misc_Inputs!$D$6,$G98,IF(SUM(IF($G$157:$AF$157&gt;=ROUND(IF((Y$157-Sys_Repl_Rate!Y132)&lt;Tech_Specs!$C24,Tech_Specs!$C24,(Y$157-Sys_Repl_Rate!Y132)),0),IF($G$157:$AF$157&lt;=Y$157,IF(Tech_Specs!$K24="lamp",System_Mkt_Repl!$F350:$AE350+System_Mkt_NC!$G350:$AF350,Lamp_Mkt_Repl!$G60:$AF60+System_Mkt_NC!$G350:$AF350))))=0,0,SUMPRODUCT(IF($G$157:$AF$157&gt;=ROUND(IF((Y$157-Sys_Repl_Rate!Y132)&lt;Tech_Specs!$C24,Tech_Specs!$C24,(Y$157-Sys_Repl_Rate!Y132)),0),IF($G$157:$AF$157&lt;=Y$157,$G98:$AF98)),IF(Tech_Specs!$K24="lamp",System_Mkt_Repl!$F350:$AE350+System_Mkt_NC!$G350:$AF350,Lamp_Mkt_Repl!$G60:$AF60+System_Mkt_NC!$G350:$AF350))/SUM(IF($G$157:$AF$157&gt;=ROUND(IF((Y$157-Sys_Repl_Rate!Y132)&lt;Tech_Specs!$C24,Tech_Specs!$C24,(Y$157-Sys_Repl_Rate!Y132)),0),IF($G$157:$AF$157&lt;=Y$157,IF(Tech_Specs!$K24="lamp",System_Mkt_Repl!$F350:$AE350+System_Mkt_NC!$G350:$AF350,Lamp_Mkt_Repl!$G60:$AF60+System_Mkt_NC!$G350:$AF350))))))</f>
        <v>197.1776065143163</v>
      </c>
      <c r="Z174" s="373">
        <f t="array" ref="Z174">IF(Z$157=Misc_Inputs!$D$6,$G98,IF(SUM(IF($G$157:$AF$157&gt;=ROUND(IF((Z$157-Sys_Repl_Rate!Z132)&lt;Tech_Specs!$C24,Tech_Specs!$C24,(Z$157-Sys_Repl_Rate!Z132)),0),IF($G$157:$AF$157&lt;=Z$157,IF(Tech_Specs!$K24="lamp",System_Mkt_Repl!$F350:$AE350+System_Mkt_NC!$G350:$AF350,Lamp_Mkt_Repl!$G60:$AF60+System_Mkt_NC!$G350:$AF350))))=0,0,SUMPRODUCT(IF($G$157:$AF$157&gt;=ROUND(IF((Z$157-Sys_Repl_Rate!Z132)&lt;Tech_Specs!$C24,Tech_Specs!$C24,(Z$157-Sys_Repl_Rate!Z132)),0),IF($G$157:$AF$157&lt;=Z$157,$G98:$AF98)),IF(Tech_Specs!$K24="lamp",System_Mkt_Repl!$F350:$AE350+System_Mkt_NC!$G350:$AF350,Lamp_Mkt_Repl!$G60:$AF60+System_Mkt_NC!$G350:$AF350))/SUM(IF($G$157:$AF$157&gt;=ROUND(IF((Z$157-Sys_Repl_Rate!Z132)&lt;Tech_Specs!$C24,Tech_Specs!$C24,(Z$157-Sys_Repl_Rate!Z132)),0),IF($G$157:$AF$157&lt;=Z$157,IF(Tech_Specs!$K24="lamp",System_Mkt_Repl!$F350:$AE350+System_Mkt_NC!$G350:$AF350,Lamp_Mkt_Repl!$G60:$AF60+System_Mkt_NC!$G350:$AF350))))))</f>
        <v>197.90848830322992</v>
      </c>
      <c r="AA174" s="373">
        <f t="array" ref="AA174">IF(AA$157=Misc_Inputs!$D$6,$G98,IF(SUM(IF($G$157:$AF$157&gt;=ROUND(IF((AA$157-Sys_Repl_Rate!AA132)&lt;Tech_Specs!$C24,Tech_Specs!$C24,(AA$157-Sys_Repl_Rate!AA132)),0),IF($G$157:$AF$157&lt;=AA$157,IF(Tech_Specs!$K24="lamp",System_Mkt_Repl!$F350:$AE350+System_Mkt_NC!$G350:$AF350,Lamp_Mkt_Repl!$G60:$AF60+System_Mkt_NC!$G350:$AF350))))=0,0,SUMPRODUCT(IF($G$157:$AF$157&gt;=ROUND(IF((AA$157-Sys_Repl_Rate!AA132)&lt;Tech_Specs!$C24,Tech_Specs!$C24,(AA$157-Sys_Repl_Rate!AA132)),0),IF($G$157:$AF$157&lt;=AA$157,$G98:$AF98)),IF(Tech_Specs!$K24="lamp",System_Mkt_Repl!$F350:$AE350+System_Mkt_NC!$G350:$AF350,Lamp_Mkt_Repl!$G60:$AF60+System_Mkt_NC!$G350:$AF350))/SUM(IF($G$157:$AF$157&gt;=ROUND(IF((AA$157-Sys_Repl_Rate!AA132)&lt;Tech_Specs!$C24,Tech_Specs!$C24,(AA$157-Sys_Repl_Rate!AA132)),0),IF($G$157:$AF$157&lt;=AA$157,IF(Tech_Specs!$K24="lamp",System_Mkt_Repl!$F350:$AE350+System_Mkt_NC!$G350:$AF350,Lamp_Mkt_Repl!$G60:$AF60+System_Mkt_NC!$G350:$AF350))))))</f>
        <v>198.51962476597066</v>
      </c>
      <c r="AB174" s="373">
        <f t="array" ref="AB174">IF(AB$157=Misc_Inputs!$D$6,$G98,IF(SUM(IF($G$157:$AF$157&gt;=ROUND(IF((AB$157-Sys_Repl_Rate!AB132)&lt;Tech_Specs!$C24,Tech_Specs!$C24,(AB$157-Sys_Repl_Rate!AB132)),0),IF($G$157:$AF$157&lt;=AB$157,IF(Tech_Specs!$K24="lamp",System_Mkt_Repl!$F350:$AE350+System_Mkt_NC!$G350:$AF350,Lamp_Mkt_Repl!$G60:$AF60+System_Mkt_NC!$G350:$AF350))))=0,0,SUMPRODUCT(IF($G$157:$AF$157&gt;=ROUND(IF((AB$157-Sys_Repl_Rate!AB132)&lt;Tech_Specs!$C24,Tech_Specs!$C24,(AB$157-Sys_Repl_Rate!AB132)),0),IF($G$157:$AF$157&lt;=AB$157,$G98:$AF98)),IF(Tech_Specs!$K24="lamp",System_Mkt_Repl!$F350:$AE350+System_Mkt_NC!$G350:$AF350,Lamp_Mkt_Repl!$G60:$AF60+System_Mkt_NC!$G350:$AF350))/SUM(IF($G$157:$AF$157&gt;=ROUND(IF((AB$157-Sys_Repl_Rate!AB132)&lt;Tech_Specs!$C24,Tech_Specs!$C24,(AB$157-Sys_Repl_Rate!AB132)),0),IF($G$157:$AF$157&lt;=AB$157,IF(Tech_Specs!$K24="lamp",System_Mkt_Repl!$F350:$AE350+System_Mkt_NC!$G350:$AF350,Lamp_Mkt_Repl!$G60:$AF60+System_Mkt_NC!$G350:$AF350))))))</f>
        <v>199.03673099376405</v>
      </c>
      <c r="AC174" s="373">
        <f t="array" ref="AC174">IF(AC$157=Misc_Inputs!$D$6,$G98,IF(SUM(IF($G$157:$AF$157&gt;=ROUND(IF((AC$157-Sys_Repl_Rate!AC132)&lt;Tech_Specs!$C24,Tech_Specs!$C24,(AC$157-Sys_Repl_Rate!AC132)),0),IF($G$157:$AF$157&lt;=AC$157,IF(Tech_Specs!$K24="lamp",System_Mkt_Repl!$F350:$AE350+System_Mkt_NC!$G350:$AF350,Lamp_Mkt_Repl!$G60:$AF60+System_Mkt_NC!$G350:$AF350))))=0,0,SUMPRODUCT(IF($G$157:$AF$157&gt;=ROUND(IF((AC$157-Sys_Repl_Rate!AC132)&lt;Tech_Specs!$C24,Tech_Specs!$C24,(AC$157-Sys_Repl_Rate!AC132)),0),IF($G$157:$AF$157&lt;=AC$157,$G98:$AF98)),IF(Tech_Specs!$K24="lamp",System_Mkt_Repl!$F350:$AE350+System_Mkt_NC!$G350:$AF350,Lamp_Mkt_Repl!$G60:$AF60+System_Mkt_NC!$G350:$AF350))/SUM(IF($G$157:$AF$157&gt;=ROUND(IF((AC$157-Sys_Repl_Rate!AC132)&lt;Tech_Specs!$C24,Tech_Specs!$C24,(AC$157-Sys_Repl_Rate!AC132)),0),IF($G$157:$AF$157&lt;=AC$157,IF(Tech_Specs!$K24="lamp",System_Mkt_Repl!$F350:$AE350+System_Mkt_NC!$G350:$AF350,Lamp_Mkt_Repl!$G60:$AF60+System_Mkt_NC!$G350:$AF350))))))</f>
        <v>199.47551571348976</v>
      </c>
      <c r="AD174" s="373">
        <f t="array" ref="AD174">IF(AD$157=Misc_Inputs!$D$6,$G98,IF(SUM(IF($G$157:$AF$157&gt;=ROUND(IF((AD$157-Sys_Repl_Rate!AD132)&lt;Tech_Specs!$C24,Tech_Specs!$C24,(AD$157-Sys_Repl_Rate!AD132)),0),IF($G$157:$AF$157&lt;=AD$157,IF(Tech_Specs!$K24="lamp",System_Mkt_Repl!$F350:$AE350+System_Mkt_NC!$G350:$AF350,Lamp_Mkt_Repl!$G60:$AF60+System_Mkt_NC!$G350:$AF350))))=0,0,SUMPRODUCT(IF($G$157:$AF$157&gt;=ROUND(IF((AD$157-Sys_Repl_Rate!AD132)&lt;Tech_Specs!$C24,Tech_Specs!$C24,(AD$157-Sys_Repl_Rate!AD132)),0),IF($G$157:$AF$157&lt;=AD$157,$G98:$AF98)),IF(Tech_Specs!$K24="lamp",System_Mkt_Repl!$F350:$AE350+System_Mkt_NC!$G350:$AF350,Lamp_Mkt_Repl!$G60:$AF60+System_Mkt_NC!$G350:$AF350))/SUM(IF($G$157:$AF$157&gt;=ROUND(IF((AD$157-Sys_Repl_Rate!AD132)&lt;Tech_Specs!$C24,Tech_Specs!$C24,(AD$157-Sys_Repl_Rate!AD132)),0),IF($G$157:$AF$157&lt;=AD$157,IF(Tech_Specs!$K24="lamp",System_Mkt_Repl!$F350:$AE350+System_Mkt_NC!$G350:$AF350,Lamp_Mkt_Repl!$G60:$AF60+System_Mkt_NC!$G350:$AF350))))))</f>
        <v>199.85077353392288</v>
      </c>
      <c r="AE174" s="373">
        <f t="array" ref="AE174">IF(AE$157=Misc_Inputs!$D$6,$G98,IF(SUM(IF($G$157:$AF$157&gt;=ROUND(IF((AE$157-Sys_Repl_Rate!AE132)&lt;Tech_Specs!$C24,Tech_Specs!$C24,(AE$157-Sys_Repl_Rate!AE132)),0),IF($G$157:$AF$157&lt;=AE$157,IF(Tech_Specs!$K24="lamp",System_Mkt_Repl!$F350:$AE350+System_Mkt_NC!$G350:$AF350,Lamp_Mkt_Repl!$G60:$AF60+System_Mkt_NC!$G350:$AF350))))=0,0,SUMPRODUCT(IF($G$157:$AF$157&gt;=ROUND(IF((AE$157-Sys_Repl_Rate!AE132)&lt;Tech_Specs!$C24,Tech_Specs!$C24,(AE$157-Sys_Repl_Rate!AE132)),0),IF($G$157:$AF$157&lt;=AE$157,$G98:$AF98)),IF(Tech_Specs!$K24="lamp",System_Mkt_Repl!$F350:$AE350+System_Mkt_NC!$G350:$AF350,Lamp_Mkt_Repl!$G60:$AF60+System_Mkt_NC!$G350:$AF350))/SUM(IF($G$157:$AF$157&gt;=ROUND(IF((AE$157-Sys_Repl_Rate!AE132)&lt;Tech_Specs!$C24,Tech_Specs!$C24,(AE$157-Sys_Repl_Rate!AE132)),0),IF($G$157:$AF$157&lt;=AE$157,IF(Tech_Specs!$K24="lamp",System_Mkt_Repl!$F350:$AE350+System_Mkt_NC!$G350:$AF350,Lamp_Mkt_Repl!$G60:$AF60+System_Mkt_NC!$G350:$AF350))))))</f>
        <v>200.17414444100478</v>
      </c>
      <c r="AF174" s="373">
        <f t="array" ref="AF174">IF(AF$157=Misc_Inputs!$D$6,$G98,IF(SUM(IF($G$157:$AF$157&gt;=ROUND(IF((AF$157-Sys_Repl_Rate!AF132)&lt;Tech_Specs!$C24,Tech_Specs!$C24,(AF$157-Sys_Repl_Rate!AF132)),0),IF($G$157:$AF$157&lt;=AF$157,IF(Tech_Specs!$K24="lamp",System_Mkt_Repl!$F350:$AE350+System_Mkt_NC!$G350:$AF350,Lamp_Mkt_Repl!$G60:$AF60+System_Mkt_NC!$G350:$AF350))))=0,0,SUMPRODUCT(IF($G$157:$AF$157&gt;=ROUND(IF((AF$157-Sys_Repl_Rate!AF132)&lt;Tech_Specs!$C24,Tech_Specs!$C24,(AF$157-Sys_Repl_Rate!AF132)),0),IF($G$157:$AF$157&lt;=AF$157,$G98:$AF98)),IF(Tech_Specs!$K24="lamp",System_Mkt_Repl!$F350:$AE350+System_Mkt_NC!$G350:$AF350,Lamp_Mkt_Repl!$G60:$AF60+System_Mkt_NC!$G350:$AF350))/SUM(IF($G$157:$AF$157&gt;=ROUND(IF((AF$157-Sys_Repl_Rate!AF132)&lt;Tech_Specs!$C24,Tech_Specs!$C24,(AF$157-Sys_Repl_Rate!AF132)),0),IF($G$157:$AF$157&lt;=AF$157,IF(Tech_Specs!$K24="lamp",System_Mkt_Repl!$F350:$AE350+System_Mkt_NC!$G350:$AF350,Lamp_Mkt_Repl!$G60:$AF60+System_Mkt_NC!$G350:$AF350))))))</f>
        <v>200.45511970107916</v>
      </c>
    </row>
    <row r="175" spans="1:32" s="101" customFormat="1" ht="12.75" x14ac:dyDescent="0.2">
      <c r="A175" s="81"/>
      <c r="B175" s="81"/>
      <c r="C175" s="81"/>
      <c r="D175" s="550"/>
      <c r="E175" s="550"/>
      <c r="F175" s="550"/>
    </row>
    <row r="176" spans="1:32" s="101" customFormat="1" ht="12.75" x14ac:dyDescent="0.2">
      <c r="A176" s="58" t="s">
        <v>42</v>
      </c>
      <c r="B176" s="57"/>
      <c r="C176" s="57"/>
      <c r="D176" s="501"/>
      <c r="E176" s="501"/>
      <c r="F176" s="501"/>
      <c r="G176" s="191"/>
      <c r="H176" s="57"/>
      <c r="I176" s="57"/>
      <c r="J176" s="57"/>
      <c r="K176" s="57"/>
      <c r="L176" s="57"/>
      <c r="M176" s="57"/>
      <c r="N176" s="57"/>
      <c r="O176" s="57"/>
      <c r="P176" s="57"/>
      <c r="Q176" s="57"/>
      <c r="R176" s="57"/>
      <c r="S176" s="57"/>
      <c r="T176" s="57"/>
      <c r="U176" s="57"/>
      <c r="V176" s="57"/>
      <c r="W176" s="57"/>
      <c r="X176" s="57"/>
      <c r="Y176" s="57"/>
      <c r="Z176" s="57"/>
      <c r="AA176" s="57"/>
      <c r="AB176" s="57"/>
      <c r="AC176" s="57"/>
      <c r="AD176" s="57"/>
      <c r="AE176" s="57"/>
      <c r="AF176" s="57"/>
    </row>
    <row r="177" spans="1:32" s="101" customFormat="1" ht="12.75" x14ac:dyDescent="0.2">
      <c r="A177" s="81"/>
      <c r="B177" s="101" t="s">
        <v>43</v>
      </c>
      <c r="D177" s="552"/>
      <c r="E177" s="552"/>
      <c r="F177" s="552"/>
      <c r="G177" s="1178">
        <f t="array" ref="G177">IF(G$157=Misc_Inputs!$D$6,$G101,IF(SUM(IF($G$157:$AF$157&gt;=ROUND(IF((G$157-Sys_Repl_Rate!G135)&lt;Tech_Specs!$C27,Tech_Specs!$C27,(G$157-Sys_Repl_Rate!G135)),0),IF($G$157:$AF$157&lt;=G$157,IF(Tech_Specs!$K27="lamp",System_Mkt_Repl!$F353:$AE353+System_Mkt_NC!$G353:$AF353,Lamp_Mkt_Repl!$G63:$AF63+System_Mkt_NC!$G353:$AF353))))=0,0,SUMPRODUCT(IF($G$157:$AF$157&gt;=ROUND(IF((G$157-Sys_Repl_Rate!G135)&lt;Tech_Specs!$C27,Tech_Specs!$C27,(G$157-Sys_Repl_Rate!G135)),0),IF($G$157:$AF$157&lt;=G$157,$G101:$AF101)),IF(Tech_Specs!$K27="lamp",System_Mkt_Repl!$F353:$AE353+System_Mkt_NC!$G353:$AF353,Lamp_Mkt_Repl!$G63:$AF63+System_Mkt_NC!$G353:$AF353))/SUM(IF($G$157:$AF$157&gt;=ROUND(IF((G$157-Sys_Repl_Rate!G135)&lt;Tech_Specs!$C27,Tech_Specs!$C27,(G$157-Sys_Repl_Rate!G135)),0),IF($G$157:$AF$157&lt;=G$157,IF(Tech_Specs!$K27="lamp",System_Mkt_Repl!$F353:$AE353+System_Mkt_NC!$G353:$AF353,Lamp_Mkt_Repl!$G63:$AF63+System_Mkt_NC!$G353:$AF353))))))</f>
        <v>33.376777077251838</v>
      </c>
      <c r="H177" s="1178">
        <f t="array" ref="H177">IF(H$157=Misc_Inputs!$D$6,$G101,IF(SUM(IF($G$157:$AF$157&gt;=ROUND(IF((H$157-Sys_Repl_Rate!H135)&lt;Tech_Specs!$C27,Tech_Specs!$C27,(H$157-Sys_Repl_Rate!H135)),0),IF($G$157:$AF$157&lt;=H$157,IF(Tech_Specs!$K27="lamp",System_Mkt_Repl!$F353:$AE353+System_Mkt_NC!$G353:$AF353,Lamp_Mkt_Repl!$G63:$AF63+System_Mkt_NC!$G353:$AF353))))=0,0,SUMPRODUCT(IF($G$157:$AF$157&gt;=ROUND(IF((H$157-Sys_Repl_Rate!H135)&lt;Tech_Specs!$C27,Tech_Specs!$C27,(H$157-Sys_Repl_Rate!H135)),0),IF($G$157:$AF$157&lt;=H$157,$G101:$AF101)),IF(Tech_Specs!$K27="lamp",System_Mkt_Repl!$F353:$AE353+System_Mkt_NC!$G353:$AF353,Lamp_Mkt_Repl!$G63:$AF63+System_Mkt_NC!$G353:$AF353))/SUM(IF($G$157:$AF$157&gt;=ROUND(IF((H$157-Sys_Repl_Rate!H135)&lt;Tech_Specs!$C27,Tech_Specs!$C27,(H$157-Sys_Repl_Rate!H135)),0),IF($G$157:$AF$157&lt;=H$157,IF(Tech_Specs!$K27="lamp",System_Mkt_Repl!$F353:$AE353+System_Mkt_NC!$G353:$AF353,Lamp_Mkt_Repl!$G63:$AF63+System_Mkt_NC!$G353:$AF353))))))</f>
        <v>33.376777077251838</v>
      </c>
      <c r="I177" s="1178">
        <f t="array" ref="I177">IF(I$157=Misc_Inputs!$D$6,$G101,IF(SUM(IF($G$157:$AF$157&gt;=ROUND(IF((I$157-Sys_Repl_Rate!I135)&lt;Tech_Specs!$C27,Tech_Specs!$C27,(I$157-Sys_Repl_Rate!I135)),0),IF($G$157:$AF$157&lt;=I$157,IF(Tech_Specs!$K27="lamp",System_Mkt_Repl!$F353:$AE353+System_Mkt_NC!$G353:$AF353,Lamp_Mkt_Repl!$G63:$AF63+System_Mkt_NC!$G353:$AF353))))=0,0,SUMPRODUCT(IF($G$157:$AF$157&gt;=ROUND(IF((I$157-Sys_Repl_Rate!I135)&lt;Tech_Specs!$C27,Tech_Specs!$C27,(I$157-Sys_Repl_Rate!I135)),0),IF($G$157:$AF$157&lt;=I$157,$G101:$AF101)),IF(Tech_Specs!$K27="lamp",System_Mkt_Repl!$F353:$AE353+System_Mkt_NC!$G353:$AF353,Lamp_Mkt_Repl!$G63:$AF63+System_Mkt_NC!$G353:$AF353))/SUM(IF($G$157:$AF$157&gt;=ROUND(IF((I$157-Sys_Repl_Rate!I135)&lt;Tech_Specs!$C27,Tech_Specs!$C27,(I$157-Sys_Repl_Rate!I135)),0),IF($G$157:$AF$157&lt;=I$157,IF(Tech_Specs!$K27="lamp",System_Mkt_Repl!$F353:$AE353+System_Mkt_NC!$G353:$AF353,Lamp_Mkt_Repl!$G63:$AF63+System_Mkt_NC!$G353:$AF353))))))</f>
        <v>33.376777077251845</v>
      </c>
      <c r="J177" s="373">
        <f t="array" ref="J177">IF(J$157=Misc_Inputs!$D$6,$G101,IF(SUM(IF($G$157:$AF$157&gt;=ROUND(IF((J$157-Sys_Repl_Rate!J135)&lt;Tech_Specs!$C27,Tech_Specs!$C27,(J$157-Sys_Repl_Rate!J135)),0),IF($G$157:$AF$157&lt;=J$157,IF(Tech_Specs!$K27="lamp",System_Mkt_Repl!$F353:$AE353+System_Mkt_NC!$G353:$AF353,Lamp_Mkt_Repl!$G63:$AF63+System_Mkt_NC!$G353:$AF353))))=0,0,SUMPRODUCT(IF($G$157:$AF$157&gt;=ROUND(IF((J$157-Sys_Repl_Rate!J135)&lt;Tech_Specs!$C27,Tech_Specs!$C27,(J$157-Sys_Repl_Rate!J135)),0),IF($G$157:$AF$157&lt;=J$157,$G101:$AF101)),IF(Tech_Specs!$K27="lamp",System_Mkt_Repl!$F353:$AE353+System_Mkt_NC!$G353:$AF353,Lamp_Mkt_Repl!$G63:$AF63+System_Mkt_NC!$G353:$AF353))/SUM(IF($G$157:$AF$157&gt;=ROUND(IF((J$157-Sys_Repl_Rate!J135)&lt;Tech_Specs!$C27,Tech_Specs!$C27,(J$157-Sys_Repl_Rate!J135)),0),IF($G$157:$AF$157&lt;=J$157,IF(Tech_Specs!$K27="lamp",System_Mkt_Repl!$F353:$AE353+System_Mkt_NC!$G353:$AF353,Lamp_Mkt_Repl!$G63:$AF63+System_Mkt_NC!$G353:$AF353))))))</f>
        <v>33.376777077251845</v>
      </c>
      <c r="K177" s="373">
        <f t="array" ref="K177">IF(K$157=Misc_Inputs!$D$6,$G101,IF(SUM(IF($G$157:$AF$157&gt;=ROUND(IF((K$157-Sys_Repl_Rate!K135)&lt;Tech_Specs!$C27,Tech_Specs!$C27,(K$157-Sys_Repl_Rate!K135)),0),IF($G$157:$AF$157&lt;=K$157,IF(Tech_Specs!$K27="lamp",System_Mkt_Repl!$F353:$AE353+System_Mkt_NC!$G353:$AF353,Lamp_Mkt_Repl!$G63:$AF63+System_Mkt_NC!$G353:$AF353))))=0,0,SUMPRODUCT(IF($G$157:$AF$157&gt;=ROUND(IF((K$157-Sys_Repl_Rate!K135)&lt;Tech_Specs!$C27,Tech_Specs!$C27,(K$157-Sys_Repl_Rate!K135)),0),IF($G$157:$AF$157&lt;=K$157,$G101:$AF101)),IF(Tech_Specs!$K27="lamp",System_Mkt_Repl!$F353:$AE353+System_Mkt_NC!$G353:$AF353,Lamp_Mkt_Repl!$G63:$AF63+System_Mkt_NC!$G353:$AF353))/SUM(IF($G$157:$AF$157&gt;=ROUND(IF((K$157-Sys_Repl_Rate!K135)&lt;Tech_Specs!$C27,Tech_Specs!$C27,(K$157-Sys_Repl_Rate!K135)),0),IF($G$157:$AF$157&lt;=K$157,IF(Tech_Specs!$K27="lamp",System_Mkt_Repl!$F353:$AE353+System_Mkt_NC!$G353:$AF353,Lamp_Mkt_Repl!$G63:$AF63+System_Mkt_NC!$G353:$AF353))))))</f>
        <v>33.376777077251845</v>
      </c>
      <c r="L177" s="373">
        <f t="array" ref="L177">IF(L$157=Misc_Inputs!$D$6,$G101,IF(SUM(IF($G$157:$AF$157&gt;=ROUND(IF((L$157-Sys_Repl_Rate!L135)&lt;Tech_Specs!$C27,Tech_Specs!$C27,(L$157-Sys_Repl_Rate!L135)),0),IF($G$157:$AF$157&lt;=L$157,IF(Tech_Specs!$K27="lamp",System_Mkt_Repl!$F353:$AE353+System_Mkt_NC!$G353:$AF353,Lamp_Mkt_Repl!$G63:$AF63+System_Mkt_NC!$G353:$AF353))))=0,0,SUMPRODUCT(IF($G$157:$AF$157&gt;=ROUND(IF((L$157-Sys_Repl_Rate!L135)&lt;Tech_Specs!$C27,Tech_Specs!$C27,(L$157-Sys_Repl_Rate!L135)),0),IF($G$157:$AF$157&lt;=L$157,$G101:$AF101)),IF(Tech_Specs!$K27="lamp",System_Mkt_Repl!$F353:$AE353+System_Mkt_NC!$G353:$AF353,Lamp_Mkt_Repl!$G63:$AF63+System_Mkt_NC!$G353:$AF353))/SUM(IF($G$157:$AF$157&gt;=ROUND(IF((L$157-Sys_Repl_Rate!L135)&lt;Tech_Specs!$C27,Tech_Specs!$C27,(L$157-Sys_Repl_Rate!L135)),0),IF($G$157:$AF$157&lt;=L$157,IF(Tech_Specs!$K27="lamp",System_Mkt_Repl!$F353:$AE353+System_Mkt_NC!$G353:$AF353,Lamp_Mkt_Repl!$G63:$AF63+System_Mkt_NC!$G353:$AF353))))))</f>
        <v>33.376777077251845</v>
      </c>
      <c r="M177" s="373">
        <f t="array" ref="M177">IF(M$157=Misc_Inputs!$D$6,$G101,IF(SUM(IF($G$157:$AF$157&gt;=ROUND(IF((M$157-Sys_Repl_Rate!M135)&lt;Tech_Specs!$C27,Tech_Specs!$C27,(M$157-Sys_Repl_Rate!M135)),0),IF($G$157:$AF$157&lt;=M$157,IF(Tech_Specs!$K27="lamp",System_Mkt_Repl!$F353:$AE353+System_Mkt_NC!$G353:$AF353,Lamp_Mkt_Repl!$G63:$AF63+System_Mkt_NC!$G353:$AF353))))=0,0,SUMPRODUCT(IF($G$157:$AF$157&gt;=ROUND(IF((M$157-Sys_Repl_Rate!M135)&lt;Tech_Specs!$C27,Tech_Specs!$C27,(M$157-Sys_Repl_Rate!M135)),0),IF($G$157:$AF$157&lt;=M$157,$G101:$AF101)),IF(Tech_Specs!$K27="lamp",System_Mkt_Repl!$F353:$AE353+System_Mkt_NC!$G353:$AF353,Lamp_Mkt_Repl!$G63:$AF63+System_Mkt_NC!$G353:$AF353))/SUM(IF($G$157:$AF$157&gt;=ROUND(IF((M$157-Sys_Repl_Rate!M135)&lt;Tech_Specs!$C27,Tech_Specs!$C27,(M$157-Sys_Repl_Rate!M135)),0),IF($G$157:$AF$157&lt;=M$157,IF(Tech_Specs!$K27="lamp",System_Mkt_Repl!$F353:$AE353+System_Mkt_NC!$G353:$AF353,Lamp_Mkt_Repl!$G63:$AF63+System_Mkt_NC!$G353:$AF353))))))</f>
        <v>33.376777077251845</v>
      </c>
      <c r="N177" s="373">
        <f t="array" ref="N177">IF(N$157=Misc_Inputs!$D$6,$G101,IF(SUM(IF($G$157:$AF$157&gt;=ROUND(IF((N$157-Sys_Repl_Rate!N135)&lt;Tech_Specs!$C27,Tech_Specs!$C27,(N$157-Sys_Repl_Rate!N135)),0),IF($G$157:$AF$157&lt;=N$157,IF(Tech_Specs!$K27="lamp",System_Mkt_Repl!$F353:$AE353+System_Mkt_NC!$G353:$AF353,Lamp_Mkt_Repl!$G63:$AF63+System_Mkt_NC!$G353:$AF353))))=0,0,SUMPRODUCT(IF($G$157:$AF$157&gt;=ROUND(IF((N$157-Sys_Repl_Rate!N135)&lt;Tech_Specs!$C27,Tech_Specs!$C27,(N$157-Sys_Repl_Rate!N135)),0),IF($G$157:$AF$157&lt;=N$157,$G101:$AF101)),IF(Tech_Specs!$K27="lamp",System_Mkt_Repl!$F353:$AE353+System_Mkt_NC!$G353:$AF353,Lamp_Mkt_Repl!$G63:$AF63+System_Mkt_NC!$G353:$AF353))/SUM(IF($G$157:$AF$157&gt;=ROUND(IF((N$157-Sys_Repl_Rate!N135)&lt;Tech_Specs!$C27,Tech_Specs!$C27,(N$157-Sys_Repl_Rate!N135)),0),IF($G$157:$AF$157&lt;=N$157,IF(Tech_Specs!$K27="lamp",System_Mkt_Repl!$F353:$AE353+System_Mkt_NC!$G353:$AF353,Lamp_Mkt_Repl!$G63:$AF63+System_Mkt_NC!$G353:$AF353))))))</f>
        <v>33.376777077251845</v>
      </c>
      <c r="O177" s="373">
        <f t="array" ref="O177">IF(O$157=Misc_Inputs!$D$6,$G101,IF(SUM(IF($G$157:$AF$157&gt;=ROUND(IF((O$157-Sys_Repl_Rate!O135)&lt;Tech_Specs!$C27,Tech_Specs!$C27,(O$157-Sys_Repl_Rate!O135)),0),IF($G$157:$AF$157&lt;=O$157,IF(Tech_Specs!$K27="lamp",System_Mkt_Repl!$F353:$AE353+System_Mkt_NC!$G353:$AF353,Lamp_Mkt_Repl!$G63:$AF63+System_Mkt_NC!$G353:$AF353))))=0,0,SUMPRODUCT(IF($G$157:$AF$157&gt;=ROUND(IF((O$157-Sys_Repl_Rate!O135)&lt;Tech_Specs!$C27,Tech_Specs!$C27,(O$157-Sys_Repl_Rate!O135)),0),IF($G$157:$AF$157&lt;=O$157,$G101:$AF101)),IF(Tech_Specs!$K27="lamp",System_Mkt_Repl!$F353:$AE353+System_Mkt_NC!$G353:$AF353,Lamp_Mkt_Repl!$G63:$AF63+System_Mkt_NC!$G353:$AF353))/SUM(IF($G$157:$AF$157&gt;=ROUND(IF((O$157-Sys_Repl_Rate!O135)&lt;Tech_Specs!$C27,Tech_Specs!$C27,(O$157-Sys_Repl_Rate!O135)),0),IF($G$157:$AF$157&lt;=O$157,IF(Tech_Specs!$K27="lamp",System_Mkt_Repl!$F353:$AE353+System_Mkt_NC!$G353:$AF353,Lamp_Mkt_Repl!$G63:$AF63+System_Mkt_NC!$G353:$AF353))))))</f>
        <v>33.376777077251845</v>
      </c>
      <c r="P177" s="373">
        <f t="array" ref="P177">IF(P$157=Misc_Inputs!$D$6,$G101,IF(SUM(IF($G$157:$AF$157&gt;=ROUND(IF((P$157-Sys_Repl_Rate!P135)&lt;Tech_Specs!$C27,Tech_Specs!$C27,(P$157-Sys_Repl_Rate!P135)),0),IF($G$157:$AF$157&lt;=P$157,IF(Tech_Specs!$K27="lamp",System_Mkt_Repl!$F353:$AE353+System_Mkt_NC!$G353:$AF353,Lamp_Mkt_Repl!$G63:$AF63+System_Mkt_NC!$G353:$AF353))))=0,0,SUMPRODUCT(IF($G$157:$AF$157&gt;=ROUND(IF((P$157-Sys_Repl_Rate!P135)&lt;Tech_Specs!$C27,Tech_Specs!$C27,(P$157-Sys_Repl_Rate!P135)),0),IF($G$157:$AF$157&lt;=P$157,$G101:$AF101)),IF(Tech_Specs!$K27="lamp",System_Mkt_Repl!$F353:$AE353+System_Mkt_NC!$G353:$AF353,Lamp_Mkt_Repl!$G63:$AF63+System_Mkt_NC!$G353:$AF353))/SUM(IF($G$157:$AF$157&gt;=ROUND(IF((P$157-Sys_Repl_Rate!P135)&lt;Tech_Specs!$C27,Tech_Specs!$C27,(P$157-Sys_Repl_Rate!P135)),0),IF($G$157:$AF$157&lt;=P$157,IF(Tech_Specs!$K27="lamp",System_Mkt_Repl!$F353:$AE353+System_Mkt_NC!$G353:$AF353,Lamp_Mkt_Repl!$G63:$AF63+System_Mkt_NC!$G353:$AF353))))))</f>
        <v>33.376777077251845</v>
      </c>
      <c r="Q177" s="373">
        <f t="array" ref="Q177">IF(Q$157=Misc_Inputs!$D$6,$G101,IF(SUM(IF($G$157:$AF$157&gt;=ROUND(IF((Q$157-Sys_Repl_Rate!Q135)&lt;Tech_Specs!$C27,Tech_Specs!$C27,(Q$157-Sys_Repl_Rate!Q135)),0),IF($G$157:$AF$157&lt;=Q$157,IF(Tech_Specs!$K27="lamp",System_Mkt_Repl!$F353:$AE353+System_Mkt_NC!$G353:$AF353,Lamp_Mkt_Repl!$G63:$AF63+System_Mkt_NC!$G353:$AF353))))=0,0,SUMPRODUCT(IF($G$157:$AF$157&gt;=ROUND(IF((Q$157-Sys_Repl_Rate!Q135)&lt;Tech_Specs!$C27,Tech_Specs!$C27,(Q$157-Sys_Repl_Rate!Q135)),0),IF($G$157:$AF$157&lt;=Q$157,$G101:$AF101)),IF(Tech_Specs!$K27="lamp",System_Mkt_Repl!$F353:$AE353+System_Mkt_NC!$G353:$AF353,Lamp_Mkt_Repl!$G63:$AF63+System_Mkt_NC!$G353:$AF353))/SUM(IF($G$157:$AF$157&gt;=ROUND(IF((Q$157-Sys_Repl_Rate!Q135)&lt;Tech_Specs!$C27,Tech_Specs!$C27,(Q$157-Sys_Repl_Rate!Q135)),0),IF($G$157:$AF$157&lt;=Q$157,IF(Tech_Specs!$K27="lamp",System_Mkt_Repl!$F353:$AE353+System_Mkt_NC!$G353:$AF353,Lamp_Mkt_Repl!$G63:$AF63+System_Mkt_NC!$G353:$AF353))))))</f>
        <v>33.376777077251845</v>
      </c>
      <c r="R177" s="373">
        <f t="array" ref="R177">IF(R$157=Misc_Inputs!$D$6,$G101,IF(SUM(IF($G$157:$AF$157&gt;=ROUND(IF((R$157-Sys_Repl_Rate!R135)&lt;Tech_Specs!$C27,Tech_Specs!$C27,(R$157-Sys_Repl_Rate!R135)),0),IF($G$157:$AF$157&lt;=R$157,IF(Tech_Specs!$K27="lamp",System_Mkt_Repl!$F353:$AE353+System_Mkt_NC!$G353:$AF353,Lamp_Mkt_Repl!$G63:$AF63+System_Mkt_NC!$G353:$AF353))))=0,0,SUMPRODUCT(IF($G$157:$AF$157&gt;=ROUND(IF((R$157-Sys_Repl_Rate!R135)&lt;Tech_Specs!$C27,Tech_Specs!$C27,(R$157-Sys_Repl_Rate!R135)),0),IF($G$157:$AF$157&lt;=R$157,$G101:$AF101)),IF(Tech_Specs!$K27="lamp",System_Mkt_Repl!$F353:$AE353+System_Mkt_NC!$G353:$AF353,Lamp_Mkt_Repl!$G63:$AF63+System_Mkt_NC!$G353:$AF353))/SUM(IF($G$157:$AF$157&gt;=ROUND(IF((R$157-Sys_Repl_Rate!R135)&lt;Tech_Specs!$C27,Tech_Specs!$C27,(R$157-Sys_Repl_Rate!R135)),0),IF($G$157:$AF$157&lt;=R$157,IF(Tech_Specs!$K27="lamp",System_Mkt_Repl!$F353:$AE353+System_Mkt_NC!$G353:$AF353,Lamp_Mkt_Repl!$G63:$AF63+System_Mkt_NC!$G353:$AF353))))))</f>
        <v>33.376777077251845</v>
      </c>
      <c r="S177" s="373">
        <f t="array" ref="S177">IF(S$157=Misc_Inputs!$D$6,$G101,IF(SUM(IF($G$157:$AF$157&gt;=ROUND(IF((S$157-Sys_Repl_Rate!S135)&lt;Tech_Specs!$C27,Tech_Specs!$C27,(S$157-Sys_Repl_Rate!S135)),0),IF($G$157:$AF$157&lt;=S$157,IF(Tech_Specs!$K27="lamp",System_Mkt_Repl!$F353:$AE353+System_Mkt_NC!$G353:$AF353,Lamp_Mkt_Repl!$G63:$AF63+System_Mkt_NC!$G353:$AF353))))=0,0,SUMPRODUCT(IF($G$157:$AF$157&gt;=ROUND(IF((S$157-Sys_Repl_Rate!S135)&lt;Tech_Specs!$C27,Tech_Specs!$C27,(S$157-Sys_Repl_Rate!S135)),0),IF($G$157:$AF$157&lt;=S$157,$G101:$AF101)),IF(Tech_Specs!$K27="lamp",System_Mkt_Repl!$F353:$AE353+System_Mkt_NC!$G353:$AF353,Lamp_Mkt_Repl!$G63:$AF63+System_Mkt_NC!$G353:$AF353))/SUM(IF($G$157:$AF$157&gt;=ROUND(IF((S$157-Sys_Repl_Rate!S135)&lt;Tech_Specs!$C27,Tech_Specs!$C27,(S$157-Sys_Repl_Rate!S135)),0),IF($G$157:$AF$157&lt;=S$157,IF(Tech_Specs!$K27="lamp",System_Mkt_Repl!$F353:$AE353+System_Mkt_NC!$G353:$AF353,Lamp_Mkt_Repl!$G63:$AF63+System_Mkt_NC!$G353:$AF353))))))</f>
        <v>33.376777077251845</v>
      </c>
      <c r="T177" s="373">
        <f t="array" ref="T177">IF(T$157=Misc_Inputs!$D$6,$G101,IF(SUM(IF($G$157:$AF$157&gt;=ROUND(IF((T$157-Sys_Repl_Rate!T135)&lt;Tech_Specs!$C27,Tech_Specs!$C27,(T$157-Sys_Repl_Rate!T135)),0),IF($G$157:$AF$157&lt;=T$157,IF(Tech_Specs!$K27="lamp",System_Mkt_Repl!$F353:$AE353+System_Mkt_NC!$G353:$AF353,Lamp_Mkt_Repl!$G63:$AF63+System_Mkt_NC!$G353:$AF353))))=0,0,SUMPRODUCT(IF($G$157:$AF$157&gt;=ROUND(IF((T$157-Sys_Repl_Rate!T135)&lt;Tech_Specs!$C27,Tech_Specs!$C27,(T$157-Sys_Repl_Rate!T135)),0),IF($G$157:$AF$157&lt;=T$157,$G101:$AF101)),IF(Tech_Specs!$K27="lamp",System_Mkt_Repl!$F353:$AE353+System_Mkt_NC!$G353:$AF353,Lamp_Mkt_Repl!$G63:$AF63+System_Mkt_NC!$G353:$AF353))/SUM(IF($G$157:$AF$157&gt;=ROUND(IF((T$157-Sys_Repl_Rate!T135)&lt;Tech_Specs!$C27,Tech_Specs!$C27,(T$157-Sys_Repl_Rate!T135)),0),IF($G$157:$AF$157&lt;=T$157,IF(Tech_Specs!$K27="lamp",System_Mkt_Repl!$F353:$AE353+System_Mkt_NC!$G353:$AF353,Lamp_Mkt_Repl!$G63:$AF63+System_Mkt_NC!$G353:$AF353))))))</f>
        <v>33.376777077251845</v>
      </c>
      <c r="U177" s="373">
        <f t="array" ref="U177">IF(U$157=Misc_Inputs!$D$6,$G101,IF(SUM(IF($G$157:$AF$157&gt;=ROUND(IF((U$157-Sys_Repl_Rate!U135)&lt;Tech_Specs!$C27,Tech_Specs!$C27,(U$157-Sys_Repl_Rate!U135)),0),IF($G$157:$AF$157&lt;=U$157,IF(Tech_Specs!$K27="lamp",System_Mkt_Repl!$F353:$AE353+System_Mkt_NC!$G353:$AF353,Lamp_Mkt_Repl!$G63:$AF63+System_Mkt_NC!$G353:$AF353))))=0,0,SUMPRODUCT(IF($G$157:$AF$157&gt;=ROUND(IF((U$157-Sys_Repl_Rate!U135)&lt;Tech_Specs!$C27,Tech_Specs!$C27,(U$157-Sys_Repl_Rate!U135)),0),IF($G$157:$AF$157&lt;=U$157,$G101:$AF101)),IF(Tech_Specs!$K27="lamp",System_Mkt_Repl!$F353:$AE353+System_Mkt_NC!$G353:$AF353,Lamp_Mkt_Repl!$G63:$AF63+System_Mkt_NC!$G353:$AF353))/SUM(IF($G$157:$AF$157&gt;=ROUND(IF((U$157-Sys_Repl_Rate!U135)&lt;Tech_Specs!$C27,Tech_Specs!$C27,(U$157-Sys_Repl_Rate!U135)),0),IF($G$157:$AF$157&lt;=U$157,IF(Tech_Specs!$K27="lamp",System_Mkt_Repl!$F353:$AE353+System_Mkt_NC!$G353:$AF353,Lamp_Mkt_Repl!$G63:$AF63+System_Mkt_NC!$G353:$AF353))))))</f>
        <v>33.376777077251845</v>
      </c>
      <c r="V177" s="373">
        <f t="array" ref="V177">IF(V$157=Misc_Inputs!$D$6,$G101,IF(SUM(IF($G$157:$AF$157&gt;=ROUND(IF((V$157-Sys_Repl_Rate!V135)&lt;Tech_Specs!$C27,Tech_Specs!$C27,(V$157-Sys_Repl_Rate!V135)),0),IF($G$157:$AF$157&lt;=V$157,IF(Tech_Specs!$K27="lamp",System_Mkt_Repl!$F353:$AE353+System_Mkt_NC!$G353:$AF353,Lamp_Mkt_Repl!$G63:$AF63+System_Mkt_NC!$G353:$AF353))))=0,0,SUMPRODUCT(IF($G$157:$AF$157&gt;=ROUND(IF((V$157-Sys_Repl_Rate!V135)&lt;Tech_Specs!$C27,Tech_Specs!$C27,(V$157-Sys_Repl_Rate!V135)),0),IF($G$157:$AF$157&lt;=V$157,$G101:$AF101)),IF(Tech_Specs!$K27="lamp",System_Mkt_Repl!$F353:$AE353+System_Mkt_NC!$G353:$AF353,Lamp_Mkt_Repl!$G63:$AF63+System_Mkt_NC!$G353:$AF353))/SUM(IF($G$157:$AF$157&gt;=ROUND(IF((V$157-Sys_Repl_Rate!V135)&lt;Tech_Specs!$C27,Tech_Specs!$C27,(V$157-Sys_Repl_Rate!V135)),0),IF($G$157:$AF$157&lt;=V$157,IF(Tech_Specs!$K27="lamp",System_Mkt_Repl!$F353:$AE353+System_Mkt_NC!$G353:$AF353,Lamp_Mkt_Repl!$G63:$AF63+System_Mkt_NC!$G353:$AF353))))))</f>
        <v>33.376777077251838</v>
      </c>
      <c r="W177" s="373">
        <f t="array" ref="W177">IF(W$157=Misc_Inputs!$D$6,$G101,IF(SUM(IF($G$157:$AF$157&gt;=ROUND(IF((W$157-Sys_Repl_Rate!W135)&lt;Tech_Specs!$C27,Tech_Specs!$C27,(W$157-Sys_Repl_Rate!W135)),0),IF($G$157:$AF$157&lt;=W$157,IF(Tech_Specs!$K27="lamp",System_Mkt_Repl!$F353:$AE353+System_Mkt_NC!$G353:$AF353,Lamp_Mkt_Repl!$G63:$AF63+System_Mkt_NC!$G353:$AF353))))=0,0,SUMPRODUCT(IF($G$157:$AF$157&gt;=ROUND(IF((W$157-Sys_Repl_Rate!W135)&lt;Tech_Specs!$C27,Tech_Specs!$C27,(W$157-Sys_Repl_Rate!W135)),0),IF($G$157:$AF$157&lt;=W$157,$G101:$AF101)),IF(Tech_Specs!$K27="lamp",System_Mkt_Repl!$F353:$AE353+System_Mkt_NC!$G353:$AF353,Lamp_Mkt_Repl!$G63:$AF63+System_Mkt_NC!$G353:$AF353))/SUM(IF($G$157:$AF$157&gt;=ROUND(IF((W$157-Sys_Repl_Rate!W135)&lt;Tech_Specs!$C27,Tech_Specs!$C27,(W$157-Sys_Repl_Rate!W135)),0),IF($G$157:$AF$157&lt;=W$157,IF(Tech_Specs!$K27="lamp",System_Mkt_Repl!$F353:$AE353+System_Mkt_NC!$G353:$AF353,Lamp_Mkt_Repl!$G63:$AF63+System_Mkt_NC!$G353:$AF353))))))</f>
        <v>33.376777077251845</v>
      </c>
      <c r="X177" s="373">
        <f t="array" ref="X177">IF(X$157=Misc_Inputs!$D$6,$G101,IF(SUM(IF($G$157:$AF$157&gt;=ROUND(IF((X$157-Sys_Repl_Rate!X135)&lt;Tech_Specs!$C27,Tech_Specs!$C27,(X$157-Sys_Repl_Rate!X135)),0),IF($G$157:$AF$157&lt;=X$157,IF(Tech_Specs!$K27="lamp",System_Mkt_Repl!$F353:$AE353+System_Mkt_NC!$G353:$AF353,Lamp_Mkt_Repl!$G63:$AF63+System_Mkt_NC!$G353:$AF353))))=0,0,SUMPRODUCT(IF($G$157:$AF$157&gt;=ROUND(IF((X$157-Sys_Repl_Rate!X135)&lt;Tech_Specs!$C27,Tech_Specs!$C27,(X$157-Sys_Repl_Rate!X135)),0),IF($G$157:$AF$157&lt;=X$157,$G101:$AF101)),IF(Tech_Specs!$K27="lamp",System_Mkt_Repl!$F353:$AE353+System_Mkt_NC!$G353:$AF353,Lamp_Mkt_Repl!$G63:$AF63+System_Mkt_NC!$G353:$AF353))/SUM(IF($G$157:$AF$157&gt;=ROUND(IF((X$157-Sys_Repl_Rate!X135)&lt;Tech_Specs!$C27,Tech_Specs!$C27,(X$157-Sys_Repl_Rate!X135)),0),IF($G$157:$AF$157&lt;=X$157,IF(Tech_Specs!$K27="lamp",System_Mkt_Repl!$F353:$AE353+System_Mkt_NC!$G353:$AF353,Lamp_Mkt_Repl!$G63:$AF63+System_Mkt_NC!$G353:$AF353))))))</f>
        <v>33.376777077251845</v>
      </c>
      <c r="Y177" s="373">
        <f t="array" ref="Y177">IF(Y$157=Misc_Inputs!$D$6,$G101,IF(SUM(IF($G$157:$AF$157&gt;=ROUND(IF((Y$157-Sys_Repl_Rate!Y135)&lt;Tech_Specs!$C27,Tech_Specs!$C27,(Y$157-Sys_Repl_Rate!Y135)),0),IF($G$157:$AF$157&lt;=Y$157,IF(Tech_Specs!$K27="lamp",System_Mkt_Repl!$F353:$AE353+System_Mkt_NC!$G353:$AF353,Lamp_Mkt_Repl!$G63:$AF63+System_Mkt_NC!$G353:$AF353))))=0,0,SUMPRODUCT(IF($G$157:$AF$157&gt;=ROUND(IF((Y$157-Sys_Repl_Rate!Y135)&lt;Tech_Specs!$C27,Tech_Specs!$C27,(Y$157-Sys_Repl_Rate!Y135)),0),IF($G$157:$AF$157&lt;=Y$157,$G101:$AF101)),IF(Tech_Specs!$K27="lamp",System_Mkt_Repl!$F353:$AE353+System_Mkt_NC!$G353:$AF353,Lamp_Mkt_Repl!$G63:$AF63+System_Mkt_NC!$G353:$AF353))/SUM(IF($G$157:$AF$157&gt;=ROUND(IF((Y$157-Sys_Repl_Rate!Y135)&lt;Tech_Specs!$C27,Tech_Specs!$C27,(Y$157-Sys_Repl_Rate!Y135)),0),IF($G$157:$AF$157&lt;=Y$157,IF(Tech_Specs!$K27="lamp",System_Mkt_Repl!$F353:$AE353+System_Mkt_NC!$G353:$AF353,Lamp_Mkt_Repl!$G63:$AF63+System_Mkt_NC!$G353:$AF353))))))</f>
        <v>33.376777077251845</v>
      </c>
      <c r="Z177" s="373">
        <f t="array" ref="Z177">IF(Z$157=Misc_Inputs!$D$6,$G101,IF(SUM(IF($G$157:$AF$157&gt;=ROUND(IF((Z$157-Sys_Repl_Rate!Z135)&lt;Tech_Specs!$C27,Tech_Specs!$C27,(Z$157-Sys_Repl_Rate!Z135)),0),IF($G$157:$AF$157&lt;=Z$157,IF(Tech_Specs!$K27="lamp",System_Mkt_Repl!$F353:$AE353+System_Mkt_NC!$G353:$AF353,Lamp_Mkt_Repl!$G63:$AF63+System_Mkt_NC!$G353:$AF353))))=0,0,SUMPRODUCT(IF($G$157:$AF$157&gt;=ROUND(IF((Z$157-Sys_Repl_Rate!Z135)&lt;Tech_Specs!$C27,Tech_Specs!$C27,(Z$157-Sys_Repl_Rate!Z135)),0),IF($G$157:$AF$157&lt;=Z$157,$G101:$AF101)),IF(Tech_Specs!$K27="lamp",System_Mkt_Repl!$F353:$AE353+System_Mkt_NC!$G353:$AF353,Lamp_Mkt_Repl!$G63:$AF63+System_Mkt_NC!$G353:$AF353))/SUM(IF($G$157:$AF$157&gt;=ROUND(IF((Z$157-Sys_Repl_Rate!Z135)&lt;Tech_Specs!$C27,Tech_Specs!$C27,(Z$157-Sys_Repl_Rate!Z135)),0),IF($G$157:$AF$157&lt;=Z$157,IF(Tech_Specs!$K27="lamp",System_Mkt_Repl!$F353:$AE353+System_Mkt_NC!$G353:$AF353,Lamp_Mkt_Repl!$G63:$AF63+System_Mkt_NC!$G353:$AF353))))))</f>
        <v>33.376777077251845</v>
      </c>
      <c r="AA177" s="373">
        <f t="array" ref="AA177">IF(AA$157=Misc_Inputs!$D$6,$G101,IF(SUM(IF($G$157:$AF$157&gt;=ROUND(IF((AA$157-Sys_Repl_Rate!AA135)&lt;Tech_Specs!$C27,Tech_Specs!$C27,(AA$157-Sys_Repl_Rate!AA135)),0),IF($G$157:$AF$157&lt;=AA$157,IF(Tech_Specs!$K27="lamp",System_Mkt_Repl!$F353:$AE353+System_Mkt_NC!$G353:$AF353,Lamp_Mkt_Repl!$G63:$AF63+System_Mkt_NC!$G353:$AF353))))=0,0,SUMPRODUCT(IF($G$157:$AF$157&gt;=ROUND(IF((AA$157-Sys_Repl_Rate!AA135)&lt;Tech_Specs!$C27,Tech_Specs!$C27,(AA$157-Sys_Repl_Rate!AA135)),0),IF($G$157:$AF$157&lt;=AA$157,$G101:$AF101)),IF(Tech_Specs!$K27="lamp",System_Mkt_Repl!$F353:$AE353+System_Mkt_NC!$G353:$AF353,Lamp_Mkt_Repl!$G63:$AF63+System_Mkt_NC!$G353:$AF353))/SUM(IF($G$157:$AF$157&gt;=ROUND(IF((AA$157-Sys_Repl_Rate!AA135)&lt;Tech_Specs!$C27,Tech_Specs!$C27,(AA$157-Sys_Repl_Rate!AA135)),0),IF($G$157:$AF$157&lt;=AA$157,IF(Tech_Specs!$K27="lamp",System_Mkt_Repl!$F353:$AE353+System_Mkt_NC!$G353:$AF353,Lamp_Mkt_Repl!$G63:$AF63+System_Mkt_NC!$G353:$AF353))))))</f>
        <v>33.376777077251845</v>
      </c>
      <c r="AB177" s="373">
        <f t="array" ref="AB177">IF(AB$157=Misc_Inputs!$D$6,$G101,IF(SUM(IF($G$157:$AF$157&gt;=ROUND(IF((AB$157-Sys_Repl_Rate!AB135)&lt;Tech_Specs!$C27,Tech_Specs!$C27,(AB$157-Sys_Repl_Rate!AB135)),0),IF($G$157:$AF$157&lt;=AB$157,IF(Tech_Specs!$K27="lamp",System_Mkt_Repl!$F353:$AE353+System_Mkt_NC!$G353:$AF353,Lamp_Mkt_Repl!$G63:$AF63+System_Mkt_NC!$G353:$AF353))))=0,0,SUMPRODUCT(IF($G$157:$AF$157&gt;=ROUND(IF((AB$157-Sys_Repl_Rate!AB135)&lt;Tech_Specs!$C27,Tech_Specs!$C27,(AB$157-Sys_Repl_Rate!AB135)),0),IF($G$157:$AF$157&lt;=AB$157,$G101:$AF101)),IF(Tech_Specs!$K27="lamp",System_Mkt_Repl!$F353:$AE353+System_Mkt_NC!$G353:$AF353,Lamp_Mkt_Repl!$G63:$AF63+System_Mkt_NC!$G353:$AF353))/SUM(IF($G$157:$AF$157&gt;=ROUND(IF((AB$157-Sys_Repl_Rate!AB135)&lt;Tech_Specs!$C27,Tech_Specs!$C27,(AB$157-Sys_Repl_Rate!AB135)),0),IF($G$157:$AF$157&lt;=AB$157,IF(Tech_Specs!$K27="lamp",System_Mkt_Repl!$F353:$AE353+System_Mkt_NC!$G353:$AF353,Lamp_Mkt_Repl!$G63:$AF63+System_Mkt_NC!$G353:$AF353))))))</f>
        <v>33.376777077251838</v>
      </c>
      <c r="AC177" s="373">
        <f t="array" ref="AC177">IF(AC$157=Misc_Inputs!$D$6,$G101,IF(SUM(IF($G$157:$AF$157&gt;=ROUND(IF((AC$157-Sys_Repl_Rate!AC135)&lt;Tech_Specs!$C27,Tech_Specs!$C27,(AC$157-Sys_Repl_Rate!AC135)),0),IF($G$157:$AF$157&lt;=AC$157,IF(Tech_Specs!$K27="lamp",System_Mkt_Repl!$F353:$AE353+System_Mkt_NC!$G353:$AF353,Lamp_Mkt_Repl!$G63:$AF63+System_Mkt_NC!$G353:$AF353))))=0,0,SUMPRODUCT(IF($G$157:$AF$157&gt;=ROUND(IF((AC$157-Sys_Repl_Rate!AC135)&lt;Tech_Specs!$C27,Tech_Specs!$C27,(AC$157-Sys_Repl_Rate!AC135)),0),IF($G$157:$AF$157&lt;=AC$157,$G101:$AF101)),IF(Tech_Specs!$K27="lamp",System_Mkt_Repl!$F353:$AE353+System_Mkt_NC!$G353:$AF353,Lamp_Mkt_Repl!$G63:$AF63+System_Mkt_NC!$G353:$AF353))/SUM(IF($G$157:$AF$157&gt;=ROUND(IF((AC$157-Sys_Repl_Rate!AC135)&lt;Tech_Specs!$C27,Tech_Specs!$C27,(AC$157-Sys_Repl_Rate!AC135)),0),IF($G$157:$AF$157&lt;=AC$157,IF(Tech_Specs!$K27="lamp",System_Mkt_Repl!$F353:$AE353+System_Mkt_NC!$G353:$AF353,Lamp_Mkt_Repl!$G63:$AF63+System_Mkt_NC!$G353:$AF353))))))</f>
        <v>33.376777077251845</v>
      </c>
      <c r="AD177" s="373">
        <f t="array" ref="AD177">IF(AD$157=Misc_Inputs!$D$6,$G101,IF(SUM(IF($G$157:$AF$157&gt;=ROUND(IF((AD$157-Sys_Repl_Rate!AD135)&lt;Tech_Specs!$C27,Tech_Specs!$C27,(AD$157-Sys_Repl_Rate!AD135)),0),IF($G$157:$AF$157&lt;=AD$157,IF(Tech_Specs!$K27="lamp",System_Mkt_Repl!$F353:$AE353+System_Mkt_NC!$G353:$AF353,Lamp_Mkt_Repl!$G63:$AF63+System_Mkt_NC!$G353:$AF353))))=0,0,SUMPRODUCT(IF($G$157:$AF$157&gt;=ROUND(IF((AD$157-Sys_Repl_Rate!AD135)&lt;Tech_Specs!$C27,Tech_Specs!$C27,(AD$157-Sys_Repl_Rate!AD135)),0),IF($G$157:$AF$157&lt;=AD$157,$G101:$AF101)),IF(Tech_Specs!$K27="lamp",System_Mkt_Repl!$F353:$AE353+System_Mkt_NC!$G353:$AF353,Lamp_Mkt_Repl!$G63:$AF63+System_Mkt_NC!$G353:$AF353))/SUM(IF($G$157:$AF$157&gt;=ROUND(IF((AD$157-Sys_Repl_Rate!AD135)&lt;Tech_Specs!$C27,Tech_Specs!$C27,(AD$157-Sys_Repl_Rate!AD135)),0),IF($G$157:$AF$157&lt;=AD$157,IF(Tech_Specs!$K27="lamp",System_Mkt_Repl!$F353:$AE353+System_Mkt_NC!$G353:$AF353,Lamp_Mkt_Repl!$G63:$AF63+System_Mkt_NC!$G353:$AF353))))))</f>
        <v>33.376777077251838</v>
      </c>
      <c r="AE177" s="373">
        <f t="array" ref="AE177">IF(AE$157=Misc_Inputs!$D$6,$G101,IF(SUM(IF($G$157:$AF$157&gt;=ROUND(IF((AE$157-Sys_Repl_Rate!AE135)&lt;Tech_Specs!$C27,Tech_Specs!$C27,(AE$157-Sys_Repl_Rate!AE135)),0),IF($G$157:$AF$157&lt;=AE$157,IF(Tech_Specs!$K27="lamp",System_Mkt_Repl!$F353:$AE353+System_Mkt_NC!$G353:$AF353,Lamp_Mkt_Repl!$G63:$AF63+System_Mkt_NC!$G353:$AF353))))=0,0,SUMPRODUCT(IF($G$157:$AF$157&gt;=ROUND(IF((AE$157-Sys_Repl_Rate!AE135)&lt;Tech_Specs!$C27,Tech_Specs!$C27,(AE$157-Sys_Repl_Rate!AE135)),0),IF($G$157:$AF$157&lt;=AE$157,$G101:$AF101)),IF(Tech_Specs!$K27="lamp",System_Mkt_Repl!$F353:$AE353+System_Mkt_NC!$G353:$AF353,Lamp_Mkt_Repl!$G63:$AF63+System_Mkt_NC!$G353:$AF353))/SUM(IF($G$157:$AF$157&gt;=ROUND(IF((AE$157-Sys_Repl_Rate!AE135)&lt;Tech_Specs!$C27,Tech_Specs!$C27,(AE$157-Sys_Repl_Rate!AE135)),0),IF($G$157:$AF$157&lt;=AE$157,IF(Tech_Specs!$K27="lamp",System_Mkt_Repl!$F353:$AE353+System_Mkt_NC!$G353:$AF353,Lamp_Mkt_Repl!$G63:$AF63+System_Mkt_NC!$G353:$AF353))))))</f>
        <v>33.376777077251838</v>
      </c>
      <c r="AF177" s="373">
        <f t="array" ref="AF177">IF(AF$157=Misc_Inputs!$D$6,$G101,IF(SUM(IF($G$157:$AF$157&gt;=ROUND(IF((AF$157-Sys_Repl_Rate!AF135)&lt;Tech_Specs!$C27,Tech_Specs!$C27,(AF$157-Sys_Repl_Rate!AF135)),0),IF($G$157:$AF$157&lt;=AF$157,IF(Tech_Specs!$K27="lamp",System_Mkt_Repl!$F353:$AE353+System_Mkt_NC!$G353:$AF353,Lamp_Mkt_Repl!$G63:$AF63+System_Mkt_NC!$G353:$AF353))))=0,0,SUMPRODUCT(IF($G$157:$AF$157&gt;=ROUND(IF((AF$157-Sys_Repl_Rate!AF135)&lt;Tech_Specs!$C27,Tech_Specs!$C27,(AF$157-Sys_Repl_Rate!AF135)),0),IF($G$157:$AF$157&lt;=AF$157,$G101:$AF101)),IF(Tech_Specs!$K27="lamp",System_Mkt_Repl!$F353:$AE353+System_Mkt_NC!$G353:$AF353,Lamp_Mkt_Repl!$G63:$AF63+System_Mkt_NC!$G353:$AF353))/SUM(IF($G$157:$AF$157&gt;=ROUND(IF((AF$157-Sys_Repl_Rate!AF135)&lt;Tech_Specs!$C27,Tech_Specs!$C27,(AF$157-Sys_Repl_Rate!AF135)),0),IF($G$157:$AF$157&lt;=AF$157,IF(Tech_Specs!$K27="lamp",System_Mkt_Repl!$F353:$AE353+System_Mkt_NC!$G353:$AF353,Lamp_Mkt_Repl!$G63:$AF63+System_Mkt_NC!$G353:$AF353))))))</f>
        <v>33.37677707725183</v>
      </c>
    </row>
    <row r="178" spans="1:32" s="101" customFormat="1" ht="12.75" x14ac:dyDescent="0.2">
      <c r="A178" s="81"/>
      <c r="B178" s="101" t="s">
        <v>44</v>
      </c>
      <c r="C178" s="81"/>
      <c r="D178" s="550"/>
      <c r="E178" s="550"/>
      <c r="F178" s="550"/>
      <c r="G178" s="1178">
        <f t="array" ref="G178">IF(G$157=Misc_Inputs!$D$6,$G102,IF(SUM(IF($G$157:$AF$157&gt;=ROUND(IF((G$157-Sys_Repl_Rate!G136)&lt;Tech_Specs!$C28,Tech_Specs!$C28,(G$157-Sys_Repl_Rate!G136)),0),IF($G$157:$AF$157&lt;=G$157,IF(Tech_Specs!$K28="lamp",System_Mkt_Repl!$F354:$AE354+System_Mkt_NC!$G354:$AF354,Lamp_Mkt_Repl!$G64:$AF64+System_Mkt_NC!$G354:$AF354))))=0,0,SUMPRODUCT(IF($G$157:$AF$157&gt;=ROUND(IF((G$157-Sys_Repl_Rate!G136)&lt;Tech_Specs!$C28,Tech_Specs!$C28,(G$157-Sys_Repl_Rate!G136)),0),IF($G$157:$AF$157&lt;=G$157,$G102:$AF102)),IF(Tech_Specs!$K28="lamp",System_Mkt_Repl!$F354:$AE354+System_Mkt_NC!$G354:$AF354,Lamp_Mkt_Repl!$G64:$AF64+System_Mkt_NC!$G354:$AF354))/SUM(IF($G$157:$AF$157&gt;=ROUND(IF((G$157-Sys_Repl_Rate!G136)&lt;Tech_Specs!$C28,Tech_Specs!$C28,(G$157-Sys_Repl_Rate!G136)),0),IF($G$157:$AF$157&lt;=G$157,IF(Tech_Specs!$K28="lamp",System_Mkt_Repl!$F354:$AE354+System_Mkt_NC!$G354:$AF354,Lamp_Mkt_Repl!$G64:$AF64+System_Mkt_NC!$G354:$AF354))))))</f>
        <v>56.044443000881529</v>
      </c>
      <c r="H178" s="1178">
        <f t="array" ref="H178">IF(H$157=Misc_Inputs!$D$6,$G102,IF(SUM(IF($G$157:$AF$157&gt;=ROUND(IF((H$157-Sys_Repl_Rate!H136)&lt;Tech_Specs!$C28,Tech_Specs!$C28,(H$157-Sys_Repl_Rate!H136)),0),IF($G$157:$AF$157&lt;=H$157,IF(Tech_Specs!$K28="lamp",System_Mkt_Repl!$F354:$AE354+System_Mkt_NC!$G354:$AF354,Lamp_Mkt_Repl!$G64:$AF64+System_Mkt_NC!$G354:$AF354))))=0,0,SUMPRODUCT(IF($G$157:$AF$157&gt;=ROUND(IF((H$157-Sys_Repl_Rate!H136)&lt;Tech_Specs!$C28,Tech_Specs!$C28,(H$157-Sys_Repl_Rate!H136)),0),IF($G$157:$AF$157&lt;=H$157,$G102:$AF102)),IF(Tech_Specs!$K28="lamp",System_Mkt_Repl!$F354:$AE354+System_Mkt_NC!$G354:$AF354,Lamp_Mkt_Repl!$G64:$AF64+System_Mkt_NC!$G354:$AF354))/SUM(IF($G$157:$AF$157&gt;=ROUND(IF((H$157-Sys_Repl_Rate!H136)&lt;Tech_Specs!$C28,Tech_Specs!$C28,(H$157-Sys_Repl_Rate!H136)),0),IF($G$157:$AF$157&lt;=H$157,IF(Tech_Specs!$K28="lamp",System_Mkt_Repl!$F354:$AE354+System_Mkt_NC!$G354:$AF354,Lamp_Mkt_Repl!$G64:$AF64+System_Mkt_NC!$G354:$AF354))))))</f>
        <v>56.464776323388151</v>
      </c>
      <c r="I178" s="1178">
        <f t="array" ref="I178">IF(I$157=Misc_Inputs!$D$6,$G102,IF(SUM(IF($G$157:$AF$157&gt;=ROUND(IF((I$157-Sys_Repl_Rate!I136)&lt;Tech_Specs!$C28,Tech_Specs!$C28,(I$157-Sys_Repl_Rate!I136)),0),IF($G$157:$AF$157&lt;=I$157,IF(Tech_Specs!$K28="lamp",System_Mkt_Repl!$F354:$AE354+System_Mkt_NC!$G354:$AF354,Lamp_Mkt_Repl!$G64:$AF64+System_Mkt_NC!$G354:$AF354))))=0,0,SUMPRODUCT(IF($G$157:$AF$157&gt;=ROUND(IF((I$157-Sys_Repl_Rate!I136)&lt;Tech_Specs!$C28,Tech_Specs!$C28,(I$157-Sys_Repl_Rate!I136)),0),IF($G$157:$AF$157&lt;=I$157,$G102:$AF102)),IF(Tech_Specs!$K28="lamp",System_Mkt_Repl!$F354:$AE354+System_Mkt_NC!$G354:$AF354,Lamp_Mkt_Repl!$G64:$AF64+System_Mkt_NC!$G354:$AF354))/SUM(IF($G$157:$AF$157&gt;=ROUND(IF((I$157-Sys_Repl_Rate!I136)&lt;Tech_Specs!$C28,Tech_Specs!$C28,(I$157-Sys_Repl_Rate!I136)),0),IF($G$157:$AF$157&lt;=I$157,IF(Tech_Specs!$K28="lamp",System_Mkt_Repl!$F354:$AE354+System_Mkt_NC!$G354:$AF354,Lamp_Mkt_Repl!$G64:$AF64+System_Mkt_NC!$G354:$AF354))))))</f>
        <v>56.680073500396325</v>
      </c>
      <c r="J178" s="373">
        <f t="array" ref="J178">IF(J$157=Misc_Inputs!$D$6,$G102,IF(SUM(IF($G$157:$AF$157&gt;=ROUND(IF((J$157-Sys_Repl_Rate!J136)&lt;Tech_Specs!$C28,Tech_Specs!$C28,(J$157-Sys_Repl_Rate!J136)),0),IF($G$157:$AF$157&lt;=J$157,IF(Tech_Specs!$K28="lamp",System_Mkt_Repl!$F354:$AE354+System_Mkt_NC!$G354:$AF354,Lamp_Mkt_Repl!$G64:$AF64+System_Mkt_NC!$G354:$AF354))))=0,0,SUMPRODUCT(IF($G$157:$AF$157&gt;=ROUND(IF((J$157-Sys_Repl_Rate!J136)&lt;Tech_Specs!$C28,Tech_Specs!$C28,(J$157-Sys_Repl_Rate!J136)),0),IF($G$157:$AF$157&lt;=J$157,$G102:$AF102)),IF(Tech_Specs!$K28="lamp",System_Mkt_Repl!$F354:$AE354+System_Mkt_NC!$G354:$AF354,Lamp_Mkt_Repl!$G64:$AF64+System_Mkt_NC!$G354:$AF354))/SUM(IF($G$157:$AF$157&gt;=ROUND(IF((J$157-Sys_Repl_Rate!J136)&lt;Tech_Specs!$C28,Tech_Specs!$C28,(J$157-Sys_Repl_Rate!J136)),0),IF($G$157:$AF$157&lt;=J$157,IF(Tech_Specs!$K28="lamp",System_Mkt_Repl!$F354:$AE354+System_Mkt_NC!$G354:$AF354,Lamp_Mkt_Repl!$G64:$AF64+System_Mkt_NC!$G354:$AF354))))))</f>
        <v>56.896651468999352</v>
      </c>
      <c r="K178" s="373">
        <f t="array" ref="K178">IF(K$157=Misc_Inputs!$D$6,$G102,IF(SUM(IF($G$157:$AF$157&gt;=ROUND(IF((K$157-Sys_Repl_Rate!K136)&lt;Tech_Specs!$C28,Tech_Specs!$C28,(K$157-Sys_Repl_Rate!K136)),0),IF($G$157:$AF$157&lt;=K$157,IF(Tech_Specs!$K28="lamp",System_Mkt_Repl!$F354:$AE354+System_Mkt_NC!$G354:$AF354,Lamp_Mkt_Repl!$G64:$AF64+System_Mkt_NC!$G354:$AF354))))=0,0,SUMPRODUCT(IF($G$157:$AF$157&gt;=ROUND(IF((K$157-Sys_Repl_Rate!K136)&lt;Tech_Specs!$C28,Tech_Specs!$C28,(K$157-Sys_Repl_Rate!K136)),0),IF($G$157:$AF$157&lt;=K$157,$G102:$AF102)),IF(Tech_Specs!$K28="lamp",System_Mkt_Repl!$F354:$AE354+System_Mkt_NC!$G354:$AF354,Lamp_Mkt_Repl!$G64:$AF64+System_Mkt_NC!$G354:$AF354))/SUM(IF($G$157:$AF$157&gt;=ROUND(IF((K$157-Sys_Repl_Rate!K136)&lt;Tech_Specs!$C28,Tech_Specs!$C28,(K$157-Sys_Repl_Rate!K136)),0),IF($G$157:$AF$157&lt;=K$157,IF(Tech_Specs!$K28="lamp",System_Mkt_Repl!$F354:$AE354+System_Mkt_NC!$G354:$AF354,Lamp_Mkt_Repl!$G64:$AF64+System_Mkt_NC!$G354:$AF354))))))</f>
        <v>57.112069013987735</v>
      </c>
      <c r="L178" s="373">
        <f t="array" ref="L178">IF(L$157=Misc_Inputs!$D$6,$G102,IF(SUM(IF($G$157:$AF$157&gt;=ROUND(IF((L$157-Sys_Repl_Rate!L136)&lt;Tech_Specs!$C28,Tech_Specs!$C28,(L$157-Sys_Repl_Rate!L136)),0),IF($G$157:$AF$157&lt;=L$157,IF(Tech_Specs!$K28="lamp",System_Mkt_Repl!$F354:$AE354+System_Mkt_NC!$G354:$AF354,Lamp_Mkt_Repl!$G64:$AF64+System_Mkt_NC!$G354:$AF354))))=0,0,SUMPRODUCT(IF($G$157:$AF$157&gt;=ROUND(IF((L$157-Sys_Repl_Rate!L136)&lt;Tech_Specs!$C28,Tech_Specs!$C28,(L$157-Sys_Repl_Rate!L136)),0),IF($G$157:$AF$157&lt;=L$157,$G102:$AF102)),IF(Tech_Specs!$K28="lamp",System_Mkt_Repl!$F354:$AE354+System_Mkt_NC!$G354:$AF354,Lamp_Mkt_Repl!$G64:$AF64+System_Mkt_NC!$G354:$AF354))/SUM(IF($G$157:$AF$157&gt;=ROUND(IF((L$157-Sys_Repl_Rate!L136)&lt;Tech_Specs!$C28,Tech_Specs!$C28,(L$157-Sys_Repl_Rate!L136)),0),IF($G$157:$AF$157&lt;=L$157,IF(Tech_Specs!$K28="lamp",System_Mkt_Repl!$F354:$AE354+System_Mkt_NC!$G354:$AF354,Lamp_Mkt_Repl!$G64:$AF64+System_Mkt_NC!$G354:$AF354))))))</f>
        <v>57.327248839576058</v>
      </c>
      <c r="M178" s="373">
        <f t="array" ref="M178">IF(M$157=Misc_Inputs!$D$6,$G102,IF(SUM(IF($G$157:$AF$157&gt;=ROUND(IF((M$157-Sys_Repl_Rate!M136)&lt;Tech_Specs!$C28,Tech_Specs!$C28,(M$157-Sys_Repl_Rate!M136)),0),IF($G$157:$AF$157&lt;=M$157,IF(Tech_Specs!$K28="lamp",System_Mkt_Repl!$F354:$AE354+System_Mkt_NC!$G354:$AF354,Lamp_Mkt_Repl!$G64:$AF64+System_Mkt_NC!$G354:$AF354))))=0,0,SUMPRODUCT(IF($G$157:$AF$157&gt;=ROUND(IF((M$157-Sys_Repl_Rate!M136)&lt;Tech_Specs!$C28,Tech_Specs!$C28,(M$157-Sys_Repl_Rate!M136)),0),IF($G$157:$AF$157&lt;=M$157,$G102:$AF102)),IF(Tech_Specs!$K28="lamp",System_Mkt_Repl!$F354:$AE354+System_Mkt_NC!$G354:$AF354,Lamp_Mkt_Repl!$G64:$AF64+System_Mkt_NC!$G354:$AF354))/SUM(IF($G$157:$AF$157&gt;=ROUND(IF((M$157-Sys_Repl_Rate!M136)&lt;Tech_Specs!$C28,Tech_Specs!$C28,(M$157-Sys_Repl_Rate!M136)),0),IF($G$157:$AF$157&lt;=M$157,IF(Tech_Specs!$K28="lamp",System_Mkt_Repl!$F354:$AE354+System_Mkt_NC!$G354:$AF354,Lamp_Mkt_Repl!$G64:$AF64+System_Mkt_NC!$G354:$AF354))))))</f>
        <v>57.541444054898349</v>
      </c>
      <c r="N178" s="373">
        <f t="array" ref="N178">IF(N$157=Misc_Inputs!$D$6,$G102,IF(SUM(IF($G$157:$AF$157&gt;=ROUND(IF((N$157-Sys_Repl_Rate!N136)&lt;Tech_Specs!$C28,Tech_Specs!$C28,(N$157-Sys_Repl_Rate!N136)),0),IF($G$157:$AF$157&lt;=N$157,IF(Tech_Specs!$K28="lamp",System_Mkt_Repl!$F354:$AE354+System_Mkt_NC!$G354:$AF354,Lamp_Mkt_Repl!$G64:$AF64+System_Mkt_NC!$G354:$AF354))))=0,0,SUMPRODUCT(IF($G$157:$AF$157&gt;=ROUND(IF((N$157-Sys_Repl_Rate!N136)&lt;Tech_Specs!$C28,Tech_Specs!$C28,(N$157-Sys_Repl_Rate!N136)),0),IF($G$157:$AF$157&lt;=N$157,$G102:$AF102)),IF(Tech_Specs!$K28="lamp",System_Mkt_Repl!$F354:$AE354+System_Mkt_NC!$G354:$AF354,Lamp_Mkt_Repl!$G64:$AF64+System_Mkt_NC!$G354:$AF354))/SUM(IF($G$157:$AF$157&gt;=ROUND(IF((N$157-Sys_Repl_Rate!N136)&lt;Tech_Specs!$C28,Tech_Specs!$C28,(N$157-Sys_Repl_Rate!N136)),0),IF($G$157:$AF$157&lt;=N$157,IF(Tech_Specs!$K28="lamp",System_Mkt_Repl!$F354:$AE354+System_Mkt_NC!$G354:$AF354,Lamp_Mkt_Repl!$G64:$AF64+System_Mkt_NC!$G354:$AF354))))))</f>
        <v>57.753924278713839</v>
      </c>
      <c r="O178" s="373">
        <f t="array" ref="O178">IF(O$157=Misc_Inputs!$D$6,$G102,IF(SUM(IF($G$157:$AF$157&gt;=ROUND(IF((O$157-Sys_Repl_Rate!O136)&lt;Tech_Specs!$C28,Tech_Specs!$C28,(O$157-Sys_Repl_Rate!O136)),0),IF($G$157:$AF$157&lt;=O$157,IF(Tech_Specs!$K28="lamp",System_Mkt_Repl!$F354:$AE354+System_Mkt_NC!$G354:$AF354,Lamp_Mkt_Repl!$G64:$AF64+System_Mkt_NC!$G354:$AF354))))=0,0,SUMPRODUCT(IF($G$157:$AF$157&gt;=ROUND(IF((O$157-Sys_Repl_Rate!O136)&lt;Tech_Specs!$C28,Tech_Specs!$C28,(O$157-Sys_Repl_Rate!O136)),0),IF($G$157:$AF$157&lt;=O$157,$G102:$AF102)),IF(Tech_Specs!$K28="lamp",System_Mkt_Repl!$F354:$AE354+System_Mkt_NC!$G354:$AF354,Lamp_Mkt_Repl!$G64:$AF64+System_Mkt_NC!$G354:$AF354))/SUM(IF($G$157:$AF$157&gt;=ROUND(IF((O$157-Sys_Repl_Rate!O136)&lt;Tech_Specs!$C28,Tech_Specs!$C28,(O$157-Sys_Repl_Rate!O136)),0),IF($G$157:$AF$157&lt;=O$157,IF(Tech_Specs!$K28="lamp",System_Mkt_Repl!$F354:$AE354+System_Mkt_NC!$G354:$AF354,Lamp_Mkt_Repl!$G64:$AF64+System_Mkt_NC!$G354:$AF354))))))</f>
        <v>57.964968365598935</v>
      </c>
      <c r="P178" s="373">
        <f t="array" ref="P178">IF(P$157=Misc_Inputs!$D$6,$G102,IF(SUM(IF($G$157:$AF$157&gt;=ROUND(IF((P$157-Sys_Repl_Rate!P136)&lt;Tech_Specs!$C28,Tech_Specs!$C28,(P$157-Sys_Repl_Rate!P136)),0),IF($G$157:$AF$157&lt;=P$157,IF(Tech_Specs!$K28="lamp",System_Mkt_Repl!$F354:$AE354+System_Mkt_NC!$G354:$AF354,Lamp_Mkt_Repl!$G64:$AF64+System_Mkt_NC!$G354:$AF354))))=0,0,SUMPRODUCT(IF($G$157:$AF$157&gt;=ROUND(IF((P$157-Sys_Repl_Rate!P136)&lt;Tech_Specs!$C28,Tech_Specs!$C28,(P$157-Sys_Repl_Rate!P136)),0),IF($G$157:$AF$157&lt;=P$157,$G102:$AF102)),IF(Tech_Specs!$K28="lamp",System_Mkt_Repl!$F354:$AE354+System_Mkt_NC!$G354:$AF354,Lamp_Mkt_Repl!$G64:$AF64+System_Mkt_NC!$G354:$AF354))/SUM(IF($G$157:$AF$157&gt;=ROUND(IF((P$157-Sys_Repl_Rate!P136)&lt;Tech_Specs!$C28,Tech_Specs!$C28,(P$157-Sys_Repl_Rate!P136)),0),IF($G$157:$AF$157&lt;=P$157,IF(Tech_Specs!$K28="lamp",System_Mkt_Repl!$F354:$AE354+System_Mkt_NC!$G354:$AF354,Lamp_Mkt_Repl!$G64:$AF64+System_Mkt_NC!$G354:$AF354))))))</f>
        <v>58.174918776854255</v>
      </c>
      <c r="Q178" s="373">
        <f t="array" ref="Q178">IF(Q$157=Misc_Inputs!$D$6,$G102,IF(SUM(IF($G$157:$AF$157&gt;=ROUND(IF((Q$157-Sys_Repl_Rate!Q136)&lt;Tech_Specs!$C28,Tech_Specs!$C28,(Q$157-Sys_Repl_Rate!Q136)),0),IF($G$157:$AF$157&lt;=Q$157,IF(Tech_Specs!$K28="lamp",System_Mkt_Repl!$F354:$AE354+System_Mkt_NC!$G354:$AF354,Lamp_Mkt_Repl!$G64:$AF64+System_Mkt_NC!$G354:$AF354))))=0,0,SUMPRODUCT(IF($G$157:$AF$157&gt;=ROUND(IF((Q$157-Sys_Repl_Rate!Q136)&lt;Tech_Specs!$C28,Tech_Specs!$C28,(Q$157-Sys_Repl_Rate!Q136)),0),IF($G$157:$AF$157&lt;=Q$157,$G102:$AF102)),IF(Tech_Specs!$K28="lamp",System_Mkt_Repl!$F354:$AE354+System_Mkt_NC!$G354:$AF354,Lamp_Mkt_Repl!$G64:$AF64+System_Mkt_NC!$G354:$AF354))/SUM(IF($G$157:$AF$157&gt;=ROUND(IF((Q$157-Sys_Repl_Rate!Q136)&lt;Tech_Specs!$C28,Tech_Specs!$C28,(Q$157-Sys_Repl_Rate!Q136)),0),IF($G$157:$AF$157&lt;=Q$157,IF(Tech_Specs!$K28="lamp",System_Mkt_Repl!$F354:$AE354+System_Mkt_NC!$G354:$AF354,Lamp_Mkt_Repl!$G64:$AF64+System_Mkt_NC!$G354:$AF354))))))</f>
        <v>58.384046633600974</v>
      </c>
      <c r="R178" s="373">
        <f t="array" ref="R178">IF(R$157=Misc_Inputs!$D$6,$G102,IF(SUM(IF($G$157:$AF$157&gt;=ROUND(IF((R$157-Sys_Repl_Rate!R136)&lt;Tech_Specs!$C28,Tech_Specs!$C28,(R$157-Sys_Repl_Rate!R136)),0),IF($G$157:$AF$157&lt;=R$157,IF(Tech_Specs!$K28="lamp",System_Mkt_Repl!$F354:$AE354+System_Mkt_NC!$G354:$AF354,Lamp_Mkt_Repl!$G64:$AF64+System_Mkt_NC!$G354:$AF354))))=0,0,SUMPRODUCT(IF($G$157:$AF$157&gt;=ROUND(IF((R$157-Sys_Repl_Rate!R136)&lt;Tech_Specs!$C28,Tech_Specs!$C28,(R$157-Sys_Repl_Rate!R136)),0),IF($G$157:$AF$157&lt;=R$157,$G102:$AF102)),IF(Tech_Specs!$K28="lamp",System_Mkt_Repl!$F354:$AE354+System_Mkt_NC!$G354:$AF354,Lamp_Mkt_Repl!$G64:$AF64+System_Mkt_NC!$G354:$AF354))/SUM(IF($G$157:$AF$157&gt;=ROUND(IF((R$157-Sys_Repl_Rate!R136)&lt;Tech_Specs!$C28,Tech_Specs!$C28,(R$157-Sys_Repl_Rate!R136)),0),IF($G$157:$AF$157&lt;=R$157,IF(Tech_Specs!$K28="lamp",System_Mkt_Repl!$F354:$AE354+System_Mkt_NC!$G354:$AF354,Lamp_Mkt_Repl!$G64:$AF64+System_Mkt_NC!$G354:$AF354))))))</f>
        <v>58.592366501926008</v>
      </c>
      <c r="S178" s="373">
        <f t="array" ref="S178">IF(S$157=Misc_Inputs!$D$6,$G102,IF(SUM(IF($G$157:$AF$157&gt;=ROUND(IF((S$157-Sys_Repl_Rate!S136)&lt;Tech_Specs!$C28,Tech_Specs!$C28,(S$157-Sys_Repl_Rate!S136)),0),IF($G$157:$AF$157&lt;=S$157,IF(Tech_Specs!$K28="lamp",System_Mkt_Repl!$F354:$AE354+System_Mkt_NC!$G354:$AF354,Lamp_Mkt_Repl!$G64:$AF64+System_Mkt_NC!$G354:$AF354))))=0,0,SUMPRODUCT(IF($G$157:$AF$157&gt;=ROUND(IF((S$157-Sys_Repl_Rate!S136)&lt;Tech_Specs!$C28,Tech_Specs!$C28,(S$157-Sys_Repl_Rate!S136)),0),IF($G$157:$AF$157&lt;=S$157,$G102:$AF102)),IF(Tech_Specs!$K28="lamp",System_Mkt_Repl!$F354:$AE354+System_Mkt_NC!$G354:$AF354,Lamp_Mkt_Repl!$G64:$AF64+System_Mkt_NC!$G354:$AF354))/SUM(IF($G$157:$AF$157&gt;=ROUND(IF((S$157-Sys_Repl_Rate!S136)&lt;Tech_Specs!$C28,Tech_Specs!$C28,(S$157-Sys_Repl_Rate!S136)),0),IF($G$157:$AF$157&lt;=S$157,IF(Tech_Specs!$K28="lamp",System_Mkt_Repl!$F354:$AE354+System_Mkt_NC!$G354:$AF354,Lamp_Mkt_Repl!$G64:$AF64+System_Mkt_NC!$G354:$AF354))))))</f>
        <v>58.800902982977782</v>
      </c>
      <c r="T178" s="373">
        <f t="array" ref="T178">IF(T$157=Misc_Inputs!$D$6,$G102,IF(SUM(IF($G$157:$AF$157&gt;=ROUND(IF((T$157-Sys_Repl_Rate!T136)&lt;Tech_Specs!$C28,Tech_Specs!$C28,(T$157-Sys_Repl_Rate!T136)),0),IF($G$157:$AF$157&lt;=T$157,IF(Tech_Specs!$K28="lamp",System_Mkt_Repl!$F354:$AE354+System_Mkt_NC!$G354:$AF354,Lamp_Mkt_Repl!$G64:$AF64+System_Mkt_NC!$G354:$AF354))))=0,0,SUMPRODUCT(IF($G$157:$AF$157&gt;=ROUND(IF((T$157-Sys_Repl_Rate!T136)&lt;Tech_Specs!$C28,Tech_Specs!$C28,(T$157-Sys_Repl_Rate!T136)),0),IF($G$157:$AF$157&lt;=T$157,$G102:$AF102)),IF(Tech_Specs!$K28="lamp",System_Mkt_Repl!$F354:$AE354+System_Mkt_NC!$G354:$AF354,Lamp_Mkt_Repl!$G64:$AF64+System_Mkt_NC!$G354:$AF354))/SUM(IF($G$157:$AF$157&gt;=ROUND(IF((T$157-Sys_Repl_Rate!T136)&lt;Tech_Specs!$C28,Tech_Specs!$C28,(T$157-Sys_Repl_Rate!T136)),0),IF($G$157:$AF$157&lt;=T$157,IF(Tech_Specs!$K28="lamp",System_Mkt_Repl!$F354:$AE354+System_Mkt_NC!$G354:$AF354,Lamp_Mkt_Repl!$G64:$AF64+System_Mkt_NC!$G354:$AF354))))))</f>
        <v>59.010018475449968</v>
      </c>
      <c r="U178" s="373">
        <f t="array" ref="U178">IF(U$157=Misc_Inputs!$D$6,$G102,IF(SUM(IF($G$157:$AF$157&gt;=ROUND(IF((U$157-Sys_Repl_Rate!U136)&lt;Tech_Specs!$C28,Tech_Specs!$C28,(U$157-Sys_Repl_Rate!U136)),0),IF($G$157:$AF$157&lt;=U$157,IF(Tech_Specs!$K28="lamp",System_Mkt_Repl!$F354:$AE354+System_Mkt_NC!$G354:$AF354,Lamp_Mkt_Repl!$G64:$AF64+System_Mkt_NC!$G354:$AF354))))=0,0,SUMPRODUCT(IF($G$157:$AF$157&gt;=ROUND(IF((U$157-Sys_Repl_Rate!U136)&lt;Tech_Specs!$C28,Tech_Specs!$C28,(U$157-Sys_Repl_Rate!U136)),0),IF($G$157:$AF$157&lt;=U$157,$G102:$AF102)),IF(Tech_Specs!$K28="lamp",System_Mkt_Repl!$F354:$AE354+System_Mkt_NC!$G354:$AF354,Lamp_Mkt_Repl!$G64:$AF64+System_Mkt_NC!$G354:$AF354))/SUM(IF($G$157:$AF$157&gt;=ROUND(IF((U$157-Sys_Repl_Rate!U136)&lt;Tech_Specs!$C28,Tech_Specs!$C28,(U$157-Sys_Repl_Rate!U136)),0),IF($G$157:$AF$157&lt;=U$157,IF(Tech_Specs!$K28="lamp",System_Mkt_Repl!$F354:$AE354+System_Mkt_NC!$G354:$AF354,Lamp_Mkt_Repl!$G64:$AF64+System_Mkt_NC!$G354:$AF354))))))</f>
        <v>59.22004125335198</v>
      </c>
      <c r="V178" s="373">
        <f t="array" ref="V178">IF(V$157=Misc_Inputs!$D$6,$G102,IF(SUM(IF($G$157:$AF$157&gt;=ROUND(IF((V$157-Sys_Repl_Rate!V136)&lt;Tech_Specs!$C28,Tech_Specs!$C28,(V$157-Sys_Repl_Rate!V136)),0),IF($G$157:$AF$157&lt;=V$157,IF(Tech_Specs!$K28="lamp",System_Mkt_Repl!$F354:$AE354+System_Mkt_NC!$G354:$AF354,Lamp_Mkt_Repl!$G64:$AF64+System_Mkt_NC!$G354:$AF354))))=0,0,SUMPRODUCT(IF($G$157:$AF$157&gt;=ROUND(IF((V$157-Sys_Repl_Rate!V136)&lt;Tech_Specs!$C28,Tech_Specs!$C28,(V$157-Sys_Repl_Rate!V136)),0),IF($G$157:$AF$157&lt;=V$157,$G102:$AF102)),IF(Tech_Specs!$K28="lamp",System_Mkt_Repl!$F354:$AE354+System_Mkt_NC!$G354:$AF354,Lamp_Mkt_Repl!$G64:$AF64+System_Mkt_NC!$G354:$AF354))/SUM(IF($G$157:$AF$157&gt;=ROUND(IF((V$157-Sys_Repl_Rate!V136)&lt;Tech_Specs!$C28,Tech_Specs!$C28,(V$157-Sys_Repl_Rate!V136)),0),IF($G$157:$AF$157&lt;=V$157,IF(Tech_Specs!$K28="lamp",System_Mkt_Repl!$F354:$AE354+System_Mkt_NC!$G354:$AF354,Lamp_Mkt_Repl!$G64:$AF64+System_Mkt_NC!$G354:$AF354))))))</f>
        <v>59.431504239031518</v>
      </c>
      <c r="W178" s="373">
        <f t="array" ref="W178">IF(W$157=Misc_Inputs!$D$6,$G102,IF(SUM(IF($G$157:$AF$157&gt;=ROUND(IF((W$157-Sys_Repl_Rate!W136)&lt;Tech_Specs!$C28,Tech_Specs!$C28,(W$157-Sys_Repl_Rate!W136)),0),IF($G$157:$AF$157&lt;=W$157,IF(Tech_Specs!$K28="lamp",System_Mkt_Repl!$F354:$AE354+System_Mkt_NC!$G354:$AF354,Lamp_Mkt_Repl!$G64:$AF64+System_Mkt_NC!$G354:$AF354))))=0,0,SUMPRODUCT(IF($G$157:$AF$157&gt;=ROUND(IF((W$157-Sys_Repl_Rate!W136)&lt;Tech_Specs!$C28,Tech_Specs!$C28,(W$157-Sys_Repl_Rate!W136)),0),IF($G$157:$AF$157&lt;=W$157,$G102:$AF102)),IF(Tech_Specs!$K28="lamp",System_Mkt_Repl!$F354:$AE354+System_Mkt_NC!$G354:$AF354,Lamp_Mkt_Repl!$G64:$AF64+System_Mkt_NC!$G354:$AF354))/SUM(IF($G$157:$AF$157&gt;=ROUND(IF((W$157-Sys_Repl_Rate!W136)&lt;Tech_Specs!$C28,Tech_Specs!$C28,(W$157-Sys_Repl_Rate!W136)),0),IF($G$157:$AF$157&lt;=W$157,IF(Tech_Specs!$K28="lamp",System_Mkt_Repl!$F354:$AE354+System_Mkt_NC!$G354:$AF354,Lamp_Mkt_Repl!$G64:$AF64+System_Mkt_NC!$G354:$AF354))))))</f>
        <v>59.64439218079854</v>
      </c>
      <c r="X178" s="373">
        <f t="array" ref="X178">IF(X$157=Misc_Inputs!$D$6,$G102,IF(SUM(IF($G$157:$AF$157&gt;=ROUND(IF((X$157-Sys_Repl_Rate!X136)&lt;Tech_Specs!$C28,Tech_Specs!$C28,(X$157-Sys_Repl_Rate!X136)),0),IF($G$157:$AF$157&lt;=X$157,IF(Tech_Specs!$K28="lamp",System_Mkt_Repl!$F354:$AE354+System_Mkt_NC!$G354:$AF354,Lamp_Mkt_Repl!$G64:$AF64+System_Mkt_NC!$G354:$AF354))))=0,0,SUMPRODUCT(IF($G$157:$AF$157&gt;=ROUND(IF((X$157-Sys_Repl_Rate!X136)&lt;Tech_Specs!$C28,Tech_Specs!$C28,(X$157-Sys_Repl_Rate!X136)),0),IF($G$157:$AF$157&lt;=X$157,$G102:$AF102)),IF(Tech_Specs!$K28="lamp",System_Mkt_Repl!$F354:$AE354+System_Mkt_NC!$G354:$AF354,Lamp_Mkt_Repl!$G64:$AF64+System_Mkt_NC!$G354:$AF354))/SUM(IF($G$157:$AF$157&gt;=ROUND(IF((X$157-Sys_Repl_Rate!X136)&lt;Tech_Specs!$C28,Tech_Specs!$C28,(X$157-Sys_Repl_Rate!X136)),0),IF($G$157:$AF$157&lt;=X$157,IF(Tech_Specs!$K28="lamp",System_Mkt_Repl!$F354:$AE354+System_Mkt_NC!$G354:$AF354,Lamp_Mkt_Repl!$G64:$AF64+System_Mkt_NC!$G354:$AF354))))))</f>
        <v>59.858596832986855</v>
      </c>
      <c r="Y178" s="373">
        <f t="array" ref="Y178">IF(Y$157=Misc_Inputs!$D$6,$G102,IF(SUM(IF($G$157:$AF$157&gt;=ROUND(IF((Y$157-Sys_Repl_Rate!Y136)&lt;Tech_Specs!$C28,Tech_Specs!$C28,(Y$157-Sys_Repl_Rate!Y136)),0),IF($G$157:$AF$157&lt;=Y$157,IF(Tech_Specs!$K28="lamp",System_Mkt_Repl!$F354:$AE354+System_Mkt_NC!$G354:$AF354,Lamp_Mkt_Repl!$G64:$AF64+System_Mkt_NC!$G354:$AF354))))=0,0,SUMPRODUCT(IF($G$157:$AF$157&gt;=ROUND(IF((Y$157-Sys_Repl_Rate!Y136)&lt;Tech_Specs!$C28,Tech_Specs!$C28,(Y$157-Sys_Repl_Rate!Y136)),0),IF($G$157:$AF$157&lt;=Y$157,$G102:$AF102)),IF(Tech_Specs!$K28="lamp",System_Mkt_Repl!$F354:$AE354+System_Mkt_NC!$G354:$AF354,Lamp_Mkt_Repl!$G64:$AF64+System_Mkt_NC!$G354:$AF354))/SUM(IF($G$157:$AF$157&gt;=ROUND(IF((Y$157-Sys_Repl_Rate!Y136)&lt;Tech_Specs!$C28,Tech_Specs!$C28,(Y$157-Sys_Repl_Rate!Y136)),0),IF($G$157:$AF$157&lt;=Y$157,IF(Tech_Specs!$K28="lamp",System_Mkt_Repl!$F354:$AE354+System_Mkt_NC!$G354:$AF354,Lamp_Mkt_Repl!$G64:$AF64+System_Mkt_NC!$G354:$AF354))))))</f>
        <v>60.074052197147786</v>
      </c>
      <c r="Z178" s="373">
        <f t="array" ref="Z178">IF(Z$157=Misc_Inputs!$D$6,$G102,IF(SUM(IF($G$157:$AF$157&gt;=ROUND(IF((Z$157-Sys_Repl_Rate!Z136)&lt;Tech_Specs!$C28,Tech_Specs!$C28,(Z$157-Sys_Repl_Rate!Z136)),0),IF($G$157:$AF$157&lt;=Z$157,IF(Tech_Specs!$K28="lamp",System_Mkt_Repl!$F354:$AE354+System_Mkt_NC!$G354:$AF354,Lamp_Mkt_Repl!$G64:$AF64+System_Mkt_NC!$G354:$AF354))))=0,0,SUMPRODUCT(IF($G$157:$AF$157&gt;=ROUND(IF((Z$157-Sys_Repl_Rate!Z136)&lt;Tech_Specs!$C28,Tech_Specs!$C28,(Z$157-Sys_Repl_Rate!Z136)),0),IF($G$157:$AF$157&lt;=Z$157,$G102:$AF102)),IF(Tech_Specs!$K28="lamp",System_Mkt_Repl!$F354:$AE354+System_Mkt_NC!$G354:$AF354,Lamp_Mkt_Repl!$G64:$AF64+System_Mkt_NC!$G354:$AF354))/SUM(IF($G$157:$AF$157&gt;=ROUND(IF((Z$157-Sys_Repl_Rate!Z136)&lt;Tech_Specs!$C28,Tech_Specs!$C28,(Z$157-Sys_Repl_Rate!Z136)),0),IF($G$157:$AF$157&lt;=Z$157,IF(Tech_Specs!$K28="lamp",System_Mkt_Repl!$F354:$AE354+System_Mkt_NC!$G354:$AF354,Lamp_Mkt_Repl!$G64:$AF64+System_Mkt_NC!$G354:$AF354))))))</f>
        <v>60.290973148638287</v>
      </c>
      <c r="AA178" s="373">
        <f t="array" ref="AA178">IF(AA$157=Misc_Inputs!$D$6,$G102,IF(SUM(IF($G$157:$AF$157&gt;=ROUND(IF((AA$157-Sys_Repl_Rate!AA136)&lt;Tech_Specs!$C28,Tech_Specs!$C28,(AA$157-Sys_Repl_Rate!AA136)),0),IF($G$157:$AF$157&lt;=AA$157,IF(Tech_Specs!$K28="lamp",System_Mkt_Repl!$F354:$AE354+System_Mkt_NC!$G354:$AF354,Lamp_Mkt_Repl!$G64:$AF64+System_Mkt_NC!$G354:$AF354))))=0,0,SUMPRODUCT(IF($G$157:$AF$157&gt;=ROUND(IF((AA$157-Sys_Repl_Rate!AA136)&lt;Tech_Specs!$C28,Tech_Specs!$C28,(AA$157-Sys_Repl_Rate!AA136)),0),IF($G$157:$AF$157&lt;=AA$157,$G102:$AF102)),IF(Tech_Specs!$K28="lamp",System_Mkt_Repl!$F354:$AE354+System_Mkt_NC!$G354:$AF354,Lamp_Mkt_Repl!$G64:$AF64+System_Mkt_NC!$G354:$AF354))/SUM(IF($G$157:$AF$157&gt;=ROUND(IF((AA$157-Sys_Repl_Rate!AA136)&lt;Tech_Specs!$C28,Tech_Specs!$C28,(AA$157-Sys_Repl_Rate!AA136)),0),IF($G$157:$AF$157&lt;=AA$157,IF(Tech_Specs!$K28="lamp",System_Mkt_Repl!$F354:$AE354+System_Mkt_NC!$G354:$AF354,Lamp_Mkt_Repl!$G64:$AF64+System_Mkt_NC!$G354:$AF354))))))</f>
        <v>60.509614776269615</v>
      </c>
      <c r="AB178" s="373">
        <f t="array" ref="AB178">IF(AB$157=Misc_Inputs!$D$6,$G102,IF(SUM(IF($G$157:$AF$157&gt;=ROUND(IF((AB$157-Sys_Repl_Rate!AB136)&lt;Tech_Specs!$C28,Tech_Specs!$C28,(AB$157-Sys_Repl_Rate!AB136)),0),IF($G$157:$AF$157&lt;=AB$157,IF(Tech_Specs!$K28="lamp",System_Mkt_Repl!$F354:$AE354+System_Mkt_NC!$G354:$AF354,Lamp_Mkt_Repl!$G64:$AF64+System_Mkt_NC!$G354:$AF354))))=0,0,SUMPRODUCT(IF($G$157:$AF$157&gt;=ROUND(IF((AB$157-Sys_Repl_Rate!AB136)&lt;Tech_Specs!$C28,Tech_Specs!$C28,(AB$157-Sys_Repl_Rate!AB136)),0),IF($G$157:$AF$157&lt;=AB$157,$G102:$AF102)),IF(Tech_Specs!$K28="lamp",System_Mkt_Repl!$F354:$AE354+System_Mkt_NC!$G354:$AF354,Lamp_Mkt_Repl!$G64:$AF64+System_Mkt_NC!$G354:$AF354))/SUM(IF($G$157:$AF$157&gt;=ROUND(IF((AB$157-Sys_Repl_Rate!AB136)&lt;Tech_Specs!$C28,Tech_Specs!$C28,(AB$157-Sys_Repl_Rate!AB136)),0),IF($G$157:$AF$157&lt;=AB$157,IF(Tech_Specs!$K28="lamp",System_Mkt_Repl!$F354:$AE354+System_Mkt_NC!$G354:$AF354,Lamp_Mkt_Repl!$G64:$AF64+System_Mkt_NC!$G354:$AF354))))))</f>
        <v>60.730056080813945</v>
      </c>
      <c r="AC178" s="373">
        <f t="array" ref="AC178">IF(AC$157=Misc_Inputs!$D$6,$G102,IF(SUM(IF($G$157:$AF$157&gt;=ROUND(IF((AC$157-Sys_Repl_Rate!AC136)&lt;Tech_Specs!$C28,Tech_Specs!$C28,(AC$157-Sys_Repl_Rate!AC136)),0),IF($G$157:$AF$157&lt;=AC$157,IF(Tech_Specs!$K28="lamp",System_Mkt_Repl!$F354:$AE354+System_Mkt_NC!$G354:$AF354,Lamp_Mkt_Repl!$G64:$AF64+System_Mkt_NC!$G354:$AF354))))=0,0,SUMPRODUCT(IF($G$157:$AF$157&gt;=ROUND(IF((AC$157-Sys_Repl_Rate!AC136)&lt;Tech_Specs!$C28,Tech_Specs!$C28,(AC$157-Sys_Repl_Rate!AC136)),0),IF($G$157:$AF$157&lt;=AC$157,$G102:$AF102)),IF(Tech_Specs!$K28="lamp",System_Mkt_Repl!$F354:$AE354+System_Mkt_NC!$G354:$AF354,Lamp_Mkt_Repl!$G64:$AF64+System_Mkt_NC!$G354:$AF354))/SUM(IF($G$157:$AF$157&gt;=ROUND(IF((AC$157-Sys_Repl_Rate!AC136)&lt;Tech_Specs!$C28,Tech_Specs!$C28,(AC$157-Sys_Repl_Rate!AC136)),0),IF($G$157:$AF$157&lt;=AC$157,IF(Tech_Specs!$K28="lamp",System_Mkt_Repl!$F354:$AE354+System_Mkt_NC!$G354:$AF354,Lamp_Mkt_Repl!$G64:$AF64+System_Mkt_NC!$G354:$AF354))))))</f>
        <v>60.951873841718339</v>
      </c>
      <c r="AD178" s="373">
        <f t="array" ref="AD178">IF(AD$157=Misc_Inputs!$D$6,$G102,IF(SUM(IF($G$157:$AF$157&gt;=ROUND(IF((AD$157-Sys_Repl_Rate!AD136)&lt;Tech_Specs!$C28,Tech_Specs!$C28,(AD$157-Sys_Repl_Rate!AD136)),0),IF($G$157:$AF$157&lt;=AD$157,IF(Tech_Specs!$K28="lamp",System_Mkt_Repl!$F354:$AE354+System_Mkt_NC!$G354:$AF354,Lamp_Mkt_Repl!$G64:$AF64+System_Mkt_NC!$G354:$AF354))))=0,0,SUMPRODUCT(IF($G$157:$AF$157&gt;=ROUND(IF((AD$157-Sys_Repl_Rate!AD136)&lt;Tech_Specs!$C28,Tech_Specs!$C28,(AD$157-Sys_Repl_Rate!AD136)),0),IF($G$157:$AF$157&lt;=AD$157,$G102:$AF102)),IF(Tech_Specs!$K28="lamp",System_Mkt_Repl!$F354:$AE354+System_Mkt_NC!$G354:$AF354,Lamp_Mkt_Repl!$G64:$AF64+System_Mkt_NC!$G354:$AF354))/SUM(IF($G$157:$AF$157&gt;=ROUND(IF((AD$157-Sys_Repl_Rate!AD136)&lt;Tech_Specs!$C28,Tech_Specs!$C28,(AD$157-Sys_Repl_Rate!AD136)),0),IF($G$157:$AF$157&lt;=AD$157,IF(Tech_Specs!$K28="lamp",System_Mkt_Repl!$F354:$AE354+System_Mkt_NC!$G354:$AF354,Lamp_Mkt_Repl!$G64:$AF64+System_Mkt_NC!$G354:$AF354))))))</f>
        <v>61.174667176679527</v>
      </c>
      <c r="AE178" s="373">
        <f t="array" ref="AE178">IF(AE$157=Misc_Inputs!$D$6,$G102,IF(SUM(IF($G$157:$AF$157&gt;=ROUND(IF((AE$157-Sys_Repl_Rate!AE136)&lt;Tech_Specs!$C28,Tech_Specs!$C28,(AE$157-Sys_Repl_Rate!AE136)),0),IF($G$157:$AF$157&lt;=AE$157,IF(Tech_Specs!$K28="lamp",System_Mkt_Repl!$F354:$AE354+System_Mkt_NC!$G354:$AF354,Lamp_Mkt_Repl!$G64:$AF64+System_Mkt_NC!$G354:$AF354))))=0,0,SUMPRODUCT(IF($G$157:$AF$157&gt;=ROUND(IF((AE$157-Sys_Repl_Rate!AE136)&lt;Tech_Specs!$C28,Tech_Specs!$C28,(AE$157-Sys_Repl_Rate!AE136)),0),IF($G$157:$AF$157&lt;=AE$157,$G102:$AF102)),IF(Tech_Specs!$K28="lamp",System_Mkt_Repl!$F354:$AE354+System_Mkt_NC!$G354:$AF354,Lamp_Mkt_Repl!$G64:$AF64+System_Mkt_NC!$G354:$AF354))/SUM(IF($G$157:$AF$157&gt;=ROUND(IF((AE$157-Sys_Repl_Rate!AE136)&lt;Tech_Specs!$C28,Tech_Specs!$C28,(AE$157-Sys_Repl_Rate!AE136)),0),IF($G$157:$AF$157&lt;=AE$157,IF(Tech_Specs!$K28="lamp",System_Mkt_Repl!$F354:$AE354+System_Mkt_NC!$G354:$AF354,Lamp_Mkt_Repl!$G64:$AF64+System_Mkt_NC!$G354:$AF354))))))</f>
        <v>61.398335012293153</v>
      </c>
      <c r="AF178" s="373">
        <f t="array" ref="AF178">IF(AF$157=Misc_Inputs!$D$6,$G102,IF(SUM(IF($G$157:$AF$157&gt;=ROUND(IF((AF$157-Sys_Repl_Rate!AF136)&lt;Tech_Specs!$C28,Tech_Specs!$C28,(AF$157-Sys_Repl_Rate!AF136)),0),IF($G$157:$AF$157&lt;=AF$157,IF(Tech_Specs!$K28="lamp",System_Mkt_Repl!$F354:$AE354+System_Mkt_NC!$G354:$AF354,Lamp_Mkt_Repl!$G64:$AF64+System_Mkt_NC!$G354:$AF354))))=0,0,SUMPRODUCT(IF($G$157:$AF$157&gt;=ROUND(IF((AF$157-Sys_Repl_Rate!AF136)&lt;Tech_Specs!$C28,Tech_Specs!$C28,(AF$157-Sys_Repl_Rate!AF136)),0),IF($G$157:$AF$157&lt;=AF$157,$G102:$AF102)),IF(Tech_Specs!$K28="lamp",System_Mkt_Repl!$F354:$AE354+System_Mkt_NC!$G354:$AF354,Lamp_Mkt_Repl!$G64:$AF64+System_Mkt_NC!$G354:$AF354))/SUM(IF($G$157:$AF$157&gt;=ROUND(IF((AF$157-Sys_Repl_Rate!AF136)&lt;Tech_Specs!$C28,Tech_Specs!$C28,(AF$157-Sys_Repl_Rate!AF136)),0),IF($G$157:$AF$157&lt;=AF$157,IF(Tech_Specs!$K28="lamp",System_Mkt_Repl!$F354:$AE354+System_Mkt_NC!$G354:$AF354,Lamp_Mkt_Repl!$G64:$AF64+System_Mkt_NC!$G354:$AF354))))))</f>
        <v>61.622766344442951</v>
      </c>
    </row>
    <row r="179" spans="1:32" s="101" customFormat="1" ht="12.75" x14ac:dyDescent="0.2">
      <c r="A179" s="81"/>
      <c r="B179" s="101" t="s">
        <v>45</v>
      </c>
      <c r="C179" s="81"/>
      <c r="D179" s="550"/>
      <c r="E179" s="550"/>
      <c r="F179" s="550"/>
      <c r="G179" s="1178">
        <f t="array" ref="G179">IF(G$157=Misc_Inputs!$D$6,$G103,IF(SUM(IF($G$157:$AF$157&gt;=ROUND(IF((G$157-Sys_Repl_Rate!G137)&lt;Tech_Specs!$C29,Tech_Specs!$C29,(G$157-Sys_Repl_Rate!G137)),0),IF($G$157:$AF$157&lt;=G$157,IF(Tech_Specs!$K29="lamp",System_Mkt_Repl!$F355:$AE355+System_Mkt_NC!$G355:$AF355,Lamp_Mkt_Repl!$G65:$AF65+System_Mkt_NC!$G355:$AF355))))=0,0,SUMPRODUCT(IF($G$157:$AF$157&gt;=ROUND(IF((G$157-Sys_Repl_Rate!G137)&lt;Tech_Specs!$C29,Tech_Specs!$C29,(G$157-Sys_Repl_Rate!G137)),0),IF($G$157:$AF$157&lt;=G$157,$G103:$AF103)),IF(Tech_Specs!$K29="lamp",System_Mkt_Repl!$F355:$AE355+System_Mkt_NC!$G355:$AF355,Lamp_Mkt_Repl!$G65:$AF65+System_Mkt_NC!$G355:$AF355))/SUM(IF($G$157:$AF$157&gt;=ROUND(IF((G$157-Sys_Repl_Rate!G137)&lt;Tech_Specs!$C29,Tech_Specs!$C29,(G$157-Sys_Repl_Rate!G137)),0),IF($G$157:$AF$157&lt;=G$157,IF(Tech_Specs!$K29="lamp",System_Mkt_Repl!$F355:$AE355+System_Mkt_NC!$G355:$AF355,Lamp_Mkt_Repl!$G65:$AF65+System_Mkt_NC!$G355:$AF355))))))</f>
        <v>83.020267636389462</v>
      </c>
      <c r="H179" s="1178">
        <f t="array" ref="H179">IF(H$157=Misc_Inputs!$D$6,$G103,IF(SUM(IF($G$157:$AF$157&gt;=ROUND(IF((H$157-Sys_Repl_Rate!H137)&lt;Tech_Specs!$C29,Tech_Specs!$C29,(H$157-Sys_Repl_Rate!H137)),0),IF($G$157:$AF$157&lt;=H$157,IF(Tech_Specs!$K29="lamp",System_Mkt_Repl!$F355:$AE355+System_Mkt_NC!$G355:$AF355,Lamp_Mkt_Repl!$G65:$AF65+System_Mkt_NC!$G355:$AF355))))=0,0,SUMPRODUCT(IF($G$157:$AF$157&gt;=ROUND(IF((H$157-Sys_Repl_Rate!H137)&lt;Tech_Specs!$C29,Tech_Specs!$C29,(H$157-Sys_Repl_Rate!H137)),0),IF($G$157:$AF$157&lt;=H$157,$G103:$AF103)),IF(Tech_Specs!$K29="lamp",System_Mkt_Repl!$F355:$AE355+System_Mkt_NC!$G355:$AF355,Lamp_Mkt_Repl!$G65:$AF65+System_Mkt_NC!$G355:$AF355))/SUM(IF($G$157:$AF$157&gt;=ROUND(IF((H$157-Sys_Repl_Rate!H137)&lt;Tech_Specs!$C29,Tech_Specs!$C29,(H$157-Sys_Repl_Rate!H137)),0),IF($G$157:$AF$157&lt;=H$157,IF(Tech_Specs!$K29="lamp",System_Mkt_Repl!$F355:$AE355+System_Mkt_NC!$G355:$AF355,Lamp_Mkt_Repl!$G65:$AF65+System_Mkt_NC!$G355:$AF355))))))</f>
        <v>83.227818305480412</v>
      </c>
      <c r="I179" s="1178">
        <f t="array" ref="I179">IF(I$157=Misc_Inputs!$D$6,$G103,IF(SUM(IF($G$157:$AF$157&gt;=ROUND(IF((I$157-Sys_Repl_Rate!I137)&lt;Tech_Specs!$C29,Tech_Specs!$C29,(I$157-Sys_Repl_Rate!I137)),0),IF($G$157:$AF$157&lt;=I$157,IF(Tech_Specs!$K29="lamp",System_Mkt_Repl!$F355:$AE355+System_Mkt_NC!$G355:$AF355,Lamp_Mkt_Repl!$G65:$AF65+System_Mkt_NC!$G355:$AF355))))=0,0,SUMPRODUCT(IF($G$157:$AF$157&gt;=ROUND(IF((I$157-Sys_Repl_Rate!I137)&lt;Tech_Specs!$C29,Tech_Specs!$C29,(I$157-Sys_Repl_Rate!I137)),0),IF($G$157:$AF$157&lt;=I$157,$G103:$AF103)),IF(Tech_Specs!$K29="lamp",System_Mkt_Repl!$F355:$AE355+System_Mkt_NC!$G355:$AF355,Lamp_Mkt_Repl!$G65:$AF65+System_Mkt_NC!$G355:$AF355))/SUM(IF($G$157:$AF$157&gt;=ROUND(IF((I$157-Sys_Repl_Rate!I137)&lt;Tech_Specs!$C29,Tech_Specs!$C29,(I$157-Sys_Repl_Rate!I137)),0),IF($G$157:$AF$157&lt;=I$157,IF(Tech_Specs!$K29="lamp",System_Mkt_Repl!$F355:$AE355+System_Mkt_NC!$G355:$AF355,Lamp_Mkt_Repl!$G65:$AF65+System_Mkt_NC!$G355:$AF355))))))</f>
        <v>83.328316960021354</v>
      </c>
      <c r="J179" s="373">
        <f t="array" ref="J179">IF(J$157=Misc_Inputs!$D$6,$G103,IF(SUM(IF($G$157:$AF$157&gt;=ROUND(IF((J$157-Sys_Repl_Rate!J137)&lt;Tech_Specs!$C29,Tech_Specs!$C29,(J$157-Sys_Repl_Rate!J137)),0),IF($G$157:$AF$157&lt;=J$157,IF(Tech_Specs!$K29="lamp",System_Mkt_Repl!$F355:$AE355+System_Mkt_NC!$G355:$AF355,Lamp_Mkt_Repl!$G65:$AF65+System_Mkt_NC!$G355:$AF355))))=0,0,SUMPRODUCT(IF($G$157:$AF$157&gt;=ROUND(IF((J$157-Sys_Repl_Rate!J137)&lt;Tech_Specs!$C29,Tech_Specs!$C29,(J$157-Sys_Repl_Rate!J137)),0),IF($G$157:$AF$157&lt;=J$157,$G103:$AF103)),IF(Tech_Specs!$K29="lamp",System_Mkt_Repl!$F355:$AE355+System_Mkt_NC!$G355:$AF355,Lamp_Mkt_Repl!$G65:$AF65+System_Mkt_NC!$G355:$AF355))/SUM(IF($G$157:$AF$157&gt;=ROUND(IF((J$157-Sys_Repl_Rate!J137)&lt;Tech_Specs!$C29,Tech_Specs!$C29,(J$157-Sys_Repl_Rate!J137)),0),IF($G$157:$AF$157&lt;=J$157,IF(Tech_Specs!$K29="lamp",System_Mkt_Repl!$F355:$AE355+System_Mkt_NC!$G355:$AF355,Lamp_Mkt_Repl!$G65:$AF65+System_Mkt_NC!$G355:$AF355))))))</f>
        <v>83.426635452903525</v>
      </c>
      <c r="K179" s="373">
        <f t="array" ref="K179">IF(K$157=Misc_Inputs!$D$6,$G103,IF(SUM(IF($G$157:$AF$157&gt;=ROUND(IF((K$157-Sys_Repl_Rate!K137)&lt;Tech_Specs!$C29,Tech_Specs!$C29,(K$157-Sys_Repl_Rate!K137)),0),IF($G$157:$AF$157&lt;=K$157,IF(Tech_Specs!$K29="lamp",System_Mkt_Repl!$F355:$AE355+System_Mkt_NC!$G355:$AF355,Lamp_Mkt_Repl!$G65:$AF65+System_Mkt_NC!$G355:$AF355))))=0,0,SUMPRODUCT(IF($G$157:$AF$157&gt;=ROUND(IF((K$157-Sys_Repl_Rate!K137)&lt;Tech_Specs!$C29,Tech_Specs!$C29,(K$157-Sys_Repl_Rate!K137)),0),IF($G$157:$AF$157&lt;=K$157,$G103:$AF103)),IF(Tech_Specs!$K29="lamp",System_Mkt_Repl!$F355:$AE355+System_Mkt_NC!$G355:$AF355,Lamp_Mkt_Repl!$G65:$AF65+System_Mkt_NC!$G355:$AF355))/SUM(IF($G$157:$AF$157&gt;=ROUND(IF((K$157-Sys_Repl_Rate!K137)&lt;Tech_Specs!$C29,Tech_Specs!$C29,(K$157-Sys_Repl_Rate!K137)),0),IF($G$157:$AF$157&lt;=K$157,IF(Tech_Specs!$K29="lamp",System_Mkt_Repl!$F355:$AE355+System_Mkt_NC!$G355:$AF355,Lamp_Mkt_Repl!$G65:$AF65+System_Mkt_NC!$G355:$AF355))))))</f>
        <v>83.522767597046467</v>
      </c>
      <c r="L179" s="373">
        <f t="array" ref="L179">IF(L$157=Misc_Inputs!$D$6,$G103,IF(SUM(IF($G$157:$AF$157&gt;=ROUND(IF((L$157-Sys_Repl_Rate!L137)&lt;Tech_Specs!$C29,Tech_Specs!$C29,(L$157-Sys_Repl_Rate!L137)),0),IF($G$157:$AF$157&lt;=L$157,IF(Tech_Specs!$K29="lamp",System_Mkt_Repl!$F355:$AE355+System_Mkt_NC!$G355:$AF355,Lamp_Mkt_Repl!$G65:$AF65+System_Mkt_NC!$G355:$AF355))))=0,0,SUMPRODUCT(IF($G$157:$AF$157&gt;=ROUND(IF((L$157-Sys_Repl_Rate!L137)&lt;Tech_Specs!$C29,Tech_Specs!$C29,(L$157-Sys_Repl_Rate!L137)),0),IF($G$157:$AF$157&lt;=L$157,$G103:$AF103)),IF(Tech_Specs!$K29="lamp",System_Mkt_Repl!$F355:$AE355+System_Mkt_NC!$G355:$AF355,Lamp_Mkt_Repl!$G65:$AF65+System_Mkt_NC!$G355:$AF355))/SUM(IF($G$157:$AF$157&gt;=ROUND(IF((L$157-Sys_Repl_Rate!L137)&lt;Tech_Specs!$C29,Tech_Specs!$C29,(L$157-Sys_Repl_Rate!L137)),0),IF($G$157:$AF$157&lt;=L$157,IF(Tech_Specs!$K29="lamp",System_Mkt_Repl!$F355:$AE355+System_Mkt_NC!$G355:$AF355,Lamp_Mkt_Repl!$G65:$AF65+System_Mkt_NC!$G355:$AF355))))))</f>
        <v>83.616734666866094</v>
      </c>
      <c r="M179" s="373">
        <f t="array" ref="M179">IF(M$157=Misc_Inputs!$D$6,$G103,IF(SUM(IF($G$157:$AF$157&gt;=ROUND(IF((M$157-Sys_Repl_Rate!M137)&lt;Tech_Specs!$C29,Tech_Specs!$C29,(M$157-Sys_Repl_Rate!M137)),0),IF($G$157:$AF$157&lt;=M$157,IF(Tech_Specs!$K29="lamp",System_Mkt_Repl!$F355:$AE355+System_Mkt_NC!$G355:$AF355,Lamp_Mkt_Repl!$G65:$AF65+System_Mkt_NC!$G355:$AF355))))=0,0,SUMPRODUCT(IF($G$157:$AF$157&gt;=ROUND(IF((M$157-Sys_Repl_Rate!M137)&lt;Tech_Specs!$C29,Tech_Specs!$C29,(M$157-Sys_Repl_Rate!M137)),0),IF($G$157:$AF$157&lt;=M$157,$G103:$AF103)),IF(Tech_Specs!$K29="lamp",System_Mkt_Repl!$F355:$AE355+System_Mkt_NC!$G355:$AF355,Lamp_Mkt_Repl!$G65:$AF65+System_Mkt_NC!$G355:$AF355))/SUM(IF($G$157:$AF$157&gt;=ROUND(IF((M$157-Sys_Repl_Rate!M137)&lt;Tech_Specs!$C29,Tech_Specs!$C29,(M$157-Sys_Repl_Rate!M137)),0),IF($G$157:$AF$157&lt;=M$157,IF(Tech_Specs!$K29="lamp",System_Mkt_Repl!$F355:$AE355+System_Mkt_NC!$G355:$AF355,Lamp_Mkt_Repl!$G65:$AF65+System_Mkt_NC!$G355:$AF355))))))</f>
        <v>83.708545648176482</v>
      </c>
      <c r="N179" s="373">
        <f t="array" ref="N179">IF(N$157=Misc_Inputs!$D$6,$G103,IF(SUM(IF($G$157:$AF$157&gt;=ROUND(IF((N$157-Sys_Repl_Rate!N137)&lt;Tech_Specs!$C29,Tech_Specs!$C29,(N$157-Sys_Repl_Rate!N137)),0),IF($G$157:$AF$157&lt;=N$157,IF(Tech_Specs!$K29="lamp",System_Mkt_Repl!$F355:$AE355+System_Mkt_NC!$G355:$AF355,Lamp_Mkt_Repl!$G65:$AF65+System_Mkt_NC!$G355:$AF355))))=0,0,SUMPRODUCT(IF($G$157:$AF$157&gt;=ROUND(IF((N$157-Sys_Repl_Rate!N137)&lt;Tech_Specs!$C29,Tech_Specs!$C29,(N$157-Sys_Repl_Rate!N137)),0),IF($G$157:$AF$157&lt;=N$157,$G103:$AF103)),IF(Tech_Specs!$K29="lamp",System_Mkt_Repl!$F355:$AE355+System_Mkt_NC!$G355:$AF355,Lamp_Mkt_Repl!$G65:$AF65+System_Mkt_NC!$G355:$AF355))/SUM(IF($G$157:$AF$157&gt;=ROUND(IF((N$157-Sys_Repl_Rate!N137)&lt;Tech_Specs!$C29,Tech_Specs!$C29,(N$157-Sys_Repl_Rate!N137)),0),IF($G$157:$AF$157&lt;=N$157,IF(Tech_Specs!$K29="lamp",System_Mkt_Repl!$F355:$AE355+System_Mkt_NC!$G355:$AF355,Lamp_Mkt_Repl!$G65:$AF65+System_Mkt_NC!$G355:$AF355))))))</f>
        <v>83.798209665960044</v>
      </c>
      <c r="O179" s="373">
        <f t="array" ref="O179">IF(O$157=Misc_Inputs!$D$6,$G103,IF(SUM(IF($G$157:$AF$157&gt;=ROUND(IF((O$157-Sys_Repl_Rate!O137)&lt;Tech_Specs!$C29,Tech_Specs!$C29,(O$157-Sys_Repl_Rate!O137)),0),IF($G$157:$AF$157&lt;=O$157,IF(Tech_Specs!$K29="lamp",System_Mkt_Repl!$F355:$AE355+System_Mkt_NC!$G355:$AF355,Lamp_Mkt_Repl!$G65:$AF65+System_Mkt_NC!$G355:$AF355))))=0,0,SUMPRODUCT(IF($G$157:$AF$157&gt;=ROUND(IF((O$157-Sys_Repl_Rate!O137)&lt;Tech_Specs!$C29,Tech_Specs!$C29,(O$157-Sys_Repl_Rate!O137)),0),IF($G$157:$AF$157&lt;=O$157,$G103:$AF103)),IF(Tech_Specs!$K29="lamp",System_Mkt_Repl!$F355:$AE355+System_Mkt_NC!$G355:$AF355,Lamp_Mkt_Repl!$G65:$AF65+System_Mkt_NC!$G355:$AF355))/SUM(IF($G$157:$AF$157&gt;=ROUND(IF((O$157-Sys_Repl_Rate!O137)&lt;Tech_Specs!$C29,Tech_Specs!$C29,(O$157-Sys_Repl_Rate!O137)),0),IF($G$157:$AF$157&lt;=O$157,IF(Tech_Specs!$K29="lamp",System_Mkt_Repl!$F355:$AE355+System_Mkt_NC!$G355:$AF355,Lamp_Mkt_Repl!$G65:$AF65+System_Mkt_NC!$G355:$AF355))))))</f>
        <v>83.885746636314195</v>
      </c>
      <c r="P179" s="373">
        <f t="array" ref="P179">IF(P$157=Misc_Inputs!$D$6,$G103,IF(SUM(IF($G$157:$AF$157&gt;=ROUND(IF((P$157-Sys_Repl_Rate!P137)&lt;Tech_Specs!$C29,Tech_Specs!$C29,(P$157-Sys_Repl_Rate!P137)),0),IF($G$157:$AF$157&lt;=P$157,IF(Tech_Specs!$K29="lamp",System_Mkt_Repl!$F355:$AE355+System_Mkt_NC!$G355:$AF355,Lamp_Mkt_Repl!$G65:$AF65+System_Mkt_NC!$G355:$AF355))))=0,0,SUMPRODUCT(IF($G$157:$AF$157&gt;=ROUND(IF((P$157-Sys_Repl_Rate!P137)&lt;Tech_Specs!$C29,Tech_Specs!$C29,(P$157-Sys_Repl_Rate!P137)),0),IF($G$157:$AF$157&lt;=P$157,$G103:$AF103)),IF(Tech_Specs!$K29="lamp",System_Mkt_Repl!$F355:$AE355+System_Mkt_NC!$G355:$AF355,Lamp_Mkt_Repl!$G65:$AF65+System_Mkt_NC!$G355:$AF355))/SUM(IF($G$157:$AF$157&gt;=ROUND(IF((P$157-Sys_Repl_Rate!P137)&lt;Tech_Specs!$C29,Tech_Specs!$C29,(P$157-Sys_Repl_Rate!P137)),0),IF($G$157:$AF$157&lt;=P$157,IF(Tech_Specs!$K29="lamp",System_Mkt_Repl!$F355:$AE355+System_Mkt_NC!$G355:$AF355,Lamp_Mkt_Repl!$G65:$AF65+System_Mkt_NC!$G355:$AF355))))))</f>
        <v>83.971179068135598</v>
      </c>
      <c r="Q179" s="373">
        <f t="array" ref="Q179">IF(Q$157=Misc_Inputs!$D$6,$G103,IF(SUM(IF($G$157:$AF$157&gt;=ROUND(IF((Q$157-Sys_Repl_Rate!Q137)&lt;Tech_Specs!$C29,Tech_Specs!$C29,(Q$157-Sys_Repl_Rate!Q137)),0),IF($G$157:$AF$157&lt;=Q$157,IF(Tech_Specs!$K29="lamp",System_Mkt_Repl!$F355:$AE355+System_Mkt_NC!$G355:$AF355,Lamp_Mkt_Repl!$G65:$AF65+System_Mkt_NC!$G355:$AF355))))=0,0,SUMPRODUCT(IF($G$157:$AF$157&gt;=ROUND(IF((Q$157-Sys_Repl_Rate!Q137)&lt;Tech_Specs!$C29,Tech_Specs!$C29,(Q$157-Sys_Repl_Rate!Q137)),0),IF($G$157:$AF$157&lt;=Q$157,$G103:$AF103)),IF(Tech_Specs!$K29="lamp",System_Mkt_Repl!$F355:$AE355+System_Mkt_NC!$G355:$AF355,Lamp_Mkt_Repl!$G65:$AF65+System_Mkt_NC!$G355:$AF355))/SUM(IF($G$157:$AF$157&gt;=ROUND(IF((Q$157-Sys_Repl_Rate!Q137)&lt;Tech_Specs!$C29,Tech_Specs!$C29,(Q$157-Sys_Repl_Rate!Q137)),0),IF($G$157:$AF$157&lt;=Q$157,IF(Tech_Specs!$K29="lamp",System_Mkt_Repl!$F355:$AE355+System_Mkt_NC!$G355:$AF355,Lamp_Mkt_Repl!$G65:$AF65+System_Mkt_NC!$G355:$AF355))))))</f>
        <v>84.054530702004072</v>
      </c>
      <c r="R179" s="373">
        <f t="array" ref="R179">IF(R$157=Misc_Inputs!$D$6,$G103,IF(SUM(IF($G$157:$AF$157&gt;=ROUND(IF((R$157-Sys_Repl_Rate!R137)&lt;Tech_Specs!$C29,Tech_Specs!$C29,(R$157-Sys_Repl_Rate!R137)),0),IF($G$157:$AF$157&lt;=R$157,IF(Tech_Specs!$K29="lamp",System_Mkt_Repl!$F355:$AE355+System_Mkt_NC!$G355:$AF355,Lamp_Mkt_Repl!$G65:$AF65+System_Mkt_NC!$G355:$AF355))))=0,0,SUMPRODUCT(IF($G$157:$AF$157&gt;=ROUND(IF((R$157-Sys_Repl_Rate!R137)&lt;Tech_Specs!$C29,Tech_Specs!$C29,(R$157-Sys_Repl_Rate!R137)),0),IF($G$157:$AF$157&lt;=R$157,$G103:$AF103)),IF(Tech_Specs!$K29="lamp",System_Mkt_Repl!$F355:$AE355+System_Mkt_NC!$G355:$AF355,Lamp_Mkt_Repl!$G65:$AF65+System_Mkt_NC!$G355:$AF355))/SUM(IF($G$157:$AF$157&gt;=ROUND(IF((R$157-Sys_Repl_Rate!R137)&lt;Tech_Specs!$C29,Tech_Specs!$C29,(R$157-Sys_Repl_Rate!R137)),0),IF($G$157:$AF$157&lt;=R$157,IF(Tech_Specs!$K29="lamp",System_Mkt_Repl!$F355:$AE355+System_Mkt_NC!$G355:$AF355,Lamp_Mkt_Repl!$G65:$AF65+System_Mkt_NC!$G355:$AF355))))))</f>
        <v>84.13582407463042</v>
      </c>
      <c r="S179" s="373">
        <f t="array" ref="S179">IF(S$157=Misc_Inputs!$D$6,$G103,IF(SUM(IF($G$157:$AF$157&gt;=ROUND(IF((S$157-Sys_Repl_Rate!S137)&lt;Tech_Specs!$C29,Tech_Specs!$C29,(S$157-Sys_Repl_Rate!S137)),0),IF($G$157:$AF$157&lt;=S$157,IF(Tech_Specs!$K29="lamp",System_Mkt_Repl!$F355:$AE355+System_Mkt_NC!$G355:$AF355,Lamp_Mkt_Repl!$G65:$AF65+System_Mkt_NC!$G355:$AF355))))=0,0,SUMPRODUCT(IF($G$157:$AF$157&gt;=ROUND(IF((S$157-Sys_Repl_Rate!S137)&lt;Tech_Specs!$C29,Tech_Specs!$C29,(S$157-Sys_Repl_Rate!S137)),0),IF($G$157:$AF$157&lt;=S$157,$G103:$AF103)),IF(Tech_Specs!$K29="lamp",System_Mkt_Repl!$F355:$AE355+System_Mkt_NC!$G355:$AF355,Lamp_Mkt_Repl!$G65:$AF65+System_Mkt_NC!$G355:$AF355))/SUM(IF($G$157:$AF$157&gt;=ROUND(IF((S$157-Sys_Repl_Rate!S137)&lt;Tech_Specs!$C29,Tech_Specs!$C29,(S$157-Sys_Repl_Rate!S137)),0),IF($G$157:$AF$157&lt;=S$157,IF(Tech_Specs!$K29="lamp",System_Mkt_Repl!$F355:$AE355+System_Mkt_NC!$G355:$AF355,Lamp_Mkt_Repl!$G65:$AF65+System_Mkt_NC!$G355:$AF355))))))</f>
        <v>84.215095061489706</v>
      </c>
      <c r="T179" s="373">
        <f t="array" ref="T179">IF(T$157=Misc_Inputs!$D$6,$G103,IF(SUM(IF($G$157:$AF$157&gt;=ROUND(IF((T$157-Sys_Repl_Rate!T137)&lt;Tech_Specs!$C29,Tech_Specs!$C29,(T$157-Sys_Repl_Rate!T137)),0),IF($G$157:$AF$157&lt;=T$157,IF(Tech_Specs!$K29="lamp",System_Mkt_Repl!$F355:$AE355+System_Mkt_NC!$G355:$AF355,Lamp_Mkt_Repl!$G65:$AF65+System_Mkt_NC!$G355:$AF355))))=0,0,SUMPRODUCT(IF($G$157:$AF$157&gt;=ROUND(IF((T$157-Sys_Repl_Rate!T137)&lt;Tech_Specs!$C29,Tech_Specs!$C29,(T$157-Sys_Repl_Rate!T137)),0),IF($G$157:$AF$157&lt;=T$157,$G103:$AF103)),IF(Tech_Specs!$K29="lamp",System_Mkt_Repl!$F355:$AE355+System_Mkt_NC!$G355:$AF355,Lamp_Mkt_Repl!$G65:$AF65+System_Mkt_NC!$G355:$AF355))/SUM(IF($G$157:$AF$157&gt;=ROUND(IF((T$157-Sys_Repl_Rate!T137)&lt;Tech_Specs!$C29,Tech_Specs!$C29,(T$157-Sys_Repl_Rate!T137)),0),IF($G$157:$AF$157&lt;=T$157,IF(Tech_Specs!$K29="lamp",System_Mkt_Repl!$F355:$AE355+System_Mkt_NC!$G355:$AF355,Lamp_Mkt_Repl!$G65:$AF65+System_Mkt_NC!$G355:$AF355))))))</f>
        <v>84.292374325417228</v>
      </c>
      <c r="U179" s="373">
        <f t="array" ref="U179">IF(U$157=Misc_Inputs!$D$6,$G103,IF(SUM(IF($G$157:$AF$157&gt;=ROUND(IF((U$157-Sys_Repl_Rate!U137)&lt;Tech_Specs!$C29,Tech_Specs!$C29,(U$157-Sys_Repl_Rate!U137)),0),IF($G$157:$AF$157&lt;=U$157,IF(Tech_Specs!$K29="lamp",System_Mkt_Repl!$F355:$AE355+System_Mkt_NC!$G355:$AF355,Lamp_Mkt_Repl!$G65:$AF65+System_Mkt_NC!$G355:$AF355))))=0,0,SUMPRODUCT(IF($G$157:$AF$157&gt;=ROUND(IF((U$157-Sys_Repl_Rate!U137)&lt;Tech_Specs!$C29,Tech_Specs!$C29,(U$157-Sys_Repl_Rate!U137)),0),IF($G$157:$AF$157&lt;=U$157,$G103:$AF103)),IF(Tech_Specs!$K29="lamp",System_Mkt_Repl!$F355:$AE355+System_Mkt_NC!$G355:$AF355,Lamp_Mkt_Repl!$G65:$AF65+System_Mkt_NC!$G355:$AF355))/SUM(IF($G$157:$AF$157&gt;=ROUND(IF((U$157-Sys_Repl_Rate!U137)&lt;Tech_Specs!$C29,Tech_Specs!$C29,(U$157-Sys_Repl_Rate!U137)),0),IF($G$157:$AF$157&lt;=U$157,IF(Tech_Specs!$K29="lamp",System_Mkt_Repl!$F355:$AE355+System_Mkt_NC!$G355:$AF355,Lamp_Mkt_Repl!$G65:$AF65+System_Mkt_NC!$G355:$AF355))))))</f>
        <v>84.367693982824818</v>
      </c>
      <c r="V179" s="373">
        <f t="array" ref="V179">IF(V$157=Misc_Inputs!$D$6,$G103,IF(SUM(IF($G$157:$AF$157&gt;=ROUND(IF((V$157-Sys_Repl_Rate!V137)&lt;Tech_Specs!$C29,Tech_Specs!$C29,(V$157-Sys_Repl_Rate!V137)),0),IF($G$157:$AF$157&lt;=V$157,IF(Tech_Specs!$K29="lamp",System_Mkt_Repl!$F355:$AE355+System_Mkt_NC!$G355:$AF355,Lamp_Mkt_Repl!$G65:$AF65+System_Mkt_NC!$G355:$AF355))))=0,0,SUMPRODUCT(IF($G$157:$AF$157&gt;=ROUND(IF((V$157-Sys_Repl_Rate!V137)&lt;Tech_Specs!$C29,Tech_Specs!$C29,(V$157-Sys_Repl_Rate!V137)),0),IF($G$157:$AF$157&lt;=V$157,$G103:$AF103)),IF(Tech_Specs!$K29="lamp",System_Mkt_Repl!$F355:$AE355+System_Mkt_NC!$G355:$AF355,Lamp_Mkt_Repl!$G65:$AF65+System_Mkt_NC!$G355:$AF355))/SUM(IF($G$157:$AF$157&gt;=ROUND(IF((V$157-Sys_Repl_Rate!V137)&lt;Tech_Specs!$C29,Tech_Specs!$C29,(V$157-Sys_Repl_Rate!V137)),0),IF($G$157:$AF$157&lt;=V$157,IF(Tech_Specs!$K29="lamp",System_Mkt_Repl!$F355:$AE355+System_Mkt_NC!$G355:$AF355,Lamp_Mkt_Repl!$G65:$AF65+System_Mkt_NC!$G355:$AF355))))))</f>
        <v>84.441090676110662</v>
      </c>
      <c r="W179" s="373">
        <f t="array" ref="W179">IF(W$157=Misc_Inputs!$D$6,$G103,IF(SUM(IF($G$157:$AF$157&gt;=ROUND(IF((W$157-Sys_Repl_Rate!W137)&lt;Tech_Specs!$C29,Tech_Specs!$C29,(W$157-Sys_Repl_Rate!W137)),0),IF($G$157:$AF$157&lt;=W$157,IF(Tech_Specs!$K29="lamp",System_Mkt_Repl!$F355:$AE355+System_Mkt_NC!$G355:$AF355,Lamp_Mkt_Repl!$G65:$AF65+System_Mkt_NC!$G355:$AF355))))=0,0,SUMPRODUCT(IF($G$157:$AF$157&gt;=ROUND(IF((W$157-Sys_Repl_Rate!W137)&lt;Tech_Specs!$C29,Tech_Specs!$C29,(W$157-Sys_Repl_Rate!W137)),0),IF($G$157:$AF$157&lt;=W$157,$G103:$AF103)),IF(Tech_Specs!$K29="lamp",System_Mkt_Repl!$F355:$AE355+System_Mkt_NC!$G355:$AF355,Lamp_Mkt_Repl!$G65:$AF65+System_Mkt_NC!$G355:$AF355))/SUM(IF($G$157:$AF$157&gt;=ROUND(IF((W$157-Sys_Repl_Rate!W137)&lt;Tech_Specs!$C29,Tech_Specs!$C29,(W$157-Sys_Repl_Rate!W137)),0),IF($G$157:$AF$157&lt;=W$157,IF(Tech_Specs!$K29="lamp",System_Mkt_Repl!$F355:$AE355+System_Mkt_NC!$G355:$AF355,Lamp_Mkt_Repl!$G65:$AF65+System_Mkt_NC!$G355:$AF355))))))</f>
        <v>84.512595772268568</v>
      </c>
      <c r="X179" s="373">
        <f t="array" ref="X179">IF(X$157=Misc_Inputs!$D$6,$G103,IF(SUM(IF($G$157:$AF$157&gt;=ROUND(IF((X$157-Sys_Repl_Rate!X137)&lt;Tech_Specs!$C29,Tech_Specs!$C29,(X$157-Sys_Repl_Rate!X137)),0),IF($G$157:$AF$157&lt;=X$157,IF(Tech_Specs!$K29="lamp",System_Mkt_Repl!$F355:$AE355+System_Mkt_NC!$G355:$AF355,Lamp_Mkt_Repl!$G65:$AF65+System_Mkt_NC!$G355:$AF355))))=0,0,SUMPRODUCT(IF($G$157:$AF$157&gt;=ROUND(IF((X$157-Sys_Repl_Rate!X137)&lt;Tech_Specs!$C29,Tech_Specs!$C29,(X$157-Sys_Repl_Rate!X137)),0),IF($G$157:$AF$157&lt;=X$157,$G103:$AF103)),IF(Tech_Specs!$K29="lamp",System_Mkt_Repl!$F355:$AE355+System_Mkt_NC!$G355:$AF355,Lamp_Mkt_Repl!$G65:$AF65+System_Mkt_NC!$G355:$AF355))/SUM(IF($G$157:$AF$157&gt;=ROUND(IF((X$157-Sys_Repl_Rate!X137)&lt;Tech_Specs!$C29,Tech_Specs!$C29,(X$157-Sys_Repl_Rate!X137)),0),IF($G$157:$AF$157&lt;=X$157,IF(Tech_Specs!$K29="lamp",System_Mkt_Repl!$F355:$AE355+System_Mkt_NC!$G355:$AF355,Lamp_Mkt_Repl!$G65:$AF65+System_Mkt_NC!$G355:$AF355))))))</f>
        <v>84.582240477321122</v>
      </c>
      <c r="Y179" s="373">
        <f t="array" ref="Y179">IF(Y$157=Misc_Inputs!$D$6,$G103,IF(SUM(IF($G$157:$AF$157&gt;=ROUND(IF((Y$157-Sys_Repl_Rate!Y137)&lt;Tech_Specs!$C29,Tech_Specs!$C29,(Y$157-Sys_Repl_Rate!Y137)),0),IF($G$157:$AF$157&lt;=Y$157,IF(Tech_Specs!$K29="lamp",System_Mkt_Repl!$F355:$AE355+System_Mkt_NC!$G355:$AF355,Lamp_Mkt_Repl!$G65:$AF65+System_Mkt_NC!$G355:$AF355))))=0,0,SUMPRODUCT(IF($G$157:$AF$157&gt;=ROUND(IF((Y$157-Sys_Repl_Rate!Y137)&lt;Tech_Specs!$C29,Tech_Specs!$C29,(Y$157-Sys_Repl_Rate!Y137)),0),IF($G$157:$AF$157&lt;=Y$157,$G103:$AF103)),IF(Tech_Specs!$K29="lamp",System_Mkt_Repl!$F355:$AE355+System_Mkt_NC!$G355:$AF355,Lamp_Mkt_Repl!$G65:$AF65+System_Mkt_NC!$G355:$AF355))/SUM(IF($G$157:$AF$157&gt;=ROUND(IF((Y$157-Sys_Repl_Rate!Y137)&lt;Tech_Specs!$C29,Tech_Specs!$C29,(Y$157-Sys_Repl_Rate!Y137)),0),IF($G$157:$AF$157&lt;=Y$157,IF(Tech_Specs!$K29="lamp",System_Mkt_Repl!$F355:$AE355+System_Mkt_NC!$G355:$AF355,Lamp_Mkt_Repl!$G65:$AF65+System_Mkt_NC!$G355:$AF355))))))</f>
        <v>84.650057527551212</v>
      </c>
      <c r="Z179" s="373">
        <f t="array" ref="Z179">IF(Z$157=Misc_Inputs!$D$6,$G103,IF(SUM(IF($G$157:$AF$157&gt;=ROUND(IF((Z$157-Sys_Repl_Rate!Z137)&lt;Tech_Specs!$C29,Tech_Specs!$C29,(Z$157-Sys_Repl_Rate!Z137)),0),IF($G$157:$AF$157&lt;=Z$157,IF(Tech_Specs!$K29="lamp",System_Mkt_Repl!$F355:$AE355+System_Mkt_NC!$G355:$AF355,Lamp_Mkt_Repl!$G65:$AF65+System_Mkt_NC!$G355:$AF355))))=0,0,SUMPRODUCT(IF($G$157:$AF$157&gt;=ROUND(IF((Z$157-Sys_Repl_Rate!Z137)&lt;Tech_Specs!$C29,Tech_Specs!$C29,(Z$157-Sys_Repl_Rate!Z137)),0),IF($G$157:$AF$157&lt;=Z$157,$G103:$AF103)),IF(Tech_Specs!$K29="lamp",System_Mkt_Repl!$F355:$AE355+System_Mkt_NC!$G355:$AF355,Lamp_Mkt_Repl!$G65:$AF65+System_Mkt_NC!$G355:$AF355))/SUM(IF($G$157:$AF$157&gt;=ROUND(IF((Z$157-Sys_Repl_Rate!Z137)&lt;Tech_Specs!$C29,Tech_Specs!$C29,(Z$157-Sys_Repl_Rate!Z137)),0),IF($G$157:$AF$157&lt;=Z$157,IF(Tech_Specs!$K29="lamp",System_Mkt_Repl!$F355:$AE355+System_Mkt_NC!$G355:$AF355,Lamp_Mkt_Repl!$G65:$AF65+System_Mkt_NC!$G355:$AF355))))))</f>
        <v>84.716084867132523</v>
      </c>
      <c r="AA179" s="373">
        <f t="array" ref="AA179">IF(AA$157=Misc_Inputs!$D$6,$G103,IF(SUM(IF($G$157:$AF$157&gt;=ROUND(IF((AA$157-Sys_Repl_Rate!AA137)&lt;Tech_Specs!$C29,Tech_Specs!$C29,(AA$157-Sys_Repl_Rate!AA137)),0),IF($G$157:$AF$157&lt;=AA$157,IF(Tech_Specs!$K29="lamp",System_Mkt_Repl!$F355:$AE355+System_Mkt_NC!$G355:$AF355,Lamp_Mkt_Repl!$G65:$AF65+System_Mkt_NC!$G355:$AF355))))=0,0,SUMPRODUCT(IF($G$157:$AF$157&gt;=ROUND(IF((AA$157-Sys_Repl_Rate!AA137)&lt;Tech_Specs!$C29,Tech_Specs!$C29,(AA$157-Sys_Repl_Rate!AA137)),0),IF($G$157:$AF$157&lt;=AA$157,$G103:$AF103)),IF(Tech_Specs!$K29="lamp",System_Mkt_Repl!$F355:$AE355+System_Mkt_NC!$G355:$AF355,Lamp_Mkt_Repl!$G65:$AF65+System_Mkt_NC!$G355:$AF355))/SUM(IF($G$157:$AF$157&gt;=ROUND(IF((AA$157-Sys_Repl_Rate!AA137)&lt;Tech_Specs!$C29,Tech_Specs!$C29,(AA$157-Sys_Repl_Rate!AA137)),0),IF($G$157:$AF$157&lt;=AA$157,IF(Tech_Specs!$K29="lamp",System_Mkt_Repl!$F355:$AE355+System_Mkt_NC!$G355:$AF355,Lamp_Mkt_Repl!$G65:$AF65+System_Mkt_NC!$G355:$AF355))))))</f>
        <v>84.780362555991658</v>
      </c>
      <c r="AB179" s="373">
        <f t="array" ref="AB179">IF(AB$157=Misc_Inputs!$D$6,$G103,IF(SUM(IF($G$157:$AF$157&gt;=ROUND(IF((AB$157-Sys_Repl_Rate!AB137)&lt;Tech_Specs!$C29,Tech_Specs!$C29,(AB$157-Sys_Repl_Rate!AB137)),0),IF($G$157:$AF$157&lt;=AB$157,IF(Tech_Specs!$K29="lamp",System_Mkt_Repl!$F355:$AE355+System_Mkt_NC!$G355:$AF355,Lamp_Mkt_Repl!$G65:$AF65+System_Mkt_NC!$G355:$AF355))))=0,0,SUMPRODUCT(IF($G$157:$AF$157&gt;=ROUND(IF((AB$157-Sys_Repl_Rate!AB137)&lt;Tech_Specs!$C29,Tech_Specs!$C29,(AB$157-Sys_Repl_Rate!AB137)),0),IF($G$157:$AF$157&lt;=AB$157,$G103:$AF103)),IF(Tech_Specs!$K29="lamp",System_Mkt_Repl!$F355:$AE355+System_Mkt_NC!$G355:$AF355,Lamp_Mkt_Repl!$G65:$AF65+System_Mkt_NC!$G355:$AF355))/SUM(IF($G$157:$AF$157&gt;=ROUND(IF((AB$157-Sys_Repl_Rate!AB137)&lt;Tech_Specs!$C29,Tech_Specs!$C29,(AB$157-Sys_Repl_Rate!AB137)),0),IF($G$157:$AF$157&lt;=AB$157,IF(Tech_Specs!$K29="lamp",System_Mkt_Repl!$F355:$AE355+System_Mkt_NC!$G355:$AF355,Lamp_Mkt_Repl!$G65:$AF65+System_Mkt_NC!$G355:$AF355))))))</f>
        <v>84.842933956363467</v>
      </c>
      <c r="AC179" s="373">
        <f t="array" ref="AC179">IF(AC$157=Misc_Inputs!$D$6,$G103,IF(SUM(IF($G$157:$AF$157&gt;=ROUND(IF((AC$157-Sys_Repl_Rate!AC137)&lt;Tech_Specs!$C29,Tech_Specs!$C29,(AC$157-Sys_Repl_Rate!AC137)),0),IF($G$157:$AF$157&lt;=AC$157,IF(Tech_Specs!$K29="lamp",System_Mkt_Repl!$F355:$AE355+System_Mkt_NC!$G355:$AF355,Lamp_Mkt_Repl!$G65:$AF65+System_Mkt_NC!$G355:$AF355))))=0,0,SUMPRODUCT(IF($G$157:$AF$157&gt;=ROUND(IF((AC$157-Sys_Repl_Rate!AC137)&lt;Tech_Specs!$C29,Tech_Specs!$C29,(AC$157-Sys_Repl_Rate!AC137)),0),IF($G$157:$AF$157&lt;=AC$157,$G103:$AF103)),IF(Tech_Specs!$K29="lamp",System_Mkt_Repl!$F355:$AE355+System_Mkt_NC!$G355:$AF355,Lamp_Mkt_Repl!$G65:$AF65+System_Mkt_NC!$G355:$AF355))/SUM(IF($G$157:$AF$157&gt;=ROUND(IF((AC$157-Sys_Repl_Rate!AC137)&lt;Tech_Specs!$C29,Tech_Specs!$C29,(AC$157-Sys_Repl_Rate!AC137)),0),IF($G$157:$AF$157&lt;=AC$157,IF(Tech_Specs!$K29="lamp",System_Mkt_Repl!$F355:$AE355+System_Mkt_NC!$G355:$AF355,Lamp_Mkt_Repl!$G65:$AF65+System_Mkt_NC!$G355:$AF355))))))</f>
        <v>84.903825628990276</v>
      </c>
      <c r="AD179" s="373">
        <f t="array" ref="AD179">IF(AD$157=Misc_Inputs!$D$6,$G103,IF(SUM(IF($G$157:$AF$157&gt;=ROUND(IF((AD$157-Sys_Repl_Rate!AD137)&lt;Tech_Specs!$C29,Tech_Specs!$C29,(AD$157-Sys_Repl_Rate!AD137)),0),IF($G$157:$AF$157&lt;=AD$157,IF(Tech_Specs!$K29="lamp",System_Mkt_Repl!$F355:$AE355+System_Mkt_NC!$G355:$AF355,Lamp_Mkt_Repl!$G65:$AF65+System_Mkt_NC!$G355:$AF355))))=0,0,SUMPRODUCT(IF($G$157:$AF$157&gt;=ROUND(IF((AD$157-Sys_Repl_Rate!AD137)&lt;Tech_Specs!$C29,Tech_Specs!$C29,(AD$157-Sys_Repl_Rate!AD137)),0),IF($G$157:$AF$157&lt;=AD$157,$G103:$AF103)),IF(Tech_Specs!$K29="lamp",System_Mkt_Repl!$F355:$AE355+System_Mkt_NC!$G355:$AF355,Lamp_Mkt_Repl!$G65:$AF65+System_Mkt_NC!$G355:$AF355))/SUM(IF($G$157:$AF$157&gt;=ROUND(IF((AD$157-Sys_Repl_Rate!AD137)&lt;Tech_Specs!$C29,Tech_Specs!$C29,(AD$157-Sys_Repl_Rate!AD137)),0),IF($G$157:$AF$157&lt;=AD$157,IF(Tech_Specs!$K29="lamp",System_Mkt_Repl!$F355:$AE355+System_Mkt_NC!$G355:$AF355,Lamp_Mkt_Repl!$G65:$AF65+System_Mkt_NC!$G355:$AF355))))))</f>
        <v>84.963074000376139</v>
      </c>
      <c r="AE179" s="373">
        <f t="array" ref="AE179">IF(AE$157=Misc_Inputs!$D$6,$G103,IF(SUM(IF($G$157:$AF$157&gt;=ROUND(IF((AE$157-Sys_Repl_Rate!AE137)&lt;Tech_Specs!$C29,Tech_Specs!$C29,(AE$157-Sys_Repl_Rate!AE137)),0),IF($G$157:$AF$157&lt;=AE$157,IF(Tech_Specs!$K29="lamp",System_Mkt_Repl!$F355:$AE355+System_Mkt_NC!$G355:$AF355,Lamp_Mkt_Repl!$G65:$AF65+System_Mkt_NC!$G355:$AF355))))=0,0,SUMPRODUCT(IF($G$157:$AF$157&gt;=ROUND(IF((AE$157-Sys_Repl_Rate!AE137)&lt;Tech_Specs!$C29,Tech_Specs!$C29,(AE$157-Sys_Repl_Rate!AE137)),0),IF($G$157:$AF$157&lt;=AE$157,$G103:$AF103)),IF(Tech_Specs!$K29="lamp",System_Mkt_Repl!$F355:$AE355+System_Mkt_NC!$G355:$AF355,Lamp_Mkt_Repl!$G65:$AF65+System_Mkt_NC!$G355:$AF355))/SUM(IF($G$157:$AF$157&gt;=ROUND(IF((AE$157-Sys_Repl_Rate!AE137)&lt;Tech_Specs!$C29,Tech_Specs!$C29,(AE$157-Sys_Repl_Rate!AE137)),0),IF($G$157:$AF$157&lt;=AE$157,IF(Tech_Specs!$K29="lamp",System_Mkt_Repl!$F355:$AE355+System_Mkt_NC!$G355:$AF355,Lamp_Mkt_Repl!$G65:$AF65+System_Mkt_NC!$G355:$AF355))))))</f>
        <v>85.020715803223581</v>
      </c>
      <c r="AF179" s="373">
        <f t="array" ref="AF179">IF(AF$157=Misc_Inputs!$D$6,$G103,IF(SUM(IF($G$157:$AF$157&gt;=ROUND(IF((AF$157-Sys_Repl_Rate!AF137)&lt;Tech_Specs!$C29,Tech_Specs!$C29,(AF$157-Sys_Repl_Rate!AF137)),0),IF($G$157:$AF$157&lt;=AF$157,IF(Tech_Specs!$K29="lamp",System_Mkt_Repl!$F355:$AE355+System_Mkt_NC!$G355:$AF355,Lamp_Mkt_Repl!$G65:$AF65+System_Mkt_NC!$G355:$AF355))))=0,0,SUMPRODUCT(IF($G$157:$AF$157&gt;=ROUND(IF((AF$157-Sys_Repl_Rate!AF137)&lt;Tech_Specs!$C29,Tech_Specs!$C29,(AF$157-Sys_Repl_Rate!AF137)),0),IF($G$157:$AF$157&lt;=AF$157,$G103:$AF103)),IF(Tech_Specs!$K29="lamp",System_Mkt_Repl!$F355:$AE355+System_Mkt_NC!$G355:$AF355,Lamp_Mkt_Repl!$G65:$AF65+System_Mkt_NC!$G355:$AF355))/SUM(IF($G$157:$AF$157&gt;=ROUND(IF((AF$157-Sys_Repl_Rate!AF137)&lt;Tech_Specs!$C29,Tech_Specs!$C29,(AF$157-Sys_Repl_Rate!AF137)),0),IF($G$157:$AF$157&lt;=AF$157,IF(Tech_Specs!$K29="lamp",System_Mkt_Repl!$F355:$AE355+System_Mkt_NC!$G355:$AF355,Lamp_Mkt_Repl!$G65:$AF65+System_Mkt_NC!$G355:$AF355))))))</f>
        <v>85.076787986638365</v>
      </c>
    </row>
    <row r="180" spans="1:32" s="101" customFormat="1" ht="12.75" x14ac:dyDescent="0.2">
      <c r="A180" s="81"/>
      <c r="B180" s="101" t="s">
        <v>46</v>
      </c>
      <c r="C180" s="81"/>
      <c r="D180" s="550"/>
      <c r="E180" s="550"/>
      <c r="F180" s="550"/>
      <c r="G180" s="1178">
        <f t="array" ref="G180">IF(G$157=Misc_Inputs!$D$6,$G104,IF(SUM(IF($G$157:$AF$157&gt;=ROUND(IF((G$157-Sys_Repl_Rate!G138)&lt;Tech_Specs!$C30,Tech_Specs!$C30,(G$157-Sys_Repl_Rate!G138)),0),IF($G$157:$AF$157&lt;=G$157,IF(Tech_Specs!$K30="lamp",System_Mkt_Repl!$F356:$AE356+System_Mkt_NC!$G356:$AF356,Lamp_Mkt_Repl!$G66:$AF66+System_Mkt_NC!$G356:$AF356))))=0,0,SUMPRODUCT(IF($G$157:$AF$157&gt;=ROUND(IF((G$157-Sys_Repl_Rate!G138)&lt;Tech_Specs!$C30,Tech_Specs!$C30,(G$157-Sys_Repl_Rate!G138)),0),IF($G$157:$AF$157&lt;=G$157,$G104:$AF104)),IF(Tech_Specs!$K30="lamp",System_Mkt_Repl!$F356:$AE356+System_Mkt_NC!$G356:$AF356,Lamp_Mkt_Repl!$G66:$AF66+System_Mkt_NC!$G356:$AF356))/SUM(IF($G$157:$AF$157&gt;=ROUND(IF((G$157-Sys_Repl_Rate!G138)&lt;Tech_Specs!$C30,Tech_Specs!$C30,(G$157-Sys_Repl_Rate!G138)),0),IF($G$157:$AF$157&lt;=G$157,IF(Tech_Specs!$K30="lamp",System_Mkt_Repl!$F356:$AE356+System_Mkt_NC!$G356:$AF356,Lamp_Mkt_Repl!$G66:$AF66+System_Mkt_NC!$G356:$AF356))))))</f>
        <v>0</v>
      </c>
      <c r="H180" s="1178">
        <f t="array" ref="H180">IF(H$157=Misc_Inputs!$D$6,$G104,IF(SUM(IF($G$157:$AF$157&gt;=ROUND(IF((H$157-Sys_Repl_Rate!H138)&lt;Tech_Specs!$C30,Tech_Specs!$C30,(H$157-Sys_Repl_Rate!H138)),0),IF($G$157:$AF$157&lt;=H$157,IF(Tech_Specs!$K30="lamp",System_Mkt_Repl!$F356:$AE356+System_Mkt_NC!$G356:$AF356,Lamp_Mkt_Repl!$G66:$AF66+System_Mkt_NC!$G356:$AF356))))=0,0,SUMPRODUCT(IF($G$157:$AF$157&gt;=ROUND(IF((H$157-Sys_Repl_Rate!H138)&lt;Tech_Specs!$C30,Tech_Specs!$C30,(H$157-Sys_Repl_Rate!H138)),0),IF($G$157:$AF$157&lt;=H$157,$G104:$AF104)),IF(Tech_Specs!$K30="lamp",System_Mkt_Repl!$F356:$AE356+System_Mkt_NC!$G356:$AF356,Lamp_Mkt_Repl!$G66:$AF66+System_Mkt_NC!$G356:$AF356))/SUM(IF($G$157:$AF$157&gt;=ROUND(IF((H$157-Sys_Repl_Rate!H138)&lt;Tech_Specs!$C30,Tech_Specs!$C30,(H$157-Sys_Repl_Rate!H138)),0),IF($G$157:$AF$157&lt;=H$157,IF(Tech_Specs!$K30="lamp",System_Mkt_Repl!$F356:$AE356+System_Mkt_NC!$G356:$AF356,Lamp_Mkt_Repl!$G66:$AF66+System_Mkt_NC!$G356:$AF356))))))</f>
        <v>0</v>
      </c>
      <c r="I180" s="1178">
        <f t="array" ref="I180">IF(I$157=Misc_Inputs!$D$6,$G104,IF(SUM(IF($G$157:$AF$157&gt;=ROUND(IF((I$157-Sys_Repl_Rate!I138)&lt;Tech_Specs!$C30,Tech_Specs!$C30,(I$157-Sys_Repl_Rate!I138)),0),IF($G$157:$AF$157&lt;=I$157,IF(Tech_Specs!$K30="lamp",System_Mkt_Repl!$F356:$AE356+System_Mkt_NC!$G356:$AF356,Lamp_Mkt_Repl!$G66:$AF66+System_Mkt_NC!$G356:$AF356))))=0,0,SUMPRODUCT(IF($G$157:$AF$157&gt;=ROUND(IF((I$157-Sys_Repl_Rate!I138)&lt;Tech_Specs!$C30,Tech_Specs!$C30,(I$157-Sys_Repl_Rate!I138)),0),IF($G$157:$AF$157&lt;=I$157,$G104:$AF104)),IF(Tech_Specs!$K30="lamp",System_Mkt_Repl!$F356:$AE356+System_Mkt_NC!$G356:$AF356,Lamp_Mkt_Repl!$G66:$AF66+System_Mkt_NC!$G356:$AF356))/SUM(IF($G$157:$AF$157&gt;=ROUND(IF((I$157-Sys_Repl_Rate!I138)&lt;Tech_Specs!$C30,Tech_Specs!$C30,(I$157-Sys_Repl_Rate!I138)),0),IF($G$157:$AF$157&lt;=I$157,IF(Tech_Specs!$K30="lamp",System_Mkt_Repl!$F356:$AE356+System_Mkt_NC!$G356:$AF356,Lamp_Mkt_Repl!$G66:$AF66+System_Mkt_NC!$G356:$AF356))))))</f>
        <v>0</v>
      </c>
      <c r="J180" s="373">
        <f t="array" ref="J180">IF(J$157=Misc_Inputs!$D$6,$G104,IF(SUM(IF($G$157:$AF$157&gt;=ROUND(IF((J$157-Sys_Repl_Rate!J138)&lt;Tech_Specs!$C30,Tech_Specs!$C30,(J$157-Sys_Repl_Rate!J138)),0),IF($G$157:$AF$157&lt;=J$157,IF(Tech_Specs!$K30="lamp",System_Mkt_Repl!$F356:$AE356+System_Mkt_NC!$G356:$AF356,Lamp_Mkt_Repl!$G66:$AF66+System_Mkt_NC!$G356:$AF356))))=0,0,SUMPRODUCT(IF($G$157:$AF$157&gt;=ROUND(IF((J$157-Sys_Repl_Rate!J138)&lt;Tech_Specs!$C30,Tech_Specs!$C30,(J$157-Sys_Repl_Rate!J138)),0),IF($G$157:$AF$157&lt;=J$157,$G104:$AF104)),IF(Tech_Specs!$K30="lamp",System_Mkt_Repl!$F356:$AE356+System_Mkt_NC!$G356:$AF356,Lamp_Mkt_Repl!$G66:$AF66+System_Mkt_NC!$G356:$AF356))/SUM(IF($G$157:$AF$157&gt;=ROUND(IF((J$157-Sys_Repl_Rate!J138)&lt;Tech_Specs!$C30,Tech_Specs!$C30,(J$157-Sys_Repl_Rate!J138)),0),IF($G$157:$AF$157&lt;=J$157,IF(Tech_Specs!$K30="lamp",System_Mkt_Repl!$F356:$AE356+System_Mkt_NC!$G356:$AF356,Lamp_Mkt_Repl!$G66:$AF66+System_Mkt_NC!$G356:$AF356))))))</f>
        <v>0</v>
      </c>
      <c r="K180" s="373">
        <f t="array" ref="K180">IF(K$157=Misc_Inputs!$D$6,$G104,IF(SUM(IF($G$157:$AF$157&gt;=ROUND(IF((K$157-Sys_Repl_Rate!K138)&lt;Tech_Specs!$C30,Tech_Specs!$C30,(K$157-Sys_Repl_Rate!K138)),0),IF($G$157:$AF$157&lt;=K$157,IF(Tech_Specs!$K30="lamp",System_Mkt_Repl!$F356:$AE356+System_Mkt_NC!$G356:$AF356,Lamp_Mkt_Repl!$G66:$AF66+System_Mkt_NC!$G356:$AF356))))=0,0,SUMPRODUCT(IF($G$157:$AF$157&gt;=ROUND(IF((K$157-Sys_Repl_Rate!K138)&lt;Tech_Specs!$C30,Tech_Specs!$C30,(K$157-Sys_Repl_Rate!K138)),0),IF($G$157:$AF$157&lt;=K$157,$G104:$AF104)),IF(Tech_Specs!$K30="lamp",System_Mkt_Repl!$F356:$AE356+System_Mkt_NC!$G356:$AF356,Lamp_Mkt_Repl!$G66:$AF66+System_Mkt_NC!$G356:$AF356))/SUM(IF($G$157:$AF$157&gt;=ROUND(IF((K$157-Sys_Repl_Rate!K138)&lt;Tech_Specs!$C30,Tech_Specs!$C30,(K$157-Sys_Repl_Rate!K138)),0),IF($G$157:$AF$157&lt;=K$157,IF(Tech_Specs!$K30="lamp",System_Mkt_Repl!$F356:$AE356+System_Mkt_NC!$G356:$AF356,Lamp_Mkt_Repl!$G66:$AF66+System_Mkt_NC!$G356:$AF356))))))</f>
        <v>0</v>
      </c>
      <c r="L180" s="373">
        <f t="array" ref="L180">IF(L$157=Misc_Inputs!$D$6,$G104,IF(SUM(IF($G$157:$AF$157&gt;=ROUND(IF((L$157-Sys_Repl_Rate!L138)&lt;Tech_Specs!$C30,Tech_Specs!$C30,(L$157-Sys_Repl_Rate!L138)),0),IF($G$157:$AF$157&lt;=L$157,IF(Tech_Specs!$K30="lamp",System_Mkt_Repl!$F356:$AE356+System_Mkt_NC!$G356:$AF356,Lamp_Mkt_Repl!$G66:$AF66+System_Mkt_NC!$G356:$AF356))))=0,0,SUMPRODUCT(IF($G$157:$AF$157&gt;=ROUND(IF((L$157-Sys_Repl_Rate!L138)&lt;Tech_Specs!$C30,Tech_Specs!$C30,(L$157-Sys_Repl_Rate!L138)),0),IF($G$157:$AF$157&lt;=L$157,$G104:$AF104)),IF(Tech_Specs!$K30="lamp",System_Mkt_Repl!$F356:$AE356+System_Mkt_NC!$G356:$AF356,Lamp_Mkt_Repl!$G66:$AF66+System_Mkt_NC!$G356:$AF356))/SUM(IF($G$157:$AF$157&gt;=ROUND(IF((L$157-Sys_Repl_Rate!L138)&lt;Tech_Specs!$C30,Tech_Specs!$C30,(L$157-Sys_Repl_Rate!L138)),0),IF($G$157:$AF$157&lt;=L$157,IF(Tech_Specs!$K30="lamp",System_Mkt_Repl!$F356:$AE356+System_Mkt_NC!$G356:$AF356,Lamp_Mkt_Repl!$G66:$AF66+System_Mkt_NC!$G356:$AF356))))))</f>
        <v>0</v>
      </c>
      <c r="M180" s="373">
        <f t="array" ref="M180">IF(M$157=Misc_Inputs!$D$6,$G104,IF(SUM(IF($G$157:$AF$157&gt;=ROUND(IF((M$157-Sys_Repl_Rate!M138)&lt;Tech_Specs!$C30,Tech_Specs!$C30,(M$157-Sys_Repl_Rate!M138)),0),IF($G$157:$AF$157&lt;=M$157,IF(Tech_Specs!$K30="lamp",System_Mkt_Repl!$F356:$AE356+System_Mkt_NC!$G356:$AF356,Lamp_Mkt_Repl!$G66:$AF66+System_Mkt_NC!$G356:$AF356))))=0,0,SUMPRODUCT(IF($G$157:$AF$157&gt;=ROUND(IF((M$157-Sys_Repl_Rate!M138)&lt;Tech_Specs!$C30,Tech_Specs!$C30,(M$157-Sys_Repl_Rate!M138)),0),IF($G$157:$AF$157&lt;=M$157,$G104:$AF104)),IF(Tech_Specs!$K30="lamp",System_Mkt_Repl!$F356:$AE356+System_Mkt_NC!$G356:$AF356,Lamp_Mkt_Repl!$G66:$AF66+System_Mkt_NC!$G356:$AF356))/SUM(IF($G$157:$AF$157&gt;=ROUND(IF((M$157-Sys_Repl_Rate!M138)&lt;Tech_Specs!$C30,Tech_Specs!$C30,(M$157-Sys_Repl_Rate!M138)),0),IF($G$157:$AF$157&lt;=M$157,IF(Tech_Specs!$K30="lamp",System_Mkt_Repl!$F356:$AE356+System_Mkt_NC!$G356:$AF356,Lamp_Mkt_Repl!$G66:$AF66+System_Mkt_NC!$G356:$AF356))))))</f>
        <v>0</v>
      </c>
      <c r="N180" s="373">
        <f t="array" ref="N180">IF(N$157=Misc_Inputs!$D$6,$G104,IF(SUM(IF($G$157:$AF$157&gt;=ROUND(IF((N$157-Sys_Repl_Rate!N138)&lt;Tech_Specs!$C30,Tech_Specs!$C30,(N$157-Sys_Repl_Rate!N138)),0),IF($G$157:$AF$157&lt;=N$157,IF(Tech_Specs!$K30="lamp",System_Mkt_Repl!$F356:$AE356+System_Mkt_NC!$G356:$AF356,Lamp_Mkt_Repl!$G66:$AF66+System_Mkt_NC!$G356:$AF356))))=0,0,SUMPRODUCT(IF($G$157:$AF$157&gt;=ROUND(IF((N$157-Sys_Repl_Rate!N138)&lt;Tech_Specs!$C30,Tech_Specs!$C30,(N$157-Sys_Repl_Rate!N138)),0),IF($G$157:$AF$157&lt;=N$157,$G104:$AF104)),IF(Tech_Specs!$K30="lamp",System_Mkt_Repl!$F356:$AE356+System_Mkt_NC!$G356:$AF356,Lamp_Mkt_Repl!$G66:$AF66+System_Mkt_NC!$G356:$AF356))/SUM(IF($G$157:$AF$157&gt;=ROUND(IF((N$157-Sys_Repl_Rate!N138)&lt;Tech_Specs!$C30,Tech_Specs!$C30,(N$157-Sys_Repl_Rate!N138)),0),IF($G$157:$AF$157&lt;=N$157,IF(Tech_Specs!$K30="lamp",System_Mkt_Repl!$F356:$AE356+System_Mkt_NC!$G356:$AF356,Lamp_Mkt_Repl!$G66:$AF66+System_Mkt_NC!$G356:$AF356))))))</f>
        <v>0</v>
      </c>
      <c r="O180" s="373">
        <f t="array" ref="O180">IF(O$157=Misc_Inputs!$D$6,$G104,IF(SUM(IF($G$157:$AF$157&gt;=ROUND(IF((O$157-Sys_Repl_Rate!O138)&lt;Tech_Specs!$C30,Tech_Specs!$C30,(O$157-Sys_Repl_Rate!O138)),0),IF($G$157:$AF$157&lt;=O$157,IF(Tech_Specs!$K30="lamp",System_Mkt_Repl!$F356:$AE356+System_Mkt_NC!$G356:$AF356,Lamp_Mkt_Repl!$G66:$AF66+System_Mkt_NC!$G356:$AF356))))=0,0,SUMPRODUCT(IF($G$157:$AF$157&gt;=ROUND(IF((O$157-Sys_Repl_Rate!O138)&lt;Tech_Specs!$C30,Tech_Specs!$C30,(O$157-Sys_Repl_Rate!O138)),0),IF($G$157:$AF$157&lt;=O$157,$G104:$AF104)),IF(Tech_Specs!$K30="lamp",System_Mkt_Repl!$F356:$AE356+System_Mkt_NC!$G356:$AF356,Lamp_Mkt_Repl!$G66:$AF66+System_Mkt_NC!$G356:$AF356))/SUM(IF($G$157:$AF$157&gt;=ROUND(IF((O$157-Sys_Repl_Rate!O138)&lt;Tech_Specs!$C30,Tech_Specs!$C30,(O$157-Sys_Repl_Rate!O138)),0),IF($G$157:$AF$157&lt;=O$157,IF(Tech_Specs!$K30="lamp",System_Mkt_Repl!$F356:$AE356+System_Mkt_NC!$G356:$AF356,Lamp_Mkt_Repl!$G66:$AF66+System_Mkt_NC!$G356:$AF356))))))</f>
        <v>0</v>
      </c>
      <c r="P180" s="373">
        <f t="array" ref="P180">IF(P$157=Misc_Inputs!$D$6,$G104,IF(SUM(IF($G$157:$AF$157&gt;=ROUND(IF((P$157-Sys_Repl_Rate!P138)&lt;Tech_Specs!$C30,Tech_Specs!$C30,(P$157-Sys_Repl_Rate!P138)),0),IF($G$157:$AF$157&lt;=P$157,IF(Tech_Specs!$K30="lamp",System_Mkt_Repl!$F356:$AE356+System_Mkt_NC!$G356:$AF356,Lamp_Mkt_Repl!$G66:$AF66+System_Mkt_NC!$G356:$AF356))))=0,0,SUMPRODUCT(IF($G$157:$AF$157&gt;=ROUND(IF((P$157-Sys_Repl_Rate!P138)&lt;Tech_Specs!$C30,Tech_Specs!$C30,(P$157-Sys_Repl_Rate!P138)),0),IF($G$157:$AF$157&lt;=P$157,$G104:$AF104)),IF(Tech_Specs!$K30="lamp",System_Mkt_Repl!$F356:$AE356+System_Mkt_NC!$G356:$AF356,Lamp_Mkt_Repl!$G66:$AF66+System_Mkt_NC!$G356:$AF356))/SUM(IF($G$157:$AF$157&gt;=ROUND(IF((P$157-Sys_Repl_Rate!P138)&lt;Tech_Specs!$C30,Tech_Specs!$C30,(P$157-Sys_Repl_Rate!P138)),0),IF($G$157:$AF$157&lt;=P$157,IF(Tech_Specs!$K30="lamp",System_Mkt_Repl!$F356:$AE356+System_Mkt_NC!$G356:$AF356,Lamp_Mkt_Repl!$G66:$AF66+System_Mkt_NC!$G356:$AF356))))))</f>
        <v>0</v>
      </c>
      <c r="Q180" s="373">
        <f t="array" ref="Q180">IF(Q$157=Misc_Inputs!$D$6,$G104,IF(SUM(IF($G$157:$AF$157&gt;=ROUND(IF((Q$157-Sys_Repl_Rate!Q138)&lt;Tech_Specs!$C30,Tech_Specs!$C30,(Q$157-Sys_Repl_Rate!Q138)),0),IF($G$157:$AF$157&lt;=Q$157,IF(Tech_Specs!$K30="lamp",System_Mkt_Repl!$F356:$AE356+System_Mkt_NC!$G356:$AF356,Lamp_Mkt_Repl!$G66:$AF66+System_Mkt_NC!$G356:$AF356))))=0,0,SUMPRODUCT(IF($G$157:$AF$157&gt;=ROUND(IF((Q$157-Sys_Repl_Rate!Q138)&lt;Tech_Specs!$C30,Tech_Specs!$C30,(Q$157-Sys_Repl_Rate!Q138)),0),IF($G$157:$AF$157&lt;=Q$157,$G104:$AF104)),IF(Tech_Specs!$K30="lamp",System_Mkt_Repl!$F356:$AE356+System_Mkt_NC!$G356:$AF356,Lamp_Mkt_Repl!$G66:$AF66+System_Mkt_NC!$G356:$AF356))/SUM(IF($G$157:$AF$157&gt;=ROUND(IF((Q$157-Sys_Repl_Rate!Q138)&lt;Tech_Specs!$C30,Tech_Specs!$C30,(Q$157-Sys_Repl_Rate!Q138)),0),IF($G$157:$AF$157&lt;=Q$157,IF(Tech_Specs!$K30="lamp",System_Mkt_Repl!$F356:$AE356+System_Mkt_NC!$G356:$AF356,Lamp_Mkt_Repl!$G66:$AF66+System_Mkt_NC!$G356:$AF356))))))</f>
        <v>0</v>
      </c>
      <c r="R180" s="373">
        <f t="array" ref="R180">IF(R$157=Misc_Inputs!$D$6,$G104,IF(SUM(IF($G$157:$AF$157&gt;=ROUND(IF((R$157-Sys_Repl_Rate!R138)&lt;Tech_Specs!$C30,Tech_Specs!$C30,(R$157-Sys_Repl_Rate!R138)),0),IF($G$157:$AF$157&lt;=R$157,IF(Tech_Specs!$K30="lamp",System_Mkt_Repl!$F356:$AE356+System_Mkt_NC!$G356:$AF356,Lamp_Mkt_Repl!$G66:$AF66+System_Mkt_NC!$G356:$AF356))))=0,0,SUMPRODUCT(IF($G$157:$AF$157&gt;=ROUND(IF((R$157-Sys_Repl_Rate!R138)&lt;Tech_Specs!$C30,Tech_Specs!$C30,(R$157-Sys_Repl_Rate!R138)),0),IF($G$157:$AF$157&lt;=R$157,$G104:$AF104)),IF(Tech_Specs!$K30="lamp",System_Mkt_Repl!$F356:$AE356+System_Mkt_NC!$G356:$AF356,Lamp_Mkt_Repl!$G66:$AF66+System_Mkt_NC!$G356:$AF356))/SUM(IF($G$157:$AF$157&gt;=ROUND(IF((R$157-Sys_Repl_Rate!R138)&lt;Tech_Specs!$C30,Tech_Specs!$C30,(R$157-Sys_Repl_Rate!R138)),0),IF($G$157:$AF$157&lt;=R$157,IF(Tech_Specs!$K30="lamp",System_Mkt_Repl!$F356:$AE356+System_Mkt_NC!$G356:$AF356,Lamp_Mkt_Repl!$G66:$AF66+System_Mkt_NC!$G356:$AF356))))))</f>
        <v>0</v>
      </c>
      <c r="S180" s="373">
        <f t="array" ref="S180">IF(S$157=Misc_Inputs!$D$6,$G104,IF(SUM(IF($G$157:$AF$157&gt;=ROUND(IF((S$157-Sys_Repl_Rate!S138)&lt;Tech_Specs!$C30,Tech_Specs!$C30,(S$157-Sys_Repl_Rate!S138)),0),IF($G$157:$AF$157&lt;=S$157,IF(Tech_Specs!$K30="lamp",System_Mkt_Repl!$F356:$AE356+System_Mkt_NC!$G356:$AF356,Lamp_Mkt_Repl!$G66:$AF66+System_Mkt_NC!$G356:$AF356))))=0,0,SUMPRODUCT(IF($G$157:$AF$157&gt;=ROUND(IF((S$157-Sys_Repl_Rate!S138)&lt;Tech_Specs!$C30,Tech_Specs!$C30,(S$157-Sys_Repl_Rate!S138)),0),IF($G$157:$AF$157&lt;=S$157,$G104:$AF104)),IF(Tech_Specs!$K30="lamp",System_Mkt_Repl!$F356:$AE356+System_Mkt_NC!$G356:$AF356,Lamp_Mkt_Repl!$G66:$AF66+System_Mkt_NC!$G356:$AF356))/SUM(IF($G$157:$AF$157&gt;=ROUND(IF((S$157-Sys_Repl_Rate!S138)&lt;Tech_Specs!$C30,Tech_Specs!$C30,(S$157-Sys_Repl_Rate!S138)),0),IF($G$157:$AF$157&lt;=S$157,IF(Tech_Specs!$K30="lamp",System_Mkt_Repl!$F356:$AE356+System_Mkt_NC!$G356:$AF356,Lamp_Mkt_Repl!$G66:$AF66+System_Mkt_NC!$G356:$AF356))))))</f>
        <v>0</v>
      </c>
      <c r="T180" s="373">
        <f t="array" ref="T180">IF(T$157=Misc_Inputs!$D$6,$G104,IF(SUM(IF($G$157:$AF$157&gt;=ROUND(IF((T$157-Sys_Repl_Rate!T138)&lt;Tech_Specs!$C30,Tech_Specs!$C30,(T$157-Sys_Repl_Rate!T138)),0),IF($G$157:$AF$157&lt;=T$157,IF(Tech_Specs!$K30="lamp",System_Mkt_Repl!$F356:$AE356+System_Mkt_NC!$G356:$AF356,Lamp_Mkt_Repl!$G66:$AF66+System_Mkt_NC!$G356:$AF356))))=0,0,SUMPRODUCT(IF($G$157:$AF$157&gt;=ROUND(IF((T$157-Sys_Repl_Rate!T138)&lt;Tech_Specs!$C30,Tech_Specs!$C30,(T$157-Sys_Repl_Rate!T138)),0),IF($G$157:$AF$157&lt;=T$157,$G104:$AF104)),IF(Tech_Specs!$K30="lamp",System_Mkt_Repl!$F356:$AE356+System_Mkt_NC!$G356:$AF356,Lamp_Mkt_Repl!$G66:$AF66+System_Mkt_NC!$G356:$AF356))/SUM(IF($G$157:$AF$157&gt;=ROUND(IF((T$157-Sys_Repl_Rate!T138)&lt;Tech_Specs!$C30,Tech_Specs!$C30,(T$157-Sys_Repl_Rate!T138)),0),IF($G$157:$AF$157&lt;=T$157,IF(Tech_Specs!$K30="lamp",System_Mkt_Repl!$F356:$AE356+System_Mkt_NC!$G356:$AF356,Lamp_Mkt_Repl!$G66:$AF66+System_Mkt_NC!$G356:$AF356))))))</f>
        <v>0</v>
      </c>
      <c r="U180" s="373">
        <f t="array" ref="U180">IF(U$157=Misc_Inputs!$D$6,$G104,IF(SUM(IF($G$157:$AF$157&gt;=ROUND(IF((U$157-Sys_Repl_Rate!U138)&lt;Tech_Specs!$C30,Tech_Specs!$C30,(U$157-Sys_Repl_Rate!U138)),0),IF($G$157:$AF$157&lt;=U$157,IF(Tech_Specs!$K30="lamp",System_Mkt_Repl!$F356:$AE356+System_Mkt_NC!$G356:$AF356,Lamp_Mkt_Repl!$G66:$AF66+System_Mkt_NC!$G356:$AF356))))=0,0,SUMPRODUCT(IF($G$157:$AF$157&gt;=ROUND(IF((U$157-Sys_Repl_Rate!U138)&lt;Tech_Specs!$C30,Tech_Specs!$C30,(U$157-Sys_Repl_Rate!U138)),0),IF($G$157:$AF$157&lt;=U$157,$G104:$AF104)),IF(Tech_Specs!$K30="lamp",System_Mkt_Repl!$F356:$AE356+System_Mkt_NC!$G356:$AF356,Lamp_Mkt_Repl!$G66:$AF66+System_Mkt_NC!$G356:$AF356))/SUM(IF($G$157:$AF$157&gt;=ROUND(IF((U$157-Sys_Repl_Rate!U138)&lt;Tech_Specs!$C30,Tech_Specs!$C30,(U$157-Sys_Repl_Rate!U138)),0),IF($G$157:$AF$157&lt;=U$157,IF(Tech_Specs!$K30="lamp",System_Mkt_Repl!$F356:$AE356+System_Mkt_NC!$G356:$AF356,Lamp_Mkt_Repl!$G66:$AF66+System_Mkt_NC!$G356:$AF356))))))</f>
        <v>0</v>
      </c>
      <c r="V180" s="373">
        <f t="array" ref="V180">IF(V$157=Misc_Inputs!$D$6,$G104,IF(SUM(IF($G$157:$AF$157&gt;=ROUND(IF((V$157-Sys_Repl_Rate!V138)&lt;Tech_Specs!$C30,Tech_Specs!$C30,(V$157-Sys_Repl_Rate!V138)),0),IF($G$157:$AF$157&lt;=V$157,IF(Tech_Specs!$K30="lamp",System_Mkt_Repl!$F356:$AE356+System_Mkt_NC!$G356:$AF356,Lamp_Mkt_Repl!$G66:$AF66+System_Mkt_NC!$G356:$AF356))))=0,0,SUMPRODUCT(IF($G$157:$AF$157&gt;=ROUND(IF((V$157-Sys_Repl_Rate!V138)&lt;Tech_Specs!$C30,Tech_Specs!$C30,(V$157-Sys_Repl_Rate!V138)),0),IF($G$157:$AF$157&lt;=V$157,$G104:$AF104)),IF(Tech_Specs!$K30="lamp",System_Mkt_Repl!$F356:$AE356+System_Mkt_NC!$G356:$AF356,Lamp_Mkt_Repl!$G66:$AF66+System_Mkt_NC!$G356:$AF356))/SUM(IF($G$157:$AF$157&gt;=ROUND(IF((V$157-Sys_Repl_Rate!V138)&lt;Tech_Specs!$C30,Tech_Specs!$C30,(V$157-Sys_Repl_Rate!V138)),0),IF($G$157:$AF$157&lt;=V$157,IF(Tech_Specs!$K30="lamp",System_Mkt_Repl!$F356:$AE356+System_Mkt_NC!$G356:$AF356,Lamp_Mkt_Repl!$G66:$AF66+System_Mkt_NC!$G356:$AF356))))))</f>
        <v>0</v>
      </c>
      <c r="W180" s="373">
        <f t="array" ref="W180">IF(W$157=Misc_Inputs!$D$6,$G104,IF(SUM(IF($G$157:$AF$157&gt;=ROUND(IF((W$157-Sys_Repl_Rate!W138)&lt;Tech_Specs!$C30,Tech_Specs!$C30,(W$157-Sys_Repl_Rate!W138)),0),IF($G$157:$AF$157&lt;=W$157,IF(Tech_Specs!$K30="lamp",System_Mkt_Repl!$F356:$AE356+System_Mkt_NC!$G356:$AF356,Lamp_Mkt_Repl!$G66:$AF66+System_Mkt_NC!$G356:$AF356))))=0,0,SUMPRODUCT(IF($G$157:$AF$157&gt;=ROUND(IF((W$157-Sys_Repl_Rate!W138)&lt;Tech_Specs!$C30,Tech_Specs!$C30,(W$157-Sys_Repl_Rate!W138)),0),IF($G$157:$AF$157&lt;=W$157,$G104:$AF104)),IF(Tech_Specs!$K30="lamp",System_Mkt_Repl!$F356:$AE356+System_Mkt_NC!$G356:$AF356,Lamp_Mkt_Repl!$G66:$AF66+System_Mkt_NC!$G356:$AF356))/SUM(IF($G$157:$AF$157&gt;=ROUND(IF((W$157-Sys_Repl_Rate!W138)&lt;Tech_Specs!$C30,Tech_Specs!$C30,(W$157-Sys_Repl_Rate!W138)),0),IF($G$157:$AF$157&lt;=W$157,IF(Tech_Specs!$K30="lamp",System_Mkt_Repl!$F356:$AE356+System_Mkt_NC!$G356:$AF356,Lamp_Mkt_Repl!$G66:$AF66+System_Mkt_NC!$G356:$AF356))))))</f>
        <v>0</v>
      </c>
      <c r="X180" s="373">
        <f t="array" ref="X180">IF(X$157=Misc_Inputs!$D$6,$G104,IF(SUM(IF($G$157:$AF$157&gt;=ROUND(IF((X$157-Sys_Repl_Rate!X138)&lt;Tech_Specs!$C30,Tech_Specs!$C30,(X$157-Sys_Repl_Rate!X138)),0),IF($G$157:$AF$157&lt;=X$157,IF(Tech_Specs!$K30="lamp",System_Mkt_Repl!$F356:$AE356+System_Mkt_NC!$G356:$AF356,Lamp_Mkt_Repl!$G66:$AF66+System_Mkt_NC!$G356:$AF356))))=0,0,SUMPRODUCT(IF($G$157:$AF$157&gt;=ROUND(IF((X$157-Sys_Repl_Rate!X138)&lt;Tech_Specs!$C30,Tech_Specs!$C30,(X$157-Sys_Repl_Rate!X138)),0),IF($G$157:$AF$157&lt;=X$157,$G104:$AF104)),IF(Tech_Specs!$K30="lamp",System_Mkt_Repl!$F356:$AE356+System_Mkt_NC!$G356:$AF356,Lamp_Mkt_Repl!$G66:$AF66+System_Mkt_NC!$G356:$AF356))/SUM(IF($G$157:$AF$157&gt;=ROUND(IF((X$157-Sys_Repl_Rate!X138)&lt;Tech_Specs!$C30,Tech_Specs!$C30,(X$157-Sys_Repl_Rate!X138)),0),IF($G$157:$AF$157&lt;=X$157,IF(Tech_Specs!$K30="lamp",System_Mkt_Repl!$F356:$AE356+System_Mkt_NC!$G356:$AF356,Lamp_Mkt_Repl!$G66:$AF66+System_Mkt_NC!$G356:$AF356))))))</f>
        <v>0</v>
      </c>
      <c r="Y180" s="373">
        <f t="array" ref="Y180">IF(Y$157=Misc_Inputs!$D$6,$G104,IF(SUM(IF($G$157:$AF$157&gt;=ROUND(IF((Y$157-Sys_Repl_Rate!Y138)&lt;Tech_Specs!$C30,Tech_Specs!$C30,(Y$157-Sys_Repl_Rate!Y138)),0),IF($G$157:$AF$157&lt;=Y$157,IF(Tech_Specs!$K30="lamp",System_Mkt_Repl!$F356:$AE356+System_Mkt_NC!$G356:$AF356,Lamp_Mkt_Repl!$G66:$AF66+System_Mkt_NC!$G356:$AF356))))=0,0,SUMPRODUCT(IF($G$157:$AF$157&gt;=ROUND(IF((Y$157-Sys_Repl_Rate!Y138)&lt;Tech_Specs!$C30,Tech_Specs!$C30,(Y$157-Sys_Repl_Rate!Y138)),0),IF($G$157:$AF$157&lt;=Y$157,$G104:$AF104)),IF(Tech_Specs!$K30="lamp",System_Mkt_Repl!$F356:$AE356+System_Mkt_NC!$G356:$AF356,Lamp_Mkt_Repl!$G66:$AF66+System_Mkt_NC!$G356:$AF356))/SUM(IF($G$157:$AF$157&gt;=ROUND(IF((Y$157-Sys_Repl_Rate!Y138)&lt;Tech_Specs!$C30,Tech_Specs!$C30,(Y$157-Sys_Repl_Rate!Y138)),0),IF($G$157:$AF$157&lt;=Y$157,IF(Tech_Specs!$K30="lamp",System_Mkt_Repl!$F356:$AE356+System_Mkt_NC!$G356:$AF356,Lamp_Mkt_Repl!$G66:$AF66+System_Mkt_NC!$G356:$AF356))))))</f>
        <v>0</v>
      </c>
      <c r="Z180" s="373">
        <f t="array" ref="Z180">IF(Z$157=Misc_Inputs!$D$6,$G104,IF(SUM(IF($G$157:$AF$157&gt;=ROUND(IF((Z$157-Sys_Repl_Rate!Z138)&lt;Tech_Specs!$C30,Tech_Specs!$C30,(Z$157-Sys_Repl_Rate!Z138)),0),IF($G$157:$AF$157&lt;=Z$157,IF(Tech_Specs!$K30="lamp",System_Mkt_Repl!$F356:$AE356+System_Mkt_NC!$G356:$AF356,Lamp_Mkt_Repl!$G66:$AF66+System_Mkt_NC!$G356:$AF356))))=0,0,SUMPRODUCT(IF($G$157:$AF$157&gt;=ROUND(IF((Z$157-Sys_Repl_Rate!Z138)&lt;Tech_Specs!$C30,Tech_Specs!$C30,(Z$157-Sys_Repl_Rate!Z138)),0),IF($G$157:$AF$157&lt;=Z$157,$G104:$AF104)),IF(Tech_Specs!$K30="lamp",System_Mkt_Repl!$F356:$AE356+System_Mkt_NC!$G356:$AF356,Lamp_Mkt_Repl!$G66:$AF66+System_Mkt_NC!$G356:$AF356))/SUM(IF($G$157:$AF$157&gt;=ROUND(IF((Z$157-Sys_Repl_Rate!Z138)&lt;Tech_Specs!$C30,Tech_Specs!$C30,(Z$157-Sys_Repl_Rate!Z138)),0),IF($G$157:$AF$157&lt;=Z$157,IF(Tech_Specs!$K30="lamp",System_Mkt_Repl!$F356:$AE356+System_Mkt_NC!$G356:$AF356,Lamp_Mkt_Repl!$G66:$AF66+System_Mkt_NC!$G356:$AF356))))))</f>
        <v>0</v>
      </c>
      <c r="AA180" s="373">
        <f t="array" ref="AA180">IF(AA$157=Misc_Inputs!$D$6,$G104,IF(SUM(IF($G$157:$AF$157&gt;=ROUND(IF((AA$157-Sys_Repl_Rate!AA138)&lt;Tech_Specs!$C30,Tech_Specs!$C30,(AA$157-Sys_Repl_Rate!AA138)),0),IF($G$157:$AF$157&lt;=AA$157,IF(Tech_Specs!$K30="lamp",System_Mkt_Repl!$F356:$AE356+System_Mkt_NC!$G356:$AF356,Lamp_Mkt_Repl!$G66:$AF66+System_Mkt_NC!$G356:$AF356))))=0,0,SUMPRODUCT(IF($G$157:$AF$157&gt;=ROUND(IF((AA$157-Sys_Repl_Rate!AA138)&lt;Tech_Specs!$C30,Tech_Specs!$C30,(AA$157-Sys_Repl_Rate!AA138)),0),IF($G$157:$AF$157&lt;=AA$157,$G104:$AF104)),IF(Tech_Specs!$K30="lamp",System_Mkt_Repl!$F356:$AE356+System_Mkt_NC!$G356:$AF356,Lamp_Mkt_Repl!$G66:$AF66+System_Mkt_NC!$G356:$AF356))/SUM(IF($G$157:$AF$157&gt;=ROUND(IF((AA$157-Sys_Repl_Rate!AA138)&lt;Tech_Specs!$C30,Tech_Specs!$C30,(AA$157-Sys_Repl_Rate!AA138)),0),IF($G$157:$AF$157&lt;=AA$157,IF(Tech_Specs!$K30="lamp",System_Mkt_Repl!$F356:$AE356+System_Mkt_NC!$G356:$AF356,Lamp_Mkt_Repl!$G66:$AF66+System_Mkt_NC!$G356:$AF356))))))</f>
        <v>0</v>
      </c>
      <c r="AB180" s="373">
        <f t="array" ref="AB180">IF(AB$157=Misc_Inputs!$D$6,$G104,IF(SUM(IF($G$157:$AF$157&gt;=ROUND(IF((AB$157-Sys_Repl_Rate!AB138)&lt;Tech_Specs!$C30,Tech_Specs!$C30,(AB$157-Sys_Repl_Rate!AB138)),0),IF($G$157:$AF$157&lt;=AB$157,IF(Tech_Specs!$K30="lamp",System_Mkt_Repl!$F356:$AE356+System_Mkt_NC!$G356:$AF356,Lamp_Mkt_Repl!$G66:$AF66+System_Mkt_NC!$G356:$AF356))))=0,0,SUMPRODUCT(IF($G$157:$AF$157&gt;=ROUND(IF((AB$157-Sys_Repl_Rate!AB138)&lt;Tech_Specs!$C30,Tech_Specs!$C30,(AB$157-Sys_Repl_Rate!AB138)),0),IF($G$157:$AF$157&lt;=AB$157,$G104:$AF104)),IF(Tech_Specs!$K30="lamp",System_Mkt_Repl!$F356:$AE356+System_Mkt_NC!$G356:$AF356,Lamp_Mkt_Repl!$G66:$AF66+System_Mkt_NC!$G356:$AF356))/SUM(IF($G$157:$AF$157&gt;=ROUND(IF((AB$157-Sys_Repl_Rate!AB138)&lt;Tech_Specs!$C30,Tech_Specs!$C30,(AB$157-Sys_Repl_Rate!AB138)),0),IF($G$157:$AF$157&lt;=AB$157,IF(Tech_Specs!$K30="lamp",System_Mkt_Repl!$F356:$AE356+System_Mkt_NC!$G356:$AF356,Lamp_Mkt_Repl!$G66:$AF66+System_Mkt_NC!$G356:$AF356))))))</f>
        <v>0</v>
      </c>
      <c r="AC180" s="373">
        <f t="array" ref="AC180">IF(AC$157=Misc_Inputs!$D$6,$G104,IF(SUM(IF($G$157:$AF$157&gt;=ROUND(IF((AC$157-Sys_Repl_Rate!AC138)&lt;Tech_Specs!$C30,Tech_Specs!$C30,(AC$157-Sys_Repl_Rate!AC138)),0),IF($G$157:$AF$157&lt;=AC$157,IF(Tech_Specs!$K30="lamp",System_Mkt_Repl!$F356:$AE356+System_Mkt_NC!$G356:$AF356,Lamp_Mkt_Repl!$G66:$AF66+System_Mkt_NC!$G356:$AF356))))=0,0,SUMPRODUCT(IF($G$157:$AF$157&gt;=ROUND(IF((AC$157-Sys_Repl_Rate!AC138)&lt;Tech_Specs!$C30,Tech_Specs!$C30,(AC$157-Sys_Repl_Rate!AC138)),0),IF($G$157:$AF$157&lt;=AC$157,$G104:$AF104)),IF(Tech_Specs!$K30="lamp",System_Mkt_Repl!$F356:$AE356+System_Mkt_NC!$G356:$AF356,Lamp_Mkt_Repl!$G66:$AF66+System_Mkt_NC!$G356:$AF356))/SUM(IF($G$157:$AF$157&gt;=ROUND(IF((AC$157-Sys_Repl_Rate!AC138)&lt;Tech_Specs!$C30,Tech_Specs!$C30,(AC$157-Sys_Repl_Rate!AC138)),0),IF($G$157:$AF$157&lt;=AC$157,IF(Tech_Specs!$K30="lamp",System_Mkt_Repl!$F356:$AE356+System_Mkt_NC!$G356:$AF356,Lamp_Mkt_Repl!$G66:$AF66+System_Mkt_NC!$G356:$AF356))))))</f>
        <v>0</v>
      </c>
      <c r="AD180" s="373">
        <f t="array" ref="AD180">IF(AD$157=Misc_Inputs!$D$6,$G104,IF(SUM(IF($G$157:$AF$157&gt;=ROUND(IF((AD$157-Sys_Repl_Rate!AD138)&lt;Tech_Specs!$C30,Tech_Specs!$C30,(AD$157-Sys_Repl_Rate!AD138)),0),IF($G$157:$AF$157&lt;=AD$157,IF(Tech_Specs!$K30="lamp",System_Mkt_Repl!$F356:$AE356+System_Mkt_NC!$G356:$AF356,Lamp_Mkt_Repl!$G66:$AF66+System_Mkt_NC!$G356:$AF356))))=0,0,SUMPRODUCT(IF($G$157:$AF$157&gt;=ROUND(IF((AD$157-Sys_Repl_Rate!AD138)&lt;Tech_Specs!$C30,Tech_Specs!$C30,(AD$157-Sys_Repl_Rate!AD138)),0),IF($G$157:$AF$157&lt;=AD$157,$G104:$AF104)),IF(Tech_Specs!$K30="lamp",System_Mkt_Repl!$F356:$AE356+System_Mkt_NC!$G356:$AF356,Lamp_Mkt_Repl!$G66:$AF66+System_Mkt_NC!$G356:$AF356))/SUM(IF($G$157:$AF$157&gt;=ROUND(IF((AD$157-Sys_Repl_Rate!AD138)&lt;Tech_Specs!$C30,Tech_Specs!$C30,(AD$157-Sys_Repl_Rate!AD138)),0),IF($G$157:$AF$157&lt;=AD$157,IF(Tech_Specs!$K30="lamp",System_Mkt_Repl!$F356:$AE356+System_Mkt_NC!$G356:$AF356,Lamp_Mkt_Repl!$G66:$AF66+System_Mkt_NC!$G356:$AF356))))))</f>
        <v>0</v>
      </c>
      <c r="AE180" s="373">
        <f t="array" ref="AE180">IF(AE$157=Misc_Inputs!$D$6,$G104,IF(SUM(IF($G$157:$AF$157&gt;=ROUND(IF((AE$157-Sys_Repl_Rate!AE138)&lt;Tech_Specs!$C30,Tech_Specs!$C30,(AE$157-Sys_Repl_Rate!AE138)),0),IF($G$157:$AF$157&lt;=AE$157,IF(Tech_Specs!$K30="lamp",System_Mkt_Repl!$F356:$AE356+System_Mkt_NC!$G356:$AF356,Lamp_Mkt_Repl!$G66:$AF66+System_Mkt_NC!$G356:$AF356))))=0,0,SUMPRODUCT(IF($G$157:$AF$157&gt;=ROUND(IF((AE$157-Sys_Repl_Rate!AE138)&lt;Tech_Specs!$C30,Tech_Specs!$C30,(AE$157-Sys_Repl_Rate!AE138)),0),IF($G$157:$AF$157&lt;=AE$157,$G104:$AF104)),IF(Tech_Specs!$K30="lamp",System_Mkt_Repl!$F356:$AE356+System_Mkt_NC!$G356:$AF356,Lamp_Mkt_Repl!$G66:$AF66+System_Mkt_NC!$G356:$AF356))/SUM(IF($G$157:$AF$157&gt;=ROUND(IF((AE$157-Sys_Repl_Rate!AE138)&lt;Tech_Specs!$C30,Tech_Specs!$C30,(AE$157-Sys_Repl_Rate!AE138)),0),IF($G$157:$AF$157&lt;=AE$157,IF(Tech_Specs!$K30="lamp",System_Mkt_Repl!$F356:$AE356+System_Mkt_NC!$G356:$AF356,Lamp_Mkt_Repl!$G66:$AF66+System_Mkt_NC!$G356:$AF356))))))</f>
        <v>0</v>
      </c>
      <c r="AF180" s="373">
        <f t="array" ref="AF180">IF(AF$157=Misc_Inputs!$D$6,$G104,IF(SUM(IF($G$157:$AF$157&gt;=ROUND(IF((AF$157-Sys_Repl_Rate!AF138)&lt;Tech_Specs!$C30,Tech_Specs!$C30,(AF$157-Sys_Repl_Rate!AF138)),0),IF($G$157:$AF$157&lt;=AF$157,IF(Tech_Specs!$K30="lamp",System_Mkt_Repl!$F356:$AE356+System_Mkt_NC!$G356:$AF356,Lamp_Mkt_Repl!$G66:$AF66+System_Mkt_NC!$G356:$AF356))))=0,0,SUMPRODUCT(IF($G$157:$AF$157&gt;=ROUND(IF((AF$157-Sys_Repl_Rate!AF138)&lt;Tech_Specs!$C30,Tech_Specs!$C30,(AF$157-Sys_Repl_Rate!AF138)),0),IF($G$157:$AF$157&lt;=AF$157,$G104:$AF104)),IF(Tech_Specs!$K30="lamp",System_Mkt_Repl!$F356:$AE356+System_Mkt_NC!$G356:$AF356,Lamp_Mkt_Repl!$G66:$AF66+System_Mkt_NC!$G356:$AF356))/SUM(IF($G$157:$AF$157&gt;=ROUND(IF((AF$157-Sys_Repl_Rate!AF138)&lt;Tech_Specs!$C30,Tech_Specs!$C30,(AF$157-Sys_Repl_Rate!AF138)),0),IF($G$157:$AF$157&lt;=AF$157,IF(Tech_Specs!$K30="lamp",System_Mkt_Repl!$F356:$AE356+System_Mkt_NC!$G356:$AF356,Lamp_Mkt_Repl!$G66:$AF66+System_Mkt_NC!$G356:$AF356))))))</f>
        <v>0</v>
      </c>
    </row>
    <row r="181" spans="1:32" s="101" customFormat="1" ht="12.75" x14ac:dyDescent="0.2">
      <c r="A181" s="81"/>
      <c r="B181" s="81" t="s">
        <v>29</v>
      </c>
      <c r="C181" s="81"/>
      <c r="D181" s="550"/>
      <c r="E181" s="550"/>
      <c r="F181" s="550"/>
      <c r="G181" s="1178">
        <f t="array" ref="G181">IF(G$157=Misc_Inputs!$D$6,$G105,IF(SUM(IF($G$157:$AF$157&gt;=ROUND(IF((G$157-Sys_Repl_Rate!G139)&lt;Tech_Specs!$C31,Tech_Specs!$C31,(G$157-Sys_Repl_Rate!G139)),0),IF($G$157:$AF$157&lt;=G$157,IF(Tech_Specs!$K31="lamp",System_Mkt_Repl!$F357:$AE357+System_Mkt_NC!$G357:$AF357,Lamp_Mkt_Repl!$G67:$AF67+System_Mkt_NC!$G357:$AF357))))=0,0,SUMPRODUCT(IF($G$157:$AF$157&gt;=ROUND(IF((G$157-Sys_Repl_Rate!G139)&lt;Tech_Specs!$C31,Tech_Specs!$C31,(G$157-Sys_Repl_Rate!G139)),0),IF($G$157:$AF$157&lt;=G$157,$G105:$AF105)),IF(Tech_Specs!$K31="lamp",System_Mkt_Repl!$F357:$AE357+System_Mkt_NC!$G357:$AF357,Lamp_Mkt_Repl!$G67:$AF67+System_Mkt_NC!$G357:$AF357))/SUM(IF($G$157:$AF$157&gt;=ROUND(IF((G$157-Sys_Repl_Rate!G139)&lt;Tech_Specs!$C31,Tech_Specs!$C31,(G$157-Sys_Repl_Rate!G139)),0),IF($G$157:$AF$157&lt;=G$157,IF(Tech_Specs!$K31="lamp",System_Mkt_Repl!$F357:$AE357+System_Mkt_NC!$G357:$AF357,Lamp_Mkt_Repl!$G67:$AF67+System_Mkt_NC!$G357:$AF357))))))</f>
        <v>69.886712931315586</v>
      </c>
      <c r="H181" s="1178">
        <f t="array" ref="H181">IF(H$157=Misc_Inputs!$D$6,$G105,IF(SUM(IF($G$157:$AF$157&gt;=ROUND(IF((H$157-Sys_Repl_Rate!H139)&lt;Tech_Specs!$C31,Tech_Specs!$C31,(H$157-Sys_Repl_Rate!H139)),0),IF($G$157:$AF$157&lt;=H$157,IF(Tech_Specs!$K31="lamp",System_Mkt_Repl!$F357:$AE357+System_Mkt_NC!$G357:$AF357,Lamp_Mkt_Repl!$G67:$AF67+System_Mkt_NC!$G357:$AF357))))=0,0,SUMPRODUCT(IF($G$157:$AF$157&gt;=ROUND(IF((H$157-Sys_Repl_Rate!H139)&lt;Tech_Specs!$C31,Tech_Specs!$C31,(H$157-Sys_Repl_Rate!H139)),0),IF($G$157:$AF$157&lt;=H$157,$G105:$AF105)),IF(Tech_Specs!$K31="lamp",System_Mkt_Repl!$F357:$AE357+System_Mkt_NC!$G357:$AF357,Lamp_Mkt_Repl!$G67:$AF67+System_Mkt_NC!$G357:$AF357))/SUM(IF($G$157:$AF$157&gt;=ROUND(IF((H$157-Sys_Repl_Rate!H139)&lt;Tech_Specs!$C31,Tech_Specs!$C31,(H$157-Sys_Repl_Rate!H139)),0),IF($G$157:$AF$157&lt;=H$157,IF(Tech_Specs!$K31="lamp",System_Mkt_Repl!$F357:$AE357+System_Mkt_NC!$G357:$AF357,Lamp_Mkt_Repl!$G67:$AF67+System_Mkt_NC!$G357:$AF357))))))</f>
        <v>84.617739005122857</v>
      </c>
      <c r="I181" s="1178">
        <f t="array" ref="I181">IF(I$157=Misc_Inputs!$D$6,$G105,IF(SUM(IF($G$157:$AF$157&gt;=ROUND(IF((I$157-Sys_Repl_Rate!I139)&lt;Tech_Specs!$C31,Tech_Specs!$C31,(I$157-Sys_Repl_Rate!I139)),0),IF($G$157:$AF$157&lt;=I$157,IF(Tech_Specs!$K31="lamp",System_Mkt_Repl!$F357:$AE357+System_Mkt_NC!$G357:$AF357,Lamp_Mkt_Repl!$G67:$AF67+System_Mkt_NC!$G357:$AF357))))=0,0,SUMPRODUCT(IF($G$157:$AF$157&gt;=ROUND(IF((I$157-Sys_Repl_Rate!I139)&lt;Tech_Specs!$C31,Tech_Specs!$C31,(I$157-Sys_Repl_Rate!I139)),0),IF($G$157:$AF$157&lt;=I$157,$G105:$AF105)),IF(Tech_Specs!$K31="lamp",System_Mkt_Repl!$F357:$AE357+System_Mkt_NC!$G357:$AF357,Lamp_Mkt_Repl!$G67:$AF67+System_Mkt_NC!$G357:$AF357))/SUM(IF($G$157:$AF$157&gt;=ROUND(IF((I$157-Sys_Repl_Rate!I139)&lt;Tech_Specs!$C31,Tech_Specs!$C31,(I$157-Sys_Repl_Rate!I139)),0),IF($G$157:$AF$157&lt;=I$157,IF(Tech_Specs!$K31="lamp",System_Mkt_Repl!$F357:$AE357+System_Mkt_NC!$G357:$AF357,Lamp_Mkt_Repl!$G67:$AF67+System_Mkt_NC!$G357:$AF357))))))</f>
        <v>93.57832137062762</v>
      </c>
      <c r="J181" s="373">
        <f t="array" ref="J181">IF(J$157=Misc_Inputs!$D$6,$G105,IF(SUM(IF($G$157:$AF$157&gt;=ROUND(IF((J$157-Sys_Repl_Rate!J139)&lt;Tech_Specs!$C31,Tech_Specs!$C31,(J$157-Sys_Repl_Rate!J139)),0),IF($G$157:$AF$157&lt;=J$157,IF(Tech_Specs!$K31="lamp",System_Mkt_Repl!$F357:$AE357+System_Mkt_NC!$G357:$AF357,Lamp_Mkt_Repl!$G67:$AF67+System_Mkt_NC!$G357:$AF357))))=0,0,SUMPRODUCT(IF($G$157:$AF$157&gt;=ROUND(IF((J$157-Sys_Repl_Rate!J139)&lt;Tech_Specs!$C31,Tech_Specs!$C31,(J$157-Sys_Repl_Rate!J139)),0),IF($G$157:$AF$157&lt;=J$157,$G105:$AF105)),IF(Tech_Specs!$K31="lamp",System_Mkt_Repl!$F357:$AE357+System_Mkt_NC!$G357:$AF357,Lamp_Mkt_Repl!$G67:$AF67+System_Mkt_NC!$G357:$AF357))/SUM(IF($G$157:$AF$157&gt;=ROUND(IF((J$157-Sys_Repl_Rate!J139)&lt;Tech_Specs!$C31,Tech_Specs!$C31,(J$157-Sys_Repl_Rate!J139)),0),IF($G$157:$AF$157&lt;=J$157,IF(Tech_Specs!$K31="lamp",System_Mkt_Repl!$F357:$AE357+System_Mkt_NC!$G357:$AF357,Lamp_Mkt_Repl!$G67:$AF67+System_Mkt_NC!$G357:$AF357))))))</f>
        <v>103.51832550707715</v>
      </c>
      <c r="K181" s="373">
        <f t="array" ref="K181">IF(K$157=Misc_Inputs!$D$6,$G105,IF(SUM(IF($G$157:$AF$157&gt;=ROUND(IF((K$157-Sys_Repl_Rate!K139)&lt;Tech_Specs!$C31,Tech_Specs!$C31,(K$157-Sys_Repl_Rate!K139)),0),IF($G$157:$AF$157&lt;=K$157,IF(Tech_Specs!$K31="lamp",System_Mkt_Repl!$F357:$AE357+System_Mkt_NC!$G357:$AF357,Lamp_Mkt_Repl!$G67:$AF67+System_Mkt_NC!$G357:$AF357))))=0,0,SUMPRODUCT(IF($G$157:$AF$157&gt;=ROUND(IF((K$157-Sys_Repl_Rate!K139)&lt;Tech_Specs!$C31,Tech_Specs!$C31,(K$157-Sys_Repl_Rate!K139)),0),IF($G$157:$AF$157&lt;=K$157,$G105:$AF105)),IF(Tech_Specs!$K31="lamp",System_Mkt_Repl!$F357:$AE357+System_Mkt_NC!$G357:$AF357,Lamp_Mkt_Repl!$G67:$AF67+System_Mkt_NC!$G357:$AF357))/SUM(IF($G$157:$AF$157&gt;=ROUND(IF((K$157-Sys_Repl_Rate!K139)&lt;Tech_Specs!$C31,Tech_Specs!$C31,(K$157-Sys_Repl_Rate!K139)),0),IF($G$157:$AF$157&lt;=K$157,IF(Tech_Specs!$K31="lamp",System_Mkt_Repl!$F357:$AE357+System_Mkt_NC!$G357:$AF357,Lamp_Mkt_Repl!$G67:$AF67+System_Mkt_NC!$G357:$AF357))))))</f>
        <v>113.66025959656655</v>
      </c>
      <c r="L181" s="373">
        <f t="array" ref="L181">IF(L$157=Misc_Inputs!$D$6,$G105,IF(SUM(IF($G$157:$AF$157&gt;=ROUND(IF((L$157-Sys_Repl_Rate!L139)&lt;Tech_Specs!$C31,Tech_Specs!$C31,(L$157-Sys_Repl_Rate!L139)),0),IF($G$157:$AF$157&lt;=L$157,IF(Tech_Specs!$K31="lamp",System_Mkt_Repl!$F357:$AE357+System_Mkt_NC!$G357:$AF357,Lamp_Mkt_Repl!$G67:$AF67+System_Mkt_NC!$G357:$AF357))))=0,0,SUMPRODUCT(IF($G$157:$AF$157&gt;=ROUND(IF((L$157-Sys_Repl_Rate!L139)&lt;Tech_Specs!$C31,Tech_Specs!$C31,(L$157-Sys_Repl_Rate!L139)),0),IF($G$157:$AF$157&lt;=L$157,$G105:$AF105)),IF(Tech_Specs!$K31="lamp",System_Mkt_Repl!$F357:$AE357+System_Mkt_NC!$G357:$AF357,Lamp_Mkt_Repl!$G67:$AF67+System_Mkt_NC!$G357:$AF357))/SUM(IF($G$157:$AF$157&gt;=ROUND(IF((L$157-Sys_Repl_Rate!L139)&lt;Tech_Specs!$C31,Tech_Specs!$C31,(L$157-Sys_Repl_Rate!L139)),0),IF($G$157:$AF$157&lt;=L$157,IF(Tech_Specs!$K31="lamp",System_Mkt_Repl!$F357:$AE357+System_Mkt_NC!$G357:$AF357,Lamp_Mkt_Repl!$G67:$AF67+System_Mkt_NC!$G357:$AF357))))))</f>
        <v>123.66760085283811</v>
      </c>
      <c r="M181" s="373">
        <f t="array" ref="M181">IF(M$157=Misc_Inputs!$D$6,$G105,IF(SUM(IF($G$157:$AF$157&gt;=ROUND(IF((M$157-Sys_Repl_Rate!M139)&lt;Tech_Specs!$C31,Tech_Specs!$C31,(M$157-Sys_Repl_Rate!M139)),0),IF($G$157:$AF$157&lt;=M$157,IF(Tech_Specs!$K31="lamp",System_Mkt_Repl!$F357:$AE357+System_Mkt_NC!$G357:$AF357,Lamp_Mkt_Repl!$G67:$AF67+System_Mkt_NC!$G357:$AF357))))=0,0,SUMPRODUCT(IF($G$157:$AF$157&gt;=ROUND(IF((M$157-Sys_Repl_Rate!M139)&lt;Tech_Specs!$C31,Tech_Specs!$C31,(M$157-Sys_Repl_Rate!M139)),0),IF($G$157:$AF$157&lt;=M$157,$G105:$AF105)),IF(Tech_Specs!$K31="lamp",System_Mkt_Repl!$F357:$AE357+System_Mkt_NC!$G357:$AF357,Lamp_Mkt_Repl!$G67:$AF67+System_Mkt_NC!$G357:$AF357))/SUM(IF($G$157:$AF$157&gt;=ROUND(IF((M$157-Sys_Repl_Rate!M139)&lt;Tech_Specs!$C31,Tech_Specs!$C31,(M$157-Sys_Repl_Rate!M139)),0),IF($G$157:$AF$157&lt;=M$157,IF(Tech_Specs!$K31="lamp",System_Mkt_Repl!$F357:$AE357+System_Mkt_NC!$G357:$AF357,Lamp_Mkt_Repl!$G67:$AF67+System_Mkt_NC!$G357:$AF357))))))</f>
        <v>133.06795145259341</v>
      </c>
      <c r="N181" s="373">
        <f t="array" ref="N181">IF(N$157=Misc_Inputs!$D$6,$G105,IF(SUM(IF($G$157:$AF$157&gt;=ROUND(IF((N$157-Sys_Repl_Rate!N139)&lt;Tech_Specs!$C31,Tech_Specs!$C31,(N$157-Sys_Repl_Rate!N139)),0),IF($G$157:$AF$157&lt;=N$157,IF(Tech_Specs!$K31="lamp",System_Mkt_Repl!$F357:$AE357+System_Mkt_NC!$G357:$AF357,Lamp_Mkt_Repl!$G67:$AF67+System_Mkt_NC!$G357:$AF357))))=0,0,SUMPRODUCT(IF($G$157:$AF$157&gt;=ROUND(IF((N$157-Sys_Repl_Rate!N139)&lt;Tech_Specs!$C31,Tech_Specs!$C31,(N$157-Sys_Repl_Rate!N139)),0),IF($G$157:$AF$157&lt;=N$157,$G105:$AF105)),IF(Tech_Specs!$K31="lamp",System_Mkt_Repl!$F357:$AE357+System_Mkt_NC!$G357:$AF357,Lamp_Mkt_Repl!$G67:$AF67+System_Mkt_NC!$G357:$AF357))/SUM(IF($G$157:$AF$157&gt;=ROUND(IF((N$157-Sys_Repl_Rate!N139)&lt;Tech_Specs!$C31,Tech_Specs!$C31,(N$157-Sys_Repl_Rate!N139)),0),IF($G$157:$AF$157&lt;=N$157,IF(Tech_Specs!$K31="lamp",System_Mkt_Repl!$F357:$AE357+System_Mkt_NC!$G357:$AF357,Lamp_Mkt_Repl!$G67:$AF67+System_Mkt_NC!$G357:$AF357))))))</f>
        <v>141.73069730938448</v>
      </c>
      <c r="O181" s="373">
        <f t="array" ref="O181">IF(O$157=Misc_Inputs!$D$6,$G105,IF(SUM(IF($G$157:$AF$157&gt;=ROUND(IF((O$157-Sys_Repl_Rate!O139)&lt;Tech_Specs!$C31,Tech_Specs!$C31,(O$157-Sys_Repl_Rate!O139)),0),IF($G$157:$AF$157&lt;=O$157,IF(Tech_Specs!$K31="lamp",System_Mkt_Repl!$F357:$AE357+System_Mkt_NC!$G357:$AF357,Lamp_Mkt_Repl!$G67:$AF67+System_Mkt_NC!$G357:$AF357))))=0,0,SUMPRODUCT(IF($G$157:$AF$157&gt;=ROUND(IF((O$157-Sys_Repl_Rate!O139)&lt;Tech_Specs!$C31,Tech_Specs!$C31,(O$157-Sys_Repl_Rate!O139)),0),IF($G$157:$AF$157&lt;=O$157,$G105:$AF105)),IF(Tech_Specs!$K31="lamp",System_Mkt_Repl!$F357:$AE357+System_Mkt_NC!$G357:$AF357,Lamp_Mkt_Repl!$G67:$AF67+System_Mkt_NC!$G357:$AF357))/SUM(IF($G$157:$AF$157&gt;=ROUND(IF((O$157-Sys_Repl_Rate!O139)&lt;Tech_Specs!$C31,Tech_Specs!$C31,(O$157-Sys_Repl_Rate!O139)),0),IF($G$157:$AF$157&lt;=O$157,IF(Tech_Specs!$K31="lamp",System_Mkt_Repl!$F357:$AE357+System_Mkt_NC!$G357:$AF357,Lamp_Mkt_Repl!$G67:$AF67+System_Mkt_NC!$G357:$AF357))))))</f>
        <v>149.63951222640648</v>
      </c>
      <c r="P181" s="373">
        <f t="array" ref="P181">IF(P$157=Misc_Inputs!$D$6,$G105,IF(SUM(IF($G$157:$AF$157&gt;=ROUND(IF((P$157-Sys_Repl_Rate!P139)&lt;Tech_Specs!$C31,Tech_Specs!$C31,(P$157-Sys_Repl_Rate!P139)),0),IF($G$157:$AF$157&lt;=P$157,IF(Tech_Specs!$K31="lamp",System_Mkt_Repl!$F357:$AE357+System_Mkt_NC!$G357:$AF357,Lamp_Mkt_Repl!$G67:$AF67+System_Mkt_NC!$G357:$AF357))))=0,0,SUMPRODUCT(IF($G$157:$AF$157&gt;=ROUND(IF((P$157-Sys_Repl_Rate!P139)&lt;Tech_Specs!$C31,Tech_Specs!$C31,(P$157-Sys_Repl_Rate!P139)),0),IF($G$157:$AF$157&lt;=P$157,$G105:$AF105)),IF(Tech_Specs!$K31="lamp",System_Mkt_Repl!$F357:$AE357+System_Mkt_NC!$G357:$AF357,Lamp_Mkt_Repl!$G67:$AF67+System_Mkt_NC!$G357:$AF357))/SUM(IF($G$157:$AF$157&gt;=ROUND(IF((P$157-Sys_Repl_Rate!P139)&lt;Tech_Specs!$C31,Tech_Specs!$C31,(P$157-Sys_Repl_Rate!P139)),0),IF($G$157:$AF$157&lt;=P$157,IF(Tech_Specs!$K31="lamp",System_Mkt_Repl!$F357:$AE357+System_Mkt_NC!$G357:$AF357,Lamp_Mkt_Repl!$G67:$AF67+System_Mkt_NC!$G357:$AF357))))))</f>
        <v>156.81987797165863</v>
      </c>
      <c r="Q181" s="373">
        <f t="array" ref="Q181">IF(Q$157=Misc_Inputs!$D$6,$G105,IF(SUM(IF($G$157:$AF$157&gt;=ROUND(IF((Q$157-Sys_Repl_Rate!Q139)&lt;Tech_Specs!$C31,Tech_Specs!$C31,(Q$157-Sys_Repl_Rate!Q139)),0),IF($G$157:$AF$157&lt;=Q$157,IF(Tech_Specs!$K31="lamp",System_Mkt_Repl!$F357:$AE357+System_Mkt_NC!$G357:$AF357,Lamp_Mkt_Repl!$G67:$AF67+System_Mkt_NC!$G357:$AF357))))=0,0,SUMPRODUCT(IF($G$157:$AF$157&gt;=ROUND(IF((Q$157-Sys_Repl_Rate!Q139)&lt;Tech_Specs!$C31,Tech_Specs!$C31,(Q$157-Sys_Repl_Rate!Q139)),0),IF($G$157:$AF$157&lt;=Q$157,$G105:$AF105)),IF(Tech_Specs!$K31="lamp",System_Mkt_Repl!$F357:$AE357+System_Mkt_NC!$G357:$AF357,Lamp_Mkt_Repl!$G67:$AF67+System_Mkt_NC!$G357:$AF357))/SUM(IF($G$157:$AF$157&gt;=ROUND(IF((Q$157-Sys_Repl_Rate!Q139)&lt;Tech_Specs!$C31,Tech_Specs!$C31,(Q$157-Sys_Repl_Rate!Q139)),0),IF($G$157:$AF$157&lt;=Q$157,IF(Tech_Specs!$K31="lamp",System_Mkt_Repl!$F357:$AE357+System_Mkt_NC!$G357:$AF357,Lamp_Mkt_Repl!$G67:$AF67+System_Mkt_NC!$G357:$AF357))))))</f>
        <v>163.31938079115247</v>
      </c>
      <c r="R181" s="373">
        <f t="array" ref="R181">IF(R$157=Misc_Inputs!$D$6,$G105,IF(SUM(IF($G$157:$AF$157&gt;=ROUND(IF((R$157-Sys_Repl_Rate!R139)&lt;Tech_Specs!$C31,Tech_Specs!$C31,(R$157-Sys_Repl_Rate!R139)),0),IF($G$157:$AF$157&lt;=R$157,IF(Tech_Specs!$K31="lamp",System_Mkt_Repl!$F357:$AE357+System_Mkt_NC!$G357:$AF357,Lamp_Mkt_Repl!$G67:$AF67+System_Mkt_NC!$G357:$AF357))))=0,0,SUMPRODUCT(IF($G$157:$AF$157&gt;=ROUND(IF((R$157-Sys_Repl_Rate!R139)&lt;Tech_Specs!$C31,Tech_Specs!$C31,(R$157-Sys_Repl_Rate!R139)),0),IF($G$157:$AF$157&lt;=R$157,$G105:$AF105)),IF(Tech_Specs!$K31="lamp",System_Mkt_Repl!$F357:$AE357+System_Mkt_NC!$G357:$AF357,Lamp_Mkt_Repl!$G67:$AF67+System_Mkt_NC!$G357:$AF357))/SUM(IF($G$157:$AF$157&gt;=ROUND(IF((R$157-Sys_Repl_Rate!R139)&lt;Tech_Specs!$C31,Tech_Specs!$C31,(R$157-Sys_Repl_Rate!R139)),0),IF($G$157:$AF$157&lt;=R$157,IF(Tech_Specs!$K31="lamp",System_Mkt_Repl!$F357:$AE357+System_Mkt_NC!$G357:$AF357,Lamp_Mkt_Repl!$G67:$AF67+System_Mkt_NC!$G357:$AF357))))))</f>
        <v>168.60688885241493</v>
      </c>
      <c r="S181" s="373">
        <f t="array" ref="S181">IF(S$157=Misc_Inputs!$D$6,$G105,IF(SUM(IF($G$157:$AF$157&gt;=ROUND(IF((S$157-Sys_Repl_Rate!S139)&lt;Tech_Specs!$C31,Tech_Specs!$C31,(S$157-Sys_Repl_Rate!S139)),0),IF($G$157:$AF$157&lt;=S$157,IF(Tech_Specs!$K31="lamp",System_Mkt_Repl!$F357:$AE357+System_Mkt_NC!$G357:$AF357,Lamp_Mkt_Repl!$G67:$AF67+System_Mkt_NC!$G357:$AF357))))=0,0,SUMPRODUCT(IF($G$157:$AF$157&gt;=ROUND(IF((S$157-Sys_Repl_Rate!S139)&lt;Tech_Specs!$C31,Tech_Specs!$C31,(S$157-Sys_Repl_Rate!S139)),0),IF($G$157:$AF$157&lt;=S$157,$G105:$AF105)),IF(Tech_Specs!$K31="lamp",System_Mkt_Repl!$F357:$AE357+System_Mkt_NC!$G357:$AF357,Lamp_Mkt_Repl!$G67:$AF67+System_Mkt_NC!$G357:$AF357))/SUM(IF($G$157:$AF$157&gt;=ROUND(IF((S$157-Sys_Repl_Rate!S139)&lt;Tech_Specs!$C31,Tech_Specs!$C31,(S$157-Sys_Repl_Rate!S139)),0),IF($G$157:$AF$157&lt;=S$157,IF(Tech_Specs!$K31="lamp",System_Mkt_Repl!$F357:$AE357+System_Mkt_NC!$G357:$AF357,Lamp_Mkt_Repl!$G67:$AF67+System_Mkt_NC!$G357:$AF357))))))</f>
        <v>172.95612322694711</v>
      </c>
      <c r="T181" s="373">
        <f t="array" ref="T181">IF(T$157=Misc_Inputs!$D$6,$G105,IF(SUM(IF($G$157:$AF$157&gt;=ROUND(IF((T$157-Sys_Repl_Rate!T139)&lt;Tech_Specs!$C31,Tech_Specs!$C31,(T$157-Sys_Repl_Rate!T139)),0),IF($G$157:$AF$157&lt;=T$157,IF(Tech_Specs!$K31="lamp",System_Mkt_Repl!$F357:$AE357+System_Mkt_NC!$G357:$AF357,Lamp_Mkt_Repl!$G67:$AF67+System_Mkt_NC!$G357:$AF357))))=0,0,SUMPRODUCT(IF($G$157:$AF$157&gt;=ROUND(IF((T$157-Sys_Repl_Rate!T139)&lt;Tech_Specs!$C31,Tech_Specs!$C31,(T$157-Sys_Repl_Rate!T139)),0),IF($G$157:$AF$157&lt;=T$157,$G105:$AF105)),IF(Tech_Specs!$K31="lamp",System_Mkt_Repl!$F357:$AE357+System_Mkt_NC!$G357:$AF357,Lamp_Mkt_Repl!$G67:$AF67+System_Mkt_NC!$G357:$AF357))/SUM(IF($G$157:$AF$157&gt;=ROUND(IF((T$157-Sys_Repl_Rate!T139)&lt;Tech_Specs!$C31,Tech_Specs!$C31,(T$157-Sys_Repl_Rate!T139)),0),IF($G$157:$AF$157&lt;=T$157,IF(Tech_Specs!$K31="lamp",System_Mkt_Repl!$F357:$AE357+System_Mkt_NC!$G357:$AF357,Lamp_Mkt_Repl!$G67:$AF67+System_Mkt_NC!$G357:$AF357))))))</f>
        <v>176.55370978755076</v>
      </c>
      <c r="U181" s="373">
        <f t="array" ref="U181">IF(U$157=Misc_Inputs!$D$6,$G105,IF(SUM(IF($G$157:$AF$157&gt;=ROUND(IF((U$157-Sys_Repl_Rate!U139)&lt;Tech_Specs!$C31,Tech_Specs!$C31,(U$157-Sys_Repl_Rate!U139)),0),IF($G$157:$AF$157&lt;=U$157,IF(Tech_Specs!$K31="lamp",System_Mkt_Repl!$F357:$AE357+System_Mkt_NC!$G357:$AF357,Lamp_Mkt_Repl!$G67:$AF67+System_Mkt_NC!$G357:$AF357))))=0,0,SUMPRODUCT(IF($G$157:$AF$157&gt;=ROUND(IF((U$157-Sys_Repl_Rate!U139)&lt;Tech_Specs!$C31,Tech_Specs!$C31,(U$157-Sys_Repl_Rate!U139)),0),IF($G$157:$AF$157&lt;=U$157,$G105:$AF105)),IF(Tech_Specs!$K31="lamp",System_Mkt_Repl!$F357:$AE357+System_Mkt_NC!$G357:$AF357,Lamp_Mkt_Repl!$G67:$AF67+System_Mkt_NC!$G357:$AF357))/SUM(IF($G$157:$AF$157&gt;=ROUND(IF((U$157-Sys_Repl_Rate!U139)&lt;Tech_Specs!$C31,Tech_Specs!$C31,(U$157-Sys_Repl_Rate!U139)),0),IF($G$157:$AF$157&lt;=U$157,IF(Tech_Specs!$K31="lamp",System_Mkt_Repl!$F357:$AE357+System_Mkt_NC!$G357:$AF357,Lamp_Mkt_Repl!$G67:$AF67+System_Mkt_NC!$G357:$AF357))))))</f>
        <v>179.54738592534278</v>
      </c>
      <c r="V181" s="373">
        <f t="array" ref="V181">IF(V$157=Misc_Inputs!$D$6,$G105,IF(SUM(IF($G$157:$AF$157&gt;=ROUND(IF((V$157-Sys_Repl_Rate!V139)&lt;Tech_Specs!$C31,Tech_Specs!$C31,(V$157-Sys_Repl_Rate!V139)),0),IF($G$157:$AF$157&lt;=V$157,IF(Tech_Specs!$K31="lamp",System_Mkt_Repl!$F357:$AE357+System_Mkt_NC!$G357:$AF357,Lamp_Mkt_Repl!$G67:$AF67+System_Mkt_NC!$G357:$AF357))))=0,0,SUMPRODUCT(IF($G$157:$AF$157&gt;=ROUND(IF((V$157-Sys_Repl_Rate!V139)&lt;Tech_Specs!$C31,Tech_Specs!$C31,(V$157-Sys_Repl_Rate!V139)),0),IF($G$157:$AF$157&lt;=V$157,$G105:$AF105)),IF(Tech_Specs!$K31="lamp",System_Mkt_Repl!$F357:$AE357+System_Mkt_NC!$G357:$AF357,Lamp_Mkt_Repl!$G67:$AF67+System_Mkt_NC!$G357:$AF357))/SUM(IF($G$157:$AF$157&gt;=ROUND(IF((V$157-Sys_Repl_Rate!V139)&lt;Tech_Specs!$C31,Tech_Specs!$C31,(V$157-Sys_Repl_Rate!V139)),0),IF($G$157:$AF$157&lt;=V$157,IF(Tech_Specs!$K31="lamp",System_Mkt_Repl!$F357:$AE357+System_Mkt_NC!$G357:$AF357,Lamp_Mkt_Repl!$G67:$AF67+System_Mkt_NC!$G357:$AF357))))))</f>
        <v>182.05927952532946</v>
      </c>
      <c r="W181" s="373">
        <f t="array" ref="W181">IF(W$157=Misc_Inputs!$D$6,$G105,IF(SUM(IF($G$157:$AF$157&gt;=ROUND(IF((W$157-Sys_Repl_Rate!W139)&lt;Tech_Specs!$C31,Tech_Specs!$C31,(W$157-Sys_Repl_Rate!W139)),0),IF($G$157:$AF$157&lt;=W$157,IF(Tech_Specs!$K31="lamp",System_Mkt_Repl!$F357:$AE357+System_Mkt_NC!$G357:$AF357,Lamp_Mkt_Repl!$G67:$AF67+System_Mkt_NC!$G357:$AF357))))=0,0,SUMPRODUCT(IF($G$157:$AF$157&gt;=ROUND(IF((W$157-Sys_Repl_Rate!W139)&lt;Tech_Specs!$C31,Tech_Specs!$C31,(W$157-Sys_Repl_Rate!W139)),0),IF($G$157:$AF$157&lt;=W$157,$G105:$AF105)),IF(Tech_Specs!$K31="lamp",System_Mkt_Repl!$F357:$AE357+System_Mkt_NC!$G357:$AF357,Lamp_Mkt_Repl!$G67:$AF67+System_Mkt_NC!$G357:$AF357))/SUM(IF($G$157:$AF$157&gt;=ROUND(IF((W$157-Sys_Repl_Rate!W139)&lt;Tech_Specs!$C31,Tech_Specs!$C31,(W$157-Sys_Repl_Rate!W139)),0),IF($G$157:$AF$157&lt;=W$157,IF(Tech_Specs!$K31="lamp",System_Mkt_Repl!$F357:$AE357+System_Mkt_NC!$G357:$AF357,Lamp_Mkt_Repl!$G67:$AF67+System_Mkt_NC!$G357:$AF357))))))</f>
        <v>184.17780073634069</v>
      </c>
      <c r="X181" s="373">
        <f t="array" ref="X181">IF(X$157=Misc_Inputs!$D$6,$G105,IF(SUM(IF($G$157:$AF$157&gt;=ROUND(IF((X$157-Sys_Repl_Rate!X139)&lt;Tech_Specs!$C31,Tech_Specs!$C31,(X$157-Sys_Repl_Rate!X139)),0),IF($G$157:$AF$157&lt;=X$157,IF(Tech_Specs!$K31="lamp",System_Mkt_Repl!$F357:$AE357+System_Mkt_NC!$G357:$AF357,Lamp_Mkt_Repl!$G67:$AF67+System_Mkt_NC!$G357:$AF357))))=0,0,SUMPRODUCT(IF($G$157:$AF$157&gt;=ROUND(IF((X$157-Sys_Repl_Rate!X139)&lt;Tech_Specs!$C31,Tech_Specs!$C31,(X$157-Sys_Repl_Rate!X139)),0),IF($G$157:$AF$157&lt;=X$157,$G105:$AF105)),IF(Tech_Specs!$K31="lamp",System_Mkt_Repl!$F357:$AE357+System_Mkt_NC!$G357:$AF357,Lamp_Mkt_Repl!$G67:$AF67+System_Mkt_NC!$G357:$AF357))/SUM(IF($G$157:$AF$157&gt;=ROUND(IF((X$157-Sys_Repl_Rate!X139)&lt;Tech_Specs!$C31,Tech_Specs!$C31,(X$157-Sys_Repl_Rate!X139)),0),IF($G$157:$AF$157&lt;=X$157,IF(Tech_Specs!$K31="lamp",System_Mkt_Repl!$F357:$AE357+System_Mkt_NC!$G357:$AF357,Lamp_Mkt_Repl!$G67:$AF67+System_Mkt_NC!$G357:$AF357))))))</f>
        <v>185.97436148921352</v>
      </c>
      <c r="Y181" s="373">
        <f t="array" ref="Y181">IF(Y$157=Misc_Inputs!$D$6,$G105,IF(SUM(IF($G$157:$AF$157&gt;=ROUND(IF((Y$157-Sys_Repl_Rate!Y139)&lt;Tech_Specs!$C31,Tech_Specs!$C31,(Y$157-Sys_Repl_Rate!Y139)),0),IF($G$157:$AF$157&lt;=Y$157,IF(Tech_Specs!$K31="lamp",System_Mkt_Repl!$F357:$AE357+System_Mkt_NC!$G357:$AF357,Lamp_Mkt_Repl!$G67:$AF67+System_Mkt_NC!$G357:$AF357))))=0,0,SUMPRODUCT(IF($G$157:$AF$157&gt;=ROUND(IF((Y$157-Sys_Repl_Rate!Y139)&lt;Tech_Specs!$C31,Tech_Specs!$C31,(Y$157-Sys_Repl_Rate!Y139)),0),IF($G$157:$AF$157&lt;=Y$157,$G105:$AF105)),IF(Tech_Specs!$K31="lamp",System_Mkt_Repl!$F357:$AE357+System_Mkt_NC!$G357:$AF357,Lamp_Mkt_Repl!$G67:$AF67+System_Mkt_NC!$G357:$AF357))/SUM(IF($G$157:$AF$157&gt;=ROUND(IF((Y$157-Sys_Repl_Rate!Y139)&lt;Tech_Specs!$C31,Tech_Specs!$C31,(Y$157-Sys_Repl_Rate!Y139)),0),IF($G$157:$AF$157&lt;=Y$157,IF(Tech_Specs!$K31="lamp",System_Mkt_Repl!$F357:$AE357+System_Mkt_NC!$G357:$AF357,Lamp_Mkt_Repl!$G67:$AF67+System_Mkt_NC!$G357:$AF357))))))</f>
        <v>187.50785226462739</v>
      </c>
      <c r="Z181" s="373">
        <f t="array" ref="Z181">IF(Z$157=Misc_Inputs!$D$6,$G105,IF(SUM(IF($G$157:$AF$157&gt;=ROUND(IF((Z$157-Sys_Repl_Rate!Z139)&lt;Tech_Specs!$C31,Tech_Specs!$C31,(Z$157-Sys_Repl_Rate!Z139)),0),IF($G$157:$AF$157&lt;=Z$157,IF(Tech_Specs!$K31="lamp",System_Mkt_Repl!$F357:$AE357+System_Mkt_NC!$G357:$AF357,Lamp_Mkt_Repl!$G67:$AF67+System_Mkt_NC!$G357:$AF357))))=0,0,SUMPRODUCT(IF($G$157:$AF$157&gt;=ROUND(IF((Z$157-Sys_Repl_Rate!Z139)&lt;Tech_Specs!$C31,Tech_Specs!$C31,(Z$157-Sys_Repl_Rate!Z139)),0),IF($G$157:$AF$157&lt;=Z$157,$G105:$AF105)),IF(Tech_Specs!$K31="lamp",System_Mkt_Repl!$F357:$AE357+System_Mkt_NC!$G357:$AF357,Lamp_Mkt_Repl!$G67:$AF67+System_Mkt_NC!$G357:$AF357))/SUM(IF($G$157:$AF$157&gt;=ROUND(IF((Z$157-Sys_Repl_Rate!Z139)&lt;Tech_Specs!$C31,Tech_Specs!$C31,(Z$157-Sys_Repl_Rate!Z139)),0),IF($G$157:$AF$157&lt;=Z$157,IF(Tech_Specs!$K31="lamp",System_Mkt_Repl!$F357:$AE357+System_Mkt_NC!$G357:$AF357,Lamp_Mkt_Repl!$G67:$AF67+System_Mkt_NC!$G357:$AF357))))))</f>
        <v>188.82846791564185</v>
      </c>
      <c r="AA181" s="373">
        <f t="array" ref="AA181">IF(AA$157=Misc_Inputs!$D$6,$G105,IF(SUM(IF($G$157:$AF$157&gt;=ROUND(IF((AA$157-Sys_Repl_Rate!AA139)&lt;Tech_Specs!$C31,Tech_Specs!$C31,(AA$157-Sys_Repl_Rate!AA139)),0),IF($G$157:$AF$157&lt;=AA$157,IF(Tech_Specs!$K31="lamp",System_Mkt_Repl!$F357:$AE357+System_Mkt_NC!$G357:$AF357,Lamp_Mkt_Repl!$G67:$AF67+System_Mkt_NC!$G357:$AF357))))=0,0,SUMPRODUCT(IF($G$157:$AF$157&gt;=ROUND(IF((AA$157-Sys_Repl_Rate!AA139)&lt;Tech_Specs!$C31,Tech_Specs!$C31,(AA$157-Sys_Repl_Rate!AA139)),0),IF($G$157:$AF$157&lt;=AA$157,$G105:$AF105)),IF(Tech_Specs!$K31="lamp",System_Mkt_Repl!$F357:$AE357+System_Mkt_NC!$G357:$AF357,Lamp_Mkt_Repl!$G67:$AF67+System_Mkt_NC!$G357:$AF357))/SUM(IF($G$157:$AF$157&gt;=ROUND(IF((AA$157-Sys_Repl_Rate!AA139)&lt;Tech_Specs!$C31,Tech_Specs!$C31,(AA$157-Sys_Repl_Rate!AA139)),0),IF($G$157:$AF$157&lt;=AA$157,IF(Tech_Specs!$K31="lamp",System_Mkt_Repl!$F357:$AE357+System_Mkt_NC!$G357:$AF357,Lamp_Mkt_Repl!$G67:$AF67+System_Mkt_NC!$G357:$AF357))))))</f>
        <v>189.97607386745872</v>
      </c>
      <c r="AB181" s="373">
        <f t="array" ref="AB181">IF(AB$157=Misc_Inputs!$D$6,$G105,IF(SUM(IF($G$157:$AF$157&gt;=ROUND(IF((AB$157-Sys_Repl_Rate!AB139)&lt;Tech_Specs!$C31,Tech_Specs!$C31,(AB$157-Sys_Repl_Rate!AB139)),0),IF($G$157:$AF$157&lt;=AB$157,IF(Tech_Specs!$K31="lamp",System_Mkt_Repl!$F357:$AE357+System_Mkt_NC!$G357:$AF357,Lamp_Mkt_Repl!$G67:$AF67+System_Mkt_NC!$G357:$AF357))))=0,0,SUMPRODUCT(IF($G$157:$AF$157&gt;=ROUND(IF((AB$157-Sys_Repl_Rate!AB139)&lt;Tech_Specs!$C31,Tech_Specs!$C31,(AB$157-Sys_Repl_Rate!AB139)),0),IF($G$157:$AF$157&lt;=AB$157,$G105:$AF105)),IF(Tech_Specs!$K31="lamp",System_Mkt_Repl!$F357:$AE357+System_Mkt_NC!$G357:$AF357,Lamp_Mkt_Repl!$G67:$AF67+System_Mkt_NC!$G357:$AF357))/SUM(IF($G$157:$AF$157&gt;=ROUND(IF((AB$157-Sys_Repl_Rate!AB139)&lt;Tech_Specs!$C31,Tech_Specs!$C31,(AB$157-Sys_Repl_Rate!AB139)),0),IF($G$157:$AF$157&lt;=AB$157,IF(Tech_Specs!$K31="lamp",System_Mkt_Repl!$F357:$AE357+System_Mkt_NC!$G357:$AF357,Lamp_Mkt_Repl!$G67:$AF67+System_Mkt_NC!$G357:$AF357))))))</f>
        <v>190.98283668497913</v>
      </c>
      <c r="AC181" s="373">
        <f t="array" ref="AC181">IF(AC$157=Misc_Inputs!$D$6,$G105,IF(SUM(IF($G$157:$AF$157&gt;=ROUND(IF((AC$157-Sys_Repl_Rate!AC139)&lt;Tech_Specs!$C31,Tech_Specs!$C31,(AC$157-Sys_Repl_Rate!AC139)),0),IF($G$157:$AF$157&lt;=AC$157,IF(Tech_Specs!$K31="lamp",System_Mkt_Repl!$F357:$AE357+System_Mkt_NC!$G357:$AF357,Lamp_Mkt_Repl!$G67:$AF67+System_Mkt_NC!$G357:$AF357))))=0,0,SUMPRODUCT(IF($G$157:$AF$157&gt;=ROUND(IF((AC$157-Sys_Repl_Rate!AC139)&lt;Tech_Specs!$C31,Tech_Specs!$C31,(AC$157-Sys_Repl_Rate!AC139)),0),IF($G$157:$AF$157&lt;=AC$157,$G105:$AF105)),IF(Tech_Specs!$K31="lamp",System_Mkt_Repl!$F357:$AE357+System_Mkt_NC!$G357:$AF357,Lamp_Mkt_Repl!$G67:$AF67+System_Mkt_NC!$G357:$AF357))/SUM(IF($G$157:$AF$157&gt;=ROUND(IF((AC$157-Sys_Repl_Rate!AC139)&lt;Tech_Specs!$C31,Tech_Specs!$C31,(AC$157-Sys_Repl_Rate!AC139)),0),IF($G$157:$AF$157&lt;=AC$157,IF(Tech_Specs!$K31="lamp",System_Mkt_Repl!$F357:$AE357+System_Mkt_NC!$G357:$AF357,Lamp_Mkt_Repl!$G67:$AF67+System_Mkt_NC!$G357:$AF357))))))</f>
        <v>191.86710471311642</v>
      </c>
      <c r="AD181" s="373">
        <f t="array" ref="AD181">IF(AD$157=Misc_Inputs!$D$6,$G105,IF(SUM(IF($G$157:$AF$157&gt;=ROUND(IF((AD$157-Sys_Repl_Rate!AD139)&lt;Tech_Specs!$C31,Tech_Specs!$C31,(AD$157-Sys_Repl_Rate!AD139)),0),IF($G$157:$AF$157&lt;=AD$157,IF(Tech_Specs!$K31="lamp",System_Mkt_Repl!$F357:$AE357+System_Mkt_NC!$G357:$AF357,Lamp_Mkt_Repl!$G67:$AF67+System_Mkt_NC!$G357:$AF357))))=0,0,SUMPRODUCT(IF($G$157:$AF$157&gt;=ROUND(IF((AD$157-Sys_Repl_Rate!AD139)&lt;Tech_Specs!$C31,Tech_Specs!$C31,(AD$157-Sys_Repl_Rate!AD139)),0),IF($G$157:$AF$157&lt;=AD$157,$G105:$AF105)),IF(Tech_Specs!$K31="lamp",System_Mkt_Repl!$F357:$AE357+System_Mkt_NC!$G357:$AF357,Lamp_Mkt_Repl!$G67:$AF67+System_Mkt_NC!$G357:$AF357))/SUM(IF($G$157:$AF$157&gt;=ROUND(IF((AD$157-Sys_Repl_Rate!AD139)&lt;Tech_Specs!$C31,Tech_Specs!$C31,(AD$157-Sys_Repl_Rate!AD139)),0),IF($G$157:$AF$157&lt;=AD$157,IF(Tech_Specs!$K31="lamp",System_Mkt_Repl!$F357:$AE357+System_Mkt_NC!$G357:$AF357,Lamp_Mkt_Repl!$G67:$AF67+System_Mkt_NC!$G357:$AF357))))))</f>
        <v>192.64830946203179</v>
      </c>
      <c r="AE181" s="373">
        <f t="array" ref="AE181">IF(AE$157=Misc_Inputs!$D$6,$G105,IF(SUM(IF($G$157:$AF$157&gt;=ROUND(IF((AE$157-Sys_Repl_Rate!AE139)&lt;Tech_Specs!$C31,Tech_Specs!$C31,(AE$157-Sys_Repl_Rate!AE139)),0),IF($G$157:$AF$157&lt;=AE$157,IF(Tech_Specs!$K31="lamp",System_Mkt_Repl!$F357:$AE357+System_Mkt_NC!$G357:$AF357,Lamp_Mkt_Repl!$G67:$AF67+System_Mkt_NC!$G357:$AF357))))=0,0,SUMPRODUCT(IF($G$157:$AF$157&gt;=ROUND(IF((AE$157-Sys_Repl_Rate!AE139)&lt;Tech_Specs!$C31,Tech_Specs!$C31,(AE$157-Sys_Repl_Rate!AE139)),0),IF($G$157:$AF$157&lt;=AE$157,$G105:$AF105)),IF(Tech_Specs!$K31="lamp",System_Mkt_Repl!$F357:$AE357+System_Mkt_NC!$G357:$AF357,Lamp_Mkt_Repl!$G67:$AF67+System_Mkt_NC!$G357:$AF357))/SUM(IF($G$157:$AF$157&gt;=ROUND(IF((AE$157-Sys_Repl_Rate!AE139)&lt;Tech_Specs!$C31,Tech_Specs!$C31,(AE$157-Sys_Repl_Rate!AE139)),0),IF($G$157:$AF$157&lt;=AE$157,IF(Tech_Specs!$K31="lamp",System_Mkt_Repl!$F357:$AE357+System_Mkt_NC!$G357:$AF357,Lamp_Mkt_Repl!$G67:$AF67+System_Mkt_NC!$G357:$AF357))))))</f>
        <v>193.34224367310441</v>
      </c>
      <c r="AF181" s="373">
        <f t="array" ref="AF181">IF(AF$157=Misc_Inputs!$D$6,$G105,IF(SUM(IF($G$157:$AF$157&gt;=ROUND(IF((AF$157-Sys_Repl_Rate!AF139)&lt;Tech_Specs!$C31,Tech_Specs!$C31,(AF$157-Sys_Repl_Rate!AF139)),0),IF($G$157:$AF$157&lt;=AF$157,IF(Tech_Specs!$K31="lamp",System_Mkt_Repl!$F357:$AE357+System_Mkt_NC!$G357:$AF357,Lamp_Mkt_Repl!$G67:$AF67+System_Mkt_NC!$G357:$AF357))))=0,0,SUMPRODUCT(IF($G$157:$AF$157&gt;=ROUND(IF((AF$157-Sys_Repl_Rate!AF139)&lt;Tech_Specs!$C31,Tech_Specs!$C31,(AF$157-Sys_Repl_Rate!AF139)),0),IF($G$157:$AF$157&lt;=AF$157,$G105:$AF105)),IF(Tech_Specs!$K31="lamp",System_Mkt_Repl!$F357:$AE357+System_Mkt_NC!$G357:$AF357,Lamp_Mkt_Repl!$G67:$AF67+System_Mkt_NC!$G357:$AF357))/SUM(IF($G$157:$AF$157&gt;=ROUND(IF((AF$157-Sys_Repl_Rate!AF139)&lt;Tech_Specs!$C31,Tech_Specs!$C31,(AF$157-Sys_Repl_Rate!AF139)),0),IF($G$157:$AF$157&lt;=AF$157,IF(Tech_Specs!$K31="lamp",System_Mkt_Repl!$F357:$AE357+System_Mkt_NC!$G357:$AF357,Lamp_Mkt_Repl!$G67:$AF67+System_Mkt_NC!$G357:$AF357))))))</f>
        <v>193.96183875799139</v>
      </c>
    </row>
    <row r="182" spans="1:32" s="101" customFormat="1" ht="12.75" x14ac:dyDescent="0.2">
      <c r="A182" s="81"/>
      <c r="B182" s="81"/>
      <c r="C182" s="81"/>
      <c r="D182" s="550"/>
      <c r="E182" s="550"/>
      <c r="F182" s="550"/>
    </row>
    <row r="183" spans="1:32" s="101" customFormat="1" ht="12.75" x14ac:dyDescent="0.2">
      <c r="A183" s="11" t="s">
        <v>47</v>
      </c>
      <c r="B183" s="10"/>
      <c r="C183" s="57"/>
      <c r="D183" s="501"/>
      <c r="E183" s="501"/>
      <c r="F183" s="501"/>
      <c r="G183" s="191"/>
      <c r="H183" s="57"/>
      <c r="I183" s="57"/>
      <c r="J183" s="57"/>
      <c r="K183" s="57"/>
      <c r="L183" s="57"/>
      <c r="M183" s="57"/>
      <c r="N183" s="57"/>
      <c r="O183" s="57"/>
      <c r="P183" s="57"/>
      <c r="Q183" s="57"/>
      <c r="R183" s="57"/>
      <c r="S183" s="57"/>
      <c r="T183" s="57"/>
      <c r="U183" s="57"/>
      <c r="V183" s="57"/>
      <c r="W183" s="57"/>
      <c r="X183" s="57"/>
      <c r="Y183" s="57"/>
      <c r="Z183" s="57"/>
      <c r="AA183" s="57"/>
      <c r="AB183" s="57"/>
      <c r="AC183" s="57"/>
      <c r="AD183" s="57"/>
      <c r="AE183" s="57"/>
      <c r="AF183" s="57"/>
    </row>
    <row r="184" spans="1:32" s="101" customFormat="1" ht="12.75" x14ac:dyDescent="0.2">
      <c r="A184" s="81"/>
      <c r="B184" s="81" t="s">
        <v>48</v>
      </c>
      <c r="D184" s="552"/>
      <c r="E184" s="552"/>
      <c r="F184" s="552"/>
      <c r="G184" s="373">
        <f t="array" ref="G184">IF(G$157=Misc_Inputs!$D$6,$G108,IF(SUM(IF($G$157:$AF$157&gt;=ROUND(IF((G$157-Sys_Repl_Rate!G142)&lt;Tech_Specs!$C34,Tech_Specs!$C34,(G$157-Sys_Repl_Rate!G142)),0),IF($G$157:$AF$157&lt;=G$157,IF(Tech_Specs!$K34="lamp",System_Mkt_Repl!$F360:$AE360+System_Mkt_NC!$G360:$AF360,Lamp_Mkt_Repl!$G70:$AF70+System_Mkt_NC!$G360:$AF360))))=0,0,SUMPRODUCT(IF($G$157:$AF$157&gt;=ROUND(IF((G$157-Sys_Repl_Rate!G142)&lt;Tech_Specs!$C34,Tech_Specs!$C34,(G$157-Sys_Repl_Rate!G142)),0),IF($G$157:$AF$157&lt;=G$157,$G108:$AF108)),IF(Tech_Specs!$K34="lamp",System_Mkt_Repl!$F360:$AE360+System_Mkt_NC!$G360:$AF360,Lamp_Mkt_Repl!$G70:$AF70+System_Mkt_NC!$G360:$AF360))/SUM(IF($G$157:$AF$157&gt;=ROUND(IF((G$157-Sys_Repl_Rate!G142)&lt;Tech_Specs!$C34,Tech_Specs!$C34,(G$157-Sys_Repl_Rate!G142)),0),IF($G$157:$AF$157&lt;=G$157,IF(Tech_Specs!$K34="lamp",System_Mkt_Repl!$F360:$AE360+System_Mkt_NC!$G360:$AF360,Lamp_Mkt_Repl!$G70:$AF70+System_Mkt_NC!$G360:$AF360))))))</f>
        <v>11</v>
      </c>
      <c r="H184" s="373">
        <f t="array" ref="H184">IF(H$157=Misc_Inputs!$D$6,$G108,IF(SUM(IF($G$157:$AF$157&gt;=ROUND(IF((H$157-Sys_Repl_Rate!H142)&lt;Tech_Specs!$C34,Tech_Specs!$C34,(H$157-Sys_Repl_Rate!H142)),0),IF($G$157:$AF$157&lt;=H$157,IF(Tech_Specs!$K34="lamp",System_Mkt_Repl!$F360:$AE360+System_Mkt_NC!$G360:$AF360,Lamp_Mkt_Repl!$G70:$AF70+System_Mkt_NC!$G360:$AF360))))=0,0,SUMPRODUCT(IF($G$157:$AF$157&gt;=ROUND(IF((H$157-Sys_Repl_Rate!H142)&lt;Tech_Specs!$C34,Tech_Specs!$C34,(H$157-Sys_Repl_Rate!H142)),0),IF($G$157:$AF$157&lt;=H$157,$G108:$AF108)),IF(Tech_Specs!$K34="lamp",System_Mkt_Repl!$F360:$AE360+System_Mkt_NC!$G360:$AF360,Lamp_Mkt_Repl!$G70:$AF70+System_Mkt_NC!$G360:$AF360))/SUM(IF($G$157:$AF$157&gt;=ROUND(IF((H$157-Sys_Repl_Rate!H142)&lt;Tech_Specs!$C34,Tech_Specs!$C34,(H$157-Sys_Repl_Rate!H142)),0),IF($G$157:$AF$157&lt;=H$157,IF(Tech_Specs!$K34="lamp",System_Mkt_Repl!$F360:$AE360+System_Mkt_NC!$G360:$AF360,Lamp_Mkt_Repl!$G70:$AF70+System_Mkt_NC!$G360:$AF360))))))</f>
        <v>11.027500000000003</v>
      </c>
      <c r="I184" s="373">
        <f t="array" ref="I184">IF(I$157=Misc_Inputs!$D$6,$G108,IF(SUM(IF($G$157:$AF$157&gt;=ROUND(IF((I$157-Sys_Repl_Rate!I142)&lt;Tech_Specs!$C34,Tech_Specs!$C34,(I$157-Sys_Repl_Rate!I142)),0),IF($G$157:$AF$157&lt;=I$157,IF(Tech_Specs!$K34="lamp",System_Mkt_Repl!$F360:$AE360+System_Mkt_NC!$G360:$AF360,Lamp_Mkt_Repl!$G70:$AF70+System_Mkt_NC!$G360:$AF360))))=0,0,SUMPRODUCT(IF($G$157:$AF$157&gt;=ROUND(IF((I$157-Sys_Repl_Rate!I142)&lt;Tech_Specs!$C34,Tech_Specs!$C34,(I$157-Sys_Repl_Rate!I142)),0),IF($G$157:$AF$157&lt;=I$157,$G108:$AF108)),IF(Tech_Specs!$K34="lamp",System_Mkt_Repl!$F360:$AE360+System_Mkt_NC!$G360:$AF360,Lamp_Mkt_Repl!$G70:$AF70+System_Mkt_NC!$G360:$AF360))/SUM(IF($G$157:$AF$157&gt;=ROUND(IF((I$157-Sys_Repl_Rate!I142)&lt;Tech_Specs!$C34,Tech_Specs!$C34,(I$157-Sys_Repl_Rate!I142)),0),IF($G$157:$AF$157&lt;=I$157,IF(Tech_Specs!$K34="lamp",System_Mkt_Repl!$F360:$AE360+System_Mkt_NC!$G360:$AF360,Lamp_Mkt_Repl!$G70:$AF70+System_Mkt_NC!$G360:$AF360))))))</f>
        <v>11.089476111294955</v>
      </c>
      <c r="J184" s="373">
        <f t="array" ref="J184">IF(J$157=Misc_Inputs!$D$6,$G108,IF(SUM(IF($G$157:$AF$157&gt;=ROUND(IF((J$157-Sys_Repl_Rate!J142)&lt;Tech_Specs!$C34,Tech_Specs!$C34,(J$157-Sys_Repl_Rate!J142)),0),IF($G$157:$AF$157&lt;=J$157,IF(Tech_Specs!$K34="lamp",System_Mkt_Repl!$F360:$AE360+System_Mkt_NC!$G360:$AF360,Lamp_Mkt_Repl!$G70:$AF70+System_Mkt_NC!$G360:$AF360))))=0,0,SUMPRODUCT(IF($G$157:$AF$157&gt;=ROUND(IF((J$157-Sys_Repl_Rate!J142)&lt;Tech_Specs!$C34,Tech_Specs!$C34,(J$157-Sys_Repl_Rate!J142)),0),IF($G$157:$AF$157&lt;=J$157,$G108:$AF108)),IF(Tech_Specs!$K34="lamp",System_Mkt_Repl!$F360:$AE360+System_Mkt_NC!$G360:$AF360,Lamp_Mkt_Repl!$G70:$AF70+System_Mkt_NC!$G360:$AF360))/SUM(IF($G$157:$AF$157&gt;=ROUND(IF((J$157-Sys_Repl_Rate!J142)&lt;Tech_Specs!$C34,Tech_Specs!$C34,(J$157-Sys_Repl_Rate!J142)),0),IF($G$157:$AF$157&lt;=J$157,IF(Tech_Specs!$K34="lamp",System_Mkt_Repl!$F360:$AE360+System_Mkt_NC!$G360:$AF360,Lamp_Mkt_Repl!$G70:$AF70+System_Mkt_NC!$G360:$AF360))))))</f>
        <v>11.132959222595618</v>
      </c>
      <c r="K184" s="373">
        <f t="array" ref="K184">IF(K$157=Misc_Inputs!$D$6,$G108,IF(SUM(IF($G$157:$AF$157&gt;=ROUND(IF((K$157-Sys_Repl_Rate!K142)&lt;Tech_Specs!$C34,Tech_Specs!$C34,(K$157-Sys_Repl_Rate!K142)),0),IF($G$157:$AF$157&lt;=K$157,IF(Tech_Specs!$K34="lamp",System_Mkt_Repl!$F360:$AE360+System_Mkt_NC!$G360:$AF360,Lamp_Mkt_Repl!$G70:$AF70+System_Mkt_NC!$G360:$AF360))))=0,0,SUMPRODUCT(IF($G$157:$AF$157&gt;=ROUND(IF((K$157-Sys_Repl_Rate!K142)&lt;Tech_Specs!$C34,Tech_Specs!$C34,(K$157-Sys_Repl_Rate!K142)),0),IF($G$157:$AF$157&lt;=K$157,$G108:$AF108)),IF(Tech_Specs!$K34="lamp",System_Mkt_Repl!$F360:$AE360+System_Mkt_NC!$G360:$AF360,Lamp_Mkt_Repl!$G70:$AF70+System_Mkt_NC!$G360:$AF360))/SUM(IF($G$157:$AF$157&gt;=ROUND(IF((K$157-Sys_Repl_Rate!K142)&lt;Tech_Specs!$C34,Tech_Specs!$C34,(K$157-Sys_Repl_Rate!K142)),0),IF($G$157:$AF$157&lt;=K$157,IF(Tech_Specs!$K34="lamp",System_Mkt_Repl!$F360:$AE360+System_Mkt_NC!$G360:$AF360,Lamp_Mkt_Repl!$G70:$AF70+System_Mkt_NC!$G360:$AF360))))))</f>
        <v>11.28421846776606</v>
      </c>
      <c r="L184" s="373">
        <f t="array" ref="L184">IF(L$157=Misc_Inputs!$D$6,$G108,IF(SUM(IF($G$157:$AF$157&gt;=ROUND(IF((L$157-Sys_Repl_Rate!L142)&lt;Tech_Specs!$C34,Tech_Specs!$C34,(L$157-Sys_Repl_Rate!L142)),0),IF($G$157:$AF$157&lt;=L$157,IF(Tech_Specs!$K34="lamp",System_Mkt_Repl!$F360:$AE360+System_Mkt_NC!$G360:$AF360,Lamp_Mkt_Repl!$G70:$AF70+System_Mkt_NC!$G360:$AF360))))=0,0,SUMPRODUCT(IF($G$157:$AF$157&gt;=ROUND(IF((L$157-Sys_Repl_Rate!L142)&lt;Tech_Specs!$C34,Tech_Specs!$C34,(L$157-Sys_Repl_Rate!L142)),0),IF($G$157:$AF$157&lt;=L$157,$G108:$AF108)),IF(Tech_Specs!$K34="lamp",System_Mkt_Repl!$F360:$AE360+System_Mkt_NC!$G360:$AF360,Lamp_Mkt_Repl!$G70:$AF70+System_Mkt_NC!$G360:$AF360))/SUM(IF($G$157:$AF$157&gt;=ROUND(IF((L$157-Sys_Repl_Rate!L142)&lt;Tech_Specs!$C34,Tech_Specs!$C34,(L$157-Sys_Repl_Rate!L142)),0),IF($G$157:$AF$157&lt;=L$157,IF(Tech_Specs!$K34="lamp",System_Mkt_Repl!$F360:$AE360+System_Mkt_NC!$G360:$AF360,Lamp_Mkt_Repl!$G70:$AF70+System_Mkt_NC!$G360:$AF360))))))</f>
        <v>11.422733585863254</v>
      </c>
      <c r="M184" s="373">
        <f t="array" ref="M184">IF(M$157=Misc_Inputs!$D$6,$G108,IF(SUM(IF($G$157:$AF$157&gt;=ROUND(IF((M$157-Sys_Repl_Rate!M142)&lt;Tech_Specs!$C34,Tech_Specs!$C34,(M$157-Sys_Repl_Rate!M142)),0),IF($G$157:$AF$157&lt;=M$157,IF(Tech_Specs!$K34="lamp",System_Mkt_Repl!$F360:$AE360+System_Mkt_NC!$G360:$AF360,Lamp_Mkt_Repl!$G70:$AF70+System_Mkt_NC!$G360:$AF360))))=0,0,SUMPRODUCT(IF($G$157:$AF$157&gt;=ROUND(IF((M$157-Sys_Repl_Rate!M142)&lt;Tech_Specs!$C34,Tech_Specs!$C34,(M$157-Sys_Repl_Rate!M142)),0),IF($G$157:$AF$157&lt;=M$157,$G108:$AF108)),IF(Tech_Specs!$K34="lamp",System_Mkt_Repl!$F360:$AE360+System_Mkt_NC!$G360:$AF360,Lamp_Mkt_Repl!$G70:$AF70+System_Mkt_NC!$G360:$AF360))/SUM(IF($G$157:$AF$157&gt;=ROUND(IF((M$157-Sys_Repl_Rate!M142)&lt;Tech_Specs!$C34,Tech_Specs!$C34,(M$157-Sys_Repl_Rate!M142)),0),IF($G$157:$AF$157&lt;=M$157,IF(Tech_Specs!$K34="lamp",System_Mkt_Repl!$F360:$AE360+System_Mkt_NC!$G360:$AF360,Lamp_Mkt_Repl!$G70:$AF70+System_Mkt_NC!$G360:$AF360))))))</f>
        <v>11.536688043653351</v>
      </c>
      <c r="N184" s="373">
        <f t="array" ref="N184">IF(N$157=Misc_Inputs!$D$6,$G108,IF(SUM(IF($G$157:$AF$157&gt;=ROUND(IF((N$157-Sys_Repl_Rate!N142)&lt;Tech_Specs!$C34,Tech_Specs!$C34,(N$157-Sys_Repl_Rate!N142)),0),IF($G$157:$AF$157&lt;=N$157,IF(Tech_Specs!$K34="lamp",System_Mkt_Repl!$F360:$AE360+System_Mkt_NC!$G360:$AF360,Lamp_Mkt_Repl!$G70:$AF70+System_Mkt_NC!$G360:$AF360))))=0,0,SUMPRODUCT(IF($G$157:$AF$157&gt;=ROUND(IF((N$157-Sys_Repl_Rate!N142)&lt;Tech_Specs!$C34,Tech_Specs!$C34,(N$157-Sys_Repl_Rate!N142)),0),IF($G$157:$AF$157&lt;=N$157,$G108:$AF108)),IF(Tech_Specs!$K34="lamp",System_Mkt_Repl!$F360:$AE360+System_Mkt_NC!$G360:$AF360,Lamp_Mkt_Repl!$G70:$AF70+System_Mkt_NC!$G360:$AF360))/SUM(IF($G$157:$AF$157&gt;=ROUND(IF((N$157-Sys_Repl_Rate!N142)&lt;Tech_Specs!$C34,Tech_Specs!$C34,(N$157-Sys_Repl_Rate!N142)),0),IF($G$157:$AF$157&lt;=N$157,IF(Tech_Specs!$K34="lamp",System_Mkt_Repl!$F360:$AE360+System_Mkt_NC!$G360:$AF360,Lamp_Mkt_Repl!$G70:$AF70+System_Mkt_NC!$G360:$AF360))))))</f>
        <v>11.56418560121822</v>
      </c>
      <c r="O184" s="373">
        <f t="array" ref="O184">IF(O$157=Misc_Inputs!$D$6,$G108,IF(SUM(IF($G$157:$AF$157&gt;=ROUND(IF((O$157-Sys_Repl_Rate!O142)&lt;Tech_Specs!$C34,Tech_Specs!$C34,(O$157-Sys_Repl_Rate!O142)),0),IF($G$157:$AF$157&lt;=O$157,IF(Tech_Specs!$K34="lamp",System_Mkt_Repl!$F360:$AE360+System_Mkt_NC!$G360:$AF360,Lamp_Mkt_Repl!$G70:$AF70+System_Mkt_NC!$G360:$AF360))))=0,0,SUMPRODUCT(IF($G$157:$AF$157&gt;=ROUND(IF((O$157-Sys_Repl_Rate!O142)&lt;Tech_Specs!$C34,Tech_Specs!$C34,(O$157-Sys_Repl_Rate!O142)),0),IF($G$157:$AF$157&lt;=O$157,$G108:$AF108)),IF(Tech_Specs!$K34="lamp",System_Mkt_Repl!$F360:$AE360+System_Mkt_NC!$G360:$AF360,Lamp_Mkt_Repl!$G70:$AF70+System_Mkt_NC!$G360:$AF360))/SUM(IF($G$157:$AF$157&gt;=ROUND(IF((O$157-Sys_Repl_Rate!O142)&lt;Tech_Specs!$C34,Tech_Specs!$C34,(O$157-Sys_Repl_Rate!O142)),0),IF($G$157:$AF$157&lt;=O$157,IF(Tech_Specs!$K34="lamp",System_Mkt_Repl!$F360:$AE360+System_Mkt_NC!$G360:$AF360,Lamp_Mkt_Repl!$G70:$AF70+System_Mkt_NC!$G360:$AF360))))))</f>
        <v>11.592694432617707</v>
      </c>
      <c r="P184" s="373">
        <f t="array" ref="P184">IF(P$157=Misc_Inputs!$D$6,$G108,IF(SUM(IF($G$157:$AF$157&gt;=ROUND(IF((P$157-Sys_Repl_Rate!P142)&lt;Tech_Specs!$C34,Tech_Specs!$C34,(P$157-Sys_Repl_Rate!P142)),0),IF($G$157:$AF$157&lt;=P$157,IF(Tech_Specs!$K34="lamp",System_Mkt_Repl!$F360:$AE360+System_Mkt_NC!$G360:$AF360,Lamp_Mkt_Repl!$G70:$AF70+System_Mkt_NC!$G360:$AF360))))=0,0,SUMPRODUCT(IF($G$157:$AF$157&gt;=ROUND(IF((P$157-Sys_Repl_Rate!P142)&lt;Tech_Specs!$C34,Tech_Specs!$C34,(P$157-Sys_Repl_Rate!P142)),0),IF($G$157:$AF$157&lt;=P$157,$G108:$AF108)),IF(Tech_Specs!$K34="lamp",System_Mkt_Repl!$F360:$AE360+System_Mkt_NC!$G360:$AF360,Lamp_Mkt_Repl!$G70:$AF70+System_Mkt_NC!$G360:$AF360))/SUM(IF($G$157:$AF$157&gt;=ROUND(IF((P$157-Sys_Repl_Rate!P142)&lt;Tech_Specs!$C34,Tech_Specs!$C34,(P$157-Sys_Repl_Rate!P142)),0),IF($G$157:$AF$157&lt;=P$157,IF(Tech_Specs!$K34="lamp",System_Mkt_Repl!$F360:$AE360+System_Mkt_NC!$G360:$AF360,Lamp_Mkt_Repl!$G70:$AF70+System_Mkt_NC!$G360:$AF360))))))</f>
        <v>11.621653958558884</v>
      </c>
      <c r="Q184" s="373">
        <f t="array" ref="Q184">IF(Q$157=Misc_Inputs!$D$6,$G108,IF(SUM(IF($G$157:$AF$157&gt;=ROUND(IF((Q$157-Sys_Repl_Rate!Q142)&lt;Tech_Specs!$C34,Tech_Specs!$C34,(Q$157-Sys_Repl_Rate!Q142)),0),IF($G$157:$AF$157&lt;=Q$157,IF(Tech_Specs!$K34="lamp",System_Mkt_Repl!$F360:$AE360+System_Mkt_NC!$G360:$AF360,Lamp_Mkt_Repl!$G70:$AF70+System_Mkt_NC!$G360:$AF360))))=0,0,SUMPRODUCT(IF($G$157:$AF$157&gt;=ROUND(IF((Q$157-Sys_Repl_Rate!Q142)&lt;Tech_Specs!$C34,Tech_Specs!$C34,(Q$157-Sys_Repl_Rate!Q142)),0),IF($G$157:$AF$157&lt;=Q$157,$G108:$AF108)),IF(Tech_Specs!$K34="lamp",System_Mkt_Repl!$F360:$AE360+System_Mkt_NC!$G360:$AF360,Lamp_Mkt_Repl!$G70:$AF70+System_Mkt_NC!$G360:$AF360))/SUM(IF($G$157:$AF$157&gt;=ROUND(IF((Q$157-Sys_Repl_Rate!Q142)&lt;Tech_Specs!$C34,Tech_Specs!$C34,(Q$157-Sys_Repl_Rate!Q142)),0),IF($G$157:$AF$157&lt;=Q$157,IF(Tech_Specs!$K34="lamp",System_Mkt_Repl!$F360:$AE360+System_Mkt_NC!$G360:$AF360,Lamp_Mkt_Repl!$G70:$AF70+System_Mkt_NC!$G360:$AF360))))))</f>
        <v>11.650860430756126</v>
      </c>
      <c r="R184" s="373">
        <f t="array" ref="R184">IF(R$157=Misc_Inputs!$D$6,$G108,IF(SUM(IF($G$157:$AF$157&gt;=ROUND(IF((R$157-Sys_Repl_Rate!R142)&lt;Tech_Specs!$C34,Tech_Specs!$C34,(R$157-Sys_Repl_Rate!R142)),0),IF($G$157:$AF$157&lt;=R$157,IF(Tech_Specs!$K34="lamp",System_Mkt_Repl!$F360:$AE360+System_Mkt_NC!$G360:$AF360,Lamp_Mkt_Repl!$G70:$AF70+System_Mkt_NC!$G360:$AF360))))=0,0,SUMPRODUCT(IF($G$157:$AF$157&gt;=ROUND(IF((R$157-Sys_Repl_Rate!R142)&lt;Tech_Specs!$C34,Tech_Specs!$C34,(R$157-Sys_Repl_Rate!R142)),0),IF($G$157:$AF$157&lt;=R$157,$G108:$AF108)),IF(Tech_Specs!$K34="lamp",System_Mkt_Repl!$F360:$AE360+System_Mkt_NC!$G360:$AF360,Lamp_Mkt_Repl!$G70:$AF70+System_Mkt_NC!$G360:$AF360))/SUM(IF($G$157:$AF$157&gt;=ROUND(IF((R$157-Sys_Repl_Rate!R142)&lt;Tech_Specs!$C34,Tech_Specs!$C34,(R$157-Sys_Repl_Rate!R142)),0),IF($G$157:$AF$157&lt;=R$157,IF(Tech_Specs!$K34="lamp",System_Mkt_Repl!$F360:$AE360+System_Mkt_NC!$G360:$AF360,Lamp_Mkt_Repl!$G70:$AF70+System_Mkt_NC!$G360:$AF360))))))</f>
        <v>11.67999062948587</v>
      </c>
      <c r="S184" s="373">
        <f t="array" ref="S184">IF(S$157=Misc_Inputs!$D$6,$G108,IF(SUM(IF($G$157:$AF$157&gt;=ROUND(IF((S$157-Sys_Repl_Rate!S142)&lt;Tech_Specs!$C34,Tech_Specs!$C34,(S$157-Sys_Repl_Rate!S142)),0),IF($G$157:$AF$157&lt;=S$157,IF(Tech_Specs!$K34="lamp",System_Mkt_Repl!$F360:$AE360+System_Mkt_NC!$G360:$AF360,Lamp_Mkt_Repl!$G70:$AF70+System_Mkt_NC!$G360:$AF360))))=0,0,SUMPRODUCT(IF($G$157:$AF$157&gt;=ROUND(IF((S$157-Sys_Repl_Rate!S142)&lt;Tech_Specs!$C34,Tech_Specs!$C34,(S$157-Sys_Repl_Rate!S142)),0),IF($G$157:$AF$157&lt;=S$157,$G108:$AF108)),IF(Tech_Specs!$K34="lamp",System_Mkt_Repl!$F360:$AE360+System_Mkt_NC!$G360:$AF360,Lamp_Mkt_Repl!$G70:$AF70+System_Mkt_NC!$G360:$AF360))/SUM(IF($G$157:$AF$157&gt;=ROUND(IF((S$157-Sys_Repl_Rate!S142)&lt;Tech_Specs!$C34,Tech_Specs!$C34,(S$157-Sys_Repl_Rate!S142)),0),IF($G$157:$AF$157&lt;=S$157,IF(Tech_Specs!$K34="lamp",System_Mkt_Repl!$F360:$AE360+System_Mkt_NC!$G360:$AF360,Lamp_Mkt_Repl!$G70:$AF70+System_Mkt_NC!$G360:$AF360))))))</f>
        <v>11.709267773043956</v>
      </c>
      <c r="T184" s="373">
        <f t="array" ref="T184">IF(T$157=Misc_Inputs!$D$6,$G108,IF(SUM(IF($G$157:$AF$157&gt;=ROUND(IF((T$157-Sys_Repl_Rate!T142)&lt;Tech_Specs!$C34,Tech_Specs!$C34,(T$157-Sys_Repl_Rate!T142)),0),IF($G$157:$AF$157&lt;=T$157,IF(Tech_Specs!$K34="lamp",System_Mkt_Repl!$F360:$AE360+System_Mkt_NC!$G360:$AF360,Lamp_Mkt_Repl!$G70:$AF70+System_Mkt_NC!$G360:$AF360))))=0,0,SUMPRODUCT(IF($G$157:$AF$157&gt;=ROUND(IF((T$157-Sys_Repl_Rate!T142)&lt;Tech_Specs!$C34,Tech_Specs!$C34,(T$157-Sys_Repl_Rate!T142)),0),IF($G$157:$AF$157&lt;=T$157,$G108:$AF108)),IF(Tech_Specs!$K34="lamp",System_Mkt_Repl!$F360:$AE360+System_Mkt_NC!$G360:$AF360,Lamp_Mkt_Repl!$G70:$AF70+System_Mkt_NC!$G360:$AF360))/SUM(IF($G$157:$AF$157&gt;=ROUND(IF((T$157-Sys_Repl_Rate!T142)&lt;Tech_Specs!$C34,Tech_Specs!$C34,(T$157-Sys_Repl_Rate!T142)),0),IF($G$157:$AF$157&lt;=T$157,IF(Tech_Specs!$K34="lamp",System_Mkt_Repl!$F360:$AE360+System_Mkt_NC!$G360:$AF360,Lamp_Mkt_Repl!$G70:$AF70+System_Mkt_NC!$G360:$AF360))))))</f>
        <v>11.73876313115116</v>
      </c>
      <c r="U184" s="373">
        <f t="array" ref="U184">IF(U$157=Misc_Inputs!$D$6,$G108,IF(SUM(IF($G$157:$AF$157&gt;=ROUND(IF((U$157-Sys_Repl_Rate!U142)&lt;Tech_Specs!$C34,Tech_Specs!$C34,(U$157-Sys_Repl_Rate!U142)),0),IF($G$157:$AF$157&lt;=U$157,IF(Tech_Specs!$K34="lamp",System_Mkt_Repl!$F360:$AE360+System_Mkt_NC!$G360:$AF360,Lamp_Mkt_Repl!$G70:$AF70+System_Mkt_NC!$G360:$AF360))))=0,0,SUMPRODUCT(IF($G$157:$AF$157&gt;=ROUND(IF((U$157-Sys_Repl_Rate!U142)&lt;Tech_Specs!$C34,Tech_Specs!$C34,(U$157-Sys_Repl_Rate!U142)),0),IF($G$157:$AF$157&lt;=U$157,$G108:$AF108)),IF(Tech_Specs!$K34="lamp",System_Mkt_Repl!$F360:$AE360+System_Mkt_NC!$G360:$AF360,Lamp_Mkt_Repl!$G70:$AF70+System_Mkt_NC!$G360:$AF360))/SUM(IF($G$157:$AF$157&gt;=ROUND(IF((U$157-Sys_Repl_Rate!U142)&lt;Tech_Specs!$C34,Tech_Specs!$C34,(U$157-Sys_Repl_Rate!U142)),0),IF($G$157:$AF$157&lt;=U$157,IF(Tech_Specs!$K34="lamp",System_Mkt_Repl!$F360:$AE360+System_Mkt_NC!$G360:$AF360,Lamp_Mkt_Repl!$G70:$AF70+System_Mkt_NC!$G360:$AF360))))))</f>
        <v>11.768254008393153</v>
      </c>
      <c r="V184" s="373">
        <f t="array" ref="V184">IF(V$157=Misc_Inputs!$D$6,$G108,IF(SUM(IF($G$157:$AF$157&gt;=ROUND(IF((V$157-Sys_Repl_Rate!V142)&lt;Tech_Specs!$C34,Tech_Specs!$C34,(V$157-Sys_Repl_Rate!V142)),0),IF($G$157:$AF$157&lt;=V$157,IF(Tech_Specs!$K34="lamp",System_Mkt_Repl!$F360:$AE360+System_Mkt_NC!$G360:$AF360,Lamp_Mkt_Repl!$G70:$AF70+System_Mkt_NC!$G360:$AF360))))=0,0,SUMPRODUCT(IF($G$157:$AF$157&gt;=ROUND(IF((V$157-Sys_Repl_Rate!V142)&lt;Tech_Specs!$C34,Tech_Specs!$C34,(V$157-Sys_Repl_Rate!V142)),0),IF($G$157:$AF$157&lt;=V$157,$G108:$AF108)),IF(Tech_Specs!$K34="lamp",System_Mkt_Repl!$F360:$AE360+System_Mkt_NC!$G360:$AF360,Lamp_Mkt_Repl!$G70:$AF70+System_Mkt_NC!$G360:$AF360))/SUM(IF($G$157:$AF$157&gt;=ROUND(IF((V$157-Sys_Repl_Rate!V142)&lt;Tech_Specs!$C34,Tech_Specs!$C34,(V$157-Sys_Repl_Rate!V142)),0),IF($G$157:$AF$157&lt;=V$157,IF(Tech_Specs!$K34="lamp",System_Mkt_Repl!$F360:$AE360+System_Mkt_NC!$G360:$AF360,Lamp_Mkt_Repl!$G70:$AF70+System_Mkt_NC!$G360:$AF360))))))</f>
        <v>11.797839409348695</v>
      </c>
      <c r="W184" s="373">
        <f t="array" ref="W184">IF(W$157=Misc_Inputs!$D$6,$G108,IF(SUM(IF($G$157:$AF$157&gt;=ROUND(IF((W$157-Sys_Repl_Rate!W142)&lt;Tech_Specs!$C34,Tech_Specs!$C34,(W$157-Sys_Repl_Rate!W142)),0),IF($G$157:$AF$157&lt;=W$157,IF(Tech_Specs!$K34="lamp",System_Mkt_Repl!$F360:$AE360+System_Mkt_NC!$G360:$AF360,Lamp_Mkt_Repl!$G70:$AF70+System_Mkt_NC!$G360:$AF360))))=0,0,SUMPRODUCT(IF($G$157:$AF$157&gt;=ROUND(IF((W$157-Sys_Repl_Rate!W142)&lt;Tech_Specs!$C34,Tech_Specs!$C34,(W$157-Sys_Repl_Rate!W142)),0),IF($G$157:$AF$157&lt;=W$157,$G108:$AF108)),IF(Tech_Specs!$K34="lamp",System_Mkt_Repl!$F360:$AE360+System_Mkt_NC!$G360:$AF360,Lamp_Mkt_Repl!$G70:$AF70+System_Mkt_NC!$G360:$AF360))/SUM(IF($G$157:$AF$157&gt;=ROUND(IF((W$157-Sys_Repl_Rate!W142)&lt;Tech_Specs!$C34,Tech_Specs!$C34,(W$157-Sys_Repl_Rate!W142)),0),IF($G$157:$AF$157&lt;=W$157,IF(Tech_Specs!$K34="lamp",System_Mkt_Repl!$F360:$AE360+System_Mkt_NC!$G360:$AF360,Lamp_Mkt_Repl!$G70:$AF70+System_Mkt_NC!$G360:$AF360))))))</f>
        <v>11.827541152632962</v>
      </c>
      <c r="X184" s="373">
        <f t="array" ref="X184">IF(X$157=Misc_Inputs!$D$6,$G108,IF(SUM(IF($G$157:$AF$157&gt;=ROUND(IF((X$157-Sys_Repl_Rate!X142)&lt;Tech_Specs!$C34,Tech_Specs!$C34,(X$157-Sys_Repl_Rate!X142)),0),IF($G$157:$AF$157&lt;=X$157,IF(Tech_Specs!$K34="lamp",System_Mkt_Repl!$F360:$AE360+System_Mkt_NC!$G360:$AF360,Lamp_Mkt_Repl!$G70:$AF70+System_Mkt_NC!$G360:$AF360))))=0,0,SUMPRODUCT(IF($G$157:$AF$157&gt;=ROUND(IF((X$157-Sys_Repl_Rate!X142)&lt;Tech_Specs!$C34,Tech_Specs!$C34,(X$157-Sys_Repl_Rate!X142)),0),IF($G$157:$AF$157&lt;=X$157,$G108:$AF108)),IF(Tech_Specs!$K34="lamp",System_Mkt_Repl!$F360:$AE360+System_Mkt_NC!$G360:$AF360,Lamp_Mkt_Repl!$G70:$AF70+System_Mkt_NC!$G360:$AF360))/SUM(IF($G$157:$AF$157&gt;=ROUND(IF((X$157-Sys_Repl_Rate!X142)&lt;Tech_Specs!$C34,Tech_Specs!$C34,(X$157-Sys_Repl_Rate!X142)),0),IF($G$157:$AF$157&lt;=X$157,IF(Tech_Specs!$K34="lamp",System_Mkt_Repl!$F360:$AE360+System_Mkt_NC!$G360:$AF360,Lamp_Mkt_Repl!$G70:$AF70+System_Mkt_NC!$G360:$AF360))))))</f>
        <v>11.857176473562623</v>
      </c>
      <c r="Y184" s="373">
        <f t="array" ref="Y184">IF(Y$157=Misc_Inputs!$D$6,$G108,IF(SUM(IF($G$157:$AF$157&gt;=ROUND(IF((Y$157-Sys_Repl_Rate!Y142)&lt;Tech_Specs!$C34,Tech_Specs!$C34,(Y$157-Sys_Repl_Rate!Y142)),0),IF($G$157:$AF$157&lt;=Y$157,IF(Tech_Specs!$K34="lamp",System_Mkt_Repl!$F360:$AE360+System_Mkt_NC!$G360:$AF360,Lamp_Mkt_Repl!$G70:$AF70+System_Mkt_NC!$G360:$AF360))))=0,0,SUMPRODUCT(IF($G$157:$AF$157&gt;=ROUND(IF((Y$157-Sys_Repl_Rate!Y142)&lt;Tech_Specs!$C34,Tech_Specs!$C34,(Y$157-Sys_Repl_Rate!Y142)),0),IF($G$157:$AF$157&lt;=Y$157,$G108:$AF108)),IF(Tech_Specs!$K34="lamp",System_Mkt_Repl!$F360:$AE360+System_Mkt_NC!$G360:$AF360,Lamp_Mkt_Repl!$G70:$AF70+System_Mkt_NC!$G360:$AF360))/SUM(IF($G$157:$AF$157&gt;=ROUND(IF((Y$157-Sys_Repl_Rate!Y142)&lt;Tech_Specs!$C34,Tech_Specs!$C34,(Y$157-Sys_Repl_Rate!Y142)),0),IF($G$157:$AF$157&lt;=Y$157,IF(Tech_Specs!$K34="lamp",System_Mkt_Repl!$F360:$AE360+System_Mkt_NC!$G360:$AF360,Lamp_Mkt_Repl!$G70:$AF70+System_Mkt_NC!$G360:$AF360))))))</f>
        <v>11.886878026160794</v>
      </c>
      <c r="Z184" s="373">
        <f t="array" ref="Z184">IF(Z$157=Misc_Inputs!$D$6,$G108,IF(SUM(IF($G$157:$AF$157&gt;=ROUND(IF((Z$157-Sys_Repl_Rate!Z142)&lt;Tech_Specs!$C34,Tech_Specs!$C34,(Z$157-Sys_Repl_Rate!Z142)),0),IF($G$157:$AF$157&lt;=Z$157,IF(Tech_Specs!$K34="lamp",System_Mkt_Repl!$F360:$AE360+System_Mkt_NC!$G360:$AF360,Lamp_Mkt_Repl!$G70:$AF70+System_Mkt_NC!$G360:$AF360))))=0,0,SUMPRODUCT(IF($G$157:$AF$157&gt;=ROUND(IF((Z$157-Sys_Repl_Rate!Z142)&lt;Tech_Specs!$C34,Tech_Specs!$C34,(Z$157-Sys_Repl_Rate!Z142)),0),IF($G$157:$AF$157&lt;=Z$157,$G108:$AF108)),IF(Tech_Specs!$K34="lamp",System_Mkt_Repl!$F360:$AE360+System_Mkt_NC!$G360:$AF360,Lamp_Mkt_Repl!$G70:$AF70+System_Mkt_NC!$G360:$AF360))/SUM(IF($G$157:$AF$157&gt;=ROUND(IF((Z$157-Sys_Repl_Rate!Z142)&lt;Tech_Specs!$C34,Tech_Specs!$C34,(Z$157-Sys_Repl_Rate!Z142)),0),IF($G$157:$AF$157&lt;=Z$157,IF(Tech_Specs!$K34="lamp",System_Mkt_Repl!$F360:$AE360+System_Mkt_NC!$G360:$AF360,Lamp_Mkt_Repl!$G70:$AF70+System_Mkt_NC!$G360:$AF360))))))</f>
        <v>11.916673046258028</v>
      </c>
      <c r="AA184" s="373">
        <f t="array" ref="AA184">IF(AA$157=Misc_Inputs!$D$6,$G108,IF(SUM(IF($G$157:$AF$157&gt;=ROUND(IF((AA$157-Sys_Repl_Rate!AA142)&lt;Tech_Specs!$C34,Tech_Specs!$C34,(AA$157-Sys_Repl_Rate!AA142)),0),IF($G$157:$AF$157&lt;=AA$157,IF(Tech_Specs!$K34="lamp",System_Mkt_Repl!$F360:$AE360+System_Mkt_NC!$G360:$AF360,Lamp_Mkt_Repl!$G70:$AF70+System_Mkt_NC!$G360:$AF360))))=0,0,SUMPRODUCT(IF($G$157:$AF$157&gt;=ROUND(IF((AA$157-Sys_Repl_Rate!AA142)&lt;Tech_Specs!$C34,Tech_Specs!$C34,(AA$157-Sys_Repl_Rate!AA142)),0),IF($G$157:$AF$157&lt;=AA$157,$G108:$AF108)),IF(Tech_Specs!$K34="lamp",System_Mkt_Repl!$F360:$AE360+System_Mkt_NC!$G360:$AF360,Lamp_Mkt_Repl!$G70:$AF70+System_Mkt_NC!$G360:$AF360))/SUM(IF($G$157:$AF$157&gt;=ROUND(IF((AA$157-Sys_Repl_Rate!AA142)&lt;Tech_Specs!$C34,Tech_Specs!$C34,(AA$157-Sys_Repl_Rate!AA142)),0),IF($G$157:$AF$157&lt;=AA$157,IF(Tech_Specs!$K34="lamp",System_Mkt_Repl!$F360:$AE360+System_Mkt_NC!$G360:$AF360,Lamp_Mkt_Repl!$G70:$AF70+System_Mkt_NC!$G360:$AF360))))))</f>
        <v>11.946618938541656</v>
      </c>
      <c r="AB184" s="373">
        <f t="array" ref="AB184">IF(AB$157=Misc_Inputs!$D$6,$G108,IF(SUM(IF($G$157:$AF$157&gt;=ROUND(IF((AB$157-Sys_Repl_Rate!AB142)&lt;Tech_Specs!$C34,Tech_Specs!$C34,(AB$157-Sys_Repl_Rate!AB142)),0),IF($G$157:$AF$157&lt;=AB$157,IF(Tech_Specs!$K34="lamp",System_Mkt_Repl!$F360:$AE360+System_Mkt_NC!$G360:$AF360,Lamp_Mkt_Repl!$G70:$AF70+System_Mkt_NC!$G360:$AF360))))=0,0,SUMPRODUCT(IF($G$157:$AF$157&gt;=ROUND(IF((AB$157-Sys_Repl_Rate!AB142)&lt;Tech_Specs!$C34,Tech_Specs!$C34,(AB$157-Sys_Repl_Rate!AB142)),0),IF($G$157:$AF$157&lt;=AB$157,$G108:$AF108)),IF(Tech_Specs!$K34="lamp",System_Mkt_Repl!$F360:$AE360+System_Mkt_NC!$G360:$AF360,Lamp_Mkt_Repl!$G70:$AF70+System_Mkt_NC!$G360:$AF360))/SUM(IF($G$157:$AF$157&gt;=ROUND(IF((AB$157-Sys_Repl_Rate!AB142)&lt;Tech_Specs!$C34,Tech_Specs!$C34,(AB$157-Sys_Repl_Rate!AB142)),0),IF($G$157:$AF$157&lt;=AB$157,IF(Tech_Specs!$K34="lamp",System_Mkt_Repl!$F360:$AE360+System_Mkt_NC!$G360:$AF360,Lamp_Mkt_Repl!$G70:$AF70+System_Mkt_NC!$G360:$AF360))))))</f>
        <v>11.976621452273527</v>
      </c>
      <c r="AC184" s="373">
        <f t="array" ref="AC184">IF(AC$157=Misc_Inputs!$D$6,$G108,IF(SUM(IF($G$157:$AF$157&gt;=ROUND(IF((AC$157-Sys_Repl_Rate!AC142)&lt;Tech_Specs!$C34,Tech_Specs!$C34,(AC$157-Sys_Repl_Rate!AC142)),0),IF($G$157:$AF$157&lt;=AC$157,IF(Tech_Specs!$K34="lamp",System_Mkt_Repl!$F360:$AE360+System_Mkt_NC!$G360:$AF360,Lamp_Mkt_Repl!$G70:$AF70+System_Mkt_NC!$G360:$AF360))))=0,0,SUMPRODUCT(IF($G$157:$AF$157&gt;=ROUND(IF((AC$157-Sys_Repl_Rate!AC142)&lt;Tech_Specs!$C34,Tech_Specs!$C34,(AC$157-Sys_Repl_Rate!AC142)),0),IF($G$157:$AF$157&lt;=AC$157,$G108:$AF108)),IF(Tech_Specs!$K34="lamp",System_Mkt_Repl!$F360:$AE360+System_Mkt_NC!$G360:$AF360,Lamp_Mkt_Repl!$G70:$AF70+System_Mkt_NC!$G360:$AF360))/SUM(IF($G$157:$AF$157&gt;=ROUND(IF((AC$157-Sys_Repl_Rate!AC142)&lt;Tech_Specs!$C34,Tech_Specs!$C34,(AC$157-Sys_Repl_Rate!AC142)),0),IF($G$157:$AF$157&lt;=AC$157,IF(Tech_Specs!$K34="lamp",System_Mkt_Repl!$F360:$AE360+System_Mkt_NC!$G360:$AF360,Lamp_Mkt_Repl!$G70:$AF70+System_Mkt_NC!$G360:$AF360))))))</f>
        <v>12.006598080272896</v>
      </c>
      <c r="AD184" s="373">
        <f t="array" ref="AD184">IF(AD$157=Misc_Inputs!$D$6,$G108,IF(SUM(IF($G$157:$AF$157&gt;=ROUND(IF((AD$157-Sys_Repl_Rate!AD142)&lt;Tech_Specs!$C34,Tech_Specs!$C34,(AD$157-Sys_Repl_Rate!AD142)),0),IF($G$157:$AF$157&lt;=AD$157,IF(Tech_Specs!$K34="lamp",System_Mkt_Repl!$F360:$AE360+System_Mkt_NC!$G360:$AF360,Lamp_Mkt_Repl!$G70:$AF70+System_Mkt_NC!$G360:$AF360))))=0,0,SUMPRODUCT(IF($G$157:$AF$157&gt;=ROUND(IF((AD$157-Sys_Repl_Rate!AD142)&lt;Tech_Specs!$C34,Tech_Specs!$C34,(AD$157-Sys_Repl_Rate!AD142)),0),IF($G$157:$AF$157&lt;=AD$157,$G108:$AF108)),IF(Tech_Specs!$K34="lamp",System_Mkt_Repl!$F360:$AE360+System_Mkt_NC!$G360:$AF360,Lamp_Mkt_Repl!$G70:$AF70+System_Mkt_NC!$G360:$AF360))/SUM(IF($G$157:$AF$157&gt;=ROUND(IF((AD$157-Sys_Repl_Rate!AD142)&lt;Tech_Specs!$C34,Tech_Specs!$C34,(AD$157-Sys_Repl_Rate!AD142)),0),IF($G$157:$AF$157&lt;=AD$157,IF(Tech_Specs!$K34="lamp",System_Mkt_Repl!$F360:$AE360+System_Mkt_NC!$G360:$AF360,Lamp_Mkt_Repl!$G70:$AF70+System_Mkt_NC!$G360:$AF360))))))</f>
        <v>12.036639549325193</v>
      </c>
      <c r="AE184" s="373">
        <f t="array" ref="AE184">IF(AE$157=Misc_Inputs!$D$6,$G108,IF(SUM(IF($G$157:$AF$157&gt;=ROUND(IF((AE$157-Sys_Repl_Rate!AE142)&lt;Tech_Specs!$C34,Tech_Specs!$C34,(AE$157-Sys_Repl_Rate!AE142)),0),IF($G$157:$AF$157&lt;=AE$157,IF(Tech_Specs!$K34="lamp",System_Mkt_Repl!$F360:$AE360+System_Mkt_NC!$G360:$AF360,Lamp_Mkt_Repl!$G70:$AF70+System_Mkt_NC!$G360:$AF360))))=0,0,SUMPRODUCT(IF($G$157:$AF$157&gt;=ROUND(IF((AE$157-Sys_Repl_Rate!AE142)&lt;Tech_Specs!$C34,Tech_Specs!$C34,(AE$157-Sys_Repl_Rate!AE142)),0),IF($G$157:$AF$157&lt;=AE$157,$G108:$AF108)),IF(Tech_Specs!$K34="lamp",System_Mkt_Repl!$F360:$AE360+System_Mkt_NC!$G360:$AF360,Lamp_Mkt_Repl!$G70:$AF70+System_Mkt_NC!$G360:$AF360))/SUM(IF($G$157:$AF$157&gt;=ROUND(IF((AE$157-Sys_Repl_Rate!AE142)&lt;Tech_Specs!$C34,Tech_Specs!$C34,(AE$157-Sys_Repl_Rate!AE142)),0),IF($G$157:$AF$157&lt;=AE$157,IF(Tech_Specs!$K34="lamp",System_Mkt_Repl!$F360:$AE360+System_Mkt_NC!$G360:$AF360,Lamp_Mkt_Repl!$G70:$AF70+System_Mkt_NC!$G360:$AF360))))))</f>
        <v>12.066770746974134</v>
      </c>
      <c r="AF184" s="373">
        <f t="array" ref="AF184">IF(AF$157=Misc_Inputs!$D$6,$G108,IF(SUM(IF($G$157:$AF$157&gt;=ROUND(IF((AF$157-Sys_Repl_Rate!AF142)&lt;Tech_Specs!$C34,Tech_Specs!$C34,(AF$157-Sys_Repl_Rate!AF142)),0),IF($G$157:$AF$157&lt;=AF$157,IF(Tech_Specs!$K34="lamp",System_Mkt_Repl!$F360:$AE360+System_Mkt_NC!$G360:$AF360,Lamp_Mkt_Repl!$G70:$AF70+System_Mkt_NC!$G360:$AF360))))=0,0,SUMPRODUCT(IF($G$157:$AF$157&gt;=ROUND(IF((AF$157-Sys_Repl_Rate!AF142)&lt;Tech_Specs!$C34,Tech_Specs!$C34,(AF$157-Sys_Repl_Rate!AF142)),0),IF($G$157:$AF$157&lt;=AF$157,$G108:$AF108)),IF(Tech_Specs!$K34="lamp",System_Mkt_Repl!$F360:$AE360+System_Mkt_NC!$G360:$AF360,Lamp_Mkt_Repl!$G70:$AF70+System_Mkt_NC!$G360:$AF360))/SUM(IF($G$157:$AF$157&gt;=ROUND(IF((AF$157-Sys_Repl_Rate!AF142)&lt;Tech_Specs!$C34,Tech_Specs!$C34,(AF$157-Sys_Repl_Rate!AF142)),0),IF($G$157:$AF$157&lt;=AF$157,IF(Tech_Specs!$K34="lamp",System_Mkt_Repl!$F360:$AE360+System_Mkt_NC!$G360:$AF360,Lamp_Mkt_Repl!$G70:$AF70+System_Mkt_NC!$G360:$AF360))))))</f>
        <v>12.096874485927399</v>
      </c>
    </row>
    <row r="185" spans="1:32" s="101" customFormat="1" ht="12.75" x14ac:dyDescent="0.2">
      <c r="A185" s="81"/>
      <c r="B185" s="101" t="s">
        <v>50</v>
      </c>
      <c r="C185" s="81"/>
      <c r="D185" s="550"/>
      <c r="E185" s="550"/>
      <c r="F185" s="550"/>
      <c r="G185" s="373">
        <f t="array" ref="G185">IF(G$157=Misc_Inputs!$D$6,$G109,IF(SUM(IF($G$157:$AF$157&gt;=ROUND(IF((G$157-Sys_Repl_Rate!G143)&lt;Tech_Specs!$C35,Tech_Specs!$C35,(G$157-Sys_Repl_Rate!G143)),0),IF($G$157:$AF$157&lt;=G$157,IF(Tech_Specs!$K35="lamp",System_Mkt_Repl!$F361:$AE361+System_Mkt_NC!$G361:$AF361,Lamp_Mkt_Repl!$G71:$AF71+System_Mkt_NC!$G361:$AF361))))=0,0,SUMPRODUCT(IF($G$157:$AF$157&gt;=ROUND(IF((G$157-Sys_Repl_Rate!G143)&lt;Tech_Specs!$C35,Tech_Specs!$C35,(G$157-Sys_Repl_Rate!G143)),0),IF($G$157:$AF$157&lt;=G$157,$G109:$AF109)),IF(Tech_Specs!$K35="lamp",System_Mkt_Repl!$F361:$AE361+System_Mkt_NC!$G361:$AF361,Lamp_Mkt_Repl!$G71:$AF71+System_Mkt_NC!$G361:$AF361))/SUM(IF($G$157:$AF$157&gt;=ROUND(IF((G$157-Sys_Repl_Rate!G143)&lt;Tech_Specs!$C35,Tech_Specs!$C35,(G$157-Sys_Repl_Rate!G143)),0),IF($G$157:$AF$157&lt;=G$157,IF(Tech_Specs!$K35="lamp",System_Mkt_Repl!$F361:$AE361+System_Mkt_NC!$G361:$AF361,Lamp_Mkt_Repl!$G71:$AF71+System_Mkt_NC!$G361:$AF361))))))</f>
        <v>14.799999999999997</v>
      </c>
      <c r="H185" s="373">
        <f t="array" ref="H185">IF(H$157=Misc_Inputs!$D$6,$G109,IF(SUM(IF($G$157:$AF$157&gt;=ROUND(IF((H$157-Sys_Repl_Rate!H143)&lt;Tech_Specs!$C35,Tech_Specs!$C35,(H$157-Sys_Repl_Rate!H143)),0),IF($G$157:$AF$157&lt;=H$157,IF(Tech_Specs!$K35="lamp",System_Mkt_Repl!$F361:$AE361+System_Mkt_NC!$G361:$AF361,Lamp_Mkt_Repl!$G71:$AF71+System_Mkt_NC!$G361:$AF361))))=0,0,SUMPRODUCT(IF($G$157:$AF$157&gt;=ROUND(IF((H$157-Sys_Repl_Rate!H143)&lt;Tech_Specs!$C35,Tech_Specs!$C35,(H$157-Sys_Repl_Rate!H143)),0),IF($G$157:$AF$157&lt;=H$157,$G109:$AF109)),IF(Tech_Specs!$K35="lamp",System_Mkt_Repl!$F361:$AE361+System_Mkt_NC!$G361:$AF361,Lamp_Mkt_Repl!$G71:$AF71+System_Mkt_NC!$G361:$AF361))/SUM(IF($G$157:$AF$157&gt;=ROUND(IF((H$157-Sys_Repl_Rate!H143)&lt;Tech_Specs!$C35,Tech_Specs!$C35,(H$157-Sys_Repl_Rate!H143)),0),IF($G$157:$AF$157&lt;=H$157,IF(Tech_Specs!$K35="lamp",System_Mkt_Repl!$F361:$AE361+System_Mkt_NC!$G361:$AF361,Lamp_Mkt_Repl!$G71:$AF71+System_Mkt_NC!$G361:$AF361))))))</f>
        <v>14.837000000000003</v>
      </c>
      <c r="I185" s="373">
        <f t="array" ref="I185">IF(I$157=Misc_Inputs!$D$6,$G109,IF(SUM(IF($G$157:$AF$157&gt;=ROUND(IF((I$157-Sys_Repl_Rate!I143)&lt;Tech_Specs!$C35,Tech_Specs!$C35,(I$157-Sys_Repl_Rate!I143)),0),IF($G$157:$AF$157&lt;=I$157,IF(Tech_Specs!$K35="lamp",System_Mkt_Repl!$F361:$AE361+System_Mkt_NC!$G361:$AF361,Lamp_Mkt_Repl!$G71:$AF71+System_Mkt_NC!$G361:$AF361))))=0,0,SUMPRODUCT(IF($G$157:$AF$157&gt;=ROUND(IF((I$157-Sys_Repl_Rate!I143)&lt;Tech_Specs!$C35,Tech_Specs!$C35,(I$157-Sys_Repl_Rate!I143)),0),IF($G$157:$AF$157&lt;=I$157,$G109:$AF109)),IF(Tech_Specs!$K35="lamp",System_Mkt_Repl!$F361:$AE361+System_Mkt_NC!$G361:$AF361,Lamp_Mkt_Repl!$G71:$AF71+System_Mkt_NC!$G361:$AF361))/SUM(IF($G$157:$AF$157&gt;=ROUND(IF((I$157-Sys_Repl_Rate!I143)&lt;Tech_Specs!$C35,Tech_Specs!$C35,(I$157-Sys_Repl_Rate!I143)),0),IF($G$157:$AF$157&lt;=I$157,IF(Tech_Specs!$K35="lamp",System_Mkt_Repl!$F361:$AE361+System_Mkt_NC!$G361:$AF361,Lamp_Mkt_Repl!$G71:$AF71+System_Mkt_NC!$G361:$AF361))))))</f>
        <v>14.854258659157743</v>
      </c>
      <c r="J185" s="373">
        <f t="array" ref="J185">IF(J$157=Misc_Inputs!$D$6,$G109,IF(SUM(IF($G$157:$AF$157&gt;=ROUND(IF((J$157-Sys_Repl_Rate!J143)&lt;Tech_Specs!$C35,Tech_Specs!$C35,(J$157-Sys_Repl_Rate!J143)),0),IF($G$157:$AF$157&lt;=J$157,IF(Tech_Specs!$K35="lamp",System_Mkt_Repl!$F361:$AE361+System_Mkt_NC!$G361:$AF361,Lamp_Mkt_Repl!$G71:$AF71+System_Mkt_NC!$G361:$AF361))))=0,0,SUMPRODUCT(IF($G$157:$AF$157&gt;=ROUND(IF((J$157-Sys_Repl_Rate!J143)&lt;Tech_Specs!$C35,Tech_Specs!$C35,(J$157-Sys_Repl_Rate!J143)),0),IF($G$157:$AF$157&lt;=J$157,$G109:$AF109)),IF(Tech_Specs!$K35="lamp",System_Mkt_Repl!$F361:$AE361+System_Mkt_NC!$G361:$AF361,Lamp_Mkt_Repl!$G71:$AF71+System_Mkt_NC!$G361:$AF361))/SUM(IF($G$157:$AF$157&gt;=ROUND(IF((J$157-Sys_Repl_Rate!J143)&lt;Tech_Specs!$C35,Tech_Specs!$C35,(J$157-Sys_Repl_Rate!J143)),0),IF($G$157:$AF$157&lt;=J$157,IF(Tech_Specs!$K35="lamp",System_Mkt_Repl!$F361:$AE361+System_Mkt_NC!$G361:$AF361,Lamp_Mkt_Repl!$G71:$AF71+System_Mkt_NC!$G361:$AF361))))))</f>
        <v>14.869706686032028</v>
      </c>
      <c r="K185" s="373">
        <f t="array" ref="K185">IF(K$157=Misc_Inputs!$D$6,$G109,IF(SUM(IF($G$157:$AF$157&gt;=ROUND(IF((K$157-Sys_Repl_Rate!K143)&lt;Tech_Specs!$C35,Tech_Specs!$C35,(K$157-Sys_Repl_Rate!K143)),0),IF($G$157:$AF$157&lt;=K$157,IF(Tech_Specs!$K35="lamp",System_Mkt_Repl!$F361:$AE361+System_Mkt_NC!$G361:$AF361,Lamp_Mkt_Repl!$G71:$AF71+System_Mkt_NC!$G361:$AF361))))=0,0,SUMPRODUCT(IF($G$157:$AF$157&gt;=ROUND(IF((K$157-Sys_Repl_Rate!K143)&lt;Tech_Specs!$C35,Tech_Specs!$C35,(K$157-Sys_Repl_Rate!K143)),0),IF($G$157:$AF$157&lt;=K$157,$G109:$AF109)),IF(Tech_Specs!$K35="lamp",System_Mkt_Repl!$F361:$AE361+System_Mkt_NC!$G361:$AF361,Lamp_Mkt_Repl!$G71:$AF71+System_Mkt_NC!$G361:$AF361))/SUM(IF($G$157:$AF$157&gt;=ROUND(IF((K$157-Sys_Repl_Rate!K143)&lt;Tech_Specs!$C35,Tech_Specs!$C35,(K$157-Sys_Repl_Rate!K143)),0),IF($G$157:$AF$157&lt;=K$157,IF(Tech_Specs!$K35="lamp",System_Mkt_Repl!$F361:$AE361+System_Mkt_NC!$G361:$AF361,Lamp_Mkt_Repl!$G71:$AF71+System_Mkt_NC!$G361:$AF361))))))</f>
        <v>14.882643775087791</v>
      </c>
      <c r="L185" s="373">
        <f t="array" ref="L185">IF(L$157=Misc_Inputs!$D$6,$G109,IF(SUM(IF($G$157:$AF$157&gt;=ROUND(IF((L$157-Sys_Repl_Rate!L143)&lt;Tech_Specs!$C35,Tech_Specs!$C35,(L$157-Sys_Repl_Rate!L143)),0),IF($G$157:$AF$157&lt;=L$157,IF(Tech_Specs!$K35="lamp",System_Mkt_Repl!$F361:$AE361+System_Mkt_NC!$G361:$AF361,Lamp_Mkt_Repl!$G71:$AF71+System_Mkt_NC!$G361:$AF361))))=0,0,SUMPRODUCT(IF($G$157:$AF$157&gt;=ROUND(IF((L$157-Sys_Repl_Rate!L143)&lt;Tech_Specs!$C35,Tech_Specs!$C35,(L$157-Sys_Repl_Rate!L143)),0),IF($G$157:$AF$157&lt;=L$157,$G109:$AF109)),IF(Tech_Specs!$K35="lamp",System_Mkt_Repl!$F361:$AE361+System_Mkt_NC!$G361:$AF361,Lamp_Mkt_Repl!$G71:$AF71+System_Mkt_NC!$G361:$AF361))/SUM(IF($G$157:$AF$157&gt;=ROUND(IF((L$157-Sys_Repl_Rate!L143)&lt;Tech_Specs!$C35,Tech_Specs!$C35,(L$157-Sys_Repl_Rate!L143)),0),IF($G$157:$AF$157&lt;=L$157,IF(Tech_Specs!$K35="lamp",System_Mkt_Repl!$F361:$AE361+System_Mkt_NC!$G361:$AF361,Lamp_Mkt_Repl!$G71:$AF71+System_Mkt_NC!$G361:$AF361))))))</f>
        <v>14.893267068771776</v>
      </c>
      <c r="M185" s="373">
        <f t="array" ref="M185">IF(M$157=Misc_Inputs!$D$6,$G109,IF(SUM(IF($G$157:$AF$157&gt;=ROUND(IF((M$157-Sys_Repl_Rate!M143)&lt;Tech_Specs!$C35,Tech_Specs!$C35,(M$157-Sys_Repl_Rate!M143)),0),IF($G$157:$AF$157&lt;=M$157,IF(Tech_Specs!$K35="lamp",System_Mkt_Repl!$F361:$AE361+System_Mkt_NC!$G361:$AF361,Lamp_Mkt_Repl!$G71:$AF71+System_Mkt_NC!$G361:$AF361))))=0,0,SUMPRODUCT(IF($G$157:$AF$157&gt;=ROUND(IF((M$157-Sys_Repl_Rate!M143)&lt;Tech_Specs!$C35,Tech_Specs!$C35,(M$157-Sys_Repl_Rate!M143)),0),IF($G$157:$AF$157&lt;=M$157,$G109:$AF109)),IF(Tech_Specs!$K35="lamp",System_Mkt_Repl!$F361:$AE361+System_Mkt_NC!$G361:$AF361,Lamp_Mkt_Repl!$G71:$AF71+System_Mkt_NC!$G361:$AF361))/SUM(IF($G$157:$AF$157&gt;=ROUND(IF((M$157-Sys_Repl_Rate!M143)&lt;Tech_Specs!$C35,Tech_Specs!$C35,(M$157-Sys_Repl_Rate!M143)),0),IF($G$157:$AF$157&lt;=M$157,IF(Tech_Specs!$K35="lamp",System_Mkt_Repl!$F361:$AE361+System_Mkt_NC!$G361:$AF361,Lamp_Mkt_Repl!$G71:$AF71+System_Mkt_NC!$G361:$AF361))))))</f>
        <v>14.901520149122931</v>
      </c>
      <c r="N185" s="373">
        <f t="array" ref="N185">IF(N$157=Misc_Inputs!$D$6,$G109,IF(SUM(IF($G$157:$AF$157&gt;=ROUND(IF((N$157-Sys_Repl_Rate!N143)&lt;Tech_Specs!$C35,Tech_Specs!$C35,(N$157-Sys_Repl_Rate!N143)),0),IF($G$157:$AF$157&lt;=N$157,IF(Tech_Specs!$K35="lamp",System_Mkt_Repl!$F361:$AE361+System_Mkt_NC!$G361:$AF361,Lamp_Mkt_Repl!$G71:$AF71+System_Mkt_NC!$G361:$AF361))))=0,0,SUMPRODUCT(IF($G$157:$AF$157&gt;=ROUND(IF((N$157-Sys_Repl_Rate!N143)&lt;Tech_Specs!$C35,Tech_Specs!$C35,(N$157-Sys_Repl_Rate!N143)),0),IF($G$157:$AF$157&lt;=N$157,$G109:$AF109)),IF(Tech_Specs!$K35="lamp",System_Mkt_Repl!$F361:$AE361+System_Mkt_NC!$G361:$AF361,Lamp_Mkt_Repl!$G71:$AF71+System_Mkt_NC!$G361:$AF361))/SUM(IF($G$157:$AF$157&gt;=ROUND(IF((N$157-Sys_Repl_Rate!N143)&lt;Tech_Specs!$C35,Tech_Specs!$C35,(N$157-Sys_Repl_Rate!N143)),0),IF($G$157:$AF$157&lt;=N$157,IF(Tech_Specs!$K35="lamp",System_Mkt_Repl!$F361:$AE361+System_Mkt_NC!$G361:$AF361,Lamp_Mkt_Repl!$G71:$AF71+System_Mkt_NC!$G361:$AF361))))))</f>
        <v>14.90787740490021</v>
      </c>
      <c r="O185" s="373">
        <f t="array" ref="O185">IF(O$157=Misc_Inputs!$D$6,$G109,IF(SUM(IF($G$157:$AF$157&gt;=ROUND(IF((O$157-Sys_Repl_Rate!O143)&lt;Tech_Specs!$C35,Tech_Specs!$C35,(O$157-Sys_Repl_Rate!O143)),0),IF($G$157:$AF$157&lt;=O$157,IF(Tech_Specs!$K35="lamp",System_Mkt_Repl!$F361:$AE361+System_Mkt_NC!$G361:$AF361,Lamp_Mkt_Repl!$G71:$AF71+System_Mkt_NC!$G361:$AF361))))=0,0,SUMPRODUCT(IF($G$157:$AF$157&gt;=ROUND(IF((O$157-Sys_Repl_Rate!O143)&lt;Tech_Specs!$C35,Tech_Specs!$C35,(O$157-Sys_Repl_Rate!O143)),0),IF($G$157:$AF$157&lt;=O$157,$G109:$AF109)),IF(Tech_Specs!$K35="lamp",System_Mkt_Repl!$F361:$AE361+System_Mkt_NC!$G361:$AF361,Lamp_Mkt_Repl!$G71:$AF71+System_Mkt_NC!$G361:$AF361))/SUM(IF($G$157:$AF$157&gt;=ROUND(IF((O$157-Sys_Repl_Rate!O143)&lt;Tech_Specs!$C35,Tech_Specs!$C35,(O$157-Sys_Repl_Rate!O143)),0),IF($G$157:$AF$157&lt;=O$157,IF(Tech_Specs!$K35="lamp",System_Mkt_Repl!$F361:$AE361+System_Mkt_NC!$G361:$AF361,Lamp_Mkt_Repl!$G71:$AF71+System_Mkt_NC!$G361:$AF361))))))</f>
        <v>14.938607046421833</v>
      </c>
      <c r="P185" s="373">
        <f t="array" ref="P185">IF(P$157=Misc_Inputs!$D$6,$G109,IF(SUM(IF($G$157:$AF$157&gt;=ROUND(IF((P$157-Sys_Repl_Rate!P143)&lt;Tech_Specs!$C35,Tech_Specs!$C35,(P$157-Sys_Repl_Rate!P143)),0),IF($G$157:$AF$157&lt;=P$157,IF(Tech_Specs!$K35="lamp",System_Mkt_Repl!$F361:$AE361+System_Mkt_NC!$G361:$AF361,Lamp_Mkt_Repl!$G71:$AF71+System_Mkt_NC!$G361:$AF361))))=0,0,SUMPRODUCT(IF($G$157:$AF$157&gt;=ROUND(IF((P$157-Sys_Repl_Rate!P143)&lt;Tech_Specs!$C35,Tech_Specs!$C35,(P$157-Sys_Repl_Rate!P143)),0),IF($G$157:$AF$157&lt;=P$157,$G109:$AF109)),IF(Tech_Specs!$K35="lamp",System_Mkt_Repl!$F361:$AE361+System_Mkt_NC!$G361:$AF361,Lamp_Mkt_Repl!$G71:$AF71+System_Mkt_NC!$G361:$AF361))/SUM(IF($G$157:$AF$157&gt;=ROUND(IF((P$157-Sys_Repl_Rate!P143)&lt;Tech_Specs!$C35,Tech_Specs!$C35,(P$157-Sys_Repl_Rate!P143)),0),IF($G$157:$AF$157&lt;=P$157,IF(Tech_Specs!$K35="lamp",System_Mkt_Repl!$F361:$AE361+System_Mkt_NC!$G361:$AF361,Lamp_Mkt_Repl!$G71:$AF71+System_Mkt_NC!$G361:$AF361))))))</f>
        <v>14.971508985456609</v>
      </c>
      <c r="Q185" s="373">
        <f t="array" ref="Q185">IF(Q$157=Misc_Inputs!$D$6,$G109,IF(SUM(IF($G$157:$AF$157&gt;=ROUND(IF((Q$157-Sys_Repl_Rate!Q143)&lt;Tech_Specs!$C35,Tech_Specs!$C35,(Q$157-Sys_Repl_Rate!Q143)),0),IF($G$157:$AF$157&lt;=Q$157,IF(Tech_Specs!$K35="lamp",System_Mkt_Repl!$F361:$AE361+System_Mkt_NC!$G361:$AF361,Lamp_Mkt_Repl!$G71:$AF71+System_Mkt_NC!$G361:$AF361))))=0,0,SUMPRODUCT(IF($G$157:$AF$157&gt;=ROUND(IF((Q$157-Sys_Repl_Rate!Q143)&lt;Tech_Specs!$C35,Tech_Specs!$C35,(Q$157-Sys_Repl_Rate!Q143)),0),IF($G$157:$AF$157&lt;=Q$157,$G109:$AF109)),IF(Tech_Specs!$K35="lamp",System_Mkt_Repl!$F361:$AE361+System_Mkt_NC!$G361:$AF361,Lamp_Mkt_Repl!$G71:$AF71+System_Mkt_NC!$G361:$AF361))/SUM(IF($G$157:$AF$157&gt;=ROUND(IF((Q$157-Sys_Repl_Rate!Q143)&lt;Tech_Specs!$C35,Tech_Specs!$C35,(Q$157-Sys_Repl_Rate!Q143)),0),IF($G$157:$AF$157&lt;=Q$157,IF(Tech_Specs!$K35="lamp",System_Mkt_Repl!$F361:$AE361+System_Mkt_NC!$G361:$AF361,Lamp_Mkt_Repl!$G71:$AF71+System_Mkt_NC!$G361:$AF361))))))</f>
        <v>15.006699187583232</v>
      </c>
      <c r="R185" s="373">
        <f t="array" ref="R185">IF(R$157=Misc_Inputs!$D$6,$G109,IF(SUM(IF($G$157:$AF$157&gt;=ROUND(IF((R$157-Sys_Repl_Rate!R143)&lt;Tech_Specs!$C35,Tech_Specs!$C35,(R$157-Sys_Repl_Rate!R143)),0),IF($G$157:$AF$157&lt;=R$157,IF(Tech_Specs!$K35="lamp",System_Mkt_Repl!$F361:$AE361+System_Mkt_NC!$G361:$AF361,Lamp_Mkt_Repl!$G71:$AF71+System_Mkt_NC!$G361:$AF361))))=0,0,SUMPRODUCT(IF($G$157:$AF$157&gt;=ROUND(IF((R$157-Sys_Repl_Rate!R143)&lt;Tech_Specs!$C35,Tech_Specs!$C35,(R$157-Sys_Repl_Rate!R143)),0),IF($G$157:$AF$157&lt;=R$157,$G109:$AF109)),IF(Tech_Specs!$K35="lamp",System_Mkt_Repl!$F361:$AE361+System_Mkt_NC!$G361:$AF361,Lamp_Mkt_Repl!$G71:$AF71+System_Mkt_NC!$G361:$AF361))/SUM(IF($G$157:$AF$157&gt;=ROUND(IF((R$157-Sys_Repl_Rate!R143)&lt;Tech_Specs!$C35,Tech_Specs!$C35,(R$157-Sys_Repl_Rate!R143)),0),IF($G$157:$AF$157&lt;=R$157,IF(Tech_Specs!$K35="lamp",System_Mkt_Repl!$F361:$AE361+System_Mkt_NC!$G361:$AF361,Lamp_Mkt_Repl!$G71:$AF71+System_Mkt_NC!$G361:$AF361))))))</f>
        <v>15.043257231667944</v>
      </c>
      <c r="S185" s="373">
        <f t="array" ref="S185">IF(S$157=Misc_Inputs!$D$6,$G109,IF(SUM(IF($G$157:$AF$157&gt;=ROUND(IF((S$157-Sys_Repl_Rate!S143)&lt;Tech_Specs!$C35,Tech_Specs!$C35,(S$157-Sys_Repl_Rate!S143)),0),IF($G$157:$AF$157&lt;=S$157,IF(Tech_Specs!$K35="lamp",System_Mkt_Repl!$F361:$AE361+System_Mkt_NC!$G361:$AF361,Lamp_Mkt_Repl!$G71:$AF71+System_Mkt_NC!$G361:$AF361))))=0,0,SUMPRODUCT(IF($G$157:$AF$157&gt;=ROUND(IF((S$157-Sys_Repl_Rate!S143)&lt;Tech_Specs!$C35,Tech_Specs!$C35,(S$157-Sys_Repl_Rate!S143)),0),IF($G$157:$AF$157&lt;=S$157,$G109:$AF109)),IF(Tech_Specs!$K35="lamp",System_Mkt_Repl!$F361:$AE361+System_Mkt_NC!$G361:$AF361,Lamp_Mkt_Repl!$G71:$AF71+System_Mkt_NC!$G361:$AF361))/SUM(IF($G$157:$AF$157&gt;=ROUND(IF((S$157-Sys_Repl_Rate!S143)&lt;Tech_Specs!$C35,Tech_Specs!$C35,(S$157-Sys_Repl_Rate!S143)),0),IF($G$157:$AF$157&lt;=S$157,IF(Tech_Specs!$K35="lamp",System_Mkt_Repl!$F361:$AE361+System_Mkt_NC!$G361:$AF361,Lamp_Mkt_Repl!$G71:$AF71+System_Mkt_NC!$G361:$AF361))))))</f>
        <v>15.081506401003868</v>
      </c>
      <c r="T185" s="373">
        <f t="array" ref="T185">IF(T$157=Misc_Inputs!$D$6,$G109,IF(SUM(IF($G$157:$AF$157&gt;=ROUND(IF((T$157-Sys_Repl_Rate!T143)&lt;Tech_Specs!$C35,Tech_Specs!$C35,(T$157-Sys_Repl_Rate!T143)),0),IF($G$157:$AF$157&lt;=T$157,IF(Tech_Specs!$K35="lamp",System_Mkt_Repl!$F361:$AE361+System_Mkt_NC!$G361:$AF361,Lamp_Mkt_Repl!$G71:$AF71+System_Mkt_NC!$G361:$AF361))))=0,0,SUMPRODUCT(IF($G$157:$AF$157&gt;=ROUND(IF((T$157-Sys_Repl_Rate!T143)&lt;Tech_Specs!$C35,Tech_Specs!$C35,(T$157-Sys_Repl_Rate!T143)),0),IF($G$157:$AF$157&lt;=T$157,$G109:$AF109)),IF(Tech_Specs!$K35="lamp",System_Mkt_Repl!$F361:$AE361+System_Mkt_NC!$G361:$AF361,Lamp_Mkt_Repl!$G71:$AF71+System_Mkt_NC!$G361:$AF361))/SUM(IF($G$157:$AF$157&gt;=ROUND(IF((T$157-Sys_Repl_Rate!T143)&lt;Tech_Specs!$C35,Tech_Specs!$C35,(T$157-Sys_Repl_Rate!T143)),0),IF($G$157:$AF$157&lt;=T$157,IF(Tech_Specs!$K35="lamp",System_Mkt_Repl!$F361:$AE361+System_Mkt_NC!$G361:$AF361,Lamp_Mkt_Repl!$G71:$AF71+System_Mkt_NC!$G361:$AF361))))))</f>
        <v>15.120221449387</v>
      </c>
      <c r="U185" s="373">
        <f t="array" ref="U185">IF(U$157=Misc_Inputs!$D$6,$G109,IF(SUM(IF($G$157:$AF$157&gt;=ROUND(IF((U$157-Sys_Repl_Rate!U143)&lt;Tech_Specs!$C35,Tech_Specs!$C35,(U$157-Sys_Repl_Rate!U143)),0),IF($G$157:$AF$157&lt;=U$157,IF(Tech_Specs!$K35="lamp",System_Mkt_Repl!$F361:$AE361+System_Mkt_NC!$G361:$AF361,Lamp_Mkt_Repl!$G71:$AF71+System_Mkt_NC!$G361:$AF361))))=0,0,SUMPRODUCT(IF($G$157:$AF$157&gt;=ROUND(IF((U$157-Sys_Repl_Rate!U143)&lt;Tech_Specs!$C35,Tech_Specs!$C35,(U$157-Sys_Repl_Rate!U143)),0),IF($G$157:$AF$157&lt;=U$157,$G109:$AF109)),IF(Tech_Specs!$K35="lamp",System_Mkt_Repl!$F361:$AE361+System_Mkt_NC!$G361:$AF361,Lamp_Mkt_Repl!$G71:$AF71+System_Mkt_NC!$G361:$AF361))/SUM(IF($G$157:$AF$157&gt;=ROUND(IF((U$157-Sys_Repl_Rate!U143)&lt;Tech_Specs!$C35,Tech_Specs!$C35,(U$157-Sys_Repl_Rate!U143)),0),IF($G$157:$AF$157&lt;=U$157,IF(Tech_Specs!$K35="lamp",System_Mkt_Repl!$F361:$AE361+System_Mkt_NC!$G361:$AF361,Lamp_Mkt_Repl!$G71:$AF71+System_Mkt_NC!$G361:$AF361))))))</f>
        <v>15.158887017919975</v>
      </c>
      <c r="V185" s="373">
        <f t="array" ref="V185">IF(V$157=Misc_Inputs!$D$6,$G109,IF(SUM(IF($G$157:$AF$157&gt;=ROUND(IF((V$157-Sys_Repl_Rate!V143)&lt;Tech_Specs!$C35,Tech_Specs!$C35,(V$157-Sys_Repl_Rate!V143)),0),IF($G$157:$AF$157&lt;=V$157,IF(Tech_Specs!$K35="lamp",System_Mkt_Repl!$F361:$AE361+System_Mkt_NC!$G361:$AF361,Lamp_Mkt_Repl!$G71:$AF71+System_Mkt_NC!$G361:$AF361))))=0,0,SUMPRODUCT(IF($G$157:$AF$157&gt;=ROUND(IF((V$157-Sys_Repl_Rate!V143)&lt;Tech_Specs!$C35,Tech_Specs!$C35,(V$157-Sys_Repl_Rate!V143)),0),IF($G$157:$AF$157&lt;=V$157,$G109:$AF109)),IF(Tech_Specs!$K35="lamp",System_Mkt_Repl!$F361:$AE361+System_Mkt_NC!$G361:$AF361,Lamp_Mkt_Repl!$G71:$AF71+System_Mkt_NC!$G361:$AF361))/SUM(IF($G$157:$AF$157&gt;=ROUND(IF((V$157-Sys_Repl_Rate!V143)&lt;Tech_Specs!$C35,Tech_Specs!$C35,(V$157-Sys_Repl_Rate!V143)),0),IF($G$157:$AF$157&lt;=V$157,IF(Tech_Specs!$K35="lamp",System_Mkt_Repl!$F361:$AE361+System_Mkt_NC!$G361:$AF361,Lamp_Mkt_Repl!$G71:$AF71+System_Mkt_NC!$G361:$AF361))))))</f>
        <v>15.197321848658715</v>
      </c>
      <c r="W185" s="373">
        <f t="array" ref="W185">IF(W$157=Misc_Inputs!$D$6,$G109,IF(SUM(IF($G$157:$AF$157&gt;=ROUND(IF((W$157-Sys_Repl_Rate!W143)&lt;Tech_Specs!$C35,Tech_Specs!$C35,(W$157-Sys_Repl_Rate!W143)),0),IF($G$157:$AF$157&lt;=W$157,IF(Tech_Specs!$K35="lamp",System_Mkt_Repl!$F361:$AE361+System_Mkt_NC!$G361:$AF361,Lamp_Mkt_Repl!$G71:$AF71+System_Mkt_NC!$G361:$AF361))))=0,0,SUMPRODUCT(IF($G$157:$AF$157&gt;=ROUND(IF((W$157-Sys_Repl_Rate!W143)&lt;Tech_Specs!$C35,Tech_Specs!$C35,(W$157-Sys_Repl_Rate!W143)),0),IF($G$157:$AF$157&lt;=W$157,$G109:$AF109)),IF(Tech_Specs!$K35="lamp",System_Mkt_Repl!$F361:$AE361+System_Mkt_NC!$G361:$AF361,Lamp_Mkt_Repl!$G71:$AF71+System_Mkt_NC!$G361:$AF361))/SUM(IF($G$157:$AF$157&gt;=ROUND(IF((W$157-Sys_Repl_Rate!W143)&lt;Tech_Specs!$C35,Tech_Specs!$C35,(W$157-Sys_Repl_Rate!W143)),0),IF($G$157:$AF$157&lt;=W$157,IF(Tech_Specs!$K35="lamp",System_Mkt_Repl!$F361:$AE361+System_Mkt_NC!$G361:$AF361,Lamp_Mkt_Repl!$G71:$AF71+System_Mkt_NC!$G361:$AF361))))))</f>
        <v>15.235856525220017</v>
      </c>
      <c r="X185" s="373">
        <f t="array" ref="X185">IF(X$157=Misc_Inputs!$D$6,$G109,IF(SUM(IF($G$157:$AF$157&gt;=ROUND(IF((X$157-Sys_Repl_Rate!X143)&lt;Tech_Specs!$C35,Tech_Specs!$C35,(X$157-Sys_Repl_Rate!X143)),0),IF($G$157:$AF$157&lt;=X$157,IF(Tech_Specs!$K35="lamp",System_Mkt_Repl!$F361:$AE361+System_Mkt_NC!$G361:$AF361,Lamp_Mkt_Repl!$G71:$AF71+System_Mkt_NC!$G361:$AF361))))=0,0,SUMPRODUCT(IF($G$157:$AF$157&gt;=ROUND(IF((X$157-Sys_Repl_Rate!X143)&lt;Tech_Specs!$C35,Tech_Specs!$C35,(X$157-Sys_Repl_Rate!X143)),0),IF($G$157:$AF$157&lt;=X$157,$G109:$AF109)),IF(Tech_Specs!$K35="lamp",System_Mkt_Repl!$F361:$AE361+System_Mkt_NC!$G361:$AF361,Lamp_Mkt_Repl!$G71:$AF71+System_Mkt_NC!$G361:$AF361))/SUM(IF($G$157:$AF$157&gt;=ROUND(IF((X$157-Sys_Repl_Rate!X143)&lt;Tech_Specs!$C35,Tech_Specs!$C35,(X$157-Sys_Repl_Rate!X143)),0),IF($G$157:$AF$157&lt;=X$157,IF(Tech_Specs!$K35="lamp",System_Mkt_Repl!$F361:$AE361+System_Mkt_NC!$G361:$AF361,Lamp_Mkt_Repl!$G71:$AF71+System_Mkt_NC!$G361:$AF361))))))</f>
        <v>15.274363045674537</v>
      </c>
      <c r="Y185" s="373">
        <f t="array" ref="Y185">IF(Y$157=Misc_Inputs!$D$6,$G109,IF(SUM(IF($G$157:$AF$157&gt;=ROUND(IF((Y$157-Sys_Repl_Rate!Y143)&lt;Tech_Specs!$C35,Tech_Specs!$C35,(Y$157-Sys_Repl_Rate!Y143)),0),IF($G$157:$AF$157&lt;=Y$157,IF(Tech_Specs!$K35="lamp",System_Mkt_Repl!$F361:$AE361+System_Mkt_NC!$G361:$AF361,Lamp_Mkt_Repl!$G71:$AF71+System_Mkt_NC!$G361:$AF361))))=0,0,SUMPRODUCT(IF($G$157:$AF$157&gt;=ROUND(IF((Y$157-Sys_Repl_Rate!Y143)&lt;Tech_Specs!$C35,Tech_Specs!$C35,(Y$157-Sys_Repl_Rate!Y143)),0),IF($G$157:$AF$157&lt;=Y$157,$G109:$AF109)),IF(Tech_Specs!$K35="lamp",System_Mkt_Repl!$F361:$AE361+System_Mkt_NC!$G361:$AF361,Lamp_Mkt_Repl!$G71:$AF71+System_Mkt_NC!$G361:$AF361))/SUM(IF($G$157:$AF$157&gt;=ROUND(IF((Y$157-Sys_Repl_Rate!Y143)&lt;Tech_Specs!$C35,Tech_Specs!$C35,(Y$157-Sys_Repl_Rate!Y143)),0),IF($G$157:$AF$157&lt;=Y$157,IF(Tech_Specs!$K35="lamp",System_Mkt_Repl!$F361:$AE361+System_Mkt_NC!$G361:$AF361,Lamp_Mkt_Repl!$G71:$AF71+System_Mkt_NC!$G361:$AF361))))))</f>
        <v>15.312473464227539</v>
      </c>
      <c r="Z185" s="373">
        <f t="array" ref="Z185">IF(Z$157=Misc_Inputs!$D$6,$G109,IF(SUM(IF($G$157:$AF$157&gt;=ROUND(IF((Z$157-Sys_Repl_Rate!Z143)&lt;Tech_Specs!$C35,Tech_Specs!$C35,(Z$157-Sys_Repl_Rate!Z143)),0),IF($G$157:$AF$157&lt;=Z$157,IF(Tech_Specs!$K35="lamp",System_Mkt_Repl!$F361:$AE361+System_Mkt_NC!$G361:$AF361,Lamp_Mkt_Repl!$G71:$AF71+System_Mkt_NC!$G361:$AF361))))=0,0,SUMPRODUCT(IF($G$157:$AF$157&gt;=ROUND(IF((Z$157-Sys_Repl_Rate!Z143)&lt;Tech_Specs!$C35,Tech_Specs!$C35,(Z$157-Sys_Repl_Rate!Z143)),0),IF($G$157:$AF$157&lt;=Z$157,$G109:$AF109)),IF(Tech_Specs!$K35="lamp",System_Mkt_Repl!$F361:$AE361+System_Mkt_NC!$G361:$AF361,Lamp_Mkt_Repl!$G71:$AF71+System_Mkt_NC!$G361:$AF361))/SUM(IF($G$157:$AF$157&gt;=ROUND(IF((Z$157-Sys_Repl_Rate!Z143)&lt;Tech_Specs!$C35,Tech_Specs!$C35,(Z$157-Sys_Repl_Rate!Z143)),0),IF($G$157:$AF$157&lt;=Z$157,IF(Tech_Specs!$K35="lamp",System_Mkt_Repl!$F361:$AE361+System_Mkt_NC!$G361:$AF361,Lamp_Mkt_Repl!$G71:$AF71+System_Mkt_NC!$G361:$AF361))))))</f>
        <v>15.350369799849346</v>
      </c>
      <c r="AA185" s="373">
        <f t="array" ref="AA185">IF(AA$157=Misc_Inputs!$D$6,$G109,IF(SUM(IF($G$157:$AF$157&gt;=ROUND(IF((AA$157-Sys_Repl_Rate!AA143)&lt;Tech_Specs!$C35,Tech_Specs!$C35,(AA$157-Sys_Repl_Rate!AA143)),0),IF($G$157:$AF$157&lt;=AA$157,IF(Tech_Specs!$K35="lamp",System_Mkt_Repl!$F361:$AE361+System_Mkt_NC!$G361:$AF361,Lamp_Mkt_Repl!$G71:$AF71+System_Mkt_NC!$G361:$AF361))))=0,0,SUMPRODUCT(IF($G$157:$AF$157&gt;=ROUND(IF((AA$157-Sys_Repl_Rate!AA143)&lt;Tech_Specs!$C35,Tech_Specs!$C35,(AA$157-Sys_Repl_Rate!AA143)),0),IF($G$157:$AF$157&lt;=AA$157,$G109:$AF109)),IF(Tech_Specs!$K35="lamp",System_Mkt_Repl!$F361:$AE361+System_Mkt_NC!$G361:$AF361,Lamp_Mkt_Repl!$G71:$AF71+System_Mkt_NC!$G361:$AF361))/SUM(IF($G$157:$AF$157&gt;=ROUND(IF((AA$157-Sys_Repl_Rate!AA143)&lt;Tech_Specs!$C35,Tech_Specs!$C35,(AA$157-Sys_Repl_Rate!AA143)),0),IF($G$157:$AF$157&lt;=AA$157,IF(Tech_Specs!$K35="lamp",System_Mkt_Repl!$F361:$AE361+System_Mkt_NC!$G361:$AF361,Lamp_Mkt_Repl!$G71:$AF71+System_Mkt_NC!$G361:$AF361))))))</f>
        <v>15.357187004190314</v>
      </c>
      <c r="AB185" s="373">
        <f t="array" ref="AB185">IF(AB$157=Misc_Inputs!$D$6,$G109,IF(SUM(IF($G$157:$AF$157&gt;=ROUND(IF((AB$157-Sys_Repl_Rate!AB143)&lt;Tech_Specs!$C35,Tech_Specs!$C35,(AB$157-Sys_Repl_Rate!AB143)),0),IF($G$157:$AF$157&lt;=AB$157,IF(Tech_Specs!$K35="lamp",System_Mkt_Repl!$F361:$AE361+System_Mkt_NC!$G361:$AF361,Lamp_Mkt_Repl!$G71:$AF71+System_Mkt_NC!$G361:$AF361))))=0,0,SUMPRODUCT(IF($G$157:$AF$157&gt;=ROUND(IF((AB$157-Sys_Repl_Rate!AB143)&lt;Tech_Specs!$C35,Tech_Specs!$C35,(AB$157-Sys_Repl_Rate!AB143)),0),IF($G$157:$AF$157&lt;=AB$157,$G109:$AF109)),IF(Tech_Specs!$K35="lamp",System_Mkt_Repl!$F361:$AE361+System_Mkt_NC!$G361:$AF361,Lamp_Mkt_Repl!$G71:$AF71+System_Mkt_NC!$G361:$AF361))/SUM(IF($G$157:$AF$157&gt;=ROUND(IF((AB$157-Sys_Repl_Rate!AB143)&lt;Tech_Specs!$C35,Tech_Specs!$C35,(AB$157-Sys_Repl_Rate!AB143)),0),IF($G$157:$AF$157&lt;=AB$157,IF(Tech_Specs!$K35="lamp",System_Mkt_Repl!$F361:$AE361+System_Mkt_NC!$G361:$AF361,Lamp_Mkt_Repl!$G71:$AF71+System_Mkt_NC!$G361:$AF361))))))</f>
        <v>15.395053550596819</v>
      </c>
      <c r="AC185" s="373">
        <f t="array" ref="AC185">IF(AC$157=Misc_Inputs!$D$6,$G109,IF(SUM(IF($G$157:$AF$157&gt;=ROUND(IF((AC$157-Sys_Repl_Rate!AC143)&lt;Tech_Specs!$C35,Tech_Specs!$C35,(AC$157-Sys_Repl_Rate!AC143)),0),IF($G$157:$AF$157&lt;=AC$157,IF(Tech_Specs!$K35="lamp",System_Mkt_Repl!$F361:$AE361+System_Mkt_NC!$G361:$AF361,Lamp_Mkt_Repl!$G71:$AF71+System_Mkt_NC!$G361:$AF361))))=0,0,SUMPRODUCT(IF($G$157:$AF$157&gt;=ROUND(IF((AC$157-Sys_Repl_Rate!AC143)&lt;Tech_Specs!$C35,Tech_Specs!$C35,(AC$157-Sys_Repl_Rate!AC143)),0),IF($G$157:$AF$157&lt;=AC$157,$G109:$AF109)),IF(Tech_Specs!$K35="lamp",System_Mkt_Repl!$F361:$AE361+System_Mkt_NC!$G361:$AF361,Lamp_Mkt_Repl!$G71:$AF71+System_Mkt_NC!$G361:$AF361))/SUM(IF($G$157:$AF$157&gt;=ROUND(IF((AC$157-Sys_Repl_Rate!AC143)&lt;Tech_Specs!$C35,Tech_Specs!$C35,(AC$157-Sys_Repl_Rate!AC143)),0),IF($G$157:$AF$157&lt;=AC$157,IF(Tech_Specs!$K35="lamp",System_Mkt_Repl!$F361:$AE361+System_Mkt_NC!$G361:$AF361,Lamp_Mkt_Repl!$G71:$AF71+System_Mkt_NC!$G361:$AF361))))))</f>
        <v>15.432585684052402</v>
      </c>
      <c r="AD185" s="373">
        <f t="array" ref="AD185">IF(AD$157=Misc_Inputs!$D$6,$G109,IF(SUM(IF($G$157:$AF$157&gt;=ROUND(IF((AD$157-Sys_Repl_Rate!AD143)&lt;Tech_Specs!$C35,Tech_Specs!$C35,(AD$157-Sys_Repl_Rate!AD143)),0),IF($G$157:$AF$157&lt;=AD$157,IF(Tech_Specs!$K35="lamp",System_Mkt_Repl!$F361:$AE361+System_Mkt_NC!$G361:$AF361,Lamp_Mkt_Repl!$G71:$AF71+System_Mkt_NC!$G361:$AF361))))=0,0,SUMPRODUCT(IF($G$157:$AF$157&gt;=ROUND(IF((AD$157-Sys_Repl_Rate!AD143)&lt;Tech_Specs!$C35,Tech_Specs!$C35,(AD$157-Sys_Repl_Rate!AD143)),0),IF($G$157:$AF$157&lt;=AD$157,$G109:$AF109)),IF(Tech_Specs!$K35="lamp",System_Mkt_Repl!$F361:$AE361+System_Mkt_NC!$G361:$AF361,Lamp_Mkt_Repl!$G71:$AF71+System_Mkt_NC!$G361:$AF361))/SUM(IF($G$157:$AF$157&gt;=ROUND(IF((AD$157-Sys_Repl_Rate!AD143)&lt;Tech_Specs!$C35,Tech_Specs!$C35,(AD$157-Sys_Repl_Rate!AD143)),0),IF($G$157:$AF$157&lt;=AD$157,IF(Tech_Specs!$K35="lamp",System_Mkt_Repl!$F361:$AE361+System_Mkt_NC!$G361:$AF361,Lamp_Mkt_Repl!$G71:$AF71+System_Mkt_NC!$G361:$AF361))))))</f>
        <v>15.470089387360028</v>
      </c>
      <c r="AE185" s="373">
        <f t="array" ref="AE185">IF(AE$157=Misc_Inputs!$D$6,$G109,IF(SUM(IF($G$157:$AF$157&gt;=ROUND(IF((AE$157-Sys_Repl_Rate!AE143)&lt;Tech_Specs!$C35,Tech_Specs!$C35,(AE$157-Sys_Repl_Rate!AE143)),0),IF($G$157:$AF$157&lt;=AE$157,IF(Tech_Specs!$K35="lamp",System_Mkt_Repl!$F361:$AE361+System_Mkt_NC!$G361:$AF361,Lamp_Mkt_Repl!$G71:$AF71+System_Mkt_NC!$G361:$AF361))))=0,0,SUMPRODUCT(IF($G$157:$AF$157&gt;=ROUND(IF((AE$157-Sys_Repl_Rate!AE143)&lt;Tech_Specs!$C35,Tech_Specs!$C35,(AE$157-Sys_Repl_Rate!AE143)),0),IF($G$157:$AF$157&lt;=AE$157,$G109:$AF109)),IF(Tech_Specs!$K35="lamp",System_Mkt_Repl!$F361:$AE361+System_Mkt_NC!$G361:$AF361,Lamp_Mkt_Repl!$G71:$AF71+System_Mkt_NC!$G361:$AF361))/SUM(IF($G$157:$AF$157&gt;=ROUND(IF((AE$157-Sys_Repl_Rate!AE143)&lt;Tech_Specs!$C35,Tech_Specs!$C35,(AE$157-Sys_Repl_Rate!AE143)),0),IF($G$157:$AF$157&lt;=AE$157,IF(Tech_Specs!$K35="lamp",System_Mkt_Repl!$F361:$AE361+System_Mkt_NC!$G361:$AF361,Lamp_Mkt_Repl!$G71:$AF71+System_Mkt_NC!$G361:$AF361))))))</f>
        <v>15.507523922666406</v>
      </c>
      <c r="AF185" s="373">
        <f t="array" ref="AF185">IF(AF$157=Misc_Inputs!$D$6,$G109,IF(SUM(IF($G$157:$AF$157&gt;=ROUND(IF((AF$157-Sys_Repl_Rate!AF143)&lt;Tech_Specs!$C35,Tech_Specs!$C35,(AF$157-Sys_Repl_Rate!AF143)),0),IF($G$157:$AF$157&lt;=AF$157,IF(Tech_Specs!$K35="lamp",System_Mkt_Repl!$F361:$AE361+System_Mkt_NC!$G361:$AF361,Lamp_Mkt_Repl!$G71:$AF71+System_Mkt_NC!$G361:$AF361))))=0,0,SUMPRODUCT(IF($G$157:$AF$157&gt;=ROUND(IF((AF$157-Sys_Repl_Rate!AF143)&lt;Tech_Specs!$C35,Tech_Specs!$C35,(AF$157-Sys_Repl_Rate!AF143)),0),IF($G$157:$AF$157&lt;=AF$157,$G109:$AF109)),IF(Tech_Specs!$K35="lamp",System_Mkt_Repl!$F361:$AE361+System_Mkt_NC!$G361:$AF361,Lamp_Mkt_Repl!$G71:$AF71+System_Mkt_NC!$G361:$AF361))/SUM(IF($G$157:$AF$157&gt;=ROUND(IF((AF$157-Sys_Repl_Rate!AF143)&lt;Tech_Specs!$C35,Tech_Specs!$C35,(AF$157-Sys_Repl_Rate!AF143)),0),IF($G$157:$AF$157&lt;=AF$157,IF(Tech_Specs!$K35="lamp",System_Mkt_Repl!$F361:$AE361+System_Mkt_NC!$G361:$AF361,Lamp_Mkt_Repl!$G71:$AF71+System_Mkt_NC!$G361:$AF361))))))</f>
        <v>15.544709027900417</v>
      </c>
    </row>
    <row r="186" spans="1:32" s="101" customFormat="1" ht="12.75" x14ac:dyDescent="0.2">
      <c r="A186" s="81"/>
      <c r="B186" s="81" t="s">
        <v>51</v>
      </c>
      <c r="C186" s="81"/>
      <c r="D186" s="550"/>
      <c r="E186" s="550"/>
      <c r="F186" s="550"/>
      <c r="G186" s="373">
        <f t="array" ref="G186">IF(G$157=Misc_Inputs!$D$6,$G110,IF(SUM(IF($G$157:$AF$157&gt;=ROUND(IF((G$157-Sys_Repl_Rate!G144)&lt;Tech_Specs!$C36,Tech_Specs!$C36,(G$157-Sys_Repl_Rate!G144)),0),IF($G$157:$AF$157&lt;=G$157,IF(Tech_Specs!$K36="lamp",System_Mkt_Repl!$F362:$AE362+System_Mkt_NC!$G362:$AF362,Lamp_Mkt_Repl!$G72:$AF72+System_Mkt_NC!$G362:$AF362))))=0,0,SUMPRODUCT(IF($G$157:$AF$157&gt;=ROUND(IF((G$157-Sys_Repl_Rate!G144)&lt;Tech_Specs!$C36,Tech_Specs!$C36,(G$157-Sys_Repl_Rate!G144)),0),IF($G$157:$AF$157&lt;=G$157,$G110:$AF110)),IF(Tech_Specs!$K36="lamp",System_Mkt_Repl!$F362:$AE362+System_Mkt_NC!$G362:$AF362,Lamp_Mkt_Repl!$G72:$AF72+System_Mkt_NC!$G362:$AF362))/SUM(IF($G$157:$AF$157&gt;=ROUND(IF((G$157-Sys_Repl_Rate!G144)&lt;Tech_Specs!$C36,Tech_Specs!$C36,(G$157-Sys_Repl_Rate!G144)),0),IF($G$157:$AF$157&lt;=G$157,IF(Tech_Specs!$K36="lamp",System_Mkt_Repl!$F362:$AE362+System_Mkt_NC!$G362:$AF362,Lamp_Mkt_Repl!$G72:$AF72+System_Mkt_NC!$G362:$AF362))))))</f>
        <v>52.5</v>
      </c>
      <c r="H186" s="373">
        <f t="array" ref="H186">IF(H$157=Misc_Inputs!$D$6,$G110,IF(SUM(IF($G$157:$AF$157&gt;=ROUND(IF((H$157-Sys_Repl_Rate!H144)&lt;Tech_Specs!$C36,Tech_Specs!$C36,(H$157-Sys_Repl_Rate!H144)),0),IF($G$157:$AF$157&lt;=H$157,IF(Tech_Specs!$K36="lamp",System_Mkt_Repl!$F362:$AE362+System_Mkt_NC!$G362:$AF362,Lamp_Mkt_Repl!$G72:$AF72+System_Mkt_NC!$G362:$AF362))))=0,0,SUMPRODUCT(IF($G$157:$AF$157&gt;=ROUND(IF((H$157-Sys_Repl_Rate!H144)&lt;Tech_Specs!$C36,Tech_Specs!$C36,(H$157-Sys_Repl_Rate!H144)),0),IF($G$157:$AF$157&lt;=H$157,$G110:$AF110)),IF(Tech_Specs!$K36="lamp",System_Mkt_Repl!$F362:$AE362+System_Mkt_NC!$G362:$AF362,Lamp_Mkt_Repl!$G72:$AF72+System_Mkt_NC!$G362:$AF362))/SUM(IF($G$157:$AF$157&gt;=ROUND(IF((H$157-Sys_Repl_Rate!H144)&lt;Tech_Specs!$C36,Tech_Specs!$C36,(H$157-Sys_Repl_Rate!H144)),0),IF($G$157:$AF$157&lt;=H$157,IF(Tech_Specs!$K36="lamp",System_Mkt_Repl!$F362:$AE362+System_Mkt_NC!$G362:$AF362,Lamp_Mkt_Repl!$G72:$AF72+System_Mkt_NC!$G362:$AF362))))))</f>
        <v>52.631250000000016</v>
      </c>
      <c r="I186" s="373">
        <f t="array" ref="I186">IF(I$157=Misc_Inputs!$D$6,$G110,IF(SUM(IF($G$157:$AF$157&gt;=ROUND(IF((I$157-Sys_Repl_Rate!I144)&lt;Tech_Specs!$C36,Tech_Specs!$C36,(I$157-Sys_Repl_Rate!I144)),0),IF($G$157:$AF$157&lt;=I$157,IF(Tech_Specs!$K36="lamp",System_Mkt_Repl!$F362:$AE362+System_Mkt_NC!$G362:$AF362,Lamp_Mkt_Repl!$G72:$AF72+System_Mkt_NC!$G362:$AF362))))=0,0,SUMPRODUCT(IF($G$157:$AF$157&gt;=ROUND(IF((I$157-Sys_Repl_Rate!I144)&lt;Tech_Specs!$C36,Tech_Specs!$C36,(I$157-Sys_Repl_Rate!I144)),0),IF($G$157:$AF$157&lt;=I$157,$G110:$AF110)),IF(Tech_Specs!$K36="lamp",System_Mkt_Repl!$F362:$AE362+System_Mkt_NC!$G362:$AF362,Lamp_Mkt_Repl!$G72:$AF72+System_Mkt_NC!$G362:$AF362))/SUM(IF($G$157:$AF$157&gt;=ROUND(IF((I$157-Sys_Repl_Rate!I144)&lt;Tech_Specs!$C36,Tech_Specs!$C36,(I$157-Sys_Repl_Rate!I144)),0),IF($G$157:$AF$157&lt;=I$157,IF(Tech_Specs!$K36="lamp",System_Mkt_Repl!$F362:$AE362+System_Mkt_NC!$G362:$AF362,Lamp_Mkt_Repl!$G72:$AF72+System_Mkt_NC!$G362:$AF362))))))</f>
        <v>52.69609700482853</v>
      </c>
      <c r="J186" s="373">
        <f t="array" ref="J186">IF(J$157=Misc_Inputs!$D$6,$G110,IF(SUM(IF($G$157:$AF$157&gt;=ROUND(IF((J$157-Sys_Repl_Rate!J144)&lt;Tech_Specs!$C36,Tech_Specs!$C36,(J$157-Sys_Repl_Rate!J144)),0),IF($G$157:$AF$157&lt;=J$157,IF(Tech_Specs!$K36="lamp",System_Mkt_Repl!$F362:$AE362+System_Mkt_NC!$G362:$AF362,Lamp_Mkt_Repl!$G72:$AF72+System_Mkt_NC!$G362:$AF362))))=0,0,SUMPRODUCT(IF($G$157:$AF$157&gt;=ROUND(IF((J$157-Sys_Repl_Rate!J144)&lt;Tech_Specs!$C36,Tech_Specs!$C36,(J$157-Sys_Repl_Rate!J144)),0),IF($G$157:$AF$157&lt;=J$157,$G110:$AF110)),IF(Tech_Specs!$K36="lamp",System_Mkt_Repl!$F362:$AE362+System_Mkt_NC!$G362:$AF362,Lamp_Mkt_Repl!$G72:$AF72+System_Mkt_NC!$G362:$AF362))/SUM(IF($G$157:$AF$157&gt;=ROUND(IF((J$157-Sys_Repl_Rate!J144)&lt;Tech_Specs!$C36,Tech_Specs!$C36,(J$157-Sys_Repl_Rate!J144)),0),IF($G$157:$AF$157&lt;=J$157,IF(Tech_Specs!$K36="lamp",System_Mkt_Repl!$F362:$AE362+System_Mkt_NC!$G362:$AF362,Lamp_Mkt_Repl!$G72:$AF72+System_Mkt_NC!$G362:$AF362))))))</f>
        <v>52.759289163267837</v>
      </c>
      <c r="K186" s="373">
        <f t="array" ref="K186">IF(K$157=Misc_Inputs!$D$6,$G110,IF(SUM(IF($G$157:$AF$157&gt;=ROUND(IF((K$157-Sys_Repl_Rate!K144)&lt;Tech_Specs!$C36,Tech_Specs!$C36,(K$157-Sys_Repl_Rate!K144)),0),IF($G$157:$AF$157&lt;=K$157,IF(Tech_Specs!$K36="lamp",System_Mkt_Repl!$F362:$AE362+System_Mkt_NC!$G362:$AF362,Lamp_Mkt_Repl!$G72:$AF72+System_Mkt_NC!$G362:$AF362))))=0,0,SUMPRODUCT(IF($G$157:$AF$157&gt;=ROUND(IF((K$157-Sys_Repl_Rate!K144)&lt;Tech_Specs!$C36,Tech_Specs!$C36,(K$157-Sys_Repl_Rate!K144)),0),IF($G$157:$AF$157&lt;=K$157,$G110:$AF110)),IF(Tech_Specs!$K36="lamp",System_Mkt_Repl!$F362:$AE362+System_Mkt_NC!$G362:$AF362,Lamp_Mkt_Repl!$G72:$AF72+System_Mkt_NC!$G362:$AF362))/SUM(IF($G$157:$AF$157&gt;=ROUND(IF((K$157-Sys_Repl_Rate!K144)&lt;Tech_Specs!$C36,Tech_Specs!$C36,(K$157-Sys_Repl_Rate!K144)),0),IF($G$157:$AF$157&lt;=K$157,IF(Tech_Specs!$K36="lamp",System_Mkt_Repl!$F362:$AE362+System_Mkt_NC!$G362:$AF362,Lamp_Mkt_Repl!$G72:$AF72+System_Mkt_NC!$G362:$AF362))))))</f>
        <v>52.819647525364068</v>
      </c>
      <c r="L186" s="373">
        <f t="array" ref="L186">IF(L$157=Misc_Inputs!$D$6,$G110,IF(SUM(IF($G$157:$AF$157&gt;=ROUND(IF((L$157-Sys_Repl_Rate!L144)&lt;Tech_Specs!$C36,Tech_Specs!$C36,(L$157-Sys_Repl_Rate!L144)),0),IF($G$157:$AF$157&lt;=L$157,IF(Tech_Specs!$K36="lamp",System_Mkt_Repl!$F362:$AE362+System_Mkt_NC!$G362:$AF362,Lamp_Mkt_Repl!$G72:$AF72+System_Mkt_NC!$G362:$AF362))))=0,0,SUMPRODUCT(IF($G$157:$AF$157&gt;=ROUND(IF((L$157-Sys_Repl_Rate!L144)&lt;Tech_Specs!$C36,Tech_Specs!$C36,(L$157-Sys_Repl_Rate!L144)),0),IF($G$157:$AF$157&lt;=L$157,$G110:$AF110)),IF(Tech_Specs!$K36="lamp",System_Mkt_Repl!$F362:$AE362+System_Mkt_NC!$G362:$AF362,Lamp_Mkt_Repl!$G72:$AF72+System_Mkt_NC!$G362:$AF362))/SUM(IF($G$157:$AF$157&gt;=ROUND(IF((L$157-Sys_Repl_Rate!L144)&lt;Tech_Specs!$C36,Tech_Specs!$C36,(L$157-Sys_Repl_Rate!L144)),0),IF($G$157:$AF$157&lt;=L$157,IF(Tech_Specs!$K36="lamp",System_Mkt_Repl!$F362:$AE362+System_Mkt_NC!$G362:$AF362,Lamp_Mkt_Repl!$G72:$AF72+System_Mkt_NC!$G362:$AF362))))))</f>
        <v>52.877251101696331</v>
      </c>
      <c r="M186" s="373">
        <f t="array" ref="M186">IF(M$157=Misc_Inputs!$D$6,$G110,IF(SUM(IF($G$157:$AF$157&gt;=ROUND(IF((M$157-Sys_Repl_Rate!M144)&lt;Tech_Specs!$C36,Tech_Specs!$C36,(M$157-Sys_Repl_Rate!M144)),0),IF($G$157:$AF$157&lt;=M$157,IF(Tech_Specs!$K36="lamp",System_Mkt_Repl!$F362:$AE362+System_Mkt_NC!$G362:$AF362,Lamp_Mkt_Repl!$G72:$AF72+System_Mkt_NC!$G362:$AF362))))=0,0,SUMPRODUCT(IF($G$157:$AF$157&gt;=ROUND(IF((M$157-Sys_Repl_Rate!M144)&lt;Tech_Specs!$C36,Tech_Specs!$C36,(M$157-Sys_Repl_Rate!M144)),0),IF($G$157:$AF$157&lt;=M$157,$G110:$AF110)),IF(Tech_Specs!$K36="lamp",System_Mkt_Repl!$F362:$AE362+System_Mkt_NC!$G362:$AF362,Lamp_Mkt_Repl!$G72:$AF72+System_Mkt_NC!$G362:$AF362))/SUM(IF($G$157:$AF$157&gt;=ROUND(IF((M$157-Sys_Repl_Rate!M144)&lt;Tech_Specs!$C36,Tech_Specs!$C36,(M$157-Sys_Repl_Rate!M144)),0),IF($G$157:$AF$157&lt;=M$157,IF(Tech_Specs!$K36="lamp",System_Mkt_Repl!$F362:$AE362+System_Mkt_NC!$G362:$AF362,Lamp_Mkt_Repl!$G72:$AF72+System_Mkt_NC!$G362:$AF362))))))</f>
        <v>52.931584952925654</v>
      </c>
      <c r="N186" s="373">
        <f t="array" ref="N186">IF(N$157=Misc_Inputs!$D$6,$G110,IF(SUM(IF($G$157:$AF$157&gt;=ROUND(IF((N$157-Sys_Repl_Rate!N144)&lt;Tech_Specs!$C36,Tech_Specs!$C36,(N$157-Sys_Repl_Rate!N144)),0),IF($G$157:$AF$157&lt;=N$157,IF(Tech_Specs!$K36="lamp",System_Mkt_Repl!$F362:$AE362+System_Mkt_NC!$G362:$AF362,Lamp_Mkt_Repl!$G72:$AF72+System_Mkt_NC!$G362:$AF362))))=0,0,SUMPRODUCT(IF($G$157:$AF$157&gt;=ROUND(IF((N$157-Sys_Repl_Rate!N144)&lt;Tech_Specs!$C36,Tech_Specs!$C36,(N$157-Sys_Repl_Rate!N144)),0),IF($G$157:$AF$157&lt;=N$157,$G110:$AF110)),IF(Tech_Specs!$K36="lamp",System_Mkt_Repl!$F362:$AE362+System_Mkt_NC!$G362:$AF362,Lamp_Mkt_Repl!$G72:$AF72+System_Mkt_NC!$G362:$AF362))/SUM(IF($G$157:$AF$157&gt;=ROUND(IF((N$157-Sys_Repl_Rate!N144)&lt;Tech_Specs!$C36,Tech_Specs!$C36,(N$157-Sys_Repl_Rate!N144)),0),IF($G$157:$AF$157&lt;=N$157,IF(Tech_Specs!$K36="lamp",System_Mkt_Repl!$F362:$AE362+System_Mkt_NC!$G362:$AF362,Lamp_Mkt_Repl!$G72:$AF72+System_Mkt_NC!$G362:$AF362))))))</f>
        <v>52.98242157912825</v>
      </c>
      <c r="O186" s="373">
        <f t="array" ref="O186">IF(O$157=Misc_Inputs!$D$6,$G110,IF(SUM(IF($G$157:$AF$157&gt;=ROUND(IF((O$157-Sys_Repl_Rate!O144)&lt;Tech_Specs!$C36,Tech_Specs!$C36,(O$157-Sys_Repl_Rate!O144)),0),IF($G$157:$AF$157&lt;=O$157,IF(Tech_Specs!$K36="lamp",System_Mkt_Repl!$F362:$AE362+System_Mkt_NC!$G362:$AF362,Lamp_Mkt_Repl!$G72:$AF72+System_Mkt_NC!$G362:$AF362))))=0,0,SUMPRODUCT(IF($G$157:$AF$157&gt;=ROUND(IF((O$157-Sys_Repl_Rate!O144)&lt;Tech_Specs!$C36,Tech_Specs!$C36,(O$157-Sys_Repl_Rate!O144)),0),IF($G$157:$AF$157&lt;=O$157,$G110:$AF110)),IF(Tech_Specs!$K36="lamp",System_Mkt_Repl!$F362:$AE362+System_Mkt_NC!$G362:$AF362,Lamp_Mkt_Repl!$G72:$AF72+System_Mkt_NC!$G362:$AF362))/SUM(IF($G$157:$AF$157&gt;=ROUND(IF((O$157-Sys_Repl_Rate!O144)&lt;Tech_Specs!$C36,Tech_Specs!$C36,(O$157-Sys_Repl_Rate!O144)),0),IF($G$157:$AF$157&lt;=O$157,IF(Tech_Specs!$K36="lamp",System_Mkt_Repl!$F362:$AE362+System_Mkt_NC!$G362:$AF362,Lamp_Mkt_Repl!$G72:$AF72+System_Mkt_NC!$G362:$AF362))))))</f>
        <v>53.029977575879037</v>
      </c>
      <c r="P186" s="373">
        <f t="array" ref="P186">IF(P$157=Misc_Inputs!$D$6,$G110,IF(SUM(IF($G$157:$AF$157&gt;=ROUND(IF((P$157-Sys_Repl_Rate!P144)&lt;Tech_Specs!$C36,Tech_Specs!$C36,(P$157-Sys_Repl_Rate!P144)),0),IF($G$157:$AF$157&lt;=P$157,IF(Tech_Specs!$K36="lamp",System_Mkt_Repl!$F362:$AE362+System_Mkt_NC!$G362:$AF362,Lamp_Mkt_Repl!$G72:$AF72+System_Mkt_NC!$G362:$AF362))))=0,0,SUMPRODUCT(IF($G$157:$AF$157&gt;=ROUND(IF((P$157-Sys_Repl_Rate!P144)&lt;Tech_Specs!$C36,Tech_Specs!$C36,(P$157-Sys_Repl_Rate!P144)),0),IF($G$157:$AF$157&lt;=P$157,$G110:$AF110)),IF(Tech_Specs!$K36="lamp",System_Mkt_Repl!$F362:$AE362+System_Mkt_NC!$G362:$AF362,Lamp_Mkt_Repl!$G72:$AF72+System_Mkt_NC!$G362:$AF362))/SUM(IF($G$157:$AF$157&gt;=ROUND(IF((P$157-Sys_Repl_Rate!P144)&lt;Tech_Specs!$C36,Tech_Specs!$C36,(P$157-Sys_Repl_Rate!P144)),0),IF($G$157:$AF$157&lt;=P$157,IF(Tech_Specs!$K36="lamp",System_Mkt_Repl!$F362:$AE362+System_Mkt_NC!$G362:$AF362,Lamp_Mkt_Repl!$G72:$AF72+System_Mkt_NC!$G362:$AF362))))))</f>
        <v>53.07458559654318</v>
      </c>
      <c r="Q186" s="373">
        <f t="array" ref="Q186">IF(Q$157=Misc_Inputs!$D$6,$G110,IF(SUM(IF($G$157:$AF$157&gt;=ROUND(IF((Q$157-Sys_Repl_Rate!Q144)&lt;Tech_Specs!$C36,Tech_Specs!$C36,(Q$157-Sys_Repl_Rate!Q144)),0),IF($G$157:$AF$157&lt;=Q$157,IF(Tech_Specs!$K36="lamp",System_Mkt_Repl!$F362:$AE362+System_Mkt_NC!$G362:$AF362,Lamp_Mkt_Repl!$G72:$AF72+System_Mkt_NC!$G362:$AF362))))=0,0,SUMPRODUCT(IF($G$157:$AF$157&gt;=ROUND(IF((Q$157-Sys_Repl_Rate!Q144)&lt;Tech_Specs!$C36,Tech_Specs!$C36,(Q$157-Sys_Repl_Rate!Q144)),0),IF($G$157:$AF$157&lt;=Q$157,$G110:$AF110)),IF(Tech_Specs!$K36="lamp",System_Mkt_Repl!$F362:$AE362+System_Mkt_NC!$G362:$AF362,Lamp_Mkt_Repl!$G72:$AF72+System_Mkt_NC!$G362:$AF362))/SUM(IF($G$157:$AF$157&gt;=ROUND(IF((Q$157-Sys_Repl_Rate!Q144)&lt;Tech_Specs!$C36,Tech_Specs!$C36,(Q$157-Sys_Repl_Rate!Q144)),0),IF($G$157:$AF$157&lt;=Q$157,IF(Tech_Specs!$K36="lamp",System_Mkt_Repl!$F362:$AE362+System_Mkt_NC!$G362:$AF362,Lamp_Mkt_Repl!$G72:$AF72+System_Mkt_NC!$G362:$AF362))))))</f>
        <v>53.116444537754624</v>
      </c>
      <c r="R186" s="373">
        <f t="array" ref="R186">IF(R$157=Misc_Inputs!$D$6,$G110,IF(SUM(IF($G$157:$AF$157&gt;=ROUND(IF((R$157-Sys_Repl_Rate!R144)&lt;Tech_Specs!$C36,Tech_Specs!$C36,(R$157-Sys_Repl_Rate!R144)),0),IF($G$157:$AF$157&lt;=R$157,IF(Tech_Specs!$K36="lamp",System_Mkt_Repl!$F362:$AE362+System_Mkt_NC!$G362:$AF362,Lamp_Mkt_Repl!$G72:$AF72+System_Mkt_NC!$G362:$AF362))))=0,0,SUMPRODUCT(IF($G$157:$AF$157&gt;=ROUND(IF((R$157-Sys_Repl_Rate!R144)&lt;Tech_Specs!$C36,Tech_Specs!$C36,(R$157-Sys_Repl_Rate!R144)),0),IF($G$157:$AF$157&lt;=R$157,$G110:$AF110)),IF(Tech_Specs!$K36="lamp",System_Mkt_Repl!$F362:$AE362+System_Mkt_NC!$G362:$AF362,Lamp_Mkt_Repl!$G72:$AF72+System_Mkt_NC!$G362:$AF362))/SUM(IF($G$157:$AF$157&gt;=ROUND(IF((R$157-Sys_Repl_Rate!R144)&lt;Tech_Specs!$C36,Tech_Specs!$C36,(R$157-Sys_Repl_Rate!R144)),0),IF($G$157:$AF$157&lt;=R$157,IF(Tech_Specs!$K36="lamp",System_Mkt_Repl!$F362:$AE362+System_Mkt_NC!$G362:$AF362,Lamp_Mkt_Repl!$G72:$AF72+System_Mkt_NC!$G362:$AF362))))))</f>
        <v>53.155717209367559</v>
      </c>
      <c r="S186" s="373">
        <f t="array" ref="S186">IF(S$157=Misc_Inputs!$D$6,$G110,IF(SUM(IF($G$157:$AF$157&gt;=ROUND(IF((S$157-Sys_Repl_Rate!S144)&lt;Tech_Specs!$C36,Tech_Specs!$C36,(S$157-Sys_Repl_Rate!S144)),0),IF($G$157:$AF$157&lt;=S$157,IF(Tech_Specs!$K36="lamp",System_Mkt_Repl!$F362:$AE362+System_Mkt_NC!$G362:$AF362,Lamp_Mkt_Repl!$G72:$AF72+System_Mkt_NC!$G362:$AF362))))=0,0,SUMPRODUCT(IF($G$157:$AF$157&gt;=ROUND(IF((S$157-Sys_Repl_Rate!S144)&lt;Tech_Specs!$C36,Tech_Specs!$C36,(S$157-Sys_Repl_Rate!S144)),0),IF($G$157:$AF$157&lt;=S$157,$G110:$AF110)),IF(Tech_Specs!$K36="lamp",System_Mkt_Repl!$F362:$AE362+System_Mkt_NC!$G362:$AF362,Lamp_Mkt_Repl!$G72:$AF72+System_Mkt_NC!$G362:$AF362))/SUM(IF($G$157:$AF$157&gt;=ROUND(IF((S$157-Sys_Repl_Rate!S144)&lt;Tech_Specs!$C36,Tech_Specs!$C36,(S$157-Sys_Repl_Rate!S144)),0),IF($G$157:$AF$157&lt;=S$157,IF(Tech_Specs!$K36="lamp",System_Mkt_Repl!$F362:$AE362+System_Mkt_NC!$G362:$AF362,Lamp_Mkt_Repl!$G72:$AF72+System_Mkt_NC!$G362:$AF362))))))</f>
        <v>53.192835944070694</v>
      </c>
      <c r="T186" s="373">
        <f t="array" ref="T186">IF(T$157=Misc_Inputs!$D$6,$G110,IF(SUM(IF($G$157:$AF$157&gt;=ROUND(IF((T$157-Sys_Repl_Rate!T144)&lt;Tech_Specs!$C36,Tech_Specs!$C36,(T$157-Sys_Repl_Rate!T144)),0),IF($G$157:$AF$157&lt;=T$157,IF(Tech_Specs!$K36="lamp",System_Mkt_Repl!$F362:$AE362+System_Mkt_NC!$G362:$AF362,Lamp_Mkt_Repl!$G72:$AF72+System_Mkt_NC!$G362:$AF362))))=0,0,SUMPRODUCT(IF($G$157:$AF$157&gt;=ROUND(IF((T$157-Sys_Repl_Rate!T144)&lt;Tech_Specs!$C36,Tech_Specs!$C36,(T$157-Sys_Repl_Rate!T144)),0),IF($G$157:$AF$157&lt;=T$157,$G110:$AF110)),IF(Tech_Specs!$K36="lamp",System_Mkt_Repl!$F362:$AE362+System_Mkt_NC!$G362:$AF362,Lamp_Mkt_Repl!$G72:$AF72+System_Mkt_NC!$G362:$AF362))/SUM(IF($G$157:$AF$157&gt;=ROUND(IF((T$157-Sys_Repl_Rate!T144)&lt;Tech_Specs!$C36,Tech_Specs!$C36,(T$157-Sys_Repl_Rate!T144)),0),IF($G$157:$AF$157&lt;=T$157,IF(Tech_Specs!$K36="lamp",System_Mkt_Repl!$F362:$AE362+System_Mkt_NC!$G362:$AF362,Lamp_Mkt_Repl!$G72:$AF72+System_Mkt_NC!$G362:$AF362))))))</f>
        <v>53.227994377616859</v>
      </c>
      <c r="U186" s="373">
        <f t="array" ref="U186">IF(U$157=Misc_Inputs!$D$6,$G110,IF(SUM(IF($G$157:$AF$157&gt;=ROUND(IF((U$157-Sys_Repl_Rate!U144)&lt;Tech_Specs!$C36,Tech_Specs!$C36,(U$157-Sys_Repl_Rate!U144)),0),IF($G$157:$AF$157&lt;=U$157,IF(Tech_Specs!$K36="lamp",System_Mkt_Repl!$F362:$AE362+System_Mkt_NC!$G362:$AF362,Lamp_Mkt_Repl!$G72:$AF72+System_Mkt_NC!$G362:$AF362))))=0,0,SUMPRODUCT(IF($G$157:$AF$157&gt;=ROUND(IF((U$157-Sys_Repl_Rate!U144)&lt;Tech_Specs!$C36,Tech_Specs!$C36,(U$157-Sys_Repl_Rate!U144)),0),IF($G$157:$AF$157&lt;=U$157,$G110:$AF110)),IF(Tech_Specs!$K36="lamp",System_Mkt_Repl!$F362:$AE362+System_Mkt_NC!$G362:$AF362,Lamp_Mkt_Repl!$G72:$AF72+System_Mkt_NC!$G362:$AF362))/SUM(IF($G$157:$AF$157&gt;=ROUND(IF((U$157-Sys_Repl_Rate!U144)&lt;Tech_Specs!$C36,Tech_Specs!$C36,(U$157-Sys_Repl_Rate!U144)),0),IF($G$157:$AF$157&lt;=U$157,IF(Tech_Specs!$K36="lamp",System_Mkt_Repl!$F362:$AE362+System_Mkt_NC!$G362:$AF362,Lamp_Mkt_Repl!$G72:$AF72+System_Mkt_NC!$G362:$AF362))))))</f>
        <v>53.261361877093371</v>
      </c>
      <c r="V186" s="373">
        <f t="array" ref="V186">IF(V$157=Misc_Inputs!$D$6,$G110,IF(SUM(IF($G$157:$AF$157&gt;=ROUND(IF((V$157-Sys_Repl_Rate!V144)&lt;Tech_Specs!$C36,Tech_Specs!$C36,(V$157-Sys_Repl_Rate!V144)),0),IF($G$157:$AF$157&lt;=V$157,IF(Tech_Specs!$K36="lamp",System_Mkt_Repl!$F362:$AE362+System_Mkt_NC!$G362:$AF362,Lamp_Mkt_Repl!$G72:$AF72+System_Mkt_NC!$G362:$AF362))))=0,0,SUMPRODUCT(IF($G$157:$AF$157&gt;=ROUND(IF((V$157-Sys_Repl_Rate!V144)&lt;Tech_Specs!$C36,Tech_Specs!$C36,(V$157-Sys_Repl_Rate!V144)),0),IF($G$157:$AF$157&lt;=V$157,$G110:$AF110)),IF(Tech_Specs!$K36="lamp",System_Mkt_Repl!$F362:$AE362+System_Mkt_NC!$G362:$AF362,Lamp_Mkt_Repl!$G72:$AF72+System_Mkt_NC!$G362:$AF362))/SUM(IF($G$157:$AF$157&gt;=ROUND(IF((V$157-Sys_Repl_Rate!V144)&lt;Tech_Specs!$C36,Tech_Specs!$C36,(V$157-Sys_Repl_Rate!V144)),0),IF($G$157:$AF$157&lt;=V$157,IF(Tech_Specs!$K36="lamp",System_Mkt_Repl!$F362:$AE362+System_Mkt_NC!$G362:$AF362,Lamp_Mkt_Repl!$G72:$AF72+System_Mkt_NC!$G362:$AF362))))))</f>
        <v>53.293202616477203</v>
      </c>
      <c r="W186" s="373">
        <f t="array" ref="W186">IF(W$157=Misc_Inputs!$D$6,$G110,IF(SUM(IF($G$157:$AF$157&gt;=ROUND(IF((W$157-Sys_Repl_Rate!W144)&lt;Tech_Specs!$C36,Tech_Specs!$C36,(W$157-Sys_Repl_Rate!W144)),0),IF($G$157:$AF$157&lt;=W$157,IF(Tech_Specs!$K36="lamp",System_Mkt_Repl!$F362:$AE362+System_Mkt_NC!$G362:$AF362,Lamp_Mkt_Repl!$G72:$AF72+System_Mkt_NC!$G362:$AF362))))=0,0,SUMPRODUCT(IF($G$157:$AF$157&gt;=ROUND(IF((W$157-Sys_Repl_Rate!W144)&lt;Tech_Specs!$C36,Tech_Specs!$C36,(W$157-Sys_Repl_Rate!W144)),0),IF($G$157:$AF$157&lt;=W$157,$G110:$AF110)),IF(Tech_Specs!$K36="lamp",System_Mkt_Repl!$F362:$AE362+System_Mkt_NC!$G362:$AF362,Lamp_Mkt_Repl!$G72:$AF72+System_Mkt_NC!$G362:$AF362))/SUM(IF($G$157:$AF$157&gt;=ROUND(IF((W$157-Sys_Repl_Rate!W144)&lt;Tech_Specs!$C36,Tech_Specs!$C36,(W$157-Sys_Repl_Rate!W144)),0),IF($G$157:$AF$157&lt;=W$157,IF(Tech_Specs!$K36="lamp",System_Mkt_Repl!$F362:$AE362+System_Mkt_NC!$G362:$AF362,Lamp_Mkt_Repl!$G72:$AF72+System_Mkt_NC!$G362:$AF362))))))</f>
        <v>53.323580676351867</v>
      </c>
      <c r="X186" s="373">
        <f t="array" ref="X186">IF(X$157=Misc_Inputs!$D$6,$G110,IF(SUM(IF($G$157:$AF$157&gt;=ROUND(IF((X$157-Sys_Repl_Rate!X144)&lt;Tech_Specs!$C36,Tech_Specs!$C36,(X$157-Sys_Repl_Rate!X144)),0),IF($G$157:$AF$157&lt;=X$157,IF(Tech_Specs!$K36="lamp",System_Mkt_Repl!$F362:$AE362+System_Mkt_NC!$G362:$AF362,Lamp_Mkt_Repl!$G72:$AF72+System_Mkt_NC!$G362:$AF362))))=0,0,SUMPRODUCT(IF($G$157:$AF$157&gt;=ROUND(IF((X$157-Sys_Repl_Rate!X144)&lt;Tech_Specs!$C36,Tech_Specs!$C36,(X$157-Sys_Repl_Rate!X144)),0),IF($G$157:$AF$157&lt;=X$157,$G110:$AF110)),IF(Tech_Specs!$K36="lamp",System_Mkt_Repl!$F362:$AE362+System_Mkt_NC!$G362:$AF362,Lamp_Mkt_Repl!$G72:$AF72+System_Mkt_NC!$G362:$AF362))/SUM(IF($G$157:$AF$157&gt;=ROUND(IF((X$157-Sys_Repl_Rate!X144)&lt;Tech_Specs!$C36,Tech_Specs!$C36,(X$157-Sys_Repl_Rate!X144)),0),IF($G$157:$AF$157&lt;=X$157,IF(Tech_Specs!$K36="lamp",System_Mkt_Repl!$F362:$AE362+System_Mkt_NC!$G362:$AF362,Lamp_Mkt_Repl!$G72:$AF72+System_Mkt_NC!$G362:$AF362))))))</f>
        <v>53.352543775775395</v>
      </c>
      <c r="Y186" s="373">
        <f t="array" ref="Y186">IF(Y$157=Misc_Inputs!$D$6,$G110,IF(SUM(IF($G$157:$AF$157&gt;=ROUND(IF((Y$157-Sys_Repl_Rate!Y144)&lt;Tech_Specs!$C36,Tech_Specs!$C36,(Y$157-Sys_Repl_Rate!Y144)),0),IF($G$157:$AF$157&lt;=Y$157,IF(Tech_Specs!$K36="lamp",System_Mkt_Repl!$F362:$AE362+System_Mkt_NC!$G362:$AF362,Lamp_Mkt_Repl!$G72:$AF72+System_Mkt_NC!$G362:$AF362))))=0,0,SUMPRODUCT(IF($G$157:$AF$157&gt;=ROUND(IF((Y$157-Sys_Repl_Rate!Y144)&lt;Tech_Specs!$C36,Tech_Specs!$C36,(Y$157-Sys_Repl_Rate!Y144)),0),IF($G$157:$AF$157&lt;=Y$157,$G110:$AF110)),IF(Tech_Specs!$K36="lamp",System_Mkt_Repl!$F362:$AE362+System_Mkt_NC!$G362:$AF362,Lamp_Mkt_Repl!$G72:$AF72+System_Mkt_NC!$G362:$AF362))/SUM(IF($G$157:$AF$157&gt;=ROUND(IF((Y$157-Sys_Repl_Rate!Y144)&lt;Tech_Specs!$C36,Tech_Specs!$C36,(Y$157-Sys_Repl_Rate!Y144)),0),IF($G$157:$AF$157&lt;=Y$157,IF(Tech_Specs!$K36="lamp",System_Mkt_Repl!$F362:$AE362+System_Mkt_NC!$G362:$AF362,Lamp_Mkt_Repl!$G72:$AF72+System_Mkt_NC!$G362:$AF362))))))</f>
        <v>53.380147006290109</v>
      </c>
      <c r="Z186" s="373">
        <f t="array" ref="Z186">IF(Z$157=Misc_Inputs!$D$6,$G110,IF(SUM(IF($G$157:$AF$157&gt;=ROUND(IF((Z$157-Sys_Repl_Rate!Z144)&lt;Tech_Specs!$C36,Tech_Specs!$C36,(Z$157-Sys_Repl_Rate!Z144)),0),IF($G$157:$AF$157&lt;=Z$157,IF(Tech_Specs!$K36="lamp",System_Mkt_Repl!$F362:$AE362+System_Mkt_NC!$G362:$AF362,Lamp_Mkt_Repl!$G72:$AF72+System_Mkt_NC!$G362:$AF362))))=0,0,SUMPRODUCT(IF($G$157:$AF$157&gt;=ROUND(IF((Z$157-Sys_Repl_Rate!Z144)&lt;Tech_Specs!$C36,Tech_Specs!$C36,(Z$157-Sys_Repl_Rate!Z144)),0),IF($G$157:$AF$157&lt;=Z$157,$G110:$AF110)),IF(Tech_Specs!$K36="lamp",System_Mkt_Repl!$F362:$AE362+System_Mkt_NC!$G362:$AF362,Lamp_Mkt_Repl!$G72:$AF72+System_Mkt_NC!$G362:$AF362))/SUM(IF($G$157:$AF$157&gt;=ROUND(IF((Z$157-Sys_Repl_Rate!Z144)&lt;Tech_Specs!$C36,Tech_Specs!$C36,(Z$157-Sys_Repl_Rate!Z144)),0),IF($G$157:$AF$157&lt;=Z$157,IF(Tech_Specs!$K36="lamp",System_Mkt_Repl!$F362:$AE362+System_Mkt_NC!$G362:$AF362,Lamp_Mkt_Repl!$G72:$AF72+System_Mkt_NC!$G362:$AF362))))))</f>
        <v>53.406524140532071</v>
      </c>
      <c r="AA186" s="373">
        <f t="array" ref="AA186">IF(AA$157=Misc_Inputs!$D$6,$G110,IF(SUM(IF($G$157:$AF$157&gt;=ROUND(IF((AA$157-Sys_Repl_Rate!AA144)&lt;Tech_Specs!$C36,Tech_Specs!$C36,(AA$157-Sys_Repl_Rate!AA144)),0),IF($G$157:$AF$157&lt;=AA$157,IF(Tech_Specs!$K36="lamp",System_Mkt_Repl!$F362:$AE362+System_Mkt_NC!$G362:$AF362,Lamp_Mkt_Repl!$G72:$AF72+System_Mkt_NC!$G362:$AF362))))=0,0,SUMPRODUCT(IF($G$157:$AF$157&gt;=ROUND(IF((AA$157-Sys_Repl_Rate!AA144)&lt;Tech_Specs!$C36,Tech_Specs!$C36,(AA$157-Sys_Repl_Rate!AA144)),0),IF($G$157:$AF$157&lt;=AA$157,$G110:$AF110)),IF(Tech_Specs!$K36="lamp",System_Mkt_Repl!$F362:$AE362+System_Mkt_NC!$G362:$AF362,Lamp_Mkt_Repl!$G72:$AF72+System_Mkt_NC!$G362:$AF362))/SUM(IF($G$157:$AF$157&gt;=ROUND(IF((AA$157-Sys_Repl_Rate!AA144)&lt;Tech_Specs!$C36,Tech_Specs!$C36,(AA$157-Sys_Repl_Rate!AA144)),0),IF($G$157:$AF$157&lt;=AA$157,IF(Tech_Specs!$K36="lamp",System_Mkt_Repl!$F362:$AE362+System_Mkt_NC!$G362:$AF362,Lamp_Mkt_Repl!$G72:$AF72+System_Mkt_NC!$G362:$AF362))))))</f>
        <v>53.431812119453795</v>
      </c>
      <c r="AB186" s="373">
        <f t="array" ref="AB186">IF(AB$157=Misc_Inputs!$D$6,$G110,IF(SUM(IF($G$157:$AF$157&gt;=ROUND(IF((AB$157-Sys_Repl_Rate!AB144)&lt;Tech_Specs!$C36,Tech_Specs!$C36,(AB$157-Sys_Repl_Rate!AB144)),0),IF($G$157:$AF$157&lt;=AB$157,IF(Tech_Specs!$K36="lamp",System_Mkt_Repl!$F362:$AE362+System_Mkt_NC!$G362:$AF362,Lamp_Mkt_Repl!$G72:$AF72+System_Mkt_NC!$G362:$AF362))))=0,0,SUMPRODUCT(IF($G$157:$AF$157&gt;=ROUND(IF((AB$157-Sys_Repl_Rate!AB144)&lt;Tech_Specs!$C36,Tech_Specs!$C36,(AB$157-Sys_Repl_Rate!AB144)),0),IF($G$157:$AF$157&lt;=AB$157,$G110:$AF110)),IF(Tech_Specs!$K36="lamp",System_Mkt_Repl!$F362:$AE362+System_Mkt_NC!$G362:$AF362,Lamp_Mkt_Repl!$G72:$AF72+System_Mkt_NC!$G362:$AF362))/SUM(IF($G$157:$AF$157&gt;=ROUND(IF((AB$157-Sys_Repl_Rate!AB144)&lt;Tech_Specs!$C36,Tech_Specs!$C36,(AB$157-Sys_Repl_Rate!AB144)),0),IF($G$157:$AF$157&lt;=AB$157,IF(Tech_Specs!$K36="lamp",System_Mkt_Repl!$F362:$AE362+System_Mkt_NC!$G362:$AF362,Lamp_Mkt_Repl!$G72:$AF72+System_Mkt_NC!$G362:$AF362))))))</f>
        <v>53.45611775719744</v>
      </c>
      <c r="AC186" s="373">
        <f t="array" ref="AC186">IF(AC$157=Misc_Inputs!$D$6,$G110,IF(SUM(IF($G$157:$AF$157&gt;=ROUND(IF((AC$157-Sys_Repl_Rate!AC144)&lt;Tech_Specs!$C36,Tech_Specs!$C36,(AC$157-Sys_Repl_Rate!AC144)),0),IF($G$157:$AF$157&lt;=AC$157,IF(Tech_Specs!$K36="lamp",System_Mkt_Repl!$F362:$AE362+System_Mkt_NC!$G362:$AF362,Lamp_Mkt_Repl!$G72:$AF72+System_Mkt_NC!$G362:$AF362))))=0,0,SUMPRODUCT(IF($G$157:$AF$157&gt;=ROUND(IF((AC$157-Sys_Repl_Rate!AC144)&lt;Tech_Specs!$C36,Tech_Specs!$C36,(AC$157-Sys_Repl_Rate!AC144)),0),IF($G$157:$AF$157&lt;=AC$157,$G110:$AF110)),IF(Tech_Specs!$K36="lamp",System_Mkt_Repl!$F362:$AE362+System_Mkt_NC!$G362:$AF362,Lamp_Mkt_Repl!$G72:$AF72+System_Mkt_NC!$G362:$AF362))/SUM(IF($G$157:$AF$157&gt;=ROUND(IF((AC$157-Sys_Repl_Rate!AC144)&lt;Tech_Specs!$C36,Tech_Specs!$C36,(AC$157-Sys_Repl_Rate!AC144)),0),IF($G$157:$AF$157&lt;=AC$157,IF(Tech_Specs!$K36="lamp",System_Mkt_Repl!$F362:$AE362+System_Mkt_NC!$G362:$AF362,Lamp_Mkt_Repl!$G72:$AF72+System_Mkt_NC!$G362:$AF362))))))</f>
        <v>53.575635450747178</v>
      </c>
      <c r="AD186" s="373">
        <f t="array" ref="AD186">IF(AD$157=Misc_Inputs!$D$6,$G110,IF(SUM(IF($G$157:$AF$157&gt;=ROUND(IF((AD$157-Sys_Repl_Rate!AD144)&lt;Tech_Specs!$C36,Tech_Specs!$C36,(AD$157-Sys_Repl_Rate!AD144)),0),IF($G$157:$AF$157&lt;=AD$157,IF(Tech_Specs!$K36="lamp",System_Mkt_Repl!$F362:$AE362+System_Mkt_NC!$G362:$AF362,Lamp_Mkt_Repl!$G72:$AF72+System_Mkt_NC!$G362:$AF362))))=0,0,SUMPRODUCT(IF($G$157:$AF$157&gt;=ROUND(IF((AD$157-Sys_Repl_Rate!AD144)&lt;Tech_Specs!$C36,Tech_Specs!$C36,(AD$157-Sys_Repl_Rate!AD144)),0),IF($G$157:$AF$157&lt;=AD$157,$G110:$AF110)),IF(Tech_Specs!$K36="lamp",System_Mkt_Repl!$F362:$AE362+System_Mkt_NC!$G362:$AF362,Lamp_Mkt_Repl!$G72:$AF72+System_Mkt_NC!$G362:$AF362))/SUM(IF($G$157:$AF$157&gt;=ROUND(IF((AD$157-Sys_Repl_Rate!AD144)&lt;Tech_Specs!$C36,Tech_Specs!$C36,(AD$157-Sys_Repl_Rate!AD144)),0),IF($G$157:$AF$157&lt;=AD$157,IF(Tech_Specs!$K36="lamp",System_Mkt_Repl!$F362:$AE362+System_Mkt_NC!$G362:$AF362,Lamp_Mkt_Repl!$G72:$AF72+System_Mkt_NC!$G362:$AF362))))))</f>
        <v>53.702039370471759</v>
      </c>
      <c r="AE186" s="373">
        <f t="array" ref="AE186">IF(AE$157=Misc_Inputs!$D$6,$G110,IF(SUM(IF($G$157:$AF$157&gt;=ROUND(IF((AE$157-Sys_Repl_Rate!AE144)&lt;Tech_Specs!$C36,Tech_Specs!$C36,(AE$157-Sys_Repl_Rate!AE144)),0),IF($G$157:$AF$157&lt;=AE$157,IF(Tech_Specs!$K36="lamp",System_Mkt_Repl!$F362:$AE362+System_Mkt_NC!$G362:$AF362,Lamp_Mkt_Repl!$G72:$AF72+System_Mkt_NC!$G362:$AF362))))=0,0,SUMPRODUCT(IF($G$157:$AF$157&gt;=ROUND(IF((AE$157-Sys_Repl_Rate!AE144)&lt;Tech_Specs!$C36,Tech_Specs!$C36,(AE$157-Sys_Repl_Rate!AE144)),0),IF($G$157:$AF$157&lt;=AE$157,$G110:$AF110)),IF(Tech_Specs!$K36="lamp",System_Mkt_Repl!$F362:$AE362+System_Mkt_NC!$G362:$AF362,Lamp_Mkt_Repl!$G72:$AF72+System_Mkt_NC!$G362:$AF362))/SUM(IF($G$157:$AF$157&gt;=ROUND(IF((AE$157-Sys_Repl_Rate!AE144)&lt;Tech_Specs!$C36,Tech_Specs!$C36,(AE$157-Sys_Repl_Rate!AE144)),0),IF($G$157:$AF$157&lt;=AE$157,IF(Tech_Specs!$K36="lamp",System_Mkt_Repl!$F362:$AE362+System_Mkt_NC!$G362:$AF362,Lamp_Mkt_Repl!$G72:$AF72+System_Mkt_NC!$G362:$AF362))))))</f>
        <v>53.834646260292459</v>
      </c>
      <c r="AF186" s="373">
        <f t="array" ref="AF186">IF(AF$157=Misc_Inputs!$D$6,$G110,IF(SUM(IF($G$157:$AF$157&gt;=ROUND(IF((AF$157-Sys_Repl_Rate!AF144)&lt;Tech_Specs!$C36,Tech_Specs!$C36,(AF$157-Sys_Repl_Rate!AF144)),0),IF($G$157:$AF$157&lt;=AF$157,IF(Tech_Specs!$K36="lamp",System_Mkt_Repl!$F362:$AE362+System_Mkt_NC!$G362:$AF362,Lamp_Mkt_Repl!$G72:$AF72+System_Mkt_NC!$G362:$AF362))))=0,0,SUMPRODUCT(IF($G$157:$AF$157&gt;=ROUND(IF((AF$157-Sys_Repl_Rate!AF144)&lt;Tech_Specs!$C36,Tech_Specs!$C36,(AF$157-Sys_Repl_Rate!AF144)),0),IF($G$157:$AF$157&lt;=AF$157,$G110:$AF110)),IF(Tech_Specs!$K36="lamp",System_Mkt_Repl!$F362:$AE362+System_Mkt_NC!$G362:$AF362,Lamp_Mkt_Repl!$G72:$AF72+System_Mkt_NC!$G362:$AF362))/SUM(IF($G$157:$AF$157&gt;=ROUND(IF((AF$157-Sys_Repl_Rate!AF144)&lt;Tech_Specs!$C36,Tech_Specs!$C36,(AF$157-Sys_Repl_Rate!AF144)),0),IF($G$157:$AF$157&lt;=AF$157,IF(Tech_Specs!$K36="lamp",System_Mkt_Repl!$F362:$AE362+System_Mkt_NC!$G362:$AF362,Lamp_Mkt_Repl!$G72:$AF72+System_Mkt_NC!$G362:$AF362))))))</f>
        <v>53.971152072998819</v>
      </c>
    </row>
    <row r="187" spans="1:32" s="101" customFormat="1" ht="12.75" x14ac:dyDescent="0.2">
      <c r="A187" s="81"/>
      <c r="B187" s="81" t="s">
        <v>52</v>
      </c>
      <c r="C187" s="81"/>
      <c r="D187" s="550"/>
      <c r="E187" s="550"/>
      <c r="F187" s="550"/>
      <c r="G187" s="373">
        <f t="array" ref="G187">IF(G$157=Misc_Inputs!$D$6,$G111,IF(SUM(IF($G$157:$AF$157&gt;=ROUND(IF((G$157-Sys_Repl_Rate!G145)&lt;Tech_Specs!$C37,Tech_Specs!$C37,(G$157-Sys_Repl_Rate!G145)),0),IF($G$157:$AF$157&lt;=G$157,IF(Tech_Specs!$K37="lamp",System_Mkt_Repl!$F363:$AE363+System_Mkt_NC!$G363:$AF363,Lamp_Mkt_Repl!$G73:$AF73+System_Mkt_NC!$G363:$AF363))))=0,0,SUMPRODUCT(IF($G$157:$AF$157&gt;=ROUND(IF((G$157-Sys_Repl_Rate!G145)&lt;Tech_Specs!$C37,Tech_Specs!$C37,(G$157-Sys_Repl_Rate!G145)),0),IF($G$157:$AF$157&lt;=G$157,$G111:$AF111)),IF(Tech_Specs!$K37="lamp",System_Mkt_Repl!$F363:$AE363+System_Mkt_NC!$G363:$AF363,Lamp_Mkt_Repl!$G73:$AF73+System_Mkt_NC!$G363:$AF363))/SUM(IF($G$157:$AF$157&gt;=ROUND(IF((G$157-Sys_Repl_Rate!G145)&lt;Tech_Specs!$C37,Tech_Specs!$C37,(G$157-Sys_Repl_Rate!G145)),0),IF($G$157:$AF$157&lt;=G$157,IF(Tech_Specs!$K37="lamp",System_Mkt_Repl!$F363:$AE363+System_Mkt_NC!$G363:$AF363,Lamp_Mkt_Repl!$G73:$AF73+System_Mkt_NC!$G363:$AF363))))))</f>
        <v>71.90366972477068</v>
      </c>
      <c r="H187" s="373">
        <f t="array" ref="H187">IF(H$157=Misc_Inputs!$D$6,$G111,IF(SUM(IF($G$157:$AF$157&gt;=ROUND(IF((H$157-Sys_Repl_Rate!H145)&lt;Tech_Specs!$C37,Tech_Specs!$C37,(H$157-Sys_Repl_Rate!H145)),0),IF($G$157:$AF$157&lt;=H$157,IF(Tech_Specs!$K37="lamp",System_Mkt_Repl!$F363:$AE363+System_Mkt_NC!$G363:$AF363,Lamp_Mkt_Repl!$G73:$AF73+System_Mkt_NC!$G363:$AF363))))=0,0,SUMPRODUCT(IF($G$157:$AF$157&gt;=ROUND(IF((H$157-Sys_Repl_Rate!H145)&lt;Tech_Specs!$C37,Tech_Specs!$C37,(H$157-Sys_Repl_Rate!H145)),0),IF($G$157:$AF$157&lt;=H$157,$G111:$AF111)),IF(Tech_Specs!$K37="lamp",System_Mkt_Repl!$F363:$AE363+System_Mkt_NC!$G363:$AF363,Lamp_Mkt_Repl!$G73:$AF73+System_Mkt_NC!$G363:$AF363))/SUM(IF($G$157:$AF$157&gt;=ROUND(IF((H$157-Sys_Repl_Rate!H145)&lt;Tech_Specs!$C37,Tech_Specs!$C37,(H$157-Sys_Repl_Rate!H145)),0),IF($G$157:$AF$157&lt;=H$157,IF(Tech_Specs!$K37="lamp",System_Mkt_Repl!$F363:$AE363+System_Mkt_NC!$G363:$AF363,Lamp_Mkt_Repl!$G73:$AF73+System_Mkt_NC!$G363:$AF363))))))</f>
        <v>72.083428899082605</v>
      </c>
      <c r="I187" s="373">
        <f t="array" ref="I187">IF(I$157=Misc_Inputs!$D$6,$G111,IF(SUM(IF($G$157:$AF$157&gt;=ROUND(IF((I$157-Sys_Repl_Rate!I145)&lt;Tech_Specs!$C37,Tech_Specs!$C37,(I$157-Sys_Repl_Rate!I145)),0),IF($G$157:$AF$157&lt;=I$157,IF(Tech_Specs!$K37="lamp",System_Mkt_Repl!$F363:$AE363+System_Mkt_NC!$G363:$AF363,Lamp_Mkt_Repl!$G73:$AF73+System_Mkt_NC!$G363:$AF363))))=0,0,SUMPRODUCT(IF($G$157:$AF$157&gt;=ROUND(IF((I$157-Sys_Repl_Rate!I145)&lt;Tech_Specs!$C37,Tech_Specs!$C37,(I$157-Sys_Repl_Rate!I145)),0),IF($G$157:$AF$157&lt;=I$157,$G111:$AF111)),IF(Tech_Specs!$K37="lamp",System_Mkt_Repl!$F363:$AE363+System_Mkt_NC!$G363:$AF363,Lamp_Mkt_Repl!$G73:$AF73+System_Mkt_NC!$G363:$AF363))/SUM(IF($G$157:$AF$157&gt;=ROUND(IF((I$157-Sys_Repl_Rate!I145)&lt;Tech_Specs!$C37,Tech_Specs!$C37,(I$157-Sys_Repl_Rate!I145)),0),IF($G$157:$AF$157&lt;=I$157,IF(Tech_Specs!$K37="lamp",System_Mkt_Repl!$F363:$AE363+System_Mkt_NC!$G363:$AF363,Lamp_Mkt_Repl!$G73:$AF73+System_Mkt_NC!$G363:$AF363))))))</f>
        <v>72.170449873364248</v>
      </c>
      <c r="J187" s="373">
        <f t="array" ref="J187">IF(J$157=Misc_Inputs!$D$6,$G111,IF(SUM(IF($G$157:$AF$157&gt;=ROUND(IF((J$157-Sys_Repl_Rate!J145)&lt;Tech_Specs!$C37,Tech_Specs!$C37,(J$157-Sys_Repl_Rate!J145)),0),IF($G$157:$AF$157&lt;=J$157,IF(Tech_Specs!$K37="lamp",System_Mkt_Repl!$F363:$AE363+System_Mkt_NC!$G363:$AF363,Lamp_Mkt_Repl!$G73:$AF73+System_Mkt_NC!$G363:$AF363))))=0,0,SUMPRODUCT(IF($G$157:$AF$157&gt;=ROUND(IF((J$157-Sys_Repl_Rate!J145)&lt;Tech_Specs!$C37,Tech_Specs!$C37,(J$157-Sys_Repl_Rate!J145)),0),IF($G$157:$AF$157&lt;=J$157,$G111:$AF111)),IF(Tech_Specs!$K37="lamp",System_Mkt_Repl!$F363:$AE363+System_Mkt_NC!$G363:$AF363,Lamp_Mkt_Repl!$G73:$AF73+System_Mkt_NC!$G363:$AF363))/SUM(IF($G$157:$AF$157&gt;=ROUND(IF((J$157-Sys_Repl_Rate!J145)&lt;Tech_Specs!$C37,Tech_Specs!$C37,(J$157-Sys_Repl_Rate!J145)),0),IF($G$157:$AF$157&lt;=J$157,IF(Tech_Specs!$K37="lamp",System_Mkt_Repl!$F363:$AE363+System_Mkt_NC!$G363:$AF363,Lamp_Mkt_Repl!$G73:$AF73+System_Mkt_NC!$G363:$AF363))))))</f>
        <v>72.253180353030942</v>
      </c>
      <c r="K187" s="373">
        <f t="array" ref="K187">IF(K$157=Misc_Inputs!$D$6,$G111,IF(SUM(IF($G$157:$AF$157&gt;=ROUND(IF((K$157-Sys_Repl_Rate!K145)&lt;Tech_Specs!$C37,Tech_Specs!$C37,(K$157-Sys_Repl_Rate!K145)),0),IF($G$157:$AF$157&lt;=K$157,IF(Tech_Specs!$K37="lamp",System_Mkt_Repl!$F363:$AE363+System_Mkt_NC!$G363:$AF363,Lamp_Mkt_Repl!$G73:$AF73+System_Mkt_NC!$G363:$AF363))))=0,0,SUMPRODUCT(IF($G$157:$AF$157&gt;=ROUND(IF((K$157-Sys_Repl_Rate!K145)&lt;Tech_Specs!$C37,Tech_Specs!$C37,(K$157-Sys_Repl_Rate!K145)),0),IF($G$157:$AF$157&lt;=K$157,$G111:$AF111)),IF(Tech_Specs!$K37="lamp",System_Mkt_Repl!$F363:$AE363+System_Mkt_NC!$G363:$AF363,Lamp_Mkt_Repl!$G73:$AF73+System_Mkt_NC!$G363:$AF363))/SUM(IF($G$157:$AF$157&gt;=ROUND(IF((K$157-Sys_Repl_Rate!K145)&lt;Tech_Specs!$C37,Tech_Specs!$C37,(K$157-Sys_Repl_Rate!K145)),0),IF($G$157:$AF$157&lt;=K$157,IF(Tech_Specs!$K37="lamp",System_Mkt_Repl!$F363:$AE363+System_Mkt_NC!$G363:$AF363,Lamp_Mkt_Repl!$G73:$AF73+System_Mkt_NC!$G363:$AF363))))))</f>
        <v>72.330545819502973</v>
      </c>
      <c r="L187" s="373">
        <f t="array" ref="L187">IF(L$157=Misc_Inputs!$D$6,$G111,IF(SUM(IF($G$157:$AF$157&gt;=ROUND(IF((L$157-Sys_Repl_Rate!L145)&lt;Tech_Specs!$C37,Tech_Specs!$C37,(L$157-Sys_Repl_Rate!L145)),0),IF($G$157:$AF$157&lt;=L$157,IF(Tech_Specs!$K37="lamp",System_Mkt_Repl!$F363:$AE363+System_Mkt_NC!$G363:$AF363,Lamp_Mkt_Repl!$G73:$AF73+System_Mkt_NC!$G363:$AF363))))=0,0,SUMPRODUCT(IF($G$157:$AF$157&gt;=ROUND(IF((L$157-Sys_Repl_Rate!L145)&lt;Tech_Specs!$C37,Tech_Specs!$C37,(L$157-Sys_Repl_Rate!L145)),0),IF($G$157:$AF$157&lt;=L$157,$G111:$AF111)),IF(Tech_Specs!$K37="lamp",System_Mkt_Repl!$F363:$AE363+System_Mkt_NC!$G363:$AF363,Lamp_Mkt_Repl!$G73:$AF73+System_Mkt_NC!$G363:$AF363))/SUM(IF($G$157:$AF$157&gt;=ROUND(IF((L$157-Sys_Repl_Rate!L145)&lt;Tech_Specs!$C37,Tech_Specs!$C37,(L$157-Sys_Repl_Rate!L145)),0),IF($G$157:$AF$157&lt;=L$157,IF(Tech_Specs!$K37="lamp",System_Mkt_Repl!$F363:$AE363+System_Mkt_NC!$G363:$AF363,Lamp_Mkt_Repl!$G73:$AF73+System_Mkt_NC!$G363:$AF363))))))</f>
        <v>72.403290531280149</v>
      </c>
      <c r="M187" s="373">
        <f t="array" ref="M187">IF(M$157=Misc_Inputs!$D$6,$G111,IF(SUM(IF($G$157:$AF$157&gt;=ROUND(IF((M$157-Sys_Repl_Rate!M145)&lt;Tech_Specs!$C37,Tech_Specs!$C37,(M$157-Sys_Repl_Rate!M145)),0),IF($G$157:$AF$157&lt;=M$157,IF(Tech_Specs!$K37="lamp",System_Mkt_Repl!$F363:$AE363+System_Mkt_NC!$G363:$AF363,Lamp_Mkt_Repl!$G73:$AF73+System_Mkt_NC!$G363:$AF363))))=0,0,SUMPRODUCT(IF($G$157:$AF$157&gt;=ROUND(IF((M$157-Sys_Repl_Rate!M145)&lt;Tech_Specs!$C37,Tech_Specs!$C37,(M$157-Sys_Repl_Rate!M145)),0),IF($G$157:$AF$157&lt;=M$157,$G111:$AF111)),IF(Tech_Specs!$K37="lamp",System_Mkt_Repl!$F363:$AE363+System_Mkt_NC!$G363:$AF363,Lamp_Mkt_Repl!$G73:$AF73+System_Mkt_NC!$G363:$AF363))/SUM(IF($G$157:$AF$157&gt;=ROUND(IF((M$157-Sys_Repl_Rate!M145)&lt;Tech_Specs!$C37,Tech_Specs!$C37,(M$157-Sys_Repl_Rate!M145)),0),IF($G$157:$AF$157&lt;=M$157,IF(Tech_Specs!$K37="lamp",System_Mkt_Repl!$F363:$AE363+System_Mkt_NC!$G363:$AF363,Lamp_Mkt_Repl!$G73:$AF73+System_Mkt_NC!$G363:$AF363))))))</f>
        <v>72.471859174693989</v>
      </c>
      <c r="N187" s="373">
        <f t="array" ref="N187">IF(N$157=Misc_Inputs!$D$6,$G111,IF(SUM(IF($G$157:$AF$157&gt;=ROUND(IF((N$157-Sys_Repl_Rate!N145)&lt;Tech_Specs!$C37,Tech_Specs!$C37,(N$157-Sys_Repl_Rate!N145)),0),IF($G$157:$AF$157&lt;=N$157,IF(Tech_Specs!$K37="lamp",System_Mkt_Repl!$F363:$AE363+System_Mkt_NC!$G363:$AF363,Lamp_Mkt_Repl!$G73:$AF73+System_Mkt_NC!$G363:$AF363))))=0,0,SUMPRODUCT(IF($G$157:$AF$157&gt;=ROUND(IF((N$157-Sys_Repl_Rate!N145)&lt;Tech_Specs!$C37,Tech_Specs!$C37,(N$157-Sys_Repl_Rate!N145)),0),IF($G$157:$AF$157&lt;=N$157,$G111:$AF111)),IF(Tech_Specs!$K37="lamp",System_Mkt_Repl!$F363:$AE363+System_Mkt_NC!$G363:$AF363,Lamp_Mkt_Repl!$G73:$AF73+System_Mkt_NC!$G363:$AF363))/SUM(IF($G$157:$AF$157&gt;=ROUND(IF((N$157-Sys_Repl_Rate!N145)&lt;Tech_Specs!$C37,Tech_Specs!$C37,(N$157-Sys_Repl_Rate!N145)),0),IF($G$157:$AF$157&lt;=N$157,IF(Tech_Specs!$K37="lamp",System_Mkt_Repl!$F363:$AE363+System_Mkt_NC!$G363:$AF363,Lamp_Mkt_Repl!$G73:$AF73+System_Mkt_NC!$G363:$AF363))))))</f>
        <v>72.537054055386847</v>
      </c>
      <c r="O187" s="373">
        <f t="array" ref="O187">IF(O$157=Misc_Inputs!$D$6,$G111,IF(SUM(IF($G$157:$AF$157&gt;=ROUND(IF((O$157-Sys_Repl_Rate!O145)&lt;Tech_Specs!$C37,Tech_Specs!$C37,(O$157-Sys_Repl_Rate!O145)),0),IF($G$157:$AF$157&lt;=O$157,IF(Tech_Specs!$K37="lamp",System_Mkt_Repl!$F363:$AE363+System_Mkt_NC!$G363:$AF363,Lamp_Mkt_Repl!$G73:$AF73+System_Mkt_NC!$G363:$AF363))))=0,0,SUMPRODUCT(IF($G$157:$AF$157&gt;=ROUND(IF((O$157-Sys_Repl_Rate!O145)&lt;Tech_Specs!$C37,Tech_Specs!$C37,(O$157-Sys_Repl_Rate!O145)),0),IF($G$157:$AF$157&lt;=O$157,$G111:$AF111)),IF(Tech_Specs!$K37="lamp",System_Mkt_Repl!$F363:$AE363+System_Mkt_NC!$G363:$AF363,Lamp_Mkt_Repl!$G73:$AF73+System_Mkt_NC!$G363:$AF363))/SUM(IF($G$157:$AF$157&gt;=ROUND(IF((O$157-Sys_Repl_Rate!O145)&lt;Tech_Specs!$C37,Tech_Specs!$C37,(O$157-Sys_Repl_Rate!O145)),0),IF($G$157:$AF$157&lt;=O$157,IF(Tech_Specs!$K37="lamp",System_Mkt_Repl!$F363:$AE363+System_Mkt_NC!$G363:$AF363,Lamp_Mkt_Repl!$G73:$AF73+System_Mkt_NC!$G363:$AF363))))))</f>
        <v>72.599677000977337</v>
      </c>
      <c r="P187" s="373">
        <f t="array" ref="P187">IF(P$157=Misc_Inputs!$D$6,$G111,IF(SUM(IF($G$157:$AF$157&gt;=ROUND(IF((P$157-Sys_Repl_Rate!P145)&lt;Tech_Specs!$C37,Tech_Specs!$C37,(P$157-Sys_Repl_Rate!P145)),0),IF($G$157:$AF$157&lt;=P$157,IF(Tech_Specs!$K37="lamp",System_Mkt_Repl!$F363:$AE363+System_Mkt_NC!$G363:$AF363,Lamp_Mkt_Repl!$G73:$AF73+System_Mkt_NC!$G363:$AF363))))=0,0,SUMPRODUCT(IF($G$157:$AF$157&gt;=ROUND(IF((P$157-Sys_Repl_Rate!P145)&lt;Tech_Specs!$C37,Tech_Specs!$C37,(P$157-Sys_Repl_Rate!P145)),0),IF($G$157:$AF$157&lt;=P$157,$G111:$AF111)),IF(Tech_Specs!$K37="lamp",System_Mkt_Repl!$F363:$AE363+System_Mkt_NC!$G363:$AF363,Lamp_Mkt_Repl!$G73:$AF73+System_Mkt_NC!$G363:$AF363))/SUM(IF($G$157:$AF$157&gt;=ROUND(IF((P$157-Sys_Repl_Rate!P145)&lt;Tech_Specs!$C37,Tech_Specs!$C37,(P$157-Sys_Repl_Rate!P145)),0),IF($G$157:$AF$157&lt;=P$157,IF(Tech_Specs!$K37="lamp",System_Mkt_Repl!$F363:$AE363+System_Mkt_NC!$G363:$AF363,Lamp_Mkt_Repl!$G73:$AF73+System_Mkt_NC!$G363:$AF363))))))</f>
        <v>72.66034459445747</v>
      </c>
      <c r="Q187" s="373">
        <f t="array" ref="Q187">IF(Q$157=Misc_Inputs!$D$6,$G111,IF(SUM(IF($G$157:$AF$157&gt;=ROUND(IF((Q$157-Sys_Repl_Rate!Q145)&lt;Tech_Specs!$C37,Tech_Specs!$C37,(Q$157-Sys_Repl_Rate!Q145)),0),IF($G$157:$AF$157&lt;=Q$157,IF(Tech_Specs!$K37="lamp",System_Mkt_Repl!$F363:$AE363+System_Mkt_NC!$G363:$AF363,Lamp_Mkt_Repl!$G73:$AF73+System_Mkt_NC!$G363:$AF363))))=0,0,SUMPRODUCT(IF($G$157:$AF$157&gt;=ROUND(IF((Q$157-Sys_Repl_Rate!Q145)&lt;Tech_Specs!$C37,Tech_Specs!$C37,(Q$157-Sys_Repl_Rate!Q145)),0),IF($G$157:$AF$157&lt;=Q$157,$G111:$AF111)),IF(Tech_Specs!$K37="lamp",System_Mkt_Repl!$F363:$AE363+System_Mkt_NC!$G363:$AF363,Lamp_Mkt_Repl!$G73:$AF73+System_Mkt_NC!$G363:$AF363))/SUM(IF($G$157:$AF$157&gt;=ROUND(IF((Q$157-Sys_Repl_Rate!Q145)&lt;Tech_Specs!$C37,Tech_Specs!$C37,(Q$157-Sys_Repl_Rate!Q145)),0),IF($G$157:$AF$157&lt;=Q$157,IF(Tech_Specs!$K37="lamp",System_Mkt_Repl!$F363:$AE363+System_Mkt_NC!$G363:$AF363,Lamp_Mkt_Repl!$G73:$AF73+System_Mkt_NC!$G363:$AF363))))))</f>
        <v>72.719368721856696</v>
      </c>
      <c r="R187" s="373">
        <f t="array" ref="R187">IF(R$157=Misc_Inputs!$D$6,$G111,IF(SUM(IF($G$157:$AF$157&gt;=ROUND(IF((R$157-Sys_Repl_Rate!R145)&lt;Tech_Specs!$C37,Tech_Specs!$C37,(R$157-Sys_Repl_Rate!R145)),0),IF($G$157:$AF$157&lt;=R$157,IF(Tech_Specs!$K37="lamp",System_Mkt_Repl!$F363:$AE363+System_Mkt_NC!$G363:$AF363,Lamp_Mkt_Repl!$G73:$AF73+System_Mkt_NC!$G363:$AF363))))=0,0,SUMPRODUCT(IF($G$157:$AF$157&gt;=ROUND(IF((R$157-Sys_Repl_Rate!R145)&lt;Tech_Specs!$C37,Tech_Specs!$C37,(R$157-Sys_Repl_Rate!R145)),0),IF($G$157:$AF$157&lt;=R$157,$G111:$AF111)),IF(Tech_Specs!$K37="lamp",System_Mkt_Repl!$F363:$AE363+System_Mkt_NC!$G363:$AF363,Lamp_Mkt_Repl!$G73:$AF73+System_Mkt_NC!$G363:$AF363))/SUM(IF($G$157:$AF$157&gt;=ROUND(IF((R$157-Sys_Repl_Rate!R145)&lt;Tech_Specs!$C37,Tech_Specs!$C37,(R$157-Sys_Repl_Rate!R145)),0),IF($G$157:$AF$157&lt;=R$157,IF(Tech_Specs!$K37="lamp",System_Mkt_Repl!$F363:$AE363+System_Mkt_NC!$G363:$AF363,Lamp_Mkt_Repl!$G73:$AF73+System_Mkt_NC!$G363:$AF363))))))</f>
        <v>72.776941761590322</v>
      </c>
      <c r="S187" s="373">
        <f t="array" ref="S187">IF(S$157=Misc_Inputs!$D$6,$G111,IF(SUM(IF($G$157:$AF$157&gt;=ROUND(IF((S$157-Sys_Repl_Rate!S145)&lt;Tech_Specs!$C37,Tech_Specs!$C37,(S$157-Sys_Repl_Rate!S145)),0),IF($G$157:$AF$157&lt;=S$157,IF(Tech_Specs!$K37="lamp",System_Mkt_Repl!$F363:$AE363+System_Mkt_NC!$G363:$AF363,Lamp_Mkt_Repl!$G73:$AF73+System_Mkt_NC!$G363:$AF363))))=0,0,SUMPRODUCT(IF($G$157:$AF$157&gt;=ROUND(IF((S$157-Sys_Repl_Rate!S145)&lt;Tech_Specs!$C37,Tech_Specs!$C37,(S$157-Sys_Repl_Rate!S145)),0),IF($G$157:$AF$157&lt;=S$157,$G111:$AF111)),IF(Tech_Specs!$K37="lamp",System_Mkt_Repl!$F363:$AE363+System_Mkt_NC!$G363:$AF363,Lamp_Mkt_Repl!$G73:$AF73+System_Mkt_NC!$G363:$AF363))/SUM(IF($G$157:$AF$157&gt;=ROUND(IF((S$157-Sys_Repl_Rate!S145)&lt;Tech_Specs!$C37,Tech_Specs!$C37,(S$157-Sys_Repl_Rate!S145)),0),IF($G$157:$AF$157&lt;=S$157,IF(Tech_Specs!$K37="lamp",System_Mkt_Repl!$F363:$AE363+System_Mkt_NC!$G363:$AF363,Lamp_Mkt_Repl!$G73:$AF73+System_Mkt_NC!$G363:$AF363))))))</f>
        <v>72.833281970405764</v>
      </c>
      <c r="T187" s="373">
        <f t="array" ref="T187">IF(T$157=Misc_Inputs!$D$6,$G111,IF(SUM(IF($G$157:$AF$157&gt;=ROUND(IF((T$157-Sys_Repl_Rate!T145)&lt;Tech_Specs!$C37,Tech_Specs!$C37,(T$157-Sys_Repl_Rate!T145)),0),IF($G$157:$AF$157&lt;=T$157,IF(Tech_Specs!$K37="lamp",System_Mkt_Repl!$F363:$AE363+System_Mkt_NC!$G363:$AF363,Lamp_Mkt_Repl!$G73:$AF73+System_Mkt_NC!$G363:$AF363))))=0,0,SUMPRODUCT(IF($G$157:$AF$157&gt;=ROUND(IF((T$157-Sys_Repl_Rate!T145)&lt;Tech_Specs!$C37,Tech_Specs!$C37,(T$157-Sys_Repl_Rate!T145)),0),IF($G$157:$AF$157&lt;=T$157,$G111:$AF111)),IF(Tech_Specs!$K37="lamp",System_Mkt_Repl!$F363:$AE363+System_Mkt_NC!$G363:$AF363,Lamp_Mkt_Repl!$G73:$AF73+System_Mkt_NC!$G363:$AF363))/SUM(IF($G$157:$AF$157&gt;=ROUND(IF((T$157-Sys_Repl_Rate!T145)&lt;Tech_Specs!$C37,Tech_Specs!$C37,(T$157-Sys_Repl_Rate!T145)),0),IF($G$157:$AF$157&lt;=T$157,IF(Tech_Specs!$K37="lamp",System_Mkt_Repl!$F363:$AE363+System_Mkt_NC!$G363:$AF363,Lamp_Mkt_Repl!$G73:$AF73+System_Mkt_NC!$G363:$AF363))))))</f>
        <v>72.888463921115985</v>
      </c>
      <c r="U187" s="373">
        <f t="array" ref="U187">IF(U$157=Misc_Inputs!$D$6,$G111,IF(SUM(IF($G$157:$AF$157&gt;=ROUND(IF((U$157-Sys_Repl_Rate!U145)&lt;Tech_Specs!$C37,Tech_Specs!$C37,(U$157-Sys_Repl_Rate!U145)),0),IF($G$157:$AF$157&lt;=U$157,IF(Tech_Specs!$K37="lamp",System_Mkt_Repl!$F363:$AE363+System_Mkt_NC!$G363:$AF363,Lamp_Mkt_Repl!$G73:$AF73+System_Mkt_NC!$G363:$AF363))))=0,0,SUMPRODUCT(IF($G$157:$AF$157&gt;=ROUND(IF((U$157-Sys_Repl_Rate!U145)&lt;Tech_Specs!$C37,Tech_Specs!$C37,(U$157-Sys_Repl_Rate!U145)),0),IF($G$157:$AF$157&lt;=U$157,$G111:$AF111)),IF(Tech_Specs!$K37="lamp",System_Mkt_Repl!$F363:$AE363+System_Mkt_NC!$G363:$AF363,Lamp_Mkt_Repl!$G73:$AF73+System_Mkt_NC!$G363:$AF363))/SUM(IF($G$157:$AF$157&gt;=ROUND(IF((U$157-Sys_Repl_Rate!U145)&lt;Tech_Specs!$C37,Tech_Specs!$C37,(U$157-Sys_Repl_Rate!U145)),0),IF($G$157:$AF$157&lt;=U$157,IF(Tech_Specs!$K37="lamp",System_Mkt_Repl!$F363:$AE363+System_Mkt_NC!$G363:$AF363,Lamp_Mkt_Repl!$G73:$AF73+System_Mkt_NC!$G363:$AF363))))))</f>
        <v>72.942526027436216</v>
      </c>
      <c r="V187" s="373">
        <f t="array" ref="V187">IF(V$157=Misc_Inputs!$D$6,$G111,IF(SUM(IF($G$157:$AF$157&gt;=ROUND(IF((V$157-Sys_Repl_Rate!V145)&lt;Tech_Specs!$C37,Tech_Specs!$C37,(V$157-Sys_Repl_Rate!V145)),0),IF($G$157:$AF$157&lt;=V$157,IF(Tech_Specs!$K37="lamp",System_Mkt_Repl!$F363:$AE363+System_Mkt_NC!$G363:$AF363,Lamp_Mkt_Repl!$G73:$AF73+System_Mkt_NC!$G363:$AF363))))=0,0,SUMPRODUCT(IF($G$157:$AF$157&gt;=ROUND(IF((V$157-Sys_Repl_Rate!V145)&lt;Tech_Specs!$C37,Tech_Specs!$C37,(V$157-Sys_Repl_Rate!V145)),0),IF($G$157:$AF$157&lt;=V$157,$G111:$AF111)),IF(Tech_Specs!$K37="lamp",System_Mkt_Repl!$F363:$AE363+System_Mkt_NC!$G363:$AF363,Lamp_Mkt_Repl!$G73:$AF73+System_Mkt_NC!$G363:$AF363))/SUM(IF($G$157:$AF$157&gt;=ROUND(IF((V$157-Sys_Repl_Rate!V145)&lt;Tech_Specs!$C37,Tech_Specs!$C37,(V$157-Sys_Repl_Rate!V145)),0),IF($G$157:$AF$157&lt;=V$157,IF(Tech_Specs!$K37="lamp",System_Mkt_Repl!$F363:$AE363+System_Mkt_NC!$G363:$AF363,Lamp_Mkt_Repl!$G73:$AF73+System_Mkt_NC!$G363:$AF363))))))</f>
        <v>72.995534225531543</v>
      </c>
      <c r="W187" s="373">
        <f t="array" ref="W187">IF(W$157=Misc_Inputs!$D$6,$G111,IF(SUM(IF($G$157:$AF$157&gt;=ROUND(IF((W$157-Sys_Repl_Rate!W145)&lt;Tech_Specs!$C37,Tech_Specs!$C37,(W$157-Sys_Repl_Rate!W145)),0),IF($G$157:$AF$157&lt;=W$157,IF(Tech_Specs!$K37="lamp",System_Mkt_Repl!$F363:$AE363+System_Mkt_NC!$G363:$AF363,Lamp_Mkt_Repl!$G73:$AF73+System_Mkt_NC!$G363:$AF363))))=0,0,SUMPRODUCT(IF($G$157:$AF$157&gt;=ROUND(IF((W$157-Sys_Repl_Rate!W145)&lt;Tech_Specs!$C37,Tech_Specs!$C37,(W$157-Sys_Repl_Rate!W145)),0),IF($G$157:$AF$157&lt;=W$157,$G111:$AF111)),IF(Tech_Specs!$K37="lamp",System_Mkt_Repl!$F363:$AE363+System_Mkt_NC!$G363:$AF363,Lamp_Mkt_Repl!$G73:$AF73+System_Mkt_NC!$G363:$AF363))/SUM(IF($G$157:$AF$157&gt;=ROUND(IF((W$157-Sys_Repl_Rate!W145)&lt;Tech_Specs!$C37,Tech_Specs!$C37,(W$157-Sys_Repl_Rate!W145)),0),IF($G$157:$AF$157&lt;=W$157,IF(Tech_Specs!$K37="lamp",System_Mkt_Repl!$F363:$AE363+System_Mkt_NC!$G363:$AF363,Lamp_Mkt_Repl!$G73:$AF73+System_Mkt_NC!$G363:$AF363))))))</f>
        <v>73.047471592110284</v>
      </c>
      <c r="X187" s="373">
        <f t="array" ref="X187">IF(X$157=Misc_Inputs!$D$6,$G111,IF(SUM(IF($G$157:$AF$157&gt;=ROUND(IF((X$157-Sys_Repl_Rate!X145)&lt;Tech_Specs!$C37,Tech_Specs!$C37,(X$157-Sys_Repl_Rate!X145)),0),IF($G$157:$AF$157&lt;=X$157,IF(Tech_Specs!$K37="lamp",System_Mkt_Repl!$F363:$AE363+System_Mkt_NC!$G363:$AF363,Lamp_Mkt_Repl!$G73:$AF73+System_Mkt_NC!$G363:$AF363))))=0,0,SUMPRODUCT(IF($G$157:$AF$157&gt;=ROUND(IF((X$157-Sys_Repl_Rate!X145)&lt;Tech_Specs!$C37,Tech_Specs!$C37,(X$157-Sys_Repl_Rate!X145)),0),IF($G$157:$AF$157&lt;=X$157,$G111:$AF111)),IF(Tech_Specs!$K37="lamp",System_Mkt_Repl!$F363:$AE363+System_Mkt_NC!$G363:$AF363,Lamp_Mkt_Repl!$G73:$AF73+System_Mkt_NC!$G363:$AF363))/SUM(IF($G$157:$AF$157&gt;=ROUND(IF((X$157-Sys_Repl_Rate!X145)&lt;Tech_Specs!$C37,Tech_Specs!$C37,(X$157-Sys_Repl_Rate!X145)),0),IF($G$157:$AF$157&lt;=X$157,IF(Tech_Specs!$K37="lamp",System_Mkt_Repl!$F363:$AE363+System_Mkt_NC!$G363:$AF363,Lamp_Mkt_Repl!$G73:$AF73+System_Mkt_NC!$G363:$AF363))))))</f>
        <v>73.098317540065892</v>
      </c>
      <c r="Y187" s="373">
        <f t="array" ref="Y187">IF(Y$157=Misc_Inputs!$D$6,$G111,IF(SUM(IF($G$157:$AF$157&gt;=ROUND(IF((Y$157-Sys_Repl_Rate!Y145)&lt;Tech_Specs!$C37,Tech_Specs!$C37,(Y$157-Sys_Repl_Rate!Y145)),0),IF($G$157:$AF$157&lt;=Y$157,IF(Tech_Specs!$K37="lamp",System_Mkt_Repl!$F363:$AE363+System_Mkt_NC!$G363:$AF363,Lamp_Mkt_Repl!$G73:$AF73+System_Mkt_NC!$G363:$AF363))))=0,0,SUMPRODUCT(IF($G$157:$AF$157&gt;=ROUND(IF((Y$157-Sys_Repl_Rate!Y145)&lt;Tech_Specs!$C37,Tech_Specs!$C37,(Y$157-Sys_Repl_Rate!Y145)),0),IF($G$157:$AF$157&lt;=Y$157,$G111:$AF111)),IF(Tech_Specs!$K37="lamp",System_Mkt_Repl!$F363:$AE363+System_Mkt_NC!$G363:$AF363,Lamp_Mkt_Repl!$G73:$AF73+System_Mkt_NC!$G363:$AF363))/SUM(IF($G$157:$AF$157&gt;=ROUND(IF((Y$157-Sys_Repl_Rate!Y145)&lt;Tech_Specs!$C37,Tech_Specs!$C37,(Y$157-Sys_Repl_Rate!Y145)),0),IF($G$157:$AF$157&lt;=Y$157,IF(Tech_Specs!$K37="lamp",System_Mkt_Repl!$F363:$AE363+System_Mkt_NC!$G363:$AF363,Lamp_Mkt_Repl!$G73:$AF73+System_Mkt_NC!$G363:$AF363))))))</f>
        <v>73.148055320412979</v>
      </c>
      <c r="Z187" s="373">
        <f t="array" ref="Z187">IF(Z$157=Misc_Inputs!$D$6,$G111,IF(SUM(IF($G$157:$AF$157&gt;=ROUND(IF((Z$157-Sys_Repl_Rate!Z145)&lt;Tech_Specs!$C37,Tech_Specs!$C37,(Z$157-Sys_Repl_Rate!Z145)),0),IF($G$157:$AF$157&lt;=Z$157,IF(Tech_Specs!$K37="lamp",System_Mkt_Repl!$F363:$AE363+System_Mkt_NC!$G363:$AF363,Lamp_Mkt_Repl!$G73:$AF73+System_Mkt_NC!$G363:$AF363))))=0,0,SUMPRODUCT(IF($G$157:$AF$157&gt;=ROUND(IF((Z$157-Sys_Repl_Rate!Z145)&lt;Tech_Specs!$C37,Tech_Specs!$C37,(Z$157-Sys_Repl_Rate!Z145)),0),IF($G$157:$AF$157&lt;=Z$157,$G111:$AF111)),IF(Tech_Specs!$K37="lamp",System_Mkt_Repl!$F363:$AE363+System_Mkt_NC!$G363:$AF363,Lamp_Mkt_Repl!$G73:$AF73+System_Mkt_NC!$G363:$AF363))/SUM(IF($G$157:$AF$157&gt;=ROUND(IF((Z$157-Sys_Repl_Rate!Z145)&lt;Tech_Specs!$C37,Tech_Specs!$C37,(Z$157-Sys_Repl_Rate!Z145)),0),IF($G$157:$AF$157&lt;=Z$157,IF(Tech_Specs!$K37="lamp",System_Mkt_Repl!$F363:$AE363+System_Mkt_NC!$G363:$AF363,Lamp_Mkt_Repl!$G73:$AF73+System_Mkt_NC!$G363:$AF363))))))</f>
        <v>73.19669950716991</v>
      </c>
      <c r="AA187" s="373">
        <f t="array" ref="AA187">IF(AA$157=Misc_Inputs!$D$6,$G111,IF(SUM(IF($G$157:$AF$157&gt;=ROUND(IF((AA$157-Sys_Repl_Rate!AA145)&lt;Tech_Specs!$C37,Tech_Specs!$C37,(AA$157-Sys_Repl_Rate!AA145)),0),IF($G$157:$AF$157&lt;=AA$157,IF(Tech_Specs!$K37="lamp",System_Mkt_Repl!$F363:$AE363+System_Mkt_NC!$G363:$AF363,Lamp_Mkt_Repl!$G73:$AF73+System_Mkt_NC!$G363:$AF363))))=0,0,SUMPRODUCT(IF($G$157:$AF$157&gt;=ROUND(IF((AA$157-Sys_Repl_Rate!AA145)&lt;Tech_Specs!$C37,Tech_Specs!$C37,(AA$157-Sys_Repl_Rate!AA145)),0),IF($G$157:$AF$157&lt;=AA$157,$G111:$AF111)),IF(Tech_Specs!$K37="lamp",System_Mkt_Repl!$F363:$AE363+System_Mkt_NC!$G363:$AF363,Lamp_Mkt_Repl!$G73:$AF73+System_Mkt_NC!$G363:$AF363))/SUM(IF($G$157:$AF$157&gt;=ROUND(IF((AA$157-Sys_Repl_Rate!AA145)&lt;Tech_Specs!$C37,Tech_Specs!$C37,(AA$157-Sys_Repl_Rate!AA145)),0),IF($G$157:$AF$157&lt;=AA$157,IF(Tech_Specs!$K37="lamp",System_Mkt_Repl!$F363:$AE363+System_Mkt_NC!$G363:$AF363,Lamp_Mkt_Repl!$G73:$AF73+System_Mkt_NC!$G363:$AF363))))))</f>
        <v>73.244269518773876</v>
      </c>
      <c r="AB187" s="373">
        <f t="array" ref="AB187">IF(AB$157=Misc_Inputs!$D$6,$G111,IF(SUM(IF($G$157:$AF$157&gt;=ROUND(IF((AB$157-Sys_Repl_Rate!AB145)&lt;Tech_Specs!$C37,Tech_Specs!$C37,(AB$157-Sys_Repl_Rate!AB145)),0),IF($G$157:$AF$157&lt;=AB$157,IF(Tech_Specs!$K37="lamp",System_Mkt_Repl!$F363:$AE363+System_Mkt_NC!$G363:$AF363,Lamp_Mkt_Repl!$G73:$AF73+System_Mkt_NC!$G363:$AF363))))=0,0,SUMPRODUCT(IF($G$157:$AF$157&gt;=ROUND(IF((AB$157-Sys_Repl_Rate!AB145)&lt;Tech_Specs!$C37,Tech_Specs!$C37,(AB$157-Sys_Repl_Rate!AB145)),0),IF($G$157:$AF$157&lt;=AB$157,$G111:$AF111)),IF(Tech_Specs!$K37="lamp",System_Mkt_Repl!$F363:$AE363+System_Mkt_NC!$G363:$AF363,Lamp_Mkt_Repl!$G73:$AF73+System_Mkt_NC!$G363:$AF363))/SUM(IF($G$157:$AF$157&gt;=ROUND(IF((AB$157-Sys_Repl_Rate!AB145)&lt;Tech_Specs!$C37,Tech_Specs!$C37,(AB$157-Sys_Repl_Rate!AB145)),0),IF($G$157:$AF$157&lt;=AB$157,IF(Tech_Specs!$K37="lamp",System_Mkt_Repl!$F363:$AE363+System_Mkt_NC!$G363:$AF363,Lamp_Mkt_Repl!$G73:$AF73+System_Mkt_NC!$G363:$AF363))))))</f>
        <v>73.290772443203451</v>
      </c>
      <c r="AC187" s="373">
        <f t="array" ref="AC187">IF(AC$157=Misc_Inputs!$D$6,$G111,IF(SUM(IF($G$157:$AF$157&gt;=ROUND(IF((AC$157-Sys_Repl_Rate!AC145)&lt;Tech_Specs!$C37,Tech_Specs!$C37,(AC$157-Sys_Repl_Rate!AC145)),0),IF($G$157:$AF$157&lt;=AC$157,IF(Tech_Specs!$K37="lamp",System_Mkt_Repl!$F363:$AE363+System_Mkt_NC!$G363:$AF363,Lamp_Mkt_Repl!$G73:$AF73+System_Mkt_NC!$G363:$AF363))))=0,0,SUMPRODUCT(IF($G$157:$AF$157&gt;=ROUND(IF((AC$157-Sys_Repl_Rate!AC145)&lt;Tech_Specs!$C37,Tech_Specs!$C37,(AC$157-Sys_Repl_Rate!AC145)),0),IF($G$157:$AF$157&lt;=AC$157,$G111:$AF111)),IF(Tech_Specs!$K37="lamp",System_Mkt_Repl!$F363:$AE363+System_Mkt_NC!$G363:$AF363,Lamp_Mkt_Repl!$G73:$AF73+System_Mkt_NC!$G363:$AF363))/SUM(IF($G$157:$AF$157&gt;=ROUND(IF((AC$157-Sys_Repl_Rate!AC145)&lt;Tech_Specs!$C37,Tech_Specs!$C37,(AC$157-Sys_Repl_Rate!AC145)),0),IF($G$157:$AF$157&lt;=AC$157,IF(Tech_Specs!$K37="lamp",System_Mkt_Repl!$F363:$AE363+System_Mkt_NC!$G363:$AF363,Lamp_Mkt_Repl!$G73:$AF73+System_Mkt_NC!$G363:$AF363))))))</f>
        <v>73.336160135250566</v>
      </c>
      <c r="AD187" s="373">
        <f t="array" ref="AD187">IF(AD$157=Misc_Inputs!$D$6,$G111,IF(SUM(IF($G$157:$AF$157&gt;=ROUND(IF((AD$157-Sys_Repl_Rate!AD145)&lt;Tech_Specs!$C37,Tech_Specs!$C37,(AD$157-Sys_Repl_Rate!AD145)),0),IF($G$157:$AF$157&lt;=AD$157,IF(Tech_Specs!$K37="lamp",System_Mkt_Repl!$F363:$AE363+System_Mkt_NC!$G363:$AF363,Lamp_Mkt_Repl!$G73:$AF73+System_Mkt_NC!$G363:$AF363))))=0,0,SUMPRODUCT(IF($G$157:$AF$157&gt;=ROUND(IF((AD$157-Sys_Repl_Rate!AD145)&lt;Tech_Specs!$C37,Tech_Specs!$C37,(AD$157-Sys_Repl_Rate!AD145)),0),IF($G$157:$AF$157&lt;=AD$157,$G111:$AF111)),IF(Tech_Specs!$K37="lamp",System_Mkt_Repl!$F363:$AE363+System_Mkt_NC!$G363:$AF363,Lamp_Mkt_Repl!$G73:$AF73+System_Mkt_NC!$G363:$AF363))/SUM(IF($G$157:$AF$157&gt;=ROUND(IF((AD$157-Sys_Repl_Rate!AD145)&lt;Tech_Specs!$C37,Tech_Specs!$C37,(AD$157-Sys_Repl_Rate!AD145)),0),IF($G$157:$AF$157&lt;=AD$157,IF(Tech_Specs!$K37="lamp",System_Mkt_Repl!$F363:$AE363+System_Mkt_NC!$G363:$AF363,Lamp_Mkt_Repl!$G73:$AF73+System_Mkt_NC!$G363:$AF363))))))</f>
        <v>73.380425521238891</v>
      </c>
      <c r="AE187" s="373">
        <f t="array" ref="AE187">IF(AE$157=Misc_Inputs!$D$6,$G111,IF(SUM(IF($G$157:$AF$157&gt;=ROUND(IF((AE$157-Sys_Repl_Rate!AE145)&lt;Tech_Specs!$C37,Tech_Specs!$C37,(AE$157-Sys_Repl_Rate!AE145)),0),IF($G$157:$AF$157&lt;=AE$157,IF(Tech_Specs!$K37="lamp",System_Mkt_Repl!$F363:$AE363+System_Mkt_NC!$G363:$AF363,Lamp_Mkt_Repl!$G73:$AF73+System_Mkt_NC!$G363:$AF363))))=0,0,SUMPRODUCT(IF($G$157:$AF$157&gt;=ROUND(IF((AE$157-Sys_Repl_Rate!AE145)&lt;Tech_Specs!$C37,Tech_Specs!$C37,(AE$157-Sys_Repl_Rate!AE145)),0),IF($G$157:$AF$157&lt;=AE$157,$G111:$AF111)),IF(Tech_Specs!$K37="lamp",System_Mkt_Repl!$F363:$AE363+System_Mkt_NC!$G363:$AF363,Lamp_Mkt_Repl!$G73:$AF73+System_Mkt_NC!$G363:$AF363))/SUM(IF($G$157:$AF$157&gt;=ROUND(IF((AE$157-Sys_Repl_Rate!AE145)&lt;Tech_Specs!$C37,Tech_Specs!$C37,(AE$157-Sys_Repl_Rate!AE145)),0),IF($G$157:$AF$157&lt;=AE$157,IF(Tech_Specs!$K37="lamp",System_Mkt_Repl!$F363:$AE363+System_Mkt_NC!$G363:$AF363,Lamp_Mkt_Repl!$G73:$AF73+System_Mkt_NC!$G363:$AF363))))))</f>
        <v>73.42356050821563</v>
      </c>
      <c r="AF187" s="373">
        <f t="array" ref="AF187">IF(AF$157=Misc_Inputs!$D$6,$G111,IF(SUM(IF($G$157:$AF$157&gt;=ROUND(IF((AF$157-Sys_Repl_Rate!AF145)&lt;Tech_Specs!$C37,Tech_Specs!$C37,(AF$157-Sys_Repl_Rate!AF145)),0),IF($G$157:$AF$157&lt;=AF$157,IF(Tech_Specs!$K37="lamp",System_Mkt_Repl!$F363:$AE363+System_Mkt_NC!$G363:$AF363,Lamp_Mkt_Repl!$G73:$AF73+System_Mkt_NC!$G363:$AF363))))=0,0,SUMPRODUCT(IF($G$157:$AF$157&gt;=ROUND(IF((AF$157-Sys_Repl_Rate!AF145)&lt;Tech_Specs!$C37,Tech_Specs!$C37,(AF$157-Sys_Repl_Rate!AF145)),0),IF($G$157:$AF$157&lt;=AF$157,$G111:$AF111)),IF(Tech_Specs!$K37="lamp",System_Mkt_Repl!$F363:$AE363+System_Mkt_NC!$G363:$AF363,Lamp_Mkt_Repl!$G73:$AF73+System_Mkt_NC!$G363:$AF363))/SUM(IF($G$157:$AF$157&gt;=ROUND(IF((AF$157-Sys_Repl_Rate!AF145)&lt;Tech_Specs!$C37,Tech_Specs!$C37,(AF$157-Sys_Repl_Rate!AF145)),0),IF($G$157:$AF$157&lt;=AF$157,IF(Tech_Specs!$K37="lamp",System_Mkt_Repl!$F363:$AE363+System_Mkt_NC!$G363:$AF363,Lamp_Mkt_Repl!$G73:$AF73+System_Mkt_NC!$G363:$AF363))))))</f>
        <v>73.465536750049324</v>
      </c>
    </row>
    <row r="188" spans="1:32" s="101" customFormat="1" ht="12.75" x14ac:dyDescent="0.2">
      <c r="A188" s="81"/>
      <c r="B188" s="101" t="s">
        <v>29</v>
      </c>
      <c r="C188" s="81"/>
      <c r="D188" s="550"/>
      <c r="E188" s="550"/>
      <c r="F188" s="550"/>
      <c r="G188" s="373">
        <f t="array" ref="G188">IF(G$157=Misc_Inputs!$D$6,$G112,IF(SUM(IF($G$157:$AF$157&gt;=ROUND(IF((G$157-Sys_Repl_Rate!G146)&lt;Tech_Specs!$C38,Tech_Specs!$C38,(G$157-Sys_Repl_Rate!G146)),0),IF($G$157:$AF$157&lt;=G$157,IF(Tech_Specs!$K38="lamp",System_Mkt_Repl!$F364:$AE364+System_Mkt_NC!$G364:$AF364,Lamp_Mkt_Repl!$G74:$AF74+System_Mkt_NC!$G364:$AF364))))=0,0,SUMPRODUCT(IF($G$157:$AF$157&gt;=ROUND(IF((G$157-Sys_Repl_Rate!G146)&lt;Tech_Specs!$C38,Tech_Specs!$C38,(G$157-Sys_Repl_Rate!G146)),0),IF($G$157:$AF$157&lt;=G$157,$G112:$AF112)),IF(Tech_Specs!$K38="lamp",System_Mkt_Repl!$F364:$AE364+System_Mkt_NC!$G364:$AF364,Lamp_Mkt_Repl!$G74:$AF74+System_Mkt_NC!$G364:$AF364))/SUM(IF($G$157:$AF$157&gt;=ROUND(IF((G$157-Sys_Repl_Rate!G146)&lt;Tech_Specs!$C38,Tech_Specs!$C38,(G$157-Sys_Repl_Rate!G146)),0),IF($G$157:$AF$157&lt;=G$157,IF(Tech_Specs!$K38="lamp",System_Mkt_Repl!$F364:$AE364+System_Mkt_NC!$G364:$AF364,Lamp_Mkt_Repl!$G74:$AF74+System_Mkt_NC!$G364:$AF364))))))</f>
        <v>36.873768202819726</v>
      </c>
      <c r="H188" s="373">
        <f t="array" ref="H188">IF(H$157=Misc_Inputs!$D$6,$G112,IF(SUM(IF($G$157:$AF$157&gt;=ROUND(IF((H$157-Sys_Repl_Rate!H146)&lt;Tech_Specs!$C38,Tech_Specs!$C38,(H$157-Sys_Repl_Rate!H146)),0),IF($G$157:$AF$157&lt;=H$157,IF(Tech_Specs!$K38="lamp",System_Mkt_Repl!$F364:$AE364+System_Mkt_NC!$G364:$AF364,Lamp_Mkt_Repl!$G74:$AF74+System_Mkt_NC!$G364:$AF364))))=0,0,SUMPRODUCT(IF($G$157:$AF$157&gt;=ROUND(IF((H$157-Sys_Repl_Rate!H146)&lt;Tech_Specs!$C38,Tech_Specs!$C38,(H$157-Sys_Repl_Rate!H146)),0),IF($G$157:$AF$157&lt;=H$157,$G112:$AF112)),IF(Tech_Specs!$K38="lamp",System_Mkt_Repl!$F364:$AE364+System_Mkt_NC!$G364:$AF364,Lamp_Mkt_Repl!$G74:$AF74+System_Mkt_NC!$G364:$AF364))/SUM(IF($G$157:$AF$157&gt;=ROUND(IF((H$157-Sys_Repl_Rate!H146)&lt;Tech_Specs!$C38,Tech_Specs!$C38,(H$157-Sys_Repl_Rate!H146)),0),IF($G$157:$AF$157&lt;=H$157,IF(Tech_Specs!$K38="lamp",System_Mkt_Repl!$F364:$AE364+System_Mkt_NC!$G364:$AF364,Lamp_Mkt_Repl!$G74:$AF74+System_Mkt_NC!$G364:$AF364))))))</f>
        <v>48.266272480467549</v>
      </c>
      <c r="I188" s="373">
        <f t="array" ref="I188">IF(I$157=Misc_Inputs!$D$6,$G112,IF(SUM(IF($G$157:$AF$157&gt;=ROUND(IF((I$157-Sys_Repl_Rate!I146)&lt;Tech_Specs!$C38,Tech_Specs!$C38,(I$157-Sys_Repl_Rate!I146)),0),IF($G$157:$AF$157&lt;=I$157,IF(Tech_Specs!$K38="lamp",System_Mkt_Repl!$F364:$AE364+System_Mkt_NC!$G364:$AF364,Lamp_Mkt_Repl!$G74:$AF74+System_Mkt_NC!$G364:$AF364))))=0,0,SUMPRODUCT(IF($G$157:$AF$157&gt;=ROUND(IF((I$157-Sys_Repl_Rate!I146)&lt;Tech_Specs!$C38,Tech_Specs!$C38,(I$157-Sys_Repl_Rate!I146)),0),IF($G$157:$AF$157&lt;=I$157,$G112:$AF112)),IF(Tech_Specs!$K38="lamp",System_Mkt_Repl!$F364:$AE364+System_Mkt_NC!$G364:$AF364,Lamp_Mkt_Repl!$G74:$AF74+System_Mkt_NC!$G364:$AF364))/SUM(IF($G$157:$AF$157&gt;=ROUND(IF((I$157-Sys_Repl_Rate!I146)&lt;Tech_Specs!$C38,Tech_Specs!$C38,(I$157-Sys_Repl_Rate!I146)),0),IF($G$157:$AF$157&lt;=I$157,IF(Tech_Specs!$K38="lamp",System_Mkt_Repl!$F364:$AE364+System_Mkt_NC!$G364:$AF364,Lamp_Mkt_Repl!$G74:$AF74+System_Mkt_NC!$G364:$AF364))))))</f>
        <v>58.072591885918847</v>
      </c>
      <c r="J188" s="373">
        <f t="array" ref="J188">IF(J$157=Misc_Inputs!$D$6,$G112,IF(SUM(IF($G$157:$AF$157&gt;=ROUND(IF((J$157-Sys_Repl_Rate!J146)&lt;Tech_Specs!$C38,Tech_Specs!$C38,(J$157-Sys_Repl_Rate!J146)),0),IF($G$157:$AF$157&lt;=J$157,IF(Tech_Specs!$K38="lamp",System_Mkt_Repl!$F364:$AE364+System_Mkt_NC!$G364:$AF364,Lamp_Mkt_Repl!$G74:$AF74+System_Mkt_NC!$G364:$AF364))))=0,0,SUMPRODUCT(IF($G$157:$AF$157&gt;=ROUND(IF((J$157-Sys_Repl_Rate!J146)&lt;Tech_Specs!$C38,Tech_Specs!$C38,(J$157-Sys_Repl_Rate!J146)),0),IF($G$157:$AF$157&lt;=J$157,$G112:$AF112)),IF(Tech_Specs!$K38="lamp",System_Mkt_Repl!$F364:$AE364+System_Mkt_NC!$G364:$AF364,Lamp_Mkt_Repl!$G74:$AF74+System_Mkt_NC!$G364:$AF364))/SUM(IF($G$157:$AF$157&gt;=ROUND(IF((J$157-Sys_Repl_Rate!J146)&lt;Tech_Specs!$C38,Tech_Specs!$C38,(J$157-Sys_Repl_Rate!J146)),0),IF($G$157:$AF$157&lt;=J$157,IF(Tech_Specs!$K38="lamp",System_Mkt_Repl!$F364:$AE364+System_Mkt_NC!$G364:$AF364,Lamp_Mkt_Repl!$G74:$AF74+System_Mkt_NC!$G364:$AF364))))))</f>
        <v>68.314313561630712</v>
      </c>
      <c r="K188" s="373">
        <f t="array" ref="K188">IF(K$157=Misc_Inputs!$D$6,$G112,IF(SUM(IF($G$157:$AF$157&gt;=ROUND(IF((K$157-Sys_Repl_Rate!K146)&lt;Tech_Specs!$C38,Tech_Specs!$C38,(K$157-Sys_Repl_Rate!K146)),0),IF($G$157:$AF$157&lt;=K$157,IF(Tech_Specs!$K38="lamp",System_Mkt_Repl!$F364:$AE364+System_Mkt_NC!$G364:$AF364,Lamp_Mkt_Repl!$G74:$AF74+System_Mkt_NC!$G364:$AF364))))=0,0,SUMPRODUCT(IF($G$157:$AF$157&gt;=ROUND(IF((K$157-Sys_Repl_Rate!K146)&lt;Tech_Specs!$C38,Tech_Specs!$C38,(K$157-Sys_Repl_Rate!K146)),0),IF($G$157:$AF$157&lt;=K$157,$G112:$AF112)),IF(Tech_Specs!$K38="lamp",System_Mkt_Repl!$F364:$AE364+System_Mkt_NC!$G364:$AF364,Lamp_Mkt_Repl!$G74:$AF74+System_Mkt_NC!$G364:$AF364))/SUM(IF($G$157:$AF$157&gt;=ROUND(IF((K$157-Sys_Repl_Rate!K146)&lt;Tech_Specs!$C38,Tech_Specs!$C38,(K$157-Sys_Repl_Rate!K146)),0),IF($G$157:$AF$157&lt;=K$157,IF(Tech_Specs!$K38="lamp",System_Mkt_Repl!$F364:$AE364+System_Mkt_NC!$G364:$AF364,Lamp_Mkt_Repl!$G74:$AF74+System_Mkt_NC!$G364:$AF364))))))</f>
        <v>77.63776375500025</v>
      </c>
      <c r="L188" s="373">
        <f t="array" ref="L188">IF(L$157=Misc_Inputs!$D$6,$G112,IF(SUM(IF($G$157:$AF$157&gt;=ROUND(IF((L$157-Sys_Repl_Rate!L146)&lt;Tech_Specs!$C38,Tech_Specs!$C38,(L$157-Sys_Repl_Rate!L146)),0),IF($G$157:$AF$157&lt;=L$157,IF(Tech_Specs!$K38="lamp",System_Mkt_Repl!$F364:$AE364+System_Mkt_NC!$G364:$AF364,Lamp_Mkt_Repl!$G74:$AF74+System_Mkt_NC!$G364:$AF364))))=0,0,SUMPRODUCT(IF($G$157:$AF$157&gt;=ROUND(IF((L$157-Sys_Repl_Rate!L146)&lt;Tech_Specs!$C38,Tech_Specs!$C38,(L$157-Sys_Repl_Rate!L146)),0),IF($G$157:$AF$157&lt;=L$157,$G112:$AF112)),IF(Tech_Specs!$K38="lamp",System_Mkt_Repl!$F364:$AE364+System_Mkt_NC!$G364:$AF364,Lamp_Mkt_Repl!$G74:$AF74+System_Mkt_NC!$G364:$AF364))/SUM(IF($G$157:$AF$157&gt;=ROUND(IF((L$157-Sys_Repl_Rate!L146)&lt;Tech_Specs!$C38,Tech_Specs!$C38,(L$157-Sys_Repl_Rate!L146)),0),IF($G$157:$AF$157&lt;=L$157,IF(Tech_Specs!$K38="lamp",System_Mkt_Repl!$F364:$AE364+System_Mkt_NC!$G364:$AF364,Lamp_Mkt_Repl!$G74:$AF74+System_Mkt_NC!$G364:$AF364))))))</f>
        <v>85.555133739673977</v>
      </c>
      <c r="M188" s="373">
        <f t="array" ref="M188">IF(M$157=Misc_Inputs!$D$6,$G112,IF(SUM(IF($G$157:$AF$157&gt;=ROUND(IF((M$157-Sys_Repl_Rate!M146)&lt;Tech_Specs!$C38,Tech_Specs!$C38,(M$157-Sys_Repl_Rate!M146)),0),IF($G$157:$AF$157&lt;=M$157,IF(Tech_Specs!$K38="lamp",System_Mkt_Repl!$F364:$AE364+System_Mkt_NC!$G364:$AF364,Lamp_Mkt_Repl!$G74:$AF74+System_Mkt_NC!$G364:$AF364))))=0,0,SUMPRODUCT(IF($G$157:$AF$157&gt;=ROUND(IF((M$157-Sys_Repl_Rate!M146)&lt;Tech_Specs!$C38,Tech_Specs!$C38,(M$157-Sys_Repl_Rate!M146)),0),IF($G$157:$AF$157&lt;=M$157,$G112:$AF112)),IF(Tech_Specs!$K38="lamp",System_Mkt_Repl!$F364:$AE364+System_Mkt_NC!$G364:$AF364,Lamp_Mkt_Repl!$G74:$AF74+System_Mkt_NC!$G364:$AF364))/SUM(IF($G$157:$AF$157&gt;=ROUND(IF((M$157-Sys_Repl_Rate!M146)&lt;Tech_Specs!$C38,Tech_Specs!$C38,(M$157-Sys_Repl_Rate!M146)),0),IF($G$157:$AF$157&lt;=M$157,IF(Tech_Specs!$K38="lamp",System_Mkt_Repl!$F364:$AE364+System_Mkt_NC!$G364:$AF364,Lamp_Mkt_Repl!$G74:$AF74+System_Mkt_NC!$G364:$AF364))))))</f>
        <v>92.322180397930325</v>
      </c>
      <c r="N188" s="373">
        <f t="array" ref="N188">IF(N$157=Misc_Inputs!$D$6,$G112,IF(SUM(IF($G$157:$AF$157&gt;=ROUND(IF((N$157-Sys_Repl_Rate!N146)&lt;Tech_Specs!$C38,Tech_Specs!$C38,(N$157-Sys_Repl_Rate!N146)),0),IF($G$157:$AF$157&lt;=N$157,IF(Tech_Specs!$K38="lamp",System_Mkt_Repl!$F364:$AE364+System_Mkt_NC!$G364:$AF364,Lamp_Mkt_Repl!$G74:$AF74+System_Mkt_NC!$G364:$AF364))))=0,0,SUMPRODUCT(IF($G$157:$AF$157&gt;=ROUND(IF((N$157-Sys_Repl_Rate!N146)&lt;Tech_Specs!$C38,Tech_Specs!$C38,(N$157-Sys_Repl_Rate!N146)),0),IF($G$157:$AF$157&lt;=N$157,$G112:$AF112)),IF(Tech_Specs!$K38="lamp",System_Mkt_Repl!$F364:$AE364+System_Mkt_NC!$G364:$AF364,Lamp_Mkt_Repl!$G74:$AF74+System_Mkt_NC!$G364:$AF364))/SUM(IF($G$157:$AF$157&gt;=ROUND(IF((N$157-Sys_Repl_Rate!N146)&lt;Tech_Specs!$C38,Tech_Specs!$C38,(N$157-Sys_Repl_Rate!N146)),0),IF($G$157:$AF$157&lt;=N$157,IF(Tech_Specs!$K38="lamp",System_Mkt_Repl!$F364:$AE364+System_Mkt_NC!$G364:$AF364,Lamp_Mkt_Repl!$G74:$AF74+System_Mkt_NC!$G364:$AF364))))))</f>
        <v>98.435483566031863</v>
      </c>
      <c r="O188" s="373">
        <f t="array" ref="O188">IF(O$157=Misc_Inputs!$D$6,$G112,IF(SUM(IF($G$157:$AF$157&gt;=ROUND(IF((O$157-Sys_Repl_Rate!O146)&lt;Tech_Specs!$C38,Tech_Specs!$C38,(O$157-Sys_Repl_Rate!O146)),0),IF($G$157:$AF$157&lt;=O$157,IF(Tech_Specs!$K38="lamp",System_Mkt_Repl!$F364:$AE364+System_Mkt_NC!$G364:$AF364,Lamp_Mkt_Repl!$G74:$AF74+System_Mkt_NC!$G364:$AF364))))=0,0,SUMPRODUCT(IF($G$157:$AF$157&gt;=ROUND(IF((O$157-Sys_Repl_Rate!O146)&lt;Tech_Specs!$C38,Tech_Specs!$C38,(O$157-Sys_Repl_Rate!O146)),0),IF($G$157:$AF$157&lt;=O$157,$G112:$AF112)),IF(Tech_Specs!$K38="lamp",System_Mkt_Repl!$F364:$AE364+System_Mkt_NC!$G364:$AF364,Lamp_Mkt_Repl!$G74:$AF74+System_Mkt_NC!$G364:$AF364))/SUM(IF($G$157:$AF$157&gt;=ROUND(IF((O$157-Sys_Repl_Rate!O146)&lt;Tech_Specs!$C38,Tech_Specs!$C38,(O$157-Sys_Repl_Rate!O146)),0),IF($G$157:$AF$157&lt;=O$157,IF(Tech_Specs!$K38="lamp",System_Mkt_Repl!$F364:$AE364+System_Mkt_NC!$G364:$AF364,Lamp_Mkt_Repl!$G74:$AF74+System_Mkt_NC!$G364:$AF364))))))</f>
        <v>104.29493862681822</v>
      </c>
      <c r="P188" s="373">
        <f t="array" ref="P188">IF(P$157=Misc_Inputs!$D$6,$G112,IF(SUM(IF($G$157:$AF$157&gt;=ROUND(IF((P$157-Sys_Repl_Rate!P146)&lt;Tech_Specs!$C38,Tech_Specs!$C38,(P$157-Sys_Repl_Rate!P146)),0),IF($G$157:$AF$157&lt;=P$157,IF(Tech_Specs!$K38="lamp",System_Mkt_Repl!$F364:$AE364+System_Mkt_NC!$G364:$AF364,Lamp_Mkt_Repl!$G74:$AF74+System_Mkt_NC!$G364:$AF364))))=0,0,SUMPRODUCT(IF($G$157:$AF$157&gt;=ROUND(IF((P$157-Sys_Repl_Rate!P146)&lt;Tech_Specs!$C38,Tech_Specs!$C38,(P$157-Sys_Repl_Rate!P146)),0),IF($G$157:$AF$157&lt;=P$157,$G112:$AF112)),IF(Tech_Specs!$K38="lamp",System_Mkt_Repl!$F364:$AE364+System_Mkt_NC!$G364:$AF364,Lamp_Mkt_Repl!$G74:$AF74+System_Mkt_NC!$G364:$AF364))/SUM(IF($G$157:$AF$157&gt;=ROUND(IF((P$157-Sys_Repl_Rate!P146)&lt;Tech_Specs!$C38,Tech_Specs!$C38,(P$157-Sys_Repl_Rate!P146)),0),IF($G$157:$AF$157&lt;=P$157,IF(Tech_Specs!$K38="lamp",System_Mkt_Repl!$F364:$AE364+System_Mkt_NC!$G364:$AF364,Lamp_Mkt_Repl!$G74:$AF74+System_Mkt_NC!$G364:$AF364))))))</f>
        <v>110.0573297141773</v>
      </c>
      <c r="Q188" s="373">
        <f t="array" ref="Q188">IF(Q$157=Misc_Inputs!$D$6,$G112,IF(SUM(IF($G$157:$AF$157&gt;=ROUND(IF((Q$157-Sys_Repl_Rate!Q146)&lt;Tech_Specs!$C38,Tech_Specs!$C38,(Q$157-Sys_Repl_Rate!Q146)),0),IF($G$157:$AF$157&lt;=Q$157,IF(Tech_Specs!$K38="lamp",System_Mkt_Repl!$F364:$AE364+System_Mkt_NC!$G364:$AF364,Lamp_Mkt_Repl!$G74:$AF74+System_Mkt_NC!$G364:$AF364))))=0,0,SUMPRODUCT(IF($G$157:$AF$157&gt;=ROUND(IF((Q$157-Sys_Repl_Rate!Q146)&lt;Tech_Specs!$C38,Tech_Specs!$C38,(Q$157-Sys_Repl_Rate!Q146)),0),IF($G$157:$AF$157&lt;=Q$157,$G112:$AF112)),IF(Tech_Specs!$K38="lamp",System_Mkt_Repl!$F364:$AE364+System_Mkt_NC!$G364:$AF364,Lamp_Mkt_Repl!$G74:$AF74+System_Mkt_NC!$G364:$AF364))/SUM(IF($G$157:$AF$157&gt;=ROUND(IF((Q$157-Sys_Repl_Rate!Q146)&lt;Tech_Specs!$C38,Tech_Specs!$C38,(Q$157-Sys_Repl_Rate!Q146)),0),IF($G$157:$AF$157&lt;=Q$157,IF(Tech_Specs!$K38="lamp",System_Mkt_Repl!$F364:$AE364+System_Mkt_NC!$G364:$AF364,Lamp_Mkt_Repl!$G74:$AF74+System_Mkt_NC!$G364:$AF364))))))</f>
        <v>115.73317639095467</v>
      </c>
      <c r="R188" s="373">
        <f t="array" ref="R188">IF(R$157=Misc_Inputs!$D$6,$G112,IF(SUM(IF($G$157:$AF$157&gt;=ROUND(IF((R$157-Sys_Repl_Rate!R146)&lt;Tech_Specs!$C38,Tech_Specs!$C38,(R$157-Sys_Repl_Rate!R146)),0),IF($G$157:$AF$157&lt;=R$157,IF(Tech_Specs!$K38="lamp",System_Mkt_Repl!$F364:$AE364+System_Mkt_NC!$G364:$AF364,Lamp_Mkt_Repl!$G74:$AF74+System_Mkt_NC!$G364:$AF364))))=0,0,SUMPRODUCT(IF($G$157:$AF$157&gt;=ROUND(IF((R$157-Sys_Repl_Rate!R146)&lt;Tech_Specs!$C38,Tech_Specs!$C38,(R$157-Sys_Repl_Rate!R146)),0),IF($G$157:$AF$157&lt;=R$157,$G112:$AF112)),IF(Tech_Specs!$K38="lamp",System_Mkt_Repl!$F364:$AE364+System_Mkt_NC!$G364:$AF364,Lamp_Mkt_Repl!$G74:$AF74+System_Mkt_NC!$G364:$AF364))/SUM(IF($G$157:$AF$157&gt;=ROUND(IF((R$157-Sys_Repl_Rate!R146)&lt;Tech_Specs!$C38,Tech_Specs!$C38,(R$157-Sys_Repl_Rate!R146)),0),IF($G$157:$AF$157&lt;=R$157,IF(Tech_Specs!$K38="lamp",System_Mkt_Repl!$F364:$AE364+System_Mkt_NC!$G364:$AF364,Lamp_Mkt_Repl!$G74:$AF74+System_Mkt_NC!$G364:$AF364))))))</f>
        <v>121.01358734828045</v>
      </c>
      <c r="S188" s="373">
        <f t="array" ref="S188">IF(S$157=Misc_Inputs!$D$6,$G112,IF(SUM(IF($G$157:$AF$157&gt;=ROUND(IF((S$157-Sys_Repl_Rate!S146)&lt;Tech_Specs!$C38,Tech_Specs!$C38,(S$157-Sys_Repl_Rate!S146)),0),IF($G$157:$AF$157&lt;=S$157,IF(Tech_Specs!$K38="lamp",System_Mkt_Repl!$F364:$AE364+System_Mkt_NC!$G364:$AF364,Lamp_Mkt_Repl!$G74:$AF74+System_Mkt_NC!$G364:$AF364))))=0,0,SUMPRODUCT(IF($G$157:$AF$157&gt;=ROUND(IF((S$157-Sys_Repl_Rate!S146)&lt;Tech_Specs!$C38,Tech_Specs!$C38,(S$157-Sys_Repl_Rate!S146)),0),IF($G$157:$AF$157&lt;=S$157,$G112:$AF112)),IF(Tech_Specs!$K38="lamp",System_Mkt_Repl!$F364:$AE364+System_Mkt_NC!$G364:$AF364,Lamp_Mkt_Repl!$G74:$AF74+System_Mkt_NC!$G364:$AF364))/SUM(IF($G$157:$AF$157&gt;=ROUND(IF((S$157-Sys_Repl_Rate!S146)&lt;Tech_Specs!$C38,Tech_Specs!$C38,(S$157-Sys_Repl_Rate!S146)),0),IF($G$157:$AF$157&lt;=S$157,IF(Tech_Specs!$K38="lamp",System_Mkt_Repl!$F364:$AE364+System_Mkt_NC!$G364:$AF364,Lamp_Mkt_Repl!$G74:$AF74+System_Mkt_NC!$G364:$AF364))))))</f>
        <v>125.91084384382474</v>
      </c>
      <c r="T188" s="373">
        <f t="array" ref="T188">IF(T$157=Misc_Inputs!$D$6,$G112,IF(SUM(IF($G$157:$AF$157&gt;=ROUND(IF((T$157-Sys_Repl_Rate!T146)&lt;Tech_Specs!$C38,Tech_Specs!$C38,(T$157-Sys_Repl_Rate!T146)),0),IF($G$157:$AF$157&lt;=T$157,IF(Tech_Specs!$K38="lamp",System_Mkt_Repl!$F364:$AE364+System_Mkt_NC!$G364:$AF364,Lamp_Mkt_Repl!$G74:$AF74+System_Mkt_NC!$G364:$AF364))))=0,0,SUMPRODUCT(IF($G$157:$AF$157&gt;=ROUND(IF((T$157-Sys_Repl_Rate!T146)&lt;Tech_Specs!$C38,Tech_Specs!$C38,(T$157-Sys_Repl_Rate!T146)),0),IF($G$157:$AF$157&lt;=T$157,$G112:$AF112)),IF(Tech_Specs!$K38="lamp",System_Mkt_Repl!$F364:$AE364+System_Mkt_NC!$G364:$AF364,Lamp_Mkt_Repl!$G74:$AF74+System_Mkt_NC!$G364:$AF364))/SUM(IF($G$157:$AF$157&gt;=ROUND(IF((T$157-Sys_Repl_Rate!T146)&lt;Tech_Specs!$C38,Tech_Specs!$C38,(T$157-Sys_Repl_Rate!T146)),0),IF($G$157:$AF$157&lt;=T$157,IF(Tech_Specs!$K38="lamp",System_Mkt_Repl!$F364:$AE364+System_Mkt_NC!$G364:$AF364,Lamp_Mkt_Repl!$G74:$AF74+System_Mkt_NC!$G364:$AF364))))))</f>
        <v>130.42618326950867</v>
      </c>
      <c r="U188" s="373">
        <f t="array" ref="U188">IF(U$157=Misc_Inputs!$D$6,$G112,IF(SUM(IF($G$157:$AF$157&gt;=ROUND(IF((U$157-Sys_Repl_Rate!U146)&lt;Tech_Specs!$C38,Tech_Specs!$C38,(U$157-Sys_Repl_Rate!U146)),0),IF($G$157:$AF$157&lt;=U$157,IF(Tech_Specs!$K38="lamp",System_Mkt_Repl!$F364:$AE364+System_Mkt_NC!$G364:$AF364,Lamp_Mkt_Repl!$G74:$AF74+System_Mkt_NC!$G364:$AF364))))=0,0,SUMPRODUCT(IF($G$157:$AF$157&gt;=ROUND(IF((U$157-Sys_Repl_Rate!U146)&lt;Tech_Specs!$C38,Tech_Specs!$C38,(U$157-Sys_Repl_Rate!U146)),0),IF($G$157:$AF$157&lt;=U$157,$G112:$AF112)),IF(Tech_Specs!$K38="lamp",System_Mkt_Repl!$F364:$AE364+System_Mkt_NC!$G364:$AF364,Lamp_Mkt_Repl!$G74:$AF74+System_Mkt_NC!$G364:$AF364))/SUM(IF($G$157:$AF$157&gt;=ROUND(IF((U$157-Sys_Repl_Rate!U146)&lt;Tech_Specs!$C38,Tech_Specs!$C38,(U$157-Sys_Repl_Rate!U146)),0),IF($G$157:$AF$157&lt;=U$157,IF(Tech_Specs!$K38="lamp",System_Mkt_Repl!$F364:$AE364+System_Mkt_NC!$G364:$AF364,Lamp_Mkt_Repl!$G74:$AF74+System_Mkt_NC!$G364:$AF364))))))</f>
        <v>134.57274477984308</v>
      </c>
      <c r="V188" s="373">
        <f t="array" ref="V188">IF(V$157=Misc_Inputs!$D$6,$G112,IF(SUM(IF($G$157:$AF$157&gt;=ROUND(IF((V$157-Sys_Repl_Rate!V146)&lt;Tech_Specs!$C38,Tech_Specs!$C38,(V$157-Sys_Repl_Rate!V146)),0),IF($G$157:$AF$157&lt;=V$157,IF(Tech_Specs!$K38="lamp",System_Mkt_Repl!$F364:$AE364+System_Mkt_NC!$G364:$AF364,Lamp_Mkt_Repl!$G74:$AF74+System_Mkt_NC!$G364:$AF364))))=0,0,SUMPRODUCT(IF($G$157:$AF$157&gt;=ROUND(IF((V$157-Sys_Repl_Rate!V146)&lt;Tech_Specs!$C38,Tech_Specs!$C38,(V$157-Sys_Repl_Rate!V146)),0),IF($G$157:$AF$157&lt;=V$157,$G112:$AF112)),IF(Tech_Specs!$K38="lamp",System_Mkt_Repl!$F364:$AE364+System_Mkt_NC!$G364:$AF364,Lamp_Mkt_Repl!$G74:$AF74+System_Mkt_NC!$G364:$AF364))/SUM(IF($G$157:$AF$157&gt;=ROUND(IF((V$157-Sys_Repl_Rate!V146)&lt;Tech_Specs!$C38,Tech_Specs!$C38,(V$157-Sys_Repl_Rate!V146)),0),IF($G$157:$AF$157&lt;=V$157,IF(Tech_Specs!$K38="lamp",System_Mkt_Repl!$F364:$AE364+System_Mkt_NC!$G364:$AF364,Lamp_Mkt_Repl!$G74:$AF74+System_Mkt_NC!$G364:$AF364))))))</f>
        <v>138.37834324275931</v>
      </c>
      <c r="W188" s="373">
        <f t="array" ref="W188">IF(W$157=Misc_Inputs!$D$6,$G112,IF(SUM(IF($G$157:$AF$157&gt;=ROUND(IF((W$157-Sys_Repl_Rate!W146)&lt;Tech_Specs!$C38,Tech_Specs!$C38,(W$157-Sys_Repl_Rate!W146)),0),IF($G$157:$AF$157&lt;=W$157,IF(Tech_Specs!$K38="lamp",System_Mkt_Repl!$F364:$AE364+System_Mkt_NC!$G364:$AF364,Lamp_Mkt_Repl!$G74:$AF74+System_Mkt_NC!$G364:$AF364))))=0,0,SUMPRODUCT(IF($G$157:$AF$157&gt;=ROUND(IF((W$157-Sys_Repl_Rate!W146)&lt;Tech_Specs!$C38,Tech_Specs!$C38,(W$157-Sys_Repl_Rate!W146)),0),IF($G$157:$AF$157&lt;=W$157,$G112:$AF112)),IF(Tech_Specs!$K38="lamp",System_Mkt_Repl!$F364:$AE364+System_Mkt_NC!$G364:$AF364,Lamp_Mkt_Repl!$G74:$AF74+System_Mkt_NC!$G364:$AF364))/SUM(IF($G$157:$AF$157&gt;=ROUND(IF((W$157-Sys_Repl_Rate!W146)&lt;Tech_Specs!$C38,Tech_Specs!$C38,(W$157-Sys_Repl_Rate!W146)),0),IF($G$157:$AF$157&lt;=W$157,IF(Tech_Specs!$K38="lamp",System_Mkt_Repl!$F364:$AE364+System_Mkt_NC!$G364:$AF364,Lamp_Mkt_Repl!$G74:$AF74+System_Mkt_NC!$G364:$AF364))))))</f>
        <v>141.8637347778002</v>
      </c>
      <c r="X188" s="373">
        <f t="array" ref="X188">IF(X$157=Misc_Inputs!$D$6,$G112,IF(SUM(IF($G$157:$AF$157&gt;=ROUND(IF((X$157-Sys_Repl_Rate!X146)&lt;Tech_Specs!$C38,Tech_Specs!$C38,(X$157-Sys_Repl_Rate!X146)),0),IF($G$157:$AF$157&lt;=X$157,IF(Tech_Specs!$K38="lamp",System_Mkt_Repl!$F364:$AE364+System_Mkt_NC!$G364:$AF364,Lamp_Mkt_Repl!$G74:$AF74+System_Mkt_NC!$G364:$AF364))))=0,0,SUMPRODUCT(IF($G$157:$AF$157&gt;=ROUND(IF((X$157-Sys_Repl_Rate!X146)&lt;Tech_Specs!$C38,Tech_Specs!$C38,(X$157-Sys_Repl_Rate!X146)),0),IF($G$157:$AF$157&lt;=X$157,$G112:$AF112)),IF(Tech_Specs!$K38="lamp",System_Mkt_Repl!$F364:$AE364+System_Mkt_NC!$G364:$AF364,Lamp_Mkt_Repl!$G74:$AF74+System_Mkt_NC!$G364:$AF364))/SUM(IF($G$157:$AF$157&gt;=ROUND(IF((X$157-Sys_Repl_Rate!X146)&lt;Tech_Specs!$C38,Tech_Specs!$C38,(X$157-Sys_Repl_Rate!X146)),0),IF($G$157:$AF$157&lt;=X$157,IF(Tech_Specs!$K38="lamp",System_Mkt_Repl!$F364:$AE364+System_Mkt_NC!$G364:$AF364,Lamp_Mkt_Repl!$G74:$AF74+System_Mkt_NC!$G364:$AF364))))))</f>
        <v>145.05212543762232</v>
      </c>
      <c r="Y188" s="373">
        <f t="array" ref="Y188">IF(Y$157=Misc_Inputs!$D$6,$G112,IF(SUM(IF($G$157:$AF$157&gt;=ROUND(IF((Y$157-Sys_Repl_Rate!Y146)&lt;Tech_Specs!$C38,Tech_Specs!$C38,(Y$157-Sys_Repl_Rate!Y146)),0),IF($G$157:$AF$157&lt;=Y$157,IF(Tech_Specs!$K38="lamp",System_Mkt_Repl!$F364:$AE364+System_Mkt_NC!$G364:$AF364,Lamp_Mkt_Repl!$G74:$AF74+System_Mkt_NC!$G364:$AF364))))=0,0,SUMPRODUCT(IF($G$157:$AF$157&gt;=ROUND(IF((Y$157-Sys_Repl_Rate!Y146)&lt;Tech_Specs!$C38,Tech_Specs!$C38,(Y$157-Sys_Repl_Rate!Y146)),0),IF($G$157:$AF$157&lt;=Y$157,$G112:$AF112)),IF(Tech_Specs!$K38="lamp",System_Mkt_Repl!$F364:$AE364+System_Mkt_NC!$G364:$AF364,Lamp_Mkt_Repl!$G74:$AF74+System_Mkt_NC!$G364:$AF364))/SUM(IF($G$157:$AF$157&gt;=ROUND(IF((Y$157-Sys_Repl_Rate!Y146)&lt;Tech_Specs!$C38,Tech_Specs!$C38,(Y$157-Sys_Repl_Rate!Y146)),0),IF($G$157:$AF$157&lt;=Y$157,IF(Tech_Specs!$K38="lamp",System_Mkt_Repl!$F364:$AE364+System_Mkt_NC!$G364:$AF364,Lamp_Mkt_Repl!$G74:$AF74+System_Mkt_NC!$G364:$AF364))))))</f>
        <v>147.96973650420117</v>
      </c>
      <c r="Z188" s="373">
        <f t="array" ref="Z188">IF(Z$157=Misc_Inputs!$D$6,$G112,IF(SUM(IF($G$157:$AF$157&gt;=ROUND(IF((Z$157-Sys_Repl_Rate!Z146)&lt;Tech_Specs!$C38,Tech_Specs!$C38,(Z$157-Sys_Repl_Rate!Z146)),0),IF($G$157:$AF$157&lt;=Z$157,IF(Tech_Specs!$K38="lamp",System_Mkt_Repl!$F364:$AE364+System_Mkt_NC!$G364:$AF364,Lamp_Mkt_Repl!$G74:$AF74+System_Mkt_NC!$G364:$AF364))))=0,0,SUMPRODUCT(IF($G$157:$AF$157&gt;=ROUND(IF((Z$157-Sys_Repl_Rate!Z146)&lt;Tech_Specs!$C38,Tech_Specs!$C38,(Z$157-Sys_Repl_Rate!Z146)),0),IF($G$157:$AF$157&lt;=Z$157,$G112:$AF112)),IF(Tech_Specs!$K38="lamp",System_Mkt_Repl!$F364:$AE364+System_Mkt_NC!$G364:$AF364,Lamp_Mkt_Repl!$G74:$AF74+System_Mkt_NC!$G364:$AF364))/SUM(IF($G$157:$AF$157&gt;=ROUND(IF((Z$157-Sys_Repl_Rate!Z146)&lt;Tech_Specs!$C38,Tech_Specs!$C38,(Z$157-Sys_Repl_Rate!Z146)),0),IF($G$157:$AF$157&lt;=Z$157,IF(Tech_Specs!$K38="lamp",System_Mkt_Repl!$F364:$AE364+System_Mkt_NC!$G364:$AF364,Lamp_Mkt_Repl!$G74:$AF74+System_Mkt_NC!$G364:$AF364))))))</f>
        <v>150.64750239374399</v>
      </c>
      <c r="AA188" s="373">
        <f t="array" ref="AA188">IF(AA$157=Misc_Inputs!$D$6,$G112,IF(SUM(IF($G$157:$AF$157&gt;=ROUND(IF((AA$157-Sys_Repl_Rate!AA146)&lt;Tech_Specs!$C38,Tech_Specs!$C38,(AA$157-Sys_Repl_Rate!AA146)),0),IF($G$157:$AF$157&lt;=AA$157,IF(Tech_Specs!$K38="lamp",System_Mkt_Repl!$F364:$AE364+System_Mkt_NC!$G364:$AF364,Lamp_Mkt_Repl!$G74:$AF74+System_Mkt_NC!$G364:$AF364))))=0,0,SUMPRODUCT(IF($G$157:$AF$157&gt;=ROUND(IF((AA$157-Sys_Repl_Rate!AA146)&lt;Tech_Specs!$C38,Tech_Specs!$C38,(AA$157-Sys_Repl_Rate!AA146)),0),IF($G$157:$AF$157&lt;=AA$157,$G112:$AF112)),IF(Tech_Specs!$K38="lamp",System_Mkt_Repl!$F364:$AE364+System_Mkt_NC!$G364:$AF364,Lamp_Mkt_Repl!$G74:$AF74+System_Mkt_NC!$G364:$AF364))/SUM(IF($G$157:$AF$157&gt;=ROUND(IF((AA$157-Sys_Repl_Rate!AA146)&lt;Tech_Specs!$C38,Tech_Specs!$C38,(AA$157-Sys_Repl_Rate!AA146)),0),IF($G$157:$AF$157&lt;=AA$157,IF(Tech_Specs!$K38="lamp",System_Mkt_Repl!$F364:$AE364+System_Mkt_NC!$G364:$AF364,Lamp_Mkt_Repl!$G74:$AF74+System_Mkt_NC!$G364:$AF364))))))</f>
        <v>153.11458443915376</v>
      </c>
      <c r="AB188" s="373">
        <f t="array" ref="AB188">IF(AB$157=Misc_Inputs!$D$6,$G112,IF(SUM(IF($G$157:$AF$157&gt;=ROUND(IF((AB$157-Sys_Repl_Rate!AB146)&lt;Tech_Specs!$C38,Tech_Specs!$C38,(AB$157-Sys_Repl_Rate!AB146)),0),IF($G$157:$AF$157&lt;=AB$157,IF(Tech_Specs!$K38="lamp",System_Mkt_Repl!$F364:$AE364+System_Mkt_NC!$G364:$AF364,Lamp_Mkt_Repl!$G74:$AF74+System_Mkt_NC!$G364:$AF364))))=0,0,SUMPRODUCT(IF($G$157:$AF$157&gt;=ROUND(IF((AB$157-Sys_Repl_Rate!AB146)&lt;Tech_Specs!$C38,Tech_Specs!$C38,(AB$157-Sys_Repl_Rate!AB146)),0),IF($G$157:$AF$157&lt;=AB$157,$G112:$AF112)),IF(Tech_Specs!$K38="lamp",System_Mkt_Repl!$F364:$AE364+System_Mkt_NC!$G364:$AF364,Lamp_Mkt_Repl!$G74:$AF74+System_Mkt_NC!$G364:$AF364))/SUM(IF($G$157:$AF$157&gt;=ROUND(IF((AB$157-Sys_Repl_Rate!AB146)&lt;Tech_Specs!$C38,Tech_Specs!$C38,(AB$157-Sys_Repl_Rate!AB146)),0),IF($G$157:$AF$157&lt;=AB$157,IF(Tech_Specs!$K38="lamp",System_Mkt_Repl!$F364:$AE364+System_Mkt_NC!$G364:$AF364,Lamp_Mkt_Repl!$G74:$AF74+System_Mkt_NC!$G364:$AF364))))))</f>
        <v>155.39866593443713</v>
      </c>
      <c r="AC188" s="373">
        <f t="array" ref="AC188">IF(AC$157=Misc_Inputs!$D$6,$G112,IF(SUM(IF($G$157:$AF$157&gt;=ROUND(IF((AC$157-Sys_Repl_Rate!AC146)&lt;Tech_Specs!$C38,Tech_Specs!$C38,(AC$157-Sys_Repl_Rate!AC146)),0),IF($G$157:$AF$157&lt;=AC$157,IF(Tech_Specs!$K38="lamp",System_Mkt_Repl!$F364:$AE364+System_Mkt_NC!$G364:$AF364,Lamp_Mkt_Repl!$G74:$AF74+System_Mkt_NC!$G364:$AF364))))=0,0,SUMPRODUCT(IF($G$157:$AF$157&gt;=ROUND(IF((AC$157-Sys_Repl_Rate!AC146)&lt;Tech_Specs!$C38,Tech_Specs!$C38,(AC$157-Sys_Repl_Rate!AC146)),0),IF($G$157:$AF$157&lt;=AC$157,$G112:$AF112)),IF(Tech_Specs!$K38="lamp",System_Mkt_Repl!$F364:$AE364+System_Mkt_NC!$G364:$AF364,Lamp_Mkt_Repl!$G74:$AF74+System_Mkt_NC!$G364:$AF364))/SUM(IF($G$157:$AF$157&gt;=ROUND(IF((AC$157-Sys_Repl_Rate!AC146)&lt;Tech_Specs!$C38,Tech_Specs!$C38,(AC$157-Sys_Repl_Rate!AC146)),0),IF($G$157:$AF$157&lt;=AC$157,IF(Tech_Specs!$K38="lamp",System_Mkt_Repl!$F364:$AE364+System_Mkt_NC!$G364:$AF364,Lamp_Mkt_Repl!$G74:$AF74+System_Mkt_NC!$G364:$AF364))))))</f>
        <v>157.50872284175014</v>
      </c>
      <c r="AD188" s="373">
        <f t="array" ref="AD188">IF(AD$157=Misc_Inputs!$D$6,$G112,IF(SUM(IF($G$157:$AF$157&gt;=ROUND(IF((AD$157-Sys_Repl_Rate!AD146)&lt;Tech_Specs!$C38,Tech_Specs!$C38,(AD$157-Sys_Repl_Rate!AD146)),0),IF($G$157:$AF$157&lt;=AD$157,IF(Tech_Specs!$K38="lamp",System_Mkt_Repl!$F364:$AE364+System_Mkt_NC!$G364:$AF364,Lamp_Mkt_Repl!$G74:$AF74+System_Mkt_NC!$G364:$AF364))))=0,0,SUMPRODUCT(IF($G$157:$AF$157&gt;=ROUND(IF((AD$157-Sys_Repl_Rate!AD146)&lt;Tech_Specs!$C38,Tech_Specs!$C38,(AD$157-Sys_Repl_Rate!AD146)),0),IF($G$157:$AF$157&lt;=AD$157,$G112:$AF112)),IF(Tech_Specs!$K38="lamp",System_Mkt_Repl!$F364:$AE364+System_Mkt_NC!$G364:$AF364,Lamp_Mkt_Repl!$G74:$AF74+System_Mkt_NC!$G364:$AF364))/SUM(IF($G$157:$AF$157&gt;=ROUND(IF((AD$157-Sys_Repl_Rate!AD146)&lt;Tech_Specs!$C38,Tech_Specs!$C38,(AD$157-Sys_Repl_Rate!AD146)),0),IF($G$157:$AF$157&lt;=AD$157,IF(Tech_Specs!$K38="lamp",System_Mkt_Repl!$F364:$AE364+System_Mkt_NC!$G364:$AF364,Lamp_Mkt_Repl!$G74:$AF74+System_Mkt_NC!$G364:$AF364))))))</f>
        <v>159.46192106262035</v>
      </c>
      <c r="AE188" s="373">
        <f t="array" ref="AE188">IF(AE$157=Misc_Inputs!$D$6,$G112,IF(SUM(IF($G$157:$AF$157&gt;=ROUND(IF((AE$157-Sys_Repl_Rate!AE146)&lt;Tech_Specs!$C38,Tech_Specs!$C38,(AE$157-Sys_Repl_Rate!AE146)),0),IF($G$157:$AF$157&lt;=AE$157,IF(Tech_Specs!$K38="lamp",System_Mkt_Repl!$F364:$AE364+System_Mkt_NC!$G364:$AF364,Lamp_Mkt_Repl!$G74:$AF74+System_Mkt_NC!$G364:$AF364))))=0,0,SUMPRODUCT(IF($G$157:$AF$157&gt;=ROUND(IF((AE$157-Sys_Repl_Rate!AE146)&lt;Tech_Specs!$C38,Tech_Specs!$C38,(AE$157-Sys_Repl_Rate!AE146)),0),IF($G$157:$AF$157&lt;=AE$157,$G112:$AF112)),IF(Tech_Specs!$K38="lamp",System_Mkt_Repl!$F364:$AE364+System_Mkt_NC!$G364:$AF364,Lamp_Mkt_Repl!$G74:$AF74+System_Mkt_NC!$G364:$AF364))/SUM(IF($G$157:$AF$157&gt;=ROUND(IF((AE$157-Sys_Repl_Rate!AE146)&lt;Tech_Specs!$C38,Tech_Specs!$C38,(AE$157-Sys_Repl_Rate!AE146)),0),IF($G$157:$AF$157&lt;=AE$157,IF(Tech_Specs!$K38="lamp",System_Mkt_Repl!$F364:$AE364+System_Mkt_NC!$G364:$AF364,Lamp_Mkt_Repl!$G74:$AF74+System_Mkt_NC!$G364:$AF364))))))</f>
        <v>161.27359054000019</v>
      </c>
      <c r="AF188" s="373">
        <f t="array" ref="AF188">IF(AF$157=Misc_Inputs!$D$6,$G112,IF(SUM(IF($G$157:$AF$157&gt;=ROUND(IF((AF$157-Sys_Repl_Rate!AF146)&lt;Tech_Specs!$C38,Tech_Specs!$C38,(AF$157-Sys_Repl_Rate!AF146)),0),IF($G$157:$AF$157&lt;=AF$157,IF(Tech_Specs!$K38="lamp",System_Mkt_Repl!$F364:$AE364+System_Mkt_NC!$G364:$AF364,Lamp_Mkt_Repl!$G74:$AF74+System_Mkt_NC!$G364:$AF364))))=0,0,SUMPRODUCT(IF($G$157:$AF$157&gt;=ROUND(IF((AF$157-Sys_Repl_Rate!AF146)&lt;Tech_Specs!$C38,Tech_Specs!$C38,(AF$157-Sys_Repl_Rate!AF146)),0),IF($G$157:$AF$157&lt;=AF$157,$G112:$AF112)),IF(Tech_Specs!$K38="lamp",System_Mkt_Repl!$F364:$AE364+System_Mkt_NC!$G364:$AF364,Lamp_Mkt_Repl!$G74:$AF74+System_Mkt_NC!$G364:$AF364))/SUM(IF($G$157:$AF$157&gt;=ROUND(IF((AF$157-Sys_Repl_Rate!AF146)&lt;Tech_Specs!$C38,Tech_Specs!$C38,(AF$157-Sys_Repl_Rate!AF146)),0),IF($G$157:$AF$157&lt;=AF$157,IF(Tech_Specs!$K38="lamp",System_Mkt_Repl!$F364:$AE364+System_Mkt_NC!$G364:$AF364,Lamp_Mkt_Repl!$G74:$AF74+System_Mkt_NC!$G364:$AF364))))))</f>
        <v>162.95737440234018</v>
      </c>
    </row>
    <row r="189" spans="1:32" s="101" customFormat="1" ht="12.75" x14ac:dyDescent="0.2">
      <c r="A189" s="81"/>
      <c r="B189" s="101" t="s">
        <v>53</v>
      </c>
      <c r="C189" s="81"/>
      <c r="D189" s="550"/>
      <c r="E189" s="550"/>
      <c r="F189" s="550"/>
      <c r="G189" s="373">
        <f t="array" ref="G189">IF(G$157=Misc_Inputs!$D$6,$G113,IF(SUM(IF($G$157:$AF$157&gt;=ROUND(IF((G$157-Sys_Repl_Rate!G147)&lt;Tech_Specs!$C39,Tech_Specs!$C39,(G$157-Sys_Repl_Rate!G147)),0),IF($G$157:$AF$157&lt;=G$157,IF(Tech_Specs!$K39="lamp",System_Mkt_Repl!$F365:$AE365+System_Mkt_NC!$G365:$AF365,Lamp_Mkt_Repl!$G75:$AF75+System_Mkt_NC!$G365:$AF365))))=0,0,SUMPRODUCT(IF($G$157:$AF$157&gt;=ROUND(IF((G$157-Sys_Repl_Rate!G147)&lt;Tech_Specs!$C39,Tech_Specs!$C39,(G$157-Sys_Repl_Rate!G147)),0),IF($G$157:$AF$157&lt;=G$157,$G113:$AF113)),IF(Tech_Specs!$K39="lamp",System_Mkt_Repl!$F365:$AE365+System_Mkt_NC!$G365:$AF365,Lamp_Mkt_Repl!$G75:$AF75+System_Mkt_NC!$G365:$AF365))/SUM(IF($G$157:$AF$157&gt;=ROUND(IF((G$157-Sys_Repl_Rate!G147)&lt;Tech_Specs!$C39,Tech_Specs!$C39,(G$157-Sys_Repl_Rate!G147)),0),IF($G$157:$AF$157&lt;=G$157,IF(Tech_Specs!$K39="lamp",System_Mkt_Repl!$F365:$AE365+System_Mkt_NC!$G365:$AF365,Lamp_Mkt_Repl!$G75:$AF75+System_Mkt_NC!$G365:$AF365))))))</f>
        <v>53.300000000000011</v>
      </c>
      <c r="H189" s="373">
        <f t="array" ref="H189">IF(H$157=Misc_Inputs!$D$6,$G113,IF(SUM(IF($G$157:$AF$157&gt;=ROUND(IF((H$157-Sys_Repl_Rate!H147)&lt;Tech_Specs!$C39,Tech_Specs!$C39,(H$157-Sys_Repl_Rate!H147)),0),IF($G$157:$AF$157&lt;=H$157,IF(Tech_Specs!$K39="lamp",System_Mkt_Repl!$F365:$AE365+System_Mkt_NC!$G365:$AF365,Lamp_Mkt_Repl!$G75:$AF75+System_Mkt_NC!$G365:$AF365))))=0,0,SUMPRODUCT(IF($G$157:$AF$157&gt;=ROUND(IF((H$157-Sys_Repl_Rate!H147)&lt;Tech_Specs!$C39,Tech_Specs!$C39,(H$157-Sys_Repl_Rate!H147)),0),IF($G$157:$AF$157&lt;=H$157,$G113:$AF113)),IF(Tech_Specs!$K39="lamp",System_Mkt_Repl!$F365:$AE365+System_Mkt_NC!$G365:$AF365,Lamp_Mkt_Repl!$G75:$AF75+System_Mkt_NC!$G365:$AF365))/SUM(IF($G$157:$AF$157&gt;=ROUND(IF((H$157-Sys_Repl_Rate!H147)&lt;Tech_Specs!$C39,Tech_Specs!$C39,(H$157-Sys_Repl_Rate!H147)),0),IF($G$157:$AF$157&lt;=H$157,IF(Tech_Specs!$K39="lamp",System_Mkt_Repl!$F365:$AE365+System_Mkt_NC!$G365:$AF365,Lamp_Mkt_Repl!$G75:$AF75+System_Mkt_NC!$G365:$AF365))))))</f>
        <v>53.433249999999987</v>
      </c>
      <c r="I189" s="373">
        <f t="array" ref="I189">IF(I$157=Misc_Inputs!$D$6,$G113,IF(SUM(IF($G$157:$AF$157&gt;=ROUND(IF((I$157-Sys_Repl_Rate!I147)&lt;Tech_Specs!$C39,Tech_Specs!$C39,(I$157-Sys_Repl_Rate!I147)),0),IF($G$157:$AF$157&lt;=I$157,IF(Tech_Specs!$K39="lamp",System_Mkt_Repl!$F365:$AE365+System_Mkt_NC!$G365:$AF365,Lamp_Mkt_Repl!$G75:$AF75+System_Mkt_NC!$G365:$AF365))))=0,0,SUMPRODUCT(IF($G$157:$AF$157&gt;=ROUND(IF((I$157-Sys_Repl_Rate!I147)&lt;Tech_Specs!$C39,Tech_Specs!$C39,(I$157-Sys_Repl_Rate!I147)),0),IF($G$157:$AF$157&lt;=I$157,$G113:$AF113)),IF(Tech_Specs!$K39="lamp",System_Mkt_Repl!$F365:$AE365+System_Mkt_NC!$G365:$AF365,Lamp_Mkt_Repl!$G75:$AF75+System_Mkt_NC!$G365:$AF365))/SUM(IF($G$157:$AF$157&gt;=ROUND(IF((I$157-Sys_Repl_Rate!I147)&lt;Tech_Specs!$C39,Tech_Specs!$C39,(I$157-Sys_Repl_Rate!I147)),0),IF($G$157:$AF$157&lt;=I$157,IF(Tech_Specs!$K39="lamp",System_Mkt_Repl!$F365:$AE365+System_Mkt_NC!$G365:$AF365,Lamp_Mkt_Repl!$G75:$AF75+System_Mkt_NC!$G365:$AF365))))))</f>
        <v>53.499147648967885</v>
      </c>
      <c r="J189" s="373">
        <f t="array" ref="J189">IF(J$157=Misc_Inputs!$D$6,$G113,IF(SUM(IF($G$157:$AF$157&gt;=ROUND(IF((J$157-Sys_Repl_Rate!J147)&lt;Tech_Specs!$C39,Tech_Specs!$C39,(J$157-Sys_Repl_Rate!J147)),0),IF($G$157:$AF$157&lt;=J$157,IF(Tech_Specs!$K39="lamp",System_Mkt_Repl!$F365:$AE365+System_Mkt_NC!$G365:$AF365,Lamp_Mkt_Repl!$G75:$AF75+System_Mkt_NC!$G365:$AF365))))=0,0,SUMPRODUCT(IF($G$157:$AF$157&gt;=ROUND(IF((J$157-Sys_Repl_Rate!J147)&lt;Tech_Specs!$C39,Tech_Specs!$C39,(J$157-Sys_Repl_Rate!J147)),0),IF($G$157:$AF$157&lt;=J$157,$G113:$AF113)),IF(Tech_Specs!$K39="lamp",System_Mkt_Repl!$F365:$AE365+System_Mkt_NC!$G365:$AF365,Lamp_Mkt_Repl!$G75:$AF75+System_Mkt_NC!$G365:$AF365))/SUM(IF($G$157:$AF$157&gt;=ROUND(IF((J$157-Sys_Repl_Rate!J147)&lt;Tech_Specs!$C39,Tech_Specs!$C39,(J$157-Sys_Repl_Rate!J147)),0),IF($G$157:$AF$157&lt;=J$157,IF(Tech_Specs!$K39="lamp",System_Mkt_Repl!$F365:$AE365+System_Mkt_NC!$G365:$AF365,Lamp_Mkt_Repl!$G75:$AF75+System_Mkt_NC!$G365:$AF365))))))</f>
        <v>53.563552259988825</v>
      </c>
      <c r="K189" s="373">
        <f t="array" ref="K189">IF(K$157=Misc_Inputs!$D$6,$G113,IF(SUM(IF($G$157:$AF$157&gt;=ROUND(IF((K$157-Sys_Repl_Rate!K147)&lt;Tech_Specs!$C39,Tech_Specs!$C39,(K$157-Sys_Repl_Rate!K147)),0),IF($G$157:$AF$157&lt;=K$157,IF(Tech_Specs!$K39="lamp",System_Mkt_Repl!$F365:$AE365+System_Mkt_NC!$G365:$AF365,Lamp_Mkt_Repl!$G75:$AF75+System_Mkt_NC!$G365:$AF365))))=0,0,SUMPRODUCT(IF($G$157:$AF$157&gt;=ROUND(IF((K$157-Sys_Repl_Rate!K147)&lt;Tech_Specs!$C39,Tech_Specs!$C39,(K$157-Sys_Repl_Rate!K147)),0),IF($G$157:$AF$157&lt;=K$157,$G113:$AF113)),IF(Tech_Specs!$K39="lamp",System_Mkt_Repl!$F365:$AE365+System_Mkt_NC!$G365:$AF365,Lamp_Mkt_Repl!$G75:$AF75+System_Mkt_NC!$G365:$AF365))/SUM(IF($G$157:$AF$157&gt;=ROUND(IF((K$157-Sys_Repl_Rate!K147)&lt;Tech_Specs!$C39,Tech_Specs!$C39,(K$157-Sys_Repl_Rate!K147)),0),IF($G$157:$AF$157&lt;=K$157,IF(Tech_Specs!$K39="lamp",System_Mkt_Repl!$F365:$AE365+System_Mkt_NC!$G365:$AF365,Lamp_Mkt_Repl!$G75:$AF75+System_Mkt_NC!$G365:$AF365))))))</f>
        <v>53.625507921525084</v>
      </c>
      <c r="L189" s="373">
        <f t="array" ref="L189">IF(L$157=Misc_Inputs!$D$6,$G113,IF(SUM(IF($G$157:$AF$157&gt;=ROUND(IF((L$157-Sys_Repl_Rate!L147)&lt;Tech_Specs!$C39,Tech_Specs!$C39,(L$157-Sys_Repl_Rate!L147)),0),IF($G$157:$AF$157&lt;=L$157,IF(Tech_Specs!$K39="lamp",System_Mkt_Repl!$F365:$AE365+System_Mkt_NC!$G365:$AF365,Lamp_Mkt_Repl!$G75:$AF75+System_Mkt_NC!$G365:$AF365))))=0,0,SUMPRODUCT(IF($G$157:$AF$157&gt;=ROUND(IF((L$157-Sys_Repl_Rate!L147)&lt;Tech_Specs!$C39,Tech_Specs!$C39,(L$157-Sys_Repl_Rate!L147)),0),IF($G$157:$AF$157&lt;=L$157,$G113:$AF113)),IF(Tech_Specs!$K39="lamp",System_Mkt_Repl!$F365:$AE365+System_Mkt_NC!$G365:$AF365,Lamp_Mkt_Repl!$G75:$AF75+System_Mkt_NC!$G365:$AF365))/SUM(IF($G$157:$AF$157&gt;=ROUND(IF((L$157-Sys_Repl_Rate!L147)&lt;Tech_Specs!$C39,Tech_Specs!$C39,(L$157-Sys_Repl_Rate!L147)),0),IF($G$157:$AF$157&lt;=L$157,IF(Tech_Specs!$K39="lamp",System_Mkt_Repl!$F365:$AE365+System_Mkt_NC!$G365:$AF365,Lamp_Mkt_Repl!$G75:$AF75+System_Mkt_NC!$G365:$AF365))))))</f>
        <v>53.685151005718652</v>
      </c>
      <c r="M189" s="373">
        <f t="array" ref="M189">IF(M$157=Misc_Inputs!$D$6,$G113,IF(SUM(IF($G$157:$AF$157&gt;=ROUND(IF((M$157-Sys_Repl_Rate!M147)&lt;Tech_Specs!$C39,Tech_Specs!$C39,(M$157-Sys_Repl_Rate!M147)),0),IF($G$157:$AF$157&lt;=M$157,IF(Tech_Specs!$K39="lamp",System_Mkt_Repl!$F365:$AE365+System_Mkt_NC!$G365:$AF365,Lamp_Mkt_Repl!$G75:$AF75+System_Mkt_NC!$G365:$AF365))))=0,0,SUMPRODUCT(IF($G$157:$AF$157&gt;=ROUND(IF((M$157-Sys_Repl_Rate!M147)&lt;Tech_Specs!$C39,Tech_Specs!$C39,(M$157-Sys_Repl_Rate!M147)),0),IF($G$157:$AF$157&lt;=M$157,$G113:$AF113)),IF(Tech_Specs!$K39="lamp",System_Mkt_Repl!$F365:$AE365+System_Mkt_NC!$G365:$AF365,Lamp_Mkt_Repl!$G75:$AF75+System_Mkt_NC!$G365:$AF365))/SUM(IF($G$157:$AF$157&gt;=ROUND(IF((M$157-Sys_Repl_Rate!M147)&lt;Tech_Specs!$C39,Tech_Specs!$C39,(M$157-Sys_Repl_Rate!M147)),0),IF($G$157:$AF$157&lt;=M$157,IF(Tech_Specs!$K39="lamp",System_Mkt_Repl!$F365:$AE365+System_Mkt_NC!$G365:$AF365,Lamp_Mkt_Repl!$G75:$AF75+System_Mkt_NC!$G365:$AF365))))))</f>
        <v>53.742142435204542</v>
      </c>
      <c r="N189" s="373">
        <f t="array" ref="N189">IF(N$157=Misc_Inputs!$D$6,$G113,IF(SUM(IF($G$157:$AF$157&gt;=ROUND(IF((N$157-Sys_Repl_Rate!N147)&lt;Tech_Specs!$C39,Tech_Specs!$C39,(N$157-Sys_Repl_Rate!N147)),0),IF($G$157:$AF$157&lt;=N$157,IF(Tech_Specs!$K39="lamp",System_Mkt_Repl!$F365:$AE365+System_Mkt_NC!$G365:$AF365,Lamp_Mkt_Repl!$G75:$AF75+System_Mkt_NC!$G365:$AF365))))=0,0,SUMPRODUCT(IF($G$157:$AF$157&gt;=ROUND(IF((N$157-Sys_Repl_Rate!N147)&lt;Tech_Specs!$C39,Tech_Specs!$C39,(N$157-Sys_Repl_Rate!N147)),0),IF($G$157:$AF$157&lt;=N$157,$G113:$AF113)),IF(Tech_Specs!$K39="lamp",System_Mkt_Repl!$F365:$AE365+System_Mkt_NC!$G365:$AF365,Lamp_Mkt_Repl!$G75:$AF75+System_Mkt_NC!$G365:$AF365))/SUM(IF($G$157:$AF$157&gt;=ROUND(IF((N$157-Sys_Repl_Rate!N147)&lt;Tech_Specs!$C39,Tech_Specs!$C39,(N$157-Sys_Repl_Rate!N147)),0),IF($G$157:$AF$157&lt;=N$157,IF(Tech_Specs!$K39="lamp",System_Mkt_Repl!$F365:$AE365+System_Mkt_NC!$G365:$AF365,Lamp_Mkt_Repl!$G75:$AF75+System_Mkt_NC!$G365:$AF365))))))</f>
        <v>53.796429548850774</v>
      </c>
      <c r="O189" s="373">
        <f t="array" ref="O189">IF(O$157=Misc_Inputs!$D$6,$G113,IF(SUM(IF($G$157:$AF$157&gt;=ROUND(IF((O$157-Sys_Repl_Rate!O147)&lt;Tech_Specs!$C39,Tech_Specs!$C39,(O$157-Sys_Repl_Rate!O147)),0),IF($G$157:$AF$157&lt;=O$157,IF(Tech_Specs!$K39="lamp",System_Mkt_Repl!$F365:$AE365+System_Mkt_NC!$G365:$AF365,Lamp_Mkt_Repl!$G75:$AF75+System_Mkt_NC!$G365:$AF365))))=0,0,SUMPRODUCT(IF($G$157:$AF$157&gt;=ROUND(IF((O$157-Sys_Repl_Rate!O147)&lt;Tech_Specs!$C39,Tech_Specs!$C39,(O$157-Sys_Repl_Rate!O147)),0),IF($G$157:$AF$157&lt;=O$157,$G113:$AF113)),IF(Tech_Specs!$K39="lamp",System_Mkt_Repl!$F365:$AE365+System_Mkt_NC!$G365:$AF365,Lamp_Mkt_Repl!$G75:$AF75+System_Mkt_NC!$G365:$AF365))/SUM(IF($G$157:$AF$157&gt;=ROUND(IF((O$157-Sys_Repl_Rate!O147)&lt;Tech_Specs!$C39,Tech_Specs!$C39,(O$157-Sys_Repl_Rate!O147)),0),IF($G$157:$AF$157&lt;=O$157,IF(Tech_Specs!$K39="lamp",System_Mkt_Repl!$F365:$AE365+System_Mkt_NC!$G365:$AF365,Lamp_Mkt_Repl!$G75:$AF75+System_Mkt_NC!$G365:$AF365))))))</f>
        <v>53.848287523183771</v>
      </c>
      <c r="P189" s="373">
        <f t="array" ref="P189">IF(P$157=Misc_Inputs!$D$6,$G113,IF(SUM(IF($G$157:$AF$157&gt;=ROUND(IF((P$157-Sys_Repl_Rate!P147)&lt;Tech_Specs!$C39,Tech_Specs!$C39,(P$157-Sys_Repl_Rate!P147)),0),IF($G$157:$AF$157&lt;=P$157,IF(Tech_Specs!$K39="lamp",System_Mkt_Repl!$F365:$AE365+System_Mkt_NC!$G365:$AF365,Lamp_Mkt_Repl!$G75:$AF75+System_Mkt_NC!$G365:$AF365))))=0,0,SUMPRODUCT(IF($G$157:$AF$157&gt;=ROUND(IF((P$157-Sys_Repl_Rate!P147)&lt;Tech_Specs!$C39,Tech_Specs!$C39,(P$157-Sys_Repl_Rate!P147)),0),IF($G$157:$AF$157&lt;=P$157,$G113:$AF113)),IF(Tech_Specs!$K39="lamp",System_Mkt_Repl!$F365:$AE365+System_Mkt_NC!$G365:$AF365,Lamp_Mkt_Repl!$G75:$AF75+System_Mkt_NC!$G365:$AF365))/SUM(IF($G$157:$AF$157&gt;=ROUND(IF((P$157-Sys_Repl_Rate!P147)&lt;Tech_Specs!$C39,Tech_Specs!$C39,(P$157-Sys_Repl_Rate!P147)),0),IF($G$157:$AF$157&lt;=P$157,IF(Tech_Specs!$K39="lamp",System_Mkt_Repl!$F365:$AE365+System_Mkt_NC!$G365:$AF365,Lamp_Mkt_Repl!$G75:$AF75+System_Mkt_NC!$G365:$AF365))))))</f>
        <v>53.898057322761986</v>
      </c>
      <c r="Q189" s="373">
        <f t="array" ref="Q189">IF(Q$157=Misc_Inputs!$D$6,$G113,IF(SUM(IF($G$157:$AF$157&gt;=ROUND(IF((Q$157-Sys_Repl_Rate!Q147)&lt;Tech_Specs!$C39,Tech_Specs!$C39,(Q$157-Sys_Repl_Rate!Q147)),0),IF($G$157:$AF$157&lt;=Q$157,IF(Tech_Specs!$K39="lamp",System_Mkt_Repl!$F365:$AE365+System_Mkt_NC!$G365:$AF365,Lamp_Mkt_Repl!$G75:$AF75+System_Mkt_NC!$G365:$AF365))))=0,0,SUMPRODUCT(IF($G$157:$AF$157&gt;=ROUND(IF((Q$157-Sys_Repl_Rate!Q147)&lt;Tech_Specs!$C39,Tech_Specs!$C39,(Q$157-Sys_Repl_Rate!Q147)),0),IF($G$157:$AF$157&lt;=Q$157,$G113:$AF113)),IF(Tech_Specs!$K39="lamp",System_Mkt_Repl!$F365:$AE365+System_Mkt_NC!$G365:$AF365,Lamp_Mkt_Repl!$G75:$AF75+System_Mkt_NC!$G365:$AF365))/SUM(IF($G$157:$AF$157&gt;=ROUND(IF((Q$157-Sys_Repl_Rate!Q147)&lt;Tech_Specs!$C39,Tech_Specs!$C39,(Q$157-Sys_Repl_Rate!Q147)),0),IF($G$157:$AF$157&lt;=Q$157,IF(Tech_Specs!$K39="lamp",System_Mkt_Repl!$F365:$AE365+System_Mkt_NC!$G365:$AF365,Lamp_Mkt_Repl!$G75:$AF75+System_Mkt_NC!$G365:$AF365))))))</f>
        <v>53.945929839674506</v>
      </c>
      <c r="R189" s="373">
        <f t="array" ref="R189">IF(R$157=Misc_Inputs!$D$6,$G113,IF(SUM(IF($G$157:$AF$157&gt;=ROUND(IF((R$157-Sys_Repl_Rate!R147)&lt;Tech_Specs!$C39,Tech_Specs!$C39,(R$157-Sys_Repl_Rate!R147)),0),IF($G$157:$AF$157&lt;=R$157,IF(Tech_Specs!$K39="lamp",System_Mkt_Repl!$F365:$AE365+System_Mkt_NC!$G365:$AF365,Lamp_Mkt_Repl!$G75:$AF75+System_Mkt_NC!$G365:$AF365))))=0,0,SUMPRODUCT(IF($G$157:$AF$157&gt;=ROUND(IF((R$157-Sys_Repl_Rate!R147)&lt;Tech_Specs!$C39,Tech_Specs!$C39,(R$157-Sys_Repl_Rate!R147)),0),IF($G$157:$AF$157&lt;=R$157,$G113:$AF113)),IF(Tech_Specs!$K39="lamp",System_Mkt_Repl!$F365:$AE365+System_Mkt_NC!$G365:$AF365,Lamp_Mkt_Repl!$G75:$AF75+System_Mkt_NC!$G365:$AF365))/SUM(IF($G$157:$AF$157&gt;=ROUND(IF((R$157-Sys_Repl_Rate!R147)&lt;Tech_Specs!$C39,Tech_Specs!$C39,(R$157-Sys_Repl_Rate!R147)),0),IF($G$157:$AF$157&lt;=R$157,IF(Tech_Specs!$K39="lamp",System_Mkt_Repl!$F365:$AE365+System_Mkt_NC!$G365:$AF365,Lamp_Mkt_Repl!$G75:$AF75+System_Mkt_NC!$G365:$AF365))))))</f>
        <v>53.992048428666287</v>
      </c>
      <c r="S189" s="373">
        <f t="array" ref="S189">IF(S$157=Misc_Inputs!$D$6,$G113,IF(SUM(IF($G$157:$AF$157&gt;=ROUND(IF((S$157-Sys_Repl_Rate!S147)&lt;Tech_Specs!$C39,Tech_Specs!$C39,(S$157-Sys_Repl_Rate!S147)),0),IF($G$157:$AF$157&lt;=S$157,IF(Tech_Specs!$K39="lamp",System_Mkt_Repl!$F365:$AE365+System_Mkt_NC!$G365:$AF365,Lamp_Mkt_Repl!$G75:$AF75+System_Mkt_NC!$G365:$AF365))))=0,0,SUMPRODUCT(IF($G$157:$AF$157&gt;=ROUND(IF((S$157-Sys_Repl_Rate!S147)&lt;Tech_Specs!$C39,Tech_Specs!$C39,(S$157-Sys_Repl_Rate!S147)),0),IF($G$157:$AF$157&lt;=S$157,$G113:$AF113)),IF(Tech_Specs!$K39="lamp",System_Mkt_Repl!$F365:$AE365+System_Mkt_NC!$G365:$AF365,Lamp_Mkt_Repl!$G75:$AF75+System_Mkt_NC!$G365:$AF365))/SUM(IF($G$157:$AF$157&gt;=ROUND(IF((S$157-Sys_Repl_Rate!S147)&lt;Tech_Specs!$C39,Tech_Specs!$C39,(S$157-Sys_Repl_Rate!S147)),0),IF($G$157:$AF$157&lt;=S$157,IF(Tech_Specs!$K39="lamp",System_Mkt_Repl!$F365:$AE365+System_Mkt_NC!$G365:$AF365,Lamp_Mkt_Repl!$G75:$AF75+System_Mkt_NC!$G365:$AF365))))))</f>
        <v>54.036741940791622</v>
      </c>
      <c r="T189" s="373">
        <f t="array" ref="T189">IF(T$157=Misc_Inputs!$D$6,$G113,IF(SUM(IF($G$157:$AF$157&gt;=ROUND(IF((T$157-Sys_Repl_Rate!T147)&lt;Tech_Specs!$C39,Tech_Specs!$C39,(T$157-Sys_Repl_Rate!T147)),0),IF($G$157:$AF$157&lt;=T$157,IF(Tech_Specs!$K39="lamp",System_Mkt_Repl!$F365:$AE365+System_Mkt_NC!$G365:$AF365,Lamp_Mkt_Repl!$G75:$AF75+System_Mkt_NC!$G365:$AF365))))=0,0,SUMPRODUCT(IF($G$157:$AF$157&gt;=ROUND(IF((T$157-Sys_Repl_Rate!T147)&lt;Tech_Specs!$C39,Tech_Specs!$C39,(T$157-Sys_Repl_Rate!T147)),0),IF($G$157:$AF$157&lt;=T$157,$G113:$AF113)),IF(Tech_Specs!$K39="lamp",System_Mkt_Repl!$F365:$AE365+System_Mkt_NC!$G365:$AF365,Lamp_Mkt_Repl!$G75:$AF75+System_Mkt_NC!$G365:$AF365))/SUM(IF($G$157:$AF$157&gt;=ROUND(IF((T$157-Sys_Repl_Rate!T147)&lt;Tech_Specs!$C39,Tech_Specs!$C39,(T$157-Sys_Repl_Rate!T147)),0),IF($G$157:$AF$157&lt;=T$157,IF(Tech_Specs!$K39="lamp",System_Mkt_Repl!$F365:$AE365+System_Mkt_NC!$G365:$AF365,Lamp_Mkt_Repl!$G75:$AF75+System_Mkt_NC!$G365:$AF365))))))</f>
        <v>54.080145405736339</v>
      </c>
      <c r="U189" s="373">
        <f t="array" ref="U189">IF(U$157=Misc_Inputs!$D$6,$G113,IF(SUM(IF($G$157:$AF$157&gt;=ROUND(IF((U$157-Sys_Repl_Rate!U147)&lt;Tech_Specs!$C39,Tech_Specs!$C39,(U$157-Sys_Repl_Rate!U147)),0),IF($G$157:$AF$157&lt;=U$157,IF(Tech_Specs!$K39="lamp",System_Mkt_Repl!$F365:$AE365+System_Mkt_NC!$G365:$AF365,Lamp_Mkt_Repl!$G75:$AF75+System_Mkt_NC!$G365:$AF365))))=0,0,SUMPRODUCT(IF($G$157:$AF$157&gt;=ROUND(IF((U$157-Sys_Repl_Rate!U147)&lt;Tech_Specs!$C39,Tech_Specs!$C39,(U$157-Sys_Repl_Rate!U147)),0),IF($G$157:$AF$157&lt;=U$157,$G113:$AF113)),IF(Tech_Specs!$K39="lamp",System_Mkt_Repl!$F365:$AE365+System_Mkt_NC!$G365:$AF365,Lamp_Mkt_Repl!$G75:$AF75+System_Mkt_NC!$G365:$AF365))/SUM(IF($G$157:$AF$157&gt;=ROUND(IF((U$157-Sys_Repl_Rate!U147)&lt;Tech_Specs!$C39,Tech_Specs!$C39,(U$157-Sys_Repl_Rate!U147)),0),IF($G$157:$AF$157&lt;=U$157,IF(Tech_Specs!$K39="lamp",System_Mkt_Repl!$F365:$AE365+System_Mkt_NC!$G365:$AF365,Lamp_Mkt_Repl!$G75:$AF75+System_Mkt_NC!$G365:$AF365))))))</f>
        <v>54.122365545523685</v>
      </c>
      <c r="V189" s="373">
        <f t="array" ref="V189">IF(V$157=Misc_Inputs!$D$6,$G113,IF(SUM(IF($G$157:$AF$157&gt;=ROUND(IF((V$157-Sys_Repl_Rate!V147)&lt;Tech_Specs!$C39,Tech_Specs!$C39,(V$157-Sys_Repl_Rate!V147)),0),IF($G$157:$AF$157&lt;=V$157,IF(Tech_Specs!$K39="lamp",System_Mkt_Repl!$F365:$AE365+System_Mkt_NC!$G365:$AF365,Lamp_Mkt_Repl!$G75:$AF75+System_Mkt_NC!$G365:$AF365))))=0,0,SUMPRODUCT(IF($G$157:$AF$157&gt;=ROUND(IF((V$157-Sys_Repl_Rate!V147)&lt;Tech_Specs!$C39,Tech_Specs!$C39,(V$157-Sys_Repl_Rate!V147)),0),IF($G$157:$AF$157&lt;=V$157,$G113:$AF113)),IF(Tech_Specs!$K39="lamp",System_Mkt_Repl!$F365:$AE365+System_Mkt_NC!$G365:$AF365,Lamp_Mkt_Repl!$G75:$AF75+System_Mkt_NC!$G365:$AF365))/SUM(IF($G$157:$AF$157&gt;=ROUND(IF((V$157-Sys_Repl_Rate!V147)&lt;Tech_Specs!$C39,Tech_Specs!$C39,(V$157-Sys_Repl_Rate!V147)),0),IF($G$157:$AF$157&lt;=V$157,IF(Tech_Specs!$K39="lamp",System_Mkt_Repl!$F365:$AE365+System_Mkt_NC!$G365:$AF365,Lamp_Mkt_Repl!$G75:$AF75+System_Mkt_NC!$G365:$AF365))))))</f>
        <v>54.163579537963749</v>
      </c>
      <c r="W189" s="373">
        <f t="array" ref="W189">IF(W$157=Misc_Inputs!$D$6,$G113,IF(SUM(IF($G$157:$AF$157&gt;=ROUND(IF((W$157-Sys_Repl_Rate!W147)&lt;Tech_Specs!$C39,Tech_Specs!$C39,(W$157-Sys_Repl_Rate!W147)),0),IF($G$157:$AF$157&lt;=W$157,IF(Tech_Specs!$K39="lamp",System_Mkt_Repl!$F365:$AE365+System_Mkt_NC!$G365:$AF365,Lamp_Mkt_Repl!$G75:$AF75+System_Mkt_NC!$G365:$AF365))))=0,0,SUMPRODUCT(IF($G$157:$AF$157&gt;=ROUND(IF((W$157-Sys_Repl_Rate!W147)&lt;Tech_Specs!$C39,Tech_Specs!$C39,(W$157-Sys_Repl_Rate!W147)),0),IF($G$157:$AF$157&lt;=W$157,$G113:$AF113)),IF(Tech_Specs!$K39="lamp",System_Mkt_Repl!$F365:$AE365+System_Mkt_NC!$G365:$AF365,Lamp_Mkt_Repl!$G75:$AF75+System_Mkt_NC!$G365:$AF365))/SUM(IF($G$157:$AF$157&gt;=ROUND(IF((W$157-Sys_Repl_Rate!W147)&lt;Tech_Specs!$C39,Tech_Specs!$C39,(W$157-Sys_Repl_Rate!W147)),0),IF($G$157:$AF$157&lt;=W$157,IF(Tech_Specs!$K39="lamp",System_Mkt_Repl!$F365:$AE365+System_Mkt_NC!$G365:$AF365,Lamp_Mkt_Repl!$G75:$AF75+System_Mkt_NC!$G365:$AF365))))))</f>
        <v>54.203806909149726</v>
      </c>
      <c r="X189" s="373">
        <f t="array" ref="X189">IF(X$157=Misc_Inputs!$D$6,$G113,IF(SUM(IF($G$157:$AF$157&gt;=ROUND(IF((X$157-Sys_Repl_Rate!X147)&lt;Tech_Specs!$C39,Tech_Specs!$C39,(X$157-Sys_Repl_Rate!X147)),0),IF($G$157:$AF$157&lt;=X$157,IF(Tech_Specs!$K39="lamp",System_Mkt_Repl!$F365:$AE365+System_Mkt_NC!$G365:$AF365,Lamp_Mkt_Repl!$G75:$AF75+System_Mkt_NC!$G365:$AF365))))=0,0,SUMPRODUCT(IF($G$157:$AF$157&gt;=ROUND(IF((X$157-Sys_Repl_Rate!X147)&lt;Tech_Specs!$C39,Tech_Specs!$C39,(X$157-Sys_Repl_Rate!X147)),0),IF($G$157:$AF$157&lt;=X$157,$G113:$AF113)),IF(Tech_Specs!$K39="lamp",System_Mkt_Repl!$F365:$AE365+System_Mkt_NC!$G365:$AF365,Lamp_Mkt_Repl!$G75:$AF75+System_Mkt_NC!$G365:$AF365))/SUM(IF($G$157:$AF$157&gt;=ROUND(IF((X$157-Sys_Repl_Rate!X147)&lt;Tech_Specs!$C39,Tech_Specs!$C39,(X$157-Sys_Repl_Rate!X147)),0),IF($G$157:$AF$157&lt;=X$157,IF(Tech_Specs!$K39="lamp",System_Mkt_Repl!$F365:$AE365+System_Mkt_NC!$G365:$AF365,Lamp_Mkt_Repl!$G75:$AF75+System_Mkt_NC!$G365:$AF365))))))</f>
        <v>54.243054348102646</v>
      </c>
      <c r="Y189" s="373">
        <f t="array" ref="Y189">IF(Y$157=Misc_Inputs!$D$6,$G113,IF(SUM(IF($G$157:$AF$157&gt;=ROUND(IF((Y$157-Sys_Repl_Rate!Y147)&lt;Tech_Specs!$C39,Tech_Specs!$C39,(Y$157-Sys_Repl_Rate!Y147)),0),IF($G$157:$AF$157&lt;=Y$157,IF(Tech_Specs!$K39="lamp",System_Mkt_Repl!$F365:$AE365+System_Mkt_NC!$G365:$AF365,Lamp_Mkt_Repl!$G75:$AF75+System_Mkt_NC!$G365:$AF365))))=0,0,SUMPRODUCT(IF($G$157:$AF$157&gt;=ROUND(IF((Y$157-Sys_Repl_Rate!Y147)&lt;Tech_Specs!$C39,Tech_Specs!$C39,(Y$157-Sys_Repl_Rate!Y147)),0),IF($G$157:$AF$157&lt;=Y$157,$G113:$AF113)),IF(Tech_Specs!$K39="lamp",System_Mkt_Repl!$F365:$AE365+System_Mkt_NC!$G365:$AF365,Lamp_Mkt_Repl!$G75:$AF75+System_Mkt_NC!$G365:$AF365))/SUM(IF($G$157:$AF$157&gt;=ROUND(IF((Y$157-Sys_Repl_Rate!Y147)&lt;Tech_Specs!$C39,Tech_Specs!$C39,(Y$157-Sys_Repl_Rate!Y147)),0),IF($G$157:$AF$157&lt;=Y$157,IF(Tech_Specs!$K39="lamp",System_Mkt_Repl!$F365:$AE365+System_Mkt_NC!$G365:$AF365,Lamp_Mkt_Repl!$G75:$AF75+System_Mkt_NC!$G365:$AF365))))))</f>
        <v>54.281333066442237</v>
      </c>
      <c r="Z189" s="373">
        <f t="array" ref="Z189">IF(Z$157=Misc_Inputs!$D$6,$G113,IF(SUM(IF($G$157:$AF$157&gt;=ROUND(IF((Z$157-Sys_Repl_Rate!Z147)&lt;Tech_Specs!$C39,Tech_Specs!$C39,(Z$157-Sys_Repl_Rate!Z147)),0),IF($G$157:$AF$157&lt;=Z$157,IF(Tech_Specs!$K39="lamp",System_Mkt_Repl!$F365:$AE365+System_Mkt_NC!$G365:$AF365,Lamp_Mkt_Repl!$G75:$AF75+System_Mkt_NC!$G365:$AF365))))=0,0,SUMPRODUCT(IF($G$157:$AF$157&gt;=ROUND(IF((Z$157-Sys_Repl_Rate!Z147)&lt;Tech_Specs!$C39,Tech_Specs!$C39,(Z$157-Sys_Repl_Rate!Z147)),0),IF($G$157:$AF$157&lt;=Z$157,$G113:$AF113)),IF(Tech_Specs!$K39="lamp",System_Mkt_Repl!$F365:$AE365+System_Mkt_NC!$G365:$AF365,Lamp_Mkt_Repl!$G75:$AF75+System_Mkt_NC!$G365:$AF365))/SUM(IF($G$157:$AF$157&gt;=ROUND(IF((Z$157-Sys_Repl_Rate!Z147)&lt;Tech_Specs!$C39,Tech_Specs!$C39,(Z$157-Sys_Repl_Rate!Z147)),0),IF($G$157:$AF$157&lt;=Z$157,IF(Tech_Specs!$K39="lamp",System_Mkt_Repl!$F365:$AE365+System_Mkt_NC!$G365:$AF365,Lamp_Mkt_Repl!$G75:$AF75+System_Mkt_NC!$G365:$AF365))))))</f>
        <v>54.318716926949627</v>
      </c>
      <c r="AA189" s="373">
        <f t="array" ref="AA189">IF(AA$157=Misc_Inputs!$D$6,$G113,IF(SUM(IF($G$157:$AF$157&gt;=ROUND(IF((AA$157-Sys_Repl_Rate!AA147)&lt;Tech_Specs!$C39,Tech_Specs!$C39,(AA$157-Sys_Repl_Rate!AA147)),0),IF($G$157:$AF$157&lt;=AA$157,IF(Tech_Specs!$K39="lamp",System_Mkt_Repl!$F365:$AE365+System_Mkt_NC!$G365:$AF365,Lamp_Mkt_Repl!$G75:$AF75+System_Mkt_NC!$G365:$AF365))))=0,0,SUMPRODUCT(IF($G$157:$AF$157&gt;=ROUND(IF((AA$157-Sys_Repl_Rate!AA147)&lt;Tech_Specs!$C39,Tech_Specs!$C39,(AA$157-Sys_Repl_Rate!AA147)),0),IF($G$157:$AF$157&lt;=AA$157,$G113:$AF113)),IF(Tech_Specs!$K39="lamp",System_Mkt_Repl!$F365:$AE365+System_Mkt_NC!$G365:$AF365,Lamp_Mkt_Repl!$G75:$AF75+System_Mkt_NC!$G365:$AF365))/SUM(IF($G$157:$AF$157&gt;=ROUND(IF((AA$157-Sys_Repl_Rate!AA147)&lt;Tech_Specs!$C39,Tech_Specs!$C39,(AA$157-Sys_Repl_Rate!AA147)),0),IF($G$157:$AF$157&lt;=AA$157,IF(Tech_Specs!$K39="lamp",System_Mkt_Repl!$F365:$AE365+System_Mkt_NC!$G365:$AF365,Lamp_Mkt_Repl!$G75:$AF75+System_Mkt_NC!$G365:$AF365))))))</f>
        <v>54.355283772051514</v>
      </c>
      <c r="AB189" s="373">
        <f t="array" ref="AB189">IF(AB$157=Misc_Inputs!$D$6,$G113,IF(SUM(IF($G$157:$AF$157&gt;=ROUND(IF((AB$157-Sys_Repl_Rate!AB147)&lt;Tech_Specs!$C39,Tech_Specs!$C39,(AB$157-Sys_Repl_Rate!AB147)),0),IF($G$157:$AF$157&lt;=AB$157,IF(Tech_Specs!$K39="lamp",System_Mkt_Repl!$F365:$AE365+System_Mkt_NC!$G365:$AF365,Lamp_Mkt_Repl!$G75:$AF75+System_Mkt_NC!$G365:$AF365))))=0,0,SUMPRODUCT(IF($G$157:$AF$157&gt;=ROUND(IF((AB$157-Sys_Repl_Rate!AB147)&lt;Tech_Specs!$C39,Tech_Specs!$C39,(AB$157-Sys_Repl_Rate!AB147)),0),IF($G$157:$AF$157&lt;=AB$157,$G113:$AF113)),IF(Tech_Specs!$K39="lamp",System_Mkt_Repl!$F365:$AE365+System_Mkt_NC!$G365:$AF365,Lamp_Mkt_Repl!$G75:$AF75+System_Mkt_NC!$G365:$AF365))/SUM(IF($G$157:$AF$157&gt;=ROUND(IF((AB$157-Sys_Repl_Rate!AB147)&lt;Tech_Specs!$C39,Tech_Specs!$C39,(AB$157-Sys_Repl_Rate!AB147)),0),IF($G$157:$AF$157&lt;=AB$157,IF(Tech_Specs!$K39="lamp",System_Mkt_Repl!$F365:$AE365+System_Mkt_NC!$G365:$AF365,Lamp_Mkt_Repl!$G75:$AF75+System_Mkt_NC!$G365:$AF365))))))</f>
        <v>54.391086453229079</v>
      </c>
      <c r="AC189" s="373">
        <f t="array" ref="AC189">IF(AC$157=Misc_Inputs!$D$6,$G113,IF(SUM(IF($G$157:$AF$157&gt;=ROUND(IF((AC$157-Sys_Repl_Rate!AC147)&lt;Tech_Specs!$C39,Tech_Specs!$C39,(AC$157-Sys_Repl_Rate!AC147)),0),IF($G$157:$AF$157&lt;=AC$157,IF(Tech_Specs!$K39="lamp",System_Mkt_Repl!$F365:$AE365+System_Mkt_NC!$G365:$AF365,Lamp_Mkt_Repl!$G75:$AF75+System_Mkt_NC!$G365:$AF365))))=0,0,SUMPRODUCT(IF($G$157:$AF$157&gt;=ROUND(IF((AC$157-Sys_Repl_Rate!AC147)&lt;Tech_Specs!$C39,Tech_Specs!$C39,(AC$157-Sys_Repl_Rate!AC147)),0),IF($G$157:$AF$157&lt;=AC$157,$G113:$AF113)),IF(Tech_Specs!$K39="lamp",System_Mkt_Repl!$F365:$AE365+System_Mkt_NC!$G365:$AF365,Lamp_Mkt_Repl!$G75:$AF75+System_Mkt_NC!$G365:$AF365))/SUM(IF($G$157:$AF$157&gt;=ROUND(IF((AC$157-Sys_Repl_Rate!AC147)&lt;Tech_Specs!$C39,Tech_Specs!$C39,(AC$157-Sys_Repl_Rate!AC147)),0),IF($G$157:$AF$157&lt;=AC$157,IF(Tech_Specs!$K39="lamp",System_Mkt_Repl!$F365:$AE365+System_Mkt_NC!$G365:$AF365,Lamp_Mkt_Repl!$G75:$AF75+System_Mkt_NC!$G365:$AF365))))))</f>
        <v>54.426021608650586</v>
      </c>
      <c r="AD189" s="373">
        <f t="array" ref="AD189">IF(AD$157=Misc_Inputs!$D$6,$G113,IF(SUM(IF($G$157:$AF$157&gt;=ROUND(IF((AD$157-Sys_Repl_Rate!AD147)&lt;Tech_Specs!$C39,Tech_Specs!$C39,(AD$157-Sys_Repl_Rate!AD147)),0),IF($G$157:$AF$157&lt;=AD$157,IF(Tech_Specs!$K39="lamp",System_Mkt_Repl!$F365:$AE365+System_Mkt_NC!$G365:$AF365,Lamp_Mkt_Repl!$G75:$AF75+System_Mkt_NC!$G365:$AF365))))=0,0,SUMPRODUCT(IF($G$157:$AF$157&gt;=ROUND(IF((AD$157-Sys_Repl_Rate!AD147)&lt;Tech_Specs!$C39,Tech_Specs!$C39,(AD$157-Sys_Repl_Rate!AD147)),0),IF($G$157:$AF$157&lt;=AD$157,$G113:$AF113)),IF(Tech_Specs!$K39="lamp",System_Mkt_Repl!$F365:$AE365+System_Mkt_NC!$G365:$AF365,Lamp_Mkt_Repl!$G75:$AF75+System_Mkt_NC!$G365:$AF365))/SUM(IF($G$157:$AF$157&gt;=ROUND(IF((AD$157-Sys_Repl_Rate!AD147)&lt;Tech_Specs!$C39,Tech_Specs!$C39,(AD$157-Sys_Repl_Rate!AD147)),0),IF($G$157:$AF$157&lt;=AD$157,IF(Tech_Specs!$K39="lamp",System_Mkt_Repl!$F365:$AE365+System_Mkt_NC!$G365:$AF365,Lamp_Mkt_Repl!$G75:$AF75+System_Mkt_NC!$G365:$AF365))))))</f>
        <v>54.460083129986444</v>
      </c>
      <c r="AE189" s="373">
        <f t="array" ref="AE189">IF(AE$157=Misc_Inputs!$D$6,$G113,IF(SUM(IF($G$157:$AF$157&gt;=ROUND(IF((AE$157-Sys_Repl_Rate!AE147)&lt;Tech_Specs!$C39,Tech_Specs!$C39,(AE$157-Sys_Repl_Rate!AE147)),0),IF($G$157:$AF$157&lt;=AE$157,IF(Tech_Specs!$K39="lamp",System_Mkt_Repl!$F365:$AE365+System_Mkt_NC!$G365:$AF365,Lamp_Mkt_Repl!$G75:$AF75+System_Mkt_NC!$G365:$AF365))))=0,0,SUMPRODUCT(IF($G$157:$AF$157&gt;=ROUND(IF((AE$157-Sys_Repl_Rate!AE147)&lt;Tech_Specs!$C39,Tech_Specs!$C39,(AE$157-Sys_Repl_Rate!AE147)),0),IF($G$157:$AF$157&lt;=AE$157,$G113:$AF113)),IF(Tech_Specs!$K39="lamp",System_Mkt_Repl!$F365:$AE365+System_Mkt_NC!$G365:$AF365,Lamp_Mkt_Repl!$G75:$AF75+System_Mkt_NC!$G365:$AF365))/SUM(IF($G$157:$AF$157&gt;=ROUND(IF((AE$157-Sys_Repl_Rate!AE147)&lt;Tech_Specs!$C39,Tech_Specs!$C39,(AE$157-Sys_Repl_Rate!AE147)),0),IF($G$157:$AF$157&lt;=AE$157,IF(Tech_Specs!$K39="lamp",System_Mkt_Repl!$F365:$AE365+System_Mkt_NC!$G365:$AF365,Lamp_Mkt_Repl!$G75:$AF75+System_Mkt_NC!$G365:$AF365))))))</f>
        <v>54.493257256489422</v>
      </c>
      <c r="AF189" s="373">
        <f t="array" ref="AF189">IF(AF$157=Misc_Inputs!$D$6,$G113,IF(SUM(IF($G$157:$AF$157&gt;=ROUND(IF((AF$157-Sys_Repl_Rate!AF147)&lt;Tech_Specs!$C39,Tech_Specs!$C39,(AF$157-Sys_Repl_Rate!AF147)),0),IF($G$157:$AF$157&lt;=AF$157,IF(Tech_Specs!$K39="lamp",System_Mkt_Repl!$F365:$AE365+System_Mkt_NC!$G365:$AF365,Lamp_Mkt_Repl!$G75:$AF75+System_Mkt_NC!$G365:$AF365))))=0,0,SUMPRODUCT(IF($G$157:$AF$157&gt;=ROUND(IF((AF$157-Sys_Repl_Rate!AF147)&lt;Tech_Specs!$C39,Tech_Specs!$C39,(AF$157-Sys_Repl_Rate!AF147)),0),IF($G$157:$AF$157&lt;=AF$157,$G113:$AF113)),IF(Tech_Specs!$K39="lamp",System_Mkt_Repl!$F365:$AE365+System_Mkt_NC!$G365:$AF365,Lamp_Mkt_Repl!$G75:$AF75+System_Mkt_NC!$G365:$AF365))/SUM(IF($G$157:$AF$157&gt;=ROUND(IF((AF$157-Sys_Repl_Rate!AF147)&lt;Tech_Specs!$C39,Tech_Specs!$C39,(AF$157-Sys_Repl_Rate!AF147)),0),IF($G$157:$AF$157&lt;=AF$157,IF(Tech_Specs!$K39="lamp",System_Mkt_Repl!$F365:$AE365+System_Mkt_NC!$G365:$AF365,Lamp_Mkt_Repl!$G75:$AF75+System_Mkt_NC!$G365:$AF365))))))</f>
        <v>54.525485625862615</v>
      </c>
    </row>
    <row r="190" spans="1:32" s="282" customFormat="1" ht="12.75" x14ac:dyDescent="0.2">
      <c r="A190" s="278"/>
      <c r="C190" s="278"/>
      <c r="D190" s="550"/>
      <c r="E190" s="550"/>
      <c r="F190" s="550"/>
      <c r="G190" s="286"/>
      <c r="H190" s="286"/>
      <c r="I190" s="286"/>
      <c r="J190" s="286"/>
      <c r="K190" s="286"/>
      <c r="L190" s="286"/>
      <c r="M190" s="286"/>
      <c r="N190" s="286"/>
      <c r="O190" s="286"/>
      <c r="P190" s="286"/>
      <c r="Q190" s="286"/>
      <c r="R190" s="286"/>
      <c r="S190" s="286"/>
      <c r="T190" s="286"/>
      <c r="U190" s="286"/>
      <c r="V190" s="286"/>
      <c r="W190" s="286"/>
      <c r="X190" s="286"/>
      <c r="Y190" s="286"/>
      <c r="Z190" s="286"/>
      <c r="AA190" s="286"/>
      <c r="AB190" s="286"/>
      <c r="AC190" s="286"/>
      <c r="AD190" s="286"/>
      <c r="AE190" s="286"/>
      <c r="AF190" s="286"/>
    </row>
    <row r="191" spans="1:32" s="298" customFormat="1" ht="12.75" x14ac:dyDescent="0.2">
      <c r="A191" s="299" t="s">
        <v>270</v>
      </c>
      <c r="D191" s="403"/>
      <c r="E191" s="403"/>
      <c r="F191" s="403"/>
      <c r="G191" s="1044" t="s">
        <v>683</v>
      </c>
    </row>
    <row r="192" spans="1:32" s="282" customFormat="1" ht="12.75" x14ac:dyDescent="0.2">
      <c r="A192" s="278"/>
      <c r="B192" s="278"/>
      <c r="C192" s="278"/>
      <c r="D192" s="550"/>
      <c r="E192" s="550"/>
      <c r="F192" s="550"/>
      <c r="G192" s="278"/>
      <c r="H192" s="278"/>
      <c r="I192" s="278"/>
      <c r="J192" s="278"/>
      <c r="K192" s="278"/>
      <c r="L192" s="278"/>
      <c r="M192" s="278"/>
      <c r="N192" s="278"/>
      <c r="O192" s="278"/>
      <c r="P192" s="278"/>
      <c r="Q192" s="278"/>
      <c r="R192" s="278"/>
      <c r="S192" s="278"/>
      <c r="T192" s="278"/>
      <c r="U192" s="278"/>
      <c r="V192" s="278"/>
      <c r="W192" s="278"/>
      <c r="X192" s="278"/>
      <c r="Y192" s="278"/>
      <c r="Z192" s="278"/>
      <c r="AA192" s="278"/>
      <c r="AB192" s="278"/>
      <c r="AC192" s="278"/>
      <c r="AD192" s="278"/>
      <c r="AE192" s="278"/>
      <c r="AF192" s="278"/>
    </row>
    <row r="193" spans="1:32" s="282" customFormat="1" ht="12.75" x14ac:dyDescent="0.2">
      <c r="A193" s="279" t="s">
        <v>12</v>
      </c>
      <c r="B193" s="278"/>
      <c r="C193" s="278"/>
      <c r="D193" s="550"/>
      <c r="E193" s="550"/>
      <c r="F193" s="550"/>
      <c r="G193" s="287"/>
      <c r="H193" s="278"/>
      <c r="I193" s="278"/>
      <c r="J193" s="278"/>
      <c r="K193" s="278"/>
      <c r="L193" s="278"/>
      <c r="M193" s="278"/>
      <c r="N193" s="278"/>
      <c r="O193" s="278"/>
      <c r="P193" s="278"/>
      <c r="Q193" s="278"/>
      <c r="R193" s="278"/>
      <c r="S193" s="278"/>
      <c r="T193" s="278"/>
      <c r="U193" s="278"/>
      <c r="V193" s="278"/>
      <c r="W193" s="278"/>
      <c r="X193" s="278"/>
      <c r="Y193" s="278"/>
      <c r="Z193" s="278"/>
      <c r="AA193" s="278"/>
      <c r="AB193" s="278"/>
      <c r="AC193" s="278"/>
      <c r="AD193" s="278"/>
      <c r="AE193" s="278"/>
      <c r="AF193" s="278"/>
    </row>
    <row r="194" spans="1:32" s="282" customFormat="1" ht="12.75" x14ac:dyDescent="0.2">
      <c r="A194" s="278"/>
      <c r="B194" s="278" t="s">
        <v>20</v>
      </c>
      <c r="C194" s="278"/>
      <c r="D194" s="550"/>
      <c r="E194" s="550"/>
      <c r="F194" s="550"/>
      <c r="G194" s="278">
        <v>2010</v>
      </c>
      <c r="H194" s="278">
        <v>2011</v>
      </c>
      <c r="I194" s="278">
        <v>2012</v>
      </c>
      <c r="J194" s="278">
        <v>2013</v>
      </c>
      <c r="K194" s="278">
        <v>2014</v>
      </c>
      <c r="L194" s="278">
        <v>2015</v>
      </c>
      <c r="M194" s="278">
        <v>2016</v>
      </c>
      <c r="N194" s="278">
        <v>2017</v>
      </c>
      <c r="O194" s="278">
        <v>2018</v>
      </c>
      <c r="P194" s="278">
        <v>2019</v>
      </c>
      <c r="Q194" s="278">
        <v>2020</v>
      </c>
      <c r="R194" s="278">
        <v>2021</v>
      </c>
      <c r="S194" s="278">
        <v>2022</v>
      </c>
      <c r="T194" s="278">
        <v>2023</v>
      </c>
      <c r="U194" s="278">
        <v>2024</v>
      </c>
      <c r="V194" s="278">
        <v>2025</v>
      </c>
      <c r="W194" s="278">
        <v>2026</v>
      </c>
      <c r="X194" s="278">
        <v>2027</v>
      </c>
      <c r="Y194" s="278">
        <v>2028</v>
      </c>
      <c r="Z194" s="278">
        <v>2029</v>
      </c>
      <c r="AA194" s="278">
        <v>2030</v>
      </c>
      <c r="AB194" s="278">
        <v>2031</v>
      </c>
      <c r="AC194" s="278">
        <v>2032</v>
      </c>
      <c r="AD194" s="278">
        <v>2033</v>
      </c>
      <c r="AE194" s="278">
        <v>2034</v>
      </c>
      <c r="AF194" s="278">
        <v>2035</v>
      </c>
    </row>
    <row r="195" spans="1:32" s="282" customFormat="1" ht="12.75" x14ac:dyDescent="0.2">
      <c r="A195" s="295" t="s">
        <v>21</v>
      </c>
      <c r="B195" s="283"/>
      <c r="C195" s="280"/>
      <c r="D195" s="501"/>
      <c r="E195" s="501"/>
      <c r="F195" s="501"/>
      <c r="G195" s="292"/>
      <c r="H195" s="280"/>
      <c r="I195" s="280"/>
      <c r="J195" s="280"/>
      <c r="K195" s="280"/>
      <c r="L195" s="280"/>
      <c r="M195" s="280"/>
      <c r="N195" s="280"/>
      <c r="O195" s="280"/>
      <c r="P195" s="280"/>
      <c r="Q195" s="280"/>
      <c r="R195" s="280"/>
      <c r="S195" s="280"/>
      <c r="T195" s="280"/>
      <c r="U195" s="280"/>
      <c r="V195" s="280"/>
      <c r="W195" s="280"/>
      <c r="X195" s="280"/>
      <c r="Y195" s="280"/>
      <c r="Z195" s="280"/>
      <c r="AA195" s="280"/>
      <c r="AB195" s="280"/>
      <c r="AC195" s="280"/>
      <c r="AD195" s="280"/>
      <c r="AE195" s="280"/>
      <c r="AF195" s="280"/>
    </row>
    <row r="196" spans="1:32" s="282" customFormat="1" ht="12.75" x14ac:dyDescent="0.2">
      <c r="A196" s="278"/>
      <c r="B196" s="278" t="s">
        <v>22</v>
      </c>
      <c r="C196" s="278"/>
      <c r="D196" s="550"/>
      <c r="E196" s="550"/>
      <c r="F196" s="550"/>
      <c r="G196" s="373">
        <f t="array" ref="G196">IF(G$194=Misc_Inputs!$D$6,$G122,IF(SUM(IF($G$194:$AF$194&gt;=ROUND(IF((G$194-Sys_Repl_Rate!G81)&lt;Tech_Specs!$C9,Tech_Specs!$C9,(G$194-Sys_Repl_Rate!G81)),0),IF($G$194:$AF$194&lt;=G$194,System_Mkt_Repl!$F335:$AE335+System_Mkt_NC!$G335:$AF335)))=0,C196,SUMPRODUCT(IF($G$194:$AF$194&gt;=ROUND(IF((G$194-Sys_Repl_Rate!G81)&lt;Tech_Specs!$C9,Tech_Specs!$C9,(G$194-Sys_Repl_Rate!G81)),0),IF($G$194:$AF$194&lt;=G$194,$G122:$AF122)),System_Mkt_Repl!$F335:$AE335+System_Mkt_NC!$G335:$AF335)/SUM(IF($G$194:$AF$194&gt;=ROUND(IF((G$194-Sys_Repl_Rate!G81)&lt;Tech_Specs!$C9,Tech_Specs!$C9,(G$194-Sys_Repl_Rate!G81)),0),IF($G$194:$AF$194&lt;=G$194,System_Mkt_Repl!$F335:$AE335+System_Mkt_NC!$G335:$AF335)))))</f>
        <v>1</v>
      </c>
      <c r="H196" s="373">
        <f t="array" aca="1" ref="H196" ca="1">IF(H$194=Misc_Inputs!$D$6,$G122,IF(SUM(IF($G$194:$AF$194&gt;=ROUND(IF((H$194-Sys_Repl_Rate!H81)&lt;Tech_Specs!$C9,Tech_Specs!$C9,(H$194-Sys_Repl_Rate!H81)),0),IF($G$194:$AF$194&lt;=H$194,System_Mkt_Repl!$F335:$AE335+System_Mkt_NC!$G335:$AF335)))=0,G196,SUMPRODUCT(IF($G$194:$AF$194&gt;=ROUND(IF((H$194-Sys_Repl_Rate!H81)&lt;Tech_Specs!$C9,Tech_Specs!$C9,(H$194-Sys_Repl_Rate!H81)),0),IF($G$194:$AF$194&lt;=H$194,$G122:$AF122)),System_Mkt_Repl!$F335:$AE335+System_Mkt_NC!$G335:$AF335)/SUM(IF($G$194:$AF$194&gt;=ROUND(IF((H$194-Sys_Repl_Rate!H81)&lt;Tech_Specs!$C9,Tech_Specs!$C9,(H$194-Sys_Repl_Rate!H81)),0),IF($G$194:$AF$194&lt;=H$194,System_Mkt_Repl!$F335:$AE335+System_Mkt_NC!$G335:$AF335)))))</f>
        <v>1</v>
      </c>
      <c r="I196" s="373">
        <f t="array" aca="1" ref="I196" ca="1">IF(I$194=Misc_Inputs!$D$6,$G122,IF(SUM(IF($G$194:$AF$194&gt;=ROUND(IF((I$194-Sys_Repl_Rate!I81)&lt;Tech_Specs!$C9,Tech_Specs!$C9,(I$194-Sys_Repl_Rate!I81)),0),IF($G$194:$AF$194&lt;=I$194,System_Mkt_Repl!$F335:$AE335+System_Mkt_NC!$G335:$AF335)))=0,H196,SUMPRODUCT(IF($G$194:$AF$194&gt;=ROUND(IF((I$194-Sys_Repl_Rate!I81)&lt;Tech_Specs!$C9,Tech_Specs!$C9,(I$194-Sys_Repl_Rate!I81)),0),IF($G$194:$AF$194&lt;=I$194,$G122:$AF122)),System_Mkt_Repl!$F335:$AE335+System_Mkt_NC!$G335:$AF335)/SUM(IF($G$194:$AF$194&gt;=ROUND(IF((I$194-Sys_Repl_Rate!I81)&lt;Tech_Specs!$C9,Tech_Specs!$C9,(I$194-Sys_Repl_Rate!I81)),0),IF($G$194:$AF$194&lt;=I$194,System_Mkt_Repl!$F335:$AE335+System_Mkt_NC!$G335:$AF335)))))</f>
        <v>1</v>
      </c>
      <c r="J196" s="373">
        <f t="array" aca="1" ref="J196" ca="1">IF(J$194=Misc_Inputs!$D$6,$G122,IF(SUM(IF($G$194:$AF$194&gt;=ROUND(IF((J$194-Sys_Repl_Rate!J81)&lt;Tech_Specs!$C9,Tech_Specs!$C9,(J$194-Sys_Repl_Rate!J81)),0),IF($G$194:$AF$194&lt;=J$194,System_Mkt_Repl!$F335:$AE335+System_Mkt_NC!$G335:$AF335)))=0,I196,SUMPRODUCT(IF($G$194:$AF$194&gt;=ROUND(IF((J$194-Sys_Repl_Rate!J81)&lt;Tech_Specs!$C9,Tech_Specs!$C9,(J$194-Sys_Repl_Rate!J81)),0),IF($G$194:$AF$194&lt;=J$194,$G122:$AF122)),System_Mkt_Repl!$F335:$AE335+System_Mkt_NC!$G335:$AF335)/SUM(IF($G$194:$AF$194&gt;=ROUND(IF((J$194-Sys_Repl_Rate!J81)&lt;Tech_Specs!$C9,Tech_Specs!$C9,(J$194-Sys_Repl_Rate!J81)),0),IF($G$194:$AF$194&lt;=J$194,System_Mkt_Repl!$F335:$AE335+System_Mkt_NC!$G335:$AF335)))))</f>
        <v>1</v>
      </c>
      <c r="K196" s="373">
        <f t="array" aca="1" ref="K196" ca="1">IF(K$194=Misc_Inputs!$D$6,$G122,IF(SUM(IF($G$194:$AF$194&gt;=ROUND(IF((K$194-Sys_Repl_Rate!K81)&lt;Tech_Specs!$C9,Tech_Specs!$C9,(K$194-Sys_Repl_Rate!K81)),0),IF($G$194:$AF$194&lt;=K$194,System_Mkt_Repl!$F335:$AE335+System_Mkt_NC!$G335:$AF335)))=0,J196,SUMPRODUCT(IF($G$194:$AF$194&gt;=ROUND(IF((K$194-Sys_Repl_Rate!K81)&lt;Tech_Specs!$C9,Tech_Specs!$C9,(K$194-Sys_Repl_Rate!K81)),0),IF($G$194:$AF$194&lt;=K$194,$G122:$AF122)),System_Mkt_Repl!$F335:$AE335+System_Mkt_NC!$G335:$AF335)/SUM(IF($G$194:$AF$194&gt;=ROUND(IF((K$194-Sys_Repl_Rate!K81)&lt;Tech_Specs!$C9,Tech_Specs!$C9,(K$194-Sys_Repl_Rate!K81)),0),IF($G$194:$AF$194&lt;=K$194,System_Mkt_Repl!$F335:$AE335+System_Mkt_NC!$G335:$AF335)))))</f>
        <v>1</v>
      </c>
      <c r="L196" s="373">
        <f t="array" aca="1" ref="L196" ca="1">IF(L$194=Misc_Inputs!$D$6,$G122,IF(SUM(IF($G$194:$AF$194&gt;=ROUND(IF((L$194-Sys_Repl_Rate!L81)&lt;Tech_Specs!$C9,Tech_Specs!$C9,(L$194-Sys_Repl_Rate!L81)),0),IF($G$194:$AF$194&lt;=L$194,System_Mkt_Repl!$F335:$AE335+System_Mkt_NC!$G335:$AF335)))=0,K196,SUMPRODUCT(IF($G$194:$AF$194&gt;=ROUND(IF((L$194-Sys_Repl_Rate!L81)&lt;Tech_Specs!$C9,Tech_Specs!$C9,(L$194-Sys_Repl_Rate!L81)),0),IF($G$194:$AF$194&lt;=L$194,$G122:$AF122)),System_Mkt_Repl!$F335:$AE335+System_Mkt_NC!$G335:$AF335)/SUM(IF($G$194:$AF$194&gt;=ROUND(IF((L$194-Sys_Repl_Rate!L81)&lt;Tech_Specs!$C9,Tech_Specs!$C9,(L$194-Sys_Repl_Rate!L81)),0),IF($G$194:$AF$194&lt;=L$194,System_Mkt_Repl!$F335:$AE335+System_Mkt_NC!$G335:$AF335)))))</f>
        <v>1</v>
      </c>
      <c r="M196" s="373">
        <f t="array" aca="1" ref="M196" ca="1">IF(M$194=Misc_Inputs!$D$6,$G122,IF(SUM(IF($G$194:$AF$194&gt;=ROUND(IF((M$194-Sys_Repl_Rate!M81)&lt;Tech_Specs!$C9,Tech_Specs!$C9,(M$194-Sys_Repl_Rate!M81)),0),IF($G$194:$AF$194&lt;=M$194,System_Mkt_Repl!$F335:$AE335+System_Mkt_NC!$G335:$AF335)))=0,L196,SUMPRODUCT(IF($G$194:$AF$194&gt;=ROUND(IF((M$194-Sys_Repl_Rate!M81)&lt;Tech_Specs!$C9,Tech_Specs!$C9,(M$194-Sys_Repl_Rate!M81)),0),IF($G$194:$AF$194&lt;=M$194,$G122:$AF122)),System_Mkt_Repl!$F335:$AE335+System_Mkt_NC!$G335:$AF335)/SUM(IF($G$194:$AF$194&gt;=ROUND(IF((M$194-Sys_Repl_Rate!M81)&lt;Tech_Specs!$C9,Tech_Specs!$C9,(M$194-Sys_Repl_Rate!M81)),0),IF($G$194:$AF$194&lt;=M$194,System_Mkt_Repl!$F335:$AE335+System_Mkt_NC!$G335:$AF335)))))</f>
        <v>1</v>
      </c>
      <c r="N196" s="373">
        <f t="array" aca="1" ref="N196" ca="1">IF(N$194=Misc_Inputs!$D$6,$G122,IF(SUM(IF($G$194:$AF$194&gt;=ROUND(IF((N$194-Sys_Repl_Rate!N81)&lt;Tech_Specs!$C9,Tech_Specs!$C9,(N$194-Sys_Repl_Rate!N81)),0),IF($G$194:$AF$194&lt;=N$194,System_Mkt_Repl!$F335:$AE335+System_Mkt_NC!$G335:$AF335)))=0,M196,SUMPRODUCT(IF($G$194:$AF$194&gt;=ROUND(IF((N$194-Sys_Repl_Rate!N81)&lt;Tech_Specs!$C9,Tech_Specs!$C9,(N$194-Sys_Repl_Rate!N81)),0),IF($G$194:$AF$194&lt;=N$194,$G122:$AF122)),System_Mkt_Repl!$F335:$AE335+System_Mkt_NC!$G335:$AF335)/SUM(IF($G$194:$AF$194&gt;=ROUND(IF((N$194-Sys_Repl_Rate!N81)&lt;Tech_Specs!$C9,Tech_Specs!$C9,(N$194-Sys_Repl_Rate!N81)),0),IF($G$194:$AF$194&lt;=N$194,System_Mkt_Repl!$F335:$AE335+System_Mkt_NC!$G335:$AF335)))))</f>
        <v>1</v>
      </c>
      <c r="O196" s="373">
        <f t="array" aca="1" ref="O196" ca="1">IF(O$194=Misc_Inputs!$D$6,$G122,IF(SUM(IF($G$194:$AF$194&gt;=ROUND(IF((O$194-Sys_Repl_Rate!O81)&lt;Tech_Specs!$C9,Tech_Specs!$C9,(O$194-Sys_Repl_Rate!O81)),0),IF($G$194:$AF$194&lt;=O$194,System_Mkt_Repl!$F335:$AE335+System_Mkt_NC!$G335:$AF335)))=0,N196,SUMPRODUCT(IF($G$194:$AF$194&gt;=ROUND(IF((O$194-Sys_Repl_Rate!O81)&lt;Tech_Specs!$C9,Tech_Specs!$C9,(O$194-Sys_Repl_Rate!O81)),0),IF($G$194:$AF$194&lt;=O$194,$G122:$AF122)),System_Mkt_Repl!$F335:$AE335+System_Mkt_NC!$G335:$AF335)/SUM(IF($G$194:$AF$194&gt;=ROUND(IF((O$194-Sys_Repl_Rate!O81)&lt;Tech_Specs!$C9,Tech_Specs!$C9,(O$194-Sys_Repl_Rate!O81)),0),IF($G$194:$AF$194&lt;=O$194,System_Mkt_Repl!$F335:$AE335+System_Mkt_NC!$G335:$AF335)))))</f>
        <v>1</v>
      </c>
      <c r="P196" s="373">
        <f t="array" aca="1" ref="P196" ca="1">IF(P$194=Misc_Inputs!$D$6,$G122,IF(SUM(IF($G$194:$AF$194&gt;=ROUND(IF((P$194-Sys_Repl_Rate!P81)&lt;Tech_Specs!$C9,Tech_Specs!$C9,(P$194-Sys_Repl_Rate!P81)),0),IF($G$194:$AF$194&lt;=P$194,System_Mkt_Repl!$F335:$AE335+System_Mkt_NC!$G335:$AF335)))=0,O196,SUMPRODUCT(IF($G$194:$AF$194&gt;=ROUND(IF((P$194-Sys_Repl_Rate!P81)&lt;Tech_Specs!$C9,Tech_Specs!$C9,(P$194-Sys_Repl_Rate!P81)),0),IF($G$194:$AF$194&lt;=P$194,$G122:$AF122)),System_Mkt_Repl!$F335:$AE335+System_Mkt_NC!$G335:$AF335)/SUM(IF($G$194:$AF$194&gt;=ROUND(IF((P$194-Sys_Repl_Rate!P81)&lt;Tech_Specs!$C9,Tech_Specs!$C9,(P$194-Sys_Repl_Rate!P81)),0),IF($G$194:$AF$194&lt;=P$194,System_Mkt_Repl!$F335:$AE335+System_Mkt_NC!$G335:$AF335)))))</f>
        <v>1</v>
      </c>
      <c r="Q196" s="373">
        <f t="array" aca="1" ref="Q196" ca="1">IF(Q$194=Misc_Inputs!$D$6,$G122,IF(SUM(IF($G$194:$AF$194&gt;=ROUND(IF((Q$194-Sys_Repl_Rate!Q81)&lt;Tech_Specs!$C9,Tech_Specs!$C9,(Q$194-Sys_Repl_Rate!Q81)),0),IF($G$194:$AF$194&lt;=Q$194,System_Mkt_Repl!$F335:$AE335+System_Mkt_NC!$G335:$AF335)))=0,P196,SUMPRODUCT(IF($G$194:$AF$194&gt;=ROUND(IF((Q$194-Sys_Repl_Rate!Q81)&lt;Tech_Specs!$C9,Tech_Specs!$C9,(Q$194-Sys_Repl_Rate!Q81)),0),IF($G$194:$AF$194&lt;=Q$194,$G122:$AF122)),System_Mkt_Repl!$F335:$AE335+System_Mkt_NC!$G335:$AF335)/SUM(IF($G$194:$AF$194&gt;=ROUND(IF((Q$194-Sys_Repl_Rate!Q81)&lt;Tech_Specs!$C9,Tech_Specs!$C9,(Q$194-Sys_Repl_Rate!Q81)),0),IF($G$194:$AF$194&lt;=Q$194,System_Mkt_Repl!$F335:$AE335+System_Mkt_NC!$G335:$AF335)))))</f>
        <v>1</v>
      </c>
      <c r="R196" s="373">
        <f t="array" aca="1" ref="R196" ca="1">IF(R$194=Misc_Inputs!$D$6,$G122,IF(SUM(IF($G$194:$AF$194&gt;=ROUND(IF((R$194-Sys_Repl_Rate!R81)&lt;Tech_Specs!$C9,Tech_Specs!$C9,(R$194-Sys_Repl_Rate!R81)),0),IF($G$194:$AF$194&lt;=R$194,System_Mkt_Repl!$F335:$AE335+System_Mkt_NC!$G335:$AF335)))=0,Q196,SUMPRODUCT(IF($G$194:$AF$194&gt;=ROUND(IF((R$194-Sys_Repl_Rate!R81)&lt;Tech_Specs!$C9,Tech_Specs!$C9,(R$194-Sys_Repl_Rate!R81)),0),IF($G$194:$AF$194&lt;=R$194,$G122:$AF122)),System_Mkt_Repl!$F335:$AE335+System_Mkt_NC!$G335:$AF335)/SUM(IF($G$194:$AF$194&gt;=ROUND(IF((R$194-Sys_Repl_Rate!R81)&lt;Tech_Specs!$C9,Tech_Specs!$C9,(R$194-Sys_Repl_Rate!R81)),0),IF($G$194:$AF$194&lt;=R$194,System_Mkt_Repl!$F335:$AE335+System_Mkt_NC!$G335:$AF335)))))</f>
        <v>1</v>
      </c>
      <c r="S196" s="373">
        <f t="array" aca="1" ref="S196" ca="1">IF(S$194=Misc_Inputs!$D$6,$G122,IF(SUM(IF($G$194:$AF$194&gt;=ROUND(IF((S$194-Sys_Repl_Rate!S81)&lt;Tech_Specs!$C9,Tech_Specs!$C9,(S$194-Sys_Repl_Rate!S81)),0),IF($G$194:$AF$194&lt;=S$194,System_Mkt_Repl!$F335:$AE335+System_Mkt_NC!$G335:$AF335)))=0,R196,SUMPRODUCT(IF($G$194:$AF$194&gt;=ROUND(IF((S$194-Sys_Repl_Rate!S81)&lt;Tech_Specs!$C9,Tech_Specs!$C9,(S$194-Sys_Repl_Rate!S81)),0),IF($G$194:$AF$194&lt;=S$194,$G122:$AF122)),System_Mkt_Repl!$F335:$AE335+System_Mkt_NC!$G335:$AF335)/SUM(IF($G$194:$AF$194&gt;=ROUND(IF((S$194-Sys_Repl_Rate!S81)&lt;Tech_Specs!$C9,Tech_Specs!$C9,(S$194-Sys_Repl_Rate!S81)),0),IF($G$194:$AF$194&lt;=S$194,System_Mkt_Repl!$F335:$AE335+System_Mkt_NC!$G335:$AF335)))))</f>
        <v>1</v>
      </c>
      <c r="T196" s="373">
        <f t="array" aca="1" ref="T196" ca="1">IF(T$194=Misc_Inputs!$D$6,$G122,IF(SUM(IF($G$194:$AF$194&gt;=ROUND(IF((T$194-Sys_Repl_Rate!T81)&lt;Tech_Specs!$C9,Tech_Specs!$C9,(T$194-Sys_Repl_Rate!T81)),0),IF($G$194:$AF$194&lt;=T$194,System_Mkt_Repl!$F335:$AE335+System_Mkt_NC!$G335:$AF335)))=0,S196,SUMPRODUCT(IF($G$194:$AF$194&gt;=ROUND(IF((T$194-Sys_Repl_Rate!T81)&lt;Tech_Specs!$C9,Tech_Specs!$C9,(T$194-Sys_Repl_Rate!T81)),0),IF($G$194:$AF$194&lt;=T$194,$G122:$AF122)),System_Mkt_Repl!$F335:$AE335+System_Mkt_NC!$G335:$AF335)/SUM(IF($G$194:$AF$194&gt;=ROUND(IF((T$194-Sys_Repl_Rate!T81)&lt;Tech_Specs!$C9,Tech_Specs!$C9,(T$194-Sys_Repl_Rate!T81)),0),IF($G$194:$AF$194&lt;=T$194,System_Mkt_Repl!$F335:$AE335+System_Mkt_NC!$G335:$AF335)))))</f>
        <v>1</v>
      </c>
      <c r="U196" s="373">
        <f t="array" aca="1" ref="U196" ca="1">IF(U$194=Misc_Inputs!$D$6,$G122,IF(SUM(IF($G$194:$AF$194&gt;=ROUND(IF((U$194-Sys_Repl_Rate!U81)&lt;Tech_Specs!$C9,Tech_Specs!$C9,(U$194-Sys_Repl_Rate!U81)),0),IF($G$194:$AF$194&lt;=U$194,System_Mkt_Repl!$F335:$AE335+System_Mkt_NC!$G335:$AF335)))=0,T196,SUMPRODUCT(IF($G$194:$AF$194&gt;=ROUND(IF((U$194-Sys_Repl_Rate!U81)&lt;Tech_Specs!$C9,Tech_Specs!$C9,(U$194-Sys_Repl_Rate!U81)),0),IF($G$194:$AF$194&lt;=U$194,$G122:$AF122)),System_Mkt_Repl!$F335:$AE335+System_Mkt_NC!$G335:$AF335)/SUM(IF($G$194:$AF$194&gt;=ROUND(IF((U$194-Sys_Repl_Rate!U81)&lt;Tech_Specs!$C9,Tech_Specs!$C9,(U$194-Sys_Repl_Rate!U81)),0),IF($G$194:$AF$194&lt;=U$194,System_Mkt_Repl!$F335:$AE335+System_Mkt_NC!$G335:$AF335)))))</f>
        <v>1</v>
      </c>
      <c r="V196" s="373">
        <f t="array" aca="1" ref="V196" ca="1">IF(V$194=Misc_Inputs!$D$6,$G122,IF(SUM(IF($G$194:$AF$194&gt;=ROUND(IF((V$194-Sys_Repl_Rate!V81)&lt;Tech_Specs!$C9,Tech_Specs!$C9,(V$194-Sys_Repl_Rate!V81)),0),IF($G$194:$AF$194&lt;=V$194,System_Mkt_Repl!$F335:$AE335+System_Mkt_NC!$G335:$AF335)))=0,U196,SUMPRODUCT(IF($G$194:$AF$194&gt;=ROUND(IF((V$194-Sys_Repl_Rate!V81)&lt;Tech_Specs!$C9,Tech_Specs!$C9,(V$194-Sys_Repl_Rate!V81)),0),IF($G$194:$AF$194&lt;=V$194,$G122:$AF122)),System_Mkt_Repl!$F335:$AE335+System_Mkt_NC!$G335:$AF335)/SUM(IF($G$194:$AF$194&gt;=ROUND(IF((V$194-Sys_Repl_Rate!V81)&lt;Tech_Specs!$C9,Tech_Specs!$C9,(V$194-Sys_Repl_Rate!V81)),0),IF($G$194:$AF$194&lt;=V$194,System_Mkt_Repl!$F335:$AE335+System_Mkt_NC!$G335:$AF335)))))</f>
        <v>1</v>
      </c>
      <c r="W196" s="373">
        <f t="array" aca="1" ref="W196" ca="1">IF(W$194=Misc_Inputs!$D$6,$G122,IF(SUM(IF($G$194:$AF$194&gt;=ROUND(IF((W$194-Sys_Repl_Rate!W81)&lt;Tech_Specs!$C9,Tech_Specs!$C9,(W$194-Sys_Repl_Rate!W81)),0),IF($G$194:$AF$194&lt;=W$194,System_Mkt_Repl!$F335:$AE335+System_Mkt_NC!$G335:$AF335)))=0,V196,SUMPRODUCT(IF($G$194:$AF$194&gt;=ROUND(IF((W$194-Sys_Repl_Rate!W81)&lt;Tech_Specs!$C9,Tech_Specs!$C9,(W$194-Sys_Repl_Rate!W81)),0),IF($G$194:$AF$194&lt;=W$194,$G122:$AF122)),System_Mkt_Repl!$F335:$AE335+System_Mkt_NC!$G335:$AF335)/SUM(IF($G$194:$AF$194&gt;=ROUND(IF((W$194-Sys_Repl_Rate!W81)&lt;Tech_Specs!$C9,Tech_Specs!$C9,(W$194-Sys_Repl_Rate!W81)),0),IF($G$194:$AF$194&lt;=W$194,System_Mkt_Repl!$F335:$AE335+System_Mkt_NC!$G335:$AF335)))))</f>
        <v>1</v>
      </c>
      <c r="X196" s="373">
        <f t="array" aca="1" ref="X196" ca="1">IF(X$194=Misc_Inputs!$D$6,$G122,IF(SUM(IF($G$194:$AF$194&gt;=ROUND(IF((X$194-Sys_Repl_Rate!X81)&lt;Tech_Specs!$C9,Tech_Specs!$C9,(X$194-Sys_Repl_Rate!X81)),0),IF($G$194:$AF$194&lt;=X$194,System_Mkt_Repl!$F335:$AE335+System_Mkt_NC!$G335:$AF335)))=0,W196,SUMPRODUCT(IF($G$194:$AF$194&gt;=ROUND(IF((X$194-Sys_Repl_Rate!X81)&lt;Tech_Specs!$C9,Tech_Specs!$C9,(X$194-Sys_Repl_Rate!X81)),0),IF($G$194:$AF$194&lt;=X$194,$G122:$AF122)),System_Mkt_Repl!$F335:$AE335+System_Mkt_NC!$G335:$AF335)/SUM(IF($G$194:$AF$194&gt;=ROUND(IF((X$194-Sys_Repl_Rate!X81)&lt;Tech_Specs!$C9,Tech_Specs!$C9,(X$194-Sys_Repl_Rate!X81)),0),IF($G$194:$AF$194&lt;=X$194,System_Mkt_Repl!$F335:$AE335+System_Mkt_NC!$G335:$AF335)))))</f>
        <v>1</v>
      </c>
      <c r="Y196" s="373">
        <f t="array" aca="1" ref="Y196" ca="1">IF(Y$194=Misc_Inputs!$D$6,$G122,IF(SUM(IF($G$194:$AF$194&gt;=ROUND(IF((Y$194-Sys_Repl_Rate!Y81)&lt;Tech_Specs!$C9,Tech_Specs!$C9,(Y$194-Sys_Repl_Rate!Y81)),0),IF($G$194:$AF$194&lt;=Y$194,System_Mkt_Repl!$F335:$AE335+System_Mkt_NC!$G335:$AF335)))=0,X196,SUMPRODUCT(IF($G$194:$AF$194&gt;=ROUND(IF((Y$194-Sys_Repl_Rate!Y81)&lt;Tech_Specs!$C9,Tech_Specs!$C9,(Y$194-Sys_Repl_Rate!Y81)),0),IF($G$194:$AF$194&lt;=Y$194,$G122:$AF122)),System_Mkt_Repl!$F335:$AE335+System_Mkt_NC!$G335:$AF335)/SUM(IF($G$194:$AF$194&gt;=ROUND(IF((Y$194-Sys_Repl_Rate!Y81)&lt;Tech_Specs!$C9,Tech_Specs!$C9,(Y$194-Sys_Repl_Rate!Y81)),0),IF($G$194:$AF$194&lt;=Y$194,System_Mkt_Repl!$F335:$AE335+System_Mkt_NC!$G335:$AF335)))))</f>
        <v>1</v>
      </c>
      <c r="Z196" s="373">
        <f t="array" aca="1" ref="Z196" ca="1">IF(Z$194=Misc_Inputs!$D$6,$G122,IF(SUM(IF($G$194:$AF$194&gt;=ROUND(IF((Z$194-Sys_Repl_Rate!Z81)&lt;Tech_Specs!$C9,Tech_Specs!$C9,(Z$194-Sys_Repl_Rate!Z81)),0),IF($G$194:$AF$194&lt;=Z$194,System_Mkt_Repl!$F335:$AE335+System_Mkt_NC!$G335:$AF335)))=0,Y196,SUMPRODUCT(IF($G$194:$AF$194&gt;=ROUND(IF((Z$194-Sys_Repl_Rate!Z81)&lt;Tech_Specs!$C9,Tech_Specs!$C9,(Z$194-Sys_Repl_Rate!Z81)),0),IF($G$194:$AF$194&lt;=Z$194,$G122:$AF122)),System_Mkt_Repl!$F335:$AE335+System_Mkt_NC!$G335:$AF335)/SUM(IF($G$194:$AF$194&gt;=ROUND(IF((Z$194-Sys_Repl_Rate!Z81)&lt;Tech_Specs!$C9,Tech_Specs!$C9,(Z$194-Sys_Repl_Rate!Z81)),0),IF($G$194:$AF$194&lt;=Z$194,System_Mkt_Repl!$F335:$AE335+System_Mkt_NC!$G335:$AF335)))))</f>
        <v>1</v>
      </c>
      <c r="AA196" s="373">
        <f t="array" aca="1" ref="AA196" ca="1">IF(AA$194=Misc_Inputs!$D$6,$G122,IF(SUM(IF($G$194:$AF$194&gt;=ROUND(IF((AA$194-Sys_Repl_Rate!AA81)&lt;Tech_Specs!$C9,Tech_Specs!$C9,(AA$194-Sys_Repl_Rate!AA81)),0),IF($G$194:$AF$194&lt;=AA$194,System_Mkt_Repl!$F335:$AE335+System_Mkt_NC!$G335:$AF335)))=0,Z196,SUMPRODUCT(IF($G$194:$AF$194&gt;=ROUND(IF((AA$194-Sys_Repl_Rate!AA81)&lt;Tech_Specs!$C9,Tech_Specs!$C9,(AA$194-Sys_Repl_Rate!AA81)),0),IF($G$194:$AF$194&lt;=AA$194,$G122:$AF122)),System_Mkt_Repl!$F335:$AE335+System_Mkt_NC!$G335:$AF335)/SUM(IF($G$194:$AF$194&gt;=ROUND(IF((AA$194-Sys_Repl_Rate!AA81)&lt;Tech_Specs!$C9,Tech_Specs!$C9,(AA$194-Sys_Repl_Rate!AA81)),0),IF($G$194:$AF$194&lt;=AA$194,System_Mkt_Repl!$F335:$AE335+System_Mkt_NC!$G335:$AF335)))))</f>
        <v>1</v>
      </c>
      <c r="AB196" s="373">
        <f t="array" aca="1" ref="AB196" ca="1">IF(AB$194=Misc_Inputs!$D$6,$G122,IF(SUM(IF($G$194:$AF$194&gt;=ROUND(IF((AB$194-Sys_Repl_Rate!AB81)&lt;Tech_Specs!$C9,Tech_Specs!$C9,(AB$194-Sys_Repl_Rate!AB81)),0),IF($G$194:$AF$194&lt;=AB$194,System_Mkt_Repl!$F335:$AE335+System_Mkt_NC!$G335:$AF335)))=0,AA196,SUMPRODUCT(IF($G$194:$AF$194&gt;=ROUND(IF((AB$194-Sys_Repl_Rate!AB81)&lt;Tech_Specs!$C9,Tech_Specs!$C9,(AB$194-Sys_Repl_Rate!AB81)),0),IF($G$194:$AF$194&lt;=AB$194,$G122:$AF122)),System_Mkt_Repl!$F335:$AE335+System_Mkt_NC!$G335:$AF335)/SUM(IF($G$194:$AF$194&gt;=ROUND(IF((AB$194-Sys_Repl_Rate!AB81)&lt;Tech_Specs!$C9,Tech_Specs!$C9,(AB$194-Sys_Repl_Rate!AB81)),0),IF($G$194:$AF$194&lt;=AB$194,System_Mkt_Repl!$F335:$AE335+System_Mkt_NC!$G335:$AF335)))))</f>
        <v>1</v>
      </c>
      <c r="AC196" s="373">
        <f t="array" aca="1" ref="AC196" ca="1">IF(AC$194=Misc_Inputs!$D$6,$G122,IF(SUM(IF($G$194:$AF$194&gt;=ROUND(IF((AC$194-Sys_Repl_Rate!AC81)&lt;Tech_Specs!$C9,Tech_Specs!$C9,(AC$194-Sys_Repl_Rate!AC81)),0),IF($G$194:$AF$194&lt;=AC$194,System_Mkt_Repl!$F335:$AE335+System_Mkt_NC!$G335:$AF335)))=0,AB196,SUMPRODUCT(IF($G$194:$AF$194&gt;=ROUND(IF((AC$194-Sys_Repl_Rate!AC81)&lt;Tech_Specs!$C9,Tech_Specs!$C9,(AC$194-Sys_Repl_Rate!AC81)),0),IF($G$194:$AF$194&lt;=AC$194,$G122:$AF122)),System_Mkt_Repl!$F335:$AE335+System_Mkt_NC!$G335:$AF335)/SUM(IF($G$194:$AF$194&gt;=ROUND(IF((AC$194-Sys_Repl_Rate!AC81)&lt;Tech_Specs!$C9,Tech_Specs!$C9,(AC$194-Sys_Repl_Rate!AC81)),0),IF($G$194:$AF$194&lt;=AC$194,System_Mkt_Repl!$F335:$AE335+System_Mkt_NC!$G335:$AF335)))))</f>
        <v>1</v>
      </c>
      <c r="AD196" s="373">
        <f t="array" aca="1" ref="AD196" ca="1">IF(AD$194=Misc_Inputs!$D$6,$G122,IF(SUM(IF($G$194:$AF$194&gt;=ROUND(IF((AD$194-Sys_Repl_Rate!AD81)&lt;Tech_Specs!$C9,Tech_Specs!$C9,(AD$194-Sys_Repl_Rate!AD81)),0),IF($G$194:$AF$194&lt;=AD$194,System_Mkt_Repl!$F335:$AE335+System_Mkt_NC!$G335:$AF335)))=0,AC196,SUMPRODUCT(IF($G$194:$AF$194&gt;=ROUND(IF((AD$194-Sys_Repl_Rate!AD81)&lt;Tech_Specs!$C9,Tech_Specs!$C9,(AD$194-Sys_Repl_Rate!AD81)),0),IF($G$194:$AF$194&lt;=AD$194,$G122:$AF122)),System_Mkt_Repl!$F335:$AE335+System_Mkt_NC!$G335:$AF335)/SUM(IF($G$194:$AF$194&gt;=ROUND(IF((AD$194-Sys_Repl_Rate!AD81)&lt;Tech_Specs!$C9,Tech_Specs!$C9,(AD$194-Sys_Repl_Rate!AD81)),0),IF($G$194:$AF$194&lt;=AD$194,System_Mkt_Repl!$F335:$AE335+System_Mkt_NC!$G335:$AF335)))))</f>
        <v>1</v>
      </c>
      <c r="AE196" s="373">
        <f t="array" aca="1" ref="AE196" ca="1">IF(AE$194=Misc_Inputs!$D$6,$G122,IF(SUM(IF($G$194:$AF$194&gt;=ROUND(IF((AE$194-Sys_Repl_Rate!AE81)&lt;Tech_Specs!$C9,Tech_Specs!$C9,(AE$194-Sys_Repl_Rate!AE81)),0),IF($G$194:$AF$194&lt;=AE$194,System_Mkt_Repl!$F335:$AE335+System_Mkt_NC!$G335:$AF335)))=0,AD196,SUMPRODUCT(IF($G$194:$AF$194&gt;=ROUND(IF((AE$194-Sys_Repl_Rate!AE81)&lt;Tech_Specs!$C9,Tech_Specs!$C9,(AE$194-Sys_Repl_Rate!AE81)),0),IF($G$194:$AF$194&lt;=AE$194,$G122:$AF122)),System_Mkt_Repl!$F335:$AE335+System_Mkt_NC!$G335:$AF335)/SUM(IF($G$194:$AF$194&gt;=ROUND(IF((AE$194-Sys_Repl_Rate!AE81)&lt;Tech_Specs!$C9,Tech_Specs!$C9,(AE$194-Sys_Repl_Rate!AE81)),0),IF($G$194:$AF$194&lt;=AE$194,System_Mkt_Repl!$F335:$AE335+System_Mkt_NC!$G335:$AF335)))))</f>
        <v>1</v>
      </c>
      <c r="AF196" s="373">
        <f t="array" aca="1" ref="AF196" ca="1">IF(AF$194=Misc_Inputs!$D$6,$G122,IF(SUM(IF($G$194:$AF$194&gt;=ROUND(IF((AF$194-Sys_Repl_Rate!AF81)&lt;Tech_Specs!$C9,Tech_Specs!$C9,(AF$194-Sys_Repl_Rate!AF81)),0),IF($G$194:$AF$194&lt;=AF$194,System_Mkt_Repl!$F335:$AE335+System_Mkt_NC!$G335:$AF335)))=0,AE196,SUMPRODUCT(IF($G$194:$AF$194&gt;=ROUND(IF((AF$194-Sys_Repl_Rate!AF81)&lt;Tech_Specs!$C9,Tech_Specs!$C9,(AF$194-Sys_Repl_Rate!AF81)),0),IF($G$194:$AF$194&lt;=AF$194,$G122:$AF122)),System_Mkt_Repl!$F335:$AE335+System_Mkt_NC!$G335:$AF335)/SUM(IF($G$194:$AF$194&gt;=ROUND(IF((AF$194-Sys_Repl_Rate!AF81)&lt;Tech_Specs!$C9,Tech_Specs!$C9,(AF$194-Sys_Repl_Rate!AF81)),0),IF($G$194:$AF$194&lt;=AF$194,System_Mkt_Repl!$F335:$AE335+System_Mkt_NC!$G335:$AF335)))))</f>
        <v>1</v>
      </c>
    </row>
    <row r="197" spans="1:32" s="282" customFormat="1" ht="12.75" x14ac:dyDescent="0.2">
      <c r="A197" s="278"/>
      <c r="B197" s="278" t="s">
        <v>26</v>
      </c>
      <c r="C197" s="278"/>
      <c r="D197" s="550"/>
      <c r="E197" s="550"/>
      <c r="F197" s="550"/>
      <c r="G197" s="373">
        <f t="array" ref="G197">IF(G$194=Misc_Inputs!$D$6,$G123,IF(SUM(IF($G$194:$AF$194&gt;=ROUND(IF((G$194-Sys_Repl_Rate!G82)&lt;Tech_Specs!$C10,Tech_Specs!$C10,(G$194-Sys_Repl_Rate!G82)),0),IF($G$194:$AF$194&lt;=G$194,System_Mkt_Repl!$F336:$AE336+System_Mkt_NC!$G336:$AF336)))=0,C197,SUMPRODUCT(IF($G$194:$AF$194&gt;=ROUND(IF((G$194-Sys_Repl_Rate!G82)&lt;Tech_Specs!$C10,Tech_Specs!$C10,(G$194-Sys_Repl_Rate!G82)),0),IF($G$194:$AF$194&lt;=G$194,$G123:$AF123)),System_Mkt_Repl!$F336:$AE336+System_Mkt_NC!$G336:$AF336)/SUM(IF($G$194:$AF$194&gt;=ROUND(IF((G$194-Sys_Repl_Rate!G82)&lt;Tech_Specs!$C10,Tech_Specs!$C10,(G$194-Sys_Repl_Rate!G82)),0),IF($G$194:$AF$194&lt;=G$194,System_Mkt_Repl!$F336:$AE336+System_Mkt_NC!$G336:$AF336)))))</f>
        <v>1</v>
      </c>
      <c r="H197" s="373">
        <f t="array" aca="1" ref="H197" ca="1">IF(H$194=Misc_Inputs!$D$6,$G123,IF(SUM(IF($G$194:$AF$194&gt;=ROUND(IF((H$194-Sys_Repl_Rate!H82)&lt;Tech_Specs!$C10,Tech_Specs!$C10,(H$194-Sys_Repl_Rate!H82)),0),IF($G$194:$AF$194&lt;=H$194,System_Mkt_Repl!$F336:$AE336+System_Mkt_NC!$G336:$AF336)))=0,G197,SUMPRODUCT(IF($G$194:$AF$194&gt;=ROUND(IF((H$194-Sys_Repl_Rate!H82)&lt;Tech_Specs!$C10,Tech_Specs!$C10,(H$194-Sys_Repl_Rate!H82)),0),IF($G$194:$AF$194&lt;=H$194,$G123:$AF123)),System_Mkt_Repl!$F336:$AE336+System_Mkt_NC!$G336:$AF336)/SUM(IF($G$194:$AF$194&gt;=ROUND(IF((H$194-Sys_Repl_Rate!H82)&lt;Tech_Specs!$C10,Tech_Specs!$C10,(H$194-Sys_Repl_Rate!H82)),0),IF($G$194:$AF$194&lt;=H$194,System_Mkt_Repl!$F336:$AE336+System_Mkt_NC!$G336:$AF336)))))</f>
        <v>1</v>
      </c>
      <c r="I197" s="373">
        <f t="array" aca="1" ref="I197" ca="1">IF(I$194=Misc_Inputs!$D$6,$G123,IF(SUM(IF($G$194:$AF$194&gt;=ROUND(IF((I$194-Sys_Repl_Rate!I82)&lt;Tech_Specs!$C10,Tech_Specs!$C10,(I$194-Sys_Repl_Rate!I82)),0),IF($G$194:$AF$194&lt;=I$194,System_Mkt_Repl!$F336:$AE336+System_Mkt_NC!$G336:$AF336)))=0,H197,SUMPRODUCT(IF($G$194:$AF$194&gt;=ROUND(IF((I$194-Sys_Repl_Rate!I82)&lt;Tech_Specs!$C10,Tech_Specs!$C10,(I$194-Sys_Repl_Rate!I82)),0),IF($G$194:$AF$194&lt;=I$194,$G123:$AF123)),System_Mkt_Repl!$F336:$AE336+System_Mkt_NC!$G336:$AF336)/SUM(IF($G$194:$AF$194&gt;=ROUND(IF((I$194-Sys_Repl_Rate!I82)&lt;Tech_Specs!$C10,Tech_Specs!$C10,(I$194-Sys_Repl_Rate!I82)),0),IF($G$194:$AF$194&lt;=I$194,System_Mkt_Repl!$F336:$AE336+System_Mkt_NC!$G336:$AF336)))))</f>
        <v>1</v>
      </c>
      <c r="J197" s="373">
        <f t="array" aca="1" ref="J197" ca="1">IF(J$194=Misc_Inputs!$D$6,$G123,IF(SUM(IF($G$194:$AF$194&gt;=ROUND(IF((J$194-Sys_Repl_Rate!J82)&lt;Tech_Specs!$C10,Tech_Specs!$C10,(J$194-Sys_Repl_Rate!J82)),0),IF($G$194:$AF$194&lt;=J$194,System_Mkt_Repl!$F336:$AE336+System_Mkt_NC!$G336:$AF336)))=0,I197,SUMPRODUCT(IF($G$194:$AF$194&gt;=ROUND(IF((J$194-Sys_Repl_Rate!J82)&lt;Tech_Specs!$C10,Tech_Specs!$C10,(J$194-Sys_Repl_Rate!J82)),0),IF($G$194:$AF$194&lt;=J$194,$G123:$AF123)),System_Mkt_Repl!$F336:$AE336+System_Mkt_NC!$G336:$AF336)/SUM(IF($G$194:$AF$194&gt;=ROUND(IF((J$194-Sys_Repl_Rate!J82)&lt;Tech_Specs!$C10,Tech_Specs!$C10,(J$194-Sys_Repl_Rate!J82)),0),IF($G$194:$AF$194&lt;=J$194,System_Mkt_Repl!$F336:$AE336+System_Mkt_NC!$G336:$AF336)))))</f>
        <v>1</v>
      </c>
      <c r="K197" s="373">
        <f t="array" aca="1" ref="K197" ca="1">IF(K$194=Misc_Inputs!$D$6,$G123,IF(SUM(IF($G$194:$AF$194&gt;=ROUND(IF((K$194-Sys_Repl_Rate!K82)&lt;Tech_Specs!$C10,Tech_Specs!$C10,(K$194-Sys_Repl_Rate!K82)),0),IF($G$194:$AF$194&lt;=K$194,System_Mkt_Repl!$F336:$AE336+System_Mkt_NC!$G336:$AF336)))=0,J197,SUMPRODUCT(IF($G$194:$AF$194&gt;=ROUND(IF((K$194-Sys_Repl_Rate!K82)&lt;Tech_Specs!$C10,Tech_Specs!$C10,(K$194-Sys_Repl_Rate!K82)),0),IF($G$194:$AF$194&lt;=K$194,$G123:$AF123)),System_Mkt_Repl!$F336:$AE336+System_Mkt_NC!$G336:$AF336)/SUM(IF($G$194:$AF$194&gt;=ROUND(IF((K$194-Sys_Repl_Rate!K82)&lt;Tech_Specs!$C10,Tech_Specs!$C10,(K$194-Sys_Repl_Rate!K82)),0),IF($G$194:$AF$194&lt;=K$194,System_Mkt_Repl!$F336:$AE336+System_Mkt_NC!$G336:$AF336)))))</f>
        <v>1</v>
      </c>
      <c r="L197" s="373">
        <f t="array" aca="1" ref="L197" ca="1">IF(L$194=Misc_Inputs!$D$6,$G123,IF(SUM(IF($G$194:$AF$194&gt;=ROUND(IF((L$194-Sys_Repl_Rate!L82)&lt;Tech_Specs!$C10,Tech_Specs!$C10,(L$194-Sys_Repl_Rate!L82)),0),IF($G$194:$AF$194&lt;=L$194,System_Mkt_Repl!$F336:$AE336+System_Mkt_NC!$G336:$AF336)))=0,K197,SUMPRODUCT(IF($G$194:$AF$194&gt;=ROUND(IF((L$194-Sys_Repl_Rate!L82)&lt;Tech_Specs!$C10,Tech_Specs!$C10,(L$194-Sys_Repl_Rate!L82)),0),IF($G$194:$AF$194&lt;=L$194,$G123:$AF123)),System_Mkt_Repl!$F336:$AE336+System_Mkt_NC!$G336:$AF336)/SUM(IF($G$194:$AF$194&gt;=ROUND(IF((L$194-Sys_Repl_Rate!L82)&lt;Tech_Specs!$C10,Tech_Specs!$C10,(L$194-Sys_Repl_Rate!L82)),0),IF($G$194:$AF$194&lt;=L$194,System_Mkt_Repl!$F336:$AE336+System_Mkt_NC!$G336:$AF336)))))</f>
        <v>1</v>
      </c>
      <c r="M197" s="373">
        <f t="array" aca="1" ref="M197" ca="1">IF(M$194=Misc_Inputs!$D$6,$G123,IF(SUM(IF($G$194:$AF$194&gt;=ROUND(IF((M$194-Sys_Repl_Rate!M82)&lt;Tech_Specs!$C10,Tech_Specs!$C10,(M$194-Sys_Repl_Rate!M82)),0),IF($G$194:$AF$194&lt;=M$194,System_Mkt_Repl!$F336:$AE336+System_Mkt_NC!$G336:$AF336)))=0,L197,SUMPRODUCT(IF($G$194:$AF$194&gt;=ROUND(IF((M$194-Sys_Repl_Rate!M82)&lt;Tech_Specs!$C10,Tech_Specs!$C10,(M$194-Sys_Repl_Rate!M82)),0),IF($G$194:$AF$194&lt;=M$194,$G123:$AF123)),System_Mkt_Repl!$F336:$AE336+System_Mkt_NC!$G336:$AF336)/SUM(IF($G$194:$AF$194&gt;=ROUND(IF((M$194-Sys_Repl_Rate!M82)&lt;Tech_Specs!$C10,Tech_Specs!$C10,(M$194-Sys_Repl_Rate!M82)),0),IF($G$194:$AF$194&lt;=M$194,System_Mkt_Repl!$F336:$AE336+System_Mkt_NC!$G336:$AF336)))))</f>
        <v>1</v>
      </c>
      <c r="N197" s="373">
        <f t="array" aca="1" ref="N197" ca="1">IF(N$194=Misc_Inputs!$D$6,$G123,IF(SUM(IF($G$194:$AF$194&gt;=ROUND(IF((N$194-Sys_Repl_Rate!N82)&lt;Tech_Specs!$C10,Tech_Specs!$C10,(N$194-Sys_Repl_Rate!N82)),0),IF($G$194:$AF$194&lt;=N$194,System_Mkt_Repl!$F336:$AE336+System_Mkt_NC!$G336:$AF336)))=0,M197,SUMPRODUCT(IF($G$194:$AF$194&gt;=ROUND(IF((N$194-Sys_Repl_Rate!N82)&lt;Tech_Specs!$C10,Tech_Specs!$C10,(N$194-Sys_Repl_Rate!N82)),0),IF($G$194:$AF$194&lt;=N$194,$G123:$AF123)),System_Mkt_Repl!$F336:$AE336+System_Mkt_NC!$G336:$AF336)/SUM(IF($G$194:$AF$194&gt;=ROUND(IF((N$194-Sys_Repl_Rate!N82)&lt;Tech_Specs!$C10,Tech_Specs!$C10,(N$194-Sys_Repl_Rate!N82)),0),IF($G$194:$AF$194&lt;=N$194,System_Mkt_Repl!$F336:$AE336+System_Mkt_NC!$G336:$AF336)))))</f>
        <v>1</v>
      </c>
      <c r="O197" s="373">
        <f t="array" aca="1" ref="O197" ca="1">IF(O$194=Misc_Inputs!$D$6,$G123,IF(SUM(IF($G$194:$AF$194&gt;=ROUND(IF((O$194-Sys_Repl_Rate!O82)&lt;Tech_Specs!$C10,Tech_Specs!$C10,(O$194-Sys_Repl_Rate!O82)),0),IF($G$194:$AF$194&lt;=O$194,System_Mkt_Repl!$F336:$AE336+System_Mkt_NC!$G336:$AF336)))=0,N197,SUMPRODUCT(IF($G$194:$AF$194&gt;=ROUND(IF((O$194-Sys_Repl_Rate!O82)&lt;Tech_Specs!$C10,Tech_Specs!$C10,(O$194-Sys_Repl_Rate!O82)),0),IF($G$194:$AF$194&lt;=O$194,$G123:$AF123)),System_Mkt_Repl!$F336:$AE336+System_Mkt_NC!$G336:$AF336)/SUM(IF($G$194:$AF$194&gt;=ROUND(IF((O$194-Sys_Repl_Rate!O82)&lt;Tech_Specs!$C10,Tech_Specs!$C10,(O$194-Sys_Repl_Rate!O82)),0),IF($G$194:$AF$194&lt;=O$194,System_Mkt_Repl!$F336:$AE336+System_Mkt_NC!$G336:$AF336)))))</f>
        <v>1</v>
      </c>
      <c r="P197" s="373">
        <f t="array" aca="1" ref="P197" ca="1">IF(P$194=Misc_Inputs!$D$6,$G123,IF(SUM(IF($G$194:$AF$194&gt;=ROUND(IF((P$194-Sys_Repl_Rate!P82)&lt;Tech_Specs!$C10,Tech_Specs!$C10,(P$194-Sys_Repl_Rate!P82)),0),IF($G$194:$AF$194&lt;=P$194,System_Mkt_Repl!$F336:$AE336+System_Mkt_NC!$G336:$AF336)))=0,O197,SUMPRODUCT(IF($G$194:$AF$194&gt;=ROUND(IF((P$194-Sys_Repl_Rate!P82)&lt;Tech_Specs!$C10,Tech_Specs!$C10,(P$194-Sys_Repl_Rate!P82)),0),IF($G$194:$AF$194&lt;=P$194,$G123:$AF123)),System_Mkt_Repl!$F336:$AE336+System_Mkt_NC!$G336:$AF336)/SUM(IF($G$194:$AF$194&gt;=ROUND(IF((P$194-Sys_Repl_Rate!P82)&lt;Tech_Specs!$C10,Tech_Specs!$C10,(P$194-Sys_Repl_Rate!P82)),0),IF($G$194:$AF$194&lt;=P$194,System_Mkt_Repl!$F336:$AE336+System_Mkt_NC!$G336:$AF336)))))</f>
        <v>1</v>
      </c>
      <c r="Q197" s="373">
        <f t="array" aca="1" ref="Q197" ca="1">IF(Q$194=Misc_Inputs!$D$6,$G123,IF(SUM(IF($G$194:$AF$194&gt;=ROUND(IF((Q$194-Sys_Repl_Rate!Q82)&lt;Tech_Specs!$C10,Tech_Specs!$C10,(Q$194-Sys_Repl_Rate!Q82)),0),IF($G$194:$AF$194&lt;=Q$194,System_Mkt_Repl!$F336:$AE336+System_Mkt_NC!$G336:$AF336)))=0,P197,SUMPRODUCT(IF($G$194:$AF$194&gt;=ROUND(IF((Q$194-Sys_Repl_Rate!Q82)&lt;Tech_Specs!$C10,Tech_Specs!$C10,(Q$194-Sys_Repl_Rate!Q82)),0),IF($G$194:$AF$194&lt;=Q$194,$G123:$AF123)),System_Mkt_Repl!$F336:$AE336+System_Mkt_NC!$G336:$AF336)/SUM(IF($G$194:$AF$194&gt;=ROUND(IF((Q$194-Sys_Repl_Rate!Q82)&lt;Tech_Specs!$C10,Tech_Specs!$C10,(Q$194-Sys_Repl_Rate!Q82)),0),IF($G$194:$AF$194&lt;=Q$194,System_Mkt_Repl!$F336:$AE336+System_Mkt_NC!$G336:$AF336)))))</f>
        <v>1</v>
      </c>
      <c r="R197" s="373">
        <f t="array" aca="1" ref="R197" ca="1">IF(R$194=Misc_Inputs!$D$6,$G123,IF(SUM(IF($G$194:$AF$194&gt;=ROUND(IF((R$194-Sys_Repl_Rate!R82)&lt;Tech_Specs!$C10,Tech_Specs!$C10,(R$194-Sys_Repl_Rate!R82)),0),IF($G$194:$AF$194&lt;=R$194,System_Mkt_Repl!$F336:$AE336+System_Mkt_NC!$G336:$AF336)))=0,Q197,SUMPRODUCT(IF($G$194:$AF$194&gt;=ROUND(IF((R$194-Sys_Repl_Rate!R82)&lt;Tech_Specs!$C10,Tech_Specs!$C10,(R$194-Sys_Repl_Rate!R82)),0),IF($G$194:$AF$194&lt;=R$194,$G123:$AF123)),System_Mkt_Repl!$F336:$AE336+System_Mkt_NC!$G336:$AF336)/SUM(IF($G$194:$AF$194&gt;=ROUND(IF((R$194-Sys_Repl_Rate!R82)&lt;Tech_Specs!$C10,Tech_Specs!$C10,(R$194-Sys_Repl_Rate!R82)),0),IF($G$194:$AF$194&lt;=R$194,System_Mkt_Repl!$F336:$AE336+System_Mkt_NC!$G336:$AF336)))))</f>
        <v>1</v>
      </c>
      <c r="S197" s="373">
        <f t="array" aca="1" ref="S197" ca="1">IF(S$194=Misc_Inputs!$D$6,$G123,IF(SUM(IF($G$194:$AF$194&gt;=ROUND(IF((S$194-Sys_Repl_Rate!S82)&lt;Tech_Specs!$C10,Tech_Specs!$C10,(S$194-Sys_Repl_Rate!S82)),0),IF($G$194:$AF$194&lt;=S$194,System_Mkt_Repl!$F336:$AE336+System_Mkt_NC!$G336:$AF336)))=0,R197,SUMPRODUCT(IF($G$194:$AF$194&gt;=ROUND(IF((S$194-Sys_Repl_Rate!S82)&lt;Tech_Specs!$C10,Tech_Specs!$C10,(S$194-Sys_Repl_Rate!S82)),0),IF($G$194:$AF$194&lt;=S$194,$G123:$AF123)),System_Mkt_Repl!$F336:$AE336+System_Mkt_NC!$G336:$AF336)/SUM(IF($G$194:$AF$194&gt;=ROUND(IF((S$194-Sys_Repl_Rate!S82)&lt;Tech_Specs!$C10,Tech_Specs!$C10,(S$194-Sys_Repl_Rate!S82)),0),IF($G$194:$AF$194&lt;=S$194,System_Mkt_Repl!$F336:$AE336+System_Mkt_NC!$G336:$AF336)))))</f>
        <v>1</v>
      </c>
      <c r="T197" s="373">
        <f t="array" aca="1" ref="T197" ca="1">IF(T$194=Misc_Inputs!$D$6,$G123,IF(SUM(IF($G$194:$AF$194&gt;=ROUND(IF((T$194-Sys_Repl_Rate!T82)&lt;Tech_Specs!$C10,Tech_Specs!$C10,(T$194-Sys_Repl_Rate!T82)),0),IF($G$194:$AF$194&lt;=T$194,System_Mkt_Repl!$F336:$AE336+System_Mkt_NC!$G336:$AF336)))=0,S197,SUMPRODUCT(IF($G$194:$AF$194&gt;=ROUND(IF((T$194-Sys_Repl_Rate!T82)&lt;Tech_Specs!$C10,Tech_Specs!$C10,(T$194-Sys_Repl_Rate!T82)),0),IF($G$194:$AF$194&lt;=T$194,$G123:$AF123)),System_Mkt_Repl!$F336:$AE336+System_Mkt_NC!$G336:$AF336)/SUM(IF($G$194:$AF$194&gt;=ROUND(IF((T$194-Sys_Repl_Rate!T82)&lt;Tech_Specs!$C10,Tech_Specs!$C10,(T$194-Sys_Repl_Rate!T82)),0),IF($G$194:$AF$194&lt;=T$194,System_Mkt_Repl!$F336:$AE336+System_Mkt_NC!$G336:$AF336)))))</f>
        <v>1</v>
      </c>
      <c r="U197" s="373">
        <f t="array" aca="1" ref="U197" ca="1">IF(U$194=Misc_Inputs!$D$6,$G123,IF(SUM(IF($G$194:$AF$194&gt;=ROUND(IF((U$194-Sys_Repl_Rate!U82)&lt;Tech_Specs!$C10,Tech_Specs!$C10,(U$194-Sys_Repl_Rate!U82)),0),IF($G$194:$AF$194&lt;=U$194,System_Mkt_Repl!$F336:$AE336+System_Mkt_NC!$G336:$AF336)))=0,T197,SUMPRODUCT(IF($G$194:$AF$194&gt;=ROUND(IF((U$194-Sys_Repl_Rate!U82)&lt;Tech_Specs!$C10,Tech_Specs!$C10,(U$194-Sys_Repl_Rate!U82)),0),IF($G$194:$AF$194&lt;=U$194,$G123:$AF123)),System_Mkt_Repl!$F336:$AE336+System_Mkt_NC!$G336:$AF336)/SUM(IF($G$194:$AF$194&gt;=ROUND(IF((U$194-Sys_Repl_Rate!U82)&lt;Tech_Specs!$C10,Tech_Specs!$C10,(U$194-Sys_Repl_Rate!U82)),0),IF($G$194:$AF$194&lt;=U$194,System_Mkt_Repl!$F336:$AE336+System_Mkt_NC!$G336:$AF336)))))</f>
        <v>1</v>
      </c>
      <c r="V197" s="373">
        <f t="array" aca="1" ref="V197" ca="1">IF(V$194=Misc_Inputs!$D$6,$G123,IF(SUM(IF($G$194:$AF$194&gt;=ROUND(IF((V$194-Sys_Repl_Rate!V82)&lt;Tech_Specs!$C10,Tech_Specs!$C10,(V$194-Sys_Repl_Rate!V82)),0),IF($G$194:$AF$194&lt;=V$194,System_Mkt_Repl!$F336:$AE336+System_Mkt_NC!$G336:$AF336)))=0,U197,SUMPRODUCT(IF($G$194:$AF$194&gt;=ROUND(IF((V$194-Sys_Repl_Rate!V82)&lt;Tech_Specs!$C10,Tech_Specs!$C10,(V$194-Sys_Repl_Rate!V82)),0),IF($G$194:$AF$194&lt;=V$194,$G123:$AF123)),System_Mkt_Repl!$F336:$AE336+System_Mkt_NC!$G336:$AF336)/SUM(IF($G$194:$AF$194&gt;=ROUND(IF((V$194-Sys_Repl_Rate!V82)&lt;Tech_Specs!$C10,Tech_Specs!$C10,(V$194-Sys_Repl_Rate!V82)),0),IF($G$194:$AF$194&lt;=V$194,System_Mkt_Repl!$F336:$AE336+System_Mkt_NC!$G336:$AF336)))))</f>
        <v>1</v>
      </c>
      <c r="W197" s="373">
        <f t="array" aca="1" ref="W197" ca="1">IF(W$194=Misc_Inputs!$D$6,$G123,IF(SUM(IF($G$194:$AF$194&gt;=ROUND(IF((W$194-Sys_Repl_Rate!W82)&lt;Tech_Specs!$C10,Tech_Specs!$C10,(W$194-Sys_Repl_Rate!W82)),0),IF($G$194:$AF$194&lt;=W$194,System_Mkt_Repl!$F336:$AE336+System_Mkt_NC!$G336:$AF336)))=0,V197,SUMPRODUCT(IF($G$194:$AF$194&gt;=ROUND(IF((W$194-Sys_Repl_Rate!W82)&lt;Tech_Specs!$C10,Tech_Specs!$C10,(W$194-Sys_Repl_Rate!W82)),0),IF($G$194:$AF$194&lt;=W$194,$G123:$AF123)),System_Mkt_Repl!$F336:$AE336+System_Mkt_NC!$G336:$AF336)/SUM(IF($G$194:$AF$194&gt;=ROUND(IF((W$194-Sys_Repl_Rate!W82)&lt;Tech_Specs!$C10,Tech_Specs!$C10,(W$194-Sys_Repl_Rate!W82)),0),IF($G$194:$AF$194&lt;=W$194,System_Mkt_Repl!$F336:$AE336+System_Mkt_NC!$G336:$AF336)))))</f>
        <v>1</v>
      </c>
      <c r="X197" s="373">
        <f t="array" aca="1" ref="X197" ca="1">IF(X$194=Misc_Inputs!$D$6,$G123,IF(SUM(IF($G$194:$AF$194&gt;=ROUND(IF((X$194-Sys_Repl_Rate!X82)&lt;Tech_Specs!$C10,Tech_Specs!$C10,(X$194-Sys_Repl_Rate!X82)),0),IF($G$194:$AF$194&lt;=X$194,System_Mkt_Repl!$F336:$AE336+System_Mkt_NC!$G336:$AF336)))=0,W197,SUMPRODUCT(IF($G$194:$AF$194&gt;=ROUND(IF((X$194-Sys_Repl_Rate!X82)&lt;Tech_Specs!$C10,Tech_Specs!$C10,(X$194-Sys_Repl_Rate!X82)),0),IF($G$194:$AF$194&lt;=X$194,$G123:$AF123)),System_Mkt_Repl!$F336:$AE336+System_Mkt_NC!$G336:$AF336)/SUM(IF($G$194:$AF$194&gt;=ROUND(IF((X$194-Sys_Repl_Rate!X82)&lt;Tech_Specs!$C10,Tech_Specs!$C10,(X$194-Sys_Repl_Rate!X82)),0),IF($G$194:$AF$194&lt;=X$194,System_Mkt_Repl!$F336:$AE336+System_Mkt_NC!$G336:$AF336)))))</f>
        <v>1</v>
      </c>
      <c r="Y197" s="373">
        <f t="array" aca="1" ref="Y197" ca="1">IF(Y$194=Misc_Inputs!$D$6,$G123,IF(SUM(IF($G$194:$AF$194&gt;=ROUND(IF((Y$194-Sys_Repl_Rate!Y82)&lt;Tech_Specs!$C10,Tech_Specs!$C10,(Y$194-Sys_Repl_Rate!Y82)),0),IF($G$194:$AF$194&lt;=Y$194,System_Mkt_Repl!$F336:$AE336+System_Mkt_NC!$G336:$AF336)))=0,X197,SUMPRODUCT(IF($G$194:$AF$194&gt;=ROUND(IF((Y$194-Sys_Repl_Rate!Y82)&lt;Tech_Specs!$C10,Tech_Specs!$C10,(Y$194-Sys_Repl_Rate!Y82)),0),IF($G$194:$AF$194&lt;=Y$194,$G123:$AF123)),System_Mkt_Repl!$F336:$AE336+System_Mkt_NC!$G336:$AF336)/SUM(IF($G$194:$AF$194&gt;=ROUND(IF((Y$194-Sys_Repl_Rate!Y82)&lt;Tech_Specs!$C10,Tech_Specs!$C10,(Y$194-Sys_Repl_Rate!Y82)),0),IF($G$194:$AF$194&lt;=Y$194,System_Mkt_Repl!$F336:$AE336+System_Mkt_NC!$G336:$AF336)))))</f>
        <v>1</v>
      </c>
      <c r="Z197" s="373">
        <f t="array" aca="1" ref="Z197" ca="1">IF(Z$194=Misc_Inputs!$D$6,$G123,IF(SUM(IF($G$194:$AF$194&gt;=ROUND(IF((Z$194-Sys_Repl_Rate!Z82)&lt;Tech_Specs!$C10,Tech_Specs!$C10,(Z$194-Sys_Repl_Rate!Z82)),0),IF($G$194:$AF$194&lt;=Z$194,System_Mkt_Repl!$F336:$AE336+System_Mkt_NC!$G336:$AF336)))=0,Y197,SUMPRODUCT(IF($G$194:$AF$194&gt;=ROUND(IF((Z$194-Sys_Repl_Rate!Z82)&lt;Tech_Specs!$C10,Tech_Specs!$C10,(Z$194-Sys_Repl_Rate!Z82)),0),IF($G$194:$AF$194&lt;=Z$194,$G123:$AF123)),System_Mkt_Repl!$F336:$AE336+System_Mkt_NC!$G336:$AF336)/SUM(IF($G$194:$AF$194&gt;=ROUND(IF((Z$194-Sys_Repl_Rate!Z82)&lt;Tech_Specs!$C10,Tech_Specs!$C10,(Z$194-Sys_Repl_Rate!Z82)),0),IF($G$194:$AF$194&lt;=Z$194,System_Mkt_Repl!$F336:$AE336+System_Mkt_NC!$G336:$AF336)))))</f>
        <v>1</v>
      </c>
      <c r="AA197" s="373">
        <f t="array" aca="1" ref="AA197" ca="1">IF(AA$194=Misc_Inputs!$D$6,$G123,IF(SUM(IF($G$194:$AF$194&gt;=ROUND(IF((AA$194-Sys_Repl_Rate!AA82)&lt;Tech_Specs!$C10,Tech_Specs!$C10,(AA$194-Sys_Repl_Rate!AA82)),0),IF($G$194:$AF$194&lt;=AA$194,System_Mkt_Repl!$F336:$AE336+System_Mkt_NC!$G336:$AF336)))=0,Z197,SUMPRODUCT(IF($G$194:$AF$194&gt;=ROUND(IF((AA$194-Sys_Repl_Rate!AA82)&lt;Tech_Specs!$C10,Tech_Specs!$C10,(AA$194-Sys_Repl_Rate!AA82)),0),IF($G$194:$AF$194&lt;=AA$194,$G123:$AF123)),System_Mkt_Repl!$F336:$AE336+System_Mkt_NC!$G336:$AF336)/SUM(IF($G$194:$AF$194&gt;=ROUND(IF((AA$194-Sys_Repl_Rate!AA82)&lt;Tech_Specs!$C10,Tech_Specs!$C10,(AA$194-Sys_Repl_Rate!AA82)),0),IF($G$194:$AF$194&lt;=AA$194,System_Mkt_Repl!$F336:$AE336+System_Mkt_NC!$G336:$AF336)))))</f>
        <v>1</v>
      </c>
      <c r="AB197" s="373">
        <f t="array" aca="1" ref="AB197" ca="1">IF(AB$194=Misc_Inputs!$D$6,$G123,IF(SUM(IF($G$194:$AF$194&gt;=ROUND(IF((AB$194-Sys_Repl_Rate!AB82)&lt;Tech_Specs!$C10,Tech_Specs!$C10,(AB$194-Sys_Repl_Rate!AB82)),0),IF($G$194:$AF$194&lt;=AB$194,System_Mkt_Repl!$F336:$AE336+System_Mkt_NC!$G336:$AF336)))=0,AA197,SUMPRODUCT(IF($G$194:$AF$194&gt;=ROUND(IF((AB$194-Sys_Repl_Rate!AB82)&lt;Tech_Specs!$C10,Tech_Specs!$C10,(AB$194-Sys_Repl_Rate!AB82)),0),IF($G$194:$AF$194&lt;=AB$194,$G123:$AF123)),System_Mkt_Repl!$F336:$AE336+System_Mkt_NC!$G336:$AF336)/SUM(IF($G$194:$AF$194&gt;=ROUND(IF((AB$194-Sys_Repl_Rate!AB82)&lt;Tech_Specs!$C10,Tech_Specs!$C10,(AB$194-Sys_Repl_Rate!AB82)),0),IF($G$194:$AF$194&lt;=AB$194,System_Mkt_Repl!$F336:$AE336+System_Mkt_NC!$G336:$AF336)))))</f>
        <v>1</v>
      </c>
      <c r="AC197" s="373">
        <f t="array" aca="1" ref="AC197" ca="1">IF(AC$194=Misc_Inputs!$D$6,$G123,IF(SUM(IF($G$194:$AF$194&gt;=ROUND(IF((AC$194-Sys_Repl_Rate!AC82)&lt;Tech_Specs!$C10,Tech_Specs!$C10,(AC$194-Sys_Repl_Rate!AC82)),0),IF($G$194:$AF$194&lt;=AC$194,System_Mkt_Repl!$F336:$AE336+System_Mkt_NC!$G336:$AF336)))=0,AB197,SUMPRODUCT(IF($G$194:$AF$194&gt;=ROUND(IF((AC$194-Sys_Repl_Rate!AC82)&lt;Tech_Specs!$C10,Tech_Specs!$C10,(AC$194-Sys_Repl_Rate!AC82)),0),IF($G$194:$AF$194&lt;=AC$194,$G123:$AF123)),System_Mkt_Repl!$F336:$AE336+System_Mkt_NC!$G336:$AF336)/SUM(IF($G$194:$AF$194&gt;=ROUND(IF((AC$194-Sys_Repl_Rate!AC82)&lt;Tech_Specs!$C10,Tech_Specs!$C10,(AC$194-Sys_Repl_Rate!AC82)),0),IF($G$194:$AF$194&lt;=AC$194,System_Mkt_Repl!$F336:$AE336+System_Mkt_NC!$G336:$AF336)))))</f>
        <v>1</v>
      </c>
      <c r="AD197" s="373">
        <f t="array" aca="1" ref="AD197" ca="1">IF(AD$194=Misc_Inputs!$D$6,$G123,IF(SUM(IF($G$194:$AF$194&gt;=ROUND(IF((AD$194-Sys_Repl_Rate!AD82)&lt;Tech_Specs!$C10,Tech_Specs!$C10,(AD$194-Sys_Repl_Rate!AD82)),0),IF($G$194:$AF$194&lt;=AD$194,System_Mkt_Repl!$F336:$AE336+System_Mkt_NC!$G336:$AF336)))=0,AC197,SUMPRODUCT(IF($G$194:$AF$194&gt;=ROUND(IF((AD$194-Sys_Repl_Rate!AD82)&lt;Tech_Specs!$C10,Tech_Specs!$C10,(AD$194-Sys_Repl_Rate!AD82)),0),IF($G$194:$AF$194&lt;=AD$194,$G123:$AF123)),System_Mkt_Repl!$F336:$AE336+System_Mkt_NC!$G336:$AF336)/SUM(IF($G$194:$AF$194&gt;=ROUND(IF((AD$194-Sys_Repl_Rate!AD82)&lt;Tech_Specs!$C10,Tech_Specs!$C10,(AD$194-Sys_Repl_Rate!AD82)),0),IF($G$194:$AF$194&lt;=AD$194,System_Mkt_Repl!$F336:$AE336+System_Mkt_NC!$G336:$AF336)))))</f>
        <v>1</v>
      </c>
      <c r="AE197" s="373">
        <f t="array" aca="1" ref="AE197" ca="1">IF(AE$194=Misc_Inputs!$D$6,$G123,IF(SUM(IF($G$194:$AF$194&gt;=ROUND(IF((AE$194-Sys_Repl_Rate!AE82)&lt;Tech_Specs!$C10,Tech_Specs!$C10,(AE$194-Sys_Repl_Rate!AE82)),0),IF($G$194:$AF$194&lt;=AE$194,System_Mkt_Repl!$F336:$AE336+System_Mkt_NC!$G336:$AF336)))=0,AD197,SUMPRODUCT(IF($G$194:$AF$194&gt;=ROUND(IF((AE$194-Sys_Repl_Rate!AE82)&lt;Tech_Specs!$C10,Tech_Specs!$C10,(AE$194-Sys_Repl_Rate!AE82)),0),IF($G$194:$AF$194&lt;=AE$194,$G123:$AF123)),System_Mkt_Repl!$F336:$AE336+System_Mkt_NC!$G336:$AF336)/SUM(IF($G$194:$AF$194&gt;=ROUND(IF((AE$194-Sys_Repl_Rate!AE82)&lt;Tech_Specs!$C10,Tech_Specs!$C10,(AE$194-Sys_Repl_Rate!AE82)),0),IF($G$194:$AF$194&lt;=AE$194,System_Mkt_Repl!$F336:$AE336+System_Mkt_NC!$G336:$AF336)))))</f>
        <v>1</v>
      </c>
      <c r="AF197" s="373">
        <f t="array" aca="1" ref="AF197" ca="1">IF(AF$194=Misc_Inputs!$D$6,$G123,IF(SUM(IF($G$194:$AF$194&gt;=ROUND(IF((AF$194-Sys_Repl_Rate!AF82)&lt;Tech_Specs!$C10,Tech_Specs!$C10,(AF$194-Sys_Repl_Rate!AF82)),0),IF($G$194:$AF$194&lt;=AF$194,System_Mkt_Repl!$F336:$AE336+System_Mkt_NC!$G336:$AF336)))=0,AE197,SUMPRODUCT(IF($G$194:$AF$194&gt;=ROUND(IF((AF$194-Sys_Repl_Rate!AF82)&lt;Tech_Specs!$C10,Tech_Specs!$C10,(AF$194-Sys_Repl_Rate!AF82)),0),IF($G$194:$AF$194&lt;=AF$194,$G123:$AF123)),System_Mkt_Repl!$F336:$AE336+System_Mkt_NC!$G336:$AF336)/SUM(IF($G$194:$AF$194&gt;=ROUND(IF((AF$194-Sys_Repl_Rate!AF82)&lt;Tech_Specs!$C10,Tech_Specs!$C10,(AF$194-Sys_Repl_Rate!AF82)),0),IF($G$194:$AF$194&lt;=AF$194,System_Mkt_Repl!$F336:$AE336+System_Mkt_NC!$G336:$AF336)))))</f>
        <v>1</v>
      </c>
    </row>
    <row r="198" spans="1:32" s="282" customFormat="1" ht="12.75" x14ac:dyDescent="0.2">
      <c r="A198" s="278"/>
      <c r="B198" s="278" t="s">
        <v>27</v>
      </c>
      <c r="C198" s="278"/>
      <c r="D198" s="550"/>
      <c r="E198" s="550"/>
      <c r="F198" s="550"/>
      <c r="G198" s="373">
        <f t="array" ref="G198">IF(G$194=Misc_Inputs!$D$6,$G124,IF(SUM(IF($G$194:$AF$194&gt;=ROUND(IF((G$194-Sys_Repl_Rate!G83)&lt;Tech_Specs!$C11,Tech_Specs!$C11,(G$194-Sys_Repl_Rate!G83)),0),IF($G$194:$AF$194&lt;=G$194,System_Mkt_Repl!$F337:$AE337+System_Mkt_NC!$G337:$AF337)))=0,C198,SUMPRODUCT(IF($G$194:$AF$194&gt;=ROUND(IF((G$194-Sys_Repl_Rate!G83)&lt;Tech_Specs!$C11,Tech_Specs!$C11,(G$194-Sys_Repl_Rate!G83)),0),IF($G$194:$AF$194&lt;=G$194,$G124:$AF124)),System_Mkt_Repl!$F337:$AE337+System_Mkt_NC!$G337:$AF337)/SUM(IF($G$194:$AF$194&gt;=ROUND(IF((G$194-Sys_Repl_Rate!G83)&lt;Tech_Specs!$C11,Tech_Specs!$C11,(G$194-Sys_Repl_Rate!G83)),0),IF($G$194:$AF$194&lt;=G$194,System_Mkt_Repl!$F337:$AE337+System_Mkt_NC!$G337:$AF337)))))</f>
        <v>1</v>
      </c>
      <c r="H198" s="373">
        <f t="array" aca="1" ref="H198" ca="1">IF(H$194=Misc_Inputs!$D$6,$G124,IF(SUM(IF($G$194:$AF$194&gt;=ROUND(IF((H$194-Sys_Repl_Rate!H83)&lt;Tech_Specs!$C11,Tech_Specs!$C11,(H$194-Sys_Repl_Rate!H83)),0),IF($G$194:$AF$194&lt;=H$194,System_Mkt_Repl!$F337:$AE337+System_Mkt_NC!$G337:$AF337)))=0,G198,SUMPRODUCT(IF($G$194:$AF$194&gt;=ROUND(IF((H$194-Sys_Repl_Rate!H83)&lt;Tech_Specs!$C11,Tech_Specs!$C11,(H$194-Sys_Repl_Rate!H83)),0),IF($G$194:$AF$194&lt;=H$194,$G124:$AF124)),System_Mkt_Repl!$F337:$AE337+System_Mkt_NC!$G337:$AF337)/SUM(IF($G$194:$AF$194&gt;=ROUND(IF((H$194-Sys_Repl_Rate!H83)&lt;Tech_Specs!$C11,Tech_Specs!$C11,(H$194-Sys_Repl_Rate!H83)),0),IF($G$194:$AF$194&lt;=H$194,System_Mkt_Repl!$F337:$AE337+System_Mkt_NC!$G337:$AF337)))))</f>
        <v>1</v>
      </c>
      <c r="I198" s="373">
        <f t="array" aca="1" ref="I198" ca="1">IF(I$194=Misc_Inputs!$D$6,$G124,IF(SUM(IF($G$194:$AF$194&gt;=ROUND(IF((I$194-Sys_Repl_Rate!I83)&lt;Tech_Specs!$C11,Tech_Specs!$C11,(I$194-Sys_Repl_Rate!I83)),0),IF($G$194:$AF$194&lt;=I$194,System_Mkt_Repl!$F337:$AE337+System_Mkt_NC!$G337:$AF337)))=0,H198,SUMPRODUCT(IF($G$194:$AF$194&gt;=ROUND(IF((I$194-Sys_Repl_Rate!I83)&lt;Tech_Specs!$C11,Tech_Specs!$C11,(I$194-Sys_Repl_Rate!I83)),0),IF($G$194:$AF$194&lt;=I$194,$G124:$AF124)),System_Mkt_Repl!$F337:$AE337+System_Mkt_NC!$G337:$AF337)/SUM(IF($G$194:$AF$194&gt;=ROUND(IF((I$194-Sys_Repl_Rate!I83)&lt;Tech_Specs!$C11,Tech_Specs!$C11,(I$194-Sys_Repl_Rate!I83)),0),IF($G$194:$AF$194&lt;=I$194,System_Mkt_Repl!$F337:$AE337+System_Mkt_NC!$G337:$AF337)))))</f>
        <v>1</v>
      </c>
      <c r="J198" s="373">
        <f t="array" aca="1" ref="J198" ca="1">IF(J$194=Misc_Inputs!$D$6,$G124,IF(SUM(IF($G$194:$AF$194&gt;=ROUND(IF((J$194-Sys_Repl_Rate!J83)&lt;Tech_Specs!$C11,Tech_Specs!$C11,(J$194-Sys_Repl_Rate!J83)),0),IF($G$194:$AF$194&lt;=J$194,System_Mkt_Repl!$F337:$AE337+System_Mkt_NC!$G337:$AF337)))=0,I198,SUMPRODUCT(IF($G$194:$AF$194&gt;=ROUND(IF((J$194-Sys_Repl_Rate!J83)&lt;Tech_Specs!$C11,Tech_Specs!$C11,(J$194-Sys_Repl_Rate!J83)),0),IF($G$194:$AF$194&lt;=J$194,$G124:$AF124)),System_Mkt_Repl!$F337:$AE337+System_Mkt_NC!$G337:$AF337)/SUM(IF($G$194:$AF$194&gt;=ROUND(IF((J$194-Sys_Repl_Rate!J83)&lt;Tech_Specs!$C11,Tech_Specs!$C11,(J$194-Sys_Repl_Rate!J83)),0),IF($G$194:$AF$194&lt;=J$194,System_Mkt_Repl!$F337:$AE337+System_Mkt_NC!$G337:$AF337)))))</f>
        <v>1</v>
      </c>
      <c r="K198" s="373">
        <f t="array" aca="1" ref="K198" ca="1">IF(K$194=Misc_Inputs!$D$6,$G124,IF(SUM(IF($G$194:$AF$194&gt;=ROUND(IF((K$194-Sys_Repl_Rate!K83)&lt;Tech_Specs!$C11,Tech_Specs!$C11,(K$194-Sys_Repl_Rate!K83)),0),IF($G$194:$AF$194&lt;=K$194,System_Mkt_Repl!$F337:$AE337+System_Mkt_NC!$G337:$AF337)))=0,J198,SUMPRODUCT(IF($G$194:$AF$194&gt;=ROUND(IF((K$194-Sys_Repl_Rate!K83)&lt;Tech_Specs!$C11,Tech_Specs!$C11,(K$194-Sys_Repl_Rate!K83)),0),IF($G$194:$AF$194&lt;=K$194,$G124:$AF124)),System_Mkt_Repl!$F337:$AE337+System_Mkt_NC!$G337:$AF337)/SUM(IF($G$194:$AF$194&gt;=ROUND(IF((K$194-Sys_Repl_Rate!K83)&lt;Tech_Specs!$C11,Tech_Specs!$C11,(K$194-Sys_Repl_Rate!K83)),0),IF($G$194:$AF$194&lt;=K$194,System_Mkt_Repl!$F337:$AE337+System_Mkt_NC!$G337:$AF337)))))</f>
        <v>1</v>
      </c>
      <c r="L198" s="373">
        <f t="array" aca="1" ref="L198" ca="1">IF(L$194=Misc_Inputs!$D$6,$G124,IF(SUM(IF($G$194:$AF$194&gt;=ROUND(IF((L$194-Sys_Repl_Rate!L83)&lt;Tech_Specs!$C11,Tech_Specs!$C11,(L$194-Sys_Repl_Rate!L83)),0),IF($G$194:$AF$194&lt;=L$194,System_Mkt_Repl!$F337:$AE337+System_Mkt_NC!$G337:$AF337)))=0,K198,SUMPRODUCT(IF($G$194:$AF$194&gt;=ROUND(IF((L$194-Sys_Repl_Rate!L83)&lt;Tech_Specs!$C11,Tech_Specs!$C11,(L$194-Sys_Repl_Rate!L83)),0),IF($G$194:$AF$194&lt;=L$194,$G124:$AF124)),System_Mkt_Repl!$F337:$AE337+System_Mkt_NC!$G337:$AF337)/SUM(IF($G$194:$AF$194&gt;=ROUND(IF((L$194-Sys_Repl_Rate!L83)&lt;Tech_Specs!$C11,Tech_Specs!$C11,(L$194-Sys_Repl_Rate!L83)),0),IF($G$194:$AF$194&lt;=L$194,System_Mkt_Repl!$F337:$AE337+System_Mkt_NC!$G337:$AF337)))))</f>
        <v>1</v>
      </c>
      <c r="M198" s="373">
        <f t="array" aca="1" ref="M198" ca="1">IF(M$194=Misc_Inputs!$D$6,$G124,IF(SUM(IF($G$194:$AF$194&gt;=ROUND(IF((M$194-Sys_Repl_Rate!M83)&lt;Tech_Specs!$C11,Tech_Specs!$C11,(M$194-Sys_Repl_Rate!M83)),0),IF($G$194:$AF$194&lt;=M$194,System_Mkt_Repl!$F337:$AE337+System_Mkt_NC!$G337:$AF337)))=0,L198,SUMPRODUCT(IF($G$194:$AF$194&gt;=ROUND(IF((M$194-Sys_Repl_Rate!M83)&lt;Tech_Specs!$C11,Tech_Specs!$C11,(M$194-Sys_Repl_Rate!M83)),0),IF($G$194:$AF$194&lt;=M$194,$G124:$AF124)),System_Mkt_Repl!$F337:$AE337+System_Mkt_NC!$G337:$AF337)/SUM(IF($G$194:$AF$194&gt;=ROUND(IF((M$194-Sys_Repl_Rate!M83)&lt;Tech_Specs!$C11,Tech_Specs!$C11,(M$194-Sys_Repl_Rate!M83)),0),IF($G$194:$AF$194&lt;=M$194,System_Mkt_Repl!$F337:$AE337+System_Mkt_NC!$G337:$AF337)))))</f>
        <v>1</v>
      </c>
      <c r="N198" s="373">
        <f t="array" aca="1" ref="N198" ca="1">IF(N$194=Misc_Inputs!$D$6,$G124,IF(SUM(IF($G$194:$AF$194&gt;=ROUND(IF((N$194-Sys_Repl_Rate!N83)&lt;Tech_Specs!$C11,Tech_Specs!$C11,(N$194-Sys_Repl_Rate!N83)),0),IF($G$194:$AF$194&lt;=N$194,System_Mkt_Repl!$F337:$AE337+System_Mkt_NC!$G337:$AF337)))=0,M198,SUMPRODUCT(IF($G$194:$AF$194&gt;=ROUND(IF((N$194-Sys_Repl_Rate!N83)&lt;Tech_Specs!$C11,Tech_Specs!$C11,(N$194-Sys_Repl_Rate!N83)),0),IF($G$194:$AF$194&lt;=N$194,$G124:$AF124)),System_Mkt_Repl!$F337:$AE337+System_Mkt_NC!$G337:$AF337)/SUM(IF($G$194:$AF$194&gt;=ROUND(IF((N$194-Sys_Repl_Rate!N83)&lt;Tech_Specs!$C11,Tech_Specs!$C11,(N$194-Sys_Repl_Rate!N83)),0),IF($G$194:$AF$194&lt;=N$194,System_Mkt_Repl!$F337:$AE337+System_Mkt_NC!$G337:$AF337)))))</f>
        <v>1</v>
      </c>
      <c r="O198" s="373">
        <f t="array" aca="1" ref="O198" ca="1">IF(O$194=Misc_Inputs!$D$6,$G124,IF(SUM(IF($G$194:$AF$194&gt;=ROUND(IF((O$194-Sys_Repl_Rate!O83)&lt;Tech_Specs!$C11,Tech_Specs!$C11,(O$194-Sys_Repl_Rate!O83)),0),IF($G$194:$AF$194&lt;=O$194,System_Mkt_Repl!$F337:$AE337+System_Mkt_NC!$G337:$AF337)))=0,N198,SUMPRODUCT(IF($G$194:$AF$194&gt;=ROUND(IF((O$194-Sys_Repl_Rate!O83)&lt;Tech_Specs!$C11,Tech_Specs!$C11,(O$194-Sys_Repl_Rate!O83)),0),IF($G$194:$AF$194&lt;=O$194,$G124:$AF124)),System_Mkt_Repl!$F337:$AE337+System_Mkt_NC!$G337:$AF337)/SUM(IF($G$194:$AF$194&gt;=ROUND(IF((O$194-Sys_Repl_Rate!O83)&lt;Tech_Specs!$C11,Tech_Specs!$C11,(O$194-Sys_Repl_Rate!O83)),0),IF($G$194:$AF$194&lt;=O$194,System_Mkt_Repl!$F337:$AE337+System_Mkt_NC!$G337:$AF337)))))</f>
        <v>1</v>
      </c>
      <c r="P198" s="373">
        <f t="array" aca="1" ref="P198" ca="1">IF(P$194=Misc_Inputs!$D$6,$G124,IF(SUM(IF($G$194:$AF$194&gt;=ROUND(IF((P$194-Sys_Repl_Rate!P83)&lt;Tech_Specs!$C11,Tech_Specs!$C11,(P$194-Sys_Repl_Rate!P83)),0),IF($G$194:$AF$194&lt;=P$194,System_Mkt_Repl!$F337:$AE337+System_Mkt_NC!$G337:$AF337)))=0,O198,SUMPRODUCT(IF($G$194:$AF$194&gt;=ROUND(IF((P$194-Sys_Repl_Rate!P83)&lt;Tech_Specs!$C11,Tech_Specs!$C11,(P$194-Sys_Repl_Rate!P83)),0),IF($G$194:$AF$194&lt;=P$194,$G124:$AF124)),System_Mkt_Repl!$F337:$AE337+System_Mkt_NC!$G337:$AF337)/SUM(IF($G$194:$AF$194&gt;=ROUND(IF((P$194-Sys_Repl_Rate!P83)&lt;Tech_Specs!$C11,Tech_Specs!$C11,(P$194-Sys_Repl_Rate!P83)),0),IF($G$194:$AF$194&lt;=P$194,System_Mkt_Repl!$F337:$AE337+System_Mkt_NC!$G337:$AF337)))))</f>
        <v>1</v>
      </c>
      <c r="Q198" s="373">
        <f t="array" aca="1" ref="Q198" ca="1">IF(Q$194=Misc_Inputs!$D$6,$G124,IF(SUM(IF($G$194:$AF$194&gt;=ROUND(IF((Q$194-Sys_Repl_Rate!Q83)&lt;Tech_Specs!$C11,Tech_Specs!$C11,(Q$194-Sys_Repl_Rate!Q83)),0),IF($G$194:$AF$194&lt;=Q$194,System_Mkt_Repl!$F337:$AE337+System_Mkt_NC!$G337:$AF337)))=0,P198,SUMPRODUCT(IF($G$194:$AF$194&gt;=ROUND(IF((Q$194-Sys_Repl_Rate!Q83)&lt;Tech_Specs!$C11,Tech_Specs!$C11,(Q$194-Sys_Repl_Rate!Q83)),0),IF($G$194:$AF$194&lt;=Q$194,$G124:$AF124)),System_Mkt_Repl!$F337:$AE337+System_Mkt_NC!$G337:$AF337)/SUM(IF($G$194:$AF$194&gt;=ROUND(IF((Q$194-Sys_Repl_Rate!Q83)&lt;Tech_Specs!$C11,Tech_Specs!$C11,(Q$194-Sys_Repl_Rate!Q83)),0),IF($G$194:$AF$194&lt;=Q$194,System_Mkt_Repl!$F337:$AE337+System_Mkt_NC!$G337:$AF337)))))</f>
        <v>1</v>
      </c>
      <c r="R198" s="373">
        <f t="array" aca="1" ref="R198" ca="1">IF(R$194=Misc_Inputs!$D$6,$G124,IF(SUM(IF($G$194:$AF$194&gt;=ROUND(IF((R$194-Sys_Repl_Rate!R83)&lt;Tech_Specs!$C11,Tech_Specs!$C11,(R$194-Sys_Repl_Rate!R83)),0),IF($G$194:$AF$194&lt;=R$194,System_Mkt_Repl!$F337:$AE337+System_Mkt_NC!$G337:$AF337)))=0,Q198,SUMPRODUCT(IF($G$194:$AF$194&gt;=ROUND(IF((R$194-Sys_Repl_Rate!R83)&lt;Tech_Specs!$C11,Tech_Specs!$C11,(R$194-Sys_Repl_Rate!R83)),0),IF($G$194:$AF$194&lt;=R$194,$G124:$AF124)),System_Mkt_Repl!$F337:$AE337+System_Mkt_NC!$G337:$AF337)/SUM(IF($G$194:$AF$194&gt;=ROUND(IF((R$194-Sys_Repl_Rate!R83)&lt;Tech_Specs!$C11,Tech_Specs!$C11,(R$194-Sys_Repl_Rate!R83)),0),IF($G$194:$AF$194&lt;=R$194,System_Mkt_Repl!$F337:$AE337+System_Mkt_NC!$G337:$AF337)))))</f>
        <v>1</v>
      </c>
      <c r="S198" s="373">
        <f t="array" aca="1" ref="S198" ca="1">IF(S$194=Misc_Inputs!$D$6,$G124,IF(SUM(IF($G$194:$AF$194&gt;=ROUND(IF((S$194-Sys_Repl_Rate!S83)&lt;Tech_Specs!$C11,Tech_Specs!$C11,(S$194-Sys_Repl_Rate!S83)),0),IF($G$194:$AF$194&lt;=S$194,System_Mkt_Repl!$F337:$AE337+System_Mkt_NC!$G337:$AF337)))=0,R198,SUMPRODUCT(IF($G$194:$AF$194&gt;=ROUND(IF((S$194-Sys_Repl_Rate!S83)&lt;Tech_Specs!$C11,Tech_Specs!$C11,(S$194-Sys_Repl_Rate!S83)),0),IF($G$194:$AF$194&lt;=S$194,$G124:$AF124)),System_Mkt_Repl!$F337:$AE337+System_Mkt_NC!$G337:$AF337)/SUM(IF($G$194:$AF$194&gt;=ROUND(IF((S$194-Sys_Repl_Rate!S83)&lt;Tech_Specs!$C11,Tech_Specs!$C11,(S$194-Sys_Repl_Rate!S83)),0),IF($G$194:$AF$194&lt;=S$194,System_Mkt_Repl!$F337:$AE337+System_Mkt_NC!$G337:$AF337)))))</f>
        <v>1</v>
      </c>
      <c r="T198" s="373">
        <f t="array" aca="1" ref="T198" ca="1">IF(T$194=Misc_Inputs!$D$6,$G124,IF(SUM(IF($G$194:$AF$194&gt;=ROUND(IF((T$194-Sys_Repl_Rate!T83)&lt;Tech_Specs!$C11,Tech_Specs!$C11,(T$194-Sys_Repl_Rate!T83)),0),IF($G$194:$AF$194&lt;=T$194,System_Mkt_Repl!$F337:$AE337+System_Mkt_NC!$G337:$AF337)))=0,S198,SUMPRODUCT(IF($G$194:$AF$194&gt;=ROUND(IF((T$194-Sys_Repl_Rate!T83)&lt;Tech_Specs!$C11,Tech_Specs!$C11,(T$194-Sys_Repl_Rate!T83)),0),IF($G$194:$AF$194&lt;=T$194,$G124:$AF124)),System_Mkt_Repl!$F337:$AE337+System_Mkt_NC!$G337:$AF337)/SUM(IF($G$194:$AF$194&gt;=ROUND(IF((T$194-Sys_Repl_Rate!T83)&lt;Tech_Specs!$C11,Tech_Specs!$C11,(T$194-Sys_Repl_Rate!T83)),0),IF($G$194:$AF$194&lt;=T$194,System_Mkt_Repl!$F337:$AE337+System_Mkt_NC!$G337:$AF337)))))</f>
        <v>1</v>
      </c>
      <c r="U198" s="373">
        <f t="array" aca="1" ref="U198" ca="1">IF(U$194=Misc_Inputs!$D$6,$G124,IF(SUM(IF($G$194:$AF$194&gt;=ROUND(IF((U$194-Sys_Repl_Rate!U83)&lt;Tech_Specs!$C11,Tech_Specs!$C11,(U$194-Sys_Repl_Rate!U83)),0),IF($G$194:$AF$194&lt;=U$194,System_Mkt_Repl!$F337:$AE337+System_Mkt_NC!$G337:$AF337)))=0,T198,SUMPRODUCT(IF($G$194:$AF$194&gt;=ROUND(IF((U$194-Sys_Repl_Rate!U83)&lt;Tech_Specs!$C11,Tech_Specs!$C11,(U$194-Sys_Repl_Rate!U83)),0),IF($G$194:$AF$194&lt;=U$194,$G124:$AF124)),System_Mkt_Repl!$F337:$AE337+System_Mkt_NC!$G337:$AF337)/SUM(IF($G$194:$AF$194&gt;=ROUND(IF((U$194-Sys_Repl_Rate!U83)&lt;Tech_Specs!$C11,Tech_Specs!$C11,(U$194-Sys_Repl_Rate!U83)),0),IF($G$194:$AF$194&lt;=U$194,System_Mkt_Repl!$F337:$AE337+System_Mkt_NC!$G337:$AF337)))))</f>
        <v>1</v>
      </c>
      <c r="V198" s="373">
        <f t="array" aca="1" ref="V198" ca="1">IF(V$194=Misc_Inputs!$D$6,$G124,IF(SUM(IF($G$194:$AF$194&gt;=ROUND(IF((V$194-Sys_Repl_Rate!V83)&lt;Tech_Specs!$C11,Tech_Specs!$C11,(V$194-Sys_Repl_Rate!V83)),0),IF($G$194:$AF$194&lt;=V$194,System_Mkt_Repl!$F337:$AE337+System_Mkt_NC!$G337:$AF337)))=0,U198,SUMPRODUCT(IF($G$194:$AF$194&gt;=ROUND(IF((V$194-Sys_Repl_Rate!V83)&lt;Tech_Specs!$C11,Tech_Specs!$C11,(V$194-Sys_Repl_Rate!V83)),0),IF($G$194:$AF$194&lt;=V$194,$G124:$AF124)),System_Mkt_Repl!$F337:$AE337+System_Mkt_NC!$G337:$AF337)/SUM(IF($G$194:$AF$194&gt;=ROUND(IF((V$194-Sys_Repl_Rate!V83)&lt;Tech_Specs!$C11,Tech_Specs!$C11,(V$194-Sys_Repl_Rate!V83)),0),IF($G$194:$AF$194&lt;=V$194,System_Mkt_Repl!$F337:$AE337+System_Mkt_NC!$G337:$AF337)))))</f>
        <v>1</v>
      </c>
      <c r="W198" s="373">
        <f t="array" aca="1" ref="W198" ca="1">IF(W$194=Misc_Inputs!$D$6,$G124,IF(SUM(IF($G$194:$AF$194&gt;=ROUND(IF((W$194-Sys_Repl_Rate!W83)&lt;Tech_Specs!$C11,Tech_Specs!$C11,(W$194-Sys_Repl_Rate!W83)),0),IF($G$194:$AF$194&lt;=W$194,System_Mkt_Repl!$F337:$AE337+System_Mkt_NC!$G337:$AF337)))=0,V198,SUMPRODUCT(IF($G$194:$AF$194&gt;=ROUND(IF((W$194-Sys_Repl_Rate!W83)&lt;Tech_Specs!$C11,Tech_Specs!$C11,(W$194-Sys_Repl_Rate!W83)),0),IF($G$194:$AF$194&lt;=W$194,$G124:$AF124)),System_Mkt_Repl!$F337:$AE337+System_Mkt_NC!$G337:$AF337)/SUM(IF($G$194:$AF$194&gt;=ROUND(IF((W$194-Sys_Repl_Rate!W83)&lt;Tech_Specs!$C11,Tech_Specs!$C11,(W$194-Sys_Repl_Rate!W83)),0),IF($G$194:$AF$194&lt;=W$194,System_Mkt_Repl!$F337:$AE337+System_Mkt_NC!$G337:$AF337)))))</f>
        <v>1</v>
      </c>
      <c r="X198" s="373">
        <f t="array" aca="1" ref="X198" ca="1">IF(X$194=Misc_Inputs!$D$6,$G124,IF(SUM(IF($G$194:$AF$194&gt;=ROUND(IF((X$194-Sys_Repl_Rate!X83)&lt;Tech_Specs!$C11,Tech_Specs!$C11,(X$194-Sys_Repl_Rate!X83)),0),IF($G$194:$AF$194&lt;=X$194,System_Mkt_Repl!$F337:$AE337+System_Mkt_NC!$G337:$AF337)))=0,W198,SUMPRODUCT(IF($G$194:$AF$194&gt;=ROUND(IF((X$194-Sys_Repl_Rate!X83)&lt;Tech_Specs!$C11,Tech_Specs!$C11,(X$194-Sys_Repl_Rate!X83)),0),IF($G$194:$AF$194&lt;=X$194,$G124:$AF124)),System_Mkt_Repl!$F337:$AE337+System_Mkt_NC!$G337:$AF337)/SUM(IF($G$194:$AF$194&gt;=ROUND(IF((X$194-Sys_Repl_Rate!X83)&lt;Tech_Specs!$C11,Tech_Specs!$C11,(X$194-Sys_Repl_Rate!X83)),0),IF($G$194:$AF$194&lt;=X$194,System_Mkt_Repl!$F337:$AE337+System_Mkt_NC!$G337:$AF337)))))</f>
        <v>1</v>
      </c>
      <c r="Y198" s="373">
        <f t="array" aca="1" ref="Y198" ca="1">IF(Y$194=Misc_Inputs!$D$6,$G124,IF(SUM(IF($G$194:$AF$194&gt;=ROUND(IF((Y$194-Sys_Repl_Rate!Y83)&lt;Tech_Specs!$C11,Tech_Specs!$C11,(Y$194-Sys_Repl_Rate!Y83)),0),IF($G$194:$AF$194&lt;=Y$194,System_Mkt_Repl!$F337:$AE337+System_Mkt_NC!$G337:$AF337)))=0,X198,SUMPRODUCT(IF($G$194:$AF$194&gt;=ROUND(IF((Y$194-Sys_Repl_Rate!Y83)&lt;Tech_Specs!$C11,Tech_Specs!$C11,(Y$194-Sys_Repl_Rate!Y83)),0),IF($G$194:$AF$194&lt;=Y$194,$G124:$AF124)),System_Mkt_Repl!$F337:$AE337+System_Mkt_NC!$G337:$AF337)/SUM(IF($G$194:$AF$194&gt;=ROUND(IF((Y$194-Sys_Repl_Rate!Y83)&lt;Tech_Specs!$C11,Tech_Specs!$C11,(Y$194-Sys_Repl_Rate!Y83)),0),IF($G$194:$AF$194&lt;=Y$194,System_Mkt_Repl!$F337:$AE337+System_Mkt_NC!$G337:$AF337)))))</f>
        <v>1</v>
      </c>
      <c r="Z198" s="373">
        <f t="array" aca="1" ref="Z198" ca="1">IF(Z$194=Misc_Inputs!$D$6,$G124,IF(SUM(IF($G$194:$AF$194&gt;=ROUND(IF((Z$194-Sys_Repl_Rate!Z83)&lt;Tech_Specs!$C11,Tech_Specs!$C11,(Z$194-Sys_Repl_Rate!Z83)),0),IF($G$194:$AF$194&lt;=Z$194,System_Mkt_Repl!$F337:$AE337+System_Mkt_NC!$G337:$AF337)))=0,Y198,SUMPRODUCT(IF($G$194:$AF$194&gt;=ROUND(IF((Z$194-Sys_Repl_Rate!Z83)&lt;Tech_Specs!$C11,Tech_Specs!$C11,(Z$194-Sys_Repl_Rate!Z83)),0),IF($G$194:$AF$194&lt;=Z$194,$G124:$AF124)),System_Mkt_Repl!$F337:$AE337+System_Mkt_NC!$G337:$AF337)/SUM(IF($G$194:$AF$194&gt;=ROUND(IF((Z$194-Sys_Repl_Rate!Z83)&lt;Tech_Specs!$C11,Tech_Specs!$C11,(Z$194-Sys_Repl_Rate!Z83)),0),IF($G$194:$AF$194&lt;=Z$194,System_Mkt_Repl!$F337:$AE337+System_Mkt_NC!$G337:$AF337)))))</f>
        <v>1</v>
      </c>
      <c r="AA198" s="373">
        <f t="array" aca="1" ref="AA198" ca="1">IF(AA$194=Misc_Inputs!$D$6,$G124,IF(SUM(IF($G$194:$AF$194&gt;=ROUND(IF((AA$194-Sys_Repl_Rate!AA83)&lt;Tech_Specs!$C11,Tech_Specs!$C11,(AA$194-Sys_Repl_Rate!AA83)),0),IF($G$194:$AF$194&lt;=AA$194,System_Mkt_Repl!$F337:$AE337+System_Mkt_NC!$G337:$AF337)))=0,Z198,SUMPRODUCT(IF($G$194:$AF$194&gt;=ROUND(IF((AA$194-Sys_Repl_Rate!AA83)&lt;Tech_Specs!$C11,Tech_Specs!$C11,(AA$194-Sys_Repl_Rate!AA83)),0),IF($G$194:$AF$194&lt;=AA$194,$G124:$AF124)),System_Mkt_Repl!$F337:$AE337+System_Mkt_NC!$G337:$AF337)/SUM(IF($G$194:$AF$194&gt;=ROUND(IF((AA$194-Sys_Repl_Rate!AA83)&lt;Tech_Specs!$C11,Tech_Specs!$C11,(AA$194-Sys_Repl_Rate!AA83)),0),IF($G$194:$AF$194&lt;=AA$194,System_Mkt_Repl!$F337:$AE337+System_Mkt_NC!$G337:$AF337)))))</f>
        <v>1</v>
      </c>
      <c r="AB198" s="373">
        <f t="array" aca="1" ref="AB198" ca="1">IF(AB$194=Misc_Inputs!$D$6,$G124,IF(SUM(IF($G$194:$AF$194&gt;=ROUND(IF((AB$194-Sys_Repl_Rate!AB83)&lt;Tech_Specs!$C11,Tech_Specs!$C11,(AB$194-Sys_Repl_Rate!AB83)),0),IF($G$194:$AF$194&lt;=AB$194,System_Mkt_Repl!$F337:$AE337+System_Mkt_NC!$G337:$AF337)))=0,AA198,SUMPRODUCT(IF($G$194:$AF$194&gt;=ROUND(IF((AB$194-Sys_Repl_Rate!AB83)&lt;Tech_Specs!$C11,Tech_Specs!$C11,(AB$194-Sys_Repl_Rate!AB83)),0),IF($G$194:$AF$194&lt;=AB$194,$G124:$AF124)),System_Mkt_Repl!$F337:$AE337+System_Mkt_NC!$G337:$AF337)/SUM(IF($G$194:$AF$194&gt;=ROUND(IF((AB$194-Sys_Repl_Rate!AB83)&lt;Tech_Specs!$C11,Tech_Specs!$C11,(AB$194-Sys_Repl_Rate!AB83)),0),IF($G$194:$AF$194&lt;=AB$194,System_Mkt_Repl!$F337:$AE337+System_Mkt_NC!$G337:$AF337)))))</f>
        <v>1</v>
      </c>
      <c r="AC198" s="373">
        <f t="array" aca="1" ref="AC198" ca="1">IF(AC$194=Misc_Inputs!$D$6,$G124,IF(SUM(IF($G$194:$AF$194&gt;=ROUND(IF((AC$194-Sys_Repl_Rate!AC83)&lt;Tech_Specs!$C11,Tech_Specs!$C11,(AC$194-Sys_Repl_Rate!AC83)),0),IF($G$194:$AF$194&lt;=AC$194,System_Mkt_Repl!$F337:$AE337+System_Mkt_NC!$G337:$AF337)))=0,AB198,SUMPRODUCT(IF($G$194:$AF$194&gt;=ROUND(IF((AC$194-Sys_Repl_Rate!AC83)&lt;Tech_Specs!$C11,Tech_Specs!$C11,(AC$194-Sys_Repl_Rate!AC83)),0),IF($G$194:$AF$194&lt;=AC$194,$G124:$AF124)),System_Mkt_Repl!$F337:$AE337+System_Mkt_NC!$G337:$AF337)/SUM(IF($G$194:$AF$194&gt;=ROUND(IF((AC$194-Sys_Repl_Rate!AC83)&lt;Tech_Specs!$C11,Tech_Specs!$C11,(AC$194-Sys_Repl_Rate!AC83)),0),IF($G$194:$AF$194&lt;=AC$194,System_Mkt_Repl!$F337:$AE337+System_Mkt_NC!$G337:$AF337)))))</f>
        <v>1</v>
      </c>
      <c r="AD198" s="373">
        <f t="array" aca="1" ref="AD198" ca="1">IF(AD$194=Misc_Inputs!$D$6,$G124,IF(SUM(IF($G$194:$AF$194&gt;=ROUND(IF((AD$194-Sys_Repl_Rate!AD83)&lt;Tech_Specs!$C11,Tech_Specs!$C11,(AD$194-Sys_Repl_Rate!AD83)),0),IF($G$194:$AF$194&lt;=AD$194,System_Mkt_Repl!$F337:$AE337+System_Mkt_NC!$G337:$AF337)))=0,AC198,SUMPRODUCT(IF($G$194:$AF$194&gt;=ROUND(IF((AD$194-Sys_Repl_Rate!AD83)&lt;Tech_Specs!$C11,Tech_Specs!$C11,(AD$194-Sys_Repl_Rate!AD83)),0),IF($G$194:$AF$194&lt;=AD$194,$G124:$AF124)),System_Mkt_Repl!$F337:$AE337+System_Mkt_NC!$G337:$AF337)/SUM(IF($G$194:$AF$194&gt;=ROUND(IF((AD$194-Sys_Repl_Rate!AD83)&lt;Tech_Specs!$C11,Tech_Specs!$C11,(AD$194-Sys_Repl_Rate!AD83)),0),IF($G$194:$AF$194&lt;=AD$194,System_Mkt_Repl!$F337:$AE337+System_Mkt_NC!$G337:$AF337)))))</f>
        <v>1</v>
      </c>
      <c r="AE198" s="373">
        <f t="array" aca="1" ref="AE198" ca="1">IF(AE$194=Misc_Inputs!$D$6,$G124,IF(SUM(IF($G$194:$AF$194&gt;=ROUND(IF((AE$194-Sys_Repl_Rate!AE83)&lt;Tech_Specs!$C11,Tech_Specs!$C11,(AE$194-Sys_Repl_Rate!AE83)),0),IF($G$194:$AF$194&lt;=AE$194,System_Mkt_Repl!$F337:$AE337+System_Mkt_NC!$G337:$AF337)))=0,AD198,SUMPRODUCT(IF($G$194:$AF$194&gt;=ROUND(IF((AE$194-Sys_Repl_Rate!AE83)&lt;Tech_Specs!$C11,Tech_Specs!$C11,(AE$194-Sys_Repl_Rate!AE83)),0),IF($G$194:$AF$194&lt;=AE$194,$G124:$AF124)),System_Mkt_Repl!$F337:$AE337+System_Mkt_NC!$G337:$AF337)/SUM(IF($G$194:$AF$194&gt;=ROUND(IF((AE$194-Sys_Repl_Rate!AE83)&lt;Tech_Specs!$C11,Tech_Specs!$C11,(AE$194-Sys_Repl_Rate!AE83)),0),IF($G$194:$AF$194&lt;=AE$194,System_Mkt_Repl!$F337:$AE337+System_Mkt_NC!$G337:$AF337)))))</f>
        <v>1</v>
      </c>
      <c r="AF198" s="373">
        <f t="array" aca="1" ref="AF198" ca="1">IF(AF$194=Misc_Inputs!$D$6,$G124,IF(SUM(IF($G$194:$AF$194&gt;=ROUND(IF((AF$194-Sys_Repl_Rate!AF83)&lt;Tech_Specs!$C11,Tech_Specs!$C11,(AF$194-Sys_Repl_Rate!AF83)),0),IF($G$194:$AF$194&lt;=AF$194,System_Mkt_Repl!$F337:$AE337+System_Mkt_NC!$G337:$AF337)))=0,AE198,SUMPRODUCT(IF($G$194:$AF$194&gt;=ROUND(IF((AF$194-Sys_Repl_Rate!AF83)&lt;Tech_Specs!$C11,Tech_Specs!$C11,(AF$194-Sys_Repl_Rate!AF83)),0),IF($G$194:$AF$194&lt;=AF$194,$G124:$AF124)),System_Mkt_Repl!$F337:$AE337+System_Mkt_NC!$G337:$AF337)/SUM(IF($G$194:$AF$194&gt;=ROUND(IF((AF$194-Sys_Repl_Rate!AF83)&lt;Tech_Specs!$C11,Tech_Specs!$C11,(AF$194-Sys_Repl_Rate!AF83)),0),IF($G$194:$AF$194&lt;=AF$194,System_Mkt_Repl!$F337:$AE337+System_Mkt_NC!$G337:$AF337)))))</f>
        <v>1</v>
      </c>
    </row>
    <row r="199" spans="1:32" s="282" customFormat="1" ht="12.75" x14ac:dyDescent="0.2">
      <c r="A199" s="278"/>
      <c r="B199" s="278" t="s">
        <v>29</v>
      </c>
      <c r="C199" s="278"/>
      <c r="D199" s="550"/>
      <c r="E199" s="550"/>
      <c r="F199" s="550"/>
      <c r="G199" s="373">
        <f t="array" ref="G199">IF(G$194=Misc_Inputs!$D$6,$G125,IF(SUM(IF($G$194:$AF$194&gt;=ROUND(IF((G$194-Sys_Repl_Rate!G84)&lt;Tech_Specs!$C12,Tech_Specs!$C12,(G$194-Sys_Repl_Rate!G84)),0),IF($G$194:$AF$194&lt;=G$194,System_Mkt_Repl!$F338:$AE338+System_Mkt_NC!$G338:$AF338)))=0,C199,SUMPRODUCT(IF($G$194:$AF$194&gt;=ROUND(IF((G$194-Sys_Repl_Rate!G84)&lt;Tech_Specs!$C12,Tech_Specs!$C12,(G$194-Sys_Repl_Rate!G84)),0),IF($G$194:$AF$194&lt;=G$194,$G125:$AF125)),System_Mkt_Repl!$F338:$AE338+System_Mkt_NC!$G338:$AF338)/SUM(IF($G$194:$AF$194&gt;=ROUND(IF((G$194-Sys_Repl_Rate!G84)&lt;Tech_Specs!$C12,Tech_Specs!$C12,(G$194-Sys_Repl_Rate!G84)),0),IF($G$194:$AF$194&lt;=G$194,System_Mkt_Repl!$F338:$AE338+System_Mkt_NC!$G338:$AF338)))))</f>
        <v>1</v>
      </c>
      <c r="H199" s="373">
        <f t="array" aca="1" ref="H199" ca="1">IF(H$194=Misc_Inputs!$D$6,$G125,IF(SUM(IF($G$194:$AF$194&gt;=ROUND(IF((H$194-Sys_Repl_Rate!H84)&lt;Tech_Specs!$C12,Tech_Specs!$C12,(H$194-Sys_Repl_Rate!H84)),0),IF($G$194:$AF$194&lt;=H$194,System_Mkt_Repl!$F338:$AE338+System_Mkt_NC!$G338:$AF338)))=0,G199,SUMPRODUCT(IF($G$194:$AF$194&gt;=ROUND(IF((H$194-Sys_Repl_Rate!H84)&lt;Tech_Specs!$C12,Tech_Specs!$C12,(H$194-Sys_Repl_Rate!H84)),0),IF($G$194:$AF$194&lt;=H$194,$G125:$AF125)),System_Mkt_Repl!$F338:$AE338+System_Mkt_NC!$G338:$AF338)/SUM(IF($G$194:$AF$194&gt;=ROUND(IF((H$194-Sys_Repl_Rate!H84)&lt;Tech_Specs!$C12,Tech_Specs!$C12,(H$194-Sys_Repl_Rate!H84)),0),IF($G$194:$AF$194&lt;=H$194,System_Mkt_Repl!$F338:$AE338+System_Mkt_NC!$G338:$AF338)))))</f>
        <v>1</v>
      </c>
      <c r="I199" s="373">
        <f t="array" aca="1" ref="I199" ca="1">IF(I$194=Misc_Inputs!$D$6,$G125,IF(SUM(IF($G$194:$AF$194&gt;=ROUND(IF((I$194-Sys_Repl_Rate!I84)&lt;Tech_Specs!$C12,Tech_Specs!$C12,(I$194-Sys_Repl_Rate!I84)),0),IF($G$194:$AF$194&lt;=I$194,System_Mkt_Repl!$F338:$AE338+System_Mkt_NC!$G338:$AF338)))=0,H199,SUMPRODUCT(IF($G$194:$AF$194&gt;=ROUND(IF((I$194-Sys_Repl_Rate!I84)&lt;Tech_Specs!$C12,Tech_Specs!$C12,(I$194-Sys_Repl_Rate!I84)),0),IF($G$194:$AF$194&lt;=I$194,$G125:$AF125)),System_Mkt_Repl!$F338:$AE338+System_Mkt_NC!$G338:$AF338)/SUM(IF($G$194:$AF$194&gt;=ROUND(IF((I$194-Sys_Repl_Rate!I84)&lt;Tech_Specs!$C12,Tech_Specs!$C12,(I$194-Sys_Repl_Rate!I84)),0),IF($G$194:$AF$194&lt;=I$194,System_Mkt_Repl!$F338:$AE338+System_Mkt_NC!$G338:$AF338)))))</f>
        <v>1</v>
      </c>
      <c r="J199" s="373">
        <f t="array" aca="1" ref="J199" ca="1">IF(J$194=Misc_Inputs!$D$6,$G125,IF(SUM(IF($G$194:$AF$194&gt;=ROUND(IF((J$194-Sys_Repl_Rate!J84)&lt;Tech_Specs!$C12,Tech_Specs!$C12,(J$194-Sys_Repl_Rate!J84)),0),IF($G$194:$AF$194&lt;=J$194,System_Mkt_Repl!$F338:$AE338+System_Mkt_NC!$G338:$AF338)))=0,I199,SUMPRODUCT(IF($G$194:$AF$194&gt;=ROUND(IF((J$194-Sys_Repl_Rate!J84)&lt;Tech_Specs!$C12,Tech_Specs!$C12,(J$194-Sys_Repl_Rate!J84)),0),IF($G$194:$AF$194&lt;=J$194,$G125:$AF125)),System_Mkt_Repl!$F338:$AE338+System_Mkt_NC!$G338:$AF338)/SUM(IF($G$194:$AF$194&gt;=ROUND(IF((J$194-Sys_Repl_Rate!J84)&lt;Tech_Specs!$C12,Tech_Specs!$C12,(J$194-Sys_Repl_Rate!J84)),0),IF($G$194:$AF$194&lt;=J$194,System_Mkt_Repl!$F338:$AE338+System_Mkt_NC!$G338:$AF338)))))</f>
        <v>1</v>
      </c>
      <c r="K199" s="373">
        <f t="array" aca="1" ref="K199" ca="1">IF(K$194=Misc_Inputs!$D$6,$G125,IF(SUM(IF($G$194:$AF$194&gt;=ROUND(IF((K$194-Sys_Repl_Rate!K84)&lt;Tech_Specs!$C12,Tech_Specs!$C12,(K$194-Sys_Repl_Rate!K84)),0),IF($G$194:$AF$194&lt;=K$194,System_Mkt_Repl!$F338:$AE338+System_Mkt_NC!$G338:$AF338)))=0,J199,SUMPRODUCT(IF($G$194:$AF$194&gt;=ROUND(IF((K$194-Sys_Repl_Rate!K84)&lt;Tech_Specs!$C12,Tech_Specs!$C12,(K$194-Sys_Repl_Rate!K84)),0),IF($G$194:$AF$194&lt;=K$194,$G125:$AF125)),System_Mkt_Repl!$F338:$AE338+System_Mkt_NC!$G338:$AF338)/SUM(IF($G$194:$AF$194&gt;=ROUND(IF((K$194-Sys_Repl_Rate!K84)&lt;Tech_Specs!$C12,Tech_Specs!$C12,(K$194-Sys_Repl_Rate!K84)),0),IF($G$194:$AF$194&lt;=K$194,System_Mkt_Repl!$F338:$AE338+System_Mkt_NC!$G338:$AF338)))))</f>
        <v>1</v>
      </c>
      <c r="L199" s="373">
        <f t="array" aca="1" ref="L199" ca="1">IF(L$194=Misc_Inputs!$D$6,$G125,IF(SUM(IF($G$194:$AF$194&gt;=ROUND(IF((L$194-Sys_Repl_Rate!L84)&lt;Tech_Specs!$C12,Tech_Specs!$C12,(L$194-Sys_Repl_Rate!L84)),0),IF($G$194:$AF$194&lt;=L$194,System_Mkt_Repl!$F338:$AE338+System_Mkt_NC!$G338:$AF338)))=0,K199,SUMPRODUCT(IF($G$194:$AF$194&gt;=ROUND(IF((L$194-Sys_Repl_Rate!L84)&lt;Tech_Specs!$C12,Tech_Specs!$C12,(L$194-Sys_Repl_Rate!L84)),0),IF($G$194:$AF$194&lt;=L$194,$G125:$AF125)),System_Mkt_Repl!$F338:$AE338+System_Mkt_NC!$G338:$AF338)/SUM(IF($G$194:$AF$194&gt;=ROUND(IF((L$194-Sys_Repl_Rate!L84)&lt;Tech_Specs!$C12,Tech_Specs!$C12,(L$194-Sys_Repl_Rate!L84)),0),IF($G$194:$AF$194&lt;=L$194,System_Mkt_Repl!$F338:$AE338+System_Mkt_NC!$G338:$AF338)))))</f>
        <v>1</v>
      </c>
      <c r="M199" s="373">
        <f t="array" aca="1" ref="M199" ca="1">IF(M$194=Misc_Inputs!$D$6,$G125,IF(SUM(IF($G$194:$AF$194&gt;=ROUND(IF((M$194-Sys_Repl_Rate!M84)&lt;Tech_Specs!$C12,Tech_Specs!$C12,(M$194-Sys_Repl_Rate!M84)),0),IF($G$194:$AF$194&lt;=M$194,System_Mkt_Repl!$F338:$AE338+System_Mkt_NC!$G338:$AF338)))=0,L199,SUMPRODUCT(IF($G$194:$AF$194&gt;=ROUND(IF((M$194-Sys_Repl_Rate!M84)&lt;Tech_Specs!$C12,Tech_Specs!$C12,(M$194-Sys_Repl_Rate!M84)),0),IF($G$194:$AF$194&lt;=M$194,$G125:$AF125)),System_Mkt_Repl!$F338:$AE338+System_Mkt_NC!$G338:$AF338)/SUM(IF($G$194:$AF$194&gt;=ROUND(IF((M$194-Sys_Repl_Rate!M84)&lt;Tech_Specs!$C12,Tech_Specs!$C12,(M$194-Sys_Repl_Rate!M84)),0),IF($G$194:$AF$194&lt;=M$194,System_Mkt_Repl!$F338:$AE338+System_Mkt_NC!$G338:$AF338)))))</f>
        <v>1</v>
      </c>
      <c r="N199" s="373">
        <f t="array" aca="1" ref="N199" ca="1">IF(N$194=Misc_Inputs!$D$6,$G125,IF(SUM(IF($G$194:$AF$194&gt;=ROUND(IF((N$194-Sys_Repl_Rate!N84)&lt;Tech_Specs!$C12,Tech_Specs!$C12,(N$194-Sys_Repl_Rate!N84)),0),IF($G$194:$AF$194&lt;=N$194,System_Mkt_Repl!$F338:$AE338+System_Mkt_NC!$G338:$AF338)))=0,M199,SUMPRODUCT(IF($G$194:$AF$194&gt;=ROUND(IF((N$194-Sys_Repl_Rate!N84)&lt;Tech_Specs!$C12,Tech_Specs!$C12,(N$194-Sys_Repl_Rate!N84)),0),IF($G$194:$AF$194&lt;=N$194,$G125:$AF125)),System_Mkt_Repl!$F338:$AE338+System_Mkt_NC!$G338:$AF338)/SUM(IF($G$194:$AF$194&gt;=ROUND(IF((N$194-Sys_Repl_Rate!N84)&lt;Tech_Specs!$C12,Tech_Specs!$C12,(N$194-Sys_Repl_Rate!N84)),0),IF($G$194:$AF$194&lt;=N$194,System_Mkt_Repl!$F338:$AE338+System_Mkt_NC!$G338:$AF338)))))</f>
        <v>1</v>
      </c>
      <c r="O199" s="373">
        <f t="array" aca="1" ref="O199" ca="1">IF(O$194=Misc_Inputs!$D$6,$G125,IF(SUM(IF($G$194:$AF$194&gt;=ROUND(IF((O$194-Sys_Repl_Rate!O84)&lt;Tech_Specs!$C12,Tech_Specs!$C12,(O$194-Sys_Repl_Rate!O84)),0),IF($G$194:$AF$194&lt;=O$194,System_Mkt_Repl!$F338:$AE338+System_Mkt_NC!$G338:$AF338)))=0,N199,SUMPRODUCT(IF($G$194:$AF$194&gt;=ROUND(IF((O$194-Sys_Repl_Rate!O84)&lt;Tech_Specs!$C12,Tech_Specs!$C12,(O$194-Sys_Repl_Rate!O84)),0),IF($G$194:$AF$194&lt;=O$194,$G125:$AF125)),System_Mkt_Repl!$F338:$AE338+System_Mkt_NC!$G338:$AF338)/SUM(IF($G$194:$AF$194&gt;=ROUND(IF((O$194-Sys_Repl_Rate!O84)&lt;Tech_Specs!$C12,Tech_Specs!$C12,(O$194-Sys_Repl_Rate!O84)),0),IF($G$194:$AF$194&lt;=O$194,System_Mkt_Repl!$F338:$AE338+System_Mkt_NC!$G338:$AF338)))))</f>
        <v>1</v>
      </c>
      <c r="P199" s="373">
        <f t="array" aca="1" ref="P199" ca="1">IF(P$194=Misc_Inputs!$D$6,$G125,IF(SUM(IF($G$194:$AF$194&gt;=ROUND(IF((P$194-Sys_Repl_Rate!P84)&lt;Tech_Specs!$C12,Tech_Specs!$C12,(P$194-Sys_Repl_Rate!P84)),0),IF($G$194:$AF$194&lt;=P$194,System_Mkt_Repl!$F338:$AE338+System_Mkt_NC!$G338:$AF338)))=0,O199,SUMPRODUCT(IF($G$194:$AF$194&gt;=ROUND(IF((P$194-Sys_Repl_Rate!P84)&lt;Tech_Specs!$C12,Tech_Specs!$C12,(P$194-Sys_Repl_Rate!P84)),0),IF($G$194:$AF$194&lt;=P$194,$G125:$AF125)),System_Mkt_Repl!$F338:$AE338+System_Mkt_NC!$G338:$AF338)/SUM(IF($G$194:$AF$194&gt;=ROUND(IF((P$194-Sys_Repl_Rate!P84)&lt;Tech_Specs!$C12,Tech_Specs!$C12,(P$194-Sys_Repl_Rate!P84)),0),IF($G$194:$AF$194&lt;=P$194,System_Mkt_Repl!$F338:$AE338+System_Mkt_NC!$G338:$AF338)))))</f>
        <v>1</v>
      </c>
      <c r="Q199" s="373">
        <f t="array" aca="1" ref="Q199" ca="1">IF(Q$194=Misc_Inputs!$D$6,$G125,IF(SUM(IF($G$194:$AF$194&gt;=ROUND(IF((Q$194-Sys_Repl_Rate!Q84)&lt;Tech_Specs!$C12,Tech_Specs!$C12,(Q$194-Sys_Repl_Rate!Q84)),0),IF($G$194:$AF$194&lt;=Q$194,System_Mkt_Repl!$F338:$AE338+System_Mkt_NC!$G338:$AF338)))=0,P199,SUMPRODUCT(IF($G$194:$AF$194&gt;=ROUND(IF((Q$194-Sys_Repl_Rate!Q84)&lt;Tech_Specs!$C12,Tech_Specs!$C12,(Q$194-Sys_Repl_Rate!Q84)),0),IF($G$194:$AF$194&lt;=Q$194,$G125:$AF125)),System_Mkt_Repl!$F338:$AE338+System_Mkt_NC!$G338:$AF338)/SUM(IF($G$194:$AF$194&gt;=ROUND(IF((Q$194-Sys_Repl_Rate!Q84)&lt;Tech_Specs!$C12,Tech_Specs!$C12,(Q$194-Sys_Repl_Rate!Q84)),0),IF($G$194:$AF$194&lt;=Q$194,System_Mkt_Repl!$F338:$AE338+System_Mkt_NC!$G338:$AF338)))))</f>
        <v>1</v>
      </c>
      <c r="R199" s="373">
        <f t="array" aca="1" ref="R199" ca="1">IF(R$194=Misc_Inputs!$D$6,$G125,IF(SUM(IF($G$194:$AF$194&gt;=ROUND(IF((R$194-Sys_Repl_Rate!R84)&lt;Tech_Specs!$C12,Tech_Specs!$C12,(R$194-Sys_Repl_Rate!R84)),0),IF($G$194:$AF$194&lt;=R$194,System_Mkt_Repl!$F338:$AE338+System_Mkt_NC!$G338:$AF338)))=0,Q199,SUMPRODUCT(IF($G$194:$AF$194&gt;=ROUND(IF((R$194-Sys_Repl_Rate!R84)&lt;Tech_Specs!$C12,Tech_Specs!$C12,(R$194-Sys_Repl_Rate!R84)),0),IF($G$194:$AF$194&lt;=R$194,$G125:$AF125)),System_Mkt_Repl!$F338:$AE338+System_Mkt_NC!$G338:$AF338)/SUM(IF($G$194:$AF$194&gt;=ROUND(IF((R$194-Sys_Repl_Rate!R84)&lt;Tech_Specs!$C12,Tech_Specs!$C12,(R$194-Sys_Repl_Rate!R84)),0),IF($G$194:$AF$194&lt;=R$194,System_Mkt_Repl!$F338:$AE338+System_Mkt_NC!$G338:$AF338)))))</f>
        <v>1</v>
      </c>
      <c r="S199" s="373">
        <f t="array" aca="1" ref="S199" ca="1">IF(S$194=Misc_Inputs!$D$6,$G125,IF(SUM(IF($G$194:$AF$194&gt;=ROUND(IF((S$194-Sys_Repl_Rate!S84)&lt;Tech_Specs!$C12,Tech_Specs!$C12,(S$194-Sys_Repl_Rate!S84)),0),IF($G$194:$AF$194&lt;=S$194,System_Mkt_Repl!$F338:$AE338+System_Mkt_NC!$G338:$AF338)))=0,R199,SUMPRODUCT(IF($G$194:$AF$194&gt;=ROUND(IF((S$194-Sys_Repl_Rate!S84)&lt;Tech_Specs!$C12,Tech_Specs!$C12,(S$194-Sys_Repl_Rate!S84)),0),IF($G$194:$AF$194&lt;=S$194,$G125:$AF125)),System_Mkt_Repl!$F338:$AE338+System_Mkt_NC!$G338:$AF338)/SUM(IF($G$194:$AF$194&gt;=ROUND(IF((S$194-Sys_Repl_Rate!S84)&lt;Tech_Specs!$C12,Tech_Specs!$C12,(S$194-Sys_Repl_Rate!S84)),0),IF($G$194:$AF$194&lt;=S$194,System_Mkt_Repl!$F338:$AE338+System_Mkt_NC!$G338:$AF338)))))</f>
        <v>1</v>
      </c>
      <c r="T199" s="373">
        <f t="array" aca="1" ref="T199" ca="1">IF(T$194=Misc_Inputs!$D$6,$G125,IF(SUM(IF($G$194:$AF$194&gt;=ROUND(IF((T$194-Sys_Repl_Rate!T84)&lt;Tech_Specs!$C12,Tech_Specs!$C12,(T$194-Sys_Repl_Rate!T84)),0),IF($G$194:$AF$194&lt;=T$194,System_Mkt_Repl!$F338:$AE338+System_Mkt_NC!$G338:$AF338)))=0,S199,SUMPRODUCT(IF($G$194:$AF$194&gt;=ROUND(IF((T$194-Sys_Repl_Rate!T84)&lt;Tech_Specs!$C12,Tech_Specs!$C12,(T$194-Sys_Repl_Rate!T84)),0),IF($G$194:$AF$194&lt;=T$194,$G125:$AF125)),System_Mkt_Repl!$F338:$AE338+System_Mkt_NC!$G338:$AF338)/SUM(IF($G$194:$AF$194&gt;=ROUND(IF((T$194-Sys_Repl_Rate!T84)&lt;Tech_Specs!$C12,Tech_Specs!$C12,(T$194-Sys_Repl_Rate!T84)),0),IF($G$194:$AF$194&lt;=T$194,System_Mkt_Repl!$F338:$AE338+System_Mkt_NC!$G338:$AF338)))))</f>
        <v>1</v>
      </c>
      <c r="U199" s="373">
        <f t="array" aca="1" ref="U199" ca="1">IF(U$194=Misc_Inputs!$D$6,$G125,IF(SUM(IF($G$194:$AF$194&gt;=ROUND(IF((U$194-Sys_Repl_Rate!U84)&lt;Tech_Specs!$C12,Tech_Specs!$C12,(U$194-Sys_Repl_Rate!U84)),0),IF($G$194:$AF$194&lt;=U$194,System_Mkt_Repl!$F338:$AE338+System_Mkt_NC!$G338:$AF338)))=0,T199,SUMPRODUCT(IF($G$194:$AF$194&gt;=ROUND(IF((U$194-Sys_Repl_Rate!U84)&lt;Tech_Specs!$C12,Tech_Specs!$C12,(U$194-Sys_Repl_Rate!U84)),0),IF($G$194:$AF$194&lt;=U$194,$G125:$AF125)),System_Mkt_Repl!$F338:$AE338+System_Mkt_NC!$G338:$AF338)/SUM(IF($G$194:$AF$194&gt;=ROUND(IF((U$194-Sys_Repl_Rate!U84)&lt;Tech_Specs!$C12,Tech_Specs!$C12,(U$194-Sys_Repl_Rate!U84)),0),IF($G$194:$AF$194&lt;=U$194,System_Mkt_Repl!$F338:$AE338+System_Mkt_NC!$G338:$AF338)))))</f>
        <v>1</v>
      </c>
      <c r="V199" s="373">
        <f t="array" aca="1" ref="V199" ca="1">IF(V$194=Misc_Inputs!$D$6,$G125,IF(SUM(IF($G$194:$AF$194&gt;=ROUND(IF((V$194-Sys_Repl_Rate!V84)&lt;Tech_Specs!$C12,Tech_Specs!$C12,(V$194-Sys_Repl_Rate!V84)),0),IF($G$194:$AF$194&lt;=V$194,System_Mkt_Repl!$F338:$AE338+System_Mkt_NC!$G338:$AF338)))=0,U199,SUMPRODUCT(IF($G$194:$AF$194&gt;=ROUND(IF((V$194-Sys_Repl_Rate!V84)&lt;Tech_Specs!$C12,Tech_Specs!$C12,(V$194-Sys_Repl_Rate!V84)),0),IF($G$194:$AF$194&lt;=V$194,$G125:$AF125)),System_Mkt_Repl!$F338:$AE338+System_Mkt_NC!$G338:$AF338)/SUM(IF($G$194:$AF$194&gt;=ROUND(IF((V$194-Sys_Repl_Rate!V84)&lt;Tech_Specs!$C12,Tech_Specs!$C12,(V$194-Sys_Repl_Rate!V84)),0),IF($G$194:$AF$194&lt;=V$194,System_Mkt_Repl!$F338:$AE338+System_Mkt_NC!$G338:$AF338)))))</f>
        <v>1</v>
      </c>
      <c r="W199" s="373">
        <f t="array" aca="1" ref="W199" ca="1">IF(W$194=Misc_Inputs!$D$6,$G125,IF(SUM(IF($G$194:$AF$194&gt;=ROUND(IF((W$194-Sys_Repl_Rate!W84)&lt;Tech_Specs!$C12,Tech_Specs!$C12,(W$194-Sys_Repl_Rate!W84)),0),IF($G$194:$AF$194&lt;=W$194,System_Mkt_Repl!$F338:$AE338+System_Mkt_NC!$G338:$AF338)))=0,V199,SUMPRODUCT(IF($G$194:$AF$194&gt;=ROUND(IF((W$194-Sys_Repl_Rate!W84)&lt;Tech_Specs!$C12,Tech_Specs!$C12,(W$194-Sys_Repl_Rate!W84)),0),IF($G$194:$AF$194&lt;=W$194,$G125:$AF125)),System_Mkt_Repl!$F338:$AE338+System_Mkt_NC!$G338:$AF338)/SUM(IF($G$194:$AF$194&gt;=ROUND(IF((W$194-Sys_Repl_Rate!W84)&lt;Tech_Specs!$C12,Tech_Specs!$C12,(W$194-Sys_Repl_Rate!W84)),0),IF($G$194:$AF$194&lt;=W$194,System_Mkt_Repl!$F338:$AE338+System_Mkt_NC!$G338:$AF338)))))</f>
        <v>1</v>
      </c>
      <c r="X199" s="373">
        <f t="array" aca="1" ref="X199" ca="1">IF(X$194=Misc_Inputs!$D$6,$G125,IF(SUM(IF($G$194:$AF$194&gt;=ROUND(IF((X$194-Sys_Repl_Rate!X84)&lt;Tech_Specs!$C12,Tech_Specs!$C12,(X$194-Sys_Repl_Rate!X84)),0),IF($G$194:$AF$194&lt;=X$194,System_Mkt_Repl!$F338:$AE338+System_Mkt_NC!$G338:$AF338)))=0,W199,SUMPRODUCT(IF($G$194:$AF$194&gt;=ROUND(IF((X$194-Sys_Repl_Rate!X84)&lt;Tech_Specs!$C12,Tech_Specs!$C12,(X$194-Sys_Repl_Rate!X84)),0),IF($G$194:$AF$194&lt;=X$194,$G125:$AF125)),System_Mkt_Repl!$F338:$AE338+System_Mkt_NC!$G338:$AF338)/SUM(IF($G$194:$AF$194&gt;=ROUND(IF((X$194-Sys_Repl_Rate!X84)&lt;Tech_Specs!$C12,Tech_Specs!$C12,(X$194-Sys_Repl_Rate!X84)),0),IF($G$194:$AF$194&lt;=X$194,System_Mkt_Repl!$F338:$AE338+System_Mkt_NC!$G338:$AF338)))))</f>
        <v>1</v>
      </c>
      <c r="Y199" s="373">
        <f t="array" aca="1" ref="Y199" ca="1">IF(Y$194=Misc_Inputs!$D$6,$G125,IF(SUM(IF($G$194:$AF$194&gt;=ROUND(IF((Y$194-Sys_Repl_Rate!Y84)&lt;Tech_Specs!$C12,Tech_Specs!$C12,(Y$194-Sys_Repl_Rate!Y84)),0),IF($G$194:$AF$194&lt;=Y$194,System_Mkt_Repl!$F338:$AE338+System_Mkt_NC!$G338:$AF338)))=0,X199,SUMPRODUCT(IF($G$194:$AF$194&gt;=ROUND(IF((Y$194-Sys_Repl_Rate!Y84)&lt;Tech_Specs!$C12,Tech_Specs!$C12,(Y$194-Sys_Repl_Rate!Y84)),0),IF($G$194:$AF$194&lt;=Y$194,$G125:$AF125)),System_Mkt_Repl!$F338:$AE338+System_Mkt_NC!$G338:$AF338)/SUM(IF($G$194:$AF$194&gt;=ROUND(IF((Y$194-Sys_Repl_Rate!Y84)&lt;Tech_Specs!$C12,Tech_Specs!$C12,(Y$194-Sys_Repl_Rate!Y84)),0),IF($G$194:$AF$194&lt;=Y$194,System_Mkt_Repl!$F338:$AE338+System_Mkt_NC!$G338:$AF338)))))</f>
        <v>1</v>
      </c>
      <c r="Z199" s="373">
        <f t="array" aca="1" ref="Z199" ca="1">IF(Z$194=Misc_Inputs!$D$6,$G125,IF(SUM(IF($G$194:$AF$194&gt;=ROUND(IF((Z$194-Sys_Repl_Rate!Z84)&lt;Tech_Specs!$C12,Tech_Specs!$C12,(Z$194-Sys_Repl_Rate!Z84)),0),IF($G$194:$AF$194&lt;=Z$194,System_Mkt_Repl!$F338:$AE338+System_Mkt_NC!$G338:$AF338)))=0,Y199,SUMPRODUCT(IF($G$194:$AF$194&gt;=ROUND(IF((Z$194-Sys_Repl_Rate!Z84)&lt;Tech_Specs!$C12,Tech_Specs!$C12,(Z$194-Sys_Repl_Rate!Z84)),0),IF($G$194:$AF$194&lt;=Z$194,$G125:$AF125)),System_Mkt_Repl!$F338:$AE338+System_Mkt_NC!$G338:$AF338)/SUM(IF($G$194:$AF$194&gt;=ROUND(IF((Z$194-Sys_Repl_Rate!Z84)&lt;Tech_Specs!$C12,Tech_Specs!$C12,(Z$194-Sys_Repl_Rate!Z84)),0),IF($G$194:$AF$194&lt;=Z$194,System_Mkt_Repl!$F338:$AE338+System_Mkt_NC!$G338:$AF338)))))</f>
        <v>1</v>
      </c>
      <c r="AA199" s="373">
        <f t="array" aca="1" ref="AA199" ca="1">IF(AA$194=Misc_Inputs!$D$6,$G125,IF(SUM(IF($G$194:$AF$194&gt;=ROUND(IF((AA$194-Sys_Repl_Rate!AA84)&lt;Tech_Specs!$C12,Tech_Specs!$C12,(AA$194-Sys_Repl_Rate!AA84)),0),IF($G$194:$AF$194&lt;=AA$194,System_Mkt_Repl!$F338:$AE338+System_Mkt_NC!$G338:$AF338)))=0,Z199,SUMPRODUCT(IF($G$194:$AF$194&gt;=ROUND(IF((AA$194-Sys_Repl_Rate!AA84)&lt;Tech_Specs!$C12,Tech_Specs!$C12,(AA$194-Sys_Repl_Rate!AA84)),0),IF($G$194:$AF$194&lt;=AA$194,$G125:$AF125)),System_Mkt_Repl!$F338:$AE338+System_Mkt_NC!$G338:$AF338)/SUM(IF($G$194:$AF$194&gt;=ROUND(IF((AA$194-Sys_Repl_Rate!AA84)&lt;Tech_Specs!$C12,Tech_Specs!$C12,(AA$194-Sys_Repl_Rate!AA84)),0),IF($G$194:$AF$194&lt;=AA$194,System_Mkt_Repl!$F338:$AE338+System_Mkt_NC!$G338:$AF338)))))</f>
        <v>1</v>
      </c>
      <c r="AB199" s="373">
        <f t="array" aca="1" ref="AB199" ca="1">IF(AB$194=Misc_Inputs!$D$6,$G125,IF(SUM(IF($G$194:$AF$194&gt;=ROUND(IF((AB$194-Sys_Repl_Rate!AB84)&lt;Tech_Specs!$C12,Tech_Specs!$C12,(AB$194-Sys_Repl_Rate!AB84)),0),IF($G$194:$AF$194&lt;=AB$194,System_Mkt_Repl!$F338:$AE338+System_Mkt_NC!$G338:$AF338)))=0,AA199,SUMPRODUCT(IF($G$194:$AF$194&gt;=ROUND(IF((AB$194-Sys_Repl_Rate!AB84)&lt;Tech_Specs!$C12,Tech_Specs!$C12,(AB$194-Sys_Repl_Rate!AB84)),0),IF($G$194:$AF$194&lt;=AB$194,$G125:$AF125)),System_Mkt_Repl!$F338:$AE338+System_Mkt_NC!$G338:$AF338)/SUM(IF($G$194:$AF$194&gt;=ROUND(IF((AB$194-Sys_Repl_Rate!AB84)&lt;Tech_Specs!$C12,Tech_Specs!$C12,(AB$194-Sys_Repl_Rate!AB84)),0),IF($G$194:$AF$194&lt;=AB$194,System_Mkt_Repl!$F338:$AE338+System_Mkt_NC!$G338:$AF338)))))</f>
        <v>1</v>
      </c>
      <c r="AC199" s="373">
        <f t="array" aca="1" ref="AC199" ca="1">IF(AC$194=Misc_Inputs!$D$6,$G125,IF(SUM(IF($G$194:$AF$194&gt;=ROUND(IF((AC$194-Sys_Repl_Rate!AC84)&lt;Tech_Specs!$C12,Tech_Specs!$C12,(AC$194-Sys_Repl_Rate!AC84)),0),IF($G$194:$AF$194&lt;=AC$194,System_Mkt_Repl!$F338:$AE338+System_Mkt_NC!$G338:$AF338)))=0,AB199,SUMPRODUCT(IF($G$194:$AF$194&gt;=ROUND(IF((AC$194-Sys_Repl_Rate!AC84)&lt;Tech_Specs!$C12,Tech_Specs!$C12,(AC$194-Sys_Repl_Rate!AC84)),0),IF($G$194:$AF$194&lt;=AC$194,$G125:$AF125)),System_Mkt_Repl!$F338:$AE338+System_Mkt_NC!$G338:$AF338)/SUM(IF($G$194:$AF$194&gt;=ROUND(IF((AC$194-Sys_Repl_Rate!AC84)&lt;Tech_Specs!$C12,Tech_Specs!$C12,(AC$194-Sys_Repl_Rate!AC84)),0),IF($G$194:$AF$194&lt;=AC$194,System_Mkt_Repl!$F338:$AE338+System_Mkt_NC!$G338:$AF338)))))</f>
        <v>1</v>
      </c>
      <c r="AD199" s="373">
        <f t="array" aca="1" ref="AD199" ca="1">IF(AD$194=Misc_Inputs!$D$6,$G125,IF(SUM(IF($G$194:$AF$194&gt;=ROUND(IF((AD$194-Sys_Repl_Rate!AD84)&lt;Tech_Specs!$C12,Tech_Specs!$C12,(AD$194-Sys_Repl_Rate!AD84)),0),IF($G$194:$AF$194&lt;=AD$194,System_Mkt_Repl!$F338:$AE338+System_Mkt_NC!$G338:$AF338)))=0,AC199,SUMPRODUCT(IF($G$194:$AF$194&gt;=ROUND(IF((AD$194-Sys_Repl_Rate!AD84)&lt;Tech_Specs!$C12,Tech_Specs!$C12,(AD$194-Sys_Repl_Rate!AD84)),0),IF($G$194:$AF$194&lt;=AD$194,$G125:$AF125)),System_Mkt_Repl!$F338:$AE338+System_Mkt_NC!$G338:$AF338)/SUM(IF($G$194:$AF$194&gt;=ROUND(IF((AD$194-Sys_Repl_Rate!AD84)&lt;Tech_Specs!$C12,Tech_Specs!$C12,(AD$194-Sys_Repl_Rate!AD84)),0),IF($G$194:$AF$194&lt;=AD$194,System_Mkt_Repl!$F338:$AE338+System_Mkt_NC!$G338:$AF338)))))</f>
        <v>1</v>
      </c>
      <c r="AE199" s="373">
        <f t="array" aca="1" ref="AE199" ca="1">IF(AE$194=Misc_Inputs!$D$6,$G125,IF(SUM(IF($G$194:$AF$194&gt;=ROUND(IF((AE$194-Sys_Repl_Rate!AE84)&lt;Tech_Specs!$C12,Tech_Specs!$C12,(AE$194-Sys_Repl_Rate!AE84)),0),IF($G$194:$AF$194&lt;=AE$194,System_Mkt_Repl!$F338:$AE338+System_Mkt_NC!$G338:$AF338)))=0,AD199,SUMPRODUCT(IF($G$194:$AF$194&gt;=ROUND(IF((AE$194-Sys_Repl_Rate!AE84)&lt;Tech_Specs!$C12,Tech_Specs!$C12,(AE$194-Sys_Repl_Rate!AE84)),0),IF($G$194:$AF$194&lt;=AE$194,$G125:$AF125)),System_Mkt_Repl!$F338:$AE338+System_Mkt_NC!$G338:$AF338)/SUM(IF($G$194:$AF$194&gt;=ROUND(IF((AE$194-Sys_Repl_Rate!AE84)&lt;Tech_Specs!$C12,Tech_Specs!$C12,(AE$194-Sys_Repl_Rate!AE84)),0),IF($G$194:$AF$194&lt;=AE$194,System_Mkt_Repl!$F338:$AE338+System_Mkt_NC!$G338:$AF338)))))</f>
        <v>1</v>
      </c>
      <c r="AF199" s="373">
        <f t="array" aca="1" ref="AF199" ca="1">IF(AF$194=Misc_Inputs!$D$6,$G125,IF(SUM(IF($G$194:$AF$194&gt;=ROUND(IF((AF$194-Sys_Repl_Rate!AF84)&lt;Tech_Specs!$C12,Tech_Specs!$C12,(AF$194-Sys_Repl_Rate!AF84)),0),IF($G$194:$AF$194&lt;=AF$194,System_Mkt_Repl!$F338:$AE338+System_Mkt_NC!$G338:$AF338)))=0,AE199,SUMPRODUCT(IF($G$194:$AF$194&gt;=ROUND(IF((AF$194-Sys_Repl_Rate!AF84)&lt;Tech_Specs!$C12,Tech_Specs!$C12,(AF$194-Sys_Repl_Rate!AF84)),0),IF($G$194:$AF$194&lt;=AF$194,$G125:$AF125)),System_Mkt_Repl!$F338:$AE338+System_Mkt_NC!$G338:$AF338)/SUM(IF($G$194:$AF$194&gt;=ROUND(IF((AF$194-Sys_Repl_Rate!AF84)&lt;Tech_Specs!$C12,Tech_Specs!$C12,(AF$194-Sys_Repl_Rate!AF84)),0),IF($G$194:$AF$194&lt;=AF$194,System_Mkt_Repl!$F338:$AE338+System_Mkt_NC!$G338:$AF338)))))</f>
        <v>1</v>
      </c>
    </row>
    <row r="200" spans="1:32" s="282" customFormat="1" ht="12.75" x14ac:dyDescent="0.2">
      <c r="A200" s="278"/>
      <c r="B200" s="278"/>
      <c r="C200" s="278"/>
      <c r="D200" s="550"/>
      <c r="E200" s="550"/>
      <c r="F200" s="550"/>
      <c r="G200" s="284"/>
      <c r="H200" s="284"/>
      <c r="I200" s="284"/>
      <c r="J200" s="284"/>
      <c r="K200" s="284"/>
      <c r="L200" s="284"/>
      <c r="M200" s="284"/>
      <c r="N200" s="284"/>
      <c r="O200" s="284"/>
      <c r="P200" s="284"/>
      <c r="Q200" s="284"/>
      <c r="R200" s="284"/>
      <c r="S200" s="284"/>
      <c r="T200" s="284"/>
      <c r="U200" s="284"/>
      <c r="V200" s="284"/>
      <c r="W200" s="284"/>
      <c r="X200" s="284"/>
      <c r="Y200" s="284"/>
      <c r="Z200" s="284"/>
      <c r="AA200" s="284"/>
      <c r="AB200" s="284"/>
      <c r="AC200" s="284"/>
      <c r="AD200" s="284"/>
      <c r="AE200" s="284"/>
      <c r="AF200" s="284"/>
    </row>
    <row r="201" spans="1:32" s="282" customFormat="1" ht="12.75" x14ac:dyDescent="0.2">
      <c r="A201" s="281" t="s">
        <v>32</v>
      </c>
      <c r="B201" s="280"/>
      <c r="C201" s="280"/>
      <c r="D201" s="501"/>
      <c r="E201" s="501"/>
      <c r="F201" s="501"/>
      <c r="G201" s="292"/>
      <c r="H201" s="280"/>
      <c r="I201" s="280"/>
      <c r="J201" s="280"/>
      <c r="K201" s="280"/>
      <c r="L201" s="280"/>
      <c r="M201" s="280"/>
      <c r="N201" s="280"/>
      <c r="O201" s="280"/>
      <c r="P201" s="280"/>
      <c r="Q201" s="280"/>
      <c r="R201" s="280"/>
      <c r="S201" s="280"/>
      <c r="T201" s="280"/>
      <c r="U201" s="280"/>
      <c r="V201" s="280"/>
      <c r="W201" s="280"/>
      <c r="X201" s="280"/>
      <c r="Y201" s="280"/>
      <c r="Z201" s="280"/>
      <c r="AA201" s="280"/>
      <c r="AB201" s="280"/>
      <c r="AC201" s="280"/>
      <c r="AD201" s="280"/>
      <c r="AE201" s="280"/>
      <c r="AF201" s="280"/>
    </row>
    <row r="202" spans="1:32" s="282" customFormat="1" ht="12.75" x14ac:dyDescent="0.2">
      <c r="A202" s="278"/>
      <c r="B202" s="278" t="s">
        <v>33</v>
      </c>
      <c r="C202" s="278"/>
      <c r="D202" s="550"/>
      <c r="E202" s="550"/>
      <c r="F202" s="550"/>
      <c r="G202" s="373">
        <f t="array" ref="G202">IF(G$194=Misc_Inputs!$D$6,$G128,IF(SUM(IF($G$194:$AF$194&gt;=ROUND(IF((G$194-Sys_Repl_Rate!G87)&lt;Tech_Specs!$C15,Tech_Specs!$C15,(G$194-Sys_Repl_Rate!G87)),0),IF($G$194:$AF$194&lt;=G$194,System_Mkt_Repl!$F341:$AE341+System_Mkt_NC!$G341:$AF341)))=0,C202,SUMPRODUCT(IF($G$194:$AF$194&gt;=ROUND(IF((G$194-Sys_Repl_Rate!G87)&lt;Tech_Specs!$C15,Tech_Specs!$C15,(G$194-Sys_Repl_Rate!G87)),0),IF($G$194:$AF$194&lt;=G$194,$G128:$AF128)),System_Mkt_Repl!$F341:$AE341+System_Mkt_NC!$G341:$AF341)/SUM(IF($G$194:$AF$194&gt;=ROUND(IF((G$194-Sys_Repl_Rate!G87)&lt;Tech_Specs!$C15,Tech_Specs!$C15,(G$194-Sys_Repl_Rate!G87)),0),IF($G$194:$AF$194&lt;=G$194,System_Mkt_Repl!$F341:$AE341+System_Mkt_NC!$G341:$AF341)))))</f>
        <v>1</v>
      </c>
      <c r="H202" s="373">
        <f t="array" ref="H202">IF(H$194=Misc_Inputs!$D$6,$G128,IF(SUM(IF($G$194:$AF$194&gt;=ROUND(IF((H$194-Sys_Repl_Rate!H87)&lt;Tech_Specs!$C15,Tech_Specs!$C15,(H$194-Sys_Repl_Rate!H87)),0),IF($G$194:$AF$194&lt;=H$194,System_Mkt_Repl!$F341:$AE341+System_Mkt_NC!$G341:$AF341)))=0,G202,SUMPRODUCT(IF($G$194:$AF$194&gt;=ROUND(IF((H$194-Sys_Repl_Rate!H87)&lt;Tech_Specs!$C15,Tech_Specs!$C15,(H$194-Sys_Repl_Rate!H87)),0),IF($G$194:$AF$194&lt;=H$194,$G128:$AF128)),System_Mkt_Repl!$F341:$AE341+System_Mkt_NC!$G341:$AF341)/SUM(IF($G$194:$AF$194&gt;=ROUND(IF((H$194-Sys_Repl_Rate!H87)&lt;Tech_Specs!$C15,Tech_Specs!$C15,(H$194-Sys_Repl_Rate!H87)),0),IF($G$194:$AF$194&lt;=H$194,System_Mkt_Repl!$F341:$AE341+System_Mkt_NC!$G341:$AF341)))))</f>
        <v>1</v>
      </c>
      <c r="I202" s="373">
        <f t="array" ref="I202">IF(I$194=Misc_Inputs!$D$6,$G128,IF(SUM(IF($G$194:$AF$194&gt;=ROUND(IF((I$194-Sys_Repl_Rate!I87)&lt;Tech_Specs!$C15,Tech_Specs!$C15,(I$194-Sys_Repl_Rate!I87)),0),IF($G$194:$AF$194&lt;=I$194,System_Mkt_Repl!$F341:$AE341+System_Mkt_NC!$G341:$AF341)))=0,H202,SUMPRODUCT(IF($G$194:$AF$194&gt;=ROUND(IF((I$194-Sys_Repl_Rate!I87)&lt;Tech_Specs!$C15,Tech_Specs!$C15,(I$194-Sys_Repl_Rate!I87)),0),IF($G$194:$AF$194&lt;=I$194,$G128:$AF128)),System_Mkt_Repl!$F341:$AE341+System_Mkt_NC!$G341:$AF341)/SUM(IF($G$194:$AF$194&gt;=ROUND(IF((I$194-Sys_Repl_Rate!I87)&lt;Tech_Specs!$C15,Tech_Specs!$C15,(I$194-Sys_Repl_Rate!I87)),0),IF($G$194:$AF$194&lt;=I$194,System_Mkt_Repl!$F341:$AE341+System_Mkt_NC!$G341:$AF341)))))</f>
        <v>1</v>
      </c>
      <c r="J202" s="373">
        <f t="array" ref="J202">IF(J$194=Misc_Inputs!$D$6,$G128,IF(SUM(IF($G$194:$AF$194&gt;=ROUND(IF((J$194-Sys_Repl_Rate!J87)&lt;Tech_Specs!$C15,Tech_Specs!$C15,(J$194-Sys_Repl_Rate!J87)),0),IF($G$194:$AF$194&lt;=J$194,System_Mkt_Repl!$F341:$AE341+System_Mkt_NC!$G341:$AF341)))=0,I202,SUMPRODUCT(IF($G$194:$AF$194&gt;=ROUND(IF((J$194-Sys_Repl_Rate!J87)&lt;Tech_Specs!$C15,Tech_Specs!$C15,(J$194-Sys_Repl_Rate!J87)),0),IF($G$194:$AF$194&lt;=J$194,$G128:$AF128)),System_Mkt_Repl!$F341:$AE341+System_Mkt_NC!$G341:$AF341)/SUM(IF($G$194:$AF$194&gt;=ROUND(IF((J$194-Sys_Repl_Rate!J87)&lt;Tech_Specs!$C15,Tech_Specs!$C15,(J$194-Sys_Repl_Rate!J87)),0),IF($G$194:$AF$194&lt;=J$194,System_Mkt_Repl!$F341:$AE341+System_Mkt_NC!$G341:$AF341)))))</f>
        <v>1</v>
      </c>
      <c r="K202" s="373">
        <f t="array" ref="K202">IF(K$194=Misc_Inputs!$D$6,$G128,IF(SUM(IF($G$194:$AF$194&gt;=ROUND(IF((K$194-Sys_Repl_Rate!K87)&lt;Tech_Specs!$C15,Tech_Specs!$C15,(K$194-Sys_Repl_Rate!K87)),0),IF($G$194:$AF$194&lt;=K$194,System_Mkt_Repl!$F341:$AE341+System_Mkt_NC!$G341:$AF341)))=0,J202,SUMPRODUCT(IF($G$194:$AF$194&gt;=ROUND(IF((K$194-Sys_Repl_Rate!K87)&lt;Tech_Specs!$C15,Tech_Specs!$C15,(K$194-Sys_Repl_Rate!K87)),0),IF($G$194:$AF$194&lt;=K$194,$G128:$AF128)),System_Mkt_Repl!$F341:$AE341+System_Mkt_NC!$G341:$AF341)/SUM(IF($G$194:$AF$194&gt;=ROUND(IF((K$194-Sys_Repl_Rate!K87)&lt;Tech_Specs!$C15,Tech_Specs!$C15,(K$194-Sys_Repl_Rate!K87)),0),IF($G$194:$AF$194&lt;=K$194,System_Mkt_Repl!$F341:$AE341+System_Mkt_NC!$G341:$AF341)))))</f>
        <v>1</v>
      </c>
      <c r="L202" s="373">
        <f t="array" ref="L202">IF(L$194=Misc_Inputs!$D$6,$G128,IF(SUM(IF($G$194:$AF$194&gt;=ROUND(IF((L$194-Sys_Repl_Rate!L87)&lt;Tech_Specs!$C15,Tech_Specs!$C15,(L$194-Sys_Repl_Rate!L87)),0),IF($G$194:$AF$194&lt;=L$194,System_Mkt_Repl!$F341:$AE341+System_Mkt_NC!$G341:$AF341)))=0,K202,SUMPRODUCT(IF($G$194:$AF$194&gt;=ROUND(IF((L$194-Sys_Repl_Rate!L87)&lt;Tech_Specs!$C15,Tech_Specs!$C15,(L$194-Sys_Repl_Rate!L87)),0),IF($G$194:$AF$194&lt;=L$194,$G128:$AF128)),System_Mkt_Repl!$F341:$AE341+System_Mkt_NC!$G341:$AF341)/SUM(IF($G$194:$AF$194&gt;=ROUND(IF((L$194-Sys_Repl_Rate!L87)&lt;Tech_Specs!$C15,Tech_Specs!$C15,(L$194-Sys_Repl_Rate!L87)),0),IF($G$194:$AF$194&lt;=L$194,System_Mkt_Repl!$F341:$AE341+System_Mkt_NC!$G341:$AF341)))))</f>
        <v>1</v>
      </c>
      <c r="M202" s="373">
        <f t="array" ref="M202">IF(M$194=Misc_Inputs!$D$6,$G128,IF(SUM(IF($G$194:$AF$194&gt;=ROUND(IF((M$194-Sys_Repl_Rate!M87)&lt;Tech_Specs!$C15,Tech_Specs!$C15,(M$194-Sys_Repl_Rate!M87)),0),IF($G$194:$AF$194&lt;=M$194,System_Mkt_Repl!$F341:$AE341+System_Mkt_NC!$G341:$AF341)))=0,L202,SUMPRODUCT(IF($G$194:$AF$194&gt;=ROUND(IF((M$194-Sys_Repl_Rate!M87)&lt;Tech_Specs!$C15,Tech_Specs!$C15,(M$194-Sys_Repl_Rate!M87)),0),IF($G$194:$AF$194&lt;=M$194,$G128:$AF128)),System_Mkt_Repl!$F341:$AE341+System_Mkt_NC!$G341:$AF341)/SUM(IF($G$194:$AF$194&gt;=ROUND(IF((M$194-Sys_Repl_Rate!M87)&lt;Tech_Specs!$C15,Tech_Specs!$C15,(M$194-Sys_Repl_Rate!M87)),0),IF($G$194:$AF$194&lt;=M$194,System_Mkt_Repl!$F341:$AE341+System_Mkt_NC!$G341:$AF341)))))</f>
        <v>1</v>
      </c>
      <c r="N202" s="373">
        <f t="array" ref="N202">IF(N$194=Misc_Inputs!$D$6,$G128,IF(SUM(IF($G$194:$AF$194&gt;=ROUND(IF((N$194-Sys_Repl_Rate!N87)&lt;Tech_Specs!$C15,Tech_Specs!$C15,(N$194-Sys_Repl_Rate!N87)),0),IF($G$194:$AF$194&lt;=N$194,System_Mkt_Repl!$F341:$AE341+System_Mkt_NC!$G341:$AF341)))=0,M202,SUMPRODUCT(IF($G$194:$AF$194&gt;=ROUND(IF((N$194-Sys_Repl_Rate!N87)&lt;Tech_Specs!$C15,Tech_Specs!$C15,(N$194-Sys_Repl_Rate!N87)),0),IF($G$194:$AF$194&lt;=N$194,$G128:$AF128)),System_Mkt_Repl!$F341:$AE341+System_Mkt_NC!$G341:$AF341)/SUM(IF($G$194:$AF$194&gt;=ROUND(IF((N$194-Sys_Repl_Rate!N87)&lt;Tech_Specs!$C15,Tech_Specs!$C15,(N$194-Sys_Repl_Rate!N87)),0),IF($G$194:$AF$194&lt;=N$194,System_Mkt_Repl!$F341:$AE341+System_Mkt_NC!$G341:$AF341)))))</f>
        <v>1</v>
      </c>
      <c r="O202" s="373">
        <f t="array" ref="O202">IF(O$194=Misc_Inputs!$D$6,$G128,IF(SUM(IF($G$194:$AF$194&gt;=ROUND(IF((O$194-Sys_Repl_Rate!O87)&lt;Tech_Specs!$C15,Tech_Specs!$C15,(O$194-Sys_Repl_Rate!O87)),0),IF($G$194:$AF$194&lt;=O$194,System_Mkt_Repl!$F341:$AE341+System_Mkt_NC!$G341:$AF341)))=0,N202,SUMPRODUCT(IF($G$194:$AF$194&gt;=ROUND(IF((O$194-Sys_Repl_Rate!O87)&lt;Tech_Specs!$C15,Tech_Specs!$C15,(O$194-Sys_Repl_Rate!O87)),0),IF($G$194:$AF$194&lt;=O$194,$G128:$AF128)),System_Mkt_Repl!$F341:$AE341+System_Mkt_NC!$G341:$AF341)/SUM(IF($G$194:$AF$194&gt;=ROUND(IF((O$194-Sys_Repl_Rate!O87)&lt;Tech_Specs!$C15,Tech_Specs!$C15,(O$194-Sys_Repl_Rate!O87)),0),IF($G$194:$AF$194&lt;=O$194,System_Mkt_Repl!$F341:$AE341+System_Mkt_NC!$G341:$AF341)))))</f>
        <v>1</v>
      </c>
      <c r="P202" s="373">
        <f t="array" ref="P202">IF(P$194=Misc_Inputs!$D$6,$G128,IF(SUM(IF($G$194:$AF$194&gt;=ROUND(IF((P$194-Sys_Repl_Rate!P87)&lt;Tech_Specs!$C15,Tech_Specs!$C15,(P$194-Sys_Repl_Rate!P87)),0),IF($G$194:$AF$194&lt;=P$194,System_Mkt_Repl!$F341:$AE341+System_Mkt_NC!$G341:$AF341)))=0,O202,SUMPRODUCT(IF($G$194:$AF$194&gt;=ROUND(IF((P$194-Sys_Repl_Rate!P87)&lt;Tech_Specs!$C15,Tech_Specs!$C15,(P$194-Sys_Repl_Rate!P87)),0),IF($G$194:$AF$194&lt;=P$194,$G128:$AF128)),System_Mkt_Repl!$F341:$AE341+System_Mkt_NC!$G341:$AF341)/SUM(IF($G$194:$AF$194&gt;=ROUND(IF((P$194-Sys_Repl_Rate!P87)&lt;Tech_Specs!$C15,Tech_Specs!$C15,(P$194-Sys_Repl_Rate!P87)),0),IF($G$194:$AF$194&lt;=P$194,System_Mkt_Repl!$F341:$AE341+System_Mkt_NC!$G341:$AF341)))))</f>
        <v>1</v>
      </c>
      <c r="Q202" s="373">
        <f t="array" ref="Q202">IF(Q$194=Misc_Inputs!$D$6,$G128,IF(SUM(IF($G$194:$AF$194&gt;=ROUND(IF((Q$194-Sys_Repl_Rate!Q87)&lt;Tech_Specs!$C15,Tech_Specs!$C15,(Q$194-Sys_Repl_Rate!Q87)),0),IF($G$194:$AF$194&lt;=Q$194,System_Mkt_Repl!$F341:$AE341+System_Mkt_NC!$G341:$AF341)))=0,P202,SUMPRODUCT(IF($G$194:$AF$194&gt;=ROUND(IF((Q$194-Sys_Repl_Rate!Q87)&lt;Tech_Specs!$C15,Tech_Specs!$C15,(Q$194-Sys_Repl_Rate!Q87)),0),IF($G$194:$AF$194&lt;=Q$194,$G128:$AF128)),System_Mkt_Repl!$F341:$AE341+System_Mkt_NC!$G341:$AF341)/SUM(IF($G$194:$AF$194&gt;=ROUND(IF((Q$194-Sys_Repl_Rate!Q87)&lt;Tech_Specs!$C15,Tech_Specs!$C15,(Q$194-Sys_Repl_Rate!Q87)),0),IF($G$194:$AF$194&lt;=Q$194,System_Mkt_Repl!$F341:$AE341+System_Mkt_NC!$G341:$AF341)))))</f>
        <v>1</v>
      </c>
      <c r="R202" s="373">
        <f t="array" ref="R202">IF(R$194=Misc_Inputs!$D$6,$G128,IF(SUM(IF($G$194:$AF$194&gt;=ROUND(IF((R$194-Sys_Repl_Rate!R87)&lt;Tech_Specs!$C15,Tech_Specs!$C15,(R$194-Sys_Repl_Rate!R87)),0),IF($G$194:$AF$194&lt;=R$194,System_Mkt_Repl!$F341:$AE341+System_Mkt_NC!$G341:$AF341)))=0,Q202,SUMPRODUCT(IF($G$194:$AF$194&gt;=ROUND(IF((R$194-Sys_Repl_Rate!R87)&lt;Tech_Specs!$C15,Tech_Specs!$C15,(R$194-Sys_Repl_Rate!R87)),0),IF($G$194:$AF$194&lt;=R$194,$G128:$AF128)),System_Mkt_Repl!$F341:$AE341+System_Mkt_NC!$G341:$AF341)/SUM(IF($G$194:$AF$194&gt;=ROUND(IF((R$194-Sys_Repl_Rate!R87)&lt;Tech_Specs!$C15,Tech_Specs!$C15,(R$194-Sys_Repl_Rate!R87)),0),IF($G$194:$AF$194&lt;=R$194,System_Mkt_Repl!$F341:$AE341+System_Mkt_NC!$G341:$AF341)))))</f>
        <v>1</v>
      </c>
      <c r="S202" s="373">
        <f t="array" ref="S202">IF(S$194=Misc_Inputs!$D$6,$G128,IF(SUM(IF($G$194:$AF$194&gt;=ROUND(IF((S$194-Sys_Repl_Rate!S87)&lt;Tech_Specs!$C15,Tech_Specs!$C15,(S$194-Sys_Repl_Rate!S87)),0),IF($G$194:$AF$194&lt;=S$194,System_Mkt_Repl!$F341:$AE341+System_Mkt_NC!$G341:$AF341)))=0,R202,SUMPRODUCT(IF($G$194:$AF$194&gt;=ROUND(IF((S$194-Sys_Repl_Rate!S87)&lt;Tech_Specs!$C15,Tech_Specs!$C15,(S$194-Sys_Repl_Rate!S87)),0),IF($G$194:$AF$194&lt;=S$194,$G128:$AF128)),System_Mkt_Repl!$F341:$AE341+System_Mkt_NC!$G341:$AF341)/SUM(IF($G$194:$AF$194&gt;=ROUND(IF((S$194-Sys_Repl_Rate!S87)&lt;Tech_Specs!$C15,Tech_Specs!$C15,(S$194-Sys_Repl_Rate!S87)),0),IF($G$194:$AF$194&lt;=S$194,System_Mkt_Repl!$F341:$AE341+System_Mkt_NC!$G341:$AF341)))))</f>
        <v>1</v>
      </c>
      <c r="T202" s="373">
        <f t="array" ref="T202">IF(T$194=Misc_Inputs!$D$6,$G128,IF(SUM(IF($G$194:$AF$194&gt;=ROUND(IF((T$194-Sys_Repl_Rate!T87)&lt;Tech_Specs!$C15,Tech_Specs!$C15,(T$194-Sys_Repl_Rate!T87)),0),IF($G$194:$AF$194&lt;=T$194,System_Mkt_Repl!$F341:$AE341+System_Mkt_NC!$G341:$AF341)))=0,S202,SUMPRODUCT(IF($G$194:$AF$194&gt;=ROUND(IF((T$194-Sys_Repl_Rate!T87)&lt;Tech_Specs!$C15,Tech_Specs!$C15,(T$194-Sys_Repl_Rate!T87)),0),IF($G$194:$AF$194&lt;=T$194,$G128:$AF128)),System_Mkt_Repl!$F341:$AE341+System_Mkt_NC!$G341:$AF341)/SUM(IF($G$194:$AF$194&gt;=ROUND(IF((T$194-Sys_Repl_Rate!T87)&lt;Tech_Specs!$C15,Tech_Specs!$C15,(T$194-Sys_Repl_Rate!T87)),0),IF($G$194:$AF$194&lt;=T$194,System_Mkt_Repl!$F341:$AE341+System_Mkt_NC!$G341:$AF341)))))</f>
        <v>1</v>
      </c>
      <c r="U202" s="373">
        <f t="array" ref="U202">IF(U$194=Misc_Inputs!$D$6,$G128,IF(SUM(IF($G$194:$AF$194&gt;=ROUND(IF((U$194-Sys_Repl_Rate!U87)&lt;Tech_Specs!$C15,Tech_Specs!$C15,(U$194-Sys_Repl_Rate!U87)),0),IF($G$194:$AF$194&lt;=U$194,System_Mkt_Repl!$F341:$AE341+System_Mkt_NC!$G341:$AF341)))=0,T202,SUMPRODUCT(IF($G$194:$AF$194&gt;=ROUND(IF((U$194-Sys_Repl_Rate!U87)&lt;Tech_Specs!$C15,Tech_Specs!$C15,(U$194-Sys_Repl_Rate!U87)),0),IF($G$194:$AF$194&lt;=U$194,$G128:$AF128)),System_Mkt_Repl!$F341:$AE341+System_Mkt_NC!$G341:$AF341)/SUM(IF($G$194:$AF$194&gt;=ROUND(IF((U$194-Sys_Repl_Rate!U87)&lt;Tech_Specs!$C15,Tech_Specs!$C15,(U$194-Sys_Repl_Rate!U87)),0),IF($G$194:$AF$194&lt;=U$194,System_Mkt_Repl!$F341:$AE341+System_Mkt_NC!$G341:$AF341)))))</f>
        <v>1</v>
      </c>
      <c r="V202" s="373">
        <f t="array" ref="V202">IF(V$194=Misc_Inputs!$D$6,$G128,IF(SUM(IF($G$194:$AF$194&gt;=ROUND(IF((V$194-Sys_Repl_Rate!V87)&lt;Tech_Specs!$C15,Tech_Specs!$C15,(V$194-Sys_Repl_Rate!V87)),0),IF($G$194:$AF$194&lt;=V$194,System_Mkt_Repl!$F341:$AE341+System_Mkt_NC!$G341:$AF341)))=0,U202,SUMPRODUCT(IF($G$194:$AF$194&gt;=ROUND(IF((V$194-Sys_Repl_Rate!V87)&lt;Tech_Specs!$C15,Tech_Specs!$C15,(V$194-Sys_Repl_Rate!V87)),0),IF($G$194:$AF$194&lt;=V$194,$G128:$AF128)),System_Mkt_Repl!$F341:$AE341+System_Mkt_NC!$G341:$AF341)/SUM(IF($G$194:$AF$194&gt;=ROUND(IF((V$194-Sys_Repl_Rate!V87)&lt;Tech_Specs!$C15,Tech_Specs!$C15,(V$194-Sys_Repl_Rate!V87)),0),IF($G$194:$AF$194&lt;=V$194,System_Mkt_Repl!$F341:$AE341+System_Mkt_NC!$G341:$AF341)))))</f>
        <v>1</v>
      </c>
      <c r="W202" s="373">
        <f t="array" ref="W202">IF(W$194=Misc_Inputs!$D$6,$G128,IF(SUM(IF($G$194:$AF$194&gt;=ROUND(IF((W$194-Sys_Repl_Rate!W87)&lt;Tech_Specs!$C15,Tech_Specs!$C15,(W$194-Sys_Repl_Rate!W87)),0),IF($G$194:$AF$194&lt;=W$194,System_Mkt_Repl!$F341:$AE341+System_Mkt_NC!$G341:$AF341)))=0,V202,SUMPRODUCT(IF($G$194:$AF$194&gt;=ROUND(IF((W$194-Sys_Repl_Rate!W87)&lt;Tech_Specs!$C15,Tech_Specs!$C15,(W$194-Sys_Repl_Rate!W87)),0),IF($G$194:$AF$194&lt;=W$194,$G128:$AF128)),System_Mkt_Repl!$F341:$AE341+System_Mkt_NC!$G341:$AF341)/SUM(IF($G$194:$AF$194&gt;=ROUND(IF((W$194-Sys_Repl_Rate!W87)&lt;Tech_Specs!$C15,Tech_Specs!$C15,(W$194-Sys_Repl_Rate!W87)),0),IF($G$194:$AF$194&lt;=W$194,System_Mkt_Repl!$F341:$AE341+System_Mkt_NC!$G341:$AF341)))))</f>
        <v>1</v>
      </c>
      <c r="X202" s="373">
        <f t="array" ref="X202">IF(X$194=Misc_Inputs!$D$6,$G128,IF(SUM(IF($G$194:$AF$194&gt;=ROUND(IF((X$194-Sys_Repl_Rate!X87)&lt;Tech_Specs!$C15,Tech_Specs!$C15,(X$194-Sys_Repl_Rate!X87)),0),IF($G$194:$AF$194&lt;=X$194,System_Mkt_Repl!$F341:$AE341+System_Mkt_NC!$G341:$AF341)))=0,W202,SUMPRODUCT(IF($G$194:$AF$194&gt;=ROUND(IF((X$194-Sys_Repl_Rate!X87)&lt;Tech_Specs!$C15,Tech_Specs!$C15,(X$194-Sys_Repl_Rate!X87)),0),IF($G$194:$AF$194&lt;=X$194,$G128:$AF128)),System_Mkt_Repl!$F341:$AE341+System_Mkt_NC!$G341:$AF341)/SUM(IF($G$194:$AF$194&gt;=ROUND(IF((X$194-Sys_Repl_Rate!X87)&lt;Tech_Specs!$C15,Tech_Specs!$C15,(X$194-Sys_Repl_Rate!X87)),0),IF($G$194:$AF$194&lt;=X$194,System_Mkt_Repl!$F341:$AE341+System_Mkt_NC!$G341:$AF341)))))</f>
        <v>1</v>
      </c>
      <c r="Y202" s="373">
        <f t="array" ref="Y202">IF(Y$194=Misc_Inputs!$D$6,$G128,IF(SUM(IF($G$194:$AF$194&gt;=ROUND(IF((Y$194-Sys_Repl_Rate!Y87)&lt;Tech_Specs!$C15,Tech_Specs!$C15,(Y$194-Sys_Repl_Rate!Y87)),0),IF($G$194:$AF$194&lt;=Y$194,System_Mkt_Repl!$F341:$AE341+System_Mkt_NC!$G341:$AF341)))=0,X202,SUMPRODUCT(IF($G$194:$AF$194&gt;=ROUND(IF((Y$194-Sys_Repl_Rate!Y87)&lt;Tech_Specs!$C15,Tech_Specs!$C15,(Y$194-Sys_Repl_Rate!Y87)),0),IF($G$194:$AF$194&lt;=Y$194,$G128:$AF128)),System_Mkt_Repl!$F341:$AE341+System_Mkt_NC!$G341:$AF341)/SUM(IF($G$194:$AF$194&gt;=ROUND(IF((Y$194-Sys_Repl_Rate!Y87)&lt;Tech_Specs!$C15,Tech_Specs!$C15,(Y$194-Sys_Repl_Rate!Y87)),0),IF($G$194:$AF$194&lt;=Y$194,System_Mkt_Repl!$F341:$AE341+System_Mkt_NC!$G341:$AF341)))))</f>
        <v>1</v>
      </c>
      <c r="Z202" s="373">
        <f t="array" ref="Z202">IF(Z$194=Misc_Inputs!$D$6,$G128,IF(SUM(IF($G$194:$AF$194&gt;=ROUND(IF((Z$194-Sys_Repl_Rate!Z87)&lt;Tech_Specs!$C15,Tech_Specs!$C15,(Z$194-Sys_Repl_Rate!Z87)),0),IF($G$194:$AF$194&lt;=Z$194,System_Mkt_Repl!$F341:$AE341+System_Mkt_NC!$G341:$AF341)))=0,Y202,SUMPRODUCT(IF($G$194:$AF$194&gt;=ROUND(IF((Z$194-Sys_Repl_Rate!Z87)&lt;Tech_Specs!$C15,Tech_Specs!$C15,(Z$194-Sys_Repl_Rate!Z87)),0),IF($G$194:$AF$194&lt;=Z$194,$G128:$AF128)),System_Mkt_Repl!$F341:$AE341+System_Mkt_NC!$G341:$AF341)/SUM(IF($G$194:$AF$194&gt;=ROUND(IF((Z$194-Sys_Repl_Rate!Z87)&lt;Tech_Specs!$C15,Tech_Specs!$C15,(Z$194-Sys_Repl_Rate!Z87)),0),IF($G$194:$AF$194&lt;=Z$194,System_Mkt_Repl!$F341:$AE341+System_Mkt_NC!$G341:$AF341)))))</f>
        <v>1</v>
      </c>
      <c r="AA202" s="373">
        <f t="array" ref="AA202">IF(AA$194=Misc_Inputs!$D$6,$G128,IF(SUM(IF($G$194:$AF$194&gt;=ROUND(IF((AA$194-Sys_Repl_Rate!AA87)&lt;Tech_Specs!$C15,Tech_Specs!$C15,(AA$194-Sys_Repl_Rate!AA87)),0),IF($G$194:$AF$194&lt;=AA$194,System_Mkt_Repl!$F341:$AE341+System_Mkt_NC!$G341:$AF341)))=0,Z202,SUMPRODUCT(IF($G$194:$AF$194&gt;=ROUND(IF((AA$194-Sys_Repl_Rate!AA87)&lt;Tech_Specs!$C15,Tech_Specs!$C15,(AA$194-Sys_Repl_Rate!AA87)),0),IF($G$194:$AF$194&lt;=AA$194,$G128:$AF128)),System_Mkt_Repl!$F341:$AE341+System_Mkt_NC!$G341:$AF341)/SUM(IF($G$194:$AF$194&gt;=ROUND(IF((AA$194-Sys_Repl_Rate!AA87)&lt;Tech_Specs!$C15,Tech_Specs!$C15,(AA$194-Sys_Repl_Rate!AA87)),0),IF($G$194:$AF$194&lt;=AA$194,System_Mkt_Repl!$F341:$AE341+System_Mkt_NC!$G341:$AF341)))))</f>
        <v>1</v>
      </c>
      <c r="AB202" s="373">
        <f t="array" ref="AB202">IF(AB$194=Misc_Inputs!$D$6,$G128,IF(SUM(IF($G$194:$AF$194&gt;=ROUND(IF((AB$194-Sys_Repl_Rate!AB87)&lt;Tech_Specs!$C15,Tech_Specs!$C15,(AB$194-Sys_Repl_Rate!AB87)),0),IF($G$194:$AF$194&lt;=AB$194,System_Mkt_Repl!$F341:$AE341+System_Mkt_NC!$G341:$AF341)))=0,AA202,SUMPRODUCT(IF($G$194:$AF$194&gt;=ROUND(IF((AB$194-Sys_Repl_Rate!AB87)&lt;Tech_Specs!$C15,Tech_Specs!$C15,(AB$194-Sys_Repl_Rate!AB87)),0),IF($G$194:$AF$194&lt;=AB$194,$G128:$AF128)),System_Mkt_Repl!$F341:$AE341+System_Mkt_NC!$G341:$AF341)/SUM(IF($G$194:$AF$194&gt;=ROUND(IF((AB$194-Sys_Repl_Rate!AB87)&lt;Tech_Specs!$C15,Tech_Specs!$C15,(AB$194-Sys_Repl_Rate!AB87)),0),IF($G$194:$AF$194&lt;=AB$194,System_Mkt_Repl!$F341:$AE341+System_Mkt_NC!$G341:$AF341)))))</f>
        <v>1</v>
      </c>
      <c r="AC202" s="373">
        <f t="array" ref="AC202">IF(AC$194=Misc_Inputs!$D$6,$G128,IF(SUM(IF($G$194:$AF$194&gt;=ROUND(IF((AC$194-Sys_Repl_Rate!AC87)&lt;Tech_Specs!$C15,Tech_Specs!$C15,(AC$194-Sys_Repl_Rate!AC87)),0),IF($G$194:$AF$194&lt;=AC$194,System_Mkt_Repl!$F341:$AE341+System_Mkt_NC!$G341:$AF341)))=0,AB202,SUMPRODUCT(IF($G$194:$AF$194&gt;=ROUND(IF((AC$194-Sys_Repl_Rate!AC87)&lt;Tech_Specs!$C15,Tech_Specs!$C15,(AC$194-Sys_Repl_Rate!AC87)),0),IF($G$194:$AF$194&lt;=AC$194,$G128:$AF128)),System_Mkt_Repl!$F341:$AE341+System_Mkt_NC!$G341:$AF341)/SUM(IF($G$194:$AF$194&gt;=ROUND(IF((AC$194-Sys_Repl_Rate!AC87)&lt;Tech_Specs!$C15,Tech_Specs!$C15,(AC$194-Sys_Repl_Rate!AC87)),0),IF($G$194:$AF$194&lt;=AC$194,System_Mkt_Repl!$F341:$AE341+System_Mkt_NC!$G341:$AF341)))))</f>
        <v>1</v>
      </c>
      <c r="AD202" s="373">
        <f t="array" ref="AD202">IF(AD$194=Misc_Inputs!$D$6,$G128,IF(SUM(IF($G$194:$AF$194&gt;=ROUND(IF((AD$194-Sys_Repl_Rate!AD87)&lt;Tech_Specs!$C15,Tech_Specs!$C15,(AD$194-Sys_Repl_Rate!AD87)),0),IF($G$194:$AF$194&lt;=AD$194,System_Mkt_Repl!$F341:$AE341+System_Mkt_NC!$G341:$AF341)))=0,AC202,SUMPRODUCT(IF($G$194:$AF$194&gt;=ROUND(IF((AD$194-Sys_Repl_Rate!AD87)&lt;Tech_Specs!$C15,Tech_Specs!$C15,(AD$194-Sys_Repl_Rate!AD87)),0),IF($G$194:$AF$194&lt;=AD$194,$G128:$AF128)),System_Mkt_Repl!$F341:$AE341+System_Mkt_NC!$G341:$AF341)/SUM(IF($G$194:$AF$194&gt;=ROUND(IF((AD$194-Sys_Repl_Rate!AD87)&lt;Tech_Specs!$C15,Tech_Specs!$C15,(AD$194-Sys_Repl_Rate!AD87)),0),IF($G$194:$AF$194&lt;=AD$194,System_Mkt_Repl!$F341:$AE341+System_Mkt_NC!$G341:$AF341)))))</f>
        <v>1</v>
      </c>
      <c r="AE202" s="373">
        <f t="array" ref="AE202">IF(AE$194=Misc_Inputs!$D$6,$G128,IF(SUM(IF($G$194:$AF$194&gt;=ROUND(IF((AE$194-Sys_Repl_Rate!AE87)&lt;Tech_Specs!$C15,Tech_Specs!$C15,(AE$194-Sys_Repl_Rate!AE87)),0),IF($G$194:$AF$194&lt;=AE$194,System_Mkt_Repl!$F341:$AE341+System_Mkt_NC!$G341:$AF341)))=0,AD202,SUMPRODUCT(IF($G$194:$AF$194&gt;=ROUND(IF((AE$194-Sys_Repl_Rate!AE87)&lt;Tech_Specs!$C15,Tech_Specs!$C15,(AE$194-Sys_Repl_Rate!AE87)),0),IF($G$194:$AF$194&lt;=AE$194,$G128:$AF128)),System_Mkt_Repl!$F341:$AE341+System_Mkt_NC!$G341:$AF341)/SUM(IF($G$194:$AF$194&gt;=ROUND(IF((AE$194-Sys_Repl_Rate!AE87)&lt;Tech_Specs!$C15,Tech_Specs!$C15,(AE$194-Sys_Repl_Rate!AE87)),0),IF($G$194:$AF$194&lt;=AE$194,System_Mkt_Repl!$F341:$AE341+System_Mkt_NC!$G341:$AF341)))))</f>
        <v>1</v>
      </c>
      <c r="AF202" s="373">
        <f t="array" ref="AF202">IF(AF$194=Misc_Inputs!$D$6,$G128,IF(SUM(IF($G$194:$AF$194&gt;=ROUND(IF((AF$194-Sys_Repl_Rate!AF87)&lt;Tech_Specs!$C15,Tech_Specs!$C15,(AF$194-Sys_Repl_Rate!AF87)),0),IF($G$194:$AF$194&lt;=AF$194,System_Mkt_Repl!$F341:$AE341+System_Mkt_NC!$G341:$AF341)))=0,AE202,SUMPRODUCT(IF($G$194:$AF$194&gt;=ROUND(IF((AF$194-Sys_Repl_Rate!AF87)&lt;Tech_Specs!$C15,Tech_Specs!$C15,(AF$194-Sys_Repl_Rate!AF87)),0),IF($G$194:$AF$194&lt;=AF$194,$G128:$AF128)),System_Mkt_Repl!$F341:$AE341+System_Mkt_NC!$G341:$AF341)/SUM(IF($G$194:$AF$194&gt;=ROUND(IF((AF$194-Sys_Repl_Rate!AF87)&lt;Tech_Specs!$C15,Tech_Specs!$C15,(AF$194-Sys_Repl_Rate!AF87)),0),IF($G$194:$AF$194&lt;=AF$194,System_Mkt_Repl!$F341:$AE341+System_Mkt_NC!$G341:$AF341)))))</f>
        <v>1</v>
      </c>
    </row>
    <row r="203" spans="1:32" s="282" customFormat="1" ht="12.75" x14ac:dyDescent="0.2">
      <c r="B203" s="282" t="s">
        <v>34</v>
      </c>
      <c r="C203" s="278"/>
      <c r="D203" s="550"/>
      <c r="E203" s="550"/>
      <c r="F203" s="550"/>
      <c r="G203" s="373">
        <f t="array" ref="G203">IF(G$194=Misc_Inputs!$D$6,$G129,IF(SUM(IF($G$194:$AF$194&gt;=ROUND(IF((G$194-Sys_Repl_Rate!G88)&lt;Tech_Specs!$C16,Tech_Specs!$C16,(G$194-Sys_Repl_Rate!G88)),0),IF($G$194:$AF$194&lt;=G$194,System_Mkt_Repl!$F342:$AE342+System_Mkt_NC!$G342:$AF342)))=0,C203,SUMPRODUCT(IF($G$194:$AF$194&gt;=ROUND(IF((G$194-Sys_Repl_Rate!G88)&lt;Tech_Specs!$C16,Tech_Specs!$C16,(G$194-Sys_Repl_Rate!G88)),0),IF($G$194:$AF$194&lt;=G$194,$G129:$AF129)),System_Mkt_Repl!$F342:$AE342+System_Mkt_NC!$G342:$AF342)/SUM(IF($G$194:$AF$194&gt;=ROUND(IF((G$194-Sys_Repl_Rate!G88)&lt;Tech_Specs!$C16,Tech_Specs!$C16,(G$194-Sys_Repl_Rate!G88)),0),IF($G$194:$AF$194&lt;=G$194,System_Mkt_Repl!$F342:$AE342+System_Mkt_NC!$G342:$AF342)))))</f>
        <v>1</v>
      </c>
      <c r="H203" s="373">
        <f t="array" ref="H203">IF(H$194=Misc_Inputs!$D$6,$G129,IF(SUM(IF($G$194:$AF$194&gt;=ROUND(IF((H$194-Sys_Repl_Rate!H88)&lt;Tech_Specs!$C16,Tech_Specs!$C16,(H$194-Sys_Repl_Rate!H88)),0),IF($G$194:$AF$194&lt;=H$194,System_Mkt_Repl!$F342:$AE342+System_Mkt_NC!$G342:$AF342)))=0,G203,SUMPRODUCT(IF($G$194:$AF$194&gt;=ROUND(IF((H$194-Sys_Repl_Rate!H88)&lt;Tech_Specs!$C16,Tech_Specs!$C16,(H$194-Sys_Repl_Rate!H88)),0),IF($G$194:$AF$194&lt;=H$194,$G129:$AF129)),System_Mkt_Repl!$F342:$AE342+System_Mkt_NC!$G342:$AF342)/SUM(IF($G$194:$AF$194&gt;=ROUND(IF((H$194-Sys_Repl_Rate!H88)&lt;Tech_Specs!$C16,Tech_Specs!$C16,(H$194-Sys_Repl_Rate!H88)),0),IF($G$194:$AF$194&lt;=H$194,System_Mkt_Repl!$F342:$AE342+System_Mkt_NC!$G342:$AF342)))))</f>
        <v>1</v>
      </c>
      <c r="I203" s="373">
        <f t="array" ref="I203">IF(I$194=Misc_Inputs!$D$6,$G129,IF(SUM(IF($G$194:$AF$194&gt;=ROUND(IF((I$194-Sys_Repl_Rate!I88)&lt;Tech_Specs!$C16,Tech_Specs!$C16,(I$194-Sys_Repl_Rate!I88)),0),IF($G$194:$AF$194&lt;=I$194,System_Mkt_Repl!$F342:$AE342+System_Mkt_NC!$G342:$AF342)))=0,H203,SUMPRODUCT(IF($G$194:$AF$194&gt;=ROUND(IF((I$194-Sys_Repl_Rate!I88)&lt;Tech_Specs!$C16,Tech_Specs!$C16,(I$194-Sys_Repl_Rate!I88)),0),IF($G$194:$AF$194&lt;=I$194,$G129:$AF129)),System_Mkt_Repl!$F342:$AE342+System_Mkt_NC!$G342:$AF342)/SUM(IF($G$194:$AF$194&gt;=ROUND(IF((I$194-Sys_Repl_Rate!I88)&lt;Tech_Specs!$C16,Tech_Specs!$C16,(I$194-Sys_Repl_Rate!I88)),0),IF($G$194:$AF$194&lt;=I$194,System_Mkt_Repl!$F342:$AE342+System_Mkt_NC!$G342:$AF342)))))</f>
        <v>1</v>
      </c>
      <c r="J203" s="373">
        <f t="array" ref="J203">IF(J$194=Misc_Inputs!$D$6,$G129,IF(SUM(IF($G$194:$AF$194&gt;=ROUND(IF((J$194-Sys_Repl_Rate!J88)&lt;Tech_Specs!$C16,Tech_Specs!$C16,(J$194-Sys_Repl_Rate!J88)),0),IF($G$194:$AF$194&lt;=J$194,System_Mkt_Repl!$F342:$AE342+System_Mkt_NC!$G342:$AF342)))=0,I203,SUMPRODUCT(IF($G$194:$AF$194&gt;=ROUND(IF((J$194-Sys_Repl_Rate!J88)&lt;Tech_Specs!$C16,Tech_Specs!$C16,(J$194-Sys_Repl_Rate!J88)),0),IF($G$194:$AF$194&lt;=J$194,$G129:$AF129)),System_Mkt_Repl!$F342:$AE342+System_Mkt_NC!$G342:$AF342)/SUM(IF($G$194:$AF$194&gt;=ROUND(IF((J$194-Sys_Repl_Rate!J88)&lt;Tech_Specs!$C16,Tech_Specs!$C16,(J$194-Sys_Repl_Rate!J88)),0),IF($G$194:$AF$194&lt;=J$194,System_Mkt_Repl!$F342:$AE342+System_Mkt_NC!$G342:$AF342)))))</f>
        <v>1</v>
      </c>
      <c r="K203" s="373">
        <f t="array" ref="K203">IF(K$194=Misc_Inputs!$D$6,$G129,IF(SUM(IF($G$194:$AF$194&gt;=ROUND(IF((K$194-Sys_Repl_Rate!K88)&lt;Tech_Specs!$C16,Tech_Specs!$C16,(K$194-Sys_Repl_Rate!K88)),0),IF($G$194:$AF$194&lt;=K$194,System_Mkt_Repl!$F342:$AE342+System_Mkt_NC!$G342:$AF342)))=0,J203,SUMPRODUCT(IF($G$194:$AF$194&gt;=ROUND(IF((K$194-Sys_Repl_Rate!K88)&lt;Tech_Specs!$C16,Tech_Specs!$C16,(K$194-Sys_Repl_Rate!K88)),0),IF($G$194:$AF$194&lt;=K$194,$G129:$AF129)),System_Mkt_Repl!$F342:$AE342+System_Mkt_NC!$G342:$AF342)/SUM(IF($G$194:$AF$194&gt;=ROUND(IF((K$194-Sys_Repl_Rate!K88)&lt;Tech_Specs!$C16,Tech_Specs!$C16,(K$194-Sys_Repl_Rate!K88)),0),IF($G$194:$AF$194&lt;=K$194,System_Mkt_Repl!$F342:$AE342+System_Mkt_NC!$G342:$AF342)))))</f>
        <v>1</v>
      </c>
      <c r="L203" s="373">
        <f t="array" ref="L203">IF(L$194=Misc_Inputs!$D$6,$G129,IF(SUM(IF($G$194:$AF$194&gt;=ROUND(IF((L$194-Sys_Repl_Rate!L88)&lt;Tech_Specs!$C16,Tech_Specs!$C16,(L$194-Sys_Repl_Rate!L88)),0),IF($G$194:$AF$194&lt;=L$194,System_Mkt_Repl!$F342:$AE342+System_Mkt_NC!$G342:$AF342)))=0,K203,SUMPRODUCT(IF($G$194:$AF$194&gt;=ROUND(IF((L$194-Sys_Repl_Rate!L88)&lt;Tech_Specs!$C16,Tech_Specs!$C16,(L$194-Sys_Repl_Rate!L88)),0),IF($G$194:$AF$194&lt;=L$194,$G129:$AF129)),System_Mkt_Repl!$F342:$AE342+System_Mkt_NC!$G342:$AF342)/SUM(IF($G$194:$AF$194&gt;=ROUND(IF((L$194-Sys_Repl_Rate!L88)&lt;Tech_Specs!$C16,Tech_Specs!$C16,(L$194-Sys_Repl_Rate!L88)),0),IF($G$194:$AF$194&lt;=L$194,System_Mkt_Repl!$F342:$AE342+System_Mkt_NC!$G342:$AF342)))))</f>
        <v>1</v>
      </c>
      <c r="M203" s="373">
        <f t="array" ref="M203">IF(M$194=Misc_Inputs!$D$6,$G129,IF(SUM(IF($G$194:$AF$194&gt;=ROUND(IF((M$194-Sys_Repl_Rate!M88)&lt;Tech_Specs!$C16,Tech_Specs!$C16,(M$194-Sys_Repl_Rate!M88)),0),IF($G$194:$AF$194&lt;=M$194,System_Mkt_Repl!$F342:$AE342+System_Mkt_NC!$G342:$AF342)))=0,L203,SUMPRODUCT(IF($G$194:$AF$194&gt;=ROUND(IF((M$194-Sys_Repl_Rate!M88)&lt;Tech_Specs!$C16,Tech_Specs!$C16,(M$194-Sys_Repl_Rate!M88)),0),IF($G$194:$AF$194&lt;=M$194,$G129:$AF129)),System_Mkt_Repl!$F342:$AE342+System_Mkt_NC!$G342:$AF342)/SUM(IF($G$194:$AF$194&gt;=ROUND(IF((M$194-Sys_Repl_Rate!M88)&lt;Tech_Specs!$C16,Tech_Specs!$C16,(M$194-Sys_Repl_Rate!M88)),0),IF($G$194:$AF$194&lt;=M$194,System_Mkt_Repl!$F342:$AE342+System_Mkt_NC!$G342:$AF342)))))</f>
        <v>1</v>
      </c>
      <c r="N203" s="373">
        <f t="array" ref="N203">IF(N$194=Misc_Inputs!$D$6,$G129,IF(SUM(IF($G$194:$AF$194&gt;=ROUND(IF((N$194-Sys_Repl_Rate!N88)&lt;Tech_Specs!$C16,Tech_Specs!$C16,(N$194-Sys_Repl_Rate!N88)),0),IF($G$194:$AF$194&lt;=N$194,System_Mkt_Repl!$F342:$AE342+System_Mkt_NC!$G342:$AF342)))=0,M203,SUMPRODUCT(IF($G$194:$AF$194&gt;=ROUND(IF((N$194-Sys_Repl_Rate!N88)&lt;Tech_Specs!$C16,Tech_Specs!$C16,(N$194-Sys_Repl_Rate!N88)),0),IF($G$194:$AF$194&lt;=N$194,$G129:$AF129)),System_Mkt_Repl!$F342:$AE342+System_Mkt_NC!$G342:$AF342)/SUM(IF($G$194:$AF$194&gt;=ROUND(IF((N$194-Sys_Repl_Rate!N88)&lt;Tech_Specs!$C16,Tech_Specs!$C16,(N$194-Sys_Repl_Rate!N88)),0),IF($G$194:$AF$194&lt;=N$194,System_Mkt_Repl!$F342:$AE342+System_Mkt_NC!$G342:$AF342)))))</f>
        <v>1</v>
      </c>
      <c r="O203" s="373">
        <f t="array" ref="O203">IF(O$194=Misc_Inputs!$D$6,$G129,IF(SUM(IF($G$194:$AF$194&gt;=ROUND(IF((O$194-Sys_Repl_Rate!O88)&lt;Tech_Specs!$C16,Tech_Specs!$C16,(O$194-Sys_Repl_Rate!O88)),0),IF($G$194:$AF$194&lt;=O$194,System_Mkt_Repl!$F342:$AE342+System_Mkt_NC!$G342:$AF342)))=0,N203,SUMPRODUCT(IF($G$194:$AF$194&gt;=ROUND(IF((O$194-Sys_Repl_Rate!O88)&lt;Tech_Specs!$C16,Tech_Specs!$C16,(O$194-Sys_Repl_Rate!O88)),0),IF($G$194:$AF$194&lt;=O$194,$G129:$AF129)),System_Mkt_Repl!$F342:$AE342+System_Mkt_NC!$G342:$AF342)/SUM(IF($G$194:$AF$194&gt;=ROUND(IF((O$194-Sys_Repl_Rate!O88)&lt;Tech_Specs!$C16,Tech_Specs!$C16,(O$194-Sys_Repl_Rate!O88)),0),IF($G$194:$AF$194&lt;=O$194,System_Mkt_Repl!$F342:$AE342+System_Mkt_NC!$G342:$AF342)))))</f>
        <v>1</v>
      </c>
      <c r="P203" s="373">
        <f t="array" ref="P203">IF(P$194=Misc_Inputs!$D$6,$G129,IF(SUM(IF($G$194:$AF$194&gt;=ROUND(IF((P$194-Sys_Repl_Rate!P88)&lt;Tech_Specs!$C16,Tech_Specs!$C16,(P$194-Sys_Repl_Rate!P88)),0),IF($G$194:$AF$194&lt;=P$194,System_Mkt_Repl!$F342:$AE342+System_Mkt_NC!$G342:$AF342)))=0,O203,SUMPRODUCT(IF($G$194:$AF$194&gt;=ROUND(IF((P$194-Sys_Repl_Rate!P88)&lt;Tech_Specs!$C16,Tech_Specs!$C16,(P$194-Sys_Repl_Rate!P88)),0),IF($G$194:$AF$194&lt;=P$194,$G129:$AF129)),System_Mkt_Repl!$F342:$AE342+System_Mkt_NC!$G342:$AF342)/SUM(IF($G$194:$AF$194&gt;=ROUND(IF((P$194-Sys_Repl_Rate!P88)&lt;Tech_Specs!$C16,Tech_Specs!$C16,(P$194-Sys_Repl_Rate!P88)),0),IF($G$194:$AF$194&lt;=P$194,System_Mkt_Repl!$F342:$AE342+System_Mkt_NC!$G342:$AF342)))))</f>
        <v>1</v>
      </c>
      <c r="Q203" s="373">
        <f t="array" ref="Q203">IF(Q$194=Misc_Inputs!$D$6,$G129,IF(SUM(IF($G$194:$AF$194&gt;=ROUND(IF((Q$194-Sys_Repl_Rate!Q88)&lt;Tech_Specs!$C16,Tech_Specs!$C16,(Q$194-Sys_Repl_Rate!Q88)),0),IF($G$194:$AF$194&lt;=Q$194,System_Mkt_Repl!$F342:$AE342+System_Mkt_NC!$G342:$AF342)))=0,P203,SUMPRODUCT(IF($G$194:$AF$194&gt;=ROUND(IF((Q$194-Sys_Repl_Rate!Q88)&lt;Tech_Specs!$C16,Tech_Specs!$C16,(Q$194-Sys_Repl_Rate!Q88)),0),IF($G$194:$AF$194&lt;=Q$194,$G129:$AF129)),System_Mkt_Repl!$F342:$AE342+System_Mkt_NC!$G342:$AF342)/SUM(IF($G$194:$AF$194&gt;=ROUND(IF((Q$194-Sys_Repl_Rate!Q88)&lt;Tech_Specs!$C16,Tech_Specs!$C16,(Q$194-Sys_Repl_Rate!Q88)),0),IF($G$194:$AF$194&lt;=Q$194,System_Mkt_Repl!$F342:$AE342+System_Mkt_NC!$G342:$AF342)))))</f>
        <v>1</v>
      </c>
      <c r="R203" s="373">
        <f t="array" ref="R203">IF(R$194=Misc_Inputs!$D$6,$G129,IF(SUM(IF($G$194:$AF$194&gt;=ROUND(IF((R$194-Sys_Repl_Rate!R88)&lt;Tech_Specs!$C16,Tech_Specs!$C16,(R$194-Sys_Repl_Rate!R88)),0),IF($G$194:$AF$194&lt;=R$194,System_Mkt_Repl!$F342:$AE342+System_Mkt_NC!$G342:$AF342)))=0,Q203,SUMPRODUCT(IF($G$194:$AF$194&gt;=ROUND(IF((R$194-Sys_Repl_Rate!R88)&lt;Tech_Specs!$C16,Tech_Specs!$C16,(R$194-Sys_Repl_Rate!R88)),0),IF($G$194:$AF$194&lt;=R$194,$G129:$AF129)),System_Mkt_Repl!$F342:$AE342+System_Mkt_NC!$G342:$AF342)/SUM(IF($G$194:$AF$194&gt;=ROUND(IF((R$194-Sys_Repl_Rate!R88)&lt;Tech_Specs!$C16,Tech_Specs!$C16,(R$194-Sys_Repl_Rate!R88)),0),IF($G$194:$AF$194&lt;=R$194,System_Mkt_Repl!$F342:$AE342+System_Mkt_NC!$G342:$AF342)))))</f>
        <v>1</v>
      </c>
      <c r="S203" s="373">
        <f t="array" ref="S203">IF(S$194=Misc_Inputs!$D$6,$G129,IF(SUM(IF($G$194:$AF$194&gt;=ROUND(IF((S$194-Sys_Repl_Rate!S88)&lt;Tech_Specs!$C16,Tech_Specs!$C16,(S$194-Sys_Repl_Rate!S88)),0),IF($G$194:$AF$194&lt;=S$194,System_Mkt_Repl!$F342:$AE342+System_Mkt_NC!$G342:$AF342)))=0,R203,SUMPRODUCT(IF($G$194:$AF$194&gt;=ROUND(IF((S$194-Sys_Repl_Rate!S88)&lt;Tech_Specs!$C16,Tech_Specs!$C16,(S$194-Sys_Repl_Rate!S88)),0),IF($G$194:$AF$194&lt;=S$194,$G129:$AF129)),System_Mkt_Repl!$F342:$AE342+System_Mkt_NC!$G342:$AF342)/SUM(IF($G$194:$AF$194&gt;=ROUND(IF((S$194-Sys_Repl_Rate!S88)&lt;Tech_Specs!$C16,Tech_Specs!$C16,(S$194-Sys_Repl_Rate!S88)),0),IF($G$194:$AF$194&lt;=S$194,System_Mkt_Repl!$F342:$AE342+System_Mkt_NC!$G342:$AF342)))))</f>
        <v>1</v>
      </c>
      <c r="T203" s="373">
        <f t="array" ref="T203">IF(T$194=Misc_Inputs!$D$6,$G129,IF(SUM(IF($G$194:$AF$194&gt;=ROUND(IF((T$194-Sys_Repl_Rate!T88)&lt;Tech_Specs!$C16,Tech_Specs!$C16,(T$194-Sys_Repl_Rate!T88)),0),IF($G$194:$AF$194&lt;=T$194,System_Mkt_Repl!$F342:$AE342+System_Mkt_NC!$G342:$AF342)))=0,S203,SUMPRODUCT(IF($G$194:$AF$194&gt;=ROUND(IF((T$194-Sys_Repl_Rate!T88)&lt;Tech_Specs!$C16,Tech_Specs!$C16,(T$194-Sys_Repl_Rate!T88)),0),IF($G$194:$AF$194&lt;=T$194,$G129:$AF129)),System_Mkt_Repl!$F342:$AE342+System_Mkt_NC!$G342:$AF342)/SUM(IF($G$194:$AF$194&gt;=ROUND(IF((T$194-Sys_Repl_Rate!T88)&lt;Tech_Specs!$C16,Tech_Specs!$C16,(T$194-Sys_Repl_Rate!T88)),0),IF($G$194:$AF$194&lt;=T$194,System_Mkt_Repl!$F342:$AE342+System_Mkt_NC!$G342:$AF342)))))</f>
        <v>1</v>
      </c>
      <c r="U203" s="373">
        <f t="array" ref="U203">IF(U$194=Misc_Inputs!$D$6,$G129,IF(SUM(IF($G$194:$AF$194&gt;=ROUND(IF((U$194-Sys_Repl_Rate!U88)&lt;Tech_Specs!$C16,Tech_Specs!$C16,(U$194-Sys_Repl_Rate!U88)),0),IF($G$194:$AF$194&lt;=U$194,System_Mkt_Repl!$F342:$AE342+System_Mkt_NC!$G342:$AF342)))=0,T203,SUMPRODUCT(IF($G$194:$AF$194&gt;=ROUND(IF((U$194-Sys_Repl_Rate!U88)&lt;Tech_Specs!$C16,Tech_Specs!$C16,(U$194-Sys_Repl_Rate!U88)),0),IF($G$194:$AF$194&lt;=U$194,$G129:$AF129)),System_Mkt_Repl!$F342:$AE342+System_Mkt_NC!$G342:$AF342)/SUM(IF($G$194:$AF$194&gt;=ROUND(IF((U$194-Sys_Repl_Rate!U88)&lt;Tech_Specs!$C16,Tech_Specs!$C16,(U$194-Sys_Repl_Rate!U88)),0),IF($G$194:$AF$194&lt;=U$194,System_Mkt_Repl!$F342:$AE342+System_Mkt_NC!$G342:$AF342)))))</f>
        <v>1</v>
      </c>
      <c r="V203" s="373">
        <f t="array" ref="V203">IF(V$194=Misc_Inputs!$D$6,$G129,IF(SUM(IF($G$194:$AF$194&gt;=ROUND(IF((V$194-Sys_Repl_Rate!V88)&lt;Tech_Specs!$C16,Tech_Specs!$C16,(V$194-Sys_Repl_Rate!V88)),0),IF($G$194:$AF$194&lt;=V$194,System_Mkt_Repl!$F342:$AE342+System_Mkt_NC!$G342:$AF342)))=0,U203,SUMPRODUCT(IF($G$194:$AF$194&gt;=ROUND(IF((V$194-Sys_Repl_Rate!V88)&lt;Tech_Specs!$C16,Tech_Specs!$C16,(V$194-Sys_Repl_Rate!V88)),0),IF($G$194:$AF$194&lt;=V$194,$G129:$AF129)),System_Mkt_Repl!$F342:$AE342+System_Mkt_NC!$G342:$AF342)/SUM(IF($G$194:$AF$194&gt;=ROUND(IF((V$194-Sys_Repl_Rate!V88)&lt;Tech_Specs!$C16,Tech_Specs!$C16,(V$194-Sys_Repl_Rate!V88)),0),IF($G$194:$AF$194&lt;=V$194,System_Mkt_Repl!$F342:$AE342+System_Mkt_NC!$G342:$AF342)))))</f>
        <v>1</v>
      </c>
      <c r="W203" s="373">
        <f t="array" ref="W203">IF(W$194=Misc_Inputs!$D$6,$G129,IF(SUM(IF($G$194:$AF$194&gt;=ROUND(IF((W$194-Sys_Repl_Rate!W88)&lt;Tech_Specs!$C16,Tech_Specs!$C16,(W$194-Sys_Repl_Rate!W88)),0),IF($G$194:$AF$194&lt;=W$194,System_Mkt_Repl!$F342:$AE342+System_Mkt_NC!$G342:$AF342)))=0,V203,SUMPRODUCT(IF($G$194:$AF$194&gt;=ROUND(IF((W$194-Sys_Repl_Rate!W88)&lt;Tech_Specs!$C16,Tech_Specs!$C16,(W$194-Sys_Repl_Rate!W88)),0),IF($G$194:$AF$194&lt;=W$194,$G129:$AF129)),System_Mkt_Repl!$F342:$AE342+System_Mkt_NC!$G342:$AF342)/SUM(IF($G$194:$AF$194&gt;=ROUND(IF((W$194-Sys_Repl_Rate!W88)&lt;Tech_Specs!$C16,Tech_Specs!$C16,(W$194-Sys_Repl_Rate!W88)),0),IF($G$194:$AF$194&lt;=W$194,System_Mkt_Repl!$F342:$AE342+System_Mkt_NC!$G342:$AF342)))))</f>
        <v>1</v>
      </c>
      <c r="X203" s="373">
        <f t="array" ref="X203">IF(X$194=Misc_Inputs!$D$6,$G129,IF(SUM(IF($G$194:$AF$194&gt;=ROUND(IF((X$194-Sys_Repl_Rate!X88)&lt;Tech_Specs!$C16,Tech_Specs!$C16,(X$194-Sys_Repl_Rate!X88)),0),IF($G$194:$AF$194&lt;=X$194,System_Mkt_Repl!$F342:$AE342+System_Mkt_NC!$G342:$AF342)))=0,W203,SUMPRODUCT(IF($G$194:$AF$194&gt;=ROUND(IF((X$194-Sys_Repl_Rate!X88)&lt;Tech_Specs!$C16,Tech_Specs!$C16,(X$194-Sys_Repl_Rate!X88)),0),IF($G$194:$AF$194&lt;=X$194,$G129:$AF129)),System_Mkt_Repl!$F342:$AE342+System_Mkt_NC!$G342:$AF342)/SUM(IF($G$194:$AF$194&gt;=ROUND(IF((X$194-Sys_Repl_Rate!X88)&lt;Tech_Specs!$C16,Tech_Specs!$C16,(X$194-Sys_Repl_Rate!X88)),0),IF($G$194:$AF$194&lt;=X$194,System_Mkt_Repl!$F342:$AE342+System_Mkt_NC!$G342:$AF342)))))</f>
        <v>1</v>
      </c>
      <c r="Y203" s="373">
        <f t="array" ref="Y203">IF(Y$194=Misc_Inputs!$D$6,$G129,IF(SUM(IF($G$194:$AF$194&gt;=ROUND(IF((Y$194-Sys_Repl_Rate!Y88)&lt;Tech_Specs!$C16,Tech_Specs!$C16,(Y$194-Sys_Repl_Rate!Y88)),0),IF($G$194:$AF$194&lt;=Y$194,System_Mkt_Repl!$F342:$AE342+System_Mkt_NC!$G342:$AF342)))=0,X203,SUMPRODUCT(IF($G$194:$AF$194&gt;=ROUND(IF((Y$194-Sys_Repl_Rate!Y88)&lt;Tech_Specs!$C16,Tech_Specs!$C16,(Y$194-Sys_Repl_Rate!Y88)),0),IF($G$194:$AF$194&lt;=Y$194,$G129:$AF129)),System_Mkt_Repl!$F342:$AE342+System_Mkt_NC!$G342:$AF342)/SUM(IF($G$194:$AF$194&gt;=ROUND(IF((Y$194-Sys_Repl_Rate!Y88)&lt;Tech_Specs!$C16,Tech_Specs!$C16,(Y$194-Sys_Repl_Rate!Y88)),0),IF($G$194:$AF$194&lt;=Y$194,System_Mkt_Repl!$F342:$AE342+System_Mkt_NC!$G342:$AF342)))))</f>
        <v>1</v>
      </c>
      <c r="Z203" s="373">
        <f t="array" ref="Z203">IF(Z$194=Misc_Inputs!$D$6,$G129,IF(SUM(IF($G$194:$AF$194&gt;=ROUND(IF((Z$194-Sys_Repl_Rate!Z88)&lt;Tech_Specs!$C16,Tech_Specs!$C16,(Z$194-Sys_Repl_Rate!Z88)),0),IF($G$194:$AF$194&lt;=Z$194,System_Mkt_Repl!$F342:$AE342+System_Mkt_NC!$G342:$AF342)))=0,Y203,SUMPRODUCT(IF($G$194:$AF$194&gt;=ROUND(IF((Z$194-Sys_Repl_Rate!Z88)&lt;Tech_Specs!$C16,Tech_Specs!$C16,(Z$194-Sys_Repl_Rate!Z88)),0),IF($G$194:$AF$194&lt;=Z$194,$G129:$AF129)),System_Mkt_Repl!$F342:$AE342+System_Mkt_NC!$G342:$AF342)/SUM(IF($G$194:$AF$194&gt;=ROUND(IF((Z$194-Sys_Repl_Rate!Z88)&lt;Tech_Specs!$C16,Tech_Specs!$C16,(Z$194-Sys_Repl_Rate!Z88)),0),IF($G$194:$AF$194&lt;=Z$194,System_Mkt_Repl!$F342:$AE342+System_Mkt_NC!$G342:$AF342)))))</f>
        <v>1</v>
      </c>
      <c r="AA203" s="373">
        <f t="array" ref="AA203">IF(AA$194=Misc_Inputs!$D$6,$G129,IF(SUM(IF($G$194:$AF$194&gt;=ROUND(IF((AA$194-Sys_Repl_Rate!AA88)&lt;Tech_Specs!$C16,Tech_Specs!$C16,(AA$194-Sys_Repl_Rate!AA88)),0),IF($G$194:$AF$194&lt;=AA$194,System_Mkt_Repl!$F342:$AE342+System_Mkt_NC!$G342:$AF342)))=0,Z203,SUMPRODUCT(IF($G$194:$AF$194&gt;=ROUND(IF((AA$194-Sys_Repl_Rate!AA88)&lt;Tech_Specs!$C16,Tech_Specs!$C16,(AA$194-Sys_Repl_Rate!AA88)),0),IF($G$194:$AF$194&lt;=AA$194,$G129:$AF129)),System_Mkt_Repl!$F342:$AE342+System_Mkt_NC!$G342:$AF342)/SUM(IF($G$194:$AF$194&gt;=ROUND(IF((AA$194-Sys_Repl_Rate!AA88)&lt;Tech_Specs!$C16,Tech_Specs!$C16,(AA$194-Sys_Repl_Rate!AA88)),0),IF($G$194:$AF$194&lt;=AA$194,System_Mkt_Repl!$F342:$AE342+System_Mkt_NC!$G342:$AF342)))))</f>
        <v>1</v>
      </c>
      <c r="AB203" s="373">
        <f t="array" ref="AB203">IF(AB$194=Misc_Inputs!$D$6,$G129,IF(SUM(IF($G$194:$AF$194&gt;=ROUND(IF((AB$194-Sys_Repl_Rate!AB88)&lt;Tech_Specs!$C16,Tech_Specs!$C16,(AB$194-Sys_Repl_Rate!AB88)),0),IF($G$194:$AF$194&lt;=AB$194,System_Mkt_Repl!$F342:$AE342+System_Mkt_NC!$G342:$AF342)))=0,AA203,SUMPRODUCT(IF($G$194:$AF$194&gt;=ROUND(IF((AB$194-Sys_Repl_Rate!AB88)&lt;Tech_Specs!$C16,Tech_Specs!$C16,(AB$194-Sys_Repl_Rate!AB88)),0),IF($G$194:$AF$194&lt;=AB$194,$G129:$AF129)),System_Mkt_Repl!$F342:$AE342+System_Mkt_NC!$G342:$AF342)/SUM(IF($G$194:$AF$194&gt;=ROUND(IF((AB$194-Sys_Repl_Rate!AB88)&lt;Tech_Specs!$C16,Tech_Specs!$C16,(AB$194-Sys_Repl_Rate!AB88)),0),IF($G$194:$AF$194&lt;=AB$194,System_Mkt_Repl!$F342:$AE342+System_Mkt_NC!$G342:$AF342)))))</f>
        <v>1</v>
      </c>
      <c r="AC203" s="373">
        <f t="array" ref="AC203">IF(AC$194=Misc_Inputs!$D$6,$G129,IF(SUM(IF($G$194:$AF$194&gt;=ROUND(IF((AC$194-Sys_Repl_Rate!AC88)&lt;Tech_Specs!$C16,Tech_Specs!$C16,(AC$194-Sys_Repl_Rate!AC88)),0),IF($G$194:$AF$194&lt;=AC$194,System_Mkt_Repl!$F342:$AE342+System_Mkt_NC!$G342:$AF342)))=0,AB203,SUMPRODUCT(IF($G$194:$AF$194&gt;=ROUND(IF((AC$194-Sys_Repl_Rate!AC88)&lt;Tech_Specs!$C16,Tech_Specs!$C16,(AC$194-Sys_Repl_Rate!AC88)),0),IF($G$194:$AF$194&lt;=AC$194,$G129:$AF129)),System_Mkt_Repl!$F342:$AE342+System_Mkt_NC!$G342:$AF342)/SUM(IF($G$194:$AF$194&gt;=ROUND(IF((AC$194-Sys_Repl_Rate!AC88)&lt;Tech_Specs!$C16,Tech_Specs!$C16,(AC$194-Sys_Repl_Rate!AC88)),0),IF($G$194:$AF$194&lt;=AC$194,System_Mkt_Repl!$F342:$AE342+System_Mkt_NC!$G342:$AF342)))))</f>
        <v>1</v>
      </c>
      <c r="AD203" s="373">
        <f t="array" ref="AD203">IF(AD$194=Misc_Inputs!$D$6,$G129,IF(SUM(IF($G$194:$AF$194&gt;=ROUND(IF((AD$194-Sys_Repl_Rate!AD88)&lt;Tech_Specs!$C16,Tech_Specs!$C16,(AD$194-Sys_Repl_Rate!AD88)),0),IF($G$194:$AF$194&lt;=AD$194,System_Mkt_Repl!$F342:$AE342+System_Mkt_NC!$G342:$AF342)))=0,AC203,SUMPRODUCT(IF($G$194:$AF$194&gt;=ROUND(IF((AD$194-Sys_Repl_Rate!AD88)&lt;Tech_Specs!$C16,Tech_Specs!$C16,(AD$194-Sys_Repl_Rate!AD88)),0),IF($G$194:$AF$194&lt;=AD$194,$G129:$AF129)),System_Mkt_Repl!$F342:$AE342+System_Mkt_NC!$G342:$AF342)/SUM(IF($G$194:$AF$194&gt;=ROUND(IF((AD$194-Sys_Repl_Rate!AD88)&lt;Tech_Specs!$C16,Tech_Specs!$C16,(AD$194-Sys_Repl_Rate!AD88)),0),IF($G$194:$AF$194&lt;=AD$194,System_Mkt_Repl!$F342:$AE342+System_Mkt_NC!$G342:$AF342)))))</f>
        <v>1</v>
      </c>
      <c r="AE203" s="373">
        <f t="array" ref="AE203">IF(AE$194=Misc_Inputs!$D$6,$G129,IF(SUM(IF($G$194:$AF$194&gt;=ROUND(IF((AE$194-Sys_Repl_Rate!AE88)&lt;Tech_Specs!$C16,Tech_Specs!$C16,(AE$194-Sys_Repl_Rate!AE88)),0),IF($G$194:$AF$194&lt;=AE$194,System_Mkt_Repl!$F342:$AE342+System_Mkt_NC!$G342:$AF342)))=0,AD203,SUMPRODUCT(IF($G$194:$AF$194&gt;=ROUND(IF((AE$194-Sys_Repl_Rate!AE88)&lt;Tech_Specs!$C16,Tech_Specs!$C16,(AE$194-Sys_Repl_Rate!AE88)),0),IF($G$194:$AF$194&lt;=AE$194,$G129:$AF129)),System_Mkt_Repl!$F342:$AE342+System_Mkt_NC!$G342:$AF342)/SUM(IF($G$194:$AF$194&gt;=ROUND(IF((AE$194-Sys_Repl_Rate!AE88)&lt;Tech_Specs!$C16,Tech_Specs!$C16,(AE$194-Sys_Repl_Rate!AE88)),0),IF($G$194:$AF$194&lt;=AE$194,System_Mkt_Repl!$F342:$AE342+System_Mkt_NC!$G342:$AF342)))))</f>
        <v>1</v>
      </c>
      <c r="AF203" s="373">
        <f t="array" ref="AF203">IF(AF$194=Misc_Inputs!$D$6,$G129,IF(SUM(IF($G$194:$AF$194&gt;=ROUND(IF((AF$194-Sys_Repl_Rate!AF88)&lt;Tech_Specs!$C16,Tech_Specs!$C16,(AF$194-Sys_Repl_Rate!AF88)),0),IF($G$194:$AF$194&lt;=AF$194,System_Mkt_Repl!$F342:$AE342+System_Mkt_NC!$G342:$AF342)))=0,AE203,SUMPRODUCT(IF($G$194:$AF$194&gt;=ROUND(IF((AF$194-Sys_Repl_Rate!AF88)&lt;Tech_Specs!$C16,Tech_Specs!$C16,(AF$194-Sys_Repl_Rate!AF88)),0),IF($G$194:$AF$194&lt;=AF$194,$G129:$AF129)),System_Mkt_Repl!$F342:$AE342+System_Mkt_NC!$G342:$AF342)/SUM(IF($G$194:$AF$194&gt;=ROUND(IF((AF$194-Sys_Repl_Rate!AF88)&lt;Tech_Specs!$C16,Tech_Specs!$C16,(AF$194-Sys_Repl_Rate!AF88)),0),IF($G$194:$AF$194&lt;=AF$194,System_Mkt_Repl!$F342:$AE342+System_Mkt_NC!$G342:$AF342)))))</f>
        <v>1</v>
      </c>
    </row>
    <row r="204" spans="1:32" s="282" customFormat="1" ht="12.75" x14ac:dyDescent="0.2">
      <c r="A204" s="278"/>
      <c r="B204" s="282" t="s">
        <v>35</v>
      </c>
      <c r="C204" s="278"/>
      <c r="D204" s="550"/>
      <c r="E204" s="550"/>
      <c r="F204" s="550"/>
      <c r="G204" s="373">
        <f t="array" ref="G204">IF(G$194=Misc_Inputs!$D$6,$G130,IF(SUM(IF($G$194:$AF$194&gt;=ROUND(IF((G$194-Sys_Repl_Rate!G89)&lt;Tech_Specs!$C17,Tech_Specs!$C17,(G$194-Sys_Repl_Rate!G89)),0),IF($G$194:$AF$194&lt;=G$194,System_Mkt_Repl!$F343:$AE343+System_Mkt_NC!$G343:$AF343)))=0,C204,SUMPRODUCT(IF($G$194:$AF$194&gt;=ROUND(IF((G$194-Sys_Repl_Rate!G89)&lt;Tech_Specs!$C17,Tech_Specs!$C17,(G$194-Sys_Repl_Rate!G89)),0),IF($G$194:$AF$194&lt;=G$194,$G130:$AF130)),System_Mkt_Repl!$F343:$AE343+System_Mkt_NC!$G343:$AF343)/SUM(IF($G$194:$AF$194&gt;=ROUND(IF((G$194-Sys_Repl_Rate!G89)&lt;Tech_Specs!$C17,Tech_Specs!$C17,(G$194-Sys_Repl_Rate!G89)),0),IF($G$194:$AF$194&lt;=G$194,System_Mkt_Repl!$F343:$AE343+System_Mkt_NC!$G343:$AF343)))))</f>
        <v>1</v>
      </c>
      <c r="H204" s="373">
        <f t="array" ref="H204">IF(H$194=Misc_Inputs!$D$6,$G130,IF(SUM(IF($G$194:$AF$194&gt;=ROUND(IF((H$194-Sys_Repl_Rate!H89)&lt;Tech_Specs!$C17,Tech_Specs!$C17,(H$194-Sys_Repl_Rate!H89)),0),IF($G$194:$AF$194&lt;=H$194,System_Mkt_Repl!$F343:$AE343+System_Mkt_NC!$G343:$AF343)))=0,G204,SUMPRODUCT(IF($G$194:$AF$194&gt;=ROUND(IF((H$194-Sys_Repl_Rate!H89)&lt;Tech_Specs!$C17,Tech_Specs!$C17,(H$194-Sys_Repl_Rate!H89)),0),IF($G$194:$AF$194&lt;=H$194,$G130:$AF130)),System_Mkt_Repl!$F343:$AE343+System_Mkt_NC!$G343:$AF343)/SUM(IF($G$194:$AF$194&gt;=ROUND(IF((H$194-Sys_Repl_Rate!H89)&lt;Tech_Specs!$C17,Tech_Specs!$C17,(H$194-Sys_Repl_Rate!H89)),0),IF($G$194:$AF$194&lt;=H$194,System_Mkt_Repl!$F343:$AE343+System_Mkt_NC!$G343:$AF343)))))</f>
        <v>1</v>
      </c>
      <c r="I204" s="373">
        <f t="array" ref="I204">IF(I$194=Misc_Inputs!$D$6,$G130,IF(SUM(IF($G$194:$AF$194&gt;=ROUND(IF((I$194-Sys_Repl_Rate!I89)&lt;Tech_Specs!$C17,Tech_Specs!$C17,(I$194-Sys_Repl_Rate!I89)),0),IF($G$194:$AF$194&lt;=I$194,System_Mkt_Repl!$F343:$AE343+System_Mkt_NC!$G343:$AF343)))=0,H204,SUMPRODUCT(IF($G$194:$AF$194&gt;=ROUND(IF((I$194-Sys_Repl_Rate!I89)&lt;Tech_Specs!$C17,Tech_Specs!$C17,(I$194-Sys_Repl_Rate!I89)),0),IF($G$194:$AF$194&lt;=I$194,$G130:$AF130)),System_Mkt_Repl!$F343:$AE343+System_Mkt_NC!$G343:$AF343)/SUM(IF($G$194:$AF$194&gt;=ROUND(IF((I$194-Sys_Repl_Rate!I89)&lt;Tech_Specs!$C17,Tech_Specs!$C17,(I$194-Sys_Repl_Rate!I89)),0),IF($G$194:$AF$194&lt;=I$194,System_Mkt_Repl!$F343:$AE343+System_Mkt_NC!$G343:$AF343)))))</f>
        <v>1</v>
      </c>
      <c r="J204" s="373">
        <f t="array" ref="J204">IF(J$194=Misc_Inputs!$D$6,$G130,IF(SUM(IF($G$194:$AF$194&gt;=ROUND(IF((J$194-Sys_Repl_Rate!J89)&lt;Tech_Specs!$C17,Tech_Specs!$C17,(J$194-Sys_Repl_Rate!J89)),0),IF($G$194:$AF$194&lt;=J$194,System_Mkt_Repl!$F343:$AE343+System_Mkt_NC!$G343:$AF343)))=0,I204,SUMPRODUCT(IF($G$194:$AF$194&gt;=ROUND(IF((J$194-Sys_Repl_Rate!J89)&lt;Tech_Specs!$C17,Tech_Specs!$C17,(J$194-Sys_Repl_Rate!J89)),0),IF($G$194:$AF$194&lt;=J$194,$G130:$AF130)),System_Mkt_Repl!$F343:$AE343+System_Mkt_NC!$G343:$AF343)/SUM(IF($G$194:$AF$194&gt;=ROUND(IF((J$194-Sys_Repl_Rate!J89)&lt;Tech_Specs!$C17,Tech_Specs!$C17,(J$194-Sys_Repl_Rate!J89)),0),IF($G$194:$AF$194&lt;=J$194,System_Mkt_Repl!$F343:$AE343+System_Mkt_NC!$G343:$AF343)))))</f>
        <v>1</v>
      </c>
      <c r="K204" s="373">
        <f t="array" ref="K204">IF(K$194=Misc_Inputs!$D$6,$G130,IF(SUM(IF($G$194:$AF$194&gt;=ROUND(IF((K$194-Sys_Repl_Rate!K89)&lt;Tech_Specs!$C17,Tech_Specs!$C17,(K$194-Sys_Repl_Rate!K89)),0),IF($G$194:$AF$194&lt;=K$194,System_Mkt_Repl!$F343:$AE343+System_Mkt_NC!$G343:$AF343)))=0,J204,SUMPRODUCT(IF($G$194:$AF$194&gt;=ROUND(IF((K$194-Sys_Repl_Rate!K89)&lt;Tech_Specs!$C17,Tech_Specs!$C17,(K$194-Sys_Repl_Rate!K89)),0),IF($G$194:$AF$194&lt;=K$194,$G130:$AF130)),System_Mkt_Repl!$F343:$AE343+System_Mkt_NC!$G343:$AF343)/SUM(IF($G$194:$AF$194&gt;=ROUND(IF((K$194-Sys_Repl_Rate!K89)&lt;Tech_Specs!$C17,Tech_Specs!$C17,(K$194-Sys_Repl_Rate!K89)),0),IF($G$194:$AF$194&lt;=K$194,System_Mkt_Repl!$F343:$AE343+System_Mkt_NC!$G343:$AF343)))))</f>
        <v>1</v>
      </c>
      <c r="L204" s="373">
        <f t="array" ref="L204">IF(L$194=Misc_Inputs!$D$6,$G130,IF(SUM(IF($G$194:$AF$194&gt;=ROUND(IF((L$194-Sys_Repl_Rate!L89)&lt;Tech_Specs!$C17,Tech_Specs!$C17,(L$194-Sys_Repl_Rate!L89)),0),IF($G$194:$AF$194&lt;=L$194,System_Mkt_Repl!$F343:$AE343+System_Mkt_NC!$G343:$AF343)))=0,K204,SUMPRODUCT(IF($G$194:$AF$194&gt;=ROUND(IF((L$194-Sys_Repl_Rate!L89)&lt;Tech_Specs!$C17,Tech_Specs!$C17,(L$194-Sys_Repl_Rate!L89)),0),IF($G$194:$AF$194&lt;=L$194,$G130:$AF130)),System_Mkt_Repl!$F343:$AE343+System_Mkt_NC!$G343:$AF343)/SUM(IF($G$194:$AF$194&gt;=ROUND(IF((L$194-Sys_Repl_Rate!L89)&lt;Tech_Specs!$C17,Tech_Specs!$C17,(L$194-Sys_Repl_Rate!L89)),0),IF($G$194:$AF$194&lt;=L$194,System_Mkt_Repl!$F343:$AE343+System_Mkt_NC!$G343:$AF343)))))</f>
        <v>1</v>
      </c>
      <c r="M204" s="373">
        <f t="array" ref="M204">IF(M$194=Misc_Inputs!$D$6,$G130,IF(SUM(IF($G$194:$AF$194&gt;=ROUND(IF((M$194-Sys_Repl_Rate!M89)&lt;Tech_Specs!$C17,Tech_Specs!$C17,(M$194-Sys_Repl_Rate!M89)),0),IF($G$194:$AF$194&lt;=M$194,System_Mkt_Repl!$F343:$AE343+System_Mkt_NC!$G343:$AF343)))=0,L204,SUMPRODUCT(IF($G$194:$AF$194&gt;=ROUND(IF((M$194-Sys_Repl_Rate!M89)&lt;Tech_Specs!$C17,Tech_Specs!$C17,(M$194-Sys_Repl_Rate!M89)),0),IF($G$194:$AF$194&lt;=M$194,$G130:$AF130)),System_Mkt_Repl!$F343:$AE343+System_Mkt_NC!$G343:$AF343)/SUM(IF($G$194:$AF$194&gt;=ROUND(IF((M$194-Sys_Repl_Rate!M89)&lt;Tech_Specs!$C17,Tech_Specs!$C17,(M$194-Sys_Repl_Rate!M89)),0),IF($G$194:$AF$194&lt;=M$194,System_Mkt_Repl!$F343:$AE343+System_Mkt_NC!$G343:$AF343)))))</f>
        <v>1</v>
      </c>
      <c r="N204" s="373">
        <f t="array" ref="N204">IF(N$194=Misc_Inputs!$D$6,$G130,IF(SUM(IF($G$194:$AF$194&gt;=ROUND(IF((N$194-Sys_Repl_Rate!N89)&lt;Tech_Specs!$C17,Tech_Specs!$C17,(N$194-Sys_Repl_Rate!N89)),0),IF($G$194:$AF$194&lt;=N$194,System_Mkt_Repl!$F343:$AE343+System_Mkt_NC!$G343:$AF343)))=0,M204,SUMPRODUCT(IF($G$194:$AF$194&gt;=ROUND(IF((N$194-Sys_Repl_Rate!N89)&lt;Tech_Specs!$C17,Tech_Specs!$C17,(N$194-Sys_Repl_Rate!N89)),0),IF($G$194:$AF$194&lt;=N$194,$G130:$AF130)),System_Mkt_Repl!$F343:$AE343+System_Mkt_NC!$G343:$AF343)/SUM(IF($G$194:$AF$194&gt;=ROUND(IF((N$194-Sys_Repl_Rate!N89)&lt;Tech_Specs!$C17,Tech_Specs!$C17,(N$194-Sys_Repl_Rate!N89)),0),IF($G$194:$AF$194&lt;=N$194,System_Mkt_Repl!$F343:$AE343+System_Mkt_NC!$G343:$AF343)))))</f>
        <v>1</v>
      </c>
      <c r="O204" s="373">
        <f t="array" ref="O204">IF(O$194=Misc_Inputs!$D$6,$G130,IF(SUM(IF($G$194:$AF$194&gt;=ROUND(IF((O$194-Sys_Repl_Rate!O89)&lt;Tech_Specs!$C17,Tech_Specs!$C17,(O$194-Sys_Repl_Rate!O89)),0),IF($G$194:$AF$194&lt;=O$194,System_Mkt_Repl!$F343:$AE343+System_Mkt_NC!$G343:$AF343)))=0,N204,SUMPRODUCT(IF($G$194:$AF$194&gt;=ROUND(IF((O$194-Sys_Repl_Rate!O89)&lt;Tech_Specs!$C17,Tech_Specs!$C17,(O$194-Sys_Repl_Rate!O89)),0),IF($G$194:$AF$194&lt;=O$194,$G130:$AF130)),System_Mkt_Repl!$F343:$AE343+System_Mkt_NC!$G343:$AF343)/SUM(IF($G$194:$AF$194&gt;=ROUND(IF((O$194-Sys_Repl_Rate!O89)&lt;Tech_Specs!$C17,Tech_Specs!$C17,(O$194-Sys_Repl_Rate!O89)),0),IF($G$194:$AF$194&lt;=O$194,System_Mkt_Repl!$F343:$AE343+System_Mkt_NC!$G343:$AF343)))))</f>
        <v>1</v>
      </c>
      <c r="P204" s="373">
        <f t="array" ref="P204">IF(P$194=Misc_Inputs!$D$6,$G130,IF(SUM(IF($G$194:$AF$194&gt;=ROUND(IF((P$194-Sys_Repl_Rate!P89)&lt;Tech_Specs!$C17,Tech_Specs!$C17,(P$194-Sys_Repl_Rate!P89)),0),IF($G$194:$AF$194&lt;=P$194,System_Mkt_Repl!$F343:$AE343+System_Mkt_NC!$G343:$AF343)))=0,O204,SUMPRODUCT(IF($G$194:$AF$194&gt;=ROUND(IF((P$194-Sys_Repl_Rate!P89)&lt;Tech_Specs!$C17,Tech_Specs!$C17,(P$194-Sys_Repl_Rate!P89)),0),IF($G$194:$AF$194&lt;=P$194,$G130:$AF130)),System_Mkt_Repl!$F343:$AE343+System_Mkt_NC!$G343:$AF343)/SUM(IF($G$194:$AF$194&gt;=ROUND(IF((P$194-Sys_Repl_Rate!P89)&lt;Tech_Specs!$C17,Tech_Specs!$C17,(P$194-Sys_Repl_Rate!P89)),0),IF($G$194:$AF$194&lt;=P$194,System_Mkt_Repl!$F343:$AE343+System_Mkt_NC!$G343:$AF343)))))</f>
        <v>1</v>
      </c>
      <c r="Q204" s="373">
        <f t="array" ref="Q204">IF(Q$194=Misc_Inputs!$D$6,$G130,IF(SUM(IF($G$194:$AF$194&gt;=ROUND(IF((Q$194-Sys_Repl_Rate!Q89)&lt;Tech_Specs!$C17,Tech_Specs!$C17,(Q$194-Sys_Repl_Rate!Q89)),0),IF($G$194:$AF$194&lt;=Q$194,System_Mkt_Repl!$F343:$AE343+System_Mkt_NC!$G343:$AF343)))=0,P204,SUMPRODUCT(IF($G$194:$AF$194&gt;=ROUND(IF((Q$194-Sys_Repl_Rate!Q89)&lt;Tech_Specs!$C17,Tech_Specs!$C17,(Q$194-Sys_Repl_Rate!Q89)),0),IF($G$194:$AF$194&lt;=Q$194,$G130:$AF130)),System_Mkt_Repl!$F343:$AE343+System_Mkt_NC!$G343:$AF343)/SUM(IF($G$194:$AF$194&gt;=ROUND(IF((Q$194-Sys_Repl_Rate!Q89)&lt;Tech_Specs!$C17,Tech_Specs!$C17,(Q$194-Sys_Repl_Rate!Q89)),0),IF($G$194:$AF$194&lt;=Q$194,System_Mkt_Repl!$F343:$AE343+System_Mkt_NC!$G343:$AF343)))))</f>
        <v>1</v>
      </c>
      <c r="R204" s="373">
        <f t="array" ref="R204">IF(R$194=Misc_Inputs!$D$6,$G130,IF(SUM(IF($G$194:$AF$194&gt;=ROUND(IF((R$194-Sys_Repl_Rate!R89)&lt;Tech_Specs!$C17,Tech_Specs!$C17,(R$194-Sys_Repl_Rate!R89)),0),IF($G$194:$AF$194&lt;=R$194,System_Mkt_Repl!$F343:$AE343+System_Mkt_NC!$G343:$AF343)))=0,Q204,SUMPRODUCT(IF($G$194:$AF$194&gt;=ROUND(IF((R$194-Sys_Repl_Rate!R89)&lt;Tech_Specs!$C17,Tech_Specs!$C17,(R$194-Sys_Repl_Rate!R89)),0),IF($G$194:$AF$194&lt;=R$194,$G130:$AF130)),System_Mkt_Repl!$F343:$AE343+System_Mkt_NC!$G343:$AF343)/SUM(IF($G$194:$AF$194&gt;=ROUND(IF((R$194-Sys_Repl_Rate!R89)&lt;Tech_Specs!$C17,Tech_Specs!$C17,(R$194-Sys_Repl_Rate!R89)),0),IF($G$194:$AF$194&lt;=R$194,System_Mkt_Repl!$F343:$AE343+System_Mkt_NC!$G343:$AF343)))))</f>
        <v>1</v>
      </c>
      <c r="S204" s="373">
        <f t="array" ref="S204">IF(S$194=Misc_Inputs!$D$6,$G130,IF(SUM(IF($G$194:$AF$194&gt;=ROUND(IF((S$194-Sys_Repl_Rate!S89)&lt;Tech_Specs!$C17,Tech_Specs!$C17,(S$194-Sys_Repl_Rate!S89)),0),IF($G$194:$AF$194&lt;=S$194,System_Mkt_Repl!$F343:$AE343+System_Mkt_NC!$G343:$AF343)))=0,R204,SUMPRODUCT(IF($G$194:$AF$194&gt;=ROUND(IF((S$194-Sys_Repl_Rate!S89)&lt;Tech_Specs!$C17,Tech_Specs!$C17,(S$194-Sys_Repl_Rate!S89)),0),IF($G$194:$AF$194&lt;=S$194,$G130:$AF130)),System_Mkt_Repl!$F343:$AE343+System_Mkt_NC!$G343:$AF343)/SUM(IF($G$194:$AF$194&gt;=ROUND(IF((S$194-Sys_Repl_Rate!S89)&lt;Tech_Specs!$C17,Tech_Specs!$C17,(S$194-Sys_Repl_Rate!S89)),0),IF($G$194:$AF$194&lt;=S$194,System_Mkt_Repl!$F343:$AE343+System_Mkt_NC!$G343:$AF343)))))</f>
        <v>1</v>
      </c>
      <c r="T204" s="373">
        <f t="array" ref="T204">IF(T$194=Misc_Inputs!$D$6,$G130,IF(SUM(IF($G$194:$AF$194&gt;=ROUND(IF((T$194-Sys_Repl_Rate!T89)&lt;Tech_Specs!$C17,Tech_Specs!$C17,(T$194-Sys_Repl_Rate!T89)),0),IF($G$194:$AF$194&lt;=T$194,System_Mkt_Repl!$F343:$AE343+System_Mkt_NC!$G343:$AF343)))=0,S204,SUMPRODUCT(IF($G$194:$AF$194&gt;=ROUND(IF((T$194-Sys_Repl_Rate!T89)&lt;Tech_Specs!$C17,Tech_Specs!$C17,(T$194-Sys_Repl_Rate!T89)),0),IF($G$194:$AF$194&lt;=T$194,$G130:$AF130)),System_Mkt_Repl!$F343:$AE343+System_Mkt_NC!$G343:$AF343)/SUM(IF($G$194:$AF$194&gt;=ROUND(IF((T$194-Sys_Repl_Rate!T89)&lt;Tech_Specs!$C17,Tech_Specs!$C17,(T$194-Sys_Repl_Rate!T89)),0),IF($G$194:$AF$194&lt;=T$194,System_Mkt_Repl!$F343:$AE343+System_Mkt_NC!$G343:$AF343)))))</f>
        <v>1</v>
      </c>
      <c r="U204" s="373">
        <f t="array" ref="U204">IF(U$194=Misc_Inputs!$D$6,$G130,IF(SUM(IF($G$194:$AF$194&gt;=ROUND(IF((U$194-Sys_Repl_Rate!U89)&lt;Tech_Specs!$C17,Tech_Specs!$C17,(U$194-Sys_Repl_Rate!U89)),0),IF($G$194:$AF$194&lt;=U$194,System_Mkt_Repl!$F343:$AE343+System_Mkt_NC!$G343:$AF343)))=0,T204,SUMPRODUCT(IF($G$194:$AF$194&gt;=ROUND(IF((U$194-Sys_Repl_Rate!U89)&lt;Tech_Specs!$C17,Tech_Specs!$C17,(U$194-Sys_Repl_Rate!U89)),0),IF($G$194:$AF$194&lt;=U$194,$G130:$AF130)),System_Mkt_Repl!$F343:$AE343+System_Mkt_NC!$G343:$AF343)/SUM(IF($G$194:$AF$194&gt;=ROUND(IF((U$194-Sys_Repl_Rate!U89)&lt;Tech_Specs!$C17,Tech_Specs!$C17,(U$194-Sys_Repl_Rate!U89)),0),IF($G$194:$AF$194&lt;=U$194,System_Mkt_Repl!$F343:$AE343+System_Mkt_NC!$G343:$AF343)))))</f>
        <v>1</v>
      </c>
      <c r="V204" s="373">
        <f t="array" ref="V204">IF(V$194=Misc_Inputs!$D$6,$G130,IF(SUM(IF($G$194:$AF$194&gt;=ROUND(IF((V$194-Sys_Repl_Rate!V89)&lt;Tech_Specs!$C17,Tech_Specs!$C17,(V$194-Sys_Repl_Rate!V89)),0),IF($G$194:$AF$194&lt;=V$194,System_Mkt_Repl!$F343:$AE343+System_Mkt_NC!$G343:$AF343)))=0,U204,SUMPRODUCT(IF($G$194:$AF$194&gt;=ROUND(IF((V$194-Sys_Repl_Rate!V89)&lt;Tech_Specs!$C17,Tech_Specs!$C17,(V$194-Sys_Repl_Rate!V89)),0),IF($G$194:$AF$194&lt;=V$194,$G130:$AF130)),System_Mkt_Repl!$F343:$AE343+System_Mkt_NC!$G343:$AF343)/SUM(IF($G$194:$AF$194&gt;=ROUND(IF((V$194-Sys_Repl_Rate!V89)&lt;Tech_Specs!$C17,Tech_Specs!$C17,(V$194-Sys_Repl_Rate!V89)),0),IF($G$194:$AF$194&lt;=V$194,System_Mkt_Repl!$F343:$AE343+System_Mkt_NC!$G343:$AF343)))))</f>
        <v>1</v>
      </c>
      <c r="W204" s="373">
        <f t="array" ref="W204">IF(W$194=Misc_Inputs!$D$6,$G130,IF(SUM(IF($G$194:$AF$194&gt;=ROUND(IF((W$194-Sys_Repl_Rate!W89)&lt;Tech_Specs!$C17,Tech_Specs!$C17,(W$194-Sys_Repl_Rate!W89)),0),IF($G$194:$AF$194&lt;=W$194,System_Mkt_Repl!$F343:$AE343+System_Mkt_NC!$G343:$AF343)))=0,V204,SUMPRODUCT(IF($G$194:$AF$194&gt;=ROUND(IF((W$194-Sys_Repl_Rate!W89)&lt;Tech_Specs!$C17,Tech_Specs!$C17,(W$194-Sys_Repl_Rate!W89)),0),IF($G$194:$AF$194&lt;=W$194,$G130:$AF130)),System_Mkt_Repl!$F343:$AE343+System_Mkt_NC!$G343:$AF343)/SUM(IF($G$194:$AF$194&gt;=ROUND(IF((W$194-Sys_Repl_Rate!W89)&lt;Tech_Specs!$C17,Tech_Specs!$C17,(W$194-Sys_Repl_Rate!W89)),0),IF($G$194:$AF$194&lt;=W$194,System_Mkt_Repl!$F343:$AE343+System_Mkt_NC!$G343:$AF343)))))</f>
        <v>1</v>
      </c>
      <c r="X204" s="373">
        <f t="array" ref="X204">IF(X$194=Misc_Inputs!$D$6,$G130,IF(SUM(IF($G$194:$AF$194&gt;=ROUND(IF((X$194-Sys_Repl_Rate!X89)&lt;Tech_Specs!$C17,Tech_Specs!$C17,(X$194-Sys_Repl_Rate!X89)),0),IF($G$194:$AF$194&lt;=X$194,System_Mkt_Repl!$F343:$AE343+System_Mkt_NC!$G343:$AF343)))=0,W204,SUMPRODUCT(IF($G$194:$AF$194&gt;=ROUND(IF((X$194-Sys_Repl_Rate!X89)&lt;Tech_Specs!$C17,Tech_Specs!$C17,(X$194-Sys_Repl_Rate!X89)),0),IF($G$194:$AF$194&lt;=X$194,$G130:$AF130)),System_Mkt_Repl!$F343:$AE343+System_Mkt_NC!$G343:$AF343)/SUM(IF($G$194:$AF$194&gt;=ROUND(IF((X$194-Sys_Repl_Rate!X89)&lt;Tech_Specs!$C17,Tech_Specs!$C17,(X$194-Sys_Repl_Rate!X89)),0),IF($G$194:$AF$194&lt;=X$194,System_Mkt_Repl!$F343:$AE343+System_Mkt_NC!$G343:$AF343)))))</f>
        <v>1</v>
      </c>
      <c r="Y204" s="373">
        <f t="array" ref="Y204">IF(Y$194=Misc_Inputs!$D$6,$G130,IF(SUM(IF($G$194:$AF$194&gt;=ROUND(IF((Y$194-Sys_Repl_Rate!Y89)&lt;Tech_Specs!$C17,Tech_Specs!$C17,(Y$194-Sys_Repl_Rate!Y89)),0),IF($G$194:$AF$194&lt;=Y$194,System_Mkt_Repl!$F343:$AE343+System_Mkt_NC!$G343:$AF343)))=0,X204,SUMPRODUCT(IF($G$194:$AF$194&gt;=ROUND(IF((Y$194-Sys_Repl_Rate!Y89)&lt;Tech_Specs!$C17,Tech_Specs!$C17,(Y$194-Sys_Repl_Rate!Y89)),0),IF($G$194:$AF$194&lt;=Y$194,$G130:$AF130)),System_Mkt_Repl!$F343:$AE343+System_Mkt_NC!$G343:$AF343)/SUM(IF($G$194:$AF$194&gt;=ROUND(IF((Y$194-Sys_Repl_Rate!Y89)&lt;Tech_Specs!$C17,Tech_Specs!$C17,(Y$194-Sys_Repl_Rate!Y89)),0),IF($G$194:$AF$194&lt;=Y$194,System_Mkt_Repl!$F343:$AE343+System_Mkt_NC!$G343:$AF343)))))</f>
        <v>1</v>
      </c>
      <c r="Z204" s="373">
        <f t="array" ref="Z204">IF(Z$194=Misc_Inputs!$D$6,$G130,IF(SUM(IF($G$194:$AF$194&gt;=ROUND(IF((Z$194-Sys_Repl_Rate!Z89)&lt;Tech_Specs!$C17,Tech_Specs!$C17,(Z$194-Sys_Repl_Rate!Z89)),0),IF($G$194:$AF$194&lt;=Z$194,System_Mkt_Repl!$F343:$AE343+System_Mkt_NC!$G343:$AF343)))=0,Y204,SUMPRODUCT(IF($G$194:$AF$194&gt;=ROUND(IF((Z$194-Sys_Repl_Rate!Z89)&lt;Tech_Specs!$C17,Tech_Specs!$C17,(Z$194-Sys_Repl_Rate!Z89)),0),IF($G$194:$AF$194&lt;=Z$194,$G130:$AF130)),System_Mkt_Repl!$F343:$AE343+System_Mkt_NC!$G343:$AF343)/SUM(IF($G$194:$AF$194&gt;=ROUND(IF((Z$194-Sys_Repl_Rate!Z89)&lt;Tech_Specs!$C17,Tech_Specs!$C17,(Z$194-Sys_Repl_Rate!Z89)),0),IF($G$194:$AF$194&lt;=Z$194,System_Mkt_Repl!$F343:$AE343+System_Mkt_NC!$G343:$AF343)))))</f>
        <v>1</v>
      </c>
      <c r="AA204" s="373">
        <f t="array" ref="AA204">IF(AA$194=Misc_Inputs!$D$6,$G130,IF(SUM(IF($G$194:$AF$194&gt;=ROUND(IF((AA$194-Sys_Repl_Rate!AA89)&lt;Tech_Specs!$C17,Tech_Specs!$C17,(AA$194-Sys_Repl_Rate!AA89)),0),IF($G$194:$AF$194&lt;=AA$194,System_Mkt_Repl!$F343:$AE343+System_Mkt_NC!$G343:$AF343)))=0,Z204,SUMPRODUCT(IF($G$194:$AF$194&gt;=ROUND(IF((AA$194-Sys_Repl_Rate!AA89)&lt;Tech_Specs!$C17,Tech_Specs!$C17,(AA$194-Sys_Repl_Rate!AA89)),0),IF($G$194:$AF$194&lt;=AA$194,$G130:$AF130)),System_Mkt_Repl!$F343:$AE343+System_Mkt_NC!$G343:$AF343)/SUM(IF($G$194:$AF$194&gt;=ROUND(IF((AA$194-Sys_Repl_Rate!AA89)&lt;Tech_Specs!$C17,Tech_Specs!$C17,(AA$194-Sys_Repl_Rate!AA89)),0),IF($G$194:$AF$194&lt;=AA$194,System_Mkt_Repl!$F343:$AE343+System_Mkt_NC!$G343:$AF343)))))</f>
        <v>1</v>
      </c>
      <c r="AB204" s="373">
        <f t="array" ref="AB204">IF(AB$194=Misc_Inputs!$D$6,$G130,IF(SUM(IF($G$194:$AF$194&gt;=ROUND(IF((AB$194-Sys_Repl_Rate!AB89)&lt;Tech_Specs!$C17,Tech_Specs!$C17,(AB$194-Sys_Repl_Rate!AB89)),0),IF($G$194:$AF$194&lt;=AB$194,System_Mkt_Repl!$F343:$AE343+System_Mkt_NC!$G343:$AF343)))=0,AA204,SUMPRODUCT(IF($G$194:$AF$194&gt;=ROUND(IF((AB$194-Sys_Repl_Rate!AB89)&lt;Tech_Specs!$C17,Tech_Specs!$C17,(AB$194-Sys_Repl_Rate!AB89)),0),IF($G$194:$AF$194&lt;=AB$194,$G130:$AF130)),System_Mkt_Repl!$F343:$AE343+System_Mkt_NC!$G343:$AF343)/SUM(IF($G$194:$AF$194&gt;=ROUND(IF((AB$194-Sys_Repl_Rate!AB89)&lt;Tech_Specs!$C17,Tech_Specs!$C17,(AB$194-Sys_Repl_Rate!AB89)),0),IF($G$194:$AF$194&lt;=AB$194,System_Mkt_Repl!$F343:$AE343+System_Mkt_NC!$G343:$AF343)))))</f>
        <v>1</v>
      </c>
      <c r="AC204" s="373">
        <f t="array" ref="AC204">IF(AC$194=Misc_Inputs!$D$6,$G130,IF(SUM(IF($G$194:$AF$194&gt;=ROUND(IF((AC$194-Sys_Repl_Rate!AC89)&lt;Tech_Specs!$C17,Tech_Specs!$C17,(AC$194-Sys_Repl_Rate!AC89)),0),IF($G$194:$AF$194&lt;=AC$194,System_Mkt_Repl!$F343:$AE343+System_Mkt_NC!$G343:$AF343)))=0,AB204,SUMPRODUCT(IF($G$194:$AF$194&gt;=ROUND(IF((AC$194-Sys_Repl_Rate!AC89)&lt;Tech_Specs!$C17,Tech_Specs!$C17,(AC$194-Sys_Repl_Rate!AC89)),0),IF($G$194:$AF$194&lt;=AC$194,$G130:$AF130)),System_Mkt_Repl!$F343:$AE343+System_Mkt_NC!$G343:$AF343)/SUM(IF($G$194:$AF$194&gt;=ROUND(IF((AC$194-Sys_Repl_Rate!AC89)&lt;Tech_Specs!$C17,Tech_Specs!$C17,(AC$194-Sys_Repl_Rate!AC89)),0),IF($G$194:$AF$194&lt;=AC$194,System_Mkt_Repl!$F343:$AE343+System_Mkt_NC!$G343:$AF343)))))</f>
        <v>1</v>
      </c>
      <c r="AD204" s="373">
        <f t="array" ref="AD204">IF(AD$194=Misc_Inputs!$D$6,$G130,IF(SUM(IF($G$194:$AF$194&gt;=ROUND(IF((AD$194-Sys_Repl_Rate!AD89)&lt;Tech_Specs!$C17,Tech_Specs!$C17,(AD$194-Sys_Repl_Rate!AD89)),0),IF($G$194:$AF$194&lt;=AD$194,System_Mkt_Repl!$F343:$AE343+System_Mkt_NC!$G343:$AF343)))=0,AC204,SUMPRODUCT(IF($G$194:$AF$194&gt;=ROUND(IF((AD$194-Sys_Repl_Rate!AD89)&lt;Tech_Specs!$C17,Tech_Specs!$C17,(AD$194-Sys_Repl_Rate!AD89)),0),IF($G$194:$AF$194&lt;=AD$194,$G130:$AF130)),System_Mkt_Repl!$F343:$AE343+System_Mkt_NC!$G343:$AF343)/SUM(IF($G$194:$AF$194&gt;=ROUND(IF((AD$194-Sys_Repl_Rate!AD89)&lt;Tech_Specs!$C17,Tech_Specs!$C17,(AD$194-Sys_Repl_Rate!AD89)),0),IF($G$194:$AF$194&lt;=AD$194,System_Mkt_Repl!$F343:$AE343+System_Mkt_NC!$G343:$AF343)))))</f>
        <v>1</v>
      </c>
      <c r="AE204" s="373">
        <f t="array" ref="AE204">IF(AE$194=Misc_Inputs!$D$6,$G130,IF(SUM(IF($G$194:$AF$194&gt;=ROUND(IF((AE$194-Sys_Repl_Rate!AE89)&lt;Tech_Specs!$C17,Tech_Specs!$C17,(AE$194-Sys_Repl_Rate!AE89)),0),IF($G$194:$AF$194&lt;=AE$194,System_Mkt_Repl!$F343:$AE343+System_Mkt_NC!$G343:$AF343)))=0,AD204,SUMPRODUCT(IF($G$194:$AF$194&gt;=ROUND(IF((AE$194-Sys_Repl_Rate!AE89)&lt;Tech_Specs!$C17,Tech_Specs!$C17,(AE$194-Sys_Repl_Rate!AE89)),0),IF($G$194:$AF$194&lt;=AE$194,$G130:$AF130)),System_Mkt_Repl!$F343:$AE343+System_Mkt_NC!$G343:$AF343)/SUM(IF($G$194:$AF$194&gt;=ROUND(IF((AE$194-Sys_Repl_Rate!AE89)&lt;Tech_Specs!$C17,Tech_Specs!$C17,(AE$194-Sys_Repl_Rate!AE89)),0),IF($G$194:$AF$194&lt;=AE$194,System_Mkt_Repl!$F343:$AE343+System_Mkt_NC!$G343:$AF343)))))</f>
        <v>1</v>
      </c>
      <c r="AF204" s="373">
        <f t="array" ref="AF204">IF(AF$194=Misc_Inputs!$D$6,$G130,IF(SUM(IF($G$194:$AF$194&gt;=ROUND(IF((AF$194-Sys_Repl_Rate!AF89)&lt;Tech_Specs!$C17,Tech_Specs!$C17,(AF$194-Sys_Repl_Rate!AF89)),0),IF($G$194:$AF$194&lt;=AF$194,System_Mkt_Repl!$F343:$AE343+System_Mkt_NC!$G343:$AF343)))=0,AE204,SUMPRODUCT(IF($G$194:$AF$194&gt;=ROUND(IF((AF$194-Sys_Repl_Rate!AF89)&lt;Tech_Specs!$C17,Tech_Specs!$C17,(AF$194-Sys_Repl_Rate!AF89)),0),IF($G$194:$AF$194&lt;=AF$194,$G130:$AF130)),System_Mkt_Repl!$F343:$AE343+System_Mkt_NC!$G343:$AF343)/SUM(IF($G$194:$AF$194&gt;=ROUND(IF((AF$194-Sys_Repl_Rate!AF89)&lt;Tech_Specs!$C17,Tech_Specs!$C17,(AF$194-Sys_Repl_Rate!AF89)),0),IF($G$194:$AF$194&lt;=AF$194,System_Mkt_Repl!$F343:$AE343+System_Mkt_NC!$G343:$AF343)))))</f>
        <v>1</v>
      </c>
    </row>
    <row r="205" spans="1:32" s="282" customFormat="1" ht="12.75" x14ac:dyDescent="0.2">
      <c r="A205" s="278"/>
      <c r="B205" s="282" t="s">
        <v>29</v>
      </c>
      <c r="C205" s="278"/>
      <c r="D205" s="550"/>
      <c r="E205" s="550"/>
      <c r="F205" s="550"/>
      <c r="G205" s="373">
        <f t="array" ref="G205">IF(G$194=Misc_Inputs!$D$6,$G131,IF(SUM(IF($G$194:$AF$194&gt;=ROUND(IF((G$194-Sys_Repl_Rate!G90)&lt;Tech_Specs!$C18,Tech_Specs!$C18,(G$194-Sys_Repl_Rate!G90)),0),IF($G$194:$AF$194&lt;=G$194,System_Mkt_Repl!$F344:$AE344+System_Mkt_NC!$G344:$AF344)))=0,C205,SUMPRODUCT(IF($G$194:$AF$194&gt;=ROUND(IF((G$194-Sys_Repl_Rate!G90)&lt;Tech_Specs!$C18,Tech_Specs!$C18,(G$194-Sys_Repl_Rate!G90)),0),IF($G$194:$AF$194&lt;=G$194,$G131:$AF131)),System_Mkt_Repl!$F344:$AE344+System_Mkt_NC!$G344:$AF344)/SUM(IF($G$194:$AF$194&gt;=ROUND(IF((G$194-Sys_Repl_Rate!G90)&lt;Tech_Specs!$C18,Tech_Specs!$C18,(G$194-Sys_Repl_Rate!G90)),0),IF($G$194:$AF$194&lt;=G$194,System_Mkt_Repl!$F344:$AE344+System_Mkt_NC!$G344:$AF344)))))</f>
        <v>1</v>
      </c>
      <c r="H205" s="373">
        <f t="array" ref="H205">IF(H$194=Misc_Inputs!$D$6,$G131,IF(SUM(IF($G$194:$AF$194&gt;=ROUND(IF((H$194-Sys_Repl_Rate!H90)&lt;Tech_Specs!$C18,Tech_Specs!$C18,(H$194-Sys_Repl_Rate!H90)),0),IF($G$194:$AF$194&lt;=H$194,System_Mkt_Repl!$F344:$AE344+System_Mkt_NC!$G344:$AF344)))=0,G205,SUMPRODUCT(IF($G$194:$AF$194&gt;=ROUND(IF((H$194-Sys_Repl_Rate!H90)&lt;Tech_Specs!$C18,Tech_Specs!$C18,(H$194-Sys_Repl_Rate!H90)),0),IF($G$194:$AF$194&lt;=H$194,$G131:$AF131)),System_Mkt_Repl!$F344:$AE344+System_Mkt_NC!$G344:$AF344)/SUM(IF($G$194:$AF$194&gt;=ROUND(IF((H$194-Sys_Repl_Rate!H90)&lt;Tech_Specs!$C18,Tech_Specs!$C18,(H$194-Sys_Repl_Rate!H90)),0),IF($G$194:$AF$194&lt;=H$194,System_Mkt_Repl!$F344:$AE344+System_Mkt_NC!$G344:$AF344)))))</f>
        <v>1</v>
      </c>
      <c r="I205" s="373">
        <f t="array" ref="I205">IF(I$194=Misc_Inputs!$D$6,$G131,IF(SUM(IF($G$194:$AF$194&gt;=ROUND(IF((I$194-Sys_Repl_Rate!I90)&lt;Tech_Specs!$C18,Tech_Specs!$C18,(I$194-Sys_Repl_Rate!I90)),0),IF($G$194:$AF$194&lt;=I$194,System_Mkt_Repl!$F344:$AE344+System_Mkt_NC!$G344:$AF344)))=0,H205,SUMPRODUCT(IF($G$194:$AF$194&gt;=ROUND(IF((I$194-Sys_Repl_Rate!I90)&lt;Tech_Specs!$C18,Tech_Specs!$C18,(I$194-Sys_Repl_Rate!I90)),0),IF($G$194:$AF$194&lt;=I$194,$G131:$AF131)),System_Mkt_Repl!$F344:$AE344+System_Mkt_NC!$G344:$AF344)/SUM(IF($G$194:$AF$194&gt;=ROUND(IF((I$194-Sys_Repl_Rate!I90)&lt;Tech_Specs!$C18,Tech_Specs!$C18,(I$194-Sys_Repl_Rate!I90)),0),IF($G$194:$AF$194&lt;=I$194,System_Mkt_Repl!$F344:$AE344+System_Mkt_NC!$G344:$AF344)))))</f>
        <v>1</v>
      </c>
      <c r="J205" s="373">
        <f t="array" ref="J205">IF(J$194=Misc_Inputs!$D$6,$G131,IF(SUM(IF($G$194:$AF$194&gt;=ROUND(IF((J$194-Sys_Repl_Rate!J90)&lt;Tech_Specs!$C18,Tech_Specs!$C18,(J$194-Sys_Repl_Rate!J90)),0),IF($G$194:$AF$194&lt;=J$194,System_Mkt_Repl!$F344:$AE344+System_Mkt_NC!$G344:$AF344)))=0,I205,SUMPRODUCT(IF($G$194:$AF$194&gt;=ROUND(IF((J$194-Sys_Repl_Rate!J90)&lt;Tech_Specs!$C18,Tech_Specs!$C18,(J$194-Sys_Repl_Rate!J90)),0),IF($G$194:$AF$194&lt;=J$194,$G131:$AF131)),System_Mkt_Repl!$F344:$AE344+System_Mkt_NC!$G344:$AF344)/SUM(IF($G$194:$AF$194&gt;=ROUND(IF((J$194-Sys_Repl_Rate!J90)&lt;Tech_Specs!$C18,Tech_Specs!$C18,(J$194-Sys_Repl_Rate!J90)),0),IF($G$194:$AF$194&lt;=J$194,System_Mkt_Repl!$F344:$AE344+System_Mkt_NC!$G344:$AF344)))))</f>
        <v>1</v>
      </c>
      <c r="K205" s="373">
        <f t="array" ref="K205">IF(K$194=Misc_Inputs!$D$6,$G131,IF(SUM(IF($G$194:$AF$194&gt;=ROUND(IF((K$194-Sys_Repl_Rate!K90)&lt;Tech_Specs!$C18,Tech_Specs!$C18,(K$194-Sys_Repl_Rate!K90)),0),IF($G$194:$AF$194&lt;=K$194,System_Mkt_Repl!$F344:$AE344+System_Mkt_NC!$G344:$AF344)))=0,J205,SUMPRODUCT(IF($G$194:$AF$194&gt;=ROUND(IF((K$194-Sys_Repl_Rate!K90)&lt;Tech_Specs!$C18,Tech_Specs!$C18,(K$194-Sys_Repl_Rate!K90)),0),IF($G$194:$AF$194&lt;=K$194,$G131:$AF131)),System_Mkt_Repl!$F344:$AE344+System_Mkt_NC!$G344:$AF344)/SUM(IF($G$194:$AF$194&gt;=ROUND(IF((K$194-Sys_Repl_Rate!K90)&lt;Tech_Specs!$C18,Tech_Specs!$C18,(K$194-Sys_Repl_Rate!K90)),0),IF($G$194:$AF$194&lt;=K$194,System_Mkt_Repl!$F344:$AE344+System_Mkt_NC!$G344:$AF344)))))</f>
        <v>1</v>
      </c>
      <c r="L205" s="373">
        <f t="array" ref="L205">IF(L$194=Misc_Inputs!$D$6,$G131,IF(SUM(IF($G$194:$AF$194&gt;=ROUND(IF((L$194-Sys_Repl_Rate!L90)&lt;Tech_Specs!$C18,Tech_Specs!$C18,(L$194-Sys_Repl_Rate!L90)),0),IF($G$194:$AF$194&lt;=L$194,System_Mkt_Repl!$F344:$AE344+System_Mkt_NC!$G344:$AF344)))=0,K205,SUMPRODUCT(IF($G$194:$AF$194&gt;=ROUND(IF((L$194-Sys_Repl_Rate!L90)&lt;Tech_Specs!$C18,Tech_Specs!$C18,(L$194-Sys_Repl_Rate!L90)),0),IF($G$194:$AF$194&lt;=L$194,$G131:$AF131)),System_Mkt_Repl!$F344:$AE344+System_Mkt_NC!$G344:$AF344)/SUM(IF($G$194:$AF$194&gt;=ROUND(IF((L$194-Sys_Repl_Rate!L90)&lt;Tech_Specs!$C18,Tech_Specs!$C18,(L$194-Sys_Repl_Rate!L90)),0),IF($G$194:$AF$194&lt;=L$194,System_Mkt_Repl!$F344:$AE344+System_Mkt_NC!$G344:$AF344)))))</f>
        <v>1</v>
      </c>
      <c r="M205" s="373">
        <f t="array" ref="M205">IF(M$194=Misc_Inputs!$D$6,$G131,IF(SUM(IF($G$194:$AF$194&gt;=ROUND(IF((M$194-Sys_Repl_Rate!M90)&lt;Tech_Specs!$C18,Tech_Specs!$C18,(M$194-Sys_Repl_Rate!M90)),0),IF($G$194:$AF$194&lt;=M$194,System_Mkt_Repl!$F344:$AE344+System_Mkt_NC!$G344:$AF344)))=0,L205,SUMPRODUCT(IF($G$194:$AF$194&gt;=ROUND(IF((M$194-Sys_Repl_Rate!M90)&lt;Tech_Specs!$C18,Tech_Specs!$C18,(M$194-Sys_Repl_Rate!M90)),0),IF($G$194:$AF$194&lt;=M$194,$G131:$AF131)),System_Mkt_Repl!$F344:$AE344+System_Mkt_NC!$G344:$AF344)/SUM(IF($G$194:$AF$194&gt;=ROUND(IF((M$194-Sys_Repl_Rate!M90)&lt;Tech_Specs!$C18,Tech_Specs!$C18,(M$194-Sys_Repl_Rate!M90)),0),IF($G$194:$AF$194&lt;=M$194,System_Mkt_Repl!$F344:$AE344+System_Mkt_NC!$G344:$AF344)))))</f>
        <v>1</v>
      </c>
      <c r="N205" s="373">
        <f t="array" ref="N205">IF(N$194=Misc_Inputs!$D$6,$G131,IF(SUM(IF($G$194:$AF$194&gt;=ROUND(IF((N$194-Sys_Repl_Rate!N90)&lt;Tech_Specs!$C18,Tech_Specs!$C18,(N$194-Sys_Repl_Rate!N90)),0),IF($G$194:$AF$194&lt;=N$194,System_Mkt_Repl!$F344:$AE344+System_Mkt_NC!$G344:$AF344)))=0,M205,SUMPRODUCT(IF($G$194:$AF$194&gt;=ROUND(IF((N$194-Sys_Repl_Rate!N90)&lt;Tech_Specs!$C18,Tech_Specs!$C18,(N$194-Sys_Repl_Rate!N90)),0),IF($G$194:$AF$194&lt;=N$194,$G131:$AF131)),System_Mkt_Repl!$F344:$AE344+System_Mkt_NC!$G344:$AF344)/SUM(IF($G$194:$AF$194&gt;=ROUND(IF((N$194-Sys_Repl_Rate!N90)&lt;Tech_Specs!$C18,Tech_Specs!$C18,(N$194-Sys_Repl_Rate!N90)),0),IF($G$194:$AF$194&lt;=N$194,System_Mkt_Repl!$F344:$AE344+System_Mkt_NC!$G344:$AF344)))))</f>
        <v>1</v>
      </c>
      <c r="O205" s="373">
        <f t="array" ref="O205">IF(O$194=Misc_Inputs!$D$6,$G131,IF(SUM(IF($G$194:$AF$194&gt;=ROUND(IF((O$194-Sys_Repl_Rate!O90)&lt;Tech_Specs!$C18,Tech_Specs!$C18,(O$194-Sys_Repl_Rate!O90)),0),IF($G$194:$AF$194&lt;=O$194,System_Mkt_Repl!$F344:$AE344+System_Mkt_NC!$G344:$AF344)))=0,N205,SUMPRODUCT(IF($G$194:$AF$194&gt;=ROUND(IF((O$194-Sys_Repl_Rate!O90)&lt;Tech_Specs!$C18,Tech_Specs!$C18,(O$194-Sys_Repl_Rate!O90)),0),IF($G$194:$AF$194&lt;=O$194,$G131:$AF131)),System_Mkt_Repl!$F344:$AE344+System_Mkt_NC!$G344:$AF344)/SUM(IF($G$194:$AF$194&gt;=ROUND(IF((O$194-Sys_Repl_Rate!O90)&lt;Tech_Specs!$C18,Tech_Specs!$C18,(O$194-Sys_Repl_Rate!O90)),0),IF($G$194:$AF$194&lt;=O$194,System_Mkt_Repl!$F344:$AE344+System_Mkt_NC!$G344:$AF344)))))</f>
        <v>1</v>
      </c>
      <c r="P205" s="373">
        <f t="array" ref="P205">IF(P$194=Misc_Inputs!$D$6,$G131,IF(SUM(IF($G$194:$AF$194&gt;=ROUND(IF((P$194-Sys_Repl_Rate!P90)&lt;Tech_Specs!$C18,Tech_Specs!$C18,(P$194-Sys_Repl_Rate!P90)),0),IF($G$194:$AF$194&lt;=P$194,System_Mkt_Repl!$F344:$AE344+System_Mkt_NC!$G344:$AF344)))=0,O205,SUMPRODUCT(IF($G$194:$AF$194&gt;=ROUND(IF((P$194-Sys_Repl_Rate!P90)&lt;Tech_Specs!$C18,Tech_Specs!$C18,(P$194-Sys_Repl_Rate!P90)),0),IF($G$194:$AF$194&lt;=P$194,$G131:$AF131)),System_Mkt_Repl!$F344:$AE344+System_Mkt_NC!$G344:$AF344)/SUM(IF($G$194:$AF$194&gt;=ROUND(IF((P$194-Sys_Repl_Rate!P90)&lt;Tech_Specs!$C18,Tech_Specs!$C18,(P$194-Sys_Repl_Rate!P90)),0),IF($G$194:$AF$194&lt;=P$194,System_Mkt_Repl!$F344:$AE344+System_Mkt_NC!$G344:$AF344)))))</f>
        <v>1</v>
      </c>
      <c r="Q205" s="373">
        <f t="array" ref="Q205">IF(Q$194=Misc_Inputs!$D$6,$G131,IF(SUM(IF($G$194:$AF$194&gt;=ROUND(IF((Q$194-Sys_Repl_Rate!Q90)&lt;Tech_Specs!$C18,Tech_Specs!$C18,(Q$194-Sys_Repl_Rate!Q90)),0),IF($G$194:$AF$194&lt;=Q$194,System_Mkt_Repl!$F344:$AE344+System_Mkt_NC!$G344:$AF344)))=0,P205,SUMPRODUCT(IF($G$194:$AF$194&gt;=ROUND(IF((Q$194-Sys_Repl_Rate!Q90)&lt;Tech_Specs!$C18,Tech_Specs!$C18,(Q$194-Sys_Repl_Rate!Q90)),0),IF($G$194:$AF$194&lt;=Q$194,$G131:$AF131)),System_Mkt_Repl!$F344:$AE344+System_Mkt_NC!$G344:$AF344)/SUM(IF($G$194:$AF$194&gt;=ROUND(IF((Q$194-Sys_Repl_Rate!Q90)&lt;Tech_Specs!$C18,Tech_Specs!$C18,(Q$194-Sys_Repl_Rate!Q90)),0),IF($G$194:$AF$194&lt;=Q$194,System_Mkt_Repl!$F344:$AE344+System_Mkt_NC!$G344:$AF344)))))</f>
        <v>1</v>
      </c>
      <c r="R205" s="373">
        <f t="array" ref="R205">IF(R$194=Misc_Inputs!$D$6,$G131,IF(SUM(IF($G$194:$AF$194&gt;=ROUND(IF((R$194-Sys_Repl_Rate!R90)&lt;Tech_Specs!$C18,Tech_Specs!$C18,(R$194-Sys_Repl_Rate!R90)),0),IF($G$194:$AF$194&lt;=R$194,System_Mkt_Repl!$F344:$AE344+System_Mkt_NC!$G344:$AF344)))=0,Q205,SUMPRODUCT(IF($G$194:$AF$194&gt;=ROUND(IF((R$194-Sys_Repl_Rate!R90)&lt;Tech_Specs!$C18,Tech_Specs!$C18,(R$194-Sys_Repl_Rate!R90)),0),IF($G$194:$AF$194&lt;=R$194,$G131:$AF131)),System_Mkt_Repl!$F344:$AE344+System_Mkt_NC!$G344:$AF344)/SUM(IF($G$194:$AF$194&gt;=ROUND(IF((R$194-Sys_Repl_Rate!R90)&lt;Tech_Specs!$C18,Tech_Specs!$C18,(R$194-Sys_Repl_Rate!R90)),0),IF($G$194:$AF$194&lt;=R$194,System_Mkt_Repl!$F344:$AE344+System_Mkt_NC!$G344:$AF344)))))</f>
        <v>1</v>
      </c>
      <c r="S205" s="373">
        <f t="array" ref="S205">IF(S$194=Misc_Inputs!$D$6,$G131,IF(SUM(IF($G$194:$AF$194&gt;=ROUND(IF((S$194-Sys_Repl_Rate!S90)&lt;Tech_Specs!$C18,Tech_Specs!$C18,(S$194-Sys_Repl_Rate!S90)),0),IF($G$194:$AF$194&lt;=S$194,System_Mkt_Repl!$F344:$AE344+System_Mkt_NC!$G344:$AF344)))=0,R205,SUMPRODUCT(IF($G$194:$AF$194&gt;=ROUND(IF((S$194-Sys_Repl_Rate!S90)&lt;Tech_Specs!$C18,Tech_Specs!$C18,(S$194-Sys_Repl_Rate!S90)),0),IF($G$194:$AF$194&lt;=S$194,$G131:$AF131)),System_Mkt_Repl!$F344:$AE344+System_Mkt_NC!$G344:$AF344)/SUM(IF($G$194:$AF$194&gt;=ROUND(IF((S$194-Sys_Repl_Rate!S90)&lt;Tech_Specs!$C18,Tech_Specs!$C18,(S$194-Sys_Repl_Rate!S90)),0),IF($G$194:$AF$194&lt;=S$194,System_Mkt_Repl!$F344:$AE344+System_Mkt_NC!$G344:$AF344)))))</f>
        <v>1</v>
      </c>
      <c r="T205" s="373">
        <f t="array" ref="T205">IF(T$194=Misc_Inputs!$D$6,$G131,IF(SUM(IF($G$194:$AF$194&gt;=ROUND(IF((T$194-Sys_Repl_Rate!T90)&lt;Tech_Specs!$C18,Tech_Specs!$C18,(T$194-Sys_Repl_Rate!T90)),0),IF($G$194:$AF$194&lt;=T$194,System_Mkt_Repl!$F344:$AE344+System_Mkt_NC!$G344:$AF344)))=0,S205,SUMPRODUCT(IF($G$194:$AF$194&gt;=ROUND(IF((T$194-Sys_Repl_Rate!T90)&lt;Tech_Specs!$C18,Tech_Specs!$C18,(T$194-Sys_Repl_Rate!T90)),0),IF($G$194:$AF$194&lt;=T$194,$G131:$AF131)),System_Mkt_Repl!$F344:$AE344+System_Mkt_NC!$G344:$AF344)/SUM(IF($G$194:$AF$194&gt;=ROUND(IF((T$194-Sys_Repl_Rate!T90)&lt;Tech_Specs!$C18,Tech_Specs!$C18,(T$194-Sys_Repl_Rate!T90)),0),IF($G$194:$AF$194&lt;=T$194,System_Mkt_Repl!$F344:$AE344+System_Mkt_NC!$G344:$AF344)))))</f>
        <v>1</v>
      </c>
      <c r="U205" s="373">
        <f t="array" ref="U205">IF(U$194=Misc_Inputs!$D$6,$G131,IF(SUM(IF($G$194:$AF$194&gt;=ROUND(IF((U$194-Sys_Repl_Rate!U90)&lt;Tech_Specs!$C18,Tech_Specs!$C18,(U$194-Sys_Repl_Rate!U90)),0),IF($G$194:$AF$194&lt;=U$194,System_Mkt_Repl!$F344:$AE344+System_Mkt_NC!$G344:$AF344)))=0,T205,SUMPRODUCT(IF($G$194:$AF$194&gt;=ROUND(IF((U$194-Sys_Repl_Rate!U90)&lt;Tech_Specs!$C18,Tech_Specs!$C18,(U$194-Sys_Repl_Rate!U90)),0),IF($G$194:$AF$194&lt;=U$194,$G131:$AF131)),System_Mkt_Repl!$F344:$AE344+System_Mkt_NC!$G344:$AF344)/SUM(IF($G$194:$AF$194&gt;=ROUND(IF((U$194-Sys_Repl_Rate!U90)&lt;Tech_Specs!$C18,Tech_Specs!$C18,(U$194-Sys_Repl_Rate!U90)),0),IF($G$194:$AF$194&lt;=U$194,System_Mkt_Repl!$F344:$AE344+System_Mkt_NC!$G344:$AF344)))))</f>
        <v>1</v>
      </c>
      <c r="V205" s="373">
        <f t="array" ref="V205">IF(V$194=Misc_Inputs!$D$6,$G131,IF(SUM(IF($G$194:$AF$194&gt;=ROUND(IF((V$194-Sys_Repl_Rate!V90)&lt;Tech_Specs!$C18,Tech_Specs!$C18,(V$194-Sys_Repl_Rate!V90)),0),IF($G$194:$AF$194&lt;=V$194,System_Mkt_Repl!$F344:$AE344+System_Mkt_NC!$G344:$AF344)))=0,U205,SUMPRODUCT(IF($G$194:$AF$194&gt;=ROUND(IF((V$194-Sys_Repl_Rate!V90)&lt;Tech_Specs!$C18,Tech_Specs!$C18,(V$194-Sys_Repl_Rate!V90)),0),IF($G$194:$AF$194&lt;=V$194,$G131:$AF131)),System_Mkt_Repl!$F344:$AE344+System_Mkt_NC!$G344:$AF344)/SUM(IF($G$194:$AF$194&gt;=ROUND(IF((V$194-Sys_Repl_Rate!V90)&lt;Tech_Specs!$C18,Tech_Specs!$C18,(V$194-Sys_Repl_Rate!V90)),0),IF($G$194:$AF$194&lt;=V$194,System_Mkt_Repl!$F344:$AE344+System_Mkt_NC!$G344:$AF344)))))</f>
        <v>1</v>
      </c>
      <c r="W205" s="373">
        <f t="array" ref="W205">IF(W$194=Misc_Inputs!$D$6,$G131,IF(SUM(IF($G$194:$AF$194&gt;=ROUND(IF((W$194-Sys_Repl_Rate!W90)&lt;Tech_Specs!$C18,Tech_Specs!$C18,(W$194-Sys_Repl_Rate!W90)),0),IF($G$194:$AF$194&lt;=W$194,System_Mkt_Repl!$F344:$AE344+System_Mkt_NC!$G344:$AF344)))=0,V205,SUMPRODUCT(IF($G$194:$AF$194&gt;=ROUND(IF((W$194-Sys_Repl_Rate!W90)&lt;Tech_Specs!$C18,Tech_Specs!$C18,(W$194-Sys_Repl_Rate!W90)),0),IF($G$194:$AF$194&lt;=W$194,$G131:$AF131)),System_Mkt_Repl!$F344:$AE344+System_Mkt_NC!$G344:$AF344)/SUM(IF($G$194:$AF$194&gt;=ROUND(IF((W$194-Sys_Repl_Rate!W90)&lt;Tech_Specs!$C18,Tech_Specs!$C18,(W$194-Sys_Repl_Rate!W90)),0),IF($G$194:$AF$194&lt;=W$194,System_Mkt_Repl!$F344:$AE344+System_Mkt_NC!$G344:$AF344)))))</f>
        <v>1</v>
      </c>
      <c r="X205" s="373">
        <f t="array" ref="X205">IF(X$194=Misc_Inputs!$D$6,$G131,IF(SUM(IF($G$194:$AF$194&gt;=ROUND(IF((X$194-Sys_Repl_Rate!X90)&lt;Tech_Specs!$C18,Tech_Specs!$C18,(X$194-Sys_Repl_Rate!X90)),0),IF($G$194:$AF$194&lt;=X$194,System_Mkt_Repl!$F344:$AE344+System_Mkt_NC!$G344:$AF344)))=0,W205,SUMPRODUCT(IF($G$194:$AF$194&gt;=ROUND(IF((X$194-Sys_Repl_Rate!X90)&lt;Tech_Specs!$C18,Tech_Specs!$C18,(X$194-Sys_Repl_Rate!X90)),0),IF($G$194:$AF$194&lt;=X$194,$G131:$AF131)),System_Mkt_Repl!$F344:$AE344+System_Mkt_NC!$G344:$AF344)/SUM(IF($G$194:$AF$194&gt;=ROUND(IF((X$194-Sys_Repl_Rate!X90)&lt;Tech_Specs!$C18,Tech_Specs!$C18,(X$194-Sys_Repl_Rate!X90)),0),IF($G$194:$AF$194&lt;=X$194,System_Mkt_Repl!$F344:$AE344+System_Mkt_NC!$G344:$AF344)))))</f>
        <v>1</v>
      </c>
      <c r="Y205" s="373">
        <f t="array" ref="Y205">IF(Y$194=Misc_Inputs!$D$6,$G131,IF(SUM(IF($G$194:$AF$194&gt;=ROUND(IF((Y$194-Sys_Repl_Rate!Y90)&lt;Tech_Specs!$C18,Tech_Specs!$C18,(Y$194-Sys_Repl_Rate!Y90)),0),IF($G$194:$AF$194&lt;=Y$194,System_Mkt_Repl!$F344:$AE344+System_Mkt_NC!$G344:$AF344)))=0,X205,SUMPRODUCT(IF($G$194:$AF$194&gt;=ROUND(IF((Y$194-Sys_Repl_Rate!Y90)&lt;Tech_Specs!$C18,Tech_Specs!$C18,(Y$194-Sys_Repl_Rate!Y90)),0),IF($G$194:$AF$194&lt;=Y$194,$G131:$AF131)),System_Mkt_Repl!$F344:$AE344+System_Mkt_NC!$G344:$AF344)/SUM(IF($G$194:$AF$194&gt;=ROUND(IF((Y$194-Sys_Repl_Rate!Y90)&lt;Tech_Specs!$C18,Tech_Specs!$C18,(Y$194-Sys_Repl_Rate!Y90)),0),IF($G$194:$AF$194&lt;=Y$194,System_Mkt_Repl!$F344:$AE344+System_Mkt_NC!$G344:$AF344)))))</f>
        <v>1</v>
      </c>
      <c r="Z205" s="373">
        <f t="array" ref="Z205">IF(Z$194=Misc_Inputs!$D$6,$G131,IF(SUM(IF($G$194:$AF$194&gt;=ROUND(IF((Z$194-Sys_Repl_Rate!Z90)&lt;Tech_Specs!$C18,Tech_Specs!$C18,(Z$194-Sys_Repl_Rate!Z90)),0),IF($G$194:$AF$194&lt;=Z$194,System_Mkt_Repl!$F344:$AE344+System_Mkt_NC!$G344:$AF344)))=0,Y205,SUMPRODUCT(IF($G$194:$AF$194&gt;=ROUND(IF((Z$194-Sys_Repl_Rate!Z90)&lt;Tech_Specs!$C18,Tech_Specs!$C18,(Z$194-Sys_Repl_Rate!Z90)),0),IF($G$194:$AF$194&lt;=Z$194,$G131:$AF131)),System_Mkt_Repl!$F344:$AE344+System_Mkt_NC!$G344:$AF344)/SUM(IF($G$194:$AF$194&gt;=ROUND(IF((Z$194-Sys_Repl_Rate!Z90)&lt;Tech_Specs!$C18,Tech_Specs!$C18,(Z$194-Sys_Repl_Rate!Z90)),0),IF($G$194:$AF$194&lt;=Z$194,System_Mkt_Repl!$F344:$AE344+System_Mkt_NC!$G344:$AF344)))))</f>
        <v>1</v>
      </c>
      <c r="AA205" s="373">
        <f t="array" ref="AA205">IF(AA$194=Misc_Inputs!$D$6,$G131,IF(SUM(IF($G$194:$AF$194&gt;=ROUND(IF((AA$194-Sys_Repl_Rate!AA90)&lt;Tech_Specs!$C18,Tech_Specs!$C18,(AA$194-Sys_Repl_Rate!AA90)),0),IF($G$194:$AF$194&lt;=AA$194,System_Mkt_Repl!$F344:$AE344+System_Mkt_NC!$G344:$AF344)))=0,Z205,SUMPRODUCT(IF($G$194:$AF$194&gt;=ROUND(IF((AA$194-Sys_Repl_Rate!AA90)&lt;Tech_Specs!$C18,Tech_Specs!$C18,(AA$194-Sys_Repl_Rate!AA90)),0),IF($G$194:$AF$194&lt;=AA$194,$G131:$AF131)),System_Mkt_Repl!$F344:$AE344+System_Mkt_NC!$G344:$AF344)/SUM(IF($G$194:$AF$194&gt;=ROUND(IF((AA$194-Sys_Repl_Rate!AA90)&lt;Tech_Specs!$C18,Tech_Specs!$C18,(AA$194-Sys_Repl_Rate!AA90)),0),IF($G$194:$AF$194&lt;=AA$194,System_Mkt_Repl!$F344:$AE344+System_Mkt_NC!$G344:$AF344)))))</f>
        <v>1</v>
      </c>
      <c r="AB205" s="373">
        <f t="array" ref="AB205">IF(AB$194=Misc_Inputs!$D$6,$G131,IF(SUM(IF($G$194:$AF$194&gt;=ROUND(IF((AB$194-Sys_Repl_Rate!AB90)&lt;Tech_Specs!$C18,Tech_Specs!$C18,(AB$194-Sys_Repl_Rate!AB90)),0),IF($G$194:$AF$194&lt;=AB$194,System_Mkt_Repl!$F344:$AE344+System_Mkt_NC!$G344:$AF344)))=0,AA205,SUMPRODUCT(IF($G$194:$AF$194&gt;=ROUND(IF((AB$194-Sys_Repl_Rate!AB90)&lt;Tech_Specs!$C18,Tech_Specs!$C18,(AB$194-Sys_Repl_Rate!AB90)),0),IF($G$194:$AF$194&lt;=AB$194,$G131:$AF131)),System_Mkt_Repl!$F344:$AE344+System_Mkt_NC!$G344:$AF344)/SUM(IF($G$194:$AF$194&gt;=ROUND(IF((AB$194-Sys_Repl_Rate!AB90)&lt;Tech_Specs!$C18,Tech_Specs!$C18,(AB$194-Sys_Repl_Rate!AB90)),0),IF($G$194:$AF$194&lt;=AB$194,System_Mkt_Repl!$F344:$AE344+System_Mkt_NC!$G344:$AF344)))))</f>
        <v>1</v>
      </c>
      <c r="AC205" s="373">
        <f t="array" ref="AC205">IF(AC$194=Misc_Inputs!$D$6,$G131,IF(SUM(IF($G$194:$AF$194&gt;=ROUND(IF((AC$194-Sys_Repl_Rate!AC90)&lt;Tech_Specs!$C18,Tech_Specs!$C18,(AC$194-Sys_Repl_Rate!AC90)),0),IF($G$194:$AF$194&lt;=AC$194,System_Mkt_Repl!$F344:$AE344+System_Mkt_NC!$G344:$AF344)))=0,AB205,SUMPRODUCT(IF($G$194:$AF$194&gt;=ROUND(IF((AC$194-Sys_Repl_Rate!AC90)&lt;Tech_Specs!$C18,Tech_Specs!$C18,(AC$194-Sys_Repl_Rate!AC90)),0),IF($G$194:$AF$194&lt;=AC$194,$G131:$AF131)),System_Mkt_Repl!$F344:$AE344+System_Mkt_NC!$G344:$AF344)/SUM(IF($G$194:$AF$194&gt;=ROUND(IF((AC$194-Sys_Repl_Rate!AC90)&lt;Tech_Specs!$C18,Tech_Specs!$C18,(AC$194-Sys_Repl_Rate!AC90)),0),IF($G$194:$AF$194&lt;=AC$194,System_Mkt_Repl!$F344:$AE344+System_Mkt_NC!$G344:$AF344)))))</f>
        <v>1</v>
      </c>
      <c r="AD205" s="373">
        <f t="array" ref="AD205">IF(AD$194=Misc_Inputs!$D$6,$G131,IF(SUM(IF($G$194:$AF$194&gt;=ROUND(IF((AD$194-Sys_Repl_Rate!AD90)&lt;Tech_Specs!$C18,Tech_Specs!$C18,(AD$194-Sys_Repl_Rate!AD90)),0),IF($G$194:$AF$194&lt;=AD$194,System_Mkt_Repl!$F344:$AE344+System_Mkt_NC!$G344:$AF344)))=0,AC205,SUMPRODUCT(IF($G$194:$AF$194&gt;=ROUND(IF((AD$194-Sys_Repl_Rate!AD90)&lt;Tech_Specs!$C18,Tech_Specs!$C18,(AD$194-Sys_Repl_Rate!AD90)),0),IF($G$194:$AF$194&lt;=AD$194,$G131:$AF131)),System_Mkt_Repl!$F344:$AE344+System_Mkt_NC!$G344:$AF344)/SUM(IF($G$194:$AF$194&gt;=ROUND(IF((AD$194-Sys_Repl_Rate!AD90)&lt;Tech_Specs!$C18,Tech_Specs!$C18,(AD$194-Sys_Repl_Rate!AD90)),0),IF($G$194:$AF$194&lt;=AD$194,System_Mkt_Repl!$F344:$AE344+System_Mkt_NC!$G344:$AF344)))))</f>
        <v>1</v>
      </c>
      <c r="AE205" s="373">
        <f t="array" ref="AE205">IF(AE$194=Misc_Inputs!$D$6,$G131,IF(SUM(IF($G$194:$AF$194&gt;=ROUND(IF((AE$194-Sys_Repl_Rate!AE90)&lt;Tech_Specs!$C18,Tech_Specs!$C18,(AE$194-Sys_Repl_Rate!AE90)),0),IF($G$194:$AF$194&lt;=AE$194,System_Mkt_Repl!$F344:$AE344+System_Mkt_NC!$G344:$AF344)))=0,AD205,SUMPRODUCT(IF($G$194:$AF$194&gt;=ROUND(IF((AE$194-Sys_Repl_Rate!AE90)&lt;Tech_Specs!$C18,Tech_Specs!$C18,(AE$194-Sys_Repl_Rate!AE90)),0),IF($G$194:$AF$194&lt;=AE$194,$G131:$AF131)),System_Mkt_Repl!$F344:$AE344+System_Mkt_NC!$G344:$AF344)/SUM(IF($G$194:$AF$194&gt;=ROUND(IF((AE$194-Sys_Repl_Rate!AE90)&lt;Tech_Specs!$C18,Tech_Specs!$C18,(AE$194-Sys_Repl_Rate!AE90)),0),IF($G$194:$AF$194&lt;=AE$194,System_Mkt_Repl!$F344:$AE344+System_Mkt_NC!$G344:$AF344)))))</f>
        <v>1</v>
      </c>
      <c r="AF205" s="373">
        <f t="array" ref="AF205">IF(AF$194=Misc_Inputs!$D$6,$G131,IF(SUM(IF($G$194:$AF$194&gt;=ROUND(IF((AF$194-Sys_Repl_Rate!AF90)&lt;Tech_Specs!$C18,Tech_Specs!$C18,(AF$194-Sys_Repl_Rate!AF90)),0),IF($G$194:$AF$194&lt;=AF$194,System_Mkt_Repl!$F344:$AE344+System_Mkt_NC!$G344:$AF344)))=0,AE205,SUMPRODUCT(IF($G$194:$AF$194&gt;=ROUND(IF((AF$194-Sys_Repl_Rate!AF90)&lt;Tech_Specs!$C18,Tech_Specs!$C18,(AF$194-Sys_Repl_Rate!AF90)),0),IF($G$194:$AF$194&lt;=AF$194,$G131:$AF131)),System_Mkt_Repl!$F344:$AE344+System_Mkt_NC!$G344:$AF344)/SUM(IF($G$194:$AF$194&gt;=ROUND(IF((AF$194-Sys_Repl_Rate!AF90)&lt;Tech_Specs!$C18,Tech_Specs!$C18,(AF$194-Sys_Repl_Rate!AF90)),0),IF($G$194:$AF$194&lt;=AF$194,System_Mkt_Repl!$F344:$AE344+System_Mkt_NC!$G344:$AF344)))))</f>
        <v>1</v>
      </c>
    </row>
    <row r="206" spans="1:32" s="282" customFormat="1" ht="12.75" x14ac:dyDescent="0.2">
      <c r="A206" s="278"/>
      <c r="B206" s="278"/>
      <c r="C206" s="278"/>
      <c r="D206" s="550"/>
      <c r="E206" s="550"/>
      <c r="F206" s="550"/>
      <c r="G206" s="284"/>
      <c r="H206" s="284"/>
      <c r="I206" s="284"/>
      <c r="J206" s="284"/>
      <c r="K206" s="284"/>
      <c r="L206" s="284"/>
      <c r="M206" s="284"/>
      <c r="N206" s="284"/>
      <c r="O206" s="284"/>
      <c r="P206" s="284"/>
      <c r="Q206" s="284"/>
      <c r="R206" s="284"/>
      <c r="S206" s="284"/>
      <c r="T206" s="284"/>
      <c r="U206" s="284"/>
      <c r="V206" s="284"/>
      <c r="W206" s="284"/>
      <c r="X206" s="284"/>
      <c r="Y206" s="284"/>
      <c r="Z206" s="284"/>
      <c r="AA206" s="284"/>
      <c r="AB206" s="284"/>
      <c r="AC206" s="284"/>
      <c r="AD206" s="284"/>
      <c r="AE206" s="284"/>
      <c r="AF206" s="284"/>
    </row>
    <row r="207" spans="1:32" s="282" customFormat="1" ht="12.75" x14ac:dyDescent="0.2">
      <c r="A207" s="281" t="s">
        <v>36</v>
      </c>
      <c r="B207" s="280"/>
      <c r="C207" s="280"/>
      <c r="D207" s="501"/>
      <c r="E207" s="501"/>
      <c r="F207" s="501"/>
      <c r="G207" s="292"/>
      <c r="H207" s="280"/>
      <c r="I207" s="280"/>
      <c r="J207" s="280"/>
      <c r="K207" s="280"/>
      <c r="L207" s="280"/>
      <c r="M207" s="280"/>
      <c r="N207" s="280"/>
      <c r="O207" s="280"/>
      <c r="P207" s="280"/>
      <c r="Q207" s="280"/>
      <c r="R207" s="280"/>
      <c r="S207" s="280"/>
      <c r="T207" s="280"/>
      <c r="U207" s="280"/>
      <c r="V207" s="280"/>
      <c r="W207" s="280"/>
      <c r="X207" s="280"/>
      <c r="Y207" s="280"/>
      <c r="Z207" s="280"/>
      <c r="AA207" s="280"/>
      <c r="AB207" s="280"/>
      <c r="AC207" s="280"/>
      <c r="AD207" s="280"/>
      <c r="AE207" s="280"/>
      <c r="AF207" s="280"/>
    </row>
    <row r="208" spans="1:32" s="282" customFormat="1" ht="12.75" x14ac:dyDescent="0.2">
      <c r="A208" s="278"/>
      <c r="B208" s="278" t="s">
        <v>37</v>
      </c>
      <c r="C208" s="278"/>
      <c r="D208" s="550"/>
      <c r="E208" s="550"/>
      <c r="F208" s="550"/>
      <c r="G208" s="1179">
        <f t="array" ref="G208">IF(G$194=Misc_Inputs!$D$6,$G134,IF(SUM(IF($G$194:$AF$194&gt;=ROUND(IF((G$194-Sys_Repl_Rate!G93)&lt;Tech_Specs!$C21,Tech_Specs!$C21,(G$194-Sys_Repl_Rate!G93)),0),IF($G$194:$AF$194&lt;=G$194,System_Mkt_Repl!$F347:$AE347+System_Mkt_NC!$G347:$AF347)))=0,C208,SUMPRODUCT(IF($G$194:$AF$194&gt;=ROUND(IF((G$194-Sys_Repl_Rate!G93)&lt;Tech_Specs!$C21,Tech_Specs!$C21,(G$194-Sys_Repl_Rate!G93)),0),IF($G$194:$AF$194&lt;=G$194,$G134:$AF134)),System_Mkt_Repl!$F347:$AE347+System_Mkt_NC!$G347:$AF347)/SUM(IF($G$194:$AF$194&gt;=ROUND(IF((G$194-Sys_Repl_Rate!G93)&lt;Tech_Specs!$C21,Tech_Specs!$C21,(G$194-Sys_Repl_Rate!G93)),0),IF($G$194:$AF$194&lt;=G$194,System_Mkt_Repl!$F347:$AE347+System_Mkt_NC!$G347:$AF347)))))</f>
        <v>0.78202230148427576</v>
      </c>
      <c r="H208" s="1179">
        <f t="array" ref="H208">IF(H$194=Misc_Inputs!$D$6,$G134,IF(SUM(IF($G$194:$AF$194&gt;=ROUND(IF((H$194-Sys_Repl_Rate!H93)&lt;Tech_Specs!$C21,Tech_Specs!$C21,(H$194-Sys_Repl_Rate!H93)),0),IF($G$194:$AF$194&lt;=H$194,System_Mkt_Repl!$F347:$AE347+System_Mkt_NC!$G347:$AF347)))=0,G208,SUMPRODUCT(IF($G$194:$AF$194&gt;=ROUND(IF((H$194-Sys_Repl_Rate!H93)&lt;Tech_Specs!$C21,Tech_Specs!$C21,(H$194-Sys_Repl_Rate!H93)),0),IF($G$194:$AF$194&lt;=H$194,$G134:$AF134)),System_Mkt_Repl!$F347:$AE347+System_Mkt_NC!$G347:$AF347)/SUM(IF($G$194:$AF$194&gt;=ROUND(IF((H$194-Sys_Repl_Rate!H93)&lt;Tech_Specs!$C21,Tech_Specs!$C21,(H$194-Sys_Repl_Rate!H93)),0),IF($G$194:$AF$194&lt;=H$194,System_Mkt_Repl!$F347:$AE347+System_Mkt_NC!$G347:$AF347)))))</f>
        <v>0.78202230148427576</v>
      </c>
      <c r="I208" s="1179">
        <f t="array" ref="I208">IF(I$194=Misc_Inputs!$D$6,$G134,IF(SUM(IF($G$194:$AF$194&gt;=ROUND(IF((I$194-Sys_Repl_Rate!I93)&lt;Tech_Specs!$C21,Tech_Specs!$C21,(I$194-Sys_Repl_Rate!I93)),0),IF($G$194:$AF$194&lt;=I$194,System_Mkt_Repl!$F347:$AE347+System_Mkt_NC!$G347:$AF347)))=0,H208,SUMPRODUCT(IF($G$194:$AF$194&gt;=ROUND(IF((I$194-Sys_Repl_Rate!I93)&lt;Tech_Specs!$C21,Tech_Specs!$C21,(I$194-Sys_Repl_Rate!I93)),0),IF($G$194:$AF$194&lt;=I$194,$G134:$AF134)),System_Mkt_Repl!$F347:$AE347+System_Mkt_NC!$G347:$AF347)/SUM(IF($G$194:$AF$194&gt;=ROUND(IF((I$194-Sys_Repl_Rate!I93)&lt;Tech_Specs!$C21,Tech_Specs!$C21,(I$194-Sys_Repl_Rate!I93)),0),IF($G$194:$AF$194&lt;=I$194,System_Mkt_Repl!$F347:$AE347+System_Mkt_NC!$G347:$AF347)))))</f>
        <v>0.78202230148427565</v>
      </c>
      <c r="J208" s="1179">
        <f t="array" ref="J208">IF(J$194=Misc_Inputs!$D$6,$G134,IF(SUM(IF($G$194:$AF$194&gt;=ROUND(IF((J$194-Sys_Repl_Rate!J93)&lt;Tech_Specs!$C21,Tech_Specs!$C21,(J$194-Sys_Repl_Rate!J93)),0),IF($G$194:$AF$194&lt;=J$194,System_Mkt_Repl!$F347:$AE347+System_Mkt_NC!$G347:$AF347)))=0,I208,SUMPRODUCT(IF($G$194:$AF$194&gt;=ROUND(IF((J$194-Sys_Repl_Rate!J93)&lt;Tech_Specs!$C21,Tech_Specs!$C21,(J$194-Sys_Repl_Rate!J93)),0),IF($G$194:$AF$194&lt;=J$194,$G134:$AF134)),System_Mkt_Repl!$F347:$AE347+System_Mkt_NC!$G347:$AF347)/SUM(IF($G$194:$AF$194&gt;=ROUND(IF((J$194-Sys_Repl_Rate!J93)&lt;Tech_Specs!$C21,Tech_Specs!$C21,(J$194-Sys_Repl_Rate!J93)),0),IF($G$194:$AF$194&lt;=J$194,System_Mkt_Repl!$F347:$AE347+System_Mkt_NC!$G347:$AF347)))))</f>
        <v>0.78202230148427587</v>
      </c>
      <c r="K208" s="373">
        <f t="array" ref="K208">IF(K$194=Misc_Inputs!$D$6,$G134,IF(SUM(IF($G$194:$AF$194&gt;=ROUND(IF((K$194-Sys_Repl_Rate!K93)&lt;Tech_Specs!$C21,Tech_Specs!$C21,(K$194-Sys_Repl_Rate!K93)),0),IF($G$194:$AF$194&lt;=K$194,System_Mkt_Repl!$F347:$AE347+System_Mkt_NC!$G347:$AF347)))=0,J208,SUMPRODUCT(IF($G$194:$AF$194&gt;=ROUND(IF((K$194-Sys_Repl_Rate!K93)&lt;Tech_Specs!$C21,Tech_Specs!$C21,(K$194-Sys_Repl_Rate!K93)),0),IF($G$194:$AF$194&lt;=K$194,$G134:$AF134)),System_Mkt_Repl!$F347:$AE347+System_Mkt_NC!$G347:$AF347)/SUM(IF($G$194:$AF$194&gt;=ROUND(IF((K$194-Sys_Repl_Rate!K93)&lt;Tech_Specs!$C21,Tech_Specs!$C21,(K$194-Sys_Repl_Rate!K93)),0),IF($G$194:$AF$194&lt;=K$194,System_Mkt_Repl!$F347:$AE347+System_Mkt_NC!$G347:$AF347)))))</f>
        <v>0.78202230148427587</v>
      </c>
      <c r="L208" s="373">
        <f t="array" ref="L208">IF(L$194=Misc_Inputs!$D$6,$G134,IF(SUM(IF($G$194:$AF$194&gt;=ROUND(IF((L$194-Sys_Repl_Rate!L93)&lt;Tech_Specs!$C21,Tech_Specs!$C21,(L$194-Sys_Repl_Rate!L93)),0),IF($G$194:$AF$194&lt;=L$194,System_Mkt_Repl!$F347:$AE347+System_Mkt_NC!$G347:$AF347)))=0,K208,SUMPRODUCT(IF($G$194:$AF$194&gt;=ROUND(IF((L$194-Sys_Repl_Rate!L93)&lt;Tech_Specs!$C21,Tech_Specs!$C21,(L$194-Sys_Repl_Rate!L93)),0),IF($G$194:$AF$194&lt;=L$194,$G134:$AF134)),System_Mkt_Repl!$F347:$AE347+System_Mkt_NC!$G347:$AF347)/SUM(IF($G$194:$AF$194&gt;=ROUND(IF((L$194-Sys_Repl_Rate!L93)&lt;Tech_Specs!$C21,Tech_Specs!$C21,(L$194-Sys_Repl_Rate!L93)),0),IF($G$194:$AF$194&lt;=L$194,System_Mkt_Repl!$F347:$AE347+System_Mkt_NC!$G347:$AF347)))))</f>
        <v>0.78202230148427587</v>
      </c>
      <c r="M208" s="373">
        <f t="array" ref="M208">IF(M$194=Misc_Inputs!$D$6,$G134,IF(SUM(IF($G$194:$AF$194&gt;=ROUND(IF((M$194-Sys_Repl_Rate!M93)&lt;Tech_Specs!$C21,Tech_Specs!$C21,(M$194-Sys_Repl_Rate!M93)),0),IF($G$194:$AF$194&lt;=M$194,System_Mkt_Repl!$F347:$AE347+System_Mkt_NC!$G347:$AF347)))=0,L208,SUMPRODUCT(IF($G$194:$AF$194&gt;=ROUND(IF((M$194-Sys_Repl_Rate!M93)&lt;Tech_Specs!$C21,Tech_Specs!$C21,(M$194-Sys_Repl_Rate!M93)),0),IF($G$194:$AF$194&lt;=M$194,$G134:$AF134)),System_Mkt_Repl!$F347:$AE347+System_Mkt_NC!$G347:$AF347)/SUM(IF($G$194:$AF$194&gt;=ROUND(IF((M$194-Sys_Repl_Rate!M93)&lt;Tech_Specs!$C21,Tech_Specs!$C21,(M$194-Sys_Repl_Rate!M93)),0),IF($G$194:$AF$194&lt;=M$194,System_Mkt_Repl!$F347:$AE347+System_Mkt_NC!$G347:$AF347)))))</f>
        <v>0.78202230148427587</v>
      </c>
      <c r="N208" s="373">
        <f t="array" ref="N208">IF(N$194=Misc_Inputs!$D$6,$G134,IF(SUM(IF($G$194:$AF$194&gt;=ROUND(IF((N$194-Sys_Repl_Rate!N93)&lt;Tech_Specs!$C21,Tech_Specs!$C21,(N$194-Sys_Repl_Rate!N93)),0),IF($G$194:$AF$194&lt;=N$194,System_Mkt_Repl!$F347:$AE347+System_Mkt_NC!$G347:$AF347)))=0,M208,SUMPRODUCT(IF($G$194:$AF$194&gt;=ROUND(IF((N$194-Sys_Repl_Rate!N93)&lt;Tech_Specs!$C21,Tech_Specs!$C21,(N$194-Sys_Repl_Rate!N93)),0),IF($G$194:$AF$194&lt;=N$194,$G134:$AF134)),System_Mkt_Repl!$F347:$AE347+System_Mkt_NC!$G347:$AF347)/SUM(IF($G$194:$AF$194&gt;=ROUND(IF((N$194-Sys_Repl_Rate!N93)&lt;Tech_Specs!$C21,Tech_Specs!$C21,(N$194-Sys_Repl_Rate!N93)),0),IF($G$194:$AF$194&lt;=N$194,System_Mkt_Repl!$F347:$AE347+System_Mkt_NC!$G347:$AF347)))))</f>
        <v>0.78202230148427576</v>
      </c>
      <c r="O208" s="373">
        <f t="array" ref="O208">IF(O$194=Misc_Inputs!$D$6,$G134,IF(SUM(IF($G$194:$AF$194&gt;=ROUND(IF((O$194-Sys_Repl_Rate!O93)&lt;Tech_Specs!$C21,Tech_Specs!$C21,(O$194-Sys_Repl_Rate!O93)),0),IF($G$194:$AF$194&lt;=O$194,System_Mkt_Repl!$F347:$AE347+System_Mkt_NC!$G347:$AF347)))=0,N208,SUMPRODUCT(IF($G$194:$AF$194&gt;=ROUND(IF((O$194-Sys_Repl_Rate!O93)&lt;Tech_Specs!$C21,Tech_Specs!$C21,(O$194-Sys_Repl_Rate!O93)),0),IF($G$194:$AF$194&lt;=O$194,$G134:$AF134)),System_Mkt_Repl!$F347:$AE347+System_Mkt_NC!$G347:$AF347)/SUM(IF($G$194:$AF$194&gt;=ROUND(IF((O$194-Sys_Repl_Rate!O93)&lt;Tech_Specs!$C21,Tech_Specs!$C21,(O$194-Sys_Repl_Rate!O93)),0),IF($G$194:$AF$194&lt;=O$194,System_Mkt_Repl!$F347:$AE347+System_Mkt_NC!$G347:$AF347)))))</f>
        <v>0.78202230148427587</v>
      </c>
      <c r="P208" s="373">
        <f t="array" ref="P208">IF(P$194=Misc_Inputs!$D$6,$G134,IF(SUM(IF($G$194:$AF$194&gt;=ROUND(IF((P$194-Sys_Repl_Rate!P93)&lt;Tech_Specs!$C21,Tech_Specs!$C21,(P$194-Sys_Repl_Rate!P93)),0),IF($G$194:$AF$194&lt;=P$194,System_Mkt_Repl!$F347:$AE347+System_Mkt_NC!$G347:$AF347)))=0,O208,SUMPRODUCT(IF($G$194:$AF$194&gt;=ROUND(IF((P$194-Sys_Repl_Rate!P93)&lt;Tech_Specs!$C21,Tech_Specs!$C21,(P$194-Sys_Repl_Rate!P93)),0),IF($G$194:$AF$194&lt;=P$194,$G134:$AF134)),System_Mkt_Repl!$F347:$AE347+System_Mkt_NC!$G347:$AF347)/SUM(IF($G$194:$AF$194&gt;=ROUND(IF((P$194-Sys_Repl_Rate!P93)&lt;Tech_Specs!$C21,Tech_Specs!$C21,(P$194-Sys_Repl_Rate!P93)),0),IF($G$194:$AF$194&lt;=P$194,System_Mkt_Repl!$F347:$AE347+System_Mkt_NC!$G347:$AF347)))))</f>
        <v>0.78202230148427587</v>
      </c>
      <c r="Q208" s="373">
        <f t="array" ref="Q208">IF(Q$194=Misc_Inputs!$D$6,$G134,IF(SUM(IF($G$194:$AF$194&gt;=ROUND(IF((Q$194-Sys_Repl_Rate!Q93)&lt;Tech_Specs!$C21,Tech_Specs!$C21,(Q$194-Sys_Repl_Rate!Q93)),0),IF($G$194:$AF$194&lt;=Q$194,System_Mkt_Repl!$F347:$AE347+System_Mkt_NC!$G347:$AF347)))=0,P208,SUMPRODUCT(IF($G$194:$AF$194&gt;=ROUND(IF((Q$194-Sys_Repl_Rate!Q93)&lt;Tech_Specs!$C21,Tech_Specs!$C21,(Q$194-Sys_Repl_Rate!Q93)),0),IF($G$194:$AF$194&lt;=Q$194,$G134:$AF134)),System_Mkt_Repl!$F347:$AE347+System_Mkt_NC!$G347:$AF347)/SUM(IF($G$194:$AF$194&gt;=ROUND(IF((Q$194-Sys_Repl_Rate!Q93)&lt;Tech_Specs!$C21,Tech_Specs!$C21,(Q$194-Sys_Repl_Rate!Q93)),0),IF($G$194:$AF$194&lt;=Q$194,System_Mkt_Repl!$F347:$AE347+System_Mkt_NC!$G347:$AF347)))))</f>
        <v>0.78202230148427587</v>
      </c>
      <c r="R208" s="373">
        <f t="array" ref="R208">IF(R$194=Misc_Inputs!$D$6,$G134,IF(SUM(IF($G$194:$AF$194&gt;=ROUND(IF((R$194-Sys_Repl_Rate!R93)&lt;Tech_Specs!$C21,Tech_Specs!$C21,(R$194-Sys_Repl_Rate!R93)),0),IF($G$194:$AF$194&lt;=R$194,System_Mkt_Repl!$F347:$AE347+System_Mkt_NC!$G347:$AF347)))=0,Q208,SUMPRODUCT(IF($G$194:$AF$194&gt;=ROUND(IF((R$194-Sys_Repl_Rate!R93)&lt;Tech_Specs!$C21,Tech_Specs!$C21,(R$194-Sys_Repl_Rate!R93)),0),IF($G$194:$AF$194&lt;=R$194,$G134:$AF134)),System_Mkt_Repl!$F347:$AE347+System_Mkt_NC!$G347:$AF347)/SUM(IF($G$194:$AF$194&gt;=ROUND(IF((R$194-Sys_Repl_Rate!R93)&lt;Tech_Specs!$C21,Tech_Specs!$C21,(R$194-Sys_Repl_Rate!R93)),0),IF($G$194:$AF$194&lt;=R$194,System_Mkt_Repl!$F347:$AE347+System_Mkt_NC!$G347:$AF347)))))</f>
        <v>0.78202230148427598</v>
      </c>
      <c r="S208" s="373">
        <f t="array" ref="S208">IF(S$194=Misc_Inputs!$D$6,$G134,IF(SUM(IF($G$194:$AF$194&gt;=ROUND(IF((S$194-Sys_Repl_Rate!S93)&lt;Tech_Specs!$C21,Tech_Specs!$C21,(S$194-Sys_Repl_Rate!S93)),0),IF($G$194:$AF$194&lt;=S$194,System_Mkt_Repl!$F347:$AE347+System_Mkt_NC!$G347:$AF347)))=0,R208,SUMPRODUCT(IF($G$194:$AF$194&gt;=ROUND(IF((S$194-Sys_Repl_Rate!S93)&lt;Tech_Specs!$C21,Tech_Specs!$C21,(S$194-Sys_Repl_Rate!S93)),0),IF($G$194:$AF$194&lt;=S$194,$G134:$AF134)),System_Mkt_Repl!$F347:$AE347+System_Mkt_NC!$G347:$AF347)/SUM(IF($G$194:$AF$194&gt;=ROUND(IF((S$194-Sys_Repl_Rate!S93)&lt;Tech_Specs!$C21,Tech_Specs!$C21,(S$194-Sys_Repl_Rate!S93)),0),IF($G$194:$AF$194&lt;=S$194,System_Mkt_Repl!$F347:$AE347+System_Mkt_NC!$G347:$AF347)))))</f>
        <v>0.78202230148427587</v>
      </c>
      <c r="T208" s="373">
        <f t="array" ref="T208">IF(T$194=Misc_Inputs!$D$6,$G134,IF(SUM(IF($G$194:$AF$194&gt;=ROUND(IF((T$194-Sys_Repl_Rate!T93)&lt;Tech_Specs!$C21,Tech_Specs!$C21,(T$194-Sys_Repl_Rate!T93)),0),IF($G$194:$AF$194&lt;=T$194,System_Mkt_Repl!$F347:$AE347+System_Mkt_NC!$G347:$AF347)))=0,S208,SUMPRODUCT(IF($G$194:$AF$194&gt;=ROUND(IF((T$194-Sys_Repl_Rate!T93)&lt;Tech_Specs!$C21,Tech_Specs!$C21,(T$194-Sys_Repl_Rate!T93)),0),IF($G$194:$AF$194&lt;=T$194,$G134:$AF134)),System_Mkt_Repl!$F347:$AE347+System_Mkt_NC!$G347:$AF347)/SUM(IF($G$194:$AF$194&gt;=ROUND(IF((T$194-Sys_Repl_Rate!T93)&lt;Tech_Specs!$C21,Tech_Specs!$C21,(T$194-Sys_Repl_Rate!T93)),0),IF($G$194:$AF$194&lt;=T$194,System_Mkt_Repl!$F347:$AE347+System_Mkt_NC!$G347:$AF347)))))</f>
        <v>0.78202230148427598</v>
      </c>
      <c r="U208" s="373">
        <f t="array" ref="U208">IF(U$194=Misc_Inputs!$D$6,$G134,IF(SUM(IF($G$194:$AF$194&gt;=ROUND(IF((U$194-Sys_Repl_Rate!U93)&lt;Tech_Specs!$C21,Tech_Specs!$C21,(U$194-Sys_Repl_Rate!U93)),0),IF($G$194:$AF$194&lt;=U$194,System_Mkt_Repl!$F347:$AE347+System_Mkt_NC!$G347:$AF347)))=0,T208,SUMPRODUCT(IF($G$194:$AF$194&gt;=ROUND(IF((U$194-Sys_Repl_Rate!U93)&lt;Tech_Specs!$C21,Tech_Specs!$C21,(U$194-Sys_Repl_Rate!U93)),0),IF($G$194:$AF$194&lt;=U$194,$G134:$AF134)),System_Mkt_Repl!$F347:$AE347+System_Mkt_NC!$G347:$AF347)/SUM(IF($G$194:$AF$194&gt;=ROUND(IF((U$194-Sys_Repl_Rate!U93)&lt;Tech_Specs!$C21,Tech_Specs!$C21,(U$194-Sys_Repl_Rate!U93)),0),IF($G$194:$AF$194&lt;=U$194,System_Mkt_Repl!$F347:$AE347+System_Mkt_NC!$G347:$AF347)))))</f>
        <v>0.78202230148427587</v>
      </c>
      <c r="V208" s="373">
        <f t="array" ref="V208">IF(V$194=Misc_Inputs!$D$6,$G134,IF(SUM(IF($G$194:$AF$194&gt;=ROUND(IF((V$194-Sys_Repl_Rate!V93)&lt;Tech_Specs!$C21,Tech_Specs!$C21,(V$194-Sys_Repl_Rate!V93)),0),IF($G$194:$AF$194&lt;=V$194,System_Mkt_Repl!$F347:$AE347+System_Mkt_NC!$G347:$AF347)))=0,U208,SUMPRODUCT(IF($G$194:$AF$194&gt;=ROUND(IF((V$194-Sys_Repl_Rate!V93)&lt;Tech_Specs!$C21,Tech_Specs!$C21,(V$194-Sys_Repl_Rate!V93)),0),IF($G$194:$AF$194&lt;=V$194,$G134:$AF134)),System_Mkt_Repl!$F347:$AE347+System_Mkt_NC!$G347:$AF347)/SUM(IF($G$194:$AF$194&gt;=ROUND(IF((V$194-Sys_Repl_Rate!V93)&lt;Tech_Specs!$C21,Tech_Specs!$C21,(V$194-Sys_Repl_Rate!V93)),0),IF($G$194:$AF$194&lt;=V$194,System_Mkt_Repl!$F347:$AE347+System_Mkt_NC!$G347:$AF347)))))</f>
        <v>0.78202230148427598</v>
      </c>
      <c r="W208" s="373">
        <f t="array" ref="W208">IF(W$194=Misc_Inputs!$D$6,$G134,IF(SUM(IF($G$194:$AF$194&gt;=ROUND(IF((W$194-Sys_Repl_Rate!W93)&lt;Tech_Specs!$C21,Tech_Specs!$C21,(W$194-Sys_Repl_Rate!W93)),0),IF($G$194:$AF$194&lt;=W$194,System_Mkt_Repl!$F347:$AE347+System_Mkt_NC!$G347:$AF347)))=0,V208,SUMPRODUCT(IF($G$194:$AF$194&gt;=ROUND(IF((W$194-Sys_Repl_Rate!W93)&lt;Tech_Specs!$C21,Tech_Specs!$C21,(W$194-Sys_Repl_Rate!W93)),0),IF($G$194:$AF$194&lt;=W$194,$G134:$AF134)),System_Mkt_Repl!$F347:$AE347+System_Mkt_NC!$G347:$AF347)/SUM(IF($G$194:$AF$194&gt;=ROUND(IF((W$194-Sys_Repl_Rate!W93)&lt;Tech_Specs!$C21,Tech_Specs!$C21,(W$194-Sys_Repl_Rate!W93)),0),IF($G$194:$AF$194&lt;=W$194,System_Mkt_Repl!$F347:$AE347+System_Mkt_NC!$G347:$AF347)))))</f>
        <v>0.78202230148427598</v>
      </c>
      <c r="X208" s="373">
        <f t="array" ref="X208">IF(X$194=Misc_Inputs!$D$6,$G134,IF(SUM(IF($G$194:$AF$194&gt;=ROUND(IF((X$194-Sys_Repl_Rate!X93)&lt;Tech_Specs!$C21,Tech_Specs!$C21,(X$194-Sys_Repl_Rate!X93)),0),IF($G$194:$AF$194&lt;=X$194,System_Mkt_Repl!$F347:$AE347+System_Mkt_NC!$G347:$AF347)))=0,W208,SUMPRODUCT(IF($G$194:$AF$194&gt;=ROUND(IF((X$194-Sys_Repl_Rate!X93)&lt;Tech_Specs!$C21,Tech_Specs!$C21,(X$194-Sys_Repl_Rate!X93)),0),IF($G$194:$AF$194&lt;=X$194,$G134:$AF134)),System_Mkt_Repl!$F347:$AE347+System_Mkt_NC!$G347:$AF347)/SUM(IF($G$194:$AF$194&gt;=ROUND(IF((X$194-Sys_Repl_Rate!X93)&lt;Tech_Specs!$C21,Tech_Specs!$C21,(X$194-Sys_Repl_Rate!X93)),0),IF($G$194:$AF$194&lt;=X$194,System_Mkt_Repl!$F347:$AE347+System_Mkt_NC!$G347:$AF347)))))</f>
        <v>0.78202230148427598</v>
      </c>
      <c r="Y208" s="373">
        <f t="array" ref="Y208">IF(Y$194=Misc_Inputs!$D$6,$G134,IF(SUM(IF($G$194:$AF$194&gt;=ROUND(IF((Y$194-Sys_Repl_Rate!Y93)&lt;Tech_Specs!$C21,Tech_Specs!$C21,(Y$194-Sys_Repl_Rate!Y93)),0),IF($G$194:$AF$194&lt;=Y$194,System_Mkt_Repl!$F347:$AE347+System_Mkt_NC!$G347:$AF347)))=0,X208,SUMPRODUCT(IF($G$194:$AF$194&gt;=ROUND(IF((Y$194-Sys_Repl_Rate!Y93)&lt;Tech_Specs!$C21,Tech_Specs!$C21,(Y$194-Sys_Repl_Rate!Y93)),0),IF($G$194:$AF$194&lt;=Y$194,$G134:$AF134)),System_Mkt_Repl!$F347:$AE347+System_Mkt_NC!$G347:$AF347)/SUM(IF($G$194:$AF$194&gt;=ROUND(IF((Y$194-Sys_Repl_Rate!Y93)&lt;Tech_Specs!$C21,Tech_Specs!$C21,(Y$194-Sys_Repl_Rate!Y93)),0),IF($G$194:$AF$194&lt;=Y$194,System_Mkt_Repl!$F347:$AE347+System_Mkt_NC!$G347:$AF347)))))</f>
        <v>0.78202230148427598</v>
      </c>
      <c r="Z208" s="373">
        <f t="array" ref="Z208">IF(Z$194=Misc_Inputs!$D$6,$G134,IF(SUM(IF($G$194:$AF$194&gt;=ROUND(IF((Z$194-Sys_Repl_Rate!Z93)&lt;Tech_Specs!$C21,Tech_Specs!$C21,(Z$194-Sys_Repl_Rate!Z93)),0),IF($G$194:$AF$194&lt;=Z$194,System_Mkt_Repl!$F347:$AE347+System_Mkt_NC!$G347:$AF347)))=0,Y208,SUMPRODUCT(IF($G$194:$AF$194&gt;=ROUND(IF((Z$194-Sys_Repl_Rate!Z93)&lt;Tech_Specs!$C21,Tech_Specs!$C21,(Z$194-Sys_Repl_Rate!Z93)),0),IF($G$194:$AF$194&lt;=Z$194,$G134:$AF134)),System_Mkt_Repl!$F347:$AE347+System_Mkt_NC!$G347:$AF347)/SUM(IF($G$194:$AF$194&gt;=ROUND(IF((Z$194-Sys_Repl_Rate!Z93)&lt;Tech_Specs!$C21,Tech_Specs!$C21,(Z$194-Sys_Repl_Rate!Z93)),0),IF($G$194:$AF$194&lt;=Z$194,System_Mkt_Repl!$F347:$AE347+System_Mkt_NC!$G347:$AF347)))))</f>
        <v>0.78202230148427587</v>
      </c>
      <c r="AA208" s="373">
        <f t="array" ref="AA208">IF(AA$194=Misc_Inputs!$D$6,$G134,IF(SUM(IF($G$194:$AF$194&gt;=ROUND(IF((AA$194-Sys_Repl_Rate!AA93)&lt;Tech_Specs!$C21,Tech_Specs!$C21,(AA$194-Sys_Repl_Rate!AA93)),0),IF($G$194:$AF$194&lt;=AA$194,System_Mkt_Repl!$F347:$AE347+System_Mkt_NC!$G347:$AF347)))=0,Z208,SUMPRODUCT(IF($G$194:$AF$194&gt;=ROUND(IF((AA$194-Sys_Repl_Rate!AA93)&lt;Tech_Specs!$C21,Tech_Specs!$C21,(AA$194-Sys_Repl_Rate!AA93)),0),IF($G$194:$AF$194&lt;=AA$194,$G134:$AF134)),System_Mkt_Repl!$F347:$AE347+System_Mkt_NC!$G347:$AF347)/SUM(IF($G$194:$AF$194&gt;=ROUND(IF((AA$194-Sys_Repl_Rate!AA93)&lt;Tech_Specs!$C21,Tech_Specs!$C21,(AA$194-Sys_Repl_Rate!AA93)),0),IF($G$194:$AF$194&lt;=AA$194,System_Mkt_Repl!$F347:$AE347+System_Mkt_NC!$G347:$AF347)))))</f>
        <v>0.78202230148427576</v>
      </c>
      <c r="AB208" s="373">
        <f t="array" ref="AB208">IF(AB$194=Misc_Inputs!$D$6,$G134,IF(SUM(IF($G$194:$AF$194&gt;=ROUND(IF((AB$194-Sys_Repl_Rate!AB93)&lt;Tech_Specs!$C21,Tech_Specs!$C21,(AB$194-Sys_Repl_Rate!AB93)),0),IF($G$194:$AF$194&lt;=AB$194,System_Mkt_Repl!$F347:$AE347+System_Mkt_NC!$G347:$AF347)))=0,AA208,SUMPRODUCT(IF($G$194:$AF$194&gt;=ROUND(IF((AB$194-Sys_Repl_Rate!AB93)&lt;Tech_Specs!$C21,Tech_Specs!$C21,(AB$194-Sys_Repl_Rate!AB93)),0),IF($G$194:$AF$194&lt;=AB$194,$G134:$AF134)),System_Mkt_Repl!$F347:$AE347+System_Mkt_NC!$G347:$AF347)/SUM(IF($G$194:$AF$194&gt;=ROUND(IF((AB$194-Sys_Repl_Rate!AB93)&lt;Tech_Specs!$C21,Tech_Specs!$C21,(AB$194-Sys_Repl_Rate!AB93)),0),IF($G$194:$AF$194&lt;=AB$194,System_Mkt_Repl!$F347:$AE347+System_Mkt_NC!$G347:$AF347)))))</f>
        <v>0.78202230148427576</v>
      </c>
      <c r="AC208" s="373">
        <f t="array" ref="AC208">IF(AC$194=Misc_Inputs!$D$6,$G134,IF(SUM(IF($G$194:$AF$194&gt;=ROUND(IF((AC$194-Sys_Repl_Rate!AC93)&lt;Tech_Specs!$C21,Tech_Specs!$C21,(AC$194-Sys_Repl_Rate!AC93)),0),IF($G$194:$AF$194&lt;=AC$194,System_Mkt_Repl!$F347:$AE347+System_Mkt_NC!$G347:$AF347)))=0,AB208,SUMPRODUCT(IF($G$194:$AF$194&gt;=ROUND(IF((AC$194-Sys_Repl_Rate!AC93)&lt;Tech_Specs!$C21,Tech_Specs!$C21,(AC$194-Sys_Repl_Rate!AC93)),0),IF($G$194:$AF$194&lt;=AC$194,$G134:$AF134)),System_Mkt_Repl!$F347:$AE347+System_Mkt_NC!$G347:$AF347)/SUM(IF($G$194:$AF$194&gt;=ROUND(IF((AC$194-Sys_Repl_Rate!AC93)&lt;Tech_Specs!$C21,Tech_Specs!$C21,(AC$194-Sys_Repl_Rate!AC93)),0),IF($G$194:$AF$194&lt;=AC$194,System_Mkt_Repl!$F347:$AE347+System_Mkt_NC!$G347:$AF347)))))</f>
        <v>0.78202230148427576</v>
      </c>
      <c r="AD208" s="373">
        <f t="array" ref="AD208">IF(AD$194=Misc_Inputs!$D$6,$G134,IF(SUM(IF($G$194:$AF$194&gt;=ROUND(IF((AD$194-Sys_Repl_Rate!AD93)&lt;Tech_Specs!$C21,Tech_Specs!$C21,(AD$194-Sys_Repl_Rate!AD93)),0),IF($G$194:$AF$194&lt;=AD$194,System_Mkt_Repl!$F347:$AE347+System_Mkt_NC!$G347:$AF347)))=0,AC208,SUMPRODUCT(IF($G$194:$AF$194&gt;=ROUND(IF((AD$194-Sys_Repl_Rate!AD93)&lt;Tech_Specs!$C21,Tech_Specs!$C21,(AD$194-Sys_Repl_Rate!AD93)),0),IF($G$194:$AF$194&lt;=AD$194,$G134:$AF134)),System_Mkt_Repl!$F347:$AE347+System_Mkt_NC!$G347:$AF347)/SUM(IF($G$194:$AF$194&gt;=ROUND(IF((AD$194-Sys_Repl_Rate!AD93)&lt;Tech_Specs!$C21,Tech_Specs!$C21,(AD$194-Sys_Repl_Rate!AD93)),0),IF($G$194:$AF$194&lt;=AD$194,System_Mkt_Repl!$F347:$AE347+System_Mkt_NC!$G347:$AF347)))))</f>
        <v>0.78202230148427587</v>
      </c>
      <c r="AE208" s="373">
        <f t="array" ref="AE208">IF(AE$194=Misc_Inputs!$D$6,$G134,IF(SUM(IF($G$194:$AF$194&gt;=ROUND(IF((AE$194-Sys_Repl_Rate!AE93)&lt;Tech_Specs!$C21,Tech_Specs!$C21,(AE$194-Sys_Repl_Rate!AE93)),0),IF($G$194:$AF$194&lt;=AE$194,System_Mkt_Repl!$F347:$AE347+System_Mkt_NC!$G347:$AF347)))=0,AD208,SUMPRODUCT(IF($G$194:$AF$194&gt;=ROUND(IF((AE$194-Sys_Repl_Rate!AE93)&lt;Tech_Specs!$C21,Tech_Specs!$C21,(AE$194-Sys_Repl_Rate!AE93)),0),IF($G$194:$AF$194&lt;=AE$194,$G134:$AF134)),System_Mkt_Repl!$F347:$AE347+System_Mkt_NC!$G347:$AF347)/SUM(IF($G$194:$AF$194&gt;=ROUND(IF((AE$194-Sys_Repl_Rate!AE93)&lt;Tech_Specs!$C21,Tech_Specs!$C21,(AE$194-Sys_Repl_Rate!AE93)),0),IF($G$194:$AF$194&lt;=AE$194,System_Mkt_Repl!$F347:$AE347+System_Mkt_NC!$G347:$AF347)))))</f>
        <v>0.78202230148427587</v>
      </c>
      <c r="AF208" s="373">
        <f t="array" ref="AF208">IF(AF$194=Misc_Inputs!$D$6,$G134,IF(SUM(IF($G$194:$AF$194&gt;=ROUND(IF((AF$194-Sys_Repl_Rate!AF93)&lt;Tech_Specs!$C21,Tech_Specs!$C21,(AF$194-Sys_Repl_Rate!AF93)),0),IF($G$194:$AF$194&lt;=AF$194,System_Mkt_Repl!$F347:$AE347+System_Mkt_NC!$G347:$AF347)))=0,AE208,SUMPRODUCT(IF($G$194:$AF$194&gt;=ROUND(IF((AF$194-Sys_Repl_Rate!AF93)&lt;Tech_Specs!$C21,Tech_Specs!$C21,(AF$194-Sys_Repl_Rate!AF93)),0),IF($G$194:$AF$194&lt;=AF$194,$G134:$AF134)),System_Mkt_Repl!$F347:$AE347+System_Mkt_NC!$G347:$AF347)/SUM(IF($G$194:$AF$194&gt;=ROUND(IF((AF$194-Sys_Repl_Rate!AF93)&lt;Tech_Specs!$C21,Tech_Specs!$C21,(AF$194-Sys_Repl_Rate!AF93)),0),IF($G$194:$AF$194&lt;=AF$194,System_Mkt_Repl!$F347:$AE347+System_Mkt_NC!$G347:$AF347)))))</f>
        <v>0.78202230148427587</v>
      </c>
    </row>
    <row r="209" spans="1:32" s="282" customFormat="1" ht="12.75" x14ac:dyDescent="0.2">
      <c r="A209" s="278"/>
      <c r="B209" s="278" t="s">
        <v>39</v>
      </c>
      <c r="C209" s="278"/>
      <c r="D209" s="550"/>
      <c r="E209" s="550"/>
      <c r="F209" s="550"/>
      <c r="G209" s="1179">
        <f t="array" ref="G209">IF(G$194=Misc_Inputs!$D$6,$G135,IF(SUM(IF($G$194:$AF$194&gt;=ROUND(IF((G$194-Sys_Repl_Rate!G94)&lt;Tech_Specs!$C22,Tech_Specs!$C22,(G$194-Sys_Repl_Rate!G94)),0),IF($G$194:$AF$194&lt;=G$194,System_Mkt_Repl!$F348:$AE348+System_Mkt_NC!$G348:$AF348)))=0,C209,SUMPRODUCT(IF($G$194:$AF$194&gt;=ROUND(IF((G$194-Sys_Repl_Rate!G94)&lt;Tech_Specs!$C22,Tech_Specs!$C22,(G$194-Sys_Repl_Rate!G94)),0),IF($G$194:$AF$194&lt;=G$194,$G135:$AF135)),System_Mkt_Repl!$F348:$AE348+System_Mkt_NC!$G348:$AF348)/SUM(IF($G$194:$AF$194&gt;=ROUND(IF((G$194-Sys_Repl_Rate!G94)&lt;Tech_Specs!$C22,Tech_Specs!$C22,(G$194-Sys_Repl_Rate!G94)),0),IF($G$194:$AF$194&lt;=G$194,System_Mkt_Repl!$F348:$AE348+System_Mkt_NC!$G348:$AF348)))))</f>
        <v>0.872</v>
      </c>
      <c r="H209" s="1179">
        <f t="array" ref="H209">IF(H$194=Misc_Inputs!$D$6,$G135,IF(SUM(IF($G$194:$AF$194&gt;=ROUND(IF((H$194-Sys_Repl_Rate!H94)&lt;Tech_Specs!$C22,Tech_Specs!$C22,(H$194-Sys_Repl_Rate!H94)),0),IF($G$194:$AF$194&lt;=H$194,System_Mkt_Repl!$F348:$AE348+System_Mkt_NC!$G348:$AF348)))=0,G209,SUMPRODUCT(IF($G$194:$AF$194&gt;=ROUND(IF((H$194-Sys_Repl_Rate!H94)&lt;Tech_Specs!$C22,Tech_Specs!$C22,(H$194-Sys_Repl_Rate!H94)),0),IF($G$194:$AF$194&lt;=H$194,$G135:$AF135)),System_Mkt_Repl!$F348:$AE348+System_Mkt_NC!$G348:$AF348)/SUM(IF($G$194:$AF$194&gt;=ROUND(IF((H$194-Sys_Repl_Rate!H94)&lt;Tech_Specs!$C22,Tech_Specs!$C22,(H$194-Sys_Repl_Rate!H94)),0),IF($G$194:$AF$194&lt;=H$194,System_Mkt_Repl!$F348:$AE348+System_Mkt_NC!$G348:$AF348)))))</f>
        <v>0.87199999999999989</v>
      </c>
      <c r="I209" s="1179">
        <f t="array" ref="I209">IF(I$194=Misc_Inputs!$D$6,$G135,IF(SUM(IF($G$194:$AF$194&gt;=ROUND(IF((I$194-Sys_Repl_Rate!I94)&lt;Tech_Specs!$C22,Tech_Specs!$C22,(I$194-Sys_Repl_Rate!I94)),0),IF($G$194:$AF$194&lt;=I$194,System_Mkt_Repl!$F348:$AE348+System_Mkt_NC!$G348:$AF348)))=0,H209,SUMPRODUCT(IF($G$194:$AF$194&gt;=ROUND(IF((I$194-Sys_Repl_Rate!I94)&lt;Tech_Specs!$C22,Tech_Specs!$C22,(I$194-Sys_Repl_Rate!I94)),0),IF($G$194:$AF$194&lt;=I$194,$G135:$AF135)),System_Mkt_Repl!$F348:$AE348+System_Mkt_NC!$G348:$AF348)/SUM(IF($G$194:$AF$194&gt;=ROUND(IF((I$194-Sys_Repl_Rate!I94)&lt;Tech_Specs!$C22,Tech_Specs!$C22,(I$194-Sys_Repl_Rate!I94)),0),IF($G$194:$AF$194&lt;=I$194,System_Mkt_Repl!$F348:$AE348+System_Mkt_NC!$G348:$AF348)))))</f>
        <v>0.872</v>
      </c>
      <c r="J209" s="1179">
        <f t="array" ref="J209">IF(J$194=Misc_Inputs!$D$6,$G135,IF(SUM(IF($G$194:$AF$194&gt;=ROUND(IF((J$194-Sys_Repl_Rate!J94)&lt;Tech_Specs!$C22,Tech_Specs!$C22,(J$194-Sys_Repl_Rate!J94)),0),IF($G$194:$AF$194&lt;=J$194,System_Mkt_Repl!$F348:$AE348+System_Mkt_NC!$G348:$AF348)))=0,I209,SUMPRODUCT(IF($G$194:$AF$194&gt;=ROUND(IF((J$194-Sys_Repl_Rate!J94)&lt;Tech_Specs!$C22,Tech_Specs!$C22,(J$194-Sys_Repl_Rate!J94)),0),IF($G$194:$AF$194&lt;=J$194,$G135:$AF135)),System_Mkt_Repl!$F348:$AE348+System_Mkt_NC!$G348:$AF348)/SUM(IF($G$194:$AF$194&gt;=ROUND(IF((J$194-Sys_Repl_Rate!J94)&lt;Tech_Specs!$C22,Tech_Specs!$C22,(J$194-Sys_Repl_Rate!J94)),0),IF($G$194:$AF$194&lt;=J$194,System_Mkt_Repl!$F348:$AE348+System_Mkt_NC!$G348:$AF348)))))</f>
        <v>0.872</v>
      </c>
      <c r="K209" s="373">
        <f t="array" ref="K209">IF(K$194=Misc_Inputs!$D$6,$G135,IF(SUM(IF($G$194:$AF$194&gt;=ROUND(IF((K$194-Sys_Repl_Rate!K94)&lt;Tech_Specs!$C22,Tech_Specs!$C22,(K$194-Sys_Repl_Rate!K94)),0),IF($G$194:$AF$194&lt;=K$194,System_Mkt_Repl!$F348:$AE348+System_Mkt_NC!$G348:$AF348)))=0,J209,SUMPRODUCT(IF($G$194:$AF$194&gt;=ROUND(IF((K$194-Sys_Repl_Rate!K94)&lt;Tech_Specs!$C22,Tech_Specs!$C22,(K$194-Sys_Repl_Rate!K94)),0),IF($G$194:$AF$194&lt;=K$194,$G135:$AF135)),System_Mkt_Repl!$F348:$AE348+System_Mkt_NC!$G348:$AF348)/SUM(IF($G$194:$AF$194&gt;=ROUND(IF((K$194-Sys_Repl_Rate!K94)&lt;Tech_Specs!$C22,Tech_Specs!$C22,(K$194-Sys_Repl_Rate!K94)),0),IF($G$194:$AF$194&lt;=K$194,System_Mkt_Repl!$F348:$AE348+System_Mkt_NC!$G348:$AF348)))))</f>
        <v>0.872</v>
      </c>
      <c r="L209" s="373">
        <f t="array" ref="L209">IF(L$194=Misc_Inputs!$D$6,$G135,IF(SUM(IF($G$194:$AF$194&gt;=ROUND(IF((L$194-Sys_Repl_Rate!L94)&lt;Tech_Specs!$C22,Tech_Specs!$C22,(L$194-Sys_Repl_Rate!L94)),0),IF($G$194:$AF$194&lt;=L$194,System_Mkt_Repl!$F348:$AE348+System_Mkt_NC!$G348:$AF348)))=0,K209,SUMPRODUCT(IF($G$194:$AF$194&gt;=ROUND(IF((L$194-Sys_Repl_Rate!L94)&lt;Tech_Specs!$C22,Tech_Specs!$C22,(L$194-Sys_Repl_Rate!L94)),0),IF($G$194:$AF$194&lt;=L$194,$G135:$AF135)),System_Mkt_Repl!$F348:$AE348+System_Mkt_NC!$G348:$AF348)/SUM(IF($G$194:$AF$194&gt;=ROUND(IF((L$194-Sys_Repl_Rate!L94)&lt;Tech_Specs!$C22,Tech_Specs!$C22,(L$194-Sys_Repl_Rate!L94)),0),IF($G$194:$AF$194&lt;=L$194,System_Mkt_Repl!$F348:$AE348+System_Mkt_NC!$G348:$AF348)))))</f>
        <v>0.872</v>
      </c>
      <c r="M209" s="373">
        <f t="array" ref="M209">IF(M$194=Misc_Inputs!$D$6,$G135,IF(SUM(IF($G$194:$AF$194&gt;=ROUND(IF((M$194-Sys_Repl_Rate!M94)&lt;Tech_Specs!$C22,Tech_Specs!$C22,(M$194-Sys_Repl_Rate!M94)),0),IF($G$194:$AF$194&lt;=M$194,System_Mkt_Repl!$F348:$AE348+System_Mkt_NC!$G348:$AF348)))=0,L209,SUMPRODUCT(IF($G$194:$AF$194&gt;=ROUND(IF((M$194-Sys_Repl_Rate!M94)&lt;Tech_Specs!$C22,Tech_Specs!$C22,(M$194-Sys_Repl_Rate!M94)),0),IF($G$194:$AF$194&lt;=M$194,$G135:$AF135)),System_Mkt_Repl!$F348:$AE348+System_Mkt_NC!$G348:$AF348)/SUM(IF($G$194:$AF$194&gt;=ROUND(IF((M$194-Sys_Repl_Rate!M94)&lt;Tech_Specs!$C22,Tech_Specs!$C22,(M$194-Sys_Repl_Rate!M94)),0),IF($G$194:$AF$194&lt;=M$194,System_Mkt_Repl!$F348:$AE348+System_Mkt_NC!$G348:$AF348)))))</f>
        <v>0.87199999999999989</v>
      </c>
      <c r="N209" s="373">
        <f t="array" ref="N209">IF(N$194=Misc_Inputs!$D$6,$G135,IF(SUM(IF($G$194:$AF$194&gt;=ROUND(IF((N$194-Sys_Repl_Rate!N94)&lt;Tech_Specs!$C22,Tech_Specs!$C22,(N$194-Sys_Repl_Rate!N94)),0),IF($G$194:$AF$194&lt;=N$194,System_Mkt_Repl!$F348:$AE348+System_Mkt_NC!$G348:$AF348)))=0,M209,SUMPRODUCT(IF($G$194:$AF$194&gt;=ROUND(IF((N$194-Sys_Repl_Rate!N94)&lt;Tech_Specs!$C22,Tech_Specs!$C22,(N$194-Sys_Repl_Rate!N94)),0),IF($G$194:$AF$194&lt;=N$194,$G135:$AF135)),System_Mkt_Repl!$F348:$AE348+System_Mkt_NC!$G348:$AF348)/SUM(IF($G$194:$AF$194&gt;=ROUND(IF((N$194-Sys_Repl_Rate!N94)&lt;Tech_Specs!$C22,Tech_Specs!$C22,(N$194-Sys_Repl_Rate!N94)),0),IF($G$194:$AF$194&lt;=N$194,System_Mkt_Repl!$F348:$AE348+System_Mkt_NC!$G348:$AF348)))))</f>
        <v>0.872</v>
      </c>
      <c r="O209" s="373">
        <f t="array" ref="O209">IF(O$194=Misc_Inputs!$D$6,$G135,IF(SUM(IF($G$194:$AF$194&gt;=ROUND(IF((O$194-Sys_Repl_Rate!O94)&lt;Tech_Specs!$C22,Tech_Specs!$C22,(O$194-Sys_Repl_Rate!O94)),0),IF($G$194:$AF$194&lt;=O$194,System_Mkt_Repl!$F348:$AE348+System_Mkt_NC!$G348:$AF348)))=0,N209,SUMPRODUCT(IF($G$194:$AF$194&gt;=ROUND(IF((O$194-Sys_Repl_Rate!O94)&lt;Tech_Specs!$C22,Tech_Specs!$C22,(O$194-Sys_Repl_Rate!O94)),0),IF($G$194:$AF$194&lt;=O$194,$G135:$AF135)),System_Mkt_Repl!$F348:$AE348+System_Mkt_NC!$G348:$AF348)/SUM(IF($G$194:$AF$194&gt;=ROUND(IF((O$194-Sys_Repl_Rate!O94)&lt;Tech_Specs!$C22,Tech_Specs!$C22,(O$194-Sys_Repl_Rate!O94)),0),IF($G$194:$AF$194&lt;=O$194,System_Mkt_Repl!$F348:$AE348+System_Mkt_NC!$G348:$AF348)))))</f>
        <v>0.872</v>
      </c>
      <c r="P209" s="373">
        <f t="array" ref="P209">IF(P$194=Misc_Inputs!$D$6,$G135,IF(SUM(IF($G$194:$AF$194&gt;=ROUND(IF((P$194-Sys_Repl_Rate!P94)&lt;Tech_Specs!$C22,Tech_Specs!$C22,(P$194-Sys_Repl_Rate!P94)),0),IF($G$194:$AF$194&lt;=P$194,System_Mkt_Repl!$F348:$AE348+System_Mkt_NC!$G348:$AF348)))=0,O209,SUMPRODUCT(IF($G$194:$AF$194&gt;=ROUND(IF((P$194-Sys_Repl_Rate!P94)&lt;Tech_Specs!$C22,Tech_Specs!$C22,(P$194-Sys_Repl_Rate!P94)),0),IF($G$194:$AF$194&lt;=P$194,$G135:$AF135)),System_Mkt_Repl!$F348:$AE348+System_Mkt_NC!$G348:$AF348)/SUM(IF($G$194:$AF$194&gt;=ROUND(IF((P$194-Sys_Repl_Rate!P94)&lt;Tech_Specs!$C22,Tech_Specs!$C22,(P$194-Sys_Repl_Rate!P94)),0),IF($G$194:$AF$194&lt;=P$194,System_Mkt_Repl!$F348:$AE348+System_Mkt_NC!$G348:$AF348)))))</f>
        <v>0.872</v>
      </c>
      <c r="Q209" s="373">
        <f t="array" ref="Q209">IF(Q$194=Misc_Inputs!$D$6,$G135,IF(SUM(IF($G$194:$AF$194&gt;=ROUND(IF((Q$194-Sys_Repl_Rate!Q94)&lt;Tech_Specs!$C22,Tech_Specs!$C22,(Q$194-Sys_Repl_Rate!Q94)),0),IF($G$194:$AF$194&lt;=Q$194,System_Mkt_Repl!$F348:$AE348+System_Mkt_NC!$G348:$AF348)))=0,P209,SUMPRODUCT(IF($G$194:$AF$194&gt;=ROUND(IF((Q$194-Sys_Repl_Rate!Q94)&lt;Tech_Specs!$C22,Tech_Specs!$C22,(Q$194-Sys_Repl_Rate!Q94)),0),IF($G$194:$AF$194&lt;=Q$194,$G135:$AF135)),System_Mkt_Repl!$F348:$AE348+System_Mkt_NC!$G348:$AF348)/SUM(IF($G$194:$AF$194&gt;=ROUND(IF((Q$194-Sys_Repl_Rate!Q94)&lt;Tech_Specs!$C22,Tech_Specs!$C22,(Q$194-Sys_Repl_Rate!Q94)),0),IF($G$194:$AF$194&lt;=Q$194,System_Mkt_Repl!$F348:$AE348+System_Mkt_NC!$G348:$AF348)))))</f>
        <v>0.872</v>
      </c>
      <c r="R209" s="373">
        <f t="array" ref="R209">IF(R$194=Misc_Inputs!$D$6,$G135,IF(SUM(IF($G$194:$AF$194&gt;=ROUND(IF((R$194-Sys_Repl_Rate!R94)&lt;Tech_Specs!$C22,Tech_Specs!$C22,(R$194-Sys_Repl_Rate!R94)),0),IF($G$194:$AF$194&lt;=R$194,System_Mkt_Repl!$F348:$AE348+System_Mkt_NC!$G348:$AF348)))=0,Q209,SUMPRODUCT(IF($G$194:$AF$194&gt;=ROUND(IF((R$194-Sys_Repl_Rate!R94)&lt;Tech_Specs!$C22,Tech_Specs!$C22,(R$194-Sys_Repl_Rate!R94)),0),IF($G$194:$AF$194&lt;=R$194,$G135:$AF135)),System_Mkt_Repl!$F348:$AE348+System_Mkt_NC!$G348:$AF348)/SUM(IF($G$194:$AF$194&gt;=ROUND(IF((R$194-Sys_Repl_Rate!R94)&lt;Tech_Specs!$C22,Tech_Specs!$C22,(R$194-Sys_Repl_Rate!R94)),0),IF($G$194:$AF$194&lt;=R$194,System_Mkt_Repl!$F348:$AE348+System_Mkt_NC!$G348:$AF348)))))</f>
        <v>0.87200000000000011</v>
      </c>
      <c r="S209" s="373">
        <f t="array" ref="S209">IF(S$194=Misc_Inputs!$D$6,$G135,IF(SUM(IF($G$194:$AF$194&gt;=ROUND(IF((S$194-Sys_Repl_Rate!S94)&lt;Tech_Specs!$C22,Tech_Specs!$C22,(S$194-Sys_Repl_Rate!S94)),0),IF($G$194:$AF$194&lt;=S$194,System_Mkt_Repl!$F348:$AE348+System_Mkt_NC!$G348:$AF348)))=0,R209,SUMPRODUCT(IF($G$194:$AF$194&gt;=ROUND(IF((S$194-Sys_Repl_Rate!S94)&lt;Tech_Specs!$C22,Tech_Specs!$C22,(S$194-Sys_Repl_Rate!S94)),0),IF($G$194:$AF$194&lt;=S$194,$G135:$AF135)),System_Mkt_Repl!$F348:$AE348+System_Mkt_NC!$G348:$AF348)/SUM(IF($G$194:$AF$194&gt;=ROUND(IF((S$194-Sys_Repl_Rate!S94)&lt;Tech_Specs!$C22,Tech_Specs!$C22,(S$194-Sys_Repl_Rate!S94)),0),IF($G$194:$AF$194&lt;=S$194,System_Mkt_Repl!$F348:$AE348+System_Mkt_NC!$G348:$AF348)))))</f>
        <v>0.872</v>
      </c>
      <c r="T209" s="373">
        <f t="array" ref="T209">IF(T$194=Misc_Inputs!$D$6,$G135,IF(SUM(IF($G$194:$AF$194&gt;=ROUND(IF((T$194-Sys_Repl_Rate!T94)&lt;Tech_Specs!$C22,Tech_Specs!$C22,(T$194-Sys_Repl_Rate!T94)),0),IF($G$194:$AF$194&lt;=T$194,System_Mkt_Repl!$F348:$AE348+System_Mkt_NC!$G348:$AF348)))=0,S209,SUMPRODUCT(IF($G$194:$AF$194&gt;=ROUND(IF((T$194-Sys_Repl_Rate!T94)&lt;Tech_Specs!$C22,Tech_Specs!$C22,(T$194-Sys_Repl_Rate!T94)),0),IF($G$194:$AF$194&lt;=T$194,$G135:$AF135)),System_Mkt_Repl!$F348:$AE348+System_Mkt_NC!$G348:$AF348)/SUM(IF($G$194:$AF$194&gt;=ROUND(IF((T$194-Sys_Repl_Rate!T94)&lt;Tech_Specs!$C22,Tech_Specs!$C22,(T$194-Sys_Repl_Rate!T94)),0),IF($G$194:$AF$194&lt;=T$194,System_Mkt_Repl!$F348:$AE348+System_Mkt_NC!$G348:$AF348)))))</f>
        <v>0.872</v>
      </c>
      <c r="U209" s="373">
        <f t="array" ref="U209">IF(U$194=Misc_Inputs!$D$6,$G135,IF(SUM(IF($G$194:$AF$194&gt;=ROUND(IF((U$194-Sys_Repl_Rate!U94)&lt;Tech_Specs!$C22,Tech_Specs!$C22,(U$194-Sys_Repl_Rate!U94)),0),IF($G$194:$AF$194&lt;=U$194,System_Mkt_Repl!$F348:$AE348+System_Mkt_NC!$G348:$AF348)))=0,T209,SUMPRODUCT(IF($G$194:$AF$194&gt;=ROUND(IF((U$194-Sys_Repl_Rate!U94)&lt;Tech_Specs!$C22,Tech_Specs!$C22,(U$194-Sys_Repl_Rate!U94)),0),IF($G$194:$AF$194&lt;=U$194,$G135:$AF135)),System_Mkt_Repl!$F348:$AE348+System_Mkt_NC!$G348:$AF348)/SUM(IF($G$194:$AF$194&gt;=ROUND(IF((U$194-Sys_Repl_Rate!U94)&lt;Tech_Specs!$C22,Tech_Specs!$C22,(U$194-Sys_Repl_Rate!U94)),0),IF($G$194:$AF$194&lt;=U$194,System_Mkt_Repl!$F348:$AE348+System_Mkt_NC!$G348:$AF348)))))</f>
        <v>0.87199999999999989</v>
      </c>
      <c r="V209" s="373">
        <f t="array" ref="V209">IF(V$194=Misc_Inputs!$D$6,$G135,IF(SUM(IF($G$194:$AF$194&gt;=ROUND(IF((V$194-Sys_Repl_Rate!V94)&lt;Tech_Specs!$C22,Tech_Specs!$C22,(V$194-Sys_Repl_Rate!V94)),0),IF($G$194:$AF$194&lt;=V$194,System_Mkt_Repl!$F348:$AE348+System_Mkt_NC!$G348:$AF348)))=0,U209,SUMPRODUCT(IF($G$194:$AF$194&gt;=ROUND(IF((V$194-Sys_Repl_Rate!V94)&lt;Tech_Specs!$C22,Tech_Specs!$C22,(V$194-Sys_Repl_Rate!V94)),0),IF($G$194:$AF$194&lt;=V$194,$G135:$AF135)),System_Mkt_Repl!$F348:$AE348+System_Mkt_NC!$G348:$AF348)/SUM(IF($G$194:$AF$194&gt;=ROUND(IF((V$194-Sys_Repl_Rate!V94)&lt;Tech_Specs!$C22,Tech_Specs!$C22,(V$194-Sys_Repl_Rate!V94)),0),IF($G$194:$AF$194&lt;=V$194,System_Mkt_Repl!$F348:$AE348+System_Mkt_NC!$G348:$AF348)))))</f>
        <v>0.872</v>
      </c>
      <c r="W209" s="373">
        <f t="array" ref="W209">IF(W$194=Misc_Inputs!$D$6,$G135,IF(SUM(IF($G$194:$AF$194&gt;=ROUND(IF((W$194-Sys_Repl_Rate!W94)&lt;Tech_Specs!$C22,Tech_Specs!$C22,(W$194-Sys_Repl_Rate!W94)),0),IF($G$194:$AF$194&lt;=W$194,System_Mkt_Repl!$F348:$AE348+System_Mkt_NC!$G348:$AF348)))=0,V209,SUMPRODUCT(IF($G$194:$AF$194&gt;=ROUND(IF((W$194-Sys_Repl_Rate!W94)&lt;Tech_Specs!$C22,Tech_Specs!$C22,(W$194-Sys_Repl_Rate!W94)),0),IF($G$194:$AF$194&lt;=W$194,$G135:$AF135)),System_Mkt_Repl!$F348:$AE348+System_Mkt_NC!$G348:$AF348)/SUM(IF($G$194:$AF$194&gt;=ROUND(IF((W$194-Sys_Repl_Rate!W94)&lt;Tech_Specs!$C22,Tech_Specs!$C22,(W$194-Sys_Repl_Rate!W94)),0),IF($G$194:$AF$194&lt;=W$194,System_Mkt_Repl!$F348:$AE348+System_Mkt_NC!$G348:$AF348)))))</f>
        <v>0.87199999999999989</v>
      </c>
      <c r="X209" s="373">
        <f t="array" ref="X209">IF(X$194=Misc_Inputs!$D$6,$G135,IF(SUM(IF($G$194:$AF$194&gt;=ROUND(IF((X$194-Sys_Repl_Rate!X94)&lt;Tech_Specs!$C22,Tech_Specs!$C22,(X$194-Sys_Repl_Rate!X94)),0),IF($G$194:$AF$194&lt;=X$194,System_Mkt_Repl!$F348:$AE348+System_Mkt_NC!$G348:$AF348)))=0,W209,SUMPRODUCT(IF($G$194:$AF$194&gt;=ROUND(IF((X$194-Sys_Repl_Rate!X94)&lt;Tech_Specs!$C22,Tech_Specs!$C22,(X$194-Sys_Repl_Rate!X94)),0),IF($G$194:$AF$194&lt;=X$194,$G135:$AF135)),System_Mkt_Repl!$F348:$AE348+System_Mkt_NC!$G348:$AF348)/SUM(IF($G$194:$AF$194&gt;=ROUND(IF((X$194-Sys_Repl_Rate!X94)&lt;Tech_Specs!$C22,Tech_Specs!$C22,(X$194-Sys_Repl_Rate!X94)),0),IF($G$194:$AF$194&lt;=X$194,System_Mkt_Repl!$F348:$AE348+System_Mkt_NC!$G348:$AF348)))))</f>
        <v>0.87199999999999989</v>
      </c>
      <c r="Y209" s="373">
        <f t="array" ref="Y209">IF(Y$194=Misc_Inputs!$D$6,$G135,IF(SUM(IF($G$194:$AF$194&gt;=ROUND(IF((Y$194-Sys_Repl_Rate!Y94)&lt;Tech_Specs!$C22,Tech_Specs!$C22,(Y$194-Sys_Repl_Rate!Y94)),0),IF($G$194:$AF$194&lt;=Y$194,System_Mkt_Repl!$F348:$AE348+System_Mkt_NC!$G348:$AF348)))=0,X209,SUMPRODUCT(IF($G$194:$AF$194&gt;=ROUND(IF((Y$194-Sys_Repl_Rate!Y94)&lt;Tech_Specs!$C22,Tech_Specs!$C22,(Y$194-Sys_Repl_Rate!Y94)),0),IF($G$194:$AF$194&lt;=Y$194,$G135:$AF135)),System_Mkt_Repl!$F348:$AE348+System_Mkt_NC!$G348:$AF348)/SUM(IF($G$194:$AF$194&gt;=ROUND(IF((Y$194-Sys_Repl_Rate!Y94)&lt;Tech_Specs!$C22,Tech_Specs!$C22,(Y$194-Sys_Repl_Rate!Y94)),0),IF($G$194:$AF$194&lt;=Y$194,System_Mkt_Repl!$F348:$AE348+System_Mkt_NC!$G348:$AF348)))))</f>
        <v>0.87199999999999989</v>
      </c>
      <c r="Z209" s="373">
        <f t="array" ref="Z209">IF(Z$194=Misc_Inputs!$D$6,$G135,IF(SUM(IF($G$194:$AF$194&gt;=ROUND(IF((Z$194-Sys_Repl_Rate!Z94)&lt;Tech_Specs!$C22,Tech_Specs!$C22,(Z$194-Sys_Repl_Rate!Z94)),0),IF($G$194:$AF$194&lt;=Z$194,System_Mkt_Repl!$F348:$AE348+System_Mkt_NC!$G348:$AF348)))=0,Y209,SUMPRODUCT(IF($G$194:$AF$194&gt;=ROUND(IF((Z$194-Sys_Repl_Rate!Z94)&lt;Tech_Specs!$C22,Tech_Specs!$C22,(Z$194-Sys_Repl_Rate!Z94)),0),IF($G$194:$AF$194&lt;=Z$194,$G135:$AF135)),System_Mkt_Repl!$F348:$AE348+System_Mkt_NC!$G348:$AF348)/SUM(IF($G$194:$AF$194&gt;=ROUND(IF((Z$194-Sys_Repl_Rate!Z94)&lt;Tech_Specs!$C22,Tech_Specs!$C22,(Z$194-Sys_Repl_Rate!Z94)),0),IF($G$194:$AF$194&lt;=Z$194,System_Mkt_Repl!$F348:$AE348+System_Mkt_NC!$G348:$AF348)))))</f>
        <v>0.87199999999999989</v>
      </c>
      <c r="AA209" s="373">
        <f t="array" ref="AA209">IF(AA$194=Misc_Inputs!$D$6,$G135,IF(SUM(IF($G$194:$AF$194&gt;=ROUND(IF((AA$194-Sys_Repl_Rate!AA94)&lt;Tech_Specs!$C22,Tech_Specs!$C22,(AA$194-Sys_Repl_Rate!AA94)),0),IF($G$194:$AF$194&lt;=AA$194,System_Mkt_Repl!$F348:$AE348+System_Mkt_NC!$G348:$AF348)))=0,Z209,SUMPRODUCT(IF($G$194:$AF$194&gt;=ROUND(IF((AA$194-Sys_Repl_Rate!AA94)&lt;Tech_Specs!$C22,Tech_Specs!$C22,(AA$194-Sys_Repl_Rate!AA94)),0),IF($G$194:$AF$194&lt;=AA$194,$G135:$AF135)),System_Mkt_Repl!$F348:$AE348+System_Mkt_NC!$G348:$AF348)/SUM(IF($G$194:$AF$194&gt;=ROUND(IF((AA$194-Sys_Repl_Rate!AA94)&lt;Tech_Specs!$C22,Tech_Specs!$C22,(AA$194-Sys_Repl_Rate!AA94)),0),IF($G$194:$AF$194&lt;=AA$194,System_Mkt_Repl!$F348:$AE348+System_Mkt_NC!$G348:$AF348)))))</f>
        <v>0.87199999999999978</v>
      </c>
      <c r="AB209" s="373">
        <f t="array" ref="AB209">IF(AB$194=Misc_Inputs!$D$6,$G135,IF(SUM(IF($G$194:$AF$194&gt;=ROUND(IF((AB$194-Sys_Repl_Rate!AB94)&lt;Tech_Specs!$C22,Tech_Specs!$C22,(AB$194-Sys_Repl_Rate!AB94)),0),IF($G$194:$AF$194&lt;=AB$194,System_Mkt_Repl!$F348:$AE348+System_Mkt_NC!$G348:$AF348)))=0,AA209,SUMPRODUCT(IF($G$194:$AF$194&gt;=ROUND(IF((AB$194-Sys_Repl_Rate!AB94)&lt;Tech_Specs!$C22,Tech_Specs!$C22,(AB$194-Sys_Repl_Rate!AB94)),0),IF($G$194:$AF$194&lt;=AB$194,$G135:$AF135)),System_Mkt_Repl!$F348:$AE348+System_Mkt_NC!$G348:$AF348)/SUM(IF($G$194:$AF$194&gt;=ROUND(IF((AB$194-Sys_Repl_Rate!AB94)&lt;Tech_Specs!$C22,Tech_Specs!$C22,(AB$194-Sys_Repl_Rate!AB94)),0),IF($G$194:$AF$194&lt;=AB$194,System_Mkt_Repl!$F348:$AE348+System_Mkt_NC!$G348:$AF348)))))</f>
        <v>0.87199999999999989</v>
      </c>
      <c r="AC209" s="373">
        <f t="array" ref="AC209">IF(AC$194=Misc_Inputs!$D$6,$G135,IF(SUM(IF($G$194:$AF$194&gt;=ROUND(IF((AC$194-Sys_Repl_Rate!AC94)&lt;Tech_Specs!$C22,Tech_Specs!$C22,(AC$194-Sys_Repl_Rate!AC94)),0),IF($G$194:$AF$194&lt;=AC$194,System_Mkt_Repl!$F348:$AE348+System_Mkt_NC!$G348:$AF348)))=0,AB209,SUMPRODUCT(IF($G$194:$AF$194&gt;=ROUND(IF((AC$194-Sys_Repl_Rate!AC94)&lt;Tech_Specs!$C22,Tech_Specs!$C22,(AC$194-Sys_Repl_Rate!AC94)),0),IF($G$194:$AF$194&lt;=AC$194,$G135:$AF135)),System_Mkt_Repl!$F348:$AE348+System_Mkt_NC!$G348:$AF348)/SUM(IF($G$194:$AF$194&gt;=ROUND(IF((AC$194-Sys_Repl_Rate!AC94)&lt;Tech_Specs!$C22,Tech_Specs!$C22,(AC$194-Sys_Repl_Rate!AC94)),0),IF($G$194:$AF$194&lt;=AC$194,System_Mkt_Repl!$F348:$AE348+System_Mkt_NC!$G348:$AF348)))))</f>
        <v>0.87199999999999989</v>
      </c>
      <c r="AD209" s="373">
        <f t="array" ref="AD209">IF(AD$194=Misc_Inputs!$D$6,$G135,IF(SUM(IF($G$194:$AF$194&gt;=ROUND(IF((AD$194-Sys_Repl_Rate!AD94)&lt;Tech_Specs!$C22,Tech_Specs!$C22,(AD$194-Sys_Repl_Rate!AD94)),0),IF($G$194:$AF$194&lt;=AD$194,System_Mkt_Repl!$F348:$AE348+System_Mkt_NC!$G348:$AF348)))=0,AC209,SUMPRODUCT(IF($G$194:$AF$194&gt;=ROUND(IF((AD$194-Sys_Repl_Rate!AD94)&lt;Tech_Specs!$C22,Tech_Specs!$C22,(AD$194-Sys_Repl_Rate!AD94)),0),IF($G$194:$AF$194&lt;=AD$194,$G135:$AF135)),System_Mkt_Repl!$F348:$AE348+System_Mkt_NC!$G348:$AF348)/SUM(IF($G$194:$AF$194&gt;=ROUND(IF((AD$194-Sys_Repl_Rate!AD94)&lt;Tech_Specs!$C22,Tech_Specs!$C22,(AD$194-Sys_Repl_Rate!AD94)),0),IF($G$194:$AF$194&lt;=AD$194,System_Mkt_Repl!$F348:$AE348+System_Mkt_NC!$G348:$AF348)))))</f>
        <v>0.87199999999999978</v>
      </c>
      <c r="AE209" s="373">
        <f t="array" ref="AE209">IF(AE$194=Misc_Inputs!$D$6,$G135,IF(SUM(IF($G$194:$AF$194&gt;=ROUND(IF((AE$194-Sys_Repl_Rate!AE94)&lt;Tech_Specs!$C22,Tech_Specs!$C22,(AE$194-Sys_Repl_Rate!AE94)),0),IF($G$194:$AF$194&lt;=AE$194,System_Mkt_Repl!$F348:$AE348+System_Mkt_NC!$G348:$AF348)))=0,AD209,SUMPRODUCT(IF($G$194:$AF$194&gt;=ROUND(IF((AE$194-Sys_Repl_Rate!AE94)&lt;Tech_Specs!$C22,Tech_Specs!$C22,(AE$194-Sys_Repl_Rate!AE94)),0),IF($G$194:$AF$194&lt;=AE$194,$G135:$AF135)),System_Mkt_Repl!$F348:$AE348+System_Mkt_NC!$G348:$AF348)/SUM(IF($G$194:$AF$194&gt;=ROUND(IF((AE$194-Sys_Repl_Rate!AE94)&lt;Tech_Specs!$C22,Tech_Specs!$C22,(AE$194-Sys_Repl_Rate!AE94)),0),IF($G$194:$AF$194&lt;=AE$194,System_Mkt_Repl!$F348:$AE348+System_Mkt_NC!$G348:$AF348)))))</f>
        <v>0.87199999999999978</v>
      </c>
      <c r="AF209" s="373">
        <f t="array" ref="AF209">IF(AF$194=Misc_Inputs!$D$6,$G135,IF(SUM(IF($G$194:$AF$194&gt;=ROUND(IF((AF$194-Sys_Repl_Rate!AF94)&lt;Tech_Specs!$C22,Tech_Specs!$C22,(AF$194-Sys_Repl_Rate!AF94)),0),IF($G$194:$AF$194&lt;=AF$194,System_Mkt_Repl!$F348:$AE348+System_Mkt_NC!$G348:$AF348)))=0,AE209,SUMPRODUCT(IF($G$194:$AF$194&gt;=ROUND(IF((AF$194-Sys_Repl_Rate!AF94)&lt;Tech_Specs!$C22,Tech_Specs!$C22,(AF$194-Sys_Repl_Rate!AF94)),0),IF($G$194:$AF$194&lt;=AF$194,$G135:$AF135)),System_Mkt_Repl!$F348:$AE348+System_Mkt_NC!$G348:$AF348)/SUM(IF($G$194:$AF$194&gt;=ROUND(IF((AF$194-Sys_Repl_Rate!AF94)&lt;Tech_Specs!$C22,Tech_Specs!$C22,(AF$194-Sys_Repl_Rate!AF94)),0),IF($G$194:$AF$194&lt;=AF$194,System_Mkt_Repl!$F348:$AE348+System_Mkt_NC!$G348:$AF348)))))</f>
        <v>0.87199999999999978</v>
      </c>
    </row>
    <row r="210" spans="1:32" s="282" customFormat="1" ht="12.75" x14ac:dyDescent="0.2">
      <c r="A210" s="278"/>
      <c r="B210" s="278" t="s">
        <v>40</v>
      </c>
      <c r="C210" s="278"/>
      <c r="D210" s="550"/>
      <c r="E210" s="550"/>
      <c r="F210" s="550"/>
      <c r="G210" s="1179">
        <f t="array" ref="G210">IF(G$194=Misc_Inputs!$D$6,$G136,IF(SUM(IF($G$194:$AF$194&gt;=ROUND(IF((G$194-Sys_Repl_Rate!G95)&lt;Tech_Specs!$C23,Tech_Specs!$C23,(G$194-Sys_Repl_Rate!G95)),0),IF($G$194:$AF$194&lt;=G$194,System_Mkt_Repl!$F349:$AE349+System_Mkt_NC!$G349:$AF349)))=0,C210,SUMPRODUCT(IF($G$194:$AF$194&gt;=ROUND(IF((G$194-Sys_Repl_Rate!G95)&lt;Tech_Specs!$C23,Tech_Specs!$C23,(G$194-Sys_Repl_Rate!G95)),0),IF($G$194:$AF$194&lt;=G$194,$G136:$AF136)),System_Mkt_Repl!$F349:$AE349+System_Mkt_NC!$G349:$AF349)/SUM(IF($G$194:$AF$194&gt;=ROUND(IF((G$194-Sys_Repl_Rate!G95)&lt;Tech_Specs!$C23,Tech_Specs!$C23,(G$194-Sys_Repl_Rate!G95)),0),IF($G$194:$AF$194&lt;=G$194,System_Mkt_Repl!$F349:$AE349+System_Mkt_NC!$G349:$AF349)))))</f>
        <v>0.85346228522241319</v>
      </c>
      <c r="H210" s="1179">
        <f t="array" ref="H210">IF(H$194=Misc_Inputs!$D$6,$G136,IF(SUM(IF($G$194:$AF$194&gt;=ROUND(IF((H$194-Sys_Repl_Rate!H95)&lt;Tech_Specs!$C23,Tech_Specs!$C23,(H$194-Sys_Repl_Rate!H95)),0),IF($G$194:$AF$194&lt;=H$194,System_Mkt_Repl!$F349:$AE349+System_Mkt_NC!$G349:$AF349)))=0,G210,SUMPRODUCT(IF($G$194:$AF$194&gt;=ROUND(IF((H$194-Sys_Repl_Rate!H95)&lt;Tech_Specs!$C23,Tech_Specs!$C23,(H$194-Sys_Repl_Rate!H95)),0),IF($G$194:$AF$194&lt;=H$194,$G136:$AF136)),System_Mkt_Repl!$F349:$AE349+System_Mkt_NC!$G349:$AF349)/SUM(IF($G$194:$AF$194&gt;=ROUND(IF((H$194-Sys_Repl_Rate!H95)&lt;Tech_Specs!$C23,Tech_Specs!$C23,(H$194-Sys_Repl_Rate!H95)),0),IF($G$194:$AF$194&lt;=H$194,System_Mkt_Repl!$F349:$AE349+System_Mkt_NC!$G349:$AF349)))))</f>
        <v>0.85346228522241319</v>
      </c>
      <c r="I210" s="1179">
        <f t="array" ref="I210">IF(I$194=Misc_Inputs!$D$6,$G136,IF(SUM(IF($G$194:$AF$194&gt;=ROUND(IF((I$194-Sys_Repl_Rate!I95)&lt;Tech_Specs!$C23,Tech_Specs!$C23,(I$194-Sys_Repl_Rate!I95)),0),IF($G$194:$AF$194&lt;=I$194,System_Mkt_Repl!$F349:$AE349+System_Mkt_NC!$G349:$AF349)))=0,H210,SUMPRODUCT(IF($G$194:$AF$194&gt;=ROUND(IF((I$194-Sys_Repl_Rate!I95)&lt;Tech_Specs!$C23,Tech_Specs!$C23,(I$194-Sys_Repl_Rate!I95)),0),IF($G$194:$AF$194&lt;=I$194,$G136:$AF136)),System_Mkt_Repl!$F349:$AE349+System_Mkt_NC!$G349:$AF349)/SUM(IF($G$194:$AF$194&gt;=ROUND(IF((I$194-Sys_Repl_Rate!I95)&lt;Tech_Specs!$C23,Tech_Specs!$C23,(I$194-Sys_Repl_Rate!I95)),0),IF($G$194:$AF$194&lt;=I$194,System_Mkt_Repl!$F349:$AE349+System_Mkt_NC!$G349:$AF349)))))</f>
        <v>0.85346228522241319</v>
      </c>
      <c r="J210" s="1179">
        <f t="array" ref="J210">IF(J$194=Misc_Inputs!$D$6,$G136,IF(SUM(IF($G$194:$AF$194&gt;=ROUND(IF((J$194-Sys_Repl_Rate!J95)&lt;Tech_Specs!$C23,Tech_Specs!$C23,(J$194-Sys_Repl_Rate!J95)),0),IF($G$194:$AF$194&lt;=J$194,System_Mkt_Repl!$F349:$AE349+System_Mkt_NC!$G349:$AF349)))=0,I210,SUMPRODUCT(IF($G$194:$AF$194&gt;=ROUND(IF((J$194-Sys_Repl_Rate!J95)&lt;Tech_Specs!$C23,Tech_Specs!$C23,(J$194-Sys_Repl_Rate!J95)),0),IF($G$194:$AF$194&lt;=J$194,$G136:$AF136)),System_Mkt_Repl!$F349:$AE349+System_Mkt_NC!$G349:$AF349)/SUM(IF($G$194:$AF$194&gt;=ROUND(IF((J$194-Sys_Repl_Rate!J95)&lt;Tech_Specs!$C23,Tech_Specs!$C23,(J$194-Sys_Repl_Rate!J95)),0),IF($G$194:$AF$194&lt;=J$194,System_Mkt_Repl!$F349:$AE349+System_Mkt_NC!$G349:$AF349)))))</f>
        <v>0.85346228522241308</v>
      </c>
      <c r="K210" s="373">
        <f t="array" ref="K210">IF(K$194=Misc_Inputs!$D$6,$G136,IF(SUM(IF($G$194:$AF$194&gt;=ROUND(IF((K$194-Sys_Repl_Rate!K95)&lt;Tech_Specs!$C23,Tech_Specs!$C23,(K$194-Sys_Repl_Rate!K95)),0),IF($G$194:$AF$194&lt;=K$194,System_Mkt_Repl!$F349:$AE349+System_Mkt_NC!$G349:$AF349)))=0,J210,SUMPRODUCT(IF($G$194:$AF$194&gt;=ROUND(IF((K$194-Sys_Repl_Rate!K95)&lt;Tech_Specs!$C23,Tech_Specs!$C23,(K$194-Sys_Repl_Rate!K95)),0),IF($G$194:$AF$194&lt;=K$194,$G136:$AF136)),System_Mkt_Repl!$F349:$AE349+System_Mkt_NC!$G349:$AF349)/SUM(IF($G$194:$AF$194&gt;=ROUND(IF((K$194-Sys_Repl_Rate!K95)&lt;Tech_Specs!$C23,Tech_Specs!$C23,(K$194-Sys_Repl_Rate!K95)),0),IF($G$194:$AF$194&lt;=K$194,System_Mkt_Repl!$F349:$AE349+System_Mkt_NC!$G349:$AF349)))))</f>
        <v>0.85346228522241319</v>
      </c>
      <c r="L210" s="373">
        <f t="array" ref="L210">IF(L$194=Misc_Inputs!$D$6,$G136,IF(SUM(IF($G$194:$AF$194&gt;=ROUND(IF((L$194-Sys_Repl_Rate!L95)&lt;Tech_Specs!$C23,Tech_Specs!$C23,(L$194-Sys_Repl_Rate!L95)),0),IF($G$194:$AF$194&lt;=L$194,System_Mkt_Repl!$F349:$AE349+System_Mkt_NC!$G349:$AF349)))=0,K210,SUMPRODUCT(IF($G$194:$AF$194&gt;=ROUND(IF((L$194-Sys_Repl_Rate!L95)&lt;Tech_Specs!$C23,Tech_Specs!$C23,(L$194-Sys_Repl_Rate!L95)),0),IF($G$194:$AF$194&lt;=L$194,$G136:$AF136)),System_Mkt_Repl!$F349:$AE349+System_Mkt_NC!$G349:$AF349)/SUM(IF($G$194:$AF$194&gt;=ROUND(IF((L$194-Sys_Repl_Rate!L95)&lt;Tech_Specs!$C23,Tech_Specs!$C23,(L$194-Sys_Repl_Rate!L95)),0),IF($G$194:$AF$194&lt;=L$194,System_Mkt_Repl!$F349:$AE349+System_Mkt_NC!$G349:$AF349)))))</f>
        <v>0.85346228522241319</v>
      </c>
      <c r="M210" s="373">
        <f t="array" ref="M210">IF(M$194=Misc_Inputs!$D$6,$G136,IF(SUM(IF($G$194:$AF$194&gt;=ROUND(IF((M$194-Sys_Repl_Rate!M95)&lt;Tech_Specs!$C23,Tech_Specs!$C23,(M$194-Sys_Repl_Rate!M95)),0),IF($G$194:$AF$194&lt;=M$194,System_Mkt_Repl!$F349:$AE349+System_Mkt_NC!$G349:$AF349)))=0,L210,SUMPRODUCT(IF($G$194:$AF$194&gt;=ROUND(IF((M$194-Sys_Repl_Rate!M95)&lt;Tech_Specs!$C23,Tech_Specs!$C23,(M$194-Sys_Repl_Rate!M95)),0),IF($G$194:$AF$194&lt;=M$194,$G136:$AF136)),System_Mkt_Repl!$F349:$AE349+System_Mkt_NC!$G349:$AF349)/SUM(IF($G$194:$AF$194&gt;=ROUND(IF((M$194-Sys_Repl_Rate!M95)&lt;Tech_Specs!$C23,Tech_Specs!$C23,(M$194-Sys_Repl_Rate!M95)),0),IF($G$194:$AF$194&lt;=M$194,System_Mkt_Repl!$F349:$AE349+System_Mkt_NC!$G349:$AF349)))))</f>
        <v>0.8534622852224133</v>
      </c>
      <c r="N210" s="373">
        <f t="array" ref="N210">IF(N$194=Misc_Inputs!$D$6,$G136,IF(SUM(IF($G$194:$AF$194&gt;=ROUND(IF((N$194-Sys_Repl_Rate!N95)&lt;Tech_Specs!$C23,Tech_Specs!$C23,(N$194-Sys_Repl_Rate!N95)),0),IF($G$194:$AF$194&lt;=N$194,System_Mkt_Repl!$F349:$AE349+System_Mkt_NC!$G349:$AF349)))=0,M210,SUMPRODUCT(IF($G$194:$AF$194&gt;=ROUND(IF((N$194-Sys_Repl_Rate!N95)&lt;Tech_Specs!$C23,Tech_Specs!$C23,(N$194-Sys_Repl_Rate!N95)),0),IF($G$194:$AF$194&lt;=N$194,$G136:$AF136)),System_Mkt_Repl!$F349:$AE349+System_Mkt_NC!$G349:$AF349)/SUM(IF($G$194:$AF$194&gt;=ROUND(IF((N$194-Sys_Repl_Rate!N95)&lt;Tech_Specs!$C23,Tech_Specs!$C23,(N$194-Sys_Repl_Rate!N95)),0),IF($G$194:$AF$194&lt;=N$194,System_Mkt_Repl!$F349:$AE349+System_Mkt_NC!$G349:$AF349)))))</f>
        <v>0.85346228522241319</v>
      </c>
      <c r="O210" s="373">
        <f t="array" ref="O210">IF(O$194=Misc_Inputs!$D$6,$G136,IF(SUM(IF($G$194:$AF$194&gt;=ROUND(IF((O$194-Sys_Repl_Rate!O95)&lt;Tech_Specs!$C23,Tech_Specs!$C23,(O$194-Sys_Repl_Rate!O95)),0),IF($G$194:$AF$194&lt;=O$194,System_Mkt_Repl!$F349:$AE349+System_Mkt_NC!$G349:$AF349)))=0,N210,SUMPRODUCT(IF($G$194:$AF$194&gt;=ROUND(IF((O$194-Sys_Repl_Rate!O95)&lt;Tech_Specs!$C23,Tech_Specs!$C23,(O$194-Sys_Repl_Rate!O95)),0),IF($G$194:$AF$194&lt;=O$194,$G136:$AF136)),System_Mkt_Repl!$F349:$AE349+System_Mkt_NC!$G349:$AF349)/SUM(IF($G$194:$AF$194&gt;=ROUND(IF((O$194-Sys_Repl_Rate!O95)&lt;Tech_Specs!$C23,Tech_Specs!$C23,(O$194-Sys_Repl_Rate!O95)),0),IF($G$194:$AF$194&lt;=O$194,System_Mkt_Repl!$F349:$AE349+System_Mkt_NC!$G349:$AF349)))))</f>
        <v>0.85346228522241319</v>
      </c>
      <c r="P210" s="373">
        <f t="array" ref="P210">IF(P$194=Misc_Inputs!$D$6,$G136,IF(SUM(IF($G$194:$AF$194&gt;=ROUND(IF((P$194-Sys_Repl_Rate!P95)&lt;Tech_Specs!$C23,Tech_Specs!$C23,(P$194-Sys_Repl_Rate!P95)),0),IF($G$194:$AF$194&lt;=P$194,System_Mkt_Repl!$F349:$AE349+System_Mkt_NC!$G349:$AF349)))=0,O210,SUMPRODUCT(IF($G$194:$AF$194&gt;=ROUND(IF((P$194-Sys_Repl_Rate!P95)&lt;Tech_Specs!$C23,Tech_Specs!$C23,(P$194-Sys_Repl_Rate!P95)),0),IF($G$194:$AF$194&lt;=P$194,$G136:$AF136)),System_Mkt_Repl!$F349:$AE349+System_Mkt_NC!$G349:$AF349)/SUM(IF($G$194:$AF$194&gt;=ROUND(IF((P$194-Sys_Repl_Rate!P95)&lt;Tech_Specs!$C23,Tech_Specs!$C23,(P$194-Sys_Repl_Rate!P95)),0),IF($G$194:$AF$194&lt;=P$194,System_Mkt_Repl!$F349:$AE349+System_Mkt_NC!$G349:$AF349)))))</f>
        <v>0.85346228522241319</v>
      </c>
      <c r="Q210" s="373">
        <f t="array" ref="Q210">IF(Q$194=Misc_Inputs!$D$6,$G136,IF(SUM(IF($G$194:$AF$194&gt;=ROUND(IF((Q$194-Sys_Repl_Rate!Q95)&lt;Tech_Specs!$C23,Tech_Specs!$C23,(Q$194-Sys_Repl_Rate!Q95)),0),IF($G$194:$AF$194&lt;=Q$194,System_Mkt_Repl!$F349:$AE349+System_Mkt_NC!$G349:$AF349)))=0,P210,SUMPRODUCT(IF($G$194:$AF$194&gt;=ROUND(IF((Q$194-Sys_Repl_Rate!Q95)&lt;Tech_Specs!$C23,Tech_Specs!$C23,(Q$194-Sys_Repl_Rate!Q95)),0),IF($G$194:$AF$194&lt;=Q$194,$G136:$AF136)),System_Mkt_Repl!$F349:$AE349+System_Mkt_NC!$G349:$AF349)/SUM(IF($G$194:$AF$194&gt;=ROUND(IF((Q$194-Sys_Repl_Rate!Q95)&lt;Tech_Specs!$C23,Tech_Specs!$C23,(Q$194-Sys_Repl_Rate!Q95)),0),IF($G$194:$AF$194&lt;=Q$194,System_Mkt_Repl!$F349:$AE349+System_Mkt_NC!$G349:$AF349)))))</f>
        <v>0.85346228522241319</v>
      </c>
      <c r="R210" s="373">
        <f t="array" ref="R210">IF(R$194=Misc_Inputs!$D$6,$G136,IF(SUM(IF($G$194:$AF$194&gt;=ROUND(IF((R$194-Sys_Repl_Rate!R95)&lt;Tech_Specs!$C23,Tech_Specs!$C23,(R$194-Sys_Repl_Rate!R95)),0),IF($G$194:$AF$194&lt;=R$194,System_Mkt_Repl!$F349:$AE349+System_Mkt_NC!$G349:$AF349)))=0,Q210,SUMPRODUCT(IF($G$194:$AF$194&gt;=ROUND(IF((R$194-Sys_Repl_Rate!R95)&lt;Tech_Specs!$C23,Tech_Specs!$C23,(R$194-Sys_Repl_Rate!R95)),0),IF($G$194:$AF$194&lt;=R$194,$G136:$AF136)),System_Mkt_Repl!$F349:$AE349+System_Mkt_NC!$G349:$AF349)/SUM(IF($G$194:$AF$194&gt;=ROUND(IF((R$194-Sys_Repl_Rate!R95)&lt;Tech_Specs!$C23,Tech_Specs!$C23,(R$194-Sys_Repl_Rate!R95)),0),IF($G$194:$AF$194&lt;=R$194,System_Mkt_Repl!$F349:$AE349+System_Mkt_NC!$G349:$AF349)))))</f>
        <v>0.85346228522241319</v>
      </c>
      <c r="S210" s="373">
        <f t="array" ref="S210">IF(S$194=Misc_Inputs!$D$6,$G136,IF(SUM(IF($G$194:$AF$194&gt;=ROUND(IF((S$194-Sys_Repl_Rate!S95)&lt;Tech_Specs!$C23,Tech_Specs!$C23,(S$194-Sys_Repl_Rate!S95)),0),IF($G$194:$AF$194&lt;=S$194,System_Mkt_Repl!$F349:$AE349+System_Mkt_NC!$G349:$AF349)))=0,R210,SUMPRODUCT(IF($G$194:$AF$194&gt;=ROUND(IF((S$194-Sys_Repl_Rate!S95)&lt;Tech_Specs!$C23,Tech_Specs!$C23,(S$194-Sys_Repl_Rate!S95)),0),IF($G$194:$AF$194&lt;=S$194,$G136:$AF136)),System_Mkt_Repl!$F349:$AE349+System_Mkt_NC!$G349:$AF349)/SUM(IF($G$194:$AF$194&gt;=ROUND(IF((S$194-Sys_Repl_Rate!S95)&lt;Tech_Specs!$C23,Tech_Specs!$C23,(S$194-Sys_Repl_Rate!S95)),0),IF($G$194:$AF$194&lt;=S$194,System_Mkt_Repl!$F349:$AE349+System_Mkt_NC!$G349:$AF349)))))</f>
        <v>0.8534622852224133</v>
      </c>
      <c r="T210" s="373">
        <f t="array" ref="T210">IF(T$194=Misc_Inputs!$D$6,$G136,IF(SUM(IF($G$194:$AF$194&gt;=ROUND(IF((T$194-Sys_Repl_Rate!T95)&lt;Tech_Specs!$C23,Tech_Specs!$C23,(T$194-Sys_Repl_Rate!T95)),0),IF($G$194:$AF$194&lt;=T$194,System_Mkt_Repl!$F349:$AE349+System_Mkt_NC!$G349:$AF349)))=0,S210,SUMPRODUCT(IF($G$194:$AF$194&gt;=ROUND(IF((T$194-Sys_Repl_Rate!T95)&lt;Tech_Specs!$C23,Tech_Specs!$C23,(T$194-Sys_Repl_Rate!T95)),0),IF($G$194:$AF$194&lt;=T$194,$G136:$AF136)),System_Mkt_Repl!$F349:$AE349+System_Mkt_NC!$G349:$AF349)/SUM(IF($G$194:$AF$194&gt;=ROUND(IF((T$194-Sys_Repl_Rate!T95)&lt;Tech_Specs!$C23,Tech_Specs!$C23,(T$194-Sys_Repl_Rate!T95)),0),IF($G$194:$AF$194&lt;=T$194,System_Mkt_Repl!$F349:$AE349+System_Mkt_NC!$G349:$AF349)))))</f>
        <v>0.85346228522241319</v>
      </c>
      <c r="U210" s="373">
        <f t="array" ref="U210">IF(U$194=Misc_Inputs!$D$6,$G136,IF(SUM(IF($G$194:$AF$194&gt;=ROUND(IF((U$194-Sys_Repl_Rate!U95)&lt;Tech_Specs!$C23,Tech_Specs!$C23,(U$194-Sys_Repl_Rate!U95)),0),IF($G$194:$AF$194&lt;=U$194,System_Mkt_Repl!$F349:$AE349+System_Mkt_NC!$G349:$AF349)))=0,T210,SUMPRODUCT(IF($G$194:$AF$194&gt;=ROUND(IF((U$194-Sys_Repl_Rate!U95)&lt;Tech_Specs!$C23,Tech_Specs!$C23,(U$194-Sys_Repl_Rate!U95)),0),IF($G$194:$AF$194&lt;=U$194,$G136:$AF136)),System_Mkt_Repl!$F349:$AE349+System_Mkt_NC!$G349:$AF349)/SUM(IF($G$194:$AF$194&gt;=ROUND(IF((U$194-Sys_Repl_Rate!U95)&lt;Tech_Specs!$C23,Tech_Specs!$C23,(U$194-Sys_Repl_Rate!U95)),0),IF($G$194:$AF$194&lt;=U$194,System_Mkt_Repl!$F349:$AE349+System_Mkt_NC!$G349:$AF349)))))</f>
        <v>0.85346228522241319</v>
      </c>
      <c r="V210" s="373">
        <f t="array" ref="V210">IF(V$194=Misc_Inputs!$D$6,$G136,IF(SUM(IF($G$194:$AF$194&gt;=ROUND(IF((V$194-Sys_Repl_Rate!V95)&lt;Tech_Specs!$C23,Tech_Specs!$C23,(V$194-Sys_Repl_Rate!V95)),0),IF($G$194:$AF$194&lt;=V$194,System_Mkt_Repl!$F349:$AE349+System_Mkt_NC!$G349:$AF349)))=0,U210,SUMPRODUCT(IF($G$194:$AF$194&gt;=ROUND(IF((V$194-Sys_Repl_Rate!V95)&lt;Tech_Specs!$C23,Tech_Specs!$C23,(V$194-Sys_Repl_Rate!V95)),0),IF($G$194:$AF$194&lt;=V$194,$G136:$AF136)),System_Mkt_Repl!$F349:$AE349+System_Mkt_NC!$G349:$AF349)/SUM(IF($G$194:$AF$194&gt;=ROUND(IF((V$194-Sys_Repl_Rate!V95)&lt;Tech_Specs!$C23,Tech_Specs!$C23,(V$194-Sys_Repl_Rate!V95)),0),IF($G$194:$AF$194&lt;=V$194,System_Mkt_Repl!$F349:$AE349+System_Mkt_NC!$G349:$AF349)))))</f>
        <v>0.85346228522241319</v>
      </c>
      <c r="W210" s="373">
        <f t="array" ref="W210">IF(W$194=Misc_Inputs!$D$6,$G136,IF(SUM(IF($G$194:$AF$194&gt;=ROUND(IF((W$194-Sys_Repl_Rate!W95)&lt;Tech_Specs!$C23,Tech_Specs!$C23,(W$194-Sys_Repl_Rate!W95)),0),IF($G$194:$AF$194&lt;=W$194,System_Mkt_Repl!$F349:$AE349+System_Mkt_NC!$G349:$AF349)))=0,V210,SUMPRODUCT(IF($G$194:$AF$194&gt;=ROUND(IF((W$194-Sys_Repl_Rate!W95)&lt;Tech_Specs!$C23,Tech_Specs!$C23,(W$194-Sys_Repl_Rate!W95)),0),IF($G$194:$AF$194&lt;=W$194,$G136:$AF136)),System_Mkt_Repl!$F349:$AE349+System_Mkt_NC!$G349:$AF349)/SUM(IF($G$194:$AF$194&gt;=ROUND(IF((W$194-Sys_Repl_Rate!W95)&lt;Tech_Specs!$C23,Tech_Specs!$C23,(W$194-Sys_Repl_Rate!W95)),0),IF($G$194:$AF$194&lt;=W$194,System_Mkt_Repl!$F349:$AE349+System_Mkt_NC!$G349:$AF349)))))</f>
        <v>0.8534622852224133</v>
      </c>
      <c r="X210" s="373">
        <f t="array" ref="X210">IF(X$194=Misc_Inputs!$D$6,$G136,IF(SUM(IF($G$194:$AF$194&gt;=ROUND(IF((X$194-Sys_Repl_Rate!X95)&lt;Tech_Specs!$C23,Tech_Specs!$C23,(X$194-Sys_Repl_Rate!X95)),0),IF($G$194:$AF$194&lt;=X$194,System_Mkt_Repl!$F349:$AE349+System_Mkt_NC!$G349:$AF349)))=0,W210,SUMPRODUCT(IF($G$194:$AF$194&gt;=ROUND(IF((X$194-Sys_Repl_Rate!X95)&lt;Tech_Specs!$C23,Tech_Specs!$C23,(X$194-Sys_Repl_Rate!X95)),0),IF($G$194:$AF$194&lt;=X$194,$G136:$AF136)),System_Mkt_Repl!$F349:$AE349+System_Mkt_NC!$G349:$AF349)/SUM(IF($G$194:$AF$194&gt;=ROUND(IF((X$194-Sys_Repl_Rate!X95)&lt;Tech_Specs!$C23,Tech_Specs!$C23,(X$194-Sys_Repl_Rate!X95)),0),IF($G$194:$AF$194&lt;=X$194,System_Mkt_Repl!$F349:$AE349+System_Mkt_NC!$G349:$AF349)))))</f>
        <v>0.85346228522241319</v>
      </c>
      <c r="Y210" s="373">
        <f t="array" ref="Y210">IF(Y$194=Misc_Inputs!$D$6,$G136,IF(SUM(IF($G$194:$AF$194&gt;=ROUND(IF((Y$194-Sys_Repl_Rate!Y95)&lt;Tech_Specs!$C23,Tech_Specs!$C23,(Y$194-Sys_Repl_Rate!Y95)),0),IF($G$194:$AF$194&lt;=Y$194,System_Mkt_Repl!$F349:$AE349+System_Mkt_NC!$G349:$AF349)))=0,X210,SUMPRODUCT(IF($G$194:$AF$194&gt;=ROUND(IF((Y$194-Sys_Repl_Rate!Y95)&lt;Tech_Specs!$C23,Tech_Specs!$C23,(Y$194-Sys_Repl_Rate!Y95)),0),IF($G$194:$AF$194&lt;=Y$194,$G136:$AF136)),System_Mkt_Repl!$F349:$AE349+System_Mkt_NC!$G349:$AF349)/SUM(IF($G$194:$AF$194&gt;=ROUND(IF((Y$194-Sys_Repl_Rate!Y95)&lt;Tech_Specs!$C23,Tech_Specs!$C23,(Y$194-Sys_Repl_Rate!Y95)),0),IF($G$194:$AF$194&lt;=Y$194,System_Mkt_Repl!$F349:$AE349+System_Mkt_NC!$G349:$AF349)))))</f>
        <v>0.85346228522241319</v>
      </c>
      <c r="Z210" s="373">
        <f t="array" ref="Z210">IF(Z$194=Misc_Inputs!$D$6,$G136,IF(SUM(IF($G$194:$AF$194&gt;=ROUND(IF((Z$194-Sys_Repl_Rate!Z95)&lt;Tech_Specs!$C23,Tech_Specs!$C23,(Z$194-Sys_Repl_Rate!Z95)),0),IF($G$194:$AF$194&lt;=Z$194,System_Mkt_Repl!$F349:$AE349+System_Mkt_NC!$G349:$AF349)))=0,Y210,SUMPRODUCT(IF($G$194:$AF$194&gt;=ROUND(IF((Z$194-Sys_Repl_Rate!Z95)&lt;Tech_Specs!$C23,Tech_Specs!$C23,(Z$194-Sys_Repl_Rate!Z95)),0),IF($G$194:$AF$194&lt;=Z$194,$G136:$AF136)),System_Mkt_Repl!$F349:$AE349+System_Mkt_NC!$G349:$AF349)/SUM(IF($G$194:$AF$194&gt;=ROUND(IF((Z$194-Sys_Repl_Rate!Z95)&lt;Tech_Specs!$C23,Tech_Specs!$C23,(Z$194-Sys_Repl_Rate!Z95)),0),IF($G$194:$AF$194&lt;=Z$194,System_Mkt_Repl!$F349:$AE349+System_Mkt_NC!$G349:$AF349)))))</f>
        <v>0.8534622852224133</v>
      </c>
      <c r="AA210" s="373">
        <f t="array" ref="AA210">IF(AA$194=Misc_Inputs!$D$6,$G136,IF(SUM(IF($G$194:$AF$194&gt;=ROUND(IF((AA$194-Sys_Repl_Rate!AA95)&lt;Tech_Specs!$C23,Tech_Specs!$C23,(AA$194-Sys_Repl_Rate!AA95)),0),IF($G$194:$AF$194&lt;=AA$194,System_Mkt_Repl!$F349:$AE349+System_Mkt_NC!$G349:$AF349)))=0,Z210,SUMPRODUCT(IF($G$194:$AF$194&gt;=ROUND(IF((AA$194-Sys_Repl_Rate!AA95)&lt;Tech_Specs!$C23,Tech_Specs!$C23,(AA$194-Sys_Repl_Rate!AA95)),0),IF($G$194:$AF$194&lt;=AA$194,$G136:$AF136)),System_Mkt_Repl!$F349:$AE349+System_Mkt_NC!$G349:$AF349)/SUM(IF($G$194:$AF$194&gt;=ROUND(IF((AA$194-Sys_Repl_Rate!AA95)&lt;Tech_Specs!$C23,Tech_Specs!$C23,(AA$194-Sys_Repl_Rate!AA95)),0),IF($G$194:$AF$194&lt;=AA$194,System_Mkt_Repl!$F349:$AE349+System_Mkt_NC!$G349:$AF349)))))</f>
        <v>0.85346228522241319</v>
      </c>
      <c r="AB210" s="373">
        <f t="array" ref="AB210">IF(AB$194=Misc_Inputs!$D$6,$G136,IF(SUM(IF($G$194:$AF$194&gt;=ROUND(IF((AB$194-Sys_Repl_Rate!AB95)&lt;Tech_Specs!$C23,Tech_Specs!$C23,(AB$194-Sys_Repl_Rate!AB95)),0),IF($G$194:$AF$194&lt;=AB$194,System_Mkt_Repl!$F349:$AE349+System_Mkt_NC!$G349:$AF349)))=0,AA210,SUMPRODUCT(IF($G$194:$AF$194&gt;=ROUND(IF((AB$194-Sys_Repl_Rate!AB95)&lt;Tech_Specs!$C23,Tech_Specs!$C23,(AB$194-Sys_Repl_Rate!AB95)),0),IF($G$194:$AF$194&lt;=AB$194,$G136:$AF136)),System_Mkt_Repl!$F349:$AE349+System_Mkt_NC!$G349:$AF349)/SUM(IF($G$194:$AF$194&gt;=ROUND(IF((AB$194-Sys_Repl_Rate!AB95)&lt;Tech_Specs!$C23,Tech_Specs!$C23,(AB$194-Sys_Repl_Rate!AB95)),0),IF($G$194:$AF$194&lt;=AB$194,System_Mkt_Repl!$F349:$AE349+System_Mkt_NC!$G349:$AF349)))))</f>
        <v>0.85346228522241308</v>
      </c>
      <c r="AC210" s="373">
        <f t="array" ref="AC210">IF(AC$194=Misc_Inputs!$D$6,$G136,IF(SUM(IF($G$194:$AF$194&gt;=ROUND(IF((AC$194-Sys_Repl_Rate!AC95)&lt;Tech_Specs!$C23,Tech_Specs!$C23,(AC$194-Sys_Repl_Rate!AC95)),0),IF($G$194:$AF$194&lt;=AC$194,System_Mkt_Repl!$F349:$AE349+System_Mkt_NC!$G349:$AF349)))=0,AB210,SUMPRODUCT(IF($G$194:$AF$194&gt;=ROUND(IF((AC$194-Sys_Repl_Rate!AC95)&lt;Tech_Specs!$C23,Tech_Specs!$C23,(AC$194-Sys_Repl_Rate!AC95)),0),IF($G$194:$AF$194&lt;=AC$194,$G136:$AF136)),System_Mkt_Repl!$F349:$AE349+System_Mkt_NC!$G349:$AF349)/SUM(IF($G$194:$AF$194&gt;=ROUND(IF((AC$194-Sys_Repl_Rate!AC95)&lt;Tech_Specs!$C23,Tech_Specs!$C23,(AC$194-Sys_Repl_Rate!AC95)),0),IF($G$194:$AF$194&lt;=AC$194,System_Mkt_Repl!$F349:$AE349+System_Mkt_NC!$G349:$AF349)))))</f>
        <v>0.85346228522241308</v>
      </c>
      <c r="AD210" s="373">
        <f t="array" ref="AD210">IF(AD$194=Misc_Inputs!$D$6,$G136,IF(SUM(IF($G$194:$AF$194&gt;=ROUND(IF((AD$194-Sys_Repl_Rate!AD95)&lt;Tech_Specs!$C23,Tech_Specs!$C23,(AD$194-Sys_Repl_Rate!AD95)),0),IF($G$194:$AF$194&lt;=AD$194,System_Mkt_Repl!$F349:$AE349+System_Mkt_NC!$G349:$AF349)))=0,AC210,SUMPRODUCT(IF($G$194:$AF$194&gt;=ROUND(IF((AD$194-Sys_Repl_Rate!AD95)&lt;Tech_Specs!$C23,Tech_Specs!$C23,(AD$194-Sys_Repl_Rate!AD95)),0),IF($G$194:$AF$194&lt;=AD$194,$G136:$AF136)),System_Mkt_Repl!$F349:$AE349+System_Mkt_NC!$G349:$AF349)/SUM(IF($G$194:$AF$194&gt;=ROUND(IF((AD$194-Sys_Repl_Rate!AD95)&lt;Tech_Specs!$C23,Tech_Specs!$C23,(AD$194-Sys_Repl_Rate!AD95)),0),IF($G$194:$AF$194&lt;=AD$194,System_Mkt_Repl!$F349:$AE349+System_Mkt_NC!$G349:$AF349)))))</f>
        <v>0.85346228522241308</v>
      </c>
      <c r="AE210" s="373">
        <f t="array" ref="AE210">IF(AE$194=Misc_Inputs!$D$6,$G136,IF(SUM(IF($G$194:$AF$194&gt;=ROUND(IF((AE$194-Sys_Repl_Rate!AE95)&lt;Tech_Specs!$C23,Tech_Specs!$C23,(AE$194-Sys_Repl_Rate!AE95)),0),IF($G$194:$AF$194&lt;=AE$194,System_Mkt_Repl!$F349:$AE349+System_Mkt_NC!$G349:$AF349)))=0,AD210,SUMPRODUCT(IF($G$194:$AF$194&gt;=ROUND(IF((AE$194-Sys_Repl_Rate!AE95)&lt;Tech_Specs!$C23,Tech_Specs!$C23,(AE$194-Sys_Repl_Rate!AE95)),0),IF($G$194:$AF$194&lt;=AE$194,$G136:$AF136)),System_Mkt_Repl!$F349:$AE349+System_Mkt_NC!$G349:$AF349)/SUM(IF($G$194:$AF$194&gt;=ROUND(IF((AE$194-Sys_Repl_Rate!AE95)&lt;Tech_Specs!$C23,Tech_Specs!$C23,(AE$194-Sys_Repl_Rate!AE95)),0),IF($G$194:$AF$194&lt;=AE$194,System_Mkt_Repl!$F349:$AE349+System_Mkt_NC!$G349:$AF349)))))</f>
        <v>0.85346228522241296</v>
      </c>
      <c r="AF210" s="373">
        <f t="array" ref="AF210">IF(AF$194=Misc_Inputs!$D$6,$G136,IF(SUM(IF($G$194:$AF$194&gt;=ROUND(IF((AF$194-Sys_Repl_Rate!AF95)&lt;Tech_Specs!$C23,Tech_Specs!$C23,(AF$194-Sys_Repl_Rate!AF95)),0),IF($G$194:$AF$194&lt;=AF$194,System_Mkt_Repl!$F349:$AE349+System_Mkt_NC!$G349:$AF349)))=0,AE210,SUMPRODUCT(IF($G$194:$AF$194&gt;=ROUND(IF((AF$194-Sys_Repl_Rate!AF95)&lt;Tech_Specs!$C23,Tech_Specs!$C23,(AF$194-Sys_Repl_Rate!AF95)),0),IF($G$194:$AF$194&lt;=AF$194,$G136:$AF136)),System_Mkt_Repl!$F349:$AE349+System_Mkt_NC!$G349:$AF349)/SUM(IF($G$194:$AF$194&gt;=ROUND(IF((AF$194-Sys_Repl_Rate!AF95)&lt;Tech_Specs!$C23,Tech_Specs!$C23,(AF$194-Sys_Repl_Rate!AF95)),0),IF($G$194:$AF$194&lt;=AF$194,System_Mkt_Repl!$F349:$AE349+System_Mkt_NC!$G349:$AF349)))))</f>
        <v>0.85346228522241296</v>
      </c>
    </row>
    <row r="211" spans="1:32" s="282" customFormat="1" ht="12.75" x14ac:dyDescent="0.2">
      <c r="A211" s="278"/>
      <c r="B211" s="278" t="s">
        <v>29</v>
      </c>
      <c r="C211" s="278"/>
      <c r="D211" s="550"/>
      <c r="E211" s="550"/>
      <c r="F211" s="550"/>
      <c r="G211" s="1179">
        <f t="array" ref="G211">IF(G$194=Misc_Inputs!$D$6,$G137,IF(SUM(IF($G$194:$AF$194&gt;=ROUND(IF((G$194-Sys_Repl_Rate!G96)&lt;Tech_Specs!$C24,Tech_Specs!$C24,(G$194-Sys_Repl_Rate!G96)),0),IF($G$194:$AF$194&lt;=G$194,System_Mkt_Repl!$F350:$AE350+System_Mkt_NC!$G350:$AF350)))=0,C211,SUMPRODUCT(IF($G$194:$AF$194&gt;=ROUND(IF((G$194-Sys_Repl_Rate!G96)&lt;Tech_Specs!$C24,Tech_Specs!$C24,(G$194-Sys_Repl_Rate!G96)),0),IF($G$194:$AF$194&lt;=G$194,$G137:$AF137)),System_Mkt_Repl!$F350:$AE350+System_Mkt_NC!$G350:$AF350)/SUM(IF($G$194:$AF$194&gt;=ROUND(IF((G$194-Sys_Repl_Rate!G96)&lt;Tech_Specs!$C24,Tech_Specs!$C24,(G$194-Sys_Repl_Rate!G96)),0),IF($G$194:$AF$194&lt;=G$194,System_Mkt_Repl!$F350:$AE350+System_Mkt_NC!$G350:$AF350)))))</f>
        <v>1</v>
      </c>
      <c r="H211" s="1179">
        <f t="array" ref="H211">IF(H$194=Misc_Inputs!$D$6,$G137,IF(SUM(IF($G$194:$AF$194&gt;=ROUND(IF((H$194-Sys_Repl_Rate!H96)&lt;Tech_Specs!$C24,Tech_Specs!$C24,(H$194-Sys_Repl_Rate!H96)),0),IF($G$194:$AF$194&lt;=H$194,System_Mkt_Repl!$F350:$AE350+System_Mkt_NC!$G350:$AF350)))=0,G211,SUMPRODUCT(IF($G$194:$AF$194&gt;=ROUND(IF((H$194-Sys_Repl_Rate!H96)&lt;Tech_Specs!$C24,Tech_Specs!$C24,(H$194-Sys_Repl_Rate!H96)),0),IF($G$194:$AF$194&lt;=H$194,$G137:$AF137)),System_Mkt_Repl!$F350:$AE350+System_Mkt_NC!$G350:$AF350)/SUM(IF($G$194:$AF$194&gt;=ROUND(IF((H$194-Sys_Repl_Rate!H96)&lt;Tech_Specs!$C24,Tech_Specs!$C24,(H$194-Sys_Repl_Rate!H96)),0),IF($G$194:$AF$194&lt;=H$194,System_Mkt_Repl!$F350:$AE350+System_Mkt_NC!$G350:$AF350)))))</f>
        <v>1</v>
      </c>
      <c r="I211" s="1179">
        <f t="array" ref="I211">IF(I$194=Misc_Inputs!$D$6,$G137,IF(SUM(IF($G$194:$AF$194&gt;=ROUND(IF((I$194-Sys_Repl_Rate!I96)&lt;Tech_Specs!$C24,Tech_Specs!$C24,(I$194-Sys_Repl_Rate!I96)),0),IF($G$194:$AF$194&lt;=I$194,System_Mkt_Repl!$F350:$AE350+System_Mkt_NC!$G350:$AF350)))=0,H211,SUMPRODUCT(IF($G$194:$AF$194&gt;=ROUND(IF((I$194-Sys_Repl_Rate!I96)&lt;Tech_Specs!$C24,Tech_Specs!$C24,(I$194-Sys_Repl_Rate!I96)),0),IF($G$194:$AF$194&lt;=I$194,$G137:$AF137)),System_Mkt_Repl!$F350:$AE350+System_Mkt_NC!$G350:$AF350)/SUM(IF($G$194:$AF$194&gt;=ROUND(IF((I$194-Sys_Repl_Rate!I96)&lt;Tech_Specs!$C24,Tech_Specs!$C24,(I$194-Sys_Repl_Rate!I96)),0),IF($G$194:$AF$194&lt;=I$194,System_Mkt_Repl!$F350:$AE350+System_Mkt_NC!$G350:$AF350)))))</f>
        <v>1</v>
      </c>
      <c r="J211" s="1179">
        <f t="array" ref="J211">IF(J$194=Misc_Inputs!$D$6,$G137,IF(SUM(IF($G$194:$AF$194&gt;=ROUND(IF((J$194-Sys_Repl_Rate!J96)&lt;Tech_Specs!$C24,Tech_Specs!$C24,(J$194-Sys_Repl_Rate!J96)),0),IF($G$194:$AF$194&lt;=J$194,System_Mkt_Repl!$F350:$AE350+System_Mkt_NC!$G350:$AF350)))=0,I211,SUMPRODUCT(IF($G$194:$AF$194&gt;=ROUND(IF((J$194-Sys_Repl_Rate!J96)&lt;Tech_Specs!$C24,Tech_Specs!$C24,(J$194-Sys_Repl_Rate!J96)),0),IF($G$194:$AF$194&lt;=J$194,$G137:$AF137)),System_Mkt_Repl!$F350:$AE350+System_Mkt_NC!$G350:$AF350)/SUM(IF($G$194:$AF$194&gt;=ROUND(IF((J$194-Sys_Repl_Rate!J96)&lt;Tech_Specs!$C24,Tech_Specs!$C24,(J$194-Sys_Repl_Rate!J96)),0),IF($G$194:$AF$194&lt;=J$194,System_Mkt_Repl!$F350:$AE350+System_Mkt_NC!$G350:$AF350)))))</f>
        <v>1</v>
      </c>
      <c r="K211" s="373">
        <f t="array" ref="K211">IF(K$194=Misc_Inputs!$D$6,$G137,IF(SUM(IF($G$194:$AF$194&gt;=ROUND(IF((K$194-Sys_Repl_Rate!K96)&lt;Tech_Specs!$C24,Tech_Specs!$C24,(K$194-Sys_Repl_Rate!K96)),0),IF($G$194:$AF$194&lt;=K$194,System_Mkt_Repl!$F350:$AE350+System_Mkt_NC!$G350:$AF350)))=0,J211,SUMPRODUCT(IF($G$194:$AF$194&gt;=ROUND(IF((K$194-Sys_Repl_Rate!K96)&lt;Tech_Specs!$C24,Tech_Specs!$C24,(K$194-Sys_Repl_Rate!K96)),0),IF($G$194:$AF$194&lt;=K$194,$G137:$AF137)),System_Mkt_Repl!$F350:$AE350+System_Mkt_NC!$G350:$AF350)/SUM(IF($G$194:$AF$194&gt;=ROUND(IF((K$194-Sys_Repl_Rate!K96)&lt;Tech_Specs!$C24,Tech_Specs!$C24,(K$194-Sys_Repl_Rate!K96)),0),IF($G$194:$AF$194&lt;=K$194,System_Mkt_Repl!$F350:$AE350+System_Mkt_NC!$G350:$AF350)))))</f>
        <v>1</v>
      </c>
      <c r="L211" s="373">
        <f t="array" ref="L211">IF(L$194=Misc_Inputs!$D$6,$G137,IF(SUM(IF($G$194:$AF$194&gt;=ROUND(IF((L$194-Sys_Repl_Rate!L96)&lt;Tech_Specs!$C24,Tech_Specs!$C24,(L$194-Sys_Repl_Rate!L96)),0),IF($G$194:$AF$194&lt;=L$194,System_Mkt_Repl!$F350:$AE350+System_Mkt_NC!$G350:$AF350)))=0,K211,SUMPRODUCT(IF($G$194:$AF$194&gt;=ROUND(IF((L$194-Sys_Repl_Rate!L96)&lt;Tech_Specs!$C24,Tech_Specs!$C24,(L$194-Sys_Repl_Rate!L96)),0),IF($G$194:$AF$194&lt;=L$194,$G137:$AF137)),System_Mkt_Repl!$F350:$AE350+System_Mkt_NC!$G350:$AF350)/SUM(IF($G$194:$AF$194&gt;=ROUND(IF((L$194-Sys_Repl_Rate!L96)&lt;Tech_Specs!$C24,Tech_Specs!$C24,(L$194-Sys_Repl_Rate!L96)),0),IF($G$194:$AF$194&lt;=L$194,System_Mkt_Repl!$F350:$AE350+System_Mkt_NC!$G350:$AF350)))))</f>
        <v>1</v>
      </c>
      <c r="M211" s="373">
        <f t="array" ref="M211">IF(M$194=Misc_Inputs!$D$6,$G137,IF(SUM(IF($G$194:$AF$194&gt;=ROUND(IF((M$194-Sys_Repl_Rate!M96)&lt;Tech_Specs!$C24,Tech_Specs!$C24,(M$194-Sys_Repl_Rate!M96)),0),IF($G$194:$AF$194&lt;=M$194,System_Mkt_Repl!$F350:$AE350+System_Mkt_NC!$G350:$AF350)))=0,L211,SUMPRODUCT(IF($G$194:$AF$194&gt;=ROUND(IF((M$194-Sys_Repl_Rate!M96)&lt;Tech_Specs!$C24,Tech_Specs!$C24,(M$194-Sys_Repl_Rate!M96)),0),IF($G$194:$AF$194&lt;=M$194,$G137:$AF137)),System_Mkt_Repl!$F350:$AE350+System_Mkt_NC!$G350:$AF350)/SUM(IF($G$194:$AF$194&gt;=ROUND(IF((M$194-Sys_Repl_Rate!M96)&lt;Tech_Specs!$C24,Tech_Specs!$C24,(M$194-Sys_Repl_Rate!M96)),0),IF($G$194:$AF$194&lt;=M$194,System_Mkt_Repl!$F350:$AE350+System_Mkt_NC!$G350:$AF350)))))</f>
        <v>1</v>
      </c>
      <c r="N211" s="373">
        <f t="array" ref="N211">IF(N$194=Misc_Inputs!$D$6,$G137,IF(SUM(IF($G$194:$AF$194&gt;=ROUND(IF((N$194-Sys_Repl_Rate!N96)&lt;Tech_Specs!$C24,Tech_Specs!$C24,(N$194-Sys_Repl_Rate!N96)),0),IF($G$194:$AF$194&lt;=N$194,System_Mkt_Repl!$F350:$AE350+System_Mkt_NC!$G350:$AF350)))=0,M211,SUMPRODUCT(IF($G$194:$AF$194&gt;=ROUND(IF((N$194-Sys_Repl_Rate!N96)&lt;Tech_Specs!$C24,Tech_Specs!$C24,(N$194-Sys_Repl_Rate!N96)),0),IF($G$194:$AF$194&lt;=N$194,$G137:$AF137)),System_Mkt_Repl!$F350:$AE350+System_Mkt_NC!$G350:$AF350)/SUM(IF($G$194:$AF$194&gt;=ROUND(IF((N$194-Sys_Repl_Rate!N96)&lt;Tech_Specs!$C24,Tech_Specs!$C24,(N$194-Sys_Repl_Rate!N96)),0),IF($G$194:$AF$194&lt;=N$194,System_Mkt_Repl!$F350:$AE350+System_Mkt_NC!$G350:$AF350)))))</f>
        <v>1</v>
      </c>
      <c r="O211" s="373">
        <f t="array" ref="O211">IF(O$194=Misc_Inputs!$D$6,$G137,IF(SUM(IF($G$194:$AF$194&gt;=ROUND(IF((O$194-Sys_Repl_Rate!O96)&lt;Tech_Specs!$C24,Tech_Specs!$C24,(O$194-Sys_Repl_Rate!O96)),0),IF($G$194:$AF$194&lt;=O$194,System_Mkt_Repl!$F350:$AE350+System_Mkt_NC!$G350:$AF350)))=0,N211,SUMPRODUCT(IF($G$194:$AF$194&gt;=ROUND(IF((O$194-Sys_Repl_Rate!O96)&lt;Tech_Specs!$C24,Tech_Specs!$C24,(O$194-Sys_Repl_Rate!O96)),0),IF($G$194:$AF$194&lt;=O$194,$G137:$AF137)),System_Mkt_Repl!$F350:$AE350+System_Mkt_NC!$G350:$AF350)/SUM(IF($G$194:$AF$194&gt;=ROUND(IF((O$194-Sys_Repl_Rate!O96)&lt;Tech_Specs!$C24,Tech_Specs!$C24,(O$194-Sys_Repl_Rate!O96)),0),IF($G$194:$AF$194&lt;=O$194,System_Mkt_Repl!$F350:$AE350+System_Mkt_NC!$G350:$AF350)))))</f>
        <v>1</v>
      </c>
      <c r="P211" s="373">
        <f t="array" ref="P211">IF(P$194=Misc_Inputs!$D$6,$G137,IF(SUM(IF($G$194:$AF$194&gt;=ROUND(IF((P$194-Sys_Repl_Rate!P96)&lt;Tech_Specs!$C24,Tech_Specs!$C24,(P$194-Sys_Repl_Rate!P96)),0),IF($G$194:$AF$194&lt;=P$194,System_Mkt_Repl!$F350:$AE350+System_Mkt_NC!$G350:$AF350)))=0,O211,SUMPRODUCT(IF($G$194:$AF$194&gt;=ROUND(IF((P$194-Sys_Repl_Rate!P96)&lt;Tech_Specs!$C24,Tech_Specs!$C24,(P$194-Sys_Repl_Rate!P96)),0),IF($G$194:$AF$194&lt;=P$194,$G137:$AF137)),System_Mkt_Repl!$F350:$AE350+System_Mkt_NC!$G350:$AF350)/SUM(IF($G$194:$AF$194&gt;=ROUND(IF((P$194-Sys_Repl_Rate!P96)&lt;Tech_Specs!$C24,Tech_Specs!$C24,(P$194-Sys_Repl_Rate!P96)),0),IF($G$194:$AF$194&lt;=P$194,System_Mkt_Repl!$F350:$AE350+System_Mkt_NC!$G350:$AF350)))))</f>
        <v>1</v>
      </c>
      <c r="Q211" s="373">
        <f t="array" ref="Q211">IF(Q$194=Misc_Inputs!$D$6,$G137,IF(SUM(IF($G$194:$AF$194&gt;=ROUND(IF((Q$194-Sys_Repl_Rate!Q96)&lt;Tech_Specs!$C24,Tech_Specs!$C24,(Q$194-Sys_Repl_Rate!Q96)),0),IF($G$194:$AF$194&lt;=Q$194,System_Mkt_Repl!$F350:$AE350+System_Mkt_NC!$G350:$AF350)))=0,P211,SUMPRODUCT(IF($G$194:$AF$194&gt;=ROUND(IF((Q$194-Sys_Repl_Rate!Q96)&lt;Tech_Specs!$C24,Tech_Specs!$C24,(Q$194-Sys_Repl_Rate!Q96)),0),IF($G$194:$AF$194&lt;=Q$194,$G137:$AF137)),System_Mkt_Repl!$F350:$AE350+System_Mkt_NC!$G350:$AF350)/SUM(IF($G$194:$AF$194&gt;=ROUND(IF((Q$194-Sys_Repl_Rate!Q96)&lt;Tech_Specs!$C24,Tech_Specs!$C24,(Q$194-Sys_Repl_Rate!Q96)),0),IF($G$194:$AF$194&lt;=Q$194,System_Mkt_Repl!$F350:$AE350+System_Mkt_NC!$G350:$AF350)))))</f>
        <v>1</v>
      </c>
      <c r="R211" s="373">
        <f t="array" ref="R211">IF(R$194=Misc_Inputs!$D$6,$G137,IF(SUM(IF($G$194:$AF$194&gt;=ROUND(IF((R$194-Sys_Repl_Rate!R96)&lt;Tech_Specs!$C24,Tech_Specs!$C24,(R$194-Sys_Repl_Rate!R96)),0),IF($G$194:$AF$194&lt;=R$194,System_Mkt_Repl!$F350:$AE350+System_Mkt_NC!$G350:$AF350)))=0,Q211,SUMPRODUCT(IF($G$194:$AF$194&gt;=ROUND(IF((R$194-Sys_Repl_Rate!R96)&lt;Tech_Specs!$C24,Tech_Specs!$C24,(R$194-Sys_Repl_Rate!R96)),0),IF($G$194:$AF$194&lt;=R$194,$G137:$AF137)),System_Mkt_Repl!$F350:$AE350+System_Mkt_NC!$G350:$AF350)/SUM(IF($G$194:$AF$194&gt;=ROUND(IF((R$194-Sys_Repl_Rate!R96)&lt;Tech_Specs!$C24,Tech_Specs!$C24,(R$194-Sys_Repl_Rate!R96)),0),IF($G$194:$AF$194&lt;=R$194,System_Mkt_Repl!$F350:$AE350+System_Mkt_NC!$G350:$AF350)))))</f>
        <v>1</v>
      </c>
      <c r="S211" s="373">
        <f t="array" ref="S211">IF(S$194=Misc_Inputs!$D$6,$G137,IF(SUM(IF($G$194:$AF$194&gt;=ROUND(IF((S$194-Sys_Repl_Rate!S96)&lt;Tech_Specs!$C24,Tech_Specs!$C24,(S$194-Sys_Repl_Rate!S96)),0),IF($G$194:$AF$194&lt;=S$194,System_Mkt_Repl!$F350:$AE350+System_Mkt_NC!$G350:$AF350)))=0,R211,SUMPRODUCT(IF($G$194:$AF$194&gt;=ROUND(IF((S$194-Sys_Repl_Rate!S96)&lt;Tech_Specs!$C24,Tech_Specs!$C24,(S$194-Sys_Repl_Rate!S96)),0),IF($G$194:$AF$194&lt;=S$194,$G137:$AF137)),System_Mkt_Repl!$F350:$AE350+System_Mkt_NC!$G350:$AF350)/SUM(IF($G$194:$AF$194&gt;=ROUND(IF((S$194-Sys_Repl_Rate!S96)&lt;Tech_Specs!$C24,Tech_Specs!$C24,(S$194-Sys_Repl_Rate!S96)),0),IF($G$194:$AF$194&lt;=S$194,System_Mkt_Repl!$F350:$AE350+System_Mkt_NC!$G350:$AF350)))))</f>
        <v>1</v>
      </c>
      <c r="T211" s="373">
        <f t="array" ref="T211">IF(T$194=Misc_Inputs!$D$6,$G137,IF(SUM(IF($G$194:$AF$194&gt;=ROUND(IF((T$194-Sys_Repl_Rate!T96)&lt;Tech_Specs!$C24,Tech_Specs!$C24,(T$194-Sys_Repl_Rate!T96)),0),IF($G$194:$AF$194&lt;=T$194,System_Mkt_Repl!$F350:$AE350+System_Mkt_NC!$G350:$AF350)))=0,S211,SUMPRODUCT(IF($G$194:$AF$194&gt;=ROUND(IF((T$194-Sys_Repl_Rate!T96)&lt;Tech_Specs!$C24,Tech_Specs!$C24,(T$194-Sys_Repl_Rate!T96)),0),IF($G$194:$AF$194&lt;=T$194,$G137:$AF137)),System_Mkt_Repl!$F350:$AE350+System_Mkt_NC!$G350:$AF350)/SUM(IF($G$194:$AF$194&gt;=ROUND(IF((T$194-Sys_Repl_Rate!T96)&lt;Tech_Specs!$C24,Tech_Specs!$C24,(T$194-Sys_Repl_Rate!T96)),0),IF($G$194:$AF$194&lt;=T$194,System_Mkt_Repl!$F350:$AE350+System_Mkt_NC!$G350:$AF350)))))</f>
        <v>1</v>
      </c>
      <c r="U211" s="373">
        <f t="array" ref="U211">IF(U$194=Misc_Inputs!$D$6,$G137,IF(SUM(IF($G$194:$AF$194&gt;=ROUND(IF((U$194-Sys_Repl_Rate!U96)&lt;Tech_Specs!$C24,Tech_Specs!$C24,(U$194-Sys_Repl_Rate!U96)),0),IF($G$194:$AF$194&lt;=U$194,System_Mkt_Repl!$F350:$AE350+System_Mkt_NC!$G350:$AF350)))=0,T211,SUMPRODUCT(IF($G$194:$AF$194&gt;=ROUND(IF((U$194-Sys_Repl_Rate!U96)&lt;Tech_Specs!$C24,Tech_Specs!$C24,(U$194-Sys_Repl_Rate!U96)),0),IF($G$194:$AF$194&lt;=U$194,$G137:$AF137)),System_Mkt_Repl!$F350:$AE350+System_Mkt_NC!$G350:$AF350)/SUM(IF($G$194:$AF$194&gt;=ROUND(IF((U$194-Sys_Repl_Rate!U96)&lt;Tech_Specs!$C24,Tech_Specs!$C24,(U$194-Sys_Repl_Rate!U96)),0),IF($G$194:$AF$194&lt;=U$194,System_Mkt_Repl!$F350:$AE350+System_Mkt_NC!$G350:$AF350)))))</f>
        <v>1</v>
      </c>
      <c r="V211" s="373">
        <f t="array" ref="V211">IF(V$194=Misc_Inputs!$D$6,$G137,IF(SUM(IF($G$194:$AF$194&gt;=ROUND(IF((V$194-Sys_Repl_Rate!V96)&lt;Tech_Specs!$C24,Tech_Specs!$C24,(V$194-Sys_Repl_Rate!V96)),0),IF($G$194:$AF$194&lt;=V$194,System_Mkt_Repl!$F350:$AE350+System_Mkt_NC!$G350:$AF350)))=0,U211,SUMPRODUCT(IF($G$194:$AF$194&gt;=ROUND(IF((V$194-Sys_Repl_Rate!V96)&lt;Tech_Specs!$C24,Tech_Specs!$C24,(V$194-Sys_Repl_Rate!V96)),0),IF($G$194:$AF$194&lt;=V$194,$G137:$AF137)),System_Mkt_Repl!$F350:$AE350+System_Mkt_NC!$G350:$AF350)/SUM(IF($G$194:$AF$194&gt;=ROUND(IF((V$194-Sys_Repl_Rate!V96)&lt;Tech_Specs!$C24,Tech_Specs!$C24,(V$194-Sys_Repl_Rate!V96)),0),IF($G$194:$AF$194&lt;=V$194,System_Mkt_Repl!$F350:$AE350+System_Mkt_NC!$G350:$AF350)))))</f>
        <v>1</v>
      </c>
      <c r="W211" s="373">
        <f t="array" ref="W211">IF(W$194=Misc_Inputs!$D$6,$G137,IF(SUM(IF($G$194:$AF$194&gt;=ROUND(IF((W$194-Sys_Repl_Rate!W96)&lt;Tech_Specs!$C24,Tech_Specs!$C24,(W$194-Sys_Repl_Rate!W96)),0),IF($G$194:$AF$194&lt;=W$194,System_Mkt_Repl!$F350:$AE350+System_Mkt_NC!$G350:$AF350)))=0,V211,SUMPRODUCT(IF($G$194:$AF$194&gt;=ROUND(IF((W$194-Sys_Repl_Rate!W96)&lt;Tech_Specs!$C24,Tech_Specs!$C24,(W$194-Sys_Repl_Rate!W96)),0),IF($G$194:$AF$194&lt;=W$194,$G137:$AF137)),System_Mkt_Repl!$F350:$AE350+System_Mkt_NC!$G350:$AF350)/SUM(IF($G$194:$AF$194&gt;=ROUND(IF((W$194-Sys_Repl_Rate!W96)&lt;Tech_Specs!$C24,Tech_Specs!$C24,(W$194-Sys_Repl_Rate!W96)),0),IF($G$194:$AF$194&lt;=W$194,System_Mkt_Repl!$F350:$AE350+System_Mkt_NC!$G350:$AF350)))))</f>
        <v>1</v>
      </c>
      <c r="X211" s="373">
        <f t="array" ref="X211">IF(X$194=Misc_Inputs!$D$6,$G137,IF(SUM(IF($G$194:$AF$194&gt;=ROUND(IF((X$194-Sys_Repl_Rate!X96)&lt;Tech_Specs!$C24,Tech_Specs!$C24,(X$194-Sys_Repl_Rate!X96)),0),IF($G$194:$AF$194&lt;=X$194,System_Mkt_Repl!$F350:$AE350+System_Mkt_NC!$G350:$AF350)))=0,W211,SUMPRODUCT(IF($G$194:$AF$194&gt;=ROUND(IF((X$194-Sys_Repl_Rate!X96)&lt;Tech_Specs!$C24,Tech_Specs!$C24,(X$194-Sys_Repl_Rate!X96)),0),IF($G$194:$AF$194&lt;=X$194,$G137:$AF137)),System_Mkt_Repl!$F350:$AE350+System_Mkt_NC!$G350:$AF350)/SUM(IF($G$194:$AF$194&gt;=ROUND(IF((X$194-Sys_Repl_Rate!X96)&lt;Tech_Specs!$C24,Tech_Specs!$C24,(X$194-Sys_Repl_Rate!X96)),0),IF($G$194:$AF$194&lt;=X$194,System_Mkt_Repl!$F350:$AE350+System_Mkt_NC!$G350:$AF350)))))</f>
        <v>1</v>
      </c>
      <c r="Y211" s="373">
        <f t="array" ref="Y211">IF(Y$194=Misc_Inputs!$D$6,$G137,IF(SUM(IF($G$194:$AF$194&gt;=ROUND(IF((Y$194-Sys_Repl_Rate!Y96)&lt;Tech_Specs!$C24,Tech_Specs!$C24,(Y$194-Sys_Repl_Rate!Y96)),0),IF($G$194:$AF$194&lt;=Y$194,System_Mkt_Repl!$F350:$AE350+System_Mkt_NC!$G350:$AF350)))=0,X211,SUMPRODUCT(IF($G$194:$AF$194&gt;=ROUND(IF((Y$194-Sys_Repl_Rate!Y96)&lt;Tech_Specs!$C24,Tech_Specs!$C24,(Y$194-Sys_Repl_Rate!Y96)),0),IF($G$194:$AF$194&lt;=Y$194,$G137:$AF137)),System_Mkt_Repl!$F350:$AE350+System_Mkt_NC!$G350:$AF350)/SUM(IF($G$194:$AF$194&gt;=ROUND(IF((Y$194-Sys_Repl_Rate!Y96)&lt;Tech_Specs!$C24,Tech_Specs!$C24,(Y$194-Sys_Repl_Rate!Y96)),0),IF($G$194:$AF$194&lt;=Y$194,System_Mkt_Repl!$F350:$AE350+System_Mkt_NC!$G350:$AF350)))))</f>
        <v>1</v>
      </c>
      <c r="Z211" s="373">
        <f t="array" ref="Z211">IF(Z$194=Misc_Inputs!$D$6,$G137,IF(SUM(IF($G$194:$AF$194&gt;=ROUND(IF((Z$194-Sys_Repl_Rate!Z96)&lt;Tech_Specs!$C24,Tech_Specs!$C24,(Z$194-Sys_Repl_Rate!Z96)),0),IF($G$194:$AF$194&lt;=Z$194,System_Mkt_Repl!$F350:$AE350+System_Mkt_NC!$G350:$AF350)))=0,Y211,SUMPRODUCT(IF($G$194:$AF$194&gt;=ROUND(IF((Z$194-Sys_Repl_Rate!Z96)&lt;Tech_Specs!$C24,Tech_Specs!$C24,(Z$194-Sys_Repl_Rate!Z96)),0),IF($G$194:$AF$194&lt;=Z$194,$G137:$AF137)),System_Mkt_Repl!$F350:$AE350+System_Mkt_NC!$G350:$AF350)/SUM(IF($G$194:$AF$194&gt;=ROUND(IF((Z$194-Sys_Repl_Rate!Z96)&lt;Tech_Specs!$C24,Tech_Specs!$C24,(Z$194-Sys_Repl_Rate!Z96)),0),IF($G$194:$AF$194&lt;=Z$194,System_Mkt_Repl!$F350:$AE350+System_Mkt_NC!$G350:$AF350)))))</f>
        <v>1</v>
      </c>
      <c r="AA211" s="373">
        <f t="array" ref="AA211">IF(AA$194=Misc_Inputs!$D$6,$G137,IF(SUM(IF($G$194:$AF$194&gt;=ROUND(IF((AA$194-Sys_Repl_Rate!AA96)&lt;Tech_Specs!$C24,Tech_Specs!$C24,(AA$194-Sys_Repl_Rate!AA96)),0),IF($G$194:$AF$194&lt;=AA$194,System_Mkt_Repl!$F350:$AE350+System_Mkt_NC!$G350:$AF350)))=0,Z211,SUMPRODUCT(IF($G$194:$AF$194&gt;=ROUND(IF((AA$194-Sys_Repl_Rate!AA96)&lt;Tech_Specs!$C24,Tech_Specs!$C24,(AA$194-Sys_Repl_Rate!AA96)),0),IF($G$194:$AF$194&lt;=AA$194,$G137:$AF137)),System_Mkt_Repl!$F350:$AE350+System_Mkt_NC!$G350:$AF350)/SUM(IF($G$194:$AF$194&gt;=ROUND(IF((AA$194-Sys_Repl_Rate!AA96)&lt;Tech_Specs!$C24,Tech_Specs!$C24,(AA$194-Sys_Repl_Rate!AA96)),0),IF($G$194:$AF$194&lt;=AA$194,System_Mkt_Repl!$F350:$AE350+System_Mkt_NC!$G350:$AF350)))))</f>
        <v>1</v>
      </c>
      <c r="AB211" s="373">
        <f t="array" ref="AB211">IF(AB$194=Misc_Inputs!$D$6,$G137,IF(SUM(IF($G$194:$AF$194&gt;=ROUND(IF((AB$194-Sys_Repl_Rate!AB96)&lt;Tech_Specs!$C24,Tech_Specs!$C24,(AB$194-Sys_Repl_Rate!AB96)),0),IF($G$194:$AF$194&lt;=AB$194,System_Mkt_Repl!$F350:$AE350+System_Mkt_NC!$G350:$AF350)))=0,AA211,SUMPRODUCT(IF($G$194:$AF$194&gt;=ROUND(IF((AB$194-Sys_Repl_Rate!AB96)&lt;Tech_Specs!$C24,Tech_Specs!$C24,(AB$194-Sys_Repl_Rate!AB96)),0),IF($G$194:$AF$194&lt;=AB$194,$G137:$AF137)),System_Mkt_Repl!$F350:$AE350+System_Mkt_NC!$G350:$AF350)/SUM(IF($G$194:$AF$194&gt;=ROUND(IF((AB$194-Sys_Repl_Rate!AB96)&lt;Tech_Specs!$C24,Tech_Specs!$C24,(AB$194-Sys_Repl_Rate!AB96)),0),IF($G$194:$AF$194&lt;=AB$194,System_Mkt_Repl!$F350:$AE350+System_Mkt_NC!$G350:$AF350)))))</f>
        <v>1</v>
      </c>
      <c r="AC211" s="373">
        <f t="array" ref="AC211">IF(AC$194=Misc_Inputs!$D$6,$G137,IF(SUM(IF($G$194:$AF$194&gt;=ROUND(IF((AC$194-Sys_Repl_Rate!AC96)&lt;Tech_Specs!$C24,Tech_Specs!$C24,(AC$194-Sys_Repl_Rate!AC96)),0),IF($G$194:$AF$194&lt;=AC$194,System_Mkt_Repl!$F350:$AE350+System_Mkt_NC!$G350:$AF350)))=0,AB211,SUMPRODUCT(IF($G$194:$AF$194&gt;=ROUND(IF((AC$194-Sys_Repl_Rate!AC96)&lt;Tech_Specs!$C24,Tech_Specs!$C24,(AC$194-Sys_Repl_Rate!AC96)),0),IF($G$194:$AF$194&lt;=AC$194,$G137:$AF137)),System_Mkt_Repl!$F350:$AE350+System_Mkt_NC!$G350:$AF350)/SUM(IF($G$194:$AF$194&gt;=ROUND(IF((AC$194-Sys_Repl_Rate!AC96)&lt;Tech_Specs!$C24,Tech_Specs!$C24,(AC$194-Sys_Repl_Rate!AC96)),0),IF($G$194:$AF$194&lt;=AC$194,System_Mkt_Repl!$F350:$AE350+System_Mkt_NC!$G350:$AF350)))))</f>
        <v>1</v>
      </c>
      <c r="AD211" s="373">
        <f t="array" ref="AD211">IF(AD$194=Misc_Inputs!$D$6,$G137,IF(SUM(IF($G$194:$AF$194&gt;=ROUND(IF((AD$194-Sys_Repl_Rate!AD96)&lt;Tech_Specs!$C24,Tech_Specs!$C24,(AD$194-Sys_Repl_Rate!AD96)),0),IF($G$194:$AF$194&lt;=AD$194,System_Mkt_Repl!$F350:$AE350+System_Mkt_NC!$G350:$AF350)))=0,AC211,SUMPRODUCT(IF($G$194:$AF$194&gt;=ROUND(IF((AD$194-Sys_Repl_Rate!AD96)&lt;Tech_Specs!$C24,Tech_Specs!$C24,(AD$194-Sys_Repl_Rate!AD96)),0),IF($G$194:$AF$194&lt;=AD$194,$G137:$AF137)),System_Mkt_Repl!$F350:$AE350+System_Mkt_NC!$G350:$AF350)/SUM(IF($G$194:$AF$194&gt;=ROUND(IF((AD$194-Sys_Repl_Rate!AD96)&lt;Tech_Specs!$C24,Tech_Specs!$C24,(AD$194-Sys_Repl_Rate!AD96)),0),IF($G$194:$AF$194&lt;=AD$194,System_Mkt_Repl!$F350:$AE350+System_Mkt_NC!$G350:$AF350)))))</f>
        <v>1</v>
      </c>
      <c r="AE211" s="373">
        <f t="array" ref="AE211">IF(AE$194=Misc_Inputs!$D$6,$G137,IF(SUM(IF($G$194:$AF$194&gt;=ROUND(IF((AE$194-Sys_Repl_Rate!AE96)&lt;Tech_Specs!$C24,Tech_Specs!$C24,(AE$194-Sys_Repl_Rate!AE96)),0),IF($G$194:$AF$194&lt;=AE$194,System_Mkt_Repl!$F350:$AE350+System_Mkt_NC!$G350:$AF350)))=0,AD211,SUMPRODUCT(IF($G$194:$AF$194&gt;=ROUND(IF((AE$194-Sys_Repl_Rate!AE96)&lt;Tech_Specs!$C24,Tech_Specs!$C24,(AE$194-Sys_Repl_Rate!AE96)),0),IF($G$194:$AF$194&lt;=AE$194,$G137:$AF137)),System_Mkt_Repl!$F350:$AE350+System_Mkt_NC!$G350:$AF350)/SUM(IF($G$194:$AF$194&gt;=ROUND(IF((AE$194-Sys_Repl_Rate!AE96)&lt;Tech_Specs!$C24,Tech_Specs!$C24,(AE$194-Sys_Repl_Rate!AE96)),0),IF($G$194:$AF$194&lt;=AE$194,System_Mkt_Repl!$F350:$AE350+System_Mkt_NC!$G350:$AF350)))))</f>
        <v>1</v>
      </c>
      <c r="AF211" s="373">
        <f t="array" ref="AF211">IF(AF$194=Misc_Inputs!$D$6,$G137,IF(SUM(IF($G$194:$AF$194&gt;=ROUND(IF((AF$194-Sys_Repl_Rate!AF96)&lt;Tech_Specs!$C24,Tech_Specs!$C24,(AF$194-Sys_Repl_Rate!AF96)),0),IF($G$194:$AF$194&lt;=AF$194,System_Mkt_Repl!$F350:$AE350+System_Mkt_NC!$G350:$AF350)))=0,AE211,SUMPRODUCT(IF($G$194:$AF$194&gt;=ROUND(IF((AF$194-Sys_Repl_Rate!AF96)&lt;Tech_Specs!$C24,Tech_Specs!$C24,(AF$194-Sys_Repl_Rate!AF96)),0),IF($G$194:$AF$194&lt;=AF$194,$G137:$AF137)),System_Mkt_Repl!$F350:$AE350+System_Mkt_NC!$G350:$AF350)/SUM(IF($G$194:$AF$194&gt;=ROUND(IF((AF$194-Sys_Repl_Rate!AF96)&lt;Tech_Specs!$C24,Tech_Specs!$C24,(AF$194-Sys_Repl_Rate!AF96)),0),IF($G$194:$AF$194&lt;=AF$194,System_Mkt_Repl!$F350:$AE350+System_Mkt_NC!$G350:$AF350)))))</f>
        <v>1</v>
      </c>
    </row>
    <row r="212" spans="1:32" s="282" customFormat="1" ht="12.75" x14ac:dyDescent="0.2">
      <c r="A212" s="278"/>
      <c r="B212" s="278"/>
      <c r="C212" s="278"/>
      <c r="D212" s="550"/>
      <c r="E212" s="550"/>
      <c r="F212" s="550"/>
    </row>
    <row r="213" spans="1:32" s="282" customFormat="1" ht="12.75" x14ac:dyDescent="0.2">
      <c r="A213" s="281" t="s">
        <v>42</v>
      </c>
      <c r="B213" s="280"/>
      <c r="C213" s="280"/>
      <c r="D213" s="501"/>
      <c r="E213" s="501"/>
      <c r="F213" s="501"/>
      <c r="G213" s="292"/>
      <c r="H213" s="280"/>
      <c r="I213" s="280"/>
      <c r="J213" s="280"/>
      <c r="K213" s="280"/>
      <c r="L213" s="280"/>
      <c r="M213" s="280"/>
      <c r="N213" s="280"/>
      <c r="O213" s="280"/>
      <c r="P213" s="280"/>
      <c r="Q213" s="280"/>
      <c r="R213" s="280"/>
      <c r="S213" s="280"/>
      <c r="T213" s="280"/>
      <c r="U213" s="280"/>
      <c r="V213" s="280"/>
      <c r="W213" s="280"/>
      <c r="X213" s="280"/>
      <c r="Y213" s="280"/>
      <c r="Z213" s="280"/>
      <c r="AA213" s="280"/>
      <c r="AB213" s="280"/>
      <c r="AC213" s="280"/>
      <c r="AD213" s="280"/>
      <c r="AE213" s="280"/>
      <c r="AF213" s="280"/>
    </row>
    <row r="214" spans="1:32" s="282" customFormat="1" ht="12.75" x14ac:dyDescent="0.2">
      <c r="A214" s="278"/>
      <c r="B214" s="282" t="s">
        <v>43</v>
      </c>
      <c r="D214" s="552"/>
      <c r="E214" s="552"/>
      <c r="F214" s="552"/>
      <c r="G214" s="1179">
        <f t="array" ref="G214">IF(G$194=Misc_Inputs!$D$6,$G140,IF(SUM(IF($G$194:$AF$194&gt;=ROUND(IF((G$194-Sys_Repl_Rate!G99)&lt;Tech_Specs!$C27,Tech_Specs!$C27,(G$194-Sys_Repl_Rate!G99)),0),IF($G$194:$AF$194&lt;=G$194,System_Mkt_Repl!$F353:$AE353+System_Mkt_NC!$G353:$AF353)))=0,C214,SUMPRODUCT(IF($G$194:$AF$194&gt;=ROUND(IF((G$194-Sys_Repl_Rate!G99)&lt;Tech_Specs!$C27,Tech_Specs!$C27,(G$194-Sys_Repl_Rate!G99)),0),IF($G$194:$AF$194&lt;=G$194,$G140:$AF140)),System_Mkt_Repl!$F353:$AE353+System_Mkt_NC!$G353:$AF353)/SUM(IF($G$194:$AF$194&gt;=ROUND(IF((G$194-Sys_Repl_Rate!G99)&lt;Tech_Specs!$C27,Tech_Specs!$C27,(G$194-Sys_Repl_Rate!G99)),0),IF($G$194:$AF$194&lt;=G$194,System_Mkt_Repl!$F353:$AE353+System_Mkt_NC!$G353:$AF353)))))</f>
        <v>0.87785587961905431</v>
      </c>
      <c r="H214" s="1179">
        <f t="array" ref="H214">IF(H$194=Misc_Inputs!$D$6,$G140,IF(SUM(IF($G$194:$AF$194&gt;=ROUND(IF((H$194-Sys_Repl_Rate!H99)&lt;Tech_Specs!$C27,Tech_Specs!$C27,(H$194-Sys_Repl_Rate!H99)),0),IF($G$194:$AF$194&lt;=H$194,System_Mkt_Repl!$F353:$AE353+System_Mkt_NC!$G353:$AF353)))=0,G214,SUMPRODUCT(IF($G$194:$AF$194&gt;=ROUND(IF((H$194-Sys_Repl_Rate!H99)&lt;Tech_Specs!$C27,Tech_Specs!$C27,(H$194-Sys_Repl_Rate!H99)),0),IF($G$194:$AF$194&lt;=H$194,$G140:$AF140)),System_Mkt_Repl!$F353:$AE353+System_Mkt_NC!$G353:$AF353)/SUM(IF($G$194:$AF$194&gt;=ROUND(IF((H$194-Sys_Repl_Rate!H99)&lt;Tech_Specs!$C27,Tech_Specs!$C27,(H$194-Sys_Repl_Rate!H99)),0),IF($G$194:$AF$194&lt;=H$194,System_Mkt_Repl!$F353:$AE353+System_Mkt_NC!$G353:$AF353)))))</f>
        <v>0.87785587961905431</v>
      </c>
      <c r="I214" s="1179">
        <f t="array" ref="I214">IF(I$194=Misc_Inputs!$D$6,$G140,IF(SUM(IF($G$194:$AF$194&gt;=ROUND(IF((I$194-Sys_Repl_Rate!I99)&lt;Tech_Specs!$C27,Tech_Specs!$C27,(I$194-Sys_Repl_Rate!I99)),0),IF($G$194:$AF$194&lt;=I$194,System_Mkt_Repl!$F353:$AE353+System_Mkt_NC!$G353:$AF353)))=0,H214,SUMPRODUCT(IF($G$194:$AF$194&gt;=ROUND(IF((I$194-Sys_Repl_Rate!I99)&lt;Tech_Specs!$C27,Tech_Specs!$C27,(I$194-Sys_Repl_Rate!I99)),0),IF($G$194:$AF$194&lt;=I$194,$G140:$AF140)),System_Mkt_Repl!$F353:$AE353+System_Mkt_NC!$G353:$AF353)/SUM(IF($G$194:$AF$194&gt;=ROUND(IF((I$194-Sys_Repl_Rate!I99)&lt;Tech_Specs!$C27,Tech_Specs!$C27,(I$194-Sys_Repl_Rate!I99)),0),IF($G$194:$AF$194&lt;=I$194,System_Mkt_Repl!$F353:$AE353+System_Mkt_NC!$G353:$AF353)))))</f>
        <v>0.87785587961905431</v>
      </c>
      <c r="J214" s="1179">
        <f t="array" ref="J214">IF(J$194=Misc_Inputs!$D$6,$G140,IF(SUM(IF($G$194:$AF$194&gt;=ROUND(IF((J$194-Sys_Repl_Rate!J99)&lt;Tech_Specs!$C27,Tech_Specs!$C27,(J$194-Sys_Repl_Rate!J99)),0),IF($G$194:$AF$194&lt;=J$194,System_Mkt_Repl!$F353:$AE353+System_Mkt_NC!$G353:$AF353)))=0,I214,SUMPRODUCT(IF($G$194:$AF$194&gt;=ROUND(IF((J$194-Sys_Repl_Rate!J99)&lt;Tech_Specs!$C27,Tech_Specs!$C27,(J$194-Sys_Repl_Rate!J99)),0),IF($G$194:$AF$194&lt;=J$194,$G140:$AF140)),System_Mkt_Repl!$F353:$AE353+System_Mkt_NC!$G353:$AF353)/SUM(IF($G$194:$AF$194&gt;=ROUND(IF((J$194-Sys_Repl_Rate!J99)&lt;Tech_Specs!$C27,Tech_Specs!$C27,(J$194-Sys_Repl_Rate!J99)),0),IF($G$194:$AF$194&lt;=J$194,System_Mkt_Repl!$F353:$AE353+System_Mkt_NC!$G353:$AF353)))))</f>
        <v>0.87785587961905431</v>
      </c>
      <c r="K214" s="373">
        <f t="array" ref="K214">IF(K$194=Misc_Inputs!$D$6,$G140,IF(SUM(IF($G$194:$AF$194&gt;=ROUND(IF((K$194-Sys_Repl_Rate!K99)&lt;Tech_Specs!$C27,Tech_Specs!$C27,(K$194-Sys_Repl_Rate!K99)),0),IF($G$194:$AF$194&lt;=K$194,System_Mkt_Repl!$F353:$AE353+System_Mkt_NC!$G353:$AF353)))=0,J214,SUMPRODUCT(IF($G$194:$AF$194&gt;=ROUND(IF((K$194-Sys_Repl_Rate!K99)&lt;Tech_Specs!$C27,Tech_Specs!$C27,(K$194-Sys_Repl_Rate!K99)),0),IF($G$194:$AF$194&lt;=K$194,$G140:$AF140)),System_Mkt_Repl!$F353:$AE353+System_Mkt_NC!$G353:$AF353)/SUM(IF($G$194:$AF$194&gt;=ROUND(IF((K$194-Sys_Repl_Rate!K99)&lt;Tech_Specs!$C27,Tech_Specs!$C27,(K$194-Sys_Repl_Rate!K99)),0),IF($G$194:$AF$194&lt;=K$194,System_Mkt_Repl!$F353:$AE353+System_Mkt_NC!$G353:$AF353)))))</f>
        <v>0.87785587961905431</v>
      </c>
      <c r="L214" s="373">
        <f t="array" ref="L214">IF(L$194=Misc_Inputs!$D$6,$G140,IF(SUM(IF($G$194:$AF$194&gt;=ROUND(IF((L$194-Sys_Repl_Rate!L99)&lt;Tech_Specs!$C27,Tech_Specs!$C27,(L$194-Sys_Repl_Rate!L99)),0),IF($G$194:$AF$194&lt;=L$194,System_Mkt_Repl!$F353:$AE353+System_Mkt_NC!$G353:$AF353)))=0,K214,SUMPRODUCT(IF($G$194:$AF$194&gt;=ROUND(IF((L$194-Sys_Repl_Rate!L99)&lt;Tech_Specs!$C27,Tech_Specs!$C27,(L$194-Sys_Repl_Rate!L99)),0),IF($G$194:$AF$194&lt;=L$194,$G140:$AF140)),System_Mkt_Repl!$F353:$AE353+System_Mkt_NC!$G353:$AF353)/SUM(IF($G$194:$AF$194&gt;=ROUND(IF((L$194-Sys_Repl_Rate!L99)&lt;Tech_Specs!$C27,Tech_Specs!$C27,(L$194-Sys_Repl_Rate!L99)),0),IF($G$194:$AF$194&lt;=L$194,System_Mkt_Repl!$F353:$AE353+System_Mkt_NC!$G353:$AF353)))))</f>
        <v>0.8778558796190542</v>
      </c>
      <c r="M214" s="373">
        <f t="array" ref="M214">IF(M$194=Misc_Inputs!$D$6,$G140,IF(SUM(IF($G$194:$AF$194&gt;=ROUND(IF((M$194-Sys_Repl_Rate!M99)&lt;Tech_Specs!$C27,Tech_Specs!$C27,(M$194-Sys_Repl_Rate!M99)),0),IF($G$194:$AF$194&lt;=M$194,System_Mkt_Repl!$F353:$AE353+System_Mkt_NC!$G353:$AF353)))=0,L214,SUMPRODUCT(IF($G$194:$AF$194&gt;=ROUND(IF((M$194-Sys_Repl_Rate!M99)&lt;Tech_Specs!$C27,Tech_Specs!$C27,(M$194-Sys_Repl_Rate!M99)),0),IF($G$194:$AF$194&lt;=M$194,$G140:$AF140)),System_Mkt_Repl!$F353:$AE353+System_Mkt_NC!$G353:$AF353)/SUM(IF($G$194:$AF$194&gt;=ROUND(IF((M$194-Sys_Repl_Rate!M99)&lt;Tech_Specs!$C27,Tech_Specs!$C27,(M$194-Sys_Repl_Rate!M99)),0),IF($G$194:$AF$194&lt;=M$194,System_Mkt_Repl!$F353:$AE353+System_Mkt_NC!$G353:$AF353)))))</f>
        <v>0.87785587961905442</v>
      </c>
      <c r="N214" s="373">
        <f t="array" ref="N214">IF(N$194=Misc_Inputs!$D$6,$G140,IF(SUM(IF($G$194:$AF$194&gt;=ROUND(IF((N$194-Sys_Repl_Rate!N99)&lt;Tech_Specs!$C27,Tech_Specs!$C27,(N$194-Sys_Repl_Rate!N99)),0),IF($G$194:$AF$194&lt;=N$194,System_Mkt_Repl!$F353:$AE353+System_Mkt_NC!$G353:$AF353)))=0,M214,SUMPRODUCT(IF($G$194:$AF$194&gt;=ROUND(IF((N$194-Sys_Repl_Rate!N99)&lt;Tech_Specs!$C27,Tech_Specs!$C27,(N$194-Sys_Repl_Rate!N99)),0),IF($G$194:$AF$194&lt;=N$194,$G140:$AF140)),System_Mkt_Repl!$F353:$AE353+System_Mkt_NC!$G353:$AF353)/SUM(IF($G$194:$AF$194&gt;=ROUND(IF((N$194-Sys_Repl_Rate!N99)&lt;Tech_Specs!$C27,Tech_Specs!$C27,(N$194-Sys_Repl_Rate!N99)),0),IF($G$194:$AF$194&lt;=N$194,System_Mkt_Repl!$F353:$AE353+System_Mkt_NC!$G353:$AF353)))))</f>
        <v>0.87785587961905442</v>
      </c>
      <c r="O214" s="373">
        <f t="array" ref="O214">IF(O$194=Misc_Inputs!$D$6,$G140,IF(SUM(IF($G$194:$AF$194&gt;=ROUND(IF((O$194-Sys_Repl_Rate!O99)&lt;Tech_Specs!$C27,Tech_Specs!$C27,(O$194-Sys_Repl_Rate!O99)),0),IF($G$194:$AF$194&lt;=O$194,System_Mkt_Repl!$F353:$AE353+System_Mkt_NC!$G353:$AF353)))=0,N214,SUMPRODUCT(IF($G$194:$AF$194&gt;=ROUND(IF((O$194-Sys_Repl_Rate!O99)&lt;Tech_Specs!$C27,Tech_Specs!$C27,(O$194-Sys_Repl_Rate!O99)),0),IF($G$194:$AF$194&lt;=O$194,$G140:$AF140)),System_Mkt_Repl!$F353:$AE353+System_Mkt_NC!$G353:$AF353)/SUM(IF($G$194:$AF$194&gt;=ROUND(IF((O$194-Sys_Repl_Rate!O99)&lt;Tech_Specs!$C27,Tech_Specs!$C27,(O$194-Sys_Repl_Rate!O99)),0),IF($G$194:$AF$194&lt;=O$194,System_Mkt_Repl!$F353:$AE353+System_Mkt_NC!$G353:$AF353)))))</f>
        <v>0.87785587961905431</v>
      </c>
      <c r="P214" s="373">
        <f t="array" ref="P214">IF(P$194=Misc_Inputs!$D$6,$G140,IF(SUM(IF($G$194:$AF$194&gt;=ROUND(IF((P$194-Sys_Repl_Rate!P99)&lt;Tech_Specs!$C27,Tech_Specs!$C27,(P$194-Sys_Repl_Rate!P99)),0),IF($G$194:$AF$194&lt;=P$194,System_Mkt_Repl!$F353:$AE353+System_Mkt_NC!$G353:$AF353)))=0,O214,SUMPRODUCT(IF($G$194:$AF$194&gt;=ROUND(IF((P$194-Sys_Repl_Rate!P99)&lt;Tech_Specs!$C27,Tech_Specs!$C27,(P$194-Sys_Repl_Rate!P99)),0),IF($G$194:$AF$194&lt;=P$194,$G140:$AF140)),System_Mkt_Repl!$F353:$AE353+System_Mkt_NC!$G353:$AF353)/SUM(IF($G$194:$AF$194&gt;=ROUND(IF((P$194-Sys_Repl_Rate!P99)&lt;Tech_Specs!$C27,Tech_Specs!$C27,(P$194-Sys_Repl_Rate!P99)),0),IF($G$194:$AF$194&lt;=P$194,System_Mkt_Repl!$F353:$AE353+System_Mkt_NC!$G353:$AF353)))))</f>
        <v>0.87785587961905442</v>
      </c>
      <c r="Q214" s="373">
        <f t="array" ref="Q214">IF(Q$194=Misc_Inputs!$D$6,$G140,IF(SUM(IF($G$194:$AF$194&gt;=ROUND(IF((Q$194-Sys_Repl_Rate!Q99)&lt;Tech_Specs!$C27,Tech_Specs!$C27,(Q$194-Sys_Repl_Rate!Q99)),0),IF($G$194:$AF$194&lt;=Q$194,System_Mkt_Repl!$F353:$AE353+System_Mkt_NC!$G353:$AF353)))=0,P214,SUMPRODUCT(IF($G$194:$AF$194&gt;=ROUND(IF((Q$194-Sys_Repl_Rate!Q99)&lt;Tech_Specs!$C27,Tech_Specs!$C27,(Q$194-Sys_Repl_Rate!Q99)),0),IF($G$194:$AF$194&lt;=Q$194,$G140:$AF140)),System_Mkt_Repl!$F353:$AE353+System_Mkt_NC!$G353:$AF353)/SUM(IF($G$194:$AF$194&gt;=ROUND(IF((Q$194-Sys_Repl_Rate!Q99)&lt;Tech_Specs!$C27,Tech_Specs!$C27,(Q$194-Sys_Repl_Rate!Q99)),0),IF($G$194:$AF$194&lt;=Q$194,System_Mkt_Repl!$F353:$AE353+System_Mkt_NC!$G353:$AF353)))))</f>
        <v>0.87785587961905431</v>
      </c>
      <c r="R214" s="373">
        <f t="array" ref="R214">IF(R$194=Misc_Inputs!$D$6,$G140,IF(SUM(IF($G$194:$AF$194&gt;=ROUND(IF((R$194-Sys_Repl_Rate!R99)&lt;Tech_Specs!$C27,Tech_Specs!$C27,(R$194-Sys_Repl_Rate!R99)),0),IF($G$194:$AF$194&lt;=R$194,System_Mkt_Repl!$F353:$AE353+System_Mkt_NC!$G353:$AF353)))=0,Q214,SUMPRODUCT(IF($G$194:$AF$194&gt;=ROUND(IF((R$194-Sys_Repl_Rate!R99)&lt;Tech_Specs!$C27,Tech_Specs!$C27,(R$194-Sys_Repl_Rate!R99)),0),IF($G$194:$AF$194&lt;=R$194,$G140:$AF140)),System_Mkt_Repl!$F353:$AE353+System_Mkt_NC!$G353:$AF353)/SUM(IF($G$194:$AF$194&gt;=ROUND(IF((R$194-Sys_Repl_Rate!R99)&lt;Tech_Specs!$C27,Tech_Specs!$C27,(R$194-Sys_Repl_Rate!R99)),0),IF($G$194:$AF$194&lt;=R$194,System_Mkt_Repl!$F353:$AE353+System_Mkt_NC!$G353:$AF353)))))</f>
        <v>0.87785587961905431</v>
      </c>
      <c r="S214" s="373">
        <f t="array" ref="S214">IF(S$194=Misc_Inputs!$D$6,$G140,IF(SUM(IF($G$194:$AF$194&gt;=ROUND(IF((S$194-Sys_Repl_Rate!S99)&lt;Tech_Specs!$C27,Tech_Specs!$C27,(S$194-Sys_Repl_Rate!S99)),0),IF($G$194:$AF$194&lt;=S$194,System_Mkt_Repl!$F353:$AE353+System_Mkt_NC!$G353:$AF353)))=0,R214,SUMPRODUCT(IF($G$194:$AF$194&gt;=ROUND(IF((S$194-Sys_Repl_Rate!S99)&lt;Tech_Specs!$C27,Tech_Specs!$C27,(S$194-Sys_Repl_Rate!S99)),0),IF($G$194:$AF$194&lt;=S$194,$G140:$AF140)),System_Mkt_Repl!$F353:$AE353+System_Mkt_NC!$G353:$AF353)/SUM(IF($G$194:$AF$194&gt;=ROUND(IF((S$194-Sys_Repl_Rate!S99)&lt;Tech_Specs!$C27,Tech_Specs!$C27,(S$194-Sys_Repl_Rate!S99)),0),IF($G$194:$AF$194&lt;=S$194,System_Mkt_Repl!$F353:$AE353+System_Mkt_NC!$G353:$AF353)))))</f>
        <v>0.87785587961905431</v>
      </c>
      <c r="T214" s="373">
        <f t="array" ref="T214">IF(T$194=Misc_Inputs!$D$6,$G140,IF(SUM(IF($G$194:$AF$194&gt;=ROUND(IF((T$194-Sys_Repl_Rate!T99)&lt;Tech_Specs!$C27,Tech_Specs!$C27,(T$194-Sys_Repl_Rate!T99)),0),IF($G$194:$AF$194&lt;=T$194,System_Mkt_Repl!$F353:$AE353+System_Mkt_NC!$G353:$AF353)))=0,S214,SUMPRODUCT(IF($G$194:$AF$194&gt;=ROUND(IF((T$194-Sys_Repl_Rate!T99)&lt;Tech_Specs!$C27,Tech_Specs!$C27,(T$194-Sys_Repl_Rate!T99)),0),IF($G$194:$AF$194&lt;=T$194,$G140:$AF140)),System_Mkt_Repl!$F353:$AE353+System_Mkt_NC!$G353:$AF353)/SUM(IF($G$194:$AF$194&gt;=ROUND(IF((T$194-Sys_Repl_Rate!T99)&lt;Tech_Specs!$C27,Tech_Specs!$C27,(T$194-Sys_Repl_Rate!T99)),0),IF($G$194:$AF$194&lt;=T$194,System_Mkt_Repl!$F353:$AE353+System_Mkt_NC!$G353:$AF353)))))</f>
        <v>0.87785587961905431</v>
      </c>
      <c r="U214" s="373">
        <f t="array" ref="U214">IF(U$194=Misc_Inputs!$D$6,$G140,IF(SUM(IF($G$194:$AF$194&gt;=ROUND(IF((U$194-Sys_Repl_Rate!U99)&lt;Tech_Specs!$C27,Tech_Specs!$C27,(U$194-Sys_Repl_Rate!U99)),0),IF($G$194:$AF$194&lt;=U$194,System_Mkt_Repl!$F353:$AE353+System_Mkt_NC!$G353:$AF353)))=0,T214,SUMPRODUCT(IF($G$194:$AF$194&gt;=ROUND(IF((U$194-Sys_Repl_Rate!U99)&lt;Tech_Specs!$C27,Tech_Specs!$C27,(U$194-Sys_Repl_Rate!U99)),0),IF($G$194:$AF$194&lt;=U$194,$G140:$AF140)),System_Mkt_Repl!$F353:$AE353+System_Mkt_NC!$G353:$AF353)/SUM(IF($G$194:$AF$194&gt;=ROUND(IF((U$194-Sys_Repl_Rate!U99)&lt;Tech_Specs!$C27,Tech_Specs!$C27,(U$194-Sys_Repl_Rate!U99)),0),IF($G$194:$AF$194&lt;=U$194,System_Mkt_Repl!$F353:$AE353+System_Mkt_NC!$G353:$AF353)))))</f>
        <v>0.87785587961905431</v>
      </c>
      <c r="V214" s="373">
        <f t="array" ref="V214">IF(V$194=Misc_Inputs!$D$6,$G140,IF(SUM(IF($G$194:$AF$194&gt;=ROUND(IF((V$194-Sys_Repl_Rate!V99)&lt;Tech_Specs!$C27,Tech_Specs!$C27,(V$194-Sys_Repl_Rate!V99)),0),IF($G$194:$AF$194&lt;=V$194,System_Mkt_Repl!$F353:$AE353+System_Mkt_NC!$G353:$AF353)))=0,U214,SUMPRODUCT(IF($G$194:$AF$194&gt;=ROUND(IF((V$194-Sys_Repl_Rate!V99)&lt;Tech_Specs!$C27,Tech_Specs!$C27,(V$194-Sys_Repl_Rate!V99)),0),IF($G$194:$AF$194&lt;=V$194,$G140:$AF140)),System_Mkt_Repl!$F353:$AE353+System_Mkt_NC!$G353:$AF353)/SUM(IF($G$194:$AF$194&gt;=ROUND(IF((V$194-Sys_Repl_Rate!V99)&lt;Tech_Specs!$C27,Tech_Specs!$C27,(V$194-Sys_Repl_Rate!V99)),0),IF($G$194:$AF$194&lt;=V$194,System_Mkt_Repl!$F353:$AE353+System_Mkt_NC!$G353:$AF353)))))</f>
        <v>0.87785587961905442</v>
      </c>
      <c r="W214" s="373">
        <f t="array" ref="W214">IF(W$194=Misc_Inputs!$D$6,$G140,IF(SUM(IF($G$194:$AF$194&gt;=ROUND(IF((W$194-Sys_Repl_Rate!W99)&lt;Tech_Specs!$C27,Tech_Specs!$C27,(W$194-Sys_Repl_Rate!W99)),0),IF($G$194:$AF$194&lt;=W$194,System_Mkt_Repl!$F353:$AE353+System_Mkt_NC!$G353:$AF353)))=0,V214,SUMPRODUCT(IF($G$194:$AF$194&gt;=ROUND(IF((W$194-Sys_Repl_Rate!W99)&lt;Tech_Specs!$C27,Tech_Specs!$C27,(W$194-Sys_Repl_Rate!W99)),0),IF($G$194:$AF$194&lt;=W$194,$G140:$AF140)),System_Mkt_Repl!$F353:$AE353+System_Mkt_NC!$G353:$AF353)/SUM(IF($G$194:$AF$194&gt;=ROUND(IF((W$194-Sys_Repl_Rate!W99)&lt;Tech_Specs!$C27,Tech_Specs!$C27,(W$194-Sys_Repl_Rate!W99)),0),IF($G$194:$AF$194&lt;=W$194,System_Mkt_Repl!$F353:$AE353+System_Mkt_NC!$G353:$AF353)))))</f>
        <v>0.87785587961905442</v>
      </c>
      <c r="X214" s="373">
        <f t="array" ref="X214">IF(X$194=Misc_Inputs!$D$6,$G140,IF(SUM(IF($G$194:$AF$194&gt;=ROUND(IF((X$194-Sys_Repl_Rate!X99)&lt;Tech_Specs!$C27,Tech_Specs!$C27,(X$194-Sys_Repl_Rate!X99)),0),IF($G$194:$AF$194&lt;=X$194,System_Mkt_Repl!$F353:$AE353+System_Mkt_NC!$G353:$AF353)))=0,W214,SUMPRODUCT(IF($G$194:$AF$194&gt;=ROUND(IF((X$194-Sys_Repl_Rate!X99)&lt;Tech_Specs!$C27,Tech_Specs!$C27,(X$194-Sys_Repl_Rate!X99)),0),IF($G$194:$AF$194&lt;=X$194,$G140:$AF140)),System_Mkt_Repl!$F353:$AE353+System_Mkt_NC!$G353:$AF353)/SUM(IF($G$194:$AF$194&gt;=ROUND(IF((X$194-Sys_Repl_Rate!X99)&lt;Tech_Specs!$C27,Tech_Specs!$C27,(X$194-Sys_Repl_Rate!X99)),0),IF($G$194:$AF$194&lt;=X$194,System_Mkt_Repl!$F353:$AE353+System_Mkt_NC!$G353:$AF353)))))</f>
        <v>0.87785587961905442</v>
      </c>
      <c r="Y214" s="373">
        <f t="array" ref="Y214">IF(Y$194=Misc_Inputs!$D$6,$G140,IF(SUM(IF($G$194:$AF$194&gt;=ROUND(IF((Y$194-Sys_Repl_Rate!Y99)&lt;Tech_Specs!$C27,Tech_Specs!$C27,(Y$194-Sys_Repl_Rate!Y99)),0),IF($G$194:$AF$194&lt;=Y$194,System_Mkt_Repl!$F353:$AE353+System_Mkt_NC!$G353:$AF353)))=0,X214,SUMPRODUCT(IF($G$194:$AF$194&gt;=ROUND(IF((Y$194-Sys_Repl_Rate!Y99)&lt;Tech_Specs!$C27,Tech_Specs!$C27,(Y$194-Sys_Repl_Rate!Y99)),0),IF($G$194:$AF$194&lt;=Y$194,$G140:$AF140)),System_Mkt_Repl!$F353:$AE353+System_Mkt_NC!$G353:$AF353)/SUM(IF($G$194:$AF$194&gt;=ROUND(IF((Y$194-Sys_Repl_Rate!Y99)&lt;Tech_Specs!$C27,Tech_Specs!$C27,(Y$194-Sys_Repl_Rate!Y99)),0),IF($G$194:$AF$194&lt;=Y$194,System_Mkt_Repl!$F353:$AE353+System_Mkt_NC!$G353:$AF353)))))</f>
        <v>0.87785587961905442</v>
      </c>
      <c r="Z214" s="373">
        <f t="array" ref="Z214">IF(Z$194=Misc_Inputs!$D$6,$G140,IF(SUM(IF($G$194:$AF$194&gt;=ROUND(IF((Z$194-Sys_Repl_Rate!Z99)&lt;Tech_Specs!$C27,Tech_Specs!$C27,(Z$194-Sys_Repl_Rate!Z99)),0),IF($G$194:$AF$194&lt;=Z$194,System_Mkt_Repl!$F353:$AE353+System_Mkt_NC!$G353:$AF353)))=0,Y214,SUMPRODUCT(IF($G$194:$AF$194&gt;=ROUND(IF((Z$194-Sys_Repl_Rate!Z99)&lt;Tech_Specs!$C27,Tech_Specs!$C27,(Z$194-Sys_Repl_Rate!Z99)),0),IF($G$194:$AF$194&lt;=Z$194,$G140:$AF140)),System_Mkt_Repl!$F353:$AE353+System_Mkt_NC!$G353:$AF353)/SUM(IF($G$194:$AF$194&gt;=ROUND(IF((Z$194-Sys_Repl_Rate!Z99)&lt;Tech_Specs!$C27,Tech_Specs!$C27,(Z$194-Sys_Repl_Rate!Z99)),0),IF($G$194:$AF$194&lt;=Z$194,System_Mkt_Repl!$F353:$AE353+System_Mkt_NC!$G353:$AF353)))))</f>
        <v>0.87785587961905454</v>
      </c>
      <c r="AA214" s="373">
        <f t="array" ref="AA214">IF(AA$194=Misc_Inputs!$D$6,$G140,IF(SUM(IF($G$194:$AF$194&gt;=ROUND(IF((AA$194-Sys_Repl_Rate!AA99)&lt;Tech_Specs!$C27,Tech_Specs!$C27,(AA$194-Sys_Repl_Rate!AA99)),0),IF($G$194:$AF$194&lt;=AA$194,System_Mkt_Repl!$F353:$AE353+System_Mkt_NC!$G353:$AF353)))=0,Z214,SUMPRODUCT(IF($G$194:$AF$194&gt;=ROUND(IF((AA$194-Sys_Repl_Rate!AA99)&lt;Tech_Specs!$C27,Tech_Specs!$C27,(AA$194-Sys_Repl_Rate!AA99)),0),IF($G$194:$AF$194&lt;=AA$194,$G140:$AF140)),System_Mkt_Repl!$F353:$AE353+System_Mkt_NC!$G353:$AF353)/SUM(IF($G$194:$AF$194&gt;=ROUND(IF((AA$194-Sys_Repl_Rate!AA99)&lt;Tech_Specs!$C27,Tech_Specs!$C27,(AA$194-Sys_Repl_Rate!AA99)),0),IF($G$194:$AF$194&lt;=AA$194,System_Mkt_Repl!$F353:$AE353+System_Mkt_NC!$G353:$AF353)))))</f>
        <v>0.87785587961905442</v>
      </c>
      <c r="AB214" s="373">
        <f t="array" ref="AB214">IF(AB$194=Misc_Inputs!$D$6,$G140,IF(SUM(IF($G$194:$AF$194&gt;=ROUND(IF((AB$194-Sys_Repl_Rate!AB99)&lt;Tech_Specs!$C27,Tech_Specs!$C27,(AB$194-Sys_Repl_Rate!AB99)),0),IF($G$194:$AF$194&lt;=AB$194,System_Mkt_Repl!$F353:$AE353+System_Mkt_NC!$G353:$AF353)))=0,AA214,SUMPRODUCT(IF($G$194:$AF$194&gt;=ROUND(IF((AB$194-Sys_Repl_Rate!AB99)&lt;Tech_Specs!$C27,Tech_Specs!$C27,(AB$194-Sys_Repl_Rate!AB99)),0),IF($G$194:$AF$194&lt;=AB$194,$G140:$AF140)),System_Mkt_Repl!$F353:$AE353+System_Mkt_NC!$G353:$AF353)/SUM(IF($G$194:$AF$194&gt;=ROUND(IF((AB$194-Sys_Repl_Rate!AB99)&lt;Tech_Specs!$C27,Tech_Specs!$C27,(AB$194-Sys_Repl_Rate!AB99)),0),IF($G$194:$AF$194&lt;=AB$194,System_Mkt_Repl!$F353:$AE353+System_Mkt_NC!$G353:$AF353)))))</f>
        <v>0.87785587961905454</v>
      </c>
      <c r="AC214" s="373">
        <f t="array" ref="AC214">IF(AC$194=Misc_Inputs!$D$6,$G140,IF(SUM(IF($G$194:$AF$194&gt;=ROUND(IF((AC$194-Sys_Repl_Rate!AC99)&lt;Tech_Specs!$C27,Tech_Specs!$C27,(AC$194-Sys_Repl_Rate!AC99)),0),IF($G$194:$AF$194&lt;=AC$194,System_Mkt_Repl!$F353:$AE353+System_Mkt_NC!$G353:$AF353)))=0,AB214,SUMPRODUCT(IF($G$194:$AF$194&gt;=ROUND(IF((AC$194-Sys_Repl_Rate!AC99)&lt;Tech_Specs!$C27,Tech_Specs!$C27,(AC$194-Sys_Repl_Rate!AC99)),0),IF($G$194:$AF$194&lt;=AC$194,$G140:$AF140)),System_Mkt_Repl!$F353:$AE353+System_Mkt_NC!$G353:$AF353)/SUM(IF($G$194:$AF$194&gt;=ROUND(IF((AC$194-Sys_Repl_Rate!AC99)&lt;Tech_Specs!$C27,Tech_Specs!$C27,(AC$194-Sys_Repl_Rate!AC99)),0),IF($G$194:$AF$194&lt;=AC$194,System_Mkt_Repl!$F353:$AE353+System_Mkt_NC!$G353:$AF353)))))</f>
        <v>0.87785587961905454</v>
      </c>
      <c r="AD214" s="373">
        <f t="array" ref="AD214">IF(AD$194=Misc_Inputs!$D$6,$G140,IF(SUM(IF($G$194:$AF$194&gt;=ROUND(IF((AD$194-Sys_Repl_Rate!AD99)&lt;Tech_Specs!$C27,Tech_Specs!$C27,(AD$194-Sys_Repl_Rate!AD99)),0),IF($G$194:$AF$194&lt;=AD$194,System_Mkt_Repl!$F353:$AE353+System_Mkt_NC!$G353:$AF353)))=0,AC214,SUMPRODUCT(IF($G$194:$AF$194&gt;=ROUND(IF((AD$194-Sys_Repl_Rate!AD99)&lt;Tech_Specs!$C27,Tech_Specs!$C27,(AD$194-Sys_Repl_Rate!AD99)),0),IF($G$194:$AF$194&lt;=AD$194,$G140:$AF140)),System_Mkt_Repl!$F353:$AE353+System_Mkt_NC!$G353:$AF353)/SUM(IF($G$194:$AF$194&gt;=ROUND(IF((AD$194-Sys_Repl_Rate!AD99)&lt;Tech_Specs!$C27,Tech_Specs!$C27,(AD$194-Sys_Repl_Rate!AD99)),0),IF($G$194:$AF$194&lt;=AD$194,System_Mkt_Repl!$F353:$AE353+System_Mkt_NC!$G353:$AF353)))))</f>
        <v>0.87785587961905454</v>
      </c>
      <c r="AE214" s="373">
        <f t="array" ref="AE214">IF(AE$194=Misc_Inputs!$D$6,$G140,IF(SUM(IF($G$194:$AF$194&gt;=ROUND(IF((AE$194-Sys_Repl_Rate!AE99)&lt;Tech_Specs!$C27,Tech_Specs!$C27,(AE$194-Sys_Repl_Rate!AE99)),0),IF($G$194:$AF$194&lt;=AE$194,System_Mkt_Repl!$F353:$AE353+System_Mkt_NC!$G353:$AF353)))=0,AD214,SUMPRODUCT(IF($G$194:$AF$194&gt;=ROUND(IF((AE$194-Sys_Repl_Rate!AE99)&lt;Tech_Specs!$C27,Tech_Specs!$C27,(AE$194-Sys_Repl_Rate!AE99)),0),IF($G$194:$AF$194&lt;=AE$194,$G140:$AF140)),System_Mkt_Repl!$F353:$AE353+System_Mkt_NC!$G353:$AF353)/SUM(IF($G$194:$AF$194&gt;=ROUND(IF((AE$194-Sys_Repl_Rate!AE99)&lt;Tech_Specs!$C27,Tech_Specs!$C27,(AE$194-Sys_Repl_Rate!AE99)),0),IF($G$194:$AF$194&lt;=AE$194,System_Mkt_Repl!$F353:$AE353+System_Mkt_NC!$G353:$AF353)))))</f>
        <v>0.87785587961905454</v>
      </c>
      <c r="AF214" s="373">
        <f t="array" ref="AF214">IF(AF$194=Misc_Inputs!$D$6,$G140,IF(SUM(IF($G$194:$AF$194&gt;=ROUND(IF((AF$194-Sys_Repl_Rate!AF99)&lt;Tech_Specs!$C27,Tech_Specs!$C27,(AF$194-Sys_Repl_Rate!AF99)),0),IF($G$194:$AF$194&lt;=AF$194,System_Mkt_Repl!$F353:$AE353+System_Mkt_NC!$G353:$AF353)))=0,AE214,SUMPRODUCT(IF($G$194:$AF$194&gt;=ROUND(IF((AF$194-Sys_Repl_Rate!AF99)&lt;Tech_Specs!$C27,Tech_Specs!$C27,(AF$194-Sys_Repl_Rate!AF99)),0),IF($G$194:$AF$194&lt;=AF$194,$G140:$AF140)),System_Mkt_Repl!$F353:$AE353+System_Mkt_NC!$G353:$AF353)/SUM(IF($G$194:$AF$194&gt;=ROUND(IF((AF$194-Sys_Repl_Rate!AF99)&lt;Tech_Specs!$C27,Tech_Specs!$C27,(AF$194-Sys_Repl_Rate!AF99)),0),IF($G$194:$AF$194&lt;=AF$194,System_Mkt_Repl!$F353:$AE353+System_Mkt_NC!$G353:$AF353)))))</f>
        <v>0.87785587961905442</v>
      </c>
    </row>
    <row r="215" spans="1:32" s="282" customFormat="1" ht="12.75" x14ac:dyDescent="0.2">
      <c r="A215" s="278"/>
      <c r="B215" s="282" t="s">
        <v>44</v>
      </c>
      <c r="C215" s="278"/>
      <c r="D215" s="550"/>
      <c r="E215" s="550"/>
      <c r="F215" s="550"/>
      <c r="G215" s="1179">
        <f t="array" ref="G215">IF(G$194=Misc_Inputs!$D$6,$G141,IF(SUM(IF($G$194:$AF$194&gt;=ROUND(IF((G$194-Sys_Repl_Rate!G100)&lt;Tech_Specs!$C28,Tech_Specs!$C28,(G$194-Sys_Repl_Rate!G100)),0),IF($G$194:$AF$194&lt;=G$194,System_Mkt_Repl!$F354:$AE354+System_Mkt_NC!$G354:$AF354)))=0,C215,SUMPRODUCT(IF($G$194:$AF$194&gt;=ROUND(IF((G$194-Sys_Repl_Rate!G100)&lt;Tech_Specs!$C28,Tech_Specs!$C28,(G$194-Sys_Repl_Rate!G100)),0),IF($G$194:$AF$194&lt;=G$194,$G141:$AF141)),System_Mkt_Repl!$F354:$AE354+System_Mkt_NC!$G354:$AF354)/SUM(IF($G$194:$AF$194&gt;=ROUND(IF((G$194-Sys_Repl_Rate!G100)&lt;Tech_Specs!$C28,Tech_Specs!$C28,(G$194-Sys_Repl_Rate!G100)),0),IF($G$194:$AF$194&lt;=G$194,System_Mkt_Repl!$F354:$AE354+System_Mkt_NC!$G354:$AF354)))))</f>
        <v>0.87430612878477942</v>
      </c>
      <c r="H215" s="1179">
        <f t="array" ref="H215">IF(H$194=Misc_Inputs!$D$6,$G141,IF(SUM(IF($G$194:$AF$194&gt;=ROUND(IF((H$194-Sys_Repl_Rate!H100)&lt;Tech_Specs!$C28,Tech_Specs!$C28,(H$194-Sys_Repl_Rate!H100)),0),IF($G$194:$AF$194&lt;=H$194,System_Mkt_Repl!$F354:$AE354+System_Mkt_NC!$G354:$AF354)))=0,G215,SUMPRODUCT(IF($G$194:$AF$194&gt;=ROUND(IF((H$194-Sys_Repl_Rate!H100)&lt;Tech_Specs!$C28,Tech_Specs!$C28,(H$194-Sys_Repl_Rate!H100)),0),IF($G$194:$AF$194&lt;=H$194,$G141:$AF141)),System_Mkt_Repl!$F354:$AE354+System_Mkt_NC!$G354:$AF354)/SUM(IF($G$194:$AF$194&gt;=ROUND(IF((H$194-Sys_Repl_Rate!H100)&lt;Tech_Specs!$C28,Tech_Specs!$C28,(H$194-Sys_Repl_Rate!H100)),0),IF($G$194:$AF$194&lt;=H$194,System_Mkt_Repl!$F354:$AE354+System_Mkt_NC!$G354:$AF354)))))</f>
        <v>0.87430612878477931</v>
      </c>
      <c r="I215" s="1179">
        <f t="array" ref="I215">IF(I$194=Misc_Inputs!$D$6,$G141,IF(SUM(IF($G$194:$AF$194&gt;=ROUND(IF((I$194-Sys_Repl_Rate!I100)&lt;Tech_Specs!$C28,Tech_Specs!$C28,(I$194-Sys_Repl_Rate!I100)),0),IF($G$194:$AF$194&lt;=I$194,System_Mkt_Repl!$F354:$AE354+System_Mkt_NC!$G354:$AF354)))=0,H215,SUMPRODUCT(IF($G$194:$AF$194&gt;=ROUND(IF((I$194-Sys_Repl_Rate!I100)&lt;Tech_Specs!$C28,Tech_Specs!$C28,(I$194-Sys_Repl_Rate!I100)),0),IF($G$194:$AF$194&lt;=I$194,$G141:$AF141)),System_Mkt_Repl!$F354:$AE354+System_Mkt_NC!$G354:$AF354)/SUM(IF($G$194:$AF$194&gt;=ROUND(IF((I$194-Sys_Repl_Rate!I100)&lt;Tech_Specs!$C28,Tech_Specs!$C28,(I$194-Sys_Repl_Rate!I100)),0),IF($G$194:$AF$194&lt;=I$194,System_Mkt_Repl!$F354:$AE354+System_Mkt_NC!$G354:$AF354)))))</f>
        <v>0.87430612878477942</v>
      </c>
      <c r="J215" s="1179">
        <f t="array" ref="J215">IF(J$194=Misc_Inputs!$D$6,$G141,IF(SUM(IF($G$194:$AF$194&gt;=ROUND(IF((J$194-Sys_Repl_Rate!J100)&lt;Tech_Specs!$C28,Tech_Specs!$C28,(J$194-Sys_Repl_Rate!J100)),0),IF($G$194:$AF$194&lt;=J$194,System_Mkt_Repl!$F354:$AE354+System_Mkt_NC!$G354:$AF354)))=0,I215,SUMPRODUCT(IF($G$194:$AF$194&gt;=ROUND(IF((J$194-Sys_Repl_Rate!J100)&lt;Tech_Specs!$C28,Tech_Specs!$C28,(J$194-Sys_Repl_Rate!J100)),0),IF($G$194:$AF$194&lt;=J$194,$G141:$AF141)),System_Mkt_Repl!$F354:$AE354+System_Mkt_NC!$G354:$AF354)/SUM(IF($G$194:$AF$194&gt;=ROUND(IF((J$194-Sys_Repl_Rate!J100)&lt;Tech_Specs!$C28,Tech_Specs!$C28,(J$194-Sys_Repl_Rate!J100)),0),IF($G$194:$AF$194&lt;=J$194,System_Mkt_Repl!$F354:$AE354+System_Mkt_NC!$G354:$AF354)))))</f>
        <v>0.87430612878477942</v>
      </c>
      <c r="K215" s="373">
        <f t="array" ref="K215">IF(K$194=Misc_Inputs!$D$6,$G141,IF(SUM(IF($G$194:$AF$194&gt;=ROUND(IF((K$194-Sys_Repl_Rate!K100)&lt;Tech_Specs!$C28,Tech_Specs!$C28,(K$194-Sys_Repl_Rate!K100)),0),IF($G$194:$AF$194&lt;=K$194,System_Mkt_Repl!$F354:$AE354+System_Mkt_NC!$G354:$AF354)))=0,J215,SUMPRODUCT(IF($G$194:$AF$194&gt;=ROUND(IF((K$194-Sys_Repl_Rate!K100)&lt;Tech_Specs!$C28,Tech_Specs!$C28,(K$194-Sys_Repl_Rate!K100)),0),IF($G$194:$AF$194&lt;=K$194,$G141:$AF141)),System_Mkt_Repl!$F354:$AE354+System_Mkt_NC!$G354:$AF354)/SUM(IF($G$194:$AF$194&gt;=ROUND(IF((K$194-Sys_Repl_Rate!K100)&lt;Tech_Specs!$C28,Tech_Specs!$C28,(K$194-Sys_Repl_Rate!K100)),0),IF($G$194:$AF$194&lt;=K$194,System_Mkt_Repl!$F354:$AE354+System_Mkt_NC!$G354:$AF354)))))</f>
        <v>0.87430612878477931</v>
      </c>
      <c r="L215" s="373">
        <f t="array" ref="L215">IF(L$194=Misc_Inputs!$D$6,$G141,IF(SUM(IF($G$194:$AF$194&gt;=ROUND(IF((L$194-Sys_Repl_Rate!L100)&lt;Tech_Specs!$C28,Tech_Specs!$C28,(L$194-Sys_Repl_Rate!L100)),0),IF($G$194:$AF$194&lt;=L$194,System_Mkt_Repl!$F354:$AE354+System_Mkt_NC!$G354:$AF354)))=0,K215,SUMPRODUCT(IF($G$194:$AF$194&gt;=ROUND(IF((L$194-Sys_Repl_Rate!L100)&lt;Tech_Specs!$C28,Tech_Specs!$C28,(L$194-Sys_Repl_Rate!L100)),0),IF($G$194:$AF$194&lt;=L$194,$G141:$AF141)),System_Mkt_Repl!$F354:$AE354+System_Mkt_NC!$G354:$AF354)/SUM(IF($G$194:$AF$194&gt;=ROUND(IF((L$194-Sys_Repl_Rate!L100)&lt;Tech_Specs!$C28,Tech_Specs!$C28,(L$194-Sys_Repl_Rate!L100)),0),IF($G$194:$AF$194&lt;=L$194,System_Mkt_Repl!$F354:$AE354+System_Mkt_NC!$G354:$AF354)))))</f>
        <v>0.87430612878477931</v>
      </c>
      <c r="M215" s="373">
        <f t="array" ref="M215">IF(M$194=Misc_Inputs!$D$6,$G141,IF(SUM(IF($G$194:$AF$194&gt;=ROUND(IF((M$194-Sys_Repl_Rate!M100)&lt;Tech_Specs!$C28,Tech_Specs!$C28,(M$194-Sys_Repl_Rate!M100)),0),IF($G$194:$AF$194&lt;=M$194,System_Mkt_Repl!$F354:$AE354+System_Mkt_NC!$G354:$AF354)))=0,L215,SUMPRODUCT(IF($G$194:$AF$194&gt;=ROUND(IF((M$194-Sys_Repl_Rate!M100)&lt;Tech_Specs!$C28,Tech_Specs!$C28,(M$194-Sys_Repl_Rate!M100)),0),IF($G$194:$AF$194&lt;=M$194,$G141:$AF141)),System_Mkt_Repl!$F354:$AE354+System_Mkt_NC!$G354:$AF354)/SUM(IF($G$194:$AF$194&gt;=ROUND(IF((M$194-Sys_Repl_Rate!M100)&lt;Tech_Specs!$C28,Tech_Specs!$C28,(M$194-Sys_Repl_Rate!M100)),0),IF($G$194:$AF$194&lt;=M$194,System_Mkt_Repl!$F354:$AE354+System_Mkt_NC!$G354:$AF354)))))</f>
        <v>0.87430612878477931</v>
      </c>
      <c r="N215" s="373">
        <f t="array" ref="N215">IF(N$194=Misc_Inputs!$D$6,$G141,IF(SUM(IF($G$194:$AF$194&gt;=ROUND(IF((N$194-Sys_Repl_Rate!N100)&lt;Tech_Specs!$C28,Tech_Specs!$C28,(N$194-Sys_Repl_Rate!N100)),0),IF($G$194:$AF$194&lt;=N$194,System_Mkt_Repl!$F354:$AE354+System_Mkt_NC!$G354:$AF354)))=0,M215,SUMPRODUCT(IF($G$194:$AF$194&gt;=ROUND(IF((N$194-Sys_Repl_Rate!N100)&lt;Tech_Specs!$C28,Tech_Specs!$C28,(N$194-Sys_Repl_Rate!N100)),0),IF($G$194:$AF$194&lt;=N$194,$G141:$AF141)),System_Mkt_Repl!$F354:$AE354+System_Mkt_NC!$G354:$AF354)/SUM(IF($G$194:$AF$194&gt;=ROUND(IF((N$194-Sys_Repl_Rate!N100)&lt;Tech_Specs!$C28,Tech_Specs!$C28,(N$194-Sys_Repl_Rate!N100)),0),IF($G$194:$AF$194&lt;=N$194,System_Mkt_Repl!$F354:$AE354+System_Mkt_NC!$G354:$AF354)))))</f>
        <v>0.87430612878477931</v>
      </c>
      <c r="O215" s="373">
        <f t="array" ref="O215">IF(O$194=Misc_Inputs!$D$6,$G141,IF(SUM(IF($G$194:$AF$194&gt;=ROUND(IF((O$194-Sys_Repl_Rate!O100)&lt;Tech_Specs!$C28,Tech_Specs!$C28,(O$194-Sys_Repl_Rate!O100)),0),IF($G$194:$AF$194&lt;=O$194,System_Mkt_Repl!$F354:$AE354+System_Mkt_NC!$G354:$AF354)))=0,N215,SUMPRODUCT(IF($G$194:$AF$194&gt;=ROUND(IF((O$194-Sys_Repl_Rate!O100)&lt;Tech_Specs!$C28,Tech_Specs!$C28,(O$194-Sys_Repl_Rate!O100)),0),IF($G$194:$AF$194&lt;=O$194,$G141:$AF141)),System_Mkt_Repl!$F354:$AE354+System_Mkt_NC!$G354:$AF354)/SUM(IF($G$194:$AF$194&gt;=ROUND(IF((O$194-Sys_Repl_Rate!O100)&lt;Tech_Specs!$C28,Tech_Specs!$C28,(O$194-Sys_Repl_Rate!O100)),0),IF($G$194:$AF$194&lt;=O$194,System_Mkt_Repl!$F354:$AE354+System_Mkt_NC!$G354:$AF354)))))</f>
        <v>0.87430612878477931</v>
      </c>
      <c r="P215" s="373">
        <f t="array" ref="P215">IF(P$194=Misc_Inputs!$D$6,$G141,IF(SUM(IF($G$194:$AF$194&gt;=ROUND(IF((P$194-Sys_Repl_Rate!P100)&lt;Tech_Specs!$C28,Tech_Specs!$C28,(P$194-Sys_Repl_Rate!P100)),0),IF($G$194:$AF$194&lt;=P$194,System_Mkt_Repl!$F354:$AE354+System_Mkt_NC!$G354:$AF354)))=0,O215,SUMPRODUCT(IF($G$194:$AF$194&gt;=ROUND(IF((P$194-Sys_Repl_Rate!P100)&lt;Tech_Specs!$C28,Tech_Specs!$C28,(P$194-Sys_Repl_Rate!P100)),0),IF($G$194:$AF$194&lt;=P$194,$G141:$AF141)),System_Mkt_Repl!$F354:$AE354+System_Mkt_NC!$G354:$AF354)/SUM(IF($G$194:$AF$194&gt;=ROUND(IF((P$194-Sys_Repl_Rate!P100)&lt;Tech_Specs!$C28,Tech_Specs!$C28,(P$194-Sys_Repl_Rate!P100)),0),IF($G$194:$AF$194&lt;=P$194,System_Mkt_Repl!$F354:$AE354+System_Mkt_NC!$G354:$AF354)))))</f>
        <v>0.87430612878477931</v>
      </c>
      <c r="Q215" s="373">
        <f t="array" ref="Q215">IF(Q$194=Misc_Inputs!$D$6,$G141,IF(SUM(IF($G$194:$AF$194&gt;=ROUND(IF((Q$194-Sys_Repl_Rate!Q100)&lt;Tech_Specs!$C28,Tech_Specs!$C28,(Q$194-Sys_Repl_Rate!Q100)),0),IF($G$194:$AF$194&lt;=Q$194,System_Mkt_Repl!$F354:$AE354+System_Mkt_NC!$G354:$AF354)))=0,P215,SUMPRODUCT(IF($G$194:$AF$194&gt;=ROUND(IF((Q$194-Sys_Repl_Rate!Q100)&lt;Tech_Specs!$C28,Tech_Specs!$C28,(Q$194-Sys_Repl_Rate!Q100)),0),IF($G$194:$AF$194&lt;=Q$194,$G141:$AF141)),System_Mkt_Repl!$F354:$AE354+System_Mkt_NC!$G354:$AF354)/SUM(IF($G$194:$AF$194&gt;=ROUND(IF((Q$194-Sys_Repl_Rate!Q100)&lt;Tech_Specs!$C28,Tech_Specs!$C28,(Q$194-Sys_Repl_Rate!Q100)),0),IF($G$194:$AF$194&lt;=Q$194,System_Mkt_Repl!$F354:$AE354+System_Mkt_NC!$G354:$AF354)))))</f>
        <v>0.87430612878477931</v>
      </c>
      <c r="R215" s="373">
        <f t="array" ref="R215">IF(R$194=Misc_Inputs!$D$6,$G141,IF(SUM(IF($G$194:$AF$194&gt;=ROUND(IF((R$194-Sys_Repl_Rate!R100)&lt;Tech_Specs!$C28,Tech_Specs!$C28,(R$194-Sys_Repl_Rate!R100)),0),IF($G$194:$AF$194&lt;=R$194,System_Mkt_Repl!$F354:$AE354+System_Mkt_NC!$G354:$AF354)))=0,Q215,SUMPRODUCT(IF($G$194:$AF$194&gt;=ROUND(IF((R$194-Sys_Repl_Rate!R100)&lt;Tech_Specs!$C28,Tech_Specs!$C28,(R$194-Sys_Repl_Rate!R100)),0),IF($G$194:$AF$194&lt;=R$194,$G141:$AF141)),System_Mkt_Repl!$F354:$AE354+System_Mkt_NC!$G354:$AF354)/SUM(IF($G$194:$AF$194&gt;=ROUND(IF((R$194-Sys_Repl_Rate!R100)&lt;Tech_Specs!$C28,Tech_Specs!$C28,(R$194-Sys_Repl_Rate!R100)),0),IF($G$194:$AF$194&lt;=R$194,System_Mkt_Repl!$F354:$AE354+System_Mkt_NC!$G354:$AF354)))))</f>
        <v>0.87430612878477942</v>
      </c>
      <c r="S215" s="373">
        <f t="array" ref="S215">IF(S$194=Misc_Inputs!$D$6,$G141,IF(SUM(IF($G$194:$AF$194&gt;=ROUND(IF((S$194-Sys_Repl_Rate!S100)&lt;Tech_Specs!$C28,Tech_Specs!$C28,(S$194-Sys_Repl_Rate!S100)),0),IF($G$194:$AF$194&lt;=S$194,System_Mkt_Repl!$F354:$AE354+System_Mkt_NC!$G354:$AF354)))=0,R215,SUMPRODUCT(IF($G$194:$AF$194&gt;=ROUND(IF((S$194-Sys_Repl_Rate!S100)&lt;Tech_Specs!$C28,Tech_Specs!$C28,(S$194-Sys_Repl_Rate!S100)),0),IF($G$194:$AF$194&lt;=S$194,$G141:$AF141)),System_Mkt_Repl!$F354:$AE354+System_Mkt_NC!$G354:$AF354)/SUM(IF($G$194:$AF$194&gt;=ROUND(IF((S$194-Sys_Repl_Rate!S100)&lt;Tech_Specs!$C28,Tech_Specs!$C28,(S$194-Sys_Repl_Rate!S100)),0),IF($G$194:$AF$194&lt;=S$194,System_Mkt_Repl!$F354:$AE354+System_Mkt_NC!$G354:$AF354)))))</f>
        <v>0.87430612878477931</v>
      </c>
      <c r="T215" s="373">
        <f t="array" ref="T215">IF(T$194=Misc_Inputs!$D$6,$G141,IF(SUM(IF($G$194:$AF$194&gt;=ROUND(IF((T$194-Sys_Repl_Rate!T100)&lt;Tech_Specs!$C28,Tech_Specs!$C28,(T$194-Sys_Repl_Rate!T100)),0),IF($G$194:$AF$194&lt;=T$194,System_Mkt_Repl!$F354:$AE354+System_Mkt_NC!$G354:$AF354)))=0,S215,SUMPRODUCT(IF($G$194:$AF$194&gt;=ROUND(IF((T$194-Sys_Repl_Rate!T100)&lt;Tech_Specs!$C28,Tech_Specs!$C28,(T$194-Sys_Repl_Rate!T100)),0),IF($G$194:$AF$194&lt;=T$194,$G141:$AF141)),System_Mkt_Repl!$F354:$AE354+System_Mkt_NC!$G354:$AF354)/SUM(IF($G$194:$AF$194&gt;=ROUND(IF((T$194-Sys_Repl_Rate!T100)&lt;Tech_Specs!$C28,Tech_Specs!$C28,(T$194-Sys_Repl_Rate!T100)),0),IF($G$194:$AF$194&lt;=T$194,System_Mkt_Repl!$F354:$AE354+System_Mkt_NC!$G354:$AF354)))))</f>
        <v>0.87430612878477931</v>
      </c>
      <c r="U215" s="373">
        <f t="array" ref="U215">IF(U$194=Misc_Inputs!$D$6,$G141,IF(SUM(IF($G$194:$AF$194&gt;=ROUND(IF((U$194-Sys_Repl_Rate!U100)&lt;Tech_Specs!$C28,Tech_Specs!$C28,(U$194-Sys_Repl_Rate!U100)),0),IF($G$194:$AF$194&lt;=U$194,System_Mkt_Repl!$F354:$AE354+System_Mkt_NC!$G354:$AF354)))=0,T215,SUMPRODUCT(IF($G$194:$AF$194&gt;=ROUND(IF((U$194-Sys_Repl_Rate!U100)&lt;Tech_Specs!$C28,Tech_Specs!$C28,(U$194-Sys_Repl_Rate!U100)),0),IF($G$194:$AF$194&lt;=U$194,$G141:$AF141)),System_Mkt_Repl!$F354:$AE354+System_Mkt_NC!$G354:$AF354)/SUM(IF($G$194:$AF$194&gt;=ROUND(IF((U$194-Sys_Repl_Rate!U100)&lt;Tech_Specs!$C28,Tech_Specs!$C28,(U$194-Sys_Repl_Rate!U100)),0),IF($G$194:$AF$194&lt;=U$194,System_Mkt_Repl!$F354:$AE354+System_Mkt_NC!$G354:$AF354)))))</f>
        <v>0.87430612878477931</v>
      </c>
      <c r="V215" s="373">
        <f t="array" ref="V215">IF(V$194=Misc_Inputs!$D$6,$G141,IF(SUM(IF($G$194:$AF$194&gt;=ROUND(IF((V$194-Sys_Repl_Rate!V100)&lt;Tech_Specs!$C28,Tech_Specs!$C28,(V$194-Sys_Repl_Rate!V100)),0),IF($G$194:$AF$194&lt;=V$194,System_Mkt_Repl!$F354:$AE354+System_Mkt_NC!$G354:$AF354)))=0,U215,SUMPRODUCT(IF($G$194:$AF$194&gt;=ROUND(IF((V$194-Sys_Repl_Rate!V100)&lt;Tech_Specs!$C28,Tech_Specs!$C28,(V$194-Sys_Repl_Rate!V100)),0),IF($G$194:$AF$194&lt;=V$194,$G141:$AF141)),System_Mkt_Repl!$F354:$AE354+System_Mkt_NC!$G354:$AF354)/SUM(IF($G$194:$AF$194&gt;=ROUND(IF((V$194-Sys_Repl_Rate!V100)&lt;Tech_Specs!$C28,Tech_Specs!$C28,(V$194-Sys_Repl_Rate!V100)),0),IF($G$194:$AF$194&lt;=V$194,System_Mkt_Repl!$F354:$AE354+System_Mkt_NC!$G354:$AF354)))))</f>
        <v>0.8743061287847792</v>
      </c>
      <c r="W215" s="373">
        <f t="array" ref="W215">IF(W$194=Misc_Inputs!$D$6,$G141,IF(SUM(IF($G$194:$AF$194&gt;=ROUND(IF((W$194-Sys_Repl_Rate!W100)&lt;Tech_Specs!$C28,Tech_Specs!$C28,(W$194-Sys_Repl_Rate!W100)),0),IF($G$194:$AF$194&lt;=W$194,System_Mkt_Repl!$F354:$AE354+System_Mkt_NC!$G354:$AF354)))=0,V215,SUMPRODUCT(IF($G$194:$AF$194&gt;=ROUND(IF((W$194-Sys_Repl_Rate!W100)&lt;Tech_Specs!$C28,Tech_Specs!$C28,(W$194-Sys_Repl_Rate!W100)),0),IF($G$194:$AF$194&lt;=W$194,$G141:$AF141)),System_Mkt_Repl!$F354:$AE354+System_Mkt_NC!$G354:$AF354)/SUM(IF($G$194:$AF$194&gt;=ROUND(IF((W$194-Sys_Repl_Rate!W100)&lt;Tech_Specs!$C28,Tech_Specs!$C28,(W$194-Sys_Repl_Rate!W100)),0),IF($G$194:$AF$194&lt;=W$194,System_Mkt_Repl!$F354:$AE354+System_Mkt_NC!$G354:$AF354)))))</f>
        <v>0.87430612878477909</v>
      </c>
      <c r="X215" s="373">
        <f t="array" ref="X215">IF(X$194=Misc_Inputs!$D$6,$G141,IF(SUM(IF($G$194:$AF$194&gt;=ROUND(IF((X$194-Sys_Repl_Rate!X100)&lt;Tech_Specs!$C28,Tech_Specs!$C28,(X$194-Sys_Repl_Rate!X100)),0),IF($G$194:$AF$194&lt;=X$194,System_Mkt_Repl!$F354:$AE354+System_Mkt_NC!$G354:$AF354)))=0,W215,SUMPRODUCT(IF($G$194:$AF$194&gt;=ROUND(IF((X$194-Sys_Repl_Rate!X100)&lt;Tech_Specs!$C28,Tech_Specs!$C28,(X$194-Sys_Repl_Rate!X100)),0),IF($G$194:$AF$194&lt;=X$194,$G141:$AF141)),System_Mkt_Repl!$F354:$AE354+System_Mkt_NC!$G354:$AF354)/SUM(IF($G$194:$AF$194&gt;=ROUND(IF((X$194-Sys_Repl_Rate!X100)&lt;Tech_Specs!$C28,Tech_Specs!$C28,(X$194-Sys_Repl_Rate!X100)),0),IF($G$194:$AF$194&lt;=X$194,System_Mkt_Repl!$F354:$AE354+System_Mkt_NC!$G354:$AF354)))))</f>
        <v>0.87430612878477898</v>
      </c>
      <c r="Y215" s="373">
        <f t="array" ref="Y215">IF(Y$194=Misc_Inputs!$D$6,$G141,IF(SUM(IF($G$194:$AF$194&gt;=ROUND(IF((Y$194-Sys_Repl_Rate!Y100)&lt;Tech_Specs!$C28,Tech_Specs!$C28,(Y$194-Sys_Repl_Rate!Y100)),0),IF($G$194:$AF$194&lt;=Y$194,System_Mkt_Repl!$F354:$AE354+System_Mkt_NC!$G354:$AF354)))=0,X215,SUMPRODUCT(IF($G$194:$AF$194&gt;=ROUND(IF((Y$194-Sys_Repl_Rate!Y100)&lt;Tech_Specs!$C28,Tech_Specs!$C28,(Y$194-Sys_Repl_Rate!Y100)),0),IF($G$194:$AF$194&lt;=Y$194,$G141:$AF141)),System_Mkt_Repl!$F354:$AE354+System_Mkt_NC!$G354:$AF354)/SUM(IF($G$194:$AF$194&gt;=ROUND(IF((Y$194-Sys_Repl_Rate!Y100)&lt;Tech_Specs!$C28,Tech_Specs!$C28,(Y$194-Sys_Repl_Rate!Y100)),0),IF($G$194:$AF$194&lt;=Y$194,System_Mkt_Repl!$F354:$AE354+System_Mkt_NC!$G354:$AF354)))))</f>
        <v>0.87430612878477909</v>
      </c>
      <c r="Z215" s="373">
        <f t="array" ref="Z215">IF(Z$194=Misc_Inputs!$D$6,$G141,IF(SUM(IF($G$194:$AF$194&gt;=ROUND(IF((Z$194-Sys_Repl_Rate!Z100)&lt;Tech_Specs!$C28,Tech_Specs!$C28,(Z$194-Sys_Repl_Rate!Z100)),0),IF($G$194:$AF$194&lt;=Z$194,System_Mkt_Repl!$F354:$AE354+System_Mkt_NC!$G354:$AF354)))=0,Y215,SUMPRODUCT(IF($G$194:$AF$194&gt;=ROUND(IF((Z$194-Sys_Repl_Rate!Z100)&lt;Tech_Specs!$C28,Tech_Specs!$C28,(Z$194-Sys_Repl_Rate!Z100)),0),IF($G$194:$AF$194&lt;=Z$194,$G141:$AF141)),System_Mkt_Repl!$F354:$AE354+System_Mkt_NC!$G354:$AF354)/SUM(IF($G$194:$AF$194&gt;=ROUND(IF((Z$194-Sys_Repl_Rate!Z100)&lt;Tech_Specs!$C28,Tech_Specs!$C28,(Z$194-Sys_Repl_Rate!Z100)),0),IF($G$194:$AF$194&lt;=Z$194,System_Mkt_Repl!$F354:$AE354+System_Mkt_NC!$G354:$AF354)))))</f>
        <v>0.87430612878477909</v>
      </c>
      <c r="AA215" s="373">
        <f t="array" ref="AA215">IF(AA$194=Misc_Inputs!$D$6,$G141,IF(SUM(IF($G$194:$AF$194&gt;=ROUND(IF((AA$194-Sys_Repl_Rate!AA100)&lt;Tech_Specs!$C28,Tech_Specs!$C28,(AA$194-Sys_Repl_Rate!AA100)),0),IF($G$194:$AF$194&lt;=AA$194,System_Mkt_Repl!$F354:$AE354+System_Mkt_NC!$G354:$AF354)))=0,Z215,SUMPRODUCT(IF($G$194:$AF$194&gt;=ROUND(IF((AA$194-Sys_Repl_Rate!AA100)&lt;Tech_Specs!$C28,Tech_Specs!$C28,(AA$194-Sys_Repl_Rate!AA100)),0),IF($G$194:$AF$194&lt;=AA$194,$G141:$AF141)),System_Mkt_Repl!$F354:$AE354+System_Mkt_NC!$G354:$AF354)/SUM(IF($G$194:$AF$194&gt;=ROUND(IF((AA$194-Sys_Repl_Rate!AA100)&lt;Tech_Specs!$C28,Tech_Specs!$C28,(AA$194-Sys_Repl_Rate!AA100)),0),IF($G$194:$AF$194&lt;=AA$194,System_Mkt_Repl!$F354:$AE354+System_Mkt_NC!$G354:$AF354)))))</f>
        <v>0.87430612878477909</v>
      </c>
      <c r="AB215" s="373">
        <f t="array" ref="AB215">IF(AB$194=Misc_Inputs!$D$6,$G141,IF(SUM(IF($G$194:$AF$194&gt;=ROUND(IF((AB$194-Sys_Repl_Rate!AB100)&lt;Tech_Specs!$C28,Tech_Specs!$C28,(AB$194-Sys_Repl_Rate!AB100)),0),IF($G$194:$AF$194&lt;=AB$194,System_Mkt_Repl!$F354:$AE354+System_Mkt_NC!$G354:$AF354)))=0,AA215,SUMPRODUCT(IF($G$194:$AF$194&gt;=ROUND(IF((AB$194-Sys_Repl_Rate!AB100)&lt;Tech_Specs!$C28,Tech_Specs!$C28,(AB$194-Sys_Repl_Rate!AB100)),0),IF($G$194:$AF$194&lt;=AB$194,$G141:$AF141)),System_Mkt_Repl!$F354:$AE354+System_Mkt_NC!$G354:$AF354)/SUM(IF($G$194:$AF$194&gt;=ROUND(IF((AB$194-Sys_Repl_Rate!AB100)&lt;Tech_Specs!$C28,Tech_Specs!$C28,(AB$194-Sys_Repl_Rate!AB100)),0),IF($G$194:$AF$194&lt;=AB$194,System_Mkt_Repl!$F354:$AE354+System_Mkt_NC!$G354:$AF354)))))</f>
        <v>0.87430612878477909</v>
      </c>
      <c r="AC215" s="373">
        <f t="array" ref="AC215">IF(AC$194=Misc_Inputs!$D$6,$G141,IF(SUM(IF($G$194:$AF$194&gt;=ROUND(IF((AC$194-Sys_Repl_Rate!AC100)&lt;Tech_Specs!$C28,Tech_Specs!$C28,(AC$194-Sys_Repl_Rate!AC100)),0),IF($G$194:$AF$194&lt;=AC$194,System_Mkt_Repl!$F354:$AE354+System_Mkt_NC!$G354:$AF354)))=0,AB215,SUMPRODUCT(IF($G$194:$AF$194&gt;=ROUND(IF((AC$194-Sys_Repl_Rate!AC100)&lt;Tech_Specs!$C28,Tech_Specs!$C28,(AC$194-Sys_Repl_Rate!AC100)),0),IF($G$194:$AF$194&lt;=AC$194,$G141:$AF141)),System_Mkt_Repl!$F354:$AE354+System_Mkt_NC!$G354:$AF354)/SUM(IF($G$194:$AF$194&gt;=ROUND(IF((AC$194-Sys_Repl_Rate!AC100)&lt;Tech_Specs!$C28,Tech_Specs!$C28,(AC$194-Sys_Repl_Rate!AC100)),0),IF($G$194:$AF$194&lt;=AC$194,System_Mkt_Repl!$F354:$AE354+System_Mkt_NC!$G354:$AF354)))))</f>
        <v>0.8743061287847792</v>
      </c>
      <c r="AD215" s="373">
        <f t="array" ref="AD215">IF(AD$194=Misc_Inputs!$D$6,$G141,IF(SUM(IF($G$194:$AF$194&gt;=ROUND(IF((AD$194-Sys_Repl_Rate!AD100)&lt;Tech_Specs!$C28,Tech_Specs!$C28,(AD$194-Sys_Repl_Rate!AD100)),0),IF($G$194:$AF$194&lt;=AD$194,System_Mkt_Repl!$F354:$AE354+System_Mkt_NC!$G354:$AF354)))=0,AC215,SUMPRODUCT(IF($G$194:$AF$194&gt;=ROUND(IF((AD$194-Sys_Repl_Rate!AD100)&lt;Tech_Specs!$C28,Tech_Specs!$C28,(AD$194-Sys_Repl_Rate!AD100)),0),IF($G$194:$AF$194&lt;=AD$194,$G141:$AF141)),System_Mkt_Repl!$F354:$AE354+System_Mkt_NC!$G354:$AF354)/SUM(IF($G$194:$AF$194&gt;=ROUND(IF((AD$194-Sys_Repl_Rate!AD100)&lt;Tech_Specs!$C28,Tech_Specs!$C28,(AD$194-Sys_Repl_Rate!AD100)),0),IF($G$194:$AF$194&lt;=AD$194,System_Mkt_Repl!$F354:$AE354+System_Mkt_NC!$G354:$AF354)))))</f>
        <v>0.8743061287847792</v>
      </c>
      <c r="AE215" s="373">
        <f t="array" ref="AE215">IF(AE$194=Misc_Inputs!$D$6,$G141,IF(SUM(IF($G$194:$AF$194&gt;=ROUND(IF((AE$194-Sys_Repl_Rate!AE100)&lt;Tech_Specs!$C28,Tech_Specs!$C28,(AE$194-Sys_Repl_Rate!AE100)),0),IF($G$194:$AF$194&lt;=AE$194,System_Mkt_Repl!$F354:$AE354+System_Mkt_NC!$G354:$AF354)))=0,AD215,SUMPRODUCT(IF($G$194:$AF$194&gt;=ROUND(IF((AE$194-Sys_Repl_Rate!AE100)&lt;Tech_Specs!$C28,Tech_Specs!$C28,(AE$194-Sys_Repl_Rate!AE100)),0),IF($G$194:$AF$194&lt;=AE$194,$G141:$AF141)),System_Mkt_Repl!$F354:$AE354+System_Mkt_NC!$G354:$AF354)/SUM(IF($G$194:$AF$194&gt;=ROUND(IF((AE$194-Sys_Repl_Rate!AE100)&lt;Tech_Specs!$C28,Tech_Specs!$C28,(AE$194-Sys_Repl_Rate!AE100)),0),IF($G$194:$AF$194&lt;=AE$194,System_Mkt_Repl!$F354:$AE354+System_Mkt_NC!$G354:$AF354)))))</f>
        <v>0.8743061287847792</v>
      </c>
      <c r="AF215" s="373">
        <f t="array" ref="AF215">IF(AF$194=Misc_Inputs!$D$6,$G141,IF(SUM(IF($G$194:$AF$194&gt;=ROUND(IF((AF$194-Sys_Repl_Rate!AF100)&lt;Tech_Specs!$C28,Tech_Specs!$C28,(AF$194-Sys_Repl_Rate!AF100)),0),IF($G$194:$AF$194&lt;=AF$194,System_Mkt_Repl!$F354:$AE354+System_Mkt_NC!$G354:$AF354)))=0,AE215,SUMPRODUCT(IF($G$194:$AF$194&gt;=ROUND(IF((AF$194-Sys_Repl_Rate!AF100)&lt;Tech_Specs!$C28,Tech_Specs!$C28,(AF$194-Sys_Repl_Rate!AF100)),0),IF($G$194:$AF$194&lt;=AF$194,$G141:$AF141)),System_Mkt_Repl!$F354:$AE354+System_Mkt_NC!$G354:$AF354)/SUM(IF($G$194:$AF$194&gt;=ROUND(IF((AF$194-Sys_Repl_Rate!AF100)&lt;Tech_Specs!$C28,Tech_Specs!$C28,(AF$194-Sys_Repl_Rate!AF100)),0),IF($G$194:$AF$194&lt;=AF$194,System_Mkt_Repl!$F354:$AE354+System_Mkt_NC!$G354:$AF354)))))</f>
        <v>0.8743061287847792</v>
      </c>
    </row>
    <row r="216" spans="1:32" s="282" customFormat="1" ht="12.75" x14ac:dyDescent="0.2">
      <c r="A216" s="278"/>
      <c r="B216" s="282" t="s">
        <v>45</v>
      </c>
      <c r="C216" s="278"/>
      <c r="D216" s="550"/>
      <c r="E216" s="550"/>
      <c r="F216" s="550"/>
      <c r="G216" s="1179">
        <f t="array" ref="G216">IF(G$194=Misc_Inputs!$D$6,$G142,IF(SUM(IF($G$194:$AF$194&gt;=ROUND(IF((G$194-Sys_Repl_Rate!G101)&lt;Tech_Specs!$C29,Tech_Specs!$C29,(G$194-Sys_Repl_Rate!G101)),0),IF($G$194:$AF$194&lt;=G$194,System_Mkt_Repl!$F355:$AE355+System_Mkt_NC!$G355:$AF355)))=0,C216,SUMPRODUCT(IF($G$194:$AF$194&gt;=ROUND(IF((G$194-Sys_Repl_Rate!G101)&lt;Tech_Specs!$C29,Tech_Specs!$C29,(G$194-Sys_Repl_Rate!G101)),0),IF($G$194:$AF$194&lt;=G$194,$G142:$AF142)),System_Mkt_Repl!$F355:$AE355+System_Mkt_NC!$G355:$AF355)/SUM(IF($G$194:$AF$194&gt;=ROUND(IF((G$194-Sys_Repl_Rate!G101)&lt;Tech_Specs!$C29,Tech_Specs!$C29,(G$194-Sys_Repl_Rate!G101)),0),IF($G$194:$AF$194&lt;=G$194,System_Mkt_Repl!$F355:$AE355+System_Mkt_NC!$G355:$AF355)))))</f>
        <v>0.8443721273824677</v>
      </c>
      <c r="H216" s="1179">
        <f t="array" ref="H216">IF(H$194=Misc_Inputs!$D$6,$G142,IF(SUM(IF($G$194:$AF$194&gt;=ROUND(IF((H$194-Sys_Repl_Rate!H101)&lt;Tech_Specs!$C29,Tech_Specs!$C29,(H$194-Sys_Repl_Rate!H101)),0),IF($G$194:$AF$194&lt;=H$194,System_Mkt_Repl!$F355:$AE355+System_Mkt_NC!$G355:$AF355)))=0,G216,SUMPRODUCT(IF($G$194:$AF$194&gt;=ROUND(IF((H$194-Sys_Repl_Rate!H101)&lt;Tech_Specs!$C29,Tech_Specs!$C29,(H$194-Sys_Repl_Rate!H101)),0),IF($G$194:$AF$194&lt;=H$194,$G142:$AF142)),System_Mkt_Repl!$F355:$AE355+System_Mkt_NC!$G355:$AF355)/SUM(IF($G$194:$AF$194&gt;=ROUND(IF((H$194-Sys_Repl_Rate!H101)&lt;Tech_Specs!$C29,Tech_Specs!$C29,(H$194-Sys_Repl_Rate!H101)),0),IF($G$194:$AF$194&lt;=H$194,System_Mkt_Repl!$F355:$AE355+System_Mkt_NC!$G355:$AF355)))))</f>
        <v>0.8443721273824677</v>
      </c>
      <c r="I216" s="1179">
        <f t="array" ref="I216">IF(I$194=Misc_Inputs!$D$6,$G142,IF(SUM(IF($G$194:$AF$194&gt;=ROUND(IF((I$194-Sys_Repl_Rate!I101)&lt;Tech_Specs!$C29,Tech_Specs!$C29,(I$194-Sys_Repl_Rate!I101)),0),IF($G$194:$AF$194&lt;=I$194,System_Mkt_Repl!$F355:$AE355+System_Mkt_NC!$G355:$AF355)))=0,H216,SUMPRODUCT(IF($G$194:$AF$194&gt;=ROUND(IF((I$194-Sys_Repl_Rate!I101)&lt;Tech_Specs!$C29,Tech_Specs!$C29,(I$194-Sys_Repl_Rate!I101)),0),IF($G$194:$AF$194&lt;=I$194,$G142:$AF142)),System_Mkt_Repl!$F355:$AE355+System_Mkt_NC!$G355:$AF355)/SUM(IF($G$194:$AF$194&gt;=ROUND(IF((I$194-Sys_Repl_Rate!I101)&lt;Tech_Specs!$C29,Tech_Specs!$C29,(I$194-Sys_Repl_Rate!I101)),0),IF($G$194:$AF$194&lt;=I$194,System_Mkt_Repl!$F355:$AE355+System_Mkt_NC!$G355:$AF355)))))</f>
        <v>0.84437212738246781</v>
      </c>
      <c r="J216" s="1179">
        <f t="array" ref="J216">IF(J$194=Misc_Inputs!$D$6,$G142,IF(SUM(IF($G$194:$AF$194&gt;=ROUND(IF((J$194-Sys_Repl_Rate!J101)&lt;Tech_Specs!$C29,Tech_Specs!$C29,(J$194-Sys_Repl_Rate!J101)),0),IF($G$194:$AF$194&lt;=J$194,System_Mkt_Repl!$F355:$AE355+System_Mkt_NC!$G355:$AF355)))=0,I216,SUMPRODUCT(IF($G$194:$AF$194&gt;=ROUND(IF((J$194-Sys_Repl_Rate!J101)&lt;Tech_Specs!$C29,Tech_Specs!$C29,(J$194-Sys_Repl_Rate!J101)),0),IF($G$194:$AF$194&lt;=J$194,$G142:$AF142)),System_Mkt_Repl!$F355:$AE355+System_Mkt_NC!$G355:$AF355)/SUM(IF($G$194:$AF$194&gt;=ROUND(IF((J$194-Sys_Repl_Rate!J101)&lt;Tech_Specs!$C29,Tech_Specs!$C29,(J$194-Sys_Repl_Rate!J101)),0),IF($G$194:$AF$194&lt;=J$194,System_Mkt_Repl!$F355:$AE355+System_Mkt_NC!$G355:$AF355)))))</f>
        <v>0.84437212738246781</v>
      </c>
      <c r="K216" s="373">
        <f t="array" ref="K216">IF(K$194=Misc_Inputs!$D$6,$G142,IF(SUM(IF($G$194:$AF$194&gt;=ROUND(IF((K$194-Sys_Repl_Rate!K101)&lt;Tech_Specs!$C29,Tech_Specs!$C29,(K$194-Sys_Repl_Rate!K101)),0),IF($G$194:$AF$194&lt;=K$194,System_Mkt_Repl!$F355:$AE355+System_Mkt_NC!$G355:$AF355)))=0,J216,SUMPRODUCT(IF($G$194:$AF$194&gt;=ROUND(IF((K$194-Sys_Repl_Rate!K101)&lt;Tech_Specs!$C29,Tech_Specs!$C29,(K$194-Sys_Repl_Rate!K101)),0),IF($G$194:$AF$194&lt;=K$194,$G142:$AF142)),System_Mkt_Repl!$F355:$AE355+System_Mkt_NC!$G355:$AF355)/SUM(IF($G$194:$AF$194&gt;=ROUND(IF((K$194-Sys_Repl_Rate!K101)&lt;Tech_Specs!$C29,Tech_Specs!$C29,(K$194-Sys_Repl_Rate!K101)),0),IF($G$194:$AF$194&lt;=K$194,System_Mkt_Repl!$F355:$AE355+System_Mkt_NC!$G355:$AF355)))))</f>
        <v>0.8443721273824677</v>
      </c>
      <c r="L216" s="373">
        <f t="array" ref="L216">IF(L$194=Misc_Inputs!$D$6,$G142,IF(SUM(IF($G$194:$AF$194&gt;=ROUND(IF((L$194-Sys_Repl_Rate!L101)&lt;Tech_Specs!$C29,Tech_Specs!$C29,(L$194-Sys_Repl_Rate!L101)),0),IF($G$194:$AF$194&lt;=L$194,System_Mkt_Repl!$F355:$AE355+System_Mkt_NC!$G355:$AF355)))=0,K216,SUMPRODUCT(IF($G$194:$AF$194&gt;=ROUND(IF((L$194-Sys_Repl_Rate!L101)&lt;Tech_Specs!$C29,Tech_Specs!$C29,(L$194-Sys_Repl_Rate!L101)),0),IF($G$194:$AF$194&lt;=L$194,$G142:$AF142)),System_Mkt_Repl!$F355:$AE355+System_Mkt_NC!$G355:$AF355)/SUM(IF($G$194:$AF$194&gt;=ROUND(IF((L$194-Sys_Repl_Rate!L101)&lt;Tech_Specs!$C29,Tech_Specs!$C29,(L$194-Sys_Repl_Rate!L101)),0),IF($G$194:$AF$194&lt;=L$194,System_Mkt_Repl!$F355:$AE355+System_Mkt_NC!$G355:$AF355)))))</f>
        <v>0.84437212738246781</v>
      </c>
      <c r="M216" s="373">
        <f t="array" ref="M216">IF(M$194=Misc_Inputs!$D$6,$G142,IF(SUM(IF($G$194:$AF$194&gt;=ROUND(IF((M$194-Sys_Repl_Rate!M101)&lt;Tech_Specs!$C29,Tech_Specs!$C29,(M$194-Sys_Repl_Rate!M101)),0),IF($G$194:$AF$194&lt;=M$194,System_Mkt_Repl!$F355:$AE355+System_Mkt_NC!$G355:$AF355)))=0,L216,SUMPRODUCT(IF($G$194:$AF$194&gt;=ROUND(IF((M$194-Sys_Repl_Rate!M101)&lt;Tech_Specs!$C29,Tech_Specs!$C29,(M$194-Sys_Repl_Rate!M101)),0),IF($G$194:$AF$194&lt;=M$194,$G142:$AF142)),System_Mkt_Repl!$F355:$AE355+System_Mkt_NC!$G355:$AF355)/SUM(IF($G$194:$AF$194&gt;=ROUND(IF((M$194-Sys_Repl_Rate!M101)&lt;Tech_Specs!$C29,Tech_Specs!$C29,(M$194-Sys_Repl_Rate!M101)),0),IF($G$194:$AF$194&lt;=M$194,System_Mkt_Repl!$F355:$AE355+System_Mkt_NC!$G355:$AF355)))))</f>
        <v>0.8443721273824677</v>
      </c>
      <c r="N216" s="373">
        <f t="array" ref="N216">IF(N$194=Misc_Inputs!$D$6,$G142,IF(SUM(IF($G$194:$AF$194&gt;=ROUND(IF((N$194-Sys_Repl_Rate!N101)&lt;Tech_Specs!$C29,Tech_Specs!$C29,(N$194-Sys_Repl_Rate!N101)),0),IF($G$194:$AF$194&lt;=N$194,System_Mkt_Repl!$F355:$AE355+System_Mkt_NC!$G355:$AF355)))=0,M216,SUMPRODUCT(IF($G$194:$AF$194&gt;=ROUND(IF((N$194-Sys_Repl_Rate!N101)&lt;Tech_Specs!$C29,Tech_Specs!$C29,(N$194-Sys_Repl_Rate!N101)),0),IF($G$194:$AF$194&lt;=N$194,$G142:$AF142)),System_Mkt_Repl!$F355:$AE355+System_Mkt_NC!$G355:$AF355)/SUM(IF($G$194:$AF$194&gt;=ROUND(IF((N$194-Sys_Repl_Rate!N101)&lt;Tech_Specs!$C29,Tech_Specs!$C29,(N$194-Sys_Repl_Rate!N101)),0),IF($G$194:$AF$194&lt;=N$194,System_Mkt_Repl!$F355:$AE355+System_Mkt_NC!$G355:$AF355)))))</f>
        <v>0.8443721273824677</v>
      </c>
      <c r="O216" s="373">
        <f t="array" ref="O216">IF(O$194=Misc_Inputs!$D$6,$G142,IF(SUM(IF($G$194:$AF$194&gt;=ROUND(IF((O$194-Sys_Repl_Rate!O101)&lt;Tech_Specs!$C29,Tech_Specs!$C29,(O$194-Sys_Repl_Rate!O101)),0),IF($G$194:$AF$194&lt;=O$194,System_Mkt_Repl!$F355:$AE355+System_Mkt_NC!$G355:$AF355)))=0,N216,SUMPRODUCT(IF($G$194:$AF$194&gt;=ROUND(IF((O$194-Sys_Repl_Rate!O101)&lt;Tech_Specs!$C29,Tech_Specs!$C29,(O$194-Sys_Repl_Rate!O101)),0),IF($G$194:$AF$194&lt;=O$194,$G142:$AF142)),System_Mkt_Repl!$F355:$AE355+System_Mkt_NC!$G355:$AF355)/SUM(IF($G$194:$AF$194&gt;=ROUND(IF((O$194-Sys_Repl_Rate!O101)&lt;Tech_Specs!$C29,Tech_Specs!$C29,(O$194-Sys_Repl_Rate!O101)),0),IF($G$194:$AF$194&lt;=O$194,System_Mkt_Repl!$F355:$AE355+System_Mkt_NC!$G355:$AF355)))))</f>
        <v>0.8443721273824677</v>
      </c>
      <c r="P216" s="373">
        <f t="array" ref="P216">IF(P$194=Misc_Inputs!$D$6,$G142,IF(SUM(IF($G$194:$AF$194&gt;=ROUND(IF((P$194-Sys_Repl_Rate!P101)&lt;Tech_Specs!$C29,Tech_Specs!$C29,(P$194-Sys_Repl_Rate!P101)),0),IF($G$194:$AF$194&lt;=P$194,System_Mkt_Repl!$F355:$AE355+System_Mkt_NC!$G355:$AF355)))=0,O216,SUMPRODUCT(IF($G$194:$AF$194&gt;=ROUND(IF((P$194-Sys_Repl_Rate!P101)&lt;Tech_Specs!$C29,Tech_Specs!$C29,(P$194-Sys_Repl_Rate!P101)),0),IF($G$194:$AF$194&lt;=P$194,$G142:$AF142)),System_Mkt_Repl!$F355:$AE355+System_Mkt_NC!$G355:$AF355)/SUM(IF($G$194:$AF$194&gt;=ROUND(IF((P$194-Sys_Repl_Rate!P101)&lt;Tech_Specs!$C29,Tech_Specs!$C29,(P$194-Sys_Repl_Rate!P101)),0),IF($G$194:$AF$194&lt;=P$194,System_Mkt_Repl!$F355:$AE355+System_Mkt_NC!$G355:$AF355)))))</f>
        <v>0.8443721273824677</v>
      </c>
      <c r="Q216" s="373">
        <f t="array" ref="Q216">IF(Q$194=Misc_Inputs!$D$6,$G142,IF(SUM(IF($G$194:$AF$194&gt;=ROUND(IF((Q$194-Sys_Repl_Rate!Q101)&lt;Tech_Specs!$C29,Tech_Specs!$C29,(Q$194-Sys_Repl_Rate!Q101)),0),IF($G$194:$AF$194&lt;=Q$194,System_Mkt_Repl!$F355:$AE355+System_Mkt_NC!$G355:$AF355)))=0,P216,SUMPRODUCT(IF($G$194:$AF$194&gt;=ROUND(IF((Q$194-Sys_Repl_Rate!Q101)&lt;Tech_Specs!$C29,Tech_Specs!$C29,(Q$194-Sys_Repl_Rate!Q101)),0),IF($G$194:$AF$194&lt;=Q$194,$G142:$AF142)),System_Mkt_Repl!$F355:$AE355+System_Mkt_NC!$G355:$AF355)/SUM(IF($G$194:$AF$194&gt;=ROUND(IF((Q$194-Sys_Repl_Rate!Q101)&lt;Tech_Specs!$C29,Tech_Specs!$C29,(Q$194-Sys_Repl_Rate!Q101)),0),IF($G$194:$AF$194&lt;=Q$194,System_Mkt_Repl!$F355:$AE355+System_Mkt_NC!$G355:$AF355)))))</f>
        <v>0.84437212738246781</v>
      </c>
      <c r="R216" s="373">
        <f t="array" ref="R216">IF(R$194=Misc_Inputs!$D$6,$G142,IF(SUM(IF($G$194:$AF$194&gt;=ROUND(IF((R$194-Sys_Repl_Rate!R101)&lt;Tech_Specs!$C29,Tech_Specs!$C29,(R$194-Sys_Repl_Rate!R101)),0),IF($G$194:$AF$194&lt;=R$194,System_Mkt_Repl!$F355:$AE355+System_Mkt_NC!$G355:$AF355)))=0,Q216,SUMPRODUCT(IF($G$194:$AF$194&gt;=ROUND(IF((R$194-Sys_Repl_Rate!R101)&lt;Tech_Specs!$C29,Tech_Specs!$C29,(R$194-Sys_Repl_Rate!R101)),0),IF($G$194:$AF$194&lt;=R$194,$G142:$AF142)),System_Mkt_Repl!$F355:$AE355+System_Mkt_NC!$G355:$AF355)/SUM(IF($G$194:$AF$194&gt;=ROUND(IF((R$194-Sys_Repl_Rate!R101)&lt;Tech_Specs!$C29,Tech_Specs!$C29,(R$194-Sys_Repl_Rate!R101)),0),IF($G$194:$AF$194&lt;=R$194,System_Mkt_Repl!$F355:$AE355+System_Mkt_NC!$G355:$AF355)))))</f>
        <v>0.8443721273824677</v>
      </c>
      <c r="S216" s="373">
        <f t="array" ref="S216">IF(S$194=Misc_Inputs!$D$6,$G142,IF(SUM(IF($G$194:$AF$194&gt;=ROUND(IF((S$194-Sys_Repl_Rate!S101)&lt;Tech_Specs!$C29,Tech_Specs!$C29,(S$194-Sys_Repl_Rate!S101)),0),IF($G$194:$AF$194&lt;=S$194,System_Mkt_Repl!$F355:$AE355+System_Mkt_NC!$G355:$AF355)))=0,R216,SUMPRODUCT(IF($G$194:$AF$194&gt;=ROUND(IF((S$194-Sys_Repl_Rate!S101)&lt;Tech_Specs!$C29,Tech_Specs!$C29,(S$194-Sys_Repl_Rate!S101)),0),IF($G$194:$AF$194&lt;=S$194,$G142:$AF142)),System_Mkt_Repl!$F355:$AE355+System_Mkt_NC!$G355:$AF355)/SUM(IF($G$194:$AF$194&gt;=ROUND(IF((S$194-Sys_Repl_Rate!S101)&lt;Tech_Specs!$C29,Tech_Specs!$C29,(S$194-Sys_Repl_Rate!S101)),0),IF($G$194:$AF$194&lt;=S$194,System_Mkt_Repl!$F355:$AE355+System_Mkt_NC!$G355:$AF355)))))</f>
        <v>0.8443721273824677</v>
      </c>
      <c r="T216" s="373">
        <f t="array" ref="T216">IF(T$194=Misc_Inputs!$D$6,$G142,IF(SUM(IF($G$194:$AF$194&gt;=ROUND(IF((T$194-Sys_Repl_Rate!T101)&lt;Tech_Specs!$C29,Tech_Specs!$C29,(T$194-Sys_Repl_Rate!T101)),0),IF($G$194:$AF$194&lt;=T$194,System_Mkt_Repl!$F355:$AE355+System_Mkt_NC!$G355:$AF355)))=0,S216,SUMPRODUCT(IF($G$194:$AF$194&gt;=ROUND(IF((T$194-Sys_Repl_Rate!T101)&lt;Tech_Specs!$C29,Tech_Specs!$C29,(T$194-Sys_Repl_Rate!T101)),0),IF($G$194:$AF$194&lt;=T$194,$G142:$AF142)),System_Mkt_Repl!$F355:$AE355+System_Mkt_NC!$G355:$AF355)/SUM(IF($G$194:$AF$194&gt;=ROUND(IF((T$194-Sys_Repl_Rate!T101)&lt;Tech_Specs!$C29,Tech_Specs!$C29,(T$194-Sys_Repl_Rate!T101)),0),IF($G$194:$AF$194&lt;=T$194,System_Mkt_Repl!$F355:$AE355+System_Mkt_NC!$G355:$AF355)))))</f>
        <v>0.8443721273824677</v>
      </c>
      <c r="U216" s="373">
        <f t="array" ref="U216">IF(U$194=Misc_Inputs!$D$6,$G142,IF(SUM(IF($G$194:$AF$194&gt;=ROUND(IF((U$194-Sys_Repl_Rate!U101)&lt;Tech_Specs!$C29,Tech_Specs!$C29,(U$194-Sys_Repl_Rate!U101)),0),IF($G$194:$AF$194&lt;=U$194,System_Mkt_Repl!$F355:$AE355+System_Mkt_NC!$G355:$AF355)))=0,T216,SUMPRODUCT(IF($G$194:$AF$194&gt;=ROUND(IF((U$194-Sys_Repl_Rate!U101)&lt;Tech_Specs!$C29,Tech_Specs!$C29,(U$194-Sys_Repl_Rate!U101)),0),IF($G$194:$AF$194&lt;=U$194,$G142:$AF142)),System_Mkt_Repl!$F355:$AE355+System_Mkt_NC!$G355:$AF355)/SUM(IF($G$194:$AF$194&gt;=ROUND(IF((U$194-Sys_Repl_Rate!U101)&lt;Tech_Specs!$C29,Tech_Specs!$C29,(U$194-Sys_Repl_Rate!U101)),0),IF($G$194:$AF$194&lt;=U$194,System_Mkt_Repl!$F355:$AE355+System_Mkt_NC!$G355:$AF355)))))</f>
        <v>0.84437212738246781</v>
      </c>
      <c r="V216" s="373">
        <f t="array" ref="V216">IF(V$194=Misc_Inputs!$D$6,$G142,IF(SUM(IF($G$194:$AF$194&gt;=ROUND(IF((V$194-Sys_Repl_Rate!V101)&lt;Tech_Specs!$C29,Tech_Specs!$C29,(V$194-Sys_Repl_Rate!V101)),0),IF($G$194:$AF$194&lt;=V$194,System_Mkt_Repl!$F355:$AE355+System_Mkt_NC!$G355:$AF355)))=0,U216,SUMPRODUCT(IF($G$194:$AF$194&gt;=ROUND(IF((V$194-Sys_Repl_Rate!V101)&lt;Tech_Specs!$C29,Tech_Specs!$C29,(V$194-Sys_Repl_Rate!V101)),0),IF($G$194:$AF$194&lt;=V$194,$G142:$AF142)),System_Mkt_Repl!$F355:$AE355+System_Mkt_NC!$G355:$AF355)/SUM(IF($G$194:$AF$194&gt;=ROUND(IF((V$194-Sys_Repl_Rate!V101)&lt;Tech_Specs!$C29,Tech_Specs!$C29,(V$194-Sys_Repl_Rate!V101)),0),IF($G$194:$AF$194&lt;=V$194,System_Mkt_Repl!$F355:$AE355+System_Mkt_NC!$G355:$AF355)))))</f>
        <v>0.84437212738246781</v>
      </c>
      <c r="W216" s="373">
        <f t="array" ref="W216">IF(W$194=Misc_Inputs!$D$6,$G142,IF(SUM(IF($G$194:$AF$194&gt;=ROUND(IF((W$194-Sys_Repl_Rate!W101)&lt;Tech_Specs!$C29,Tech_Specs!$C29,(W$194-Sys_Repl_Rate!W101)),0),IF($G$194:$AF$194&lt;=W$194,System_Mkt_Repl!$F355:$AE355+System_Mkt_NC!$G355:$AF355)))=0,V216,SUMPRODUCT(IF($G$194:$AF$194&gt;=ROUND(IF((W$194-Sys_Repl_Rate!W101)&lt;Tech_Specs!$C29,Tech_Specs!$C29,(W$194-Sys_Repl_Rate!W101)),0),IF($G$194:$AF$194&lt;=W$194,$G142:$AF142)),System_Mkt_Repl!$F355:$AE355+System_Mkt_NC!$G355:$AF355)/SUM(IF($G$194:$AF$194&gt;=ROUND(IF((W$194-Sys_Repl_Rate!W101)&lt;Tech_Specs!$C29,Tech_Specs!$C29,(W$194-Sys_Repl_Rate!W101)),0),IF($G$194:$AF$194&lt;=W$194,System_Mkt_Repl!$F355:$AE355+System_Mkt_NC!$G355:$AF355)))))</f>
        <v>0.84437212738246781</v>
      </c>
      <c r="X216" s="373">
        <f t="array" ref="X216">IF(X$194=Misc_Inputs!$D$6,$G142,IF(SUM(IF($G$194:$AF$194&gt;=ROUND(IF((X$194-Sys_Repl_Rate!X101)&lt;Tech_Specs!$C29,Tech_Specs!$C29,(X$194-Sys_Repl_Rate!X101)),0),IF($G$194:$AF$194&lt;=X$194,System_Mkt_Repl!$F355:$AE355+System_Mkt_NC!$G355:$AF355)))=0,W216,SUMPRODUCT(IF($G$194:$AF$194&gt;=ROUND(IF((X$194-Sys_Repl_Rate!X101)&lt;Tech_Specs!$C29,Tech_Specs!$C29,(X$194-Sys_Repl_Rate!X101)),0),IF($G$194:$AF$194&lt;=X$194,$G142:$AF142)),System_Mkt_Repl!$F355:$AE355+System_Mkt_NC!$G355:$AF355)/SUM(IF($G$194:$AF$194&gt;=ROUND(IF((X$194-Sys_Repl_Rate!X101)&lt;Tech_Specs!$C29,Tech_Specs!$C29,(X$194-Sys_Repl_Rate!X101)),0),IF($G$194:$AF$194&lt;=X$194,System_Mkt_Repl!$F355:$AE355+System_Mkt_NC!$G355:$AF355)))))</f>
        <v>0.84437212738246781</v>
      </c>
      <c r="Y216" s="373">
        <f t="array" ref="Y216">IF(Y$194=Misc_Inputs!$D$6,$G142,IF(SUM(IF($G$194:$AF$194&gt;=ROUND(IF((Y$194-Sys_Repl_Rate!Y101)&lt;Tech_Specs!$C29,Tech_Specs!$C29,(Y$194-Sys_Repl_Rate!Y101)),0),IF($G$194:$AF$194&lt;=Y$194,System_Mkt_Repl!$F355:$AE355+System_Mkt_NC!$G355:$AF355)))=0,X216,SUMPRODUCT(IF($G$194:$AF$194&gt;=ROUND(IF((Y$194-Sys_Repl_Rate!Y101)&lt;Tech_Specs!$C29,Tech_Specs!$C29,(Y$194-Sys_Repl_Rate!Y101)),0),IF($G$194:$AF$194&lt;=Y$194,$G142:$AF142)),System_Mkt_Repl!$F355:$AE355+System_Mkt_NC!$G355:$AF355)/SUM(IF($G$194:$AF$194&gt;=ROUND(IF((Y$194-Sys_Repl_Rate!Y101)&lt;Tech_Specs!$C29,Tech_Specs!$C29,(Y$194-Sys_Repl_Rate!Y101)),0),IF($G$194:$AF$194&lt;=Y$194,System_Mkt_Repl!$F355:$AE355+System_Mkt_NC!$G355:$AF355)))))</f>
        <v>0.84437212738246781</v>
      </c>
      <c r="Z216" s="373">
        <f t="array" ref="Z216">IF(Z$194=Misc_Inputs!$D$6,$G142,IF(SUM(IF($G$194:$AF$194&gt;=ROUND(IF((Z$194-Sys_Repl_Rate!Z101)&lt;Tech_Specs!$C29,Tech_Specs!$C29,(Z$194-Sys_Repl_Rate!Z101)),0),IF($G$194:$AF$194&lt;=Z$194,System_Mkt_Repl!$F355:$AE355+System_Mkt_NC!$G355:$AF355)))=0,Y216,SUMPRODUCT(IF($G$194:$AF$194&gt;=ROUND(IF((Z$194-Sys_Repl_Rate!Z101)&lt;Tech_Specs!$C29,Tech_Specs!$C29,(Z$194-Sys_Repl_Rate!Z101)),0),IF($G$194:$AF$194&lt;=Z$194,$G142:$AF142)),System_Mkt_Repl!$F355:$AE355+System_Mkt_NC!$G355:$AF355)/SUM(IF($G$194:$AF$194&gt;=ROUND(IF((Z$194-Sys_Repl_Rate!Z101)&lt;Tech_Specs!$C29,Tech_Specs!$C29,(Z$194-Sys_Repl_Rate!Z101)),0),IF($G$194:$AF$194&lt;=Z$194,System_Mkt_Repl!$F355:$AE355+System_Mkt_NC!$G355:$AF355)))))</f>
        <v>0.84437212738246781</v>
      </c>
      <c r="AA216" s="373">
        <f t="array" ref="AA216">IF(AA$194=Misc_Inputs!$D$6,$G142,IF(SUM(IF($G$194:$AF$194&gt;=ROUND(IF((AA$194-Sys_Repl_Rate!AA101)&lt;Tech_Specs!$C29,Tech_Specs!$C29,(AA$194-Sys_Repl_Rate!AA101)),0),IF($G$194:$AF$194&lt;=AA$194,System_Mkt_Repl!$F355:$AE355+System_Mkt_NC!$G355:$AF355)))=0,Z216,SUMPRODUCT(IF($G$194:$AF$194&gt;=ROUND(IF((AA$194-Sys_Repl_Rate!AA101)&lt;Tech_Specs!$C29,Tech_Specs!$C29,(AA$194-Sys_Repl_Rate!AA101)),0),IF($G$194:$AF$194&lt;=AA$194,$G142:$AF142)),System_Mkt_Repl!$F355:$AE355+System_Mkt_NC!$G355:$AF355)/SUM(IF($G$194:$AF$194&gt;=ROUND(IF((AA$194-Sys_Repl_Rate!AA101)&lt;Tech_Specs!$C29,Tech_Specs!$C29,(AA$194-Sys_Repl_Rate!AA101)),0),IF($G$194:$AF$194&lt;=AA$194,System_Mkt_Repl!$F355:$AE355+System_Mkt_NC!$G355:$AF355)))))</f>
        <v>0.84437212738246781</v>
      </c>
      <c r="AB216" s="373">
        <f t="array" ref="AB216">IF(AB$194=Misc_Inputs!$D$6,$G142,IF(SUM(IF($G$194:$AF$194&gt;=ROUND(IF((AB$194-Sys_Repl_Rate!AB101)&lt;Tech_Specs!$C29,Tech_Specs!$C29,(AB$194-Sys_Repl_Rate!AB101)),0),IF($G$194:$AF$194&lt;=AB$194,System_Mkt_Repl!$F355:$AE355+System_Mkt_NC!$G355:$AF355)))=0,AA216,SUMPRODUCT(IF($G$194:$AF$194&gt;=ROUND(IF((AB$194-Sys_Repl_Rate!AB101)&lt;Tech_Specs!$C29,Tech_Specs!$C29,(AB$194-Sys_Repl_Rate!AB101)),0),IF($G$194:$AF$194&lt;=AB$194,$G142:$AF142)),System_Mkt_Repl!$F355:$AE355+System_Mkt_NC!$G355:$AF355)/SUM(IF($G$194:$AF$194&gt;=ROUND(IF((AB$194-Sys_Repl_Rate!AB101)&lt;Tech_Specs!$C29,Tech_Specs!$C29,(AB$194-Sys_Repl_Rate!AB101)),0),IF($G$194:$AF$194&lt;=AB$194,System_Mkt_Repl!$F355:$AE355+System_Mkt_NC!$G355:$AF355)))))</f>
        <v>0.84437212738246781</v>
      </c>
      <c r="AC216" s="373">
        <f t="array" ref="AC216">IF(AC$194=Misc_Inputs!$D$6,$G142,IF(SUM(IF($G$194:$AF$194&gt;=ROUND(IF((AC$194-Sys_Repl_Rate!AC101)&lt;Tech_Specs!$C29,Tech_Specs!$C29,(AC$194-Sys_Repl_Rate!AC101)),0),IF($G$194:$AF$194&lt;=AC$194,System_Mkt_Repl!$F355:$AE355+System_Mkt_NC!$G355:$AF355)))=0,AB216,SUMPRODUCT(IF($G$194:$AF$194&gt;=ROUND(IF((AC$194-Sys_Repl_Rate!AC101)&lt;Tech_Specs!$C29,Tech_Specs!$C29,(AC$194-Sys_Repl_Rate!AC101)),0),IF($G$194:$AF$194&lt;=AC$194,$G142:$AF142)),System_Mkt_Repl!$F355:$AE355+System_Mkt_NC!$G355:$AF355)/SUM(IF($G$194:$AF$194&gt;=ROUND(IF((AC$194-Sys_Repl_Rate!AC101)&lt;Tech_Specs!$C29,Tech_Specs!$C29,(AC$194-Sys_Repl_Rate!AC101)),0),IF($G$194:$AF$194&lt;=AC$194,System_Mkt_Repl!$F355:$AE355+System_Mkt_NC!$G355:$AF355)))))</f>
        <v>0.84437212738246781</v>
      </c>
      <c r="AD216" s="373">
        <f t="array" ref="AD216">IF(AD$194=Misc_Inputs!$D$6,$G142,IF(SUM(IF($G$194:$AF$194&gt;=ROUND(IF((AD$194-Sys_Repl_Rate!AD101)&lt;Tech_Specs!$C29,Tech_Specs!$C29,(AD$194-Sys_Repl_Rate!AD101)),0),IF($G$194:$AF$194&lt;=AD$194,System_Mkt_Repl!$F355:$AE355+System_Mkt_NC!$G355:$AF355)))=0,AC216,SUMPRODUCT(IF($G$194:$AF$194&gt;=ROUND(IF((AD$194-Sys_Repl_Rate!AD101)&lt;Tech_Specs!$C29,Tech_Specs!$C29,(AD$194-Sys_Repl_Rate!AD101)),0),IF($G$194:$AF$194&lt;=AD$194,$G142:$AF142)),System_Mkt_Repl!$F355:$AE355+System_Mkt_NC!$G355:$AF355)/SUM(IF($G$194:$AF$194&gt;=ROUND(IF((AD$194-Sys_Repl_Rate!AD101)&lt;Tech_Specs!$C29,Tech_Specs!$C29,(AD$194-Sys_Repl_Rate!AD101)),0),IF($G$194:$AF$194&lt;=AD$194,System_Mkt_Repl!$F355:$AE355+System_Mkt_NC!$G355:$AF355)))))</f>
        <v>0.84437212738246792</v>
      </c>
      <c r="AE216" s="373">
        <f t="array" ref="AE216">IF(AE$194=Misc_Inputs!$D$6,$G142,IF(SUM(IF($G$194:$AF$194&gt;=ROUND(IF((AE$194-Sys_Repl_Rate!AE101)&lt;Tech_Specs!$C29,Tech_Specs!$C29,(AE$194-Sys_Repl_Rate!AE101)),0),IF($G$194:$AF$194&lt;=AE$194,System_Mkt_Repl!$F355:$AE355+System_Mkt_NC!$G355:$AF355)))=0,AD216,SUMPRODUCT(IF($G$194:$AF$194&gt;=ROUND(IF((AE$194-Sys_Repl_Rate!AE101)&lt;Tech_Specs!$C29,Tech_Specs!$C29,(AE$194-Sys_Repl_Rate!AE101)),0),IF($G$194:$AF$194&lt;=AE$194,$G142:$AF142)),System_Mkt_Repl!$F355:$AE355+System_Mkt_NC!$G355:$AF355)/SUM(IF($G$194:$AF$194&gt;=ROUND(IF((AE$194-Sys_Repl_Rate!AE101)&lt;Tech_Specs!$C29,Tech_Specs!$C29,(AE$194-Sys_Repl_Rate!AE101)),0),IF($G$194:$AF$194&lt;=AE$194,System_Mkt_Repl!$F355:$AE355+System_Mkt_NC!$G355:$AF355)))))</f>
        <v>0.84437212738246781</v>
      </c>
      <c r="AF216" s="373">
        <f t="array" ref="AF216">IF(AF$194=Misc_Inputs!$D$6,$G142,IF(SUM(IF($G$194:$AF$194&gt;=ROUND(IF((AF$194-Sys_Repl_Rate!AF101)&lt;Tech_Specs!$C29,Tech_Specs!$C29,(AF$194-Sys_Repl_Rate!AF101)),0),IF($G$194:$AF$194&lt;=AF$194,System_Mkt_Repl!$F355:$AE355+System_Mkt_NC!$G355:$AF355)))=0,AE216,SUMPRODUCT(IF($G$194:$AF$194&gt;=ROUND(IF((AF$194-Sys_Repl_Rate!AF101)&lt;Tech_Specs!$C29,Tech_Specs!$C29,(AF$194-Sys_Repl_Rate!AF101)),0),IF($G$194:$AF$194&lt;=AF$194,$G142:$AF142)),System_Mkt_Repl!$F355:$AE355+System_Mkt_NC!$G355:$AF355)/SUM(IF($G$194:$AF$194&gt;=ROUND(IF((AF$194-Sys_Repl_Rate!AF101)&lt;Tech_Specs!$C29,Tech_Specs!$C29,(AF$194-Sys_Repl_Rate!AF101)),0),IF($G$194:$AF$194&lt;=AF$194,System_Mkt_Repl!$F355:$AE355+System_Mkt_NC!$G355:$AF355)))))</f>
        <v>0.8443721273824677</v>
      </c>
    </row>
    <row r="217" spans="1:32" s="282" customFormat="1" ht="12.75" x14ac:dyDescent="0.2">
      <c r="A217" s="278"/>
      <c r="B217" s="282" t="s">
        <v>46</v>
      </c>
      <c r="C217" s="278"/>
      <c r="D217" s="550"/>
      <c r="E217" s="550"/>
      <c r="F217" s="550"/>
      <c r="G217" s="1179">
        <f t="array" ref="G217">IF(G$194=Misc_Inputs!$D$6,$G143,IF(SUM(IF($G$194:$AF$194&gt;=ROUND(IF((G$194-Sys_Repl_Rate!G102)&lt;Tech_Specs!$C30,Tech_Specs!$C30,(G$194-Sys_Repl_Rate!G102)),0),IF($G$194:$AF$194&lt;=G$194,System_Mkt_Repl!$F356:$AE356+System_Mkt_NC!$G356:$AF356)))=0,C217,SUMPRODUCT(IF($G$194:$AF$194&gt;=ROUND(IF((G$194-Sys_Repl_Rate!G102)&lt;Tech_Specs!$C30,Tech_Specs!$C30,(G$194-Sys_Repl_Rate!G102)),0),IF($G$194:$AF$194&lt;=G$194,$G143:$AF143)),System_Mkt_Repl!$F356:$AE356+System_Mkt_NC!$G356:$AF356)/SUM(IF($G$194:$AF$194&gt;=ROUND(IF((G$194-Sys_Repl_Rate!G102)&lt;Tech_Specs!$C30,Tech_Specs!$C30,(G$194-Sys_Repl_Rate!G102)),0),IF($G$194:$AF$194&lt;=G$194,System_Mkt_Repl!$F356:$AE356+System_Mkt_NC!$G356:$AF356)))))</f>
        <v>0.74268392264446903</v>
      </c>
      <c r="H217" s="1179">
        <f t="array" ref="H217">IF(H$194=Misc_Inputs!$D$6,$G143,IF(SUM(IF($G$194:$AF$194&gt;=ROUND(IF((H$194-Sys_Repl_Rate!H102)&lt;Tech_Specs!$C30,Tech_Specs!$C30,(H$194-Sys_Repl_Rate!H102)),0),IF($G$194:$AF$194&lt;=H$194,System_Mkt_Repl!$F356:$AE356+System_Mkt_NC!$G356:$AF356)))=0,G217,SUMPRODUCT(IF($G$194:$AF$194&gt;=ROUND(IF((H$194-Sys_Repl_Rate!H102)&lt;Tech_Specs!$C30,Tech_Specs!$C30,(H$194-Sys_Repl_Rate!H102)),0),IF($G$194:$AF$194&lt;=H$194,$G143:$AF143)),System_Mkt_Repl!$F356:$AE356+System_Mkt_NC!$G356:$AF356)/SUM(IF($G$194:$AF$194&gt;=ROUND(IF((H$194-Sys_Repl_Rate!H102)&lt;Tech_Specs!$C30,Tech_Specs!$C30,(H$194-Sys_Repl_Rate!H102)),0),IF($G$194:$AF$194&lt;=H$194,System_Mkt_Repl!$F356:$AE356+System_Mkt_NC!$G356:$AF356)))))</f>
        <v>0.74268392264446903</v>
      </c>
      <c r="I217" s="1179">
        <f t="array" ref="I217">IF(I$194=Misc_Inputs!$D$6,$G143,IF(SUM(IF($G$194:$AF$194&gt;=ROUND(IF((I$194-Sys_Repl_Rate!I102)&lt;Tech_Specs!$C30,Tech_Specs!$C30,(I$194-Sys_Repl_Rate!I102)),0),IF($G$194:$AF$194&lt;=I$194,System_Mkt_Repl!$F356:$AE356+System_Mkt_NC!$G356:$AF356)))=0,H217,SUMPRODUCT(IF($G$194:$AF$194&gt;=ROUND(IF((I$194-Sys_Repl_Rate!I102)&lt;Tech_Specs!$C30,Tech_Specs!$C30,(I$194-Sys_Repl_Rate!I102)),0),IF($G$194:$AF$194&lt;=I$194,$G143:$AF143)),System_Mkt_Repl!$F356:$AE356+System_Mkt_NC!$G356:$AF356)/SUM(IF($G$194:$AF$194&gt;=ROUND(IF((I$194-Sys_Repl_Rate!I102)&lt;Tech_Specs!$C30,Tech_Specs!$C30,(I$194-Sys_Repl_Rate!I102)),0),IF($G$194:$AF$194&lt;=I$194,System_Mkt_Repl!$F356:$AE356+System_Mkt_NC!$G356:$AF356)))))</f>
        <v>0.74268392264446903</v>
      </c>
      <c r="J217" s="1179">
        <f t="array" ref="J217">IF(J$194=Misc_Inputs!$D$6,$G143,IF(SUM(IF($G$194:$AF$194&gt;=ROUND(IF((J$194-Sys_Repl_Rate!J102)&lt;Tech_Specs!$C30,Tech_Specs!$C30,(J$194-Sys_Repl_Rate!J102)),0),IF($G$194:$AF$194&lt;=J$194,System_Mkt_Repl!$F356:$AE356+System_Mkt_NC!$G356:$AF356)))=0,I217,SUMPRODUCT(IF($G$194:$AF$194&gt;=ROUND(IF((J$194-Sys_Repl_Rate!J102)&lt;Tech_Specs!$C30,Tech_Specs!$C30,(J$194-Sys_Repl_Rate!J102)),0),IF($G$194:$AF$194&lt;=J$194,$G143:$AF143)),System_Mkt_Repl!$F356:$AE356+System_Mkt_NC!$G356:$AF356)/SUM(IF($G$194:$AF$194&gt;=ROUND(IF((J$194-Sys_Repl_Rate!J102)&lt;Tech_Specs!$C30,Tech_Specs!$C30,(J$194-Sys_Repl_Rate!J102)),0),IF($G$194:$AF$194&lt;=J$194,System_Mkt_Repl!$F356:$AE356+System_Mkt_NC!$G356:$AF356)))))</f>
        <v>0.74268392264446903</v>
      </c>
      <c r="K217" s="373">
        <f t="array" ref="K217">IF(K$194=Misc_Inputs!$D$6,$G143,IF(SUM(IF($G$194:$AF$194&gt;=ROUND(IF((K$194-Sys_Repl_Rate!K102)&lt;Tech_Specs!$C30,Tech_Specs!$C30,(K$194-Sys_Repl_Rate!K102)),0),IF($G$194:$AF$194&lt;=K$194,System_Mkt_Repl!$F356:$AE356+System_Mkt_NC!$G356:$AF356)))=0,J217,SUMPRODUCT(IF($G$194:$AF$194&gt;=ROUND(IF((K$194-Sys_Repl_Rate!K102)&lt;Tech_Specs!$C30,Tech_Specs!$C30,(K$194-Sys_Repl_Rate!K102)),0),IF($G$194:$AF$194&lt;=K$194,$G143:$AF143)),System_Mkt_Repl!$F356:$AE356+System_Mkt_NC!$G356:$AF356)/SUM(IF($G$194:$AF$194&gt;=ROUND(IF((K$194-Sys_Repl_Rate!K102)&lt;Tech_Specs!$C30,Tech_Specs!$C30,(K$194-Sys_Repl_Rate!K102)),0),IF($G$194:$AF$194&lt;=K$194,System_Mkt_Repl!$F356:$AE356+System_Mkt_NC!$G356:$AF356)))))</f>
        <v>0.74268392264446903</v>
      </c>
      <c r="L217" s="373">
        <f t="array" ref="L217">IF(L$194=Misc_Inputs!$D$6,$G143,IF(SUM(IF($G$194:$AF$194&gt;=ROUND(IF((L$194-Sys_Repl_Rate!L102)&lt;Tech_Specs!$C30,Tech_Specs!$C30,(L$194-Sys_Repl_Rate!L102)),0),IF($G$194:$AF$194&lt;=L$194,System_Mkt_Repl!$F356:$AE356+System_Mkt_NC!$G356:$AF356)))=0,K217,SUMPRODUCT(IF($G$194:$AF$194&gt;=ROUND(IF((L$194-Sys_Repl_Rate!L102)&lt;Tech_Specs!$C30,Tech_Specs!$C30,(L$194-Sys_Repl_Rate!L102)),0),IF($G$194:$AF$194&lt;=L$194,$G143:$AF143)),System_Mkt_Repl!$F356:$AE356+System_Mkt_NC!$G356:$AF356)/SUM(IF($G$194:$AF$194&gt;=ROUND(IF((L$194-Sys_Repl_Rate!L102)&lt;Tech_Specs!$C30,Tech_Specs!$C30,(L$194-Sys_Repl_Rate!L102)),0),IF($G$194:$AF$194&lt;=L$194,System_Mkt_Repl!$F356:$AE356+System_Mkt_NC!$G356:$AF356)))))</f>
        <v>0.74268392264446903</v>
      </c>
      <c r="M217" s="373">
        <f t="array" ref="M217">IF(M$194=Misc_Inputs!$D$6,$G143,IF(SUM(IF($G$194:$AF$194&gt;=ROUND(IF((M$194-Sys_Repl_Rate!M102)&lt;Tech_Specs!$C30,Tech_Specs!$C30,(M$194-Sys_Repl_Rate!M102)),0),IF($G$194:$AF$194&lt;=M$194,System_Mkt_Repl!$F356:$AE356+System_Mkt_NC!$G356:$AF356)))=0,L217,SUMPRODUCT(IF($G$194:$AF$194&gt;=ROUND(IF((M$194-Sys_Repl_Rate!M102)&lt;Tech_Specs!$C30,Tech_Specs!$C30,(M$194-Sys_Repl_Rate!M102)),0),IF($G$194:$AF$194&lt;=M$194,$G143:$AF143)),System_Mkt_Repl!$F356:$AE356+System_Mkt_NC!$G356:$AF356)/SUM(IF($G$194:$AF$194&gt;=ROUND(IF((M$194-Sys_Repl_Rate!M102)&lt;Tech_Specs!$C30,Tech_Specs!$C30,(M$194-Sys_Repl_Rate!M102)),0),IF($G$194:$AF$194&lt;=M$194,System_Mkt_Repl!$F356:$AE356+System_Mkt_NC!$G356:$AF356)))))</f>
        <v>0.74268392264446903</v>
      </c>
      <c r="N217" s="373">
        <f t="array" ref="N217">IF(N$194=Misc_Inputs!$D$6,$G143,IF(SUM(IF($G$194:$AF$194&gt;=ROUND(IF((N$194-Sys_Repl_Rate!N102)&lt;Tech_Specs!$C30,Tech_Specs!$C30,(N$194-Sys_Repl_Rate!N102)),0),IF($G$194:$AF$194&lt;=N$194,System_Mkt_Repl!$F356:$AE356+System_Mkt_NC!$G356:$AF356)))=0,M217,SUMPRODUCT(IF($G$194:$AF$194&gt;=ROUND(IF((N$194-Sys_Repl_Rate!N102)&lt;Tech_Specs!$C30,Tech_Specs!$C30,(N$194-Sys_Repl_Rate!N102)),0),IF($G$194:$AF$194&lt;=N$194,$G143:$AF143)),System_Mkt_Repl!$F356:$AE356+System_Mkt_NC!$G356:$AF356)/SUM(IF($G$194:$AF$194&gt;=ROUND(IF((N$194-Sys_Repl_Rate!N102)&lt;Tech_Specs!$C30,Tech_Specs!$C30,(N$194-Sys_Repl_Rate!N102)),0),IF($G$194:$AF$194&lt;=N$194,System_Mkt_Repl!$F356:$AE356+System_Mkt_NC!$G356:$AF356)))))</f>
        <v>0.74268392264446903</v>
      </c>
      <c r="O217" s="373">
        <f t="array" ref="O217">IF(O$194=Misc_Inputs!$D$6,$G143,IF(SUM(IF($G$194:$AF$194&gt;=ROUND(IF((O$194-Sys_Repl_Rate!O102)&lt;Tech_Specs!$C30,Tech_Specs!$C30,(O$194-Sys_Repl_Rate!O102)),0),IF($G$194:$AF$194&lt;=O$194,System_Mkt_Repl!$F356:$AE356+System_Mkt_NC!$G356:$AF356)))=0,N217,SUMPRODUCT(IF($G$194:$AF$194&gt;=ROUND(IF((O$194-Sys_Repl_Rate!O102)&lt;Tech_Specs!$C30,Tech_Specs!$C30,(O$194-Sys_Repl_Rate!O102)),0),IF($G$194:$AF$194&lt;=O$194,$G143:$AF143)),System_Mkt_Repl!$F356:$AE356+System_Mkt_NC!$G356:$AF356)/SUM(IF($G$194:$AF$194&gt;=ROUND(IF((O$194-Sys_Repl_Rate!O102)&lt;Tech_Specs!$C30,Tech_Specs!$C30,(O$194-Sys_Repl_Rate!O102)),0),IF($G$194:$AF$194&lt;=O$194,System_Mkt_Repl!$F356:$AE356+System_Mkt_NC!$G356:$AF356)))))</f>
        <v>0.74268392264446903</v>
      </c>
      <c r="P217" s="373">
        <f t="array" ref="P217">IF(P$194=Misc_Inputs!$D$6,$G143,IF(SUM(IF($G$194:$AF$194&gt;=ROUND(IF((P$194-Sys_Repl_Rate!P102)&lt;Tech_Specs!$C30,Tech_Specs!$C30,(P$194-Sys_Repl_Rate!P102)),0),IF($G$194:$AF$194&lt;=P$194,System_Mkt_Repl!$F356:$AE356+System_Mkt_NC!$G356:$AF356)))=0,O217,SUMPRODUCT(IF($G$194:$AF$194&gt;=ROUND(IF((P$194-Sys_Repl_Rate!P102)&lt;Tech_Specs!$C30,Tech_Specs!$C30,(P$194-Sys_Repl_Rate!P102)),0),IF($G$194:$AF$194&lt;=P$194,$G143:$AF143)),System_Mkt_Repl!$F356:$AE356+System_Mkt_NC!$G356:$AF356)/SUM(IF($G$194:$AF$194&gt;=ROUND(IF((P$194-Sys_Repl_Rate!P102)&lt;Tech_Specs!$C30,Tech_Specs!$C30,(P$194-Sys_Repl_Rate!P102)),0),IF($G$194:$AF$194&lt;=P$194,System_Mkt_Repl!$F356:$AE356+System_Mkt_NC!$G356:$AF356)))))</f>
        <v>0.74268392264446903</v>
      </c>
      <c r="Q217" s="373">
        <f t="array" ref="Q217">IF(Q$194=Misc_Inputs!$D$6,$G143,IF(SUM(IF($G$194:$AF$194&gt;=ROUND(IF((Q$194-Sys_Repl_Rate!Q102)&lt;Tech_Specs!$C30,Tech_Specs!$C30,(Q$194-Sys_Repl_Rate!Q102)),0),IF($G$194:$AF$194&lt;=Q$194,System_Mkt_Repl!$F356:$AE356+System_Mkt_NC!$G356:$AF356)))=0,P217,SUMPRODUCT(IF($G$194:$AF$194&gt;=ROUND(IF((Q$194-Sys_Repl_Rate!Q102)&lt;Tech_Specs!$C30,Tech_Specs!$C30,(Q$194-Sys_Repl_Rate!Q102)),0),IF($G$194:$AF$194&lt;=Q$194,$G143:$AF143)),System_Mkt_Repl!$F356:$AE356+System_Mkt_NC!$G356:$AF356)/SUM(IF($G$194:$AF$194&gt;=ROUND(IF((Q$194-Sys_Repl_Rate!Q102)&lt;Tech_Specs!$C30,Tech_Specs!$C30,(Q$194-Sys_Repl_Rate!Q102)),0),IF($G$194:$AF$194&lt;=Q$194,System_Mkt_Repl!$F356:$AE356+System_Mkt_NC!$G356:$AF356)))))</f>
        <v>0.74268392264446903</v>
      </c>
      <c r="R217" s="373">
        <f t="array" ref="R217">IF(R$194=Misc_Inputs!$D$6,$G143,IF(SUM(IF($G$194:$AF$194&gt;=ROUND(IF((R$194-Sys_Repl_Rate!R102)&lt;Tech_Specs!$C30,Tech_Specs!$C30,(R$194-Sys_Repl_Rate!R102)),0),IF($G$194:$AF$194&lt;=R$194,System_Mkt_Repl!$F356:$AE356+System_Mkt_NC!$G356:$AF356)))=0,Q217,SUMPRODUCT(IF($G$194:$AF$194&gt;=ROUND(IF((R$194-Sys_Repl_Rate!R102)&lt;Tech_Specs!$C30,Tech_Specs!$C30,(R$194-Sys_Repl_Rate!R102)),0),IF($G$194:$AF$194&lt;=R$194,$G143:$AF143)),System_Mkt_Repl!$F356:$AE356+System_Mkt_NC!$G356:$AF356)/SUM(IF($G$194:$AF$194&gt;=ROUND(IF((R$194-Sys_Repl_Rate!R102)&lt;Tech_Specs!$C30,Tech_Specs!$C30,(R$194-Sys_Repl_Rate!R102)),0),IF($G$194:$AF$194&lt;=R$194,System_Mkt_Repl!$F356:$AE356+System_Mkt_NC!$G356:$AF356)))))</f>
        <v>0.74268392264446903</v>
      </c>
      <c r="S217" s="373">
        <f t="array" ref="S217">IF(S$194=Misc_Inputs!$D$6,$G143,IF(SUM(IF($G$194:$AF$194&gt;=ROUND(IF((S$194-Sys_Repl_Rate!S102)&lt;Tech_Specs!$C30,Tech_Specs!$C30,(S$194-Sys_Repl_Rate!S102)),0),IF($G$194:$AF$194&lt;=S$194,System_Mkt_Repl!$F356:$AE356+System_Mkt_NC!$G356:$AF356)))=0,R217,SUMPRODUCT(IF($G$194:$AF$194&gt;=ROUND(IF((S$194-Sys_Repl_Rate!S102)&lt;Tech_Specs!$C30,Tech_Specs!$C30,(S$194-Sys_Repl_Rate!S102)),0),IF($G$194:$AF$194&lt;=S$194,$G143:$AF143)),System_Mkt_Repl!$F356:$AE356+System_Mkt_NC!$G356:$AF356)/SUM(IF($G$194:$AF$194&gt;=ROUND(IF((S$194-Sys_Repl_Rate!S102)&lt;Tech_Specs!$C30,Tech_Specs!$C30,(S$194-Sys_Repl_Rate!S102)),0),IF($G$194:$AF$194&lt;=S$194,System_Mkt_Repl!$F356:$AE356+System_Mkt_NC!$G356:$AF356)))))</f>
        <v>0.74268392264446903</v>
      </c>
      <c r="T217" s="373">
        <f t="array" ref="T217">IF(T$194=Misc_Inputs!$D$6,$G143,IF(SUM(IF($G$194:$AF$194&gt;=ROUND(IF((T$194-Sys_Repl_Rate!T102)&lt;Tech_Specs!$C30,Tech_Specs!$C30,(T$194-Sys_Repl_Rate!T102)),0),IF($G$194:$AF$194&lt;=T$194,System_Mkt_Repl!$F356:$AE356+System_Mkt_NC!$G356:$AF356)))=0,S217,SUMPRODUCT(IF($G$194:$AF$194&gt;=ROUND(IF((T$194-Sys_Repl_Rate!T102)&lt;Tech_Specs!$C30,Tech_Specs!$C30,(T$194-Sys_Repl_Rate!T102)),0),IF($G$194:$AF$194&lt;=T$194,$G143:$AF143)),System_Mkt_Repl!$F356:$AE356+System_Mkt_NC!$G356:$AF356)/SUM(IF($G$194:$AF$194&gt;=ROUND(IF((T$194-Sys_Repl_Rate!T102)&lt;Tech_Specs!$C30,Tech_Specs!$C30,(T$194-Sys_Repl_Rate!T102)),0),IF($G$194:$AF$194&lt;=T$194,System_Mkt_Repl!$F356:$AE356+System_Mkt_NC!$G356:$AF356)))))</f>
        <v>0.74268392264446903</v>
      </c>
      <c r="U217" s="373">
        <f t="array" ref="U217">IF(U$194=Misc_Inputs!$D$6,$G143,IF(SUM(IF($G$194:$AF$194&gt;=ROUND(IF((U$194-Sys_Repl_Rate!U102)&lt;Tech_Specs!$C30,Tech_Specs!$C30,(U$194-Sys_Repl_Rate!U102)),0),IF($G$194:$AF$194&lt;=U$194,System_Mkt_Repl!$F356:$AE356+System_Mkt_NC!$G356:$AF356)))=0,T217,SUMPRODUCT(IF($G$194:$AF$194&gt;=ROUND(IF((U$194-Sys_Repl_Rate!U102)&lt;Tech_Specs!$C30,Tech_Specs!$C30,(U$194-Sys_Repl_Rate!U102)),0),IF($G$194:$AF$194&lt;=U$194,$G143:$AF143)),System_Mkt_Repl!$F356:$AE356+System_Mkt_NC!$G356:$AF356)/SUM(IF($G$194:$AF$194&gt;=ROUND(IF((U$194-Sys_Repl_Rate!U102)&lt;Tech_Specs!$C30,Tech_Specs!$C30,(U$194-Sys_Repl_Rate!U102)),0),IF($G$194:$AF$194&lt;=U$194,System_Mkt_Repl!$F356:$AE356+System_Mkt_NC!$G356:$AF356)))))</f>
        <v>0.74268392264446903</v>
      </c>
      <c r="V217" s="373">
        <f t="array" ref="V217">IF(V$194=Misc_Inputs!$D$6,$G143,IF(SUM(IF($G$194:$AF$194&gt;=ROUND(IF((V$194-Sys_Repl_Rate!V102)&lt;Tech_Specs!$C30,Tech_Specs!$C30,(V$194-Sys_Repl_Rate!V102)),0),IF($G$194:$AF$194&lt;=V$194,System_Mkt_Repl!$F356:$AE356+System_Mkt_NC!$G356:$AF356)))=0,U217,SUMPRODUCT(IF($G$194:$AF$194&gt;=ROUND(IF((V$194-Sys_Repl_Rate!V102)&lt;Tech_Specs!$C30,Tech_Specs!$C30,(V$194-Sys_Repl_Rate!V102)),0),IF($G$194:$AF$194&lt;=V$194,$G143:$AF143)),System_Mkt_Repl!$F356:$AE356+System_Mkt_NC!$G356:$AF356)/SUM(IF($G$194:$AF$194&gt;=ROUND(IF((V$194-Sys_Repl_Rate!V102)&lt;Tech_Specs!$C30,Tech_Specs!$C30,(V$194-Sys_Repl_Rate!V102)),0),IF($G$194:$AF$194&lt;=V$194,System_Mkt_Repl!$F356:$AE356+System_Mkt_NC!$G356:$AF356)))))</f>
        <v>0.74268392264446903</v>
      </c>
      <c r="W217" s="373">
        <f t="array" ref="W217">IF(W$194=Misc_Inputs!$D$6,$G143,IF(SUM(IF($G$194:$AF$194&gt;=ROUND(IF((W$194-Sys_Repl_Rate!W102)&lt;Tech_Specs!$C30,Tech_Specs!$C30,(W$194-Sys_Repl_Rate!W102)),0),IF($G$194:$AF$194&lt;=W$194,System_Mkt_Repl!$F356:$AE356+System_Mkt_NC!$G356:$AF356)))=0,V217,SUMPRODUCT(IF($G$194:$AF$194&gt;=ROUND(IF((W$194-Sys_Repl_Rate!W102)&lt;Tech_Specs!$C30,Tech_Specs!$C30,(W$194-Sys_Repl_Rate!W102)),0),IF($G$194:$AF$194&lt;=W$194,$G143:$AF143)),System_Mkt_Repl!$F356:$AE356+System_Mkt_NC!$G356:$AF356)/SUM(IF($G$194:$AF$194&gt;=ROUND(IF((W$194-Sys_Repl_Rate!W102)&lt;Tech_Specs!$C30,Tech_Specs!$C30,(W$194-Sys_Repl_Rate!W102)),0),IF($G$194:$AF$194&lt;=W$194,System_Mkt_Repl!$F356:$AE356+System_Mkt_NC!$G356:$AF356)))))</f>
        <v>0.74268392264446903</v>
      </c>
      <c r="X217" s="373">
        <f t="array" ref="X217">IF(X$194=Misc_Inputs!$D$6,$G143,IF(SUM(IF($G$194:$AF$194&gt;=ROUND(IF((X$194-Sys_Repl_Rate!X102)&lt;Tech_Specs!$C30,Tech_Specs!$C30,(X$194-Sys_Repl_Rate!X102)),0),IF($G$194:$AF$194&lt;=X$194,System_Mkt_Repl!$F356:$AE356+System_Mkt_NC!$G356:$AF356)))=0,W217,SUMPRODUCT(IF($G$194:$AF$194&gt;=ROUND(IF((X$194-Sys_Repl_Rate!X102)&lt;Tech_Specs!$C30,Tech_Specs!$C30,(X$194-Sys_Repl_Rate!X102)),0),IF($G$194:$AF$194&lt;=X$194,$G143:$AF143)),System_Mkt_Repl!$F356:$AE356+System_Mkt_NC!$G356:$AF356)/SUM(IF($G$194:$AF$194&gt;=ROUND(IF((X$194-Sys_Repl_Rate!X102)&lt;Tech_Specs!$C30,Tech_Specs!$C30,(X$194-Sys_Repl_Rate!X102)),0),IF($G$194:$AF$194&lt;=X$194,System_Mkt_Repl!$F356:$AE356+System_Mkt_NC!$G356:$AF356)))))</f>
        <v>0.74268392264446903</v>
      </c>
      <c r="Y217" s="373">
        <f t="array" ref="Y217">IF(Y$194=Misc_Inputs!$D$6,$G143,IF(SUM(IF($G$194:$AF$194&gt;=ROUND(IF((Y$194-Sys_Repl_Rate!Y102)&lt;Tech_Specs!$C30,Tech_Specs!$C30,(Y$194-Sys_Repl_Rate!Y102)),0),IF($G$194:$AF$194&lt;=Y$194,System_Mkt_Repl!$F356:$AE356+System_Mkt_NC!$G356:$AF356)))=0,X217,SUMPRODUCT(IF($G$194:$AF$194&gt;=ROUND(IF((Y$194-Sys_Repl_Rate!Y102)&lt;Tech_Specs!$C30,Tech_Specs!$C30,(Y$194-Sys_Repl_Rate!Y102)),0),IF($G$194:$AF$194&lt;=Y$194,$G143:$AF143)),System_Mkt_Repl!$F356:$AE356+System_Mkt_NC!$G356:$AF356)/SUM(IF($G$194:$AF$194&gt;=ROUND(IF((Y$194-Sys_Repl_Rate!Y102)&lt;Tech_Specs!$C30,Tech_Specs!$C30,(Y$194-Sys_Repl_Rate!Y102)),0),IF($G$194:$AF$194&lt;=Y$194,System_Mkt_Repl!$F356:$AE356+System_Mkt_NC!$G356:$AF356)))))</f>
        <v>0.74268392264446903</v>
      </c>
      <c r="Z217" s="373">
        <f t="array" ref="Z217">IF(Z$194=Misc_Inputs!$D$6,$G143,IF(SUM(IF($G$194:$AF$194&gt;=ROUND(IF((Z$194-Sys_Repl_Rate!Z102)&lt;Tech_Specs!$C30,Tech_Specs!$C30,(Z$194-Sys_Repl_Rate!Z102)),0),IF($G$194:$AF$194&lt;=Z$194,System_Mkt_Repl!$F356:$AE356+System_Mkt_NC!$G356:$AF356)))=0,Y217,SUMPRODUCT(IF($G$194:$AF$194&gt;=ROUND(IF((Z$194-Sys_Repl_Rate!Z102)&lt;Tech_Specs!$C30,Tech_Specs!$C30,(Z$194-Sys_Repl_Rate!Z102)),0),IF($G$194:$AF$194&lt;=Z$194,$G143:$AF143)),System_Mkt_Repl!$F356:$AE356+System_Mkt_NC!$G356:$AF356)/SUM(IF($G$194:$AF$194&gt;=ROUND(IF((Z$194-Sys_Repl_Rate!Z102)&lt;Tech_Specs!$C30,Tech_Specs!$C30,(Z$194-Sys_Repl_Rate!Z102)),0),IF($G$194:$AF$194&lt;=Z$194,System_Mkt_Repl!$F356:$AE356+System_Mkt_NC!$G356:$AF356)))))</f>
        <v>0.74268392264446903</v>
      </c>
      <c r="AA217" s="373">
        <f t="array" ref="AA217">IF(AA$194=Misc_Inputs!$D$6,$G143,IF(SUM(IF($G$194:$AF$194&gt;=ROUND(IF((AA$194-Sys_Repl_Rate!AA102)&lt;Tech_Specs!$C30,Tech_Specs!$C30,(AA$194-Sys_Repl_Rate!AA102)),0),IF($G$194:$AF$194&lt;=AA$194,System_Mkt_Repl!$F356:$AE356+System_Mkt_NC!$G356:$AF356)))=0,Z217,SUMPRODUCT(IF($G$194:$AF$194&gt;=ROUND(IF((AA$194-Sys_Repl_Rate!AA102)&lt;Tech_Specs!$C30,Tech_Specs!$C30,(AA$194-Sys_Repl_Rate!AA102)),0),IF($G$194:$AF$194&lt;=AA$194,$G143:$AF143)),System_Mkt_Repl!$F356:$AE356+System_Mkt_NC!$G356:$AF356)/SUM(IF($G$194:$AF$194&gt;=ROUND(IF((AA$194-Sys_Repl_Rate!AA102)&lt;Tech_Specs!$C30,Tech_Specs!$C30,(AA$194-Sys_Repl_Rate!AA102)),0),IF($G$194:$AF$194&lt;=AA$194,System_Mkt_Repl!$F356:$AE356+System_Mkt_NC!$G356:$AF356)))))</f>
        <v>0.74268392264446903</v>
      </c>
      <c r="AB217" s="373">
        <f t="array" ref="AB217">IF(AB$194=Misc_Inputs!$D$6,$G143,IF(SUM(IF($G$194:$AF$194&gt;=ROUND(IF((AB$194-Sys_Repl_Rate!AB102)&lt;Tech_Specs!$C30,Tech_Specs!$C30,(AB$194-Sys_Repl_Rate!AB102)),0),IF($G$194:$AF$194&lt;=AB$194,System_Mkt_Repl!$F356:$AE356+System_Mkt_NC!$G356:$AF356)))=0,AA217,SUMPRODUCT(IF($G$194:$AF$194&gt;=ROUND(IF((AB$194-Sys_Repl_Rate!AB102)&lt;Tech_Specs!$C30,Tech_Specs!$C30,(AB$194-Sys_Repl_Rate!AB102)),0),IF($G$194:$AF$194&lt;=AB$194,$G143:$AF143)),System_Mkt_Repl!$F356:$AE356+System_Mkt_NC!$G356:$AF356)/SUM(IF($G$194:$AF$194&gt;=ROUND(IF((AB$194-Sys_Repl_Rate!AB102)&lt;Tech_Specs!$C30,Tech_Specs!$C30,(AB$194-Sys_Repl_Rate!AB102)),0),IF($G$194:$AF$194&lt;=AB$194,System_Mkt_Repl!$F356:$AE356+System_Mkt_NC!$G356:$AF356)))))</f>
        <v>0.74268392264446903</v>
      </c>
      <c r="AC217" s="373">
        <f t="array" ref="AC217">IF(AC$194=Misc_Inputs!$D$6,$G143,IF(SUM(IF($G$194:$AF$194&gt;=ROUND(IF((AC$194-Sys_Repl_Rate!AC102)&lt;Tech_Specs!$C30,Tech_Specs!$C30,(AC$194-Sys_Repl_Rate!AC102)),0),IF($G$194:$AF$194&lt;=AC$194,System_Mkt_Repl!$F356:$AE356+System_Mkt_NC!$G356:$AF356)))=0,AB217,SUMPRODUCT(IF($G$194:$AF$194&gt;=ROUND(IF((AC$194-Sys_Repl_Rate!AC102)&lt;Tech_Specs!$C30,Tech_Specs!$C30,(AC$194-Sys_Repl_Rate!AC102)),0),IF($G$194:$AF$194&lt;=AC$194,$G143:$AF143)),System_Mkt_Repl!$F356:$AE356+System_Mkt_NC!$G356:$AF356)/SUM(IF($G$194:$AF$194&gt;=ROUND(IF((AC$194-Sys_Repl_Rate!AC102)&lt;Tech_Specs!$C30,Tech_Specs!$C30,(AC$194-Sys_Repl_Rate!AC102)),0),IF($G$194:$AF$194&lt;=AC$194,System_Mkt_Repl!$F356:$AE356+System_Mkt_NC!$G356:$AF356)))))</f>
        <v>0.74268392264446903</v>
      </c>
      <c r="AD217" s="373">
        <f t="array" ref="AD217">IF(AD$194=Misc_Inputs!$D$6,$G143,IF(SUM(IF($G$194:$AF$194&gt;=ROUND(IF((AD$194-Sys_Repl_Rate!AD102)&lt;Tech_Specs!$C30,Tech_Specs!$C30,(AD$194-Sys_Repl_Rate!AD102)),0),IF($G$194:$AF$194&lt;=AD$194,System_Mkt_Repl!$F356:$AE356+System_Mkt_NC!$G356:$AF356)))=0,AC217,SUMPRODUCT(IF($G$194:$AF$194&gt;=ROUND(IF((AD$194-Sys_Repl_Rate!AD102)&lt;Tech_Specs!$C30,Tech_Specs!$C30,(AD$194-Sys_Repl_Rate!AD102)),0),IF($G$194:$AF$194&lt;=AD$194,$G143:$AF143)),System_Mkt_Repl!$F356:$AE356+System_Mkt_NC!$G356:$AF356)/SUM(IF($G$194:$AF$194&gt;=ROUND(IF((AD$194-Sys_Repl_Rate!AD102)&lt;Tech_Specs!$C30,Tech_Specs!$C30,(AD$194-Sys_Repl_Rate!AD102)),0),IF($G$194:$AF$194&lt;=AD$194,System_Mkt_Repl!$F356:$AE356+System_Mkt_NC!$G356:$AF356)))))</f>
        <v>0.74268392264446903</v>
      </c>
      <c r="AE217" s="373">
        <f t="array" ref="AE217">IF(AE$194=Misc_Inputs!$D$6,$G143,IF(SUM(IF($G$194:$AF$194&gt;=ROUND(IF((AE$194-Sys_Repl_Rate!AE102)&lt;Tech_Specs!$C30,Tech_Specs!$C30,(AE$194-Sys_Repl_Rate!AE102)),0),IF($G$194:$AF$194&lt;=AE$194,System_Mkt_Repl!$F356:$AE356+System_Mkt_NC!$G356:$AF356)))=0,AD217,SUMPRODUCT(IF($G$194:$AF$194&gt;=ROUND(IF((AE$194-Sys_Repl_Rate!AE102)&lt;Tech_Specs!$C30,Tech_Specs!$C30,(AE$194-Sys_Repl_Rate!AE102)),0),IF($G$194:$AF$194&lt;=AE$194,$G143:$AF143)),System_Mkt_Repl!$F356:$AE356+System_Mkt_NC!$G356:$AF356)/SUM(IF($G$194:$AF$194&gt;=ROUND(IF((AE$194-Sys_Repl_Rate!AE102)&lt;Tech_Specs!$C30,Tech_Specs!$C30,(AE$194-Sys_Repl_Rate!AE102)),0),IF($G$194:$AF$194&lt;=AE$194,System_Mkt_Repl!$F356:$AE356+System_Mkt_NC!$G356:$AF356)))))</f>
        <v>0.74268392264446903</v>
      </c>
      <c r="AF217" s="373">
        <f t="array" ref="AF217">IF(AF$194=Misc_Inputs!$D$6,$G143,IF(SUM(IF($G$194:$AF$194&gt;=ROUND(IF((AF$194-Sys_Repl_Rate!AF102)&lt;Tech_Specs!$C30,Tech_Specs!$C30,(AF$194-Sys_Repl_Rate!AF102)),0),IF($G$194:$AF$194&lt;=AF$194,System_Mkt_Repl!$F356:$AE356+System_Mkt_NC!$G356:$AF356)))=0,AE217,SUMPRODUCT(IF($G$194:$AF$194&gt;=ROUND(IF((AF$194-Sys_Repl_Rate!AF102)&lt;Tech_Specs!$C30,Tech_Specs!$C30,(AF$194-Sys_Repl_Rate!AF102)),0),IF($G$194:$AF$194&lt;=AF$194,$G143:$AF143)),System_Mkt_Repl!$F356:$AE356+System_Mkt_NC!$G356:$AF356)/SUM(IF($G$194:$AF$194&gt;=ROUND(IF((AF$194-Sys_Repl_Rate!AF102)&lt;Tech_Specs!$C30,Tech_Specs!$C30,(AF$194-Sys_Repl_Rate!AF102)),0),IF($G$194:$AF$194&lt;=AF$194,System_Mkt_Repl!$F356:$AE356+System_Mkt_NC!$G356:$AF356)))))</f>
        <v>0.74268392264446903</v>
      </c>
    </row>
    <row r="218" spans="1:32" s="282" customFormat="1" ht="12.75" x14ac:dyDescent="0.2">
      <c r="A218" s="278"/>
      <c r="B218" s="278" t="s">
        <v>29</v>
      </c>
      <c r="C218" s="278"/>
      <c r="D218" s="550"/>
      <c r="E218" s="550"/>
      <c r="F218" s="550"/>
      <c r="G218" s="1179">
        <f t="array" ref="G218">IF(G$194=Misc_Inputs!$D$6,$G144,IF(SUM(IF($G$194:$AF$194&gt;=ROUND(IF((G$194-Sys_Repl_Rate!G103)&lt;Tech_Specs!$C31,Tech_Specs!$C31,(G$194-Sys_Repl_Rate!G103)),0),IF($G$194:$AF$194&lt;=G$194,System_Mkt_Repl!$F357:$AE357+System_Mkt_NC!$G357:$AF357)))=0,C218,SUMPRODUCT(IF($G$194:$AF$194&gt;=ROUND(IF((G$194-Sys_Repl_Rate!G103)&lt;Tech_Specs!$C31,Tech_Specs!$C31,(G$194-Sys_Repl_Rate!G103)),0),IF($G$194:$AF$194&lt;=G$194,$G144:$AF144)),System_Mkt_Repl!$F357:$AE357+System_Mkt_NC!$G357:$AF357)/SUM(IF($G$194:$AF$194&gt;=ROUND(IF((G$194-Sys_Repl_Rate!G103)&lt;Tech_Specs!$C31,Tech_Specs!$C31,(G$194-Sys_Repl_Rate!G103)),0),IF($G$194:$AF$194&lt;=G$194,System_Mkt_Repl!$F357:$AE357+System_Mkt_NC!$G357:$AF357)))))</f>
        <v>1</v>
      </c>
      <c r="H218" s="1179">
        <f t="array" ref="H218">IF(H$194=Misc_Inputs!$D$6,$G144,IF(SUM(IF($G$194:$AF$194&gt;=ROUND(IF((H$194-Sys_Repl_Rate!H103)&lt;Tech_Specs!$C31,Tech_Specs!$C31,(H$194-Sys_Repl_Rate!H103)),0),IF($G$194:$AF$194&lt;=H$194,System_Mkt_Repl!$F357:$AE357+System_Mkt_NC!$G357:$AF357)))=0,G218,SUMPRODUCT(IF($G$194:$AF$194&gt;=ROUND(IF((H$194-Sys_Repl_Rate!H103)&lt;Tech_Specs!$C31,Tech_Specs!$C31,(H$194-Sys_Repl_Rate!H103)),0),IF($G$194:$AF$194&lt;=H$194,$G144:$AF144)),System_Mkt_Repl!$F357:$AE357+System_Mkt_NC!$G357:$AF357)/SUM(IF($G$194:$AF$194&gt;=ROUND(IF((H$194-Sys_Repl_Rate!H103)&lt;Tech_Specs!$C31,Tech_Specs!$C31,(H$194-Sys_Repl_Rate!H103)),0),IF($G$194:$AF$194&lt;=H$194,System_Mkt_Repl!$F357:$AE357+System_Mkt_NC!$G357:$AF357)))))</f>
        <v>1</v>
      </c>
      <c r="I218" s="1179">
        <f t="array" ref="I218">IF(I$194=Misc_Inputs!$D$6,$G144,IF(SUM(IF($G$194:$AF$194&gt;=ROUND(IF((I$194-Sys_Repl_Rate!I103)&lt;Tech_Specs!$C31,Tech_Specs!$C31,(I$194-Sys_Repl_Rate!I103)),0),IF($G$194:$AF$194&lt;=I$194,System_Mkt_Repl!$F357:$AE357+System_Mkt_NC!$G357:$AF357)))=0,H218,SUMPRODUCT(IF($G$194:$AF$194&gt;=ROUND(IF((I$194-Sys_Repl_Rate!I103)&lt;Tech_Specs!$C31,Tech_Specs!$C31,(I$194-Sys_Repl_Rate!I103)),0),IF($G$194:$AF$194&lt;=I$194,$G144:$AF144)),System_Mkt_Repl!$F357:$AE357+System_Mkt_NC!$G357:$AF357)/SUM(IF($G$194:$AF$194&gt;=ROUND(IF((I$194-Sys_Repl_Rate!I103)&lt;Tech_Specs!$C31,Tech_Specs!$C31,(I$194-Sys_Repl_Rate!I103)),0),IF($G$194:$AF$194&lt;=I$194,System_Mkt_Repl!$F357:$AE357+System_Mkt_NC!$G357:$AF357)))))</f>
        <v>1</v>
      </c>
      <c r="J218" s="1179">
        <f t="array" ref="J218">IF(J$194=Misc_Inputs!$D$6,$G144,IF(SUM(IF($G$194:$AF$194&gt;=ROUND(IF((J$194-Sys_Repl_Rate!J103)&lt;Tech_Specs!$C31,Tech_Specs!$C31,(J$194-Sys_Repl_Rate!J103)),0),IF($G$194:$AF$194&lt;=J$194,System_Mkt_Repl!$F357:$AE357+System_Mkt_NC!$G357:$AF357)))=0,I218,SUMPRODUCT(IF($G$194:$AF$194&gt;=ROUND(IF((J$194-Sys_Repl_Rate!J103)&lt;Tech_Specs!$C31,Tech_Specs!$C31,(J$194-Sys_Repl_Rate!J103)),0),IF($G$194:$AF$194&lt;=J$194,$G144:$AF144)),System_Mkt_Repl!$F357:$AE357+System_Mkt_NC!$G357:$AF357)/SUM(IF($G$194:$AF$194&gt;=ROUND(IF((J$194-Sys_Repl_Rate!J103)&lt;Tech_Specs!$C31,Tech_Specs!$C31,(J$194-Sys_Repl_Rate!J103)),0),IF($G$194:$AF$194&lt;=J$194,System_Mkt_Repl!$F357:$AE357+System_Mkt_NC!$G357:$AF357)))))</f>
        <v>1</v>
      </c>
      <c r="K218" s="373">
        <f t="array" ref="K218">IF(K$194=Misc_Inputs!$D$6,$G144,IF(SUM(IF($G$194:$AF$194&gt;=ROUND(IF((K$194-Sys_Repl_Rate!K103)&lt;Tech_Specs!$C31,Tech_Specs!$C31,(K$194-Sys_Repl_Rate!K103)),0),IF($G$194:$AF$194&lt;=K$194,System_Mkt_Repl!$F357:$AE357+System_Mkt_NC!$G357:$AF357)))=0,J218,SUMPRODUCT(IF($G$194:$AF$194&gt;=ROUND(IF((K$194-Sys_Repl_Rate!K103)&lt;Tech_Specs!$C31,Tech_Specs!$C31,(K$194-Sys_Repl_Rate!K103)),0),IF($G$194:$AF$194&lt;=K$194,$G144:$AF144)),System_Mkt_Repl!$F357:$AE357+System_Mkt_NC!$G357:$AF357)/SUM(IF($G$194:$AF$194&gt;=ROUND(IF((K$194-Sys_Repl_Rate!K103)&lt;Tech_Specs!$C31,Tech_Specs!$C31,(K$194-Sys_Repl_Rate!K103)),0),IF($G$194:$AF$194&lt;=K$194,System_Mkt_Repl!$F357:$AE357+System_Mkt_NC!$G357:$AF357)))))</f>
        <v>1</v>
      </c>
      <c r="L218" s="373">
        <f t="array" ref="L218">IF(L$194=Misc_Inputs!$D$6,$G144,IF(SUM(IF($G$194:$AF$194&gt;=ROUND(IF((L$194-Sys_Repl_Rate!L103)&lt;Tech_Specs!$C31,Tech_Specs!$C31,(L$194-Sys_Repl_Rate!L103)),0),IF($G$194:$AF$194&lt;=L$194,System_Mkt_Repl!$F357:$AE357+System_Mkt_NC!$G357:$AF357)))=0,K218,SUMPRODUCT(IF($G$194:$AF$194&gt;=ROUND(IF((L$194-Sys_Repl_Rate!L103)&lt;Tech_Specs!$C31,Tech_Specs!$C31,(L$194-Sys_Repl_Rate!L103)),0),IF($G$194:$AF$194&lt;=L$194,$G144:$AF144)),System_Mkt_Repl!$F357:$AE357+System_Mkt_NC!$G357:$AF357)/SUM(IF($G$194:$AF$194&gt;=ROUND(IF((L$194-Sys_Repl_Rate!L103)&lt;Tech_Specs!$C31,Tech_Specs!$C31,(L$194-Sys_Repl_Rate!L103)),0),IF($G$194:$AF$194&lt;=L$194,System_Mkt_Repl!$F357:$AE357+System_Mkt_NC!$G357:$AF357)))))</f>
        <v>1</v>
      </c>
      <c r="M218" s="373">
        <f t="array" ref="M218">IF(M$194=Misc_Inputs!$D$6,$G144,IF(SUM(IF($G$194:$AF$194&gt;=ROUND(IF((M$194-Sys_Repl_Rate!M103)&lt;Tech_Specs!$C31,Tech_Specs!$C31,(M$194-Sys_Repl_Rate!M103)),0),IF($G$194:$AF$194&lt;=M$194,System_Mkt_Repl!$F357:$AE357+System_Mkt_NC!$G357:$AF357)))=0,L218,SUMPRODUCT(IF($G$194:$AF$194&gt;=ROUND(IF((M$194-Sys_Repl_Rate!M103)&lt;Tech_Specs!$C31,Tech_Specs!$C31,(M$194-Sys_Repl_Rate!M103)),0),IF($G$194:$AF$194&lt;=M$194,$G144:$AF144)),System_Mkt_Repl!$F357:$AE357+System_Mkt_NC!$G357:$AF357)/SUM(IF($G$194:$AF$194&gt;=ROUND(IF((M$194-Sys_Repl_Rate!M103)&lt;Tech_Specs!$C31,Tech_Specs!$C31,(M$194-Sys_Repl_Rate!M103)),0),IF($G$194:$AF$194&lt;=M$194,System_Mkt_Repl!$F357:$AE357+System_Mkt_NC!$G357:$AF357)))))</f>
        <v>1</v>
      </c>
      <c r="N218" s="373">
        <f t="array" ref="N218">IF(N$194=Misc_Inputs!$D$6,$G144,IF(SUM(IF($G$194:$AF$194&gt;=ROUND(IF((N$194-Sys_Repl_Rate!N103)&lt;Tech_Specs!$C31,Tech_Specs!$C31,(N$194-Sys_Repl_Rate!N103)),0),IF($G$194:$AF$194&lt;=N$194,System_Mkt_Repl!$F357:$AE357+System_Mkt_NC!$G357:$AF357)))=0,M218,SUMPRODUCT(IF($G$194:$AF$194&gt;=ROUND(IF((N$194-Sys_Repl_Rate!N103)&lt;Tech_Specs!$C31,Tech_Specs!$C31,(N$194-Sys_Repl_Rate!N103)),0),IF($G$194:$AF$194&lt;=N$194,$G144:$AF144)),System_Mkt_Repl!$F357:$AE357+System_Mkt_NC!$G357:$AF357)/SUM(IF($G$194:$AF$194&gt;=ROUND(IF((N$194-Sys_Repl_Rate!N103)&lt;Tech_Specs!$C31,Tech_Specs!$C31,(N$194-Sys_Repl_Rate!N103)),0),IF($G$194:$AF$194&lt;=N$194,System_Mkt_Repl!$F357:$AE357+System_Mkt_NC!$G357:$AF357)))))</f>
        <v>1</v>
      </c>
      <c r="O218" s="373">
        <f t="array" ref="O218">IF(O$194=Misc_Inputs!$D$6,$G144,IF(SUM(IF($G$194:$AF$194&gt;=ROUND(IF((O$194-Sys_Repl_Rate!O103)&lt;Tech_Specs!$C31,Tech_Specs!$C31,(O$194-Sys_Repl_Rate!O103)),0),IF($G$194:$AF$194&lt;=O$194,System_Mkt_Repl!$F357:$AE357+System_Mkt_NC!$G357:$AF357)))=0,N218,SUMPRODUCT(IF($G$194:$AF$194&gt;=ROUND(IF((O$194-Sys_Repl_Rate!O103)&lt;Tech_Specs!$C31,Tech_Specs!$C31,(O$194-Sys_Repl_Rate!O103)),0),IF($G$194:$AF$194&lt;=O$194,$G144:$AF144)),System_Mkt_Repl!$F357:$AE357+System_Mkt_NC!$G357:$AF357)/SUM(IF($G$194:$AF$194&gt;=ROUND(IF((O$194-Sys_Repl_Rate!O103)&lt;Tech_Specs!$C31,Tech_Specs!$C31,(O$194-Sys_Repl_Rate!O103)),0),IF($G$194:$AF$194&lt;=O$194,System_Mkt_Repl!$F357:$AE357+System_Mkt_NC!$G357:$AF357)))))</f>
        <v>1</v>
      </c>
      <c r="P218" s="373">
        <f t="array" ref="P218">IF(P$194=Misc_Inputs!$D$6,$G144,IF(SUM(IF($G$194:$AF$194&gt;=ROUND(IF((P$194-Sys_Repl_Rate!P103)&lt;Tech_Specs!$C31,Tech_Specs!$C31,(P$194-Sys_Repl_Rate!P103)),0),IF($G$194:$AF$194&lt;=P$194,System_Mkt_Repl!$F357:$AE357+System_Mkt_NC!$G357:$AF357)))=0,O218,SUMPRODUCT(IF($G$194:$AF$194&gt;=ROUND(IF((P$194-Sys_Repl_Rate!P103)&lt;Tech_Specs!$C31,Tech_Specs!$C31,(P$194-Sys_Repl_Rate!P103)),0),IF($G$194:$AF$194&lt;=P$194,$G144:$AF144)),System_Mkt_Repl!$F357:$AE357+System_Mkt_NC!$G357:$AF357)/SUM(IF($G$194:$AF$194&gt;=ROUND(IF((P$194-Sys_Repl_Rate!P103)&lt;Tech_Specs!$C31,Tech_Specs!$C31,(P$194-Sys_Repl_Rate!P103)),0),IF($G$194:$AF$194&lt;=P$194,System_Mkt_Repl!$F357:$AE357+System_Mkt_NC!$G357:$AF357)))))</f>
        <v>1</v>
      </c>
      <c r="Q218" s="373">
        <f t="array" ref="Q218">IF(Q$194=Misc_Inputs!$D$6,$G144,IF(SUM(IF($G$194:$AF$194&gt;=ROUND(IF((Q$194-Sys_Repl_Rate!Q103)&lt;Tech_Specs!$C31,Tech_Specs!$C31,(Q$194-Sys_Repl_Rate!Q103)),0),IF($G$194:$AF$194&lt;=Q$194,System_Mkt_Repl!$F357:$AE357+System_Mkt_NC!$G357:$AF357)))=0,P218,SUMPRODUCT(IF($G$194:$AF$194&gt;=ROUND(IF((Q$194-Sys_Repl_Rate!Q103)&lt;Tech_Specs!$C31,Tech_Specs!$C31,(Q$194-Sys_Repl_Rate!Q103)),0),IF($G$194:$AF$194&lt;=Q$194,$G144:$AF144)),System_Mkt_Repl!$F357:$AE357+System_Mkt_NC!$G357:$AF357)/SUM(IF($G$194:$AF$194&gt;=ROUND(IF((Q$194-Sys_Repl_Rate!Q103)&lt;Tech_Specs!$C31,Tech_Specs!$C31,(Q$194-Sys_Repl_Rate!Q103)),0),IF($G$194:$AF$194&lt;=Q$194,System_Mkt_Repl!$F357:$AE357+System_Mkt_NC!$G357:$AF357)))))</f>
        <v>1</v>
      </c>
      <c r="R218" s="373">
        <f t="array" ref="R218">IF(R$194=Misc_Inputs!$D$6,$G144,IF(SUM(IF($G$194:$AF$194&gt;=ROUND(IF((R$194-Sys_Repl_Rate!R103)&lt;Tech_Specs!$C31,Tech_Specs!$C31,(R$194-Sys_Repl_Rate!R103)),0),IF($G$194:$AF$194&lt;=R$194,System_Mkt_Repl!$F357:$AE357+System_Mkt_NC!$G357:$AF357)))=0,Q218,SUMPRODUCT(IF($G$194:$AF$194&gt;=ROUND(IF((R$194-Sys_Repl_Rate!R103)&lt;Tech_Specs!$C31,Tech_Specs!$C31,(R$194-Sys_Repl_Rate!R103)),0),IF($G$194:$AF$194&lt;=R$194,$G144:$AF144)),System_Mkt_Repl!$F357:$AE357+System_Mkt_NC!$G357:$AF357)/SUM(IF($G$194:$AF$194&gt;=ROUND(IF((R$194-Sys_Repl_Rate!R103)&lt;Tech_Specs!$C31,Tech_Specs!$C31,(R$194-Sys_Repl_Rate!R103)),0),IF($G$194:$AF$194&lt;=R$194,System_Mkt_Repl!$F357:$AE357+System_Mkt_NC!$G357:$AF357)))))</f>
        <v>1</v>
      </c>
      <c r="S218" s="373">
        <f t="array" ref="S218">IF(S$194=Misc_Inputs!$D$6,$G144,IF(SUM(IF($G$194:$AF$194&gt;=ROUND(IF((S$194-Sys_Repl_Rate!S103)&lt;Tech_Specs!$C31,Tech_Specs!$C31,(S$194-Sys_Repl_Rate!S103)),0),IF($G$194:$AF$194&lt;=S$194,System_Mkt_Repl!$F357:$AE357+System_Mkt_NC!$G357:$AF357)))=0,R218,SUMPRODUCT(IF($G$194:$AF$194&gt;=ROUND(IF((S$194-Sys_Repl_Rate!S103)&lt;Tech_Specs!$C31,Tech_Specs!$C31,(S$194-Sys_Repl_Rate!S103)),0),IF($G$194:$AF$194&lt;=S$194,$G144:$AF144)),System_Mkt_Repl!$F357:$AE357+System_Mkt_NC!$G357:$AF357)/SUM(IF($G$194:$AF$194&gt;=ROUND(IF((S$194-Sys_Repl_Rate!S103)&lt;Tech_Specs!$C31,Tech_Specs!$C31,(S$194-Sys_Repl_Rate!S103)),0),IF($G$194:$AF$194&lt;=S$194,System_Mkt_Repl!$F357:$AE357+System_Mkt_NC!$G357:$AF357)))))</f>
        <v>1</v>
      </c>
      <c r="T218" s="373">
        <f t="array" ref="T218">IF(T$194=Misc_Inputs!$D$6,$G144,IF(SUM(IF($G$194:$AF$194&gt;=ROUND(IF((T$194-Sys_Repl_Rate!T103)&lt;Tech_Specs!$C31,Tech_Specs!$C31,(T$194-Sys_Repl_Rate!T103)),0),IF($G$194:$AF$194&lt;=T$194,System_Mkt_Repl!$F357:$AE357+System_Mkt_NC!$G357:$AF357)))=0,S218,SUMPRODUCT(IF($G$194:$AF$194&gt;=ROUND(IF((T$194-Sys_Repl_Rate!T103)&lt;Tech_Specs!$C31,Tech_Specs!$C31,(T$194-Sys_Repl_Rate!T103)),0),IF($G$194:$AF$194&lt;=T$194,$G144:$AF144)),System_Mkt_Repl!$F357:$AE357+System_Mkt_NC!$G357:$AF357)/SUM(IF($G$194:$AF$194&gt;=ROUND(IF((T$194-Sys_Repl_Rate!T103)&lt;Tech_Specs!$C31,Tech_Specs!$C31,(T$194-Sys_Repl_Rate!T103)),0),IF($G$194:$AF$194&lt;=T$194,System_Mkt_Repl!$F357:$AE357+System_Mkt_NC!$G357:$AF357)))))</f>
        <v>1</v>
      </c>
      <c r="U218" s="373">
        <f t="array" ref="U218">IF(U$194=Misc_Inputs!$D$6,$G144,IF(SUM(IF($G$194:$AF$194&gt;=ROUND(IF((U$194-Sys_Repl_Rate!U103)&lt;Tech_Specs!$C31,Tech_Specs!$C31,(U$194-Sys_Repl_Rate!U103)),0),IF($G$194:$AF$194&lt;=U$194,System_Mkt_Repl!$F357:$AE357+System_Mkt_NC!$G357:$AF357)))=0,T218,SUMPRODUCT(IF($G$194:$AF$194&gt;=ROUND(IF((U$194-Sys_Repl_Rate!U103)&lt;Tech_Specs!$C31,Tech_Specs!$C31,(U$194-Sys_Repl_Rate!U103)),0),IF($G$194:$AF$194&lt;=U$194,$G144:$AF144)),System_Mkt_Repl!$F357:$AE357+System_Mkt_NC!$G357:$AF357)/SUM(IF($G$194:$AF$194&gt;=ROUND(IF((U$194-Sys_Repl_Rate!U103)&lt;Tech_Specs!$C31,Tech_Specs!$C31,(U$194-Sys_Repl_Rate!U103)),0),IF($G$194:$AF$194&lt;=U$194,System_Mkt_Repl!$F357:$AE357+System_Mkt_NC!$G357:$AF357)))))</f>
        <v>1</v>
      </c>
      <c r="V218" s="373">
        <f t="array" ref="V218">IF(V$194=Misc_Inputs!$D$6,$G144,IF(SUM(IF($G$194:$AF$194&gt;=ROUND(IF((V$194-Sys_Repl_Rate!V103)&lt;Tech_Specs!$C31,Tech_Specs!$C31,(V$194-Sys_Repl_Rate!V103)),0),IF($G$194:$AF$194&lt;=V$194,System_Mkt_Repl!$F357:$AE357+System_Mkt_NC!$G357:$AF357)))=0,U218,SUMPRODUCT(IF($G$194:$AF$194&gt;=ROUND(IF((V$194-Sys_Repl_Rate!V103)&lt;Tech_Specs!$C31,Tech_Specs!$C31,(V$194-Sys_Repl_Rate!V103)),0),IF($G$194:$AF$194&lt;=V$194,$G144:$AF144)),System_Mkt_Repl!$F357:$AE357+System_Mkt_NC!$G357:$AF357)/SUM(IF($G$194:$AF$194&gt;=ROUND(IF((V$194-Sys_Repl_Rate!V103)&lt;Tech_Specs!$C31,Tech_Specs!$C31,(V$194-Sys_Repl_Rate!V103)),0),IF($G$194:$AF$194&lt;=V$194,System_Mkt_Repl!$F357:$AE357+System_Mkt_NC!$G357:$AF357)))))</f>
        <v>1</v>
      </c>
      <c r="W218" s="373">
        <f t="array" ref="W218">IF(W$194=Misc_Inputs!$D$6,$G144,IF(SUM(IF($G$194:$AF$194&gt;=ROUND(IF((W$194-Sys_Repl_Rate!W103)&lt;Tech_Specs!$C31,Tech_Specs!$C31,(W$194-Sys_Repl_Rate!W103)),0),IF($G$194:$AF$194&lt;=W$194,System_Mkt_Repl!$F357:$AE357+System_Mkt_NC!$G357:$AF357)))=0,V218,SUMPRODUCT(IF($G$194:$AF$194&gt;=ROUND(IF((W$194-Sys_Repl_Rate!W103)&lt;Tech_Specs!$C31,Tech_Specs!$C31,(W$194-Sys_Repl_Rate!W103)),0),IF($G$194:$AF$194&lt;=W$194,$G144:$AF144)),System_Mkt_Repl!$F357:$AE357+System_Mkt_NC!$G357:$AF357)/SUM(IF($G$194:$AF$194&gt;=ROUND(IF((W$194-Sys_Repl_Rate!W103)&lt;Tech_Specs!$C31,Tech_Specs!$C31,(W$194-Sys_Repl_Rate!W103)),0),IF($G$194:$AF$194&lt;=W$194,System_Mkt_Repl!$F357:$AE357+System_Mkt_NC!$G357:$AF357)))))</f>
        <v>1</v>
      </c>
      <c r="X218" s="373">
        <f t="array" ref="X218">IF(X$194=Misc_Inputs!$D$6,$G144,IF(SUM(IF($G$194:$AF$194&gt;=ROUND(IF((X$194-Sys_Repl_Rate!X103)&lt;Tech_Specs!$C31,Tech_Specs!$C31,(X$194-Sys_Repl_Rate!X103)),0),IF($G$194:$AF$194&lt;=X$194,System_Mkt_Repl!$F357:$AE357+System_Mkt_NC!$G357:$AF357)))=0,W218,SUMPRODUCT(IF($G$194:$AF$194&gt;=ROUND(IF((X$194-Sys_Repl_Rate!X103)&lt;Tech_Specs!$C31,Tech_Specs!$C31,(X$194-Sys_Repl_Rate!X103)),0),IF($G$194:$AF$194&lt;=X$194,$G144:$AF144)),System_Mkt_Repl!$F357:$AE357+System_Mkt_NC!$G357:$AF357)/SUM(IF($G$194:$AF$194&gt;=ROUND(IF((X$194-Sys_Repl_Rate!X103)&lt;Tech_Specs!$C31,Tech_Specs!$C31,(X$194-Sys_Repl_Rate!X103)),0),IF($G$194:$AF$194&lt;=X$194,System_Mkt_Repl!$F357:$AE357+System_Mkt_NC!$G357:$AF357)))))</f>
        <v>1</v>
      </c>
      <c r="Y218" s="373">
        <f t="array" ref="Y218">IF(Y$194=Misc_Inputs!$D$6,$G144,IF(SUM(IF($G$194:$AF$194&gt;=ROUND(IF((Y$194-Sys_Repl_Rate!Y103)&lt;Tech_Specs!$C31,Tech_Specs!$C31,(Y$194-Sys_Repl_Rate!Y103)),0),IF($G$194:$AF$194&lt;=Y$194,System_Mkt_Repl!$F357:$AE357+System_Mkt_NC!$G357:$AF357)))=0,X218,SUMPRODUCT(IF($G$194:$AF$194&gt;=ROUND(IF((Y$194-Sys_Repl_Rate!Y103)&lt;Tech_Specs!$C31,Tech_Specs!$C31,(Y$194-Sys_Repl_Rate!Y103)),0),IF($G$194:$AF$194&lt;=Y$194,$G144:$AF144)),System_Mkt_Repl!$F357:$AE357+System_Mkt_NC!$G357:$AF357)/SUM(IF($G$194:$AF$194&gt;=ROUND(IF((Y$194-Sys_Repl_Rate!Y103)&lt;Tech_Specs!$C31,Tech_Specs!$C31,(Y$194-Sys_Repl_Rate!Y103)),0),IF($G$194:$AF$194&lt;=Y$194,System_Mkt_Repl!$F357:$AE357+System_Mkt_NC!$G357:$AF357)))))</f>
        <v>1</v>
      </c>
      <c r="Z218" s="373">
        <f t="array" ref="Z218">IF(Z$194=Misc_Inputs!$D$6,$G144,IF(SUM(IF($G$194:$AF$194&gt;=ROUND(IF((Z$194-Sys_Repl_Rate!Z103)&lt;Tech_Specs!$C31,Tech_Specs!$C31,(Z$194-Sys_Repl_Rate!Z103)),0),IF($G$194:$AF$194&lt;=Z$194,System_Mkt_Repl!$F357:$AE357+System_Mkt_NC!$G357:$AF357)))=0,Y218,SUMPRODUCT(IF($G$194:$AF$194&gt;=ROUND(IF((Z$194-Sys_Repl_Rate!Z103)&lt;Tech_Specs!$C31,Tech_Specs!$C31,(Z$194-Sys_Repl_Rate!Z103)),0),IF($G$194:$AF$194&lt;=Z$194,$G144:$AF144)),System_Mkt_Repl!$F357:$AE357+System_Mkt_NC!$G357:$AF357)/SUM(IF($G$194:$AF$194&gt;=ROUND(IF((Z$194-Sys_Repl_Rate!Z103)&lt;Tech_Specs!$C31,Tech_Specs!$C31,(Z$194-Sys_Repl_Rate!Z103)),0),IF($G$194:$AF$194&lt;=Z$194,System_Mkt_Repl!$F357:$AE357+System_Mkt_NC!$G357:$AF357)))))</f>
        <v>1</v>
      </c>
      <c r="AA218" s="373">
        <f t="array" ref="AA218">IF(AA$194=Misc_Inputs!$D$6,$G144,IF(SUM(IF($G$194:$AF$194&gt;=ROUND(IF((AA$194-Sys_Repl_Rate!AA103)&lt;Tech_Specs!$C31,Tech_Specs!$C31,(AA$194-Sys_Repl_Rate!AA103)),0),IF($G$194:$AF$194&lt;=AA$194,System_Mkt_Repl!$F357:$AE357+System_Mkt_NC!$G357:$AF357)))=0,Z218,SUMPRODUCT(IF($G$194:$AF$194&gt;=ROUND(IF((AA$194-Sys_Repl_Rate!AA103)&lt;Tech_Specs!$C31,Tech_Specs!$C31,(AA$194-Sys_Repl_Rate!AA103)),0),IF($G$194:$AF$194&lt;=AA$194,$G144:$AF144)),System_Mkt_Repl!$F357:$AE357+System_Mkt_NC!$G357:$AF357)/SUM(IF($G$194:$AF$194&gt;=ROUND(IF((AA$194-Sys_Repl_Rate!AA103)&lt;Tech_Specs!$C31,Tech_Specs!$C31,(AA$194-Sys_Repl_Rate!AA103)),0),IF($G$194:$AF$194&lt;=AA$194,System_Mkt_Repl!$F357:$AE357+System_Mkt_NC!$G357:$AF357)))))</f>
        <v>1</v>
      </c>
      <c r="AB218" s="373">
        <f t="array" ref="AB218">IF(AB$194=Misc_Inputs!$D$6,$G144,IF(SUM(IF($G$194:$AF$194&gt;=ROUND(IF((AB$194-Sys_Repl_Rate!AB103)&lt;Tech_Specs!$C31,Tech_Specs!$C31,(AB$194-Sys_Repl_Rate!AB103)),0),IF($G$194:$AF$194&lt;=AB$194,System_Mkt_Repl!$F357:$AE357+System_Mkt_NC!$G357:$AF357)))=0,AA218,SUMPRODUCT(IF($G$194:$AF$194&gt;=ROUND(IF((AB$194-Sys_Repl_Rate!AB103)&lt;Tech_Specs!$C31,Tech_Specs!$C31,(AB$194-Sys_Repl_Rate!AB103)),0),IF($G$194:$AF$194&lt;=AB$194,$G144:$AF144)),System_Mkt_Repl!$F357:$AE357+System_Mkt_NC!$G357:$AF357)/SUM(IF($G$194:$AF$194&gt;=ROUND(IF((AB$194-Sys_Repl_Rate!AB103)&lt;Tech_Specs!$C31,Tech_Specs!$C31,(AB$194-Sys_Repl_Rate!AB103)),0),IF($G$194:$AF$194&lt;=AB$194,System_Mkt_Repl!$F357:$AE357+System_Mkt_NC!$G357:$AF357)))))</f>
        <v>1</v>
      </c>
      <c r="AC218" s="373">
        <f t="array" ref="AC218">IF(AC$194=Misc_Inputs!$D$6,$G144,IF(SUM(IF($G$194:$AF$194&gt;=ROUND(IF((AC$194-Sys_Repl_Rate!AC103)&lt;Tech_Specs!$C31,Tech_Specs!$C31,(AC$194-Sys_Repl_Rate!AC103)),0),IF($G$194:$AF$194&lt;=AC$194,System_Mkt_Repl!$F357:$AE357+System_Mkt_NC!$G357:$AF357)))=0,AB218,SUMPRODUCT(IF($G$194:$AF$194&gt;=ROUND(IF((AC$194-Sys_Repl_Rate!AC103)&lt;Tech_Specs!$C31,Tech_Specs!$C31,(AC$194-Sys_Repl_Rate!AC103)),0),IF($G$194:$AF$194&lt;=AC$194,$G144:$AF144)),System_Mkt_Repl!$F357:$AE357+System_Mkt_NC!$G357:$AF357)/SUM(IF($G$194:$AF$194&gt;=ROUND(IF((AC$194-Sys_Repl_Rate!AC103)&lt;Tech_Specs!$C31,Tech_Specs!$C31,(AC$194-Sys_Repl_Rate!AC103)),0),IF($G$194:$AF$194&lt;=AC$194,System_Mkt_Repl!$F357:$AE357+System_Mkt_NC!$G357:$AF357)))))</f>
        <v>1</v>
      </c>
      <c r="AD218" s="373">
        <f t="array" ref="AD218">IF(AD$194=Misc_Inputs!$D$6,$G144,IF(SUM(IF($G$194:$AF$194&gt;=ROUND(IF((AD$194-Sys_Repl_Rate!AD103)&lt;Tech_Specs!$C31,Tech_Specs!$C31,(AD$194-Sys_Repl_Rate!AD103)),0),IF($G$194:$AF$194&lt;=AD$194,System_Mkt_Repl!$F357:$AE357+System_Mkt_NC!$G357:$AF357)))=0,AC218,SUMPRODUCT(IF($G$194:$AF$194&gt;=ROUND(IF((AD$194-Sys_Repl_Rate!AD103)&lt;Tech_Specs!$C31,Tech_Specs!$C31,(AD$194-Sys_Repl_Rate!AD103)),0),IF($G$194:$AF$194&lt;=AD$194,$G144:$AF144)),System_Mkt_Repl!$F357:$AE357+System_Mkt_NC!$G357:$AF357)/SUM(IF($G$194:$AF$194&gt;=ROUND(IF((AD$194-Sys_Repl_Rate!AD103)&lt;Tech_Specs!$C31,Tech_Specs!$C31,(AD$194-Sys_Repl_Rate!AD103)),0),IF($G$194:$AF$194&lt;=AD$194,System_Mkt_Repl!$F357:$AE357+System_Mkt_NC!$G357:$AF357)))))</f>
        <v>1</v>
      </c>
      <c r="AE218" s="373">
        <f t="array" ref="AE218">IF(AE$194=Misc_Inputs!$D$6,$G144,IF(SUM(IF($G$194:$AF$194&gt;=ROUND(IF((AE$194-Sys_Repl_Rate!AE103)&lt;Tech_Specs!$C31,Tech_Specs!$C31,(AE$194-Sys_Repl_Rate!AE103)),0),IF($G$194:$AF$194&lt;=AE$194,System_Mkt_Repl!$F357:$AE357+System_Mkt_NC!$G357:$AF357)))=0,AD218,SUMPRODUCT(IF($G$194:$AF$194&gt;=ROUND(IF((AE$194-Sys_Repl_Rate!AE103)&lt;Tech_Specs!$C31,Tech_Specs!$C31,(AE$194-Sys_Repl_Rate!AE103)),0),IF($G$194:$AF$194&lt;=AE$194,$G144:$AF144)),System_Mkt_Repl!$F357:$AE357+System_Mkt_NC!$G357:$AF357)/SUM(IF($G$194:$AF$194&gt;=ROUND(IF((AE$194-Sys_Repl_Rate!AE103)&lt;Tech_Specs!$C31,Tech_Specs!$C31,(AE$194-Sys_Repl_Rate!AE103)),0),IF($G$194:$AF$194&lt;=AE$194,System_Mkt_Repl!$F357:$AE357+System_Mkt_NC!$G357:$AF357)))))</f>
        <v>1</v>
      </c>
      <c r="AF218" s="373">
        <f t="array" ref="AF218">IF(AF$194=Misc_Inputs!$D$6,$G144,IF(SUM(IF($G$194:$AF$194&gt;=ROUND(IF((AF$194-Sys_Repl_Rate!AF103)&lt;Tech_Specs!$C31,Tech_Specs!$C31,(AF$194-Sys_Repl_Rate!AF103)),0),IF($G$194:$AF$194&lt;=AF$194,System_Mkt_Repl!$F357:$AE357+System_Mkt_NC!$G357:$AF357)))=0,AE218,SUMPRODUCT(IF($G$194:$AF$194&gt;=ROUND(IF((AF$194-Sys_Repl_Rate!AF103)&lt;Tech_Specs!$C31,Tech_Specs!$C31,(AF$194-Sys_Repl_Rate!AF103)),0),IF($G$194:$AF$194&lt;=AF$194,$G144:$AF144)),System_Mkt_Repl!$F357:$AE357+System_Mkt_NC!$G357:$AF357)/SUM(IF($G$194:$AF$194&gt;=ROUND(IF((AF$194-Sys_Repl_Rate!AF103)&lt;Tech_Specs!$C31,Tech_Specs!$C31,(AF$194-Sys_Repl_Rate!AF103)),0),IF($G$194:$AF$194&lt;=AF$194,System_Mkt_Repl!$F357:$AE357+System_Mkt_NC!$G357:$AF357)))))</f>
        <v>1</v>
      </c>
    </row>
    <row r="219" spans="1:32" s="282" customFormat="1" ht="12.75" x14ac:dyDescent="0.2">
      <c r="A219" s="278"/>
      <c r="B219" s="278"/>
      <c r="C219" s="278"/>
      <c r="D219" s="550"/>
      <c r="E219" s="550"/>
      <c r="F219" s="550"/>
    </row>
    <row r="220" spans="1:32" s="282" customFormat="1" ht="12.75" x14ac:dyDescent="0.2">
      <c r="A220" s="294" t="s">
        <v>47</v>
      </c>
      <c r="B220" s="293"/>
      <c r="C220" s="280"/>
      <c r="D220" s="501"/>
      <c r="E220" s="501"/>
      <c r="F220" s="501"/>
      <c r="G220" s="292"/>
      <c r="H220" s="280"/>
      <c r="I220" s="280"/>
      <c r="J220" s="280"/>
      <c r="K220" s="280"/>
      <c r="L220" s="280"/>
      <c r="M220" s="280"/>
      <c r="N220" s="280"/>
      <c r="O220" s="280"/>
      <c r="P220" s="280"/>
      <c r="Q220" s="280"/>
      <c r="R220" s="280"/>
      <c r="S220" s="280"/>
      <c r="T220" s="280"/>
      <c r="U220" s="280"/>
      <c r="V220" s="280"/>
      <c r="W220" s="280"/>
      <c r="X220" s="280"/>
      <c r="Y220" s="280"/>
      <c r="Z220" s="280"/>
      <c r="AA220" s="280"/>
      <c r="AB220" s="280"/>
      <c r="AC220" s="280"/>
      <c r="AD220" s="280"/>
      <c r="AE220" s="280"/>
      <c r="AF220" s="280"/>
    </row>
    <row r="221" spans="1:32" s="282" customFormat="1" ht="12.75" x14ac:dyDescent="0.2">
      <c r="A221" s="278"/>
      <c r="B221" s="278" t="s">
        <v>48</v>
      </c>
      <c r="D221" s="552"/>
      <c r="E221" s="552"/>
      <c r="F221" s="552"/>
      <c r="G221" s="373">
        <f t="array" ref="G221">IF(G$194=Misc_Inputs!$D$6,$G147,IF(SUM(IF($G$194:$AF$194&gt;=ROUND(IF((G$194-Sys_Repl_Rate!G106)&lt;Tech_Specs!$C34,Tech_Specs!$C34,(G$194-Sys_Repl_Rate!G106)),0),IF($G$194:$AF$194&lt;=G$194,System_Mkt_Repl!$F360:$AE360+System_Mkt_NC!$G360:$AF360)))=0,C221,SUMPRODUCT(IF($G$194:$AF$194&gt;=ROUND(IF((G$194-Sys_Repl_Rate!G106)&lt;Tech_Specs!$C34,Tech_Specs!$C34,(G$194-Sys_Repl_Rate!G106)),0),IF($G$194:$AF$194&lt;=G$194,$G147:$AF147)),System_Mkt_Repl!$F360:$AE360+System_Mkt_NC!$G360:$AF360)/SUM(IF($G$194:$AF$194&gt;=ROUND(IF((G$194-Sys_Repl_Rate!G106)&lt;Tech_Specs!$C34,Tech_Specs!$C34,(G$194-Sys_Repl_Rate!G106)),0),IF($G$194:$AF$194&lt;=G$194,System_Mkt_Repl!$F360:$AE360+System_Mkt_NC!$G360:$AF360)))))</f>
        <v>1</v>
      </c>
      <c r="H221" s="373">
        <f t="array" ref="H221">IF(H$194=Misc_Inputs!$D$6,$G147,IF(SUM(IF($G$194:$AF$194&gt;=ROUND(IF((H$194-Sys_Repl_Rate!H106)&lt;Tech_Specs!$C34,Tech_Specs!$C34,(H$194-Sys_Repl_Rate!H106)),0),IF($G$194:$AF$194&lt;=H$194,System_Mkt_Repl!$F360:$AE360+System_Mkt_NC!$G360:$AF360)))=0,G221,SUMPRODUCT(IF($G$194:$AF$194&gt;=ROUND(IF((H$194-Sys_Repl_Rate!H106)&lt;Tech_Specs!$C34,Tech_Specs!$C34,(H$194-Sys_Repl_Rate!H106)),0),IF($G$194:$AF$194&lt;=H$194,$G147:$AF147)),System_Mkt_Repl!$F360:$AE360+System_Mkt_NC!$G360:$AF360)/SUM(IF($G$194:$AF$194&gt;=ROUND(IF((H$194-Sys_Repl_Rate!H106)&lt;Tech_Specs!$C34,Tech_Specs!$C34,(H$194-Sys_Repl_Rate!H106)),0),IF($G$194:$AF$194&lt;=H$194,System_Mkt_Repl!$F360:$AE360+System_Mkt_NC!$G360:$AF360)))))</f>
        <v>1</v>
      </c>
      <c r="I221" s="373">
        <f t="array" ref="I221">IF(I$194=Misc_Inputs!$D$6,$G147,IF(SUM(IF($G$194:$AF$194&gt;=ROUND(IF((I$194-Sys_Repl_Rate!I106)&lt;Tech_Specs!$C34,Tech_Specs!$C34,(I$194-Sys_Repl_Rate!I106)),0),IF($G$194:$AF$194&lt;=I$194,System_Mkt_Repl!$F360:$AE360+System_Mkt_NC!$G360:$AF360)))=0,H221,SUMPRODUCT(IF($G$194:$AF$194&gt;=ROUND(IF((I$194-Sys_Repl_Rate!I106)&lt;Tech_Specs!$C34,Tech_Specs!$C34,(I$194-Sys_Repl_Rate!I106)),0),IF($G$194:$AF$194&lt;=I$194,$G147:$AF147)),System_Mkt_Repl!$F360:$AE360+System_Mkt_NC!$G360:$AF360)/SUM(IF($G$194:$AF$194&gt;=ROUND(IF((I$194-Sys_Repl_Rate!I106)&lt;Tech_Specs!$C34,Tech_Specs!$C34,(I$194-Sys_Repl_Rate!I106)),0),IF($G$194:$AF$194&lt;=I$194,System_Mkt_Repl!$F360:$AE360+System_Mkt_NC!$G360:$AF360)))))</f>
        <v>1</v>
      </c>
      <c r="J221" s="373">
        <f t="array" ref="J221">IF(J$194=Misc_Inputs!$D$6,$G147,IF(SUM(IF($G$194:$AF$194&gt;=ROUND(IF((J$194-Sys_Repl_Rate!J106)&lt;Tech_Specs!$C34,Tech_Specs!$C34,(J$194-Sys_Repl_Rate!J106)),0),IF($G$194:$AF$194&lt;=J$194,System_Mkt_Repl!$F360:$AE360+System_Mkt_NC!$G360:$AF360)))=0,I221,SUMPRODUCT(IF($G$194:$AF$194&gt;=ROUND(IF((J$194-Sys_Repl_Rate!J106)&lt;Tech_Specs!$C34,Tech_Specs!$C34,(J$194-Sys_Repl_Rate!J106)),0),IF($G$194:$AF$194&lt;=J$194,$G147:$AF147)),System_Mkt_Repl!$F360:$AE360+System_Mkt_NC!$G360:$AF360)/SUM(IF($G$194:$AF$194&gt;=ROUND(IF((J$194-Sys_Repl_Rate!J106)&lt;Tech_Specs!$C34,Tech_Specs!$C34,(J$194-Sys_Repl_Rate!J106)),0),IF($G$194:$AF$194&lt;=J$194,System_Mkt_Repl!$F360:$AE360+System_Mkt_NC!$G360:$AF360)))))</f>
        <v>1</v>
      </c>
      <c r="K221" s="373">
        <f t="array" ref="K221">IF(K$194=Misc_Inputs!$D$6,$G147,IF(SUM(IF($G$194:$AF$194&gt;=ROUND(IF((K$194-Sys_Repl_Rate!K106)&lt;Tech_Specs!$C34,Tech_Specs!$C34,(K$194-Sys_Repl_Rate!K106)),0),IF($G$194:$AF$194&lt;=K$194,System_Mkt_Repl!$F360:$AE360+System_Mkt_NC!$G360:$AF360)))=0,J221,SUMPRODUCT(IF($G$194:$AF$194&gt;=ROUND(IF((K$194-Sys_Repl_Rate!K106)&lt;Tech_Specs!$C34,Tech_Specs!$C34,(K$194-Sys_Repl_Rate!K106)),0),IF($G$194:$AF$194&lt;=K$194,$G147:$AF147)),System_Mkt_Repl!$F360:$AE360+System_Mkt_NC!$G360:$AF360)/SUM(IF($G$194:$AF$194&gt;=ROUND(IF((K$194-Sys_Repl_Rate!K106)&lt;Tech_Specs!$C34,Tech_Specs!$C34,(K$194-Sys_Repl_Rate!K106)),0),IF($G$194:$AF$194&lt;=K$194,System_Mkt_Repl!$F360:$AE360+System_Mkt_NC!$G360:$AF360)))))</f>
        <v>1</v>
      </c>
      <c r="L221" s="373">
        <f t="array" ref="L221">IF(L$194=Misc_Inputs!$D$6,$G147,IF(SUM(IF($G$194:$AF$194&gt;=ROUND(IF((L$194-Sys_Repl_Rate!L106)&lt;Tech_Specs!$C34,Tech_Specs!$C34,(L$194-Sys_Repl_Rate!L106)),0),IF($G$194:$AF$194&lt;=L$194,System_Mkt_Repl!$F360:$AE360+System_Mkt_NC!$G360:$AF360)))=0,K221,SUMPRODUCT(IF($G$194:$AF$194&gt;=ROUND(IF((L$194-Sys_Repl_Rate!L106)&lt;Tech_Specs!$C34,Tech_Specs!$C34,(L$194-Sys_Repl_Rate!L106)),0),IF($G$194:$AF$194&lt;=L$194,$G147:$AF147)),System_Mkt_Repl!$F360:$AE360+System_Mkt_NC!$G360:$AF360)/SUM(IF($G$194:$AF$194&gt;=ROUND(IF((L$194-Sys_Repl_Rate!L106)&lt;Tech_Specs!$C34,Tech_Specs!$C34,(L$194-Sys_Repl_Rate!L106)),0),IF($G$194:$AF$194&lt;=L$194,System_Mkt_Repl!$F360:$AE360+System_Mkt_NC!$G360:$AF360)))))</f>
        <v>1</v>
      </c>
      <c r="M221" s="373">
        <f t="array" ref="M221">IF(M$194=Misc_Inputs!$D$6,$G147,IF(SUM(IF($G$194:$AF$194&gt;=ROUND(IF((M$194-Sys_Repl_Rate!M106)&lt;Tech_Specs!$C34,Tech_Specs!$C34,(M$194-Sys_Repl_Rate!M106)),0),IF($G$194:$AF$194&lt;=M$194,System_Mkt_Repl!$F360:$AE360+System_Mkt_NC!$G360:$AF360)))=0,L221,SUMPRODUCT(IF($G$194:$AF$194&gt;=ROUND(IF((M$194-Sys_Repl_Rate!M106)&lt;Tech_Specs!$C34,Tech_Specs!$C34,(M$194-Sys_Repl_Rate!M106)),0),IF($G$194:$AF$194&lt;=M$194,$G147:$AF147)),System_Mkt_Repl!$F360:$AE360+System_Mkt_NC!$G360:$AF360)/SUM(IF($G$194:$AF$194&gt;=ROUND(IF((M$194-Sys_Repl_Rate!M106)&lt;Tech_Specs!$C34,Tech_Specs!$C34,(M$194-Sys_Repl_Rate!M106)),0),IF($G$194:$AF$194&lt;=M$194,System_Mkt_Repl!$F360:$AE360+System_Mkt_NC!$G360:$AF360)))))</f>
        <v>1</v>
      </c>
      <c r="N221" s="373">
        <f t="array" ref="N221">IF(N$194=Misc_Inputs!$D$6,$G147,IF(SUM(IF($G$194:$AF$194&gt;=ROUND(IF((N$194-Sys_Repl_Rate!N106)&lt;Tech_Specs!$C34,Tech_Specs!$C34,(N$194-Sys_Repl_Rate!N106)),0),IF($G$194:$AF$194&lt;=N$194,System_Mkt_Repl!$F360:$AE360+System_Mkt_NC!$G360:$AF360)))=0,M221,SUMPRODUCT(IF($G$194:$AF$194&gt;=ROUND(IF((N$194-Sys_Repl_Rate!N106)&lt;Tech_Specs!$C34,Tech_Specs!$C34,(N$194-Sys_Repl_Rate!N106)),0),IF($G$194:$AF$194&lt;=N$194,$G147:$AF147)),System_Mkt_Repl!$F360:$AE360+System_Mkt_NC!$G360:$AF360)/SUM(IF($G$194:$AF$194&gt;=ROUND(IF((N$194-Sys_Repl_Rate!N106)&lt;Tech_Specs!$C34,Tech_Specs!$C34,(N$194-Sys_Repl_Rate!N106)),0),IF($G$194:$AF$194&lt;=N$194,System_Mkt_Repl!$F360:$AE360+System_Mkt_NC!$G360:$AF360)))))</f>
        <v>1</v>
      </c>
      <c r="O221" s="373">
        <f t="array" ref="O221">IF(O$194=Misc_Inputs!$D$6,$G147,IF(SUM(IF($G$194:$AF$194&gt;=ROUND(IF((O$194-Sys_Repl_Rate!O106)&lt;Tech_Specs!$C34,Tech_Specs!$C34,(O$194-Sys_Repl_Rate!O106)),0),IF($G$194:$AF$194&lt;=O$194,System_Mkt_Repl!$F360:$AE360+System_Mkt_NC!$G360:$AF360)))=0,N221,SUMPRODUCT(IF($G$194:$AF$194&gt;=ROUND(IF((O$194-Sys_Repl_Rate!O106)&lt;Tech_Specs!$C34,Tech_Specs!$C34,(O$194-Sys_Repl_Rate!O106)),0),IF($G$194:$AF$194&lt;=O$194,$G147:$AF147)),System_Mkt_Repl!$F360:$AE360+System_Mkt_NC!$G360:$AF360)/SUM(IF($G$194:$AF$194&gt;=ROUND(IF((O$194-Sys_Repl_Rate!O106)&lt;Tech_Specs!$C34,Tech_Specs!$C34,(O$194-Sys_Repl_Rate!O106)),0),IF($G$194:$AF$194&lt;=O$194,System_Mkt_Repl!$F360:$AE360+System_Mkt_NC!$G360:$AF360)))))</f>
        <v>1</v>
      </c>
      <c r="P221" s="373">
        <f t="array" ref="P221">IF(P$194=Misc_Inputs!$D$6,$G147,IF(SUM(IF($G$194:$AF$194&gt;=ROUND(IF((P$194-Sys_Repl_Rate!P106)&lt;Tech_Specs!$C34,Tech_Specs!$C34,(P$194-Sys_Repl_Rate!P106)),0),IF($G$194:$AF$194&lt;=P$194,System_Mkt_Repl!$F360:$AE360+System_Mkt_NC!$G360:$AF360)))=0,O221,SUMPRODUCT(IF($G$194:$AF$194&gt;=ROUND(IF((P$194-Sys_Repl_Rate!P106)&lt;Tech_Specs!$C34,Tech_Specs!$C34,(P$194-Sys_Repl_Rate!P106)),0),IF($G$194:$AF$194&lt;=P$194,$G147:$AF147)),System_Mkt_Repl!$F360:$AE360+System_Mkt_NC!$G360:$AF360)/SUM(IF($G$194:$AF$194&gt;=ROUND(IF((P$194-Sys_Repl_Rate!P106)&lt;Tech_Specs!$C34,Tech_Specs!$C34,(P$194-Sys_Repl_Rate!P106)),0),IF($G$194:$AF$194&lt;=P$194,System_Mkt_Repl!$F360:$AE360+System_Mkt_NC!$G360:$AF360)))))</f>
        <v>1</v>
      </c>
      <c r="Q221" s="373">
        <f t="array" ref="Q221">IF(Q$194=Misc_Inputs!$D$6,$G147,IF(SUM(IF($G$194:$AF$194&gt;=ROUND(IF((Q$194-Sys_Repl_Rate!Q106)&lt;Tech_Specs!$C34,Tech_Specs!$C34,(Q$194-Sys_Repl_Rate!Q106)),0),IF($G$194:$AF$194&lt;=Q$194,System_Mkt_Repl!$F360:$AE360+System_Mkt_NC!$G360:$AF360)))=0,P221,SUMPRODUCT(IF($G$194:$AF$194&gt;=ROUND(IF((Q$194-Sys_Repl_Rate!Q106)&lt;Tech_Specs!$C34,Tech_Specs!$C34,(Q$194-Sys_Repl_Rate!Q106)),0),IF($G$194:$AF$194&lt;=Q$194,$G147:$AF147)),System_Mkt_Repl!$F360:$AE360+System_Mkt_NC!$G360:$AF360)/SUM(IF($G$194:$AF$194&gt;=ROUND(IF((Q$194-Sys_Repl_Rate!Q106)&lt;Tech_Specs!$C34,Tech_Specs!$C34,(Q$194-Sys_Repl_Rate!Q106)),0),IF($G$194:$AF$194&lt;=Q$194,System_Mkt_Repl!$F360:$AE360+System_Mkt_NC!$G360:$AF360)))))</f>
        <v>1</v>
      </c>
      <c r="R221" s="373">
        <f t="array" ref="R221">IF(R$194=Misc_Inputs!$D$6,$G147,IF(SUM(IF($G$194:$AF$194&gt;=ROUND(IF((R$194-Sys_Repl_Rate!R106)&lt;Tech_Specs!$C34,Tech_Specs!$C34,(R$194-Sys_Repl_Rate!R106)),0),IF($G$194:$AF$194&lt;=R$194,System_Mkt_Repl!$F360:$AE360+System_Mkt_NC!$G360:$AF360)))=0,Q221,SUMPRODUCT(IF($G$194:$AF$194&gt;=ROUND(IF((R$194-Sys_Repl_Rate!R106)&lt;Tech_Specs!$C34,Tech_Specs!$C34,(R$194-Sys_Repl_Rate!R106)),0),IF($G$194:$AF$194&lt;=R$194,$G147:$AF147)),System_Mkt_Repl!$F360:$AE360+System_Mkt_NC!$G360:$AF360)/SUM(IF($G$194:$AF$194&gt;=ROUND(IF((R$194-Sys_Repl_Rate!R106)&lt;Tech_Specs!$C34,Tech_Specs!$C34,(R$194-Sys_Repl_Rate!R106)),0),IF($G$194:$AF$194&lt;=R$194,System_Mkt_Repl!$F360:$AE360+System_Mkt_NC!$G360:$AF360)))))</f>
        <v>1</v>
      </c>
      <c r="S221" s="373">
        <f t="array" ref="S221">IF(S$194=Misc_Inputs!$D$6,$G147,IF(SUM(IF($G$194:$AF$194&gt;=ROUND(IF((S$194-Sys_Repl_Rate!S106)&lt;Tech_Specs!$C34,Tech_Specs!$C34,(S$194-Sys_Repl_Rate!S106)),0),IF($G$194:$AF$194&lt;=S$194,System_Mkt_Repl!$F360:$AE360+System_Mkt_NC!$G360:$AF360)))=0,R221,SUMPRODUCT(IF($G$194:$AF$194&gt;=ROUND(IF((S$194-Sys_Repl_Rate!S106)&lt;Tech_Specs!$C34,Tech_Specs!$C34,(S$194-Sys_Repl_Rate!S106)),0),IF($G$194:$AF$194&lt;=S$194,$G147:$AF147)),System_Mkt_Repl!$F360:$AE360+System_Mkt_NC!$G360:$AF360)/SUM(IF($G$194:$AF$194&gt;=ROUND(IF((S$194-Sys_Repl_Rate!S106)&lt;Tech_Specs!$C34,Tech_Specs!$C34,(S$194-Sys_Repl_Rate!S106)),0),IF($G$194:$AF$194&lt;=S$194,System_Mkt_Repl!$F360:$AE360+System_Mkt_NC!$G360:$AF360)))))</f>
        <v>1</v>
      </c>
      <c r="T221" s="373">
        <f t="array" ref="T221">IF(T$194=Misc_Inputs!$D$6,$G147,IF(SUM(IF($G$194:$AF$194&gt;=ROUND(IF((T$194-Sys_Repl_Rate!T106)&lt;Tech_Specs!$C34,Tech_Specs!$C34,(T$194-Sys_Repl_Rate!T106)),0),IF($G$194:$AF$194&lt;=T$194,System_Mkt_Repl!$F360:$AE360+System_Mkt_NC!$G360:$AF360)))=0,S221,SUMPRODUCT(IF($G$194:$AF$194&gt;=ROUND(IF((T$194-Sys_Repl_Rate!T106)&lt;Tech_Specs!$C34,Tech_Specs!$C34,(T$194-Sys_Repl_Rate!T106)),0),IF($G$194:$AF$194&lt;=T$194,$G147:$AF147)),System_Mkt_Repl!$F360:$AE360+System_Mkt_NC!$G360:$AF360)/SUM(IF($G$194:$AF$194&gt;=ROUND(IF((T$194-Sys_Repl_Rate!T106)&lt;Tech_Specs!$C34,Tech_Specs!$C34,(T$194-Sys_Repl_Rate!T106)),0),IF($G$194:$AF$194&lt;=T$194,System_Mkt_Repl!$F360:$AE360+System_Mkt_NC!$G360:$AF360)))))</f>
        <v>1</v>
      </c>
      <c r="U221" s="373">
        <f t="array" ref="U221">IF(U$194=Misc_Inputs!$D$6,$G147,IF(SUM(IF($G$194:$AF$194&gt;=ROUND(IF((U$194-Sys_Repl_Rate!U106)&lt;Tech_Specs!$C34,Tech_Specs!$C34,(U$194-Sys_Repl_Rate!U106)),0),IF($G$194:$AF$194&lt;=U$194,System_Mkt_Repl!$F360:$AE360+System_Mkt_NC!$G360:$AF360)))=0,T221,SUMPRODUCT(IF($G$194:$AF$194&gt;=ROUND(IF((U$194-Sys_Repl_Rate!U106)&lt;Tech_Specs!$C34,Tech_Specs!$C34,(U$194-Sys_Repl_Rate!U106)),0),IF($G$194:$AF$194&lt;=U$194,$G147:$AF147)),System_Mkt_Repl!$F360:$AE360+System_Mkt_NC!$G360:$AF360)/SUM(IF($G$194:$AF$194&gt;=ROUND(IF((U$194-Sys_Repl_Rate!U106)&lt;Tech_Specs!$C34,Tech_Specs!$C34,(U$194-Sys_Repl_Rate!U106)),0),IF($G$194:$AF$194&lt;=U$194,System_Mkt_Repl!$F360:$AE360+System_Mkt_NC!$G360:$AF360)))))</f>
        <v>1</v>
      </c>
      <c r="V221" s="373">
        <f t="array" ref="V221">IF(V$194=Misc_Inputs!$D$6,$G147,IF(SUM(IF($G$194:$AF$194&gt;=ROUND(IF((V$194-Sys_Repl_Rate!V106)&lt;Tech_Specs!$C34,Tech_Specs!$C34,(V$194-Sys_Repl_Rate!V106)),0),IF($G$194:$AF$194&lt;=V$194,System_Mkt_Repl!$F360:$AE360+System_Mkt_NC!$G360:$AF360)))=0,U221,SUMPRODUCT(IF($G$194:$AF$194&gt;=ROUND(IF((V$194-Sys_Repl_Rate!V106)&lt;Tech_Specs!$C34,Tech_Specs!$C34,(V$194-Sys_Repl_Rate!V106)),0),IF($G$194:$AF$194&lt;=V$194,$G147:$AF147)),System_Mkt_Repl!$F360:$AE360+System_Mkt_NC!$G360:$AF360)/SUM(IF($G$194:$AF$194&gt;=ROUND(IF((V$194-Sys_Repl_Rate!V106)&lt;Tech_Specs!$C34,Tech_Specs!$C34,(V$194-Sys_Repl_Rate!V106)),0),IF($G$194:$AF$194&lt;=V$194,System_Mkt_Repl!$F360:$AE360+System_Mkt_NC!$G360:$AF360)))))</f>
        <v>1</v>
      </c>
      <c r="W221" s="373">
        <f t="array" ref="W221">IF(W$194=Misc_Inputs!$D$6,$G147,IF(SUM(IF($G$194:$AF$194&gt;=ROUND(IF((W$194-Sys_Repl_Rate!W106)&lt;Tech_Specs!$C34,Tech_Specs!$C34,(W$194-Sys_Repl_Rate!W106)),0),IF($G$194:$AF$194&lt;=W$194,System_Mkt_Repl!$F360:$AE360+System_Mkt_NC!$G360:$AF360)))=0,V221,SUMPRODUCT(IF($G$194:$AF$194&gt;=ROUND(IF((W$194-Sys_Repl_Rate!W106)&lt;Tech_Specs!$C34,Tech_Specs!$C34,(W$194-Sys_Repl_Rate!W106)),0),IF($G$194:$AF$194&lt;=W$194,$G147:$AF147)),System_Mkt_Repl!$F360:$AE360+System_Mkt_NC!$G360:$AF360)/SUM(IF($G$194:$AF$194&gt;=ROUND(IF((W$194-Sys_Repl_Rate!W106)&lt;Tech_Specs!$C34,Tech_Specs!$C34,(W$194-Sys_Repl_Rate!W106)),0),IF($G$194:$AF$194&lt;=W$194,System_Mkt_Repl!$F360:$AE360+System_Mkt_NC!$G360:$AF360)))))</f>
        <v>1</v>
      </c>
      <c r="X221" s="373">
        <f t="array" ref="X221">IF(X$194=Misc_Inputs!$D$6,$G147,IF(SUM(IF($G$194:$AF$194&gt;=ROUND(IF((X$194-Sys_Repl_Rate!X106)&lt;Tech_Specs!$C34,Tech_Specs!$C34,(X$194-Sys_Repl_Rate!X106)),0),IF($G$194:$AF$194&lt;=X$194,System_Mkt_Repl!$F360:$AE360+System_Mkt_NC!$G360:$AF360)))=0,W221,SUMPRODUCT(IF($G$194:$AF$194&gt;=ROUND(IF((X$194-Sys_Repl_Rate!X106)&lt;Tech_Specs!$C34,Tech_Specs!$C34,(X$194-Sys_Repl_Rate!X106)),0),IF($G$194:$AF$194&lt;=X$194,$G147:$AF147)),System_Mkt_Repl!$F360:$AE360+System_Mkt_NC!$G360:$AF360)/SUM(IF($G$194:$AF$194&gt;=ROUND(IF((X$194-Sys_Repl_Rate!X106)&lt;Tech_Specs!$C34,Tech_Specs!$C34,(X$194-Sys_Repl_Rate!X106)),0),IF($G$194:$AF$194&lt;=X$194,System_Mkt_Repl!$F360:$AE360+System_Mkt_NC!$G360:$AF360)))))</f>
        <v>1</v>
      </c>
      <c r="Y221" s="373">
        <f t="array" ref="Y221">IF(Y$194=Misc_Inputs!$D$6,$G147,IF(SUM(IF($G$194:$AF$194&gt;=ROUND(IF((Y$194-Sys_Repl_Rate!Y106)&lt;Tech_Specs!$C34,Tech_Specs!$C34,(Y$194-Sys_Repl_Rate!Y106)),0),IF($G$194:$AF$194&lt;=Y$194,System_Mkt_Repl!$F360:$AE360+System_Mkt_NC!$G360:$AF360)))=0,X221,SUMPRODUCT(IF($G$194:$AF$194&gt;=ROUND(IF((Y$194-Sys_Repl_Rate!Y106)&lt;Tech_Specs!$C34,Tech_Specs!$C34,(Y$194-Sys_Repl_Rate!Y106)),0),IF($G$194:$AF$194&lt;=Y$194,$G147:$AF147)),System_Mkt_Repl!$F360:$AE360+System_Mkt_NC!$G360:$AF360)/SUM(IF($G$194:$AF$194&gt;=ROUND(IF((Y$194-Sys_Repl_Rate!Y106)&lt;Tech_Specs!$C34,Tech_Specs!$C34,(Y$194-Sys_Repl_Rate!Y106)),0),IF($G$194:$AF$194&lt;=Y$194,System_Mkt_Repl!$F360:$AE360+System_Mkt_NC!$G360:$AF360)))))</f>
        <v>1</v>
      </c>
      <c r="Z221" s="373">
        <f t="array" ref="Z221">IF(Z$194=Misc_Inputs!$D$6,$G147,IF(SUM(IF($G$194:$AF$194&gt;=ROUND(IF((Z$194-Sys_Repl_Rate!Z106)&lt;Tech_Specs!$C34,Tech_Specs!$C34,(Z$194-Sys_Repl_Rate!Z106)),0),IF($G$194:$AF$194&lt;=Z$194,System_Mkt_Repl!$F360:$AE360+System_Mkt_NC!$G360:$AF360)))=0,Y221,SUMPRODUCT(IF($G$194:$AF$194&gt;=ROUND(IF((Z$194-Sys_Repl_Rate!Z106)&lt;Tech_Specs!$C34,Tech_Specs!$C34,(Z$194-Sys_Repl_Rate!Z106)),0),IF($G$194:$AF$194&lt;=Z$194,$G147:$AF147)),System_Mkt_Repl!$F360:$AE360+System_Mkt_NC!$G360:$AF360)/SUM(IF($G$194:$AF$194&gt;=ROUND(IF((Z$194-Sys_Repl_Rate!Z106)&lt;Tech_Specs!$C34,Tech_Specs!$C34,(Z$194-Sys_Repl_Rate!Z106)),0),IF($G$194:$AF$194&lt;=Z$194,System_Mkt_Repl!$F360:$AE360+System_Mkt_NC!$G360:$AF360)))))</f>
        <v>1</v>
      </c>
      <c r="AA221" s="373">
        <f t="array" ref="AA221">IF(AA$194=Misc_Inputs!$D$6,$G147,IF(SUM(IF($G$194:$AF$194&gt;=ROUND(IF((AA$194-Sys_Repl_Rate!AA106)&lt;Tech_Specs!$C34,Tech_Specs!$C34,(AA$194-Sys_Repl_Rate!AA106)),0),IF($G$194:$AF$194&lt;=AA$194,System_Mkt_Repl!$F360:$AE360+System_Mkt_NC!$G360:$AF360)))=0,Z221,SUMPRODUCT(IF($G$194:$AF$194&gt;=ROUND(IF((AA$194-Sys_Repl_Rate!AA106)&lt;Tech_Specs!$C34,Tech_Specs!$C34,(AA$194-Sys_Repl_Rate!AA106)),0),IF($G$194:$AF$194&lt;=AA$194,$G147:$AF147)),System_Mkt_Repl!$F360:$AE360+System_Mkt_NC!$G360:$AF360)/SUM(IF($G$194:$AF$194&gt;=ROUND(IF((AA$194-Sys_Repl_Rate!AA106)&lt;Tech_Specs!$C34,Tech_Specs!$C34,(AA$194-Sys_Repl_Rate!AA106)),0),IF($G$194:$AF$194&lt;=AA$194,System_Mkt_Repl!$F360:$AE360+System_Mkt_NC!$G360:$AF360)))))</f>
        <v>1</v>
      </c>
      <c r="AB221" s="373">
        <f t="array" ref="AB221">IF(AB$194=Misc_Inputs!$D$6,$G147,IF(SUM(IF($G$194:$AF$194&gt;=ROUND(IF((AB$194-Sys_Repl_Rate!AB106)&lt;Tech_Specs!$C34,Tech_Specs!$C34,(AB$194-Sys_Repl_Rate!AB106)),0),IF($G$194:$AF$194&lt;=AB$194,System_Mkt_Repl!$F360:$AE360+System_Mkt_NC!$G360:$AF360)))=0,AA221,SUMPRODUCT(IF($G$194:$AF$194&gt;=ROUND(IF((AB$194-Sys_Repl_Rate!AB106)&lt;Tech_Specs!$C34,Tech_Specs!$C34,(AB$194-Sys_Repl_Rate!AB106)),0),IF($G$194:$AF$194&lt;=AB$194,$G147:$AF147)),System_Mkt_Repl!$F360:$AE360+System_Mkt_NC!$G360:$AF360)/SUM(IF($G$194:$AF$194&gt;=ROUND(IF((AB$194-Sys_Repl_Rate!AB106)&lt;Tech_Specs!$C34,Tech_Specs!$C34,(AB$194-Sys_Repl_Rate!AB106)),0),IF($G$194:$AF$194&lt;=AB$194,System_Mkt_Repl!$F360:$AE360+System_Mkt_NC!$G360:$AF360)))))</f>
        <v>1</v>
      </c>
      <c r="AC221" s="373">
        <f t="array" ref="AC221">IF(AC$194=Misc_Inputs!$D$6,$G147,IF(SUM(IF($G$194:$AF$194&gt;=ROUND(IF((AC$194-Sys_Repl_Rate!AC106)&lt;Tech_Specs!$C34,Tech_Specs!$C34,(AC$194-Sys_Repl_Rate!AC106)),0),IF($G$194:$AF$194&lt;=AC$194,System_Mkt_Repl!$F360:$AE360+System_Mkt_NC!$G360:$AF360)))=0,AB221,SUMPRODUCT(IF($G$194:$AF$194&gt;=ROUND(IF((AC$194-Sys_Repl_Rate!AC106)&lt;Tech_Specs!$C34,Tech_Specs!$C34,(AC$194-Sys_Repl_Rate!AC106)),0),IF($G$194:$AF$194&lt;=AC$194,$G147:$AF147)),System_Mkt_Repl!$F360:$AE360+System_Mkt_NC!$G360:$AF360)/SUM(IF($G$194:$AF$194&gt;=ROUND(IF((AC$194-Sys_Repl_Rate!AC106)&lt;Tech_Specs!$C34,Tech_Specs!$C34,(AC$194-Sys_Repl_Rate!AC106)),0),IF($G$194:$AF$194&lt;=AC$194,System_Mkt_Repl!$F360:$AE360+System_Mkt_NC!$G360:$AF360)))))</f>
        <v>1</v>
      </c>
      <c r="AD221" s="373">
        <f t="array" ref="AD221">IF(AD$194=Misc_Inputs!$D$6,$G147,IF(SUM(IF($G$194:$AF$194&gt;=ROUND(IF((AD$194-Sys_Repl_Rate!AD106)&lt;Tech_Specs!$C34,Tech_Specs!$C34,(AD$194-Sys_Repl_Rate!AD106)),0),IF($G$194:$AF$194&lt;=AD$194,System_Mkt_Repl!$F360:$AE360+System_Mkt_NC!$G360:$AF360)))=0,AC221,SUMPRODUCT(IF($G$194:$AF$194&gt;=ROUND(IF((AD$194-Sys_Repl_Rate!AD106)&lt;Tech_Specs!$C34,Tech_Specs!$C34,(AD$194-Sys_Repl_Rate!AD106)),0),IF($G$194:$AF$194&lt;=AD$194,$G147:$AF147)),System_Mkt_Repl!$F360:$AE360+System_Mkt_NC!$G360:$AF360)/SUM(IF($G$194:$AF$194&gt;=ROUND(IF((AD$194-Sys_Repl_Rate!AD106)&lt;Tech_Specs!$C34,Tech_Specs!$C34,(AD$194-Sys_Repl_Rate!AD106)),0),IF($G$194:$AF$194&lt;=AD$194,System_Mkt_Repl!$F360:$AE360+System_Mkt_NC!$G360:$AF360)))))</f>
        <v>1</v>
      </c>
      <c r="AE221" s="373">
        <f t="array" ref="AE221">IF(AE$194=Misc_Inputs!$D$6,$G147,IF(SUM(IF($G$194:$AF$194&gt;=ROUND(IF((AE$194-Sys_Repl_Rate!AE106)&lt;Tech_Specs!$C34,Tech_Specs!$C34,(AE$194-Sys_Repl_Rate!AE106)),0),IF($G$194:$AF$194&lt;=AE$194,System_Mkt_Repl!$F360:$AE360+System_Mkt_NC!$G360:$AF360)))=0,AD221,SUMPRODUCT(IF($G$194:$AF$194&gt;=ROUND(IF((AE$194-Sys_Repl_Rate!AE106)&lt;Tech_Specs!$C34,Tech_Specs!$C34,(AE$194-Sys_Repl_Rate!AE106)),0),IF($G$194:$AF$194&lt;=AE$194,$G147:$AF147)),System_Mkt_Repl!$F360:$AE360+System_Mkt_NC!$G360:$AF360)/SUM(IF($G$194:$AF$194&gt;=ROUND(IF((AE$194-Sys_Repl_Rate!AE106)&lt;Tech_Specs!$C34,Tech_Specs!$C34,(AE$194-Sys_Repl_Rate!AE106)),0),IF($G$194:$AF$194&lt;=AE$194,System_Mkt_Repl!$F360:$AE360+System_Mkt_NC!$G360:$AF360)))))</f>
        <v>1</v>
      </c>
      <c r="AF221" s="373">
        <f t="array" ref="AF221">IF(AF$194=Misc_Inputs!$D$6,$G147,IF(SUM(IF($G$194:$AF$194&gt;=ROUND(IF((AF$194-Sys_Repl_Rate!AF106)&lt;Tech_Specs!$C34,Tech_Specs!$C34,(AF$194-Sys_Repl_Rate!AF106)),0),IF($G$194:$AF$194&lt;=AF$194,System_Mkt_Repl!$F360:$AE360+System_Mkt_NC!$G360:$AF360)))=0,AE221,SUMPRODUCT(IF($G$194:$AF$194&gt;=ROUND(IF((AF$194-Sys_Repl_Rate!AF106)&lt;Tech_Specs!$C34,Tech_Specs!$C34,(AF$194-Sys_Repl_Rate!AF106)),0),IF($G$194:$AF$194&lt;=AF$194,$G147:$AF147)),System_Mkt_Repl!$F360:$AE360+System_Mkt_NC!$G360:$AF360)/SUM(IF($G$194:$AF$194&gt;=ROUND(IF((AF$194-Sys_Repl_Rate!AF106)&lt;Tech_Specs!$C34,Tech_Specs!$C34,(AF$194-Sys_Repl_Rate!AF106)),0),IF($G$194:$AF$194&lt;=AF$194,System_Mkt_Repl!$F360:$AE360+System_Mkt_NC!$G360:$AF360)))))</f>
        <v>1</v>
      </c>
    </row>
    <row r="222" spans="1:32" s="282" customFormat="1" ht="12.75" x14ac:dyDescent="0.2">
      <c r="A222" s="278"/>
      <c r="B222" s="282" t="s">
        <v>50</v>
      </c>
      <c r="C222" s="278"/>
      <c r="D222" s="550"/>
      <c r="E222" s="550"/>
      <c r="F222" s="550"/>
      <c r="G222" s="373">
        <f t="array" ref="G222">IF(G$194=Misc_Inputs!$D$6,$G148,IF(SUM(IF($G$194:$AF$194&gt;=ROUND(IF((G$194-Sys_Repl_Rate!G107)&lt;Tech_Specs!$C35,Tech_Specs!$C35,(G$194-Sys_Repl_Rate!G107)),0),IF($G$194:$AF$194&lt;=G$194,System_Mkt_Repl!$F361:$AE361+System_Mkt_NC!$G361:$AF361)))=0,C222,SUMPRODUCT(IF($G$194:$AF$194&gt;=ROUND(IF((G$194-Sys_Repl_Rate!G107)&lt;Tech_Specs!$C35,Tech_Specs!$C35,(G$194-Sys_Repl_Rate!G107)),0),IF($G$194:$AF$194&lt;=G$194,$G148:$AF148)),System_Mkt_Repl!$F361:$AE361+System_Mkt_NC!$G361:$AF361)/SUM(IF($G$194:$AF$194&gt;=ROUND(IF((G$194-Sys_Repl_Rate!G107)&lt;Tech_Specs!$C35,Tech_Specs!$C35,(G$194-Sys_Repl_Rate!G107)),0),IF($G$194:$AF$194&lt;=G$194,System_Mkt_Repl!$F361:$AE361+System_Mkt_NC!$G361:$AF361)))))</f>
        <v>1</v>
      </c>
      <c r="H222" s="373">
        <f t="array" ref="H222">IF(H$194=Misc_Inputs!$D$6,$G148,IF(SUM(IF($G$194:$AF$194&gt;=ROUND(IF((H$194-Sys_Repl_Rate!H107)&lt;Tech_Specs!$C35,Tech_Specs!$C35,(H$194-Sys_Repl_Rate!H107)),0),IF($G$194:$AF$194&lt;=H$194,System_Mkt_Repl!$F361:$AE361+System_Mkt_NC!$G361:$AF361)))=0,G222,SUMPRODUCT(IF($G$194:$AF$194&gt;=ROUND(IF((H$194-Sys_Repl_Rate!H107)&lt;Tech_Specs!$C35,Tech_Specs!$C35,(H$194-Sys_Repl_Rate!H107)),0),IF($G$194:$AF$194&lt;=H$194,$G148:$AF148)),System_Mkt_Repl!$F361:$AE361+System_Mkt_NC!$G361:$AF361)/SUM(IF($G$194:$AF$194&gt;=ROUND(IF((H$194-Sys_Repl_Rate!H107)&lt;Tech_Specs!$C35,Tech_Specs!$C35,(H$194-Sys_Repl_Rate!H107)),0),IF($G$194:$AF$194&lt;=H$194,System_Mkt_Repl!$F361:$AE361+System_Mkt_NC!$G361:$AF361)))))</f>
        <v>1</v>
      </c>
      <c r="I222" s="373">
        <f t="array" ref="I222">IF(I$194=Misc_Inputs!$D$6,$G148,IF(SUM(IF($G$194:$AF$194&gt;=ROUND(IF((I$194-Sys_Repl_Rate!I107)&lt;Tech_Specs!$C35,Tech_Specs!$C35,(I$194-Sys_Repl_Rate!I107)),0),IF($G$194:$AF$194&lt;=I$194,System_Mkt_Repl!$F361:$AE361+System_Mkt_NC!$G361:$AF361)))=0,H222,SUMPRODUCT(IF($G$194:$AF$194&gt;=ROUND(IF((I$194-Sys_Repl_Rate!I107)&lt;Tech_Specs!$C35,Tech_Specs!$C35,(I$194-Sys_Repl_Rate!I107)),0),IF($G$194:$AF$194&lt;=I$194,$G148:$AF148)),System_Mkt_Repl!$F361:$AE361+System_Mkt_NC!$G361:$AF361)/SUM(IF($G$194:$AF$194&gt;=ROUND(IF((I$194-Sys_Repl_Rate!I107)&lt;Tech_Specs!$C35,Tech_Specs!$C35,(I$194-Sys_Repl_Rate!I107)),0),IF($G$194:$AF$194&lt;=I$194,System_Mkt_Repl!$F361:$AE361+System_Mkt_NC!$G361:$AF361)))))</f>
        <v>1</v>
      </c>
      <c r="J222" s="373">
        <f t="array" ref="J222">IF(J$194=Misc_Inputs!$D$6,$G148,IF(SUM(IF($G$194:$AF$194&gt;=ROUND(IF((J$194-Sys_Repl_Rate!J107)&lt;Tech_Specs!$C35,Tech_Specs!$C35,(J$194-Sys_Repl_Rate!J107)),0),IF($G$194:$AF$194&lt;=J$194,System_Mkt_Repl!$F361:$AE361+System_Mkt_NC!$G361:$AF361)))=0,I222,SUMPRODUCT(IF($G$194:$AF$194&gt;=ROUND(IF((J$194-Sys_Repl_Rate!J107)&lt;Tech_Specs!$C35,Tech_Specs!$C35,(J$194-Sys_Repl_Rate!J107)),0),IF($G$194:$AF$194&lt;=J$194,$G148:$AF148)),System_Mkt_Repl!$F361:$AE361+System_Mkt_NC!$G361:$AF361)/SUM(IF($G$194:$AF$194&gt;=ROUND(IF((J$194-Sys_Repl_Rate!J107)&lt;Tech_Specs!$C35,Tech_Specs!$C35,(J$194-Sys_Repl_Rate!J107)),0),IF($G$194:$AF$194&lt;=J$194,System_Mkt_Repl!$F361:$AE361+System_Mkt_NC!$G361:$AF361)))))</f>
        <v>1</v>
      </c>
      <c r="K222" s="373">
        <f t="array" ref="K222">IF(K$194=Misc_Inputs!$D$6,$G148,IF(SUM(IF($G$194:$AF$194&gt;=ROUND(IF((K$194-Sys_Repl_Rate!K107)&lt;Tech_Specs!$C35,Tech_Specs!$C35,(K$194-Sys_Repl_Rate!K107)),0),IF($G$194:$AF$194&lt;=K$194,System_Mkt_Repl!$F361:$AE361+System_Mkt_NC!$G361:$AF361)))=0,J222,SUMPRODUCT(IF($G$194:$AF$194&gt;=ROUND(IF((K$194-Sys_Repl_Rate!K107)&lt;Tech_Specs!$C35,Tech_Specs!$C35,(K$194-Sys_Repl_Rate!K107)),0),IF($G$194:$AF$194&lt;=K$194,$G148:$AF148)),System_Mkt_Repl!$F361:$AE361+System_Mkt_NC!$G361:$AF361)/SUM(IF($G$194:$AF$194&gt;=ROUND(IF((K$194-Sys_Repl_Rate!K107)&lt;Tech_Specs!$C35,Tech_Specs!$C35,(K$194-Sys_Repl_Rate!K107)),0),IF($G$194:$AF$194&lt;=K$194,System_Mkt_Repl!$F361:$AE361+System_Mkt_NC!$G361:$AF361)))))</f>
        <v>1</v>
      </c>
      <c r="L222" s="373">
        <f t="array" ref="L222">IF(L$194=Misc_Inputs!$D$6,$G148,IF(SUM(IF($G$194:$AF$194&gt;=ROUND(IF((L$194-Sys_Repl_Rate!L107)&lt;Tech_Specs!$C35,Tech_Specs!$C35,(L$194-Sys_Repl_Rate!L107)),0),IF($G$194:$AF$194&lt;=L$194,System_Mkt_Repl!$F361:$AE361+System_Mkt_NC!$G361:$AF361)))=0,K222,SUMPRODUCT(IF($G$194:$AF$194&gt;=ROUND(IF((L$194-Sys_Repl_Rate!L107)&lt;Tech_Specs!$C35,Tech_Specs!$C35,(L$194-Sys_Repl_Rate!L107)),0),IF($G$194:$AF$194&lt;=L$194,$G148:$AF148)),System_Mkt_Repl!$F361:$AE361+System_Mkt_NC!$G361:$AF361)/SUM(IF($G$194:$AF$194&gt;=ROUND(IF((L$194-Sys_Repl_Rate!L107)&lt;Tech_Specs!$C35,Tech_Specs!$C35,(L$194-Sys_Repl_Rate!L107)),0),IF($G$194:$AF$194&lt;=L$194,System_Mkt_Repl!$F361:$AE361+System_Mkt_NC!$G361:$AF361)))))</f>
        <v>1</v>
      </c>
      <c r="M222" s="373">
        <f t="array" ref="M222">IF(M$194=Misc_Inputs!$D$6,$G148,IF(SUM(IF($G$194:$AF$194&gt;=ROUND(IF((M$194-Sys_Repl_Rate!M107)&lt;Tech_Specs!$C35,Tech_Specs!$C35,(M$194-Sys_Repl_Rate!M107)),0),IF($G$194:$AF$194&lt;=M$194,System_Mkt_Repl!$F361:$AE361+System_Mkt_NC!$G361:$AF361)))=0,L222,SUMPRODUCT(IF($G$194:$AF$194&gt;=ROUND(IF((M$194-Sys_Repl_Rate!M107)&lt;Tech_Specs!$C35,Tech_Specs!$C35,(M$194-Sys_Repl_Rate!M107)),0),IF($G$194:$AF$194&lt;=M$194,$G148:$AF148)),System_Mkt_Repl!$F361:$AE361+System_Mkt_NC!$G361:$AF361)/SUM(IF($G$194:$AF$194&gt;=ROUND(IF((M$194-Sys_Repl_Rate!M107)&lt;Tech_Specs!$C35,Tech_Specs!$C35,(M$194-Sys_Repl_Rate!M107)),0),IF($G$194:$AF$194&lt;=M$194,System_Mkt_Repl!$F361:$AE361+System_Mkt_NC!$G361:$AF361)))))</f>
        <v>1</v>
      </c>
      <c r="N222" s="373">
        <f t="array" ref="N222">IF(N$194=Misc_Inputs!$D$6,$G148,IF(SUM(IF($G$194:$AF$194&gt;=ROUND(IF((N$194-Sys_Repl_Rate!N107)&lt;Tech_Specs!$C35,Tech_Specs!$C35,(N$194-Sys_Repl_Rate!N107)),0),IF($G$194:$AF$194&lt;=N$194,System_Mkt_Repl!$F361:$AE361+System_Mkt_NC!$G361:$AF361)))=0,M222,SUMPRODUCT(IF($G$194:$AF$194&gt;=ROUND(IF((N$194-Sys_Repl_Rate!N107)&lt;Tech_Specs!$C35,Tech_Specs!$C35,(N$194-Sys_Repl_Rate!N107)),0),IF($G$194:$AF$194&lt;=N$194,$G148:$AF148)),System_Mkt_Repl!$F361:$AE361+System_Mkt_NC!$G361:$AF361)/SUM(IF($G$194:$AF$194&gt;=ROUND(IF((N$194-Sys_Repl_Rate!N107)&lt;Tech_Specs!$C35,Tech_Specs!$C35,(N$194-Sys_Repl_Rate!N107)),0),IF($G$194:$AF$194&lt;=N$194,System_Mkt_Repl!$F361:$AE361+System_Mkt_NC!$G361:$AF361)))))</f>
        <v>1</v>
      </c>
      <c r="O222" s="373">
        <f t="array" ref="O222">IF(O$194=Misc_Inputs!$D$6,$G148,IF(SUM(IF($G$194:$AF$194&gt;=ROUND(IF((O$194-Sys_Repl_Rate!O107)&lt;Tech_Specs!$C35,Tech_Specs!$C35,(O$194-Sys_Repl_Rate!O107)),0),IF($G$194:$AF$194&lt;=O$194,System_Mkt_Repl!$F361:$AE361+System_Mkt_NC!$G361:$AF361)))=0,N222,SUMPRODUCT(IF($G$194:$AF$194&gt;=ROUND(IF((O$194-Sys_Repl_Rate!O107)&lt;Tech_Specs!$C35,Tech_Specs!$C35,(O$194-Sys_Repl_Rate!O107)),0),IF($G$194:$AF$194&lt;=O$194,$G148:$AF148)),System_Mkt_Repl!$F361:$AE361+System_Mkt_NC!$G361:$AF361)/SUM(IF($G$194:$AF$194&gt;=ROUND(IF((O$194-Sys_Repl_Rate!O107)&lt;Tech_Specs!$C35,Tech_Specs!$C35,(O$194-Sys_Repl_Rate!O107)),0),IF($G$194:$AF$194&lt;=O$194,System_Mkt_Repl!$F361:$AE361+System_Mkt_NC!$G361:$AF361)))))</f>
        <v>1</v>
      </c>
      <c r="P222" s="373">
        <f t="array" ref="P222">IF(P$194=Misc_Inputs!$D$6,$G148,IF(SUM(IF($G$194:$AF$194&gt;=ROUND(IF((P$194-Sys_Repl_Rate!P107)&lt;Tech_Specs!$C35,Tech_Specs!$C35,(P$194-Sys_Repl_Rate!P107)),0),IF($G$194:$AF$194&lt;=P$194,System_Mkt_Repl!$F361:$AE361+System_Mkt_NC!$G361:$AF361)))=0,O222,SUMPRODUCT(IF($G$194:$AF$194&gt;=ROUND(IF((P$194-Sys_Repl_Rate!P107)&lt;Tech_Specs!$C35,Tech_Specs!$C35,(P$194-Sys_Repl_Rate!P107)),0),IF($G$194:$AF$194&lt;=P$194,$G148:$AF148)),System_Mkt_Repl!$F361:$AE361+System_Mkt_NC!$G361:$AF361)/SUM(IF($G$194:$AF$194&gt;=ROUND(IF((P$194-Sys_Repl_Rate!P107)&lt;Tech_Specs!$C35,Tech_Specs!$C35,(P$194-Sys_Repl_Rate!P107)),0),IF($G$194:$AF$194&lt;=P$194,System_Mkt_Repl!$F361:$AE361+System_Mkt_NC!$G361:$AF361)))))</f>
        <v>1</v>
      </c>
      <c r="Q222" s="373">
        <f t="array" ref="Q222">IF(Q$194=Misc_Inputs!$D$6,$G148,IF(SUM(IF($G$194:$AF$194&gt;=ROUND(IF((Q$194-Sys_Repl_Rate!Q107)&lt;Tech_Specs!$C35,Tech_Specs!$C35,(Q$194-Sys_Repl_Rate!Q107)),0),IF($G$194:$AF$194&lt;=Q$194,System_Mkt_Repl!$F361:$AE361+System_Mkt_NC!$G361:$AF361)))=0,P222,SUMPRODUCT(IF($G$194:$AF$194&gt;=ROUND(IF((Q$194-Sys_Repl_Rate!Q107)&lt;Tech_Specs!$C35,Tech_Specs!$C35,(Q$194-Sys_Repl_Rate!Q107)),0),IF($G$194:$AF$194&lt;=Q$194,$G148:$AF148)),System_Mkt_Repl!$F361:$AE361+System_Mkt_NC!$G361:$AF361)/SUM(IF($G$194:$AF$194&gt;=ROUND(IF((Q$194-Sys_Repl_Rate!Q107)&lt;Tech_Specs!$C35,Tech_Specs!$C35,(Q$194-Sys_Repl_Rate!Q107)),0),IF($G$194:$AF$194&lt;=Q$194,System_Mkt_Repl!$F361:$AE361+System_Mkt_NC!$G361:$AF361)))))</f>
        <v>1</v>
      </c>
      <c r="R222" s="373">
        <f t="array" ref="R222">IF(R$194=Misc_Inputs!$D$6,$G148,IF(SUM(IF($G$194:$AF$194&gt;=ROUND(IF((R$194-Sys_Repl_Rate!R107)&lt;Tech_Specs!$C35,Tech_Specs!$C35,(R$194-Sys_Repl_Rate!R107)),0),IF($G$194:$AF$194&lt;=R$194,System_Mkt_Repl!$F361:$AE361+System_Mkt_NC!$G361:$AF361)))=0,Q222,SUMPRODUCT(IF($G$194:$AF$194&gt;=ROUND(IF((R$194-Sys_Repl_Rate!R107)&lt;Tech_Specs!$C35,Tech_Specs!$C35,(R$194-Sys_Repl_Rate!R107)),0),IF($G$194:$AF$194&lt;=R$194,$G148:$AF148)),System_Mkt_Repl!$F361:$AE361+System_Mkt_NC!$G361:$AF361)/SUM(IF($G$194:$AF$194&gt;=ROUND(IF((R$194-Sys_Repl_Rate!R107)&lt;Tech_Specs!$C35,Tech_Specs!$C35,(R$194-Sys_Repl_Rate!R107)),0),IF($G$194:$AF$194&lt;=R$194,System_Mkt_Repl!$F361:$AE361+System_Mkt_NC!$G361:$AF361)))))</f>
        <v>1</v>
      </c>
      <c r="S222" s="373">
        <f t="array" ref="S222">IF(S$194=Misc_Inputs!$D$6,$G148,IF(SUM(IF($G$194:$AF$194&gt;=ROUND(IF((S$194-Sys_Repl_Rate!S107)&lt;Tech_Specs!$C35,Tech_Specs!$C35,(S$194-Sys_Repl_Rate!S107)),0),IF($G$194:$AF$194&lt;=S$194,System_Mkt_Repl!$F361:$AE361+System_Mkt_NC!$G361:$AF361)))=0,R222,SUMPRODUCT(IF($G$194:$AF$194&gt;=ROUND(IF((S$194-Sys_Repl_Rate!S107)&lt;Tech_Specs!$C35,Tech_Specs!$C35,(S$194-Sys_Repl_Rate!S107)),0),IF($G$194:$AF$194&lt;=S$194,$G148:$AF148)),System_Mkt_Repl!$F361:$AE361+System_Mkt_NC!$G361:$AF361)/SUM(IF($G$194:$AF$194&gt;=ROUND(IF((S$194-Sys_Repl_Rate!S107)&lt;Tech_Specs!$C35,Tech_Specs!$C35,(S$194-Sys_Repl_Rate!S107)),0),IF($G$194:$AF$194&lt;=S$194,System_Mkt_Repl!$F361:$AE361+System_Mkt_NC!$G361:$AF361)))))</f>
        <v>1</v>
      </c>
      <c r="T222" s="373">
        <f t="array" ref="T222">IF(T$194=Misc_Inputs!$D$6,$G148,IF(SUM(IF($G$194:$AF$194&gt;=ROUND(IF((T$194-Sys_Repl_Rate!T107)&lt;Tech_Specs!$C35,Tech_Specs!$C35,(T$194-Sys_Repl_Rate!T107)),0),IF($G$194:$AF$194&lt;=T$194,System_Mkt_Repl!$F361:$AE361+System_Mkt_NC!$G361:$AF361)))=0,S222,SUMPRODUCT(IF($G$194:$AF$194&gt;=ROUND(IF((T$194-Sys_Repl_Rate!T107)&lt;Tech_Specs!$C35,Tech_Specs!$C35,(T$194-Sys_Repl_Rate!T107)),0),IF($G$194:$AF$194&lt;=T$194,$G148:$AF148)),System_Mkt_Repl!$F361:$AE361+System_Mkt_NC!$G361:$AF361)/SUM(IF($G$194:$AF$194&gt;=ROUND(IF((T$194-Sys_Repl_Rate!T107)&lt;Tech_Specs!$C35,Tech_Specs!$C35,(T$194-Sys_Repl_Rate!T107)),0),IF($G$194:$AF$194&lt;=T$194,System_Mkt_Repl!$F361:$AE361+System_Mkt_NC!$G361:$AF361)))))</f>
        <v>1</v>
      </c>
      <c r="U222" s="373">
        <f t="array" ref="U222">IF(U$194=Misc_Inputs!$D$6,$G148,IF(SUM(IF($G$194:$AF$194&gt;=ROUND(IF((U$194-Sys_Repl_Rate!U107)&lt;Tech_Specs!$C35,Tech_Specs!$C35,(U$194-Sys_Repl_Rate!U107)),0),IF($G$194:$AF$194&lt;=U$194,System_Mkt_Repl!$F361:$AE361+System_Mkt_NC!$G361:$AF361)))=0,T222,SUMPRODUCT(IF($G$194:$AF$194&gt;=ROUND(IF((U$194-Sys_Repl_Rate!U107)&lt;Tech_Specs!$C35,Tech_Specs!$C35,(U$194-Sys_Repl_Rate!U107)),0),IF($G$194:$AF$194&lt;=U$194,$G148:$AF148)),System_Mkt_Repl!$F361:$AE361+System_Mkt_NC!$G361:$AF361)/SUM(IF($G$194:$AF$194&gt;=ROUND(IF((U$194-Sys_Repl_Rate!U107)&lt;Tech_Specs!$C35,Tech_Specs!$C35,(U$194-Sys_Repl_Rate!U107)),0),IF($G$194:$AF$194&lt;=U$194,System_Mkt_Repl!$F361:$AE361+System_Mkt_NC!$G361:$AF361)))))</f>
        <v>1</v>
      </c>
      <c r="V222" s="373">
        <f t="array" ref="V222">IF(V$194=Misc_Inputs!$D$6,$G148,IF(SUM(IF($G$194:$AF$194&gt;=ROUND(IF((V$194-Sys_Repl_Rate!V107)&lt;Tech_Specs!$C35,Tech_Specs!$C35,(V$194-Sys_Repl_Rate!V107)),0),IF($G$194:$AF$194&lt;=V$194,System_Mkt_Repl!$F361:$AE361+System_Mkt_NC!$G361:$AF361)))=0,U222,SUMPRODUCT(IF($G$194:$AF$194&gt;=ROUND(IF((V$194-Sys_Repl_Rate!V107)&lt;Tech_Specs!$C35,Tech_Specs!$C35,(V$194-Sys_Repl_Rate!V107)),0),IF($G$194:$AF$194&lt;=V$194,$G148:$AF148)),System_Mkt_Repl!$F361:$AE361+System_Mkt_NC!$G361:$AF361)/SUM(IF($G$194:$AF$194&gt;=ROUND(IF((V$194-Sys_Repl_Rate!V107)&lt;Tech_Specs!$C35,Tech_Specs!$C35,(V$194-Sys_Repl_Rate!V107)),0),IF($G$194:$AF$194&lt;=V$194,System_Mkt_Repl!$F361:$AE361+System_Mkt_NC!$G361:$AF361)))))</f>
        <v>1</v>
      </c>
      <c r="W222" s="373">
        <f t="array" ref="W222">IF(W$194=Misc_Inputs!$D$6,$G148,IF(SUM(IF($G$194:$AF$194&gt;=ROUND(IF((W$194-Sys_Repl_Rate!W107)&lt;Tech_Specs!$C35,Tech_Specs!$C35,(W$194-Sys_Repl_Rate!W107)),0),IF($G$194:$AF$194&lt;=W$194,System_Mkt_Repl!$F361:$AE361+System_Mkt_NC!$G361:$AF361)))=0,V222,SUMPRODUCT(IF($G$194:$AF$194&gt;=ROUND(IF((W$194-Sys_Repl_Rate!W107)&lt;Tech_Specs!$C35,Tech_Specs!$C35,(W$194-Sys_Repl_Rate!W107)),0),IF($G$194:$AF$194&lt;=W$194,$G148:$AF148)),System_Mkt_Repl!$F361:$AE361+System_Mkt_NC!$G361:$AF361)/SUM(IF($G$194:$AF$194&gt;=ROUND(IF((W$194-Sys_Repl_Rate!W107)&lt;Tech_Specs!$C35,Tech_Specs!$C35,(W$194-Sys_Repl_Rate!W107)),0),IF($G$194:$AF$194&lt;=W$194,System_Mkt_Repl!$F361:$AE361+System_Mkt_NC!$G361:$AF361)))))</f>
        <v>1</v>
      </c>
      <c r="X222" s="373">
        <f t="array" ref="X222">IF(X$194=Misc_Inputs!$D$6,$G148,IF(SUM(IF($G$194:$AF$194&gt;=ROUND(IF((X$194-Sys_Repl_Rate!X107)&lt;Tech_Specs!$C35,Tech_Specs!$C35,(X$194-Sys_Repl_Rate!X107)),0),IF($G$194:$AF$194&lt;=X$194,System_Mkt_Repl!$F361:$AE361+System_Mkt_NC!$G361:$AF361)))=0,W222,SUMPRODUCT(IF($G$194:$AF$194&gt;=ROUND(IF((X$194-Sys_Repl_Rate!X107)&lt;Tech_Specs!$C35,Tech_Specs!$C35,(X$194-Sys_Repl_Rate!X107)),0),IF($G$194:$AF$194&lt;=X$194,$G148:$AF148)),System_Mkt_Repl!$F361:$AE361+System_Mkt_NC!$G361:$AF361)/SUM(IF($G$194:$AF$194&gt;=ROUND(IF((X$194-Sys_Repl_Rate!X107)&lt;Tech_Specs!$C35,Tech_Specs!$C35,(X$194-Sys_Repl_Rate!X107)),0),IF($G$194:$AF$194&lt;=X$194,System_Mkt_Repl!$F361:$AE361+System_Mkt_NC!$G361:$AF361)))))</f>
        <v>1</v>
      </c>
      <c r="Y222" s="373">
        <f t="array" ref="Y222">IF(Y$194=Misc_Inputs!$D$6,$G148,IF(SUM(IF($G$194:$AF$194&gt;=ROUND(IF((Y$194-Sys_Repl_Rate!Y107)&lt;Tech_Specs!$C35,Tech_Specs!$C35,(Y$194-Sys_Repl_Rate!Y107)),0),IF($G$194:$AF$194&lt;=Y$194,System_Mkt_Repl!$F361:$AE361+System_Mkt_NC!$G361:$AF361)))=0,X222,SUMPRODUCT(IF($G$194:$AF$194&gt;=ROUND(IF((Y$194-Sys_Repl_Rate!Y107)&lt;Tech_Specs!$C35,Tech_Specs!$C35,(Y$194-Sys_Repl_Rate!Y107)),0),IF($G$194:$AF$194&lt;=Y$194,$G148:$AF148)),System_Mkt_Repl!$F361:$AE361+System_Mkt_NC!$G361:$AF361)/SUM(IF($G$194:$AF$194&gt;=ROUND(IF((Y$194-Sys_Repl_Rate!Y107)&lt;Tech_Specs!$C35,Tech_Specs!$C35,(Y$194-Sys_Repl_Rate!Y107)),0),IF($G$194:$AF$194&lt;=Y$194,System_Mkt_Repl!$F361:$AE361+System_Mkt_NC!$G361:$AF361)))))</f>
        <v>1</v>
      </c>
      <c r="Z222" s="373">
        <f t="array" ref="Z222">IF(Z$194=Misc_Inputs!$D$6,$G148,IF(SUM(IF($G$194:$AF$194&gt;=ROUND(IF((Z$194-Sys_Repl_Rate!Z107)&lt;Tech_Specs!$C35,Tech_Specs!$C35,(Z$194-Sys_Repl_Rate!Z107)),0),IF($G$194:$AF$194&lt;=Z$194,System_Mkt_Repl!$F361:$AE361+System_Mkt_NC!$G361:$AF361)))=0,Y222,SUMPRODUCT(IF($G$194:$AF$194&gt;=ROUND(IF((Z$194-Sys_Repl_Rate!Z107)&lt;Tech_Specs!$C35,Tech_Specs!$C35,(Z$194-Sys_Repl_Rate!Z107)),0),IF($G$194:$AF$194&lt;=Z$194,$G148:$AF148)),System_Mkt_Repl!$F361:$AE361+System_Mkt_NC!$G361:$AF361)/SUM(IF($G$194:$AF$194&gt;=ROUND(IF((Z$194-Sys_Repl_Rate!Z107)&lt;Tech_Specs!$C35,Tech_Specs!$C35,(Z$194-Sys_Repl_Rate!Z107)),0),IF($G$194:$AF$194&lt;=Z$194,System_Mkt_Repl!$F361:$AE361+System_Mkt_NC!$G361:$AF361)))))</f>
        <v>1</v>
      </c>
      <c r="AA222" s="373">
        <f t="array" ref="AA222">IF(AA$194=Misc_Inputs!$D$6,$G148,IF(SUM(IF($G$194:$AF$194&gt;=ROUND(IF((AA$194-Sys_Repl_Rate!AA107)&lt;Tech_Specs!$C35,Tech_Specs!$C35,(AA$194-Sys_Repl_Rate!AA107)),0),IF($G$194:$AF$194&lt;=AA$194,System_Mkt_Repl!$F361:$AE361+System_Mkt_NC!$G361:$AF361)))=0,Z222,SUMPRODUCT(IF($G$194:$AF$194&gt;=ROUND(IF((AA$194-Sys_Repl_Rate!AA107)&lt;Tech_Specs!$C35,Tech_Specs!$C35,(AA$194-Sys_Repl_Rate!AA107)),0),IF($G$194:$AF$194&lt;=AA$194,$G148:$AF148)),System_Mkt_Repl!$F361:$AE361+System_Mkt_NC!$G361:$AF361)/SUM(IF($G$194:$AF$194&gt;=ROUND(IF((AA$194-Sys_Repl_Rate!AA107)&lt;Tech_Specs!$C35,Tech_Specs!$C35,(AA$194-Sys_Repl_Rate!AA107)),0),IF($G$194:$AF$194&lt;=AA$194,System_Mkt_Repl!$F361:$AE361+System_Mkt_NC!$G361:$AF361)))))</f>
        <v>1</v>
      </c>
      <c r="AB222" s="373">
        <f t="array" ref="AB222">IF(AB$194=Misc_Inputs!$D$6,$G148,IF(SUM(IF($G$194:$AF$194&gt;=ROUND(IF((AB$194-Sys_Repl_Rate!AB107)&lt;Tech_Specs!$C35,Tech_Specs!$C35,(AB$194-Sys_Repl_Rate!AB107)),0),IF($G$194:$AF$194&lt;=AB$194,System_Mkt_Repl!$F361:$AE361+System_Mkt_NC!$G361:$AF361)))=0,AA222,SUMPRODUCT(IF($G$194:$AF$194&gt;=ROUND(IF((AB$194-Sys_Repl_Rate!AB107)&lt;Tech_Specs!$C35,Tech_Specs!$C35,(AB$194-Sys_Repl_Rate!AB107)),0),IF($G$194:$AF$194&lt;=AB$194,$G148:$AF148)),System_Mkt_Repl!$F361:$AE361+System_Mkt_NC!$G361:$AF361)/SUM(IF($G$194:$AF$194&gt;=ROUND(IF((AB$194-Sys_Repl_Rate!AB107)&lt;Tech_Specs!$C35,Tech_Specs!$C35,(AB$194-Sys_Repl_Rate!AB107)),0),IF($G$194:$AF$194&lt;=AB$194,System_Mkt_Repl!$F361:$AE361+System_Mkt_NC!$G361:$AF361)))))</f>
        <v>1</v>
      </c>
      <c r="AC222" s="373">
        <f t="array" ref="AC222">IF(AC$194=Misc_Inputs!$D$6,$G148,IF(SUM(IF($G$194:$AF$194&gt;=ROUND(IF((AC$194-Sys_Repl_Rate!AC107)&lt;Tech_Specs!$C35,Tech_Specs!$C35,(AC$194-Sys_Repl_Rate!AC107)),0),IF($G$194:$AF$194&lt;=AC$194,System_Mkt_Repl!$F361:$AE361+System_Mkt_NC!$G361:$AF361)))=0,AB222,SUMPRODUCT(IF($G$194:$AF$194&gt;=ROUND(IF((AC$194-Sys_Repl_Rate!AC107)&lt;Tech_Specs!$C35,Tech_Specs!$C35,(AC$194-Sys_Repl_Rate!AC107)),0),IF($G$194:$AF$194&lt;=AC$194,$G148:$AF148)),System_Mkt_Repl!$F361:$AE361+System_Mkt_NC!$G361:$AF361)/SUM(IF($G$194:$AF$194&gt;=ROUND(IF((AC$194-Sys_Repl_Rate!AC107)&lt;Tech_Specs!$C35,Tech_Specs!$C35,(AC$194-Sys_Repl_Rate!AC107)),0),IF($G$194:$AF$194&lt;=AC$194,System_Mkt_Repl!$F361:$AE361+System_Mkt_NC!$G361:$AF361)))))</f>
        <v>1</v>
      </c>
      <c r="AD222" s="373">
        <f t="array" ref="AD222">IF(AD$194=Misc_Inputs!$D$6,$G148,IF(SUM(IF($G$194:$AF$194&gt;=ROUND(IF((AD$194-Sys_Repl_Rate!AD107)&lt;Tech_Specs!$C35,Tech_Specs!$C35,(AD$194-Sys_Repl_Rate!AD107)),0),IF($G$194:$AF$194&lt;=AD$194,System_Mkt_Repl!$F361:$AE361+System_Mkt_NC!$G361:$AF361)))=0,AC222,SUMPRODUCT(IF($G$194:$AF$194&gt;=ROUND(IF((AD$194-Sys_Repl_Rate!AD107)&lt;Tech_Specs!$C35,Tech_Specs!$C35,(AD$194-Sys_Repl_Rate!AD107)),0),IF($G$194:$AF$194&lt;=AD$194,$G148:$AF148)),System_Mkt_Repl!$F361:$AE361+System_Mkt_NC!$G361:$AF361)/SUM(IF($G$194:$AF$194&gt;=ROUND(IF((AD$194-Sys_Repl_Rate!AD107)&lt;Tech_Specs!$C35,Tech_Specs!$C35,(AD$194-Sys_Repl_Rate!AD107)),0),IF($G$194:$AF$194&lt;=AD$194,System_Mkt_Repl!$F361:$AE361+System_Mkt_NC!$G361:$AF361)))))</f>
        <v>1</v>
      </c>
      <c r="AE222" s="373">
        <f t="array" ref="AE222">IF(AE$194=Misc_Inputs!$D$6,$G148,IF(SUM(IF($G$194:$AF$194&gt;=ROUND(IF((AE$194-Sys_Repl_Rate!AE107)&lt;Tech_Specs!$C35,Tech_Specs!$C35,(AE$194-Sys_Repl_Rate!AE107)),0),IF($G$194:$AF$194&lt;=AE$194,System_Mkt_Repl!$F361:$AE361+System_Mkt_NC!$G361:$AF361)))=0,AD222,SUMPRODUCT(IF($G$194:$AF$194&gt;=ROUND(IF((AE$194-Sys_Repl_Rate!AE107)&lt;Tech_Specs!$C35,Tech_Specs!$C35,(AE$194-Sys_Repl_Rate!AE107)),0),IF($G$194:$AF$194&lt;=AE$194,$G148:$AF148)),System_Mkt_Repl!$F361:$AE361+System_Mkt_NC!$G361:$AF361)/SUM(IF($G$194:$AF$194&gt;=ROUND(IF((AE$194-Sys_Repl_Rate!AE107)&lt;Tech_Specs!$C35,Tech_Specs!$C35,(AE$194-Sys_Repl_Rate!AE107)),0),IF($G$194:$AF$194&lt;=AE$194,System_Mkt_Repl!$F361:$AE361+System_Mkt_NC!$G361:$AF361)))))</f>
        <v>1</v>
      </c>
      <c r="AF222" s="373">
        <f t="array" ref="AF222">IF(AF$194=Misc_Inputs!$D$6,$G148,IF(SUM(IF($G$194:$AF$194&gt;=ROUND(IF((AF$194-Sys_Repl_Rate!AF107)&lt;Tech_Specs!$C35,Tech_Specs!$C35,(AF$194-Sys_Repl_Rate!AF107)),0),IF($G$194:$AF$194&lt;=AF$194,System_Mkt_Repl!$F361:$AE361+System_Mkt_NC!$G361:$AF361)))=0,AE222,SUMPRODUCT(IF($G$194:$AF$194&gt;=ROUND(IF((AF$194-Sys_Repl_Rate!AF107)&lt;Tech_Specs!$C35,Tech_Specs!$C35,(AF$194-Sys_Repl_Rate!AF107)),0),IF($G$194:$AF$194&lt;=AF$194,$G148:$AF148)),System_Mkt_Repl!$F361:$AE361+System_Mkt_NC!$G361:$AF361)/SUM(IF($G$194:$AF$194&gt;=ROUND(IF((AF$194-Sys_Repl_Rate!AF107)&lt;Tech_Specs!$C35,Tech_Specs!$C35,(AF$194-Sys_Repl_Rate!AF107)),0),IF($G$194:$AF$194&lt;=AF$194,System_Mkt_Repl!$F361:$AE361+System_Mkt_NC!$G361:$AF361)))))</f>
        <v>1</v>
      </c>
    </row>
    <row r="223" spans="1:32" s="282" customFormat="1" ht="12.75" x14ac:dyDescent="0.2">
      <c r="A223" s="278"/>
      <c r="B223" s="278" t="s">
        <v>51</v>
      </c>
      <c r="C223" s="278"/>
      <c r="D223" s="550"/>
      <c r="E223" s="550"/>
      <c r="F223" s="550"/>
      <c r="G223" s="373">
        <f t="array" ref="G223">IF(G$194=Misc_Inputs!$D$6,$G149,IF(SUM(IF($G$194:$AF$194&gt;=ROUND(IF((G$194-Sys_Repl_Rate!G108)&lt;Tech_Specs!$C36,Tech_Specs!$C36,(G$194-Sys_Repl_Rate!G108)),0),IF($G$194:$AF$194&lt;=G$194,System_Mkt_Repl!$F362:$AE362+System_Mkt_NC!$G362:$AF362)))=0,C223,SUMPRODUCT(IF($G$194:$AF$194&gt;=ROUND(IF((G$194-Sys_Repl_Rate!G108)&lt;Tech_Specs!$C36,Tech_Specs!$C36,(G$194-Sys_Repl_Rate!G108)),0),IF($G$194:$AF$194&lt;=G$194,$G149:$AF149)),System_Mkt_Repl!$F362:$AE362+System_Mkt_NC!$G362:$AF362)/SUM(IF($G$194:$AF$194&gt;=ROUND(IF((G$194-Sys_Repl_Rate!G108)&lt;Tech_Specs!$C36,Tech_Specs!$C36,(G$194-Sys_Repl_Rate!G108)),0),IF($G$194:$AF$194&lt;=G$194,System_Mkt_Repl!$F362:$AE362+System_Mkt_NC!$G362:$AF362)))))</f>
        <v>1</v>
      </c>
      <c r="H223" s="373">
        <f t="array" ref="H223">IF(H$194=Misc_Inputs!$D$6,$G149,IF(SUM(IF($G$194:$AF$194&gt;=ROUND(IF((H$194-Sys_Repl_Rate!H108)&lt;Tech_Specs!$C36,Tech_Specs!$C36,(H$194-Sys_Repl_Rate!H108)),0),IF($G$194:$AF$194&lt;=H$194,System_Mkt_Repl!$F362:$AE362+System_Mkt_NC!$G362:$AF362)))=0,G223,SUMPRODUCT(IF($G$194:$AF$194&gt;=ROUND(IF((H$194-Sys_Repl_Rate!H108)&lt;Tech_Specs!$C36,Tech_Specs!$C36,(H$194-Sys_Repl_Rate!H108)),0),IF($G$194:$AF$194&lt;=H$194,$G149:$AF149)),System_Mkt_Repl!$F362:$AE362+System_Mkt_NC!$G362:$AF362)/SUM(IF($G$194:$AF$194&gt;=ROUND(IF((H$194-Sys_Repl_Rate!H108)&lt;Tech_Specs!$C36,Tech_Specs!$C36,(H$194-Sys_Repl_Rate!H108)),0),IF($G$194:$AF$194&lt;=H$194,System_Mkt_Repl!$F362:$AE362+System_Mkt_NC!$G362:$AF362)))))</f>
        <v>1</v>
      </c>
      <c r="I223" s="373">
        <f t="array" ref="I223">IF(I$194=Misc_Inputs!$D$6,$G149,IF(SUM(IF($G$194:$AF$194&gt;=ROUND(IF((I$194-Sys_Repl_Rate!I108)&lt;Tech_Specs!$C36,Tech_Specs!$C36,(I$194-Sys_Repl_Rate!I108)),0),IF($G$194:$AF$194&lt;=I$194,System_Mkt_Repl!$F362:$AE362+System_Mkt_NC!$G362:$AF362)))=0,H223,SUMPRODUCT(IF($G$194:$AF$194&gt;=ROUND(IF((I$194-Sys_Repl_Rate!I108)&lt;Tech_Specs!$C36,Tech_Specs!$C36,(I$194-Sys_Repl_Rate!I108)),0),IF($G$194:$AF$194&lt;=I$194,$G149:$AF149)),System_Mkt_Repl!$F362:$AE362+System_Mkt_NC!$G362:$AF362)/SUM(IF($G$194:$AF$194&gt;=ROUND(IF((I$194-Sys_Repl_Rate!I108)&lt;Tech_Specs!$C36,Tech_Specs!$C36,(I$194-Sys_Repl_Rate!I108)),0),IF($G$194:$AF$194&lt;=I$194,System_Mkt_Repl!$F362:$AE362+System_Mkt_NC!$G362:$AF362)))))</f>
        <v>1</v>
      </c>
      <c r="J223" s="373">
        <f t="array" ref="J223">IF(J$194=Misc_Inputs!$D$6,$G149,IF(SUM(IF($G$194:$AF$194&gt;=ROUND(IF((J$194-Sys_Repl_Rate!J108)&lt;Tech_Specs!$C36,Tech_Specs!$C36,(J$194-Sys_Repl_Rate!J108)),0),IF($G$194:$AF$194&lt;=J$194,System_Mkt_Repl!$F362:$AE362+System_Mkt_NC!$G362:$AF362)))=0,I223,SUMPRODUCT(IF($G$194:$AF$194&gt;=ROUND(IF((J$194-Sys_Repl_Rate!J108)&lt;Tech_Specs!$C36,Tech_Specs!$C36,(J$194-Sys_Repl_Rate!J108)),0),IF($G$194:$AF$194&lt;=J$194,$G149:$AF149)),System_Mkt_Repl!$F362:$AE362+System_Mkt_NC!$G362:$AF362)/SUM(IF($G$194:$AF$194&gt;=ROUND(IF((J$194-Sys_Repl_Rate!J108)&lt;Tech_Specs!$C36,Tech_Specs!$C36,(J$194-Sys_Repl_Rate!J108)),0),IF($G$194:$AF$194&lt;=J$194,System_Mkt_Repl!$F362:$AE362+System_Mkt_NC!$G362:$AF362)))))</f>
        <v>1</v>
      </c>
      <c r="K223" s="373">
        <f t="array" ref="K223">IF(K$194=Misc_Inputs!$D$6,$G149,IF(SUM(IF($G$194:$AF$194&gt;=ROUND(IF((K$194-Sys_Repl_Rate!K108)&lt;Tech_Specs!$C36,Tech_Specs!$C36,(K$194-Sys_Repl_Rate!K108)),0),IF($G$194:$AF$194&lt;=K$194,System_Mkt_Repl!$F362:$AE362+System_Mkt_NC!$G362:$AF362)))=0,J223,SUMPRODUCT(IF($G$194:$AF$194&gt;=ROUND(IF((K$194-Sys_Repl_Rate!K108)&lt;Tech_Specs!$C36,Tech_Specs!$C36,(K$194-Sys_Repl_Rate!K108)),0),IF($G$194:$AF$194&lt;=K$194,$G149:$AF149)),System_Mkt_Repl!$F362:$AE362+System_Mkt_NC!$G362:$AF362)/SUM(IF($G$194:$AF$194&gt;=ROUND(IF((K$194-Sys_Repl_Rate!K108)&lt;Tech_Specs!$C36,Tech_Specs!$C36,(K$194-Sys_Repl_Rate!K108)),0),IF($G$194:$AF$194&lt;=K$194,System_Mkt_Repl!$F362:$AE362+System_Mkt_NC!$G362:$AF362)))))</f>
        <v>1</v>
      </c>
      <c r="L223" s="373">
        <f t="array" ref="L223">IF(L$194=Misc_Inputs!$D$6,$G149,IF(SUM(IF($G$194:$AF$194&gt;=ROUND(IF((L$194-Sys_Repl_Rate!L108)&lt;Tech_Specs!$C36,Tech_Specs!$C36,(L$194-Sys_Repl_Rate!L108)),0),IF($G$194:$AF$194&lt;=L$194,System_Mkt_Repl!$F362:$AE362+System_Mkt_NC!$G362:$AF362)))=0,K223,SUMPRODUCT(IF($G$194:$AF$194&gt;=ROUND(IF((L$194-Sys_Repl_Rate!L108)&lt;Tech_Specs!$C36,Tech_Specs!$C36,(L$194-Sys_Repl_Rate!L108)),0),IF($G$194:$AF$194&lt;=L$194,$G149:$AF149)),System_Mkt_Repl!$F362:$AE362+System_Mkt_NC!$G362:$AF362)/SUM(IF($G$194:$AF$194&gt;=ROUND(IF((L$194-Sys_Repl_Rate!L108)&lt;Tech_Specs!$C36,Tech_Specs!$C36,(L$194-Sys_Repl_Rate!L108)),0),IF($G$194:$AF$194&lt;=L$194,System_Mkt_Repl!$F362:$AE362+System_Mkt_NC!$G362:$AF362)))))</f>
        <v>1</v>
      </c>
      <c r="M223" s="373">
        <f t="array" ref="M223">IF(M$194=Misc_Inputs!$D$6,$G149,IF(SUM(IF($G$194:$AF$194&gt;=ROUND(IF((M$194-Sys_Repl_Rate!M108)&lt;Tech_Specs!$C36,Tech_Specs!$C36,(M$194-Sys_Repl_Rate!M108)),0),IF($G$194:$AF$194&lt;=M$194,System_Mkt_Repl!$F362:$AE362+System_Mkt_NC!$G362:$AF362)))=0,L223,SUMPRODUCT(IF($G$194:$AF$194&gt;=ROUND(IF((M$194-Sys_Repl_Rate!M108)&lt;Tech_Specs!$C36,Tech_Specs!$C36,(M$194-Sys_Repl_Rate!M108)),0),IF($G$194:$AF$194&lt;=M$194,$G149:$AF149)),System_Mkt_Repl!$F362:$AE362+System_Mkt_NC!$G362:$AF362)/SUM(IF($G$194:$AF$194&gt;=ROUND(IF((M$194-Sys_Repl_Rate!M108)&lt;Tech_Specs!$C36,Tech_Specs!$C36,(M$194-Sys_Repl_Rate!M108)),0),IF($G$194:$AF$194&lt;=M$194,System_Mkt_Repl!$F362:$AE362+System_Mkt_NC!$G362:$AF362)))))</f>
        <v>1</v>
      </c>
      <c r="N223" s="373">
        <f t="array" ref="N223">IF(N$194=Misc_Inputs!$D$6,$G149,IF(SUM(IF($G$194:$AF$194&gt;=ROUND(IF((N$194-Sys_Repl_Rate!N108)&lt;Tech_Specs!$C36,Tech_Specs!$C36,(N$194-Sys_Repl_Rate!N108)),0),IF($G$194:$AF$194&lt;=N$194,System_Mkt_Repl!$F362:$AE362+System_Mkt_NC!$G362:$AF362)))=0,M223,SUMPRODUCT(IF($G$194:$AF$194&gt;=ROUND(IF((N$194-Sys_Repl_Rate!N108)&lt;Tech_Specs!$C36,Tech_Specs!$C36,(N$194-Sys_Repl_Rate!N108)),0),IF($G$194:$AF$194&lt;=N$194,$G149:$AF149)),System_Mkt_Repl!$F362:$AE362+System_Mkt_NC!$G362:$AF362)/SUM(IF($G$194:$AF$194&gt;=ROUND(IF((N$194-Sys_Repl_Rate!N108)&lt;Tech_Specs!$C36,Tech_Specs!$C36,(N$194-Sys_Repl_Rate!N108)),0),IF($G$194:$AF$194&lt;=N$194,System_Mkt_Repl!$F362:$AE362+System_Mkt_NC!$G362:$AF362)))))</f>
        <v>1</v>
      </c>
      <c r="O223" s="373">
        <f t="array" ref="O223">IF(O$194=Misc_Inputs!$D$6,$G149,IF(SUM(IF($G$194:$AF$194&gt;=ROUND(IF((O$194-Sys_Repl_Rate!O108)&lt;Tech_Specs!$C36,Tech_Specs!$C36,(O$194-Sys_Repl_Rate!O108)),0),IF($G$194:$AF$194&lt;=O$194,System_Mkt_Repl!$F362:$AE362+System_Mkt_NC!$G362:$AF362)))=0,N223,SUMPRODUCT(IF($G$194:$AF$194&gt;=ROUND(IF((O$194-Sys_Repl_Rate!O108)&lt;Tech_Specs!$C36,Tech_Specs!$C36,(O$194-Sys_Repl_Rate!O108)),0),IF($G$194:$AF$194&lt;=O$194,$G149:$AF149)),System_Mkt_Repl!$F362:$AE362+System_Mkt_NC!$G362:$AF362)/SUM(IF($G$194:$AF$194&gt;=ROUND(IF((O$194-Sys_Repl_Rate!O108)&lt;Tech_Specs!$C36,Tech_Specs!$C36,(O$194-Sys_Repl_Rate!O108)),0),IF($G$194:$AF$194&lt;=O$194,System_Mkt_Repl!$F362:$AE362+System_Mkt_NC!$G362:$AF362)))))</f>
        <v>1</v>
      </c>
      <c r="P223" s="373">
        <f t="array" ref="P223">IF(P$194=Misc_Inputs!$D$6,$G149,IF(SUM(IF($G$194:$AF$194&gt;=ROUND(IF((P$194-Sys_Repl_Rate!P108)&lt;Tech_Specs!$C36,Tech_Specs!$C36,(P$194-Sys_Repl_Rate!P108)),0),IF($G$194:$AF$194&lt;=P$194,System_Mkt_Repl!$F362:$AE362+System_Mkt_NC!$G362:$AF362)))=0,O223,SUMPRODUCT(IF($G$194:$AF$194&gt;=ROUND(IF((P$194-Sys_Repl_Rate!P108)&lt;Tech_Specs!$C36,Tech_Specs!$C36,(P$194-Sys_Repl_Rate!P108)),0),IF($G$194:$AF$194&lt;=P$194,$G149:$AF149)),System_Mkt_Repl!$F362:$AE362+System_Mkt_NC!$G362:$AF362)/SUM(IF($G$194:$AF$194&gt;=ROUND(IF((P$194-Sys_Repl_Rate!P108)&lt;Tech_Specs!$C36,Tech_Specs!$C36,(P$194-Sys_Repl_Rate!P108)),0),IF($G$194:$AF$194&lt;=P$194,System_Mkt_Repl!$F362:$AE362+System_Mkt_NC!$G362:$AF362)))))</f>
        <v>1</v>
      </c>
      <c r="Q223" s="373">
        <f t="array" ref="Q223">IF(Q$194=Misc_Inputs!$D$6,$G149,IF(SUM(IF($G$194:$AF$194&gt;=ROUND(IF((Q$194-Sys_Repl_Rate!Q108)&lt;Tech_Specs!$C36,Tech_Specs!$C36,(Q$194-Sys_Repl_Rate!Q108)),0),IF($G$194:$AF$194&lt;=Q$194,System_Mkt_Repl!$F362:$AE362+System_Mkt_NC!$G362:$AF362)))=0,P223,SUMPRODUCT(IF($G$194:$AF$194&gt;=ROUND(IF((Q$194-Sys_Repl_Rate!Q108)&lt;Tech_Specs!$C36,Tech_Specs!$C36,(Q$194-Sys_Repl_Rate!Q108)),0),IF($G$194:$AF$194&lt;=Q$194,$G149:$AF149)),System_Mkt_Repl!$F362:$AE362+System_Mkt_NC!$G362:$AF362)/SUM(IF($G$194:$AF$194&gt;=ROUND(IF((Q$194-Sys_Repl_Rate!Q108)&lt;Tech_Specs!$C36,Tech_Specs!$C36,(Q$194-Sys_Repl_Rate!Q108)),0),IF($G$194:$AF$194&lt;=Q$194,System_Mkt_Repl!$F362:$AE362+System_Mkt_NC!$G362:$AF362)))))</f>
        <v>1</v>
      </c>
      <c r="R223" s="373">
        <f t="array" ref="R223">IF(R$194=Misc_Inputs!$D$6,$G149,IF(SUM(IF($G$194:$AF$194&gt;=ROUND(IF((R$194-Sys_Repl_Rate!R108)&lt;Tech_Specs!$C36,Tech_Specs!$C36,(R$194-Sys_Repl_Rate!R108)),0),IF($G$194:$AF$194&lt;=R$194,System_Mkt_Repl!$F362:$AE362+System_Mkt_NC!$G362:$AF362)))=0,Q223,SUMPRODUCT(IF($G$194:$AF$194&gt;=ROUND(IF((R$194-Sys_Repl_Rate!R108)&lt;Tech_Specs!$C36,Tech_Specs!$C36,(R$194-Sys_Repl_Rate!R108)),0),IF($G$194:$AF$194&lt;=R$194,$G149:$AF149)),System_Mkt_Repl!$F362:$AE362+System_Mkt_NC!$G362:$AF362)/SUM(IF($G$194:$AF$194&gt;=ROUND(IF((R$194-Sys_Repl_Rate!R108)&lt;Tech_Specs!$C36,Tech_Specs!$C36,(R$194-Sys_Repl_Rate!R108)),0),IF($G$194:$AF$194&lt;=R$194,System_Mkt_Repl!$F362:$AE362+System_Mkt_NC!$G362:$AF362)))))</f>
        <v>1</v>
      </c>
      <c r="S223" s="373">
        <f t="array" ref="S223">IF(S$194=Misc_Inputs!$D$6,$G149,IF(SUM(IF($G$194:$AF$194&gt;=ROUND(IF((S$194-Sys_Repl_Rate!S108)&lt;Tech_Specs!$C36,Tech_Specs!$C36,(S$194-Sys_Repl_Rate!S108)),0),IF($G$194:$AF$194&lt;=S$194,System_Mkt_Repl!$F362:$AE362+System_Mkt_NC!$G362:$AF362)))=0,R223,SUMPRODUCT(IF($G$194:$AF$194&gt;=ROUND(IF((S$194-Sys_Repl_Rate!S108)&lt;Tech_Specs!$C36,Tech_Specs!$C36,(S$194-Sys_Repl_Rate!S108)),0),IF($G$194:$AF$194&lt;=S$194,$G149:$AF149)),System_Mkt_Repl!$F362:$AE362+System_Mkt_NC!$G362:$AF362)/SUM(IF($G$194:$AF$194&gt;=ROUND(IF((S$194-Sys_Repl_Rate!S108)&lt;Tech_Specs!$C36,Tech_Specs!$C36,(S$194-Sys_Repl_Rate!S108)),0),IF($G$194:$AF$194&lt;=S$194,System_Mkt_Repl!$F362:$AE362+System_Mkt_NC!$G362:$AF362)))))</f>
        <v>1</v>
      </c>
      <c r="T223" s="373">
        <f t="array" ref="T223">IF(T$194=Misc_Inputs!$D$6,$G149,IF(SUM(IF($G$194:$AF$194&gt;=ROUND(IF((T$194-Sys_Repl_Rate!T108)&lt;Tech_Specs!$C36,Tech_Specs!$C36,(T$194-Sys_Repl_Rate!T108)),0),IF($G$194:$AF$194&lt;=T$194,System_Mkt_Repl!$F362:$AE362+System_Mkt_NC!$G362:$AF362)))=0,S223,SUMPRODUCT(IF($G$194:$AF$194&gt;=ROUND(IF((T$194-Sys_Repl_Rate!T108)&lt;Tech_Specs!$C36,Tech_Specs!$C36,(T$194-Sys_Repl_Rate!T108)),0),IF($G$194:$AF$194&lt;=T$194,$G149:$AF149)),System_Mkt_Repl!$F362:$AE362+System_Mkt_NC!$G362:$AF362)/SUM(IF($G$194:$AF$194&gt;=ROUND(IF((T$194-Sys_Repl_Rate!T108)&lt;Tech_Specs!$C36,Tech_Specs!$C36,(T$194-Sys_Repl_Rate!T108)),0),IF($G$194:$AF$194&lt;=T$194,System_Mkt_Repl!$F362:$AE362+System_Mkt_NC!$G362:$AF362)))))</f>
        <v>1</v>
      </c>
      <c r="U223" s="373">
        <f t="array" ref="U223">IF(U$194=Misc_Inputs!$D$6,$G149,IF(SUM(IF($G$194:$AF$194&gt;=ROUND(IF((U$194-Sys_Repl_Rate!U108)&lt;Tech_Specs!$C36,Tech_Specs!$C36,(U$194-Sys_Repl_Rate!U108)),0),IF($G$194:$AF$194&lt;=U$194,System_Mkt_Repl!$F362:$AE362+System_Mkt_NC!$G362:$AF362)))=0,T223,SUMPRODUCT(IF($G$194:$AF$194&gt;=ROUND(IF((U$194-Sys_Repl_Rate!U108)&lt;Tech_Specs!$C36,Tech_Specs!$C36,(U$194-Sys_Repl_Rate!U108)),0),IF($G$194:$AF$194&lt;=U$194,$G149:$AF149)),System_Mkt_Repl!$F362:$AE362+System_Mkt_NC!$G362:$AF362)/SUM(IF($G$194:$AF$194&gt;=ROUND(IF((U$194-Sys_Repl_Rate!U108)&lt;Tech_Specs!$C36,Tech_Specs!$C36,(U$194-Sys_Repl_Rate!U108)),0),IF($G$194:$AF$194&lt;=U$194,System_Mkt_Repl!$F362:$AE362+System_Mkt_NC!$G362:$AF362)))))</f>
        <v>1</v>
      </c>
      <c r="V223" s="373">
        <f t="array" ref="V223">IF(V$194=Misc_Inputs!$D$6,$G149,IF(SUM(IF($G$194:$AF$194&gt;=ROUND(IF((V$194-Sys_Repl_Rate!V108)&lt;Tech_Specs!$C36,Tech_Specs!$C36,(V$194-Sys_Repl_Rate!V108)),0),IF($G$194:$AF$194&lt;=V$194,System_Mkt_Repl!$F362:$AE362+System_Mkt_NC!$G362:$AF362)))=0,U223,SUMPRODUCT(IF($G$194:$AF$194&gt;=ROUND(IF((V$194-Sys_Repl_Rate!V108)&lt;Tech_Specs!$C36,Tech_Specs!$C36,(V$194-Sys_Repl_Rate!V108)),0),IF($G$194:$AF$194&lt;=V$194,$G149:$AF149)),System_Mkt_Repl!$F362:$AE362+System_Mkt_NC!$G362:$AF362)/SUM(IF($G$194:$AF$194&gt;=ROUND(IF((V$194-Sys_Repl_Rate!V108)&lt;Tech_Specs!$C36,Tech_Specs!$C36,(V$194-Sys_Repl_Rate!V108)),0),IF($G$194:$AF$194&lt;=V$194,System_Mkt_Repl!$F362:$AE362+System_Mkt_NC!$G362:$AF362)))))</f>
        <v>1</v>
      </c>
      <c r="W223" s="373">
        <f t="array" ref="W223">IF(W$194=Misc_Inputs!$D$6,$G149,IF(SUM(IF($G$194:$AF$194&gt;=ROUND(IF((W$194-Sys_Repl_Rate!W108)&lt;Tech_Specs!$C36,Tech_Specs!$C36,(W$194-Sys_Repl_Rate!W108)),0),IF($G$194:$AF$194&lt;=W$194,System_Mkt_Repl!$F362:$AE362+System_Mkt_NC!$G362:$AF362)))=0,V223,SUMPRODUCT(IF($G$194:$AF$194&gt;=ROUND(IF((W$194-Sys_Repl_Rate!W108)&lt;Tech_Specs!$C36,Tech_Specs!$C36,(W$194-Sys_Repl_Rate!W108)),0),IF($G$194:$AF$194&lt;=W$194,$G149:$AF149)),System_Mkt_Repl!$F362:$AE362+System_Mkt_NC!$G362:$AF362)/SUM(IF($G$194:$AF$194&gt;=ROUND(IF((W$194-Sys_Repl_Rate!W108)&lt;Tech_Specs!$C36,Tech_Specs!$C36,(W$194-Sys_Repl_Rate!W108)),0),IF($G$194:$AF$194&lt;=W$194,System_Mkt_Repl!$F362:$AE362+System_Mkt_NC!$G362:$AF362)))))</f>
        <v>1</v>
      </c>
      <c r="X223" s="373">
        <f t="array" ref="X223">IF(X$194=Misc_Inputs!$D$6,$G149,IF(SUM(IF($G$194:$AF$194&gt;=ROUND(IF((X$194-Sys_Repl_Rate!X108)&lt;Tech_Specs!$C36,Tech_Specs!$C36,(X$194-Sys_Repl_Rate!X108)),0),IF($G$194:$AF$194&lt;=X$194,System_Mkt_Repl!$F362:$AE362+System_Mkt_NC!$G362:$AF362)))=0,W223,SUMPRODUCT(IF($G$194:$AF$194&gt;=ROUND(IF((X$194-Sys_Repl_Rate!X108)&lt;Tech_Specs!$C36,Tech_Specs!$C36,(X$194-Sys_Repl_Rate!X108)),0),IF($G$194:$AF$194&lt;=X$194,$G149:$AF149)),System_Mkt_Repl!$F362:$AE362+System_Mkt_NC!$G362:$AF362)/SUM(IF($G$194:$AF$194&gt;=ROUND(IF((X$194-Sys_Repl_Rate!X108)&lt;Tech_Specs!$C36,Tech_Specs!$C36,(X$194-Sys_Repl_Rate!X108)),0),IF($G$194:$AF$194&lt;=X$194,System_Mkt_Repl!$F362:$AE362+System_Mkt_NC!$G362:$AF362)))))</f>
        <v>1</v>
      </c>
      <c r="Y223" s="373">
        <f t="array" ref="Y223">IF(Y$194=Misc_Inputs!$D$6,$G149,IF(SUM(IF($G$194:$AF$194&gt;=ROUND(IF((Y$194-Sys_Repl_Rate!Y108)&lt;Tech_Specs!$C36,Tech_Specs!$C36,(Y$194-Sys_Repl_Rate!Y108)),0),IF($G$194:$AF$194&lt;=Y$194,System_Mkt_Repl!$F362:$AE362+System_Mkt_NC!$G362:$AF362)))=0,X223,SUMPRODUCT(IF($G$194:$AF$194&gt;=ROUND(IF((Y$194-Sys_Repl_Rate!Y108)&lt;Tech_Specs!$C36,Tech_Specs!$C36,(Y$194-Sys_Repl_Rate!Y108)),0),IF($G$194:$AF$194&lt;=Y$194,$G149:$AF149)),System_Mkt_Repl!$F362:$AE362+System_Mkt_NC!$G362:$AF362)/SUM(IF($G$194:$AF$194&gt;=ROUND(IF((Y$194-Sys_Repl_Rate!Y108)&lt;Tech_Specs!$C36,Tech_Specs!$C36,(Y$194-Sys_Repl_Rate!Y108)),0),IF($G$194:$AF$194&lt;=Y$194,System_Mkt_Repl!$F362:$AE362+System_Mkt_NC!$G362:$AF362)))))</f>
        <v>1</v>
      </c>
      <c r="Z223" s="373">
        <f t="array" ref="Z223">IF(Z$194=Misc_Inputs!$D$6,$G149,IF(SUM(IF($G$194:$AF$194&gt;=ROUND(IF((Z$194-Sys_Repl_Rate!Z108)&lt;Tech_Specs!$C36,Tech_Specs!$C36,(Z$194-Sys_Repl_Rate!Z108)),0),IF($G$194:$AF$194&lt;=Z$194,System_Mkt_Repl!$F362:$AE362+System_Mkt_NC!$G362:$AF362)))=0,Y223,SUMPRODUCT(IF($G$194:$AF$194&gt;=ROUND(IF((Z$194-Sys_Repl_Rate!Z108)&lt;Tech_Specs!$C36,Tech_Specs!$C36,(Z$194-Sys_Repl_Rate!Z108)),0),IF($G$194:$AF$194&lt;=Z$194,$G149:$AF149)),System_Mkt_Repl!$F362:$AE362+System_Mkt_NC!$G362:$AF362)/SUM(IF($G$194:$AF$194&gt;=ROUND(IF((Z$194-Sys_Repl_Rate!Z108)&lt;Tech_Specs!$C36,Tech_Specs!$C36,(Z$194-Sys_Repl_Rate!Z108)),0),IF($G$194:$AF$194&lt;=Z$194,System_Mkt_Repl!$F362:$AE362+System_Mkt_NC!$G362:$AF362)))))</f>
        <v>1</v>
      </c>
      <c r="AA223" s="373">
        <f t="array" ref="AA223">IF(AA$194=Misc_Inputs!$D$6,$G149,IF(SUM(IF($G$194:$AF$194&gt;=ROUND(IF((AA$194-Sys_Repl_Rate!AA108)&lt;Tech_Specs!$C36,Tech_Specs!$C36,(AA$194-Sys_Repl_Rate!AA108)),0),IF($G$194:$AF$194&lt;=AA$194,System_Mkt_Repl!$F362:$AE362+System_Mkt_NC!$G362:$AF362)))=0,Z223,SUMPRODUCT(IF($G$194:$AF$194&gt;=ROUND(IF((AA$194-Sys_Repl_Rate!AA108)&lt;Tech_Specs!$C36,Tech_Specs!$C36,(AA$194-Sys_Repl_Rate!AA108)),0),IF($G$194:$AF$194&lt;=AA$194,$G149:$AF149)),System_Mkt_Repl!$F362:$AE362+System_Mkt_NC!$G362:$AF362)/SUM(IF($G$194:$AF$194&gt;=ROUND(IF((AA$194-Sys_Repl_Rate!AA108)&lt;Tech_Specs!$C36,Tech_Specs!$C36,(AA$194-Sys_Repl_Rate!AA108)),0),IF($G$194:$AF$194&lt;=AA$194,System_Mkt_Repl!$F362:$AE362+System_Mkt_NC!$G362:$AF362)))))</f>
        <v>1</v>
      </c>
      <c r="AB223" s="373">
        <f t="array" ref="AB223">IF(AB$194=Misc_Inputs!$D$6,$G149,IF(SUM(IF($G$194:$AF$194&gt;=ROUND(IF((AB$194-Sys_Repl_Rate!AB108)&lt;Tech_Specs!$C36,Tech_Specs!$C36,(AB$194-Sys_Repl_Rate!AB108)),0),IF($G$194:$AF$194&lt;=AB$194,System_Mkt_Repl!$F362:$AE362+System_Mkt_NC!$G362:$AF362)))=0,AA223,SUMPRODUCT(IF($G$194:$AF$194&gt;=ROUND(IF((AB$194-Sys_Repl_Rate!AB108)&lt;Tech_Specs!$C36,Tech_Specs!$C36,(AB$194-Sys_Repl_Rate!AB108)),0),IF($G$194:$AF$194&lt;=AB$194,$G149:$AF149)),System_Mkt_Repl!$F362:$AE362+System_Mkt_NC!$G362:$AF362)/SUM(IF($G$194:$AF$194&gt;=ROUND(IF((AB$194-Sys_Repl_Rate!AB108)&lt;Tech_Specs!$C36,Tech_Specs!$C36,(AB$194-Sys_Repl_Rate!AB108)),0),IF($G$194:$AF$194&lt;=AB$194,System_Mkt_Repl!$F362:$AE362+System_Mkt_NC!$G362:$AF362)))))</f>
        <v>1</v>
      </c>
      <c r="AC223" s="373">
        <f t="array" ref="AC223">IF(AC$194=Misc_Inputs!$D$6,$G149,IF(SUM(IF($G$194:$AF$194&gt;=ROUND(IF((AC$194-Sys_Repl_Rate!AC108)&lt;Tech_Specs!$C36,Tech_Specs!$C36,(AC$194-Sys_Repl_Rate!AC108)),0),IF($G$194:$AF$194&lt;=AC$194,System_Mkt_Repl!$F362:$AE362+System_Mkt_NC!$G362:$AF362)))=0,AB223,SUMPRODUCT(IF($G$194:$AF$194&gt;=ROUND(IF((AC$194-Sys_Repl_Rate!AC108)&lt;Tech_Specs!$C36,Tech_Specs!$C36,(AC$194-Sys_Repl_Rate!AC108)),0),IF($G$194:$AF$194&lt;=AC$194,$G149:$AF149)),System_Mkt_Repl!$F362:$AE362+System_Mkt_NC!$G362:$AF362)/SUM(IF($G$194:$AF$194&gt;=ROUND(IF((AC$194-Sys_Repl_Rate!AC108)&lt;Tech_Specs!$C36,Tech_Specs!$C36,(AC$194-Sys_Repl_Rate!AC108)),0),IF($G$194:$AF$194&lt;=AC$194,System_Mkt_Repl!$F362:$AE362+System_Mkt_NC!$G362:$AF362)))))</f>
        <v>1</v>
      </c>
      <c r="AD223" s="373">
        <f t="array" ref="AD223">IF(AD$194=Misc_Inputs!$D$6,$G149,IF(SUM(IF($G$194:$AF$194&gt;=ROUND(IF((AD$194-Sys_Repl_Rate!AD108)&lt;Tech_Specs!$C36,Tech_Specs!$C36,(AD$194-Sys_Repl_Rate!AD108)),0),IF($G$194:$AF$194&lt;=AD$194,System_Mkt_Repl!$F362:$AE362+System_Mkt_NC!$G362:$AF362)))=0,AC223,SUMPRODUCT(IF($G$194:$AF$194&gt;=ROUND(IF((AD$194-Sys_Repl_Rate!AD108)&lt;Tech_Specs!$C36,Tech_Specs!$C36,(AD$194-Sys_Repl_Rate!AD108)),0),IF($G$194:$AF$194&lt;=AD$194,$G149:$AF149)),System_Mkt_Repl!$F362:$AE362+System_Mkt_NC!$G362:$AF362)/SUM(IF($G$194:$AF$194&gt;=ROUND(IF((AD$194-Sys_Repl_Rate!AD108)&lt;Tech_Specs!$C36,Tech_Specs!$C36,(AD$194-Sys_Repl_Rate!AD108)),0),IF($G$194:$AF$194&lt;=AD$194,System_Mkt_Repl!$F362:$AE362+System_Mkt_NC!$G362:$AF362)))))</f>
        <v>1</v>
      </c>
      <c r="AE223" s="373">
        <f t="array" ref="AE223">IF(AE$194=Misc_Inputs!$D$6,$G149,IF(SUM(IF($G$194:$AF$194&gt;=ROUND(IF((AE$194-Sys_Repl_Rate!AE108)&lt;Tech_Specs!$C36,Tech_Specs!$C36,(AE$194-Sys_Repl_Rate!AE108)),0),IF($G$194:$AF$194&lt;=AE$194,System_Mkt_Repl!$F362:$AE362+System_Mkt_NC!$G362:$AF362)))=0,AD223,SUMPRODUCT(IF($G$194:$AF$194&gt;=ROUND(IF((AE$194-Sys_Repl_Rate!AE108)&lt;Tech_Specs!$C36,Tech_Specs!$C36,(AE$194-Sys_Repl_Rate!AE108)),0),IF($G$194:$AF$194&lt;=AE$194,$G149:$AF149)),System_Mkt_Repl!$F362:$AE362+System_Mkt_NC!$G362:$AF362)/SUM(IF($G$194:$AF$194&gt;=ROUND(IF((AE$194-Sys_Repl_Rate!AE108)&lt;Tech_Specs!$C36,Tech_Specs!$C36,(AE$194-Sys_Repl_Rate!AE108)),0),IF($G$194:$AF$194&lt;=AE$194,System_Mkt_Repl!$F362:$AE362+System_Mkt_NC!$G362:$AF362)))))</f>
        <v>1</v>
      </c>
      <c r="AF223" s="373">
        <f t="array" ref="AF223">IF(AF$194=Misc_Inputs!$D$6,$G149,IF(SUM(IF($G$194:$AF$194&gt;=ROUND(IF((AF$194-Sys_Repl_Rate!AF108)&lt;Tech_Specs!$C36,Tech_Specs!$C36,(AF$194-Sys_Repl_Rate!AF108)),0),IF($G$194:$AF$194&lt;=AF$194,System_Mkt_Repl!$F362:$AE362+System_Mkt_NC!$G362:$AF362)))=0,AE223,SUMPRODUCT(IF($G$194:$AF$194&gt;=ROUND(IF((AF$194-Sys_Repl_Rate!AF108)&lt;Tech_Specs!$C36,Tech_Specs!$C36,(AF$194-Sys_Repl_Rate!AF108)),0),IF($G$194:$AF$194&lt;=AF$194,$G149:$AF149)),System_Mkt_Repl!$F362:$AE362+System_Mkt_NC!$G362:$AF362)/SUM(IF($G$194:$AF$194&gt;=ROUND(IF((AF$194-Sys_Repl_Rate!AF108)&lt;Tech_Specs!$C36,Tech_Specs!$C36,(AF$194-Sys_Repl_Rate!AF108)),0),IF($G$194:$AF$194&lt;=AF$194,System_Mkt_Repl!$F362:$AE362+System_Mkt_NC!$G362:$AF362)))))</f>
        <v>1</v>
      </c>
    </row>
    <row r="224" spans="1:32" s="282" customFormat="1" ht="12.75" x14ac:dyDescent="0.2">
      <c r="A224" s="278"/>
      <c r="B224" s="278" t="s">
        <v>52</v>
      </c>
      <c r="C224" s="278"/>
      <c r="D224" s="550"/>
      <c r="E224" s="550"/>
      <c r="F224" s="550"/>
      <c r="G224" s="373">
        <f t="array" ref="G224">IF(G$194=Misc_Inputs!$D$6,$G150,IF(SUM(IF($G$194:$AF$194&gt;=ROUND(IF((G$194-Sys_Repl_Rate!G109)&lt;Tech_Specs!$C37,Tech_Specs!$C37,(G$194-Sys_Repl_Rate!G109)),0),IF($G$194:$AF$194&lt;=G$194,System_Mkt_Repl!$F363:$AE363+System_Mkt_NC!$G363:$AF363)))=0,C224,SUMPRODUCT(IF($G$194:$AF$194&gt;=ROUND(IF((G$194-Sys_Repl_Rate!G109)&lt;Tech_Specs!$C37,Tech_Specs!$C37,(G$194-Sys_Repl_Rate!G109)),0),IF($G$194:$AF$194&lt;=G$194,$G150:$AF150)),System_Mkt_Repl!$F363:$AE363+System_Mkt_NC!$G363:$AF363)/SUM(IF($G$194:$AF$194&gt;=ROUND(IF((G$194-Sys_Repl_Rate!G109)&lt;Tech_Specs!$C37,Tech_Specs!$C37,(G$194-Sys_Repl_Rate!G109)),0),IF($G$194:$AF$194&lt;=G$194,System_Mkt_Repl!$F363:$AE363+System_Mkt_NC!$G363:$AF363)))))</f>
        <v>0.872</v>
      </c>
      <c r="H224" s="373">
        <f t="array" ref="H224">IF(H$194=Misc_Inputs!$D$6,$G150,IF(SUM(IF($G$194:$AF$194&gt;=ROUND(IF((H$194-Sys_Repl_Rate!H109)&lt;Tech_Specs!$C37,Tech_Specs!$C37,(H$194-Sys_Repl_Rate!H109)),0),IF($G$194:$AF$194&lt;=H$194,System_Mkt_Repl!$F363:$AE363+System_Mkt_NC!$G363:$AF363)))=0,G224,SUMPRODUCT(IF($G$194:$AF$194&gt;=ROUND(IF((H$194-Sys_Repl_Rate!H109)&lt;Tech_Specs!$C37,Tech_Specs!$C37,(H$194-Sys_Repl_Rate!H109)),0),IF($G$194:$AF$194&lt;=H$194,$G150:$AF150)),System_Mkt_Repl!$F363:$AE363+System_Mkt_NC!$G363:$AF363)/SUM(IF($G$194:$AF$194&gt;=ROUND(IF((H$194-Sys_Repl_Rate!H109)&lt;Tech_Specs!$C37,Tech_Specs!$C37,(H$194-Sys_Repl_Rate!H109)),0),IF($G$194:$AF$194&lt;=H$194,System_Mkt_Repl!$F363:$AE363+System_Mkt_NC!$G363:$AF363)))))</f>
        <v>0.87199999999999989</v>
      </c>
      <c r="I224" s="373">
        <f t="array" ref="I224">IF(I$194=Misc_Inputs!$D$6,$G150,IF(SUM(IF($G$194:$AF$194&gt;=ROUND(IF((I$194-Sys_Repl_Rate!I109)&lt;Tech_Specs!$C37,Tech_Specs!$C37,(I$194-Sys_Repl_Rate!I109)),0),IF($G$194:$AF$194&lt;=I$194,System_Mkt_Repl!$F363:$AE363+System_Mkt_NC!$G363:$AF363)))=0,H224,SUMPRODUCT(IF($G$194:$AF$194&gt;=ROUND(IF((I$194-Sys_Repl_Rate!I109)&lt;Tech_Specs!$C37,Tech_Specs!$C37,(I$194-Sys_Repl_Rate!I109)),0),IF($G$194:$AF$194&lt;=I$194,$G150:$AF150)),System_Mkt_Repl!$F363:$AE363+System_Mkt_NC!$G363:$AF363)/SUM(IF($G$194:$AF$194&gt;=ROUND(IF((I$194-Sys_Repl_Rate!I109)&lt;Tech_Specs!$C37,Tech_Specs!$C37,(I$194-Sys_Repl_Rate!I109)),0),IF($G$194:$AF$194&lt;=I$194,System_Mkt_Repl!$F363:$AE363+System_Mkt_NC!$G363:$AF363)))))</f>
        <v>0.872</v>
      </c>
      <c r="J224" s="373">
        <f t="array" ref="J224">IF(J$194=Misc_Inputs!$D$6,$G150,IF(SUM(IF($G$194:$AF$194&gt;=ROUND(IF((J$194-Sys_Repl_Rate!J109)&lt;Tech_Specs!$C37,Tech_Specs!$C37,(J$194-Sys_Repl_Rate!J109)),0),IF($G$194:$AF$194&lt;=J$194,System_Mkt_Repl!$F363:$AE363+System_Mkt_NC!$G363:$AF363)))=0,I224,SUMPRODUCT(IF($G$194:$AF$194&gt;=ROUND(IF((J$194-Sys_Repl_Rate!J109)&lt;Tech_Specs!$C37,Tech_Specs!$C37,(J$194-Sys_Repl_Rate!J109)),0),IF($G$194:$AF$194&lt;=J$194,$G150:$AF150)),System_Mkt_Repl!$F363:$AE363+System_Mkt_NC!$G363:$AF363)/SUM(IF($G$194:$AF$194&gt;=ROUND(IF((J$194-Sys_Repl_Rate!J109)&lt;Tech_Specs!$C37,Tech_Specs!$C37,(J$194-Sys_Repl_Rate!J109)),0),IF($G$194:$AF$194&lt;=J$194,System_Mkt_Repl!$F363:$AE363+System_Mkt_NC!$G363:$AF363)))))</f>
        <v>0.87199999999999989</v>
      </c>
      <c r="K224" s="373">
        <f t="array" ref="K224">IF(K$194=Misc_Inputs!$D$6,$G150,IF(SUM(IF($G$194:$AF$194&gt;=ROUND(IF((K$194-Sys_Repl_Rate!K109)&lt;Tech_Specs!$C37,Tech_Specs!$C37,(K$194-Sys_Repl_Rate!K109)),0),IF($G$194:$AF$194&lt;=K$194,System_Mkt_Repl!$F363:$AE363+System_Mkt_NC!$G363:$AF363)))=0,J224,SUMPRODUCT(IF($G$194:$AF$194&gt;=ROUND(IF((K$194-Sys_Repl_Rate!K109)&lt;Tech_Specs!$C37,Tech_Specs!$C37,(K$194-Sys_Repl_Rate!K109)),0),IF($G$194:$AF$194&lt;=K$194,$G150:$AF150)),System_Mkt_Repl!$F363:$AE363+System_Mkt_NC!$G363:$AF363)/SUM(IF($G$194:$AF$194&gt;=ROUND(IF((K$194-Sys_Repl_Rate!K109)&lt;Tech_Specs!$C37,Tech_Specs!$C37,(K$194-Sys_Repl_Rate!K109)),0),IF($G$194:$AF$194&lt;=K$194,System_Mkt_Repl!$F363:$AE363+System_Mkt_NC!$G363:$AF363)))))</f>
        <v>0.872</v>
      </c>
      <c r="L224" s="373">
        <f t="array" ref="L224">IF(L$194=Misc_Inputs!$D$6,$G150,IF(SUM(IF($G$194:$AF$194&gt;=ROUND(IF((L$194-Sys_Repl_Rate!L109)&lt;Tech_Specs!$C37,Tech_Specs!$C37,(L$194-Sys_Repl_Rate!L109)),0),IF($G$194:$AF$194&lt;=L$194,System_Mkt_Repl!$F363:$AE363+System_Mkt_NC!$G363:$AF363)))=0,K224,SUMPRODUCT(IF($G$194:$AF$194&gt;=ROUND(IF((L$194-Sys_Repl_Rate!L109)&lt;Tech_Specs!$C37,Tech_Specs!$C37,(L$194-Sys_Repl_Rate!L109)),0),IF($G$194:$AF$194&lt;=L$194,$G150:$AF150)),System_Mkt_Repl!$F363:$AE363+System_Mkt_NC!$G363:$AF363)/SUM(IF($G$194:$AF$194&gt;=ROUND(IF((L$194-Sys_Repl_Rate!L109)&lt;Tech_Specs!$C37,Tech_Specs!$C37,(L$194-Sys_Repl_Rate!L109)),0),IF($G$194:$AF$194&lt;=L$194,System_Mkt_Repl!$F363:$AE363+System_Mkt_NC!$G363:$AF363)))))</f>
        <v>0.872</v>
      </c>
      <c r="M224" s="373">
        <f t="array" ref="M224">IF(M$194=Misc_Inputs!$D$6,$G150,IF(SUM(IF($G$194:$AF$194&gt;=ROUND(IF((M$194-Sys_Repl_Rate!M109)&lt;Tech_Specs!$C37,Tech_Specs!$C37,(M$194-Sys_Repl_Rate!M109)),0),IF($G$194:$AF$194&lt;=M$194,System_Mkt_Repl!$F363:$AE363+System_Mkt_NC!$G363:$AF363)))=0,L224,SUMPRODUCT(IF($G$194:$AF$194&gt;=ROUND(IF((M$194-Sys_Repl_Rate!M109)&lt;Tech_Specs!$C37,Tech_Specs!$C37,(M$194-Sys_Repl_Rate!M109)),0),IF($G$194:$AF$194&lt;=M$194,$G150:$AF150)),System_Mkt_Repl!$F363:$AE363+System_Mkt_NC!$G363:$AF363)/SUM(IF($G$194:$AF$194&gt;=ROUND(IF((M$194-Sys_Repl_Rate!M109)&lt;Tech_Specs!$C37,Tech_Specs!$C37,(M$194-Sys_Repl_Rate!M109)),0),IF($G$194:$AF$194&lt;=M$194,System_Mkt_Repl!$F363:$AE363+System_Mkt_NC!$G363:$AF363)))))</f>
        <v>0.87200000000000011</v>
      </c>
      <c r="N224" s="373">
        <f t="array" ref="N224">IF(N$194=Misc_Inputs!$D$6,$G150,IF(SUM(IF($G$194:$AF$194&gt;=ROUND(IF((N$194-Sys_Repl_Rate!N109)&lt;Tech_Specs!$C37,Tech_Specs!$C37,(N$194-Sys_Repl_Rate!N109)),0),IF($G$194:$AF$194&lt;=N$194,System_Mkt_Repl!$F363:$AE363+System_Mkt_NC!$G363:$AF363)))=0,M224,SUMPRODUCT(IF($G$194:$AF$194&gt;=ROUND(IF((N$194-Sys_Repl_Rate!N109)&lt;Tech_Specs!$C37,Tech_Specs!$C37,(N$194-Sys_Repl_Rate!N109)),0),IF($G$194:$AF$194&lt;=N$194,$G150:$AF150)),System_Mkt_Repl!$F363:$AE363+System_Mkt_NC!$G363:$AF363)/SUM(IF($G$194:$AF$194&gt;=ROUND(IF((N$194-Sys_Repl_Rate!N109)&lt;Tech_Specs!$C37,Tech_Specs!$C37,(N$194-Sys_Repl_Rate!N109)),0),IF($G$194:$AF$194&lt;=N$194,System_Mkt_Repl!$F363:$AE363+System_Mkt_NC!$G363:$AF363)))))</f>
        <v>0.87200000000000011</v>
      </c>
      <c r="O224" s="373">
        <f t="array" ref="O224">IF(O$194=Misc_Inputs!$D$6,$G150,IF(SUM(IF($G$194:$AF$194&gt;=ROUND(IF((O$194-Sys_Repl_Rate!O109)&lt;Tech_Specs!$C37,Tech_Specs!$C37,(O$194-Sys_Repl_Rate!O109)),0),IF($G$194:$AF$194&lt;=O$194,System_Mkt_Repl!$F363:$AE363+System_Mkt_NC!$G363:$AF363)))=0,N224,SUMPRODUCT(IF($G$194:$AF$194&gt;=ROUND(IF((O$194-Sys_Repl_Rate!O109)&lt;Tech_Specs!$C37,Tech_Specs!$C37,(O$194-Sys_Repl_Rate!O109)),0),IF($G$194:$AF$194&lt;=O$194,$G150:$AF150)),System_Mkt_Repl!$F363:$AE363+System_Mkt_NC!$G363:$AF363)/SUM(IF($G$194:$AF$194&gt;=ROUND(IF((O$194-Sys_Repl_Rate!O109)&lt;Tech_Specs!$C37,Tech_Specs!$C37,(O$194-Sys_Repl_Rate!O109)),0),IF($G$194:$AF$194&lt;=O$194,System_Mkt_Repl!$F363:$AE363+System_Mkt_NC!$G363:$AF363)))))</f>
        <v>0.87200000000000011</v>
      </c>
      <c r="P224" s="373">
        <f t="array" ref="P224">IF(P$194=Misc_Inputs!$D$6,$G150,IF(SUM(IF($G$194:$AF$194&gt;=ROUND(IF((P$194-Sys_Repl_Rate!P109)&lt;Tech_Specs!$C37,Tech_Specs!$C37,(P$194-Sys_Repl_Rate!P109)),0),IF($G$194:$AF$194&lt;=P$194,System_Mkt_Repl!$F363:$AE363+System_Mkt_NC!$G363:$AF363)))=0,O224,SUMPRODUCT(IF($G$194:$AF$194&gt;=ROUND(IF((P$194-Sys_Repl_Rate!P109)&lt;Tech_Specs!$C37,Tech_Specs!$C37,(P$194-Sys_Repl_Rate!P109)),0),IF($G$194:$AF$194&lt;=P$194,$G150:$AF150)),System_Mkt_Repl!$F363:$AE363+System_Mkt_NC!$G363:$AF363)/SUM(IF($G$194:$AF$194&gt;=ROUND(IF((P$194-Sys_Repl_Rate!P109)&lt;Tech_Specs!$C37,Tech_Specs!$C37,(P$194-Sys_Repl_Rate!P109)),0),IF($G$194:$AF$194&lt;=P$194,System_Mkt_Repl!$F363:$AE363+System_Mkt_NC!$G363:$AF363)))))</f>
        <v>0.87200000000000011</v>
      </c>
      <c r="Q224" s="373">
        <f t="array" ref="Q224">IF(Q$194=Misc_Inputs!$D$6,$G150,IF(SUM(IF($G$194:$AF$194&gt;=ROUND(IF((Q$194-Sys_Repl_Rate!Q109)&lt;Tech_Specs!$C37,Tech_Specs!$C37,(Q$194-Sys_Repl_Rate!Q109)),0),IF($G$194:$AF$194&lt;=Q$194,System_Mkt_Repl!$F363:$AE363+System_Mkt_NC!$G363:$AF363)))=0,P224,SUMPRODUCT(IF($G$194:$AF$194&gt;=ROUND(IF((Q$194-Sys_Repl_Rate!Q109)&lt;Tech_Specs!$C37,Tech_Specs!$C37,(Q$194-Sys_Repl_Rate!Q109)),0),IF($G$194:$AF$194&lt;=Q$194,$G150:$AF150)),System_Mkt_Repl!$F363:$AE363+System_Mkt_NC!$G363:$AF363)/SUM(IF($G$194:$AF$194&gt;=ROUND(IF((Q$194-Sys_Repl_Rate!Q109)&lt;Tech_Specs!$C37,Tech_Specs!$C37,(Q$194-Sys_Repl_Rate!Q109)),0),IF($G$194:$AF$194&lt;=Q$194,System_Mkt_Repl!$F363:$AE363+System_Mkt_NC!$G363:$AF363)))))</f>
        <v>0.87200000000000022</v>
      </c>
      <c r="R224" s="373">
        <f t="array" ref="R224">IF(R$194=Misc_Inputs!$D$6,$G150,IF(SUM(IF($G$194:$AF$194&gt;=ROUND(IF((R$194-Sys_Repl_Rate!R109)&lt;Tech_Specs!$C37,Tech_Specs!$C37,(R$194-Sys_Repl_Rate!R109)),0),IF($G$194:$AF$194&lt;=R$194,System_Mkt_Repl!$F363:$AE363+System_Mkt_NC!$G363:$AF363)))=0,Q224,SUMPRODUCT(IF($G$194:$AF$194&gt;=ROUND(IF((R$194-Sys_Repl_Rate!R109)&lt;Tech_Specs!$C37,Tech_Specs!$C37,(R$194-Sys_Repl_Rate!R109)),0),IF($G$194:$AF$194&lt;=R$194,$G150:$AF150)),System_Mkt_Repl!$F363:$AE363+System_Mkt_NC!$G363:$AF363)/SUM(IF($G$194:$AF$194&gt;=ROUND(IF((R$194-Sys_Repl_Rate!R109)&lt;Tech_Specs!$C37,Tech_Specs!$C37,(R$194-Sys_Repl_Rate!R109)),0),IF($G$194:$AF$194&lt;=R$194,System_Mkt_Repl!$F363:$AE363+System_Mkt_NC!$G363:$AF363)))))</f>
        <v>0.87200000000000022</v>
      </c>
      <c r="S224" s="373">
        <f t="array" ref="S224">IF(S$194=Misc_Inputs!$D$6,$G150,IF(SUM(IF($G$194:$AF$194&gt;=ROUND(IF((S$194-Sys_Repl_Rate!S109)&lt;Tech_Specs!$C37,Tech_Specs!$C37,(S$194-Sys_Repl_Rate!S109)),0),IF($G$194:$AF$194&lt;=S$194,System_Mkt_Repl!$F363:$AE363+System_Mkt_NC!$G363:$AF363)))=0,R224,SUMPRODUCT(IF($G$194:$AF$194&gt;=ROUND(IF((S$194-Sys_Repl_Rate!S109)&lt;Tech_Specs!$C37,Tech_Specs!$C37,(S$194-Sys_Repl_Rate!S109)),0),IF($G$194:$AF$194&lt;=S$194,$G150:$AF150)),System_Mkt_Repl!$F363:$AE363+System_Mkt_NC!$G363:$AF363)/SUM(IF($G$194:$AF$194&gt;=ROUND(IF((S$194-Sys_Repl_Rate!S109)&lt;Tech_Specs!$C37,Tech_Specs!$C37,(S$194-Sys_Repl_Rate!S109)),0),IF($G$194:$AF$194&lt;=S$194,System_Mkt_Repl!$F363:$AE363+System_Mkt_NC!$G363:$AF363)))))</f>
        <v>0.87200000000000022</v>
      </c>
      <c r="T224" s="373">
        <f t="array" ref="T224">IF(T$194=Misc_Inputs!$D$6,$G150,IF(SUM(IF($G$194:$AF$194&gt;=ROUND(IF((T$194-Sys_Repl_Rate!T109)&lt;Tech_Specs!$C37,Tech_Specs!$C37,(T$194-Sys_Repl_Rate!T109)),0),IF($G$194:$AF$194&lt;=T$194,System_Mkt_Repl!$F363:$AE363+System_Mkt_NC!$G363:$AF363)))=0,S224,SUMPRODUCT(IF($G$194:$AF$194&gt;=ROUND(IF((T$194-Sys_Repl_Rate!T109)&lt;Tech_Specs!$C37,Tech_Specs!$C37,(T$194-Sys_Repl_Rate!T109)),0),IF($G$194:$AF$194&lt;=T$194,$G150:$AF150)),System_Mkt_Repl!$F363:$AE363+System_Mkt_NC!$G363:$AF363)/SUM(IF($G$194:$AF$194&gt;=ROUND(IF((T$194-Sys_Repl_Rate!T109)&lt;Tech_Specs!$C37,Tech_Specs!$C37,(T$194-Sys_Repl_Rate!T109)),0),IF($G$194:$AF$194&lt;=T$194,System_Mkt_Repl!$F363:$AE363+System_Mkt_NC!$G363:$AF363)))))</f>
        <v>0.87200000000000011</v>
      </c>
      <c r="U224" s="373">
        <f t="array" ref="U224">IF(U$194=Misc_Inputs!$D$6,$G150,IF(SUM(IF($G$194:$AF$194&gt;=ROUND(IF((U$194-Sys_Repl_Rate!U109)&lt;Tech_Specs!$C37,Tech_Specs!$C37,(U$194-Sys_Repl_Rate!U109)),0),IF($G$194:$AF$194&lt;=U$194,System_Mkt_Repl!$F363:$AE363+System_Mkt_NC!$G363:$AF363)))=0,T224,SUMPRODUCT(IF($G$194:$AF$194&gt;=ROUND(IF((U$194-Sys_Repl_Rate!U109)&lt;Tech_Specs!$C37,Tech_Specs!$C37,(U$194-Sys_Repl_Rate!U109)),0),IF($G$194:$AF$194&lt;=U$194,$G150:$AF150)),System_Mkt_Repl!$F363:$AE363+System_Mkt_NC!$G363:$AF363)/SUM(IF($G$194:$AF$194&gt;=ROUND(IF((U$194-Sys_Repl_Rate!U109)&lt;Tech_Specs!$C37,Tech_Specs!$C37,(U$194-Sys_Repl_Rate!U109)),0),IF($G$194:$AF$194&lt;=U$194,System_Mkt_Repl!$F363:$AE363+System_Mkt_NC!$G363:$AF363)))))</f>
        <v>0.87200000000000022</v>
      </c>
      <c r="V224" s="373">
        <f t="array" ref="V224">IF(V$194=Misc_Inputs!$D$6,$G150,IF(SUM(IF($G$194:$AF$194&gt;=ROUND(IF((V$194-Sys_Repl_Rate!V109)&lt;Tech_Specs!$C37,Tech_Specs!$C37,(V$194-Sys_Repl_Rate!V109)),0),IF($G$194:$AF$194&lt;=V$194,System_Mkt_Repl!$F363:$AE363+System_Mkt_NC!$G363:$AF363)))=0,U224,SUMPRODUCT(IF($G$194:$AF$194&gt;=ROUND(IF((V$194-Sys_Repl_Rate!V109)&lt;Tech_Specs!$C37,Tech_Specs!$C37,(V$194-Sys_Repl_Rate!V109)),0),IF($G$194:$AF$194&lt;=V$194,$G150:$AF150)),System_Mkt_Repl!$F363:$AE363+System_Mkt_NC!$G363:$AF363)/SUM(IF($G$194:$AF$194&gt;=ROUND(IF((V$194-Sys_Repl_Rate!V109)&lt;Tech_Specs!$C37,Tech_Specs!$C37,(V$194-Sys_Repl_Rate!V109)),0),IF($G$194:$AF$194&lt;=V$194,System_Mkt_Repl!$F363:$AE363+System_Mkt_NC!$G363:$AF363)))))</f>
        <v>0.87200000000000011</v>
      </c>
      <c r="W224" s="373">
        <f t="array" ref="W224">IF(W$194=Misc_Inputs!$D$6,$G150,IF(SUM(IF($G$194:$AF$194&gt;=ROUND(IF((W$194-Sys_Repl_Rate!W109)&lt;Tech_Specs!$C37,Tech_Specs!$C37,(W$194-Sys_Repl_Rate!W109)),0),IF($G$194:$AF$194&lt;=W$194,System_Mkt_Repl!$F363:$AE363+System_Mkt_NC!$G363:$AF363)))=0,V224,SUMPRODUCT(IF($G$194:$AF$194&gt;=ROUND(IF((W$194-Sys_Repl_Rate!W109)&lt;Tech_Specs!$C37,Tech_Specs!$C37,(W$194-Sys_Repl_Rate!W109)),0),IF($G$194:$AF$194&lt;=W$194,$G150:$AF150)),System_Mkt_Repl!$F363:$AE363+System_Mkt_NC!$G363:$AF363)/SUM(IF($G$194:$AF$194&gt;=ROUND(IF((W$194-Sys_Repl_Rate!W109)&lt;Tech_Specs!$C37,Tech_Specs!$C37,(W$194-Sys_Repl_Rate!W109)),0),IF($G$194:$AF$194&lt;=W$194,System_Mkt_Repl!$F363:$AE363+System_Mkt_NC!$G363:$AF363)))))</f>
        <v>0.87200000000000011</v>
      </c>
      <c r="X224" s="373">
        <f t="array" ref="X224">IF(X$194=Misc_Inputs!$D$6,$G150,IF(SUM(IF($G$194:$AF$194&gt;=ROUND(IF((X$194-Sys_Repl_Rate!X109)&lt;Tech_Specs!$C37,Tech_Specs!$C37,(X$194-Sys_Repl_Rate!X109)),0),IF($G$194:$AF$194&lt;=X$194,System_Mkt_Repl!$F363:$AE363+System_Mkt_NC!$G363:$AF363)))=0,W224,SUMPRODUCT(IF($G$194:$AF$194&gt;=ROUND(IF((X$194-Sys_Repl_Rate!X109)&lt;Tech_Specs!$C37,Tech_Specs!$C37,(X$194-Sys_Repl_Rate!X109)),0),IF($G$194:$AF$194&lt;=X$194,$G150:$AF150)),System_Mkt_Repl!$F363:$AE363+System_Mkt_NC!$G363:$AF363)/SUM(IF($G$194:$AF$194&gt;=ROUND(IF((X$194-Sys_Repl_Rate!X109)&lt;Tech_Specs!$C37,Tech_Specs!$C37,(X$194-Sys_Repl_Rate!X109)),0),IF($G$194:$AF$194&lt;=X$194,System_Mkt_Repl!$F363:$AE363+System_Mkt_NC!$G363:$AF363)))))</f>
        <v>0.87200000000000011</v>
      </c>
      <c r="Y224" s="373">
        <f t="array" ref="Y224">IF(Y$194=Misc_Inputs!$D$6,$G150,IF(SUM(IF($G$194:$AF$194&gt;=ROUND(IF((Y$194-Sys_Repl_Rate!Y109)&lt;Tech_Specs!$C37,Tech_Specs!$C37,(Y$194-Sys_Repl_Rate!Y109)),0),IF($G$194:$AF$194&lt;=Y$194,System_Mkt_Repl!$F363:$AE363+System_Mkt_NC!$G363:$AF363)))=0,X224,SUMPRODUCT(IF($G$194:$AF$194&gt;=ROUND(IF((Y$194-Sys_Repl_Rate!Y109)&lt;Tech_Specs!$C37,Tech_Specs!$C37,(Y$194-Sys_Repl_Rate!Y109)),0),IF($G$194:$AF$194&lt;=Y$194,$G150:$AF150)),System_Mkt_Repl!$F363:$AE363+System_Mkt_NC!$G363:$AF363)/SUM(IF($G$194:$AF$194&gt;=ROUND(IF((Y$194-Sys_Repl_Rate!Y109)&lt;Tech_Specs!$C37,Tech_Specs!$C37,(Y$194-Sys_Repl_Rate!Y109)),0),IF($G$194:$AF$194&lt;=Y$194,System_Mkt_Repl!$F363:$AE363+System_Mkt_NC!$G363:$AF363)))))</f>
        <v>0.87200000000000011</v>
      </c>
      <c r="Z224" s="373">
        <f t="array" ref="Z224">IF(Z$194=Misc_Inputs!$D$6,$G150,IF(SUM(IF($G$194:$AF$194&gt;=ROUND(IF((Z$194-Sys_Repl_Rate!Z109)&lt;Tech_Specs!$C37,Tech_Specs!$C37,(Z$194-Sys_Repl_Rate!Z109)),0),IF($G$194:$AF$194&lt;=Z$194,System_Mkt_Repl!$F363:$AE363+System_Mkt_NC!$G363:$AF363)))=0,Y224,SUMPRODUCT(IF($G$194:$AF$194&gt;=ROUND(IF((Z$194-Sys_Repl_Rate!Z109)&lt;Tech_Specs!$C37,Tech_Specs!$C37,(Z$194-Sys_Repl_Rate!Z109)),0),IF($G$194:$AF$194&lt;=Z$194,$G150:$AF150)),System_Mkt_Repl!$F363:$AE363+System_Mkt_NC!$G363:$AF363)/SUM(IF($G$194:$AF$194&gt;=ROUND(IF((Z$194-Sys_Repl_Rate!Z109)&lt;Tech_Specs!$C37,Tech_Specs!$C37,(Z$194-Sys_Repl_Rate!Z109)),0),IF($G$194:$AF$194&lt;=Z$194,System_Mkt_Repl!$F363:$AE363+System_Mkt_NC!$G363:$AF363)))))</f>
        <v>0.87200000000000022</v>
      </c>
      <c r="AA224" s="373">
        <f t="array" ref="AA224">IF(AA$194=Misc_Inputs!$D$6,$G150,IF(SUM(IF($G$194:$AF$194&gt;=ROUND(IF((AA$194-Sys_Repl_Rate!AA109)&lt;Tech_Specs!$C37,Tech_Specs!$C37,(AA$194-Sys_Repl_Rate!AA109)),0),IF($G$194:$AF$194&lt;=AA$194,System_Mkt_Repl!$F363:$AE363+System_Mkt_NC!$G363:$AF363)))=0,Z224,SUMPRODUCT(IF($G$194:$AF$194&gt;=ROUND(IF((AA$194-Sys_Repl_Rate!AA109)&lt;Tech_Specs!$C37,Tech_Specs!$C37,(AA$194-Sys_Repl_Rate!AA109)),0),IF($G$194:$AF$194&lt;=AA$194,$G150:$AF150)),System_Mkt_Repl!$F363:$AE363+System_Mkt_NC!$G363:$AF363)/SUM(IF($G$194:$AF$194&gt;=ROUND(IF((AA$194-Sys_Repl_Rate!AA109)&lt;Tech_Specs!$C37,Tech_Specs!$C37,(AA$194-Sys_Repl_Rate!AA109)),0),IF($G$194:$AF$194&lt;=AA$194,System_Mkt_Repl!$F363:$AE363+System_Mkt_NC!$G363:$AF363)))))</f>
        <v>0.87200000000000022</v>
      </c>
      <c r="AB224" s="373">
        <f t="array" ref="AB224">IF(AB$194=Misc_Inputs!$D$6,$G150,IF(SUM(IF($G$194:$AF$194&gt;=ROUND(IF((AB$194-Sys_Repl_Rate!AB109)&lt;Tech_Specs!$C37,Tech_Specs!$C37,(AB$194-Sys_Repl_Rate!AB109)),0),IF($G$194:$AF$194&lt;=AB$194,System_Mkt_Repl!$F363:$AE363+System_Mkt_NC!$G363:$AF363)))=0,AA224,SUMPRODUCT(IF($G$194:$AF$194&gt;=ROUND(IF((AB$194-Sys_Repl_Rate!AB109)&lt;Tech_Specs!$C37,Tech_Specs!$C37,(AB$194-Sys_Repl_Rate!AB109)),0),IF($G$194:$AF$194&lt;=AB$194,$G150:$AF150)),System_Mkt_Repl!$F363:$AE363+System_Mkt_NC!$G363:$AF363)/SUM(IF($G$194:$AF$194&gt;=ROUND(IF((AB$194-Sys_Repl_Rate!AB109)&lt;Tech_Specs!$C37,Tech_Specs!$C37,(AB$194-Sys_Repl_Rate!AB109)),0),IF($G$194:$AF$194&lt;=AB$194,System_Mkt_Repl!$F363:$AE363+System_Mkt_NC!$G363:$AF363)))))</f>
        <v>0.87200000000000022</v>
      </c>
      <c r="AC224" s="373">
        <f t="array" ref="AC224">IF(AC$194=Misc_Inputs!$D$6,$G150,IF(SUM(IF($G$194:$AF$194&gt;=ROUND(IF((AC$194-Sys_Repl_Rate!AC109)&lt;Tech_Specs!$C37,Tech_Specs!$C37,(AC$194-Sys_Repl_Rate!AC109)),0),IF($G$194:$AF$194&lt;=AC$194,System_Mkt_Repl!$F363:$AE363+System_Mkt_NC!$G363:$AF363)))=0,AB224,SUMPRODUCT(IF($G$194:$AF$194&gt;=ROUND(IF((AC$194-Sys_Repl_Rate!AC109)&lt;Tech_Specs!$C37,Tech_Specs!$C37,(AC$194-Sys_Repl_Rate!AC109)),0),IF($G$194:$AF$194&lt;=AC$194,$G150:$AF150)),System_Mkt_Repl!$F363:$AE363+System_Mkt_NC!$G363:$AF363)/SUM(IF($G$194:$AF$194&gt;=ROUND(IF((AC$194-Sys_Repl_Rate!AC109)&lt;Tech_Specs!$C37,Tech_Specs!$C37,(AC$194-Sys_Repl_Rate!AC109)),0),IF($G$194:$AF$194&lt;=AC$194,System_Mkt_Repl!$F363:$AE363+System_Mkt_NC!$G363:$AF363)))))</f>
        <v>0.87200000000000022</v>
      </c>
      <c r="AD224" s="373">
        <f t="array" ref="AD224">IF(AD$194=Misc_Inputs!$D$6,$G150,IF(SUM(IF($G$194:$AF$194&gt;=ROUND(IF((AD$194-Sys_Repl_Rate!AD109)&lt;Tech_Specs!$C37,Tech_Specs!$C37,(AD$194-Sys_Repl_Rate!AD109)),0),IF($G$194:$AF$194&lt;=AD$194,System_Mkt_Repl!$F363:$AE363+System_Mkt_NC!$G363:$AF363)))=0,AC224,SUMPRODUCT(IF($G$194:$AF$194&gt;=ROUND(IF((AD$194-Sys_Repl_Rate!AD109)&lt;Tech_Specs!$C37,Tech_Specs!$C37,(AD$194-Sys_Repl_Rate!AD109)),0),IF($G$194:$AF$194&lt;=AD$194,$G150:$AF150)),System_Mkt_Repl!$F363:$AE363+System_Mkt_NC!$G363:$AF363)/SUM(IF($G$194:$AF$194&gt;=ROUND(IF((AD$194-Sys_Repl_Rate!AD109)&lt;Tech_Specs!$C37,Tech_Specs!$C37,(AD$194-Sys_Repl_Rate!AD109)),0),IF($G$194:$AF$194&lt;=AD$194,System_Mkt_Repl!$F363:$AE363+System_Mkt_NC!$G363:$AF363)))))</f>
        <v>0.87200000000000022</v>
      </c>
      <c r="AE224" s="373">
        <f t="array" ref="AE224">IF(AE$194=Misc_Inputs!$D$6,$G150,IF(SUM(IF($G$194:$AF$194&gt;=ROUND(IF((AE$194-Sys_Repl_Rate!AE109)&lt;Tech_Specs!$C37,Tech_Specs!$C37,(AE$194-Sys_Repl_Rate!AE109)),0),IF($G$194:$AF$194&lt;=AE$194,System_Mkt_Repl!$F363:$AE363+System_Mkt_NC!$G363:$AF363)))=0,AD224,SUMPRODUCT(IF($G$194:$AF$194&gt;=ROUND(IF((AE$194-Sys_Repl_Rate!AE109)&lt;Tech_Specs!$C37,Tech_Specs!$C37,(AE$194-Sys_Repl_Rate!AE109)),0),IF($G$194:$AF$194&lt;=AE$194,$G150:$AF150)),System_Mkt_Repl!$F363:$AE363+System_Mkt_NC!$G363:$AF363)/SUM(IF($G$194:$AF$194&gt;=ROUND(IF((AE$194-Sys_Repl_Rate!AE109)&lt;Tech_Specs!$C37,Tech_Specs!$C37,(AE$194-Sys_Repl_Rate!AE109)),0),IF($G$194:$AF$194&lt;=AE$194,System_Mkt_Repl!$F363:$AE363+System_Mkt_NC!$G363:$AF363)))))</f>
        <v>0.87200000000000022</v>
      </c>
      <c r="AF224" s="373">
        <f t="array" ref="AF224">IF(AF$194=Misc_Inputs!$D$6,$G150,IF(SUM(IF($G$194:$AF$194&gt;=ROUND(IF((AF$194-Sys_Repl_Rate!AF109)&lt;Tech_Specs!$C37,Tech_Specs!$C37,(AF$194-Sys_Repl_Rate!AF109)),0),IF($G$194:$AF$194&lt;=AF$194,System_Mkt_Repl!$F363:$AE363+System_Mkt_NC!$G363:$AF363)))=0,AE224,SUMPRODUCT(IF($G$194:$AF$194&gt;=ROUND(IF((AF$194-Sys_Repl_Rate!AF109)&lt;Tech_Specs!$C37,Tech_Specs!$C37,(AF$194-Sys_Repl_Rate!AF109)),0),IF($G$194:$AF$194&lt;=AF$194,$G150:$AF150)),System_Mkt_Repl!$F363:$AE363+System_Mkt_NC!$G363:$AF363)/SUM(IF($G$194:$AF$194&gt;=ROUND(IF((AF$194-Sys_Repl_Rate!AF109)&lt;Tech_Specs!$C37,Tech_Specs!$C37,(AF$194-Sys_Repl_Rate!AF109)),0),IF($G$194:$AF$194&lt;=AF$194,System_Mkt_Repl!$F363:$AE363+System_Mkt_NC!$G363:$AF363)))))</f>
        <v>0.87200000000000022</v>
      </c>
    </row>
    <row r="225" spans="1:32" s="282" customFormat="1" ht="12.75" x14ac:dyDescent="0.2">
      <c r="A225" s="278"/>
      <c r="B225" s="282" t="s">
        <v>29</v>
      </c>
      <c r="C225" s="278"/>
      <c r="D225" s="550"/>
      <c r="E225" s="550"/>
      <c r="F225" s="550"/>
      <c r="G225" s="373">
        <f t="array" ref="G225">IF(G$194=Misc_Inputs!$D$6,$G151,IF(SUM(IF($G$194:$AF$194&gt;=ROUND(IF((G$194-Sys_Repl_Rate!G110)&lt;Tech_Specs!$C38,Tech_Specs!$C38,(G$194-Sys_Repl_Rate!G110)),0),IF($G$194:$AF$194&lt;=G$194,System_Mkt_Repl!$F364:$AE364+System_Mkt_NC!$G364:$AF364)))=0,C225,SUMPRODUCT(IF($G$194:$AF$194&gt;=ROUND(IF((G$194-Sys_Repl_Rate!G110)&lt;Tech_Specs!$C38,Tech_Specs!$C38,(G$194-Sys_Repl_Rate!G110)),0),IF($G$194:$AF$194&lt;=G$194,$G151:$AF151)),System_Mkt_Repl!$F364:$AE364+System_Mkt_NC!$G364:$AF364)/SUM(IF($G$194:$AF$194&gt;=ROUND(IF((G$194-Sys_Repl_Rate!G110)&lt;Tech_Specs!$C38,Tech_Specs!$C38,(G$194-Sys_Repl_Rate!G110)),0),IF($G$194:$AF$194&lt;=G$194,System_Mkt_Repl!$F364:$AE364+System_Mkt_NC!$G364:$AF364)))))</f>
        <v>1</v>
      </c>
      <c r="H225" s="373">
        <f t="array" ref="H225">IF(H$194=Misc_Inputs!$D$6,$G151,IF(SUM(IF($G$194:$AF$194&gt;=ROUND(IF((H$194-Sys_Repl_Rate!H110)&lt;Tech_Specs!$C38,Tech_Specs!$C38,(H$194-Sys_Repl_Rate!H110)),0),IF($G$194:$AF$194&lt;=H$194,System_Mkt_Repl!$F364:$AE364+System_Mkt_NC!$G364:$AF364)))=0,G225,SUMPRODUCT(IF($G$194:$AF$194&gt;=ROUND(IF((H$194-Sys_Repl_Rate!H110)&lt;Tech_Specs!$C38,Tech_Specs!$C38,(H$194-Sys_Repl_Rate!H110)),0),IF($G$194:$AF$194&lt;=H$194,$G151:$AF151)),System_Mkt_Repl!$F364:$AE364+System_Mkt_NC!$G364:$AF364)/SUM(IF($G$194:$AF$194&gt;=ROUND(IF((H$194-Sys_Repl_Rate!H110)&lt;Tech_Specs!$C38,Tech_Specs!$C38,(H$194-Sys_Repl_Rate!H110)),0),IF($G$194:$AF$194&lt;=H$194,System_Mkt_Repl!$F364:$AE364+System_Mkt_NC!$G364:$AF364)))))</f>
        <v>1</v>
      </c>
      <c r="I225" s="373">
        <f t="array" ref="I225">IF(I$194=Misc_Inputs!$D$6,$G151,IF(SUM(IF($G$194:$AF$194&gt;=ROUND(IF((I$194-Sys_Repl_Rate!I110)&lt;Tech_Specs!$C38,Tech_Specs!$C38,(I$194-Sys_Repl_Rate!I110)),0),IF($G$194:$AF$194&lt;=I$194,System_Mkt_Repl!$F364:$AE364+System_Mkt_NC!$G364:$AF364)))=0,H225,SUMPRODUCT(IF($G$194:$AF$194&gt;=ROUND(IF((I$194-Sys_Repl_Rate!I110)&lt;Tech_Specs!$C38,Tech_Specs!$C38,(I$194-Sys_Repl_Rate!I110)),0),IF($G$194:$AF$194&lt;=I$194,$G151:$AF151)),System_Mkt_Repl!$F364:$AE364+System_Mkt_NC!$G364:$AF364)/SUM(IF($G$194:$AF$194&gt;=ROUND(IF((I$194-Sys_Repl_Rate!I110)&lt;Tech_Specs!$C38,Tech_Specs!$C38,(I$194-Sys_Repl_Rate!I110)),0),IF($G$194:$AF$194&lt;=I$194,System_Mkt_Repl!$F364:$AE364+System_Mkt_NC!$G364:$AF364)))))</f>
        <v>1</v>
      </c>
      <c r="J225" s="373">
        <f t="array" ref="J225">IF(J$194=Misc_Inputs!$D$6,$G151,IF(SUM(IF($G$194:$AF$194&gt;=ROUND(IF((J$194-Sys_Repl_Rate!J110)&lt;Tech_Specs!$C38,Tech_Specs!$C38,(J$194-Sys_Repl_Rate!J110)),0),IF($G$194:$AF$194&lt;=J$194,System_Mkt_Repl!$F364:$AE364+System_Mkt_NC!$G364:$AF364)))=0,I225,SUMPRODUCT(IF($G$194:$AF$194&gt;=ROUND(IF((J$194-Sys_Repl_Rate!J110)&lt;Tech_Specs!$C38,Tech_Specs!$C38,(J$194-Sys_Repl_Rate!J110)),0),IF($G$194:$AF$194&lt;=J$194,$G151:$AF151)),System_Mkt_Repl!$F364:$AE364+System_Mkt_NC!$G364:$AF364)/SUM(IF($G$194:$AF$194&gt;=ROUND(IF((J$194-Sys_Repl_Rate!J110)&lt;Tech_Specs!$C38,Tech_Specs!$C38,(J$194-Sys_Repl_Rate!J110)),0),IF($G$194:$AF$194&lt;=J$194,System_Mkt_Repl!$F364:$AE364+System_Mkt_NC!$G364:$AF364)))))</f>
        <v>1</v>
      </c>
      <c r="K225" s="373">
        <f t="array" ref="K225">IF(K$194=Misc_Inputs!$D$6,$G151,IF(SUM(IF($G$194:$AF$194&gt;=ROUND(IF((K$194-Sys_Repl_Rate!K110)&lt;Tech_Specs!$C38,Tech_Specs!$C38,(K$194-Sys_Repl_Rate!K110)),0),IF($G$194:$AF$194&lt;=K$194,System_Mkt_Repl!$F364:$AE364+System_Mkt_NC!$G364:$AF364)))=0,J225,SUMPRODUCT(IF($G$194:$AF$194&gt;=ROUND(IF((K$194-Sys_Repl_Rate!K110)&lt;Tech_Specs!$C38,Tech_Specs!$C38,(K$194-Sys_Repl_Rate!K110)),0),IF($G$194:$AF$194&lt;=K$194,$G151:$AF151)),System_Mkt_Repl!$F364:$AE364+System_Mkt_NC!$G364:$AF364)/SUM(IF($G$194:$AF$194&gt;=ROUND(IF((K$194-Sys_Repl_Rate!K110)&lt;Tech_Specs!$C38,Tech_Specs!$C38,(K$194-Sys_Repl_Rate!K110)),0),IF($G$194:$AF$194&lt;=K$194,System_Mkt_Repl!$F364:$AE364+System_Mkt_NC!$G364:$AF364)))))</f>
        <v>1</v>
      </c>
      <c r="L225" s="373">
        <f t="array" ref="L225">IF(L$194=Misc_Inputs!$D$6,$G151,IF(SUM(IF($G$194:$AF$194&gt;=ROUND(IF((L$194-Sys_Repl_Rate!L110)&lt;Tech_Specs!$C38,Tech_Specs!$C38,(L$194-Sys_Repl_Rate!L110)),0),IF($G$194:$AF$194&lt;=L$194,System_Mkt_Repl!$F364:$AE364+System_Mkt_NC!$G364:$AF364)))=0,K225,SUMPRODUCT(IF($G$194:$AF$194&gt;=ROUND(IF((L$194-Sys_Repl_Rate!L110)&lt;Tech_Specs!$C38,Tech_Specs!$C38,(L$194-Sys_Repl_Rate!L110)),0),IF($G$194:$AF$194&lt;=L$194,$G151:$AF151)),System_Mkt_Repl!$F364:$AE364+System_Mkt_NC!$G364:$AF364)/SUM(IF($G$194:$AF$194&gt;=ROUND(IF((L$194-Sys_Repl_Rate!L110)&lt;Tech_Specs!$C38,Tech_Specs!$C38,(L$194-Sys_Repl_Rate!L110)),0),IF($G$194:$AF$194&lt;=L$194,System_Mkt_Repl!$F364:$AE364+System_Mkt_NC!$G364:$AF364)))))</f>
        <v>1</v>
      </c>
      <c r="M225" s="373">
        <f t="array" ref="M225">IF(M$194=Misc_Inputs!$D$6,$G151,IF(SUM(IF($G$194:$AF$194&gt;=ROUND(IF((M$194-Sys_Repl_Rate!M110)&lt;Tech_Specs!$C38,Tech_Specs!$C38,(M$194-Sys_Repl_Rate!M110)),0),IF($G$194:$AF$194&lt;=M$194,System_Mkt_Repl!$F364:$AE364+System_Mkt_NC!$G364:$AF364)))=0,L225,SUMPRODUCT(IF($G$194:$AF$194&gt;=ROUND(IF((M$194-Sys_Repl_Rate!M110)&lt;Tech_Specs!$C38,Tech_Specs!$C38,(M$194-Sys_Repl_Rate!M110)),0),IF($G$194:$AF$194&lt;=M$194,$G151:$AF151)),System_Mkt_Repl!$F364:$AE364+System_Mkt_NC!$G364:$AF364)/SUM(IF($G$194:$AF$194&gt;=ROUND(IF((M$194-Sys_Repl_Rate!M110)&lt;Tech_Specs!$C38,Tech_Specs!$C38,(M$194-Sys_Repl_Rate!M110)),0),IF($G$194:$AF$194&lt;=M$194,System_Mkt_Repl!$F364:$AE364+System_Mkt_NC!$G364:$AF364)))))</f>
        <v>1</v>
      </c>
      <c r="N225" s="373">
        <f t="array" ref="N225">IF(N$194=Misc_Inputs!$D$6,$G151,IF(SUM(IF($G$194:$AF$194&gt;=ROUND(IF((N$194-Sys_Repl_Rate!N110)&lt;Tech_Specs!$C38,Tech_Specs!$C38,(N$194-Sys_Repl_Rate!N110)),0),IF($G$194:$AF$194&lt;=N$194,System_Mkt_Repl!$F364:$AE364+System_Mkt_NC!$G364:$AF364)))=0,M225,SUMPRODUCT(IF($G$194:$AF$194&gt;=ROUND(IF((N$194-Sys_Repl_Rate!N110)&lt;Tech_Specs!$C38,Tech_Specs!$C38,(N$194-Sys_Repl_Rate!N110)),0),IF($G$194:$AF$194&lt;=N$194,$G151:$AF151)),System_Mkt_Repl!$F364:$AE364+System_Mkt_NC!$G364:$AF364)/SUM(IF($G$194:$AF$194&gt;=ROUND(IF((N$194-Sys_Repl_Rate!N110)&lt;Tech_Specs!$C38,Tech_Specs!$C38,(N$194-Sys_Repl_Rate!N110)),0),IF($G$194:$AF$194&lt;=N$194,System_Mkt_Repl!$F364:$AE364+System_Mkt_NC!$G364:$AF364)))))</f>
        <v>1</v>
      </c>
      <c r="O225" s="373">
        <f t="array" ref="O225">IF(O$194=Misc_Inputs!$D$6,$G151,IF(SUM(IF($G$194:$AF$194&gt;=ROUND(IF((O$194-Sys_Repl_Rate!O110)&lt;Tech_Specs!$C38,Tech_Specs!$C38,(O$194-Sys_Repl_Rate!O110)),0),IF($G$194:$AF$194&lt;=O$194,System_Mkt_Repl!$F364:$AE364+System_Mkt_NC!$G364:$AF364)))=0,N225,SUMPRODUCT(IF($G$194:$AF$194&gt;=ROUND(IF((O$194-Sys_Repl_Rate!O110)&lt;Tech_Specs!$C38,Tech_Specs!$C38,(O$194-Sys_Repl_Rate!O110)),0),IF($G$194:$AF$194&lt;=O$194,$G151:$AF151)),System_Mkt_Repl!$F364:$AE364+System_Mkt_NC!$G364:$AF364)/SUM(IF($G$194:$AF$194&gt;=ROUND(IF((O$194-Sys_Repl_Rate!O110)&lt;Tech_Specs!$C38,Tech_Specs!$C38,(O$194-Sys_Repl_Rate!O110)),0),IF($G$194:$AF$194&lt;=O$194,System_Mkt_Repl!$F364:$AE364+System_Mkt_NC!$G364:$AF364)))))</f>
        <v>1</v>
      </c>
      <c r="P225" s="373">
        <f t="array" ref="P225">IF(P$194=Misc_Inputs!$D$6,$G151,IF(SUM(IF($G$194:$AF$194&gt;=ROUND(IF((P$194-Sys_Repl_Rate!P110)&lt;Tech_Specs!$C38,Tech_Specs!$C38,(P$194-Sys_Repl_Rate!P110)),0),IF($G$194:$AF$194&lt;=P$194,System_Mkt_Repl!$F364:$AE364+System_Mkt_NC!$G364:$AF364)))=0,O225,SUMPRODUCT(IF($G$194:$AF$194&gt;=ROUND(IF((P$194-Sys_Repl_Rate!P110)&lt;Tech_Specs!$C38,Tech_Specs!$C38,(P$194-Sys_Repl_Rate!P110)),0),IF($G$194:$AF$194&lt;=P$194,$G151:$AF151)),System_Mkt_Repl!$F364:$AE364+System_Mkt_NC!$G364:$AF364)/SUM(IF($G$194:$AF$194&gt;=ROUND(IF((P$194-Sys_Repl_Rate!P110)&lt;Tech_Specs!$C38,Tech_Specs!$C38,(P$194-Sys_Repl_Rate!P110)),0),IF($G$194:$AF$194&lt;=P$194,System_Mkt_Repl!$F364:$AE364+System_Mkt_NC!$G364:$AF364)))))</f>
        <v>1</v>
      </c>
      <c r="Q225" s="373">
        <f t="array" ref="Q225">IF(Q$194=Misc_Inputs!$D$6,$G151,IF(SUM(IF($G$194:$AF$194&gt;=ROUND(IF((Q$194-Sys_Repl_Rate!Q110)&lt;Tech_Specs!$C38,Tech_Specs!$C38,(Q$194-Sys_Repl_Rate!Q110)),0),IF($G$194:$AF$194&lt;=Q$194,System_Mkt_Repl!$F364:$AE364+System_Mkt_NC!$G364:$AF364)))=0,P225,SUMPRODUCT(IF($G$194:$AF$194&gt;=ROUND(IF((Q$194-Sys_Repl_Rate!Q110)&lt;Tech_Specs!$C38,Tech_Specs!$C38,(Q$194-Sys_Repl_Rate!Q110)),0),IF($G$194:$AF$194&lt;=Q$194,$G151:$AF151)),System_Mkt_Repl!$F364:$AE364+System_Mkt_NC!$G364:$AF364)/SUM(IF($G$194:$AF$194&gt;=ROUND(IF((Q$194-Sys_Repl_Rate!Q110)&lt;Tech_Specs!$C38,Tech_Specs!$C38,(Q$194-Sys_Repl_Rate!Q110)),0),IF($G$194:$AF$194&lt;=Q$194,System_Mkt_Repl!$F364:$AE364+System_Mkt_NC!$G364:$AF364)))))</f>
        <v>1</v>
      </c>
      <c r="R225" s="373">
        <f t="array" ref="R225">IF(R$194=Misc_Inputs!$D$6,$G151,IF(SUM(IF($G$194:$AF$194&gt;=ROUND(IF((R$194-Sys_Repl_Rate!R110)&lt;Tech_Specs!$C38,Tech_Specs!$C38,(R$194-Sys_Repl_Rate!R110)),0),IF($G$194:$AF$194&lt;=R$194,System_Mkt_Repl!$F364:$AE364+System_Mkt_NC!$G364:$AF364)))=0,Q225,SUMPRODUCT(IF($G$194:$AF$194&gt;=ROUND(IF((R$194-Sys_Repl_Rate!R110)&lt;Tech_Specs!$C38,Tech_Specs!$C38,(R$194-Sys_Repl_Rate!R110)),0),IF($G$194:$AF$194&lt;=R$194,$G151:$AF151)),System_Mkt_Repl!$F364:$AE364+System_Mkt_NC!$G364:$AF364)/SUM(IF($G$194:$AF$194&gt;=ROUND(IF((R$194-Sys_Repl_Rate!R110)&lt;Tech_Specs!$C38,Tech_Specs!$C38,(R$194-Sys_Repl_Rate!R110)),0),IF($G$194:$AF$194&lt;=R$194,System_Mkt_Repl!$F364:$AE364+System_Mkt_NC!$G364:$AF364)))))</f>
        <v>1</v>
      </c>
      <c r="S225" s="373">
        <f t="array" ref="S225">IF(S$194=Misc_Inputs!$D$6,$G151,IF(SUM(IF($G$194:$AF$194&gt;=ROUND(IF((S$194-Sys_Repl_Rate!S110)&lt;Tech_Specs!$C38,Tech_Specs!$C38,(S$194-Sys_Repl_Rate!S110)),0),IF($G$194:$AF$194&lt;=S$194,System_Mkt_Repl!$F364:$AE364+System_Mkt_NC!$G364:$AF364)))=0,R225,SUMPRODUCT(IF($G$194:$AF$194&gt;=ROUND(IF((S$194-Sys_Repl_Rate!S110)&lt;Tech_Specs!$C38,Tech_Specs!$C38,(S$194-Sys_Repl_Rate!S110)),0),IF($G$194:$AF$194&lt;=S$194,$G151:$AF151)),System_Mkt_Repl!$F364:$AE364+System_Mkt_NC!$G364:$AF364)/SUM(IF($G$194:$AF$194&gt;=ROUND(IF((S$194-Sys_Repl_Rate!S110)&lt;Tech_Specs!$C38,Tech_Specs!$C38,(S$194-Sys_Repl_Rate!S110)),0),IF($G$194:$AF$194&lt;=S$194,System_Mkt_Repl!$F364:$AE364+System_Mkt_NC!$G364:$AF364)))))</f>
        <v>1</v>
      </c>
      <c r="T225" s="373">
        <f t="array" ref="T225">IF(T$194=Misc_Inputs!$D$6,$G151,IF(SUM(IF($G$194:$AF$194&gt;=ROUND(IF((T$194-Sys_Repl_Rate!T110)&lt;Tech_Specs!$C38,Tech_Specs!$C38,(T$194-Sys_Repl_Rate!T110)),0),IF($G$194:$AF$194&lt;=T$194,System_Mkt_Repl!$F364:$AE364+System_Mkt_NC!$G364:$AF364)))=0,S225,SUMPRODUCT(IF($G$194:$AF$194&gt;=ROUND(IF((T$194-Sys_Repl_Rate!T110)&lt;Tech_Specs!$C38,Tech_Specs!$C38,(T$194-Sys_Repl_Rate!T110)),0),IF($G$194:$AF$194&lt;=T$194,$G151:$AF151)),System_Mkt_Repl!$F364:$AE364+System_Mkt_NC!$G364:$AF364)/SUM(IF($G$194:$AF$194&gt;=ROUND(IF((T$194-Sys_Repl_Rate!T110)&lt;Tech_Specs!$C38,Tech_Specs!$C38,(T$194-Sys_Repl_Rate!T110)),0),IF($G$194:$AF$194&lt;=T$194,System_Mkt_Repl!$F364:$AE364+System_Mkt_NC!$G364:$AF364)))))</f>
        <v>1</v>
      </c>
      <c r="U225" s="373">
        <f t="array" ref="U225">IF(U$194=Misc_Inputs!$D$6,$G151,IF(SUM(IF($G$194:$AF$194&gt;=ROUND(IF((U$194-Sys_Repl_Rate!U110)&lt;Tech_Specs!$C38,Tech_Specs!$C38,(U$194-Sys_Repl_Rate!U110)),0),IF($G$194:$AF$194&lt;=U$194,System_Mkt_Repl!$F364:$AE364+System_Mkt_NC!$G364:$AF364)))=0,T225,SUMPRODUCT(IF($G$194:$AF$194&gt;=ROUND(IF((U$194-Sys_Repl_Rate!U110)&lt;Tech_Specs!$C38,Tech_Specs!$C38,(U$194-Sys_Repl_Rate!U110)),0),IF($G$194:$AF$194&lt;=U$194,$G151:$AF151)),System_Mkt_Repl!$F364:$AE364+System_Mkt_NC!$G364:$AF364)/SUM(IF($G$194:$AF$194&gt;=ROUND(IF((U$194-Sys_Repl_Rate!U110)&lt;Tech_Specs!$C38,Tech_Specs!$C38,(U$194-Sys_Repl_Rate!U110)),0),IF($G$194:$AF$194&lt;=U$194,System_Mkt_Repl!$F364:$AE364+System_Mkt_NC!$G364:$AF364)))))</f>
        <v>1</v>
      </c>
      <c r="V225" s="373">
        <f t="array" ref="V225">IF(V$194=Misc_Inputs!$D$6,$G151,IF(SUM(IF($G$194:$AF$194&gt;=ROUND(IF((V$194-Sys_Repl_Rate!V110)&lt;Tech_Specs!$C38,Tech_Specs!$C38,(V$194-Sys_Repl_Rate!V110)),0),IF($G$194:$AF$194&lt;=V$194,System_Mkt_Repl!$F364:$AE364+System_Mkt_NC!$G364:$AF364)))=0,U225,SUMPRODUCT(IF($G$194:$AF$194&gt;=ROUND(IF((V$194-Sys_Repl_Rate!V110)&lt;Tech_Specs!$C38,Tech_Specs!$C38,(V$194-Sys_Repl_Rate!V110)),0),IF($G$194:$AF$194&lt;=V$194,$G151:$AF151)),System_Mkt_Repl!$F364:$AE364+System_Mkt_NC!$G364:$AF364)/SUM(IF($G$194:$AF$194&gt;=ROUND(IF((V$194-Sys_Repl_Rate!V110)&lt;Tech_Specs!$C38,Tech_Specs!$C38,(V$194-Sys_Repl_Rate!V110)),0),IF($G$194:$AF$194&lt;=V$194,System_Mkt_Repl!$F364:$AE364+System_Mkt_NC!$G364:$AF364)))))</f>
        <v>1</v>
      </c>
      <c r="W225" s="373">
        <f t="array" ref="W225">IF(W$194=Misc_Inputs!$D$6,$G151,IF(SUM(IF($G$194:$AF$194&gt;=ROUND(IF((W$194-Sys_Repl_Rate!W110)&lt;Tech_Specs!$C38,Tech_Specs!$C38,(W$194-Sys_Repl_Rate!W110)),0),IF($G$194:$AF$194&lt;=W$194,System_Mkt_Repl!$F364:$AE364+System_Mkt_NC!$G364:$AF364)))=0,V225,SUMPRODUCT(IF($G$194:$AF$194&gt;=ROUND(IF((W$194-Sys_Repl_Rate!W110)&lt;Tech_Specs!$C38,Tech_Specs!$C38,(W$194-Sys_Repl_Rate!W110)),0),IF($G$194:$AF$194&lt;=W$194,$G151:$AF151)),System_Mkt_Repl!$F364:$AE364+System_Mkt_NC!$G364:$AF364)/SUM(IF($G$194:$AF$194&gt;=ROUND(IF((W$194-Sys_Repl_Rate!W110)&lt;Tech_Specs!$C38,Tech_Specs!$C38,(W$194-Sys_Repl_Rate!W110)),0),IF($G$194:$AF$194&lt;=W$194,System_Mkt_Repl!$F364:$AE364+System_Mkt_NC!$G364:$AF364)))))</f>
        <v>1</v>
      </c>
      <c r="X225" s="373">
        <f t="array" ref="X225">IF(X$194=Misc_Inputs!$D$6,$G151,IF(SUM(IF($G$194:$AF$194&gt;=ROUND(IF((X$194-Sys_Repl_Rate!X110)&lt;Tech_Specs!$C38,Tech_Specs!$C38,(X$194-Sys_Repl_Rate!X110)),0),IF($G$194:$AF$194&lt;=X$194,System_Mkt_Repl!$F364:$AE364+System_Mkt_NC!$G364:$AF364)))=0,W225,SUMPRODUCT(IF($G$194:$AF$194&gt;=ROUND(IF((X$194-Sys_Repl_Rate!X110)&lt;Tech_Specs!$C38,Tech_Specs!$C38,(X$194-Sys_Repl_Rate!X110)),0),IF($G$194:$AF$194&lt;=X$194,$G151:$AF151)),System_Mkt_Repl!$F364:$AE364+System_Mkt_NC!$G364:$AF364)/SUM(IF($G$194:$AF$194&gt;=ROUND(IF((X$194-Sys_Repl_Rate!X110)&lt;Tech_Specs!$C38,Tech_Specs!$C38,(X$194-Sys_Repl_Rate!X110)),0),IF($G$194:$AF$194&lt;=X$194,System_Mkt_Repl!$F364:$AE364+System_Mkt_NC!$G364:$AF364)))))</f>
        <v>1</v>
      </c>
      <c r="Y225" s="373">
        <f t="array" ref="Y225">IF(Y$194=Misc_Inputs!$D$6,$G151,IF(SUM(IF($G$194:$AF$194&gt;=ROUND(IF((Y$194-Sys_Repl_Rate!Y110)&lt;Tech_Specs!$C38,Tech_Specs!$C38,(Y$194-Sys_Repl_Rate!Y110)),0),IF($G$194:$AF$194&lt;=Y$194,System_Mkt_Repl!$F364:$AE364+System_Mkt_NC!$G364:$AF364)))=0,X225,SUMPRODUCT(IF($G$194:$AF$194&gt;=ROUND(IF((Y$194-Sys_Repl_Rate!Y110)&lt;Tech_Specs!$C38,Tech_Specs!$C38,(Y$194-Sys_Repl_Rate!Y110)),0),IF($G$194:$AF$194&lt;=Y$194,$G151:$AF151)),System_Mkt_Repl!$F364:$AE364+System_Mkt_NC!$G364:$AF364)/SUM(IF($G$194:$AF$194&gt;=ROUND(IF((Y$194-Sys_Repl_Rate!Y110)&lt;Tech_Specs!$C38,Tech_Specs!$C38,(Y$194-Sys_Repl_Rate!Y110)),0),IF($G$194:$AF$194&lt;=Y$194,System_Mkt_Repl!$F364:$AE364+System_Mkt_NC!$G364:$AF364)))))</f>
        <v>1</v>
      </c>
      <c r="Z225" s="373">
        <f t="array" ref="Z225">IF(Z$194=Misc_Inputs!$D$6,$G151,IF(SUM(IF($G$194:$AF$194&gt;=ROUND(IF((Z$194-Sys_Repl_Rate!Z110)&lt;Tech_Specs!$C38,Tech_Specs!$C38,(Z$194-Sys_Repl_Rate!Z110)),0),IF($G$194:$AF$194&lt;=Z$194,System_Mkt_Repl!$F364:$AE364+System_Mkt_NC!$G364:$AF364)))=0,Y225,SUMPRODUCT(IF($G$194:$AF$194&gt;=ROUND(IF((Z$194-Sys_Repl_Rate!Z110)&lt;Tech_Specs!$C38,Tech_Specs!$C38,(Z$194-Sys_Repl_Rate!Z110)),0),IF($G$194:$AF$194&lt;=Z$194,$G151:$AF151)),System_Mkt_Repl!$F364:$AE364+System_Mkt_NC!$G364:$AF364)/SUM(IF($G$194:$AF$194&gt;=ROUND(IF((Z$194-Sys_Repl_Rate!Z110)&lt;Tech_Specs!$C38,Tech_Specs!$C38,(Z$194-Sys_Repl_Rate!Z110)),0),IF($G$194:$AF$194&lt;=Z$194,System_Mkt_Repl!$F364:$AE364+System_Mkt_NC!$G364:$AF364)))))</f>
        <v>1</v>
      </c>
      <c r="AA225" s="373">
        <f t="array" ref="AA225">IF(AA$194=Misc_Inputs!$D$6,$G151,IF(SUM(IF($G$194:$AF$194&gt;=ROUND(IF((AA$194-Sys_Repl_Rate!AA110)&lt;Tech_Specs!$C38,Tech_Specs!$C38,(AA$194-Sys_Repl_Rate!AA110)),0),IF($G$194:$AF$194&lt;=AA$194,System_Mkt_Repl!$F364:$AE364+System_Mkt_NC!$G364:$AF364)))=0,Z225,SUMPRODUCT(IF($G$194:$AF$194&gt;=ROUND(IF((AA$194-Sys_Repl_Rate!AA110)&lt;Tech_Specs!$C38,Tech_Specs!$C38,(AA$194-Sys_Repl_Rate!AA110)),0),IF($G$194:$AF$194&lt;=AA$194,$G151:$AF151)),System_Mkt_Repl!$F364:$AE364+System_Mkt_NC!$G364:$AF364)/SUM(IF($G$194:$AF$194&gt;=ROUND(IF((AA$194-Sys_Repl_Rate!AA110)&lt;Tech_Specs!$C38,Tech_Specs!$C38,(AA$194-Sys_Repl_Rate!AA110)),0),IF($G$194:$AF$194&lt;=AA$194,System_Mkt_Repl!$F364:$AE364+System_Mkt_NC!$G364:$AF364)))))</f>
        <v>1</v>
      </c>
      <c r="AB225" s="373">
        <f t="array" ref="AB225">IF(AB$194=Misc_Inputs!$D$6,$G151,IF(SUM(IF($G$194:$AF$194&gt;=ROUND(IF((AB$194-Sys_Repl_Rate!AB110)&lt;Tech_Specs!$C38,Tech_Specs!$C38,(AB$194-Sys_Repl_Rate!AB110)),0),IF($G$194:$AF$194&lt;=AB$194,System_Mkt_Repl!$F364:$AE364+System_Mkt_NC!$G364:$AF364)))=0,AA225,SUMPRODUCT(IF($G$194:$AF$194&gt;=ROUND(IF((AB$194-Sys_Repl_Rate!AB110)&lt;Tech_Specs!$C38,Tech_Specs!$C38,(AB$194-Sys_Repl_Rate!AB110)),0),IF($G$194:$AF$194&lt;=AB$194,$G151:$AF151)),System_Mkt_Repl!$F364:$AE364+System_Mkt_NC!$G364:$AF364)/SUM(IF($G$194:$AF$194&gt;=ROUND(IF((AB$194-Sys_Repl_Rate!AB110)&lt;Tech_Specs!$C38,Tech_Specs!$C38,(AB$194-Sys_Repl_Rate!AB110)),0),IF($G$194:$AF$194&lt;=AB$194,System_Mkt_Repl!$F364:$AE364+System_Mkt_NC!$G364:$AF364)))))</f>
        <v>1</v>
      </c>
      <c r="AC225" s="373">
        <f t="array" ref="AC225">IF(AC$194=Misc_Inputs!$D$6,$G151,IF(SUM(IF($G$194:$AF$194&gt;=ROUND(IF((AC$194-Sys_Repl_Rate!AC110)&lt;Tech_Specs!$C38,Tech_Specs!$C38,(AC$194-Sys_Repl_Rate!AC110)),0),IF($G$194:$AF$194&lt;=AC$194,System_Mkt_Repl!$F364:$AE364+System_Mkt_NC!$G364:$AF364)))=0,AB225,SUMPRODUCT(IF($G$194:$AF$194&gt;=ROUND(IF((AC$194-Sys_Repl_Rate!AC110)&lt;Tech_Specs!$C38,Tech_Specs!$C38,(AC$194-Sys_Repl_Rate!AC110)),0),IF($G$194:$AF$194&lt;=AC$194,$G151:$AF151)),System_Mkt_Repl!$F364:$AE364+System_Mkt_NC!$G364:$AF364)/SUM(IF($G$194:$AF$194&gt;=ROUND(IF((AC$194-Sys_Repl_Rate!AC110)&lt;Tech_Specs!$C38,Tech_Specs!$C38,(AC$194-Sys_Repl_Rate!AC110)),0),IF($G$194:$AF$194&lt;=AC$194,System_Mkt_Repl!$F364:$AE364+System_Mkt_NC!$G364:$AF364)))))</f>
        <v>1</v>
      </c>
      <c r="AD225" s="373">
        <f t="array" ref="AD225">IF(AD$194=Misc_Inputs!$D$6,$G151,IF(SUM(IF($G$194:$AF$194&gt;=ROUND(IF((AD$194-Sys_Repl_Rate!AD110)&lt;Tech_Specs!$C38,Tech_Specs!$C38,(AD$194-Sys_Repl_Rate!AD110)),0),IF($G$194:$AF$194&lt;=AD$194,System_Mkt_Repl!$F364:$AE364+System_Mkt_NC!$G364:$AF364)))=0,AC225,SUMPRODUCT(IF($G$194:$AF$194&gt;=ROUND(IF((AD$194-Sys_Repl_Rate!AD110)&lt;Tech_Specs!$C38,Tech_Specs!$C38,(AD$194-Sys_Repl_Rate!AD110)),0),IF($G$194:$AF$194&lt;=AD$194,$G151:$AF151)),System_Mkt_Repl!$F364:$AE364+System_Mkt_NC!$G364:$AF364)/SUM(IF($G$194:$AF$194&gt;=ROUND(IF((AD$194-Sys_Repl_Rate!AD110)&lt;Tech_Specs!$C38,Tech_Specs!$C38,(AD$194-Sys_Repl_Rate!AD110)),0),IF($G$194:$AF$194&lt;=AD$194,System_Mkt_Repl!$F364:$AE364+System_Mkt_NC!$G364:$AF364)))))</f>
        <v>1</v>
      </c>
      <c r="AE225" s="373">
        <f t="array" ref="AE225">IF(AE$194=Misc_Inputs!$D$6,$G151,IF(SUM(IF($G$194:$AF$194&gt;=ROUND(IF((AE$194-Sys_Repl_Rate!AE110)&lt;Tech_Specs!$C38,Tech_Specs!$C38,(AE$194-Sys_Repl_Rate!AE110)),0),IF($G$194:$AF$194&lt;=AE$194,System_Mkt_Repl!$F364:$AE364+System_Mkt_NC!$G364:$AF364)))=0,AD225,SUMPRODUCT(IF($G$194:$AF$194&gt;=ROUND(IF((AE$194-Sys_Repl_Rate!AE110)&lt;Tech_Specs!$C38,Tech_Specs!$C38,(AE$194-Sys_Repl_Rate!AE110)),0),IF($G$194:$AF$194&lt;=AE$194,$G151:$AF151)),System_Mkt_Repl!$F364:$AE364+System_Mkt_NC!$G364:$AF364)/SUM(IF($G$194:$AF$194&gt;=ROUND(IF((AE$194-Sys_Repl_Rate!AE110)&lt;Tech_Specs!$C38,Tech_Specs!$C38,(AE$194-Sys_Repl_Rate!AE110)),0),IF($G$194:$AF$194&lt;=AE$194,System_Mkt_Repl!$F364:$AE364+System_Mkt_NC!$G364:$AF364)))))</f>
        <v>1</v>
      </c>
      <c r="AF225" s="373">
        <f t="array" ref="AF225">IF(AF$194=Misc_Inputs!$D$6,$G151,IF(SUM(IF($G$194:$AF$194&gt;=ROUND(IF((AF$194-Sys_Repl_Rate!AF110)&lt;Tech_Specs!$C38,Tech_Specs!$C38,(AF$194-Sys_Repl_Rate!AF110)),0),IF($G$194:$AF$194&lt;=AF$194,System_Mkt_Repl!$F364:$AE364+System_Mkt_NC!$G364:$AF364)))=0,AE225,SUMPRODUCT(IF($G$194:$AF$194&gt;=ROUND(IF((AF$194-Sys_Repl_Rate!AF110)&lt;Tech_Specs!$C38,Tech_Specs!$C38,(AF$194-Sys_Repl_Rate!AF110)),0),IF($G$194:$AF$194&lt;=AF$194,$G151:$AF151)),System_Mkt_Repl!$F364:$AE364+System_Mkt_NC!$G364:$AF364)/SUM(IF($G$194:$AF$194&gt;=ROUND(IF((AF$194-Sys_Repl_Rate!AF110)&lt;Tech_Specs!$C38,Tech_Specs!$C38,(AF$194-Sys_Repl_Rate!AF110)),0),IF($G$194:$AF$194&lt;=AF$194,System_Mkt_Repl!$F364:$AE364+System_Mkt_NC!$G364:$AF364)))))</f>
        <v>1</v>
      </c>
    </row>
    <row r="226" spans="1:32" s="282" customFormat="1" ht="12.75" x14ac:dyDescent="0.2">
      <c r="A226" s="278"/>
      <c r="B226" s="282" t="s">
        <v>53</v>
      </c>
      <c r="C226" s="278"/>
      <c r="D226" s="550"/>
      <c r="E226" s="550"/>
      <c r="F226" s="550"/>
      <c r="G226" s="373">
        <f t="array" ref="G226">IF(G$194=Misc_Inputs!$D$6,$G152,IF(SUM(IF($G$194:$AF$194&gt;=ROUND(IF((G$194-Sys_Repl_Rate!G111)&lt;Tech_Specs!$C39,Tech_Specs!$C39,(G$194-Sys_Repl_Rate!G111)),0),IF($G$194:$AF$194&lt;=G$194,System_Mkt_Repl!$F365:$AE365+System_Mkt_NC!$G365:$AF365)))=0,C226,SUMPRODUCT(IF($G$194:$AF$194&gt;=ROUND(IF((G$194-Sys_Repl_Rate!G111)&lt;Tech_Specs!$C39,Tech_Specs!$C39,(G$194-Sys_Repl_Rate!G111)),0),IF($G$194:$AF$194&lt;=G$194,$G152:$AF152)),System_Mkt_Repl!$F365:$AE365+System_Mkt_NC!$G365:$AF365)/SUM(IF($G$194:$AF$194&gt;=ROUND(IF((G$194-Sys_Repl_Rate!G111)&lt;Tech_Specs!$C39,Tech_Specs!$C39,(G$194-Sys_Repl_Rate!G111)),0),IF($G$194:$AF$194&lt;=G$194,System_Mkt_Repl!$F365:$AE365+System_Mkt_NC!$G365:$AF365)))))</f>
        <v>1</v>
      </c>
      <c r="H226" s="373">
        <f t="array" ref="H226">IF(H$194=Misc_Inputs!$D$6,$G152,IF(SUM(IF($G$194:$AF$194&gt;=ROUND(IF((H$194-Sys_Repl_Rate!H111)&lt;Tech_Specs!$C39,Tech_Specs!$C39,(H$194-Sys_Repl_Rate!H111)),0),IF($G$194:$AF$194&lt;=H$194,System_Mkt_Repl!$F365:$AE365+System_Mkt_NC!$G365:$AF365)))=0,G226,SUMPRODUCT(IF($G$194:$AF$194&gt;=ROUND(IF((H$194-Sys_Repl_Rate!H111)&lt;Tech_Specs!$C39,Tech_Specs!$C39,(H$194-Sys_Repl_Rate!H111)),0),IF($G$194:$AF$194&lt;=H$194,$G152:$AF152)),System_Mkt_Repl!$F365:$AE365+System_Mkt_NC!$G365:$AF365)/SUM(IF($G$194:$AF$194&gt;=ROUND(IF((H$194-Sys_Repl_Rate!H111)&lt;Tech_Specs!$C39,Tech_Specs!$C39,(H$194-Sys_Repl_Rate!H111)),0),IF($G$194:$AF$194&lt;=H$194,System_Mkt_Repl!$F365:$AE365+System_Mkt_NC!$G365:$AF365)))))</f>
        <v>1</v>
      </c>
      <c r="I226" s="373">
        <f t="array" ref="I226">IF(I$194=Misc_Inputs!$D$6,$G152,IF(SUM(IF($G$194:$AF$194&gt;=ROUND(IF((I$194-Sys_Repl_Rate!I111)&lt;Tech_Specs!$C39,Tech_Specs!$C39,(I$194-Sys_Repl_Rate!I111)),0),IF($G$194:$AF$194&lt;=I$194,System_Mkt_Repl!$F365:$AE365+System_Mkt_NC!$G365:$AF365)))=0,H226,SUMPRODUCT(IF($G$194:$AF$194&gt;=ROUND(IF((I$194-Sys_Repl_Rate!I111)&lt;Tech_Specs!$C39,Tech_Specs!$C39,(I$194-Sys_Repl_Rate!I111)),0),IF($G$194:$AF$194&lt;=I$194,$G152:$AF152)),System_Mkt_Repl!$F365:$AE365+System_Mkt_NC!$G365:$AF365)/SUM(IF($G$194:$AF$194&gt;=ROUND(IF((I$194-Sys_Repl_Rate!I111)&lt;Tech_Specs!$C39,Tech_Specs!$C39,(I$194-Sys_Repl_Rate!I111)),0),IF($G$194:$AF$194&lt;=I$194,System_Mkt_Repl!$F365:$AE365+System_Mkt_NC!$G365:$AF365)))))</f>
        <v>1</v>
      </c>
      <c r="J226" s="373">
        <f t="array" ref="J226">IF(J$194=Misc_Inputs!$D$6,$G152,IF(SUM(IF($G$194:$AF$194&gt;=ROUND(IF((J$194-Sys_Repl_Rate!J111)&lt;Tech_Specs!$C39,Tech_Specs!$C39,(J$194-Sys_Repl_Rate!J111)),0),IF($G$194:$AF$194&lt;=J$194,System_Mkt_Repl!$F365:$AE365+System_Mkt_NC!$G365:$AF365)))=0,I226,SUMPRODUCT(IF($G$194:$AF$194&gt;=ROUND(IF((J$194-Sys_Repl_Rate!J111)&lt;Tech_Specs!$C39,Tech_Specs!$C39,(J$194-Sys_Repl_Rate!J111)),0),IF($G$194:$AF$194&lt;=J$194,$G152:$AF152)),System_Mkt_Repl!$F365:$AE365+System_Mkt_NC!$G365:$AF365)/SUM(IF($G$194:$AF$194&gt;=ROUND(IF((J$194-Sys_Repl_Rate!J111)&lt;Tech_Specs!$C39,Tech_Specs!$C39,(J$194-Sys_Repl_Rate!J111)),0),IF($G$194:$AF$194&lt;=J$194,System_Mkt_Repl!$F365:$AE365+System_Mkt_NC!$G365:$AF365)))))</f>
        <v>1</v>
      </c>
      <c r="K226" s="373">
        <f t="array" ref="K226">IF(K$194=Misc_Inputs!$D$6,$G152,IF(SUM(IF($G$194:$AF$194&gt;=ROUND(IF((K$194-Sys_Repl_Rate!K111)&lt;Tech_Specs!$C39,Tech_Specs!$C39,(K$194-Sys_Repl_Rate!K111)),0),IF($G$194:$AF$194&lt;=K$194,System_Mkt_Repl!$F365:$AE365+System_Mkt_NC!$G365:$AF365)))=0,J226,SUMPRODUCT(IF($G$194:$AF$194&gt;=ROUND(IF((K$194-Sys_Repl_Rate!K111)&lt;Tech_Specs!$C39,Tech_Specs!$C39,(K$194-Sys_Repl_Rate!K111)),0),IF($G$194:$AF$194&lt;=K$194,$G152:$AF152)),System_Mkt_Repl!$F365:$AE365+System_Mkt_NC!$G365:$AF365)/SUM(IF($G$194:$AF$194&gt;=ROUND(IF((K$194-Sys_Repl_Rate!K111)&lt;Tech_Specs!$C39,Tech_Specs!$C39,(K$194-Sys_Repl_Rate!K111)),0),IF($G$194:$AF$194&lt;=K$194,System_Mkt_Repl!$F365:$AE365+System_Mkt_NC!$G365:$AF365)))))</f>
        <v>1</v>
      </c>
      <c r="L226" s="373">
        <f t="array" ref="L226">IF(L$194=Misc_Inputs!$D$6,$G152,IF(SUM(IF($G$194:$AF$194&gt;=ROUND(IF((L$194-Sys_Repl_Rate!L111)&lt;Tech_Specs!$C39,Tech_Specs!$C39,(L$194-Sys_Repl_Rate!L111)),0),IF($G$194:$AF$194&lt;=L$194,System_Mkt_Repl!$F365:$AE365+System_Mkt_NC!$G365:$AF365)))=0,K226,SUMPRODUCT(IF($G$194:$AF$194&gt;=ROUND(IF((L$194-Sys_Repl_Rate!L111)&lt;Tech_Specs!$C39,Tech_Specs!$C39,(L$194-Sys_Repl_Rate!L111)),0),IF($G$194:$AF$194&lt;=L$194,$G152:$AF152)),System_Mkt_Repl!$F365:$AE365+System_Mkt_NC!$G365:$AF365)/SUM(IF($G$194:$AF$194&gt;=ROUND(IF((L$194-Sys_Repl_Rate!L111)&lt;Tech_Specs!$C39,Tech_Specs!$C39,(L$194-Sys_Repl_Rate!L111)),0),IF($G$194:$AF$194&lt;=L$194,System_Mkt_Repl!$F365:$AE365+System_Mkt_NC!$G365:$AF365)))))</f>
        <v>1</v>
      </c>
      <c r="M226" s="373">
        <f t="array" ref="M226">IF(M$194=Misc_Inputs!$D$6,$G152,IF(SUM(IF($G$194:$AF$194&gt;=ROUND(IF((M$194-Sys_Repl_Rate!M111)&lt;Tech_Specs!$C39,Tech_Specs!$C39,(M$194-Sys_Repl_Rate!M111)),0),IF($G$194:$AF$194&lt;=M$194,System_Mkt_Repl!$F365:$AE365+System_Mkt_NC!$G365:$AF365)))=0,L226,SUMPRODUCT(IF($G$194:$AF$194&gt;=ROUND(IF((M$194-Sys_Repl_Rate!M111)&lt;Tech_Specs!$C39,Tech_Specs!$C39,(M$194-Sys_Repl_Rate!M111)),0),IF($G$194:$AF$194&lt;=M$194,$G152:$AF152)),System_Mkt_Repl!$F365:$AE365+System_Mkt_NC!$G365:$AF365)/SUM(IF($G$194:$AF$194&gt;=ROUND(IF((M$194-Sys_Repl_Rate!M111)&lt;Tech_Specs!$C39,Tech_Specs!$C39,(M$194-Sys_Repl_Rate!M111)),0),IF($G$194:$AF$194&lt;=M$194,System_Mkt_Repl!$F365:$AE365+System_Mkt_NC!$G365:$AF365)))))</f>
        <v>1</v>
      </c>
      <c r="N226" s="373">
        <f t="array" ref="N226">IF(N$194=Misc_Inputs!$D$6,$G152,IF(SUM(IF($G$194:$AF$194&gt;=ROUND(IF((N$194-Sys_Repl_Rate!N111)&lt;Tech_Specs!$C39,Tech_Specs!$C39,(N$194-Sys_Repl_Rate!N111)),0),IF($G$194:$AF$194&lt;=N$194,System_Mkt_Repl!$F365:$AE365+System_Mkt_NC!$G365:$AF365)))=0,M226,SUMPRODUCT(IF($G$194:$AF$194&gt;=ROUND(IF((N$194-Sys_Repl_Rate!N111)&lt;Tech_Specs!$C39,Tech_Specs!$C39,(N$194-Sys_Repl_Rate!N111)),0),IF($G$194:$AF$194&lt;=N$194,$G152:$AF152)),System_Mkt_Repl!$F365:$AE365+System_Mkt_NC!$G365:$AF365)/SUM(IF($G$194:$AF$194&gt;=ROUND(IF((N$194-Sys_Repl_Rate!N111)&lt;Tech_Specs!$C39,Tech_Specs!$C39,(N$194-Sys_Repl_Rate!N111)),0),IF($G$194:$AF$194&lt;=N$194,System_Mkt_Repl!$F365:$AE365+System_Mkt_NC!$G365:$AF365)))))</f>
        <v>1</v>
      </c>
      <c r="O226" s="373">
        <f t="array" ref="O226">IF(O$194=Misc_Inputs!$D$6,$G152,IF(SUM(IF($G$194:$AF$194&gt;=ROUND(IF((O$194-Sys_Repl_Rate!O111)&lt;Tech_Specs!$C39,Tech_Specs!$C39,(O$194-Sys_Repl_Rate!O111)),0),IF($G$194:$AF$194&lt;=O$194,System_Mkt_Repl!$F365:$AE365+System_Mkt_NC!$G365:$AF365)))=0,N226,SUMPRODUCT(IF($G$194:$AF$194&gt;=ROUND(IF((O$194-Sys_Repl_Rate!O111)&lt;Tech_Specs!$C39,Tech_Specs!$C39,(O$194-Sys_Repl_Rate!O111)),0),IF($G$194:$AF$194&lt;=O$194,$G152:$AF152)),System_Mkt_Repl!$F365:$AE365+System_Mkt_NC!$G365:$AF365)/SUM(IF($G$194:$AF$194&gt;=ROUND(IF((O$194-Sys_Repl_Rate!O111)&lt;Tech_Specs!$C39,Tech_Specs!$C39,(O$194-Sys_Repl_Rate!O111)),0),IF($G$194:$AF$194&lt;=O$194,System_Mkt_Repl!$F365:$AE365+System_Mkt_NC!$G365:$AF365)))))</f>
        <v>1</v>
      </c>
      <c r="P226" s="373">
        <f t="array" ref="P226">IF(P$194=Misc_Inputs!$D$6,$G152,IF(SUM(IF($G$194:$AF$194&gt;=ROUND(IF((P$194-Sys_Repl_Rate!P111)&lt;Tech_Specs!$C39,Tech_Specs!$C39,(P$194-Sys_Repl_Rate!P111)),0),IF($G$194:$AF$194&lt;=P$194,System_Mkt_Repl!$F365:$AE365+System_Mkt_NC!$G365:$AF365)))=0,O226,SUMPRODUCT(IF($G$194:$AF$194&gt;=ROUND(IF((P$194-Sys_Repl_Rate!P111)&lt;Tech_Specs!$C39,Tech_Specs!$C39,(P$194-Sys_Repl_Rate!P111)),0),IF($G$194:$AF$194&lt;=P$194,$G152:$AF152)),System_Mkt_Repl!$F365:$AE365+System_Mkt_NC!$G365:$AF365)/SUM(IF($G$194:$AF$194&gt;=ROUND(IF((P$194-Sys_Repl_Rate!P111)&lt;Tech_Specs!$C39,Tech_Specs!$C39,(P$194-Sys_Repl_Rate!P111)),0),IF($G$194:$AF$194&lt;=P$194,System_Mkt_Repl!$F365:$AE365+System_Mkt_NC!$G365:$AF365)))))</f>
        <v>1</v>
      </c>
      <c r="Q226" s="373">
        <f t="array" ref="Q226">IF(Q$194=Misc_Inputs!$D$6,$G152,IF(SUM(IF($G$194:$AF$194&gt;=ROUND(IF((Q$194-Sys_Repl_Rate!Q111)&lt;Tech_Specs!$C39,Tech_Specs!$C39,(Q$194-Sys_Repl_Rate!Q111)),0),IF($G$194:$AF$194&lt;=Q$194,System_Mkt_Repl!$F365:$AE365+System_Mkt_NC!$G365:$AF365)))=0,P226,SUMPRODUCT(IF($G$194:$AF$194&gt;=ROUND(IF((Q$194-Sys_Repl_Rate!Q111)&lt;Tech_Specs!$C39,Tech_Specs!$C39,(Q$194-Sys_Repl_Rate!Q111)),0),IF($G$194:$AF$194&lt;=Q$194,$G152:$AF152)),System_Mkt_Repl!$F365:$AE365+System_Mkt_NC!$G365:$AF365)/SUM(IF($G$194:$AF$194&gt;=ROUND(IF((Q$194-Sys_Repl_Rate!Q111)&lt;Tech_Specs!$C39,Tech_Specs!$C39,(Q$194-Sys_Repl_Rate!Q111)),0),IF($G$194:$AF$194&lt;=Q$194,System_Mkt_Repl!$F365:$AE365+System_Mkt_NC!$G365:$AF365)))))</f>
        <v>1</v>
      </c>
      <c r="R226" s="373">
        <f t="array" ref="R226">IF(R$194=Misc_Inputs!$D$6,$G152,IF(SUM(IF($G$194:$AF$194&gt;=ROUND(IF((R$194-Sys_Repl_Rate!R111)&lt;Tech_Specs!$C39,Tech_Specs!$C39,(R$194-Sys_Repl_Rate!R111)),0),IF($G$194:$AF$194&lt;=R$194,System_Mkt_Repl!$F365:$AE365+System_Mkt_NC!$G365:$AF365)))=0,Q226,SUMPRODUCT(IF($G$194:$AF$194&gt;=ROUND(IF((R$194-Sys_Repl_Rate!R111)&lt;Tech_Specs!$C39,Tech_Specs!$C39,(R$194-Sys_Repl_Rate!R111)),0),IF($G$194:$AF$194&lt;=R$194,$G152:$AF152)),System_Mkt_Repl!$F365:$AE365+System_Mkt_NC!$G365:$AF365)/SUM(IF($G$194:$AF$194&gt;=ROUND(IF((R$194-Sys_Repl_Rate!R111)&lt;Tech_Specs!$C39,Tech_Specs!$C39,(R$194-Sys_Repl_Rate!R111)),0),IF($G$194:$AF$194&lt;=R$194,System_Mkt_Repl!$F365:$AE365+System_Mkt_NC!$G365:$AF365)))))</f>
        <v>1</v>
      </c>
      <c r="S226" s="373">
        <f t="array" ref="S226">IF(S$194=Misc_Inputs!$D$6,$G152,IF(SUM(IF($G$194:$AF$194&gt;=ROUND(IF((S$194-Sys_Repl_Rate!S111)&lt;Tech_Specs!$C39,Tech_Specs!$C39,(S$194-Sys_Repl_Rate!S111)),0),IF($G$194:$AF$194&lt;=S$194,System_Mkt_Repl!$F365:$AE365+System_Mkt_NC!$G365:$AF365)))=0,R226,SUMPRODUCT(IF($G$194:$AF$194&gt;=ROUND(IF((S$194-Sys_Repl_Rate!S111)&lt;Tech_Specs!$C39,Tech_Specs!$C39,(S$194-Sys_Repl_Rate!S111)),0),IF($G$194:$AF$194&lt;=S$194,$G152:$AF152)),System_Mkt_Repl!$F365:$AE365+System_Mkt_NC!$G365:$AF365)/SUM(IF($G$194:$AF$194&gt;=ROUND(IF((S$194-Sys_Repl_Rate!S111)&lt;Tech_Specs!$C39,Tech_Specs!$C39,(S$194-Sys_Repl_Rate!S111)),0),IF($G$194:$AF$194&lt;=S$194,System_Mkt_Repl!$F365:$AE365+System_Mkt_NC!$G365:$AF365)))))</f>
        <v>1</v>
      </c>
      <c r="T226" s="373">
        <f t="array" ref="T226">IF(T$194=Misc_Inputs!$D$6,$G152,IF(SUM(IF($G$194:$AF$194&gt;=ROUND(IF((T$194-Sys_Repl_Rate!T111)&lt;Tech_Specs!$C39,Tech_Specs!$C39,(T$194-Sys_Repl_Rate!T111)),0),IF($G$194:$AF$194&lt;=T$194,System_Mkt_Repl!$F365:$AE365+System_Mkt_NC!$G365:$AF365)))=0,S226,SUMPRODUCT(IF($G$194:$AF$194&gt;=ROUND(IF((T$194-Sys_Repl_Rate!T111)&lt;Tech_Specs!$C39,Tech_Specs!$C39,(T$194-Sys_Repl_Rate!T111)),0),IF($G$194:$AF$194&lt;=T$194,$G152:$AF152)),System_Mkt_Repl!$F365:$AE365+System_Mkt_NC!$G365:$AF365)/SUM(IF($G$194:$AF$194&gt;=ROUND(IF((T$194-Sys_Repl_Rate!T111)&lt;Tech_Specs!$C39,Tech_Specs!$C39,(T$194-Sys_Repl_Rate!T111)),0),IF($G$194:$AF$194&lt;=T$194,System_Mkt_Repl!$F365:$AE365+System_Mkt_NC!$G365:$AF365)))))</f>
        <v>1</v>
      </c>
      <c r="U226" s="373">
        <f t="array" ref="U226">IF(U$194=Misc_Inputs!$D$6,$G152,IF(SUM(IF($G$194:$AF$194&gt;=ROUND(IF((U$194-Sys_Repl_Rate!U111)&lt;Tech_Specs!$C39,Tech_Specs!$C39,(U$194-Sys_Repl_Rate!U111)),0),IF($G$194:$AF$194&lt;=U$194,System_Mkt_Repl!$F365:$AE365+System_Mkt_NC!$G365:$AF365)))=0,T226,SUMPRODUCT(IF($G$194:$AF$194&gt;=ROUND(IF((U$194-Sys_Repl_Rate!U111)&lt;Tech_Specs!$C39,Tech_Specs!$C39,(U$194-Sys_Repl_Rate!U111)),0),IF($G$194:$AF$194&lt;=U$194,$G152:$AF152)),System_Mkt_Repl!$F365:$AE365+System_Mkt_NC!$G365:$AF365)/SUM(IF($G$194:$AF$194&gt;=ROUND(IF((U$194-Sys_Repl_Rate!U111)&lt;Tech_Specs!$C39,Tech_Specs!$C39,(U$194-Sys_Repl_Rate!U111)),0),IF($G$194:$AF$194&lt;=U$194,System_Mkt_Repl!$F365:$AE365+System_Mkt_NC!$G365:$AF365)))))</f>
        <v>1</v>
      </c>
      <c r="V226" s="373">
        <f t="array" ref="V226">IF(V$194=Misc_Inputs!$D$6,$G152,IF(SUM(IF($G$194:$AF$194&gt;=ROUND(IF((V$194-Sys_Repl_Rate!V111)&lt;Tech_Specs!$C39,Tech_Specs!$C39,(V$194-Sys_Repl_Rate!V111)),0),IF($G$194:$AF$194&lt;=V$194,System_Mkt_Repl!$F365:$AE365+System_Mkt_NC!$G365:$AF365)))=0,U226,SUMPRODUCT(IF($G$194:$AF$194&gt;=ROUND(IF((V$194-Sys_Repl_Rate!V111)&lt;Tech_Specs!$C39,Tech_Specs!$C39,(V$194-Sys_Repl_Rate!V111)),0),IF($G$194:$AF$194&lt;=V$194,$G152:$AF152)),System_Mkt_Repl!$F365:$AE365+System_Mkt_NC!$G365:$AF365)/SUM(IF($G$194:$AF$194&gt;=ROUND(IF((V$194-Sys_Repl_Rate!V111)&lt;Tech_Specs!$C39,Tech_Specs!$C39,(V$194-Sys_Repl_Rate!V111)),0),IF($G$194:$AF$194&lt;=V$194,System_Mkt_Repl!$F365:$AE365+System_Mkt_NC!$G365:$AF365)))))</f>
        <v>1</v>
      </c>
      <c r="W226" s="373">
        <f t="array" ref="W226">IF(W$194=Misc_Inputs!$D$6,$G152,IF(SUM(IF($G$194:$AF$194&gt;=ROUND(IF((W$194-Sys_Repl_Rate!W111)&lt;Tech_Specs!$C39,Tech_Specs!$C39,(W$194-Sys_Repl_Rate!W111)),0),IF($G$194:$AF$194&lt;=W$194,System_Mkt_Repl!$F365:$AE365+System_Mkt_NC!$G365:$AF365)))=0,V226,SUMPRODUCT(IF($G$194:$AF$194&gt;=ROUND(IF((W$194-Sys_Repl_Rate!W111)&lt;Tech_Specs!$C39,Tech_Specs!$C39,(W$194-Sys_Repl_Rate!W111)),0),IF($G$194:$AF$194&lt;=W$194,$G152:$AF152)),System_Mkt_Repl!$F365:$AE365+System_Mkt_NC!$G365:$AF365)/SUM(IF($G$194:$AF$194&gt;=ROUND(IF((W$194-Sys_Repl_Rate!W111)&lt;Tech_Specs!$C39,Tech_Specs!$C39,(W$194-Sys_Repl_Rate!W111)),0),IF($G$194:$AF$194&lt;=W$194,System_Mkt_Repl!$F365:$AE365+System_Mkt_NC!$G365:$AF365)))))</f>
        <v>1</v>
      </c>
      <c r="X226" s="373">
        <f t="array" ref="X226">IF(X$194=Misc_Inputs!$D$6,$G152,IF(SUM(IF($G$194:$AF$194&gt;=ROUND(IF((X$194-Sys_Repl_Rate!X111)&lt;Tech_Specs!$C39,Tech_Specs!$C39,(X$194-Sys_Repl_Rate!X111)),0),IF($G$194:$AF$194&lt;=X$194,System_Mkt_Repl!$F365:$AE365+System_Mkt_NC!$G365:$AF365)))=0,W226,SUMPRODUCT(IF($G$194:$AF$194&gt;=ROUND(IF((X$194-Sys_Repl_Rate!X111)&lt;Tech_Specs!$C39,Tech_Specs!$C39,(X$194-Sys_Repl_Rate!X111)),0),IF($G$194:$AF$194&lt;=X$194,$G152:$AF152)),System_Mkt_Repl!$F365:$AE365+System_Mkt_NC!$G365:$AF365)/SUM(IF($G$194:$AF$194&gt;=ROUND(IF((X$194-Sys_Repl_Rate!X111)&lt;Tech_Specs!$C39,Tech_Specs!$C39,(X$194-Sys_Repl_Rate!X111)),0),IF($G$194:$AF$194&lt;=X$194,System_Mkt_Repl!$F365:$AE365+System_Mkt_NC!$G365:$AF365)))))</f>
        <v>1</v>
      </c>
      <c r="Y226" s="373">
        <f t="array" ref="Y226">IF(Y$194=Misc_Inputs!$D$6,$G152,IF(SUM(IF($G$194:$AF$194&gt;=ROUND(IF((Y$194-Sys_Repl_Rate!Y111)&lt;Tech_Specs!$C39,Tech_Specs!$C39,(Y$194-Sys_Repl_Rate!Y111)),0),IF($G$194:$AF$194&lt;=Y$194,System_Mkt_Repl!$F365:$AE365+System_Mkt_NC!$G365:$AF365)))=0,X226,SUMPRODUCT(IF($G$194:$AF$194&gt;=ROUND(IF((Y$194-Sys_Repl_Rate!Y111)&lt;Tech_Specs!$C39,Tech_Specs!$C39,(Y$194-Sys_Repl_Rate!Y111)),0),IF($G$194:$AF$194&lt;=Y$194,$G152:$AF152)),System_Mkt_Repl!$F365:$AE365+System_Mkt_NC!$G365:$AF365)/SUM(IF($G$194:$AF$194&gt;=ROUND(IF((Y$194-Sys_Repl_Rate!Y111)&lt;Tech_Specs!$C39,Tech_Specs!$C39,(Y$194-Sys_Repl_Rate!Y111)),0),IF($G$194:$AF$194&lt;=Y$194,System_Mkt_Repl!$F365:$AE365+System_Mkt_NC!$G365:$AF365)))))</f>
        <v>1</v>
      </c>
      <c r="Z226" s="373">
        <f t="array" ref="Z226">IF(Z$194=Misc_Inputs!$D$6,$G152,IF(SUM(IF($G$194:$AF$194&gt;=ROUND(IF((Z$194-Sys_Repl_Rate!Z111)&lt;Tech_Specs!$C39,Tech_Specs!$C39,(Z$194-Sys_Repl_Rate!Z111)),0),IF($G$194:$AF$194&lt;=Z$194,System_Mkt_Repl!$F365:$AE365+System_Mkt_NC!$G365:$AF365)))=0,Y226,SUMPRODUCT(IF($G$194:$AF$194&gt;=ROUND(IF((Z$194-Sys_Repl_Rate!Z111)&lt;Tech_Specs!$C39,Tech_Specs!$C39,(Z$194-Sys_Repl_Rate!Z111)),0),IF($G$194:$AF$194&lt;=Z$194,$G152:$AF152)),System_Mkt_Repl!$F365:$AE365+System_Mkt_NC!$G365:$AF365)/SUM(IF($G$194:$AF$194&gt;=ROUND(IF((Z$194-Sys_Repl_Rate!Z111)&lt;Tech_Specs!$C39,Tech_Specs!$C39,(Z$194-Sys_Repl_Rate!Z111)),0),IF($G$194:$AF$194&lt;=Z$194,System_Mkt_Repl!$F365:$AE365+System_Mkt_NC!$G365:$AF365)))))</f>
        <v>1</v>
      </c>
      <c r="AA226" s="373">
        <f t="array" ref="AA226">IF(AA$194=Misc_Inputs!$D$6,$G152,IF(SUM(IF($G$194:$AF$194&gt;=ROUND(IF((AA$194-Sys_Repl_Rate!AA111)&lt;Tech_Specs!$C39,Tech_Specs!$C39,(AA$194-Sys_Repl_Rate!AA111)),0),IF($G$194:$AF$194&lt;=AA$194,System_Mkt_Repl!$F365:$AE365+System_Mkt_NC!$G365:$AF365)))=0,Z226,SUMPRODUCT(IF($G$194:$AF$194&gt;=ROUND(IF((AA$194-Sys_Repl_Rate!AA111)&lt;Tech_Specs!$C39,Tech_Specs!$C39,(AA$194-Sys_Repl_Rate!AA111)),0),IF($G$194:$AF$194&lt;=AA$194,$G152:$AF152)),System_Mkt_Repl!$F365:$AE365+System_Mkt_NC!$G365:$AF365)/SUM(IF($G$194:$AF$194&gt;=ROUND(IF((AA$194-Sys_Repl_Rate!AA111)&lt;Tech_Specs!$C39,Tech_Specs!$C39,(AA$194-Sys_Repl_Rate!AA111)),0),IF($G$194:$AF$194&lt;=AA$194,System_Mkt_Repl!$F365:$AE365+System_Mkt_NC!$G365:$AF365)))))</f>
        <v>1</v>
      </c>
      <c r="AB226" s="373">
        <f t="array" ref="AB226">IF(AB$194=Misc_Inputs!$D$6,$G152,IF(SUM(IF($G$194:$AF$194&gt;=ROUND(IF((AB$194-Sys_Repl_Rate!AB111)&lt;Tech_Specs!$C39,Tech_Specs!$C39,(AB$194-Sys_Repl_Rate!AB111)),0),IF($G$194:$AF$194&lt;=AB$194,System_Mkt_Repl!$F365:$AE365+System_Mkt_NC!$G365:$AF365)))=0,AA226,SUMPRODUCT(IF($G$194:$AF$194&gt;=ROUND(IF((AB$194-Sys_Repl_Rate!AB111)&lt;Tech_Specs!$C39,Tech_Specs!$C39,(AB$194-Sys_Repl_Rate!AB111)),0),IF($G$194:$AF$194&lt;=AB$194,$G152:$AF152)),System_Mkt_Repl!$F365:$AE365+System_Mkt_NC!$G365:$AF365)/SUM(IF($G$194:$AF$194&gt;=ROUND(IF((AB$194-Sys_Repl_Rate!AB111)&lt;Tech_Specs!$C39,Tech_Specs!$C39,(AB$194-Sys_Repl_Rate!AB111)),0),IF($G$194:$AF$194&lt;=AB$194,System_Mkt_Repl!$F365:$AE365+System_Mkt_NC!$G365:$AF365)))))</f>
        <v>1</v>
      </c>
      <c r="AC226" s="373">
        <f t="array" ref="AC226">IF(AC$194=Misc_Inputs!$D$6,$G152,IF(SUM(IF($G$194:$AF$194&gt;=ROUND(IF((AC$194-Sys_Repl_Rate!AC111)&lt;Tech_Specs!$C39,Tech_Specs!$C39,(AC$194-Sys_Repl_Rate!AC111)),0),IF($G$194:$AF$194&lt;=AC$194,System_Mkt_Repl!$F365:$AE365+System_Mkt_NC!$G365:$AF365)))=0,AB226,SUMPRODUCT(IF($G$194:$AF$194&gt;=ROUND(IF((AC$194-Sys_Repl_Rate!AC111)&lt;Tech_Specs!$C39,Tech_Specs!$C39,(AC$194-Sys_Repl_Rate!AC111)),0),IF($G$194:$AF$194&lt;=AC$194,$G152:$AF152)),System_Mkt_Repl!$F365:$AE365+System_Mkt_NC!$G365:$AF365)/SUM(IF($G$194:$AF$194&gt;=ROUND(IF((AC$194-Sys_Repl_Rate!AC111)&lt;Tech_Specs!$C39,Tech_Specs!$C39,(AC$194-Sys_Repl_Rate!AC111)),0),IF($G$194:$AF$194&lt;=AC$194,System_Mkt_Repl!$F365:$AE365+System_Mkt_NC!$G365:$AF365)))))</f>
        <v>1</v>
      </c>
      <c r="AD226" s="373">
        <f t="array" ref="AD226">IF(AD$194=Misc_Inputs!$D$6,$G152,IF(SUM(IF($G$194:$AF$194&gt;=ROUND(IF((AD$194-Sys_Repl_Rate!AD111)&lt;Tech_Specs!$C39,Tech_Specs!$C39,(AD$194-Sys_Repl_Rate!AD111)),0),IF($G$194:$AF$194&lt;=AD$194,System_Mkt_Repl!$F365:$AE365+System_Mkt_NC!$G365:$AF365)))=0,AC226,SUMPRODUCT(IF($G$194:$AF$194&gt;=ROUND(IF((AD$194-Sys_Repl_Rate!AD111)&lt;Tech_Specs!$C39,Tech_Specs!$C39,(AD$194-Sys_Repl_Rate!AD111)),0),IF($G$194:$AF$194&lt;=AD$194,$G152:$AF152)),System_Mkt_Repl!$F365:$AE365+System_Mkt_NC!$G365:$AF365)/SUM(IF($G$194:$AF$194&gt;=ROUND(IF((AD$194-Sys_Repl_Rate!AD111)&lt;Tech_Specs!$C39,Tech_Specs!$C39,(AD$194-Sys_Repl_Rate!AD111)),0),IF($G$194:$AF$194&lt;=AD$194,System_Mkt_Repl!$F365:$AE365+System_Mkt_NC!$G365:$AF365)))))</f>
        <v>1</v>
      </c>
      <c r="AE226" s="373">
        <f t="array" ref="AE226">IF(AE$194=Misc_Inputs!$D$6,$G152,IF(SUM(IF($G$194:$AF$194&gt;=ROUND(IF((AE$194-Sys_Repl_Rate!AE111)&lt;Tech_Specs!$C39,Tech_Specs!$C39,(AE$194-Sys_Repl_Rate!AE111)),0),IF($G$194:$AF$194&lt;=AE$194,System_Mkt_Repl!$F365:$AE365+System_Mkt_NC!$G365:$AF365)))=0,AD226,SUMPRODUCT(IF($G$194:$AF$194&gt;=ROUND(IF((AE$194-Sys_Repl_Rate!AE111)&lt;Tech_Specs!$C39,Tech_Specs!$C39,(AE$194-Sys_Repl_Rate!AE111)),0),IF($G$194:$AF$194&lt;=AE$194,$G152:$AF152)),System_Mkt_Repl!$F365:$AE365+System_Mkt_NC!$G365:$AF365)/SUM(IF($G$194:$AF$194&gt;=ROUND(IF((AE$194-Sys_Repl_Rate!AE111)&lt;Tech_Specs!$C39,Tech_Specs!$C39,(AE$194-Sys_Repl_Rate!AE111)),0),IF($G$194:$AF$194&lt;=AE$194,System_Mkt_Repl!$F365:$AE365+System_Mkt_NC!$G365:$AF365)))))</f>
        <v>1</v>
      </c>
      <c r="AF226" s="373">
        <f t="array" ref="AF226">IF(AF$194=Misc_Inputs!$D$6,$G152,IF(SUM(IF($G$194:$AF$194&gt;=ROUND(IF((AF$194-Sys_Repl_Rate!AF111)&lt;Tech_Specs!$C39,Tech_Specs!$C39,(AF$194-Sys_Repl_Rate!AF111)),0),IF($G$194:$AF$194&lt;=AF$194,System_Mkt_Repl!$F365:$AE365+System_Mkt_NC!$G365:$AF365)))=0,AE226,SUMPRODUCT(IF($G$194:$AF$194&gt;=ROUND(IF((AF$194-Sys_Repl_Rate!AF111)&lt;Tech_Specs!$C39,Tech_Specs!$C39,(AF$194-Sys_Repl_Rate!AF111)),0),IF($G$194:$AF$194&lt;=AF$194,$G152:$AF152)),System_Mkt_Repl!$F365:$AE365+System_Mkt_NC!$G365:$AF365)/SUM(IF($G$194:$AF$194&gt;=ROUND(IF((AF$194-Sys_Repl_Rate!AF111)&lt;Tech_Specs!$C39,Tech_Specs!$C39,(AF$194-Sys_Repl_Rate!AF111)),0),IF($G$194:$AF$194&lt;=AF$194,System_Mkt_Repl!$F365:$AE365+System_Mkt_NC!$G365:$AF365)))))</f>
        <v>1</v>
      </c>
    </row>
    <row r="227" spans="1:32" s="101" customFormat="1" ht="12.75" x14ac:dyDescent="0.2">
      <c r="A227" s="81"/>
      <c r="B227" s="81"/>
      <c r="C227" s="81"/>
      <c r="D227" s="550"/>
      <c r="E227" s="550"/>
      <c r="F227" s="550"/>
      <c r="G227" s="128"/>
      <c r="H227" s="128"/>
      <c r="I227" s="128"/>
      <c r="J227" s="128"/>
      <c r="K227" s="128"/>
      <c r="L227" s="128"/>
      <c r="M227" s="128"/>
      <c r="N227" s="128"/>
      <c r="O227" s="128"/>
      <c r="P227" s="128"/>
      <c r="Q227" s="128"/>
      <c r="R227" s="128"/>
      <c r="S227" s="128"/>
      <c r="T227" s="128"/>
      <c r="U227" s="128"/>
      <c r="V227" s="128"/>
      <c r="W227" s="128"/>
      <c r="X227" s="128"/>
      <c r="Y227" s="128"/>
      <c r="Z227" s="128"/>
      <c r="AA227" s="128"/>
      <c r="AB227" s="128"/>
      <c r="AC227" s="128"/>
      <c r="AD227" s="128"/>
      <c r="AE227" s="128"/>
      <c r="AF227" s="128"/>
    </row>
    <row r="228" spans="1:32" s="153" customFormat="1" ht="12.75" x14ac:dyDescent="0.2">
      <c r="A228" s="154" t="s">
        <v>130</v>
      </c>
      <c r="D228" s="403"/>
      <c r="E228" s="403"/>
      <c r="F228" s="403"/>
      <c r="G228" s="153" t="s">
        <v>684</v>
      </c>
    </row>
    <row r="229" spans="1:32" s="81" customFormat="1" ht="12.75" x14ac:dyDescent="0.2">
      <c r="D229" s="550"/>
      <c r="E229" s="550"/>
      <c r="F229" s="550"/>
    </row>
    <row r="230" spans="1:32" s="81" customFormat="1" ht="12.75" x14ac:dyDescent="0.2">
      <c r="A230" s="54" t="s">
        <v>12</v>
      </c>
      <c r="D230" s="550"/>
      <c r="E230" s="550"/>
      <c r="F230" s="550"/>
    </row>
    <row r="231" spans="1:32" s="81" customFormat="1" ht="12.75" x14ac:dyDescent="0.2">
      <c r="B231" s="81" t="s">
        <v>20</v>
      </c>
      <c r="D231" s="550"/>
      <c r="E231" s="550"/>
      <c r="F231" s="550"/>
      <c r="G231" s="81">
        <v>2010</v>
      </c>
      <c r="H231" s="81">
        <v>2011</v>
      </c>
      <c r="I231" s="81">
        <v>2012</v>
      </c>
      <c r="J231" s="81">
        <v>2013</v>
      </c>
      <c r="K231" s="81">
        <v>2014</v>
      </c>
      <c r="L231" s="81">
        <v>2015</v>
      </c>
      <c r="M231" s="81">
        <v>2016</v>
      </c>
      <c r="N231" s="81">
        <v>2017</v>
      </c>
      <c r="O231" s="81">
        <v>2018</v>
      </c>
      <c r="P231" s="81">
        <v>2019</v>
      </c>
      <c r="Q231" s="81">
        <v>2020</v>
      </c>
      <c r="R231" s="81">
        <v>2021</v>
      </c>
      <c r="S231" s="81">
        <v>2022</v>
      </c>
      <c r="T231" s="81">
        <v>2023</v>
      </c>
      <c r="U231" s="81">
        <v>2024</v>
      </c>
      <c r="V231" s="81">
        <v>2025</v>
      </c>
      <c r="W231" s="81">
        <v>2026</v>
      </c>
      <c r="X231" s="81">
        <v>2027</v>
      </c>
      <c r="Y231" s="81">
        <v>2028</v>
      </c>
      <c r="Z231" s="81">
        <v>2029</v>
      </c>
      <c r="AA231" s="81">
        <v>2030</v>
      </c>
      <c r="AB231" s="81">
        <v>2031</v>
      </c>
      <c r="AC231" s="81">
        <v>2032</v>
      </c>
      <c r="AD231" s="81">
        <v>2033</v>
      </c>
      <c r="AE231" s="81">
        <v>2034</v>
      </c>
      <c r="AF231" s="81">
        <v>2035</v>
      </c>
    </row>
    <row r="232" spans="1:32" s="81" customFormat="1" ht="12.75" x14ac:dyDescent="0.2">
      <c r="A232" s="12" t="s">
        <v>21</v>
      </c>
      <c r="B232" s="30"/>
      <c r="C232" s="57"/>
      <c r="D232" s="501"/>
      <c r="E232" s="501"/>
      <c r="F232" s="501"/>
      <c r="G232" s="57"/>
      <c r="H232" s="57"/>
      <c r="I232" s="57"/>
      <c r="J232" s="57"/>
      <c r="K232" s="57"/>
      <c r="L232" s="57"/>
      <c r="M232" s="57"/>
      <c r="N232" s="57"/>
      <c r="O232" s="57"/>
      <c r="P232" s="57"/>
      <c r="Q232" s="57"/>
      <c r="R232" s="57"/>
      <c r="S232" s="57"/>
      <c r="T232" s="57"/>
      <c r="U232" s="57"/>
      <c r="V232" s="57"/>
      <c r="W232" s="57"/>
      <c r="X232" s="57"/>
      <c r="Y232" s="57"/>
      <c r="Z232" s="57"/>
      <c r="AA232" s="57"/>
      <c r="AB232" s="57"/>
      <c r="AC232" s="57"/>
      <c r="AD232" s="57"/>
      <c r="AE232" s="57"/>
      <c r="AF232" s="57"/>
    </row>
    <row r="233" spans="1:32" s="81" customFormat="1" ht="12.75" x14ac:dyDescent="0.2">
      <c r="B233" s="81" t="s">
        <v>22</v>
      </c>
      <c r="D233" s="550"/>
      <c r="E233" s="550"/>
      <c r="F233" s="550"/>
      <c r="G233" s="288">
        <f>IF(LEFT($B233,3)="LED",IF(Tech_Specs!$K9="lamp",Perform_SSL!G$18,Perform_SSL!G$19),TREND(Perform_Active!$N10:$O10,Perform_Active!$N$8:$O$8,G$231)*1000)</f>
        <v>1350</v>
      </c>
      <c r="H233" s="309">
        <f>IF(LEFT($B233,3)="LED",IF(Tech_Specs!$K9="lamp",Perform_SSL!H$18,Perform_SSL!H$19),TREND(Perform_Active!$N10:$O10,Perform_Active!$N$8:$O$8,H$231)*1000)</f>
        <v>1350</v>
      </c>
      <c r="I233" s="309">
        <f>IF(LEFT($B233,3)="LED",IF(Tech_Specs!$K9="lamp",Perform_SSL!I$18,Perform_SSL!I$19),TREND(Perform_Active!$N10:$O10,Perform_Active!$N$8:$O$8,I$231)*1000)</f>
        <v>1350</v>
      </c>
      <c r="J233" s="309">
        <f>IF(LEFT($B233,3)="LED",IF(Tech_Specs!$K9="lamp",Perform_SSL!J$18,Perform_SSL!J$19),TREND(Perform_Active!$N10:$O10,Perform_Active!$N$8:$O$8,J$231)*1000)</f>
        <v>1350</v>
      </c>
      <c r="K233" s="309">
        <f>IF(LEFT($B233,3)="LED",IF(Tech_Specs!$K9="lamp",Perform_SSL!K$18,Perform_SSL!K$19),TREND(Perform_Active!$N10:$O10,Perform_Active!$N$8:$O$8,K$231)*1000)</f>
        <v>1350</v>
      </c>
      <c r="L233" s="309">
        <f>IF(LEFT($B233,3)="LED",IF(Tech_Specs!$K9="lamp",Perform_SSL!L$18,Perform_SSL!L$19),TREND(Perform_Active!$N10:$O10,Perform_Active!$N$8:$O$8,L$231)*1000)</f>
        <v>1350</v>
      </c>
      <c r="M233" s="309">
        <f>IF(LEFT($B233,3)="LED",IF(Tech_Specs!$K9="lamp",Perform_SSL!M$18,Perform_SSL!M$19),TREND(Perform_Active!$N10:$O10,Perform_Active!$N$8:$O$8,M$231)*1000)</f>
        <v>1350</v>
      </c>
      <c r="N233" s="309">
        <f>IF(LEFT($B233,3)="LED",IF(Tech_Specs!$K9="lamp",Perform_SSL!N$18,Perform_SSL!N$19),TREND(Perform_Active!$N10:$O10,Perform_Active!$N$8:$O$8,N$231)*1000)</f>
        <v>1350</v>
      </c>
      <c r="O233" s="309">
        <f>IF(LEFT($B233,3)="LED",IF(Tech_Specs!$K9="lamp",Perform_SSL!O$18,Perform_SSL!O$19),TREND(Perform_Active!$N10:$O10,Perform_Active!$N$8:$O$8,O$231)*1000)</f>
        <v>1350</v>
      </c>
      <c r="P233" s="309">
        <f>IF(LEFT($B233,3)="LED",IF(Tech_Specs!$K9="lamp",Perform_SSL!P$18,Perform_SSL!P$19),TREND(Perform_Active!$N10:$O10,Perform_Active!$N$8:$O$8,P$231)*1000)</f>
        <v>1350</v>
      </c>
      <c r="Q233" s="309">
        <f>IF(LEFT($B233,3)="LED",IF(Tech_Specs!$K9="lamp",Perform_SSL!Q$18,Perform_SSL!Q$19),TREND(Perform_Active!$N10:$O10,Perform_Active!$N$8:$O$8,Q$231)*1000)</f>
        <v>1350</v>
      </c>
      <c r="R233" s="309">
        <f>IF(LEFT($B233,3)="LED",IF(Tech_Specs!$K9="lamp",Perform_SSL!R$18,Perform_SSL!R$19),TREND(Perform_Active!$N10:$O10,Perform_Active!$N$8:$O$8,R$231)*1000)</f>
        <v>1350</v>
      </c>
      <c r="S233" s="309">
        <f>IF(LEFT($B233,3)="LED",IF(Tech_Specs!$K9="lamp",Perform_SSL!S$18,Perform_SSL!S$19),TREND(Perform_Active!$N10:$O10,Perform_Active!$N$8:$O$8,S$231)*1000)</f>
        <v>1350</v>
      </c>
      <c r="T233" s="309">
        <f>IF(LEFT($B233,3)="LED",IF(Tech_Specs!$K9="lamp",Perform_SSL!T$18,Perform_SSL!T$19),TREND(Perform_Active!$N10:$O10,Perform_Active!$N$8:$O$8,T$231)*1000)</f>
        <v>1350</v>
      </c>
      <c r="U233" s="309">
        <f>IF(LEFT($B233,3)="LED",IF(Tech_Specs!$K9="lamp",Perform_SSL!U$18,Perform_SSL!U$19),TREND(Perform_Active!$N10:$O10,Perform_Active!$N$8:$O$8,U$231)*1000)</f>
        <v>1350</v>
      </c>
      <c r="V233" s="309">
        <f>IF(LEFT($B233,3)="LED",IF(Tech_Specs!$K9="lamp",Perform_SSL!V$18,Perform_SSL!V$19),TREND(Perform_Active!$N10:$O10,Perform_Active!$N$8:$O$8,V$231)*1000)</f>
        <v>1350</v>
      </c>
      <c r="W233" s="309">
        <f>IF(LEFT($B233,3)="LED",IF(Tech_Specs!$K9="lamp",Perform_SSL!W$18,Perform_SSL!W$19),TREND(Perform_Active!$N10:$O10,Perform_Active!$N$8:$O$8,W$231)*1000)</f>
        <v>1350</v>
      </c>
      <c r="X233" s="309">
        <f>IF(LEFT($B233,3)="LED",IF(Tech_Specs!$K9="lamp",Perform_SSL!X$18,Perform_SSL!X$19),TREND(Perform_Active!$N10:$O10,Perform_Active!$N$8:$O$8,X$231)*1000)</f>
        <v>1350</v>
      </c>
      <c r="Y233" s="309">
        <f>IF(LEFT($B233,3)="LED",IF(Tech_Specs!$K9="lamp",Perform_SSL!Y$18,Perform_SSL!Y$19),TREND(Perform_Active!$N10:$O10,Perform_Active!$N$8:$O$8,Y$231)*1000)</f>
        <v>1350</v>
      </c>
      <c r="Z233" s="309">
        <f>IF(LEFT($B233,3)="LED",IF(Tech_Specs!$K9="lamp",Perform_SSL!Z$18,Perform_SSL!Z$19),TREND(Perform_Active!$N10:$O10,Perform_Active!$N$8:$O$8,Z$231)*1000)</f>
        <v>1350</v>
      </c>
      <c r="AA233" s="309">
        <f>IF(LEFT($B233,3)="LED",IF(Tech_Specs!$K9="lamp",Perform_SSL!AA$18,Perform_SSL!AA$19),TREND(Perform_Active!$N10:$O10,Perform_Active!$N$8:$O$8,AA$231)*1000)</f>
        <v>1350</v>
      </c>
      <c r="AB233" s="309">
        <f>IF(LEFT($B233,3)="LED",IF(Tech_Specs!$K9="lamp",Perform_SSL!AB$18,Perform_SSL!AB$19),TREND(Perform_Active!$N10:$O10,Perform_Active!$N$8:$O$8,AB$231)*1000)</f>
        <v>1350</v>
      </c>
      <c r="AC233" s="309">
        <f>IF(LEFT($B233,3)="LED",IF(Tech_Specs!$K9="lamp",Perform_SSL!AC$18,Perform_SSL!AC$19),TREND(Perform_Active!$N10:$O10,Perform_Active!$N$8:$O$8,AC$231)*1000)</f>
        <v>1350</v>
      </c>
      <c r="AD233" s="309">
        <f>IF(LEFT($B233,3)="LED",IF(Tech_Specs!$K9="lamp",Perform_SSL!AD$18,Perform_SSL!AD$19),TREND(Perform_Active!$N10:$O10,Perform_Active!$N$8:$O$8,AD$231)*1000)</f>
        <v>1350</v>
      </c>
      <c r="AE233" s="309">
        <f>IF(LEFT($B233,3)="LED",IF(Tech_Specs!$K9="lamp",Perform_SSL!AE$18,Perform_SSL!AE$19),TREND(Perform_Active!$N10:$O10,Perform_Active!$N$8:$O$8,AE$231)*1000)</f>
        <v>1350</v>
      </c>
      <c r="AF233" s="309">
        <f>IF(LEFT($B233,3)="LED",IF(Tech_Specs!$K9="lamp",Perform_SSL!AF$18,Perform_SSL!AF$19),TREND(Perform_Active!$N10:$O10,Perform_Active!$N$8:$O$8,AF$231)*1000)</f>
        <v>1350</v>
      </c>
    </row>
    <row r="234" spans="1:32" s="81" customFormat="1" ht="12.75" x14ac:dyDescent="0.2">
      <c r="B234" s="81" t="s">
        <v>26</v>
      </c>
      <c r="D234" s="550"/>
      <c r="E234" s="550"/>
      <c r="F234" s="550"/>
      <c r="G234" s="309">
        <f>IF(LEFT($B234,3)="LED",IF(Tech_Specs!$K10="lamp",Perform_SSL!G$18,Perform_SSL!G$19),TREND(Perform_Active!$N11:$O11,Perform_Active!$N$8:$O$8,G$231)*1000)</f>
        <v>1500</v>
      </c>
      <c r="H234" s="309">
        <f>IF(LEFT($B234,3)="LED",IF(Tech_Specs!$K10="lamp",Perform_SSL!H$18,Perform_SSL!H$19),TREND(Perform_Active!$N11:$O11,Perform_Active!$N$8:$O$8,H$231)*1000)</f>
        <v>1507.5000000000002</v>
      </c>
      <c r="I234" s="309">
        <f>IF(LEFT($B234,3)="LED",IF(Tech_Specs!$K10="lamp",Perform_SSL!I$18,Perform_SSL!I$19),TREND(Perform_Active!$N11:$O11,Perform_Active!$N$8:$O$8,I$231)*1000)</f>
        <v>1515.0000000000005</v>
      </c>
      <c r="J234" s="309">
        <f>IF(LEFT($B234,3)="LED",IF(Tech_Specs!$K10="lamp",Perform_SSL!J$18,Perform_SSL!J$19),TREND(Perform_Active!$N11:$O11,Perform_Active!$N$8:$O$8,J$231)*1000)</f>
        <v>1522.5000000000009</v>
      </c>
      <c r="K234" s="309">
        <f>IF(LEFT($B234,3)="LED",IF(Tech_Specs!$K10="lamp",Perform_SSL!K$18,Perform_SSL!K$19),TREND(Perform_Active!$N11:$O11,Perform_Active!$N$8:$O$8,K$231)*1000)</f>
        <v>1529.9999999999993</v>
      </c>
      <c r="L234" s="309">
        <f>IF(LEFT($B234,3)="LED",IF(Tech_Specs!$K10="lamp",Perform_SSL!L$18,Perform_SSL!L$19),TREND(Perform_Active!$N11:$O11,Perform_Active!$N$8:$O$8,L$231)*1000)</f>
        <v>1537.4999999999995</v>
      </c>
      <c r="M234" s="309">
        <f>IF(LEFT($B234,3)="LED",IF(Tech_Specs!$K10="lamp",Perform_SSL!M$18,Perform_SSL!M$19),TREND(Perform_Active!$N11:$O11,Perform_Active!$N$8:$O$8,M$231)*1000)</f>
        <v>1545</v>
      </c>
      <c r="N234" s="309">
        <f>IF(LEFT($B234,3)="LED",IF(Tech_Specs!$K10="lamp",Perform_SSL!N$18,Perform_SSL!N$19),TREND(Perform_Active!$N11:$O11,Perform_Active!$N$8:$O$8,N$231)*1000)</f>
        <v>1552.5000000000002</v>
      </c>
      <c r="O234" s="309">
        <f>IF(LEFT($B234,3)="LED",IF(Tech_Specs!$K10="lamp",Perform_SSL!O$18,Perform_SSL!O$19),TREND(Perform_Active!$N11:$O11,Perform_Active!$N$8:$O$8,O$231)*1000)</f>
        <v>1560.0000000000005</v>
      </c>
      <c r="P234" s="309">
        <f>IF(LEFT($B234,3)="LED",IF(Tech_Specs!$K10="lamp",Perform_SSL!P$18,Perform_SSL!P$19),TREND(Perform_Active!$N11:$O11,Perform_Active!$N$8:$O$8,P$231)*1000)</f>
        <v>1567.5000000000007</v>
      </c>
      <c r="Q234" s="309">
        <f>IF(LEFT($B234,3)="LED",IF(Tech_Specs!$K10="lamp",Perform_SSL!Q$18,Perform_SSL!Q$19),TREND(Perform_Active!$N11:$O11,Perform_Active!$N$8:$O$8,Q$231)*1000)</f>
        <v>1574.9999999999993</v>
      </c>
      <c r="R234" s="309">
        <f>IF(LEFT($B234,3)="LED",IF(Tech_Specs!$K10="lamp",Perform_SSL!R$18,Perform_SSL!R$19),TREND(Perform_Active!$N11:$O11,Perform_Active!$N$8:$O$8,R$231)*1000)</f>
        <v>1582.4999999999995</v>
      </c>
      <c r="S234" s="309">
        <f>IF(LEFT($B234,3)="LED",IF(Tech_Specs!$K10="lamp",Perform_SSL!S$18,Perform_SSL!S$19),TREND(Perform_Active!$N11:$O11,Perform_Active!$N$8:$O$8,S$231)*1000)</f>
        <v>1589.9999999999998</v>
      </c>
      <c r="T234" s="309">
        <f>IF(LEFT($B234,3)="LED",IF(Tech_Specs!$K10="lamp",Perform_SSL!T$18,Perform_SSL!T$19),TREND(Perform_Active!$N11:$O11,Perform_Active!$N$8:$O$8,T$231)*1000)</f>
        <v>1597.5000000000002</v>
      </c>
      <c r="U234" s="309">
        <f>IF(LEFT($B234,3)="LED",IF(Tech_Specs!$K10="lamp",Perform_SSL!U$18,Perform_SSL!U$19),TREND(Perform_Active!$N11:$O11,Perform_Active!$N$8:$O$8,U$231)*1000)</f>
        <v>1605.0000000000005</v>
      </c>
      <c r="V234" s="309">
        <f>IF(LEFT($B234,3)="LED",IF(Tech_Specs!$K10="lamp",Perform_SSL!V$18,Perform_SSL!V$19),TREND(Perform_Active!$N11:$O11,Perform_Active!$N$8:$O$8,V$231)*1000)</f>
        <v>1612.5000000000007</v>
      </c>
      <c r="W234" s="309">
        <f>IF(LEFT($B234,3)="LED",IF(Tech_Specs!$K10="lamp",Perform_SSL!W$18,Perform_SSL!W$19),TREND(Perform_Active!$N11:$O11,Perform_Active!$N$8:$O$8,W$231)*1000)</f>
        <v>1620.0000000000009</v>
      </c>
      <c r="X234" s="309">
        <f>IF(LEFT($B234,3)="LED",IF(Tech_Specs!$K10="lamp",Perform_SSL!X$18,Perform_SSL!X$19),TREND(Perform_Active!$N11:$O11,Perform_Active!$N$8:$O$8,X$231)*1000)</f>
        <v>1627.4999999999995</v>
      </c>
      <c r="Y234" s="309">
        <f>IF(LEFT($B234,3)="LED",IF(Tech_Specs!$K10="lamp",Perform_SSL!Y$18,Perform_SSL!Y$19),TREND(Perform_Active!$N11:$O11,Perform_Active!$N$8:$O$8,Y$231)*1000)</f>
        <v>1634.9999999999998</v>
      </c>
      <c r="Z234" s="309">
        <f>IF(LEFT($B234,3)="LED",IF(Tech_Specs!$K10="lamp",Perform_SSL!Z$18,Perform_SSL!Z$19),TREND(Perform_Active!$N11:$O11,Perform_Active!$N$8:$O$8,Z$231)*1000)</f>
        <v>1642.5</v>
      </c>
      <c r="AA234" s="309">
        <f>IF(LEFT($B234,3)="LED",IF(Tech_Specs!$K10="lamp",Perform_SSL!AA$18,Perform_SSL!AA$19),TREND(Perform_Active!$N11:$O11,Perform_Active!$N$8:$O$8,AA$231)*1000)</f>
        <v>1650.0000000000005</v>
      </c>
      <c r="AB234" s="309">
        <f>IF(LEFT($B234,3)="LED",IF(Tech_Specs!$K10="lamp",Perform_SSL!AB$18,Perform_SSL!AB$19),TREND(Perform_Active!$N11:$O11,Perform_Active!$N$8:$O$8,AB$231)*1000)</f>
        <v>1657.5000000000007</v>
      </c>
      <c r="AC234" s="309">
        <f>IF(LEFT($B234,3)="LED",IF(Tech_Specs!$K10="lamp",Perform_SSL!AC$18,Perform_SSL!AC$19),TREND(Perform_Active!$N11:$O11,Perform_Active!$N$8:$O$8,AC$231)*1000)</f>
        <v>1665.0000000000009</v>
      </c>
      <c r="AD234" s="309">
        <f>IF(LEFT($B234,3)="LED",IF(Tech_Specs!$K10="lamp",Perform_SSL!AD$18,Perform_SSL!AD$19),TREND(Perform_Active!$N11:$O11,Perform_Active!$N$8:$O$8,AD$231)*1000)</f>
        <v>1672.4999999999995</v>
      </c>
      <c r="AE234" s="309">
        <f>IF(LEFT($B234,3)="LED",IF(Tech_Specs!$K10="lamp",Perform_SSL!AE$18,Perform_SSL!AE$19),TREND(Perform_Active!$N11:$O11,Perform_Active!$N$8:$O$8,AE$231)*1000)</f>
        <v>1679.9999999999998</v>
      </c>
      <c r="AF234" s="309">
        <f>IF(LEFT($B234,3)="LED",IF(Tech_Specs!$K10="lamp",Perform_SSL!AF$18,Perform_SSL!AF$19),TREND(Perform_Active!$N11:$O11,Perform_Active!$N$8:$O$8,AF$231)*1000)</f>
        <v>1687.5</v>
      </c>
    </row>
    <row r="235" spans="1:32" s="81" customFormat="1" ht="12.75" x14ac:dyDescent="0.2">
      <c r="B235" s="81" t="s">
        <v>27</v>
      </c>
      <c r="D235" s="550"/>
      <c r="E235" s="550"/>
      <c r="F235" s="550"/>
      <c r="G235" s="309">
        <f>IF(LEFT($B235,3)="LED",IF(Tech_Specs!$K11="lamp",Perform_SSL!G$18,Perform_SSL!G$19),TREND(Perform_Active!$N12:$O12,Perform_Active!$N$8:$O$8,G$231)*1000)</f>
        <v>10299.999999999996</v>
      </c>
      <c r="H235" s="309">
        <f>IF(LEFT($B235,3)="LED",IF(Tech_Specs!$K11="lamp",Perform_SSL!H$18,Perform_SSL!H$19),TREND(Perform_Active!$N12:$O12,Perform_Active!$N$8:$O$8,H$231)*1000)</f>
        <v>10351.499999999987</v>
      </c>
      <c r="I235" s="309">
        <f>IF(LEFT($B235,3)="LED",IF(Tech_Specs!$K11="lamp",Perform_SSL!I$18,Perform_SSL!I$19),TREND(Perform_Active!$N12:$O12,Perform_Active!$N$8:$O$8,I$231)*1000)</f>
        <v>10402.999999999991</v>
      </c>
      <c r="J235" s="309">
        <f>IF(LEFT($B235,3)="LED",IF(Tech_Specs!$K11="lamp",Perform_SSL!J$18,Perform_SSL!J$19),TREND(Perform_Active!$N12:$O12,Perform_Active!$N$8:$O$8,J$231)*1000)</f>
        <v>10454.499999999996</v>
      </c>
      <c r="K235" s="309">
        <f>IF(LEFT($B235,3)="LED",IF(Tech_Specs!$K11="lamp",Perform_SSL!K$18,Perform_SSL!K$19),TREND(Perform_Active!$N12:$O12,Perform_Active!$N$8:$O$8,K$231)*1000)</f>
        <v>10505.999999999985</v>
      </c>
      <c r="L235" s="309">
        <f>IF(LEFT($B235,3)="LED",IF(Tech_Specs!$K11="lamp",Perform_SSL!L$18,Perform_SSL!L$19),TREND(Perform_Active!$N12:$O12,Perform_Active!$N$8:$O$8,L$231)*1000)</f>
        <v>10557.499999999991</v>
      </c>
      <c r="M235" s="309">
        <f>IF(LEFT($B235,3)="LED",IF(Tech_Specs!$K11="lamp",Perform_SSL!M$18,Perform_SSL!M$19),TREND(Perform_Active!$N12:$O12,Perform_Active!$N$8:$O$8,M$231)*1000)</f>
        <v>10608.999999999995</v>
      </c>
      <c r="N235" s="309">
        <f>IF(LEFT($B235,3)="LED",IF(Tech_Specs!$K11="lamp",Perform_SSL!N$18,Perform_SSL!N$19),TREND(Perform_Active!$N12:$O12,Perform_Active!$N$8:$O$8,N$231)*1000)</f>
        <v>10660.499999999985</v>
      </c>
      <c r="O235" s="309">
        <f>IF(LEFT($B235,3)="LED",IF(Tech_Specs!$K11="lamp",Perform_SSL!O$18,Perform_SSL!O$19),TREND(Perform_Active!$N12:$O12,Perform_Active!$N$8:$O$8,O$231)*1000)</f>
        <v>10711.999999999989</v>
      </c>
      <c r="P235" s="309">
        <f>IF(LEFT($B235,3)="LED",IF(Tech_Specs!$K11="lamp",Perform_SSL!P$18,Perform_SSL!P$19),TREND(Perform_Active!$N12:$O12,Perform_Active!$N$8:$O$8,P$231)*1000)</f>
        <v>10763.499999999993</v>
      </c>
      <c r="Q235" s="309">
        <f>IF(LEFT($B235,3)="LED",IF(Tech_Specs!$K11="lamp",Perform_SSL!Q$18,Perform_SSL!Q$19),TREND(Perform_Active!$N12:$O12,Perform_Active!$N$8:$O$8,Q$231)*1000)</f>
        <v>10814.999999999998</v>
      </c>
      <c r="R235" s="309">
        <f>IF(LEFT($B235,3)="LED",IF(Tech_Specs!$K11="lamp",Perform_SSL!R$18,Perform_SSL!R$19),TREND(Perform_Active!$N12:$O12,Perform_Active!$N$8:$O$8,R$231)*1000)</f>
        <v>10866.499999999987</v>
      </c>
      <c r="S235" s="309">
        <f>IF(LEFT($B235,3)="LED",IF(Tech_Specs!$K11="lamp",Perform_SSL!S$18,Perform_SSL!S$19),TREND(Perform_Active!$N12:$O12,Perform_Active!$N$8:$O$8,S$231)*1000)</f>
        <v>10917.999999999993</v>
      </c>
      <c r="T235" s="309">
        <f>IF(LEFT($B235,3)="LED",IF(Tech_Specs!$K11="lamp",Perform_SSL!T$18,Perform_SSL!T$19),TREND(Perform_Active!$N12:$O12,Perform_Active!$N$8:$O$8,T$231)*1000)</f>
        <v>10969.499999999996</v>
      </c>
      <c r="U235" s="309">
        <f>IF(LEFT($B235,3)="LED",IF(Tech_Specs!$K11="lamp",Perform_SSL!U$18,Perform_SSL!U$19),TREND(Perform_Active!$N12:$O12,Perform_Active!$N$8:$O$8,U$231)*1000)</f>
        <v>11020.999999999987</v>
      </c>
      <c r="V235" s="309">
        <f>IF(LEFT($B235,3)="LED",IF(Tech_Specs!$K11="lamp",Perform_SSL!V$18,Perform_SSL!V$19),TREND(Perform_Active!$N12:$O12,Perform_Active!$N$8:$O$8,V$231)*1000)</f>
        <v>11072.499999999991</v>
      </c>
      <c r="W235" s="309">
        <f>IF(LEFT($B235,3)="LED",IF(Tech_Specs!$K11="lamp",Perform_SSL!W$18,Perform_SSL!W$19),TREND(Perform_Active!$N12:$O12,Perform_Active!$N$8:$O$8,W$231)*1000)</f>
        <v>11123.999999999995</v>
      </c>
      <c r="X235" s="309">
        <f>IF(LEFT($B235,3)="LED",IF(Tech_Specs!$K11="lamp",Perform_SSL!X$18,Perform_SSL!X$19),TREND(Perform_Active!$N12:$O12,Perform_Active!$N$8:$O$8,X$231)*1000)</f>
        <v>11175.499999999985</v>
      </c>
      <c r="Y235" s="309">
        <f>IF(LEFT($B235,3)="LED",IF(Tech_Specs!$K11="lamp",Perform_SSL!Y$18,Perform_SSL!Y$19),TREND(Perform_Active!$N12:$O12,Perform_Active!$N$8:$O$8,Y$231)*1000)</f>
        <v>11226.999999999989</v>
      </c>
      <c r="Z235" s="309">
        <f>IF(LEFT($B235,3)="LED",IF(Tech_Specs!$K11="lamp",Perform_SSL!Z$18,Perform_SSL!Z$19),TREND(Perform_Active!$N12:$O12,Perform_Active!$N$8:$O$8,Z$231)*1000)</f>
        <v>11278.499999999995</v>
      </c>
      <c r="AA235" s="309">
        <f>IF(LEFT($B235,3)="LED",IF(Tech_Specs!$K11="lamp",Perform_SSL!AA$18,Perform_SSL!AA$19),TREND(Perform_Active!$N12:$O12,Perform_Active!$N$8:$O$8,AA$231)*1000)</f>
        <v>11329.999999999984</v>
      </c>
      <c r="AB235" s="309">
        <f>IF(LEFT($B235,3)="LED",IF(Tech_Specs!$K11="lamp",Perform_SSL!AB$18,Perform_SSL!AB$19),TREND(Perform_Active!$N12:$O12,Perform_Active!$N$8:$O$8,AB$231)*1000)</f>
        <v>11381.499999999989</v>
      </c>
      <c r="AC235" s="309">
        <f>IF(LEFT($B235,3)="LED",IF(Tech_Specs!$K11="lamp",Perform_SSL!AC$18,Perform_SSL!AC$19),TREND(Perform_Active!$N12:$O12,Perform_Active!$N$8:$O$8,AC$231)*1000)</f>
        <v>11432.999999999993</v>
      </c>
      <c r="AD235" s="309">
        <f>IF(LEFT($B235,3)="LED",IF(Tech_Specs!$K11="lamp",Perform_SSL!AD$18,Perform_SSL!AD$19),TREND(Perform_Active!$N12:$O12,Perform_Active!$N$8:$O$8,AD$231)*1000)</f>
        <v>11484.499999999996</v>
      </c>
      <c r="AE235" s="309">
        <f>IF(LEFT($B235,3)="LED",IF(Tech_Specs!$K11="lamp",Perform_SSL!AE$18,Perform_SSL!AE$19),TREND(Perform_Active!$N12:$O12,Perform_Active!$N$8:$O$8,AE$231)*1000)</f>
        <v>11535.999999999987</v>
      </c>
      <c r="AF235" s="309">
        <f>IF(LEFT($B235,3)="LED",IF(Tech_Specs!$K11="lamp",Perform_SSL!AF$18,Perform_SSL!AF$19),TREND(Perform_Active!$N12:$O12,Perform_Active!$N$8:$O$8,AF$231)*1000)</f>
        <v>11587.499999999991</v>
      </c>
    </row>
    <row r="236" spans="1:32" s="81" customFormat="1" ht="12.75" x14ac:dyDescent="0.2">
      <c r="B236" s="81" t="s">
        <v>29</v>
      </c>
      <c r="D236" s="550"/>
      <c r="E236" s="550"/>
      <c r="F236" s="550"/>
      <c r="G236" s="309">
        <f>IF(LEFT($B236,3)="LED",IF(Tech_Specs!$K12="lamp",Perform_SSL!G$18,Perform_SSL!G$19),TREND(Perform_Active!$N13:$O13,Perform_Active!$N$8:$O$8,G$231)*1000)</f>
        <v>25000</v>
      </c>
      <c r="H236" s="309">
        <f>IF(LEFT($B236,3)="LED",IF(Tech_Specs!$K12="lamp",Perform_SSL!H$18,Perform_SSL!H$19),TREND(Perform_Active!$N13:$O13,Perform_Active!$N$8:$O$8,H$231)*1000)</f>
        <v>32995.04716202397</v>
      </c>
      <c r="I236" s="309">
        <f>IF(LEFT($B236,3)="LED",IF(Tech_Specs!$K12="lamp",Perform_SSL!I$18,Perform_SSL!I$19),TREND(Perform_Active!$N13:$O13,Perform_Active!$N$8:$O$8,I$231)*1000)</f>
        <v>36571.135449840265</v>
      </c>
      <c r="J236" s="309">
        <f>IF(LEFT($B236,3)="LED",IF(Tech_Specs!$K12="lamp",Perform_SSL!J$18,Perform_SSL!J$19),TREND(Perform_Active!$N13:$O13,Perform_Active!$N$8:$O$8,J$231)*1000)</f>
        <v>39631.507612892776</v>
      </c>
      <c r="K236" s="309">
        <f>IF(LEFT($B236,3)="LED",IF(Tech_Specs!$K12="lamp",Perform_SSL!K$18,Perform_SSL!K$19),TREND(Perform_Active!$N13:$O13,Perform_Active!$N$8:$O$8,K$231)*1000)</f>
        <v>42144.252048148839</v>
      </c>
      <c r="L236" s="309">
        <f>IF(LEFT($B236,3)="LED",IF(Tech_Specs!$K12="lamp",Perform_SSL!L$18,Perform_SSL!L$19),TREND(Perform_Active!$N13:$O13,Perform_Active!$N$8:$O$8,L$231)*1000)</f>
        <v>44138.116803365723</v>
      </c>
      <c r="M236" s="309">
        <f>IF(LEFT($B236,3)="LED",IF(Tech_Specs!$K12="lamp",Perform_SSL!M$18,Perform_SSL!M$19),TREND(Perform_Active!$N13:$O13,Perform_Active!$N$8:$O$8,M$231)*1000)</f>
        <v>45677.819537447656</v>
      </c>
      <c r="N236" s="309">
        <f>IF(LEFT($B236,3)="LED",IF(Tech_Specs!$K12="lamp",Perform_SSL!N$18,Perform_SSL!N$19),TREND(Perform_Active!$N13:$O13,Perform_Active!$N$8:$O$8,N$231)*1000)</f>
        <v>46842.034019012237</v>
      </c>
      <c r="O236" s="309">
        <f>IF(LEFT($B236,3)="LED",IF(Tech_Specs!$K12="lamp",Perform_SSL!O$18,Perform_SSL!O$19),TREND(Perform_Active!$N13:$O13,Perform_Active!$N$8:$O$8,O$231)*1000)</f>
        <v>47708.390378414646</v>
      </c>
      <c r="P236" s="309">
        <f>IF(LEFT($B236,3)="LED",IF(Tech_Specs!$K12="lamp",Perform_SSL!P$18,Perform_SSL!P$19),TREND(Perform_Active!$N13:$O13,Perform_Active!$N$8:$O$8,P$231)*1000)</f>
        <v>48345.465639105656</v>
      </c>
      <c r="Q236" s="309">
        <f>IF(LEFT($B236,3)="LED",IF(Tech_Specs!$K12="lamp",Perform_SSL!Q$18,Perform_SSL!Q$19),TREND(Perform_Active!$N13:$O13,Perform_Active!$N$8:$O$8,Q$231)*1000)</f>
        <v>48809.850037195916</v>
      </c>
      <c r="R236" s="309">
        <f>IF(LEFT($B236,3)="LED",IF(Tech_Specs!$K12="lamp",Perform_SSL!R$18,Perform_SSL!R$19),TREND(Perform_Active!$N13:$O13,Perform_Active!$N$8:$O$8,R$231)*1000)</f>
        <v>49146.195791508879</v>
      </c>
      <c r="S236" s="309">
        <f>IF(LEFT($B236,3)="LED",IF(Tech_Specs!$K12="lamp",Perform_SSL!S$18,Perform_SSL!S$19),TREND(Perform_Active!$N13:$O13,Perform_Active!$N$8:$O$8,S$231)*1000)</f>
        <v>49388.678095291754</v>
      </c>
      <c r="T236" s="309">
        <f>IF(LEFT($B236,3)="LED",IF(Tech_Specs!$K12="lamp",Perform_SSL!T$18,Perform_SSL!T$19),TREND(Perform_Active!$N13:$O13,Perform_Active!$N$8:$O$8,T$231)*1000)</f>
        <v>49562.907353580449</v>
      </c>
      <c r="U236" s="309">
        <f>IF(LEFT($B236,3)="LED",IF(Tech_Specs!$K12="lamp",Perform_SSL!U$18,Perform_SSL!U$19),TREND(Perform_Active!$N13:$O13,Perform_Active!$N$8:$O$8,U$231)*1000)</f>
        <v>49687.794452091533</v>
      </c>
      <c r="V236" s="309">
        <f>IF(LEFT($B236,3)="LED",IF(Tech_Specs!$K12="lamp",Perform_SSL!V$18,Perform_SSL!V$19),TREND(Perform_Active!$N13:$O13,Perform_Active!$N$8:$O$8,V$231)*1000)</f>
        <v>49777.158961987705</v>
      </c>
      <c r="W236" s="309">
        <f>IF(LEFT($B236,3)="LED",IF(Tech_Specs!$K12="lamp",Perform_SSL!W$18,Perform_SSL!W$19),TREND(Perform_Active!$N13:$O13,Perform_Active!$N$8:$O$8,W$231)*1000)</f>
        <v>49841.025959888604</v>
      </c>
      <c r="X236" s="309">
        <f>IF(LEFT($B236,3)="LED",IF(Tech_Specs!$K12="lamp",Perform_SSL!X$18,Perform_SSL!X$19),TREND(Perform_Active!$N13:$O13,Perform_Active!$N$8:$O$8,X$231)*1000)</f>
        <v>49886.63014876964</v>
      </c>
      <c r="Y236" s="309">
        <f>IF(LEFT($B236,3)="LED",IF(Tech_Specs!$K12="lamp",Perform_SSL!Y$18,Perform_SSL!Y$19),TREND(Perform_Active!$N13:$O13,Perform_Active!$N$8:$O$8,Y$231)*1000)</f>
        <v>49919.173278474002</v>
      </c>
      <c r="Z236" s="309">
        <f>IF(LEFT($B236,3)="LED",IF(Tech_Specs!$K12="lamp",Perform_SSL!Z$18,Perform_SSL!Z$19),TREND(Perform_Active!$N13:$O13,Perform_Active!$N$8:$O$8,Z$231)*1000)</f>
        <v>49942.385601358699</v>
      </c>
      <c r="AA236" s="309">
        <f>IF(LEFT($B236,3)="LED",IF(Tech_Specs!$K12="lamp",Perform_SSL!AA$18,Perform_SSL!AA$19),TREND(Perform_Active!$N13:$O13,Perform_Active!$N$8:$O$8,AA$231)*1000)</f>
        <v>49958.937147906508</v>
      </c>
      <c r="AB236" s="309">
        <f>IF(LEFT($B236,3)="LED",IF(Tech_Specs!$K12="lamp",Perform_SSL!AB$18,Perform_SSL!AB$19),TREND(Perform_Active!$N13:$O13,Perform_Active!$N$8:$O$8,AB$231)*1000)</f>
        <v>49970.736528712878</v>
      </c>
      <c r="AC236" s="309">
        <f>IF(LEFT($B236,3)="LED",IF(Tech_Specs!$K12="lamp",Perform_SSL!AC$18,Perform_SSL!AC$19),TREND(Perform_Active!$N13:$O13,Perform_Active!$N$8:$O$8,AC$231)*1000)</f>
        <v>49979.146781228279</v>
      </c>
      <c r="AD236" s="309">
        <f>IF(LEFT($B236,3)="LED",IF(Tech_Specs!$K12="lamp",Perform_SSL!AD$18,Perform_SSL!AD$19),TREND(Perform_Active!$N13:$O13,Perform_Active!$N$8:$O$8,AD$231)*1000)</f>
        <v>49985.140665785919</v>
      </c>
      <c r="AE236" s="309">
        <f>IF(LEFT($B236,3)="LED",IF(Tech_Specs!$K12="lamp",Perform_SSL!AE$18,Perform_SSL!AE$19),TREND(Perform_Active!$N13:$O13,Perform_Active!$N$8:$O$8,AE$231)*1000)</f>
        <v>49989.412080467839</v>
      </c>
      <c r="AF236" s="309">
        <f>IF(LEFT($B236,3)="LED",IF(Tech_Specs!$K12="lamp",Perform_SSL!AF$18,Perform_SSL!AF$19),TREND(Perform_Active!$N13:$O13,Perform_Active!$N$8:$O$8,AF$231)*1000)</f>
        <v>49992.455833840038</v>
      </c>
    </row>
    <row r="237" spans="1:32" s="81" customFormat="1" ht="12.75" x14ac:dyDescent="0.2">
      <c r="D237" s="550"/>
      <c r="E237" s="550"/>
      <c r="F237" s="550"/>
      <c r="G237" s="296"/>
      <c r="H237" s="296"/>
      <c r="I237" s="296"/>
      <c r="J237" s="296"/>
      <c r="K237" s="296"/>
      <c r="L237" s="296"/>
      <c r="M237" s="296"/>
      <c r="N237" s="296"/>
      <c r="O237" s="296"/>
      <c r="P237" s="296"/>
      <c r="Q237" s="296"/>
      <c r="R237" s="296"/>
      <c r="S237" s="296"/>
      <c r="T237" s="296"/>
      <c r="U237" s="296"/>
      <c r="V237" s="296"/>
      <c r="W237" s="296"/>
      <c r="X237" s="296"/>
      <c r="Y237" s="296"/>
      <c r="Z237" s="296"/>
      <c r="AA237" s="296"/>
      <c r="AB237" s="296"/>
      <c r="AC237" s="296"/>
      <c r="AD237" s="296"/>
      <c r="AE237" s="296"/>
      <c r="AF237" s="296"/>
    </row>
    <row r="238" spans="1:32" s="81" customFormat="1" ht="12.75" x14ac:dyDescent="0.2">
      <c r="A238" s="58" t="s">
        <v>32</v>
      </c>
      <c r="B238" s="57"/>
      <c r="C238" s="57"/>
      <c r="D238" s="501"/>
      <c r="E238" s="501"/>
      <c r="F238" s="501"/>
      <c r="G238" s="192"/>
      <c r="H238" s="192"/>
      <c r="I238" s="192"/>
      <c r="J238" s="192"/>
      <c r="K238" s="192"/>
      <c r="L238" s="192"/>
      <c r="M238" s="192"/>
      <c r="N238" s="192"/>
      <c r="O238" s="192"/>
      <c r="P238" s="192"/>
      <c r="Q238" s="192"/>
      <c r="R238" s="192"/>
      <c r="S238" s="192"/>
      <c r="T238" s="192"/>
      <c r="U238" s="192"/>
      <c r="V238" s="192"/>
      <c r="W238" s="192"/>
      <c r="X238" s="192"/>
      <c r="Y238" s="192"/>
      <c r="Z238" s="192"/>
      <c r="AA238" s="192"/>
      <c r="AB238" s="192"/>
      <c r="AC238" s="192"/>
      <c r="AD238" s="192"/>
      <c r="AE238" s="192"/>
      <c r="AF238" s="192"/>
    </row>
    <row r="239" spans="1:32" s="81" customFormat="1" ht="12.75" x14ac:dyDescent="0.2">
      <c r="B239" s="81" t="s">
        <v>33</v>
      </c>
      <c r="D239" s="550"/>
      <c r="E239" s="550"/>
      <c r="F239" s="550"/>
      <c r="G239" s="309">
        <f>IF(LEFT($B239,3)="LED",IF(Tech_Specs!$K15="lamp",Perform_SSL!G$18,Perform_SSL!G$19),TREND(Perform_Active!$N16:$O16,Perform_Active!$N$8:$O$8,G$231)*1000)</f>
        <v>2500</v>
      </c>
      <c r="H239" s="309">
        <f>IF(LEFT($B239,3)="LED",IF(Tech_Specs!$K15="lamp",Perform_SSL!H$18,Perform_SSL!H$19),TREND(Perform_Active!$N16:$O16,Perform_Active!$N$8:$O$8,H$231)*1000)</f>
        <v>2500</v>
      </c>
      <c r="I239" s="309">
        <f>IF(LEFT($B239,3)="LED",IF(Tech_Specs!$K15="lamp",Perform_SSL!I$18,Perform_SSL!I$19),TREND(Perform_Active!$N16:$O16,Perform_Active!$N$8:$O$8,I$231)*1000)</f>
        <v>2500</v>
      </c>
      <c r="J239" s="309">
        <f>IF(LEFT($B239,3)="LED",IF(Tech_Specs!$K15="lamp",Perform_SSL!J$18,Perform_SSL!J$19),TREND(Perform_Active!$N16:$O16,Perform_Active!$N$8:$O$8,J$231)*1000)</f>
        <v>2500</v>
      </c>
      <c r="K239" s="309">
        <f>IF(LEFT($B239,3)="LED",IF(Tech_Specs!$K15="lamp",Perform_SSL!K$18,Perform_SSL!K$19),TREND(Perform_Active!$N16:$O16,Perform_Active!$N$8:$O$8,K$231)*1000)</f>
        <v>2500</v>
      </c>
      <c r="L239" s="309">
        <f>IF(LEFT($B239,3)="LED",IF(Tech_Specs!$K15="lamp",Perform_SSL!L$18,Perform_SSL!L$19),TREND(Perform_Active!$N16:$O16,Perform_Active!$N$8:$O$8,L$231)*1000)</f>
        <v>2500</v>
      </c>
      <c r="M239" s="309">
        <f>IF(LEFT($B239,3)="LED",IF(Tech_Specs!$K15="lamp",Perform_SSL!M$18,Perform_SSL!M$19),TREND(Perform_Active!$N16:$O16,Perform_Active!$N$8:$O$8,M$231)*1000)</f>
        <v>2500</v>
      </c>
      <c r="N239" s="309">
        <f>IF(LEFT($B239,3)="LED",IF(Tech_Specs!$K15="lamp",Perform_SSL!N$18,Perform_SSL!N$19),TREND(Perform_Active!$N16:$O16,Perform_Active!$N$8:$O$8,N$231)*1000)</f>
        <v>2500</v>
      </c>
      <c r="O239" s="309">
        <f>IF(LEFT($B239,3)="LED",IF(Tech_Specs!$K15="lamp",Perform_SSL!O$18,Perform_SSL!O$19),TREND(Perform_Active!$N16:$O16,Perform_Active!$N$8:$O$8,O$231)*1000)</f>
        <v>2500</v>
      </c>
      <c r="P239" s="309">
        <f>IF(LEFT($B239,3)="LED",IF(Tech_Specs!$K15="lamp",Perform_SSL!P$18,Perform_SSL!P$19),TREND(Perform_Active!$N16:$O16,Perform_Active!$N$8:$O$8,P$231)*1000)</f>
        <v>2500</v>
      </c>
      <c r="Q239" s="309">
        <f>IF(LEFT($B239,3)="LED",IF(Tech_Specs!$K15="lamp",Perform_SSL!Q$18,Perform_SSL!Q$19),TREND(Perform_Active!$N16:$O16,Perform_Active!$N$8:$O$8,Q$231)*1000)</f>
        <v>2500</v>
      </c>
      <c r="R239" s="309">
        <f>IF(LEFT($B239,3)="LED",IF(Tech_Specs!$K15="lamp",Perform_SSL!R$18,Perform_SSL!R$19),TREND(Perform_Active!$N16:$O16,Perform_Active!$N$8:$O$8,R$231)*1000)</f>
        <v>2500</v>
      </c>
      <c r="S239" s="309">
        <f>IF(LEFT($B239,3)="LED",IF(Tech_Specs!$K15="lamp",Perform_SSL!S$18,Perform_SSL!S$19),TREND(Perform_Active!$N16:$O16,Perform_Active!$N$8:$O$8,S$231)*1000)</f>
        <v>2500</v>
      </c>
      <c r="T239" s="309">
        <f>IF(LEFT($B239,3)="LED",IF(Tech_Specs!$K15="lamp",Perform_SSL!T$18,Perform_SSL!T$19),TREND(Perform_Active!$N16:$O16,Perform_Active!$N$8:$O$8,T$231)*1000)</f>
        <v>2500</v>
      </c>
      <c r="U239" s="309">
        <f>IF(LEFT($B239,3)="LED",IF(Tech_Specs!$K15="lamp",Perform_SSL!U$18,Perform_SSL!U$19),TREND(Perform_Active!$N16:$O16,Perform_Active!$N$8:$O$8,U$231)*1000)</f>
        <v>2500</v>
      </c>
      <c r="V239" s="309">
        <f>IF(LEFT($B239,3)="LED",IF(Tech_Specs!$K15="lamp",Perform_SSL!V$18,Perform_SSL!V$19),TREND(Perform_Active!$N16:$O16,Perform_Active!$N$8:$O$8,V$231)*1000)</f>
        <v>2500</v>
      </c>
      <c r="W239" s="309">
        <f>IF(LEFT($B239,3)="LED",IF(Tech_Specs!$K15="lamp",Perform_SSL!W$18,Perform_SSL!W$19),TREND(Perform_Active!$N16:$O16,Perform_Active!$N$8:$O$8,W$231)*1000)</f>
        <v>2500</v>
      </c>
      <c r="X239" s="309">
        <f>IF(LEFT($B239,3)="LED",IF(Tech_Specs!$K15="lamp",Perform_SSL!X$18,Perform_SSL!X$19),TREND(Perform_Active!$N16:$O16,Perform_Active!$N$8:$O$8,X$231)*1000)</f>
        <v>2500</v>
      </c>
      <c r="Y239" s="309">
        <f>IF(LEFT($B239,3)="LED",IF(Tech_Specs!$K15="lamp",Perform_SSL!Y$18,Perform_SSL!Y$19),TREND(Perform_Active!$N16:$O16,Perform_Active!$N$8:$O$8,Y$231)*1000)</f>
        <v>2500</v>
      </c>
      <c r="Z239" s="309">
        <f>IF(LEFT($B239,3)="LED",IF(Tech_Specs!$K15="lamp",Perform_SSL!Z$18,Perform_SSL!Z$19),TREND(Perform_Active!$N16:$O16,Perform_Active!$N$8:$O$8,Z$231)*1000)</f>
        <v>2500</v>
      </c>
      <c r="AA239" s="309">
        <f>IF(LEFT($B239,3)="LED",IF(Tech_Specs!$K15="lamp",Perform_SSL!AA$18,Perform_SSL!AA$19),TREND(Perform_Active!$N16:$O16,Perform_Active!$N$8:$O$8,AA$231)*1000)</f>
        <v>2500</v>
      </c>
      <c r="AB239" s="309">
        <f>IF(LEFT($B239,3)="LED",IF(Tech_Specs!$K15="lamp",Perform_SSL!AB$18,Perform_SSL!AB$19),TREND(Perform_Active!$N16:$O16,Perform_Active!$N$8:$O$8,AB$231)*1000)</f>
        <v>2500</v>
      </c>
      <c r="AC239" s="309">
        <f>IF(LEFT($B239,3)="LED",IF(Tech_Specs!$K15="lamp",Perform_SSL!AC$18,Perform_SSL!AC$19),TREND(Perform_Active!$N16:$O16,Perform_Active!$N$8:$O$8,AC$231)*1000)</f>
        <v>2500</v>
      </c>
      <c r="AD239" s="309">
        <f>IF(LEFT($B239,3)="LED",IF(Tech_Specs!$K15="lamp",Perform_SSL!AD$18,Perform_SSL!AD$19),TREND(Perform_Active!$N16:$O16,Perform_Active!$N$8:$O$8,AD$231)*1000)</f>
        <v>2500</v>
      </c>
      <c r="AE239" s="309">
        <f>IF(LEFT($B239,3)="LED",IF(Tech_Specs!$K15="lamp",Perform_SSL!AE$18,Perform_SSL!AE$19),TREND(Perform_Active!$N16:$O16,Perform_Active!$N$8:$O$8,AE$231)*1000)</f>
        <v>2500</v>
      </c>
      <c r="AF239" s="309">
        <f>IF(LEFT($B239,3)="LED",IF(Tech_Specs!$K15="lamp",Perform_SSL!AF$18,Perform_SSL!AF$19),TREND(Perform_Active!$N16:$O16,Perform_Active!$N$8:$O$8,AF$231)*1000)</f>
        <v>2500</v>
      </c>
    </row>
    <row r="240" spans="1:32" s="81" customFormat="1" ht="12.75" x14ac:dyDescent="0.2">
      <c r="A240" s="101"/>
      <c r="B240" s="101" t="s">
        <v>34</v>
      </c>
      <c r="D240" s="550"/>
      <c r="E240" s="550"/>
      <c r="F240" s="550"/>
      <c r="G240" s="309">
        <f>IF(LEFT($B240,3)="LED",IF(Tech_Specs!$K16="lamp",Perform_SSL!G$18,Perform_SSL!G$19),TREND(Perform_Active!$N17:$O17,Perform_Active!$N$8:$O$8,G$231)*1000)</f>
        <v>3000</v>
      </c>
      <c r="H240" s="309">
        <f>IF(LEFT($B240,3)="LED",IF(Tech_Specs!$K16="lamp",Perform_SSL!H$18,Perform_SSL!H$19),TREND(Perform_Active!$N17:$O17,Perform_Active!$N$8:$O$8,H$231)*1000)</f>
        <v>3015.0000000000005</v>
      </c>
      <c r="I240" s="309">
        <f>IF(LEFT($B240,3)="LED",IF(Tech_Specs!$K16="lamp",Perform_SSL!I$18,Perform_SSL!I$19),TREND(Perform_Active!$N17:$O17,Perform_Active!$N$8:$O$8,I$231)*1000)</f>
        <v>3030.0000000000009</v>
      </c>
      <c r="J240" s="309">
        <f>IF(LEFT($B240,3)="LED",IF(Tech_Specs!$K16="lamp",Perform_SSL!J$18,Perform_SSL!J$19),TREND(Perform_Active!$N17:$O17,Perform_Active!$N$8:$O$8,J$231)*1000)</f>
        <v>3045.0000000000018</v>
      </c>
      <c r="K240" s="309">
        <f>IF(LEFT($B240,3)="LED",IF(Tech_Specs!$K16="lamp",Perform_SSL!K$18,Perform_SSL!K$19),TREND(Perform_Active!$N17:$O17,Perform_Active!$N$8:$O$8,K$231)*1000)</f>
        <v>3059.9999999999986</v>
      </c>
      <c r="L240" s="309">
        <f>IF(LEFT($B240,3)="LED",IF(Tech_Specs!$K16="lamp",Perform_SSL!L$18,Perform_SSL!L$19),TREND(Perform_Active!$N17:$O17,Perform_Active!$N$8:$O$8,L$231)*1000)</f>
        <v>3074.9999999999991</v>
      </c>
      <c r="M240" s="309">
        <f>IF(LEFT($B240,3)="LED",IF(Tech_Specs!$K16="lamp",Perform_SSL!M$18,Perform_SSL!M$19),TREND(Perform_Active!$N17:$O17,Perform_Active!$N$8:$O$8,M$231)*1000)</f>
        <v>3090</v>
      </c>
      <c r="N240" s="309">
        <f>IF(LEFT($B240,3)="LED",IF(Tech_Specs!$K16="lamp",Perform_SSL!N$18,Perform_SSL!N$19),TREND(Perform_Active!$N17:$O17,Perform_Active!$N$8:$O$8,N$231)*1000)</f>
        <v>3105.0000000000005</v>
      </c>
      <c r="O240" s="309">
        <f>IF(LEFT($B240,3)="LED",IF(Tech_Specs!$K16="lamp",Perform_SSL!O$18,Perform_SSL!O$19),TREND(Perform_Active!$N17:$O17,Perform_Active!$N$8:$O$8,O$231)*1000)</f>
        <v>3120.0000000000009</v>
      </c>
      <c r="P240" s="309">
        <f>IF(LEFT($B240,3)="LED",IF(Tech_Specs!$K16="lamp",Perform_SSL!P$18,Perform_SSL!P$19),TREND(Perform_Active!$N17:$O17,Perform_Active!$N$8:$O$8,P$231)*1000)</f>
        <v>3135.0000000000014</v>
      </c>
      <c r="Q240" s="309">
        <f>IF(LEFT($B240,3)="LED",IF(Tech_Specs!$K16="lamp",Perform_SSL!Q$18,Perform_SSL!Q$19),TREND(Perform_Active!$N17:$O17,Perform_Active!$N$8:$O$8,Q$231)*1000)</f>
        <v>3149.9999999999986</v>
      </c>
      <c r="R240" s="309">
        <f>IF(LEFT($B240,3)="LED",IF(Tech_Specs!$K16="lamp",Perform_SSL!R$18,Perform_SSL!R$19),TREND(Perform_Active!$N17:$O17,Perform_Active!$N$8:$O$8,R$231)*1000)</f>
        <v>3164.9999999999991</v>
      </c>
      <c r="S240" s="309">
        <f>IF(LEFT($B240,3)="LED",IF(Tech_Specs!$K16="lamp",Perform_SSL!S$18,Perform_SSL!S$19),TREND(Perform_Active!$N17:$O17,Perform_Active!$N$8:$O$8,S$231)*1000)</f>
        <v>3179.9999999999995</v>
      </c>
      <c r="T240" s="309">
        <f>IF(LEFT($B240,3)="LED",IF(Tech_Specs!$K16="lamp",Perform_SSL!T$18,Perform_SSL!T$19),TREND(Perform_Active!$N17:$O17,Perform_Active!$N$8:$O$8,T$231)*1000)</f>
        <v>3195.0000000000005</v>
      </c>
      <c r="U240" s="309">
        <f>IF(LEFT($B240,3)="LED",IF(Tech_Specs!$K16="lamp",Perform_SSL!U$18,Perform_SSL!U$19),TREND(Perform_Active!$N17:$O17,Perform_Active!$N$8:$O$8,U$231)*1000)</f>
        <v>3210.0000000000009</v>
      </c>
      <c r="V240" s="309">
        <f>IF(LEFT($B240,3)="LED",IF(Tech_Specs!$K16="lamp",Perform_SSL!V$18,Perform_SSL!V$19),TREND(Perform_Active!$N17:$O17,Perform_Active!$N$8:$O$8,V$231)*1000)</f>
        <v>3225.0000000000014</v>
      </c>
      <c r="W240" s="309">
        <f>IF(LEFT($B240,3)="LED",IF(Tech_Specs!$K16="lamp",Perform_SSL!W$18,Perform_SSL!W$19),TREND(Perform_Active!$N17:$O17,Perform_Active!$N$8:$O$8,W$231)*1000)</f>
        <v>3240.0000000000018</v>
      </c>
      <c r="X240" s="309">
        <f>IF(LEFT($B240,3)="LED",IF(Tech_Specs!$K16="lamp",Perform_SSL!X$18,Perform_SSL!X$19),TREND(Perform_Active!$N17:$O17,Perform_Active!$N$8:$O$8,X$231)*1000)</f>
        <v>3254.9999999999991</v>
      </c>
      <c r="Y240" s="309">
        <f>IF(LEFT($B240,3)="LED",IF(Tech_Specs!$K16="lamp",Perform_SSL!Y$18,Perform_SSL!Y$19),TREND(Perform_Active!$N17:$O17,Perform_Active!$N$8:$O$8,Y$231)*1000)</f>
        <v>3269.9999999999995</v>
      </c>
      <c r="Z240" s="309">
        <f>IF(LEFT($B240,3)="LED",IF(Tech_Specs!$K16="lamp",Perform_SSL!Z$18,Perform_SSL!Z$19),TREND(Perform_Active!$N17:$O17,Perform_Active!$N$8:$O$8,Z$231)*1000)</f>
        <v>3285</v>
      </c>
      <c r="AA240" s="309">
        <f>IF(LEFT($B240,3)="LED",IF(Tech_Specs!$K16="lamp",Perform_SSL!AA$18,Perform_SSL!AA$19),TREND(Perform_Active!$N17:$O17,Perform_Active!$N$8:$O$8,AA$231)*1000)</f>
        <v>3300.0000000000009</v>
      </c>
      <c r="AB240" s="309">
        <f>IF(LEFT($B240,3)="LED",IF(Tech_Specs!$K16="lamp",Perform_SSL!AB$18,Perform_SSL!AB$19),TREND(Perform_Active!$N17:$O17,Perform_Active!$N$8:$O$8,AB$231)*1000)</f>
        <v>3315.0000000000014</v>
      </c>
      <c r="AC240" s="309">
        <f>IF(LEFT($B240,3)="LED",IF(Tech_Specs!$K16="lamp",Perform_SSL!AC$18,Perform_SSL!AC$19),TREND(Perform_Active!$N17:$O17,Perform_Active!$N$8:$O$8,AC$231)*1000)</f>
        <v>3330.0000000000018</v>
      </c>
      <c r="AD240" s="309">
        <f>IF(LEFT($B240,3)="LED",IF(Tech_Specs!$K16="lamp",Perform_SSL!AD$18,Perform_SSL!AD$19),TREND(Perform_Active!$N17:$O17,Perform_Active!$N$8:$O$8,AD$231)*1000)</f>
        <v>3344.9999999999991</v>
      </c>
      <c r="AE240" s="309">
        <f>IF(LEFT($B240,3)="LED",IF(Tech_Specs!$K16="lamp",Perform_SSL!AE$18,Perform_SSL!AE$19),TREND(Perform_Active!$N17:$O17,Perform_Active!$N$8:$O$8,AE$231)*1000)</f>
        <v>3359.9999999999995</v>
      </c>
      <c r="AF240" s="309">
        <f>IF(LEFT($B240,3)="LED",IF(Tech_Specs!$K16="lamp",Perform_SSL!AF$18,Perform_SSL!AF$19),TREND(Perform_Active!$N17:$O17,Perform_Active!$N$8:$O$8,AF$231)*1000)</f>
        <v>3375</v>
      </c>
    </row>
    <row r="241" spans="1:32" s="81" customFormat="1" ht="12.75" x14ac:dyDescent="0.2">
      <c r="B241" s="101" t="s">
        <v>35</v>
      </c>
      <c r="D241" s="550"/>
      <c r="E241" s="550"/>
      <c r="F241" s="550"/>
      <c r="G241" s="309">
        <f>IF(LEFT($B241,3)="LED",IF(Tech_Specs!$K17="lamp",Perform_SSL!G$18,Perform_SSL!G$19),TREND(Perform_Active!$N18:$O18,Perform_Active!$N$8:$O$8,G$231)*1000)</f>
        <v>10000</v>
      </c>
      <c r="H241" s="309">
        <f>IF(LEFT($B241,3)="LED",IF(Tech_Specs!$K17="lamp",Perform_SSL!H$18,Perform_SSL!H$19),TREND(Perform_Active!$N18:$O18,Perform_Active!$N$8:$O$8,H$231)*1000)</f>
        <v>10050.000000000011</v>
      </c>
      <c r="I241" s="309">
        <f>IF(LEFT($B241,3)="LED",IF(Tech_Specs!$K17="lamp",Perform_SSL!I$18,Perform_SSL!I$19),TREND(Perform_Active!$N18:$O18,Perform_Active!$N$8:$O$8,I$231)*1000)</f>
        <v>10100.000000000009</v>
      </c>
      <c r="J241" s="309">
        <f>IF(LEFT($B241,3)="LED",IF(Tech_Specs!$K17="lamp",Perform_SSL!J$18,Perform_SSL!J$19),TREND(Perform_Active!$N18:$O18,Perform_Active!$N$8:$O$8,J$231)*1000)</f>
        <v>10150.000000000005</v>
      </c>
      <c r="K241" s="309">
        <f>IF(LEFT($B241,3)="LED",IF(Tech_Specs!$K17="lamp",Perform_SSL!K$18,Perform_SSL!K$19),TREND(Perform_Active!$N18:$O18,Perform_Active!$N$8:$O$8,K$231)*1000)</f>
        <v>10200.000000000004</v>
      </c>
      <c r="L241" s="309">
        <f>IF(LEFT($B241,3)="LED",IF(Tech_Specs!$K17="lamp",Perform_SSL!L$18,Perform_SSL!L$19),TREND(Perform_Active!$N18:$O18,Perform_Active!$N$8:$O$8,L$231)*1000)</f>
        <v>10250</v>
      </c>
      <c r="M241" s="309">
        <f>IF(LEFT($B241,3)="LED",IF(Tech_Specs!$K17="lamp",Perform_SSL!M$18,Perform_SSL!M$19),TREND(Perform_Active!$N18:$O18,Perform_Active!$N$8:$O$8,M$231)*1000)</f>
        <v>10300.000000000011</v>
      </c>
      <c r="N241" s="309">
        <f>IF(LEFT($B241,3)="LED",IF(Tech_Specs!$K17="lamp",Perform_SSL!N$18,Perform_SSL!N$19),TREND(Perform_Active!$N18:$O18,Perform_Active!$N$8:$O$8,N$231)*1000)</f>
        <v>10350.000000000009</v>
      </c>
      <c r="O241" s="309">
        <f>IF(LEFT($B241,3)="LED",IF(Tech_Specs!$K17="lamp",Perform_SSL!O$18,Perform_SSL!O$19),TREND(Perform_Active!$N18:$O18,Perform_Active!$N$8:$O$8,O$231)*1000)</f>
        <v>10400.000000000005</v>
      </c>
      <c r="P241" s="309">
        <f>IF(LEFT($B241,3)="LED",IF(Tech_Specs!$K17="lamp",Perform_SSL!P$18,Perform_SSL!P$19),TREND(Perform_Active!$N18:$O18,Perform_Active!$N$8:$O$8,P$231)*1000)</f>
        <v>10450.000000000004</v>
      </c>
      <c r="Q241" s="309">
        <f>IF(LEFT($B241,3)="LED",IF(Tech_Specs!$K17="lamp",Perform_SSL!Q$18,Perform_SSL!Q$19),TREND(Perform_Active!$N18:$O18,Perform_Active!$N$8:$O$8,Q$231)*1000)</f>
        <v>10500</v>
      </c>
      <c r="R241" s="309">
        <f>IF(LEFT($B241,3)="LED",IF(Tech_Specs!$K17="lamp",Perform_SSL!R$18,Perform_SSL!R$19),TREND(Perform_Active!$N18:$O18,Perform_Active!$N$8:$O$8,R$231)*1000)</f>
        <v>10550.000000000011</v>
      </c>
      <c r="S241" s="309">
        <f>IF(LEFT($B241,3)="LED",IF(Tech_Specs!$K17="lamp",Perform_SSL!S$18,Perform_SSL!S$19),TREND(Perform_Active!$N18:$O18,Perform_Active!$N$8:$O$8,S$231)*1000)</f>
        <v>10600.000000000009</v>
      </c>
      <c r="T241" s="309">
        <f>IF(LEFT($B241,3)="LED",IF(Tech_Specs!$K17="lamp",Perform_SSL!T$18,Perform_SSL!T$19),TREND(Perform_Active!$N18:$O18,Perform_Active!$N$8:$O$8,T$231)*1000)</f>
        <v>10650.000000000005</v>
      </c>
      <c r="U241" s="309">
        <f>IF(LEFT($B241,3)="LED",IF(Tech_Specs!$K17="lamp",Perform_SSL!U$18,Perform_SSL!U$19),TREND(Perform_Active!$N18:$O18,Perform_Active!$N$8:$O$8,U$231)*1000)</f>
        <v>10700.000000000004</v>
      </c>
      <c r="V241" s="309">
        <f>IF(LEFT($B241,3)="LED",IF(Tech_Specs!$K17="lamp",Perform_SSL!V$18,Perform_SSL!V$19),TREND(Perform_Active!$N18:$O18,Perform_Active!$N$8:$O$8,V$231)*1000)</f>
        <v>10750</v>
      </c>
      <c r="W241" s="309">
        <f>IF(LEFT($B241,3)="LED",IF(Tech_Specs!$K17="lamp",Perform_SSL!W$18,Perform_SSL!W$19),TREND(Perform_Active!$N18:$O18,Perform_Active!$N$8:$O$8,W$231)*1000)</f>
        <v>10800.000000000011</v>
      </c>
      <c r="X241" s="309">
        <f>IF(LEFT($B241,3)="LED",IF(Tech_Specs!$K17="lamp",Perform_SSL!X$18,Perform_SSL!X$19),TREND(Perform_Active!$N18:$O18,Perform_Active!$N$8:$O$8,X$231)*1000)</f>
        <v>10850.000000000009</v>
      </c>
      <c r="Y241" s="309">
        <f>IF(LEFT($B241,3)="LED",IF(Tech_Specs!$K17="lamp",Perform_SSL!Y$18,Perform_SSL!Y$19),TREND(Perform_Active!$N18:$O18,Perform_Active!$N$8:$O$8,Y$231)*1000)</f>
        <v>10900.000000000005</v>
      </c>
      <c r="Z241" s="309">
        <f>IF(LEFT($B241,3)="LED",IF(Tech_Specs!$K17="lamp",Perform_SSL!Z$18,Perform_SSL!Z$19),TREND(Perform_Active!$N18:$O18,Perform_Active!$N$8:$O$8,Z$231)*1000)</f>
        <v>10950.000000000004</v>
      </c>
      <c r="AA241" s="309">
        <f>IF(LEFT($B241,3)="LED",IF(Tech_Specs!$K17="lamp",Perform_SSL!AA$18,Perform_SSL!AA$19),TREND(Perform_Active!$N18:$O18,Perform_Active!$N$8:$O$8,AA$231)*1000)</f>
        <v>11000</v>
      </c>
      <c r="AB241" s="309">
        <f>IF(LEFT($B241,3)="LED",IF(Tech_Specs!$K17="lamp",Perform_SSL!AB$18,Perform_SSL!AB$19),TREND(Perform_Active!$N18:$O18,Perform_Active!$N$8:$O$8,AB$231)*1000)</f>
        <v>11050.000000000011</v>
      </c>
      <c r="AC241" s="309">
        <f>IF(LEFT($B241,3)="LED",IF(Tech_Specs!$K17="lamp",Perform_SSL!AC$18,Perform_SSL!AC$19),TREND(Perform_Active!$N18:$O18,Perform_Active!$N$8:$O$8,AC$231)*1000)</f>
        <v>11100.000000000009</v>
      </c>
      <c r="AD241" s="309">
        <f>IF(LEFT($B241,3)="LED",IF(Tech_Specs!$K17="lamp",Perform_SSL!AD$18,Perform_SSL!AD$19),TREND(Perform_Active!$N18:$O18,Perform_Active!$N$8:$O$8,AD$231)*1000)</f>
        <v>11150.000000000005</v>
      </c>
      <c r="AE241" s="309">
        <f>IF(LEFT($B241,3)="LED",IF(Tech_Specs!$K17="lamp",Perform_SSL!AE$18,Perform_SSL!AE$19),TREND(Perform_Active!$N18:$O18,Perform_Active!$N$8:$O$8,AE$231)*1000)</f>
        <v>11200.000000000004</v>
      </c>
      <c r="AF241" s="309">
        <f>IF(LEFT($B241,3)="LED",IF(Tech_Specs!$K17="lamp",Perform_SSL!AF$18,Perform_SSL!AF$19),TREND(Perform_Active!$N18:$O18,Perform_Active!$N$8:$O$8,AF$231)*1000)</f>
        <v>11250</v>
      </c>
    </row>
    <row r="242" spans="1:32" s="81" customFormat="1" ht="12.75" x14ac:dyDescent="0.2">
      <c r="B242" s="101" t="s">
        <v>29</v>
      </c>
      <c r="D242" s="550"/>
      <c r="E242" s="550"/>
      <c r="F242" s="550"/>
      <c r="G242" s="309">
        <f>IF(LEFT($B242,3)="LED",IF(Tech_Specs!$K18="lamp",Perform_SSL!G$18,Perform_SSL!G$19),TREND(Perform_Active!$N19:$O19,Perform_Active!$N$8:$O$8,G$231)*1000)</f>
        <v>25000</v>
      </c>
      <c r="H242" s="309">
        <f>IF(LEFT($B242,3)="LED",IF(Tech_Specs!$K18="lamp",Perform_SSL!H$18,Perform_SSL!H$19),TREND(Perform_Active!$N19:$O19,Perform_Active!$N$8:$O$8,H$231)*1000)</f>
        <v>32995.04716202397</v>
      </c>
      <c r="I242" s="309">
        <f>IF(LEFT($B242,3)="LED",IF(Tech_Specs!$K18="lamp",Perform_SSL!I$18,Perform_SSL!I$19),TREND(Perform_Active!$N19:$O19,Perform_Active!$N$8:$O$8,I$231)*1000)</f>
        <v>36571.135449840265</v>
      </c>
      <c r="J242" s="309">
        <f>IF(LEFT($B242,3)="LED",IF(Tech_Specs!$K18="lamp",Perform_SSL!J$18,Perform_SSL!J$19),TREND(Perform_Active!$N19:$O19,Perform_Active!$N$8:$O$8,J$231)*1000)</f>
        <v>39631.507612892776</v>
      </c>
      <c r="K242" s="309">
        <f>IF(LEFT($B242,3)="LED",IF(Tech_Specs!$K18="lamp",Perform_SSL!K$18,Perform_SSL!K$19),TREND(Perform_Active!$N19:$O19,Perform_Active!$N$8:$O$8,K$231)*1000)</f>
        <v>42144.252048148839</v>
      </c>
      <c r="L242" s="309">
        <f>IF(LEFT($B242,3)="LED",IF(Tech_Specs!$K18="lamp",Perform_SSL!L$18,Perform_SSL!L$19),TREND(Perform_Active!$N19:$O19,Perform_Active!$N$8:$O$8,L$231)*1000)</f>
        <v>44138.116803365723</v>
      </c>
      <c r="M242" s="309">
        <f>IF(LEFT($B242,3)="LED",IF(Tech_Specs!$K18="lamp",Perform_SSL!M$18,Perform_SSL!M$19),TREND(Perform_Active!$N19:$O19,Perform_Active!$N$8:$O$8,M$231)*1000)</f>
        <v>45677.819537447656</v>
      </c>
      <c r="N242" s="309">
        <f>IF(LEFT($B242,3)="LED",IF(Tech_Specs!$K18="lamp",Perform_SSL!N$18,Perform_SSL!N$19),TREND(Perform_Active!$N19:$O19,Perform_Active!$N$8:$O$8,N$231)*1000)</f>
        <v>46842.034019012237</v>
      </c>
      <c r="O242" s="309">
        <f>IF(LEFT($B242,3)="LED",IF(Tech_Specs!$K18="lamp",Perform_SSL!O$18,Perform_SSL!O$19),TREND(Perform_Active!$N19:$O19,Perform_Active!$N$8:$O$8,O$231)*1000)</f>
        <v>47708.390378414646</v>
      </c>
      <c r="P242" s="309">
        <f>IF(LEFT($B242,3)="LED",IF(Tech_Specs!$K18="lamp",Perform_SSL!P$18,Perform_SSL!P$19),TREND(Perform_Active!$N19:$O19,Perform_Active!$N$8:$O$8,P$231)*1000)</f>
        <v>48345.465639105656</v>
      </c>
      <c r="Q242" s="309">
        <f>IF(LEFT($B242,3)="LED",IF(Tech_Specs!$K18="lamp",Perform_SSL!Q$18,Perform_SSL!Q$19),TREND(Perform_Active!$N19:$O19,Perform_Active!$N$8:$O$8,Q$231)*1000)</f>
        <v>48809.850037195916</v>
      </c>
      <c r="R242" s="309">
        <f>IF(LEFT($B242,3)="LED",IF(Tech_Specs!$K18="lamp",Perform_SSL!R$18,Perform_SSL!R$19),TREND(Perform_Active!$N19:$O19,Perform_Active!$N$8:$O$8,R$231)*1000)</f>
        <v>49146.195791508879</v>
      </c>
      <c r="S242" s="309">
        <f>IF(LEFT($B242,3)="LED",IF(Tech_Specs!$K18="lamp",Perform_SSL!S$18,Perform_SSL!S$19),TREND(Perform_Active!$N19:$O19,Perform_Active!$N$8:$O$8,S$231)*1000)</f>
        <v>49388.678095291754</v>
      </c>
      <c r="T242" s="309">
        <f>IF(LEFT($B242,3)="LED",IF(Tech_Specs!$K18="lamp",Perform_SSL!T$18,Perform_SSL!T$19),TREND(Perform_Active!$N19:$O19,Perform_Active!$N$8:$O$8,T$231)*1000)</f>
        <v>49562.907353580449</v>
      </c>
      <c r="U242" s="309">
        <f>IF(LEFT($B242,3)="LED",IF(Tech_Specs!$K18="lamp",Perform_SSL!U$18,Perform_SSL!U$19),TREND(Perform_Active!$N19:$O19,Perform_Active!$N$8:$O$8,U$231)*1000)</f>
        <v>49687.794452091533</v>
      </c>
      <c r="V242" s="309">
        <f>IF(LEFT($B242,3)="LED",IF(Tech_Specs!$K18="lamp",Perform_SSL!V$18,Perform_SSL!V$19),TREND(Perform_Active!$N19:$O19,Perform_Active!$N$8:$O$8,V$231)*1000)</f>
        <v>49777.158961987705</v>
      </c>
      <c r="W242" s="309">
        <f>IF(LEFT($B242,3)="LED",IF(Tech_Specs!$K18="lamp",Perform_SSL!W$18,Perform_SSL!W$19),TREND(Perform_Active!$N19:$O19,Perform_Active!$N$8:$O$8,W$231)*1000)</f>
        <v>49841.025959888604</v>
      </c>
      <c r="X242" s="309">
        <f>IF(LEFT($B242,3)="LED",IF(Tech_Specs!$K18="lamp",Perform_SSL!X$18,Perform_SSL!X$19),TREND(Perform_Active!$N19:$O19,Perform_Active!$N$8:$O$8,X$231)*1000)</f>
        <v>49886.63014876964</v>
      </c>
      <c r="Y242" s="309">
        <f>IF(LEFT($B242,3)="LED",IF(Tech_Specs!$K18="lamp",Perform_SSL!Y$18,Perform_SSL!Y$19),TREND(Perform_Active!$N19:$O19,Perform_Active!$N$8:$O$8,Y$231)*1000)</f>
        <v>49919.173278474002</v>
      </c>
      <c r="Z242" s="309">
        <f>IF(LEFT($B242,3)="LED",IF(Tech_Specs!$K18="lamp",Perform_SSL!Z$18,Perform_SSL!Z$19),TREND(Perform_Active!$N19:$O19,Perform_Active!$N$8:$O$8,Z$231)*1000)</f>
        <v>49942.385601358699</v>
      </c>
      <c r="AA242" s="309">
        <f>IF(LEFT($B242,3)="LED",IF(Tech_Specs!$K18="lamp",Perform_SSL!AA$18,Perform_SSL!AA$19),TREND(Perform_Active!$N19:$O19,Perform_Active!$N$8:$O$8,AA$231)*1000)</f>
        <v>49958.937147906508</v>
      </c>
      <c r="AB242" s="309">
        <f>IF(LEFT($B242,3)="LED",IF(Tech_Specs!$K18="lamp",Perform_SSL!AB$18,Perform_SSL!AB$19),TREND(Perform_Active!$N19:$O19,Perform_Active!$N$8:$O$8,AB$231)*1000)</f>
        <v>49970.736528712878</v>
      </c>
      <c r="AC242" s="309">
        <f>IF(LEFT($B242,3)="LED",IF(Tech_Specs!$K18="lamp",Perform_SSL!AC$18,Perform_SSL!AC$19),TREND(Perform_Active!$N19:$O19,Perform_Active!$N$8:$O$8,AC$231)*1000)</f>
        <v>49979.146781228279</v>
      </c>
      <c r="AD242" s="309">
        <f>IF(LEFT($B242,3)="LED",IF(Tech_Specs!$K18="lamp",Perform_SSL!AD$18,Perform_SSL!AD$19),TREND(Perform_Active!$N19:$O19,Perform_Active!$N$8:$O$8,AD$231)*1000)</f>
        <v>49985.140665785919</v>
      </c>
      <c r="AE242" s="309">
        <f>IF(LEFT($B242,3)="LED",IF(Tech_Specs!$K18="lamp",Perform_SSL!AE$18,Perform_SSL!AE$19),TREND(Perform_Active!$N19:$O19,Perform_Active!$N$8:$O$8,AE$231)*1000)</f>
        <v>49989.412080467839</v>
      </c>
      <c r="AF242" s="309">
        <f>IF(LEFT($B242,3)="LED",IF(Tech_Specs!$K18="lamp",Perform_SSL!AF$18,Perform_SSL!AF$19),TREND(Perform_Active!$N19:$O19,Perform_Active!$N$8:$O$8,AF$231)*1000)</f>
        <v>49992.455833840038</v>
      </c>
    </row>
    <row r="243" spans="1:32" s="81" customFormat="1" ht="12.75" x14ac:dyDescent="0.2">
      <c r="D243" s="550"/>
      <c r="E243" s="550"/>
      <c r="F243" s="550"/>
      <c r="G243" s="296"/>
      <c r="H243" s="296"/>
      <c r="I243" s="296"/>
      <c r="J243" s="296"/>
      <c r="K243" s="296"/>
      <c r="L243" s="296"/>
      <c r="M243" s="296"/>
      <c r="N243" s="296"/>
      <c r="O243" s="296"/>
      <c r="P243" s="296"/>
      <c r="Q243" s="296"/>
      <c r="R243" s="296"/>
      <c r="S243" s="296"/>
      <c r="T243" s="296"/>
      <c r="U243" s="296"/>
      <c r="V243" s="296"/>
      <c r="W243" s="296"/>
      <c r="X243" s="296"/>
      <c r="Y243" s="296"/>
      <c r="Z243" s="296"/>
      <c r="AA243" s="296"/>
      <c r="AB243" s="296"/>
      <c r="AC243" s="296"/>
      <c r="AD243" s="296"/>
      <c r="AE243" s="296"/>
      <c r="AF243" s="296"/>
    </row>
    <row r="244" spans="1:32" s="81" customFormat="1" ht="12.75" x14ac:dyDescent="0.2">
      <c r="A244" s="58" t="s">
        <v>36</v>
      </c>
      <c r="B244" s="57"/>
      <c r="C244" s="57"/>
      <c r="D244" s="501"/>
      <c r="E244" s="501"/>
      <c r="F244" s="501"/>
      <c r="G244" s="192"/>
      <c r="H244" s="192"/>
      <c r="I244" s="192"/>
      <c r="J244" s="192"/>
      <c r="K244" s="192"/>
      <c r="L244" s="192"/>
      <c r="M244" s="192"/>
      <c r="N244" s="192"/>
      <c r="O244" s="192"/>
      <c r="P244" s="192"/>
      <c r="Q244" s="192"/>
      <c r="R244" s="192"/>
      <c r="S244" s="192"/>
      <c r="T244" s="192"/>
      <c r="U244" s="192"/>
      <c r="V244" s="192"/>
      <c r="W244" s="192"/>
      <c r="X244" s="192"/>
      <c r="Y244" s="192"/>
      <c r="Z244" s="192"/>
      <c r="AA244" s="192"/>
      <c r="AB244" s="192"/>
      <c r="AC244" s="192"/>
      <c r="AD244" s="192"/>
      <c r="AE244" s="192"/>
      <c r="AF244" s="192"/>
    </row>
    <row r="245" spans="1:32" s="81" customFormat="1" ht="12.75" x14ac:dyDescent="0.2">
      <c r="B245" s="81" t="s">
        <v>37</v>
      </c>
      <c r="C245" s="101"/>
      <c r="D245" s="552"/>
      <c r="E245" s="552"/>
      <c r="F245" s="552"/>
      <c r="G245" s="309">
        <f>IF(LEFT($B245,3)="LED",IF(Tech_Specs!$K21="lamp",Perform_SSL!G$18,Perform_SSL!G$19),TREND(Perform_Active!$N22:$O22,Perform_Active!$N$8:$O$8,G$231)*1000)</f>
        <v>20000</v>
      </c>
      <c r="H245" s="309">
        <f>IF(LEFT($B245,3)="LED",IF(Tech_Specs!$K21="lamp",Perform_SSL!H$18,Perform_SSL!H$19),TREND(Perform_Active!$N22:$O22,Perform_Active!$N$8:$O$8,H$231)*1000)</f>
        <v>20000</v>
      </c>
      <c r="I245" s="309">
        <f>IF(LEFT($B245,3)="LED",IF(Tech_Specs!$K21="lamp",Perform_SSL!I$18,Perform_SSL!I$19),TREND(Perform_Active!$N22:$O22,Perform_Active!$N$8:$O$8,I$231)*1000)</f>
        <v>20000</v>
      </c>
      <c r="J245" s="309">
        <f>IF(LEFT($B245,3)="LED",IF(Tech_Specs!$K21="lamp",Perform_SSL!J$18,Perform_SSL!J$19),TREND(Perform_Active!$N22:$O22,Perform_Active!$N$8:$O$8,J$231)*1000)</f>
        <v>20000</v>
      </c>
      <c r="K245" s="309">
        <f>IF(LEFT($B245,3)="LED",IF(Tech_Specs!$K21="lamp",Perform_SSL!K$18,Perform_SSL!K$19),TREND(Perform_Active!$N22:$O22,Perform_Active!$N$8:$O$8,K$231)*1000)</f>
        <v>20000</v>
      </c>
      <c r="L245" s="309">
        <f>IF(LEFT($B245,3)="LED",IF(Tech_Specs!$K21="lamp",Perform_SSL!L$18,Perform_SSL!L$19),TREND(Perform_Active!$N22:$O22,Perform_Active!$N$8:$O$8,L$231)*1000)</f>
        <v>20000</v>
      </c>
      <c r="M245" s="309">
        <f>IF(LEFT($B245,3)="LED",IF(Tech_Specs!$K21="lamp",Perform_SSL!M$18,Perform_SSL!M$19),TREND(Perform_Active!$N22:$O22,Perform_Active!$N$8:$O$8,M$231)*1000)</f>
        <v>20000</v>
      </c>
      <c r="N245" s="309">
        <f>IF(LEFT($B245,3)="LED",IF(Tech_Specs!$K21="lamp",Perform_SSL!N$18,Perform_SSL!N$19),TREND(Perform_Active!$N22:$O22,Perform_Active!$N$8:$O$8,N$231)*1000)</f>
        <v>20000</v>
      </c>
      <c r="O245" s="309">
        <f>IF(LEFT($B245,3)="LED",IF(Tech_Specs!$K21="lamp",Perform_SSL!O$18,Perform_SSL!O$19),TREND(Perform_Active!$N22:$O22,Perform_Active!$N$8:$O$8,O$231)*1000)</f>
        <v>20000</v>
      </c>
      <c r="P245" s="309">
        <f>IF(LEFT($B245,3)="LED",IF(Tech_Specs!$K21="lamp",Perform_SSL!P$18,Perform_SSL!P$19),TREND(Perform_Active!$N22:$O22,Perform_Active!$N$8:$O$8,P$231)*1000)</f>
        <v>20000</v>
      </c>
      <c r="Q245" s="309">
        <f>IF(LEFT($B245,3)="LED",IF(Tech_Specs!$K21="lamp",Perform_SSL!Q$18,Perform_SSL!Q$19),TREND(Perform_Active!$N22:$O22,Perform_Active!$N$8:$O$8,Q$231)*1000)</f>
        <v>20000</v>
      </c>
      <c r="R245" s="309">
        <f>IF(LEFT($B245,3)="LED",IF(Tech_Specs!$K21="lamp",Perform_SSL!R$18,Perform_SSL!R$19),TREND(Perform_Active!$N22:$O22,Perform_Active!$N$8:$O$8,R$231)*1000)</f>
        <v>20000</v>
      </c>
      <c r="S245" s="309">
        <f>IF(LEFT($B245,3)="LED",IF(Tech_Specs!$K21="lamp",Perform_SSL!S$18,Perform_SSL!S$19),TREND(Perform_Active!$N22:$O22,Perform_Active!$N$8:$O$8,S$231)*1000)</f>
        <v>20000</v>
      </c>
      <c r="T245" s="309">
        <f>IF(LEFT($B245,3)="LED",IF(Tech_Specs!$K21="lamp",Perform_SSL!T$18,Perform_SSL!T$19),TREND(Perform_Active!$N22:$O22,Perform_Active!$N$8:$O$8,T$231)*1000)</f>
        <v>20000</v>
      </c>
      <c r="U245" s="309">
        <f>IF(LEFT($B245,3)="LED",IF(Tech_Specs!$K21="lamp",Perform_SSL!U$18,Perform_SSL!U$19),TREND(Perform_Active!$N22:$O22,Perform_Active!$N$8:$O$8,U$231)*1000)</f>
        <v>20000</v>
      </c>
      <c r="V245" s="309">
        <f>IF(LEFT($B245,3)="LED",IF(Tech_Specs!$K21="lamp",Perform_SSL!V$18,Perform_SSL!V$19),TREND(Perform_Active!$N22:$O22,Perform_Active!$N$8:$O$8,V$231)*1000)</f>
        <v>20000</v>
      </c>
      <c r="W245" s="309">
        <f>IF(LEFT($B245,3)="LED",IF(Tech_Specs!$K21="lamp",Perform_SSL!W$18,Perform_SSL!W$19),TREND(Perform_Active!$N22:$O22,Perform_Active!$N$8:$O$8,W$231)*1000)</f>
        <v>20000</v>
      </c>
      <c r="X245" s="309">
        <f>IF(LEFT($B245,3)="LED",IF(Tech_Specs!$K21="lamp",Perform_SSL!X$18,Perform_SSL!X$19),TREND(Perform_Active!$N22:$O22,Perform_Active!$N$8:$O$8,X$231)*1000)</f>
        <v>20000</v>
      </c>
      <c r="Y245" s="309">
        <f>IF(LEFT($B245,3)="LED",IF(Tech_Specs!$K21="lamp",Perform_SSL!Y$18,Perform_SSL!Y$19),TREND(Perform_Active!$N22:$O22,Perform_Active!$N$8:$O$8,Y$231)*1000)</f>
        <v>20000</v>
      </c>
      <c r="Z245" s="309">
        <f>IF(LEFT($B245,3)="LED",IF(Tech_Specs!$K21="lamp",Perform_SSL!Z$18,Perform_SSL!Z$19),TREND(Perform_Active!$N22:$O22,Perform_Active!$N$8:$O$8,Z$231)*1000)</f>
        <v>20000</v>
      </c>
      <c r="AA245" s="309">
        <f>IF(LEFT($B245,3)="LED",IF(Tech_Specs!$K21="lamp",Perform_SSL!AA$18,Perform_SSL!AA$19),TREND(Perform_Active!$N22:$O22,Perform_Active!$N$8:$O$8,AA$231)*1000)</f>
        <v>20000</v>
      </c>
      <c r="AB245" s="309">
        <f>IF(LEFT($B245,3)="LED",IF(Tech_Specs!$K21="lamp",Perform_SSL!AB$18,Perform_SSL!AB$19),TREND(Perform_Active!$N22:$O22,Perform_Active!$N$8:$O$8,AB$231)*1000)</f>
        <v>20000</v>
      </c>
      <c r="AC245" s="309">
        <f>IF(LEFT($B245,3)="LED",IF(Tech_Specs!$K21="lamp",Perform_SSL!AC$18,Perform_SSL!AC$19),TREND(Perform_Active!$N22:$O22,Perform_Active!$N$8:$O$8,AC$231)*1000)</f>
        <v>20000</v>
      </c>
      <c r="AD245" s="309">
        <f>IF(LEFT($B245,3)="LED",IF(Tech_Specs!$K21="lamp",Perform_SSL!AD$18,Perform_SSL!AD$19),TREND(Perform_Active!$N22:$O22,Perform_Active!$N$8:$O$8,AD$231)*1000)</f>
        <v>20000</v>
      </c>
      <c r="AE245" s="309">
        <f>IF(LEFT($B245,3)="LED",IF(Tech_Specs!$K21="lamp",Perform_SSL!AE$18,Perform_SSL!AE$19),TREND(Perform_Active!$N22:$O22,Perform_Active!$N$8:$O$8,AE$231)*1000)</f>
        <v>20000</v>
      </c>
      <c r="AF245" s="309">
        <f>IF(LEFT($B245,3)="LED",IF(Tech_Specs!$K21="lamp",Perform_SSL!AF$18,Perform_SSL!AF$19),TREND(Perform_Active!$N22:$O22,Perform_Active!$N$8:$O$8,AF$231)*1000)</f>
        <v>20000</v>
      </c>
    </row>
    <row r="246" spans="1:32" s="81" customFormat="1" ht="12.75" x14ac:dyDescent="0.2">
      <c r="B246" s="81" t="s">
        <v>39</v>
      </c>
      <c r="D246" s="550"/>
      <c r="E246" s="550"/>
      <c r="F246" s="550"/>
      <c r="G246" s="309">
        <f>IF(LEFT($B246,3)="LED",IF(Tech_Specs!$K22="lamp",Perform_SSL!G$18,Perform_SSL!G$19),TREND(Perform_Active!$N23:$O23,Perform_Active!$N$8:$O$8,G$231)*1000)</f>
        <v>20000</v>
      </c>
      <c r="H246" s="309">
        <f>IF(LEFT($B246,3)="LED",IF(Tech_Specs!$K22="lamp",Perform_SSL!H$18,Perform_SSL!H$19),TREND(Perform_Active!$N23:$O23,Perform_Active!$N$8:$O$8,H$231)*1000)</f>
        <v>20100.000000000022</v>
      </c>
      <c r="I246" s="309">
        <f>IF(LEFT($B246,3)="LED",IF(Tech_Specs!$K22="lamp",Perform_SSL!I$18,Perform_SSL!I$19),TREND(Perform_Active!$N23:$O23,Perform_Active!$N$8:$O$8,I$231)*1000)</f>
        <v>20200.000000000018</v>
      </c>
      <c r="J246" s="309">
        <f>IF(LEFT($B246,3)="LED",IF(Tech_Specs!$K22="lamp",Perform_SSL!J$18,Perform_SSL!J$19),TREND(Perform_Active!$N23:$O23,Perform_Active!$N$8:$O$8,J$231)*1000)</f>
        <v>20300.000000000011</v>
      </c>
      <c r="K246" s="309">
        <f>IF(LEFT($B246,3)="LED",IF(Tech_Specs!$K22="lamp",Perform_SSL!K$18,Perform_SSL!K$19),TREND(Perform_Active!$N23:$O23,Perform_Active!$N$8:$O$8,K$231)*1000)</f>
        <v>20400.000000000007</v>
      </c>
      <c r="L246" s="309">
        <f>IF(LEFT($B246,3)="LED",IF(Tech_Specs!$K22="lamp",Perform_SSL!L$18,Perform_SSL!L$19),TREND(Perform_Active!$N23:$O23,Perform_Active!$N$8:$O$8,L$231)*1000)</f>
        <v>20500</v>
      </c>
      <c r="M246" s="309">
        <f>IF(LEFT($B246,3)="LED",IF(Tech_Specs!$K22="lamp",Perform_SSL!M$18,Perform_SSL!M$19),TREND(Perform_Active!$N23:$O23,Perform_Active!$N$8:$O$8,M$231)*1000)</f>
        <v>20600.000000000022</v>
      </c>
      <c r="N246" s="309">
        <f>IF(LEFT($B246,3)="LED",IF(Tech_Specs!$K22="lamp",Perform_SSL!N$18,Perform_SSL!N$19),TREND(Perform_Active!$N23:$O23,Perform_Active!$N$8:$O$8,N$231)*1000)</f>
        <v>20700.000000000018</v>
      </c>
      <c r="O246" s="309">
        <f>IF(LEFT($B246,3)="LED",IF(Tech_Specs!$K22="lamp",Perform_SSL!O$18,Perform_SSL!O$19),TREND(Perform_Active!$N23:$O23,Perform_Active!$N$8:$O$8,O$231)*1000)</f>
        <v>20800.000000000011</v>
      </c>
      <c r="P246" s="309">
        <f>IF(LEFT($B246,3)="LED",IF(Tech_Specs!$K22="lamp",Perform_SSL!P$18,Perform_SSL!P$19),TREND(Perform_Active!$N23:$O23,Perform_Active!$N$8:$O$8,P$231)*1000)</f>
        <v>20900.000000000007</v>
      </c>
      <c r="Q246" s="309">
        <f>IF(LEFT($B246,3)="LED",IF(Tech_Specs!$K22="lamp",Perform_SSL!Q$18,Perform_SSL!Q$19),TREND(Perform_Active!$N23:$O23,Perform_Active!$N$8:$O$8,Q$231)*1000)</f>
        <v>21000</v>
      </c>
      <c r="R246" s="309">
        <f>IF(LEFT($B246,3)="LED",IF(Tech_Specs!$K22="lamp",Perform_SSL!R$18,Perform_SSL!R$19),TREND(Perform_Active!$N23:$O23,Perform_Active!$N$8:$O$8,R$231)*1000)</f>
        <v>21100.000000000022</v>
      </c>
      <c r="S246" s="309">
        <f>IF(LEFT($B246,3)="LED",IF(Tech_Specs!$K22="lamp",Perform_SSL!S$18,Perform_SSL!S$19),TREND(Perform_Active!$N23:$O23,Perform_Active!$N$8:$O$8,S$231)*1000)</f>
        <v>21200.000000000018</v>
      </c>
      <c r="T246" s="309">
        <f>IF(LEFT($B246,3)="LED",IF(Tech_Specs!$K22="lamp",Perform_SSL!T$18,Perform_SSL!T$19),TREND(Perform_Active!$N23:$O23,Perform_Active!$N$8:$O$8,T$231)*1000)</f>
        <v>21300.000000000011</v>
      </c>
      <c r="U246" s="309">
        <f>IF(LEFT($B246,3)="LED",IF(Tech_Specs!$K22="lamp",Perform_SSL!U$18,Perform_SSL!U$19),TREND(Perform_Active!$N23:$O23,Perform_Active!$N$8:$O$8,U$231)*1000)</f>
        <v>21400.000000000007</v>
      </c>
      <c r="V246" s="309">
        <f>IF(LEFT($B246,3)="LED",IF(Tech_Specs!$K22="lamp",Perform_SSL!V$18,Perform_SSL!V$19),TREND(Perform_Active!$N23:$O23,Perform_Active!$N$8:$O$8,V$231)*1000)</f>
        <v>21500</v>
      </c>
      <c r="W246" s="309">
        <f>IF(LEFT($B246,3)="LED",IF(Tech_Specs!$K22="lamp",Perform_SSL!W$18,Perform_SSL!W$19),TREND(Perform_Active!$N23:$O23,Perform_Active!$N$8:$O$8,W$231)*1000)</f>
        <v>21600.000000000022</v>
      </c>
      <c r="X246" s="309">
        <f>IF(LEFT($B246,3)="LED",IF(Tech_Specs!$K22="lamp",Perform_SSL!X$18,Perform_SSL!X$19),TREND(Perform_Active!$N23:$O23,Perform_Active!$N$8:$O$8,X$231)*1000)</f>
        <v>21700.000000000018</v>
      </c>
      <c r="Y246" s="309">
        <f>IF(LEFT($B246,3)="LED",IF(Tech_Specs!$K22="lamp",Perform_SSL!Y$18,Perform_SSL!Y$19),TREND(Perform_Active!$N23:$O23,Perform_Active!$N$8:$O$8,Y$231)*1000)</f>
        <v>21800.000000000011</v>
      </c>
      <c r="Z246" s="309">
        <f>IF(LEFT($B246,3)="LED",IF(Tech_Specs!$K22="lamp",Perform_SSL!Z$18,Perform_SSL!Z$19),TREND(Perform_Active!$N23:$O23,Perform_Active!$N$8:$O$8,Z$231)*1000)</f>
        <v>21900.000000000007</v>
      </c>
      <c r="AA246" s="309">
        <f>IF(LEFT($B246,3)="LED",IF(Tech_Specs!$K22="lamp",Perform_SSL!AA$18,Perform_SSL!AA$19),TREND(Perform_Active!$N23:$O23,Perform_Active!$N$8:$O$8,AA$231)*1000)</f>
        <v>22000</v>
      </c>
      <c r="AB246" s="309">
        <f>IF(LEFT($B246,3)="LED",IF(Tech_Specs!$K22="lamp",Perform_SSL!AB$18,Perform_SSL!AB$19),TREND(Perform_Active!$N23:$O23,Perform_Active!$N$8:$O$8,AB$231)*1000)</f>
        <v>22100.000000000022</v>
      </c>
      <c r="AC246" s="309">
        <f>IF(LEFT($B246,3)="LED",IF(Tech_Specs!$K22="lamp",Perform_SSL!AC$18,Perform_SSL!AC$19),TREND(Perform_Active!$N23:$O23,Perform_Active!$N$8:$O$8,AC$231)*1000)</f>
        <v>22200.000000000018</v>
      </c>
      <c r="AD246" s="309">
        <f>IF(LEFT($B246,3)="LED",IF(Tech_Specs!$K22="lamp",Perform_SSL!AD$18,Perform_SSL!AD$19),TREND(Perform_Active!$N23:$O23,Perform_Active!$N$8:$O$8,AD$231)*1000)</f>
        <v>22300.000000000011</v>
      </c>
      <c r="AE246" s="309">
        <f>IF(LEFT($B246,3)="LED",IF(Tech_Specs!$K22="lamp",Perform_SSL!AE$18,Perform_SSL!AE$19),TREND(Perform_Active!$N23:$O23,Perform_Active!$N$8:$O$8,AE$231)*1000)</f>
        <v>22400.000000000007</v>
      </c>
      <c r="AF246" s="309">
        <f>IF(LEFT($B246,3)="LED",IF(Tech_Specs!$K22="lamp",Perform_SSL!AF$18,Perform_SSL!AF$19),TREND(Perform_Active!$N23:$O23,Perform_Active!$N$8:$O$8,AF$231)*1000)</f>
        <v>22500</v>
      </c>
    </row>
    <row r="247" spans="1:32" s="81" customFormat="1" ht="12.75" x14ac:dyDescent="0.2">
      <c r="B247" s="81" t="s">
        <v>40</v>
      </c>
      <c r="D247" s="550"/>
      <c r="E247" s="550"/>
      <c r="F247" s="550"/>
      <c r="G247" s="309">
        <f>IF(LEFT($B247,3)="LED",IF(Tech_Specs!$K23="lamp",Perform_SSL!G$18,Perform_SSL!G$19),TREND(Perform_Active!$N24:$O24,Perform_Active!$N$8:$O$8,G$231)*1000)</f>
        <v>16000</v>
      </c>
      <c r="H247" s="309">
        <f>IF(LEFT($B247,3)="LED",IF(Tech_Specs!$K23="lamp",Perform_SSL!H$18,Perform_SSL!H$19),TREND(Perform_Active!$N24:$O24,Perform_Active!$N$8:$O$8,H$231)*1000)</f>
        <v>16079.999999999984</v>
      </c>
      <c r="I247" s="309">
        <f>IF(LEFT($B247,3)="LED",IF(Tech_Specs!$K23="lamp",Perform_SSL!I$18,Perform_SSL!I$19),TREND(Perform_Active!$N24:$O24,Perform_Active!$N$8:$O$8,I$231)*1000)</f>
        <v>16159.999999999996</v>
      </c>
      <c r="J247" s="309">
        <f>IF(LEFT($B247,3)="LED",IF(Tech_Specs!$K23="lamp",Perform_SSL!J$18,Perform_SSL!J$19),TREND(Perform_Active!$N24:$O24,Perform_Active!$N$8:$O$8,J$231)*1000)</f>
        <v>16239.99999999998</v>
      </c>
      <c r="K247" s="309">
        <f>IF(LEFT($B247,3)="LED",IF(Tech_Specs!$K23="lamp",Perform_SSL!K$18,Perform_SSL!K$19),TREND(Perform_Active!$N24:$O24,Perform_Active!$N$8:$O$8,K$231)*1000)</f>
        <v>16319.999999999993</v>
      </c>
      <c r="L247" s="309">
        <f>IF(LEFT($B247,3)="LED",IF(Tech_Specs!$K23="lamp",Perform_SSL!L$18,Perform_SSL!L$19),TREND(Perform_Active!$N24:$O24,Perform_Active!$N$8:$O$8,L$231)*1000)</f>
        <v>16400.000000000007</v>
      </c>
      <c r="M247" s="309">
        <f>IF(LEFT($B247,3)="LED",IF(Tech_Specs!$K23="lamp",Perform_SSL!M$18,Perform_SSL!M$19),TREND(Perform_Active!$N24:$O24,Perform_Active!$N$8:$O$8,M$231)*1000)</f>
        <v>16479.999999999989</v>
      </c>
      <c r="N247" s="309">
        <f>IF(LEFT($B247,3)="LED",IF(Tech_Specs!$K23="lamp",Perform_SSL!N$18,Perform_SSL!N$19),TREND(Perform_Active!$N24:$O24,Perform_Active!$N$8:$O$8,N$231)*1000)</f>
        <v>16560.000000000004</v>
      </c>
      <c r="O247" s="309">
        <f>IF(LEFT($B247,3)="LED",IF(Tech_Specs!$K23="lamp",Perform_SSL!O$18,Perform_SSL!O$19),TREND(Perform_Active!$N24:$O24,Perform_Active!$N$8:$O$8,O$231)*1000)</f>
        <v>16639.999999999985</v>
      </c>
      <c r="P247" s="309">
        <f>IF(LEFT($B247,3)="LED",IF(Tech_Specs!$K23="lamp",Perform_SSL!P$18,Perform_SSL!P$19),TREND(Perform_Active!$N24:$O24,Perform_Active!$N$8:$O$8,P$231)*1000)</f>
        <v>16720</v>
      </c>
      <c r="Q247" s="309">
        <f>IF(LEFT($B247,3)="LED",IF(Tech_Specs!$K23="lamp",Perform_SSL!Q$18,Perform_SSL!Q$19),TREND(Perform_Active!$N24:$O24,Perform_Active!$N$8:$O$8,Q$231)*1000)</f>
        <v>16799.999999999982</v>
      </c>
      <c r="R247" s="309">
        <f>IF(LEFT($B247,3)="LED",IF(Tech_Specs!$K23="lamp",Perform_SSL!R$18,Perform_SSL!R$19),TREND(Perform_Active!$N24:$O24,Perform_Active!$N$8:$O$8,R$231)*1000)</f>
        <v>16879.999999999996</v>
      </c>
      <c r="S247" s="309">
        <f>IF(LEFT($B247,3)="LED",IF(Tech_Specs!$K23="lamp",Perform_SSL!S$18,Perform_SSL!S$19),TREND(Perform_Active!$N24:$O24,Perform_Active!$N$8:$O$8,S$231)*1000)</f>
        <v>16959.999999999978</v>
      </c>
      <c r="T247" s="309">
        <f>IF(LEFT($B247,3)="LED",IF(Tech_Specs!$K23="lamp",Perform_SSL!T$18,Perform_SSL!T$19),TREND(Perform_Active!$N24:$O24,Perform_Active!$N$8:$O$8,T$231)*1000)</f>
        <v>17039.999999999993</v>
      </c>
      <c r="U247" s="309">
        <f>IF(LEFT($B247,3)="LED",IF(Tech_Specs!$K23="lamp",Perform_SSL!U$18,Perform_SSL!U$19),TREND(Perform_Active!$N24:$O24,Perform_Active!$N$8:$O$8,U$231)*1000)</f>
        <v>17120.000000000004</v>
      </c>
      <c r="V247" s="309">
        <f>IF(LEFT($B247,3)="LED",IF(Tech_Specs!$K23="lamp",Perform_SSL!V$18,Perform_SSL!V$19),TREND(Perform_Active!$N24:$O24,Perform_Active!$N$8:$O$8,V$231)*1000)</f>
        <v>17199.999999999989</v>
      </c>
      <c r="W247" s="309">
        <f>IF(LEFT($B247,3)="LED",IF(Tech_Specs!$K23="lamp",Perform_SSL!W$18,Perform_SSL!W$19),TREND(Perform_Active!$N24:$O24,Perform_Active!$N$8:$O$8,W$231)*1000)</f>
        <v>17280</v>
      </c>
      <c r="X247" s="309">
        <f>IF(LEFT($B247,3)="LED",IF(Tech_Specs!$K23="lamp",Perform_SSL!X$18,Perform_SSL!X$19),TREND(Perform_Active!$N24:$O24,Perform_Active!$N$8:$O$8,X$231)*1000)</f>
        <v>17359.999999999985</v>
      </c>
      <c r="Y247" s="309">
        <f>IF(LEFT($B247,3)="LED",IF(Tech_Specs!$K23="lamp",Perform_SSL!Y$18,Perform_SSL!Y$19),TREND(Perform_Active!$N24:$O24,Perform_Active!$N$8:$O$8,Y$231)*1000)</f>
        <v>17439.999999999996</v>
      </c>
      <c r="Z247" s="309">
        <f>IF(LEFT($B247,3)="LED",IF(Tech_Specs!$K23="lamp",Perform_SSL!Z$18,Perform_SSL!Z$19),TREND(Perform_Active!$N24:$O24,Perform_Active!$N$8:$O$8,Z$231)*1000)</f>
        <v>17519.999999999982</v>
      </c>
      <c r="AA247" s="309">
        <f>IF(LEFT($B247,3)="LED",IF(Tech_Specs!$K23="lamp",Perform_SSL!AA$18,Perform_SSL!AA$19),TREND(Perform_Active!$N24:$O24,Perform_Active!$N$8:$O$8,AA$231)*1000)</f>
        <v>17599.999999999993</v>
      </c>
      <c r="AB247" s="309">
        <f>IF(LEFT($B247,3)="LED",IF(Tech_Specs!$K23="lamp",Perform_SSL!AB$18,Perform_SSL!AB$19),TREND(Perform_Active!$N24:$O24,Perform_Active!$N$8:$O$8,AB$231)*1000)</f>
        <v>17679.999999999978</v>
      </c>
      <c r="AC247" s="309">
        <f>IF(LEFT($B247,3)="LED",IF(Tech_Specs!$K23="lamp",Perform_SSL!AC$18,Perform_SSL!AC$19),TREND(Perform_Active!$N24:$O24,Perform_Active!$N$8:$O$8,AC$231)*1000)</f>
        <v>17759.999999999993</v>
      </c>
      <c r="AD247" s="309">
        <f>IF(LEFT($B247,3)="LED",IF(Tech_Specs!$K23="lamp",Perform_SSL!AD$18,Perform_SSL!AD$19),TREND(Perform_Active!$N24:$O24,Perform_Active!$N$8:$O$8,AD$231)*1000)</f>
        <v>17840.000000000004</v>
      </c>
      <c r="AE247" s="309">
        <f>IF(LEFT($B247,3)="LED",IF(Tech_Specs!$K23="lamp",Perform_SSL!AE$18,Perform_SSL!AE$19),TREND(Perform_Active!$N24:$O24,Perform_Active!$N$8:$O$8,AE$231)*1000)</f>
        <v>17919.999999999989</v>
      </c>
      <c r="AF247" s="309">
        <f>IF(LEFT($B247,3)="LED",IF(Tech_Specs!$K23="lamp",Perform_SSL!AF$18,Perform_SSL!AF$19),TREND(Perform_Active!$N24:$O24,Perform_Active!$N$8:$O$8,AF$231)*1000)</f>
        <v>18000</v>
      </c>
    </row>
    <row r="248" spans="1:32" s="81" customFormat="1" ht="12.75" x14ac:dyDescent="0.2">
      <c r="B248" s="81" t="s">
        <v>29</v>
      </c>
      <c r="D248" s="550"/>
      <c r="E248" s="550"/>
      <c r="F248" s="550"/>
      <c r="G248" s="309">
        <f>IF(LEFT($B248,3)="LED",IF(Tech_Specs!$K24="lamp",Perform_SSL!G$18,Perform_SSL!G$19),TREND(Perform_Active!$N25:$O25,Perform_Active!$N$8:$O$8,G$231)*1000)</f>
        <v>25000</v>
      </c>
      <c r="H248" s="309">
        <f>IF(LEFT($B248,3)="LED",IF(Tech_Specs!$K24="lamp",Perform_SSL!H$18,Perform_SSL!H$19),TREND(Perform_Active!$N25:$O25,Perform_Active!$N$8:$O$8,H$231)*1000)</f>
        <v>32995.04716202397</v>
      </c>
      <c r="I248" s="309">
        <f>IF(LEFT($B248,3)="LED",IF(Tech_Specs!$K24="lamp",Perform_SSL!I$18,Perform_SSL!I$19),TREND(Perform_Active!$N25:$O25,Perform_Active!$N$8:$O$8,I$231)*1000)</f>
        <v>36571.135449840265</v>
      </c>
      <c r="J248" s="309">
        <f>IF(LEFT($B248,3)="LED",IF(Tech_Specs!$K24="lamp",Perform_SSL!J$18,Perform_SSL!J$19),TREND(Perform_Active!$N25:$O25,Perform_Active!$N$8:$O$8,J$231)*1000)</f>
        <v>39631.507612892776</v>
      </c>
      <c r="K248" s="309">
        <f>IF(LEFT($B248,3)="LED",IF(Tech_Specs!$K24="lamp",Perform_SSL!K$18,Perform_SSL!K$19),TREND(Perform_Active!$N25:$O25,Perform_Active!$N$8:$O$8,K$231)*1000)</f>
        <v>42144.252048148839</v>
      </c>
      <c r="L248" s="309">
        <f>IF(LEFT($B248,3)="LED",IF(Tech_Specs!$K24="lamp",Perform_SSL!L$18,Perform_SSL!L$19),TREND(Perform_Active!$N25:$O25,Perform_Active!$N$8:$O$8,L$231)*1000)</f>
        <v>44138.116803365723</v>
      </c>
      <c r="M248" s="309">
        <f>IF(LEFT($B248,3)="LED",IF(Tech_Specs!$K24="lamp",Perform_SSL!M$18,Perform_SSL!M$19),TREND(Perform_Active!$N25:$O25,Perform_Active!$N$8:$O$8,M$231)*1000)</f>
        <v>45677.819537447656</v>
      </c>
      <c r="N248" s="309">
        <f>IF(LEFT($B248,3)="LED",IF(Tech_Specs!$K24="lamp",Perform_SSL!N$18,Perform_SSL!N$19),TREND(Perform_Active!$N25:$O25,Perform_Active!$N$8:$O$8,N$231)*1000)</f>
        <v>46842.034019012237</v>
      </c>
      <c r="O248" s="309">
        <f>IF(LEFT($B248,3)="LED",IF(Tech_Specs!$K24="lamp",Perform_SSL!O$18,Perform_SSL!O$19),TREND(Perform_Active!$N25:$O25,Perform_Active!$N$8:$O$8,O$231)*1000)</f>
        <v>47708.390378414646</v>
      </c>
      <c r="P248" s="309">
        <f>IF(LEFT($B248,3)="LED",IF(Tech_Specs!$K24="lamp",Perform_SSL!P$18,Perform_SSL!P$19),TREND(Perform_Active!$N25:$O25,Perform_Active!$N$8:$O$8,P$231)*1000)</f>
        <v>48345.465639105656</v>
      </c>
      <c r="Q248" s="309">
        <f>IF(LEFT($B248,3)="LED",IF(Tech_Specs!$K24="lamp",Perform_SSL!Q$18,Perform_SSL!Q$19),TREND(Perform_Active!$N25:$O25,Perform_Active!$N$8:$O$8,Q$231)*1000)</f>
        <v>48809.850037195916</v>
      </c>
      <c r="R248" s="309">
        <f>IF(LEFT($B248,3)="LED",IF(Tech_Specs!$K24="lamp",Perform_SSL!R$18,Perform_SSL!R$19),TREND(Perform_Active!$N25:$O25,Perform_Active!$N$8:$O$8,R$231)*1000)</f>
        <v>49146.195791508879</v>
      </c>
      <c r="S248" s="309">
        <f>IF(LEFT($B248,3)="LED",IF(Tech_Specs!$K24="lamp",Perform_SSL!S$18,Perform_SSL!S$19),TREND(Perform_Active!$N25:$O25,Perform_Active!$N$8:$O$8,S$231)*1000)</f>
        <v>49388.678095291754</v>
      </c>
      <c r="T248" s="309">
        <f>IF(LEFT($B248,3)="LED",IF(Tech_Specs!$K24="lamp",Perform_SSL!T$18,Perform_SSL!T$19),TREND(Perform_Active!$N25:$O25,Perform_Active!$N$8:$O$8,T$231)*1000)</f>
        <v>49562.907353580449</v>
      </c>
      <c r="U248" s="309">
        <f>IF(LEFT($B248,3)="LED",IF(Tech_Specs!$K24="lamp",Perform_SSL!U$18,Perform_SSL!U$19),TREND(Perform_Active!$N25:$O25,Perform_Active!$N$8:$O$8,U$231)*1000)</f>
        <v>49687.794452091533</v>
      </c>
      <c r="V248" s="309">
        <f>IF(LEFT($B248,3)="LED",IF(Tech_Specs!$K24="lamp",Perform_SSL!V$18,Perform_SSL!V$19),TREND(Perform_Active!$N25:$O25,Perform_Active!$N$8:$O$8,V$231)*1000)</f>
        <v>49777.158961987705</v>
      </c>
      <c r="W248" s="309">
        <f>IF(LEFT($B248,3)="LED",IF(Tech_Specs!$K24="lamp",Perform_SSL!W$18,Perform_SSL!W$19),TREND(Perform_Active!$N25:$O25,Perform_Active!$N$8:$O$8,W$231)*1000)</f>
        <v>49841.025959888604</v>
      </c>
      <c r="X248" s="309">
        <f>IF(LEFT($B248,3)="LED",IF(Tech_Specs!$K24="lamp",Perform_SSL!X$18,Perform_SSL!X$19),TREND(Perform_Active!$N25:$O25,Perform_Active!$N$8:$O$8,X$231)*1000)</f>
        <v>49886.63014876964</v>
      </c>
      <c r="Y248" s="309">
        <f>IF(LEFT($B248,3)="LED",IF(Tech_Specs!$K24="lamp",Perform_SSL!Y$18,Perform_SSL!Y$19),TREND(Perform_Active!$N25:$O25,Perform_Active!$N$8:$O$8,Y$231)*1000)</f>
        <v>49919.173278474002</v>
      </c>
      <c r="Z248" s="309">
        <f>IF(LEFT($B248,3)="LED",IF(Tech_Specs!$K24="lamp",Perform_SSL!Z$18,Perform_SSL!Z$19),TREND(Perform_Active!$N25:$O25,Perform_Active!$N$8:$O$8,Z$231)*1000)</f>
        <v>49942.385601358699</v>
      </c>
      <c r="AA248" s="309">
        <f>IF(LEFT($B248,3)="LED",IF(Tech_Specs!$K24="lamp",Perform_SSL!AA$18,Perform_SSL!AA$19),TREND(Perform_Active!$N25:$O25,Perform_Active!$N$8:$O$8,AA$231)*1000)</f>
        <v>49958.937147906508</v>
      </c>
      <c r="AB248" s="309">
        <f>IF(LEFT($B248,3)="LED",IF(Tech_Specs!$K24="lamp",Perform_SSL!AB$18,Perform_SSL!AB$19),TREND(Perform_Active!$N25:$O25,Perform_Active!$N$8:$O$8,AB$231)*1000)</f>
        <v>49970.736528712878</v>
      </c>
      <c r="AC248" s="309">
        <f>IF(LEFT($B248,3)="LED",IF(Tech_Specs!$K24="lamp",Perform_SSL!AC$18,Perform_SSL!AC$19),TREND(Perform_Active!$N25:$O25,Perform_Active!$N$8:$O$8,AC$231)*1000)</f>
        <v>49979.146781228279</v>
      </c>
      <c r="AD248" s="309">
        <f>IF(LEFT($B248,3)="LED",IF(Tech_Specs!$K24="lamp",Perform_SSL!AD$18,Perform_SSL!AD$19),TREND(Perform_Active!$N25:$O25,Perform_Active!$N$8:$O$8,AD$231)*1000)</f>
        <v>49985.140665785919</v>
      </c>
      <c r="AE248" s="309">
        <f>IF(LEFT($B248,3)="LED",IF(Tech_Specs!$K24="lamp",Perform_SSL!AE$18,Perform_SSL!AE$19),TREND(Perform_Active!$N25:$O25,Perform_Active!$N$8:$O$8,AE$231)*1000)</f>
        <v>49989.412080467839</v>
      </c>
      <c r="AF248" s="309">
        <f>IF(LEFT($B248,3)="LED",IF(Tech_Specs!$K24="lamp",Perform_SSL!AF$18,Perform_SSL!AF$19),TREND(Perform_Active!$N25:$O25,Perform_Active!$N$8:$O$8,AF$231)*1000)</f>
        <v>49992.455833840038</v>
      </c>
    </row>
    <row r="249" spans="1:32" s="81" customFormat="1" ht="12.75" x14ac:dyDescent="0.2">
      <c r="D249" s="550"/>
      <c r="E249" s="550"/>
      <c r="F249" s="550"/>
      <c r="G249" s="285"/>
      <c r="H249" s="285"/>
      <c r="I249" s="285"/>
      <c r="J249" s="285"/>
      <c r="K249" s="285"/>
      <c r="L249" s="285"/>
      <c r="M249" s="285"/>
      <c r="N249" s="285"/>
      <c r="O249" s="285"/>
      <c r="P249" s="285"/>
      <c r="Q249" s="285"/>
      <c r="R249" s="285"/>
      <c r="S249" s="285"/>
      <c r="T249" s="285"/>
      <c r="U249" s="285"/>
      <c r="V249" s="285"/>
      <c r="W249" s="285"/>
      <c r="X249" s="285"/>
      <c r="Y249" s="285"/>
      <c r="Z249" s="285"/>
      <c r="AA249" s="285"/>
      <c r="AB249" s="285"/>
      <c r="AC249" s="285"/>
      <c r="AD249" s="285"/>
      <c r="AE249" s="285"/>
      <c r="AF249" s="285"/>
    </row>
    <row r="250" spans="1:32" s="81" customFormat="1" ht="12.75" x14ac:dyDescent="0.2">
      <c r="A250" s="58" t="s">
        <v>42</v>
      </c>
      <c r="B250" s="57"/>
      <c r="C250" s="57"/>
      <c r="D250" s="501"/>
      <c r="E250" s="501"/>
      <c r="F250" s="501"/>
      <c r="G250" s="192"/>
      <c r="H250" s="192"/>
      <c r="I250" s="192"/>
      <c r="J250" s="192"/>
      <c r="K250" s="192"/>
      <c r="L250" s="192"/>
      <c r="M250" s="192"/>
      <c r="N250" s="192"/>
      <c r="O250" s="192"/>
      <c r="P250" s="192"/>
      <c r="Q250" s="192"/>
      <c r="R250" s="192"/>
      <c r="S250" s="192"/>
      <c r="T250" s="192"/>
      <c r="U250" s="192"/>
      <c r="V250" s="192"/>
      <c r="W250" s="192"/>
      <c r="X250" s="192"/>
      <c r="Y250" s="192"/>
      <c r="Z250" s="192"/>
      <c r="AA250" s="192"/>
      <c r="AB250" s="192"/>
      <c r="AC250" s="192"/>
      <c r="AD250" s="192"/>
      <c r="AE250" s="192"/>
      <c r="AF250" s="192"/>
    </row>
    <row r="251" spans="1:32" s="81" customFormat="1" ht="12.75" x14ac:dyDescent="0.2">
      <c r="B251" s="101" t="s">
        <v>43</v>
      </c>
      <c r="C251" s="101"/>
      <c r="D251" s="552"/>
      <c r="E251" s="552"/>
      <c r="F251" s="552"/>
      <c r="G251" s="309">
        <f>IF(LEFT($B251,3)="LED",IF(Tech_Specs!$K27="lamp",Perform_SSL!G$18,Perform_SSL!G$19),TREND(Perform_Active!$N28:$O28,Perform_Active!$N$8:$O$8,G$231)*1000)</f>
        <v>20000</v>
      </c>
      <c r="H251" s="309">
        <f>IF(LEFT($B251,3)="LED",IF(Tech_Specs!$K27="lamp",Perform_SSL!H$18,Perform_SSL!H$19),TREND(Perform_Active!$N28:$O28,Perform_Active!$N$8:$O$8,H$231)*1000)</f>
        <v>20000</v>
      </c>
      <c r="I251" s="309">
        <f>IF(LEFT($B251,3)="LED",IF(Tech_Specs!$K27="lamp",Perform_SSL!I$18,Perform_SSL!I$19),TREND(Perform_Active!$N28:$O28,Perform_Active!$N$8:$O$8,I$231)*1000)</f>
        <v>20000</v>
      </c>
      <c r="J251" s="309">
        <f>IF(LEFT($B251,3)="LED",IF(Tech_Specs!$K27="lamp",Perform_SSL!J$18,Perform_SSL!J$19),TREND(Perform_Active!$N28:$O28,Perform_Active!$N$8:$O$8,J$231)*1000)</f>
        <v>20000</v>
      </c>
      <c r="K251" s="309">
        <f>IF(LEFT($B251,3)="LED",IF(Tech_Specs!$K27="lamp",Perform_SSL!K$18,Perform_SSL!K$19),TREND(Perform_Active!$N28:$O28,Perform_Active!$N$8:$O$8,K$231)*1000)</f>
        <v>20000</v>
      </c>
      <c r="L251" s="309">
        <f>IF(LEFT($B251,3)="LED",IF(Tech_Specs!$K27="lamp",Perform_SSL!L$18,Perform_SSL!L$19),TREND(Perform_Active!$N28:$O28,Perform_Active!$N$8:$O$8,L$231)*1000)</f>
        <v>20000</v>
      </c>
      <c r="M251" s="309">
        <f>IF(LEFT($B251,3)="LED",IF(Tech_Specs!$K27="lamp",Perform_SSL!M$18,Perform_SSL!M$19),TREND(Perform_Active!$N28:$O28,Perform_Active!$N$8:$O$8,M$231)*1000)</f>
        <v>20000</v>
      </c>
      <c r="N251" s="309">
        <f>IF(LEFT($B251,3)="LED",IF(Tech_Specs!$K27="lamp",Perform_SSL!N$18,Perform_SSL!N$19),TREND(Perform_Active!$N28:$O28,Perform_Active!$N$8:$O$8,N$231)*1000)</f>
        <v>20000</v>
      </c>
      <c r="O251" s="309">
        <f>IF(LEFT($B251,3)="LED",IF(Tech_Specs!$K27="lamp",Perform_SSL!O$18,Perform_SSL!O$19),TREND(Perform_Active!$N28:$O28,Perform_Active!$N$8:$O$8,O$231)*1000)</f>
        <v>20000</v>
      </c>
      <c r="P251" s="309">
        <f>IF(LEFT($B251,3)="LED",IF(Tech_Specs!$K27="lamp",Perform_SSL!P$18,Perform_SSL!P$19),TREND(Perform_Active!$N28:$O28,Perform_Active!$N$8:$O$8,P$231)*1000)</f>
        <v>20000</v>
      </c>
      <c r="Q251" s="309">
        <f>IF(LEFT($B251,3)="LED",IF(Tech_Specs!$K27="lamp",Perform_SSL!Q$18,Perform_SSL!Q$19),TREND(Perform_Active!$N28:$O28,Perform_Active!$N$8:$O$8,Q$231)*1000)</f>
        <v>20000</v>
      </c>
      <c r="R251" s="309">
        <f>IF(LEFT($B251,3)="LED",IF(Tech_Specs!$K27="lamp",Perform_SSL!R$18,Perform_SSL!R$19),TREND(Perform_Active!$N28:$O28,Perform_Active!$N$8:$O$8,R$231)*1000)</f>
        <v>20000</v>
      </c>
      <c r="S251" s="309">
        <f>IF(LEFT($B251,3)="LED",IF(Tech_Specs!$K27="lamp",Perform_SSL!S$18,Perform_SSL!S$19),TREND(Perform_Active!$N28:$O28,Perform_Active!$N$8:$O$8,S$231)*1000)</f>
        <v>20000</v>
      </c>
      <c r="T251" s="309">
        <f>IF(LEFT($B251,3)="LED",IF(Tech_Specs!$K27="lamp",Perform_SSL!T$18,Perform_SSL!T$19),TREND(Perform_Active!$N28:$O28,Perform_Active!$N$8:$O$8,T$231)*1000)</f>
        <v>20000</v>
      </c>
      <c r="U251" s="309">
        <f>IF(LEFT($B251,3)="LED",IF(Tech_Specs!$K27="lamp",Perform_SSL!U$18,Perform_SSL!U$19),TREND(Perform_Active!$N28:$O28,Perform_Active!$N$8:$O$8,U$231)*1000)</f>
        <v>20000</v>
      </c>
      <c r="V251" s="309">
        <f>IF(LEFT($B251,3)="LED",IF(Tech_Specs!$K27="lamp",Perform_SSL!V$18,Perform_SSL!V$19),TREND(Perform_Active!$N28:$O28,Perform_Active!$N$8:$O$8,V$231)*1000)</f>
        <v>20000</v>
      </c>
      <c r="W251" s="309">
        <f>IF(LEFT($B251,3)="LED",IF(Tech_Specs!$K27="lamp",Perform_SSL!W$18,Perform_SSL!W$19),TREND(Perform_Active!$N28:$O28,Perform_Active!$N$8:$O$8,W$231)*1000)</f>
        <v>20000</v>
      </c>
      <c r="X251" s="309">
        <f>IF(LEFT($B251,3)="LED",IF(Tech_Specs!$K27="lamp",Perform_SSL!X$18,Perform_SSL!X$19),TREND(Perform_Active!$N28:$O28,Perform_Active!$N$8:$O$8,X$231)*1000)</f>
        <v>20000</v>
      </c>
      <c r="Y251" s="309">
        <f>IF(LEFT($B251,3)="LED",IF(Tech_Specs!$K27="lamp",Perform_SSL!Y$18,Perform_SSL!Y$19),TREND(Perform_Active!$N28:$O28,Perform_Active!$N$8:$O$8,Y$231)*1000)</f>
        <v>20000</v>
      </c>
      <c r="Z251" s="309">
        <f>IF(LEFT($B251,3)="LED",IF(Tech_Specs!$K27="lamp",Perform_SSL!Z$18,Perform_SSL!Z$19),TREND(Perform_Active!$N28:$O28,Perform_Active!$N$8:$O$8,Z$231)*1000)</f>
        <v>20000</v>
      </c>
      <c r="AA251" s="309">
        <f>IF(LEFT($B251,3)="LED",IF(Tech_Specs!$K27="lamp",Perform_SSL!AA$18,Perform_SSL!AA$19),TREND(Perform_Active!$N28:$O28,Perform_Active!$N$8:$O$8,AA$231)*1000)</f>
        <v>20000</v>
      </c>
      <c r="AB251" s="309">
        <f>IF(LEFT($B251,3)="LED",IF(Tech_Specs!$K27="lamp",Perform_SSL!AB$18,Perform_SSL!AB$19),TREND(Perform_Active!$N28:$O28,Perform_Active!$N$8:$O$8,AB$231)*1000)</f>
        <v>20000</v>
      </c>
      <c r="AC251" s="309">
        <f>IF(LEFT($B251,3)="LED",IF(Tech_Specs!$K27="lamp",Perform_SSL!AC$18,Perform_SSL!AC$19),TREND(Perform_Active!$N28:$O28,Perform_Active!$N$8:$O$8,AC$231)*1000)</f>
        <v>20000</v>
      </c>
      <c r="AD251" s="309">
        <f>IF(LEFT($B251,3)="LED",IF(Tech_Specs!$K27="lamp",Perform_SSL!AD$18,Perform_SSL!AD$19),TREND(Perform_Active!$N28:$O28,Perform_Active!$N$8:$O$8,AD$231)*1000)</f>
        <v>20000</v>
      </c>
      <c r="AE251" s="309">
        <f>IF(LEFT($B251,3)="LED",IF(Tech_Specs!$K27="lamp",Perform_SSL!AE$18,Perform_SSL!AE$19),TREND(Perform_Active!$N28:$O28,Perform_Active!$N$8:$O$8,AE$231)*1000)</f>
        <v>20000</v>
      </c>
      <c r="AF251" s="309">
        <f>IF(LEFT($B251,3)="LED",IF(Tech_Specs!$K27="lamp",Perform_SSL!AF$18,Perform_SSL!AF$19),TREND(Perform_Active!$N28:$O28,Perform_Active!$N$8:$O$8,AF$231)*1000)</f>
        <v>20000</v>
      </c>
    </row>
    <row r="252" spans="1:32" s="81" customFormat="1" ht="12.75" x14ac:dyDescent="0.2">
      <c r="B252" s="101" t="s">
        <v>44</v>
      </c>
      <c r="D252" s="550"/>
      <c r="E252" s="550"/>
      <c r="F252" s="550"/>
      <c r="G252" s="309">
        <f>IF(LEFT($B252,3)="LED",IF(Tech_Specs!$K28="lamp",Perform_SSL!G$18,Perform_SSL!G$19),TREND(Perform_Active!$N29:$O29,Perform_Active!$N$8:$O$8,G$231)*1000)</f>
        <v>18000</v>
      </c>
      <c r="H252" s="309">
        <f>IF(LEFT($B252,3)="LED",IF(Tech_Specs!$K28="lamp",Perform_SSL!H$18,Perform_SSL!H$19),TREND(Perform_Active!$N29:$O29,Perform_Active!$N$8:$O$8,H$231)*1000)</f>
        <v>18134.999999999993</v>
      </c>
      <c r="I252" s="309">
        <f>IF(LEFT($B252,3)="LED",IF(Tech_Specs!$K28="lamp",Perform_SSL!I$18,Perform_SSL!I$19),TREND(Perform_Active!$N29:$O29,Perform_Active!$N$8:$O$8,I$231)*1000)</f>
        <v>18269.999999999982</v>
      </c>
      <c r="J252" s="309">
        <f>IF(LEFT($B252,3)="LED",IF(Tech_Specs!$K28="lamp",Perform_SSL!J$18,Perform_SSL!J$19),TREND(Perform_Active!$N29:$O29,Perform_Active!$N$8:$O$8,J$231)*1000)</f>
        <v>18404.999999999971</v>
      </c>
      <c r="K252" s="309">
        <f>IF(LEFT($B252,3)="LED",IF(Tech_Specs!$K28="lamp",Perform_SSL!K$18,Perform_SSL!K$19),TREND(Perform_Active!$N29:$O29,Perform_Active!$N$8:$O$8,K$231)*1000)</f>
        <v>18540.000000000022</v>
      </c>
      <c r="L252" s="309">
        <f>IF(LEFT($B252,3)="LED",IF(Tech_Specs!$K28="lamp",Perform_SSL!L$18,Perform_SSL!L$19),TREND(Perform_Active!$N29:$O29,Perform_Active!$N$8:$O$8,L$231)*1000)</f>
        <v>18675.000000000011</v>
      </c>
      <c r="M252" s="309">
        <f>IF(LEFT($B252,3)="LED",IF(Tech_Specs!$K28="lamp",Perform_SSL!M$18,Perform_SSL!M$19),TREND(Perform_Active!$N29:$O29,Perform_Active!$N$8:$O$8,M$231)*1000)</f>
        <v>18810.000000000004</v>
      </c>
      <c r="N252" s="309">
        <f>IF(LEFT($B252,3)="LED",IF(Tech_Specs!$K28="lamp",Perform_SSL!N$18,Perform_SSL!N$19),TREND(Perform_Active!$N29:$O29,Perform_Active!$N$8:$O$8,N$231)*1000)</f>
        <v>18944.999999999993</v>
      </c>
      <c r="O252" s="309">
        <f>IF(LEFT($B252,3)="LED",IF(Tech_Specs!$K28="lamp",Perform_SSL!O$18,Perform_SSL!O$19),TREND(Perform_Active!$N29:$O29,Perform_Active!$N$8:$O$8,O$231)*1000)</f>
        <v>19079.999999999985</v>
      </c>
      <c r="P252" s="309">
        <f>IF(LEFT($B252,3)="LED",IF(Tech_Specs!$K28="lamp",Perform_SSL!P$18,Perform_SSL!P$19),TREND(Perform_Active!$N29:$O29,Perform_Active!$N$8:$O$8,P$231)*1000)</f>
        <v>19214.999999999975</v>
      </c>
      <c r="Q252" s="309">
        <f>IF(LEFT($B252,3)="LED",IF(Tech_Specs!$K28="lamp",Perform_SSL!Q$18,Perform_SSL!Q$19),TREND(Perform_Active!$N29:$O29,Perform_Active!$N$8:$O$8,Q$231)*1000)</f>
        <v>19350.000000000022</v>
      </c>
      <c r="R252" s="309">
        <f>IF(LEFT($B252,3)="LED",IF(Tech_Specs!$K28="lamp",Perform_SSL!R$18,Perform_SSL!R$19),TREND(Perform_Active!$N29:$O29,Perform_Active!$N$8:$O$8,R$231)*1000)</f>
        <v>19485.000000000015</v>
      </c>
      <c r="S252" s="309">
        <f>IF(LEFT($B252,3)="LED",IF(Tech_Specs!$K28="lamp",Perform_SSL!S$18,Perform_SSL!S$19),TREND(Perform_Active!$N29:$O29,Perform_Active!$N$8:$O$8,S$231)*1000)</f>
        <v>19620.000000000004</v>
      </c>
      <c r="T252" s="309">
        <f>IF(LEFT($B252,3)="LED",IF(Tech_Specs!$K28="lamp",Perform_SSL!T$18,Perform_SSL!T$19),TREND(Perform_Active!$N29:$O29,Perform_Active!$N$8:$O$8,T$231)*1000)</f>
        <v>19754.999999999996</v>
      </c>
      <c r="U252" s="309">
        <f>IF(LEFT($B252,3)="LED",IF(Tech_Specs!$K28="lamp",Perform_SSL!U$18,Perform_SSL!U$19),TREND(Perform_Active!$N29:$O29,Perform_Active!$N$8:$O$8,U$231)*1000)</f>
        <v>19889.999999999985</v>
      </c>
      <c r="V252" s="309">
        <f>IF(LEFT($B252,3)="LED",IF(Tech_Specs!$K28="lamp",Perform_SSL!V$18,Perform_SSL!V$19),TREND(Perform_Active!$N29:$O29,Perform_Active!$N$8:$O$8,V$231)*1000)</f>
        <v>20024.999999999978</v>
      </c>
      <c r="W252" s="309">
        <f>IF(LEFT($B252,3)="LED",IF(Tech_Specs!$K28="lamp",Perform_SSL!W$18,Perform_SSL!W$19),TREND(Perform_Active!$N29:$O29,Perform_Active!$N$8:$O$8,W$231)*1000)</f>
        <v>20159.999999999967</v>
      </c>
      <c r="X252" s="309">
        <f>IF(LEFT($B252,3)="LED",IF(Tech_Specs!$K28="lamp",Perform_SSL!X$18,Perform_SSL!X$19),TREND(Perform_Active!$N29:$O29,Perform_Active!$N$8:$O$8,X$231)*1000)</f>
        <v>20295.000000000015</v>
      </c>
      <c r="Y252" s="309">
        <f>IF(LEFT($B252,3)="LED",IF(Tech_Specs!$K28="lamp",Perform_SSL!Y$18,Perform_SSL!Y$19),TREND(Perform_Active!$N29:$O29,Perform_Active!$N$8:$O$8,Y$231)*1000)</f>
        <v>20430.000000000007</v>
      </c>
      <c r="Z252" s="309">
        <f>IF(LEFT($B252,3)="LED",IF(Tech_Specs!$K28="lamp",Perform_SSL!Z$18,Perform_SSL!Z$19),TREND(Perform_Active!$N29:$O29,Perform_Active!$N$8:$O$8,Z$231)*1000)</f>
        <v>20564.999999999996</v>
      </c>
      <c r="AA252" s="309">
        <f>IF(LEFT($B252,3)="LED",IF(Tech_Specs!$K28="lamp",Perform_SSL!AA$18,Perform_SSL!AA$19),TREND(Perform_Active!$N29:$O29,Perform_Active!$N$8:$O$8,AA$231)*1000)</f>
        <v>20699.999999999989</v>
      </c>
      <c r="AB252" s="309">
        <f>IF(LEFT($B252,3)="LED",IF(Tech_Specs!$K28="lamp",Perform_SSL!AB$18,Perform_SSL!AB$19),TREND(Perform_Active!$N29:$O29,Perform_Active!$N$8:$O$8,AB$231)*1000)</f>
        <v>20834.999999999978</v>
      </c>
      <c r="AC252" s="309">
        <f>IF(LEFT($B252,3)="LED",IF(Tech_Specs!$K28="lamp",Perform_SSL!AC$18,Perform_SSL!AC$19),TREND(Perform_Active!$N29:$O29,Perform_Active!$N$8:$O$8,AC$231)*1000)</f>
        <v>20969.999999999971</v>
      </c>
      <c r="AD252" s="309">
        <f>IF(LEFT($B252,3)="LED",IF(Tech_Specs!$K28="lamp",Perform_SSL!AD$18,Perform_SSL!AD$19),TREND(Perform_Active!$N29:$O29,Perform_Active!$N$8:$O$8,AD$231)*1000)</f>
        <v>21105.000000000018</v>
      </c>
      <c r="AE252" s="309">
        <f>IF(LEFT($B252,3)="LED",IF(Tech_Specs!$K28="lamp",Perform_SSL!AE$18,Perform_SSL!AE$19),TREND(Perform_Active!$N29:$O29,Perform_Active!$N$8:$O$8,AE$231)*1000)</f>
        <v>21240.000000000007</v>
      </c>
      <c r="AF252" s="309">
        <f>IF(LEFT($B252,3)="LED",IF(Tech_Specs!$K28="lamp",Perform_SSL!AF$18,Perform_SSL!AF$19),TREND(Perform_Active!$N29:$O29,Perform_Active!$N$8:$O$8,AF$231)*1000)</f>
        <v>21375</v>
      </c>
    </row>
    <row r="253" spans="1:32" s="81" customFormat="1" ht="12.75" x14ac:dyDescent="0.2">
      <c r="B253" s="101" t="s">
        <v>45</v>
      </c>
      <c r="D253" s="550"/>
      <c r="E253" s="550"/>
      <c r="F253" s="550"/>
      <c r="G253" s="309">
        <f>IF(LEFT($B253,3)="LED",IF(Tech_Specs!$K29="lamp",Perform_SSL!G$18,Perform_SSL!G$19),TREND(Perform_Active!$N30:$O30,Perform_Active!$N$8:$O$8,G$231)*1000)</f>
        <v>28000</v>
      </c>
      <c r="H253" s="309">
        <f>IF(LEFT($B253,3)="LED",IF(Tech_Specs!$K29="lamp",Perform_SSL!H$18,Perform_SSL!H$19),TREND(Perform_Active!$N30:$O30,Perform_Active!$N$8:$O$8,H$231)*1000)</f>
        <v>28069.999999999993</v>
      </c>
      <c r="I253" s="309">
        <f>IF(LEFT($B253,3)="LED",IF(Tech_Specs!$K29="lamp",Perform_SSL!I$18,Perform_SSL!I$19),TREND(Perform_Active!$N30:$O30,Perform_Active!$N$8:$O$8,I$231)*1000)</f>
        <v>28139.999999999985</v>
      </c>
      <c r="J253" s="309">
        <f>IF(LEFT($B253,3)="LED",IF(Tech_Specs!$K29="lamp",Perform_SSL!J$18,Perform_SSL!J$19),TREND(Perform_Active!$N30:$O30,Perform_Active!$N$8:$O$8,J$231)*1000)</f>
        <v>28210.000000000007</v>
      </c>
      <c r="K253" s="309">
        <f>IF(LEFT($B253,3)="LED",IF(Tech_Specs!$K29="lamp",Perform_SSL!K$18,Perform_SSL!K$19),TREND(Perform_Active!$N30:$O30,Perform_Active!$N$8:$O$8,K$231)*1000)</f>
        <v>28280</v>
      </c>
      <c r="L253" s="309">
        <f>IF(LEFT($B253,3)="LED",IF(Tech_Specs!$K29="lamp",Perform_SSL!L$18,Perform_SSL!L$19),TREND(Perform_Active!$N30:$O30,Perform_Active!$N$8:$O$8,L$231)*1000)</f>
        <v>28349.999999999993</v>
      </c>
      <c r="M253" s="309">
        <f>IF(LEFT($B253,3)="LED",IF(Tech_Specs!$K29="lamp",Perform_SSL!M$18,Perform_SSL!M$19),TREND(Perform_Active!$N30:$O30,Perform_Active!$N$8:$O$8,M$231)*1000)</f>
        <v>28419.999999999989</v>
      </c>
      <c r="N253" s="309">
        <f>IF(LEFT($B253,3)="LED",IF(Tech_Specs!$K29="lamp",Perform_SSL!N$18,Perform_SSL!N$19),TREND(Perform_Active!$N30:$O30,Perform_Active!$N$8:$O$8,N$231)*1000)</f>
        <v>28490.000000000007</v>
      </c>
      <c r="O253" s="309">
        <f>IF(LEFT($B253,3)="LED",IF(Tech_Specs!$K29="lamp",Perform_SSL!O$18,Perform_SSL!O$19),TREND(Perform_Active!$N30:$O30,Perform_Active!$N$8:$O$8,O$231)*1000)</f>
        <v>28560.000000000004</v>
      </c>
      <c r="P253" s="309">
        <f>IF(LEFT($B253,3)="LED",IF(Tech_Specs!$K29="lamp",Perform_SSL!P$18,Perform_SSL!P$19),TREND(Perform_Active!$N30:$O30,Perform_Active!$N$8:$O$8,P$231)*1000)</f>
        <v>28629.999999999996</v>
      </c>
      <c r="Q253" s="309">
        <f>IF(LEFT($B253,3)="LED",IF(Tech_Specs!$K29="lamp",Perform_SSL!Q$18,Perform_SSL!Q$19),TREND(Perform_Active!$N30:$O30,Perform_Active!$N$8:$O$8,Q$231)*1000)</f>
        <v>28699.999999999989</v>
      </c>
      <c r="R253" s="309">
        <f>IF(LEFT($B253,3)="LED",IF(Tech_Specs!$K29="lamp",Perform_SSL!R$18,Perform_SSL!R$19),TREND(Perform_Active!$N30:$O30,Perform_Active!$N$8:$O$8,R$231)*1000)</f>
        <v>28770.000000000011</v>
      </c>
      <c r="S253" s="309">
        <f>IF(LEFT($B253,3)="LED",IF(Tech_Specs!$K29="lamp",Perform_SSL!S$18,Perform_SSL!S$19),TREND(Perform_Active!$N30:$O30,Perform_Active!$N$8:$O$8,S$231)*1000)</f>
        <v>28840.000000000004</v>
      </c>
      <c r="T253" s="309">
        <f>IF(LEFT($B253,3)="LED",IF(Tech_Specs!$K29="lamp",Perform_SSL!T$18,Perform_SSL!T$19),TREND(Perform_Active!$N30:$O30,Perform_Active!$N$8:$O$8,T$231)*1000)</f>
        <v>28909.999999999996</v>
      </c>
      <c r="U253" s="309">
        <f>IF(LEFT($B253,3)="LED",IF(Tech_Specs!$K29="lamp",Perform_SSL!U$18,Perform_SSL!U$19),TREND(Perform_Active!$N30:$O30,Perform_Active!$N$8:$O$8,U$231)*1000)</f>
        <v>28979.999999999989</v>
      </c>
      <c r="V253" s="309">
        <f>IF(LEFT($B253,3)="LED",IF(Tech_Specs!$K29="lamp",Perform_SSL!V$18,Perform_SSL!V$19),TREND(Perform_Active!$N30:$O30,Perform_Active!$N$8:$O$8,V$231)*1000)</f>
        <v>29049.999999999982</v>
      </c>
      <c r="W253" s="309">
        <f>IF(LEFT($B253,3)="LED",IF(Tech_Specs!$K29="lamp",Perform_SSL!W$18,Perform_SSL!W$19),TREND(Perform_Active!$N30:$O30,Perform_Active!$N$8:$O$8,W$231)*1000)</f>
        <v>29120.000000000004</v>
      </c>
      <c r="X253" s="309">
        <f>IF(LEFT($B253,3)="LED",IF(Tech_Specs!$K29="lamp",Perform_SSL!X$18,Perform_SSL!X$19),TREND(Perform_Active!$N30:$O30,Perform_Active!$N$8:$O$8,X$231)*1000)</f>
        <v>29189.999999999996</v>
      </c>
      <c r="Y253" s="309">
        <f>IF(LEFT($B253,3)="LED",IF(Tech_Specs!$K29="lamp",Perform_SSL!Y$18,Perform_SSL!Y$19),TREND(Perform_Active!$N30:$O30,Perform_Active!$N$8:$O$8,Y$231)*1000)</f>
        <v>29259.999999999993</v>
      </c>
      <c r="Z253" s="309">
        <f>IF(LEFT($B253,3)="LED",IF(Tech_Specs!$K29="lamp",Perform_SSL!Z$18,Perform_SSL!Z$19),TREND(Perform_Active!$N30:$O30,Perform_Active!$N$8:$O$8,Z$231)*1000)</f>
        <v>29329.999999999985</v>
      </c>
      <c r="AA253" s="309">
        <f>IF(LEFT($B253,3)="LED",IF(Tech_Specs!$K29="lamp",Perform_SSL!AA$18,Perform_SSL!AA$19),TREND(Perform_Active!$N30:$O30,Perform_Active!$N$8:$O$8,AA$231)*1000)</f>
        <v>29400.000000000007</v>
      </c>
      <c r="AB253" s="309">
        <f>IF(LEFT($B253,3)="LED",IF(Tech_Specs!$K29="lamp",Perform_SSL!AB$18,Perform_SSL!AB$19),TREND(Perform_Active!$N30:$O30,Perform_Active!$N$8:$O$8,AB$231)*1000)</f>
        <v>29470</v>
      </c>
      <c r="AC253" s="309">
        <f>IF(LEFT($B253,3)="LED",IF(Tech_Specs!$K29="lamp",Perform_SSL!AC$18,Perform_SSL!AC$19),TREND(Perform_Active!$N30:$O30,Perform_Active!$N$8:$O$8,AC$231)*1000)</f>
        <v>29539.999999999993</v>
      </c>
      <c r="AD253" s="309">
        <f>IF(LEFT($B253,3)="LED",IF(Tech_Specs!$K29="lamp",Perform_SSL!AD$18,Perform_SSL!AD$19),TREND(Perform_Active!$N30:$O30,Perform_Active!$N$8:$O$8,AD$231)*1000)</f>
        <v>29609.999999999985</v>
      </c>
      <c r="AE253" s="309">
        <f>IF(LEFT($B253,3)="LED",IF(Tech_Specs!$K29="lamp",Perform_SSL!AE$18,Perform_SSL!AE$19),TREND(Perform_Active!$N30:$O30,Perform_Active!$N$8:$O$8,AE$231)*1000)</f>
        <v>29680.000000000007</v>
      </c>
      <c r="AF253" s="309">
        <f>IF(LEFT($B253,3)="LED",IF(Tech_Specs!$K29="lamp",Perform_SSL!AF$18,Perform_SSL!AF$19),TREND(Perform_Active!$N30:$O30,Perform_Active!$N$8:$O$8,AF$231)*1000)</f>
        <v>29750</v>
      </c>
    </row>
    <row r="254" spans="1:32" s="81" customFormat="1" ht="12.75" x14ac:dyDescent="0.2">
      <c r="B254" s="101" t="s">
        <v>46</v>
      </c>
      <c r="D254" s="550"/>
      <c r="E254" s="550"/>
      <c r="F254" s="550"/>
      <c r="G254" s="309">
        <f>IF(LEFT($B254,3)="LED",IF(Tech_Specs!$K30="lamp",Perform_SSL!G$18,Perform_SSL!G$19),TREND(Perform_Active!$N31:$O31,Perform_Active!$N$8:$O$8,G$231)*1000)</f>
        <v>25000</v>
      </c>
      <c r="H254" s="309">
        <f>IF(LEFT($B254,3)="LED",IF(Tech_Specs!$K30="lamp",Perform_SSL!H$18,Perform_SSL!H$19),TREND(Perform_Active!$N31:$O31,Perform_Active!$N$8:$O$8,H$231)*1000)</f>
        <v>25187.5</v>
      </c>
      <c r="I254" s="309">
        <f>IF(LEFT($B254,3)="LED",IF(Tech_Specs!$K30="lamp",Perform_SSL!I$18,Perform_SSL!I$19),TREND(Perform_Active!$N31:$O31,Perform_Active!$N$8:$O$8,I$231)*1000)</f>
        <v>25375</v>
      </c>
      <c r="J254" s="309">
        <f>IF(LEFT($B254,3)="LED",IF(Tech_Specs!$K30="lamp",Perform_SSL!J$18,Perform_SSL!J$19),TREND(Perform_Active!$N31:$O31,Perform_Active!$N$8:$O$8,J$231)*1000)</f>
        <v>25562.5</v>
      </c>
      <c r="K254" s="309">
        <f>IF(LEFT($B254,3)="LED",IF(Tech_Specs!$K30="lamp",Perform_SSL!K$18,Perform_SSL!K$19),TREND(Perform_Active!$N31:$O31,Perform_Active!$N$8:$O$8,K$231)*1000)</f>
        <v>25750</v>
      </c>
      <c r="L254" s="309">
        <f>IF(LEFT($B254,3)="LED",IF(Tech_Specs!$K30="lamp",Perform_SSL!L$18,Perform_SSL!L$19),TREND(Perform_Active!$N31:$O31,Perform_Active!$N$8:$O$8,L$231)*1000)</f>
        <v>25937.5</v>
      </c>
      <c r="M254" s="309">
        <f>IF(LEFT($B254,3)="LED",IF(Tech_Specs!$K30="lamp",Perform_SSL!M$18,Perform_SSL!M$19),TREND(Perform_Active!$N31:$O31,Perform_Active!$N$8:$O$8,M$231)*1000)</f>
        <v>26125</v>
      </c>
      <c r="N254" s="309">
        <f>IF(LEFT($B254,3)="LED",IF(Tech_Specs!$K30="lamp",Perform_SSL!N$18,Perform_SSL!N$19),TREND(Perform_Active!$N31:$O31,Perform_Active!$N$8:$O$8,N$231)*1000)</f>
        <v>26312.5</v>
      </c>
      <c r="O254" s="309">
        <f>IF(LEFT($B254,3)="LED",IF(Tech_Specs!$K30="lamp",Perform_SSL!O$18,Perform_SSL!O$19),TREND(Perform_Active!$N31:$O31,Perform_Active!$N$8:$O$8,O$231)*1000)</f>
        <v>26500</v>
      </c>
      <c r="P254" s="309">
        <f>IF(LEFT($B254,3)="LED",IF(Tech_Specs!$K30="lamp",Perform_SSL!P$18,Perform_SSL!P$19),TREND(Perform_Active!$N31:$O31,Perform_Active!$N$8:$O$8,P$231)*1000)</f>
        <v>26687.5</v>
      </c>
      <c r="Q254" s="309">
        <f>IF(LEFT($B254,3)="LED",IF(Tech_Specs!$K30="lamp",Perform_SSL!Q$18,Perform_SSL!Q$19),TREND(Perform_Active!$N31:$O31,Perform_Active!$N$8:$O$8,Q$231)*1000)</f>
        <v>26875</v>
      </c>
      <c r="R254" s="309">
        <f>IF(LEFT($B254,3)="LED",IF(Tech_Specs!$K30="lamp",Perform_SSL!R$18,Perform_SSL!R$19),TREND(Perform_Active!$N31:$O31,Perform_Active!$N$8:$O$8,R$231)*1000)</f>
        <v>27062.5</v>
      </c>
      <c r="S254" s="309">
        <f>IF(LEFT($B254,3)="LED",IF(Tech_Specs!$K30="lamp",Perform_SSL!S$18,Perform_SSL!S$19),TREND(Perform_Active!$N31:$O31,Perform_Active!$N$8:$O$8,S$231)*1000)</f>
        <v>27250</v>
      </c>
      <c r="T254" s="309">
        <f>IF(LEFT($B254,3)="LED",IF(Tech_Specs!$K30="lamp",Perform_SSL!T$18,Perform_SSL!T$19),TREND(Perform_Active!$N31:$O31,Perform_Active!$N$8:$O$8,T$231)*1000)</f>
        <v>27437.5</v>
      </c>
      <c r="U254" s="309">
        <f>IF(LEFT($B254,3)="LED",IF(Tech_Specs!$K30="lamp",Perform_SSL!U$18,Perform_SSL!U$19),TREND(Perform_Active!$N31:$O31,Perform_Active!$N$8:$O$8,U$231)*1000)</f>
        <v>27625</v>
      </c>
      <c r="V254" s="309">
        <f>IF(LEFT($B254,3)="LED",IF(Tech_Specs!$K30="lamp",Perform_SSL!V$18,Perform_SSL!V$19),TREND(Perform_Active!$N31:$O31,Perform_Active!$N$8:$O$8,V$231)*1000)</f>
        <v>27812.5</v>
      </c>
      <c r="W254" s="309">
        <f>IF(LEFT($B254,3)="LED",IF(Tech_Specs!$K30="lamp",Perform_SSL!W$18,Perform_SSL!W$19),TREND(Perform_Active!$N31:$O31,Perform_Active!$N$8:$O$8,W$231)*1000)</f>
        <v>28000</v>
      </c>
      <c r="X254" s="309">
        <f>IF(LEFT($B254,3)="LED",IF(Tech_Specs!$K30="lamp",Perform_SSL!X$18,Perform_SSL!X$19),TREND(Perform_Active!$N31:$O31,Perform_Active!$N$8:$O$8,X$231)*1000)</f>
        <v>28187.5</v>
      </c>
      <c r="Y254" s="309">
        <f>IF(LEFT($B254,3)="LED",IF(Tech_Specs!$K30="lamp",Perform_SSL!Y$18,Perform_SSL!Y$19),TREND(Perform_Active!$N31:$O31,Perform_Active!$N$8:$O$8,Y$231)*1000)</f>
        <v>28375</v>
      </c>
      <c r="Z254" s="309">
        <f>IF(LEFT($B254,3)="LED",IF(Tech_Specs!$K30="lamp",Perform_SSL!Z$18,Perform_SSL!Z$19),TREND(Perform_Active!$N31:$O31,Perform_Active!$N$8:$O$8,Z$231)*1000)</f>
        <v>28562.5</v>
      </c>
      <c r="AA254" s="309">
        <f>IF(LEFT($B254,3)="LED",IF(Tech_Specs!$K30="lamp",Perform_SSL!AA$18,Perform_SSL!AA$19),TREND(Perform_Active!$N31:$O31,Perform_Active!$N$8:$O$8,AA$231)*1000)</f>
        <v>28750</v>
      </c>
      <c r="AB254" s="309">
        <f>IF(LEFT($B254,3)="LED",IF(Tech_Specs!$K30="lamp",Perform_SSL!AB$18,Perform_SSL!AB$19),TREND(Perform_Active!$N31:$O31,Perform_Active!$N$8:$O$8,AB$231)*1000)</f>
        <v>28937.5</v>
      </c>
      <c r="AC254" s="309">
        <f>IF(LEFT($B254,3)="LED",IF(Tech_Specs!$K30="lamp",Perform_SSL!AC$18,Perform_SSL!AC$19),TREND(Perform_Active!$N31:$O31,Perform_Active!$N$8:$O$8,AC$231)*1000)</f>
        <v>29125</v>
      </c>
      <c r="AD254" s="309">
        <f>IF(LEFT($B254,3)="LED",IF(Tech_Specs!$K30="lamp",Perform_SSL!AD$18,Perform_SSL!AD$19),TREND(Perform_Active!$N31:$O31,Perform_Active!$N$8:$O$8,AD$231)*1000)</f>
        <v>29312.5</v>
      </c>
      <c r="AE254" s="309">
        <f>IF(LEFT($B254,3)="LED",IF(Tech_Specs!$K30="lamp",Perform_SSL!AE$18,Perform_SSL!AE$19),TREND(Perform_Active!$N31:$O31,Perform_Active!$N$8:$O$8,AE$231)*1000)</f>
        <v>29500</v>
      </c>
      <c r="AF254" s="309">
        <f>IF(LEFT($B254,3)="LED",IF(Tech_Specs!$K30="lamp",Perform_SSL!AF$18,Perform_SSL!AF$19),TREND(Perform_Active!$N31:$O31,Perform_Active!$N$8:$O$8,AF$231)*1000)</f>
        <v>29687.5</v>
      </c>
    </row>
    <row r="255" spans="1:32" s="81" customFormat="1" ht="12.75" x14ac:dyDescent="0.2">
      <c r="B255" s="81" t="s">
        <v>29</v>
      </c>
      <c r="D255" s="550"/>
      <c r="E255" s="550"/>
      <c r="F255" s="550"/>
      <c r="G255" s="309">
        <f>IF(LEFT($B255,3)="LED",IF(Tech_Specs!$K31="lamp",Perform_SSL!G$18,Perform_SSL!G$19),TREND(Perform_Active!$N32:$O32,Perform_Active!$N$8:$O$8,G$231)*1000)</f>
        <v>25000</v>
      </c>
      <c r="H255" s="309">
        <f>IF(LEFT($B255,3)="LED",IF(Tech_Specs!$K31="lamp",Perform_SSL!H$18,Perform_SSL!H$19),TREND(Perform_Active!$N32:$O32,Perform_Active!$N$8:$O$8,H$231)*1000)</f>
        <v>32995.04716202397</v>
      </c>
      <c r="I255" s="309">
        <f>IF(LEFT($B255,3)="LED",IF(Tech_Specs!$K31="lamp",Perform_SSL!I$18,Perform_SSL!I$19),TREND(Perform_Active!$N32:$O32,Perform_Active!$N$8:$O$8,I$231)*1000)</f>
        <v>36571.135449840265</v>
      </c>
      <c r="J255" s="309">
        <f>IF(LEFT($B255,3)="LED",IF(Tech_Specs!$K31="lamp",Perform_SSL!J$18,Perform_SSL!J$19),TREND(Perform_Active!$N32:$O32,Perform_Active!$N$8:$O$8,J$231)*1000)</f>
        <v>39631.507612892776</v>
      </c>
      <c r="K255" s="309">
        <f>IF(LEFT($B255,3)="LED",IF(Tech_Specs!$K31="lamp",Perform_SSL!K$18,Perform_SSL!K$19),TREND(Perform_Active!$N32:$O32,Perform_Active!$N$8:$O$8,K$231)*1000)</f>
        <v>42144.252048148839</v>
      </c>
      <c r="L255" s="309">
        <f>IF(LEFT($B255,3)="LED",IF(Tech_Specs!$K31="lamp",Perform_SSL!L$18,Perform_SSL!L$19),TREND(Perform_Active!$N32:$O32,Perform_Active!$N$8:$O$8,L$231)*1000)</f>
        <v>44138.116803365723</v>
      </c>
      <c r="M255" s="309">
        <f>IF(LEFT($B255,3)="LED",IF(Tech_Specs!$K31="lamp",Perform_SSL!M$18,Perform_SSL!M$19),TREND(Perform_Active!$N32:$O32,Perform_Active!$N$8:$O$8,M$231)*1000)</f>
        <v>45677.819537447656</v>
      </c>
      <c r="N255" s="309">
        <f>IF(LEFT($B255,3)="LED",IF(Tech_Specs!$K31="lamp",Perform_SSL!N$18,Perform_SSL!N$19),TREND(Perform_Active!$N32:$O32,Perform_Active!$N$8:$O$8,N$231)*1000)</f>
        <v>46842.034019012237</v>
      </c>
      <c r="O255" s="309">
        <f>IF(LEFT($B255,3)="LED",IF(Tech_Specs!$K31="lamp",Perform_SSL!O$18,Perform_SSL!O$19),TREND(Perform_Active!$N32:$O32,Perform_Active!$N$8:$O$8,O$231)*1000)</f>
        <v>47708.390378414646</v>
      </c>
      <c r="P255" s="309">
        <f>IF(LEFT($B255,3)="LED",IF(Tech_Specs!$K31="lamp",Perform_SSL!P$18,Perform_SSL!P$19),TREND(Perform_Active!$N32:$O32,Perform_Active!$N$8:$O$8,P$231)*1000)</f>
        <v>48345.465639105656</v>
      </c>
      <c r="Q255" s="309">
        <f>IF(LEFT($B255,3)="LED",IF(Tech_Specs!$K31="lamp",Perform_SSL!Q$18,Perform_SSL!Q$19),TREND(Perform_Active!$N32:$O32,Perform_Active!$N$8:$O$8,Q$231)*1000)</f>
        <v>48809.850037195916</v>
      </c>
      <c r="R255" s="309">
        <f>IF(LEFT($B255,3)="LED",IF(Tech_Specs!$K31="lamp",Perform_SSL!R$18,Perform_SSL!R$19),TREND(Perform_Active!$N32:$O32,Perform_Active!$N$8:$O$8,R$231)*1000)</f>
        <v>49146.195791508879</v>
      </c>
      <c r="S255" s="309">
        <f>IF(LEFT($B255,3)="LED",IF(Tech_Specs!$K31="lamp",Perform_SSL!S$18,Perform_SSL!S$19),TREND(Perform_Active!$N32:$O32,Perform_Active!$N$8:$O$8,S$231)*1000)</f>
        <v>49388.678095291754</v>
      </c>
      <c r="T255" s="309">
        <f>IF(LEFT($B255,3)="LED",IF(Tech_Specs!$K31="lamp",Perform_SSL!T$18,Perform_SSL!T$19),TREND(Perform_Active!$N32:$O32,Perform_Active!$N$8:$O$8,T$231)*1000)</f>
        <v>49562.907353580449</v>
      </c>
      <c r="U255" s="309">
        <f>IF(LEFT($B255,3)="LED",IF(Tech_Specs!$K31="lamp",Perform_SSL!U$18,Perform_SSL!U$19),TREND(Perform_Active!$N32:$O32,Perform_Active!$N$8:$O$8,U$231)*1000)</f>
        <v>49687.794452091533</v>
      </c>
      <c r="V255" s="309">
        <f>IF(LEFT($B255,3)="LED",IF(Tech_Specs!$K31="lamp",Perform_SSL!V$18,Perform_SSL!V$19),TREND(Perform_Active!$N32:$O32,Perform_Active!$N$8:$O$8,V$231)*1000)</f>
        <v>49777.158961987705</v>
      </c>
      <c r="W255" s="309">
        <f>IF(LEFT($B255,3)="LED",IF(Tech_Specs!$K31="lamp",Perform_SSL!W$18,Perform_SSL!W$19),TREND(Perform_Active!$N32:$O32,Perform_Active!$N$8:$O$8,W$231)*1000)</f>
        <v>49841.025959888604</v>
      </c>
      <c r="X255" s="309">
        <f>IF(LEFT($B255,3)="LED",IF(Tech_Specs!$K31="lamp",Perform_SSL!X$18,Perform_SSL!X$19),TREND(Perform_Active!$N32:$O32,Perform_Active!$N$8:$O$8,X$231)*1000)</f>
        <v>49886.63014876964</v>
      </c>
      <c r="Y255" s="309">
        <f>IF(LEFT($B255,3)="LED",IF(Tech_Specs!$K31="lamp",Perform_SSL!Y$18,Perform_SSL!Y$19),TREND(Perform_Active!$N32:$O32,Perform_Active!$N$8:$O$8,Y$231)*1000)</f>
        <v>49919.173278474002</v>
      </c>
      <c r="Z255" s="309">
        <f>IF(LEFT($B255,3)="LED",IF(Tech_Specs!$K31="lamp",Perform_SSL!Z$18,Perform_SSL!Z$19),TREND(Perform_Active!$N32:$O32,Perform_Active!$N$8:$O$8,Z$231)*1000)</f>
        <v>49942.385601358699</v>
      </c>
      <c r="AA255" s="309">
        <f>IF(LEFT($B255,3)="LED",IF(Tech_Specs!$K31="lamp",Perform_SSL!AA$18,Perform_SSL!AA$19),TREND(Perform_Active!$N32:$O32,Perform_Active!$N$8:$O$8,AA$231)*1000)</f>
        <v>49958.937147906508</v>
      </c>
      <c r="AB255" s="309">
        <f>IF(LEFT($B255,3)="LED",IF(Tech_Specs!$K31="lamp",Perform_SSL!AB$18,Perform_SSL!AB$19),TREND(Perform_Active!$N32:$O32,Perform_Active!$N$8:$O$8,AB$231)*1000)</f>
        <v>49970.736528712878</v>
      </c>
      <c r="AC255" s="309">
        <f>IF(LEFT($B255,3)="LED",IF(Tech_Specs!$K31="lamp",Perform_SSL!AC$18,Perform_SSL!AC$19),TREND(Perform_Active!$N32:$O32,Perform_Active!$N$8:$O$8,AC$231)*1000)</f>
        <v>49979.146781228279</v>
      </c>
      <c r="AD255" s="309">
        <f>IF(LEFT($B255,3)="LED",IF(Tech_Specs!$K31="lamp",Perform_SSL!AD$18,Perform_SSL!AD$19),TREND(Perform_Active!$N32:$O32,Perform_Active!$N$8:$O$8,AD$231)*1000)</f>
        <v>49985.140665785919</v>
      </c>
      <c r="AE255" s="309">
        <f>IF(LEFT($B255,3)="LED",IF(Tech_Specs!$K31="lamp",Perform_SSL!AE$18,Perform_SSL!AE$19),TREND(Perform_Active!$N32:$O32,Perform_Active!$N$8:$O$8,AE$231)*1000)</f>
        <v>49989.412080467839</v>
      </c>
      <c r="AF255" s="309">
        <f>IF(LEFT($B255,3)="LED",IF(Tech_Specs!$K31="lamp",Perform_SSL!AF$18,Perform_SSL!AF$19),TREND(Perform_Active!$N32:$O32,Perform_Active!$N$8:$O$8,AF$231)*1000)</f>
        <v>49992.455833840038</v>
      </c>
    </row>
    <row r="256" spans="1:32" s="81" customFormat="1" ht="12.75" x14ac:dyDescent="0.2">
      <c r="D256" s="550"/>
      <c r="E256" s="550"/>
      <c r="F256" s="550"/>
    </row>
    <row r="257" spans="1:32" s="81" customFormat="1" ht="12.75" x14ac:dyDescent="0.2">
      <c r="A257" s="11" t="s">
        <v>47</v>
      </c>
      <c r="B257" s="10"/>
      <c r="C257" s="57"/>
      <c r="D257" s="501"/>
      <c r="E257" s="501"/>
      <c r="F257" s="501"/>
      <c r="G257" s="192"/>
      <c r="H257" s="192"/>
      <c r="I257" s="192"/>
      <c r="J257" s="192"/>
      <c r="K257" s="192"/>
      <c r="L257" s="192"/>
      <c r="M257" s="192"/>
      <c r="N257" s="192"/>
      <c r="O257" s="192"/>
      <c r="P257" s="192"/>
      <c r="Q257" s="192"/>
      <c r="R257" s="192"/>
      <c r="S257" s="192"/>
      <c r="T257" s="192"/>
      <c r="U257" s="192"/>
      <c r="V257" s="192"/>
      <c r="W257" s="192"/>
      <c r="X257" s="192"/>
      <c r="Y257" s="192"/>
      <c r="Z257" s="192"/>
      <c r="AA257" s="192"/>
      <c r="AB257" s="192"/>
      <c r="AC257" s="192"/>
      <c r="AD257" s="192"/>
      <c r="AE257" s="192"/>
      <c r="AF257" s="192"/>
    </row>
    <row r="258" spans="1:32" s="81" customFormat="1" ht="12.75" x14ac:dyDescent="0.2">
      <c r="B258" s="81" t="s">
        <v>48</v>
      </c>
      <c r="C258" s="101"/>
      <c r="D258" s="552"/>
      <c r="E258" s="552"/>
      <c r="F258" s="552"/>
      <c r="G258" s="309">
        <f>IF(LEFT($B258,3)="LED",IF(Tech_Specs!$K34="lamp",Perform_SSL!G$18,Perform_SSL!G$19),TREND(Perform_Active!$N35:$O35,Perform_Active!$N$8:$O$8,G$231)*1000)</f>
        <v>1000</v>
      </c>
      <c r="H258" s="309">
        <f>IF(LEFT($B258,3)="LED",IF(Tech_Specs!$K34="lamp",Perform_SSL!H$18,Perform_SSL!H$19),TREND(Perform_Active!$N35:$O35,Perform_Active!$N$8:$O$8,H$231)*1000)</f>
        <v>1004.999999999999</v>
      </c>
      <c r="I258" s="309">
        <f>IF(LEFT($B258,3)="LED",IF(Tech_Specs!$K34="lamp",Perform_SSL!I$18,Perform_SSL!I$19),TREND(Perform_Active!$N35:$O35,Perform_Active!$N$8:$O$8,I$231)*1000)</f>
        <v>1009.9999999999998</v>
      </c>
      <c r="J258" s="309">
        <f>IF(LEFT($B258,3)="LED",IF(Tech_Specs!$K34="lamp",Perform_SSL!J$18,Perform_SSL!J$19),TREND(Perform_Active!$N35:$O35,Perform_Active!$N$8:$O$8,J$231)*1000)</f>
        <v>1014.9999999999987</v>
      </c>
      <c r="K258" s="309">
        <f>IF(LEFT($B258,3)="LED",IF(Tech_Specs!$K34="lamp",Perform_SSL!K$18,Perform_SSL!K$19),TREND(Perform_Active!$N35:$O35,Perform_Active!$N$8:$O$8,K$231)*1000)</f>
        <v>1019.9999999999995</v>
      </c>
      <c r="L258" s="309">
        <f>IF(LEFT($B258,3)="LED",IF(Tech_Specs!$K34="lamp",Perform_SSL!L$18,Perform_SSL!L$19),TREND(Perform_Active!$N35:$O35,Perform_Active!$N$8:$O$8,L$231)*1000)</f>
        <v>1025.0000000000005</v>
      </c>
      <c r="M258" s="309">
        <f>IF(LEFT($B258,3)="LED",IF(Tech_Specs!$K34="lamp",Perform_SSL!M$18,Perform_SSL!M$19),TREND(Perform_Active!$N35:$O35,Perform_Active!$N$8:$O$8,M$231)*1000)</f>
        <v>1029.9999999999993</v>
      </c>
      <c r="N258" s="309">
        <f>IF(LEFT($B258,3)="LED",IF(Tech_Specs!$K34="lamp",Perform_SSL!N$18,Perform_SSL!N$19),TREND(Perform_Active!$N35:$O35,Perform_Active!$N$8:$O$8,N$231)*1000)</f>
        <v>1035.0000000000002</v>
      </c>
      <c r="O258" s="309">
        <f>IF(LEFT($B258,3)="LED",IF(Tech_Specs!$K34="lamp",Perform_SSL!O$18,Perform_SSL!O$19),TREND(Perform_Active!$N35:$O35,Perform_Active!$N$8:$O$8,O$231)*1000)</f>
        <v>1039.9999999999991</v>
      </c>
      <c r="P258" s="309">
        <f>IF(LEFT($B258,3)="LED",IF(Tech_Specs!$K34="lamp",Perform_SSL!P$18,Perform_SSL!P$19),TREND(Perform_Active!$N35:$O35,Perform_Active!$N$8:$O$8,P$231)*1000)</f>
        <v>1045</v>
      </c>
      <c r="Q258" s="309">
        <f>IF(LEFT($B258,3)="LED",IF(Tech_Specs!$K34="lamp",Perform_SSL!Q$18,Perform_SSL!Q$19),TREND(Perform_Active!$N35:$O35,Perform_Active!$N$8:$O$8,Q$231)*1000)</f>
        <v>1049.9999999999989</v>
      </c>
      <c r="R258" s="309">
        <f>IF(LEFT($B258,3)="LED",IF(Tech_Specs!$K34="lamp",Perform_SSL!R$18,Perform_SSL!R$19),TREND(Perform_Active!$N35:$O35,Perform_Active!$N$8:$O$8,R$231)*1000)</f>
        <v>1054.9999999999998</v>
      </c>
      <c r="S258" s="309">
        <f>IF(LEFT($B258,3)="LED",IF(Tech_Specs!$K34="lamp",Perform_SSL!S$18,Perform_SSL!S$19),TREND(Perform_Active!$N35:$O35,Perform_Active!$N$8:$O$8,S$231)*1000)</f>
        <v>1059.9999999999986</v>
      </c>
      <c r="T258" s="309">
        <f>IF(LEFT($B258,3)="LED",IF(Tech_Specs!$K34="lamp",Perform_SSL!T$18,Perform_SSL!T$19),TREND(Perform_Active!$N35:$O35,Perform_Active!$N$8:$O$8,T$231)*1000)</f>
        <v>1064.9999999999995</v>
      </c>
      <c r="U258" s="309">
        <f>IF(LEFT($B258,3)="LED",IF(Tech_Specs!$K34="lamp",Perform_SSL!U$18,Perform_SSL!U$19),TREND(Perform_Active!$N35:$O35,Perform_Active!$N$8:$O$8,U$231)*1000)</f>
        <v>1070.0000000000002</v>
      </c>
      <c r="V258" s="309">
        <f>IF(LEFT($B258,3)="LED",IF(Tech_Specs!$K34="lamp",Perform_SSL!V$18,Perform_SSL!V$19),TREND(Perform_Active!$N35:$O35,Perform_Active!$N$8:$O$8,V$231)*1000)</f>
        <v>1074.9999999999993</v>
      </c>
      <c r="W258" s="309">
        <f>IF(LEFT($B258,3)="LED",IF(Tech_Specs!$K34="lamp",Perform_SSL!W$18,Perform_SSL!W$19),TREND(Perform_Active!$N35:$O35,Perform_Active!$N$8:$O$8,W$231)*1000)</f>
        <v>1080</v>
      </c>
      <c r="X258" s="309">
        <f>IF(LEFT($B258,3)="LED",IF(Tech_Specs!$K34="lamp",Perform_SSL!X$18,Perform_SSL!X$19),TREND(Perform_Active!$N35:$O35,Perform_Active!$N$8:$O$8,X$231)*1000)</f>
        <v>1084.9999999999991</v>
      </c>
      <c r="Y258" s="309">
        <f>IF(LEFT($B258,3)="LED",IF(Tech_Specs!$K34="lamp",Perform_SSL!Y$18,Perform_SSL!Y$19),TREND(Perform_Active!$N35:$O35,Perform_Active!$N$8:$O$8,Y$231)*1000)</f>
        <v>1089.9999999999998</v>
      </c>
      <c r="Z258" s="309">
        <f>IF(LEFT($B258,3)="LED",IF(Tech_Specs!$K34="lamp",Perform_SSL!Z$18,Perform_SSL!Z$19),TREND(Perform_Active!$N35:$O35,Perform_Active!$N$8:$O$8,Z$231)*1000)</f>
        <v>1094.9999999999989</v>
      </c>
      <c r="AA258" s="309">
        <f>IF(LEFT($B258,3)="LED",IF(Tech_Specs!$K34="lamp",Perform_SSL!AA$18,Perform_SSL!AA$19),TREND(Perform_Active!$N35:$O35,Perform_Active!$N$8:$O$8,AA$231)*1000)</f>
        <v>1099.9999999999995</v>
      </c>
      <c r="AB258" s="309">
        <f>IF(LEFT($B258,3)="LED",IF(Tech_Specs!$K34="lamp",Perform_SSL!AB$18,Perform_SSL!AB$19),TREND(Perform_Active!$N35:$O35,Perform_Active!$N$8:$O$8,AB$231)*1000)</f>
        <v>1104.9999999999986</v>
      </c>
      <c r="AC258" s="309">
        <f>IF(LEFT($B258,3)="LED",IF(Tech_Specs!$K34="lamp",Perform_SSL!AC$18,Perform_SSL!AC$19),TREND(Perform_Active!$N35:$O35,Perform_Active!$N$8:$O$8,AC$231)*1000)</f>
        <v>1109.9999999999995</v>
      </c>
      <c r="AD258" s="309">
        <f>IF(LEFT($B258,3)="LED",IF(Tech_Specs!$K34="lamp",Perform_SSL!AD$18,Perform_SSL!AD$19),TREND(Perform_Active!$N35:$O35,Perform_Active!$N$8:$O$8,AD$231)*1000)</f>
        <v>1115.0000000000002</v>
      </c>
      <c r="AE258" s="309">
        <f>IF(LEFT($B258,3)="LED",IF(Tech_Specs!$K34="lamp",Perform_SSL!AE$18,Perform_SSL!AE$19),TREND(Perform_Active!$N35:$O35,Perform_Active!$N$8:$O$8,AE$231)*1000)</f>
        <v>1119.9999999999993</v>
      </c>
      <c r="AF258" s="309">
        <f>IF(LEFT($B258,3)="LED",IF(Tech_Specs!$K34="lamp",Perform_SSL!AF$18,Perform_SSL!AF$19),TREND(Perform_Active!$N35:$O35,Perform_Active!$N$8:$O$8,AF$231)*1000)</f>
        <v>1125</v>
      </c>
    </row>
    <row r="259" spans="1:32" s="81" customFormat="1" ht="12.75" x14ac:dyDescent="0.2">
      <c r="B259" s="101" t="s">
        <v>50</v>
      </c>
      <c r="D259" s="550"/>
      <c r="E259" s="550"/>
      <c r="F259" s="550"/>
      <c r="G259" s="309">
        <f>IF(LEFT($B259,3)="LED",IF(Tech_Specs!$K35="lamp",Perform_SSL!G$18,Perform_SSL!G$19),TREND(Perform_Active!$N36:$O36,Perform_Active!$N$8:$O$8,G$231)*1000)</f>
        <v>4000</v>
      </c>
      <c r="H259" s="309">
        <f>IF(LEFT($B259,3)="LED",IF(Tech_Specs!$K35="lamp",Perform_SSL!H$18,Perform_SSL!H$19),TREND(Perform_Active!$N36:$O36,Perform_Active!$N$8:$O$8,H$231)*1000)</f>
        <v>4019.9999999999959</v>
      </c>
      <c r="I259" s="309">
        <f>IF(LEFT($B259,3)="LED",IF(Tech_Specs!$K35="lamp",Perform_SSL!I$18,Perform_SSL!I$19),TREND(Perform_Active!$N36:$O36,Perform_Active!$N$8:$O$8,I$231)*1000)</f>
        <v>4039.9999999999991</v>
      </c>
      <c r="J259" s="309">
        <f>IF(LEFT($B259,3)="LED",IF(Tech_Specs!$K35="lamp",Perform_SSL!J$18,Perform_SSL!J$19),TREND(Perform_Active!$N36:$O36,Perform_Active!$N$8:$O$8,J$231)*1000)</f>
        <v>4059.999999999995</v>
      </c>
      <c r="K259" s="309">
        <f>IF(LEFT($B259,3)="LED",IF(Tech_Specs!$K35="lamp",Perform_SSL!K$18,Perform_SSL!K$19),TREND(Perform_Active!$N36:$O36,Perform_Active!$N$8:$O$8,K$231)*1000)</f>
        <v>4079.9999999999982</v>
      </c>
      <c r="L259" s="309">
        <f>IF(LEFT($B259,3)="LED",IF(Tech_Specs!$K35="lamp",Perform_SSL!L$18,Perform_SSL!L$19),TREND(Perform_Active!$N36:$O36,Perform_Active!$N$8:$O$8,L$231)*1000)</f>
        <v>4100.0000000000018</v>
      </c>
      <c r="M259" s="309">
        <f>IF(LEFT($B259,3)="LED",IF(Tech_Specs!$K35="lamp",Perform_SSL!M$18,Perform_SSL!M$19),TREND(Perform_Active!$N36:$O36,Perform_Active!$N$8:$O$8,M$231)*1000)</f>
        <v>4119.9999999999973</v>
      </c>
      <c r="N259" s="309">
        <f>IF(LEFT($B259,3)="LED",IF(Tech_Specs!$K35="lamp",Perform_SSL!N$18,Perform_SSL!N$19),TREND(Perform_Active!$N36:$O36,Perform_Active!$N$8:$O$8,N$231)*1000)</f>
        <v>4140.0000000000009</v>
      </c>
      <c r="O259" s="309">
        <f>IF(LEFT($B259,3)="LED",IF(Tech_Specs!$K35="lamp",Perform_SSL!O$18,Perform_SSL!O$19),TREND(Perform_Active!$N36:$O36,Perform_Active!$N$8:$O$8,O$231)*1000)</f>
        <v>4159.9999999999964</v>
      </c>
      <c r="P259" s="309">
        <f>IF(LEFT($B259,3)="LED",IF(Tech_Specs!$K35="lamp",Perform_SSL!P$18,Perform_SSL!P$19),TREND(Perform_Active!$N36:$O36,Perform_Active!$N$8:$O$8,P$231)*1000)</f>
        <v>4180</v>
      </c>
      <c r="Q259" s="309">
        <f>IF(LEFT($B259,3)="LED",IF(Tech_Specs!$K35="lamp",Perform_SSL!Q$18,Perform_SSL!Q$19),TREND(Perform_Active!$N36:$O36,Perform_Active!$N$8:$O$8,Q$231)*1000)</f>
        <v>4199.9999999999955</v>
      </c>
      <c r="R259" s="309">
        <f>IF(LEFT($B259,3)="LED",IF(Tech_Specs!$K35="lamp",Perform_SSL!R$18,Perform_SSL!R$19),TREND(Perform_Active!$N36:$O36,Perform_Active!$N$8:$O$8,R$231)*1000)</f>
        <v>4219.9999999999991</v>
      </c>
      <c r="S259" s="309">
        <f>IF(LEFT($B259,3)="LED",IF(Tech_Specs!$K35="lamp",Perform_SSL!S$18,Perform_SSL!S$19),TREND(Perform_Active!$N36:$O36,Perform_Active!$N$8:$O$8,S$231)*1000)</f>
        <v>4239.9999999999945</v>
      </c>
      <c r="T259" s="309">
        <f>IF(LEFT($B259,3)="LED",IF(Tech_Specs!$K35="lamp",Perform_SSL!T$18,Perform_SSL!T$19),TREND(Perform_Active!$N36:$O36,Perform_Active!$N$8:$O$8,T$231)*1000)</f>
        <v>4259.9999999999982</v>
      </c>
      <c r="U259" s="309">
        <f>IF(LEFT($B259,3)="LED",IF(Tech_Specs!$K35="lamp",Perform_SSL!U$18,Perform_SSL!U$19),TREND(Perform_Active!$N36:$O36,Perform_Active!$N$8:$O$8,U$231)*1000)</f>
        <v>4280.0000000000009</v>
      </c>
      <c r="V259" s="309">
        <f>IF(LEFT($B259,3)="LED",IF(Tech_Specs!$K35="lamp",Perform_SSL!V$18,Perform_SSL!V$19),TREND(Perform_Active!$N36:$O36,Perform_Active!$N$8:$O$8,V$231)*1000)</f>
        <v>4299.9999999999973</v>
      </c>
      <c r="W259" s="309">
        <f>IF(LEFT($B259,3)="LED",IF(Tech_Specs!$K35="lamp",Perform_SSL!W$18,Perform_SSL!W$19),TREND(Perform_Active!$N36:$O36,Perform_Active!$N$8:$O$8,W$231)*1000)</f>
        <v>4320</v>
      </c>
      <c r="X259" s="309">
        <f>IF(LEFT($B259,3)="LED",IF(Tech_Specs!$K35="lamp",Perform_SSL!X$18,Perform_SSL!X$19),TREND(Perform_Active!$N36:$O36,Perform_Active!$N$8:$O$8,X$231)*1000)</f>
        <v>4339.9999999999964</v>
      </c>
      <c r="Y259" s="309">
        <f>IF(LEFT($B259,3)="LED",IF(Tech_Specs!$K35="lamp",Perform_SSL!Y$18,Perform_SSL!Y$19),TREND(Perform_Active!$N36:$O36,Perform_Active!$N$8:$O$8,Y$231)*1000)</f>
        <v>4359.9999999999991</v>
      </c>
      <c r="Z259" s="309">
        <f>IF(LEFT($B259,3)="LED",IF(Tech_Specs!$K35="lamp",Perform_SSL!Z$18,Perform_SSL!Z$19),TREND(Perform_Active!$N36:$O36,Perform_Active!$N$8:$O$8,Z$231)*1000)</f>
        <v>4379.9999999999955</v>
      </c>
      <c r="AA259" s="309">
        <f>IF(LEFT($B259,3)="LED",IF(Tech_Specs!$K35="lamp",Perform_SSL!AA$18,Perform_SSL!AA$19),TREND(Perform_Active!$N36:$O36,Perform_Active!$N$8:$O$8,AA$231)*1000)</f>
        <v>4399.9999999999982</v>
      </c>
      <c r="AB259" s="309">
        <f>IF(LEFT($B259,3)="LED",IF(Tech_Specs!$K35="lamp",Perform_SSL!AB$18,Perform_SSL!AB$19),TREND(Perform_Active!$N36:$O36,Perform_Active!$N$8:$O$8,AB$231)*1000)</f>
        <v>4419.9999999999945</v>
      </c>
      <c r="AC259" s="309">
        <f>IF(LEFT($B259,3)="LED",IF(Tech_Specs!$K35="lamp",Perform_SSL!AC$18,Perform_SSL!AC$19),TREND(Perform_Active!$N36:$O36,Perform_Active!$N$8:$O$8,AC$231)*1000)</f>
        <v>4439.9999999999982</v>
      </c>
      <c r="AD259" s="309">
        <f>IF(LEFT($B259,3)="LED",IF(Tech_Specs!$K35="lamp",Perform_SSL!AD$18,Perform_SSL!AD$19),TREND(Perform_Active!$N36:$O36,Perform_Active!$N$8:$O$8,AD$231)*1000)</f>
        <v>4460.0000000000009</v>
      </c>
      <c r="AE259" s="309">
        <f>IF(LEFT($B259,3)="LED",IF(Tech_Specs!$K35="lamp",Perform_SSL!AE$18,Perform_SSL!AE$19),TREND(Perform_Active!$N36:$O36,Perform_Active!$N$8:$O$8,AE$231)*1000)</f>
        <v>4479.9999999999973</v>
      </c>
      <c r="AF259" s="309">
        <f>IF(LEFT($B259,3)="LED",IF(Tech_Specs!$K35="lamp",Perform_SSL!AF$18,Perform_SSL!AF$19),TREND(Perform_Active!$N36:$O36,Perform_Active!$N$8:$O$8,AF$231)*1000)</f>
        <v>4500</v>
      </c>
    </row>
    <row r="260" spans="1:32" s="81" customFormat="1" ht="12.75" x14ac:dyDescent="0.2">
      <c r="B260" s="81" t="s">
        <v>51</v>
      </c>
      <c r="D260" s="550"/>
      <c r="E260" s="550"/>
      <c r="F260" s="550"/>
      <c r="G260" s="309">
        <f>IF(LEFT($B260,3)="LED",IF(Tech_Specs!$K36="lamp",Perform_SSL!G$18,Perform_SSL!G$19),TREND(Perform_Active!$N37:$O37,Perform_Active!$N$8:$O$8,G$231)*1000)</f>
        <v>12000</v>
      </c>
      <c r="H260" s="309">
        <f>IF(LEFT($B260,3)="LED",IF(Tech_Specs!$K36="lamp",Perform_SSL!H$18,Perform_SSL!H$19),TREND(Perform_Active!$N37:$O37,Perform_Active!$N$8:$O$8,H$231)*1000)</f>
        <v>12060.000000000002</v>
      </c>
      <c r="I260" s="309">
        <f>IF(LEFT($B260,3)="LED",IF(Tech_Specs!$K36="lamp",Perform_SSL!I$18,Perform_SSL!I$19),TREND(Perform_Active!$N37:$O37,Perform_Active!$N$8:$O$8,I$231)*1000)</f>
        <v>12120.000000000004</v>
      </c>
      <c r="J260" s="309">
        <f>IF(LEFT($B260,3)="LED",IF(Tech_Specs!$K36="lamp",Perform_SSL!J$18,Perform_SSL!J$19),TREND(Perform_Active!$N37:$O37,Perform_Active!$N$8:$O$8,J$231)*1000)</f>
        <v>12180.000000000007</v>
      </c>
      <c r="K260" s="309">
        <f>IF(LEFT($B260,3)="LED",IF(Tech_Specs!$K36="lamp",Perform_SSL!K$18,Perform_SSL!K$19),TREND(Perform_Active!$N37:$O37,Perform_Active!$N$8:$O$8,K$231)*1000)</f>
        <v>12239.999999999995</v>
      </c>
      <c r="L260" s="309">
        <f>IF(LEFT($B260,3)="LED",IF(Tech_Specs!$K36="lamp",Perform_SSL!L$18,Perform_SSL!L$19),TREND(Perform_Active!$N37:$O37,Perform_Active!$N$8:$O$8,L$231)*1000)</f>
        <v>12299.999999999996</v>
      </c>
      <c r="M260" s="309">
        <f>IF(LEFT($B260,3)="LED",IF(Tech_Specs!$K36="lamp",Perform_SSL!M$18,Perform_SSL!M$19),TREND(Perform_Active!$N37:$O37,Perform_Active!$N$8:$O$8,M$231)*1000)</f>
        <v>12360</v>
      </c>
      <c r="N260" s="309">
        <f>IF(LEFT($B260,3)="LED",IF(Tech_Specs!$K36="lamp",Perform_SSL!N$18,Perform_SSL!N$19),TREND(Perform_Active!$N37:$O37,Perform_Active!$N$8:$O$8,N$231)*1000)</f>
        <v>12420.000000000002</v>
      </c>
      <c r="O260" s="309">
        <f>IF(LEFT($B260,3)="LED",IF(Tech_Specs!$K36="lamp",Perform_SSL!O$18,Perform_SSL!O$19),TREND(Perform_Active!$N37:$O37,Perform_Active!$N$8:$O$8,O$231)*1000)</f>
        <v>12480.000000000004</v>
      </c>
      <c r="P260" s="309">
        <f>IF(LEFT($B260,3)="LED",IF(Tech_Specs!$K36="lamp",Perform_SSL!P$18,Perform_SSL!P$19),TREND(Perform_Active!$N37:$O37,Perform_Active!$N$8:$O$8,P$231)*1000)</f>
        <v>12540.000000000005</v>
      </c>
      <c r="Q260" s="309">
        <f>IF(LEFT($B260,3)="LED",IF(Tech_Specs!$K36="lamp",Perform_SSL!Q$18,Perform_SSL!Q$19),TREND(Perform_Active!$N37:$O37,Perform_Active!$N$8:$O$8,Q$231)*1000)</f>
        <v>12599.999999999995</v>
      </c>
      <c r="R260" s="309">
        <f>IF(LEFT($B260,3)="LED",IF(Tech_Specs!$K36="lamp",Perform_SSL!R$18,Perform_SSL!R$19),TREND(Perform_Active!$N37:$O37,Perform_Active!$N$8:$O$8,R$231)*1000)</f>
        <v>12659.999999999996</v>
      </c>
      <c r="S260" s="309">
        <f>IF(LEFT($B260,3)="LED",IF(Tech_Specs!$K36="lamp",Perform_SSL!S$18,Perform_SSL!S$19),TREND(Perform_Active!$N37:$O37,Perform_Active!$N$8:$O$8,S$231)*1000)</f>
        <v>12719.999999999998</v>
      </c>
      <c r="T260" s="309">
        <f>IF(LEFT($B260,3)="LED",IF(Tech_Specs!$K36="lamp",Perform_SSL!T$18,Perform_SSL!T$19),TREND(Perform_Active!$N37:$O37,Perform_Active!$N$8:$O$8,T$231)*1000)</f>
        <v>12780.000000000002</v>
      </c>
      <c r="U260" s="309">
        <f>IF(LEFT($B260,3)="LED",IF(Tech_Specs!$K36="lamp",Perform_SSL!U$18,Perform_SSL!U$19),TREND(Perform_Active!$N37:$O37,Perform_Active!$N$8:$O$8,U$231)*1000)</f>
        <v>12840.000000000004</v>
      </c>
      <c r="V260" s="309">
        <f>IF(LEFT($B260,3)="LED",IF(Tech_Specs!$K36="lamp",Perform_SSL!V$18,Perform_SSL!V$19),TREND(Perform_Active!$N37:$O37,Perform_Active!$N$8:$O$8,V$231)*1000)</f>
        <v>12900.000000000005</v>
      </c>
      <c r="W260" s="309">
        <f>IF(LEFT($B260,3)="LED",IF(Tech_Specs!$K36="lamp",Perform_SSL!W$18,Perform_SSL!W$19),TREND(Perform_Active!$N37:$O37,Perform_Active!$N$8:$O$8,W$231)*1000)</f>
        <v>12960.000000000007</v>
      </c>
      <c r="X260" s="309">
        <f>IF(LEFT($B260,3)="LED",IF(Tech_Specs!$K36="lamp",Perform_SSL!X$18,Perform_SSL!X$19),TREND(Perform_Active!$N37:$O37,Perform_Active!$N$8:$O$8,X$231)*1000)</f>
        <v>13019.999999999996</v>
      </c>
      <c r="Y260" s="309">
        <f>IF(LEFT($B260,3)="LED",IF(Tech_Specs!$K36="lamp",Perform_SSL!Y$18,Perform_SSL!Y$19),TREND(Perform_Active!$N37:$O37,Perform_Active!$N$8:$O$8,Y$231)*1000)</f>
        <v>13079.999999999998</v>
      </c>
      <c r="Z260" s="309">
        <f>IF(LEFT($B260,3)="LED",IF(Tech_Specs!$K36="lamp",Perform_SSL!Z$18,Perform_SSL!Z$19),TREND(Perform_Active!$N37:$O37,Perform_Active!$N$8:$O$8,Z$231)*1000)</f>
        <v>13140</v>
      </c>
      <c r="AA260" s="309">
        <f>IF(LEFT($B260,3)="LED",IF(Tech_Specs!$K36="lamp",Perform_SSL!AA$18,Perform_SSL!AA$19),TREND(Perform_Active!$N37:$O37,Perform_Active!$N$8:$O$8,AA$231)*1000)</f>
        <v>13200.000000000004</v>
      </c>
      <c r="AB260" s="309">
        <f>IF(LEFT($B260,3)="LED",IF(Tech_Specs!$K36="lamp",Perform_SSL!AB$18,Perform_SSL!AB$19),TREND(Perform_Active!$N37:$O37,Perform_Active!$N$8:$O$8,AB$231)*1000)</f>
        <v>13260.000000000005</v>
      </c>
      <c r="AC260" s="309">
        <f>IF(LEFT($B260,3)="LED",IF(Tech_Specs!$K36="lamp",Perform_SSL!AC$18,Perform_SSL!AC$19),TREND(Perform_Active!$N37:$O37,Perform_Active!$N$8:$O$8,AC$231)*1000)</f>
        <v>13320.000000000007</v>
      </c>
      <c r="AD260" s="309">
        <f>IF(LEFT($B260,3)="LED",IF(Tech_Specs!$K36="lamp",Perform_SSL!AD$18,Perform_SSL!AD$19),TREND(Perform_Active!$N37:$O37,Perform_Active!$N$8:$O$8,AD$231)*1000)</f>
        <v>13379.999999999996</v>
      </c>
      <c r="AE260" s="309">
        <f>IF(LEFT($B260,3)="LED",IF(Tech_Specs!$K36="lamp",Perform_SSL!AE$18,Perform_SSL!AE$19),TREND(Perform_Active!$N37:$O37,Perform_Active!$N$8:$O$8,AE$231)*1000)</f>
        <v>13439.999999999998</v>
      </c>
      <c r="AF260" s="309">
        <f>IF(LEFT($B260,3)="LED",IF(Tech_Specs!$K36="lamp",Perform_SSL!AF$18,Perform_SSL!AF$19),TREND(Perform_Active!$N37:$O37,Perform_Active!$N$8:$O$8,AF$231)*1000)</f>
        <v>13500</v>
      </c>
    </row>
    <row r="261" spans="1:32" s="81" customFormat="1" ht="12.75" x14ac:dyDescent="0.2">
      <c r="B261" s="81" t="s">
        <v>52</v>
      </c>
      <c r="D261" s="550"/>
      <c r="E261" s="550"/>
      <c r="F261" s="550"/>
      <c r="G261" s="309">
        <f>IF(LEFT($B261,3)="LED",IF(Tech_Specs!$K37="lamp",Perform_SSL!G$18,Perform_SSL!G$19),TREND(Perform_Active!$N38:$O38,Perform_Active!$N$8:$O$8,G$231)*1000)</f>
        <v>20000</v>
      </c>
      <c r="H261" s="309">
        <f>IF(LEFT($B261,3)="LED",IF(Tech_Specs!$K37="lamp",Perform_SSL!H$18,Perform_SSL!H$19),TREND(Perform_Active!$N38:$O38,Perform_Active!$N$8:$O$8,H$231)*1000)</f>
        <v>20100.000000000022</v>
      </c>
      <c r="I261" s="309">
        <f>IF(LEFT($B261,3)="LED",IF(Tech_Specs!$K37="lamp",Perform_SSL!I$18,Perform_SSL!I$19),TREND(Perform_Active!$N38:$O38,Perform_Active!$N$8:$O$8,I$231)*1000)</f>
        <v>20200.000000000018</v>
      </c>
      <c r="J261" s="309">
        <f>IF(LEFT($B261,3)="LED",IF(Tech_Specs!$K37="lamp",Perform_SSL!J$18,Perform_SSL!J$19),TREND(Perform_Active!$N38:$O38,Perform_Active!$N$8:$O$8,J$231)*1000)</f>
        <v>20300.000000000011</v>
      </c>
      <c r="K261" s="309">
        <f>IF(LEFT($B261,3)="LED",IF(Tech_Specs!$K37="lamp",Perform_SSL!K$18,Perform_SSL!K$19),TREND(Perform_Active!$N38:$O38,Perform_Active!$N$8:$O$8,K$231)*1000)</f>
        <v>20400.000000000007</v>
      </c>
      <c r="L261" s="309">
        <f>IF(LEFT($B261,3)="LED",IF(Tech_Specs!$K37="lamp",Perform_SSL!L$18,Perform_SSL!L$19),TREND(Perform_Active!$N38:$O38,Perform_Active!$N$8:$O$8,L$231)*1000)</f>
        <v>20500</v>
      </c>
      <c r="M261" s="309">
        <f>IF(LEFT($B261,3)="LED",IF(Tech_Specs!$K37="lamp",Perform_SSL!M$18,Perform_SSL!M$19),TREND(Perform_Active!$N38:$O38,Perform_Active!$N$8:$O$8,M$231)*1000)</f>
        <v>20600.000000000022</v>
      </c>
      <c r="N261" s="309">
        <f>IF(LEFT($B261,3)="LED",IF(Tech_Specs!$K37="lamp",Perform_SSL!N$18,Perform_SSL!N$19),TREND(Perform_Active!$N38:$O38,Perform_Active!$N$8:$O$8,N$231)*1000)</f>
        <v>20700.000000000018</v>
      </c>
      <c r="O261" s="309">
        <f>IF(LEFT($B261,3)="LED",IF(Tech_Specs!$K37="lamp",Perform_SSL!O$18,Perform_SSL!O$19),TREND(Perform_Active!$N38:$O38,Perform_Active!$N$8:$O$8,O$231)*1000)</f>
        <v>20800.000000000011</v>
      </c>
      <c r="P261" s="309">
        <f>IF(LEFT($B261,3)="LED",IF(Tech_Specs!$K37="lamp",Perform_SSL!P$18,Perform_SSL!P$19),TREND(Perform_Active!$N38:$O38,Perform_Active!$N$8:$O$8,P$231)*1000)</f>
        <v>20900.000000000007</v>
      </c>
      <c r="Q261" s="309">
        <f>IF(LEFT($B261,3)="LED",IF(Tech_Specs!$K37="lamp",Perform_SSL!Q$18,Perform_SSL!Q$19),TREND(Perform_Active!$N38:$O38,Perform_Active!$N$8:$O$8,Q$231)*1000)</f>
        <v>21000</v>
      </c>
      <c r="R261" s="309">
        <f>IF(LEFT($B261,3)="LED",IF(Tech_Specs!$K37="lamp",Perform_SSL!R$18,Perform_SSL!R$19),TREND(Perform_Active!$N38:$O38,Perform_Active!$N$8:$O$8,R$231)*1000)</f>
        <v>21100.000000000022</v>
      </c>
      <c r="S261" s="309">
        <f>IF(LEFT($B261,3)="LED",IF(Tech_Specs!$K37="lamp",Perform_SSL!S$18,Perform_SSL!S$19),TREND(Perform_Active!$N38:$O38,Perform_Active!$N$8:$O$8,S$231)*1000)</f>
        <v>21200.000000000018</v>
      </c>
      <c r="T261" s="309">
        <f>IF(LEFT($B261,3)="LED",IF(Tech_Specs!$K37="lamp",Perform_SSL!T$18,Perform_SSL!T$19),TREND(Perform_Active!$N38:$O38,Perform_Active!$N$8:$O$8,T$231)*1000)</f>
        <v>21300.000000000011</v>
      </c>
      <c r="U261" s="309">
        <f>IF(LEFT($B261,3)="LED",IF(Tech_Specs!$K37="lamp",Perform_SSL!U$18,Perform_SSL!U$19),TREND(Perform_Active!$N38:$O38,Perform_Active!$N$8:$O$8,U$231)*1000)</f>
        <v>21400.000000000007</v>
      </c>
      <c r="V261" s="309">
        <f>IF(LEFT($B261,3)="LED",IF(Tech_Specs!$K37="lamp",Perform_SSL!V$18,Perform_SSL!V$19),TREND(Perform_Active!$N38:$O38,Perform_Active!$N$8:$O$8,V$231)*1000)</f>
        <v>21500</v>
      </c>
      <c r="W261" s="309">
        <f>IF(LEFT($B261,3)="LED",IF(Tech_Specs!$K37="lamp",Perform_SSL!W$18,Perform_SSL!W$19),TREND(Perform_Active!$N38:$O38,Perform_Active!$N$8:$O$8,W$231)*1000)</f>
        <v>21600.000000000022</v>
      </c>
      <c r="X261" s="309">
        <f>IF(LEFT($B261,3)="LED",IF(Tech_Specs!$K37="lamp",Perform_SSL!X$18,Perform_SSL!X$19),TREND(Perform_Active!$N38:$O38,Perform_Active!$N$8:$O$8,X$231)*1000)</f>
        <v>21700.000000000018</v>
      </c>
      <c r="Y261" s="309">
        <f>IF(LEFT($B261,3)="LED",IF(Tech_Specs!$K37="lamp",Perform_SSL!Y$18,Perform_SSL!Y$19),TREND(Perform_Active!$N38:$O38,Perform_Active!$N$8:$O$8,Y$231)*1000)</f>
        <v>21800.000000000011</v>
      </c>
      <c r="Z261" s="309">
        <f>IF(LEFT($B261,3)="LED",IF(Tech_Specs!$K37="lamp",Perform_SSL!Z$18,Perform_SSL!Z$19),TREND(Perform_Active!$N38:$O38,Perform_Active!$N$8:$O$8,Z$231)*1000)</f>
        <v>21900.000000000007</v>
      </c>
      <c r="AA261" s="309">
        <f>IF(LEFT($B261,3)="LED",IF(Tech_Specs!$K37="lamp",Perform_SSL!AA$18,Perform_SSL!AA$19),TREND(Perform_Active!$N38:$O38,Perform_Active!$N$8:$O$8,AA$231)*1000)</f>
        <v>22000</v>
      </c>
      <c r="AB261" s="309">
        <f>IF(LEFT($B261,3)="LED",IF(Tech_Specs!$K37="lamp",Perform_SSL!AB$18,Perform_SSL!AB$19),TREND(Perform_Active!$N38:$O38,Perform_Active!$N$8:$O$8,AB$231)*1000)</f>
        <v>22100.000000000022</v>
      </c>
      <c r="AC261" s="309">
        <f>IF(LEFT($B261,3)="LED",IF(Tech_Specs!$K37="lamp",Perform_SSL!AC$18,Perform_SSL!AC$19),TREND(Perform_Active!$N38:$O38,Perform_Active!$N$8:$O$8,AC$231)*1000)</f>
        <v>22200.000000000018</v>
      </c>
      <c r="AD261" s="309">
        <f>IF(LEFT($B261,3)="LED",IF(Tech_Specs!$K37="lamp",Perform_SSL!AD$18,Perform_SSL!AD$19),TREND(Perform_Active!$N38:$O38,Perform_Active!$N$8:$O$8,AD$231)*1000)</f>
        <v>22300.000000000011</v>
      </c>
      <c r="AE261" s="309">
        <f>IF(LEFT($B261,3)="LED",IF(Tech_Specs!$K37="lamp",Perform_SSL!AE$18,Perform_SSL!AE$19),TREND(Perform_Active!$N38:$O38,Perform_Active!$N$8:$O$8,AE$231)*1000)</f>
        <v>22400.000000000007</v>
      </c>
      <c r="AF261" s="309">
        <f>IF(LEFT($B261,3)="LED",IF(Tech_Specs!$K37="lamp",Perform_SSL!AF$18,Perform_SSL!AF$19),TREND(Perform_Active!$N38:$O38,Perform_Active!$N$8:$O$8,AF$231)*1000)</f>
        <v>22500</v>
      </c>
    </row>
    <row r="262" spans="1:32" s="81" customFormat="1" ht="12.75" x14ac:dyDescent="0.2">
      <c r="B262" s="101" t="s">
        <v>29</v>
      </c>
      <c r="D262" s="550"/>
      <c r="E262" s="550"/>
      <c r="F262" s="550"/>
      <c r="G262" s="309">
        <f>IF(LEFT($B262,3)="LED",IF(Tech_Specs!$K38="lamp",Perform_SSL!G$18,Perform_SSL!G$19),TREND(Perform_Active!$N39:$O39,Perform_Active!$N$8:$O$8,G$231)*1000)</f>
        <v>25000</v>
      </c>
      <c r="H262" s="309">
        <f>IF(LEFT($B262,3)="LED",IF(Tech_Specs!$K38="lamp",Perform_SSL!H$18,Perform_SSL!H$19),TREND(Perform_Active!$N39:$O39,Perform_Active!$N$8:$O$8,H$231)*1000)</f>
        <v>32995.04716202397</v>
      </c>
      <c r="I262" s="309">
        <f>IF(LEFT($B262,3)="LED",IF(Tech_Specs!$K38="lamp",Perform_SSL!I$18,Perform_SSL!I$19),TREND(Perform_Active!$N39:$O39,Perform_Active!$N$8:$O$8,I$231)*1000)</f>
        <v>36571.135449840265</v>
      </c>
      <c r="J262" s="309">
        <f>IF(LEFT($B262,3)="LED",IF(Tech_Specs!$K38="lamp",Perform_SSL!J$18,Perform_SSL!J$19),TREND(Perform_Active!$N39:$O39,Perform_Active!$N$8:$O$8,J$231)*1000)</f>
        <v>39631.507612892776</v>
      </c>
      <c r="K262" s="309">
        <f>IF(LEFT($B262,3)="LED",IF(Tech_Specs!$K38="lamp",Perform_SSL!K$18,Perform_SSL!K$19),TREND(Perform_Active!$N39:$O39,Perform_Active!$N$8:$O$8,K$231)*1000)</f>
        <v>42144.252048148839</v>
      </c>
      <c r="L262" s="309">
        <f>IF(LEFT($B262,3)="LED",IF(Tech_Specs!$K38="lamp",Perform_SSL!L$18,Perform_SSL!L$19),TREND(Perform_Active!$N39:$O39,Perform_Active!$N$8:$O$8,L$231)*1000)</f>
        <v>44138.116803365723</v>
      </c>
      <c r="M262" s="309">
        <f>IF(LEFT($B262,3)="LED",IF(Tech_Specs!$K38="lamp",Perform_SSL!M$18,Perform_SSL!M$19),TREND(Perform_Active!$N39:$O39,Perform_Active!$N$8:$O$8,M$231)*1000)</f>
        <v>45677.819537447656</v>
      </c>
      <c r="N262" s="309">
        <f>IF(LEFT($B262,3)="LED",IF(Tech_Specs!$K38="lamp",Perform_SSL!N$18,Perform_SSL!N$19),TREND(Perform_Active!$N39:$O39,Perform_Active!$N$8:$O$8,N$231)*1000)</f>
        <v>46842.034019012237</v>
      </c>
      <c r="O262" s="309">
        <f>IF(LEFT($B262,3)="LED",IF(Tech_Specs!$K38="lamp",Perform_SSL!O$18,Perform_SSL!O$19),TREND(Perform_Active!$N39:$O39,Perform_Active!$N$8:$O$8,O$231)*1000)</f>
        <v>47708.390378414646</v>
      </c>
      <c r="P262" s="309">
        <f>IF(LEFT($B262,3)="LED",IF(Tech_Specs!$K38="lamp",Perform_SSL!P$18,Perform_SSL!P$19),TREND(Perform_Active!$N39:$O39,Perform_Active!$N$8:$O$8,P$231)*1000)</f>
        <v>48345.465639105656</v>
      </c>
      <c r="Q262" s="309">
        <f>IF(LEFT($B262,3)="LED",IF(Tech_Specs!$K38="lamp",Perform_SSL!Q$18,Perform_SSL!Q$19),TREND(Perform_Active!$N39:$O39,Perform_Active!$N$8:$O$8,Q$231)*1000)</f>
        <v>48809.850037195916</v>
      </c>
      <c r="R262" s="309">
        <f>IF(LEFT($B262,3)="LED",IF(Tech_Specs!$K38="lamp",Perform_SSL!R$18,Perform_SSL!R$19),TREND(Perform_Active!$N39:$O39,Perform_Active!$N$8:$O$8,R$231)*1000)</f>
        <v>49146.195791508879</v>
      </c>
      <c r="S262" s="309">
        <f>IF(LEFT($B262,3)="LED",IF(Tech_Specs!$K38="lamp",Perform_SSL!S$18,Perform_SSL!S$19),TREND(Perform_Active!$N39:$O39,Perform_Active!$N$8:$O$8,S$231)*1000)</f>
        <v>49388.678095291754</v>
      </c>
      <c r="T262" s="309">
        <f>IF(LEFT($B262,3)="LED",IF(Tech_Specs!$K38="lamp",Perform_SSL!T$18,Perform_SSL!T$19),TREND(Perform_Active!$N39:$O39,Perform_Active!$N$8:$O$8,T$231)*1000)</f>
        <v>49562.907353580449</v>
      </c>
      <c r="U262" s="309">
        <f>IF(LEFT($B262,3)="LED",IF(Tech_Specs!$K38="lamp",Perform_SSL!U$18,Perform_SSL!U$19),TREND(Perform_Active!$N39:$O39,Perform_Active!$N$8:$O$8,U$231)*1000)</f>
        <v>49687.794452091533</v>
      </c>
      <c r="V262" s="309">
        <f>IF(LEFT($B262,3)="LED",IF(Tech_Specs!$K38="lamp",Perform_SSL!V$18,Perform_SSL!V$19),TREND(Perform_Active!$N39:$O39,Perform_Active!$N$8:$O$8,V$231)*1000)</f>
        <v>49777.158961987705</v>
      </c>
      <c r="W262" s="309">
        <f>IF(LEFT($B262,3)="LED",IF(Tech_Specs!$K38="lamp",Perform_SSL!W$18,Perform_SSL!W$19),TREND(Perform_Active!$N39:$O39,Perform_Active!$N$8:$O$8,W$231)*1000)</f>
        <v>49841.025959888604</v>
      </c>
      <c r="X262" s="309">
        <f>IF(LEFT($B262,3)="LED",IF(Tech_Specs!$K38="lamp",Perform_SSL!X$18,Perform_SSL!X$19),TREND(Perform_Active!$N39:$O39,Perform_Active!$N$8:$O$8,X$231)*1000)</f>
        <v>49886.63014876964</v>
      </c>
      <c r="Y262" s="309">
        <f>IF(LEFT($B262,3)="LED",IF(Tech_Specs!$K38="lamp",Perform_SSL!Y$18,Perform_SSL!Y$19),TREND(Perform_Active!$N39:$O39,Perform_Active!$N$8:$O$8,Y$231)*1000)</f>
        <v>49919.173278474002</v>
      </c>
      <c r="Z262" s="309">
        <f>IF(LEFT($B262,3)="LED",IF(Tech_Specs!$K38="lamp",Perform_SSL!Z$18,Perform_SSL!Z$19),TREND(Perform_Active!$N39:$O39,Perform_Active!$N$8:$O$8,Z$231)*1000)</f>
        <v>49942.385601358699</v>
      </c>
      <c r="AA262" s="309">
        <f>IF(LEFT($B262,3)="LED",IF(Tech_Specs!$K38="lamp",Perform_SSL!AA$18,Perform_SSL!AA$19),TREND(Perform_Active!$N39:$O39,Perform_Active!$N$8:$O$8,AA$231)*1000)</f>
        <v>49958.937147906508</v>
      </c>
      <c r="AB262" s="309">
        <f>IF(LEFT($B262,3)="LED",IF(Tech_Specs!$K38="lamp",Perform_SSL!AB$18,Perform_SSL!AB$19),TREND(Perform_Active!$N39:$O39,Perform_Active!$N$8:$O$8,AB$231)*1000)</f>
        <v>49970.736528712878</v>
      </c>
      <c r="AC262" s="309">
        <f>IF(LEFT($B262,3)="LED",IF(Tech_Specs!$K38="lamp",Perform_SSL!AC$18,Perform_SSL!AC$19),TREND(Perform_Active!$N39:$O39,Perform_Active!$N$8:$O$8,AC$231)*1000)</f>
        <v>49979.146781228279</v>
      </c>
      <c r="AD262" s="309">
        <f>IF(LEFT($B262,3)="LED",IF(Tech_Specs!$K38="lamp",Perform_SSL!AD$18,Perform_SSL!AD$19),TREND(Perform_Active!$N39:$O39,Perform_Active!$N$8:$O$8,AD$231)*1000)</f>
        <v>49985.140665785919</v>
      </c>
      <c r="AE262" s="309">
        <f>IF(LEFT($B262,3)="LED",IF(Tech_Specs!$K38="lamp",Perform_SSL!AE$18,Perform_SSL!AE$19),TREND(Perform_Active!$N39:$O39,Perform_Active!$N$8:$O$8,AE$231)*1000)</f>
        <v>49989.412080467839</v>
      </c>
      <c r="AF262" s="309">
        <f>IF(LEFT($B262,3)="LED",IF(Tech_Specs!$K38="lamp",Perform_SSL!AF$18,Perform_SSL!AF$19),TREND(Perform_Active!$N39:$O39,Perform_Active!$N$8:$O$8,AF$231)*1000)</f>
        <v>49992.455833840038</v>
      </c>
    </row>
    <row r="263" spans="1:32" s="81" customFormat="1" ht="12.75" x14ac:dyDescent="0.2">
      <c r="B263" s="101" t="s">
        <v>53</v>
      </c>
      <c r="D263" s="550"/>
      <c r="E263" s="550"/>
      <c r="F263" s="550"/>
      <c r="G263" s="309">
        <f>IF(LEFT($B263,3)="LED",IF(Tech_Specs!$K39="lamp",Perform_SSL!G$18,Perform_SSL!G$19),TREND(Perform_Active!$N40:$O40,Perform_Active!$N$8:$O$8,G$231)*1000)</f>
        <v>40000</v>
      </c>
      <c r="H263" s="309">
        <f>IF(LEFT($B263,3)="LED",IF(Tech_Specs!$K39="lamp",Perform_SSL!H$18,Perform_SSL!H$19),TREND(Perform_Active!$N40:$O40,Perform_Active!$N$8:$O$8,H$231)*1000)</f>
        <v>40200.000000000044</v>
      </c>
      <c r="I263" s="309">
        <f>IF(LEFT($B263,3)="LED",IF(Tech_Specs!$K39="lamp",Perform_SSL!I$18,Perform_SSL!I$19),TREND(Perform_Active!$N40:$O40,Perform_Active!$N$8:$O$8,I$231)*1000)</f>
        <v>40400.000000000036</v>
      </c>
      <c r="J263" s="309">
        <f>IF(LEFT($B263,3)="LED",IF(Tech_Specs!$K39="lamp",Perform_SSL!J$18,Perform_SSL!J$19),TREND(Perform_Active!$N40:$O40,Perform_Active!$N$8:$O$8,J$231)*1000)</f>
        <v>40600.000000000022</v>
      </c>
      <c r="K263" s="309">
        <f>IF(LEFT($B263,3)="LED",IF(Tech_Specs!$K39="lamp",Perform_SSL!K$18,Perform_SSL!K$19),TREND(Perform_Active!$N40:$O40,Perform_Active!$N$8:$O$8,K$231)*1000)</f>
        <v>40800.000000000015</v>
      </c>
      <c r="L263" s="309">
        <f>IF(LEFT($B263,3)="LED",IF(Tech_Specs!$K39="lamp",Perform_SSL!L$18,Perform_SSL!L$19),TREND(Perform_Active!$N40:$O40,Perform_Active!$N$8:$O$8,L$231)*1000)</f>
        <v>41000</v>
      </c>
      <c r="M263" s="309">
        <f>IF(LEFT($B263,3)="LED",IF(Tech_Specs!$K39="lamp",Perform_SSL!M$18,Perform_SSL!M$19),TREND(Perform_Active!$N40:$O40,Perform_Active!$N$8:$O$8,M$231)*1000)</f>
        <v>41200.000000000044</v>
      </c>
      <c r="N263" s="309">
        <f>IF(LEFT($B263,3)="LED",IF(Tech_Specs!$K39="lamp",Perform_SSL!N$18,Perform_SSL!N$19),TREND(Perform_Active!$N40:$O40,Perform_Active!$N$8:$O$8,N$231)*1000)</f>
        <v>41400.000000000036</v>
      </c>
      <c r="O263" s="309">
        <f>IF(LEFT($B263,3)="LED",IF(Tech_Specs!$K39="lamp",Perform_SSL!O$18,Perform_SSL!O$19),TREND(Perform_Active!$N40:$O40,Perform_Active!$N$8:$O$8,O$231)*1000)</f>
        <v>41600.000000000022</v>
      </c>
      <c r="P263" s="309">
        <f>IF(LEFT($B263,3)="LED",IF(Tech_Specs!$K39="lamp",Perform_SSL!P$18,Perform_SSL!P$19),TREND(Perform_Active!$N40:$O40,Perform_Active!$N$8:$O$8,P$231)*1000)</f>
        <v>41800.000000000015</v>
      </c>
      <c r="Q263" s="309">
        <f>IF(LEFT($B263,3)="LED",IF(Tech_Specs!$K39="lamp",Perform_SSL!Q$18,Perform_SSL!Q$19),TREND(Perform_Active!$N40:$O40,Perform_Active!$N$8:$O$8,Q$231)*1000)</f>
        <v>42000</v>
      </c>
      <c r="R263" s="309">
        <f>IF(LEFT($B263,3)="LED",IF(Tech_Specs!$K39="lamp",Perform_SSL!R$18,Perform_SSL!R$19),TREND(Perform_Active!$N40:$O40,Perform_Active!$N$8:$O$8,R$231)*1000)</f>
        <v>42200.000000000044</v>
      </c>
      <c r="S263" s="309">
        <f>IF(LEFT($B263,3)="LED",IF(Tech_Specs!$K39="lamp",Perform_SSL!S$18,Perform_SSL!S$19),TREND(Perform_Active!$N40:$O40,Perform_Active!$N$8:$O$8,S$231)*1000)</f>
        <v>42400.000000000036</v>
      </c>
      <c r="T263" s="309">
        <f>IF(LEFT($B263,3)="LED",IF(Tech_Specs!$K39="lamp",Perform_SSL!T$18,Perform_SSL!T$19),TREND(Perform_Active!$N40:$O40,Perform_Active!$N$8:$O$8,T$231)*1000)</f>
        <v>42600.000000000022</v>
      </c>
      <c r="U263" s="309">
        <f>IF(LEFT($B263,3)="LED",IF(Tech_Specs!$K39="lamp",Perform_SSL!U$18,Perform_SSL!U$19),TREND(Perform_Active!$N40:$O40,Perform_Active!$N$8:$O$8,U$231)*1000)</f>
        <v>42800.000000000015</v>
      </c>
      <c r="V263" s="309">
        <f>IF(LEFT($B263,3)="LED",IF(Tech_Specs!$K39="lamp",Perform_SSL!V$18,Perform_SSL!V$19),TREND(Perform_Active!$N40:$O40,Perform_Active!$N$8:$O$8,V$231)*1000)</f>
        <v>43000</v>
      </c>
      <c r="W263" s="309">
        <f>IF(LEFT($B263,3)="LED",IF(Tech_Specs!$K39="lamp",Perform_SSL!W$18,Perform_SSL!W$19),TREND(Perform_Active!$N40:$O40,Perform_Active!$N$8:$O$8,W$231)*1000)</f>
        <v>43200.000000000044</v>
      </c>
      <c r="X263" s="309">
        <f>IF(LEFT($B263,3)="LED",IF(Tech_Specs!$K39="lamp",Perform_SSL!X$18,Perform_SSL!X$19),TREND(Perform_Active!$N40:$O40,Perform_Active!$N$8:$O$8,X$231)*1000)</f>
        <v>43400.000000000036</v>
      </c>
      <c r="Y263" s="309">
        <f>IF(LEFT($B263,3)="LED",IF(Tech_Specs!$K39="lamp",Perform_SSL!Y$18,Perform_SSL!Y$19),TREND(Perform_Active!$N40:$O40,Perform_Active!$N$8:$O$8,Y$231)*1000)</f>
        <v>43600.000000000022</v>
      </c>
      <c r="Z263" s="309">
        <f>IF(LEFT($B263,3)="LED",IF(Tech_Specs!$K39="lamp",Perform_SSL!Z$18,Perform_SSL!Z$19),TREND(Perform_Active!$N40:$O40,Perform_Active!$N$8:$O$8,Z$231)*1000)</f>
        <v>43800.000000000015</v>
      </c>
      <c r="AA263" s="309">
        <f>IF(LEFT($B263,3)="LED",IF(Tech_Specs!$K39="lamp",Perform_SSL!AA$18,Perform_SSL!AA$19),TREND(Perform_Active!$N40:$O40,Perform_Active!$N$8:$O$8,AA$231)*1000)</f>
        <v>44000</v>
      </c>
      <c r="AB263" s="309">
        <f>IF(LEFT($B263,3)="LED",IF(Tech_Specs!$K39="lamp",Perform_SSL!AB$18,Perform_SSL!AB$19),TREND(Perform_Active!$N40:$O40,Perform_Active!$N$8:$O$8,AB$231)*1000)</f>
        <v>44200.000000000044</v>
      </c>
      <c r="AC263" s="309">
        <f>IF(LEFT($B263,3)="LED",IF(Tech_Specs!$K39="lamp",Perform_SSL!AC$18,Perform_SSL!AC$19),TREND(Perform_Active!$N40:$O40,Perform_Active!$N$8:$O$8,AC$231)*1000)</f>
        <v>44400.000000000036</v>
      </c>
      <c r="AD263" s="309">
        <f>IF(LEFT($B263,3)="LED",IF(Tech_Specs!$K39="lamp",Perform_SSL!AD$18,Perform_SSL!AD$19),TREND(Perform_Active!$N40:$O40,Perform_Active!$N$8:$O$8,AD$231)*1000)</f>
        <v>44600.000000000022</v>
      </c>
      <c r="AE263" s="309">
        <f>IF(LEFT($B263,3)="LED",IF(Tech_Specs!$K39="lamp",Perform_SSL!AE$18,Perform_SSL!AE$19),TREND(Perform_Active!$N40:$O40,Perform_Active!$N$8:$O$8,AE$231)*1000)</f>
        <v>44800.000000000015</v>
      </c>
      <c r="AF263" s="309">
        <f>IF(LEFT($B263,3)="LED",IF(Tech_Specs!$K39="lamp",Perform_SSL!AF$18,Perform_SSL!AF$19),TREND(Perform_Active!$N40:$O40,Perform_Active!$N$8:$O$8,AF$231)*1000)</f>
        <v>45000</v>
      </c>
    </row>
    <row r="264" spans="1:32" s="81" customFormat="1" ht="12.75" x14ac:dyDescent="0.2">
      <c r="D264" s="550"/>
      <c r="E264" s="550"/>
      <c r="F264" s="550"/>
      <c r="G264" s="190"/>
      <c r="H264" s="190"/>
      <c r="I264" s="190"/>
      <c r="J264" s="190"/>
      <c r="K264" s="190"/>
      <c r="L264" s="190"/>
      <c r="M264" s="190"/>
      <c r="N264" s="190"/>
      <c r="O264" s="190"/>
      <c r="P264" s="190"/>
      <c r="Q264" s="190"/>
      <c r="R264" s="190"/>
      <c r="S264" s="190"/>
      <c r="T264" s="190"/>
      <c r="U264" s="190"/>
      <c r="V264" s="190"/>
      <c r="W264" s="190"/>
      <c r="X264" s="190"/>
      <c r="Y264" s="190"/>
      <c r="Z264" s="190"/>
      <c r="AA264" s="190"/>
      <c r="AB264" s="190"/>
      <c r="AC264" s="190"/>
      <c r="AD264" s="190"/>
      <c r="AE264" s="190"/>
      <c r="AF264" s="190"/>
    </row>
    <row r="265" spans="1:32" s="81" customFormat="1" ht="12.75" x14ac:dyDescent="0.2">
      <c r="D265" s="550"/>
      <c r="E265" s="550"/>
      <c r="F265" s="550"/>
    </row>
    <row r="266" spans="1:32" s="298" customFormat="1" ht="12.75" x14ac:dyDescent="0.2">
      <c r="A266" s="299" t="s">
        <v>177</v>
      </c>
      <c r="D266" s="403"/>
      <c r="E266" s="403"/>
      <c r="F266" s="403"/>
      <c r="G266" s="1044" t="s">
        <v>684</v>
      </c>
    </row>
    <row r="267" spans="1:32" s="278" customFormat="1" ht="12.75" x14ac:dyDescent="0.2">
      <c r="D267" s="550"/>
      <c r="E267" s="550"/>
      <c r="F267" s="550"/>
    </row>
    <row r="268" spans="1:32" s="278" customFormat="1" ht="12.75" x14ac:dyDescent="0.2">
      <c r="A268" s="279" t="s">
        <v>12</v>
      </c>
      <c r="D268" s="550"/>
      <c r="E268" s="550"/>
      <c r="F268" s="550"/>
    </row>
    <row r="269" spans="1:32" s="278" customFormat="1" ht="12.75" x14ac:dyDescent="0.2">
      <c r="B269" s="278" t="s">
        <v>20</v>
      </c>
      <c r="D269" s="550"/>
      <c r="E269" s="550"/>
      <c r="F269" s="550"/>
      <c r="G269" s="278">
        <v>2010</v>
      </c>
      <c r="H269" s="278">
        <v>2011</v>
      </c>
      <c r="I269" s="278">
        <v>2012</v>
      </c>
      <c r="J269" s="278">
        <v>2013</v>
      </c>
      <c r="K269" s="278">
        <v>2014</v>
      </c>
      <c r="L269" s="278">
        <v>2015</v>
      </c>
      <c r="M269" s="278">
        <v>2016</v>
      </c>
      <c r="N269" s="278">
        <v>2017</v>
      </c>
      <c r="O269" s="278">
        <v>2018</v>
      </c>
      <c r="P269" s="278">
        <v>2019</v>
      </c>
      <c r="Q269" s="278">
        <v>2020</v>
      </c>
      <c r="R269" s="278">
        <v>2021</v>
      </c>
      <c r="S269" s="278">
        <v>2022</v>
      </c>
      <c r="T269" s="278">
        <v>2023</v>
      </c>
      <c r="U269" s="278">
        <v>2024</v>
      </c>
      <c r="V269" s="278">
        <v>2025</v>
      </c>
      <c r="W269" s="278">
        <v>2026</v>
      </c>
      <c r="X269" s="278">
        <v>2027</v>
      </c>
      <c r="Y269" s="278">
        <v>2028</v>
      </c>
      <c r="Z269" s="278">
        <v>2029</v>
      </c>
      <c r="AA269" s="278">
        <v>2030</v>
      </c>
      <c r="AB269" s="278">
        <v>2031</v>
      </c>
      <c r="AC269" s="278">
        <v>2032</v>
      </c>
      <c r="AD269" s="278">
        <v>2033</v>
      </c>
      <c r="AE269" s="278">
        <v>2034</v>
      </c>
      <c r="AF269" s="278">
        <v>2035</v>
      </c>
    </row>
    <row r="270" spans="1:32" s="278" customFormat="1" ht="12.75" x14ac:dyDescent="0.2">
      <c r="A270" s="295" t="s">
        <v>21</v>
      </c>
      <c r="B270" s="283"/>
      <c r="C270" s="280"/>
      <c r="D270" s="501"/>
      <c r="E270" s="501"/>
      <c r="F270" s="501"/>
      <c r="G270" s="280"/>
      <c r="H270" s="280"/>
      <c r="I270" s="280"/>
      <c r="J270" s="280"/>
      <c r="K270" s="280"/>
      <c r="L270" s="280"/>
      <c r="M270" s="280"/>
      <c r="N270" s="280"/>
      <c r="O270" s="280"/>
      <c r="P270" s="280"/>
      <c r="Q270" s="280"/>
      <c r="R270" s="280"/>
      <c r="S270" s="280"/>
      <c r="T270" s="280"/>
      <c r="U270" s="280"/>
      <c r="V270" s="280"/>
      <c r="W270" s="280"/>
      <c r="X270" s="280"/>
      <c r="Y270" s="280"/>
      <c r="Z270" s="280"/>
      <c r="AA270" s="280"/>
      <c r="AB270" s="280"/>
      <c r="AC270" s="280"/>
      <c r="AD270" s="280"/>
      <c r="AE270" s="280"/>
      <c r="AF270" s="280"/>
    </row>
    <row r="271" spans="1:32" s="278" customFormat="1" ht="12.75" x14ac:dyDescent="0.2">
      <c r="B271" s="278" t="s">
        <v>22</v>
      </c>
      <c r="D271" s="550"/>
      <c r="E271" s="550"/>
      <c r="F271" s="550"/>
      <c r="G271" s="309" t="str">
        <f>IF(ISNUMBER(Perform_Active!$P10),TREND(Perform_Active!$P10:$Q10,Perform_Active!$P$8:$Q$8,G$269)*1000,"")</f>
        <v/>
      </c>
      <c r="H271" s="309" t="str">
        <f>IF(ISNUMBER(Perform_Active!$P10),TREND(Perform_Active!$P10:$Q10,Perform_Active!$P$8:$Q$8,H$269)*1000,"")</f>
        <v/>
      </c>
      <c r="I271" s="309" t="str">
        <f>IF(ISNUMBER(Perform_Active!$P10),TREND(Perform_Active!$P10:$Q10,Perform_Active!$P$8:$Q$8,I$269)*1000,"")</f>
        <v/>
      </c>
      <c r="J271" s="309" t="str">
        <f>IF(ISNUMBER(Perform_Active!$P10),TREND(Perform_Active!$P10:$Q10,Perform_Active!$P$8:$Q$8,J$269)*1000,"")</f>
        <v/>
      </c>
      <c r="K271" s="309" t="str">
        <f>IF(ISNUMBER(Perform_Active!$P10),TREND(Perform_Active!$P10:$Q10,Perform_Active!$P$8:$Q$8,K$269)*1000,"")</f>
        <v/>
      </c>
      <c r="L271" s="309" t="str">
        <f>IF(ISNUMBER(Perform_Active!$P10),TREND(Perform_Active!$P10:$Q10,Perform_Active!$P$8:$Q$8,L$269)*1000,"")</f>
        <v/>
      </c>
      <c r="M271" s="309" t="str">
        <f>IF(ISNUMBER(Perform_Active!$P10),TREND(Perform_Active!$P10:$Q10,Perform_Active!$P$8:$Q$8,M$269)*1000,"")</f>
        <v/>
      </c>
      <c r="N271" s="309" t="str">
        <f>IF(ISNUMBER(Perform_Active!$P10),TREND(Perform_Active!$P10:$Q10,Perform_Active!$P$8:$Q$8,N$269)*1000,"")</f>
        <v/>
      </c>
      <c r="O271" s="309" t="str">
        <f>IF(ISNUMBER(Perform_Active!$P10),TREND(Perform_Active!$P10:$Q10,Perform_Active!$P$8:$Q$8,O$269)*1000,"")</f>
        <v/>
      </c>
      <c r="P271" s="309" t="str">
        <f>IF(ISNUMBER(Perform_Active!$P10),TREND(Perform_Active!$P10:$Q10,Perform_Active!$P$8:$Q$8,P$269)*1000,"")</f>
        <v/>
      </c>
      <c r="Q271" s="309" t="str">
        <f>IF(ISNUMBER(Perform_Active!$P10),TREND(Perform_Active!$P10:$Q10,Perform_Active!$P$8:$Q$8,Q$269)*1000,"")</f>
        <v/>
      </c>
      <c r="R271" s="309" t="str">
        <f>IF(ISNUMBER(Perform_Active!$P10),TREND(Perform_Active!$P10:$Q10,Perform_Active!$P$8:$Q$8,R$269)*1000,"")</f>
        <v/>
      </c>
      <c r="S271" s="309" t="str">
        <f>IF(ISNUMBER(Perform_Active!$P10),TREND(Perform_Active!$P10:$Q10,Perform_Active!$P$8:$Q$8,S$269)*1000,"")</f>
        <v/>
      </c>
      <c r="T271" s="309" t="str">
        <f>IF(ISNUMBER(Perform_Active!$P10),TREND(Perform_Active!$P10:$Q10,Perform_Active!$P$8:$Q$8,T$269)*1000,"")</f>
        <v/>
      </c>
      <c r="U271" s="309" t="str">
        <f>IF(ISNUMBER(Perform_Active!$P10),TREND(Perform_Active!$P10:$Q10,Perform_Active!$P$8:$Q$8,U$269)*1000,"")</f>
        <v/>
      </c>
      <c r="V271" s="309" t="str">
        <f>IF(ISNUMBER(Perform_Active!$P10),TREND(Perform_Active!$P10:$Q10,Perform_Active!$P$8:$Q$8,V$269)*1000,"")</f>
        <v/>
      </c>
      <c r="W271" s="309" t="str">
        <f>IF(ISNUMBER(Perform_Active!$P10),TREND(Perform_Active!$P10:$Q10,Perform_Active!$P$8:$Q$8,W$269)*1000,"")</f>
        <v/>
      </c>
      <c r="X271" s="309" t="str">
        <f>IF(ISNUMBER(Perform_Active!$P10),TREND(Perform_Active!$P10:$Q10,Perform_Active!$P$8:$Q$8,X$269)*1000,"")</f>
        <v/>
      </c>
      <c r="Y271" s="309" t="str">
        <f>IF(ISNUMBER(Perform_Active!$P10),TREND(Perform_Active!$P10:$Q10,Perform_Active!$P$8:$Q$8,Y$269)*1000,"")</f>
        <v/>
      </c>
      <c r="Z271" s="309" t="str">
        <f>IF(ISNUMBER(Perform_Active!$P10),TREND(Perform_Active!$P10:$Q10,Perform_Active!$P$8:$Q$8,Z$269)*1000,"")</f>
        <v/>
      </c>
      <c r="AA271" s="309" t="str">
        <f>IF(ISNUMBER(Perform_Active!$P10),TREND(Perform_Active!$P10:$Q10,Perform_Active!$P$8:$Q$8,AA$269)*1000,"")</f>
        <v/>
      </c>
      <c r="AB271" s="309" t="str">
        <f>IF(ISNUMBER(Perform_Active!$P10),TREND(Perform_Active!$P10:$Q10,Perform_Active!$P$8:$Q$8,AB$269)*1000,"")</f>
        <v/>
      </c>
      <c r="AC271" s="309" t="str">
        <f>IF(ISNUMBER(Perform_Active!$P10),TREND(Perform_Active!$P10:$Q10,Perform_Active!$P$8:$Q$8,AC$269)*1000,"")</f>
        <v/>
      </c>
      <c r="AD271" s="309" t="str">
        <f>IF(ISNUMBER(Perform_Active!$P10),TREND(Perform_Active!$P10:$Q10,Perform_Active!$P$8:$Q$8,AD$269)*1000,"")</f>
        <v/>
      </c>
      <c r="AE271" s="309" t="str">
        <f>IF(ISNUMBER(Perform_Active!$P10),TREND(Perform_Active!$P10:$Q10,Perform_Active!$P$8:$Q$8,AE$269)*1000,"")</f>
        <v/>
      </c>
      <c r="AF271" s="309" t="str">
        <f>IF(ISNUMBER(Perform_Active!$P10),TREND(Perform_Active!$P10:$Q10,Perform_Active!$P$8:$Q$8,AF$269)*1000,"")</f>
        <v/>
      </c>
    </row>
    <row r="272" spans="1:32" s="278" customFormat="1" ht="12.75" x14ac:dyDescent="0.2">
      <c r="B272" s="278" t="s">
        <v>26</v>
      </c>
      <c r="D272" s="550"/>
      <c r="E272" s="550"/>
      <c r="F272" s="550"/>
      <c r="G272" s="309" t="str">
        <f>IF(ISNUMBER(Perform_Active!$P11),TREND(Perform_Active!$P11:$Q11,Perform_Active!$P$8:$Q$8,G$269)*1000,"")</f>
        <v/>
      </c>
      <c r="H272" s="309" t="str">
        <f>IF(ISNUMBER(Perform_Active!$P11),TREND(Perform_Active!$P11:$Q11,Perform_Active!$P$8:$Q$8,H$269)*1000,"")</f>
        <v/>
      </c>
      <c r="I272" s="309" t="str">
        <f>IF(ISNUMBER(Perform_Active!$P11),TREND(Perform_Active!$P11:$Q11,Perform_Active!$P$8:$Q$8,I$269)*1000,"")</f>
        <v/>
      </c>
      <c r="J272" s="309" t="str">
        <f>IF(ISNUMBER(Perform_Active!$P11),TREND(Perform_Active!$P11:$Q11,Perform_Active!$P$8:$Q$8,J$269)*1000,"")</f>
        <v/>
      </c>
      <c r="K272" s="309" t="str">
        <f>IF(ISNUMBER(Perform_Active!$P11),TREND(Perform_Active!$P11:$Q11,Perform_Active!$P$8:$Q$8,K$269)*1000,"")</f>
        <v/>
      </c>
      <c r="L272" s="309" t="str">
        <f>IF(ISNUMBER(Perform_Active!$P11),TREND(Perform_Active!$P11:$Q11,Perform_Active!$P$8:$Q$8,L$269)*1000,"")</f>
        <v/>
      </c>
      <c r="M272" s="309" t="str">
        <f>IF(ISNUMBER(Perform_Active!$P11),TREND(Perform_Active!$P11:$Q11,Perform_Active!$P$8:$Q$8,M$269)*1000,"")</f>
        <v/>
      </c>
      <c r="N272" s="309" t="str">
        <f>IF(ISNUMBER(Perform_Active!$P11),TREND(Perform_Active!$P11:$Q11,Perform_Active!$P$8:$Q$8,N$269)*1000,"")</f>
        <v/>
      </c>
      <c r="O272" s="309" t="str">
        <f>IF(ISNUMBER(Perform_Active!$P11),TREND(Perform_Active!$P11:$Q11,Perform_Active!$P$8:$Q$8,O$269)*1000,"")</f>
        <v/>
      </c>
      <c r="P272" s="309" t="str">
        <f>IF(ISNUMBER(Perform_Active!$P11),TREND(Perform_Active!$P11:$Q11,Perform_Active!$P$8:$Q$8,P$269)*1000,"")</f>
        <v/>
      </c>
      <c r="Q272" s="309" t="str">
        <f>IF(ISNUMBER(Perform_Active!$P11),TREND(Perform_Active!$P11:$Q11,Perform_Active!$P$8:$Q$8,Q$269)*1000,"")</f>
        <v/>
      </c>
      <c r="R272" s="309" t="str">
        <f>IF(ISNUMBER(Perform_Active!$P11),TREND(Perform_Active!$P11:$Q11,Perform_Active!$P$8:$Q$8,R$269)*1000,"")</f>
        <v/>
      </c>
      <c r="S272" s="309" t="str">
        <f>IF(ISNUMBER(Perform_Active!$P11),TREND(Perform_Active!$P11:$Q11,Perform_Active!$P$8:$Q$8,S$269)*1000,"")</f>
        <v/>
      </c>
      <c r="T272" s="309" t="str">
        <f>IF(ISNUMBER(Perform_Active!$P11),TREND(Perform_Active!$P11:$Q11,Perform_Active!$P$8:$Q$8,T$269)*1000,"")</f>
        <v/>
      </c>
      <c r="U272" s="309" t="str">
        <f>IF(ISNUMBER(Perform_Active!$P11),TREND(Perform_Active!$P11:$Q11,Perform_Active!$P$8:$Q$8,U$269)*1000,"")</f>
        <v/>
      </c>
      <c r="V272" s="309" t="str">
        <f>IF(ISNUMBER(Perform_Active!$P11),TREND(Perform_Active!$P11:$Q11,Perform_Active!$P$8:$Q$8,V$269)*1000,"")</f>
        <v/>
      </c>
      <c r="W272" s="309" t="str">
        <f>IF(ISNUMBER(Perform_Active!$P11),TREND(Perform_Active!$P11:$Q11,Perform_Active!$P$8:$Q$8,W$269)*1000,"")</f>
        <v/>
      </c>
      <c r="X272" s="309" t="str">
        <f>IF(ISNUMBER(Perform_Active!$P11),TREND(Perform_Active!$P11:$Q11,Perform_Active!$P$8:$Q$8,X$269)*1000,"")</f>
        <v/>
      </c>
      <c r="Y272" s="309" t="str">
        <f>IF(ISNUMBER(Perform_Active!$P11),TREND(Perform_Active!$P11:$Q11,Perform_Active!$P$8:$Q$8,Y$269)*1000,"")</f>
        <v/>
      </c>
      <c r="Z272" s="309" t="str">
        <f>IF(ISNUMBER(Perform_Active!$P11),TREND(Perform_Active!$P11:$Q11,Perform_Active!$P$8:$Q$8,Z$269)*1000,"")</f>
        <v/>
      </c>
      <c r="AA272" s="309" t="str">
        <f>IF(ISNUMBER(Perform_Active!$P11),TREND(Perform_Active!$P11:$Q11,Perform_Active!$P$8:$Q$8,AA$269)*1000,"")</f>
        <v/>
      </c>
      <c r="AB272" s="309" t="str">
        <f>IF(ISNUMBER(Perform_Active!$P11),TREND(Perform_Active!$P11:$Q11,Perform_Active!$P$8:$Q$8,AB$269)*1000,"")</f>
        <v/>
      </c>
      <c r="AC272" s="309" t="str">
        <f>IF(ISNUMBER(Perform_Active!$P11),TREND(Perform_Active!$P11:$Q11,Perform_Active!$P$8:$Q$8,AC$269)*1000,"")</f>
        <v/>
      </c>
      <c r="AD272" s="309" t="str">
        <f>IF(ISNUMBER(Perform_Active!$P11),TREND(Perform_Active!$P11:$Q11,Perform_Active!$P$8:$Q$8,AD$269)*1000,"")</f>
        <v/>
      </c>
      <c r="AE272" s="309" t="str">
        <f>IF(ISNUMBER(Perform_Active!$P11),TREND(Perform_Active!$P11:$Q11,Perform_Active!$P$8:$Q$8,AE$269)*1000,"")</f>
        <v/>
      </c>
      <c r="AF272" s="309" t="str">
        <f>IF(ISNUMBER(Perform_Active!$P11),TREND(Perform_Active!$P11:$Q11,Perform_Active!$P$8:$Q$8,AF$269)*1000,"")</f>
        <v/>
      </c>
    </row>
    <row r="273" spans="1:32" s="278" customFormat="1" ht="12.75" x14ac:dyDescent="0.2">
      <c r="B273" s="278" t="s">
        <v>27</v>
      </c>
      <c r="D273" s="550"/>
      <c r="E273" s="550"/>
      <c r="F273" s="550"/>
      <c r="G273" s="309" t="str">
        <f>IF(ISNUMBER(Perform_Active!$P12),TREND(Perform_Active!$P12:$Q12,Perform_Active!$P$8:$Q$8,G$269)*1000,"")</f>
        <v/>
      </c>
      <c r="H273" s="309" t="str">
        <f>IF(ISNUMBER(Perform_Active!$P12),TREND(Perform_Active!$P12:$Q12,Perform_Active!$P$8:$Q$8,H$269)*1000,"")</f>
        <v/>
      </c>
      <c r="I273" s="309" t="str">
        <f>IF(ISNUMBER(Perform_Active!$P12),TREND(Perform_Active!$P12:$Q12,Perform_Active!$P$8:$Q$8,I$269)*1000,"")</f>
        <v/>
      </c>
      <c r="J273" s="309" t="str">
        <f>IF(ISNUMBER(Perform_Active!$P12),TREND(Perform_Active!$P12:$Q12,Perform_Active!$P$8:$Q$8,J$269)*1000,"")</f>
        <v/>
      </c>
      <c r="K273" s="309" t="str">
        <f>IF(ISNUMBER(Perform_Active!$P12),TREND(Perform_Active!$P12:$Q12,Perform_Active!$P$8:$Q$8,K$269)*1000,"")</f>
        <v/>
      </c>
      <c r="L273" s="309" t="str">
        <f>IF(ISNUMBER(Perform_Active!$P12),TREND(Perform_Active!$P12:$Q12,Perform_Active!$P$8:$Q$8,L$269)*1000,"")</f>
        <v/>
      </c>
      <c r="M273" s="309" t="str">
        <f>IF(ISNUMBER(Perform_Active!$P12),TREND(Perform_Active!$P12:$Q12,Perform_Active!$P$8:$Q$8,M$269)*1000,"")</f>
        <v/>
      </c>
      <c r="N273" s="309" t="str">
        <f>IF(ISNUMBER(Perform_Active!$P12),TREND(Perform_Active!$P12:$Q12,Perform_Active!$P$8:$Q$8,N$269)*1000,"")</f>
        <v/>
      </c>
      <c r="O273" s="309" t="str">
        <f>IF(ISNUMBER(Perform_Active!$P12),TREND(Perform_Active!$P12:$Q12,Perform_Active!$P$8:$Q$8,O$269)*1000,"")</f>
        <v/>
      </c>
      <c r="P273" s="309" t="str">
        <f>IF(ISNUMBER(Perform_Active!$P12),TREND(Perform_Active!$P12:$Q12,Perform_Active!$P$8:$Q$8,P$269)*1000,"")</f>
        <v/>
      </c>
      <c r="Q273" s="309" t="str">
        <f>IF(ISNUMBER(Perform_Active!$P12),TREND(Perform_Active!$P12:$Q12,Perform_Active!$P$8:$Q$8,Q$269)*1000,"")</f>
        <v/>
      </c>
      <c r="R273" s="309" t="str">
        <f>IF(ISNUMBER(Perform_Active!$P12),TREND(Perform_Active!$P12:$Q12,Perform_Active!$P$8:$Q$8,R$269)*1000,"")</f>
        <v/>
      </c>
      <c r="S273" s="309" t="str">
        <f>IF(ISNUMBER(Perform_Active!$P12),TREND(Perform_Active!$P12:$Q12,Perform_Active!$P$8:$Q$8,S$269)*1000,"")</f>
        <v/>
      </c>
      <c r="T273" s="309" t="str">
        <f>IF(ISNUMBER(Perform_Active!$P12),TREND(Perform_Active!$P12:$Q12,Perform_Active!$P$8:$Q$8,T$269)*1000,"")</f>
        <v/>
      </c>
      <c r="U273" s="309" t="str">
        <f>IF(ISNUMBER(Perform_Active!$P12),TREND(Perform_Active!$P12:$Q12,Perform_Active!$P$8:$Q$8,U$269)*1000,"")</f>
        <v/>
      </c>
      <c r="V273" s="309" t="str">
        <f>IF(ISNUMBER(Perform_Active!$P12),TREND(Perform_Active!$P12:$Q12,Perform_Active!$P$8:$Q$8,V$269)*1000,"")</f>
        <v/>
      </c>
      <c r="W273" s="309" t="str">
        <f>IF(ISNUMBER(Perform_Active!$P12),TREND(Perform_Active!$P12:$Q12,Perform_Active!$P$8:$Q$8,W$269)*1000,"")</f>
        <v/>
      </c>
      <c r="X273" s="309" t="str">
        <f>IF(ISNUMBER(Perform_Active!$P12),TREND(Perform_Active!$P12:$Q12,Perform_Active!$P$8:$Q$8,X$269)*1000,"")</f>
        <v/>
      </c>
      <c r="Y273" s="309" t="str">
        <f>IF(ISNUMBER(Perform_Active!$P12),TREND(Perform_Active!$P12:$Q12,Perform_Active!$P$8:$Q$8,Y$269)*1000,"")</f>
        <v/>
      </c>
      <c r="Z273" s="309" t="str">
        <f>IF(ISNUMBER(Perform_Active!$P12),TREND(Perform_Active!$P12:$Q12,Perform_Active!$P$8:$Q$8,Z$269)*1000,"")</f>
        <v/>
      </c>
      <c r="AA273" s="309" t="str">
        <f>IF(ISNUMBER(Perform_Active!$P12),TREND(Perform_Active!$P12:$Q12,Perform_Active!$P$8:$Q$8,AA$269)*1000,"")</f>
        <v/>
      </c>
      <c r="AB273" s="309" t="str">
        <f>IF(ISNUMBER(Perform_Active!$P12),TREND(Perform_Active!$P12:$Q12,Perform_Active!$P$8:$Q$8,AB$269)*1000,"")</f>
        <v/>
      </c>
      <c r="AC273" s="309" t="str">
        <f>IF(ISNUMBER(Perform_Active!$P12),TREND(Perform_Active!$P12:$Q12,Perform_Active!$P$8:$Q$8,AC$269)*1000,"")</f>
        <v/>
      </c>
      <c r="AD273" s="309" t="str">
        <f>IF(ISNUMBER(Perform_Active!$P12),TREND(Perform_Active!$P12:$Q12,Perform_Active!$P$8:$Q$8,AD$269)*1000,"")</f>
        <v/>
      </c>
      <c r="AE273" s="309" t="str">
        <f>IF(ISNUMBER(Perform_Active!$P12),TREND(Perform_Active!$P12:$Q12,Perform_Active!$P$8:$Q$8,AE$269)*1000,"")</f>
        <v/>
      </c>
      <c r="AF273" s="309" t="str">
        <f>IF(ISNUMBER(Perform_Active!$P12),TREND(Perform_Active!$P12:$Q12,Perform_Active!$P$8:$Q$8,AF$269)*1000,"")</f>
        <v/>
      </c>
    </row>
    <row r="274" spans="1:32" s="278" customFormat="1" ht="12.75" x14ac:dyDescent="0.2">
      <c r="B274" s="278" t="s">
        <v>29</v>
      </c>
      <c r="D274" s="550"/>
      <c r="E274" s="550"/>
      <c r="F274" s="550"/>
      <c r="G274" s="309" t="str">
        <f>IF(ISNUMBER(Perform_Active!$P13),TREND(Perform_Active!$P13:$Q13,Perform_Active!$P$8:$Q$8,G$269)*1000,"")</f>
        <v/>
      </c>
      <c r="H274" s="309" t="str">
        <f>IF(ISNUMBER(Perform_Active!$P13),TREND(Perform_Active!$P13:$Q13,Perform_Active!$P$8:$Q$8,H$269)*1000,"")</f>
        <v/>
      </c>
      <c r="I274" s="309" t="str">
        <f>IF(ISNUMBER(Perform_Active!$P13),TREND(Perform_Active!$P13:$Q13,Perform_Active!$P$8:$Q$8,I$269)*1000,"")</f>
        <v/>
      </c>
      <c r="J274" s="309" t="str">
        <f>IF(ISNUMBER(Perform_Active!$P13),TREND(Perform_Active!$P13:$Q13,Perform_Active!$P$8:$Q$8,J$269)*1000,"")</f>
        <v/>
      </c>
      <c r="K274" s="309" t="str">
        <f>IF(ISNUMBER(Perform_Active!$P13),TREND(Perform_Active!$P13:$Q13,Perform_Active!$P$8:$Q$8,K$269)*1000,"")</f>
        <v/>
      </c>
      <c r="L274" s="309" t="str">
        <f>IF(ISNUMBER(Perform_Active!$P13),TREND(Perform_Active!$P13:$Q13,Perform_Active!$P$8:$Q$8,L$269)*1000,"")</f>
        <v/>
      </c>
      <c r="M274" s="309" t="str">
        <f>IF(ISNUMBER(Perform_Active!$P13),TREND(Perform_Active!$P13:$Q13,Perform_Active!$P$8:$Q$8,M$269)*1000,"")</f>
        <v/>
      </c>
      <c r="N274" s="309" t="str">
        <f>IF(ISNUMBER(Perform_Active!$P13),TREND(Perform_Active!$P13:$Q13,Perform_Active!$P$8:$Q$8,N$269)*1000,"")</f>
        <v/>
      </c>
      <c r="O274" s="309" t="str">
        <f>IF(ISNUMBER(Perform_Active!$P13),TREND(Perform_Active!$P13:$Q13,Perform_Active!$P$8:$Q$8,O$269)*1000,"")</f>
        <v/>
      </c>
      <c r="P274" s="309" t="str">
        <f>IF(ISNUMBER(Perform_Active!$P13),TREND(Perform_Active!$P13:$Q13,Perform_Active!$P$8:$Q$8,P$269)*1000,"")</f>
        <v/>
      </c>
      <c r="Q274" s="309" t="str">
        <f>IF(ISNUMBER(Perform_Active!$P13),TREND(Perform_Active!$P13:$Q13,Perform_Active!$P$8:$Q$8,Q$269)*1000,"")</f>
        <v/>
      </c>
      <c r="R274" s="309" t="str">
        <f>IF(ISNUMBER(Perform_Active!$P13),TREND(Perform_Active!$P13:$Q13,Perform_Active!$P$8:$Q$8,R$269)*1000,"")</f>
        <v/>
      </c>
      <c r="S274" s="309" t="str">
        <f>IF(ISNUMBER(Perform_Active!$P13),TREND(Perform_Active!$P13:$Q13,Perform_Active!$P$8:$Q$8,S$269)*1000,"")</f>
        <v/>
      </c>
      <c r="T274" s="309" t="str">
        <f>IF(ISNUMBER(Perform_Active!$P13),TREND(Perform_Active!$P13:$Q13,Perform_Active!$P$8:$Q$8,T$269)*1000,"")</f>
        <v/>
      </c>
      <c r="U274" s="309" t="str">
        <f>IF(ISNUMBER(Perform_Active!$P13),TREND(Perform_Active!$P13:$Q13,Perform_Active!$P$8:$Q$8,U$269)*1000,"")</f>
        <v/>
      </c>
      <c r="V274" s="309" t="str">
        <f>IF(ISNUMBER(Perform_Active!$P13),TREND(Perform_Active!$P13:$Q13,Perform_Active!$P$8:$Q$8,V$269)*1000,"")</f>
        <v/>
      </c>
      <c r="W274" s="309" t="str">
        <f>IF(ISNUMBER(Perform_Active!$P13),TREND(Perform_Active!$P13:$Q13,Perform_Active!$P$8:$Q$8,W$269)*1000,"")</f>
        <v/>
      </c>
      <c r="X274" s="309" t="str">
        <f>IF(ISNUMBER(Perform_Active!$P13),TREND(Perform_Active!$P13:$Q13,Perform_Active!$P$8:$Q$8,X$269)*1000,"")</f>
        <v/>
      </c>
      <c r="Y274" s="309" t="str">
        <f>IF(ISNUMBER(Perform_Active!$P13),TREND(Perform_Active!$P13:$Q13,Perform_Active!$P$8:$Q$8,Y$269)*1000,"")</f>
        <v/>
      </c>
      <c r="Z274" s="309" t="str">
        <f>IF(ISNUMBER(Perform_Active!$P13),TREND(Perform_Active!$P13:$Q13,Perform_Active!$P$8:$Q$8,Z$269)*1000,"")</f>
        <v/>
      </c>
      <c r="AA274" s="309" t="str">
        <f>IF(ISNUMBER(Perform_Active!$P13),TREND(Perform_Active!$P13:$Q13,Perform_Active!$P$8:$Q$8,AA$269)*1000,"")</f>
        <v/>
      </c>
      <c r="AB274" s="309" t="str">
        <f>IF(ISNUMBER(Perform_Active!$P13),TREND(Perform_Active!$P13:$Q13,Perform_Active!$P$8:$Q$8,AB$269)*1000,"")</f>
        <v/>
      </c>
      <c r="AC274" s="309" t="str">
        <f>IF(ISNUMBER(Perform_Active!$P13),TREND(Perform_Active!$P13:$Q13,Perform_Active!$P$8:$Q$8,AC$269)*1000,"")</f>
        <v/>
      </c>
      <c r="AD274" s="309" t="str">
        <f>IF(ISNUMBER(Perform_Active!$P13),TREND(Perform_Active!$P13:$Q13,Perform_Active!$P$8:$Q$8,AD$269)*1000,"")</f>
        <v/>
      </c>
      <c r="AE274" s="309" t="str">
        <f>IF(ISNUMBER(Perform_Active!$P13),TREND(Perform_Active!$P13:$Q13,Perform_Active!$P$8:$Q$8,AE$269)*1000,"")</f>
        <v/>
      </c>
      <c r="AF274" s="309" t="str">
        <f>IF(ISNUMBER(Perform_Active!$P13),TREND(Perform_Active!$P13:$Q13,Perform_Active!$P$8:$Q$8,AF$269)*1000,"")</f>
        <v/>
      </c>
    </row>
    <row r="275" spans="1:32" s="278" customFormat="1" ht="12.75" x14ac:dyDescent="0.2">
      <c r="D275" s="550"/>
      <c r="E275" s="550"/>
      <c r="F275" s="550"/>
      <c r="G275" s="296"/>
      <c r="H275" s="313"/>
      <c r="I275" s="313"/>
      <c r="J275" s="313"/>
      <c r="K275" s="313"/>
      <c r="L275" s="313"/>
      <c r="M275" s="313"/>
      <c r="N275" s="313"/>
      <c r="O275" s="313"/>
      <c r="P275" s="313"/>
      <c r="Q275" s="313"/>
      <c r="R275" s="313"/>
      <c r="S275" s="313"/>
      <c r="T275" s="313"/>
      <c r="U275" s="313"/>
      <c r="V275" s="313"/>
      <c r="W275" s="313"/>
      <c r="X275" s="313"/>
      <c r="Y275" s="313"/>
      <c r="Z275" s="313"/>
      <c r="AA275" s="313"/>
      <c r="AB275" s="313"/>
      <c r="AC275" s="313"/>
      <c r="AD275" s="313"/>
      <c r="AE275" s="313"/>
      <c r="AF275" s="313"/>
    </row>
    <row r="276" spans="1:32" s="278" customFormat="1" ht="12.75" x14ac:dyDescent="0.2">
      <c r="A276" s="281" t="s">
        <v>32</v>
      </c>
      <c r="B276" s="280"/>
      <c r="C276" s="280"/>
      <c r="D276" s="501"/>
      <c r="E276" s="501"/>
      <c r="F276" s="501"/>
      <c r="G276" s="297"/>
      <c r="H276" s="314"/>
      <c r="I276" s="314"/>
      <c r="J276" s="314"/>
      <c r="K276" s="314"/>
      <c r="L276" s="314"/>
      <c r="M276" s="314"/>
      <c r="N276" s="314"/>
      <c r="O276" s="314"/>
      <c r="P276" s="314"/>
      <c r="Q276" s="314"/>
      <c r="R276" s="314"/>
      <c r="S276" s="314"/>
      <c r="T276" s="314"/>
      <c r="U276" s="314"/>
      <c r="V276" s="314"/>
      <c r="W276" s="314"/>
      <c r="X276" s="314"/>
      <c r="Y276" s="314"/>
      <c r="Z276" s="314"/>
      <c r="AA276" s="314"/>
      <c r="AB276" s="314"/>
      <c r="AC276" s="314"/>
      <c r="AD276" s="314"/>
      <c r="AE276" s="314"/>
      <c r="AF276" s="314"/>
    </row>
    <row r="277" spans="1:32" s="278" customFormat="1" ht="12.75" x14ac:dyDescent="0.2">
      <c r="B277" s="278" t="s">
        <v>33</v>
      </c>
      <c r="D277" s="550"/>
      <c r="E277" s="550"/>
      <c r="F277" s="550"/>
      <c r="G277" s="309" t="str">
        <f>IF(ISNUMBER(Perform_Active!$P16),TREND(Perform_Active!$P16:$Q16,Perform_Active!$P$8:$Q$8,G$269)*1000,"")</f>
        <v/>
      </c>
      <c r="H277" s="309" t="str">
        <f>IF(ISNUMBER(Perform_Active!$P16),TREND(Perform_Active!$P16:$Q16,Perform_Active!$P$8:$Q$8,H$269)*1000,"")</f>
        <v/>
      </c>
      <c r="I277" s="309" t="str">
        <f>IF(ISNUMBER(Perform_Active!$P16),TREND(Perform_Active!$P16:$Q16,Perform_Active!$P$8:$Q$8,I$269)*1000,"")</f>
        <v/>
      </c>
      <c r="J277" s="309" t="str">
        <f>IF(ISNUMBER(Perform_Active!$P16),TREND(Perform_Active!$P16:$Q16,Perform_Active!$P$8:$Q$8,J$269)*1000,"")</f>
        <v/>
      </c>
      <c r="K277" s="309" t="str">
        <f>IF(ISNUMBER(Perform_Active!$P16),TREND(Perform_Active!$P16:$Q16,Perform_Active!$P$8:$Q$8,K$269)*1000,"")</f>
        <v/>
      </c>
      <c r="L277" s="309" t="str">
        <f>IF(ISNUMBER(Perform_Active!$P16),TREND(Perform_Active!$P16:$Q16,Perform_Active!$P$8:$Q$8,L$269)*1000,"")</f>
        <v/>
      </c>
      <c r="M277" s="309" t="str">
        <f>IF(ISNUMBER(Perform_Active!$P16),TREND(Perform_Active!$P16:$Q16,Perform_Active!$P$8:$Q$8,M$269)*1000,"")</f>
        <v/>
      </c>
      <c r="N277" s="309" t="str">
        <f>IF(ISNUMBER(Perform_Active!$P16),TREND(Perform_Active!$P16:$Q16,Perform_Active!$P$8:$Q$8,N$269)*1000,"")</f>
        <v/>
      </c>
      <c r="O277" s="309" t="str">
        <f>IF(ISNUMBER(Perform_Active!$P16),TREND(Perform_Active!$P16:$Q16,Perform_Active!$P$8:$Q$8,O$269)*1000,"")</f>
        <v/>
      </c>
      <c r="P277" s="309" t="str">
        <f>IF(ISNUMBER(Perform_Active!$P16),TREND(Perform_Active!$P16:$Q16,Perform_Active!$P$8:$Q$8,P$269)*1000,"")</f>
        <v/>
      </c>
      <c r="Q277" s="309" t="str">
        <f>IF(ISNUMBER(Perform_Active!$P16),TREND(Perform_Active!$P16:$Q16,Perform_Active!$P$8:$Q$8,Q$269)*1000,"")</f>
        <v/>
      </c>
      <c r="R277" s="309" t="str">
        <f>IF(ISNUMBER(Perform_Active!$P16),TREND(Perform_Active!$P16:$Q16,Perform_Active!$P$8:$Q$8,R$269)*1000,"")</f>
        <v/>
      </c>
      <c r="S277" s="309" t="str">
        <f>IF(ISNUMBER(Perform_Active!$P16),TREND(Perform_Active!$P16:$Q16,Perform_Active!$P$8:$Q$8,S$269)*1000,"")</f>
        <v/>
      </c>
      <c r="T277" s="309" t="str">
        <f>IF(ISNUMBER(Perform_Active!$P16),TREND(Perform_Active!$P16:$Q16,Perform_Active!$P$8:$Q$8,T$269)*1000,"")</f>
        <v/>
      </c>
      <c r="U277" s="309" t="str">
        <f>IF(ISNUMBER(Perform_Active!$P16),TREND(Perform_Active!$P16:$Q16,Perform_Active!$P$8:$Q$8,U$269)*1000,"")</f>
        <v/>
      </c>
      <c r="V277" s="309" t="str">
        <f>IF(ISNUMBER(Perform_Active!$P16),TREND(Perform_Active!$P16:$Q16,Perform_Active!$P$8:$Q$8,V$269)*1000,"")</f>
        <v/>
      </c>
      <c r="W277" s="309" t="str">
        <f>IF(ISNUMBER(Perform_Active!$P16),TREND(Perform_Active!$P16:$Q16,Perform_Active!$P$8:$Q$8,W$269)*1000,"")</f>
        <v/>
      </c>
      <c r="X277" s="309" t="str">
        <f>IF(ISNUMBER(Perform_Active!$P16),TREND(Perform_Active!$P16:$Q16,Perform_Active!$P$8:$Q$8,X$269)*1000,"")</f>
        <v/>
      </c>
      <c r="Y277" s="309" t="str">
        <f>IF(ISNUMBER(Perform_Active!$P16),TREND(Perform_Active!$P16:$Q16,Perform_Active!$P$8:$Q$8,Y$269)*1000,"")</f>
        <v/>
      </c>
      <c r="Z277" s="309" t="str">
        <f>IF(ISNUMBER(Perform_Active!$P16),TREND(Perform_Active!$P16:$Q16,Perform_Active!$P$8:$Q$8,Z$269)*1000,"")</f>
        <v/>
      </c>
      <c r="AA277" s="309" t="str">
        <f>IF(ISNUMBER(Perform_Active!$P16),TREND(Perform_Active!$P16:$Q16,Perform_Active!$P$8:$Q$8,AA$269)*1000,"")</f>
        <v/>
      </c>
      <c r="AB277" s="309" t="str">
        <f>IF(ISNUMBER(Perform_Active!$P16),TREND(Perform_Active!$P16:$Q16,Perform_Active!$P$8:$Q$8,AB$269)*1000,"")</f>
        <v/>
      </c>
      <c r="AC277" s="309" t="str">
        <f>IF(ISNUMBER(Perform_Active!$P16),TREND(Perform_Active!$P16:$Q16,Perform_Active!$P$8:$Q$8,AC$269)*1000,"")</f>
        <v/>
      </c>
      <c r="AD277" s="309" t="str">
        <f>IF(ISNUMBER(Perform_Active!$P16),TREND(Perform_Active!$P16:$Q16,Perform_Active!$P$8:$Q$8,AD$269)*1000,"")</f>
        <v/>
      </c>
      <c r="AE277" s="309" t="str">
        <f>IF(ISNUMBER(Perform_Active!$P16),TREND(Perform_Active!$P16:$Q16,Perform_Active!$P$8:$Q$8,AE$269)*1000,"")</f>
        <v/>
      </c>
      <c r="AF277" s="309" t="str">
        <f>IF(ISNUMBER(Perform_Active!$P16),TREND(Perform_Active!$P16:$Q16,Perform_Active!$P$8:$Q$8,AF$269)*1000,"")</f>
        <v/>
      </c>
    </row>
    <row r="278" spans="1:32" s="278" customFormat="1" ht="12.75" x14ac:dyDescent="0.2">
      <c r="A278" s="282"/>
      <c r="B278" s="282" t="s">
        <v>34</v>
      </c>
      <c r="D278" s="550"/>
      <c r="E278" s="550"/>
      <c r="F278" s="550"/>
      <c r="G278" s="309" t="str">
        <f>IF(ISNUMBER(Perform_Active!$P17),TREND(Perform_Active!$P17:$Q17,Perform_Active!$P$8:$Q$8,G$269)*1000,"")</f>
        <v/>
      </c>
      <c r="H278" s="309" t="str">
        <f>IF(ISNUMBER(Perform_Active!$P17),TREND(Perform_Active!$P17:$Q17,Perform_Active!$P$8:$Q$8,H$269)*1000,"")</f>
        <v/>
      </c>
      <c r="I278" s="309" t="str">
        <f>IF(ISNUMBER(Perform_Active!$P17),TREND(Perform_Active!$P17:$Q17,Perform_Active!$P$8:$Q$8,I$269)*1000,"")</f>
        <v/>
      </c>
      <c r="J278" s="309" t="str">
        <f>IF(ISNUMBER(Perform_Active!$P17),TREND(Perform_Active!$P17:$Q17,Perform_Active!$P$8:$Q$8,J$269)*1000,"")</f>
        <v/>
      </c>
      <c r="K278" s="309" t="str">
        <f>IF(ISNUMBER(Perform_Active!$P17),TREND(Perform_Active!$P17:$Q17,Perform_Active!$P$8:$Q$8,K$269)*1000,"")</f>
        <v/>
      </c>
      <c r="L278" s="309" t="str">
        <f>IF(ISNUMBER(Perform_Active!$P17),TREND(Perform_Active!$P17:$Q17,Perform_Active!$P$8:$Q$8,L$269)*1000,"")</f>
        <v/>
      </c>
      <c r="M278" s="309" t="str">
        <f>IF(ISNUMBER(Perform_Active!$P17),TREND(Perform_Active!$P17:$Q17,Perform_Active!$P$8:$Q$8,M$269)*1000,"")</f>
        <v/>
      </c>
      <c r="N278" s="309" t="str">
        <f>IF(ISNUMBER(Perform_Active!$P17),TREND(Perform_Active!$P17:$Q17,Perform_Active!$P$8:$Q$8,N$269)*1000,"")</f>
        <v/>
      </c>
      <c r="O278" s="309" t="str">
        <f>IF(ISNUMBER(Perform_Active!$P17),TREND(Perform_Active!$P17:$Q17,Perform_Active!$P$8:$Q$8,O$269)*1000,"")</f>
        <v/>
      </c>
      <c r="P278" s="309" t="str">
        <f>IF(ISNUMBER(Perform_Active!$P17),TREND(Perform_Active!$P17:$Q17,Perform_Active!$P$8:$Q$8,P$269)*1000,"")</f>
        <v/>
      </c>
      <c r="Q278" s="309" t="str">
        <f>IF(ISNUMBER(Perform_Active!$P17),TREND(Perform_Active!$P17:$Q17,Perform_Active!$P$8:$Q$8,Q$269)*1000,"")</f>
        <v/>
      </c>
      <c r="R278" s="309" t="str">
        <f>IF(ISNUMBER(Perform_Active!$P17),TREND(Perform_Active!$P17:$Q17,Perform_Active!$P$8:$Q$8,R$269)*1000,"")</f>
        <v/>
      </c>
      <c r="S278" s="309" t="str">
        <f>IF(ISNUMBER(Perform_Active!$P17),TREND(Perform_Active!$P17:$Q17,Perform_Active!$P$8:$Q$8,S$269)*1000,"")</f>
        <v/>
      </c>
      <c r="T278" s="309" t="str">
        <f>IF(ISNUMBER(Perform_Active!$P17),TREND(Perform_Active!$P17:$Q17,Perform_Active!$P$8:$Q$8,T$269)*1000,"")</f>
        <v/>
      </c>
      <c r="U278" s="309" t="str">
        <f>IF(ISNUMBER(Perform_Active!$P17),TREND(Perform_Active!$P17:$Q17,Perform_Active!$P$8:$Q$8,U$269)*1000,"")</f>
        <v/>
      </c>
      <c r="V278" s="309" t="str">
        <f>IF(ISNUMBER(Perform_Active!$P17),TREND(Perform_Active!$P17:$Q17,Perform_Active!$P$8:$Q$8,V$269)*1000,"")</f>
        <v/>
      </c>
      <c r="W278" s="309" t="str">
        <f>IF(ISNUMBER(Perform_Active!$P17),TREND(Perform_Active!$P17:$Q17,Perform_Active!$P$8:$Q$8,W$269)*1000,"")</f>
        <v/>
      </c>
      <c r="X278" s="309" t="str">
        <f>IF(ISNUMBER(Perform_Active!$P17),TREND(Perform_Active!$P17:$Q17,Perform_Active!$P$8:$Q$8,X$269)*1000,"")</f>
        <v/>
      </c>
      <c r="Y278" s="309" t="str">
        <f>IF(ISNUMBER(Perform_Active!$P17),TREND(Perform_Active!$P17:$Q17,Perform_Active!$P$8:$Q$8,Y$269)*1000,"")</f>
        <v/>
      </c>
      <c r="Z278" s="309" t="str">
        <f>IF(ISNUMBER(Perform_Active!$P17),TREND(Perform_Active!$P17:$Q17,Perform_Active!$P$8:$Q$8,Z$269)*1000,"")</f>
        <v/>
      </c>
      <c r="AA278" s="309" t="str">
        <f>IF(ISNUMBER(Perform_Active!$P17),TREND(Perform_Active!$P17:$Q17,Perform_Active!$P$8:$Q$8,AA$269)*1000,"")</f>
        <v/>
      </c>
      <c r="AB278" s="309" t="str">
        <f>IF(ISNUMBER(Perform_Active!$P17),TREND(Perform_Active!$P17:$Q17,Perform_Active!$P$8:$Q$8,AB$269)*1000,"")</f>
        <v/>
      </c>
      <c r="AC278" s="309" t="str">
        <f>IF(ISNUMBER(Perform_Active!$P17),TREND(Perform_Active!$P17:$Q17,Perform_Active!$P$8:$Q$8,AC$269)*1000,"")</f>
        <v/>
      </c>
      <c r="AD278" s="309" t="str">
        <f>IF(ISNUMBER(Perform_Active!$P17),TREND(Perform_Active!$P17:$Q17,Perform_Active!$P$8:$Q$8,AD$269)*1000,"")</f>
        <v/>
      </c>
      <c r="AE278" s="309" t="str">
        <f>IF(ISNUMBER(Perform_Active!$P17),TREND(Perform_Active!$P17:$Q17,Perform_Active!$P$8:$Q$8,AE$269)*1000,"")</f>
        <v/>
      </c>
      <c r="AF278" s="309" t="str">
        <f>IF(ISNUMBER(Perform_Active!$P17),TREND(Perform_Active!$P17:$Q17,Perform_Active!$P$8:$Q$8,AF$269)*1000,"")</f>
        <v/>
      </c>
    </row>
    <row r="279" spans="1:32" s="278" customFormat="1" ht="12.75" x14ac:dyDescent="0.2">
      <c r="B279" s="282" t="s">
        <v>35</v>
      </c>
      <c r="D279" s="550"/>
      <c r="E279" s="550"/>
      <c r="F279" s="550"/>
      <c r="G279" s="309" t="str">
        <f>IF(ISNUMBER(Perform_Active!$P18),TREND(Perform_Active!$P18:$Q18,Perform_Active!$P$8:$Q$8,G$269)*1000,"")</f>
        <v/>
      </c>
      <c r="H279" s="309" t="str">
        <f>IF(ISNUMBER(Perform_Active!$P18),TREND(Perform_Active!$P18:$Q18,Perform_Active!$P$8:$Q$8,H$269)*1000,"")</f>
        <v/>
      </c>
      <c r="I279" s="309" t="str">
        <f>IF(ISNUMBER(Perform_Active!$P18),TREND(Perform_Active!$P18:$Q18,Perform_Active!$P$8:$Q$8,I$269)*1000,"")</f>
        <v/>
      </c>
      <c r="J279" s="309" t="str">
        <f>IF(ISNUMBER(Perform_Active!$P18),TREND(Perform_Active!$P18:$Q18,Perform_Active!$P$8:$Q$8,J$269)*1000,"")</f>
        <v/>
      </c>
      <c r="K279" s="309" t="str">
        <f>IF(ISNUMBER(Perform_Active!$P18),TREND(Perform_Active!$P18:$Q18,Perform_Active!$P$8:$Q$8,K$269)*1000,"")</f>
        <v/>
      </c>
      <c r="L279" s="309" t="str">
        <f>IF(ISNUMBER(Perform_Active!$P18),TREND(Perform_Active!$P18:$Q18,Perform_Active!$P$8:$Q$8,L$269)*1000,"")</f>
        <v/>
      </c>
      <c r="M279" s="309" t="str">
        <f>IF(ISNUMBER(Perform_Active!$P18),TREND(Perform_Active!$P18:$Q18,Perform_Active!$P$8:$Q$8,M$269)*1000,"")</f>
        <v/>
      </c>
      <c r="N279" s="309" t="str">
        <f>IF(ISNUMBER(Perform_Active!$P18),TREND(Perform_Active!$P18:$Q18,Perform_Active!$P$8:$Q$8,N$269)*1000,"")</f>
        <v/>
      </c>
      <c r="O279" s="309" t="str">
        <f>IF(ISNUMBER(Perform_Active!$P18),TREND(Perform_Active!$P18:$Q18,Perform_Active!$P$8:$Q$8,O$269)*1000,"")</f>
        <v/>
      </c>
      <c r="P279" s="309" t="str">
        <f>IF(ISNUMBER(Perform_Active!$P18),TREND(Perform_Active!$P18:$Q18,Perform_Active!$P$8:$Q$8,P$269)*1000,"")</f>
        <v/>
      </c>
      <c r="Q279" s="309" t="str">
        <f>IF(ISNUMBER(Perform_Active!$P18),TREND(Perform_Active!$P18:$Q18,Perform_Active!$P$8:$Q$8,Q$269)*1000,"")</f>
        <v/>
      </c>
      <c r="R279" s="309" t="str">
        <f>IF(ISNUMBER(Perform_Active!$P18),TREND(Perform_Active!$P18:$Q18,Perform_Active!$P$8:$Q$8,R$269)*1000,"")</f>
        <v/>
      </c>
      <c r="S279" s="309" t="str">
        <f>IF(ISNUMBER(Perform_Active!$P18),TREND(Perform_Active!$P18:$Q18,Perform_Active!$P$8:$Q$8,S$269)*1000,"")</f>
        <v/>
      </c>
      <c r="T279" s="309" t="str">
        <f>IF(ISNUMBER(Perform_Active!$P18),TREND(Perform_Active!$P18:$Q18,Perform_Active!$P$8:$Q$8,T$269)*1000,"")</f>
        <v/>
      </c>
      <c r="U279" s="309" t="str">
        <f>IF(ISNUMBER(Perform_Active!$P18),TREND(Perform_Active!$P18:$Q18,Perform_Active!$P$8:$Q$8,U$269)*1000,"")</f>
        <v/>
      </c>
      <c r="V279" s="309" t="str">
        <f>IF(ISNUMBER(Perform_Active!$P18),TREND(Perform_Active!$P18:$Q18,Perform_Active!$P$8:$Q$8,V$269)*1000,"")</f>
        <v/>
      </c>
      <c r="W279" s="309" t="str">
        <f>IF(ISNUMBER(Perform_Active!$P18),TREND(Perform_Active!$P18:$Q18,Perform_Active!$P$8:$Q$8,W$269)*1000,"")</f>
        <v/>
      </c>
      <c r="X279" s="309" t="str">
        <f>IF(ISNUMBER(Perform_Active!$P18),TREND(Perform_Active!$P18:$Q18,Perform_Active!$P$8:$Q$8,X$269)*1000,"")</f>
        <v/>
      </c>
      <c r="Y279" s="309" t="str">
        <f>IF(ISNUMBER(Perform_Active!$P18),TREND(Perform_Active!$P18:$Q18,Perform_Active!$P$8:$Q$8,Y$269)*1000,"")</f>
        <v/>
      </c>
      <c r="Z279" s="309" t="str">
        <f>IF(ISNUMBER(Perform_Active!$P18),TREND(Perform_Active!$P18:$Q18,Perform_Active!$P$8:$Q$8,Z$269)*1000,"")</f>
        <v/>
      </c>
      <c r="AA279" s="309" t="str">
        <f>IF(ISNUMBER(Perform_Active!$P18),TREND(Perform_Active!$P18:$Q18,Perform_Active!$P$8:$Q$8,AA$269)*1000,"")</f>
        <v/>
      </c>
      <c r="AB279" s="309" t="str">
        <f>IF(ISNUMBER(Perform_Active!$P18),TREND(Perform_Active!$P18:$Q18,Perform_Active!$P$8:$Q$8,AB$269)*1000,"")</f>
        <v/>
      </c>
      <c r="AC279" s="309" t="str">
        <f>IF(ISNUMBER(Perform_Active!$P18),TREND(Perform_Active!$P18:$Q18,Perform_Active!$P$8:$Q$8,AC$269)*1000,"")</f>
        <v/>
      </c>
      <c r="AD279" s="309" t="str">
        <f>IF(ISNUMBER(Perform_Active!$P18),TREND(Perform_Active!$P18:$Q18,Perform_Active!$P$8:$Q$8,AD$269)*1000,"")</f>
        <v/>
      </c>
      <c r="AE279" s="309" t="str">
        <f>IF(ISNUMBER(Perform_Active!$P18),TREND(Perform_Active!$P18:$Q18,Perform_Active!$P$8:$Q$8,AE$269)*1000,"")</f>
        <v/>
      </c>
      <c r="AF279" s="309" t="str">
        <f>IF(ISNUMBER(Perform_Active!$P18),TREND(Perform_Active!$P18:$Q18,Perform_Active!$P$8:$Q$8,AF$269)*1000,"")</f>
        <v/>
      </c>
    </row>
    <row r="280" spans="1:32" s="278" customFormat="1" ht="12.75" x14ac:dyDescent="0.2">
      <c r="B280" s="282" t="s">
        <v>29</v>
      </c>
      <c r="D280" s="550"/>
      <c r="E280" s="550"/>
      <c r="F280" s="550"/>
      <c r="G280" s="309" t="str">
        <f>IF(ISNUMBER(Perform_Active!$P19),TREND(Perform_Active!$P19:$Q19,Perform_Active!$P$8:$Q$8,G$269)*1000,"")</f>
        <v/>
      </c>
      <c r="H280" s="309" t="str">
        <f>IF(ISNUMBER(Perform_Active!$P19),TREND(Perform_Active!$P19:$Q19,Perform_Active!$P$8:$Q$8,H$269)*1000,"")</f>
        <v/>
      </c>
      <c r="I280" s="309" t="str">
        <f>IF(ISNUMBER(Perform_Active!$P19),TREND(Perform_Active!$P19:$Q19,Perform_Active!$P$8:$Q$8,I$269)*1000,"")</f>
        <v/>
      </c>
      <c r="J280" s="309" t="str">
        <f>IF(ISNUMBER(Perform_Active!$P19),TREND(Perform_Active!$P19:$Q19,Perform_Active!$P$8:$Q$8,J$269)*1000,"")</f>
        <v/>
      </c>
      <c r="K280" s="309" t="str">
        <f>IF(ISNUMBER(Perform_Active!$P19),TREND(Perform_Active!$P19:$Q19,Perform_Active!$P$8:$Q$8,K$269)*1000,"")</f>
        <v/>
      </c>
      <c r="L280" s="309" t="str">
        <f>IF(ISNUMBER(Perform_Active!$P19),TREND(Perform_Active!$P19:$Q19,Perform_Active!$P$8:$Q$8,L$269)*1000,"")</f>
        <v/>
      </c>
      <c r="M280" s="309" t="str">
        <f>IF(ISNUMBER(Perform_Active!$P19),TREND(Perform_Active!$P19:$Q19,Perform_Active!$P$8:$Q$8,M$269)*1000,"")</f>
        <v/>
      </c>
      <c r="N280" s="309" t="str">
        <f>IF(ISNUMBER(Perform_Active!$P19),TREND(Perform_Active!$P19:$Q19,Perform_Active!$P$8:$Q$8,N$269)*1000,"")</f>
        <v/>
      </c>
      <c r="O280" s="309" t="str">
        <f>IF(ISNUMBER(Perform_Active!$P19),TREND(Perform_Active!$P19:$Q19,Perform_Active!$P$8:$Q$8,O$269)*1000,"")</f>
        <v/>
      </c>
      <c r="P280" s="309" t="str">
        <f>IF(ISNUMBER(Perform_Active!$P19),TREND(Perform_Active!$P19:$Q19,Perform_Active!$P$8:$Q$8,P$269)*1000,"")</f>
        <v/>
      </c>
      <c r="Q280" s="309" t="str">
        <f>IF(ISNUMBER(Perform_Active!$P19),TREND(Perform_Active!$P19:$Q19,Perform_Active!$P$8:$Q$8,Q$269)*1000,"")</f>
        <v/>
      </c>
      <c r="R280" s="309" t="str">
        <f>IF(ISNUMBER(Perform_Active!$P19),TREND(Perform_Active!$P19:$Q19,Perform_Active!$P$8:$Q$8,R$269)*1000,"")</f>
        <v/>
      </c>
      <c r="S280" s="309" t="str">
        <f>IF(ISNUMBER(Perform_Active!$P19),TREND(Perform_Active!$P19:$Q19,Perform_Active!$P$8:$Q$8,S$269)*1000,"")</f>
        <v/>
      </c>
      <c r="T280" s="309" t="str">
        <f>IF(ISNUMBER(Perform_Active!$P19),TREND(Perform_Active!$P19:$Q19,Perform_Active!$P$8:$Q$8,T$269)*1000,"")</f>
        <v/>
      </c>
      <c r="U280" s="309" t="str">
        <f>IF(ISNUMBER(Perform_Active!$P19),TREND(Perform_Active!$P19:$Q19,Perform_Active!$P$8:$Q$8,U$269)*1000,"")</f>
        <v/>
      </c>
      <c r="V280" s="309" t="str">
        <f>IF(ISNUMBER(Perform_Active!$P19),TREND(Perform_Active!$P19:$Q19,Perform_Active!$P$8:$Q$8,V$269)*1000,"")</f>
        <v/>
      </c>
      <c r="W280" s="309" t="str">
        <f>IF(ISNUMBER(Perform_Active!$P19),TREND(Perform_Active!$P19:$Q19,Perform_Active!$P$8:$Q$8,W$269)*1000,"")</f>
        <v/>
      </c>
      <c r="X280" s="309" t="str">
        <f>IF(ISNUMBER(Perform_Active!$P19),TREND(Perform_Active!$P19:$Q19,Perform_Active!$P$8:$Q$8,X$269)*1000,"")</f>
        <v/>
      </c>
      <c r="Y280" s="309" t="str">
        <f>IF(ISNUMBER(Perform_Active!$P19),TREND(Perform_Active!$P19:$Q19,Perform_Active!$P$8:$Q$8,Y$269)*1000,"")</f>
        <v/>
      </c>
      <c r="Z280" s="309" t="str">
        <f>IF(ISNUMBER(Perform_Active!$P19),TREND(Perform_Active!$P19:$Q19,Perform_Active!$P$8:$Q$8,Z$269)*1000,"")</f>
        <v/>
      </c>
      <c r="AA280" s="309" t="str">
        <f>IF(ISNUMBER(Perform_Active!$P19),TREND(Perform_Active!$P19:$Q19,Perform_Active!$P$8:$Q$8,AA$269)*1000,"")</f>
        <v/>
      </c>
      <c r="AB280" s="309" t="str">
        <f>IF(ISNUMBER(Perform_Active!$P19),TREND(Perform_Active!$P19:$Q19,Perform_Active!$P$8:$Q$8,AB$269)*1000,"")</f>
        <v/>
      </c>
      <c r="AC280" s="309" t="str">
        <f>IF(ISNUMBER(Perform_Active!$P19),TREND(Perform_Active!$P19:$Q19,Perform_Active!$P$8:$Q$8,AC$269)*1000,"")</f>
        <v/>
      </c>
      <c r="AD280" s="309" t="str">
        <f>IF(ISNUMBER(Perform_Active!$P19),TREND(Perform_Active!$P19:$Q19,Perform_Active!$P$8:$Q$8,AD$269)*1000,"")</f>
        <v/>
      </c>
      <c r="AE280" s="309" t="str">
        <f>IF(ISNUMBER(Perform_Active!$P19),TREND(Perform_Active!$P19:$Q19,Perform_Active!$P$8:$Q$8,AE$269)*1000,"")</f>
        <v/>
      </c>
      <c r="AF280" s="309" t="str">
        <f>IF(ISNUMBER(Perform_Active!$P19),TREND(Perform_Active!$P19:$Q19,Perform_Active!$P$8:$Q$8,AF$269)*1000,"")</f>
        <v/>
      </c>
    </row>
    <row r="281" spans="1:32" s="278" customFormat="1" ht="12.75" x14ac:dyDescent="0.2">
      <c r="D281" s="550"/>
      <c r="E281" s="550"/>
      <c r="F281" s="550"/>
      <c r="G281" s="296"/>
      <c r="H281" s="313"/>
      <c r="I281" s="313"/>
      <c r="J281" s="313"/>
      <c r="K281" s="313"/>
      <c r="L281" s="313"/>
      <c r="M281" s="313"/>
      <c r="N281" s="313"/>
      <c r="O281" s="313"/>
      <c r="P281" s="313"/>
      <c r="Q281" s="313"/>
      <c r="R281" s="313"/>
      <c r="S281" s="313"/>
      <c r="T281" s="313"/>
      <c r="U281" s="313"/>
      <c r="V281" s="313"/>
      <c r="W281" s="313"/>
      <c r="X281" s="313"/>
      <c r="Y281" s="313"/>
      <c r="Z281" s="313"/>
      <c r="AA281" s="313"/>
      <c r="AB281" s="313"/>
      <c r="AC281" s="313"/>
      <c r="AD281" s="313"/>
      <c r="AE281" s="313"/>
      <c r="AF281" s="313"/>
    </row>
    <row r="282" spans="1:32" s="278" customFormat="1" ht="12.75" x14ac:dyDescent="0.2">
      <c r="A282" s="281" t="s">
        <v>36</v>
      </c>
      <c r="B282" s="280"/>
      <c r="C282" s="280"/>
      <c r="D282" s="501"/>
      <c r="E282" s="501"/>
      <c r="F282" s="501"/>
      <c r="G282" s="297"/>
      <c r="H282" s="314"/>
      <c r="I282" s="314"/>
      <c r="J282" s="314"/>
      <c r="K282" s="314"/>
      <c r="L282" s="314"/>
      <c r="M282" s="314"/>
      <c r="N282" s="314"/>
      <c r="O282" s="314"/>
      <c r="P282" s="314"/>
      <c r="Q282" s="314"/>
      <c r="R282" s="314"/>
      <c r="S282" s="314"/>
      <c r="T282" s="314"/>
      <c r="U282" s="314"/>
      <c r="V282" s="314"/>
      <c r="W282" s="314"/>
      <c r="X282" s="314"/>
      <c r="Y282" s="314"/>
      <c r="Z282" s="314"/>
      <c r="AA282" s="314"/>
      <c r="AB282" s="314"/>
      <c r="AC282" s="314"/>
      <c r="AD282" s="314"/>
      <c r="AE282" s="314"/>
      <c r="AF282" s="314"/>
    </row>
    <row r="283" spans="1:32" s="278" customFormat="1" ht="12.75" x14ac:dyDescent="0.2">
      <c r="B283" s="278" t="s">
        <v>37</v>
      </c>
      <c r="C283" s="282"/>
      <c r="D283" s="552"/>
      <c r="E283" s="552"/>
      <c r="F283" s="552"/>
      <c r="G283" s="309">
        <f>IF(ISNUMBER(Perform_Active!$P22),TREND(Perform_Active!$P22:$Q22,Perform_Active!$P$8:$Q$8,G$269)*1000,"")</f>
        <v>50000</v>
      </c>
      <c r="H283" s="309">
        <f>IF(ISNUMBER(Perform_Active!$P22),TREND(Perform_Active!$P22:$Q22,Perform_Active!$P$8:$Q$8,H$269)*1000,"")</f>
        <v>52200.000000000728</v>
      </c>
      <c r="I283" s="309">
        <f>IF(ISNUMBER(Perform_Active!$P22),TREND(Perform_Active!$P22:$Q22,Perform_Active!$P$8:$Q$8,I$269)*1000,"")</f>
        <v>54400.000000000546</v>
      </c>
      <c r="J283" s="309">
        <f>IF(ISNUMBER(Perform_Active!$P22),TREND(Perform_Active!$P22:$Q22,Perform_Active!$P$8:$Q$8,J$269)*1000,"")</f>
        <v>56600.000000000364</v>
      </c>
      <c r="K283" s="309">
        <f>IF(ISNUMBER(Perform_Active!$P22),TREND(Perform_Active!$P22:$Q22,Perform_Active!$P$8:$Q$8,K$269)*1000,"")</f>
        <v>58800.000000000182</v>
      </c>
      <c r="L283" s="309">
        <f>IF(ISNUMBER(Perform_Active!$P22),TREND(Perform_Active!$P22:$Q22,Perform_Active!$P$8:$Q$8,L$269)*1000,"")</f>
        <v>61000</v>
      </c>
      <c r="M283" s="309">
        <f>IF(ISNUMBER(Perform_Active!$P22),TREND(Perform_Active!$P22:$Q22,Perform_Active!$P$8:$Q$8,M$269)*1000,"")</f>
        <v>63200.000000000728</v>
      </c>
      <c r="N283" s="309">
        <f>IF(ISNUMBER(Perform_Active!$P22),TREND(Perform_Active!$P22:$Q22,Perform_Active!$P$8:$Q$8,N$269)*1000,"")</f>
        <v>65400.000000000546</v>
      </c>
      <c r="O283" s="309">
        <f>IF(ISNUMBER(Perform_Active!$P22),TREND(Perform_Active!$P22:$Q22,Perform_Active!$P$8:$Q$8,O$269)*1000,"")</f>
        <v>67600.000000000364</v>
      </c>
      <c r="P283" s="309">
        <f>IF(ISNUMBER(Perform_Active!$P22),TREND(Perform_Active!$P22:$Q22,Perform_Active!$P$8:$Q$8,P$269)*1000,"")</f>
        <v>69800.000000000175</v>
      </c>
      <c r="Q283" s="309">
        <f>IF(ISNUMBER(Perform_Active!$P22),TREND(Perform_Active!$P22:$Q22,Perform_Active!$P$8:$Q$8,Q$269)*1000,"")</f>
        <v>72000</v>
      </c>
      <c r="R283" s="309">
        <f>IF(ISNUMBER(Perform_Active!$P22),TREND(Perform_Active!$P22:$Q22,Perform_Active!$P$8:$Q$8,R$269)*1000,"")</f>
        <v>74200.000000000728</v>
      </c>
      <c r="S283" s="309">
        <f>IF(ISNUMBER(Perform_Active!$P22),TREND(Perform_Active!$P22:$Q22,Perform_Active!$P$8:$Q$8,S$269)*1000,"")</f>
        <v>76400.000000000553</v>
      </c>
      <c r="T283" s="309">
        <f>IF(ISNUMBER(Perform_Active!$P22),TREND(Perform_Active!$P22:$Q22,Perform_Active!$P$8:$Q$8,T$269)*1000,"")</f>
        <v>78600.000000000364</v>
      </c>
      <c r="U283" s="309">
        <f>IF(ISNUMBER(Perform_Active!$P22),TREND(Perform_Active!$P22:$Q22,Perform_Active!$P$8:$Q$8,U$269)*1000,"")</f>
        <v>80800.000000000175</v>
      </c>
      <c r="V283" s="309">
        <f>IF(ISNUMBER(Perform_Active!$P22),TREND(Perform_Active!$P22:$Q22,Perform_Active!$P$8:$Q$8,V$269)*1000,"")</f>
        <v>83000</v>
      </c>
      <c r="W283" s="309">
        <f>IF(ISNUMBER(Perform_Active!$P22),TREND(Perform_Active!$P22:$Q22,Perform_Active!$P$8:$Q$8,W$269)*1000,"")</f>
        <v>85200.000000000728</v>
      </c>
      <c r="X283" s="309">
        <f>IF(ISNUMBER(Perform_Active!$P22),TREND(Perform_Active!$P22:$Q22,Perform_Active!$P$8:$Q$8,X$269)*1000,"")</f>
        <v>87400.000000000553</v>
      </c>
      <c r="Y283" s="309">
        <f>IF(ISNUMBER(Perform_Active!$P22),TREND(Perform_Active!$P22:$Q22,Perform_Active!$P$8:$Q$8,Y$269)*1000,"")</f>
        <v>89600.000000000364</v>
      </c>
      <c r="Z283" s="309">
        <f>IF(ISNUMBER(Perform_Active!$P22),TREND(Perform_Active!$P22:$Q22,Perform_Active!$P$8:$Q$8,Z$269)*1000,"")</f>
        <v>91800.000000000175</v>
      </c>
      <c r="AA283" s="309">
        <f>IF(ISNUMBER(Perform_Active!$P22),TREND(Perform_Active!$P22:$Q22,Perform_Active!$P$8:$Q$8,AA$269)*1000,"")</f>
        <v>94000</v>
      </c>
      <c r="AB283" s="309">
        <f>IF(ISNUMBER(Perform_Active!$P22),TREND(Perform_Active!$P22:$Q22,Perform_Active!$P$8:$Q$8,AB$269)*1000,"")</f>
        <v>96200.000000000728</v>
      </c>
      <c r="AC283" s="309">
        <f>IF(ISNUMBER(Perform_Active!$P22),TREND(Perform_Active!$P22:$Q22,Perform_Active!$P$8:$Q$8,AC$269)*1000,"")</f>
        <v>98400.000000000553</v>
      </c>
      <c r="AD283" s="309">
        <f>IF(ISNUMBER(Perform_Active!$P22),TREND(Perform_Active!$P22:$Q22,Perform_Active!$P$8:$Q$8,AD$269)*1000,"")</f>
        <v>100600.00000000036</v>
      </c>
      <c r="AE283" s="309">
        <f>IF(ISNUMBER(Perform_Active!$P22),TREND(Perform_Active!$P22:$Q22,Perform_Active!$P$8:$Q$8,AE$269)*1000,"")</f>
        <v>102800.00000000017</v>
      </c>
      <c r="AF283" s="309">
        <f>IF(ISNUMBER(Perform_Active!$P22),TREND(Perform_Active!$P22:$Q22,Perform_Active!$P$8:$Q$8,AF$269)*1000,"")</f>
        <v>105000</v>
      </c>
    </row>
    <row r="284" spans="1:32" s="278" customFormat="1" ht="12.75" x14ac:dyDescent="0.2">
      <c r="B284" s="278" t="s">
        <v>39</v>
      </c>
      <c r="D284" s="550"/>
      <c r="E284" s="550"/>
      <c r="F284" s="550"/>
      <c r="G284" s="309">
        <f>IF(ISNUMBER(Perform_Active!$P23),TREND(Perform_Active!$P23:$Q23,Perform_Active!$P$8:$Q$8,G$269)*1000,"")</f>
        <v>50000</v>
      </c>
      <c r="H284" s="309">
        <f>IF(ISNUMBER(Perform_Active!$P23),TREND(Perform_Active!$P23:$Q23,Perform_Active!$P$8:$Q$8,H$269)*1000,"")</f>
        <v>52200.000000000728</v>
      </c>
      <c r="I284" s="309">
        <f>IF(ISNUMBER(Perform_Active!$P23),TREND(Perform_Active!$P23:$Q23,Perform_Active!$P$8:$Q$8,I$269)*1000,"")</f>
        <v>54400.000000000546</v>
      </c>
      <c r="J284" s="309">
        <f>IF(ISNUMBER(Perform_Active!$P23),TREND(Perform_Active!$P23:$Q23,Perform_Active!$P$8:$Q$8,J$269)*1000,"")</f>
        <v>56600.000000000364</v>
      </c>
      <c r="K284" s="309">
        <f>IF(ISNUMBER(Perform_Active!$P23),TREND(Perform_Active!$P23:$Q23,Perform_Active!$P$8:$Q$8,K$269)*1000,"")</f>
        <v>58800.000000000182</v>
      </c>
      <c r="L284" s="309">
        <f>IF(ISNUMBER(Perform_Active!$P23),TREND(Perform_Active!$P23:$Q23,Perform_Active!$P$8:$Q$8,L$269)*1000,"")</f>
        <v>61000</v>
      </c>
      <c r="M284" s="309">
        <f>IF(ISNUMBER(Perform_Active!$P23),TREND(Perform_Active!$P23:$Q23,Perform_Active!$P$8:$Q$8,M$269)*1000,"")</f>
        <v>63200.000000000728</v>
      </c>
      <c r="N284" s="309">
        <f>IF(ISNUMBER(Perform_Active!$P23),TREND(Perform_Active!$P23:$Q23,Perform_Active!$P$8:$Q$8,N$269)*1000,"")</f>
        <v>65400.000000000546</v>
      </c>
      <c r="O284" s="309">
        <f>IF(ISNUMBER(Perform_Active!$P23),TREND(Perform_Active!$P23:$Q23,Perform_Active!$P$8:$Q$8,O$269)*1000,"")</f>
        <v>67600.000000000364</v>
      </c>
      <c r="P284" s="309">
        <f>IF(ISNUMBER(Perform_Active!$P23),TREND(Perform_Active!$P23:$Q23,Perform_Active!$P$8:$Q$8,P$269)*1000,"")</f>
        <v>69800.000000000175</v>
      </c>
      <c r="Q284" s="309">
        <f>IF(ISNUMBER(Perform_Active!$P23),TREND(Perform_Active!$P23:$Q23,Perform_Active!$P$8:$Q$8,Q$269)*1000,"")</f>
        <v>72000</v>
      </c>
      <c r="R284" s="309">
        <f>IF(ISNUMBER(Perform_Active!$P23),TREND(Perform_Active!$P23:$Q23,Perform_Active!$P$8:$Q$8,R$269)*1000,"")</f>
        <v>74200.000000000728</v>
      </c>
      <c r="S284" s="309">
        <f>IF(ISNUMBER(Perform_Active!$P23),TREND(Perform_Active!$P23:$Q23,Perform_Active!$P$8:$Q$8,S$269)*1000,"")</f>
        <v>76400.000000000553</v>
      </c>
      <c r="T284" s="309">
        <f>IF(ISNUMBER(Perform_Active!$P23),TREND(Perform_Active!$P23:$Q23,Perform_Active!$P$8:$Q$8,T$269)*1000,"")</f>
        <v>78600.000000000364</v>
      </c>
      <c r="U284" s="309">
        <f>IF(ISNUMBER(Perform_Active!$P23),TREND(Perform_Active!$P23:$Q23,Perform_Active!$P$8:$Q$8,U$269)*1000,"")</f>
        <v>80800.000000000175</v>
      </c>
      <c r="V284" s="309">
        <f>IF(ISNUMBER(Perform_Active!$P23),TREND(Perform_Active!$P23:$Q23,Perform_Active!$P$8:$Q$8,V$269)*1000,"")</f>
        <v>83000</v>
      </c>
      <c r="W284" s="309">
        <f>IF(ISNUMBER(Perform_Active!$P23),TREND(Perform_Active!$P23:$Q23,Perform_Active!$P$8:$Q$8,W$269)*1000,"")</f>
        <v>85200.000000000728</v>
      </c>
      <c r="X284" s="309">
        <f>IF(ISNUMBER(Perform_Active!$P23),TREND(Perform_Active!$P23:$Q23,Perform_Active!$P$8:$Q$8,X$269)*1000,"")</f>
        <v>87400.000000000553</v>
      </c>
      <c r="Y284" s="309">
        <f>IF(ISNUMBER(Perform_Active!$P23),TREND(Perform_Active!$P23:$Q23,Perform_Active!$P$8:$Q$8,Y$269)*1000,"")</f>
        <v>89600.000000000364</v>
      </c>
      <c r="Z284" s="309">
        <f>IF(ISNUMBER(Perform_Active!$P23),TREND(Perform_Active!$P23:$Q23,Perform_Active!$P$8:$Q$8,Z$269)*1000,"")</f>
        <v>91800.000000000175</v>
      </c>
      <c r="AA284" s="309">
        <f>IF(ISNUMBER(Perform_Active!$P23),TREND(Perform_Active!$P23:$Q23,Perform_Active!$P$8:$Q$8,AA$269)*1000,"")</f>
        <v>94000</v>
      </c>
      <c r="AB284" s="309">
        <f>IF(ISNUMBER(Perform_Active!$P23),TREND(Perform_Active!$P23:$Q23,Perform_Active!$P$8:$Q$8,AB$269)*1000,"")</f>
        <v>96200.000000000728</v>
      </c>
      <c r="AC284" s="309">
        <f>IF(ISNUMBER(Perform_Active!$P23),TREND(Perform_Active!$P23:$Q23,Perform_Active!$P$8:$Q$8,AC$269)*1000,"")</f>
        <v>98400.000000000553</v>
      </c>
      <c r="AD284" s="309">
        <f>IF(ISNUMBER(Perform_Active!$P23),TREND(Perform_Active!$P23:$Q23,Perform_Active!$P$8:$Q$8,AD$269)*1000,"")</f>
        <v>100600.00000000036</v>
      </c>
      <c r="AE284" s="309">
        <f>IF(ISNUMBER(Perform_Active!$P23),TREND(Perform_Active!$P23:$Q23,Perform_Active!$P$8:$Q$8,AE$269)*1000,"")</f>
        <v>102800.00000000017</v>
      </c>
      <c r="AF284" s="309">
        <f>IF(ISNUMBER(Perform_Active!$P23),TREND(Perform_Active!$P23:$Q23,Perform_Active!$P$8:$Q$8,AF$269)*1000,"")</f>
        <v>105000</v>
      </c>
    </row>
    <row r="285" spans="1:32" s="278" customFormat="1" ht="12.75" x14ac:dyDescent="0.2">
      <c r="B285" s="278" t="s">
        <v>40</v>
      </c>
      <c r="D285" s="550"/>
      <c r="E285" s="550"/>
      <c r="F285" s="550"/>
      <c r="G285" s="309">
        <f>IF(ISNUMBER(Perform_Active!$P24),TREND(Perform_Active!$P24:$Q24,Perform_Active!$P$8:$Q$8,G$269)*1000,"")</f>
        <v>50000</v>
      </c>
      <c r="H285" s="309">
        <f>IF(ISNUMBER(Perform_Active!$P24),TREND(Perform_Active!$P24:$Q24,Perform_Active!$P$8:$Q$8,H$269)*1000,"")</f>
        <v>52200.000000000728</v>
      </c>
      <c r="I285" s="309">
        <f>IF(ISNUMBER(Perform_Active!$P24),TREND(Perform_Active!$P24:$Q24,Perform_Active!$P$8:$Q$8,I$269)*1000,"")</f>
        <v>54400.000000000546</v>
      </c>
      <c r="J285" s="309">
        <f>IF(ISNUMBER(Perform_Active!$P24),TREND(Perform_Active!$P24:$Q24,Perform_Active!$P$8:$Q$8,J$269)*1000,"")</f>
        <v>56600.000000000364</v>
      </c>
      <c r="K285" s="309">
        <f>IF(ISNUMBER(Perform_Active!$P24),TREND(Perform_Active!$P24:$Q24,Perform_Active!$P$8:$Q$8,K$269)*1000,"")</f>
        <v>58800.000000000182</v>
      </c>
      <c r="L285" s="309">
        <f>IF(ISNUMBER(Perform_Active!$P24),TREND(Perform_Active!$P24:$Q24,Perform_Active!$P$8:$Q$8,L$269)*1000,"")</f>
        <v>61000</v>
      </c>
      <c r="M285" s="309">
        <f>IF(ISNUMBER(Perform_Active!$P24),TREND(Perform_Active!$P24:$Q24,Perform_Active!$P$8:$Q$8,M$269)*1000,"")</f>
        <v>63200.000000000728</v>
      </c>
      <c r="N285" s="309">
        <f>IF(ISNUMBER(Perform_Active!$P24),TREND(Perform_Active!$P24:$Q24,Perform_Active!$P$8:$Q$8,N$269)*1000,"")</f>
        <v>65400.000000000546</v>
      </c>
      <c r="O285" s="309">
        <f>IF(ISNUMBER(Perform_Active!$P24),TREND(Perform_Active!$P24:$Q24,Perform_Active!$P$8:$Q$8,O$269)*1000,"")</f>
        <v>67600.000000000364</v>
      </c>
      <c r="P285" s="309">
        <f>IF(ISNUMBER(Perform_Active!$P24),TREND(Perform_Active!$P24:$Q24,Perform_Active!$P$8:$Q$8,P$269)*1000,"")</f>
        <v>69800.000000000175</v>
      </c>
      <c r="Q285" s="309">
        <f>IF(ISNUMBER(Perform_Active!$P24),TREND(Perform_Active!$P24:$Q24,Perform_Active!$P$8:$Q$8,Q$269)*1000,"")</f>
        <v>72000</v>
      </c>
      <c r="R285" s="309">
        <f>IF(ISNUMBER(Perform_Active!$P24),TREND(Perform_Active!$P24:$Q24,Perform_Active!$P$8:$Q$8,R$269)*1000,"")</f>
        <v>74200.000000000728</v>
      </c>
      <c r="S285" s="309">
        <f>IF(ISNUMBER(Perform_Active!$P24),TREND(Perform_Active!$P24:$Q24,Perform_Active!$P$8:$Q$8,S$269)*1000,"")</f>
        <v>76400.000000000553</v>
      </c>
      <c r="T285" s="309">
        <f>IF(ISNUMBER(Perform_Active!$P24),TREND(Perform_Active!$P24:$Q24,Perform_Active!$P$8:$Q$8,T$269)*1000,"")</f>
        <v>78600.000000000364</v>
      </c>
      <c r="U285" s="309">
        <f>IF(ISNUMBER(Perform_Active!$P24),TREND(Perform_Active!$P24:$Q24,Perform_Active!$P$8:$Q$8,U$269)*1000,"")</f>
        <v>80800.000000000175</v>
      </c>
      <c r="V285" s="309">
        <f>IF(ISNUMBER(Perform_Active!$P24),TREND(Perform_Active!$P24:$Q24,Perform_Active!$P$8:$Q$8,V$269)*1000,"")</f>
        <v>83000</v>
      </c>
      <c r="W285" s="309">
        <f>IF(ISNUMBER(Perform_Active!$P24),TREND(Perform_Active!$P24:$Q24,Perform_Active!$P$8:$Q$8,W$269)*1000,"")</f>
        <v>85200.000000000728</v>
      </c>
      <c r="X285" s="309">
        <f>IF(ISNUMBER(Perform_Active!$P24),TREND(Perform_Active!$P24:$Q24,Perform_Active!$P$8:$Q$8,X$269)*1000,"")</f>
        <v>87400.000000000553</v>
      </c>
      <c r="Y285" s="309">
        <f>IF(ISNUMBER(Perform_Active!$P24),TREND(Perform_Active!$P24:$Q24,Perform_Active!$P$8:$Q$8,Y$269)*1000,"")</f>
        <v>89600.000000000364</v>
      </c>
      <c r="Z285" s="309">
        <f>IF(ISNUMBER(Perform_Active!$P24),TREND(Perform_Active!$P24:$Q24,Perform_Active!$P$8:$Q$8,Z$269)*1000,"")</f>
        <v>91800.000000000175</v>
      </c>
      <c r="AA285" s="309">
        <f>IF(ISNUMBER(Perform_Active!$P24),TREND(Perform_Active!$P24:$Q24,Perform_Active!$P$8:$Q$8,AA$269)*1000,"")</f>
        <v>94000</v>
      </c>
      <c r="AB285" s="309">
        <f>IF(ISNUMBER(Perform_Active!$P24),TREND(Perform_Active!$P24:$Q24,Perform_Active!$P$8:$Q$8,AB$269)*1000,"")</f>
        <v>96200.000000000728</v>
      </c>
      <c r="AC285" s="309">
        <f>IF(ISNUMBER(Perform_Active!$P24),TREND(Perform_Active!$P24:$Q24,Perform_Active!$P$8:$Q$8,AC$269)*1000,"")</f>
        <v>98400.000000000553</v>
      </c>
      <c r="AD285" s="309">
        <f>IF(ISNUMBER(Perform_Active!$P24),TREND(Perform_Active!$P24:$Q24,Perform_Active!$P$8:$Q$8,AD$269)*1000,"")</f>
        <v>100600.00000000036</v>
      </c>
      <c r="AE285" s="309">
        <f>IF(ISNUMBER(Perform_Active!$P24),TREND(Perform_Active!$P24:$Q24,Perform_Active!$P$8:$Q$8,AE$269)*1000,"")</f>
        <v>102800.00000000017</v>
      </c>
      <c r="AF285" s="309">
        <f>IF(ISNUMBER(Perform_Active!$P24),TREND(Perform_Active!$P24:$Q24,Perform_Active!$P$8:$Q$8,AF$269)*1000,"")</f>
        <v>105000</v>
      </c>
    </row>
    <row r="286" spans="1:32" s="278" customFormat="1" ht="12.75" x14ac:dyDescent="0.2">
      <c r="B286" s="278" t="s">
        <v>29</v>
      </c>
      <c r="D286" s="550"/>
      <c r="E286" s="550"/>
      <c r="F286" s="550"/>
      <c r="G286" s="309" t="str">
        <f>IF(ISNUMBER(Perform_Active!$P25),TREND(Perform_Active!$P25:$Q25,Perform_Active!$P$8:$Q$8,G$269)*1000,"")</f>
        <v/>
      </c>
      <c r="H286" s="309" t="str">
        <f>IF(ISNUMBER(Perform_Active!$P25),TREND(Perform_Active!$P25:$Q25,Perform_Active!$P$8:$Q$8,H$269)*1000,"")</f>
        <v/>
      </c>
      <c r="I286" s="309" t="str">
        <f>IF(ISNUMBER(Perform_Active!$P25),TREND(Perform_Active!$P25:$Q25,Perform_Active!$P$8:$Q$8,I$269)*1000,"")</f>
        <v/>
      </c>
      <c r="J286" s="309" t="str">
        <f>IF(ISNUMBER(Perform_Active!$P25),TREND(Perform_Active!$P25:$Q25,Perform_Active!$P$8:$Q$8,J$269)*1000,"")</f>
        <v/>
      </c>
      <c r="K286" s="309" t="str">
        <f>IF(ISNUMBER(Perform_Active!$P25),TREND(Perform_Active!$P25:$Q25,Perform_Active!$P$8:$Q$8,K$269)*1000,"")</f>
        <v/>
      </c>
      <c r="L286" s="309" t="str">
        <f>IF(ISNUMBER(Perform_Active!$P25),TREND(Perform_Active!$P25:$Q25,Perform_Active!$P$8:$Q$8,L$269)*1000,"")</f>
        <v/>
      </c>
      <c r="M286" s="309" t="str">
        <f>IF(ISNUMBER(Perform_Active!$P25),TREND(Perform_Active!$P25:$Q25,Perform_Active!$P$8:$Q$8,M$269)*1000,"")</f>
        <v/>
      </c>
      <c r="N286" s="309" t="str">
        <f>IF(ISNUMBER(Perform_Active!$P25),TREND(Perform_Active!$P25:$Q25,Perform_Active!$P$8:$Q$8,N$269)*1000,"")</f>
        <v/>
      </c>
      <c r="O286" s="309" t="str">
        <f>IF(ISNUMBER(Perform_Active!$P25),TREND(Perform_Active!$P25:$Q25,Perform_Active!$P$8:$Q$8,O$269)*1000,"")</f>
        <v/>
      </c>
      <c r="P286" s="309" t="str">
        <f>IF(ISNUMBER(Perform_Active!$P25),TREND(Perform_Active!$P25:$Q25,Perform_Active!$P$8:$Q$8,P$269)*1000,"")</f>
        <v/>
      </c>
      <c r="Q286" s="309" t="str">
        <f>IF(ISNUMBER(Perform_Active!$P25),TREND(Perform_Active!$P25:$Q25,Perform_Active!$P$8:$Q$8,Q$269)*1000,"")</f>
        <v/>
      </c>
      <c r="R286" s="309" t="str">
        <f>IF(ISNUMBER(Perform_Active!$P25),TREND(Perform_Active!$P25:$Q25,Perform_Active!$P$8:$Q$8,R$269)*1000,"")</f>
        <v/>
      </c>
      <c r="S286" s="309" t="str">
        <f>IF(ISNUMBER(Perform_Active!$P25),TREND(Perform_Active!$P25:$Q25,Perform_Active!$P$8:$Q$8,S$269)*1000,"")</f>
        <v/>
      </c>
      <c r="T286" s="309" t="str">
        <f>IF(ISNUMBER(Perform_Active!$P25),TREND(Perform_Active!$P25:$Q25,Perform_Active!$P$8:$Q$8,T$269)*1000,"")</f>
        <v/>
      </c>
      <c r="U286" s="309" t="str">
        <f>IF(ISNUMBER(Perform_Active!$P25),TREND(Perform_Active!$P25:$Q25,Perform_Active!$P$8:$Q$8,U$269)*1000,"")</f>
        <v/>
      </c>
      <c r="V286" s="309" t="str">
        <f>IF(ISNUMBER(Perform_Active!$P25),TREND(Perform_Active!$P25:$Q25,Perform_Active!$P$8:$Q$8,V$269)*1000,"")</f>
        <v/>
      </c>
      <c r="W286" s="309" t="str">
        <f>IF(ISNUMBER(Perform_Active!$P25),TREND(Perform_Active!$P25:$Q25,Perform_Active!$P$8:$Q$8,W$269)*1000,"")</f>
        <v/>
      </c>
      <c r="X286" s="309" t="str">
        <f>IF(ISNUMBER(Perform_Active!$P25),TREND(Perform_Active!$P25:$Q25,Perform_Active!$P$8:$Q$8,X$269)*1000,"")</f>
        <v/>
      </c>
      <c r="Y286" s="309" t="str">
        <f>IF(ISNUMBER(Perform_Active!$P25),TREND(Perform_Active!$P25:$Q25,Perform_Active!$P$8:$Q$8,Y$269)*1000,"")</f>
        <v/>
      </c>
      <c r="Z286" s="309" t="str">
        <f>IF(ISNUMBER(Perform_Active!$P25),TREND(Perform_Active!$P25:$Q25,Perform_Active!$P$8:$Q$8,Z$269)*1000,"")</f>
        <v/>
      </c>
      <c r="AA286" s="309" t="str">
        <f>IF(ISNUMBER(Perform_Active!$P25),TREND(Perform_Active!$P25:$Q25,Perform_Active!$P$8:$Q$8,AA$269)*1000,"")</f>
        <v/>
      </c>
      <c r="AB286" s="309" t="str">
        <f>IF(ISNUMBER(Perform_Active!$P25),TREND(Perform_Active!$P25:$Q25,Perform_Active!$P$8:$Q$8,AB$269)*1000,"")</f>
        <v/>
      </c>
      <c r="AC286" s="309" t="str">
        <f>IF(ISNUMBER(Perform_Active!$P25),TREND(Perform_Active!$P25:$Q25,Perform_Active!$P$8:$Q$8,AC$269)*1000,"")</f>
        <v/>
      </c>
      <c r="AD286" s="309" t="str">
        <f>IF(ISNUMBER(Perform_Active!$P25),TREND(Perform_Active!$P25:$Q25,Perform_Active!$P$8:$Q$8,AD$269)*1000,"")</f>
        <v/>
      </c>
      <c r="AE286" s="309" t="str">
        <f>IF(ISNUMBER(Perform_Active!$P25),TREND(Perform_Active!$P25:$Q25,Perform_Active!$P$8:$Q$8,AE$269)*1000,"")</f>
        <v/>
      </c>
      <c r="AF286" s="309" t="str">
        <f>IF(ISNUMBER(Perform_Active!$P25),TREND(Perform_Active!$P25:$Q25,Perform_Active!$P$8:$Q$8,AF$269)*1000,"")</f>
        <v/>
      </c>
    </row>
    <row r="287" spans="1:32" s="278" customFormat="1" ht="12.75" x14ac:dyDescent="0.2">
      <c r="D287" s="550"/>
      <c r="E287" s="550"/>
      <c r="F287" s="550"/>
      <c r="G287" s="285"/>
      <c r="H287" s="308"/>
      <c r="I287" s="308"/>
      <c r="J287" s="308"/>
      <c r="K287" s="308"/>
      <c r="L287" s="308"/>
      <c r="M287" s="308"/>
      <c r="N287" s="308"/>
      <c r="O287" s="308"/>
      <c r="P287" s="308"/>
      <c r="Q287" s="308"/>
      <c r="R287" s="308"/>
      <c r="S287" s="308"/>
      <c r="T287" s="308"/>
      <c r="U287" s="308"/>
      <c r="V287" s="308"/>
      <c r="W287" s="308"/>
      <c r="X287" s="308"/>
      <c r="Y287" s="308"/>
      <c r="Z287" s="308"/>
      <c r="AA287" s="308"/>
      <c r="AB287" s="308"/>
      <c r="AC287" s="308"/>
      <c r="AD287" s="308"/>
      <c r="AE287" s="308"/>
      <c r="AF287" s="308"/>
    </row>
    <row r="288" spans="1:32" s="278" customFormat="1" ht="12.75" x14ac:dyDescent="0.2">
      <c r="A288" s="281" t="s">
        <v>42</v>
      </c>
      <c r="B288" s="280"/>
      <c r="C288" s="280"/>
      <c r="D288" s="501"/>
      <c r="E288" s="501"/>
      <c r="F288" s="501"/>
      <c r="G288" s="297"/>
      <c r="H288" s="314"/>
      <c r="I288" s="314"/>
      <c r="J288" s="314"/>
      <c r="K288" s="314"/>
      <c r="L288" s="314"/>
      <c r="M288" s="314"/>
      <c r="N288" s="314"/>
      <c r="O288" s="314"/>
      <c r="P288" s="314"/>
      <c r="Q288" s="314"/>
      <c r="R288" s="314"/>
      <c r="S288" s="314"/>
      <c r="T288" s="314"/>
      <c r="U288" s="314"/>
      <c r="V288" s="314"/>
      <c r="W288" s="314"/>
      <c r="X288" s="314"/>
      <c r="Y288" s="314"/>
      <c r="Z288" s="314"/>
      <c r="AA288" s="314"/>
      <c r="AB288" s="314"/>
      <c r="AC288" s="314"/>
      <c r="AD288" s="314"/>
      <c r="AE288" s="314"/>
      <c r="AF288" s="314"/>
    </row>
    <row r="289" spans="1:32" s="278" customFormat="1" ht="12.75" x14ac:dyDescent="0.2">
      <c r="B289" s="282" t="s">
        <v>43</v>
      </c>
      <c r="C289" s="282"/>
      <c r="D289" s="552"/>
      <c r="E289" s="552"/>
      <c r="F289" s="552"/>
      <c r="G289" s="309">
        <f>IF(ISNUMBER(Perform_Active!$P28),TREND(Perform_Active!$P28:$Q28,Perform_Active!$P$8:$Q$8,G$269)*1000,"")</f>
        <v>75000</v>
      </c>
      <c r="H289" s="309">
        <f>IF(ISNUMBER(Perform_Active!$P28),TREND(Perform_Active!$P28:$Q28,Perform_Active!$P$8:$Q$8,H$269)*1000,"")</f>
        <v>76199.999999999825</v>
      </c>
      <c r="I289" s="309">
        <f>IF(ISNUMBER(Perform_Active!$P28),TREND(Perform_Active!$P28:$Q28,Perform_Active!$P$8:$Q$8,I$269)*1000,"")</f>
        <v>77400.000000000087</v>
      </c>
      <c r="J289" s="309">
        <f>IF(ISNUMBER(Perform_Active!$P28),TREND(Perform_Active!$P28:$Q28,Perform_Active!$P$8:$Q$8,J$269)*1000,"")</f>
        <v>78599.999999999913</v>
      </c>
      <c r="K289" s="309">
        <f>IF(ISNUMBER(Perform_Active!$P28),TREND(Perform_Active!$P28:$Q28,Perform_Active!$P$8:$Q$8,K$269)*1000,"")</f>
        <v>79799.999999999724</v>
      </c>
      <c r="L289" s="309">
        <f>IF(ISNUMBER(Perform_Active!$P28),TREND(Perform_Active!$P28:$Q28,Perform_Active!$P$8:$Q$8,L$269)*1000,"")</f>
        <v>81000</v>
      </c>
      <c r="M289" s="309">
        <f>IF(ISNUMBER(Perform_Active!$P28),TREND(Perform_Active!$P28:$Q28,Perform_Active!$P$8:$Q$8,M$269)*1000,"")</f>
        <v>82199.999999999825</v>
      </c>
      <c r="N289" s="309">
        <f>IF(ISNUMBER(Perform_Active!$P28),TREND(Perform_Active!$P28:$Q28,Perform_Active!$P$8:$Q$8,N$269)*1000,"")</f>
        <v>83400.000000000087</v>
      </c>
      <c r="O289" s="309">
        <f>IF(ISNUMBER(Perform_Active!$P28),TREND(Perform_Active!$P28:$Q28,Perform_Active!$P$8:$Q$8,O$269)*1000,"")</f>
        <v>84599.999999999913</v>
      </c>
      <c r="P289" s="309">
        <f>IF(ISNUMBER(Perform_Active!$P28),TREND(Perform_Active!$P28:$Q28,Perform_Active!$P$8:$Q$8,P$269)*1000,"")</f>
        <v>85799.999999999724</v>
      </c>
      <c r="Q289" s="309">
        <f>IF(ISNUMBER(Perform_Active!$P28),TREND(Perform_Active!$P28:$Q28,Perform_Active!$P$8:$Q$8,Q$269)*1000,"")</f>
        <v>87000</v>
      </c>
      <c r="R289" s="309">
        <f>IF(ISNUMBER(Perform_Active!$P28),TREND(Perform_Active!$P28:$Q28,Perform_Active!$P$8:$Q$8,R$269)*1000,"")</f>
        <v>88199.999999999825</v>
      </c>
      <c r="S289" s="309">
        <f>IF(ISNUMBER(Perform_Active!$P28),TREND(Perform_Active!$P28:$Q28,Perform_Active!$P$8:$Q$8,S$269)*1000,"")</f>
        <v>89400.000000000087</v>
      </c>
      <c r="T289" s="309">
        <f>IF(ISNUMBER(Perform_Active!$P28),TREND(Perform_Active!$P28:$Q28,Perform_Active!$P$8:$Q$8,T$269)*1000,"")</f>
        <v>90599.999999999913</v>
      </c>
      <c r="U289" s="309">
        <f>IF(ISNUMBER(Perform_Active!$P28),TREND(Perform_Active!$P28:$Q28,Perform_Active!$P$8:$Q$8,U$269)*1000,"")</f>
        <v>91799.999999999724</v>
      </c>
      <c r="V289" s="309">
        <f>IF(ISNUMBER(Perform_Active!$P28),TREND(Perform_Active!$P28:$Q28,Perform_Active!$P$8:$Q$8,V$269)*1000,"")</f>
        <v>93000</v>
      </c>
      <c r="W289" s="309">
        <f>IF(ISNUMBER(Perform_Active!$P28),TREND(Perform_Active!$P28:$Q28,Perform_Active!$P$8:$Q$8,W$269)*1000,"")</f>
        <v>94199.999999999825</v>
      </c>
      <c r="X289" s="309">
        <f>IF(ISNUMBER(Perform_Active!$P28),TREND(Perform_Active!$P28:$Q28,Perform_Active!$P$8:$Q$8,X$269)*1000,"")</f>
        <v>95400.000000000087</v>
      </c>
      <c r="Y289" s="309">
        <f>IF(ISNUMBER(Perform_Active!$P28),TREND(Perform_Active!$P28:$Q28,Perform_Active!$P$8:$Q$8,Y$269)*1000,"")</f>
        <v>96599.999999999913</v>
      </c>
      <c r="Z289" s="309">
        <f>IF(ISNUMBER(Perform_Active!$P28),TREND(Perform_Active!$P28:$Q28,Perform_Active!$P$8:$Q$8,Z$269)*1000,"")</f>
        <v>97799.999999999724</v>
      </c>
      <c r="AA289" s="309">
        <f>IF(ISNUMBER(Perform_Active!$P28),TREND(Perform_Active!$P28:$Q28,Perform_Active!$P$8:$Q$8,AA$269)*1000,"")</f>
        <v>99000</v>
      </c>
      <c r="AB289" s="309">
        <f>IF(ISNUMBER(Perform_Active!$P28),TREND(Perform_Active!$P28:$Q28,Perform_Active!$P$8:$Q$8,AB$269)*1000,"")</f>
        <v>100199.99999999983</v>
      </c>
      <c r="AC289" s="309">
        <f>IF(ISNUMBER(Perform_Active!$P28),TREND(Perform_Active!$P28:$Q28,Perform_Active!$P$8:$Q$8,AC$269)*1000,"")</f>
        <v>101400.00000000009</v>
      </c>
      <c r="AD289" s="309">
        <f>IF(ISNUMBER(Perform_Active!$P28),TREND(Perform_Active!$P28:$Q28,Perform_Active!$P$8:$Q$8,AD$269)*1000,"")</f>
        <v>102599.99999999991</v>
      </c>
      <c r="AE289" s="309">
        <f>IF(ISNUMBER(Perform_Active!$P28),TREND(Perform_Active!$P28:$Q28,Perform_Active!$P$8:$Q$8,AE$269)*1000,"")</f>
        <v>103799.99999999972</v>
      </c>
      <c r="AF289" s="309">
        <f>IF(ISNUMBER(Perform_Active!$P28),TREND(Perform_Active!$P28:$Q28,Perform_Active!$P$8:$Q$8,AF$269)*1000,"")</f>
        <v>105000</v>
      </c>
    </row>
    <row r="290" spans="1:32" s="278" customFormat="1" ht="12.75" x14ac:dyDescent="0.2">
      <c r="B290" s="282" t="s">
        <v>44</v>
      </c>
      <c r="D290" s="550"/>
      <c r="E290" s="550"/>
      <c r="F290" s="550"/>
      <c r="G290" s="309">
        <f>IF(ISNUMBER(Perform_Active!$P29),TREND(Perform_Active!$P29:$Q29,Perform_Active!$P$8:$Q$8,G$269)*1000,"")</f>
        <v>75000</v>
      </c>
      <c r="H290" s="309">
        <f>IF(ISNUMBER(Perform_Active!$P29),TREND(Perform_Active!$P29:$Q29,Perform_Active!$P$8:$Q$8,H$269)*1000,"")</f>
        <v>76199.999999999825</v>
      </c>
      <c r="I290" s="309">
        <f>IF(ISNUMBER(Perform_Active!$P29),TREND(Perform_Active!$P29:$Q29,Perform_Active!$P$8:$Q$8,I$269)*1000,"")</f>
        <v>77400.000000000087</v>
      </c>
      <c r="J290" s="309">
        <f>IF(ISNUMBER(Perform_Active!$P29),TREND(Perform_Active!$P29:$Q29,Perform_Active!$P$8:$Q$8,J$269)*1000,"")</f>
        <v>78599.999999999913</v>
      </c>
      <c r="K290" s="309">
        <f>IF(ISNUMBER(Perform_Active!$P29),TREND(Perform_Active!$P29:$Q29,Perform_Active!$P$8:$Q$8,K$269)*1000,"")</f>
        <v>79799.999999999724</v>
      </c>
      <c r="L290" s="309">
        <f>IF(ISNUMBER(Perform_Active!$P29),TREND(Perform_Active!$P29:$Q29,Perform_Active!$P$8:$Q$8,L$269)*1000,"")</f>
        <v>81000</v>
      </c>
      <c r="M290" s="309">
        <f>IF(ISNUMBER(Perform_Active!$P29),TREND(Perform_Active!$P29:$Q29,Perform_Active!$P$8:$Q$8,M$269)*1000,"")</f>
        <v>82199.999999999825</v>
      </c>
      <c r="N290" s="309">
        <f>IF(ISNUMBER(Perform_Active!$P29),TREND(Perform_Active!$P29:$Q29,Perform_Active!$P$8:$Q$8,N$269)*1000,"")</f>
        <v>83400.000000000087</v>
      </c>
      <c r="O290" s="309">
        <f>IF(ISNUMBER(Perform_Active!$P29),TREND(Perform_Active!$P29:$Q29,Perform_Active!$P$8:$Q$8,O$269)*1000,"")</f>
        <v>84599.999999999913</v>
      </c>
      <c r="P290" s="309">
        <f>IF(ISNUMBER(Perform_Active!$P29),TREND(Perform_Active!$P29:$Q29,Perform_Active!$P$8:$Q$8,P$269)*1000,"")</f>
        <v>85799.999999999724</v>
      </c>
      <c r="Q290" s="309">
        <f>IF(ISNUMBER(Perform_Active!$P29),TREND(Perform_Active!$P29:$Q29,Perform_Active!$P$8:$Q$8,Q$269)*1000,"")</f>
        <v>87000</v>
      </c>
      <c r="R290" s="309">
        <f>IF(ISNUMBER(Perform_Active!$P29),TREND(Perform_Active!$P29:$Q29,Perform_Active!$P$8:$Q$8,R$269)*1000,"")</f>
        <v>88199.999999999825</v>
      </c>
      <c r="S290" s="309">
        <f>IF(ISNUMBER(Perform_Active!$P29),TREND(Perform_Active!$P29:$Q29,Perform_Active!$P$8:$Q$8,S$269)*1000,"")</f>
        <v>89400.000000000087</v>
      </c>
      <c r="T290" s="309">
        <f>IF(ISNUMBER(Perform_Active!$P29),TREND(Perform_Active!$P29:$Q29,Perform_Active!$P$8:$Q$8,T$269)*1000,"")</f>
        <v>90599.999999999913</v>
      </c>
      <c r="U290" s="309">
        <f>IF(ISNUMBER(Perform_Active!$P29),TREND(Perform_Active!$P29:$Q29,Perform_Active!$P$8:$Q$8,U$269)*1000,"")</f>
        <v>91799.999999999724</v>
      </c>
      <c r="V290" s="309">
        <f>IF(ISNUMBER(Perform_Active!$P29),TREND(Perform_Active!$P29:$Q29,Perform_Active!$P$8:$Q$8,V$269)*1000,"")</f>
        <v>93000</v>
      </c>
      <c r="W290" s="309">
        <f>IF(ISNUMBER(Perform_Active!$P29),TREND(Perform_Active!$P29:$Q29,Perform_Active!$P$8:$Q$8,W$269)*1000,"")</f>
        <v>94199.999999999825</v>
      </c>
      <c r="X290" s="309">
        <f>IF(ISNUMBER(Perform_Active!$P29),TREND(Perform_Active!$P29:$Q29,Perform_Active!$P$8:$Q$8,X$269)*1000,"")</f>
        <v>95400.000000000087</v>
      </c>
      <c r="Y290" s="309">
        <f>IF(ISNUMBER(Perform_Active!$P29),TREND(Perform_Active!$P29:$Q29,Perform_Active!$P$8:$Q$8,Y$269)*1000,"")</f>
        <v>96599.999999999913</v>
      </c>
      <c r="Z290" s="309">
        <f>IF(ISNUMBER(Perform_Active!$P29),TREND(Perform_Active!$P29:$Q29,Perform_Active!$P$8:$Q$8,Z$269)*1000,"")</f>
        <v>97799.999999999724</v>
      </c>
      <c r="AA290" s="309">
        <f>IF(ISNUMBER(Perform_Active!$P29),TREND(Perform_Active!$P29:$Q29,Perform_Active!$P$8:$Q$8,AA$269)*1000,"")</f>
        <v>99000</v>
      </c>
      <c r="AB290" s="309">
        <f>IF(ISNUMBER(Perform_Active!$P29),TREND(Perform_Active!$P29:$Q29,Perform_Active!$P$8:$Q$8,AB$269)*1000,"")</f>
        <v>100199.99999999983</v>
      </c>
      <c r="AC290" s="309">
        <f>IF(ISNUMBER(Perform_Active!$P29),TREND(Perform_Active!$P29:$Q29,Perform_Active!$P$8:$Q$8,AC$269)*1000,"")</f>
        <v>101400.00000000009</v>
      </c>
      <c r="AD290" s="309">
        <f>IF(ISNUMBER(Perform_Active!$P29),TREND(Perform_Active!$P29:$Q29,Perform_Active!$P$8:$Q$8,AD$269)*1000,"")</f>
        <v>102599.99999999991</v>
      </c>
      <c r="AE290" s="309">
        <f>IF(ISNUMBER(Perform_Active!$P29),TREND(Perform_Active!$P29:$Q29,Perform_Active!$P$8:$Q$8,AE$269)*1000,"")</f>
        <v>103799.99999999972</v>
      </c>
      <c r="AF290" s="309">
        <f>IF(ISNUMBER(Perform_Active!$P29),TREND(Perform_Active!$P29:$Q29,Perform_Active!$P$8:$Q$8,AF$269)*1000,"")</f>
        <v>105000</v>
      </c>
    </row>
    <row r="291" spans="1:32" s="278" customFormat="1" ht="12.75" x14ac:dyDescent="0.2">
      <c r="B291" s="282" t="s">
        <v>45</v>
      </c>
      <c r="D291" s="550"/>
      <c r="E291" s="550"/>
      <c r="F291" s="550"/>
      <c r="G291" s="309">
        <f>IF(ISNUMBER(Perform_Active!$P30),TREND(Perform_Active!$P30:$Q30,Perform_Active!$P$8:$Q$8,G$269)*1000,"")</f>
        <v>75000</v>
      </c>
      <c r="H291" s="309">
        <f>IF(ISNUMBER(Perform_Active!$P30),TREND(Perform_Active!$P30:$Q30,Perform_Active!$P$8:$Q$8,H$269)*1000,"")</f>
        <v>76199.999999999825</v>
      </c>
      <c r="I291" s="309">
        <f>IF(ISNUMBER(Perform_Active!$P30),TREND(Perform_Active!$P30:$Q30,Perform_Active!$P$8:$Q$8,I$269)*1000,"")</f>
        <v>77400.000000000087</v>
      </c>
      <c r="J291" s="309">
        <f>IF(ISNUMBER(Perform_Active!$P30),TREND(Perform_Active!$P30:$Q30,Perform_Active!$P$8:$Q$8,J$269)*1000,"")</f>
        <v>78599.999999999913</v>
      </c>
      <c r="K291" s="309">
        <f>IF(ISNUMBER(Perform_Active!$P30),TREND(Perform_Active!$P30:$Q30,Perform_Active!$P$8:$Q$8,K$269)*1000,"")</f>
        <v>79799.999999999724</v>
      </c>
      <c r="L291" s="309">
        <f>IF(ISNUMBER(Perform_Active!$P30),TREND(Perform_Active!$P30:$Q30,Perform_Active!$P$8:$Q$8,L$269)*1000,"")</f>
        <v>81000</v>
      </c>
      <c r="M291" s="309">
        <f>IF(ISNUMBER(Perform_Active!$P30),TREND(Perform_Active!$P30:$Q30,Perform_Active!$P$8:$Q$8,M$269)*1000,"")</f>
        <v>82199.999999999825</v>
      </c>
      <c r="N291" s="309">
        <f>IF(ISNUMBER(Perform_Active!$P30),TREND(Perform_Active!$P30:$Q30,Perform_Active!$P$8:$Q$8,N$269)*1000,"")</f>
        <v>83400.000000000087</v>
      </c>
      <c r="O291" s="309">
        <f>IF(ISNUMBER(Perform_Active!$P30),TREND(Perform_Active!$P30:$Q30,Perform_Active!$P$8:$Q$8,O$269)*1000,"")</f>
        <v>84599.999999999913</v>
      </c>
      <c r="P291" s="309">
        <f>IF(ISNUMBER(Perform_Active!$P30),TREND(Perform_Active!$P30:$Q30,Perform_Active!$P$8:$Q$8,P$269)*1000,"")</f>
        <v>85799.999999999724</v>
      </c>
      <c r="Q291" s="309">
        <f>IF(ISNUMBER(Perform_Active!$P30),TREND(Perform_Active!$P30:$Q30,Perform_Active!$P$8:$Q$8,Q$269)*1000,"")</f>
        <v>87000</v>
      </c>
      <c r="R291" s="309">
        <f>IF(ISNUMBER(Perform_Active!$P30),TREND(Perform_Active!$P30:$Q30,Perform_Active!$P$8:$Q$8,R$269)*1000,"")</f>
        <v>88199.999999999825</v>
      </c>
      <c r="S291" s="309">
        <f>IF(ISNUMBER(Perform_Active!$P30),TREND(Perform_Active!$P30:$Q30,Perform_Active!$P$8:$Q$8,S$269)*1000,"")</f>
        <v>89400.000000000087</v>
      </c>
      <c r="T291" s="309">
        <f>IF(ISNUMBER(Perform_Active!$P30),TREND(Perform_Active!$P30:$Q30,Perform_Active!$P$8:$Q$8,T$269)*1000,"")</f>
        <v>90599.999999999913</v>
      </c>
      <c r="U291" s="309">
        <f>IF(ISNUMBER(Perform_Active!$P30),TREND(Perform_Active!$P30:$Q30,Perform_Active!$P$8:$Q$8,U$269)*1000,"")</f>
        <v>91799.999999999724</v>
      </c>
      <c r="V291" s="309">
        <f>IF(ISNUMBER(Perform_Active!$P30),TREND(Perform_Active!$P30:$Q30,Perform_Active!$P$8:$Q$8,V$269)*1000,"")</f>
        <v>93000</v>
      </c>
      <c r="W291" s="309">
        <f>IF(ISNUMBER(Perform_Active!$P30),TREND(Perform_Active!$P30:$Q30,Perform_Active!$P$8:$Q$8,W$269)*1000,"")</f>
        <v>94199.999999999825</v>
      </c>
      <c r="X291" s="309">
        <f>IF(ISNUMBER(Perform_Active!$P30),TREND(Perform_Active!$P30:$Q30,Perform_Active!$P$8:$Q$8,X$269)*1000,"")</f>
        <v>95400.000000000087</v>
      </c>
      <c r="Y291" s="309">
        <f>IF(ISNUMBER(Perform_Active!$P30),TREND(Perform_Active!$P30:$Q30,Perform_Active!$P$8:$Q$8,Y$269)*1000,"")</f>
        <v>96599.999999999913</v>
      </c>
      <c r="Z291" s="309">
        <f>IF(ISNUMBER(Perform_Active!$P30),TREND(Perform_Active!$P30:$Q30,Perform_Active!$P$8:$Q$8,Z$269)*1000,"")</f>
        <v>97799.999999999724</v>
      </c>
      <c r="AA291" s="309">
        <f>IF(ISNUMBER(Perform_Active!$P30),TREND(Perform_Active!$P30:$Q30,Perform_Active!$P$8:$Q$8,AA$269)*1000,"")</f>
        <v>99000</v>
      </c>
      <c r="AB291" s="309">
        <f>IF(ISNUMBER(Perform_Active!$P30),TREND(Perform_Active!$P30:$Q30,Perform_Active!$P$8:$Q$8,AB$269)*1000,"")</f>
        <v>100199.99999999983</v>
      </c>
      <c r="AC291" s="309">
        <f>IF(ISNUMBER(Perform_Active!$P30),TREND(Perform_Active!$P30:$Q30,Perform_Active!$P$8:$Q$8,AC$269)*1000,"")</f>
        <v>101400.00000000009</v>
      </c>
      <c r="AD291" s="309">
        <f>IF(ISNUMBER(Perform_Active!$P30),TREND(Perform_Active!$P30:$Q30,Perform_Active!$P$8:$Q$8,AD$269)*1000,"")</f>
        <v>102599.99999999991</v>
      </c>
      <c r="AE291" s="309">
        <f>IF(ISNUMBER(Perform_Active!$P30),TREND(Perform_Active!$P30:$Q30,Perform_Active!$P$8:$Q$8,AE$269)*1000,"")</f>
        <v>103799.99999999972</v>
      </c>
      <c r="AF291" s="309">
        <f>IF(ISNUMBER(Perform_Active!$P30),TREND(Perform_Active!$P30:$Q30,Perform_Active!$P$8:$Q$8,AF$269)*1000,"")</f>
        <v>105000</v>
      </c>
    </row>
    <row r="292" spans="1:32" s="278" customFormat="1" ht="12.75" x14ac:dyDescent="0.2">
      <c r="B292" s="282" t="s">
        <v>46</v>
      </c>
      <c r="D292" s="550"/>
      <c r="E292" s="550"/>
      <c r="F292" s="550"/>
      <c r="G292" s="309">
        <f>IF(ISNUMBER(Perform_Active!$P31),TREND(Perform_Active!$P31:$Q31,Perform_Active!$P$8:$Q$8,G$269)*1000,"")</f>
        <v>75000</v>
      </c>
      <c r="H292" s="309">
        <f>IF(ISNUMBER(Perform_Active!$P31),TREND(Perform_Active!$P31:$Q31,Perform_Active!$P$8:$Q$8,H$269)*1000,"")</f>
        <v>76199.999999999825</v>
      </c>
      <c r="I292" s="309">
        <f>IF(ISNUMBER(Perform_Active!$P31),TREND(Perform_Active!$P31:$Q31,Perform_Active!$P$8:$Q$8,I$269)*1000,"")</f>
        <v>77400.000000000087</v>
      </c>
      <c r="J292" s="309">
        <f>IF(ISNUMBER(Perform_Active!$P31),TREND(Perform_Active!$P31:$Q31,Perform_Active!$P$8:$Q$8,J$269)*1000,"")</f>
        <v>78599.999999999913</v>
      </c>
      <c r="K292" s="309">
        <f>IF(ISNUMBER(Perform_Active!$P31),TREND(Perform_Active!$P31:$Q31,Perform_Active!$P$8:$Q$8,K$269)*1000,"")</f>
        <v>79799.999999999724</v>
      </c>
      <c r="L292" s="309">
        <f>IF(ISNUMBER(Perform_Active!$P31),TREND(Perform_Active!$P31:$Q31,Perform_Active!$P$8:$Q$8,L$269)*1000,"")</f>
        <v>81000</v>
      </c>
      <c r="M292" s="309">
        <f>IF(ISNUMBER(Perform_Active!$P31),TREND(Perform_Active!$P31:$Q31,Perform_Active!$P$8:$Q$8,M$269)*1000,"")</f>
        <v>82199.999999999825</v>
      </c>
      <c r="N292" s="309">
        <f>IF(ISNUMBER(Perform_Active!$P31),TREND(Perform_Active!$P31:$Q31,Perform_Active!$P$8:$Q$8,N$269)*1000,"")</f>
        <v>83400.000000000087</v>
      </c>
      <c r="O292" s="309">
        <f>IF(ISNUMBER(Perform_Active!$P31),TREND(Perform_Active!$P31:$Q31,Perform_Active!$P$8:$Q$8,O$269)*1000,"")</f>
        <v>84599.999999999913</v>
      </c>
      <c r="P292" s="309">
        <f>IF(ISNUMBER(Perform_Active!$P31),TREND(Perform_Active!$P31:$Q31,Perform_Active!$P$8:$Q$8,P$269)*1000,"")</f>
        <v>85799.999999999724</v>
      </c>
      <c r="Q292" s="309">
        <f>IF(ISNUMBER(Perform_Active!$P31),TREND(Perform_Active!$P31:$Q31,Perform_Active!$P$8:$Q$8,Q$269)*1000,"")</f>
        <v>87000</v>
      </c>
      <c r="R292" s="309">
        <f>IF(ISNUMBER(Perform_Active!$P31),TREND(Perform_Active!$P31:$Q31,Perform_Active!$P$8:$Q$8,R$269)*1000,"")</f>
        <v>88199.999999999825</v>
      </c>
      <c r="S292" s="309">
        <f>IF(ISNUMBER(Perform_Active!$P31),TREND(Perform_Active!$P31:$Q31,Perform_Active!$P$8:$Q$8,S$269)*1000,"")</f>
        <v>89400.000000000087</v>
      </c>
      <c r="T292" s="309">
        <f>IF(ISNUMBER(Perform_Active!$P31),TREND(Perform_Active!$P31:$Q31,Perform_Active!$P$8:$Q$8,T$269)*1000,"")</f>
        <v>90599.999999999913</v>
      </c>
      <c r="U292" s="309">
        <f>IF(ISNUMBER(Perform_Active!$P31),TREND(Perform_Active!$P31:$Q31,Perform_Active!$P$8:$Q$8,U$269)*1000,"")</f>
        <v>91799.999999999724</v>
      </c>
      <c r="V292" s="309">
        <f>IF(ISNUMBER(Perform_Active!$P31),TREND(Perform_Active!$P31:$Q31,Perform_Active!$P$8:$Q$8,V$269)*1000,"")</f>
        <v>93000</v>
      </c>
      <c r="W292" s="309">
        <f>IF(ISNUMBER(Perform_Active!$P31),TREND(Perform_Active!$P31:$Q31,Perform_Active!$P$8:$Q$8,W$269)*1000,"")</f>
        <v>94199.999999999825</v>
      </c>
      <c r="X292" s="309">
        <f>IF(ISNUMBER(Perform_Active!$P31),TREND(Perform_Active!$P31:$Q31,Perform_Active!$P$8:$Q$8,X$269)*1000,"")</f>
        <v>95400.000000000087</v>
      </c>
      <c r="Y292" s="309">
        <f>IF(ISNUMBER(Perform_Active!$P31),TREND(Perform_Active!$P31:$Q31,Perform_Active!$P$8:$Q$8,Y$269)*1000,"")</f>
        <v>96599.999999999913</v>
      </c>
      <c r="Z292" s="309">
        <f>IF(ISNUMBER(Perform_Active!$P31),TREND(Perform_Active!$P31:$Q31,Perform_Active!$P$8:$Q$8,Z$269)*1000,"")</f>
        <v>97799.999999999724</v>
      </c>
      <c r="AA292" s="309">
        <f>IF(ISNUMBER(Perform_Active!$P31),TREND(Perform_Active!$P31:$Q31,Perform_Active!$P$8:$Q$8,AA$269)*1000,"")</f>
        <v>99000</v>
      </c>
      <c r="AB292" s="309">
        <f>IF(ISNUMBER(Perform_Active!$P31),TREND(Perform_Active!$P31:$Q31,Perform_Active!$P$8:$Q$8,AB$269)*1000,"")</f>
        <v>100199.99999999983</v>
      </c>
      <c r="AC292" s="309">
        <f>IF(ISNUMBER(Perform_Active!$P31),TREND(Perform_Active!$P31:$Q31,Perform_Active!$P$8:$Q$8,AC$269)*1000,"")</f>
        <v>101400.00000000009</v>
      </c>
      <c r="AD292" s="309">
        <f>IF(ISNUMBER(Perform_Active!$P31),TREND(Perform_Active!$P31:$Q31,Perform_Active!$P$8:$Q$8,AD$269)*1000,"")</f>
        <v>102599.99999999991</v>
      </c>
      <c r="AE292" s="309">
        <f>IF(ISNUMBER(Perform_Active!$P31),TREND(Perform_Active!$P31:$Q31,Perform_Active!$P$8:$Q$8,AE$269)*1000,"")</f>
        <v>103799.99999999972</v>
      </c>
      <c r="AF292" s="309">
        <f>IF(ISNUMBER(Perform_Active!$P31),TREND(Perform_Active!$P31:$Q31,Perform_Active!$P$8:$Q$8,AF$269)*1000,"")</f>
        <v>105000</v>
      </c>
    </row>
    <row r="293" spans="1:32" s="278" customFormat="1" ht="12.75" x14ac:dyDescent="0.2">
      <c r="B293" s="278" t="s">
        <v>29</v>
      </c>
      <c r="D293" s="550"/>
      <c r="E293" s="550"/>
      <c r="F293" s="550"/>
      <c r="G293" s="309" t="str">
        <f>IF(ISNUMBER(Perform_Active!$P32),TREND(Perform_Active!$P32:$Q32,Perform_Active!$P$8:$Q$8,G$269)*1000,"")</f>
        <v/>
      </c>
      <c r="H293" s="309" t="str">
        <f>IF(ISNUMBER(Perform_Active!$P32),TREND(Perform_Active!$P32:$Q32,Perform_Active!$P$8:$Q$8,H$269)*1000,"")</f>
        <v/>
      </c>
      <c r="I293" s="309" t="str">
        <f>IF(ISNUMBER(Perform_Active!$P32),TREND(Perform_Active!$P32:$Q32,Perform_Active!$P$8:$Q$8,I$269)*1000,"")</f>
        <v/>
      </c>
      <c r="J293" s="309" t="str">
        <f>IF(ISNUMBER(Perform_Active!$P32),TREND(Perform_Active!$P32:$Q32,Perform_Active!$P$8:$Q$8,J$269)*1000,"")</f>
        <v/>
      </c>
      <c r="K293" s="309" t="str">
        <f>IF(ISNUMBER(Perform_Active!$P32),TREND(Perform_Active!$P32:$Q32,Perform_Active!$P$8:$Q$8,K$269)*1000,"")</f>
        <v/>
      </c>
      <c r="L293" s="309" t="str">
        <f>IF(ISNUMBER(Perform_Active!$P32),TREND(Perform_Active!$P32:$Q32,Perform_Active!$P$8:$Q$8,L$269)*1000,"")</f>
        <v/>
      </c>
      <c r="M293" s="309" t="str">
        <f>IF(ISNUMBER(Perform_Active!$P32),TREND(Perform_Active!$P32:$Q32,Perform_Active!$P$8:$Q$8,M$269)*1000,"")</f>
        <v/>
      </c>
      <c r="N293" s="309" t="str">
        <f>IF(ISNUMBER(Perform_Active!$P32),TREND(Perform_Active!$P32:$Q32,Perform_Active!$P$8:$Q$8,N$269)*1000,"")</f>
        <v/>
      </c>
      <c r="O293" s="309" t="str">
        <f>IF(ISNUMBER(Perform_Active!$P32),TREND(Perform_Active!$P32:$Q32,Perform_Active!$P$8:$Q$8,O$269)*1000,"")</f>
        <v/>
      </c>
      <c r="P293" s="309" t="str">
        <f>IF(ISNUMBER(Perform_Active!$P32),TREND(Perform_Active!$P32:$Q32,Perform_Active!$P$8:$Q$8,P$269)*1000,"")</f>
        <v/>
      </c>
      <c r="Q293" s="309" t="str">
        <f>IF(ISNUMBER(Perform_Active!$P32),TREND(Perform_Active!$P32:$Q32,Perform_Active!$P$8:$Q$8,Q$269)*1000,"")</f>
        <v/>
      </c>
      <c r="R293" s="309" t="str">
        <f>IF(ISNUMBER(Perform_Active!$P32),TREND(Perform_Active!$P32:$Q32,Perform_Active!$P$8:$Q$8,R$269)*1000,"")</f>
        <v/>
      </c>
      <c r="S293" s="309" t="str">
        <f>IF(ISNUMBER(Perform_Active!$P32),TREND(Perform_Active!$P32:$Q32,Perform_Active!$P$8:$Q$8,S$269)*1000,"")</f>
        <v/>
      </c>
      <c r="T293" s="309" t="str">
        <f>IF(ISNUMBER(Perform_Active!$P32),TREND(Perform_Active!$P32:$Q32,Perform_Active!$P$8:$Q$8,T$269)*1000,"")</f>
        <v/>
      </c>
      <c r="U293" s="309" t="str">
        <f>IF(ISNUMBER(Perform_Active!$P32),TREND(Perform_Active!$P32:$Q32,Perform_Active!$P$8:$Q$8,U$269)*1000,"")</f>
        <v/>
      </c>
      <c r="V293" s="309" t="str">
        <f>IF(ISNUMBER(Perform_Active!$P32),TREND(Perform_Active!$P32:$Q32,Perform_Active!$P$8:$Q$8,V$269)*1000,"")</f>
        <v/>
      </c>
      <c r="W293" s="309" t="str">
        <f>IF(ISNUMBER(Perform_Active!$P32),TREND(Perform_Active!$P32:$Q32,Perform_Active!$P$8:$Q$8,W$269)*1000,"")</f>
        <v/>
      </c>
      <c r="X293" s="309" t="str">
        <f>IF(ISNUMBER(Perform_Active!$P32),TREND(Perform_Active!$P32:$Q32,Perform_Active!$P$8:$Q$8,X$269)*1000,"")</f>
        <v/>
      </c>
      <c r="Y293" s="309" t="str">
        <f>IF(ISNUMBER(Perform_Active!$P32),TREND(Perform_Active!$P32:$Q32,Perform_Active!$P$8:$Q$8,Y$269)*1000,"")</f>
        <v/>
      </c>
      <c r="Z293" s="309" t="str">
        <f>IF(ISNUMBER(Perform_Active!$P32),TREND(Perform_Active!$P32:$Q32,Perform_Active!$P$8:$Q$8,Z$269)*1000,"")</f>
        <v/>
      </c>
      <c r="AA293" s="309" t="str">
        <f>IF(ISNUMBER(Perform_Active!$P32),TREND(Perform_Active!$P32:$Q32,Perform_Active!$P$8:$Q$8,AA$269)*1000,"")</f>
        <v/>
      </c>
      <c r="AB293" s="309" t="str">
        <f>IF(ISNUMBER(Perform_Active!$P32),TREND(Perform_Active!$P32:$Q32,Perform_Active!$P$8:$Q$8,AB$269)*1000,"")</f>
        <v/>
      </c>
      <c r="AC293" s="309" t="str">
        <f>IF(ISNUMBER(Perform_Active!$P32),TREND(Perform_Active!$P32:$Q32,Perform_Active!$P$8:$Q$8,AC$269)*1000,"")</f>
        <v/>
      </c>
      <c r="AD293" s="309" t="str">
        <f>IF(ISNUMBER(Perform_Active!$P32),TREND(Perform_Active!$P32:$Q32,Perform_Active!$P$8:$Q$8,AD$269)*1000,"")</f>
        <v/>
      </c>
      <c r="AE293" s="309" t="str">
        <f>IF(ISNUMBER(Perform_Active!$P32),TREND(Perform_Active!$P32:$Q32,Perform_Active!$P$8:$Q$8,AE$269)*1000,"")</f>
        <v/>
      </c>
      <c r="AF293" s="309" t="str">
        <f>IF(ISNUMBER(Perform_Active!$P32),TREND(Perform_Active!$P32:$Q32,Perform_Active!$P$8:$Q$8,AF$269)*1000,"")</f>
        <v/>
      </c>
    </row>
    <row r="294" spans="1:32" s="278" customFormat="1" ht="12.75" x14ac:dyDescent="0.2">
      <c r="D294" s="550"/>
      <c r="E294" s="550"/>
      <c r="F294" s="550"/>
      <c r="H294" s="302"/>
      <c r="I294" s="302"/>
      <c r="J294" s="302"/>
      <c r="K294" s="302"/>
      <c r="L294" s="302"/>
      <c r="M294" s="302"/>
      <c r="N294" s="302"/>
      <c r="O294" s="302"/>
      <c r="P294" s="302"/>
      <c r="Q294" s="302"/>
      <c r="R294" s="302"/>
      <c r="S294" s="302"/>
      <c r="T294" s="302"/>
      <c r="U294" s="302"/>
      <c r="V294" s="302"/>
      <c r="W294" s="302"/>
      <c r="X294" s="302"/>
      <c r="Y294" s="302"/>
      <c r="Z294" s="302"/>
      <c r="AA294" s="302"/>
      <c r="AB294" s="302"/>
      <c r="AC294" s="302"/>
      <c r="AD294" s="302"/>
      <c r="AE294" s="302"/>
      <c r="AF294" s="302"/>
    </row>
    <row r="295" spans="1:32" s="278" customFormat="1" ht="12.75" x14ac:dyDescent="0.2">
      <c r="A295" s="294" t="s">
        <v>47</v>
      </c>
      <c r="B295" s="293"/>
      <c r="C295" s="280"/>
      <c r="D295" s="501"/>
      <c r="E295" s="501"/>
      <c r="F295" s="501"/>
      <c r="G295" s="297"/>
      <c r="H295" s="314"/>
      <c r="I295" s="314"/>
      <c r="J295" s="314"/>
      <c r="K295" s="314"/>
      <c r="L295" s="314"/>
      <c r="M295" s="314"/>
      <c r="N295" s="314"/>
      <c r="O295" s="314"/>
      <c r="P295" s="314"/>
      <c r="Q295" s="314"/>
      <c r="R295" s="314"/>
      <c r="S295" s="314"/>
      <c r="T295" s="314"/>
      <c r="U295" s="314"/>
      <c r="V295" s="314"/>
      <c r="W295" s="314"/>
      <c r="X295" s="314"/>
      <c r="Y295" s="314"/>
      <c r="Z295" s="314"/>
      <c r="AA295" s="314"/>
      <c r="AB295" s="314"/>
      <c r="AC295" s="314"/>
      <c r="AD295" s="314"/>
      <c r="AE295" s="314"/>
      <c r="AF295" s="314"/>
    </row>
    <row r="296" spans="1:32" s="278" customFormat="1" ht="12.75" x14ac:dyDescent="0.2">
      <c r="B296" s="278" t="s">
        <v>48</v>
      </c>
      <c r="C296" s="282"/>
      <c r="D296" s="552"/>
      <c r="E296" s="552"/>
      <c r="F296" s="552"/>
      <c r="G296" s="309" t="str">
        <f>IF(ISNUMBER(Perform_Active!$P35),TREND(Perform_Active!$P35:$Q35,Perform_Active!$P$8:$Q$8,G$269)*1000,"")</f>
        <v/>
      </c>
      <c r="H296" s="309" t="str">
        <f>IF(ISNUMBER(Perform_Active!$P35),TREND(Perform_Active!$P35:$Q35,Perform_Active!$P$8:$Q$8,H$269)*1000,"")</f>
        <v/>
      </c>
      <c r="I296" s="309" t="str">
        <f>IF(ISNUMBER(Perform_Active!$P35),TREND(Perform_Active!$P35:$Q35,Perform_Active!$P$8:$Q$8,I$269)*1000,"")</f>
        <v/>
      </c>
      <c r="J296" s="309" t="str">
        <f>IF(ISNUMBER(Perform_Active!$P35),TREND(Perform_Active!$P35:$Q35,Perform_Active!$P$8:$Q$8,J$269)*1000,"")</f>
        <v/>
      </c>
      <c r="K296" s="309" t="str">
        <f>IF(ISNUMBER(Perform_Active!$P35),TREND(Perform_Active!$P35:$Q35,Perform_Active!$P$8:$Q$8,K$269)*1000,"")</f>
        <v/>
      </c>
      <c r="L296" s="309" t="str">
        <f>IF(ISNUMBER(Perform_Active!$P35),TREND(Perform_Active!$P35:$Q35,Perform_Active!$P$8:$Q$8,L$269)*1000,"")</f>
        <v/>
      </c>
      <c r="M296" s="309" t="str">
        <f>IF(ISNUMBER(Perform_Active!$P35),TREND(Perform_Active!$P35:$Q35,Perform_Active!$P$8:$Q$8,M$269)*1000,"")</f>
        <v/>
      </c>
      <c r="N296" s="309" t="str">
        <f>IF(ISNUMBER(Perform_Active!$P35),TREND(Perform_Active!$P35:$Q35,Perform_Active!$P$8:$Q$8,N$269)*1000,"")</f>
        <v/>
      </c>
      <c r="O296" s="309" t="str">
        <f>IF(ISNUMBER(Perform_Active!$P35),TREND(Perform_Active!$P35:$Q35,Perform_Active!$P$8:$Q$8,O$269)*1000,"")</f>
        <v/>
      </c>
      <c r="P296" s="309" t="str">
        <f>IF(ISNUMBER(Perform_Active!$P35),TREND(Perform_Active!$P35:$Q35,Perform_Active!$P$8:$Q$8,P$269)*1000,"")</f>
        <v/>
      </c>
      <c r="Q296" s="309" t="str">
        <f>IF(ISNUMBER(Perform_Active!$P35),TREND(Perform_Active!$P35:$Q35,Perform_Active!$P$8:$Q$8,Q$269)*1000,"")</f>
        <v/>
      </c>
      <c r="R296" s="309" t="str">
        <f>IF(ISNUMBER(Perform_Active!$P35),TREND(Perform_Active!$P35:$Q35,Perform_Active!$P$8:$Q$8,R$269)*1000,"")</f>
        <v/>
      </c>
      <c r="S296" s="309" t="str">
        <f>IF(ISNUMBER(Perform_Active!$P35),TREND(Perform_Active!$P35:$Q35,Perform_Active!$P$8:$Q$8,S$269)*1000,"")</f>
        <v/>
      </c>
      <c r="T296" s="309" t="str">
        <f>IF(ISNUMBER(Perform_Active!$P35),TREND(Perform_Active!$P35:$Q35,Perform_Active!$P$8:$Q$8,T$269)*1000,"")</f>
        <v/>
      </c>
      <c r="U296" s="309" t="str">
        <f>IF(ISNUMBER(Perform_Active!$P35),TREND(Perform_Active!$P35:$Q35,Perform_Active!$P$8:$Q$8,U$269)*1000,"")</f>
        <v/>
      </c>
      <c r="V296" s="309" t="str">
        <f>IF(ISNUMBER(Perform_Active!$P35),TREND(Perform_Active!$P35:$Q35,Perform_Active!$P$8:$Q$8,V$269)*1000,"")</f>
        <v/>
      </c>
      <c r="W296" s="309" t="str">
        <f>IF(ISNUMBER(Perform_Active!$P35),TREND(Perform_Active!$P35:$Q35,Perform_Active!$P$8:$Q$8,W$269)*1000,"")</f>
        <v/>
      </c>
      <c r="X296" s="309" t="str">
        <f>IF(ISNUMBER(Perform_Active!$P35),TREND(Perform_Active!$P35:$Q35,Perform_Active!$P$8:$Q$8,X$269)*1000,"")</f>
        <v/>
      </c>
      <c r="Y296" s="309" t="str">
        <f>IF(ISNUMBER(Perform_Active!$P35),TREND(Perform_Active!$P35:$Q35,Perform_Active!$P$8:$Q$8,Y$269)*1000,"")</f>
        <v/>
      </c>
      <c r="Z296" s="309" t="str">
        <f>IF(ISNUMBER(Perform_Active!$P35),TREND(Perform_Active!$P35:$Q35,Perform_Active!$P$8:$Q$8,Z$269)*1000,"")</f>
        <v/>
      </c>
      <c r="AA296" s="309" t="str">
        <f>IF(ISNUMBER(Perform_Active!$P35),TREND(Perform_Active!$P35:$Q35,Perform_Active!$P$8:$Q$8,AA$269)*1000,"")</f>
        <v/>
      </c>
      <c r="AB296" s="309" t="str">
        <f>IF(ISNUMBER(Perform_Active!$P35),TREND(Perform_Active!$P35:$Q35,Perform_Active!$P$8:$Q$8,AB$269)*1000,"")</f>
        <v/>
      </c>
      <c r="AC296" s="309" t="str">
        <f>IF(ISNUMBER(Perform_Active!$P35),TREND(Perform_Active!$P35:$Q35,Perform_Active!$P$8:$Q$8,AC$269)*1000,"")</f>
        <v/>
      </c>
      <c r="AD296" s="309" t="str">
        <f>IF(ISNUMBER(Perform_Active!$P35),TREND(Perform_Active!$P35:$Q35,Perform_Active!$P$8:$Q$8,AD$269)*1000,"")</f>
        <v/>
      </c>
      <c r="AE296" s="309" t="str">
        <f>IF(ISNUMBER(Perform_Active!$P35),TREND(Perform_Active!$P35:$Q35,Perform_Active!$P$8:$Q$8,AE$269)*1000,"")</f>
        <v/>
      </c>
      <c r="AF296" s="309" t="str">
        <f>IF(ISNUMBER(Perform_Active!$P35),TREND(Perform_Active!$P35:$Q35,Perform_Active!$P$8:$Q$8,AF$269)*1000,"")</f>
        <v/>
      </c>
    </row>
    <row r="297" spans="1:32" s="278" customFormat="1" ht="12.75" x14ac:dyDescent="0.2">
      <c r="B297" s="282" t="s">
        <v>50</v>
      </c>
      <c r="D297" s="550"/>
      <c r="E297" s="550"/>
      <c r="F297" s="550"/>
      <c r="G297" s="309" t="str">
        <f>IF(ISNUMBER(Perform_Active!$P36),TREND(Perform_Active!$P36:$Q36,Perform_Active!$P$8:$Q$8,G$269)*1000,"")</f>
        <v/>
      </c>
      <c r="H297" s="309" t="str">
        <f>IF(ISNUMBER(Perform_Active!$P36),TREND(Perform_Active!$P36:$Q36,Perform_Active!$P$8:$Q$8,H$269)*1000,"")</f>
        <v/>
      </c>
      <c r="I297" s="309" t="str">
        <f>IF(ISNUMBER(Perform_Active!$P36),TREND(Perform_Active!$P36:$Q36,Perform_Active!$P$8:$Q$8,I$269)*1000,"")</f>
        <v/>
      </c>
      <c r="J297" s="309" t="str">
        <f>IF(ISNUMBER(Perform_Active!$P36),TREND(Perform_Active!$P36:$Q36,Perform_Active!$P$8:$Q$8,J$269)*1000,"")</f>
        <v/>
      </c>
      <c r="K297" s="309" t="str">
        <f>IF(ISNUMBER(Perform_Active!$P36),TREND(Perform_Active!$P36:$Q36,Perform_Active!$P$8:$Q$8,K$269)*1000,"")</f>
        <v/>
      </c>
      <c r="L297" s="309" t="str">
        <f>IF(ISNUMBER(Perform_Active!$P36),TREND(Perform_Active!$P36:$Q36,Perform_Active!$P$8:$Q$8,L$269)*1000,"")</f>
        <v/>
      </c>
      <c r="M297" s="309" t="str">
        <f>IF(ISNUMBER(Perform_Active!$P36),TREND(Perform_Active!$P36:$Q36,Perform_Active!$P$8:$Q$8,M$269)*1000,"")</f>
        <v/>
      </c>
      <c r="N297" s="309" t="str">
        <f>IF(ISNUMBER(Perform_Active!$P36),TREND(Perform_Active!$P36:$Q36,Perform_Active!$P$8:$Q$8,N$269)*1000,"")</f>
        <v/>
      </c>
      <c r="O297" s="309" t="str">
        <f>IF(ISNUMBER(Perform_Active!$P36),TREND(Perform_Active!$P36:$Q36,Perform_Active!$P$8:$Q$8,O$269)*1000,"")</f>
        <v/>
      </c>
      <c r="P297" s="309" t="str">
        <f>IF(ISNUMBER(Perform_Active!$P36),TREND(Perform_Active!$P36:$Q36,Perform_Active!$P$8:$Q$8,P$269)*1000,"")</f>
        <v/>
      </c>
      <c r="Q297" s="309" t="str">
        <f>IF(ISNUMBER(Perform_Active!$P36),TREND(Perform_Active!$P36:$Q36,Perform_Active!$P$8:$Q$8,Q$269)*1000,"")</f>
        <v/>
      </c>
      <c r="R297" s="309" t="str">
        <f>IF(ISNUMBER(Perform_Active!$P36),TREND(Perform_Active!$P36:$Q36,Perform_Active!$P$8:$Q$8,R$269)*1000,"")</f>
        <v/>
      </c>
      <c r="S297" s="309" t="str">
        <f>IF(ISNUMBER(Perform_Active!$P36),TREND(Perform_Active!$P36:$Q36,Perform_Active!$P$8:$Q$8,S$269)*1000,"")</f>
        <v/>
      </c>
      <c r="T297" s="309" t="str">
        <f>IF(ISNUMBER(Perform_Active!$P36),TREND(Perform_Active!$P36:$Q36,Perform_Active!$P$8:$Q$8,T$269)*1000,"")</f>
        <v/>
      </c>
      <c r="U297" s="309" t="str">
        <f>IF(ISNUMBER(Perform_Active!$P36),TREND(Perform_Active!$P36:$Q36,Perform_Active!$P$8:$Q$8,U$269)*1000,"")</f>
        <v/>
      </c>
      <c r="V297" s="309" t="str">
        <f>IF(ISNUMBER(Perform_Active!$P36),TREND(Perform_Active!$P36:$Q36,Perform_Active!$P$8:$Q$8,V$269)*1000,"")</f>
        <v/>
      </c>
      <c r="W297" s="309" t="str">
        <f>IF(ISNUMBER(Perform_Active!$P36),TREND(Perform_Active!$P36:$Q36,Perform_Active!$P$8:$Q$8,W$269)*1000,"")</f>
        <v/>
      </c>
      <c r="X297" s="309" t="str">
        <f>IF(ISNUMBER(Perform_Active!$P36),TREND(Perform_Active!$P36:$Q36,Perform_Active!$P$8:$Q$8,X$269)*1000,"")</f>
        <v/>
      </c>
      <c r="Y297" s="309" t="str">
        <f>IF(ISNUMBER(Perform_Active!$P36),TREND(Perform_Active!$P36:$Q36,Perform_Active!$P$8:$Q$8,Y$269)*1000,"")</f>
        <v/>
      </c>
      <c r="Z297" s="309" t="str">
        <f>IF(ISNUMBER(Perform_Active!$P36),TREND(Perform_Active!$P36:$Q36,Perform_Active!$P$8:$Q$8,Z$269)*1000,"")</f>
        <v/>
      </c>
      <c r="AA297" s="309" t="str">
        <f>IF(ISNUMBER(Perform_Active!$P36),TREND(Perform_Active!$P36:$Q36,Perform_Active!$P$8:$Q$8,AA$269)*1000,"")</f>
        <v/>
      </c>
      <c r="AB297" s="309" t="str">
        <f>IF(ISNUMBER(Perform_Active!$P36),TREND(Perform_Active!$P36:$Q36,Perform_Active!$P$8:$Q$8,AB$269)*1000,"")</f>
        <v/>
      </c>
      <c r="AC297" s="309" t="str">
        <f>IF(ISNUMBER(Perform_Active!$P36),TREND(Perform_Active!$P36:$Q36,Perform_Active!$P$8:$Q$8,AC$269)*1000,"")</f>
        <v/>
      </c>
      <c r="AD297" s="309" t="str">
        <f>IF(ISNUMBER(Perform_Active!$P36),TREND(Perform_Active!$P36:$Q36,Perform_Active!$P$8:$Q$8,AD$269)*1000,"")</f>
        <v/>
      </c>
      <c r="AE297" s="309" t="str">
        <f>IF(ISNUMBER(Perform_Active!$P36),TREND(Perform_Active!$P36:$Q36,Perform_Active!$P$8:$Q$8,AE$269)*1000,"")</f>
        <v/>
      </c>
      <c r="AF297" s="309" t="str">
        <f>IF(ISNUMBER(Perform_Active!$P36),TREND(Perform_Active!$P36:$Q36,Perform_Active!$P$8:$Q$8,AF$269)*1000,"")</f>
        <v/>
      </c>
    </row>
    <row r="298" spans="1:32" s="278" customFormat="1" ht="12.75" x14ac:dyDescent="0.2">
      <c r="B298" s="278" t="s">
        <v>51</v>
      </c>
      <c r="D298" s="550"/>
      <c r="E298" s="550"/>
      <c r="F298" s="550"/>
      <c r="G298" s="309" t="str">
        <f>IF(ISNUMBER(Perform_Active!$P37),TREND(Perform_Active!$P37:$Q37,Perform_Active!$P$8:$Q$8,G$269)*1000,"")</f>
        <v/>
      </c>
      <c r="H298" s="309" t="str">
        <f>IF(ISNUMBER(Perform_Active!$P37),TREND(Perform_Active!$P37:$Q37,Perform_Active!$P$8:$Q$8,H$269)*1000,"")</f>
        <v/>
      </c>
      <c r="I298" s="309" t="str">
        <f>IF(ISNUMBER(Perform_Active!$P37),TREND(Perform_Active!$P37:$Q37,Perform_Active!$P$8:$Q$8,I$269)*1000,"")</f>
        <v/>
      </c>
      <c r="J298" s="309" t="str">
        <f>IF(ISNUMBER(Perform_Active!$P37),TREND(Perform_Active!$P37:$Q37,Perform_Active!$P$8:$Q$8,J$269)*1000,"")</f>
        <v/>
      </c>
      <c r="K298" s="309" t="str">
        <f>IF(ISNUMBER(Perform_Active!$P37),TREND(Perform_Active!$P37:$Q37,Perform_Active!$P$8:$Q$8,K$269)*1000,"")</f>
        <v/>
      </c>
      <c r="L298" s="309" t="str">
        <f>IF(ISNUMBER(Perform_Active!$P37),TREND(Perform_Active!$P37:$Q37,Perform_Active!$P$8:$Q$8,L$269)*1000,"")</f>
        <v/>
      </c>
      <c r="M298" s="309" t="str">
        <f>IF(ISNUMBER(Perform_Active!$P37),TREND(Perform_Active!$P37:$Q37,Perform_Active!$P$8:$Q$8,M$269)*1000,"")</f>
        <v/>
      </c>
      <c r="N298" s="309" t="str">
        <f>IF(ISNUMBER(Perform_Active!$P37),TREND(Perform_Active!$P37:$Q37,Perform_Active!$P$8:$Q$8,N$269)*1000,"")</f>
        <v/>
      </c>
      <c r="O298" s="309" t="str">
        <f>IF(ISNUMBER(Perform_Active!$P37),TREND(Perform_Active!$P37:$Q37,Perform_Active!$P$8:$Q$8,O$269)*1000,"")</f>
        <v/>
      </c>
      <c r="P298" s="309" t="str">
        <f>IF(ISNUMBER(Perform_Active!$P37),TREND(Perform_Active!$P37:$Q37,Perform_Active!$P$8:$Q$8,P$269)*1000,"")</f>
        <v/>
      </c>
      <c r="Q298" s="309" t="str">
        <f>IF(ISNUMBER(Perform_Active!$P37),TREND(Perform_Active!$P37:$Q37,Perform_Active!$P$8:$Q$8,Q$269)*1000,"")</f>
        <v/>
      </c>
      <c r="R298" s="309" t="str">
        <f>IF(ISNUMBER(Perform_Active!$P37),TREND(Perform_Active!$P37:$Q37,Perform_Active!$P$8:$Q$8,R$269)*1000,"")</f>
        <v/>
      </c>
      <c r="S298" s="309" t="str">
        <f>IF(ISNUMBER(Perform_Active!$P37),TREND(Perform_Active!$P37:$Q37,Perform_Active!$P$8:$Q$8,S$269)*1000,"")</f>
        <v/>
      </c>
      <c r="T298" s="309" t="str">
        <f>IF(ISNUMBER(Perform_Active!$P37),TREND(Perform_Active!$P37:$Q37,Perform_Active!$P$8:$Q$8,T$269)*1000,"")</f>
        <v/>
      </c>
      <c r="U298" s="309" t="str">
        <f>IF(ISNUMBER(Perform_Active!$P37),TREND(Perform_Active!$P37:$Q37,Perform_Active!$P$8:$Q$8,U$269)*1000,"")</f>
        <v/>
      </c>
      <c r="V298" s="309" t="str">
        <f>IF(ISNUMBER(Perform_Active!$P37),TREND(Perform_Active!$P37:$Q37,Perform_Active!$P$8:$Q$8,V$269)*1000,"")</f>
        <v/>
      </c>
      <c r="W298" s="309" t="str">
        <f>IF(ISNUMBER(Perform_Active!$P37),TREND(Perform_Active!$P37:$Q37,Perform_Active!$P$8:$Q$8,W$269)*1000,"")</f>
        <v/>
      </c>
      <c r="X298" s="309" t="str">
        <f>IF(ISNUMBER(Perform_Active!$P37),TREND(Perform_Active!$P37:$Q37,Perform_Active!$P$8:$Q$8,X$269)*1000,"")</f>
        <v/>
      </c>
      <c r="Y298" s="309" t="str">
        <f>IF(ISNUMBER(Perform_Active!$P37),TREND(Perform_Active!$P37:$Q37,Perform_Active!$P$8:$Q$8,Y$269)*1000,"")</f>
        <v/>
      </c>
      <c r="Z298" s="309" t="str">
        <f>IF(ISNUMBER(Perform_Active!$P37),TREND(Perform_Active!$P37:$Q37,Perform_Active!$P$8:$Q$8,Z$269)*1000,"")</f>
        <v/>
      </c>
      <c r="AA298" s="309" t="str">
        <f>IF(ISNUMBER(Perform_Active!$P37),TREND(Perform_Active!$P37:$Q37,Perform_Active!$P$8:$Q$8,AA$269)*1000,"")</f>
        <v/>
      </c>
      <c r="AB298" s="309" t="str">
        <f>IF(ISNUMBER(Perform_Active!$P37),TREND(Perform_Active!$P37:$Q37,Perform_Active!$P$8:$Q$8,AB$269)*1000,"")</f>
        <v/>
      </c>
      <c r="AC298" s="309" t="str">
        <f>IF(ISNUMBER(Perform_Active!$P37),TREND(Perform_Active!$P37:$Q37,Perform_Active!$P$8:$Q$8,AC$269)*1000,"")</f>
        <v/>
      </c>
      <c r="AD298" s="309" t="str">
        <f>IF(ISNUMBER(Perform_Active!$P37),TREND(Perform_Active!$P37:$Q37,Perform_Active!$P$8:$Q$8,AD$269)*1000,"")</f>
        <v/>
      </c>
      <c r="AE298" s="309" t="str">
        <f>IF(ISNUMBER(Perform_Active!$P37),TREND(Perform_Active!$P37:$Q37,Perform_Active!$P$8:$Q$8,AE$269)*1000,"")</f>
        <v/>
      </c>
      <c r="AF298" s="309" t="str">
        <f>IF(ISNUMBER(Perform_Active!$P37),TREND(Perform_Active!$P37:$Q37,Perform_Active!$P$8:$Q$8,AF$269)*1000,"")</f>
        <v/>
      </c>
    </row>
    <row r="299" spans="1:32" s="278" customFormat="1" ht="12.75" x14ac:dyDescent="0.2">
      <c r="B299" s="278" t="s">
        <v>52</v>
      </c>
      <c r="D299" s="550"/>
      <c r="E299" s="550"/>
      <c r="F299" s="550"/>
      <c r="G299" s="309">
        <f>IF(ISNUMBER(Perform_Active!$P38),TREND(Perform_Active!$P38:$Q38,Perform_Active!$P$8:$Q$8,G$269)*1000,"")</f>
        <v>50000</v>
      </c>
      <c r="H299" s="309">
        <f>IF(ISNUMBER(Perform_Active!$P38),TREND(Perform_Active!$P38:$Q38,Perform_Active!$P$8:$Q$8,H$269)*1000,"")</f>
        <v>52200.000000000728</v>
      </c>
      <c r="I299" s="309">
        <f>IF(ISNUMBER(Perform_Active!$P38),TREND(Perform_Active!$P38:$Q38,Perform_Active!$P$8:$Q$8,I$269)*1000,"")</f>
        <v>54400.000000000546</v>
      </c>
      <c r="J299" s="309">
        <f>IF(ISNUMBER(Perform_Active!$P38),TREND(Perform_Active!$P38:$Q38,Perform_Active!$P$8:$Q$8,J$269)*1000,"")</f>
        <v>56600.000000000364</v>
      </c>
      <c r="K299" s="309">
        <f>IF(ISNUMBER(Perform_Active!$P38),TREND(Perform_Active!$P38:$Q38,Perform_Active!$P$8:$Q$8,K$269)*1000,"")</f>
        <v>58800.000000000182</v>
      </c>
      <c r="L299" s="309">
        <f>IF(ISNUMBER(Perform_Active!$P38),TREND(Perform_Active!$P38:$Q38,Perform_Active!$P$8:$Q$8,L$269)*1000,"")</f>
        <v>61000</v>
      </c>
      <c r="M299" s="309">
        <f>IF(ISNUMBER(Perform_Active!$P38),TREND(Perform_Active!$P38:$Q38,Perform_Active!$P$8:$Q$8,M$269)*1000,"")</f>
        <v>63200.000000000728</v>
      </c>
      <c r="N299" s="309">
        <f>IF(ISNUMBER(Perform_Active!$P38),TREND(Perform_Active!$P38:$Q38,Perform_Active!$P$8:$Q$8,N$269)*1000,"")</f>
        <v>65400.000000000546</v>
      </c>
      <c r="O299" s="309">
        <f>IF(ISNUMBER(Perform_Active!$P38),TREND(Perform_Active!$P38:$Q38,Perform_Active!$P$8:$Q$8,O$269)*1000,"")</f>
        <v>67600.000000000364</v>
      </c>
      <c r="P299" s="309">
        <f>IF(ISNUMBER(Perform_Active!$P38),TREND(Perform_Active!$P38:$Q38,Perform_Active!$P$8:$Q$8,P$269)*1000,"")</f>
        <v>69800.000000000175</v>
      </c>
      <c r="Q299" s="309">
        <f>IF(ISNUMBER(Perform_Active!$P38),TREND(Perform_Active!$P38:$Q38,Perform_Active!$P$8:$Q$8,Q$269)*1000,"")</f>
        <v>72000</v>
      </c>
      <c r="R299" s="309">
        <f>IF(ISNUMBER(Perform_Active!$P38),TREND(Perform_Active!$P38:$Q38,Perform_Active!$P$8:$Q$8,R$269)*1000,"")</f>
        <v>74200.000000000728</v>
      </c>
      <c r="S299" s="309">
        <f>IF(ISNUMBER(Perform_Active!$P38),TREND(Perform_Active!$P38:$Q38,Perform_Active!$P$8:$Q$8,S$269)*1000,"")</f>
        <v>76400.000000000553</v>
      </c>
      <c r="T299" s="309">
        <f>IF(ISNUMBER(Perform_Active!$P38),TREND(Perform_Active!$P38:$Q38,Perform_Active!$P$8:$Q$8,T$269)*1000,"")</f>
        <v>78600.000000000364</v>
      </c>
      <c r="U299" s="309">
        <f>IF(ISNUMBER(Perform_Active!$P38),TREND(Perform_Active!$P38:$Q38,Perform_Active!$P$8:$Q$8,U$269)*1000,"")</f>
        <v>80800.000000000175</v>
      </c>
      <c r="V299" s="309">
        <f>IF(ISNUMBER(Perform_Active!$P38),TREND(Perform_Active!$P38:$Q38,Perform_Active!$P$8:$Q$8,V$269)*1000,"")</f>
        <v>83000</v>
      </c>
      <c r="W299" s="309">
        <f>IF(ISNUMBER(Perform_Active!$P38),TREND(Perform_Active!$P38:$Q38,Perform_Active!$P$8:$Q$8,W$269)*1000,"")</f>
        <v>85200.000000000728</v>
      </c>
      <c r="X299" s="309">
        <f>IF(ISNUMBER(Perform_Active!$P38),TREND(Perform_Active!$P38:$Q38,Perform_Active!$P$8:$Q$8,X$269)*1000,"")</f>
        <v>87400.000000000553</v>
      </c>
      <c r="Y299" s="309">
        <f>IF(ISNUMBER(Perform_Active!$P38),TREND(Perform_Active!$P38:$Q38,Perform_Active!$P$8:$Q$8,Y$269)*1000,"")</f>
        <v>89600.000000000364</v>
      </c>
      <c r="Z299" s="309">
        <f>IF(ISNUMBER(Perform_Active!$P38),TREND(Perform_Active!$P38:$Q38,Perform_Active!$P$8:$Q$8,Z$269)*1000,"")</f>
        <v>91800.000000000175</v>
      </c>
      <c r="AA299" s="309">
        <f>IF(ISNUMBER(Perform_Active!$P38),TREND(Perform_Active!$P38:$Q38,Perform_Active!$P$8:$Q$8,AA$269)*1000,"")</f>
        <v>94000</v>
      </c>
      <c r="AB299" s="309">
        <f>IF(ISNUMBER(Perform_Active!$P38),TREND(Perform_Active!$P38:$Q38,Perform_Active!$P$8:$Q$8,AB$269)*1000,"")</f>
        <v>96200.000000000728</v>
      </c>
      <c r="AC299" s="309">
        <f>IF(ISNUMBER(Perform_Active!$P38),TREND(Perform_Active!$P38:$Q38,Perform_Active!$P$8:$Q$8,AC$269)*1000,"")</f>
        <v>98400.000000000553</v>
      </c>
      <c r="AD299" s="309">
        <f>IF(ISNUMBER(Perform_Active!$P38),TREND(Perform_Active!$P38:$Q38,Perform_Active!$P$8:$Q$8,AD$269)*1000,"")</f>
        <v>100600.00000000036</v>
      </c>
      <c r="AE299" s="309">
        <f>IF(ISNUMBER(Perform_Active!$P38),TREND(Perform_Active!$P38:$Q38,Perform_Active!$P$8:$Q$8,AE$269)*1000,"")</f>
        <v>102800.00000000017</v>
      </c>
      <c r="AF299" s="309">
        <f>IF(ISNUMBER(Perform_Active!$P38),TREND(Perform_Active!$P38:$Q38,Perform_Active!$P$8:$Q$8,AF$269)*1000,"")</f>
        <v>105000</v>
      </c>
    </row>
    <row r="300" spans="1:32" s="278" customFormat="1" ht="12.75" x14ac:dyDescent="0.2">
      <c r="B300" s="282" t="s">
        <v>29</v>
      </c>
      <c r="D300" s="550"/>
      <c r="E300" s="550"/>
      <c r="F300" s="550"/>
      <c r="G300" s="309" t="str">
        <f>IF(ISNUMBER(Perform_Active!$P39),TREND(Perform_Active!$P39:$Q39,Perform_Active!$P$8:$Q$8,G$269)*1000,"")</f>
        <v/>
      </c>
      <c r="H300" s="309" t="str">
        <f>IF(ISNUMBER(Perform_Active!$P39),TREND(Perform_Active!$P39:$Q39,Perform_Active!$P$8:$Q$8,H$269)*1000,"")</f>
        <v/>
      </c>
      <c r="I300" s="309" t="str">
        <f>IF(ISNUMBER(Perform_Active!$P39),TREND(Perform_Active!$P39:$Q39,Perform_Active!$P$8:$Q$8,I$269)*1000,"")</f>
        <v/>
      </c>
      <c r="J300" s="309" t="str">
        <f>IF(ISNUMBER(Perform_Active!$P39),TREND(Perform_Active!$P39:$Q39,Perform_Active!$P$8:$Q$8,J$269)*1000,"")</f>
        <v/>
      </c>
      <c r="K300" s="309" t="str">
        <f>IF(ISNUMBER(Perform_Active!$P39),TREND(Perform_Active!$P39:$Q39,Perform_Active!$P$8:$Q$8,K$269)*1000,"")</f>
        <v/>
      </c>
      <c r="L300" s="309" t="str">
        <f>IF(ISNUMBER(Perform_Active!$P39),TREND(Perform_Active!$P39:$Q39,Perform_Active!$P$8:$Q$8,L$269)*1000,"")</f>
        <v/>
      </c>
      <c r="M300" s="309" t="str">
        <f>IF(ISNUMBER(Perform_Active!$P39),TREND(Perform_Active!$P39:$Q39,Perform_Active!$P$8:$Q$8,M$269)*1000,"")</f>
        <v/>
      </c>
      <c r="N300" s="309" t="str">
        <f>IF(ISNUMBER(Perform_Active!$P39),TREND(Perform_Active!$P39:$Q39,Perform_Active!$P$8:$Q$8,N$269)*1000,"")</f>
        <v/>
      </c>
      <c r="O300" s="309" t="str">
        <f>IF(ISNUMBER(Perform_Active!$P39),TREND(Perform_Active!$P39:$Q39,Perform_Active!$P$8:$Q$8,O$269)*1000,"")</f>
        <v/>
      </c>
      <c r="P300" s="309" t="str">
        <f>IF(ISNUMBER(Perform_Active!$P39),TREND(Perform_Active!$P39:$Q39,Perform_Active!$P$8:$Q$8,P$269)*1000,"")</f>
        <v/>
      </c>
      <c r="Q300" s="309" t="str">
        <f>IF(ISNUMBER(Perform_Active!$P39),TREND(Perform_Active!$P39:$Q39,Perform_Active!$P$8:$Q$8,Q$269)*1000,"")</f>
        <v/>
      </c>
      <c r="R300" s="309" t="str">
        <f>IF(ISNUMBER(Perform_Active!$P39),TREND(Perform_Active!$P39:$Q39,Perform_Active!$P$8:$Q$8,R$269)*1000,"")</f>
        <v/>
      </c>
      <c r="S300" s="309" t="str">
        <f>IF(ISNUMBER(Perform_Active!$P39),TREND(Perform_Active!$P39:$Q39,Perform_Active!$P$8:$Q$8,S$269)*1000,"")</f>
        <v/>
      </c>
      <c r="T300" s="309" t="str">
        <f>IF(ISNUMBER(Perform_Active!$P39),TREND(Perform_Active!$P39:$Q39,Perform_Active!$P$8:$Q$8,T$269)*1000,"")</f>
        <v/>
      </c>
      <c r="U300" s="309" t="str">
        <f>IF(ISNUMBER(Perform_Active!$P39),TREND(Perform_Active!$P39:$Q39,Perform_Active!$P$8:$Q$8,U$269)*1000,"")</f>
        <v/>
      </c>
      <c r="V300" s="309" t="str">
        <f>IF(ISNUMBER(Perform_Active!$P39),TREND(Perform_Active!$P39:$Q39,Perform_Active!$P$8:$Q$8,V$269)*1000,"")</f>
        <v/>
      </c>
      <c r="W300" s="309" t="str">
        <f>IF(ISNUMBER(Perform_Active!$P39),TREND(Perform_Active!$P39:$Q39,Perform_Active!$P$8:$Q$8,W$269)*1000,"")</f>
        <v/>
      </c>
      <c r="X300" s="309" t="str">
        <f>IF(ISNUMBER(Perform_Active!$P39),TREND(Perform_Active!$P39:$Q39,Perform_Active!$P$8:$Q$8,X$269)*1000,"")</f>
        <v/>
      </c>
      <c r="Y300" s="309" t="str">
        <f>IF(ISNUMBER(Perform_Active!$P39),TREND(Perform_Active!$P39:$Q39,Perform_Active!$P$8:$Q$8,Y$269)*1000,"")</f>
        <v/>
      </c>
      <c r="Z300" s="309" t="str">
        <f>IF(ISNUMBER(Perform_Active!$P39),TREND(Perform_Active!$P39:$Q39,Perform_Active!$P$8:$Q$8,Z$269)*1000,"")</f>
        <v/>
      </c>
      <c r="AA300" s="309" t="str">
        <f>IF(ISNUMBER(Perform_Active!$P39),TREND(Perform_Active!$P39:$Q39,Perform_Active!$P$8:$Q$8,AA$269)*1000,"")</f>
        <v/>
      </c>
      <c r="AB300" s="309" t="str">
        <f>IF(ISNUMBER(Perform_Active!$P39),TREND(Perform_Active!$P39:$Q39,Perform_Active!$P$8:$Q$8,AB$269)*1000,"")</f>
        <v/>
      </c>
      <c r="AC300" s="309" t="str">
        <f>IF(ISNUMBER(Perform_Active!$P39),TREND(Perform_Active!$P39:$Q39,Perform_Active!$P$8:$Q$8,AC$269)*1000,"")</f>
        <v/>
      </c>
      <c r="AD300" s="309" t="str">
        <f>IF(ISNUMBER(Perform_Active!$P39),TREND(Perform_Active!$P39:$Q39,Perform_Active!$P$8:$Q$8,AD$269)*1000,"")</f>
        <v/>
      </c>
      <c r="AE300" s="309" t="str">
        <f>IF(ISNUMBER(Perform_Active!$P39),TREND(Perform_Active!$P39:$Q39,Perform_Active!$P$8:$Q$8,AE$269)*1000,"")</f>
        <v/>
      </c>
      <c r="AF300" s="309" t="str">
        <f>IF(ISNUMBER(Perform_Active!$P39),TREND(Perform_Active!$P39:$Q39,Perform_Active!$P$8:$Q$8,AF$269)*1000,"")</f>
        <v/>
      </c>
    </row>
    <row r="301" spans="1:32" s="278" customFormat="1" ht="12.75" x14ac:dyDescent="0.2">
      <c r="B301" s="282" t="s">
        <v>53</v>
      </c>
      <c r="D301" s="550"/>
      <c r="E301" s="550"/>
      <c r="F301" s="550"/>
      <c r="G301" s="309" t="str">
        <f>IF(ISNUMBER(Perform_Active!$P40),TREND(Perform_Active!$P40:$Q40,Perform_Active!$P$8:$Q$8,G$269)*1000,"")</f>
        <v/>
      </c>
      <c r="H301" s="309" t="str">
        <f>IF(ISNUMBER(Perform_Active!$P40),TREND(Perform_Active!$P40:$Q40,Perform_Active!$P$8:$Q$8,H$269)*1000,"")</f>
        <v/>
      </c>
      <c r="I301" s="309" t="str">
        <f>IF(ISNUMBER(Perform_Active!$P40),TREND(Perform_Active!$P40:$Q40,Perform_Active!$P$8:$Q$8,I$269)*1000,"")</f>
        <v/>
      </c>
      <c r="J301" s="309" t="str">
        <f>IF(ISNUMBER(Perform_Active!$P40),TREND(Perform_Active!$P40:$Q40,Perform_Active!$P$8:$Q$8,J$269)*1000,"")</f>
        <v/>
      </c>
      <c r="K301" s="309" t="str">
        <f>IF(ISNUMBER(Perform_Active!$P40),TREND(Perform_Active!$P40:$Q40,Perform_Active!$P$8:$Q$8,K$269)*1000,"")</f>
        <v/>
      </c>
      <c r="L301" s="309" t="str">
        <f>IF(ISNUMBER(Perform_Active!$P40),TREND(Perform_Active!$P40:$Q40,Perform_Active!$P$8:$Q$8,L$269)*1000,"")</f>
        <v/>
      </c>
      <c r="M301" s="309" t="str">
        <f>IF(ISNUMBER(Perform_Active!$P40),TREND(Perform_Active!$P40:$Q40,Perform_Active!$P$8:$Q$8,M$269)*1000,"")</f>
        <v/>
      </c>
      <c r="N301" s="309" t="str">
        <f>IF(ISNUMBER(Perform_Active!$P40),TREND(Perform_Active!$P40:$Q40,Perform_Active!$P$8:$Q$8,N$269)*1000,"")</f>
        <v/>
      </c>
      <c r="O301" s="309" t="str">
        <f>IF(ISNUMBER(Perform_Active!$P40),TREND(Perform_Active!$P40:$Q40,Perform_Active!$P$8:$Q$8,O$269)*1000,"")</f>
        <v/>
      </c>
      <c r="P301" s="309" t="str">
        <f>IF(ISNUMBER(Perform_Active!$P40),TREND(Perform_Active!$P40:$Q40,Perform_Active!$P$8:$Q$8,P$269)*1000,"")</f>
        <v/>
      </c>
      <c r="Q301" s="309" t="str">
        <f>IF(ISNUMBER(Perform_Active!$P40),TREND(Perform_Active!$P40:$Q40,Perform_Active!$P$8:$Q$8,Q$269)*1000,"")</f>
        <v/>
      </c>
      <c r="R301" s="309" t="str">
        <f>IF(ISNUMBER(Perform_Active!$P40),TREND(Perform_Active!$P40:$Q40,Perform_Active!$P$8:$Q$8,R$269)*1000,"")</f>
        <v/>
      </c>
      <c r="S301" s="309" t="str">
        <f>IF(ISNUMBER(Perform_Active!$P40),TREND(Perform_Active!$P40:$Q40,Perform_Active!$P$8:$Q$8,S$269)*1000,"")</f>
        <v/>
      </c>
      <c r="T301" s="309" t="str">
        <f>IF(ISNUMBER(Perform_Active!$P40),TREND(Perform_Active!$P40:$Q40,Perform_Active!$P$8:$Q$8,T$269)*1000,"")</f>
        <v/>
      </c>
      <c r="U301" s="309" t="str">
        <f>IF(ISNUMBER(Perform_Active!$P40),TREND(Perform_Active!$P40:$Q40,Perform_Active!$P$8:$Q$8,U$269)*1000,"")</f>
        <v/>
      </c>
      <c r="V301" s="309" t="str">
        <f>IF(ISNUMBER(Perform_Active!$P40),TREND(Perform_Active!$P40:$Q40,Perform_Active!$P$8:$Q$8,V$269)*1000,"")</f>
        <v/>
      </c>
      <c r="W301" s="309" t="str">
        <f>IF(ISNUMBER(Perform_Active!$P40),TREND(Perform_Active!$P40:$Q40,Perform_Active!$P$8:$Q$8,W$269)*1000,"")</f>
        <v/>
      </c>
      <c r="X301" s="309" t="str">
        <f>IF(ISNUMBER(Perform_Active!$P40),TREND(Perform_Active!$P40:$Q40,Perform_Active!$P$8:$Q$8,X$269)*1000,"")</f>
        <v/>
      </c>
      <c r="Y301" s="309" t="str">
        <f>IF(ISNUMBER(Perform_Active!$P40),TREND(Perform_Active!$P40:$Q40,Perform_Active!$P$8:$Q$8,Y$269)*1000,"")</f>
        <v/>
      </c>
      <c r="Z301" s="309" t="str">
        <f>IF(ISNUMBER(Perform_Active!$P40),TREND(Perform_Active!$P40:$Q40,Perform_Active!$P$8:$Q$8,Z$269)*1000,"")</f>
        <v/>
      </c>
      <c r="AA301" s="309" t="str">
        <f>IF(ISNUMBER(Perform_Active!$P40),TREND(Perform_Active!$P40:$Q40,Perform_Active!$P$8:$Q$8,AA$269)*1000,"")</f>
        <v/>
      </c>
      <c r="AB301" s="309" t="str">
        <f>IF(ISNUMBER(Perform_Active!$P40),TREND(Perform_Active!$P40:$Q40,Perform_Active!$P$8:$Q$8,AB$269)*1000,"")</f>
        <v/>
      </c>
      <c r="AC301" s="309" t="str">
        <f>IF(ISNUMBER(Perform_Active!$P40),TREND(Perform_Active!$P40:$Q40,Perform_Active!$P$8:$Q$8,AC$269)*1000,"")</f>
        <v/>
      </c>
      <c r="AD301" s="309" t="str">
        <f>IF(ISNUMBER(Perform_Active!$P40),TREND(Perform_Active!$P40:$Q40,Perform_Active!$P$8:$Q$8,AD$269)*1000,"")</f>
        <v/>
      </c>
      <c r="AE301" s="309" t="str">
        <f>IF(ISNUMBER(Perform_Active!$P40),TREND(Perform_Active!$P40:$Q40,Perform_Active!$P$8:$Q$8,AE$269)*1000,"")</f>
        <v/>
      </c>
      <c r="AF301" s="309" t="str">
        <f>IF(ISNUMBER(Perform_Active!$P40),TREND(Perform_Active!$P40:$Q40,Perform_Active!$P$8:$Q$8,AF$269)*1000,"")</f>
        <v/>
      </c>
    </row>
    <row r="302" spans="1:32" s="278" customFormat="1" ht="12.75" x14ac:dyDescent="0.2">
      <c r="D302" s="550"/>
      <c r="E302" s="550"/>
      <c r="F302" s="550"/>
      <c r="G302" s="288"/>
      <c r="H302" s="288"/>
      <c r="I302" s="288"/>
      <c r="J302" s="288"/>
      <c r="K302" s="288"/>
      <c r="L302" s="288"/>
      <c r="M302" s="288"/>
      <c r="N302" s="288"/>
      <c r="O302" s="288"/>
      <c r="P302" s="288"/>
      <c r="Q302" s="288"/>
      <c r="R302" s="288"/>
      <c r="S302" s="288"/>
      <c r="T302" s="288"/>
      <c r="U302" s="288"/>
      <c r="V302" s="288"/>
      <c r="W302" s="288"/>
      <c r="X302" s="288"/>
      <c r="Y302" s="288"/>
      <c r="Z302" s="288"/>
      <c r="AA302" s="288"/>
      <c r="AB302" s="288"/>
      <c r="AC302" s="288"/>
      <c r="AD302" s="288"/>
      <c r="AE302" s="288"/>
      <c r="AF302" s="288"/>
    </row>
    <row r="303" spans="1:32" s="315" customFormat="1" ht="12.75" x14ac:dyDescent="0.2">
      <c r="A303" s="316" t="s">
        <v>178</v>
      </c>
      <c r="D303" s="403"/>
      <c r="E303" s="403"/>
      <c r="F303" s="403"/>
      <c r="G303" s="1044" t="s">
        <v>684</v>
      </c>
    </row>
    <row r="304" spans="1:32" s="302" customFormat="1" ht="12.75" x14ac:dyDescent="0.2">
      <c r="D304" s="550"/>
      <c r="E304" s="550"/>
      <c r="F304" s="550"/>
    </row>
    <row r="305" spans="1:32" s="302" customFormat="1" ht="12.75" x14ac:dyDescent="0.2">
      <c r="A305" s="303" t="s">
        <v>12</v>
      </c>
      <c r="D305" s="550"/>
      <c r="E305" s="550"/>
      <c r="F305" s="550"/>
    </row>
    <row r="306" spans="1:32" s="302" customFormat="1" ht="12.75" x14ac:dyDescent="0.2">
      <c r="B306" s="302" t="s">
        <v>20</v>
      </c>
      <c r="D306" s="550"/>
      <c r="E306" s="550"/>
      <c r="F306" s="550"/>
      <c r="G306" s="302">
        <v>2010</v>
      </c>
      <c r="H306" s="302">
        <v>2011</v>
      </c>
      <c r="I306" s="302">
        <v>2012</v>
      </c>
      <c r="J306" s="302">
        <v>2013</v>
      </c>
      <c r="K306" s="302">
        <v>2014</v>
      </c>
      <c r="L306" s="302">
        <v>2015</v>
      </c>
      <c r="M306" s="302">
        <v>2016</v>
      </c>
      <c r="N306" s="302">
        <v>2017</v>
      </c>
      <c r="O306" s="302">
        <v>2018</v>
      </c>
      <c r="P306" s="302">
        <v>2019</v>
      </c>
      <c r="Q306" s="302">
        <v>2020</v>
      </c>
      <c r="R306" s="302">
        <v>2021</v>
      </c>
      <c r="S306" s="302">
        <v>2022</v>
      </c>
      <c r="T306" s="302">
        <v>2023</v>
      </c>
      <c r="U306" s="302">
        <v>2024</v>
      </c>
      <c r="V306" s="302">
        <v>2025</v>
      </c>
      <c r="W306" s="302">
        <v>2026</v>
      </c>
      <c r="X306" s="302">
        <v>2027</v>
      </c>
      <c r="Y306" s="302">
        <v>2028</v>
      </c>
      <c r="Z306" s="302">
        <v>2029</v>
      </c>
      <c r="AA306" s="302">
        <v>2030</v>
      </c>
      <c r="AB306" s="302">
        <v>2031</v>
      </c>
      <c r="AC306" s="302">
        <v>2032</v>
      </c>
      <c r="AD306" s="302">
        <v>2033</v>
      </c>
      <c r="AE306" s="302">
        <v>2034</v>
      </c>
      <c r="AF306" s="302">
        <v>2035</v>
      </c>
    </row>
    <row r="307" spans="1:32" s="302" customFormat="1" ht="12.75" x14ac:dyDescent="0.2">
      <c r="A307" s="312" t="s">
        <v>21</v>
      </c>
      <c r="B307" s="307"/>
      <c r="C307" s="304"/>
      <c r="D307" s="501"/>
      <c r="E307" s="501"/>
      <c r="F307" s="501"/>
      <c r="G307" s="304"/>
      <c r="H307" s="304"/>
      <c r="I307" s="304"/>
      <c r="J307" s="304"/>
      <c r="K307" s="304"/>
      <c r="L307" s="304"/>
      <c r="M307" s="304"/>
      <c r="N307" s="304"/>
      <c r="O307" s="304"/>
      <c r="P307" s="304"/>
      <c r="Q307" s="304"/>
      <c r="R307" s="304"/>
      <c r="S307" s="304"/>
      <c r="T307" s="304"/>
      <c r="U307" s="304"/>
      <c r="V307" s="304"/>
      <c r="W307" s="304"/>
      <c r="X307" s="304"/>
      <c r="Y307" s="304"/>
      <c r="Z307" s="304"/>
      <c r="AA307" s="304"/>
      <c r="AB307" s="304"/>
      <c r="AC307" s="304"/>
      <c r="AD307" s="304"/>
      <c r="AE307" s="304"/>
      <c r="AF307" s="304"/>
    </row>
    <row r="308" spans="1:32" s="302" customFormat="1" ht="12.75" x14ac:dyDescent="0.2">
      <c r="B308" s="302" t="s">
        <v>22</v>
      </c>
      <c r="D308" s="550"/>
      <c r="E308" s="550"/>
      <c r="F308" s="550"/>
      <c r="G308" s="309">
        <f t="array" ref="G308:AF338">IF(ISNUMBER(Perform_Active!R10:R40),Perform_Active!R10:R40*1000,"")</f>
        <v>100000</v>
      </c>
      <c r="H308" s="309">
        <v>100000</v>
      </c>
      <c r="I308" s="309">
        <v>100000</v>
      </c>
      <c r="J308" s="309">
        <v>100000</v>
      </c>
      <c r="K308" s="309">
        <v>100000</v>
      </c>
      <c r="L308" s="309">
        <v>100000</v>
      </c>
      <c r="M308" s="309">
        <v>100000</v>
      </c>
      <c r="N308" s="309">
        <v>100000</v>
      </c>
      <c r="O308" s="309">
        <v>100000</v>
      </c>
      <c r="P308" s="309">
        <v>100000</v>
      </c>
      <c r="Q308" s="309">
        <v>100000</v>
      </c>
      <c r="R308" s="309">
        <v>100000</v>
      </c>
      <c r="S308" s="309">
        <v>100000</v>
      </c>
      <c r="T308" s="309">
        <v>100000</v>
      </c>
      <c r="U308" s="309">
        <v>100000</v>
      </c>
      <c r="V308" s="309">
        <v>100000</v>
      </c>
      <c r="W308" s="309">
        <v>100000</v>
      </c>
      <c r="X308" s="309">
        <v>100000</v>
      </c>
      <c r="Y308" s="309">
        <v>100000</v>
      </c>
      <c r="Z308" s="309">
        <v>100000</v>
      </c>
      <c r="AA308" s="309">
        <v>100000</v>
      </c>
      <c r="AB308" s="309">
        <v>100000</v>
      </c>
      <c r="AC308" s="309">
        <v>100000</v>
      </c>
      <c r="AD308" s="309">
        <v>100000</v>
      </c>
      <c r="AE308" s="309">
        <v>100000</v>
      </c>
      <c r="AF308" s="309">
        <v>100000</v>
      </c>
    </row>
    <row r="309" spans="1:32" s="302" customFormat="1" ht="12.75" x14ac:dyDescent="0.2">
      <c r="B309" s="302" t="s">
        <v>26</v>
      </c>
      <c r="D309" s="550"/>
      <c r="E309" s="550"/>
      <c r="F309" s="550"/>
      <c r="G309" s="309">
        <v>100000</v>
      </c>
      <c r="H309" s="309">
        <v>100000</v>
      </c>
      <c r="I309" s="309">
        <v>100000</v>
      </c>
      <c r="J309" s="309">
        <v>100000</v>
      </c>
      <c r="K309" s="309">
        <v>100000</v>
      </c>
      <c r="L309" s="309">
        <v>100000</v>
      </c>
      <c r="M309" s="309">
        <v>100000</v>
      </c>
      <c r="N309" s="309">
        <v>100000</v>
      </c>
      <c r="O309" s="309">
        <v>100000</v>
      </c>
      <c r="P309" s="309">
        <v>100000</v>
      </c>
      <c r="Q309" s="309">
        <v>100000</v>
      </c>
      <c r="R309" s="309">
        <v>100000</v>
      </c>
      <c r="S309" s="309">
        <v>100000</v>
      </c>
      <c r="T309" s="309">
        <v>100000</v>
      </c>
      <c r="U309" s="309">
        <v>100000</v>
      </c>
      <c r="V309" s="309">
        <v>100000</v>
      </c>
      <c r="W309" s="309">
        <v>100000</v>
      </c>
      <c r="X309" s="309">
        <v>100000</v>
      </c>
      <c r="Y309" s="309">
        <v>100000</v>
      </c>
      <c r="Z309" s="309">
        <v>100000</v>
      </c>
      <c r="AA309" s="309">
        <v>100000</v>
      </c>
      <c r="AB309" s="309">
        <v>100000</v>
      </c>
      <c r="AC309" s="309">
        <v>100000</v>
      </c>
      <c r="AD309" s="309">
        <v>100000</v>
      </c>
      <c r="AE309" s="309">
        <v>100000</v>
      </c>
      <c r="AF309" s="309">
        <v>100000</v>
      </c>
    </row>
    <row r="310" spans="1:32" s="302" customFormat="1" ht="12.75" x14ac:dyDescent="0.2">
      <c r="B310" s="302" t="s">
        <v>27</v>
      </c>
      <c r="D310" s="550"/>
      <c r="E310" s="550"/>
      <c r="F310" s="550"/>
      <c r="G310" s="309">
        <v>100000</v>
      </c>
      <c r="H310" s="309">
        <v>100000</v>
      </c>
      <c r="I310" s="309">
        <v>100000</v>
      </c>
      <c r="J310" s="309">
        <v>100000</v>
      </c>
      <c r="K310" s="309">
        <v>100000</v>
      </c>
      <c r="L310" s="309">
        <v>100000</v>
      </c>
      <c r="M310" s="309">
        <v>100000</v>
      </c>
      <c r="N310" s="309">
        <v>100000</v>
      </c>
      <c r="O310" s="309">
        <v>100000</v>
      </c>
      <c r="P310" s="309">
        <v>100000</v>
      </c>
      <c r="Q310" s="309">
        <v>100000</v>
      </c>
      <c r="R310" s="309">
        <v>100000</v>
      </c>
      <c r="S310" s="309">
        <v>100000</v>
      </c>
      <c r="T310" s="309">
        <v>100000</v>
      </c>
      <c r="U310" s="309">
        <v>100000</v>
      </c>
      <c r="V310" s="309">
        <v>100000</v>
      </c>
      <c r="W310" s="309">
        <v>100000</v>
      </c>
      <c r="X310" s="309">
        <v>100000</v>
      </c>
      <c r="Y310" s="309">
        <v>100000</v>
      </c>
      <c r="Z310" s="309">
        <v>100000</v>
      </c>
      <c r="AA310" s="309">
        <v>100000</v>
      </c>
      <c r="AB310" s="309">
        <v>100000</v>
      </c>
      <c r="AC310" s="309">
        <v>100000</v>
      </c>
      <c r="AD310" s="309">
        <v>100000</v>
      </c>
      <c r="AE310" s="309">
        <v>100000</v>
      </c>
      <c r="AF310" s="309">
        <v>100000</v>
      </c>
    </row>
    <row r="311" spans="1:32" s="302" customFormat="1" ht="12.75" x14ac:dyDescent="0.2">
      <c r="B311" s="302" t="s">
        <v>29</v>
      </c>
      <c r="D311" s="550"/>
      <c r="E311" s="550"/>
      <c r="F311" s="550"/>
      <c r="G311" s="309">
        <v>100000</v>
      </c>
      <c r="H311" s="309">
        <v>100000</v>
      </c>
      <c r="I311" s="309">
        <v>100000</v>
      </c>
      <c r="J311" s="309">
        <v>100000</v>
      </c>
      <c r="K311" s="309">
        <v>100000</v>
      </c>
      <c r="L311" s="309">
        <v>100000</v>
      </c>
      <c r="M311" s="309">
        <v>100000</v>
      </c>
      <c r="N311" s="309">
        <v>100000</v>
      </c>
      <c r="O311" s="309">
        <v>100000</v>
      </c>
      <c r="P311" s="309">
        <v>100000</v>
      </c>
      <c r="Q311" s="309">
        <v>100000</v>
      </c>
      <c r="R311" s="309">
        <v>100000</v>
      </c>
      <c r="S311" s="309">
        <v>100000</v>
      </c>
      <c r="T311" s="309">
        <v>100000</v>
      </c>
      <c r="U311" s="309">
        <v>100000</v>
      </c>
      <c r="V311" s="309">
        <v>100000</v>
      </c>
      <c r="W311" s="309">
        <v>100000</v>
      </c>
      <c r="X311" s="309">
        <v>100000</v>
      </c>
      <c r="Y311" s="309">
        <v>100000</v>
      </c>
      <c r="Z311" s="309">
        <v>100000</v>
      </c>
      <c r="AA311" s="309">
        <v>100000</v>
      </c>
      <c r="AB311" s="309">
        <v>100000</v>
      </c>
      <c r="AC311" s="309">
        <v>100000</v>
      </c>
      <c r="AD311" s="309">
        <v>100000</v>
      </c>
      <c r="AE311" s="309">
        <v>100000</v>
      </c>
      <c r="AF311" s="309">
        <v>100000</v>
      </c>
    </row>
    <row r="312" spans="1:32" s="302" customFormat="1" ht="12.75" x14ac:dyDescent="0.2">
      <c r="D312" s="550"/>
      <c r="E312" s="550"/>
      <c r="F312" s="550"/>
      <c r="G312" s="313" t="str">
        <v/>
      </c>
      <c r="H312" s="313" t="str">
        <v/>
      </c>
      <c r="I312" s="313" t="str">
        <v/>
      </c>
      <c r="J312" s="313" t="str">
        <v/>
      </c>
      <c r="K312" s="313" t="str">
        <v/>
      </c>
      <c r="L312" s="313" t="str">
        <v/>
      </c>
      <c r="M312" s="313" t="str">
        <v/>
      </c>
      <c r="N312" s="313" t="str">
        <v/>
      </c>
      <c r="O312" s="313" t="str">
        <v/>
      </c>
      <c r="P312" s="313" t="str">
        <v/>
      </c>
      <c r="Q312" s="313" t="str">
        <v/>
      </c>
      <c r="R312" s="313" t="str">
        <v/>
      </c>
      <c r="S312" s="313" t="str">
        <v/>
      </c>
      <c r="T312" s="313" t="str">
        <v/>
      </c>
      <c r="U312" s="313" t="str">
        <v/>
      </c>
      <c r="V312" s="313" t="str">
        <v/>
      </c>
      <c r="W312" s="313" t="str">
        <v/>
      </c>
      <c r="X312" s="313" t="str">
        <v/>
      </c>
      <c r="Y312" s="313" t="str">
        <v/>
      </c>
      <c r="Z312" s="313" t="str">
        <v/>
      </c>
      <c r="AA312" s="313" t="str">
        <v/>
      </c>
      <c r="AB312" s="313" t="str">
        <v/>
      </c>
      <c r="AC312" s="313" t="str">
        <v/>
      </c>
      <c r="AD312" s="313" t="str">
        <v/>
      </c>
      <c r="AE312" s="313" t="str">
        <v/>
      </c>
      <c r="AF312" s="313" t="str">
        <v/>
      </c>
    </row>
    <row r="313" spans="1:32" s="302" customFormat="1" ht="12.75" x14ac:dyDescent="0.2">
      <c r="A313" s="305" t="s">
        <v>32</v>
      </c>
      <c r="B313" s="304"/>
      <c r="C313" s="304"/>
      <c r="D313" s="501"/>
      <c r="E313" s="501"/>
      <c r="F313" s="501"/>
      <c r="G313" s="314" t="str">
        <v/>
      </c>
      <c r="H313" s="314" t="str">
        <v/>
      </c>
      <c r="I313" s="314" t="str">
        <v/>
      </c>
      <c r="J313" s="314" t="str">
        <v/>
      </c>
      <c r="K313" s="314" t="str">
        <v/>
      </c>
      <c r="L313" s="314" t="str">
        <v/>
      </c>
      <c r="M313" s="314" t="str">
        <v/>
      </c>
      <c r="N313" s="314" t="str">
        <v/>
      </c>
      <c r="O313" s="314" t="str">
        <v/>
      </c>
      <c r="P313" s="314" t="str">
        <v/>
      </c>
      <c r="Q313" s="314" t="str">
        <v/>
      </c>
      <c r="R313" s="314" t="str">
        <v/>
      </c>
      <c r="S313" s="314" t="str">
        <v/>
      </c>
      <c r="T313" s="314" t="str">
        <v/>
      </c>
      <c r="U313" s="314" t="str">
        <v/>
      </c>
      <c r="V313" s="314" t="str">
        <v/>
      </c>
      <c r="W313" s="314" t="str">
        <v/>
      </c>
      <c r="X313" s="314" t="str">
        <v/>
      </c>
      <c r="Y313" s="314" t="str">
        <v/>
      </c>
      <c r="Z313" s="314" t="str">
        <v/>
      </c>
      <c r="AA313" s="314" t="str">
        <v/>
      </c>
      <c r="AB313" s="314" t="str">
        <v/>
      </c>
      <c r="AC313" s="314" t="str">
        <v/>
      </c>
      <c r="AD313" s="314" t="str">
        <v/>
      </c>
      <c r="AE313" s="314" t="str">
        <v/>
      </c>
      <c r="AF313" s="314" t="str">
        <v/>
      </c>
    </row>
    <row r="314" spans="1:32" s="302" customFormat="1" ht="12.75" x14ac:dyDescent="0.2">
      <c r="B314" s="302" t="s">
        <v>33</v>
      </c>
      <c r="D314" s="550"/>
      <c r="E314" s="550"/>
      <c r="F314" s="550"/>
      <c r="G314" s="309">
        <v>100000</v>
      </c>
      <c r="H314" s="309">
        <v>100000</v>
      </c>
      <c r="I314" s="309">
        <v>100000</v>
      </c>
      <c r="J314" s="309">
        <v>100000</v>
      </c>
      <c r="K314" s="309">
        <v>100000</v>
      </c>
      <c r="L314" s="309">
        <v>100000</v>
      </c>
      <c r="M314" s="309">
        <v>100000</v>
      </c>
      <c r="N314" s="309">
        <v>100000</v>
      </c>
      <c r="O314" s="309">
        <v>100000</v>
      </c>
      <c r="P314" s="309">
        <v>100000</v>
      </c>
      <c r="Q314" s="309">
        <v>100000</v>
      </c>
      <c r="R314" s="309">
        <v>100000</v>
      </c>
      <c r="S314" s="309">
        <v>100000</v>
      </c>
      <c r="T314" s="309">
        <v>100000</v>
      </c>
      <c r="U314" s="309">
        <v>100000</v>
      </c>
      <c r="V314" s="309">
        <v>100000</v>
      </c>
      <c r="W314" s="309">
        <v>100000</v>
      </c>
      <c r="X314" s="309">
        <v>100000</v>
      </c>
      <c r="Y314" s="309">
        <v>100000</v>
      </c>
      <c r="Z314" s="309">
        <v>100000</v>
      </c>
      <c r="AA314" s="309">
        <v>100000</v>
      </c>
      <c r="AB314" s="309">
        <v>100000</v>
      </c>
      <c r="AC314" s="309">
        <v>100000</v>
      </c>
      <c r="AD314" s="309">
        <v>100000</v>
      </c>
      <c r="AE314" s="309">
        <v>100000</v>
      </c>
      <c r="AF314" s="309">
        <v>100000</v>
      </c>
    </row>
    <row r="315" spans="1:32" s="302" customFormat="1" ht="12.75" x14ac:dyDescent="0.2">
      <c r="A315" s="306"/>
      <c r="B315" s="306" t="s">
        <v>34</v>
      </c>
      <c r="D315" s="550"/>
      <c r="E315" s="550"/>
      <c r="F315" s="550"/>
      <c r="G315" s="309">
        <v>100000</v>
      </c>
      <c r="H315" s="309">
        <v>100000</v>
      </c>
      <c r="I315" s="309">
        <v>100000</v>
      </c>
      <c r="J315" s="309">
        <v>100000</v>
      </c>
      <c r="K315" s="309">
        <v>100000</v>
      </c>
      <c r="L315" s="309">
        <v>100000</v>
      </c>
      <c r="M315" s="309">
        <v>100000</v>
      </c>
      <c r="N315" s="309">
        <v>100000</v>
      </c>
      <c r="O315" s="309">
        <v>100000</v>
      </c>
      <c r="P315" s="309">
        <v>100000</v>
      </c>
      <c r="Q315" s="309">
        <v>100000</v>
      </c>
      <c r="R315" s="309">
        <v>100000</v>
      </c>
      <c r="S315" s="309">
        <v>100000</v>
      </c>
      <c r="T315" s="309">
        <v>100000</v>
      </c>
      <c r="U315" s="309">
        <v>100000</v>
      </c>
      <c r="V315" s="309">
        <v>100000</v>
      </c>
      <c r="W315" s="309">
        <v>100000</v>
      </c>
      <c r="X315" s="309">
        <v>100000</v>
      </c>
      <c r="Y315" s="309">
        <v>100000</v>
      </c>
      <c r="Z315" s="309">
        <v>100000</v>
      </c>
      <c r="AA315" s="309">
        <v>100000</v>
      </c>
      <c r="AB315" s="309">
        <v>100000</v>
      </c>
      <c r="AC315" s="309">
        <v>100000</v>
      </c>
      <c r="AD315" s="309">
        <v>100000</v>
      </c>
      <c r="AE315" s="309">
        <v>100000</v>
      </c>
      <c r="AF315" s="309">
        <v>100000</v>
      </c>
    </row>
    <row r="316" spans="1:32" s="302" customFormat="1" ht="12.75" x14ac:dyDescent="0.2">
      <c r="B316" s="306" t="s">
        <v>35</v>
      </c>
      <c r="D316" s="550"/>
      <c r="E316" s="550"/>
      <c r="F316" s="550"/>
      <c r="G316" s="309">
        <v>100000</v>
      </c>
      <c r="H316" s="309">
        <v>100000</v>
      </c>
      <c r="I316" s="309">
        <v>100000</v>
      </c>
      <c r="J316" s="309">
        <v>100000</v>
      </c>
      <c r="K316" s="309">
        <v>100000</v>
      </c>
      <c r="L316" s="309">
        <v>100000</v>
      </c>
      <c r="M316" s="309">
        <v>100000</v>
      </c>
      <c r="N316" s="309">
        <v>100000</v>
      </c>
      <c r="O316" s="309">
        <v>100000</v>
      </c>
      <c r="P316" s="309">
        <v>100000</v>
      </c>
      <c r="Q316" s="309">
        <v>100000</v>
      </c>
      <c r="R316" s="309">
        <v>100000</v>
      </c>
      <c r="S316" s="309">
        <v>100000</v>
      </c>
      <c r="T316" s="309">
        <v>100000</v>
      </c>
      <c r="U316" s="309">
        <v>100000</v>
      </c>
      <c r="V316" s="309">
        <v>100000</v>
      </c>
      <c r="W316" s="309">
        <v>100000</v>
      </c>
      <c r="X316" s="309">
        <v>100000</v>
      </c>
      <c r="Y316" s="309">
        <v>100000</v>
      </c>
      <c r="Z316" s="309">
        <v>100000</v>
      </c>
      <c r="AA316" s="309">
        <v>100000</v>
      </c>
      <c r="AB316" s="309">
        <v>100000</v>
      </c>
      <c r="AC316" s="309">
        <v>100000</v>
      </c>
      <c r="AD316" s="309">
        <v>100000</v>
      </c>
      <c r="AE316" s="309">
        <v>100000</v>
      </c>
      <c r="AF316" s="309">
        <v>100000</v>
      </c>
    </row>
    <row r="317" spans="1:32" s="302" customFormat="1" ht="12.75" x14ac:dyDescent="0.2">
      <c r="B317" s="306" t="s">
        <v>29</v>
      </c>
      <c r="D317" s="550"/>
      <c r="E317" s="550"/>
      <c r="F317" s="550"/>
      <c r="G317" s="309">
        <v>100000</v>
      </c>
      <c r="H317" s="309">
        <v>100000</v>
      </c>
      <c r="I317" s="309">
        <v>100000</v>
      </c>
      <c r="J317" s="309">
        <v>100000</v>
      </c>
      <c r="K317" s="309">
        <v>100000</v>
      </c>
      <c r="L317" s="309">
        <v>100000</v>
      </c>
      <c r="M317" s="309">
        <v>100000</v>
      </c>
      <c r="N317" s="309">
        <v>100000</v>
      </c>
      <c r="O317" s="309">
        <v>100000</v>
      </c>
      <c r="P317" s="309">
        <v>100000</v>
      </c>
      <c r="Q317" s="309">
        <v>100000</v>
      </c>
      <c r="R317" s="309">
        <v>100000</v>
      </c>
      <c r="S317" s="309">
        <v>100000</v>
      </c>
      <c r="T317" s="309">
        <v>100000</v>
      </c>
      <c r="U317" s="309">
        <v>100000</v>
      </c>
      <c r="V317" s="309">
        <v>100000</v>
      </c>
      <c r="W317" s="309">
        <v>100000</v>
      </c>
      <c r="X317" s="309">
        <v>100000</v>
      </c>
      <c r="Y317" s="309">
        <v>100000</v>
      </c>
      <c r="Z317" s="309">
        <v>100000</v>
      </c>
      <c r="AA317" s="309">
        <v>100000</v>
      </c>
      <c r="AB317" s="309">
        <v>100000</v>
      </c>
      <c r="AC317" s="309">
        <v>100000</v>
      </c>
      <c r="AD317" s="309">
        <v>100000</v>
      </c>
      <c r="AE317" s="309">
        <v>100000</v>
      </c>
      <c r="AF317" s="309">
        <v>100000</v>
      </c>
    </row>
    <row r="318" spans="1:32" s="302" customFormat="1" ht="12.75" x14ac:dyDescent="0.2">
      <c r="D318" s="550"/>
      <c r="E318" s="550"/>
      <c r="F318" s="550"/>
      <c r="G318" s="313" t="str">
        <v/>
      </c>
      <c r="H318" s="313" t="str">
        <v/>
      </c>
      <c r="I318" s="313" t="str">
        <v/>
      </c>
      <c r="J318" s="313" t="str">
        <v/>
      </c>
      <c r="K318" s="313" t="str">
        <v/>
      </c>
      <c r="L318" s="313" t="str">
        <v/>
      </c>
      <c r="M318" s="313" t="str">
        <v/>
      </c>
      <c r="N318" s="313" t="str">
        <v/>
      </c>
      <c r="O318" s="313" t="str">
        <v/>
      </c>
      <c r="P318" s="313" t="str">
        <v/>
      </c>
      <c r="Q318" s="313" t="str">
        <v/>
      </c>
      <c r="R318" s="313" t="str">
        <v/>
      </c>
      <c r="S318" s="313" t="str">
        <v/>
      </c>
      <c r="T318" s="313" t="str">
        <v/>
      </c>
      <c r="U318" s="313" t="str">
        <v/>
      </c>
      <c r="V318" s="313" t="str">
        <v/>
      </c>
      <c r="W318" s="313" t="str">
        <v/>
      </c>
      <c r="X318" s="313" t="str">
        <v/>
      </c>
      <c r="Y318" s="313" t="str">
        <v/>
      </c>
      <c r="Z318" s="313" t="str">
        <v/>
      </c>
      <c r="AA318" s="313" t="str">
        <v/>
      </c>
      <c r="AB318" s="313" t="str">
        <v/>
      </c>
      <c r="AC318" s="313" t="str">
        <v/>
      </c>
      <c r="AD318" s="313" t="str">
        <v/>
      </c>
      <c r="AE318" s="313" t="str">
        <v/>
      </c>
      <c r="AF318" s="313" t="str">
        <v/>
      </c>
    </row>
    <row r="319" spans="1:32" s="302" customFormat="1" ht="12.75" x14ac:dyDescent="0.2">
      <c r="A319" s="305" t="s">
        <v>36</v>
      </c>
      <c r="B319" s="304"/>
      <c r="C319" s="304"/>
      <c r="D319" s="501"/>
      <c r="E319" s="501"/>
      <c r="F319" s="501"/>
      <c r="G319" s="314" t="str">
        <v/>
      </c>
      <c r="H319" s="314" t="str">
        <v/>
      </c>
      <c r="I319" s="314" t="str">
        <v/>
      </c>
      <c r="J319" s="314" t="str">
        <v/>
      </c>
      <c r="K319" s="314" t="str">
        <v/>
      </c>
      <c r="L319" s="314" t="str">
        <v/>
      </c>
      <c r="M319" s="314" t="str">
        <v/>
      </c>
      <c r="N319" s="314" t="str">
        <v/>
      </c>
      <c r="O319" s="314" t="str">
        <v/>
      </c>
      <c r="P319" s="314" t="str">
        <v/>
      </c>
      <c r="Q319" s="314" t="str">
        <v/>
      </c>
      <c r="R319" s="314" t="str">
        <v/>
      </c>
      <c r="S319" s="314" t="str">
        <v/>
      </c>
      <c r="T319" s="314" t="str">
        <v/>
      </c>
      <c r="U319" s="314" t="str">
        <v/>
      </c>
      <c r="V319" s="314" t="str">
        <v/>
      </c>
      <c r="W319" s="314" t="str">
        <v/>
      </c>
      <c r="X319" s="314" t="str">
        <v/>
      </c>
      <c r="Y319" s="314" t="str">
        <v/>
      </c>
      <c r="Z319" s="314" t="str">
        <v/>
      </c>
      <c r="AA319" s="314" t="str">
        <v/>
      </c>
      <c r="AB319" s="314" t="str">
        <v/>
      </c>
      <c r="AC319" s="314" t="str">
        <v/>
      </c>
      <c r="AD319" s="314" t="str">
        <v/>
      </c>
      <c r="AE319" s="314" t="str">
        <v/>
      </c>
      <c r="AF319" s="314" t="str">
        <v/>
      </c>
    </row>
    <row r="320" spans="1:32" s="302" customFormat="1" ht="12.75" x14ac:dyDescent="0.2">
      <c r="B320" s="302" t="s">
        <v>37</v>
      </c>
      <c r="C320" s="306"/>
      <c r="D320" s="552"/>
      <c r="E320" s="552"/>
      <c r="F320" s="552"/>
      <c r="G320" s="309">
        <v>100000</v>
      </c>
      <c r="H320" s="309">
        <v>100000</v>
      </c>
      <c r="I320" s="309">
        <v>100000</v>
      </c>
      <c r="J320" s="309">
        <v>100000</v>
      </c>
      <c r="K320" s="309">
        <v>100000</v>
      </c>
      <c r="L320" s="309">
        <v>100000</v>
      </c>
      <c r="M320" s="309">
        <v>100000</v>
      </c>
      <c r="N320" s="309">
        <v>100000</v>
      </c>
      <c r="O320" s="309">
        <v>100000</v>
      </c>
      <c r="P320" s="309">
        <v>100000</v>
      </c>
      <c r="Q320" s="309">
        <v>100000</v>
      </c>
      <c r="R320" s="309">
        <v>100000</v>
      </c>
      <c r="S320" s="309">
        <v>100000</v>
      </c>
      <c r="T320" s="309">
        <v>100000</v>
      </c>
      <c r="U320" s="309">
        <v>100000</v>
      </c>
      <c r="V320" s="309">
        <v>100000</v>
      </c>
      <c r="W320" s="309">
        <v>100000</v>
      </c>
      <c r="X320" s="309">
        <v>100000</v>
      </c>
      <c r="Y320" s="309">
        <v>100000</v>
      </c>
      <c r="Z320" s="309">
        <v>100000</v>
      </c>
      <c r="AA320" s="309">
        <v>100000</v>
      </c>
      <c r="AB320" s="309">
        <v>100000</v>
      </c>
      <c r="AC320" s="309">
        <v>100000</v>
      </c>
      <c r="AD320" s="309">
        <v>100000</v>
      </c>
      <c r="AE320" s="309">
        <v>100000</v>
      </c>
      <c r="AF320" s="309">
        <v>100000</v>
      </c>
    </row>
    <row r="321" spans="1:32" s="302" customFormat="1" ht="12.75" x14ac:dyDescent="0.2">
      <c r="B321" s="302" t="s">
        <v>39</v>
      </c>
      <c r="D321" s="550"/>
      <c r="E321" s="550"/>
      <c r="F321" s="550"/>
      <c r="G321" s="309">
        <v>100000</v>
      </c>
      <c r="H321" s="309">
        <v>100000</v>
      </c>
      <c r="I321" s="309">
        <v>100000</v>
      </c>
      <c r="J321" s="309">
        <v>100000</v>
      </c>
      <c r="K321" s="309">
        <v>100000</v>
      </c>
      <c r="L321" s="309">
        <v>100000</v>
      </c>
      <c r="M321" s="309">
        <v>100000</v>
      </c>
      <c r="N321" s="309">
        <v>100000</v>
      </c>
      <c r="O321" s="309">
        <v>100000</v>
      </c>
      <c r="P321" s="309">
        <v>100000</v>
      </c>
      <c r="Q321" s="309">
        <v>100000</v>
      </c>
      <c r="R321" s="309">
        <v>100000</v>
      </c>
      <c r="S321" s="309">
        <v>100000</v>
      </c>
      <c r="T321" s="309">
        <v>100000</v>
      </c>
      <c r="U321" s="309">
        <v>100000</v>
      </c>
      <c r="V321" s="309">
        <v>100000</v>
      </c>
      <c r="W321" s="309">
        <v>100000</v>
      </c>
      <c r="X321" s="309">
        <v>100000</v>
      </c>
      <c r="Y321" s="309">
        <v>100000</v>
      </c>
      <c r="Z321" s="309">
        <v>100000</v>
      </c>
      <c r="AA321" s="309">
        <v>100000</v>
      </c>
      <c r="AB321" s="309">
        <v>100000</v>
      </c>
      <c r="AC321" s="309">
        <v>100000</v>
      </c>
      <c r="AD321" s="309">
        <v>100000</v>
      </c>
      <c r="AE321" s="309">
        <v>100000</v>
      </c>
      <c r="AF321" s="309">
        <v>100000</v>
      </c>
    </row>
    <row r="322" spans="1:32" s="302" customFormat="1" ht="12.75" x14ac:dyDescent="0.2">
      <c r="B322" s="302" t="s">
        <v>40</v>
      </c>
      <c r="D322" s="550"/>
      <c r="E322" s="550"/>
      <c r="F322" s="550"/>
      <c r="G322" s="309">
        <v>100000</v>
      </c>
      <c r="H322" s="309">
        <v>100000</v>
      </c>
      <c r="I322" s="309">
        <v>100000</v>
      </c>
      <c r="J322" s="309">
        <v>100000</v>
      </c>
      <c r="K322" s="309">
        <v>100000</v>
      </c>
      <c r="L322" s="309">
        <v>100000</v>
      </c>
      <c r="M322" s="309">
        <v>100000</v>
      </c>
      <c r="N322" s="309">
        <v>100000</v>
      </c>
      <c r="O322" s="309">
        <v>100000</v>
      </c>
      <c r="P322" s="309">
        <v>100000</v>
      </c>
      <c r="Q322" s="309">
        <v>100000</v>
      </c>
      <c r="R322" s="309">
        <v>100000</v>
      </c>
      <c r="S322" s="309">
        <v>100000</v>
      </c>
      <c r="T322" s="309">
        <v>100000</v>
      </c>
      <c r="U322" s="309">
        <v>100000</v>
      </c>
      <c r="V322" s="309">
        <v>100000</v>
      </c>
      <c r="W322" s="309">
        <v>100000</v>
      </c>
      <c r="X322" s="309">
        <v>100000</v>
      </c>
      <c r="Y322" s="309">
        <v>100000</v>
      </c>
      <c r="Z322" s="309">
        <v>100000</v>
      </c>
      <c r="AA322" s="309">
        <v>100000</v>
      </c>
      <c r="AB322" s="309">
        <v>100000</v>
      </c>
      <c r="AC322" s="309">
        <v>100000</v>
      </c>
      <c r="AD322" s="309">
        <v>100000</v>
      </c>
      <c r="AE322" s="309">
        <v>100000</v>
      </c>
      <c r="AF322" s="309">
        <v>100000</v>
      </c>
    </row>
    <row r="323" spans="1:32" s="302" customFormat="1" ht="12.75" x14ac:dyDescent="0.2">
      <c r="B323" s="302" t="s">
        <v>29</v>
      </c>
      <c r="D323" s="550"/>
      <c r="E323" s="550"/>
      <c r="F323" s="550"/>
      <c r="G323" s="309" t="str">
        <v/>
      </c>
      <c r="H323" s="309" t="str">
        <v/>
      </c>
      <c r="I323" s="309" t="str">
        <v/>
      </c>
      <c r="J323" s="309" t="str">
        <v/>
      </c>
      <c r="K323" s="309" t="str">
        <v/>
      </c>
      <c r="L323" s="309" t="str">
        <v/>
      </c>
      <c r="M323" s="309" t="str">
        <v/>
      </c>
      <c r="N323" s="309" t="str">
        <v/>
      </c>
      <c r="O323" s="309" t="str">
        <v/>
      </c>
      <c r="P323" s="309" t="str">
        <v/>
      </c>
      <c r="Q323" s="309" t="str">
        <v/>
      </c>
      <c r="R323" s="309" t="str">
        <v/>
      </c>
      <c r="S323" s="309" t="str">
        <v/>
      </c>
      <c r="T323" s="309" t="str">
        <v/>
      </c>
      <c r="U323" s="309" t="str">
        <v/>
      </c>
      <c r="V323" s="309" t="str">
        <v/>
      </c>
      <c r="W323" s="309" t="str">
        <v/>
      </c>
      <c r="X323" s="309" t="str">
        <v/>
      </c>
      <c r="Y323" s="309" t="str">
        <v/>
      </c>
      <c r="Z323" s="309" t="str">
        <v/>
      </c>
      <c r="AA323" s="309" t="str">
        <v/>
      </c>
      <c r="AB323" s="309" t="str">
        <v/>
      </c>
      <c r="AC323" s="309" t="str">
        <v/>
      </c>
      <c r="AD323" s="309" t="str">
        <v/>
      </c>
      <c r="AE323" s="309" t="str">
        <v/>
      </c>
      <c r="AF323" s="309" t="str">
        <v/>
      </c>
    </row>
    <row r="324" spans="1:32" s="302" customFormat="1" ht="12.75" x14ac:dyDescent="0.2">
      <c r="D324" s="550"/>
      <c r="E324" s="550"/>
      <c r="F324" s="550"/>
      <c r="G324" s="308" t="str">
        <v/>
      </c>
      <c r="H324" s="308" t="str">
        <v/>
      </c>
      <c r="I324" s="308" t="str">
        <v/>
      </c>
      <c r="J324" s="308" t="str">
        <v/>
      </c>
      <c r="K324" s="308" t="str">
        <v/>
      </c>
      <c r="L324" s="308" t="str">
        <v/>
      </c>
      <c r="M324" s="308" t="str">
        <v/>
      </c>
      <c r="N324" s="308" t="str">
        <v/>
      </c>
      <c r="O324" s="308" t="str">
        <v/>
      </c>
      <c r="P324" s="308" t="str">
        <v/>
      </c>
      <c r="Q324" s="308" t="str">
        <v/>
      </c>
      <c r="R324" s="308" t="str">
        <v/>
      </c>
      <c r="S324" s="308" t="str">
        <v/>
      </c>
      <c r="T324" s="308" t="str">
        <v/>
      </c>
      <c r="U324" s="308" t="str">
        <v/>
      </c>
      <c r="V324" s="308" t="str">
        <v/>
      </c>
      <c r="W324" s="308" t="str">
        <v/>
      </c>
      <c r="X324" s="308" t="str">
        <v/>
      </c>
      <c r="Y324" s="308" t="str">
        <v/>
      </c>
      <c r="Z324" s="308" t="str">
        <v/>
      </c>
      <c r="AA324" s="308" t="str">
        <v/>
      </c>
      <c r="AB324" s="308" t="str">
        <v/>
      </c>
      <c r="AC324" s="308" t="str">
        <v/>
      </c>
      <c r="AD324" s="308" t="str">
        <v/>
      </c>
      <c r="AE324" s="308" t="str">
        <v/>
      </c>
      <c r="AF324" s="308" t="str">
        <v/>
      </c>
    </row>
    <row r="325" spans="1:32" s="302" customFormat="1" ht="12.75" x14ac:dyDescent="0.2">
      <c r="A325" s="305" t="s">
        <v>42</v>
      </c>
      <c r="B325" s="304"/>
      <c r="C325" s="304"/>
      <c r="D325" s="501"/>
      <c r="E325" s="501"/>
      <c r="F325" s="501"/>
      <c r="G325" s="314" t="str">
        <v/>
      </c>
      <c r="H325" s="314" t="str">
        <v/>
      </c>
      <c r="I325" s="314" t="str">
        <v/>
      </c>
      <c r="J325" s="314" t="str">
        <v/>
      </c>
      <c r="K325" s="314" t="str">
        <v/>
      </c>
      <c r="L325" s="314" t="str">
        <v/>
      </c>
      <c r="M325" s="314" t="str">
        <v/>
      </c>
      <c r="N325" s="314" t="str">
        <v/>
      </c>
      <c r="O325" s="314" t="str">
        <v/>
      </c>
      <c r="P325" s="314" t="str">
        <v/>
      </c>
      <c r="Q325" s="314" t="str">
        <v/>
      </c>
      <c r="R325" s="314" t="str">
        <v/>
      </c>
      <c r="S325" s="314" t="str">
        <v/>
      </c>
      <c r="T325" s="314" t="str">
        <v/>
      </c>
      <c r="U325" s="314" t="str">
        <v/>
      </c>
      <c r="V325" s="314" t="str">
        <v/>
      </c>
      <c r="W325" s="314" t="str">
        <v/>
      </c>
      <c r="X325" s="314" t="str">
        <v/>
      </c>
      <c r="Y325" s="314" t="str">
        <v/>
      </c>
      <c r="Z325" s="314" t="str">
        <v/>
      </c>
      <c r="AA325" s="314" t="str">
        <v/>
      </c>
      <c r="AB325" s="314" t="str">
        <v/>
      </c>
      <c r="AC325" s="314" t="str">
        <v/>
      </c>
      <c r="AD325" s="314" t="str">
        <v/>
      </c>
      <c r="AE325" s="314" t="str">
        <v/>
      </c>
      <c r="AF325" s="314" t="str">
        <v/>
      </c>
    </row>
    <row r="326" spans="1:32" s="302" customFormat="1" ht="12.75" x14ac:dyDescent="0.2">
      <c r="B326" s="306" t="s">
        <v>43</v>
      </c>
      <c r="C326" s="306"/>
      <c r="D326" s="552"/>
      <c r="E326" s="552"/>
      <c r="F326" s="552"/>
      <c r="G326" s="309">
        <v>100000</v>
      </c>
      <c r="H326" s="309">
        <v>100000</v>
      </c>
      <c r="I326" s="309">
        <v>100000</v>
      </c>
      <c r="J326" s="309">
        <v>100000</v>
      </c>
      <c r="K326" s="309">
        <v>100000</v>
      </c>
      <c r="L326" s="309">
        <v>100000</v>
      </c>
      <c r="M326" s="309">
        <v>100000</v>
      </c>
      <c r="N326" s="309">
        <v>100000</v>
      </c>
      <c r="O326" s="309">
        <v>100000</v>
      </c>
      <c r="P326" s="309">
        <v>100000</v>
      </c>
      <c r="Q326" s="309">
        <v>100000</v>
      </c>
      <c r="R326" s="309">
        <v>100000</v>
      </c>
      <c r="S326" s="309">
        <v>100000</v>
      </c>
      <c r="T326" s="309">
        <v>100000</v>
      </c>
      <c r="U326" s="309">
        <v>100000</v>
      </c>
      <c r="V326" s="309">
        <v>100000</v>
      </c>
      <c r="W326" s="309">
        <v>100000</v>
      </c>
      <c r="X326" s="309">
        <v>100000</v>
      </c>
      <c r="Y326" s="309">
        <v>100000</v>
      </c>
      <c r="Z326" s="309">
        <v>100000</v>
      </c>
      <c r="AA326" s="309">
        <v>100000</v>
      </c>
      <c r="AB326" s="309">
        <v>100000</v>
      </c>
      <c r="AC326" s="309">
        <v>100000</v>
      </c>
      <c r="AD326" s="309">
        <v>100000</v>
      </c>
      <c r="AE326" s="309">
        <v>100000</v>
      </c>
      <c r="AF326" s="309">
        <v>100000</v>
      </c>
    </row>
    <row r="327" spans="1:32" s="302" customFormat="1" ht="12.75" x14ac:dyDescent="0.2">
      <c r="B327" s="306" t="s">
        <v>44</v>
      </c>
      <c r="D327" s="550"/>
      <c r="E327" s="550"/>
      <c r="F327" s="550"/>
      <c r="G327" s="309">
        <v>100000</v>
      </c>
      <c r="H327" s="309">
        <v>100000</v>
      </c>
      <c r="I327" s="309">
        <v>100000</v>
      </c>
      <c r="J327" s="309">
        <v>100000</v>
      </c>
      <c r="K327" s="309">
        <v>100000</v>
      </c>
      <c r="L327" s="309">
        <v>100000</v>
      </c>
      <c r="M327" s="309">
        <v>100000</v>
      </c>
      <c r="N327" s="309">
        <v>100000</v>
      </c>
      <c r="O327" s="309">
        <v>100000</v>
      </c>
      <c r="P327" s="309">
        <v>100000</v>
      </c>
      <c r="Q327" s="309">
        <v>100000</v>
      </c>
      <c r="R327" s="309">
        <v>100000</v>
      </c>
      <c r="S327" s="309">
        <v>100000</v>
      </c>
      <c r="T327" s="309">
        <v>100000</v>
      </c>
      <c r="U327" s="309">
        <v>100000</v>
      </c>
      <c r="V327" s="309">
        <v>100000</v>
      </c>
      <c r="W327" s="309">
        <v>100000</v>
      </c>
      <c r="X327" s="309">
        <v>100000</v>
      </c>
      <c r="Y327" s="309">
        <v>100000</v>
      </c>
      <c r="Z327" s="309">
        <v>100000</v>
      </c>
      <c r="AA327" s="309">
        <v>100000</v>
      </c>
      <c r="AB327" s="309">
        <v>100000</v>
      </c>
      <c r="AC327" s="309">
        <v>100000</v>
      </c>
      <c r="AD327" s="309">
        <v>100000</v>
      </c>
      <c r="AE327" s="309">
        <v>100000</v>
      </c>
      <c r="AF327" s="309">
        <v>100000</v>
      </c>
    </row>
    <row r="328" spans="1:32" s="302" customFormat="1" ht="12.75" x14ac:dyDescent="0.2">
      <c r="B328" s="306" t="s">
        <v>45</v>
      </c>
      <c r="D328" s="550"/>
      <c r="E328" s="550"/>
      <c r="F328" s="550"/>
      <c r="G328" s="309">
        <v>100000</v>
      </c>
      <c r="H328" s="309">
        <v>100000</v>
      </c>
      <c r="I328" s="309">
        <v>100000</v>
      </c>
      <c r="J328" s="309">
        <v>100000</v>
      </c>
      <c r="K328" s="309">
        <v>100000</v>
      </c>
      <c r="L328" s="309">
        <v>100000</v>
      </c>
      <c r="M328" s="309">
        <v>100000</v>
      </c>
      <c r="N328" s="309">
        <v>100000</v>
      </c>
      <c r="O328" s="309">
        <v>100000</v>
      </c>
      <c r="P328" s="309">
        <v>100000</v>
      </c>
      <c r="Q328" s="309">
        <v>100000</v>
      </c>
      <c r="R328" s="309">
        <v>100000</v>
      </c>
      <c r="S328" s="309">
        <v>100000</v>
      </c>
      <c r="T328" s="309">
        <v>100000</v>
      </c>
      <c r="U328" s="309">
        <v>100000</v>
      </c>
      <c r="V328" s="309">
        <v>100000</v>
      </c>
      <c r="W328" s="309">
        <v>100000</v>
      </c>
      <c r="X328" s="309">
        <v>100000</v>
      </c>
      <c r="Y328" s="309">
        <v>100000</v>
      </c>
      <c r="Z328" s="309">
        <v>100000</v>
      </c>
      <c r="AA328" s="309">
        <v>100000</v>
      </c>
      <c r="AB328" s="309">
        <v>100000</v>
      </c>
      <c r="AC328" s="309">
        <v>100000</v>
      </c>
      <c r="AD328" s="309">
        <v>100000</v>
      </c>
      <c r="AE328" s="309">
        <v>100000</v>
      </c>
      <c r="AF328" s="309">
        <v>100000</v>
      </c>
    </row>
    <row r="329" spans="1:32" s="302" customFormat="1" ht="12.75" x14ac:dyDescent="0.2">
      <c r="B329" s="306" t="s">
        <v>46</v>
      </c>
      <c r="D329" s="550"/>
      <c r="E329" s="550"/>
      <c r="F329" s="550"/>
      <c r="G329" s="309">
        <v>100000</v>
      </c>
      <c r="H329" s="309">
        <v>100000</v>
      </c>
      <c r="I329" s="309">
        <v>100000</v>
      </c>
      <c r="J329" s="309">
        <v>100000</v>
      </c>
      <c r="K329" s="309">
        <v>100000</v>
      </c>
      <c r="L329" s="309">
        <v>100000</v>
      </c>
      <c r="M329" s="309">
        <v>100000</v>
      </c>
      <c r="N329" s="309">
        <v>100000</v>
      </c>
      <c r="O329" s="309">
        <v>100000</v>
      </c>
      <c r="P329" s="309">
        <v>100000</v>
      </c>
      <c r="Q329" s="309">
        <v>100000</v>
      </c>
      <c r="R329" s="309">
        <v>100000</v>
      </c>
      <c r="S329" s="309">
        <v>100000</v>
      </c>
      <c r="T329" s="309">
        <v>100000</v>
      </c>
      <c r="U329" s="309">
        <v>100000</v>
      </c>
      <c r="V329" s="309">
        <v>100000</v>
      </c>
      <c r="W329" s="309">
        <v>100000</v>
      </c>
      <c r="X329" s="309">
        <v>100000</v>
      </c>
      <c r="Y329" s="309">
        <v>100000</v>
      </c>
      <c r="Z329" s="309">
        <v>100000</v>
      </c>
      <c r="AA329" s="309">
        <v>100000</v>
      </c>
      <c r="AB329" s="309">
        <v>100000</v>
      </c>
      <c r="AC329" s="309">
        <v>100000</v>
      </c>
      <c r="AD329" s="309">
        <v>100000</v>
      </c>
      <c r="AE329" s="309">
        <v>100000</v>
      </c>
      <c r="AF329" s="309">
        <v>100000</v>
      </c>
    </row>
    <row r="330" spans="1:32" s="302" customFormat="1" ht="12.75" x14ac:dyDescent="0.2">
      <c r="B330" s="302" t="s">
        <v>29</v>
      </c>
      <c r="D330" s="550"/>
      <c r="E330" s="550"/>
      <c r="F330" s="550"/>
      <c r="G330" s="309" t="str">
        <v/>
      </c>
      <c r="H330" s="309" t="str">
        <v/>
      </c>
      <c r="I330" s="309" t="str">
        <v/>
      </c>
      <c r="J330" s="309" t="str">
        <v/>
      </c>
      <c r="K330" s="309" t="str">
        <v/>
      </c>
      <c r="L330" s="309" t="str">
        <v/>
      </c>
      <c r="M330" s="309" t="str">
        <v/>
      </c>
      <c r="N330" s="309" t="str">
        <v/>
      </c>
      <c r="O330" s="309" t="str">
        <v/>
      </c>
      <c r="P330" s="309" t="str">
        <v/>
      </c>
      <c r="Q330" s="309" t="str">
        <v/>
      </c>
      <c r="R330" s="309" t="str">
        <v/>
      </c>
      <c r="S330" s="309" t="str">
        <v/>
      </c>
      <c r="T330" s="309" t="str">
        <v/>
      </c>
      <c r="U330" s="309" t="str">
        <v/>
      </c>
      <c r="V330" s="309" t="str">
        <v/>
      </c>
      <c r="W330" s="309" t="str">
        <v/>
      </c>
      <c r="X330" s="309" t="str">
        <v/>
      </c>
      <c r="Y330" s="309" t="str">
        <v/>
      </c>
      <c r="Z330" s="309" t="str">
        <v/>
      </c>
      <c r="AA330" s="309" t="str">
        <v/>
      </c>
      <c r="AB330" s="309" t="str">
        <v/>
      </c>
      <c r="AC330" s="309" t="str">
        <v/>
      </c>
      <c r="AD330" s="309" t="str">
        <v/>
      </c>
      <c r="AE330" s="309" t="str">
        <v/>
      </c>
      <c r="AF330" s="309" t="str">
        <v/>
      </c>
    </row>
    <row r="331" spans="1:32" s="302" customFormat="1" ht="12.75" x14ac:dyDescent="0.2">
      <c r="D331" s="550"/>
      <c r="E331" s="550"/>
      <c r="F331" s="550"/>
      <c r="G331" s="302" t="str">
        <v/>
      </c>
      <c r="H331" s="302" t="str">
        <v/>
      </c>
      <c r="I331" s="302" t="str">
        <v/>
      </c>
      <c r="J331" s="302" t="str">
        <v/>
      </c>
      <c r="K331" s="302" t="str">
        <v/>
      </c>
      <c r="L331" s="302" t="str">
        <v/>
      </c>
      <c r="M331" s="302" t="str">
        <v/>
      </c>
      <c r="N331" s="302" t="str">
        <v/>
      </c>
      <c r="O331" s="302" t="str">
        <v/>
      </c>
      <c r="P331" s="302" t="str">
        <v/>
      </c>
      <c r="Q331" s="302" t="str">
        <v/>
      </c>
      <c r="R331" s="302" t="str">
        <v/>
      </c>
      <c r="S331" s="302" t="str">
        <v/>
      </c>
      <c r="T331" s="302" t="str">
        <v/>
      </c>
      <c r="U331" s="302" t="str">
        <v/>
      </c>
      <c r="V331" s="302" t="str">
        <v/>
      </c>
      <c r="W331" s="302" t="str">
        <v/>
      </c>
      <c r="X331" s="302" t="str">
        <v/>
      </c>
      <c r="Y331" s="302" t="str">
        <v/>
      </c>
      <c r="Z331" s="302" t="str">
        <v/>
      </c>
      <c r="AA331" s="302" t="str">
        <v/>
      </c>
      <c r="AB331" s="302" t="str">
        <v/>
      </c>
      <c r="AC331" s="302" t="str">
        <v/>
      </c>
      <c r="AD331" s="302" t="str">
        <v/>
      </c>
      <c r="AE331" s="302" t="str">
        <v/>
      </c>
      <c r="AF331" s="302" t="str">
        <v/>
      </c>
    </row>
    <row r="332" spans="1:32" s="302" customFormat="1" ht="12.75" x14ac:dyDescent="0.2">
      <c r="A332" s="311" t="s">
        <v>47</v>
      </c>
      <c r="B332" s="310"/>
      <c r="C332" s="304"/>
      <c r="D332" s="501"/>
      <c r="E332" s="501"/>
      <c r="F332" s="501"/>
      <c r="G332" s="314" t="str">
        <v/>
      </c>
      <c r="H332" s="314" t="str">
        <v/>
      </c>
      <c r="I332" s="314" t="str">
        <v/>
      </c>
      <c r="J332" s="314" t="str">
        <v/>
      </c>
      <c r="K332" s="314" t="str">
        <v/>
      </c>
      <c r="L332" s="314" t="str">
        <v/>
      </c>
      <c r="M332" s="314" t="str">
        <v/>
      </c>
      <c r="N332" s="314" t="str">
        <v/>
      </c>
      <c r="O332" s="314" t="str">
        <v/>
      </c>
      <c r="P332" s="314" t="str">
        <v/>
      </c>
      <c r="Q332" s="314" t="str">
        <v/>
      </c>
      <c r="R332" s="314" t="str">
        <v/>
      </c>
      <c r="S332" s="314" t="str">
        <v/>
      </c>
      <c r="T332" s="314" t="str">
        <v/>
      </c>
      <c r="U332" s="314" t="str">
        <v/>
      </c>
      <c r="V332" s="314" t="str">
        <v/>
      </c>
      <c r="W332" s="314" t="str">
        <v/>
      </c>
      <c r="X332" s="314" t="str">
        <v/>
      </c>
      <c r="Y332" s="314" t="str">
        <v/>
      </c>
      <c r="Z332" s="314" t="str">
        <v/>
      </c>
      <c r="AA332" s="314" t="str">
        <v/>
      </c>
      <c r="AB332" s="314" t="str">
        <v/>
      </c>
      <c r="AC332" s="314" t="str">
        <v/>
      </c>
      <c r="AD332" s="314" t="str">
        <v/>
      </c>
      <c r="AE332" s="314" t="str">
        <v/>
      </c>
      <c r="AF332" s="314" t="str">
        <v/>
      </c>
    </row>
    <row r="333" spans="1:32" s="302" customFormat="1" ht="12.75" x14ac:dyDescent="0.2">
      <c r="B333" s="302" t="s">
        <v>48</v>
      </c>
      <c r="C333" s="306"/>
      <c r="D333" s="552"/>
      <c r="E333" s="552"/>
      <c r="F333" s="552"/>
      <c r="G333" s="309">
        <v>100000</v>
      </c>
      <c r="H333" s="309">
        <v>100000</v>
      </c>
      <c r="I333" s="309">
        <v>100000</v>
      </c>
      <c r="J333" s="309">
        <v>100000</v>
      </c>
      <c r="K333" s="309">
        <v>100000</v>
      </c>
      <c r="L333" s="309">
        <v>100000</v>
      </c>
      <c r="M333" s="309">
        <v>100000</v>
      </c>
      <c r="N333" s="309">
        <v>100000</v>
      </c>
      <c r="O333" s="309">
        <v>100000</v>
      </c>
      <c r="P333" s="309">
        <v>100000</v>
      </c>
      <c r="Q333" s="309">
        <v>100000</v>
      </c>
      <c r="R333" s="309">
        <v>100000</v>
      </c>
      <c r="S333" s="309">
        <v>100000</v>
      </c>
      <c r="T333" s="309">
        <v>100000</v>
      </c>
      <c r="U333" s="309">
        <v>100000</v>
      </c>
      <c r="V333" s="309">
        <v>100000</v>
      </c>
      <c r="W333" s="309">
        <v>100000</v>
      </c>
      <c r="X333" s="309">
        <v>100000</v>
      </c>
      <c r="Y333" s="309">
        <v>100000</v>
      </c>
      <c r="Z333" s="309">
        <v>100000</v>
      </c>
      <c r="AA333" s="309">
        <v>100000</v>
      </c>
      <c r="AB333" s="309">
        <v>100000</v>
      </c>
      <c r="AC333" s="309">
        <v>100000</v>
      </c>
      <c r="AD333" s="309">
        <v>100000</v>
      </c>
      <c r="AE333" s="309">
        <v>100000</v>
      </c>
      <c r="AF333" s="309">
        <v>100000</v>
      </c>
    </row>
    <row r="334" spans="1:32" s="302" customFormat="1" ht="12.75" x14ac:dyDescent="0.2">
      <c r="B334" s="306" t="s">
        <v>50</v>
      </c>
      <c r="D334" s="550"/>
      <c r="E334" s="550"/>
      <c r="F334" s="550"/>
      <c r="G334" s="309">
        <v>100000</v>
      </c>
      <c r="H334" s="309">
        <v>100000</v>
      </c>
      <c r="I334" s="309">
        <v>100000</v>
      </c>
      <c r="J334" s="309">
        <v>100000</v>
      </c>
      <c r="K334" s="309">
        <v>100000</v>
      </c>
      <c r="L334" s="309">
        <v>100000</v>
      </c>
      <c r="M334" s="309">
        <v>100000</v>
      </c>
      <c r="N334" s="309">
        <v>100000</v>
      </c>
      <c r="O334" s="309">
        <v>100000</v>
      </c>
      <c r="P334" s="309">
        <v>100000</v>
      </c>
      <c r="Q334" s="309">
        <v>100000</v>
      </c>
      <c r="R334" s="309">
        <v>100000</v>
      </c>
      <c r="S334" s="309">
        <v>100000</v>
      </c>
      <c r="T334" s="309">
        <v>100000</v>
      </c>
      <c r="U334" s="309">
        <v>100000</v>
      </c>
      <c r="V334" s="309">
        <v>100000</v>
      </c>
      <c r="W334" s="309">
        <v>100000</v>
      </c>
      <c r="X334" s="309">
        <v>100000</v>
      </c>
      <c r="Y334" s="309">
        <v>100000</v>
      </c>
      <c r="Z334" s="309">
        <v>100000</v>
      </c>
      <c r="AA334" s="309">
        <v>100000</v>
      </c>
      <c r="AB334" s="309">
        <v>100000</v>
      </c>
      <c r="AC334" s="309">
        <v>100000</v>
      </c>
      <c r="AD334" s="309">
        <v>100000</v>
      </c>
      <c r="AE334" s="309">
        <v>100000</v>
      </c>
      <c r="AF334" s="309">
        <v>100000</v>
      </c>
    </row>
    <row r="335" spans="1:32" s="302" customFormat="1" ht="12.75" x14ac:dyDescent="0.2">
      <c r="B335" s="302" t="s">
        <v>51</v>
      </c>
      <c r="D335" s="550"/>
      <c r="E335" s="550"/>
      <c r="F335" s="550"/>
      <c r="G335" s="309">
        <v>100000</v>
      </c>
      <c r="H335" s="309">
        <v>100000</v>
      </c>
      <c r="I335" s="309">
        <v>100000</v>
      </c>
      <c r="J335" s="309">
        <v>100000</v>
      </c>
      <c r="K335" s="309">
        <v>100000</v>
      </c>
      <c r="L335" s="309">
        <v>100000</v>
      </c>
      <c r="M335" s="309">
        <v>100000</v>
      </c>
      <c r="N335" s="309">
        <v>100000</v>
      </c>
      <c r="O335" s="309">
        <v>100000</v>
      </c>
      <c r="P335" s="309">
        <v>100000</v>
      </c>
      <c r="Q335" s="309">
        <v>100000</v>
      </c>
      <c r="R335" s="309">
        <v>100000</v>
      </c>
      <c r="S335" s="309">
        <v>100000</v>
      </c>
      <c r="T335" s="309">
        <v>100000</v>
      </c>
      <c r="U335" s="309">
        <v>100000</v>
      </c>
      <c r="V335" s="309">
        <v>100000</v>
      </c>
      <c r="W335" s="309">
        <v>100000</v>
      </c>
      <c r="X335" s="309">
        <v>100000</v>
      </c>
      <c r="Y335" s="309">
        <v>100000</v>
      </c>
      <c r="Z335" s="309">
        <v>100000</v>
      </c>
      <c r="AA335" s="309">
        <v>100000</v>
      </c>
      <c r="AB335" s="309">
        <v>100000</v>
      </c>
      <c r="AC335" s="309">
        <v>100000</v>
      </c>
      <c r="AD335" s="309">
        <v>100000</v>
      </c>
      <c r="AE335" s="309">
        <v>100000</v>
      </c>
      <c r="AF335" s="309">
        <v>100000</v>
      </c>
    </row>
    <row r="336" spans="1:32" s="302" customFormat="1" ht="12.75" x14ac:dyDescent="0.2">
      <c r="B336" s="302" t="s">
        <v>52</v>
      </c>
      <c r="D336" s="550"/>
      <c r="E336" s="550"/>
      <c r="F336" s="550"/>
      <c r="G336" s="309">
        <v>100000</v>
      </c>
      <c r="H336" s="309">
        <v>100000</v>
      </c>
      <c r="I336" s="309">
        <v>100000</v>
      </c>
      <c r="J336" s="309">
        <v>100000</v>
      </c>
      <c r="K336" s="309">
        <v>100000</v>
      </c>
      <c r="L336" s="309">
        <v>100000</v>
      </c>
      <c r="M336" s="309">
        <v>100000</v>
      </c>
      <c r="N336" s="309">
        <v>100000</v>
      </c>
      <c r="O336" s="309">
        <v>100000</v>
      </c>
      <c r="P336" s="309">
        <v>100000</v>
      </c>
      <c r="Q336" s="309">
        <v>100000</v>
      </c>
      <c r="R336" s="309">
        <v>100000</v>
      </c>
      <c r="S336" s="309">
        <v>100000</v>
      </c>
      <c r="T336" s="309">
        <v>100000</v>
      </c>
      <c r="U336" s="309">
        <v>100000</v>
      </c>
      <c r="V336" s="309">
        <v>100000</v>
      </c>
      <c r="W336" s="309">
        <v>100000</v>
      </c>
      <c r="X336" s="309">
        <v>100000</v>
      </c>
      <c r="Y336" s="309">
        <v>100000</v>
      </c>
      <c r="Z336" s="309">
        <v>100000</v>
      </c>
      <c r="AA336" s="309">
        <v>100000</v>
      </c>
      <c r="AB336" s="309">
        <v>100000</v>
      </c>
      <c r="AC336" s="309">
        <v>100000</v>
      </c>
      <c r="AD336" s="309">
        <v>100000</v>
      </c>
      <c r="AE336" s="309">
        <v>100000</v>
      </c>
      <c r="AF336" s="309">
        <v>100000</v>
      </c>
    </row>
    <row r="337" spans="1:113" s="302" customFormat="1" ht="12.75" x14ac:dyDescent="0.2">
      <c r="B337" s="306" t="s">
        <v>29</v>
      </c>
      <c r="D337" s="550"/>
      <c r="E337" s="550"/>
      <c r="F337" s="550"/>
      <c r="G337" s="309" t="str">
        <v/>
      </c>
      <c r="H337" s="309" t="str">
        <v/>
      </c>
      <c r="I337" s="309" t="str">
        <v/>
      </c>
      <c r="J337" s="309" t="str">
        <v/>
      </c>
      <c r="K337" s="309" t="str">
        <v/>
      </c>
      <c r="L337" s="309" t="str">
        <v/>
      </c>
      <c r="M337" s="309" t="str">
        <v/>
      </c>
      <c r="N337" s="309" t="str">
        <v/>
      </c>
      <c r="O337" s="309" t="str">
        <v/>
      </c>
      <c r="P337" s="309" t="str">
        <v/>
      </c>
      <c r="Q337" s="309" t="str">
        <v/>
      </c>
      <c r="R337" s="309" t="str">
        <v/>
      </c>
      <c r="S337" s="309" t="str">
        <v/>
      </c>
      <c r="T337" s="309" t="str">
        <v/>
      </c>
      <c r="U337" s="309" t="str">
        <v/>
      </c>
      <c r="V337" s="309" t="str">
        <v/>
      </c>
      <c r="W337" s="309" t="str">
        <v/>
      </c>
      <c r="X337" s="309" t="str">
        <v/>
      </c>
      <c r="Y337" s="309" t="str">
        <v/>
      </c>
      <c r="Z337" s="309" t="str">
        <v/>
      </c>
      <c r="AA337" s="309" t="str">
        <v/>
      </c>
      <c r="AB337" s="309" t="str">
        <v/>
      </c>
      <c r="AC337" s="309" t="str">
        <v/>
      </c>
      <c r="AD337" s="309" t="str">
        <v/>
      </c>
      <c r="AE337" s="309" t="str">
        <v/>
      </c>
      <c r="AF337" s="309" t="str">
        <v/>
      </c>
    </row>
    <row r="338" spans="1:113" s="302" customFormat="1" ht="12.75" x14ac:dyDescent="0.2">
      <c r="B338" s="306" t="s">
        <v>53</v>
      </c>
      <c r="D338" s="550"/>
      <c r="E338" s="550"/>
      <c r="F338" s="550"/>
      <c r="G338" s="309">
        <v>100000</v>
      </c>
      <c r="H338" s="309">
        <v>100000</v>
      </c>
      <c r="I338" s="309">
        <v>100000</v>
      </c>
      <c r="J338" s="309">
        <v>100000</v>
      </c>
      <c r="K338" s="309">
        <v>100000</v>
      </c>
      <c r="L338" s="309">
        <v>100000</v>
      </c>
      <c r="M338" s="309">
        <v>100000</v>
      </c>
      <c r="N338" s="309">
        <v>100000</v>
      </c>
      <c r="O338" s="309">
        <v>100000</v>
      </c>
      <c r="P338" s="309">
        <v>100000</v>
      </c>
      <c r="Q338" s="309">
        <v>100000</v>
      </c>
      <c r="R338" s="309">
        <v>100000</v>
      </c>
      <c r="S338" s="309">
        <v>100000</v>
      </c>
      <c r="T338" s="309">
        <v>100000</v>
      </c>
      <c r="U338" s="309">
        <v>100000</v>
      </c>
      <c r="V338" s="309">
        <v>100000</v>
      </c>
      <c r="W338" s="309">
        <v>100000</v>
      </c>
      <c r="X338" s="309">
        <v>100000</v>
      </c>
      <c r="Y338" s="309">
        <v>100000</v>
      </c>
      <c r="Z338" s="309">
        <v>100000</v>
      </c>
      <c r="AA338" s="309">
        <v>100000</v>
      </c>
      <c r="AB338" s="309">
        <v>100000</v>
      </c>
      <c r="AC338" s="309">
        <v>100000</v>
      </c>
      <c r="AD338" s="309">
        <v>100000</v>
      </c>
      <c r="AE338" s="309">
        <v>100000</v>
      </c>
      <c r="AF338" s="309">
        <v>100000</v>
      </c>
    </row>
    <row r="339" spans="1:113" s="302" customFormat="1" ht="12.75" x14ac:dyDescent="0.2">
      <c r="D339" s="550"/>
      <c r="E339" s="550"/>
      <c r="F339" s="550"/>
      <c r="G339" s="309"/>
      <c r="H339" s="309"/>
      <c r="I339" s="309"/>
      <c r="J339" s="309"/>
      <c r="K339" s="309"/>
      <c r="L339" s="309"/>
      <c r="M339" s="309"/>
      <c r="N339" s="309"/>
      <c r="O339" s="309"/>
      <c r="P339" s="309"/>
      <c r="Q339" s="309"/>
      <c r="R339" s="309"/>
      <c r="S339" s="309"/>
      <c r="T339" s="309"/>
      <c r="U339" s="309"/>
      <c r="V339" s="309"/>
      <c r="W339" s="309"/>
      <c r="X339" s="309"/>
      <c r="Y339" s="309"/>
      <c r="Z339" s="309"/>
      <c r="AA339" s="309"/>
      <c r="AB339" s="309"/>
      <c r="AC339" s="309"/>
      <c r="AD339" s="309"/>
      <c r="AE339" s="309"/>
      <c r="AF339" s="309"/>
    </row>
    <row r="340" spans="1:113" s="315" customFormat="1" ht="12.75" x14ac:dyDescent="0.2">
      <c r="A340" s="316" t="s">
        <v>179</v>
      </c>
      <c r="D340" s="403"/>
      <c r="E340" s="403"/>
      <c r="F340" s="403"/>
      <c r="G340" s="1044" t="s">
        <v>685</v>
      </c>
    </row>
    <row r="341" spans="1:113" s="302" customFormat="1" ht="12.75" x14ac:dyDescent="0.2">
      <c r="D341" s="550"/>
      <c r="E341" s="550"/>
      <c r="F341" s="550"/>
      <c r="AH341" s="303" t="s">
        <v>28</v>
      </c>
      <c r="BI341" s="303" t="s">
        <v>30</v>
      </c>
      <c r="CJ341" s="303" t="s">
        <v>23</v>
      </c>
    </row>
    <row r="342" spans="1:113" s="302" customFormat="1" ht="12.75" x14ac:dyDescent="0.2">
      <c r="A342" s="303" t="s">
        <v>12</v>
      </c>
      <c r="D342" s="550"/>
      <c r="E342" s="550"/>
      <c r="F342" s="550"/>
      <c r="CN342" s="393"/>
      <c r="CP342" s="301"/>
    </row>
    <row r="343" spans="1:113" s="302" customFormat="1" ht="12.75" x14ac:dyDescent="0.2">
      <c r="B343" s="302" t="s">
        <v>20</v>
      </c>
      <c r="D343" s="550"/>
      <c r="E343" s="550"/>
      <c r="F343" s="550"/>
      <c r="G343" s="302">
        <v>2010</v>
      </c>
      <c r="H343" s="302">
        <v>2011</v>
      </c>
      <c r="I343" s="302">
        <v>2012</v>
      </c>
      <c r="J343" s="302">
        <v>2013</v>
      </c>
      <c r="K343" s="302">
        <v>2014</v>
      </c>
      <c r="L343" s="302">
        <v>2015</v>
      </c>
      <c r="M343" s="302">
        <v>2016</v>
      </c>
      <c r="N343" s="302">
        <v>2017</v>
      </c>
      <c r="O343" s="302">
        <v>2018</v>
      </c>
      <c r="P343" s="302">
        <v>2019</v>
      </c>
      <c r="Q343" s="302">
        <v>2020</v>
      </c>
      <c r="R343" s="302">
        <v>2021</v>
      </c>
      <c r="S343" s="302">
        <v>2022</v>
      </c>
      <c r="T343" s="302">
        <v>2023</v>
      </c>
      <c r="U343" s="302">
        <v>2024</v>
      </c>
      <c r="V343" s="302">
        <v>2025</v>
      </c>
      <c r="W343" s="302">
        <v>2026</v>
      </c>
      <c r="X343" s="302">
        <v>2027</v>
      </c>
      <c r="Y343" s="302">
        <v>2028</v>
      </c>
      <c r="Z343" s="302">
        <v>2029</v>
      </c>
      <c r="AA343" s="302">
        <v>2030</v>
      </c>
      <c r="AB343" s="302">
        <v>2031</v>
      </c>
      <c r="AC343" s="302">
        <v>2032</v>
      </c>
      <c r="AD343" s="302">
        <v>2033</v>
      </c>
      <c r="AE343" s="302">
        <v>2034</v>
      </c>
      <c r="AF343" s="302">
        <v>2035</v>
      </c>
      <c r="AH343" s="302">
        <v>2010</v>
      </c>
      <c r="AI343" s="302">
        <v>2011</v>
      </c>
      <c r="AJ343" s="302">
        <v>2012</v>
      </c>
      <c r="AK343" s="302">
        <v>2013</v>
      </c>
      <c r="AL343" s="302">
        <v>2014</v>
      </c>
      <c r="AM343" s="302">
        <v>2015</v>
      </c>
      <c r="AN343" s="302">
        <v>2016</v>
      </c>
      <c r="AO343" s="302">
        <v>2017</v>
      </c>
      <c r="AP343" s="302">
        <v>2018</v>
      </c>
      <c r="AQ343" s="302">
        <v>2019</v>
      </c>
      <c r="AR343" s="302">
        <v>2020</v>
      </c>
      <c r="AS343" s="302">
        <v>2021</v>
      </c>
      <c r="AT343" s="302">
        <v>2022</v>
      </c>
      <c r="AU343" s="302">
        <v>2023</v>
      </c>
      <c r="AV343" s="302">
        <v>2024</v>
      </c>
      <c r="AW343" s="302">
        <v>2025</v>
      </c>
      <c r="AX343" s="302">
        <v>2026</v>
      </c>
      <c r="AY343" s="302">
        <v>2027</v>
      </c>
      <c r="AZ343" s="302">
        <v>2028</v>
      </c>
      <c r="BA343" s="302">
        <v>2029</v>
      </c>
      <c r="BB343" s="302">
        <v>2030</v>
      </c>
      <c r="BC343" s="302">
        <v>2031</v>
      </c>
      <c r="BD343" s="302">
        <v>2032</v>
      </c>
      <c r="BE343" s="302">
        <v>2033</v>
      </c>
      <c r="BF343" s="302">
        <v>2034</v>
      </c>
      <c r="BG343" s="302">
        <v>2035</v>
      </c>
      <c r="BI343" s="302">
        <v>2010</v>
      </c>
      <c r="BJ343" s="302">
        <v>2011</v>
      </c>
      <c r="BK343" s="302">
        <v>2012</v>
      </c>
      <c r="BL343" s="302">
        <v>2013</v>
      </c>
      <c r="BM343" s="302">
        <v>2014</v>
      </c>
      <c r="BN343" s="302">
        <v>2015</v>
      </c>
      <c r="BO343" s="302">
        <v>2016</v>
      </c>
      <c r="BP343" s="302">
        <v>2017</v>
      </c>
      <c r="BQ343" s="302">
        <v>2018</v>
      </c>
      <c r="BR343" s="302">
        <v>2019</v>
      </c>
      <c r="BS343" s="302">
        <v>2020</v>
      </c>
      <c r="BT343" s="302">
        <v>2021</v>
      </c>
      <c r="BU343" s="302">
        <v>2022</v>
      </c>
      <c r="BV343" s="302">
        <v>2023</v>
      </c>
      <c r="BW343" s="302">
        <v>2024</v>
      </c>
      <c r="BX343" s="302">
        <v>2025</v>
      </c>
      <c r="BY343" s="302">
        <v>2026</v>
      </c>
      <c r="BZ343" s="302">
        <v>2027</v>
      </c>
      <c r="CA343" s="302">
        <v>2028</v>
      </c>
      <c r="CB343" s="302">
        <v>2029</v>
      </c>
      <c r="CC343" s="302">
        <v>2030</v>
      </c>
      <c r="CD343" s="302">
        <v>2031</v>
      </c>
      <c r="CE343" s="302">
        <v>2032</v>
      </c>
      <c r="CF343" s="302">
        <v>2033</v>
      </c>
      <c r="CG343" s="302">
        <v>2034</v>
      </c>
      <c r="CH343" s="302">
        <v>2035</v>
      </c>
      <c r="CJ343" s="302">
        <v>2010</v>
      </c>
      <c r="CK343" s="302">
        <v>2011</v>
      </c>
      <c r="CL343" s="302">
        <v>2012</v>
      </c>
      <c r="CM343" s="302">
        <v>2013</v>
      </c>
      <c r="CN343" s="302">
        <v>2014</v>
      </c>
      <c r="CO343" s="302">
        <v>2015</v>
      </c>
      <c r="CP343" s="302">
        <v>2016</v>
      </c>
      <c r="CQ343" s="302">
        <v>2017</v>
      </c>
      <c r="CR343" s="302">
        <v>2018</v>
      </c>
      <c r="CS343" s="302">
        <v>2019</v>
      </c>
      <c r="CT343" s="302">
        <v>2020</v>
      </c>
      <c r="CU343" s="302">
        <v>2021</v>
      </c>
      <c r="CV343" s="302">
        <v>2022</v>
      </c>
      <c r="CW343" s="302">
        <v>2023</v>
      </c>
      <c r="CX343" s="302">
        <v>2024</v>
      </c>
      <c r="CY343" s="302">
        <v>2025</v>
      </c>
      <c r="CZ343" s="302">
        <v>2026</v>
      </c>
      <c r="DA343" s="302">
        <v>2027</v>
      </c>
      <c r="DB343" s="302">
        <v>2028</v>
      </c>
      <c r="DC343" s="302">
        <v>2029</v>
      </c>
      <c r="DD343" s="302">
        <v>2030</v>
      </c>
      <c r="DE343" s="302">
        <v>2031</v>
      </c>
      <c r="DF343" s="302">
        <v>2032</v>
      </c>
      <c r="DG343" s="302">
        <v>2033</v>
      </c>
      <c r="DH343" s="302">
        <v>2034</v>
      </c>
      <c r="DI343" s="302">
        <v>2035</v>
      </c>
    </row>
    <row r="344" spans="1:113" s="302" customFormat="1" ht="12.75" x14ac:dyDescent="0.2">
      <c r="A344" s="312" t="s">
        <v>21</v>
      </c>
      <c r="B344" s="307"/>
      <c r="C344" s="304"/>
      <c r="D344" s="501"/>
      <c r="E344" s="501"/>
      <c r="F344" s="501"/>
      <c r="G344" s="304"/>
      <c r="H344" s="304"/>
      <c r="I344" s="304"/>
      <c r="J344" s="304"/>
      <c r="K344" s="304"/>
      <c r="L344" s="304"/>
      <c r="M344" s="304"/>
      <c r="N344" s="304"/>
      <c r="O344" s="304"/>
      <c r="P344" s="304"/>
      <c r="Q344" s="304"/>
      <c r="R344" s="304"/>
      <c r="S344" s="304"/>
      <c r="T344" s="304"/>
      <c r="U344" s="304"/>
      <c r="V344" s="304"/>
      <c r="W344" s="304"/>
      <c r="X344" s="304"/>
      <c r="Y344" s="304"/>
      <c r="Z344" s="304"/>
      <c r="AA344" s="304"/>
      <c r="AB344" s="304"/>
      <c r="AC344" s="304"/>
      <c r="AD344" s="304"/>
      <c r="AE344" s="304"/>
      <c r="AF344" s="304"/>
      <c r="AH344" s="304"/>
      <c r="AI344" s="304"/>
      <c r="AJ344" s="304"/>
      <c r="AK344" s="304"/>
      <c r="AL344" s="304"/>
      <c r="AM344" s="304"/>
      <c r="AN344" s="304"/>
      <c r="AO344" s="304"/>
      <c r="AP344" s="304"/>
      <c r="AQ344" s="304"/>
      <c r="AR344" s="304"/>
      <c r="AS344" s="304"/>
      <c r="AT344" s="304"/>
      <c r="AU344" s="304"/>
      <c r="AV344" s="304"/>
      <c r="AW344" s="304"/>
      <c r="AX344" s="304"/>
      <c r="AY344" s="304"/>
      <c r="AZ344" s="304"/>
      <c r="BA344" s="304"/>
      <c r="BB344" s="304"/>
      <c r="BC344" s="304"/>
      <c r="BD344" s="304"/>
      <c r="BE344" s="304"/>
      <c r="BF344" s="304"/>
      <c r="BG344" s="304"/>
      <c r="BI344" s="304"/>
      <c r="BJ344" s="304"/>
      <c r="BK344" s="304"/>
      <c r="BL344" s="304"/>
      <c r="BM344" s="304"/>
      <c r="BN344" s="304"/>
      <c r="BO344" s="304"/>
      <c r="BP344" s="304"/>
      <c r="BQ344" s="304"/>
      <c r="BR344" s="304"/>
      <c r="BS344" s="304"/>
      <c r="BT344" s="304"/>
      <c r="BU344" s="304"/>
      <c r="BV344" s="304"/>
      <c r="BW344" s="304"/>
      <c r="BX344" s="304"/>
      <c r="BY344" s="304"/>
      <c r="BZ344" s="304"/>
      <c r="CA344" s="304"/>
      <c r="CB344" s="304"/>
      <c r="CC344" s="304"/>
      <c r="CD344" s="304"/>
      <c r="CE344" s="304"/>
      <c r="CF344" s="304"/>
      <c r="CG344" s="304"/>
      <c r="CH344" s="304"/>
      <c r="CJ344" s="304"/>
      <c r="CK344" s="304"/>
      <c r="CL344" s="304"/>
      <c r="CM344" s="304"/>
      <c r="CN344" s="304"/>
      <c r="CO344" s="304"/>
      <c r="CP344" s="304"/>
      <c r="CQ344" s="304"/>
      <c r="CR344" s="304"/>
      <c r="CS344" s="304"/>
      <c r="CT344" s="304"/>
      <c r="CU344" s="304"/>
      <c r="CV344" s="304"/>
      <c r="CW344" s="304"/>
      <c r="CX344" s="304"/>
      <c r="CY344" s="304"/>
      <c r="CZ344" s="304"/>
      <c r="DA344" s="304"/>
      <c r="DB344" s="304"/>
      <c r="DC344" s="304"/>
      <c r="DD344" s="304"/>
      <c r="DE344" s="304"/>
      <c r="DF344" s="304"/>
      <c r="DG344" s="304"/>
      <c r="DH344" s="304"/>
      <c r="DI344" s="304"/>
    </row>
    <row r="345" spans="1:113" s="302" customFormat="1" ht="12.75" x14ac:dyDescent="0.2">
      <c r="B345" s="302" t="s">
        <v>22</v>
      </c>
      <c r="D345" s="550"/>
      <c r="E345" s="550"/>
      <c r="F345" s="550"/>
      <c r="G345" s="272">
        <f t="shared" ref="G345:P348" si="51">SUM(AH345,BI345,CJ345)</f>
        <v>0.5</v>
      </c>
      <c r="H345" s="272">
        <f t="shared" si="51"/>
        <v>0.4975000000000005</v>
      </c>
      <c r="I345" s="272">
        <f t="shared" si="51"/>
        <v>0.49500000000000011</v>
      </c>
      <c r="J345" s="272">
        <f t="shared" si="51"/>
        <v>0.4925000000000006</v>
      </c>
      <c r="K345" s="272">
        <f t="shared" si="51"/>
        <v>0.49000000000000021</v>
      </c>
      <c r="L345" s="272">
        <f t="shared" si="51"/>
        <v>0.48749999999999982</v>
      </c>
      <c r="M345" s="272">
        <f t="shared" si="51"/>
        <v>0.48500000000000032</v>
      </c>
      <c r="N345" s="272">
        <f t="shared" si="51"/>
        <v>0.48249999999999993</v>
      </c>
      <c r="O345" s="272">
        <f t="shared" si="51"/>
        <v>0.48000000000000043</v>
      </c>
      <c r="P345" s="272">
        <f t="shared" si="51"/>
        <v>0.47750000000000004</v>
      </c>
      <c r="Q345" s="272">
        <f t="shared" ref="Q345:Z348" si="52">SUM(AR345,BS345,CT345)</f>
        <v>0.47500000000000053</v>
      </c>
      <c r="R345" s="272">
        <f t="shared" si="52"/>
        <v>0.47250000000000014</v>
      </c>
      <c r="S345" s="272">
        <f t="shared" si="52"/>
        <v>0.47000000000000064</v>
      </c>
      <c r="T345" s="272">
        <f t="shared" si="52"/>
        <v>0.46750000000000025</v>
      </c>
      <c r="U345" s="272">
        <f t="shared" si="52"/>
        <v>0.46499999999999986</v>
      </c>
      <c r="V345" s="272">
        <f t="shared" si="52"/>
        <v>0.46250000000000036</v>
      </c>
      <c r="W345" s="272">
        <f t="shared" si="52"/>
        <v>0.45999999999999996</v>
      </c>
      <c r="X345" s="272">
        <f t="shared" si="52"/>
        <v>0.45750000000000046</v>
      </c>
      <c r="Y345" s="272">
        <f t="shared" si="52"/>
        <v>0.45500000000000007</v>
      </c>
      <c r="Z345" s="272">
        <f t="shared" si="52"/>
        <v>0.45250000000000057</v>
      </c>
      <c r="AA345" s="272">
        <f t="shared" ref="AA345:AF348" si="53">SUM(BB345,CC345,DD345)</f>
        <v>0.45000000000000018</v>
      </c>
      <c r="AB345" s="272">
        <f t="shared" si="53"/>
        <v>0.44750000000000068</v>
      </c>
      <c r="AC345" s="272">
        <f t="shared" si="53"/>
        <v>0.44500000000000028</v>
      </c>
      <c r="AD345" s="272">
        <f t="shared" si="53"/>
        <v>0.44249999999999989</v>
      </c>
      <c r="AE345" s="272">
        <f t="shared" si="53"/>
        <v>0.44000000000000039</v>
      </c>
      <c r="AF345" s="272">
        <f t="shared" si="53"/>
        <v>0.4375</v>
      </c>
      <c r="AH345" s="271">
        <f>IF(Tech_Specs!$E9="linear",TREND(Perform_Active!$S10:$T10,Perform_Active!$S$8:$T$8,AH$343),)</f>
        <v>0</v>
      </c>
      <c r="AI345" s="271">
        <f>IF(Tech_Specs!$E9="linear",TREND(Perform_Active!$S10:$T10,Perform_Active!$S$8:$T$8,AI$343),)</f>
        <v>0</v>
      </c>
      <c r="AJ345" s="271">
        <f>IF(Tech_Specs!$E9="linear",TREND(Perform_Active!$S10:$T10,Perform_Active!$S$8:$T$8,AJ$343),)</f>
        <v>0</v>
      </c>
      <c r="AK345" s="271">
        <f>IF(Tech_Specs!$E9="linear",TREND(Perform_Active!$S10:$T10,Perform_Active!$S$8:$T$8,AK$343),)</f>
        <v>0</v>
      </c>
      <c r="AL345" s="271">
        <f>IF(Tech_Specs!$E9="linear",TREND(Perform_Active!$S10:$T10,Perform_Active!$S$8:$T$8,AL$343),)</f>
        <v>0</v>
      </c>
      <c r="AM345" s="271">
        <f>IF(Tech_Specs!$E9="linear",TREND(Perform_Active!$S10:$T10,Perform_Active!$S$8:$T$8,AM$343),)</f>
        <v>0</v>
      </c>
      <c r="AN345" s="271">
        <f>IF(Tech_Specs!$E9="linear",TREND(Perform_Active!$S10:$T10,Perform_Active!$S$8:$T$8,AN$343),)</f>
        <v>0</v>
      </c>
      <c r="AO345" s="271">
        <f>IF(Tech_Specs!$E9="linear",TREND(Perform_Active!$S10:$T10,Perform_Active!$S$8:$T$8,AO$343),)</f>
        <v>0</v>
      </c>
      <c r="AP345" s="271">
        <f>IF(Tech_Specs!$E9="linear",TREND(Perform_Active!$S10:$T10,Perform_Active!$S$8:$T$8,AP$343),)</f>
        <v>0</v>
      </c>
      <c r="AQ345" s="271">
        <f>IF(Tech_Specs!$E9="linear",TREND(Perform_Active!$S10:$T10,Perform_Active!$S$8:$T$8,AQ$343),)</f>
        <v>0</v>
      </c>
      <c r="AR345" s="271">
        <f>IF(Tech_Specs!$E9="linear",TREND(Perform_Active!$S10:$T10,Perform_Active!$S$8:$T$8,AR$343),)</f>
        <v>0</v>
      </c>
      <c r="AS345" s="271">
        <f>IF(Tech_Specs!$E9="linear",TREND(Perform_Active!$S10:$T10,Perform_Active!$S$8:$T$8,AS$343),)</f>
        <v>0</v>
      </c>
      <c r="AT345" s="271">
        <f>IF(Tech_Specs!$E9="linear",TREND(Perform_Active!$S10:$T10,Perform_Active!$S$8:$T$8,AT$343),)</f>
        <v>0</v>
      </c>
      <c r="AU345" s="271">
        <f>IF(Tech_Specs!$E9="linear",TREND(Perform_Active!$S10:$T10,Perform_Active!$S$8:$T$8,AU$343),)</f>
        <v>0</v>
      </c>
      <c r="AV345" s="271">
        <f>IF(Tech_Specs!$E9="linear",TREND(Perform_Active!$S10:$T10,Perform_Active!$S$8:$T$8,AV$343),)</f>
        <v>0</v>
      </c>
      <c r="AW345" s="271">
        <f>IF(Tech_Specs!$E9="linear",TREND(Perform_Active!$S10:$T10,Perform_Active!$S$8:$T$8,AW$343),)</f>
        <v>0</v>
      </c>
      <c r="AX345" s="271">
        <f>IF(Tech_Specs!$E9="linear",TREND(Perform_Active!$S10:$T10,Perform_Active!$S$8:$T$8,AX$343),)</f>
        <v>0</v>
      </c>
      <c r="AY345" s="271">
        <f>IF(Tech_Specs!$E9="linear",TREND(Perform_Active!$S10:$T10,Perform_Active!$S$8:$T$8,AY$343),)</f>
        <v>0</v>
      </c>
      <c r="AZ345" s="271">
        <f>IF(Tech_Specs!$E9="linear",TREND(Perform_Active!$S10:$T10,Perform_Active!$S$8:$T$8,AZ$343),)</f>
        <v>0</v>
      </c>
      <c r="BA345" s="271">
        <f>IF(Tech_Specs!$E9="linear",TREND(Perform_Active!$S10:$T10,Perform_Active!$S$8:$T$8,BA$343),)</f>
        <v>0</v>
      </c>
      <c r="BB345" s="271">
        <f>IF(Tech_Specs!$E9="linear",TREND(Perform_Active!$S10:$T10,Perform_Active!$S$8:$T$8,BB$343),)</f>
        <v>0</v>
      </c>
      <c r="BC345" s="271">
        <f>IF(Tech_Specs!$E9="linear",TREND(Perform_Active!$S10:$T10,Perform_Active!$S$8:$T$8,BC$343),)</f>
        <v>0</v>
      </c>
      <c r="BD345" s="271">
        <f>IF(Tech_Specs!$E9="linear",TREND(Perform_Active!$S10:$T10,Perform_Active!$S$8:$T$8,BD$343),)</f>
        <v>0</v>
      </c>
      <c r="BE345" s="271">
        <f>IF(Tech_Specs!$E9="linear",TREND(Perform_Active!$S10:$T10,Perform_Active!$S$8:$T$8,BE$343),)</f>
        <v>0</v>
      </c>
      <c r="BF345" s="271">
        <f>IF(Tech_Specs!$E9="linear",TREND(Perform_Active!$S10:$T10,Perform_Active!$S$8:$T$8,BF$343),)</f>
        <v>0</v>
      </c>
      <c r="BG345" s="271">
        <f>IF(Tech_Specs!$E9="linear",TREND(Perform_Active!$S10:$T10,Perform_Active!$S$8:$T$8,BG$343),)</f>
        <v>0</v>
      </c>
      <c r="BI345" s="271">
        <f>IF(Tech_Specs!$E9="logistic",IF(Tech_Specs!$K9="lamp",Perform_SSL!G$14,Perform_SSL!G$15),)*Perform_Active!$I10/1000</f>
        <v>0</v>
      </c>
      <c r="BJ345" s="271">
        <f>IF(Tech_Specs!$E9="logistic",IF(Tech_Specs!$K9="lamp",Perform_SSL!H$14,Perform_SSL!H$15),)*Perform_Active!$I10/1000</f>
        <v>0</v>
      </c>
      <c r="BK345" s="271">
        <f>IF(Tech_Specs!$E9="logistic",IF(Tech_Specs!$K9="lamp",Perform_SSL!I$14,Perform_SSL!I$15),)*Perform_Active!$I10/1000</f>
        <v>0</v>
      </c>
      <c r="BL345" s="271">
        <f>IF(Tech_Specs!$E9="logistic",IF(Tech_Specs!$K9="lamp",Perform_SSL!J$14,Perform_SSL!J$15),)*Perform_Active!$I10/1000</f>
        <v>0</v>
      </c>
      <c r="BM345" s="271">
        <f>IF(Tech_Specs!$E9="logistic",IF(Tech_Specs!$K9="lamp",Perform_SSL!K$14,Perform_SSL!K$15),)*Perform_Active!$I10/1000</f>
        <v>0</v>
      </c>
      <c r="BN345" s="271">
        <f>IF(Tech_Specs!$E9="logistic",IF(Tech_Specs!$K9="lamp",Perform_SSL!L$14,Perform_SSL!L$15),)*Perform_Active!$I10/1000</f>
        <v>0</v>
      </c>
      <c r="BO345" s="271">
        <f>IF(Tech_Specs!$E9="logistic",IF(Tech_Specs!$K9="lamp",Perform_SSL!M$14,Perform_SSL!M$15),)*Perform_Active!$I10/1000</f>
        <v>0</v>
      </c>
      <c r="BP345" s="271">
        <f>IF(Tech_Specs!$E9="logistic",IF(Tech_Specs!$K9="lamp",Perform_SSL!N$14,Perform_SSL!N$15),)*Perform_Active!$I10/1000</f>
        <v>0</v>
      </c>
      <c r="BQ345" s="271">
        <f>IF(Tech_Specs!$E9="logistic",IF(Tech_Specs!$K9="lamp",Perform_SSL!O$14,Perform_SSL!O$15),)*Perform_Active!$I10/1000</f>
        <v>0</v>
      </c>
      <c r="BR345" s="271">
        <f>IF(Tech_Specs!$E9="logistic",IF(Tech_Specs!$K9="lamp",Perform_SSL!P$14,Perform_SSL!P$15),)*Perform_Active!$I10/1000</f>
        <v>0</v>
      </c>
      <c r="BS345" s="271">
        <f>IF(Tech_Specs!$E9="logistic",IF(Tech_Specs!$K9="lamp",Perform_SSL!Q$14,Perform_SSL!Q$15),)*Perform_Active!$I10/1000</f>
        <v>0</v>
      </c>
      <c r="BT345" s="271">
        <f>IF(Tech_Specs!$E9="logistic",IF(Tech_Specs!$K9="lamp",Perform_SSL!R$14,Perform_SSL!R$15),)*Perform_Active!$I10/1000</f>
        <v>0</v>
      </c>
      <c r="BU345" s="271">
        <f>IF(Tech_Specs!$E9="logistic",IF(Tech_Specs!$K9="lamp",Perform_SSL!S$14,Perform_SSL!S$15),)*Perform_Active!$I10/1000</f>
        <v>0</v>
      </c>
      <c r="BV345" s="271">
        <f>IF(Tech_Specs!$E9="logistic",IF(Tech_Specs!$K9="lamp",Perform_SSL!T$14,Perform_SSL!T$15),)*Perform_Active!$I10/1000</f>
        <v>0</v>
      </c>
      <c r="BW345" s="271">
        <f>IF(Tech_Specs!$E9="logistic",IF(Tech_Specs!$K9="lamp",Perform_SSL!U$14,Perform_SSL!U$15),)*Perform_Active!$I10/1000</f>
        <v>0</v>
      </c>
      <c r="BX345" s="271">
        <f>IF(Tech_Specs!$E9="logistic",IF(Tech_Specs!$K9="lamp",Perform_SSL!V$14,Perform_SSL!V$15),)*Perform_Active!$I10/1000</f>
        <v>0</v>
      </c>
      <c r="BY345" s="271">
        <f>IF(Tech_Specs!$E9="logistic",IF(Tech_Specs!$K9="lamp",Perform_SSL!W$14,Perform_SSL!W$15),)*Perform_Active!$I10/1000</f>
        <v>0</v>
      </c>
      <c r="BZ345" s="271">
        <f>IF(Tech_Specs!$E9="logistic",IF(Tech_Specs!$K9="lamp",Perform_SSL!X$14,Perform_SSL!X$15),)*Perform_Active!$I10/1000</f>
        <v>0</v>
      </c>
      <c r="CA345" s="271">
        <f>IF(Tech_Specs!$E9="logistic",IF(Tech_Specs!$K9="lamp",Perform_SSL!Y$14,Perform_SSL!Y$15),)*Perform_Active!$I10/1000</f>
        <v>0</v>
      </c>
      <c r="CB345" s="271">
        <f>IF(Tech_Specs!$E9="logistic",IF(Tech_Specs!$K9="lamp",Perform_SSL!Z$14,Perform_SSL!Z$15),)*Perform_Active!$I10/1000</f>
        <v>0</v>
      </c>
      <c r="CC345" s="271">
        <f>IF(Tech_Specs!$E9="logistic",IF(Tech_Specs!$K9="lamp",Perform_SSL!AA$14,Perform_SSL!AA$15),)*Perform_Active!$I10/1000</f>
        <v>0</v>
      </c>
      <c r="CD345" s="271">
        <f>IF(Tech_Specs!$E9="logistic",IF(Tech_Specs!$K9="lamp",Perform_SSL!AB$14,Perform_SSL!AB$15),)*Perform_Active!$I10/1000</f>
        <v>0</v>
      </c>
      <c r="CE345" s="271">
        <f>IF(Tech_Specs!$E9="logistic",IF(Tech_Specs!$K9="lamp",Perform_SSL!AC$14,Perform_SSL!AC$15),)*Perform_Active!$I10/1000</f>
        <v>0</v>
      </c>
      <c r="CF345" s="271">
        <f>IF(Tech_Specs!$E9="logistic",IF(Tech_Specs!$K9="lamp",Perform_SSL!AD$14,Perform_SSL!AD$15),)*Perform_Active!$I10/1000</f>
        <v>0</v>
      </c>
      <c r="CG345" s="271">
        <f>IF(Tech_Specs!$E9="logistic",IF(Tech_Specs!$K9="lamp",Perform_SSL!AE$14,Perform_SSL!AE$15),)*Perform_Active!$I10/1000</f>
        <v>0</v>
      </c>
      <c r="CH345" s="271">
        <f>IF(Tech_Specs!$E9="logistic",IF(Tech_Specs!$K9="lamp",Perform_SSL!AF$14,Perform_SSL!AF$15),)*Perform_Active!$I10/1000</f>
        <v>0</v>
      </c>
      <c r="CJ345" s="271">
        <f>IF(AND(Tech_Specs!$E9="step",Standards_Active!$E10="yes"),IF(CJ$343&lt;Standards_Active!$C10,TREND(Perform_Active!$S10:$T10,Perform_Active!$S$8:$T$8,CJ$343),IF(ISNUMBER(Standards_Active!$M10),IF(AND(CJ$343&gt;=Standards_Active!$C10,CJ$343&lt;Standards_Active!$D10),(Standards_Active!$M10-INDEX($CJ345:$DI345,1,MATCH((Standards_Active!$C10-1),$CJ$343:$DI$343,FALSE)))/(Standards_Active!$D10-(Standards_Active!$C10-1))+CI345,Standards_Active!$M10*((1+Standards_Active!$O10)^(CJ$343-Standards_Active!$D10))),TREND(Perform_Active!$S10:$T10,Perform_Active!$S$8:$T$8,CJ$343))),)</f>
        <v>0.5</v>
      </c>
      <c r="CK345" s="271">
        <f>IF(AND(Tech_Specs!$E9="step",Standards_Active!$E10="yes"),IF(CK$343&lt;Standards_Active!$C10,TREND(Perform_Active!$S10:$T10,Perform_Active!$S$8:$T$8,CK$343),IF(ISNUMBER(Standards_Active!$M10),IF(AND(CK$343&gt;=Standards_Active!$C10,CK$343&lt;Standards_Active!$D10),(Standards_Active!$M10-INDEX($CJ345:$DI345,1,MATCH((Standards_Active!$C10-1),$CJ$343:$DI$343,FALSE)))/(Standards_Active!$D10-(Standards_Active!$C10-1))+CJ345,Standards_Active!$M10*((1+Standards_Active!$O10)^(CK$343-Standards_Active!$D10))),TREND(Perform_Active!$S10:$T10,Perform_Active!$S$8:$T$8,CK$343))),)</f>
        <v>0.4975000000000005</v>
      </c>
      <c r="CL345" s="271">
        <f>IF(AND(Tech_Specs!$E9="step",Standards_Active!$E10="yes"),IF(CL$343&lt;Standards_Active!$C10,TREND(Perform_Active!$S10:$T10,Perform_Active!$S$8:$T$8,CL$343),IF(ISNUMBER(Standards_Active!$M10),IF(AND(CL$343&gt;=Standards_Active!$C10,CL$343&lt;Standards_Active!$D10),(Standards_Active!$M10-INDEX($CJ345:$DI345,1,MATCH((Standards_Active!$C10-1),$CJ$343:$DI$343,FALSE)))/(Standards_Active!$D10-(Standards_Active!$C10-1))+CK345,Standards_Active!$M10*((1+Standards_Active!$O10)^(CL$343-Standards_Active!$D10))),TREND(Perform_Active!$S10:$T10,Perform_Active!$S$8:$T$8,CL$343))),)</f>
        <v>0.49500000000000011</v>
      </c>
      <c r="CM345" s="271">
        <f>IF(AND(Tech_Specs!$E9="step",Standards_Active!$E10="yes"),IF(CM$343&lt;Standards_Active!$C10,TREND(Perform_Active!$S10:$T10,Perform_Active!$S$8:$T$8,CM$343),IF(ISNUMBER(Standards_Active!$M10),IF(AND(CM$343&gt;=Standards_Active!$C10,CM$343&lt;Standards_Active!$D10),(Standards_Active!$M10-INDEX($CJ345:$DI345,1,MATCH((Standards_Active!$C10-1),$CJ$343:$DI$343,FALSE)))/(Standards_Active!$D10-(Standards_Active!$C10-1))+CL345,Standards_Active!$M10*((1+Standards_Active!$O10)^(CM$343-Standards_Active!$D10))),TREND(Perform_Active!$S10:$T10,Perform_Active!$S$8:$T$8,CM$343))),)</f>
        <v>0.4925000000000006</v>
      </c>
      <c r="CN345" s="271">
        <f>IF(AND(Tech_Specs!$E9="step",Standards_Active!$E10="yes"),IF(CN$343&lt;Standards_Active!$C10,TREND(Perform_Active!$S10:$T10,Perform_Active!$S$8:$T$8,CN$343),IF(ISNUMBER(Standards_Active!$M10),IF(AND(CN$343&gt;=Standards_Active!$C10,CN$343&lt;Standards_Active!$D10),(Standards_Active!$M10-INDEX($CJ345:$DI345,1,MATCH((Standards_Active!$C10-1),$CJ$343:$DI$343,FALSE)))/(Standards_Active!$D10-(Standards_Active!$C10-1))+CM345,Standards_Active!$M10*((1+Standards_Active!$O10)^(CN$343-Standards_Active!$D10))),TREND(Perform_Active!$S10:$T10,Perform_Active!$S$8:$T$8,CN$343))),)</f>
        <v>0.49000000000000021</v>
      </c>
      <c r="CO345" s="271">
        <f>IF(AND(Tech_Specs!$E9="step",Standards_Active!$E10="yes"),IF(CO$343&lt;Standards_Active!$C10,TREND(Perform_Active!$S10:$T10,Perform_Active!$S$8:$T$8,CO$343),IF(ISNUMBER(Standards_Active!$M10),IF(AND(CO$343&gt;=Standards_Active!$C10,CO$343&lt;Standards_Active!$D10),(Standards_Active!$M10-INDEX($CJ345:$DI345,1,MATCH((Standards_Active!$C10-1),$CJ$343:$DI$343,FALSE)))/(Standards_Active!$D10-(Standards_Active!$C10-1))+CN345,Standards_Active!$M10*((1+Standards_Active!$O10)^(CO$343-Standards_Active!$D10))),TREND(Perform_Active!$S10:$T10,Perform_Active!$S$8:$T$8,CO$343))),)</f>
        <v>0.48749999999999982</v>
      </c>
      <c r="CP345" s="271">
        <f>IF(AND(Tech_Specs!$E9="step",Standards_Active!$E10="yes"),IF(CP$343&lt;Standards_Active!$C10,TREND(Perform_Active!$S10:$T10,Perform_Active!$S$8:$T$8,CP$343),IF(ISNUMBER(Standards_Active!$M10),IF(AND(CP$343&gt;=Standards_Active!$C10,CP$343&lt;Standards_Active!$D10),(Standards_Active!$M10-INDEX($CJ345:$DI345,1,MATCH((Standards_Active!$C10-1),$CJ$343:$DI$343,FALSE)))/(Standards_Active!$D10-(Standards_Active!$C10-1))+CO345,Standards_Active!$M10*((1+Standards_Active!$O10)^(CP$343-Standards_Active!$D10))),TREND(Perform_Active!$S10:$T10,Perform_Active!$S$8:$T$8,CP$343))),)</f>
        <v>0.48500000000000032</v>
      </c>
      <c r="CQ345" s="271">
        <f>IF(AND(Tech_Specs!$E9="step",Standards_Active!$E10="yes"),IF(CQ$343&lt;Standards_Active!$C10,TREND(Perform_Active!$S10:$T10,Perform_Active!$S$8:$T$8,CQ$343),IF(ISNUMBER(Standards_Active!$M10),IF(AND(CQ$343&gt;=Standards_Active!$C10,CQ$343&lt;Standards_Active!$D10),(Standards_Active!$M10-INDEX($CJ345:$DI345,1,MATCH((Standards_Active!$C10-1),$CJ$343:$DI$343,FALSE)))/(Standards_Active!$D10-(Standards_Active!$C10-1))+CP345,Standards_Active!$M10*((1+Standards_Active!$O10)^(CQ$343-Standards_Active!$D10))),TREND(Perform_Active!$S10:$T10,Perform_Active!$S$8:$T$8,CQ$343))),)</f>
        <v>0.48249999999999993</v>
      </c>
      <c r="CR345" s="271">
        <f>IF(AND(Tech_Specs!$E9="step",Standards_Active!$E10="yes"),IF(CR$343&lt;Standards_Active!$C10,TREND(Perform_Active!$S10:$T10,Perform_Active!$S$8:$T$8,CR$343),IF(ISNUMBER(Standards_Active!$M10),IF(AND(CR$343&gt;=Standards_Active!$C10,CR$343&lt;Standards_Active!$D10),(Standards_Active!$M10-INDEX($CJ345:$DI345,1,MATCH((Standards_Active!$C10-1),$CJ$343:$DI$343,FALSE)))/(Standards_Active!$D10-(Standards_Active!$C10-1))+CQ345,Standards_Active!$M10*((1+Standards_Active!$O10)^(CR$343-Standards_Active!$D10))),TREND(Perform_Active!$S10:$T10,Perform_Active!$S$8:$T$8,CR$343))),)</f>
        <v>0.48000000000000043</v>
      </c>
      <c r="CS345" s="271">
        <f>IF(AND(Tech_Specs!$E9="step",Standards_Active!$E10="yes"),IF(CS$343&lt;Standards_Active!$C10,TREND(Perform_Active!$S10:$T10,Perform_Active!$S$8:$T$8,CS$343),IF(ISNUMBER(Standards_Active!$M10),IF(AND(CS$343&gt;=Standards_Active!$C10,CS$343&lt;Standards_Active!$D10),(Standards_Active!$M10-INDEX($CJ345:$DI345,1,MATCH((Standards_Active!$C10-1),$CJ$343:$DI$343,FALSE)))/(Standards_Active!$D10-(Standards_Active!$C10-1))+CR345,Standards_Active!$M10*((1+Standards_Active!$O10)^(CS$343-Standards_Active!$D10))),TREND(Perform_Active!$S10:$T10,Perform_Active!$S$8:$T$8,CS$343))),)</f>
        <v>0.47750000000000004</v>
      </c>
      <c r="CT345" s="271">
        <f>IF(AND(Tech_Specs!$E9="step",Standards_Active!$E10="yes"),IF(CT$343&lt;Standards_Active!$C10,TREND(Perform_Active!$S10:$T10,Perform_Active!$S$8:$T$8,CT$343),IF(ISNUMBER(Standards_Active!$M10),IF(AND(CT$343&gt;=Standards_Active!$C10,CT$343&lt;Standards_Active!$D10),(Standards_Active!$M10-INDEX($CJ345:$DI345,1,MATCH((Standards_Active!$C10-1),$CJ$343:$DI$343,FALSE)))/(Standards_Active!$D10-(Standards_Active!$C10-1))+CS345,Standards_Active!$M10*((1+Standards_Active!$O10)^(CT$343-Standards_Active!$D10))),TREND(Perform_Active!$S10:$T10,Perform_Active!$S$8:$T$8,CT$343))),)</f>
        <v>0.47500000000000053</v>
      </c>
      <c r="CU345" s="271">
        <f>IF(AND(Tech_Specs!$E9="step",Standards_Active!$E10="yes"),IF(CU$343&lt;Standards_Active!$C10,TREND(Perform_Active!$S10:$T10,Perform_Active!$S$8:$T$8,CU$343),IF(ISNUMBER(Standards_Active!$M10),IF(AND(CU$343&gt;=Standards_Active!$C10,CU$343&lt;Standards_Active!$D10),(Standards_Active!$M10-INDEX($CJ345:$DI345,1,MATCH((Standards_Active!$C10-1),$CJ$343:$DI$343,FALSE)))/(Standards_Active!$D10-(Standards_Active!$C10-1))+CT345,Standards_Active!$M10*((1+Standards_Active!$O10)^(CU$343-Standards_Active!$D10))),TREND(Perform_Active!$S10:$T10,Perform_Active!$S$8:$T$8,CU$343))),)</f>
        <v>0.47250000000000014</v>
      </c>
      <c r="CV345" s="271">
        <f>IF(AND(Tech_Specs!$E9="step",Standards_Active!$E10="yes"),IF(CV$343&lt;Standards_Active!$C10,TREND(Perform_Active!$S10:$T10,Perform_Active!$S$8:$T$8,CV$343),IF(ISNUMBER(Standards_Active!$M10),IF(AND(CV$343&gt;=Standards_Active!$C10,CV$343&lt;Standards_Active!$D10),(Standards_Active!$M10-INDEX($CJ345:$DI345,1,MATCH((Standards_Active!$C10-1),$CJ$343:$DI$343,FALSE)))/(Standards_Active!$D10-(Standards_Active!$C10-1))+CU345,Standards_Active!$M10*((1+Standards_Active!$O10)^(CV$343-Standards_Active!$D10))),TREND(Perform_Active!$S10:$T10,Perform_Active!$S$8:$T$8,CV$343))),)</f>
        <v>0.47000000000000064</v>
      </c>
      <c r="CW345" s="271">
        <f>IF(AND(Tech_Specs!$E9="step",Standards_Active!$E10="yes"),IF(CW$343&lt;Standards_Active!$C10,TREND(Perform_Active!$S10:$T10,Perform_Active!$S$8:$T$8,CW$343),IF(ISNUMBER(Standards_Active!$M10),IF(AND(CW$343&gt;=Standards_Active!$C10,CW$343&lt;Standards_Active!$D10),(Standards_Active!$M10-INDEX($CJ345:$DI345,1,MATCH((Standards_Active!$C10-1),$CJ$343:$DI$343,FALSE)))/(Standards_Active!$D10-(Standards_Active!$C10-1))+CV345,Standards_Active!$M10*((1+Standards_Active!$O10)^(CW$343-Standards_Active!$D10))),TREND(Perform_Active!$S10:$T10,Perform_Active!$S$8:$T$8,CW$343))),)</f>
        <v>0.46750000000000025</v>
      </c>
      <c r="CX345" s="271">
        <f>IF(AND(Tech_Specs!$E9="step",Standards_Active!$E10="yes"),IF(CX$343&lt;Standards_Active!$C10,TREND(Perform_Active!$S10:$T10,Perform_Active!$S$8:$T$8,CX$343),IF(ISNUMBER(Standards_Active!$M10),IF(AND(CX$343&gt;=Standards_Active!$C10,CX$343&lt;Standards_Active!$D10),(Standards_Active!$M10-INDEX($CJ345:$DI345,1,MATCH((Standards_Active!$C10-1),$CJ$343:$DI$343,FALSE)))/(Standards_Active!$D10-(Standards_Active!$C10-1))+CW345,Standards_Active!$M10*((1+Standards_Active!$O10)^(CX$343-Standards_Active!$D10))),TREND(Perform_Active!$S10:$T10,Perform_Active!$S$8:$T$8,CX$343))),)</f>
        <v>0.46499999999999986</v>
      </c>
      <c r="CY345" s="271">
        <f>IF(AND(Tech_Specs!$E9="step",Standards_Active!$E10="yes"),IF(CY$343&lt;Standards_Active!$C10,TREND(Perform_Active!$S10:$T10,Perform_Active!$S$8:$T$8,CY$343),IF(ISNUMBER(Standards_Active!$M10),IF(AND(CY$343&gt;=Standards_Active!$C10,CY$343&lt;Standards_Active!$D10),(Standards_Active!$M10-INDEX($CJ345:$DI345,1,MATCH((Standards_Active!$C10-1),$CJ$343:$DI$343,FALSE)))/(Standards_Active!$D10-(Standards_Active!$C10-1))+CX345,Standards_Active!$M10*((1+Standards_Active!$O10)^(CY$343-Standards_Active!$D10))),TREND(Perform_Active!$S10:$T10,Perform_Active!$S$8:$T$8,CY$343))),)</f>
        <v>0.46250000000000036</v>
      </c>
      <c r="CZ345" s="271">
        <f>IF(AND(Tech_Specs!$E9="step",Standards_Active!$E10="yes"),IF(CZ$343&lt;Standards_Active!$C10,TREND(Perform_Active!$S10:$T10,Perform_Active!$S$8:$T$8,CZ$343),IF(ISNUMBER(Standards_Active!$M10),IF(AND(CZ$343&gt;=Standards_Active!$C10,CZ$343&lt;Standards_Active!$D10),(Standards_Active!$M10-INDEX($CJ345:$DI345,1,MATCH((Standards_Active!$C10-1),$CJ$343:$DI$343,FALSE)))/(Standards_Active!$D10-(Standards_Active!$C10-1))+CY345,Standards_Active!$M10*((1+Standards_Active!$O10)^(CZ$343-Standards_Active!$D10))),TREND(Perform_Active!$S10:$T10,Perform_Active!$S$8:$T$8,CZ$343))),)</f>
        <v>0.45999999999999996</v>
      </c>
      <c r="DA345" s="271">
        <f>IF(AND(Tech_Specs!$E9="step",Standards_Active!$E10="yes"),IF(DA$343&lt;Standards_Active!$C10,TREND(Perform_Active!$S10:$T10,Perform_Active!$S$8:$T$8,DA$343),IF(ISNUMBER(Standards_Active!$M10),IF(AND(DA$343&gt;=Standards_Active!$C10,DA$343&lt;Standards_Active!$D10),(Standards_Active!$M10-INDEX($CJ345:$DI345,1,MATCH((Standards_Active!$C10-1),$CJ$343:$DI$343,FALSE)))/(Standards_Active!$D10-(Standards_Active!$C10-1))+CZ345,Standards_Active!$M10*((1+Standards_Active!$O10)^(DA$343-Standards_Active!$D10))),TREND(Perform_Active!$S10:$T10,Perform_Active!$S$8:$T$8,DA$343))),)</f>
        <v>0.45750000000000046</v>
      </c>
      <c r="DB345" s="271">
        <f>IF(AND(Tech_Specs!$E9="step",Standards_Active!$E10="yes"),IF(DB$343&lt;Standards_Active!$C10,TREND(Perform_Active!$S10:$T10,Perform_Active!$S$8:$T$8,DB$343),IF(ISNUMBER(Standards_Active!$M10),IF(AND(DB$343&gt;=Standards_Active!$C10,DB$343&lt;Standards_Active!$D10),(Standards_Active!$M10-INDEX($CJ345:$DI345,1,MATCH((Standards_Active!$C10-1),$CJ$343:$DI$343,FALSE)))/(Standards_Active!$D10-(Standards_Active!$C10-1))+DA345,Standards_Active!$M10*((1+Standards_Active!$O10)^(DB$343-Standards_Active!$D10))),TREND(Perform_Active!$S10:$T10,Perform_Active!$S$8:$T$8,DB$343))),)</f>
        <v>0.45500000000000007</v>
      </c>
      <c r="DC345" s="271">
        <f>IF(AND(Tech_Specs!$E9="step",Standards_Active!$E10="yes"),IF(DC$343&lt;Standards_Active!$C10,TREND(Perform_Active!$S10:$T10,Perform_Active!$S$8:$T$8,DC$343),IF(ISNUMBER(Standards_Active!$M10),IF(AND(DC$343&gt;=Standards_Active!$C10,DC$343&lt;Standards_Active!$D10),(Standards_Active!$M10-INDEX($CJ345:$DI345,1,MATCH((Standards_Active!$C10-1),$CJ$343:$DI$343,FALSE)))/(Standards_Active!$D10-(Standards_Active!$C10-1))+DB345,Standards_Active!$M10*((1+Standards_Active!$O10)^(DC$343-Standards_Active!$D10))),TREND(Perform_Active!$S10:$T10,Perform_Active!$S$8:$T$8,DC$343))),)</f>
        <v>0.45250000000000057</v>
      </c>
      <c r="DD345" s="271">
        <f>IF(AND(Tech_Specs!$E9="step",Standards_Active!$E10="yes"),IF(DD$343&lt;Standards_Active!$C10,TREND(Perform_Active!$S10:$T10,Perform_Active!$S$8:$T$8,DD$343),IF(ISNUMBER(Standards_Active!$M10),IF(AND(DD$343&gt;=Standards_Active!$C10,DD$343&lt;Standards_Active!$D10),(Standards_Active!$M10-INDEX($CJ345:$DI345,1,MATCH((Standards_Active!$C10-1),$CJ$343:$DI$343,FALSE)))/(Standards_Active!$D10-(Standards_Active!$C10-1))+DC345,Standards_Active!$M10*((1+Standards_Active!$O10)^(DD$343-Standards_Active!$D10))),TREND(Perform_Active!$S10:$T10,Perform_Active!$S$8:$T$8,DD$343))),)</f>
        <v>0.45000000000000018</v>
      </c>
      <c r="DE345" s="271">
        <f>IF(AND(Tech_Specs!$E9="step",Standards_Active!$E10="yes"),IF(DE$343&lt;Standards_Active!$C10,TREND(Perform_Active!$S10:$T10,Perform_Active!$S$8:$T$8,DE$343),IF(ISNUMBER(Standards_Active!$M10),IF(AND(DE$343&gt;=Standards_Active!$C10,DE$343&lt;Standards_Active!$D10),(Standards_Active!$M10-INDEX($CJ345:$DI345,1,MATCH((Standards_Active!$C10-1),$CJ$343:$DI$343,FALSE)))/(Standards_Active!$D10-(Standards_Active!$C10-1))+DD345,Standards_Active!$M10*((1+Standards_Active!$O10)^(DE$343-Standards_Active!$D10))),TREND(Perform_Active!$S10:$T10,Perform_Active!$S$8:$T$8,DE$343))),)</f>
        <v>0.44750000000000068</v>
      </c>
      <c r="DF345" s="271">
        <f>IF(AND(Tech_Specs!$E9="step",Standards_Active!$E10="yes"),IF(DF$343&lt;Standards_Active!$C10,TREND(Perform_Active!$S10:$T10,Perform_Active!$S$8:$T$8,DF$343),IF(ISNUMBER(Standards_Active!$M10),IF(AND(DF$343&gt;=Standards_Active!$C10,DF$343&lt;Standards_Active!$D10),(Standards_Active!$M10-INDEX($CJ345:$DI345,1,MATCH((Standards_Active!$C10-1),$CJ$343:$DI$343,FALSE)))/(Standards_Active!$D10-(Standards_Active!$C10-1))+DE345,Standards_Active!$M10*((1+Standards_Active!$O10)^(DF$343-Standards_Active!$D10))),TREND(Perform_Active!$S10:$T10,Perform_Active!$S$8:$T$8,DF$343))),)</f>
        <v>0.44500000000000028</v>
      </c>
      <c r="DG345" s="271">
        <f>IF(AND(Tech_Specs!$E9="step",Standards_Active!$E10="yes"),IF(DG$343&lt;Standards_Active!$C10,TREND(Perform_Active!$S10:$T10,Perform_Active!$S$8:$T$8,DG$343),IF(ISNUMBER(Standards_Active!$M10),IF(AND(DG$343&gt;=Standards_Active!$C10,DG$343&lt;Standards_Active!$D10),(Standards_Active!$M10-INDEX($CJ345:$DI345,1,MATCH((Standards_Active!$C10-1),$CJ$343:$DI$343,FALSE)))/(Standards_Active!$D10-(Standards_Active!$C10-1))+DF345,Standards_Active!$M10*((1+Standards_Active!$O10)^(DG$343-Standards_Active!$D10))),TREND(Perform_Active!$S10:$T10,Perform_Active!$S$8:$T$8,DG$343))),)</f>
        <v>0.44249999999999989</v>
      </c>
      <c r="DH345" s="271">
        <f>IF(AND(Tech_Specs!$E9="step",Standards_Active!$E10="yes"),IF(DH$343&lt;Standards_Active!$C10,TREND(Perform_Active!$S10:$T10,Perform_Active!$S$8:$T$8,DH$343),IF(ISNUMBER(Standards_Active!$M10),IF(AND(DH$343&gt;=Standards_Active!$C10,DH$343&lt;Standards_Active!$D10),(Standards_Active!$M10-INDEX($CJ345:$DI345,1,MATCH((Standards_Active!$C10-1),$CJ$343:$DI$343,FALSE)))/(Standards_Active!$D10-(Standards_Active!$C10-1))+DG345,Standards_Active!$M10*((1+Standards_Active!$O10)^(DH$343-Standards_Active!$D10))),TREND(Perform_Active!$S10:$T10,Perform_Active!$S$8:$T$8,DH$343))),)</f>
        <v>0.44000000000000039</v>
      </c>
      <c r="DI345" s="271">
        <f>IF(AND(Tech_Specs!$E9="step",Standards_Active!$E10="yes"),IF(DI$343&lt;Standards_Active!$C10,TREND(Perform_Active!$S10:$T10,Perform_Active!$S$8:$T$8,DI$343),IF(ISNUMBER(Standards_Active!$M10),IF(AND(DI$343&gt;=Standards_Active!$C10,DI$343&lt;Standards_Active!$D10),(Standards_Active!$M10-INDEX($CJ345:$DI345,1,MATCH((Standards_Active!$C10-1),$CJ$343:$DI$343,FALSE)))/(Standards_Active!$D10-(Standards_Active!$C10-1))+DH345,Standards_Active!$M10*((1+Standards_Active!$O10)^(DI$343-Standards_Active!$D10))),TREND(Perform_Active!$S10:$T10,Perform_Active!$S$8:$T$8,DI$343))),)</f>
        <v>0.4375</v>
      </c>
    </row>
    <row r="346" spans="1:113" s="302" customFormat="1" ht="12.75" x14ac:dyDescent="0.2">
      <c r="B346" s="302" t="s">
        <v>26</v>
      </c>
      <c r="D346" s="550"/>
      <c r="E346" s="550"/>
      <c r="F346" s="550"/>
      <c r="G346" s="272">
        <f t="shared" si="51"/>
        <v>1.9000000000000021</v>
      </c>
      <c r="H346" s="272">
        <f t="shared" si="51"/>
        <v>1.890500000000003</v>
      </c>
      <c r="I346" s="272">
        <f t="shared" si="51"/>
        <v>1.8810000000000002</v>
      </c>
      <c r="J346" s="272">
        <f t="shared" si="51"/>
        <v>1.8715000000000011</v>
      </c>
      <c r="K346" s="272">
        <f t="shared" si="51"/>
        <v>1.8620000000000019</v>
      </c>
      <c r="L346" s="272">
        <f t="shared" si="51"/>
        <v>1.8525000000000027</v>
      </c>
      <c r="M346" s="272">
        <f t="shared" si="51"/>
        <v>1.843</v>
      </c>
      <c r="N346" s="272">
        <f t="shared" si="51"/>
        <v>1.8335000000000008</v>
      </c>
      <c r="O346" s="272">
        <f t="shared" si="51"/>
        <v>1.8240000000000016</v>
      </c>
      <c r="P346" s="272">
        <f t="shared" si="51"/>
        <v>1.8145000000000024</v>
      </c>
      <c r="Q346" s="272">
        <f t="shared" si="52"/>
        <v>1.8050000000000033</v>
      </c>
      <c r="R346" s="272">
        <f t="shared" si="52"/>
        <v>1.7955000000000005</v>
      </c>
      <c r="S346" s="272">
        <f t="shared" si="52"/>
        <v>1.7860000000000014</v>
      </c>
      <c r="T346" s="272">
        <f t="shared" si="52"/>
        <v>1.7765000000000022</v>
      </c>
      <c r="U346" s="272">
        <f t="shared" si="52"/>
        <v>1.767000000000003</v>
      </c>
      <c r="V346" s="272">
        <f t="shared" si="52"/>
        <v>1.7575000000000003</v>
      </c>
      <c r="W346" s="272">
        <f t="shared" si="52"/>
        <v>1.7480000000000011</v>
      </c>
      <c r="X346" s="272">
        <f t="shared" si="52"/>
        <v>1.7385000000000019</v>
      </c>
      <c r="Y346" s="272">
        <f t="shared" si="52"/>
        <v>1.7290000000000028</v>
      </c>
      <c r="Z346" s="272">
        <f t="shared" si="52"/>
        <v>1.7195</v>
      </c>
      <c r="AA346" s="272">
        <f t="shared" si="53"/>
        <v>1.7100000000000009</v>
      </c>
      <c r="AB346" s="272">
        <f t="shared" si="53"/>
        <v>1.7005000000000017</v>
      </c>
      <c r="AC346" s="272">
        <f t="shared" si="53"/>
        <v>1.6910000000000025</v>
      </c>
      <c r="AD346" s="272">
        <f t="shared" si="53"/>
        <v>1.6814999999999998</v>
      </c>
      <c r="AE346" s="272">
        <f t="shared" si="53"/>
        <v>1.6720000000000006</v>
      </c>
      <c r="AF346" s="272">
        <f t="shared" si="53"/>
        <v>1.6625000000000014</v>
      </c>
      <c r="AH346" s="271">
        <f>IF(Tech_Specs!$E10="linear",TREND(Perform_Active!$S11:$T11,Perform_Active!$S$8:$T$8,AH$343),)</f>
        <v>1.9000000000000021</v>
      </c>
      <c r="AI346" s="271">
        <f>IF(Tech_Specs!$E10="linear",TREND(Perform_Active!$S11:$T11,Perform_Active!$S$8:$T$8,AI$343),)</f>
        <v>1.890500000000003</v>
      </c>
      <c r="AJ346" s="271">
        <f>IF(Tech_Specs!$E10="linear",TREND(Perform_Active!$S11:$T11,Perform_Active!$S$8:$T$8,AJ$343),)</f>
        <v>1.8810000000000002</v>
      </c>
      <c r="AK346" s="271">
        <f>IF(Tech_Specs!$E10="linear",TREND(Perform_Active!$S11:$T11,Perform_Active!$S$8:$T$8,AK$343),)</f>
        <v>1.8715000000000011</v>
      </c>
      <c r="AL346" s="271">
        <f>IF(Tech_Specs!$E10="linear",TREND(Perform_Active!$S11:$T11,Perform_Active!$S$8:$T$8,AL$343),)</f>
        <v>1.8620000000000019</v>
      </c>
      <c r="AM346" s="271">
        <f>IF(Tech_Specs!$E10="linear",TREND(Perform_Active!$S11:$T11,Perform_Active!$S$8:$T$8,AM$343),)</f>
        <v>1.8525000000000027</v>
      </c>
      <c r="AN346" s="271">
        <f>IF(Tech_Specs!$E10="linear",TREND(Perform_Active!$S11:$T11,Perform_Active!$S$8:$T$8,AN$343),)</f>
        <v>1.843</v>
      </c>
      <c r="AO346" s="271">
        <f>IF(Tech_Specs!$E10="linear",TREND(Perform_Active!$S11:$T11,Perform_Active!$S$8:$T$8,AO$343),)</f>
        <v>1.8335000000000008</v>
      </c>
      <c r="AP346" s="271">
        <f>IF(Tech_Specs!$E10="linear",TREND(Perform_Active!$S11:$T11,Perform_Active!$S$8:$T$8,AP$343),)</f>
        <v>1.8240000000000016</v>
      </c>
      <c r="AQ346" s="271">
        <f>IF(Tech_Specs!$E10="linear",TREND(Perform_Active!$S11:$T11,Perform_Active!$S$8:$T$8,AQ$343),)</f>
        <v>1.8145000000000024</v>
      </c>
      <c r="AR346" s="271">
        <f>IF(Tech_Specs!$E10="linear",TREND(Perform_Active!$S11:$T11,Perform_Active!$S$8:$T$8,AR$343),)</f>
        <v>1.8050000000000033</v>
      </c>
      <c r="AS346" s="271">
        <f>IF(Tech_Specs!$E10="linear",TREND(Perform_Active!$S11:$T11,Perform_Active!$S$8:$T$8,AS$343),)</f>
        <v>1.7955000000000005</v>
      </c>
      <c r="AT346" s="271">
        <f>IF(Tech_Specs!$E10="linear",TREND(Perform_Active!$S11:$T11,Perform_Active!$S$8:$T$8,AT$343),)</f>
        <v>1.7860000000000014</v>
      </c>
      <c r="AU346" s="271">
        <f>IF(Tech_Specs!$E10="linear",TREND(Perform_Active!$S11:$T11,Perform_Active!$S$8:$T$8,AU$343),)</f>
        <v>1.7765000000000022</v>
      </c>
      <c r="AV346" s="271">
        <f>IF(Tech_Specs!$E10="linear",TREND(Perform_Active!$S11:$T11,Perform_Active!$S$8:$T$8,AV$343),)</f>
        <v>1.767000000000003</v>
      </c>
      <c r="AW346" s="271">
        <f>IF(Tech_Specs!$E10="linear",TREND(Perform_Active!$S11:$T11,Perform_Active!$S$8:$T$8,AW$343),)</f>
        <v>1.7575000000000003</v>
      </c>
      <c r="AX346" s="271">
        <f>IF(Tech_Specs!$E10="linear",TREND(Perform_Active!$S11:$T11,Perform_Active!$S$8:$T$8,AX$343),)</f>
        <v>1.7480000000000011</v>
      </c>
      <c r="AY346" s="271">
        <f>IF(Tech_Specs!$E10="linear",TREND(Perform_Active!$S11:$T11,Perform_Active!$S$8:$T$8,AY$343),)</f>
        <v>1.7385000000000019</v>
      </c>
      <c r="AZ346" s="271">
        <f>IF(Tech_Specs!$E10="linear",TREND(Perform_Active!$S11:$T11,Perform_Active!$S$8:$T$8,AZ$343),)</f>
        <v>1.7290000000000028</v>
      </c>
      <c r="BA346" s="271">
        <f>IF(Tech_Specs!$E10="linear",TREND(Perform_Active!$S11:$T11,Perform_Active!$S$8:$T$8,BA$343),)</f>
        <v>1.7195</v>
      </c>
      <c r="BB346" s="271">
        <f>IF(Tech_Specs!$E10="linear",TREND(Perform_Active!$S11:$T11,Perform_Active!$S$8:$T$8,BB$343),)</f>
        <v>1.7100000000000009</v>
      </c>
      <c r="BC346" s="271">
        <f>IF(Tech_Specs!$E10="linear",TREND(Perform_Active!$S11:$T11,Perform_Active!$S$8:$T$8,BC$343),)</f>
        <v>1.7005000000000017</v>
      </c>
      <c r="BD346" s="271">
        <f>IF(Tech_Specs!$E10="linear",TREND(Perform_Active!$S11:$T11,Perform_Active!$S$8:$T$8,BD$343),)</f>
        <v>1.6910000000000025</v>
      </c>
      <c r="BE346" s="271">
        <f>IF(Tech_Specs!$E10="linear",TREND(Perform_Active!$S11:$T11,Perform_Active!$S$8:$T$8,BE$343),)</f>
        <v>1.6814999999999998</v>
      </c>
      <c r="BF346" s="271">
        <f>IF(Tech_Specs!$E10="linear",TREND(Perform_Active!$S11:$T11,Perform_Active!$S$8:$T$8,BF$343),)</f>
        <v>1.6720000000000006</v>
      </c>
      <c r="BG346" s="271">
        <f>IF(Tech_Specs!$E10="linear",TREND(Perform_Active!$S11:$T11,Perform_Active!$S$8:$T$8,BG$343),)</f>
        <v>1.6625000000000014</v>
      </c>
      <c r="BI346" s="271">
        <f>IF(Tech_Specs!$E10="logistic",IF(Tech_Specs!$K10="lamp",Perform_SSL!G$14,Perform_SSL!G$15),)*Perform_Active!$I11/1000</f>
        <v>0</v>
      </c>
      <c r="BJ346" s="271">
        <f>IF(Tech_Specs!$E10="logistic",IF(Tech_Specs!$K10="lamp",Perform_SSL!H$14,Perform_SSL!H$15),)*Perform_Active!$I11/1000</f>
        <v>0</v>
      </c>
      <c r="BK346" s="271">
        <f>IF(Tech_Specs!$E10="logistic",IF(Tech_Specs!$K10="lamp",Perform_SSL!I$14,Perform_SSL!I$15),)*Perform_Active!$I11/1000</f>
        <v>0</v>
      </c>
      <c r="BL346" s="271">
        <f>IF(Tech_Specs!$E10="logistic",IF(Tech_Specs!$K10="lamp",Perform_SSL!J$14,Perform_SSL!J$15),)*Perform_Active!$I11/1000</f>
        <v>0</v>
      </c>
      <c r="BM346" s="271">
        <f>IF(Tech_Specs!$E10="logistic",IF(Tech_Specs!$K10="lamp",Perform_SSL!K$14,Perform_SSL!K$15),)*Perform_Active!$I11/1000</f>
        <v>0</v>
      </c>
      <c r="BN346" s="271">
        <f>IF(Tech_Specs!$E10="logistic",IF(Tech_Specs!$K10="lamp",Perform_SSL!L$14,Perform_SSL!L$15),)*Perform_Active!$I11/1000</f>
        <v>0</v>
      </c>
      <c r="BO346" s="271">
        <f>IF(Tech_Specs!$E10="logistic",IF(Tech_Specs!$K10="lamp",Perform_SSL!M$14,Perform_SSL!M$15),)*Perform_Active!$I11/1000</f>
        <v>0</v>
      </c>
      <c r="BP346" s="271">
        <f>IF(Tech_Specs!$E10="logistic",IF(Tech_Specs!$K10="lamp",Perform_SSL!N$14,Perform_SSL!N$15),)*Perform_Active!$I11/1000</f>
        <v>0</v>
      </c>
      <c r="BQ346" s="271">
        <f>IF(Tech_Specs!$E10="logistic",IF(Tech_Specs!$K10="lamp",Perform_SSL!O$14,Perform_SSL!O$15),)*Perform_Active!$I11/1000</f>
        <v>0</v>
      </c>
      <c r="BR346" s="271">
        <f>IF(Tech_Specs!$E10="logistic",IF(Tech_Specs!$K10="lamp",Perform_SSL!P$14,Perform_SSL!P$15),)*Perform_Active!$I11/1000</f>
        <v>0</v>
      </c>
      <c r="BS346" s="271">
        <f>IF(Tech_Specs!$E10="logistic",IF(Tech_Specs!$K10="lamp",Perform_SSL!Q$14,Perform_SSL!Q$15),)*Perform_Active!$I11/1000</f>
        <v>0</v>
      </c>
      <c r="BT346" s="271">
        <f>IF(Tech_Specs!$E10="logistic",IF(Tech_Specs!$K10="lamp",Perform_SSL!R$14,Perform_SSL!R$15),)*Perform_Active!$I11/1000</f>
        <v>0</v>
      </c>
      <c r="BU346" s="271">
        <f>IF(Tech_Specs!$E10="logistic",IF(Tech_Specs!$K10="lamp",Perform_SSL!S$14,Perform_SSL!S$15),)*Perform_Active!$I11/1000</f>
        <v>0</v>
      </c>
      <c r="BV346" s="271">
        <f>IF(Tech_Specs!$E10="logistic",IF(Tech_Specs!$K10="lamp",Perform_SSL!T$14,Perform_SSL!T$15),)*Perform_Active!$I11/1000</f>
        <v>0</v>
      </c>
      <c r="BW346" s="271">
        <f>IF(Tech_Specs!$E10="logistic",IF(Tech_Specs!$K10="lamp",Perform_SSL!U$14,Perform_SSL!U$15),)*Perform_Active!$I11/1000</f>
        <v>0</v>
      </c>
      <c r="BX346" s="271">
        <f>IF(Tech_Specs!$E10="logistic",IF(Tech_Specs!$K10="lamp",Perform_SSL!V$14,Perform_SSL!V$15),)*Perform_Active!$I11/1000</f>
        <v>0</v>
      </c>
      <c r="BY346" s="271">
        <f>IF(Tech_Specs!$E10="logistic",IF(Tech_Specs!$K10="lamp",Perform_SSL!W$14,Perform_SSL!W$15),)*Perform_Active!$I11/1000</f>
        <v>0</v>
      </c>
      <c r="BZ346" s="271">
        <f>IF(Tech_Specs!$E10="logistic",IF(Tech_Specs!$K10="lamp",Perform_SSL!X$14,Perform_SSL!X$15),)*Perform_Active!$I11/1000</f>
        <v>0</v>
      </c>
      <c r="CA346" s="271">
        <f>IF(Tech_Specs!$E10="logistic",IF(Tech_Specs!$K10="lamp",Perform_SSL!Y$14,Perform_SSL!Y$15),)*Perform_Active!$I11/1000</f>
        <v>0</v>
      </c>
      <c r="CB346" s="271">
        <f>IF(Tech_Specs!$E10="logistic",IF(Tech_Specs!$K10="lamp",Perform_SSL!Z$14,Perform_SSL!Z$15),)*Perform_Active!$I11/1000</f>
        <v>0</v>
      </c>
      <c r="CC346" s="271">
        <f>IF(Tech_Specs!$E10="logistic",IF(Tech_Specs!$K10="lamp",Perform_SSL!AA$14,Perform_SSL!AA$15),)*Perform_Active!$I11/1000</f>
        <v>0</v>
      </c>
      <c r="CD346" s="271">
        <f>IF(Tech_Specs!$E10="logistic",IF(Tech_Specs!$K10="lamp",Perform_SSL!AB$14,Perform_SSL!AB$15),)*Perform_Active!$I11/1000</f>
        <v>0</v>
      </c>
      <c r="CE346" s="271">
        <f>IF(Tech_Specs!$E10="logistic",IF(Tech_Specs!$K10="lamp",Perform_SSL!AC$14,Perform_SSL!AC$15),)*Perform_Active!$I11/1000</f>
        <v>0</v>
      </c>
      <c r="CF346" s="271">
        <f>IF(Tech_Specs!$E10="logistic",IF(Tech_Specs!$K10="lamp",Perform_SSL!AD$14,Perform_SSL!AD$15),)*Perform_Active!$I11/1000</f>
        <v>0</v>
      </c>
      <c r="CG346" s="271">
        <f>IF(Tech_Specs!$E10="logistic",IF(Tech_Specs!$K10="lamp",Perform_SSL!AE$14,Perform_SSL!AE$15),)*Perform_Active!$I11/1000</f>
        <v>0</v>
      </c>
      <c r="CH346" s="271">
        <f>IF(Tech_Specs!$E10="logistic",IF(Tech_Specs!$K10="lamp",Perform_SSL!AF$14,Perform_SSL!AF$15),)*Perform_Active!$I11/1000</f>
        <v>0</v>
      </c>
      <c r="CJ346" s="271">
        <f>IF(AND(Tech_Specs!$E10="step",Standards_Active!$E11="yes"),IF(CJ$343&lt;Standards_Active!$C11,TREND(Perform_Active!$S11:$T11,Perform_Active!$S$8:$T$8,CJ$343),IF(ISNUMBER(Standards_Active!$M11),IF(AND(CJ$343&gt;=Standards_Active!$C11,CJ$343&lt;Standards_Active!$D11),(Standards_Active!$M11-INDEX($CJ346:$DI346,1,MATCH((Standards_Active!$C11-1),$CJ$343:$DI$343,FALSE)))/(Standards_Active!$D11-(Standards_Active!$C11-1))+CI346,Standards_Active!$M11*((1+Standards_Active!$O11)^(CJ$343-Standards_Active!$D11))),TREND(Perform_Active!$S11:$T11,Perform_Active!$S$8:$T$8,CJ$343))),)</f>
        <v>0</v>
      </c>
      <c r="CK346" s="271">
        <f>IF(AND(Tech_Specs!$E10="step",Standards_Active!$E11="yes"),IF(CK$343&lt;Standards_Active!$C11,TREND(Perform_Active!$S11:$T11,Perform_Active!$S$8:$T$8,CK$343),IF(ISNUMBER(Standards_Active!$M11),IF(AND(CK$343&gt;=Standards_Active!$C11,CK$343&lt;Standards_Active!$D11),(Standards_Active!$M11-INDEX($CJ346:$DI346,1,MATCH((Standards_Active!$C11-1),$CJ$343:$DI$343,FALSE)))/(Standards_Active!$D11-(Standards_Active!$C11-1))+CJ346,Standards_Active!$M11*((1+Standards_Active!$O11)^(CK$343-Standards_Active!$D11))),TREND(Perform_Active!$S11:$T11,Perform_Active!$S$8:$T$8,CK$343))),)</f>
        <v>0</v>
      </c>
      <c r="CL346" s="271">
        <f>IF(AND(Tech_Specs!$E10="step",Standards_Active!$E11="yes"),IF(CL$343&lt;Standards_Active!$C11,TREND(Perform_Active!$S11:$T11,Perform_Active!$S$8:$T$8,CL$343),IF(ISNUMBER(Standards_Active!$M11),IF(AND(CL$343&gt;=Standards_Active!$C11,CL$343&lt;Standards_Active!$D11),(Standards_Active!$M11-INDEX($CJ346:$DI346,1,MATCH((Standards_Active!$C11-1),$CJ$343:$DI$343,FALSE)))/(Standards_Active!$D11-(Standards_Active!$C11-1))+CK346,Standards_Active!$M11*((1+Standards_Active!$O11)^(CL$343-Standards_Active!$D11))),TREND(Perform_Active!$S11:$T11,Perform_Active!$S$8:$T$8,CL$343))),)</f>
        <v>0</v>
      </c>
      <c r="CM346" s="271">
        <f>IF(AND(Tech_Specs!$E10="step",Standards_Active!$E11="yes"),IF(CM$343&lt;Standards_Active!$C11,TREND(Perform_Active!$S11:$T11,Perform_Active!$S$8:$T$8,CM$343),IF(ISNUMBER(Standards_Active!$M11),IF(AND(CM$343&gt;=Standards_Active!$C11,CM$343&lt;Standards_Active!$D11),(Standards_Active!$M11-INDEX($CJ346:$DI346,1,MATCH((Standards_Active!$C11-1),$CJ$343:$DI$343,FALSE)))/(Standards_Active!$D11-(Standards_Active!$C11-1))+CL346,Standards_Active!$M11*((1+Standards_Active!$O11)^(CM$343-Standards_Active!$D11))),TREND(Perform_Active!$S11:$T11,Perform_Active!$S$8:$T$8,CM$343))),)</f>
        <v>0</v>
      </c>
      <c r="CN346" s="271">
        <f>IF(AND(Tech_Specs!$E10="step",Standards_Active!$E11="yes"),IF(CN$343&lt;Standards_Active!$C11,TREND(Perform_Active!$S11:$T11,Perform_Active!$S$8:$T$8,CN$343),IF(ISNUMBER(Standards_Active!$M11),IF(AND(CN$343&gt;=Standards_Active!$C11,CN$343&lt;Standards_Active!$D11),(Standards_Active!$M11-INDEX($CJ346:$DI346,1,MATCH((Standards_Active!$C11-1),$CJ$343:$DI$343,FALSE)))/(Standards_Active!$D11-(Standards_Active!$C11-1))+CM346,Standards_Active!$M11*((1+Standards_Active!$O11)^(CN$343-Standards_Active!$D11))),TREND(Perform_Active!$S11:$T11,Perform_Active!$S$8:$T$8,CN$343))),)</f>
        <v>0</v>
      </c>
      <c r="CO346" s="271">
        <f>IF(AND(Tech_Specs!$E10="step",Standards_Active!$E11="yes"),IF(CO$343&lt;Standards_Active!$C11,TREND(Perform_Active!$S11:$T11,Perform_Active!$S$8:$T$8,CO$343),IF(ISNUMBER(Standards_Active!$M11),IF(AND(CO$343&gt;=Standards_Active!$C11,CO$343&lt;Standards_Active!$D11),(Standards_Active!$M11-INDEX($CJ346:$DI346,1,MATCH((Standards_Active!$C11-1),$CJ$343:$DI$343,FALSE)))/(Standards_Active!$D11-(Standards_Active!$C11-1))+CN346,Standards_Active!$M11*((1+Standards_Active!$O11)^(CO$343-Standards_Active!$D11))),TREND(Perform_Active!$S11:$T11,Perform_Active!$S$8:$T$8,CO$343))),)</f>
        <v>0</v>
      </c>
      <c r="CP346" s="271">
        <f>IF(AND(Tech_Specs!$E10="step",Standards_Active!$E11="yes"),IF(CP$343&lt;Standards_Active!$C11,TREND(Perform_Active!$S11:$T11,Perform_Active!$S$8:$T$8,CP$343),IF(ISNUMBER(Standards_Active!$M11),IF(AND(CP$343&gt;=Standards_Active!$C11,CP$343&lt;Standards_Active!$D11),(Standards_Active!$M11-INDEX($CJ346:$DI346,1,MATCH((Standards_Active!$C11-1),$CJ$343:$DI$343,FALSE)))/(Standards_Active!$D11-(Standards_Active!$C11-1))+CO346,Standards_Active!$M11*((1+Standards_Active!$O11)^(CP$343-Standards_Active!$D11))),TREND(Perform_Active!$S11:$T11,Perform_Active!$S$8:$T$8,CP$343))),)</f>
        <v>0</v>
      </c>
      <c r="CQ346" s="271">
        <f>IF(AND(Tech_Specs!$E10="step",Standards_Active!$E11="yes"),IF(CQ$343&lt;Standards_Active!$C11,TREND(Perform_Active!$S11:$T11,Perform_Active!$S$8:$T$8,CQ$343),IF(ISNUMBER(Standards_Active!$M11),IF(AND(CQ$343&gt;=Standards_Active!$C11,CQ$343&lt;Standards_Active!$D11),(Standards_Active!$M11-INDEX($CJ346:$DI346,1,MATCH((Standards_Active!$C11-1),$CJ$343:$DI$343,FALSE)))/(Standards_Active!$D11-(Standards_Active!$C11-1))+CP346,Standards_Active!$M11*((1+Standards_Active!$O11)^(CQ$343-Standards_Active!$D11))),TREND(Perform_Active!$S11:$T11,Perform_Active!$S$8:$T$8,CQ$343))),)</f>
        <v>0</v>
      </c>
      <c r="CR346" s="271">
        <f>IF(AND(Tech_Specs!$E10="step",Standards_Active!$E11="yes"),IF(CR$343&lt;Standards_Active!$C11,TREND(Perform_Active!$S11:$T11,Perform_Active!$S$8:$T$8,CR$343),IF(ISNUMBER(Standards_Active!$M11),IF(AND(CR$343&gt;=Standards_Active!$C11,CR$343&lt;Standards_Active!$D11),(Standards_Active!$M11-INDEX($CJ346:$DI346,1,MATCH((Standards_Active!$C11-1),$CJ$343:$DI$343,FALSE)))/(Standards_Active!$D11-(Standards_Active!$C11-1))+CQ346,Standards_Active!$M11*((1+Standards_Active!$O11)^(CR$343-Standards_Active!$D11))),TREND(Perform_Active!$S11:$T11,Perform_Active!$S$8:$T$8,CR$343))),)</f>
        <v>0</v>
      </c>
      <c r="CS346" s="271">
        <f>IF(AND(Tech_Specs!$E10="step",Standards_Active!$E11="yes"),IF(CS$343&lt;Standards_Active!$C11,TREND(Perform_Active!$S11:$T11,Perform_Active!$S$8:$T$8,CS$343),IF(ISNUMBER(Standards_Active!$M11),IF(AND(CS$343&gt;=Standards_Active!$C11,CS$343&lt;Standards_Active!$D11),(Standards_Active!$M11-INDEX($CJ346:$DI346,1,MATCH((Standards_Active!$C11-1),$CJ$343:$DI$343,FALSE)))/(Standards_Active!$D11-(Standards_Active!$C11-1))+CR346,Standards_Active!$M11*((1+Standards_Active!$O11)^(CS$343-Standards_Active!$D11))),TREND(Perform_Active!$S11:$T11,Perform_Active!$S$8:$T$8,CS$343))),)</f>
        <v>0</v>
      </c>
      <c r="CT346" s="271">
        <f>IF(AND(Tech_Specs!$E10="step",Standards_Active!$E11="yes"),IF(CT$343&lt;Standards_Active!$C11,TREND(Perform_Active!$S11:$T11,Perform_Active!$S$8:$T$8,CT$343),IF(ISNUMBER(Standards_Active!$M11),IF(AND(CT$343&gt;=Standards_Active!$C11,CT$343&lt;Standards_Active!$D11),(Standards_Active!$M11-INDEX($CJ346:$DI346,1,MATCH((Standards_Active!$C11-1),$CJ$343:$DI$343,FALSE)))/(Standards_Active!$D11-(Standards_Active!$C11-1))+CS346,Standards_Active!$M11*((1+Standards_Active!$O11)^(CT$343-Standards_Active!$D11))),TREND(Perform_Active!$S11:$T11,Perform_Active!$S$8:$T$8,CT$343))),)</f>
        <v>0</v>
      </c>
      <c r="CU346" s="271">
        <f>IF(AND(Tech_Specs!$E10="step",Standards_Active!$E11="yes"),IF(CU$343&lt;Standards_Active!$C11,TREND(Perform_Active!$S11:$T11,Perform_Active!$S$8:$T$8,CU$343),IF(ISNUMBER(Standards_Active!$M11),IF(AND(CU$343&gt;=Standards_Active!$C11,CU$343&lt;Standards_Active!$D11),(Standards_Active!$M11-INDEX($CJ346:$DI346,1,MATCH((Standards_Active!$C11-1),$CJ$343:$DI$343,FALSE)))/(Standards_Active!$D11-(Standards_Active!$C11-1))+CT346,Standards_Active!$M11*((1+Standards_Active!$O11)^(CU$343-Standards_Active!$D11))),TREND(Perform_Active!$S11:$T11,Perform_Active!$S$8:$T$8,CU$343))),)</f>
        <v>0</v>
      </c>
      <c r="CV346" s="271">
        <f>IF(AND(Tech_Specs!$E10="step",Standards_Active!$E11="yes"),IF(CV$343&lt;Standards_Active!$C11,TREND(Perform_Active!$S11:$T11,Perform_Active!$S$8:$T$8,CV$343),IF(ISNUMBER(Standards_Active!$M11),IF(AND(CV$343&gt;=Standards_Active!$C11,CV$343&lt;Standards_Active!$D11),(Standards_Active!$M11-INDEX($CJ346:$DI346,1,MATCH((Standards_Active!$C11-1),$CJ$343:$DI$343,FALSE)))/(Standards_Active!$D11-(Standards_Active!$C11-1))+CU346,Standards_Active!$M11*((1+Standards_Active!$O11)^(CV$343-Standards_Active!$D11))),TREND(Perform_Active!$S11:$T11,Perform_Active!$S$8:$T$8,CV$343))),)</f>
        <v>0</v>
      </c>
      <c r="CW346" s="271">
        <f>IF(AND(Tech_Specs!$E10="step",Standards_Active!$E11="yes"),IF(CW$343&lt;Standards_Active!$C11,TREND(Perform_Active!$S11:$T11,Perform_Active!$S$8:$T$8,CW$343),IF(ISNUMBER(Standards_Active!$M11),IF(AND(CW$343&gt;=Standards_Active!$C11,CW$343&lt;Standards_Active!$D11),(Standards_Active!$M11-INDEX($CJ346:$DI346,1,MATCH((Standards_Active!$C11-1),$CJ$343:$DI$343,FALSE)))/(Standards_Active!$D11-(Standards_Active!$C11-1))+CV346,Standards_Active!$M11*((1+Standards_Active!$O11)^(CW$343-Standards_Active!$D11))),TREND(Perform_Active!$S11:$T11,Perform_Active!$S$8:$T$8,CW$343))),)</f>
        <v>0</v>
      </c>
      <c r="CX346" s="271">
        <f>IF(AND(Tech_Specs!$E10="step",Standards_Active!$E11="yes"),IF(CX$343&lt;Standards_Active!$C11,TREND(Perform_Active!$S11:$T11,Perform_Active!$S$8:$T$8,CX$343),IF(ISNUMBER(Standards_Active!$M11),IF(AND(CX$343&gt;=Standards_Active!$C11,CX$343&lt;Standards_Active!$D11),(Standards_Active!$M11-INDEX($CJ346:$DI346,1,MATCH((Standards_Active!$C11-1),$CJ$343:$DI$343,FALSE)))/(Standards_Active!$D11-(Standards_Active!$C11-1))+CW346,Standards_Active!$M11*((1+Standards_Active!$O11)^(CX$343-Standards_Active!$D11))),TREND(Perform_Active!$S11:$T11,Perform_Active!$S$8:$T$8,CX$343))),)</f>
        <v>0</v>
      </c>
      <c r="CY346" s="271">
        <f>IF(AND(Tech_Specs!$E10="step",Standards_Active!$E11="yes"),IF(CY$343&lt;Standards_Active!$C11,TREND(Perform_Active!$S11:$T11,Perform_Active!$S$8:$T$8,CY$343),IF(ISNUMBER(Standards_Active!$M11),IF(AND(CY$343&gt;=Standards_Active!$C11,CY$343&lt;Standards_Active!$D11),(Standards_Active!$M11-INDEX($CJ346:$DI346,1,MATCH((Standards_Active!$C11-1),$CJ$343:$DI$343,FALSE)))/(Standards_Active!$D11-(Standards_Active!$C11-1))+CX346,Standards_Active!$M11*((1+Standards_Active!$O11)^(CY$343-Standards_Active!$D11))),TREND(Perform_Active!$S11:$T11,Perform_Active!$S$8:$T$8,CY$343))),)</f>
        <v>0</v>
      </c>
      <c r="CZ346" s="271">
        <f>IF(AND(Tech_Specs!$E10="step",Standards_Active!$E11="yes"),IF(CZ$343&lt;Standards_Active!$C11,TREND(Perform_Active!$S11:$T11,Perform_Active!$S$8:$T$8,CZ$343),IF(ISNUMBER(Standards_Active!$M11),IF(AND(CZ$343&gt;=Standards_Active!$C11,CZ$343&lt;Standards_Active!$D11),(Standards_Active!$M11-INDEX($CJ346:$DI346,1,MATCH((Standards_Active!$C11-1),$CJ$343:$DI$343,FALSE)))/(Standards_Active!$D11-(Standards_Active!$C11-1))+CY346,Standards_Active!$M11*((1+Standards_Active!$O11)^(CZ$343-Standards_Active!$D11))),TREND(Perform_Active!$S11:$T11,Perform_Active!$S$8:$T$8,CZ$343))),)</f>
        <v>0</v>
      </c>
      <c r="DA346" s="271">
        <f>IF(AND(Tech_Specs!$E10="step",Standards_Active!$E11="yes"),IF(DA$343&lt;Standards_Active!$C11,TREND(Perform_Active!$S11:$T11,Perform_Active!$S$8:$T$8,DA$343),IF(ISNUMBER(Standards_Active!$M11),IF(AND(DA$343&gt;=Standards_Active!$C11,DA$343&lt;Standards_Active!$D11),(Standards_Active!$M11-INDEX($CJ346:$DI346,1,MATCH((Standards_Active!$C11-1),$CJ$343:$DI$343,FALSE)))/(Standards_Active!$D11-(Standards_Active!$C11-1))+CZ346,Standards_Active!$M11*((1+Standards_Active!$O11)^(DA$343-Standards_Active!$D11))),TREND(Perform_Active!$S11:$T11,Perform_Active!$S$8:$T$8,DA$343))),)</f>
        <v>0</v>
      </c>
      <c r="DB346" s="271">
        <f>IF(AND(Tech_Specs!$E10="step",Standards_Active!$E11="yes"),IF(DB$343&lt;Standards_Active!$C11,TREND(Perform_Active!$S11:$T11,Perform_Active!$S$8:$T$8,DB$343),IF(ISNUMBER(Standards_Active!$M11),IF(AND(DB$343&gt;=Standards_Active!$C11,DB$343&lt;Standards_Active!$D11),(Standards_Active!$M11-INDEX($CJ346:$DI346,1,MATCH((Standards_Active!$C11-1),$CJ$343:$DI$343,FALSE)))/(Standards_Active!$D11-(Standards_Active!$C11-1))+DA346,Standards_Active!$M11*((1+Standards_Active!$O11)^(DB$343-Standards_Active!$D11))),TREND(Perform_Active!$S11:$T11,Perform_Active!$S$8:$T$8,DB$343))),)</f>
        <v>0</v>
      </c>
      <c r="DC346" s="271">
        <f>IF(AND(Tech_Specs!$E10="step",Standards_Active!$E11="yes"),IF(DC$343&lt;Standards_Active!$C11,TREND(Perform_Active!$S11:$T11,Perform_Active!$S$8:$T$8,DC$343),IF(ISNUMBER(Standards_Active!$M11),IF(AND(DC$343&gt;=Standards_Active!$C11,DC$343&lt;Standards_Active!$D11),(Standards_Active!$M11-INDEX($CJ346:$DI346,1,MATCH((Standards_Active!$C11-1),$CJ$343:$DI$343,FALSE)))/(Standards_Active!$D11-(Standards_Active!$C11-1))+DB346,Standards_Active!$M11*((1+Standards_Active!$O11)^(DC$343-Standards_Active!$D11))),TREND(Perform_Active!$S11:$T11,Perform_Active!$S$8:$T$8,DC$343))),)</f>
        <v>0</v>
      </c>
      <c r="DD346" s="271">
        <f>IF(AND(Tech_Specs!$E10="step",Standards_Active!$E11="yes"),IF(DD$343&lt;Standards_Active!$C11,TREND(Perform_Active!$S11:$T11,Perform_Active!$S$8:$T$8,DD$343),IF(ISNUMBER(Standards_Active!$M11),IF(AND(DD$343&gt;=Standards_Active!$C11,DD$343&lt;Standards_Active!$D11),(Standards_Active!$M11-INDEX($CJ346:$DI346,1,MATCH((Standards_Active!$C11-1),$CJ$343:$DI$343,FALSE)))/(Standards_Active!$D11-(Standards_Active!$C11-1))+DC346,Standards_Active!$M11*((1+Standards_Active!$O11)^(DD$343-Standards_Active!$D11))),TREND(Perform_Active!$S11:$T11,Perform_Active!$S$8:$T$8,DD$343))),)</f>
        <v>0</v>
      </c>
      <c r="DE346" s="271">
        <f>IF(AND(Tech_Specs!$E10="step",Standards_Active!$E11="yes"),IF(DE$343&lt;Standards_Active!$C11,TREND(Perform_Active!$S11:$T11,Perform_Active!$S$8:$T$8,DE$343),IF(ISNUMBER(Standards_Active!$M11),IF(AND(DE$343&gt;=Standards_Active!$C11,DE$343&lt;Standards_Active!$D11),(Standards_Active!$M11-INDEX($CJ346:$DI346,1,MATCH((Standards_Active!$C11-1),$CJ$343:$DI$343,FALSE)))/(Standards_Active!$D11-(Standards_Active!$C11-1))+DD346,Standards_Active!$M11*((1+Standards_Active!$O11)^(DE$343-Standards_Active!$D11))),TREND(Perform_Active!$S11:$T11,Perform_Active!$S$8:$T$8,DE$343))),)</f>
        <v>0</v>
      </c>
      <c r="DF346" s="271">
        <f>IF(AND(Tech_Specs!$E10="step",Standards_Active!$E11="yes"),IF(DF$343&lt;Standards_Active!$C11,TREND(Perform_Active!$S11:$T11,Perform_Active!$S$8:$T$8,DF$343),IF(ISNUMBER(Standards_Active!$M11),IF(AND(DF$343&gt;=Standards_Active!$C11,DF$343&lt;Standards_Active!$D11),(Standards_Active!$M11-INDEX($CJ346:$DI346,1,MATCH((Standards_Active!$C11-1),$CJ$343:$DI$343,FALSE)))/(Standards_Active!$D11-(Standards_Active!$C11-1))+DE346,Standards_Active!$M11*((1+Standards_Active!$O11)^(DF$343-Standards_Active!$D11))),TREND(Perform_Active!$S11:$T11,Perform_Active!$S$8:$T$8,DF$343))),)</f>
        <v>0</v>
      </c>
      <c r="DG346" s="271">
        <f>IF(AND(Tech_Specs!$E10="step",Standards_Active!$E11="yes"),IF(DG$343&lt;Standards_Active!$C11,TREND(Perform_Active!$S11:$T11,Perform_Active!$S$8:$T$8,DG$343),IF(ISNUMBER(Standards_Active!$M11),IF(AND(DG$343&gt;=Standards_Active!$C11,DG$343&lt;Standards_Active!$D11),(Standards_Active!$M11-INDEX($CJ346:$DI346,1,MATCH((Standards_Active!$C11-1),$CJ$343:$DI$343,FALSE)))/(Standards_Active!$D11-(Standards_Active!$C11-1))+DF346,Standards_Active!$M11*((1+Standards_Active!$O11)^(DG$343-Standards_Active!$D11))),TREND(Perform_Active!$S11:$T11,Perform_Active!$S$8:$T$8,DG$343))),)</f>
        <v>0</v>
      </c>
      <c r="DH346" s="271">
        <f>IF(AND(Tech_Specs!$E10="step",Standards_Active!$E11="yes"),IF(DH$343&lt;Standards_Active!$C11,TREND(Perform_Active!$S11:$T11,Perform_Active!$S$8:$T$8,DH$343),IF(ISNUMBER(Standards_Active!$M11),IF(AND(DH$343&gt;=Standards_Active!$C11,DH$343&lt;Standards_Active!$D11),(Standards_Active!$M11-INDEX($CJ346:$DI346,1,MATCH((Standards_Active!$C11-1),$CJ$343:$DI$343,FALSE)))/(Standards_Active!$D11-(Standards_Active!$C11-1))+DG346,Standards_Active!$M11*((1+Standards_Active!$O11)^(DH$343-Standards_Active!$D11))),TREND(Perform_Active!$S11:$T11,Perform_Active!$S$8:$T$8,DH$343))),)</f>
        <v>0</v>
      </c>
      <c r="DI346" s="271">
        <f>IF(AND(Tech_Specs!$E10="step",Standards_Active!$E11="yes"),IF(DI$343&lt;Standards_Active!$C11,TREND(Perform_Active!$S11:$T11,Perform_Active!$S$8:$T$8,DI$343),IF(ISNUMBER(Standards_Active!$M11),IF(AND(DI$343&gt;=Standards_Active!$C11,DI$343&lt;Standards_Active!$D11),(Standards_Active!$M11-INDEX($CJ346:$DI346,1,MATCH((Standards_Active!$C11-1),$CJ$343:$DI$343,FALSE)))/(Standards_Active!$D11-(Standards_Active!$C11-1))+DH346,Standards_Active!$M11*((1+Standards_Active!$O11)^(DI$343-Standards_Active!$D11))),TREND(Perform_Active!$S11:$T11,Perform_Active!$S$8:$T$8,DI$343))),)</f>
        <v>0</v>
      </c>
    </row>
    <row r="347" spans="1:113" s="302" customFormat="1" ht="12.75" x14ac:dyDescent="0.2">
      <c r="B347" s="302" t="s">
        <v>27</v>
      </c>
      <c r="D347" s="550"/>
      <c r="E347" s="550"/>
      <c r="F347" s="550"/>
      <c r="G347" s="272">
        <f t="shared" si="51"/>
        <v>2.9999999999999964</v>
      </c>
      <c r="H347" s="272">
        <f t="shared" si="51"/>
        <v>2.9849999999999959</v>
      </c>
      <c r="I347" s="272">
        <f t="shared" si="51"/>
        <v>2.9699999999999953</v>
      </c>
      <c r="J347" s="272">
        <f t="shared" si="51"/>
        <v>2.9549999999999947</v>
      </c>
      <c r="K347" s="272">
        <f t="shared" si="51"/>
        <v>2.9399999999999977</v>
      </c>
      <c r="L347" s="272">
        <f t="shared" si="51"/>
        <v>2.9249999999999972</v>
      </c>
      <c r="M347" s="272">
        <f t="shared" si="51"/>
        <v>2.9099999999999966</v>
      </c>
      <c r="N347" s="272">
        <f t="shared" si="51"/>
        <v>2.894999999999996</v>
      </c>
      <c r="O347" s="272">
        <f t="shared" si="51"/>
        <v>2.8799999999999955</v>
      </c>
      <c r="P347" s="272">
        <f t="shared" si="51"/>
        <v>2.8649999999999949</v>
      </c>
      <c r="Q347" s="272">
        <f t="shared" si="52"/>
        <v>2.8499999999999979</v>
      </c>
      <c r="R347" s="272">
        <f t="shared" si="52"/>
        <v>2.8349999999999973</v>
      </c>
      <c r="S347" s="272">
        <f t="shared" si="52"/>
        <v>2.8199999999999967</v>
      </c>
      <c r="T347" s="272">
        <f t="shared" si="52"/>
        <v>2.8049999999999962</v>
      </c>
      <c r="U347" s="272">
        <f t="shared" si="52"/>
        <v>2.7899999999999956</v>
      </c>
      <c r="V347" s="272">
        <f t="shared" si="52"/>
        <v>2.774999999999995</v>
      </c>
      <c r="W347" s="272">
        <f t="shared" si="52"/>
        <v>2.7599999999999945</v>
      </c>
      <c r="X347" s="272">
        <f t="shared" si="52"/>
        <v>2.7449999999999974</v>
      </c>
      <c r="Y347" s="272">
        <f t="shared" si="52"/>
        <v>2.7299999999999969</v>
      </c>
      <c r="Z347" s="272">
        <f t="shared" si="52"/>
        <v>2.7149999999999963</v>
      </c>
      <c r="AA347" s="272">
        <f t="shared" si="53"/>
        <v>2.6999999999999957</v>
      </c>
      <c r="AB347" s="272">
        <f t="shared" si="53"/>
        <v>2.6849999999999952</v>
      </c>
      <c r="AC347" s="272">
        <f t="shared" si="53"/>
        <v>2.6699999999999946</v>
      </c>
      <c r="AD347" s="272">
        <f t="shared" si="53"/>
        <v>2.6549999999999976</v>
      </c>
      <c r="AE347" s="272">
        <f t="shared" si="53"/>
        <v>2.639999999999997</v>
      </c>
      <c r="AF347" s="272">
        <f t="shared" si="53"/>
        <v>2.6249999999999964</v>
      </c>
      <c r="AH347" s="271">
        <f>IF(Tech_Specs!$E11="linear",TREND(Perform_Active!$S12:$T12,Perform_Active!$S$8:$T$8,AH$343),)</f>
        <v>2.9999999999999964</v>
      </c>
      <c r="AI347" s="271">
        <f>IF(Tech_Specs!$E11="linear",TREND(Perform_Active!$S12:$T12,Perform_Active!$S$8:$T$8,AI$343),)</f>
        <v>2.9849999999999959</v>
      </c>
      <c r="AJ347" s="271">
        <f>IF(Tech_Specs!$E11="linear",TREND(Perform_Active!$S12:$T12,Perform_Active!$S$8:$T$8,AJ$343),)</f>
        <v>2.9699999999999953</v>
      </c>
      <c r="AK347" s="271">
        <f>IF(Tech_Specs!$E11="linear",TREND(Perform_Active!$S12:$T12,Perform_Active!$S$8:$T$8,AK$343),)</f>
        <v>2.9549999999999947</v>
      </c>
      <c r="AL347" s="271">
        <f>IF(Tech_Specs!$E11="linear",TREND(Perform_Active!$S12:$T12,Perform_Active!$S$8:$T$8,AL$343),)</f>
        <v>2.9399999999999977</v>
      </c>
      <c r="AM347" s="271">
        <f>IF(Tech_Specs!$E11="linear",TREND(Perform_Active!$S12:$T12,Perform_Active!$S$8:$T$8,AM$343),)</f>
        <v>2.9249999999999972</v>
      </c>
      <c r="AN347" s="271">
        <f>IF(Tech_Specs!$E11="linear",TREND(Perform_Active!$S12:$T12,Perform_Active!$S$8:$T$8,AN$343),)</f>
        <v>2.9099999999999966</v>
      </c>
      <c r="AO347" s="271">
        <f>IF(Tech_Specs!$E11="linear",TREND(Perform_Active!$S12:$T12,Perform_Active!$S$8:$T$8,AO$343),)</f>
        <v>2.894999999999996</v>
      </c>
      <c r="AP347" s="271">
        <f>IF(Tech_Specs!$E11="linear",TREND(Perform_Active!$S12:$T12,Perform_Active!$S$8:$T$8,AP$343),)</f>
        <v>2.8799999999999955</v>
      </c>
      <c r="AQ347" s="271">
        <f>IF(Tech_Specs!$E11="linear",TREND(Perform_Active!$S12:$T12,Perform_Active!$S$8:$T$8,AQ$343),)</f>
        <v>2.8649999999999949</v>
      </c>
      <c r="AR347" s="271">
        <f>IF(Tech_Specs!$E11="linear",TREND(Perform_Active!$S12:$T12,Perform_Active!$S$8:$T$8,AR$343),)</f>
        <v>2.8499999999999979</v>
      </c>
      <c r="AS347" s="271">
        <f>IF(Tech_Specs!$E11="linear",TREND(Perform_Active!$S12:$T12,Perform_Active!$S$8:$T$8,AS$343),)</f>
        <v>2.8349999999999973</v>
      </c>
      <c r="AT347" s="271">
        <f>IF(Tech_Specs!$E11="linear",TREND(Perform_Active!$S12:$T12,Perform_Active!$S$8:$T$8,AT$343),)</f>
        <v>2.8199999999999967</v>
      </c>
      <c r="AU347" s="271">
        <f>IF(Tech_Specs!$E11="linear",TREND(Perform_Active!$S12:$T12,Perform_Active!$S$8:$T$8,AU$343),)</f>
        <v>2.8049999999999962</v>
      </c>
      <c r="AV347" s="271">
        <f>IF(Tech_Specs!$E11="linear",TREND(Perform_Active!$S12:$T12,Perform_Active!$S$8:$T$8,AV$343),)</f>
        <v>2.7899999999999956</v>
      </c>
      <c r="AW347" s="271">
        <f>IF(Tech_Specs!$E11="linear",TREND(Perform_Active!$S12:$T12,Perform_Active!$S$8:$T$8,AW$343),)</f>
        <v>2.774999999999995</v>
      </c>
      <c r="AX347" s="271">
        <f>IF(Tech_Specs!$E11="linear",TREND(Perform_Active!$S12:$T12,Perform_Active!$S$8:$T$8,AX$343),)</f>
        <v>2.7599999999999945</v>
      </c>
      <c r="AY347" s="271">
        <f>IF(Tech_Specs!$E11="linear",TREND(Perform_Active!$S12:$T12,Perform_Active!$S$8:$T$8,AY$343),)</f>
        <v>2.7449999999999974</v>
      </c>
      <c r="AZ347" s="271">
        <f>IF(Tech_Specs!$E11="linear",TREND(Perform_Active!$S12:$T12,Perform_Active!$S$8:$T$8,AZ$343),)</f>
        <v>2.7299999999999969</v>
      </c>
      <c r="BA347" s="271">
        <f>IF(Tech_Specs!$E11="linear",TREND(Perform_Active!$S12:$T12,Perform_Active!$S$8:$T$8,BA$343),)</f>
        <v>2.7149999999999963</v>
      </c>
      <c r="BB347" s="271">
        <f>IF(Tech_Specs!$E11="linear",TREND(Perform_Active!$S12:$T12,Perform_Active!$S$8:$T$8,BB$343),)</f>
        <v>2.6999999999999957</v>
      </c>
      <c r="BC347" s="271">
        <f>IF(Tech_Specs!$E11="linear",TREND(Perform_Active!$S12:$T12,Perform_Active!$S$8:$T$8,BC$343),)</f>
        <v>2.6849999999999952</v>
      </c>
      <c r="BD347" s="271">
        <f>IF(Tech_Specs!$E11="linear",TREND(Perform_Active!$S12:$T12,Perform_Active!$S$8:$T$8,BD$343),)</f>
        <v>2.6699999999999946</v>
      </c>
      <c r="BE347" s="271">
        <f>IF(Tech_Specs!$E11="linear",TREND(Perform_Active!$S12:$T12,Perform_Active!$S$8:$T$8,BE$343),)</f>
        <v>2.6549999999999976</v>
      </c>
      <c r="BF347" s="271">
        <f>IF(Tech_Specs!$E11="linear",TREND(Perform_Active!$S12:$T12,Perform_Active!$S$8:$T$8,BF$343),)</f>
        <v>2.639999999999997</v>
      </c>
      <c r="BG347" s="271">
        <f>IF(Tech_Specs!$E11="linear",TREND(Perform_Active!$S12:$T12,Perform_Active!$S$8:$T$8,BG$343),)</f>
        <v>2.6249999999999964</v>
      </c>
      <c r="BI347" s="271">
        <f>IF(Tech_Specs!$E11="logistic",IF(Tech_Specs!$K11="lamp",Perform_SSL!G$14,Perform_SSL!G$15),)*Perform_Active!$I12/1000</f>
        <v>0</v>
      </c>
      <c r="BJ347" s="271">
        <f>IF(Tech_Specs!$E11="logistic",IF(Tech_Specs!$K11="lamp",Perform_SSL!H$14,Perform_SSL!H$15),)*Perform_Active!$I12/1000</f>
        <v>0</v>
      </c>
      <c r="BK347" s="271">
        <f>IF(Tech_Specs!$E11="logistic",IF(Tech_Specs!$K11="lamp",Perform_SSL!I$14,Perform_SSL!I$15),)*Perform_Active!$I12/1000</f>
        <v>0</v>
      </c>
      <c r="BL347" s="271">
        <f>IF(Tech_Specs!$E11="logistic",IF(Tech_Specs!$K11="lamp",Perform_SSL!J$14,Perform_SSL!J$15),)*Perform_Active!$I12/1000</f>
        <v>0</v>
      </c>
      <c r="BM347" s="271">
        <f>IF(Tech_Specs!$E11="logistic",IF(Tech_Specs!$K11="lamp",Perform_SSL!K$14,Perform_SSL!K$15),)*Perform_Active!$I12/1000</f>
        <v>0</v>
      </c>
      <c r="BN347" s="271">
        <f>IF(Tech_Specs!$E11="logistic",IF(Tech_Specs!$K11="lamp",Perform_SSL!L$14,Perform_SSL!L$15),)*Perform_Active!$I12/1000</f>
        <v>0</v>
      </c>
      <c r="BO347" s="271">
        <f>IF(Tech_Specs!$E11="logistic",IF(Tech_Specs!$K11="lamp",Perform_SSL!M$14,Perform_SSL!M$15),)*Perform_Active!$I12/1000</f>
        <v>0</v>
      </c>
      <c r="BP347" s="271">
        <f>IF(Tech_Specs!$E11="logistic",IF(Tech_Specs!$K11="lamp",Perform_SSL!N$14,Perform_SSL!N$15),)*Perform_Active!$I12/1000</f>
        <v>0</v>
      </c>
      <c r="BQ347" s="271">
        <f>IF(Tech_Specs!$E11="logistic",IF(Tech_Specs!$K11="lamp",Perform_SSL!O$14,Perform_SSL!O$15),)*Perform_Active!$I12/1000</f>
        <v>0</v>
      </c>
      <c r="BR347" s="271">
        <f>IF(Tech_Specs!$E11="logistic",IF(Tech_Specs!$K11="lamp",Perform_SSL!P$14,Perform_SSL!P$15),)*Perform_Active!$I12/1000</f>
        <v>0</v>
      </c>
      <c r="BS347" s="271">
        <f>IF(Tech_Specs!$E11="logistic",IF(Tech_Specs!$K11="lamp",Perform_SSL!Q$14,Perform_SSL!Q$15),)*Perform_Active!$I12/1000</f>
        <v>0</v>
      </c>
      <c r="BT347" s="271">
        <f>IF(Tech_Specs!$E11="logistic",IF(Tech_Specs!$K11="lamp",Perform_SSL!R$14,Perform_SSL!R$15),)*Perform_Active!$I12/1000</f>
        <v>0</v>
      </c>
      <c r="BU347" s="271">
        <f>IF(Tech_Specs!$E11="logistic",IF(Tech_Specs!$K11="lamp",Perform_SSL!S$14,Perform_SSL!S$15),)*Perform_Active!$I12/1000</f>
        <v>0</v>
      </c>
      <c r="BV347" s="271">
        <f>IF(Tech_Specs!$E11="logistic",IF(Tech_Specs!$K11="lamp",Perform_SSL!T$14,Perform_SSL!T$15),)*Perform_Active!$I12/1000</f>
        <v>0</v>
      </c>
      <c r="BW347" s="271">
        <f>IF(Tech_Specs!$E11="logistic",IF(Tech_Specs!$K11="lamp",Perform_SSL!U$14,Perform_SSL!U$15),)*Perform_Active!$I12/1000</f>
        <v>0</v>
      </c>
      <c r="BX347" s="271">
        <f>IF(Tech_Specs!$E11="logistic",IF(Tech_Specs!$K11="lamp",Perform_SSL!V$14,Perform_SSL!V$15),)*Perform_Active!$I12/1000</f>
        <v>0</v>
      </c>
      <c r="BY347" s="271">
        <f>IF(Tech_Specs!$E11="logistic",IF(Tech_Specs!$K11="lamp",Perform_SSL!W$14,Perform_SSL!W$15),)*Perform_Active!$I12/1000</f>
        <v>0</v>
      </c>
      <c r="BZ347" s="271">
        <f>IF(Tech_Specs!$E11="logistic",IF(Tech_Specs!$K11="lamp",Perform_SSL!X$14,Perform_SSL!X$15),)*Perform_Active!$I12/1000</f>
        <v>0</v>
      </c>
      <c r="CA347" s="271">
        <f>IF(Tech_Specs!$E11="logistic",IF(Tech_Specs!$K11="lamp",Perform_SSL!Y$14,Perform_SSL!Y$15),)*Perform_Active!$I12/1000</f>
        <v>0</v>
      </c>
      <c r="CB347" s="271">
        <f>IF(Tech_Specs!$E11="logistic",IF(Tech_Specs!$K11="lamp",Perform_SSL!Z$14,Perform_SSL!Z$15),)*Perform_Active!$I12/1000</f>
        <v>0</v>
      </c>
      <c r="CC347" s="271">
        <f>IF(Tech_Specs!$E11="logistic",IF(Tech_Specs!$K11="lamp",Perform_SSL!AA$14,Perform_SSL!AA$15),)*Perform_Active!$I12/1000</f>
        <v>0</v>
      </c>
      <c r="CD347" s="271">
        <f>IF(Tech_Specs!$E11="logistic",IF(Tech_Specs!$K11="lamp",Perform_SSL!AB$14,Perform_SSL!AB$15),)*Perform_Active!$I12/1000</f>
        <v>0</v>
      </c>
      <c r="CE347" s="271">
        <f>IF(Tech_Specs!$E11="logistic",IF(Tech_Specs!$K11="lamp",Perform_SSL!AC$14,Perform_SSL!AC$15),)*Perform_Active!$I12/1000</f>
        <v>0</v>
      </c>
      <c r="CF347" s="271">
        <f>IF(Tech_Specs!$E11="logistic",IF(Tech_Specs!$K11="lamp",Perform_SSL!AD$14,Perform_SSL!AD$15),)*Perform_Active!$I12/1000</f>
        <v>0</v>
      </c>
      <c r="CG347" s="271">
        <f>IF(Tech_Specs!$E11="logistic",IF(Tech_Specs!$K11="lamp",Perform_SSL!AE$14,Perform_SSL!AE$15),)*Perform_Active!$I12/1000</f>
        <v>0</v>
      </c>
      <c r="CH347" s="271">
        <f>IF(Tech_Specs!$E11="logistic",IF(Tech_Specs!$K11="lamp",Perform_SSL!AF$14,Perform_SSL!AF$15),)*Perform_Active!$I12/1000</f>
        <v>0</v>
      </c>
      <c r="CJ347" s="271">
        <f>IF(AND(Tech_Specs!$E11="step",Standards_Active!$E12="yes"),IF(CJ$343&lt;Standards_Active!$C12,TREND(Perform_Active!$S12:$T12,Perform_Active!$S$8:$T$8,CJ$343),IF(ISNUMBER(Standards_Active!$M12),IF(AND(CJ$343&gt;=Standards_Active!$C12,CJ$343&lt;Standards_Active!$D12),(Standards_Active!$M12-INDEX($CJ347:$DI347,1,MATCH((Standards_Active!$C12-1),$CJ$343:$DI$343,FALSE)))/(Standards_Active!$D12-(Standards_Active!$C12-1))+CI347,Standards_Active!$M12*((1+Standards_Active!$O12)^(CJ$343-Standards_Active!$D12))),TREND(Perform_Active!$S12:$T12,Perform_Active!$S$8:$T$8,CJ$343))),)</f>
        <v>0</v>
      </c>
      <c r="CK347" s="271">
        <f>IF(AND(Tech_Specs!$E11="step",Standards_Active!$E12="yes"),IF(CK$343&lt;Standards_Active!$C12,TREND(Perform_Active!$S12:$T12,Perform_Active!$S$8:$T$8,CK$343),IF(ISNUMBER(Standards_Active!$M12),IF(AND(CK$343&gt;=Standards_Active!$C12,CK$343&lt;Standards_Active!$D12),(Standards_Active!$M12-INDEX($CJ347:$DI347,1,MATCH((Standards_Active!$C12-1),$CJ$343:$DI$343,FALSE)))/(Standards_Active!$D12-(Standards_Active!$C12-1))+CJ347,Standards_Active!$M12*((1+Standards_Active!$O12)^(CK$343-Standards_Active!$D12))),TREND(Perform_Active!$S12:$T12,Perform_Active!$S$8:$T$8,CK$343))),)</f>
        <v>0</v>
      </c>
      <c r="CL347" s="271">
        <f>IF(AND(Tech_Specs!$E11="step",Standards_Active!$E12="yes"),IF(CL$343&lt;Standards_Active!$C12,TREND(Perform_Active!$S12:$T12,Perform_Active!$S$8:$T$8,CL$343),IF(ISNUMBER(Standards_Active!$M12),IF(AND(CL$343&gt;=Standards_Active!$C12,CL$343&lt;Standards_Active!$D12),(Standards_Active!$M12-INDEX($CJ347:$DI347,1,MATCH((Standards_Active!$C12-1),$CJ$343:$DI$343,FALSE)))/(Standards_Active!$D12-(Standards_Active!$C12-1))+CK347,Standards_Active!$M12*((1+Standards_Active!$O12)^(CL$343-Standards_Active!$D12))),TREND(Perform_Active!$S12:$T12,Perform_Active!$S$8:$T$8,CL$343))),)</f>
        <v>0</v>
      </c>
      <c r="CM347" s="271">
        <f>IF(AND(Tech_Specs!$E11="step",Standards_Active!$E12="yes"),IF(CM$343&lt;Standards_Active!$C12,TREND(Perform_Active!$S12:$T12,Perform_Active!$S$8:$T$8,CM$343),IF(ISNUMBER(Standards_Active!$M12),IF(AND(CM$343&gt;=Standards_Active!$C12,CM$343&lt;Standards_Active!$D12),(Standards_Active!$M12-INDEX($CJ347:$DI347,1,MATCH((Standards_Active!$C12-1),$CJ$343:$DI$343,FALSE)))/(Standards_Active!$D12-(Standards_Active!$C12-1))+CL347,Standards_Active!$M12*((1+Standards_Active!$O12)^(CM$343-Standards_Active!$D12))),TREND(Perform_Active!$S12:$T12,Perform_Active!$S$8:$T$8,CM$343))),)</f>
        <v>0</v>
      </c>
      <c r="CN347" s="271">
        <f>IF(AND(Tech_Specs!$E11="step",Standards_Active!$E12="yes"),IF(CN$343&lt;Standards_Active!$C12,TREND(Perform_Active!$S12:$T12,Perform_Active!$S$8:$T$8,CN$343),IF(ISNUMBER(Standards_Active!$M12),IF(AND(CN$343&gt;=Standards_Active!$C12,CN$343&lt;Standards_Active!$D12),(Standards_Active!$M12-INDEX($CJ347:$DI347,1,MATCH((Standards_Active!$C12-1),$CJ$343:$DI$343,FALSE)))/(Standards_Active!$D12-(Standards_Active!$C12-1))+CM347,Standards_Active!$M12*((1+Standards_Active!$O12)^(CN$343-Standards_Active!$D12))),TREND(Perform_Active!$S12:$T12,Perform_Active!$S$8:$T$8,CN$343))),)</f>
        <v>0</v>
      </c>
      <c r="CO347" s="271">
        <f>IF(AND(Tech_Specs!$E11="step",Standards_Active!$E12="yes"),IF(CO$343&lt;Standards_Active!$C12,TREND(Perform_Active!$S12:$T12,Perform_Active!$S$8:$T$8,CO$343),IF(ISNUMBER(Standards_Active!$M12),IF(AND(CO$343&gt;=Standards_Active!$C12,CO$343&lt;Standards_Active!$D12),(Standards_Active!$M12-INDEX($CJ347:$DI347,1,MATCH((Standards_Active!$C12-1),$CJ$343:$DI$343,FALSE)))/(Standards_Active!$D12-(Standards_Active!$C12-1))+CN347,Standards_Active!$M12*((1+Standards_Active!$O12)^(CO$343-Standards_Active!$D12))),TREND(Perform_Active!$S12:$T12,Perform_Active!$S$8:$T$8,CO$343))),)</f>
        <v>0</v>
      </c>
      <c r="CP347" s="271">
        <f>IF(AND(Tech_Specs!$E11="step",Standards_Active!$E12="yes"),IF(CP$343&lt;Standards_Active!$C12,TREND(Perform_Active!$S12:$T12,Perform_Active!$S$8:$T$8,CP$343),IF(ISNUMBER(Standards_Active!$M12),IF(AND(CP$343&gt;=Standards_Active!$C12,CP$343&lt;Standards_Active!$D12),(Standards_Active!$M12-INDEX($CJ347:$DI347,1,MATCH((Standards_Active!$C12-1),$CJ$343:$DI$343,FALSE)))/(Standards_Active!$D12-(Standards_Active!$C12-1))+CO347,Standards_Active!$M12*((1+Standards_Active!$O12)^(CP$343-Standards_Active!$D12))),TREND(Perform_Active!$S12:$T12,Perform_Active!$S$8:$T$8,CP$343))),)</f>
        <v>0</v>
      </c>
      <c r="CQ347" s="271">
        <f>IF(AND(Tech_Specs!$E11="step",Standards_Active!$E12="yes"),IF(CQ$343&lt;Standards_Active!$C12,TREND(Perform_Active!$S12:$T12,Perform_Active!$S$8:$T$8,CQ$343),IF(ISNUMBER(Standards_Active!$M12),IF(AND(CQ$343&gt;=Standards_Active!$C12,CQ$343&lt;Standards_Active!$D12),(Standards_Active!$M12-INDEX($CJ347:$DI347,1,MATCH((Standards_Active!$C12-1),$CJ$343:$DI$343,FALSE)))/(Standards_Active!$D12-(Standards_Active!$C12-1))+CP347,Standards_Active!$M12*((1+Standards_Active!$O12)^(CQ$343-Standards_Active!$D12))),TREND(Perform_Active!$S12:$T12,Perform_Active!$S$8:$T$8,CQ$343))),)</f>
        <v>0</v>
      </c>
      <c r="CR347" s="271">
        <f>IF(AND(Tech_Specs!$E11="step",Standards_Active!$E12="yes"),IF(CR$343&lt;Standards_Active!$C12,TREND(Perform_Active!$S12:$T12,Perform_Active!$S$8:$T$8,CR$343),IF(ISNUMBER(Standards_Active!$M12),IF(AND(CR$343&gt;=Standards_Active!$C12,CR$343&lt;Standards_Active!$D12),(Standards_Active!$M12-INDEX($CJ347:$DI347,1,MATCH((Standards_Active!$C12-1),$CJ$343:$DI$343,FALSE)))/(Standards_Active!$D12-(Standards_Active!$C12-1))+CQ347,Standards_Active!$M12*((1+Standards_Active!$O12)^(CR$343-Standards_Active!$D12))),TREND(Perform_Active!$S12:$T12,Perform_Active!$S$8:$T$8,CR$343))),)</f>
        <v>0</v>
      </c>
      <c r="CS347" s="271">
        <f>IF(AND(Tech_Specs!$E11="step",Standards_Active!$E12="yes"),IF(CS$343&lt;Standards_Active!$C12,TREND(Perform_Active!$S12:$T12,Perform_Active!$S$8:$T$8,CS$343),IF(ISNUMBER(Standards_Active!$M12),IF(AND(CS$343&gt;=Standards_Active!$C12,CS$343&lt;Standards_Active!$D12),(Standards_Active!$M12-INDEX($CJ347:$DI347,1,MATCH((Standards_Active!$C12-1),$CJ$343:$DI$343,FALSE)))/(Standards_Active!$D12-(Standards_Active!$C12-1))+CR347,Standards_Active!$M12*((1+Standards_Active!$O12)^(CS$343-Standards_Active!$D12))),TREND(Perform_Active!$S12:$T12,Perform_Active!$S$8:$T$8,CS$343))),)</f>
        <v>0</v>
      </c>
      <c r="CT347" s="271">
        <f>IF(AND(Tech_Specs!$E11="step",Standards_Active!$E12="yes"),IF(CT$343&lt;Standards_Active!$C12,TREND(Perform_Active!$S12:$T12,Perform_Active!$S$8:$T$8,CT$343),IF(ISNUMBER(Standards_Active!$M12),IF(AND(CT$343&gt;=Standards_Active!$C12,CT$343&lt;Standards_Active!$D12),(Standards_Active!$M12-INDEX($CJ347:$DI347,1,MATCH((Standards_Active!$C12-1),$CJ$343:$DI$343,FALSE)))/(Standards_Active!$D12-(Standards_Active!$C12-1))+CS347,Standards_Active!$M12*((1+Standards_Active!$O12)^(CT$343-Standards_Active!$D12))),TREND(Perform_Active!$S12:$T12,Perform_Active!$S$8:$T$8,CT$343))),)</f>
        <v>0</v>
      </c>
      <c r="CU347" s="271">
        <f>IF(AND(Tech_Specs!$E11="step",Standards_Active!$E12="yes"),IF(CU$343&lt;Standards_Active!$C12,TREND(Perform_Active!$S12:$T12,Perform_Active!$S$8:$T$8,CU$343),IF(ISNUMBER(Standards_Active!$M12),IF(AND(CU$343&gt;=Standards_Active!$C12,CU$343&lt;Standards_Active!$D12),(Standards_Active!$M12-INDEX($CJ347:$DI347,1,MATCH((Standards_Active!$C12-1),$CJ$343:$DI$343,FALSE)))/(Standards_Active!$D12-(Standards_Active!$C12-1))+CT347,Standards_Active!$M12*((1+Standards_Active!$O12)^(CU$343-Standards_Active!$D12))),TREND(Perform_Active!$S12:$T12,Perform_Active!$S$8:$T$8,CU$343))),)</f>
        <v>0</v>
      </c>
      <c r="CV347" s="271">
        <f>IF(AND(Tech_Specs!$E11="step",Standards_Active!$E12="yes"),IF(CV$343&lt;Standards_Active!$C12,TREND(Perform_Active!$S12:$T12,Perform_Active!$S$8:$T$8,CV$343),IF(ISNUMBER(Standards_Active!$M12),IF(AND(CV$343&gt;=Standards_Active!$C12,CV$343&lt;Standards_Active!$D12),(Standards_Active!$M12-INDEX($CJ347:$DI347,1,MATCH((Standards_Active!$C12-1),$CJ$343:$DI$343,FALSE)))/(Standards_Active!$D12-(Standards_Active!$C12-1))+CU347,Standards_Active!$M12*((1+Standards_Active!$O12)^(CV$343-Standards_Active!$D12))),TREND(Perform_Active!$S12:$T12,Perform_Active!$S$8:$T$8,CV$343))),)</f>
        <v>0</v>
      </c>
      <c r="CW347" s="271">
        <f>IF(AND(Tech_Specs!$E11="step",Standards_Active!$E12="yes"),IF(CW$343&lt;Standards_Active!$C12,TREND(Perform_Active!$S12:$T12,Perform_Active!$S$8:$T$8,CW$343),IF(ISNUMBER(Standards_Active!$M12),IF(AND(CW$343&gt;=Standards_Active!$C12,CW$343&lt;Standards_Active!$D12),(Standards_Active!$M12-INDEX($CJ347:$DI347,1,MATCH((Standards_Active!$C12-1),$CJ$343:$DI$343,FALSE)))/(Standards_Active!$D12-(Standards_Active!$C12-1))+CV347,Standards_Active!$M12*((1+Standards_Active!$O12)^(CW$343-Standards_Active!$D12))),TREND(Perform_Active!$S12:$T12,Perform_Active!$S$8:$T$8,CW$343))),)</f>
        <v>0</v>
      </c>
      <c r="CX347" s="271">
        <f>IF(AND(Tech_Specs!$E11="step",Standards_Active!$E12="yes"),IF(CX$343&lt;Standards_Active!$C12,TREND(Perform_Active!$S12:$T12,Perform_Active!$S$8:$T$8,CX$343),IF(ISNUMBER(Standards_Active!$M12),IF(AND(CX$343&gt;=Standards_Active!$C12,CX$343&lt;Standards_Active!$D12),(Standards_Active!$M12-INDEX($CJ347:$DI347,1,MATCH((Standards_Active!$C12-1),$CJ$343:$DI$343,FALSE)))/(Standards_Active!$D12-(Standards_Active!$C12-1))+CW347,Standards_Active!$M12*((1+Standards_Active!$O12)^(CX$343-Standards_Active!$D12))),TREND(Perform_Active!$S12:$T12,Perform_Active!$S$8:$T$8,CX$343))),)</f>
        <v>0</v>
      </c>
      <c r="CY347" s="271">
        <f>IF(AND(Tech_Specs!$E11="step",Standards_Active!$E12="yes"),IF(CY$343&lt;Standards_Active!$C12,TREND(Perform_Active!$S12:$T12,Perform_Active!$S$8:$T$8,CY$343),IF(ISNUMBER(Standards_Active!$M12),IF(AND(CY$343&gt;=Standards_Active!$C12,CY$343&lt;Standards_Active!$D12),(Standards_Active!$M12-INDEX($CJ347:$DI347,1,MATCH((Standards_Active!$C12-1),$CJ$343:$DI$343,FALSE)))/(Standards_Active!$D12-(Standards_Active!$C12-1))+CX347,Standards_Active!$M12*((1+Standards_Active!$O12)^(CY$343-Standards_Active!$D12))),TREND(Perform_Active!$S12:$T12,Perform_Active!$S$8:$T$8,CY$343))),)</f>
        <v>0</v>
      </c>
      <c r="CZ347" s="271">
        <f>IF(AND(Tech_Specs!$E11="step",Standards_Active!$E12="yes"),IF(CZ$343&lt;Standards_Active!$C12,TREND(Perform_Active!$S12:$T12,Perform_Active!$S$8:$T$8,CZ$343),IF(ISNUMBER(Standards_Active!$M12),IF(AND(CZ$343&gt;=Standards_Active!$C12,CZ$343&lt;Standards_Active!$D12),(Standards_Active!$M12-INDEX($CJ347:$DI347,1,MATCH((Standards_Active!$C12-1),$CJ$343:$DI$343,FALSE)))/(Standards_Active!$D12-(Standards_Active!$C12-1))+CY347,Standards_Active!$M12*((1+Standards_Active!$O12)^(CZ$343-Standards_Active!$D12))),TREND(Perform_Active!$S12:$T12,Perform_Active!$S$8:$T$8,CZ$343))),)</f>
        <v>0</v>
      </c>
      <c r="DA347" s="271">
        <f>IF(AND(Tech_Specs!$E11="step",Standards_Active!$E12="yes"),IF(DA$343&lt;Standards_Active!$C12,TREND(Perform_Active!$S12:$T12,Perform_Active!$S$8:$T$8,DA$343),IF(ISNUMBER(Standards_Active!$M12),IF(AND(DA$343&gt;=Standards_Active!$C12,DA$343&lt;Standards_Active!$D12),(Standards_Active!$M12-INDEX($CJ347:$DI347,1,MATCH((Standards_Active!$C12-1),$CJ$343:$DI$343,FALSE)))/(Standards_Active!$D12-(Standards_Active!$C12-1))+CZ347,Standards_Active!$M12*((1+Standards_Active!$O12)^(DA$343-Standards_Active!$D12))),TREND(Perform_Active!$S12:$T12,Perform_Active!$S$8:$T$8,DA$343))),)</f>
        <v>0</v>
      </c>
      <c r="DB347" s="271">
        <f>IF(AND(Tech_Specs!$E11="step",Standards_Active!$E12="yes"),IF(DB$343&lt;Standards_Active!$C12,TREND(Perform_Active!$S12:$T12,Perform_Active!$S$8:$T$8,DB$343),IF(ISNUMBER(Standards_Active!$M12),IF(AND(DB$343&gt;=Standards_Active!$C12,DB$343&lt;Standards_Active!$D12),(Standards_Active!$M12-INDEX($CJ347:$DI347,1,MATCH((Standards_Active!$C12-1),$CJ$343:$DI$343,FALSE)))/(Standards_Active!$D12-(Standards_Active!$C12-1))+DA347,Standards_Active!$M12*((1+Standards_Active!$O12)^(DB$343-Standards_Active!$D12))),TREND(Perform_Active!$S12:$T12,Perform_Active!$S$8:$T$8,DB$343))),)</f>
        <v>0</v>
      </c>
      <c r="DC347" s="271">
        <f>IF(AND(Tech_Specs!$E11="step",Standards_Active!$E12="yes"),IF(DC$343&lt;Standards_Active!$C12,TREND(Perform_Active!$S12:$T12,Perform_Active!$S$8:$T$8,DC$343),IF(ISNUMBER(Standards_Active!$M12),IF(AND(DC$343&gt;=Standards_Active!$C12,DC$343&lt;Standards_Active!$D12),(Standards_Active!$M12-INDEX($CJ347:$DI347,1,MATCH((Standards_Active!$C12-1),$CJ$343:$DI$343,FALSE)))/(Standards_Active!$D12-(Standards_Active!$C12-1))+DB347,Standards_Active!$M12*((1+Standards_Active!$O12)^(DC$343-Standards_Active!$D12))),TREND(Perform_Active!$S12:$T12,Perform_Active!$S$8:$T$8,DC$343))),)</f>
        <v>0</v>
      </c>
      <c r="DD347" s="271">
        <f>IF(AND(Tech_Specs!$E11="step",Standards_Active!$E12="yes"),IF(DD$343&lt;Standards_Active!$C12,TREND(Perform_Active!$S12:$T12,Perform_Active!$S$8:$T$8,DD$343),IF(ISNUMBER(Standards_Active!$M12),IF(AND(DD$343&gt;=Standards_Active!$C12,DD$343&lt;Standards_Active!$D12),(Standards_Active!$M12-INDEX($CJ347:$DI347,1,MATCH((Standards_Active!$C12-1),$CJ$343:$DI$343,FALSE)))/(Standards_Active!$D12-(Standards_Active!$C12-1))+DC347,Standards_Active!$M12*((1+Standards_Active!$O12)^(DD$343-Standards_Active!$D12))),TREND(Perform_Active!$S12:$T12,Perform_Active!$S$8:$T$8,DD$343))),)</f>
        <v>0</v>
      </c>
      <c r="DE347" s="271">
        <f>IF(AND(Tech_Specs!$E11="step",Standards_Active!$E12="yes"),IF(DE$343&lt;Standards_Active!$C12,TREND(Perform_Active!$S12:$T12,Perform_Active!$S$8:$T$8,DE$343),IF(ISNUMBER(Standards_Active!$M12),IF(AND(DE$343&gt;=Standards_Active!$C12,DE$343&lt;Standards_Active!$D12),(Standards_Active!$M12-INDEX($CJ347:$DI347,1,MATCH((Standards_Active!$C12-1),$CJ$343:$DI$343,FALSE)))/(Standards_Active!$D12-(Standards_Active!$C12-1))+DD347,Standards_Active!$M12*((1+Standards_Active!$O12)^(DE$343-Standards_Active!$D12))),TREND(Perform_Active!$S12:$T12,Perform_Active!$S$8:$T$8,DE$343))),)</f>
        <v>0</v>
      </c>
      <c r="DF347" s="271">
        <f>IF(AND(Tech_Specs!$E11="step",Standards_Active!$E12="yes"),IF(DF$343&lt;Standards_Active!$C12,TREND(Perform_Active!$S12:$T12,Perform_Active!$S$8:$T$8,DF$343),IF(ISNUMBER(Standards_Active!$M12),IF(AND(DF$343&gt;=Standards_Active!$C12,DF$343&lt;Standards_Active!$D12),(Standards_Active!$M12-INDEX($CJ347:$DI347,1,MATCH((Standards_Active!$C12-1),$CJ$343:$DI$343,FALSE)))/(Standards_Active!$D12-(Standards_Active!$C12-1))+DE347,Standards_Active!$M12*((1+Standards_Active!$O12)^(DF$343-Standards_Active!$D12))),TREND(Perform_Active!$S12:$T12,Perform_Active!$S$8:$T$8,DF$343))),)</f>
        <v>0</v>
      </c>
      <c r="DG347" s="271">
        <f>IF(AND(Tech_Specs!$E11="step",Standards_Active!$E12="yes"),IF(DG$343&lt;Standards_Active!$C12,TREND(Perform_Active!$S12:$T12,Perform_Active!$S$8:$T$8,DG$343),IF(ISNUMBER(Standards_Active!$M12),IF(AND(DG$343&gt;=Standards_Active!$C12,DG$343&lt;Standards_Active!$D12),(Standards_Active!$M12-INDEX($CJ347:$DI347,1,MATCH((Standards_Active!$C12-1),$CJ$343:$DI$343,FALSE)))/(Standards_Active!$D12-(Standards_Active!$C12-1))+DF347,Standards_Active!$M12*((1+Standards_Active!$O12)^(DG$343-Standards_Active!$D12))),TREND(Perform_Active!$S12:$T12,Perform_Active!$S$8:$T$8,DG$343))),)</f>
        <v>0</v>
      </c>
      <c r="DH347" s="271">
        <f>IF(AND(Tech_Specs!$E11="step",Standards_Active!$E12="yes"),IF(DH$343&lt;Standards_Active!$C12,TREND(Perform_Active!$S12:$T12,Perform_Active!$S$8:$T$8,DH$343),IF(ISNUMBER(Standards_Active!$M12),IF(AND(DH$343&gt;=Standards_Active!$C12,DH$343&lt;Standards_Active!$D12),(Standards_Active!$M12-INDEX($CJ347:$DI347,1,MATCH((Standards_Active!$C12-1),$CJ$343:$DI$343,FALSE)))/(Standards_Active!$D12-(Standards_Active!$C12-1))+DG347,Standards_Active!$M12*((1+Standards_Active!$O12)^(DH$343-Standards_Active!$D12))),TREND(Perform_Active!$S12:$T12,Perform_Active!$S$8:$T$8,DH$343))),)</f>
        <v>0</v>
      </c>
      <c r="DI347" s="271">
        <f>IF(AND(Tech_Specs!$E11="step",Standards_Active!$E12="yes"),IF(DI$343&lt;Standards_Active!$C12,TREND(Perform_Active!$S12:$T12,Perform_Active!$S$8:$T$8,DI$343),IF(ISNUMBER(Standards_Active!$M12),IF(AND(DI$343&gt;=Standards_Active!$C12,DI$343&lt;Standards_Active!$D12),(Standards_Active!$M12-INDEX($CJ347:$DI347,1,MATCH((Standards_Active!$C12-1),$CJ$343:$DI$343,FALSE)))/(Standards_Active!$D12-(Standards_Active!$C12-1))+DH347,Standards_Active!$M12*((1+Standards_Active!$O12)^(DI$343-Standards_Active!$D12))),TREND(Perform_Active!$S12:$T12,Perform_Active!$S$8:$T$8,DI$343))),)</f>
        <v>0</v>
      </c>
    </row>
    <row r="348" spans="1:113" s="302" customFormat="1" ht="12.75" x14ac:dyDescent="0.2">
      <c r="B348" s="302" t="s">
        <v>29</v>
      </c>
      <c r="D348" s="550"/>
      <c r="E348" s="550"/>
      <c r="F348" s="550"/>
      <c r="G348" s="272">
        <f t="shared" si="51"/>
        <v>47.053712878014316</v>
      </c>
      <c r="H348" s="272">
        <f t="shared" si="51"/>
        <v>26.406946918023518</v>
      </c>
      <c r="I348" s="272">
        <f t="shared" si="51"/>
        <v>18.359127075965677</v>
      </c>
      <c r="J348" s="272">
        <f t="shared" si="51"/>
        <v>14.074134709964342</v>
      </c>
      <c r="K348" s="272">
        <f t="shared" si="51"/>
        <v>11.413002522035525</v>
      </c>
      <c r="L348" s="272">
        <f t="shared" si="51"/>
        <v>9.5996969641339298</v>
      </c>
      <c r="M348" s="272">
        <f t="shared" si="51"/>
        <v>8.2847207627682522</v>
      </c>
      <c r="N348" s="272">
        <f t="shared" si="51"/>
        <v>7.2874661133526413</v>
      </c>
      <c r="O348" s="272">
        <f t="shared" si="51"/>
        <v>6.5051940568378059</v>
      </c>
      <c r="P348" s="272">
        <f t="shared" si="51"/>
        <v>5.8751514569620271</v>
      </c>
      <c r="Q348" s="272">
        <f t="shared" si="52"/>
        <v>5.3568429195544329</v>
      </c>
      <c r="R348" s="272">
        <f t="shared" si="52"/>
        <v>4.9229663770771124</v>
      </c>
      <c r="S348" s="272">
        <f t="shared" si="52"/>
        <v>4.554444800806805</v>
      </c>
      <c r="T348" s="272">
        <f t="shared" si="52"/>
        <v>4.2375457887909107</v>
      </c>
      <c r="U348" s="272">
        <f t="shared" si="52"/>
        <v>3.962132387881407</v>
      </c>
      <c r="V348" s="272">
        <f t="shared" si="52"/>
        <v>3.7205586734357463</v>
      </c>
      <c r="W348" s="272">
        <f t="shared" si="52"/>
        <v>3.506948862920193</v>
      </c>
      <c r="X348" s="272">
        <f t="shared" si="52"/>
        <v>3.316713076168937</v>
      </c>
      <c r="Y348" s="272">
        <f t="shared" si="52"/>
        <v>3.14621381189954</v>
      </c>
      <c r="Z348" s="272">
        <f t="shared" si="52"/>
        <v>2.9925311117934283</v>
      </c>
      <c r="AA348" s="272">
        <f t="shared" si="53"/>
        <v>2.8532939453712358</v>
      </c>
      <c r="AB348" s="272">
        <f t="shared" si="53"/>
        <v>2.7265570079080397</v>
      </c>
      <c r="AC348" s="272">
        <f t="shared" si="53"/>
        <v>2.6107092748208784</v>
      </c>
      <c r="AD348" s="272">
        <f t="shared" si="53"/>
        <v>2.5044051561099376</v>
      </c>
      <c r="AE348" s="272">
        <f t="shared" si="53"/>
        <v>2.4065119923177929</v>
      </c>
      <c r="AF348" s="272">
        <f t="shared" si="53"/>
        <v>2.316069538835412</v>
      </c>
      <c r="AH348" s="271">
        <f>IF(Tech_Specs!$E12="linear",TREND(Perform_Active!$S13:$T13,Perform_Active!$S$8:$T$8,AH$343),)</f>
        <v>0</v>
      </c>
      <c r="AI348" s="271">
        <f>IF(Tech_Specs!$E12="linear",TREND(Perform_Active!$S13:$T13,Perform_Active!$S$8:$T$8,AI$343),)</f>
        <v>0</v>
      </c>
      <c r="AJ348" s="271">
        <f>IF(Tech_Specs!$E12="linear",TREND(Perform_Active!$S13:$T13,Perform_Active!$S$8:$T$8,AJ$343),)</f>
        <v>0</v>
      </c>
      <c r="AK348" s="271">
        <f>IF(Tech_Specs!$E12="linear",TREND(Perform_Active!$S13:$T13,Perform_Active!$S$8:$T$8,AK$343),)</f>
        <v>0</v>
      </c>
      <c r="AL348" s="271">
        <f>IF(Tech_Specs!$E12="linear",TREND(Perform_Active!$S13:$T13,Perform_Active!$S$8:$T$8,AL$343),)</f>
        <v>0</v>
      </c>
      <c r="AM348" s="271">
        <f>IF(Tech_Specs!$E12="linear",TREND(Perform_Active!$S13:$T13,Perform_Active!$S$8:$T$8,AM$343),)</f>
        <v>0</v>
      </c>
      <c r="AN348" s="271">
        <f>IF(Tech_Specs!$E12="linear",TREND(Perform_Active!$S13:$T13,Perform_Active!$S$8:$T$8,AN$343),)</f>
        <v>0</v>
      </c>
      <c r="AO348" s="271">
        <f>IF(Tech_Specs!$E12="linear",TREND(Perform_Active!$S13:$T13,Perform_Active!$S$8:$T$8,AO$343),)</f>
        <v>0</v>
      </c>
      <c r="AP348" s="271">
        <f>IF(Tech_Specs!$E12="linear",TREND(Perform_Active!$S13:$T13,Perform_Active!$S$8:$T$8,AP$343),)</f>
        <v>0</v>
      </c>
      <c r="AQ348" s="271">
        <f>IF(Tech_Specs!$E12="linear",TREND(Perform_Active!$S13:$T13,Perform_Active!$S$8:$T$8,AQ$343),)</f>
        <v>0</v>
      </c>
      <c r="AR348" s="271">
        <f>IF(Tech_Specs!$E12="linear",TREND(Perform_Active!$S13:$T13,Perform_Active!$S$8:$T$8,AR$343),)</f>
        <v>0</v>
      </c>
      <c r="AS348" s="271">
        <f>IF(Tech_Specs!$E12="linear",TREND(Perform_Active!$S13:$T13,Perform_Active!$S$8:$T$8,AS$343),)</f>
        <v>0</v>
      </c>
      <c r="AT348" s="271">
        <f>IF(Tech_Specs!$E12="linear",TREND(Perform_Active!$S13:$T13,Perform_Active!$S$8:$T$8,AT$343),)</f>
        <v>0</v>
      </c>
      <c r="AU348" s="271">
        <f>IF(Tech_Specs!$E12="linear",TREND(Perform_Active!$S13:$T13,Perform_Active!$S$8:$T$8,AU$343),)</f>
        <v>0</v>
      </c>
      <c r="AV348" s="271">
        <f>IF(Tech_Specs!$E12="linear",TREND(Perform_Active!$S13:$T13,Perform_Active!$S$8:$T$8,AV$343),)</f>
        <v>0</v>
      </c>
      <c r="AW348" s="271">
        <f>IF(Tech_Specs!$E12="linear",TREND(Perform_Active!$S13:$T13,Perform_Active!$S$8:$T$8,AW$343),)</f>
        <v>0</v>
      </c>
      <c r="AX348" s="271">
        <f>IF(Tech_Specs!$E12="linear",TREND(Perform_Active!$S13:$T13,Perform_Active!$S$8:$T$8,AX$343),)</f>
        <v>0</v>
      </c>
      <c r="AY348" s="271">
        <f>IF(Tech_Specs!$E12="linear",TREND(Perform_Active!$S13:$T13,Perform_Active!$S$8:$T$8,AY$343),)</f>
        <v>0</v>
      </c>
      <c r="AZ348" s="271">
        <f>IF(Tech_Specs!$E12="linear",TREND(Perform_Active!$S13:$T13,Perform_Active!$S$8:$T$8,AZ$343),)</f>
        <v>0</v>
      </c>
      <c r="BA348" s="271">
        <f>IF(Tech_Specs!$E12="linear",TREND(Perform_Active!$S13:$T13,Perform_Active!$S$8:$T$8,BA$343),)</f>
        <v>0</v>
      </c>
      <c r="BB348" s="271">
        <f>IF(Tech_Specs!$E12="linear",TREND(Perform_Active!$S13:$T13,Perform_Active!$S$8:$T$8,BB$343),)</f>
        <v>0</v>
      </c>
      <c r="BC348" s="271">
        <f>IF(Tech_Specs!$E12="linear",TREND(Perform_Active!$S13:$T13,Perform_Active!$S$8:$T$8,BC$343),)</f>
        <v>0</v>
      </c>
      <c r="BD348" s="271">
        <f>IF(Tech_Specs!$E12="linear",TREND(Perform_Active!$S13:$T13,Perform_Active!$S$8:$T$8,BD$343),)</f>
        <v>0</v>
      </c>
      <c r="BE348" s="271">
        <f>IF(Tech_Specs!$E12="linear",TREND(Perform_Active!$S13:$T13,Perform_Active!$S$8:$T$8,BE$343),)</f>
        <v>0</v>
      </c>
      <c r="BF348" s="271">
        <f>IF(Tech_Specs!$E12="linear",TREND(Perform_Active!$S13:$T13,Perform_Active!$S$8:$T$8,BF$343),)</f>
        <v>0</v>
      </c>
      <c r="BG348" s="271">
        <f>IF(Tech_Specs!$E12="linear",TREND(Perform_Active!$S13:$T13,Perform_Active!$S$8:$T$8,BG$343),)</f>
        <v>0</v>
      </c>
      <c r="BI348" s="271">
        <f>IF(Tech_Specs!$E12="logistic",IF(Tech_Specs!$K12="lamp",Perform_SSL!G$14,Perform_SSL!G$15),)*Perform_Active!$I13/1000</f>
        <v>47.053712878014316</v>
      </c>
      <c r="BJ348" s="271">
        <f>IF(Tech_Specs!$E12="logistic",IF(Tech_Specs!$K12="lamp",Perform_SSL!H$14,Perform_SSL!H$15),)*Perform_Active!$I13/1000</f>
        <v>26.406946918023518</v>
      </c>
      <c r="BK348" s="271">
        <f>IF(Tech_Specs!$E12="logistic",IF(Tech_Specs!$K12="lamp",Perform_SSL!I$14,Perform_SSL!I$15),)*Perform_Active!$I13/1000</f>
        <v>18.359127075965677</v>
      </c>
      <c r="BL348" s="271">
        <f>IF(Tech_Specs!$E12="logistic",IF(Tech_Specs!$K12="lamp",Perform_SSL!J$14,Perform_SSL!J$15),)*Perform_Active!$I13/1000</f>
        <v>14.074134709964342</v>
      </c>
      <c r="BM348" s="271">
        <f>IF(Tech_Specs!$E12="logistic",IF(Tech_Specs!$K12="lamp",Perform_SSL!K$14,Perform_SSL!K$15),)*Perform_Active!$I13/1000</f>
        <v>11.413002522035525</v>
      </c>
      <c r="BN348" s="271">
        <f>IF(Tech_Specs!$E12="logistic",IF(Tech_Specs!$K12="lamp",Perform_SSL!L$14,Perform_SSL!L$15),)*Perform_Active!$I13/1000</f>
        <v>9.5996969641339298</v>
      </c>
      <c r="BO348" s="271">
        <f>IF(Tech_Specs!$E12="logistic",IF(Tech_Specs!$K12="lamp",Perform_SSL!M$14,Perform_SSL!M$15),)*Perform_Active!$I13/1000</f>
        <v>8.2847207627682522</v>
      </c>
      <c r="BP348" s="271">
        <f>IF(Tech_Specs!$E12="logistic",IF(Tech_Specs!$K12="lamp",Perform_SSL!N$14,Perform_SSL!N$15),)*Perform_Active!$I13/1000</f>
        <v>7.2874661133526413</v>
      </c>
      <c r="BQ348" s="271">
        <f>IF(Tech_Specs!$E12="logistic",IF(Tech_Specs!$K12="lamp",Perform_SSL!O$14,Perform_SSL!O$15),)*Perform_Active!$I13/1000</f>
        <v>6.5051940568378059</v>
      </c>
      <c r="BR348" s="271">
        <f>IF(Tech_Specs!$E12="logistic",IF(Tech_Specs!$K12="lamp",Perform_SSL!P$14,Perform_SSL!P$15),)*Perform_Active!$I13/1000</f>
        <v>5.8751514569620271</v>
      </c>
      <c r="BS348" s="271">
        <f>IF(Tech_Specs!$E12="logistic",IF(Tech_Specs!$K12="lamp",Perform_SSL!Q$14,Perform_SSL!Q$15),)*Perform_Active!$I13/1000</f>
        <v>5.3568429195544329</v>
      </c>
      <c r="BT348" s="271">
        <f>IF(Tech_Specs!$E12="logistic",IF(Tech_Specs!$K12="lamp",Perform_SSL!R$14,Perform_SSL!R$15),)*Perform_Active!$I13/1000</f>
        <v>4.9229663770771124</v>
      </c>
      <c r="BU348" s="271">
        <f>IF(Tech_Specs!$E12="logistic",IF(Tech_Specs!$K12="lamp",Perform_SSL!S$14,Perform_SSL!S$15),)*Perform_Active!$I13/1000</f>
        <v>4.554444800806805</v>
      </c>
      <c r="BV348" s="271">
        <f>IF(Tech_Specs!$E12="logistic",IF(Tech_Specs!$K12="lamp",Perform_SSL!T$14,Perform_SSL!T$15),)*Perform_Active!$I13/1000</f>
        <v>4.2375457887909107</v>
      </c>
      <c r="BW348" s="271">
        <f>IF(Tech_Specs!$E12="logistic",IF(Tech_Specs!$K12="lamp",Perform_SSL!U$14,Perform_SSL!U$15),)*Perform_Active!$I13/1000</f>
        <v>3.962132387881407</v>
      </c>
      <c r="BX348" s="271">
        <f>IF(Tech_Specs!$E12="logistic",IF(Tech_Specs!$K12="lamp",Perform_SSL!V$14,Perform_SSL!V$15),)*Perform_Active!$I13/1000</f>
        <v>3.7205586734357463</v>
      </c>
      <c r="BY348" s="271">
        <f>IF(Tech_Specs!$E12="logistic",IF(Tech_Specs!$K12="lamp",Perform_SSL!W$14,Perform_SSL!W$15),)*Perform_Active!$I13/1000</f>
        <v>3.506948862920193</v>
      </c>
      <c r="BZ348" s="271">
        <f>IF(Tech_Specs!$E12="logistic",IF(Tech_Specs!$K12="lamp",Perform_SSL!X$14,Perform_SSL!X$15),)*Perform_Active!$I13/1000</f>
        <v>3.316713076168937</v>
      </c>
      <c r="CA348" s="271">
        <f>IF(Tech_Specs!$E12="logistic",IF(Tech_Specs!$K12="lamp",Perform_SSL!Y$14,Perform_SSL!Y$15),)*Perform_Active!$I13/1000</f>
        <v>3.14621381189954</v>
      </c>
      <c r="CB348" s="271">
        <f>IF(Tech_Specs!$E12="logistic",IF(Tech_Specs!$K12="lamp",Perform_SSL!Z$14,Perform_SSL!Z$15),)*Perform_Active!$I13/1000</f>
        <v>2.9925311117934283</v>
      </c>
      <c r="CC348" s="271">
        <f>IF(Tech_Specs!$E12="logistic",IF(Tech_Specs!$K12="lamp",Perform_SSL!AA$14,Perform_SSL!AA$15),)*Perform_Active!$I13/1000</f>
        <v>2.8532939453712358</v>
      </c>
      <c r="CD348" s="271">
        <f>IF(Tech_Specs!$E12="logistic",IF(Tech_Specs!$K12="lamp",Perform_SSL!AB$14,Perform_SSL!AB$15),)*Perform_Active!$I13/1000</f>
        <v>2.7265570079080397</v>
      </c>
      <c r="CE348" s="271">
        <f>IF(Tech_Specs!$E12="logistic",IF(Tech_Specs!$K12="lamp",Perform_SSL!AC$14,Perform_SSL!AC$15),)*Perform_Active!$I13/1000</f>
        <v>2.6107092748208784</v>
      </c>
      <c r="CF348" s="271">
        <f>IF(Tech_Specs!$E12="logistic",IF(Tech_Specs!$K12="lamp",Perform_SSL!AD$14,Perform_SSL!AD$15),)*Perform_Active!$I13/1000</f>
        <v>2.5044051561099376</v>
      </c>
      <c r="CG348" s="271">
        <f>IF(Tech_Specs!$E12="logistic",IF(Tech_Specs!$K12="lamp",Perform_SSL!AE$14,Perform_SSL!AE$15),)*Perform_Active!$I13/1000</f>
        <v>2.4065119923177929</v>
      </c>
      <c r="CH348" s="271">
        <f>IF(Tech_Specs!$E12="logistic",IF(Tech_Specs!$K12="lamp",Perform_SSL!AF$14,Perform_SSL!AF$15),)*Perform_Active!$I13/1000</f>
        <v>2.316069538835412</v>
      </c>
      <c r="CJ348" s="271">
        <f>IF(AND(Tech_Specs!$E12="step",Standards_Active!$E13="yes"),IF(CJ$343&lt;Standards_Active!$C13,TREND(Perform_Active!$S13:$T13,Perform_Active!$S$8:$T$8,CJ$343),IF(ISNUMBER(Standards_Active!$M13),IF(AND(CJ$343&gt;=Standards_Active!$C13,CJ$343&lt;Standards_Active!$D13),(Standards_Active!$M13-INDEX($CJ348:$DI348,1,MATCH((Standards_Active!$C13-1),$CJ$343:$DI$343,FALSE)))/(Standards_Active!$D13-(Standards_Active!$C13-1))+CI348,Standards_Active!$M13*((1+Standards_Active!$O13)^(CJ$343-Standards_Active!$D13))),TREND(Perform_Active!$S13:$T13,Perform_Active!$S$8:$T$8,CJ$343))),)</f>
        <v>0</v>
      </c>
      <c r="CK348" s="271">
        <f>IF(AND(Tech_Specs!$E12="step",Standards_Active!$E13="yes"),IF(CK$343&lt;Standards_Active!$C13,TREND(Perform_Active!$S13:$T13,Perform_Active!$S$8:$T$8,CK$343),IF(ISNUMBER(Standards_Active!$M13),IF(AND(CK$343&gt;=Standards_Active!$C13,CK$343&lt;Standards_Active!$D13),(Standards_Active!$M13-INDEX($CJ348:$DI348,1,MATCH((Standards_Active!$C13-1),$CJ$343:$DI$343,FALSE)))/(Standards_Active!$D13-(Standards_Active!$C13-1))+CJ348,Standards_Active!$M13*((1+Standards_Active!$O13)^(CK$343-Standards_Active!$D13))),TREND(Perform_Active!$S13:$T13,Perform_Active!$S$8:$T$8,CK$343))),)</f>
        <v>0</v>
      </c>
      <c r="CL348" s="271">
        <f>IF(AND(Tech_Specs!$E12="step",Standards_Active!$E13="yes"),IF(CL$343&lt;Standards_Active!$C13,TREND(Perform_Active!$S13:$T13,Perform_Active!$S$8:$T$8,CL$343),IF(ISNUMBER(Standards_Active!$M13),IF(AND(CL$343&gt;=Standards_Active!$C13,CL$343&lt;Standards_Active!$D13),(Standards_Active!$M13-INDEX($CJ348:$DI348,1,MATCH((Standards_Active!$C13-1),$CJ$343:$DI$343,FALSE)))/(Standards_Active!$D13-(Standards_Active!$C13-1))+CK348,Standards_Active!$M13*((1+Standards_Active!$O13)^(CL$343-Standards_Active!$D13))),TREND(Perform_Active!$S13:$T13,Perform_Active!$S$8:$T$8,CL$343))),)</f>
        <v>0</v>
      </c>
      <c r="CM348" s="271">
        <f>IF(AND(Tech_Specs!$E12="step",Standards_Active!$E13="yes"),IF(CM$343&lt;Standards_Active!$C13,TREND(Perform_Active!$S13:$T13,Perform_Active!$S$8:$T$8,CM$343),IF(ISNUMBER(Standards_Active!$M13),IF(AND(CM$343&gt;=Standards_Active!$C13,CM$343&lt;Standards_Active!$D13),(Standards_Active!$M13-INDEX($CJ348:$DI348,1,MATCH((Standards_Active!$C13-1),$CJ$343:$DI$343,FALSE)))/(Standards_Active!$D13-(Standards_Active!$C13-1))+CL348,Standards_Active!$M13*((1+Standards_Active!$O13)^(CM$343-Standards_Active!$D13))),TREND(Perform_Active!$S13:$T13,Perform_Active!$S$8:$T$8,CM$343))),)</f>
        <v>0</v>
      </c>
      <c r="CN348" s="271">
        <f>IF(AND(Tech_Specs!$E12="step",Standards_Active!$E13="yes"),IF(CN$343&lt;Standards_Active!$C13,TREND(Perform_Active!$S13:$T13,Perform_Active!$S$8:$T$8,CN$343),IF(ISNUMBER(Standards_Active!$M13),IF(AND(CN$343&gt;=Standards_Active!$C13,CN$343&lt;Standards_Active!$D13),(Standards_Active!$M13-INDEX($CJ348:$DI348,1,MATCH((Standards_Active!$C13-1),$CJ$343:$DI$343,FALSE)))/(Standards_Active!$D13-(Standards_Active!$C13-1))+CM348,Standards_Active!$M13*((1+Standards_Active!$O13)^(CN$343-Standards_Active!$D13))),TREND(Perform_Active!$S13:$T13,Perform_Active!$S$8:$T$8,CN$343))),)</f>
        <v>0</v>
      </c>
      <c r="CO348" s="271">
        <f>IF(AND(Tech_Specs!$E12="step",Standards_Active!$E13="yes"),IF(CO$343&lt;Standards_Active!$C13,TREND(Perform_Active!$S13:$T13,Perform_Active!$S$8:$T$8,CO$343),IF(ISNUMBER(Standards_Active!$M13),IF(AND(CO$343&gt;=Standards_Active!$C13,CO$343&lt;Standards_Active!$D13),(Standards_Active!$M13-INDEX($CJ348:$DI348,1,MATCH((Standards_Active!$C13-1),$CJ$343:$DI$343,FALSE)))/(Standards_Active!$D13-(Standards_Active!$C13-1))+CN348,Standards_Active!$M13*((1+Standards_Active!$O13)^(CO$343-Standards_Active!$D13))),TREND(Perform_Active!$S13:$T13,Perform_Active!$S$8:$T$8,CO$343))),)</f>
        <v>0</v>
      </c>
      <c r="CP348" s="271">
        <f>IF(AND(Tech_Specs!$E12="step",Standards_Active!$E13="yes"),IF(CP$343&lt;Standards_Active!$C13,TREND(Perform_Active!$S13:$T13,Perform_Active!$S$8:$T$8,CP$343),IF(ISNUMBER(Standards_Active!$M13),IF(AND(CP$343&gt;=Standards_Active!$C13,CP$343&lt;Standards_Active!$D13),(Standards_Active!$M13-INDEX($CJ348:$DI348,1,MATCH((Standards_Active!$C13-1),$CJ$343:$DI$343,FALSE)))/(Standards_Active!$D13-(Standards_Active!$C13-1))+CO348,Standards_Active!$M13*((1+Standards_Active!$O13)^(CP$343-Standards_Active!$D13))),TREND(Perform_Active!$S13:$T13,Perform_Active!$S$8:$T$8,CP$343))),)</f>
        <v>0</v>
      </c>
      <c r="CQ348" s="271">
        <f>IF(AND(Tech_Specs!$E12="step",Standards_Active!$E13="yes"),IF(CQ$343&lt;Standards_Active!$C13,TREND(Perform_Active!$S13:$T13,Perform_Active!$S$8:$T$8,CQ$343),IF(ISNUMBER(Standards_Active!$M13),IF(AND(CQ$343&gt;=Standards_Active!$C13,CQ$343&lt;Standards_Active!$D13),(Standards_Active!$M13-INDEX($CJ348:$DI348,1,MATCH((Standards_Active!$C13-1),$CJ$343:$DI$343,FALSE)))/(Standards_Active!$D13-(Standards_Active!$C13-1))+CP348,Standards_Active!$M13*((1+Standards_Active!$O13)^(CQ$343-Standards_Active!$D13))),TREND(Perform_Active!$S13:$T13,Perform_Active!$S$8:$T$8,CQ$343))),)</f>
        <v>0</v>
      </c>
      <c r="CR348" s="271">
        <f>IF(AND(Tech_Specs!$E12="step",Standards_Active!$E13="yes"),IF(CR$343&lt;Standards_Active!$C13,TREND(Perform_Active!$S13:$T13,Perform_Active!$S$8:$T$8,CR$343),IF(ISNUMBER(Standards_Active!$M13),IF(AND(CR$343&gt;=Standards_Active!$C13,CR$343&lt;Standards_Active!$D13),(Standards_Active!$M13-INDEX($CJ348:$DI348,1,MATCH((Standards_Active!$C13-1),$CJ$343:$DI$343,FALSE)))/(Standards_Active!$D13-(Standards_Active!$C13-1))+CQ348,Standards_Active!$M13*((1+Standards_Active!$O13)^(CR$343-Standards_Active!$D13))),TREND(Perform_Active!$S13:$T13,Perform_Active!$S$8:$T$8,CR$343))),)</f>
        <v>0</v>
      </c>
      <c r="CS348" s="271">
        <f>IF(AND(Tech_Specs!$E12="step",Standards_Active!$E13="yes"),IF(CS$343&lt;Standards_Active!$C13,TREND(Perform_Active!$S13:$T13,Perform_Active!$S$8:$T$8,CS$343),IF(ISNUMBER(Standards_Active!$M13),IF(AND(CS$343&gt;=Standards_Active!$C13,CS$343&lt;Standards_Active!$D13),(Standards_Active!$M13-INDEX($CJ348:$DI348,1,MATCH((Standards_Active!$C13-1),$CJ$343:$DI$343,FALSE)))/(Standards_Active!$D13-(Standards_Active!$C13-1))+CR348,Standards_Active!$M13*((1+Standards_Active!$O13)^(CS$343-Standards_Active!$D13))),TREND(Perform_Active!$S13:$T13,Perform_Active!$S$8:$T$8,CS$343))),)</f>
        <v>0</v>
      </c>
      <c r="CT348" s="271">
        <f>IF(AND(Tech_Specs!$E12="step",Standards_Active!$E13="yes"),IF(CT$343&lt;Standards_Active!$C13,TREND(Perform_Active!$S13:$T13,Perform_Active!$S$8:$T$8,CT$343),IF(ISNUMBER(Standards_Active!$M13),IF(AND(CT$343&gt;=Standards_Active!$C13,CT$343&lt;Standards_Active!$D13),(Standards_Active!$M13-INDEX($CJ348:$DI348,1,MATCH((Standards_Active!$C13-1),$CJ$343:$DI$343,FALSE)))/(Standards_Active!$D13-(Standards_Active!$C13-1))+CS348,Standards_Active!$M13*((1+Standards_Active!$O13)^(CT$343-Standards_Active!$D13))),TREND(Perform_Active!$S13:$T13,Perform_Active!$S$8:$T$8,CT$343))),)</f>
        <v>0</v>
      </c>
      <c r="CU348" s="271">
        <f>IF(AND(Tech_Specs!$E12="step",Standards_Active!$E13="yes"),IF(CU$343&lt;Standards_Active!$C13,TREND(Perform_Active!$S13:$T13,Perform_Active!$S$8:$T$8,CU$343),IF(ISNUMBER(Standards_Active!$M13),IF(AND(CU$343&gt;=Standards_Active!$C13,CU$343&lt;Standards_Active!$D13),(Standards_Active!$M13-INDEX($CJ348:$DI348,1,MATCH((Standards_Active!$C13-1),$CJ$343:$DI$343,FALSE)))/(Standards_Active!$D13-(Standards_Active!$C13-1))+CT348,Standards_Active!$M13*((1+Standards_Active!$O13)^(CU$343-Standards_Active!$D13))),TREND(Perform_Active!$S13:$T13,Perform_Active!$S$8:$T$8,CU$343))),)</f>
        <v>0</v>
      </c>
      <c r="CV348" s="271">
        <f>IF(AND(Tech_Specs!$E12="step",Standards_Active!$E13="yes"),IF(CV$343&lt;Standards_Active!$C13,TREND(Perform_Active!$S13:$T13,Perform_Active!$S$8:$T$8,CV$343),IF(ISNUMBER(Standards_Active!$M13),IF(AND(CV$343&gt;=Standards_Active!$C13,CV$343&lt;Standards_Active!$D13),(Standards_Active!$M13-INDEX($CJ348:$DI348,1,MATCH((Standards_Active!$C13-1),$CJ$343:$DI$343,FALSE)))/(Standards_Active!$D13-(Standards_Active!$C13-1))+CU348,Standards_Active!$M13*((1+Standards_Active!$O13)^(CV$343-Standards_Active!$D13))),TREND(Perform_Active!$S13:$T13,Perform_Active!$S$8:$T$8,CV$343))),)</f>
        <v>0</v>
      </c>
      <c r="CW348" s="271">
        <f>IF(AND(Tech_Specs!$E12="step",Standards_Active!$E13="yes"),IF(CW$343&lt;Standards_Active!$C13,TREND(Perform_Active!$S13:$T13,Perform_Active!$S$8:$T$8,CW$343),IF(ISNUMBER(Standards_Active!$M13),IF(AND(CW$343&gt;=Standards_Active!$C13,CW$343&lt;Standards_Active!$D13),(Standards_Active!$M13-INDEX($CJ348:$DI348,1,MATCH((Standards_Active!$C13-1),$CJ$343:$DI$343,FALSE)))/(Standards_Active!$D13-(Standards_Active!$C13-1))+CV348,Standards_Active!$M13*((1+Standards_Active!$O13)^(CW$343-Standards_Active!$D13))),TREND(Perform_Active!$S13:$T13,Perform_Active!$S$8:$T$8,CW$343))),)</f>
        <v>0</v>
      </c>
      <c r="CX348" s="271">
        <f>IF(AND(Tech_Specs!$E12="step",Standards_Active!$E13="yes"),IF(CX$343&lt;Standards_Active!$C13,TREND(Perform_Active!$S13:$T13,Perform_Active!$S$8:$T$8,CX$343),IF(ISNUMBER(Standards_Active!$M13),IF(AND(CX$343&gt;=Standards_Active!$C13,CX$343&lt;Standards_Active!$D13),(Standards_Active!$M13-INDEX($CJ348:$DI348,1,MATCH((Standards_Active!$C13-1),$CJ$343:$DI$343,FALSE)))/(Standards_Active!$D13-(Standards_Active!$C13-1))+CW348,Standards_Active!$M13*((1+Standards_Active!$O13)^(CX$343-Standards_Active!$D13))),TREND(Perform_Active!$S13:$T13,Perform_Active!$S$8:$T$8,CX$343))),)</f>
        <v>0</v>
      </c>
      <c r="CY348" s="271">
        <f>IF(AND(Tech_Specs!$E12="step",Standards_Active!$E13="yes"),IF(CY$343&lt;Standards_Active!$C13,TREND(Perform_Active!$S13:$T13,Perform_Active!$S$8:$T$8,CY$343),IF(ISNUMBER(Standards_Active!$M13),IF(AND(CY$343&gt;=Standards_Active!$C13,CY$343&lt;Standards_Active!$D13),(Standards_Active!$M13-INDEX($CJ348:$DI348,1,MATCH((Standards_Active!$C13-1),$CJ$343:$DI$343,FALSE)))/(Standards_Active!$D13-(Standards_Active!$C13-1))+CX348,Standards_Active!$M13*((1+Standards_Active!$O13)^(CY$343-Standards_Active!$D13))),TREND(Perform_Active!$S13:$T13,Perform_Active!$S$8:$T$8,CY$343))),)</f>
        <v>0</v>
      </c>
      <c r="CZ348" s="271">
        <f>IF(AND(Tech_Specs!$E12="step",Standards_Active!$E13="yes"),IF(CZ$343&lt;Standards_Active!$C13,TREND(Perform_Active!$S13:$T13,Perform_Active!$S$8:$T$8,CZ$343),IF(ISNUMBER(Standards_Active!$M13),IF(AND(CZ$343&gt;=Standards_Active!$C13,CZ$343&lt;Standards_Active!$D13),(Standards_Active!$M13-INDEX($CJ348:$DI348,1,MATCH((Standards_Active!$C13-1),$CJ$343:$DI$343,FALSE)))/(Standards_Active!$D13-(Standards_Active!$C13-1))+CY348,Standards_Active!$M13*((1+Standards_Active!$O13)^(CZ$343-Standards_Active!$D13))),TREND(Perform_Active!$S13:$T13,Perform_Active!$S$8:$T$8,CZ$343))),)</f>
        <v>0</v>
      </c>
      <c r="DA348" s="271">
        <f>IF(AND(Tech_Specs!$E12="step",Standards_Active!$E13="yes"),IF(DA$343&lt;Standards_Active!$C13,TREND(Perform_Active!$S13:$T13,Perform_Active!$S$8:$T$8,DA$343),IF(ISNUMBER(Standards_Active!$M13),IF(AND(DA$343&gt;=Standards_Active!$C13,DA$343&lt;Standards_Active!$D13),(Standards_Active!$M13-INDEX($CJ348:$DI348,1,MATCH((Standards_Active!$C13-1),$CJ$343:$DI$343,FALSE)))/(Standards_Active!$D13-(Standards_Active!$C13-1))+CZ348,Standards_Active!$M13*((1+Standards_Active!$O13)^(DA$343-Standards_Active!$D13))),TREND(Perform_Active!$S13:$T13,Perform_Active!$S$8:$T$8,DA$343))),)</f>
        <v>0</v>
      </c>
      <c r="DB348" s="271">
        <f>IF(AND(Tech_Specs!$E12="step",Standards_Active!$E13="yes"),IF(DB$343&lt;Standards_Active!$C13,TREND(Perform_Active!$S13:$T13,Perform_Active!$S$8:$T$8,DB$343),IF(ISNUMBER(Standards_Active!$M13),IF(AND(DB$343&gt;=Standards_Active!$C13,DB$343&lt;Standards_Active!$D13),(Standards_Active!$M13-INDEX($CJ348:$DI348,1,MATCH((Standards_Active!$C13-1),$CJ$343:$DI$343,FALSE)))/(Standards_Active!$D13-(Standards_Active!$C13-1))+DA348,Standards_Active!$M13*((1+Standards_Active!$O13)^(DB$343-Standards_Active!$D13))),TREND(Perform_Active!$S13:$T13,Perform_Active!$S$8:$T$8,DB$343))),)</f>
        <v>0</v>
      </c>
      <c r="DC348" s="271">
        <f>IF(AND(Tech_Specs!$E12="step",Standards_Active!$E13="yes"),IF(DC$343&lt;Standards_Active!$C13,TREND(Perform_Active!$S13:$T13,Perform_Active!$S$8:$T$8,DC$343),IF(ISNUMBER(Standards_Active!$M13),IF(AND(DC$343&gt;=Standards_Active!$C13,DC$343&lt;Standards_Active!$D13),(Standards_Active!$M13-INDEX($CJ348:$DI348,1,MATCH((Standards_Active!$C13-1),$CJ$343:$DI$343,FALSE)))/(Standards_Active!$D13-(Standards_Active!$C13-1))+DB348,Standards_Active!$M13*((1+Standards_Active!$O13)^(DC$343-Standards_Active!$D13))),TREND(Perform_Active!$S13:$T13,Perform_Active!$S$8:$T$8,DC$343))),)</f>
        <v>0</v>
      </c>
      <c r="DD348" s="271">
        <f>IF(AND(Tech_Specs!$E12="step",Standards_Active!$E13="yes"),IF(DD$343&lt;Standards_Active!$C13,TREND(Perform_Active!$S13:$T13,Perform_Active!$S$8:$T$8,DD$343),IF(ISNUMBER(Standards_Active!$M13),IF(AND(DD$343&gt;=Standards_Active!$C13,DD$343&lt;Standards_Active!$D13),(Standards_Active!$M13-INDEX($CJ348:$DI348,1,MATCH((Standards_Active!$C13-1),$CJ$343:$DI$343,FALSE)))/(Standards_Active!$D13-(Standards_Active!$C13-1))+DC348,Standards_Active!$M13*((1+Standards_Active!$O13)^(DD$343-Standards_Active!$D13))),TREND(Perform_Active!$S13:$T13,Perform_Active!$S$8:$T$8,DD$343))),)</f>
        <v>0</v>
      </c>
      <c r="DE348" s="271">
        <f>IF(AND(Tech_Specs!$E12="step",Standards_Active!$E13="yes"),IF(DE$343&lt;Standards_Active!$C13,TREND(Perform_Active!$S13:$T13,Perform_Active!$S$8:$T$8,DE$343),IF(ISNUMBER(Standards_Active!$M13),IF(AND(DE$343&gt;=Standards_Active!$C13,DE$343&lt;Standards_Active!$D13),(Standards_Active!$M13-INDEX($CJ348:$DI348,1,MATCH((Standards_Active!$C13-1),$CJ$343:$DI$343,FALSE)))/(Standards_Active!$D13-(Standards_Active!$C13-1))+DD348,Standards_Active!$M13*((1+Standards_Active!$O13)^(DE$343-Standards_Active!$D13))),TREND(Perform_Active!$S13:$T13,Perform_Active!$S$8:$T$8,DE$343))),)</f>
        <v>0</v>
      </c>
      <c r="DF348" s="271">
        <f>IF(AND(Tech_Specs!$E12="step",Standards_Active!$E13="yes"),IF(DF$343&lt;Standards_Active!$C13,TREND(Perform_Active!$S13:$T13,Perform_Active!$S$8:$T$8,DF$343),IF(ISNUMBER(Standards_Active!$M13),IF(AND(DF$343&gt;=Standards_Active!$C13,DF$343&lt;Standards_Active!$D13),(Standards_Active!$M13-INDEX($CJ348:$DI348,1,MATCH((Standards_Active!$C13-1),$CJ$343:$DI$343,FALSE)))/(Standards_Active!$D13-(Standards_Active!$C13-1))+DE348,Standards_Active!$M13*((1+Standards_Active!$O13)^(DF$343-Standards_Active!$D13))),TREND(Perform_Active!$S13:$T13,Perform_Active!$S$8:$T$8,DF$343))),)</f>
        <v>0</v>
      </c>
      <c r="DG348" s="271">
        <f>IF(AND(Tech_Specs!$E12="step",Standards_Active!$E13="yes"),IF(DG$343&lt;Standards_Active!$C13,TREND(Perform_Active!$S13:$T13,Perform_Active!$S$8:$T$8,DG$343),IF(ISNUMBER(Standards_Active!$M13),IF(AND(DG$343&gt;=Standards_Active!$C13,DG$343&lt;Standards_Active!$D13),(Standards_Active!$M13-INDEX($CJ348:$DI348,1,MATCH((Standards_Active!$C13-1),$CJ$343:$DI$343,FALSE)))/(Standards_Active!$D13-(Standards_Active!$C13-1))+DF348,Standards_Active!$M13*((1+Standards_Active!$O13)^(DG$343-Standards_Active!$D13))),TREND(Perform_Active!$S13:$T13,Perform_Active!$S$8:$T$8,DG$343))),)</f>
        <v>0</v>
      </c>
      <c r="DH348" s="271">
        <f>IF(AND(Tech_Specs!$E12="step",Standards_Active!$E13="yes"),IF(DH$343&lt;Standards_Active!$C13,TREND(Perform_Active!$S13:$T13,Perform_Active!$S$8:$T$8,DH$343),IF(ISNUMBER(Standards_Active!$M13),IF(AND(DH$343&gt;=Standards_Active!$C13,DH$343&lt;Standards_Active!$D13),(Standards_Active!$M13-INDEX($CJ348:$DI348,1,MATCH((Standards_Active!$C13-1),$CJ$343:$DI$343,FALSE)))/(Standards_Active!$D13-(Standards_Active!$C13-1))+DG348,Standards_Active!$M13*((1+Standards_Active!$O13)^(DH$343-Standards_Active!$D13))),TREND(Perform_Active!$S13:$T13,Perform_Active!$S$8:$T$8,DH$343))),)</f>
        <v>0</v>
      </c>
      <c r="DI348" s="271">
        <f>IF(AND(Tech_Specs!$E12="step",Standards_Active!$E13="yes"),IF(DI$343&lt;Standards_Active!$C13,TREND(Perform_Active!$S13:$T13,Perform_Active!$S$8:$T$8,DI$343),IF(ISNUMBER(Standards_Active!$M13),IF(AND(DI$343&gt;=Standards_Active!$C13,DI$343&lt;Standards_Active!$D13),(Standards_Active!$M13-INDEX($CJ348:$DI348,1,MATCH((Standards_Active!$C13-1),$CJ$343:$DI$343,FALSE)))/(Standards_Active!$D13-(Standards_Active!$C13-1))+DH348,Standards_Active!$M13*((1+Standards_Active!$O13)^(DI$343-Standards_Active!$D13))),TREND(Perform_Active!$S13:$T13,Perform_Active!$S$8:$T$8,DI$343))),)</f>
        <v>0</v>
      </c>
    </row>
    <row r="349" spans="1:113" s="302" customFormat="1" ht="12.75" x14ac:dyDescent="0.2">
      <c r="D349" s="550"/>
      <c r="E349" s="550"/>
      <c r="F349" s="550"/>
      <c r="G349" s="341"/>
      <c r="H349" s="341"/>
      <c r="I349" s="341"/>
      <c r="J349" s="341"/>
      <c r="K349" s="341"/>
      <c r="L349" s="341"/>
      <c r="M349" s="341"/>
      <c r="N349" s="341"/>
      <c r="O349" s="341"/>
      <c r="P349" s="341"/>
      <c r="Q349" s="341"/>
      <c r="R349" s="341"/>
      <c r="S349" s="341"/>
      <c r="T349" s="341"/>
      <c r="U349" s="341"/>
      <c r="V349" s="341"/>
      <c r="W349" s="341"/>
      <c r="X349" s="341"/>
      <c r="Y349" s="341"/>
      <c r="Z349" s="341"/>
      <c r="AA349" s="341"/>
      <c r="AB349" s="341"/>
      <c r="AC349" s="341"/>
      <c r="AD349" s="341"/>
      <c r="AE349" s="341"/>
      <c r="AF349" s="341"/>
      <c r="AH349" s="341"/>
      <c r="AI349" s="341"/>
      <c r="AJ349" s="341"/>
      <c r="AK349" s="341"/>
      <c r="AL349" s="341"/>
      <c r="AM349" s="341"/>
      <c r="AN349" s="341"/>
      <c r="AO349" s="341"/>
      <c r="AP349" s="341"/>
      <c r="AQ349" s="341"/>
      <c r="AR349" s="341"/>
      <c r="AS349" s="341"/>
      <c r="AT349" s="341"/>
      <c r="AU349" s="341"/>
      <c r="AV349" s="341"/>
      <c r="AW349" s="341"/>
      <c r="AX349" s="341"/>
      <c r="AY349" s="341"/>
      <c r="AZ349" s="341"/>
      <c r="BA349" s="341"/>
      <c r="BB349" s="341"/>
      <c r="BC349" s="341"/>
      <c r="BD349" s="341"/>
      <c r="BE349" s="341"/>
      <c r="BF349" s="341"/>
      <c r="BG349" s="341"/>
      <c r="BI349" s="341"/>
      <c r="BJ349" s="341"/>
      <c r="BK349" s="341"/>
      <c r="BL349" s="341"/>
      <c r="BM349" s="341"/>
      <c r="BN349" s="341"/>
      <c r="BO349" s="341"/>
      <c r="BP349" s="341"/>
      <c r="BQ349" s="341"/>
      <c r="BR349" s="341"/>
      <c r="BS349" s="341"/>
      <c r="BT349" s="341"/>
      <c r="BU349" s="341"/>
      <c r="BV349" s="341"/>
      <c r="BW349" s="341"/>
      <c r="BX349" s="341"/>
      <c r="BY349" s="341"/>
      <c r="BZ349" s="341"/>
      <c r="CA349" s="341"/>
      <c r="CB349" s="341"/>
      <c r="CC349" s="341"/>
      <c r="CD349" s="341"/>
      <c r="CE349" s="341"/>
      <c r="CF349" s="341"/>
      <c r="CG349" s="341"/>
      <c r="CH349" s="341"/>
      <c r="CJ349" s="341"/>
      <c r="CK349" s="341"/>
      <c r="CL349" s="341"/>
      <c r="CM349" s="341"/>
      <c r="CN349" s="341"/>
      <c r="CO349" s="341"/>
      <c r="CP349" s="341"/>
      <c r="CQ349" s="341"/>
      <c r="CR349" s="341"/>
      <c r="CS349" s="341"/>
      <c r="CT349" s="341"/>
      <c r="CU349" s="341"/>
      <c r="CV349" s="341"/>
      <c r="CW349" s="341"/>
      <c r="CX349" s="341"/>
      <c r="CY349" s="341"/>
      <c r="CZ349" s="341"/>
      <c r="DA349" s="341"/>
      <c r="DB349" s="341"/>
      <c r="DC349" s="341"/>
      <c r="DD349" s="341"/>
      <c r="DE349" s="341"/>
      <c r="DF349" s="341"/>
      <c r="DG349" s="341"/>
      <c r="DH349" s="341"/>
      <c r="DI349" s="341"/>
    </row>
    <row r="350" spans="1:113" s="302" customFormat="1" ht="12.75" x14ac:dyDescent="0.2">
      <c r="A350" s="305" t="s">
        <v>32</v>
      </c>
      <c r="B350" s="304"/>
      <c r="C350" s="304"/>
      <c r="D350" s="501"/>
      <c r="E350" s="501"/>
      <c r="F350" s="501"/>
      <c r="G350" s="320"/>
      <c r="H350" s="320"/>
      <c r="I350" s="320"/>
      <c r="J350" s="320"/>
      <c r="K350" s="320"/>
      <c r="L350" s="320"/>
      <c r="M350" s="320"/>
      <c r="N350" s="320"/>
      <c r="O350" s="320"/>
      <c r="P350" s="320"/>
      <c r="Q350" s="320"/>
      <c r="R350" s="320"/>
      <c r="S350" s="320"/>
      <c r="T350" s="320"/>
      <c r="U350" s="320"/>
      <c r="V350" s="320"/>
      <c r="W350" s="320"/>
      <c r="X350" s="320"/>
      <c r="Y350" s="320"/>
      <c r="Z350" s="320"/>
      <c r="AA350" s="320"/>
      <c r="AB350" s="320"/>
      <c r="AC350" s="320"/>
      <c r="AD350" s="320"/>
      <c r="AE350" s="320"/>
      <c r="AF350" s="320"/>
      <c r="AH350" s="320"/>
      <c r="AI350" s="320"/>
      <c r="AJ350" s="320"/>
      <c r="AK350" s="320"/>
      <c r="AL350" s="320"/>
      <c r="AM350" s="320"/>
      <c r="AN350" s="320"/>
      <c r="AO350" s="320"/>
      <c r="AP350" s="320"/>
      <c r="AQ350" s="320"/>
      <c r="AR350" s="320"/>
      <c r="AS350" s="320"/>
      <c r="AT350" s="320"/>
      <c r="AU350" s="320"/>
      <c r="AV350" s="320"/>
      <c r="AW350" s="320"/>
      <c r="AX350" s="320"/>
      <c r="AY350" s="320"/>
      <c r="AZ350" s="320"/>
      <c r="BA350" s="320"/>
      <c r="BB350" s="320"/>
      <c r="BC350" s="320"/>
      <c r="BD350" s="320"/>
      <c r="BE350" s="320"/>
      <c r="BF350" s="320"/>
      <c r="BG350" s="320"/>
      <c r="BI350" s="320"/>
      <c r="BJ350" s="320"/>
      <c r="BK350" s="320"/>
      <c r="BL350" s="320"/>
      <c r="BM350" s="320"/>
      <c r="BN350" s="320"/>
      <c r="BO350" s="320"/>
      <c r="BP350" s="320"/>
      <c r="BQ350" s="320"/>
      <c r="BR350" s="320"/>
      <c r="BS350" s="320"/>
      <c r="BT350" s="320"/>
      <c r="BU350" s="320"/>
      <c r="BV350" s="320"/>
      <c r="BW350" s="320"/>
      <c r="BX350" s="320"/>
      <c r="BY350" s="320"/>
      <c r="BZ350" s="320"/>
      <c r="CA350" s="320"/>
      <c r="CB350" s="320"/>
      <c r="CC350" s="320"/>
      <c r="CD350" s="320"/>
      <c r="CE350" s="320"/>
      <c r="CF350" s="320"/>
      <c r="CG350" s="320"/>
      <c r="CH350" s="320"/>
      <c r="CJ350" s="320"/>
      <c r="CK350" s="320"/>
      <c r="CL350" s="320"/>
      <c r="CM350" s="320"/>
      <c r="CN350" s="320"/>
      <c r="CO350" s="320"/>
      <c r="CP350" s="320"/>
      <c r="CQ350" s="320"/>
      <c r="CR350" s="320"/>
      <c r="CS350" s="320"/>
      <c r="CT350" s="320"/>
      <c r="CU350" s="320"/>
      <c r="CV350" s="320"/>
      <c r="CW350" s="320"/>
      <c r="CX350" s="320"/>
      <c r="CY350" s="320"/>
      <c r="CZ350" s="320"/>
      <c r="DA350" s="320"/>
      <c r="DB350" s="320"/>
      <c r="DC350" s="320"/>
      <c r="DD350" s="320"/>
      <c r="DE350" s="320"/>
      <c r="DF350" s="320"/>
      <c r="DG350" s="320"/>
      <c r="DH350" s="320"/>
      <c r="DI350" s="320"/>
    </row>
    <row r="351" spans="1:113" s="302" customFormat="1" ht="12.75" x14ac:dyDescent="0.2">
      <c r="B351" s="302" t="s">
        <v>33</v>
      </c>
      <c r="D351" s="550"/>
      <c r="E351" s="550"/>
      <c r="F351" s="550"/>
      <c r="G351" s="272">
        <f t="shared" ref="G351:P354" si="54">SUM(AH351,BI351,CJ351)</f>
        <v>3.1000000000000014</v>
      </c>
      <c r="H351" s="272">
        <f t="shared" si="54"/>
        <v>3.0844999999999985</v>
      </c>
      <c r="I351" s="272">
        <f t="shared" si="54"/>
        <v>3.0689999999999991</v>
      </c>
      <c r="J351" s="272">
        <f t="shared" si="54"/>
        <v>3.0534999999999997</v>
      </c>
      <c r="K351" s="272">
        <f t="shared" si="54"/>
        <v>3.0380000000000003</v>
      </c>
      <c r="L351" s="272">
        <f t="shared" si="54"/>
        <v>3.0225000000000009</v>
      </c>
      <c r="M351" s="272">
        <f t="shared" si="54"/>
        <v>3.0069999999999979</v>
      </c>
      <c r="N351" s="272">
        <f t="shared" si="54"/>
        <v>2.9914999999999985</v>
      </c>
      <c r="O351" s="272">
        <f t="shared" si="54"/>
        <v>2.9759999999999991</v>
      </c>
      <c r="P351" s="272">
        <f t="shared" si="54"/>
        <v>2.9604999999999997</v>
      </c>
      <c r="Q351" s="272">
        <f t="shared" ref="Q351:Z354" si="55">SUM(AR351,BS351,CT351)</f>
        <v>2.9450000000000003</v>
      </c>
      <c r="R351" s="272">
        <f t="shared" si="55"/>
        <v>2.9295000000000009</v>
      </c>
      <c r="S351" s="272">
        <f t="shared" si="55"/>
        <v>2.9139999999999979</v>
      </c>
      <c r="T351" s="272">
        <f t="shared" si="55"/>
        <v>2.8984999999999985</v>
      </c>
      <c r="U351" s="272">
        <f t="shared" si="55"/>
        <v>2.8829999999999991</v>
      </c>
      <c r="V351" s="272">
        <f t="shared" si="55"/>
        <v>2.8674999999999997</v>
      </c>
      <c r="W351" s="272">
        <f t="shared" si="55"/>
        <v>2.8520000000000003</v>
      </c>
      <c r="X351" s="272">
        <f t="shared" si="55"/>
        <v>2.8365000000000009</v>
      </c>
      <c r="Y351" s="272">
        <f t="shared" si="55"/>
        <v>2.820999999999998</v>
      </c>
      <c r="Z351" s="272">
        <f t="shared" si="55"/>
        <v>2.8054999999999986</v>
      </c>
      <c r="AA351" s="272">
        <f t="shared" ref="AA351:AF354" si="56">SUM(BB351,CC351,DD351)</f>
        <v>2.7899999999999991</v>
      </c>
      <c r="AB351" s="272">
        <f t="shared" si="56"/>
        <v>2.7744999999999997</v>
      </c>
      <c r="AC351" s="272">
        <f t="shared" si="56"/>
        <v>2.7590000000000003</v>
      </c>
      <c r="AD351" s="272">
        <f t="shared" si="56"/>
        <v>2.7435000000000009</v>
      </c>
      <c r="AE351" s="272">
        <f t="shared" si="56"/>
        <v>2.727999999999998</v>
      </c>
      <c r="AF351" s="272">
        <f t="shared" si="56"/>
        <v>2.7124999999999986</v>
      </c>
      <c r="AH351" s="271">
        <f>IF(Tech_Specs!$E15="linear",TREND(Perform_Active!$S16:$T16,Perform_Active!$S$8:$T$8,AH$343),)</f>
        <v>3.1000000000000014</v>
      </c>
      <c r="AI351" s="271">
        <f>IF(Tech_Specs!$E15="linear",TREND(Perform_Active!$S16:$T16,Perform_Active!$S$8:$T$8,AI$343),)</f>
        <v>3.0844999999999985</v>
      </c>
      <c r="AJ351" s="271">
        <f>IF(Tech_Specs!$E15="linear",TREND(Perform_Active!$S16:$T16,Perform_Active!$S$8:$T$8,AJ$343),)</f>
        <v>3.0689999999999991</v>
      </c>
      <c r="AK351" s="271">
        <f>IF(Tech_Specs!$E15="linear",TREND(Perform_Active!$S16:$T16,Perform_Active!$S$8:$T$8,AK$343),)</f>
        <v>3.0534999999999997</v>
      </c>
      <c r="AL351" s="271">
        <f>IF(Tech_Specs!$E15="linear",TREND(Perform_Active!$S16:$T16,Perform_Active!$S$8:$T$8,AL$343),)</f>
        <v>3.0380000000000003</v>
      </c>
      <c r="AM351" s="271">
        <f>IF(Tech_Specs!$E15="linear",TREND(Perform_Active!$S16:$T16,Perform_Active!$S$8:$T$8,AM$343),)</f>
        <v>3.0225000000000009</v>
      </c>
      <c r="AN351" s="271">
        <f>IF(Tech_Specs!$E15="linear",TREND(Perform_Active!$S16:$T16,Perform_Active!$S$8:$T$8,AN$343),)</f>
        <v>3.0069999999999979</v>
      </c>
      <c r="AO351" s="271">
        <f>IF(Tech_Specs!$E15="linear",TREND(Perform_Active!$S16:$T16,Perform_Active!$S$8:$T$8,AO$343),)</f>
        <v>2.9914999999999985</v>
      </c>
      <c r="AP351" s="271">
        <f>IF(Tech_Specs!$E15="linear",TREND(Perform_Active!$S16:$T16,Perform_Active!$S$8:$T$8,AP$343),)</f>
        <v>2.9759999999999991</v>
      </c>
      <c r="AQ351" s="271">
        <f>IF(Tech_Specs!$E15="linear",TREND(Perform_Active!$S16:$T16,Perform_Active!$S$8:$T$8,AQ$343),)</f>
        <v>2.9604999999999997</v>
      </c>
      <c r="AR351" s="271">
        <f>IF(Tech_Specs!$E15="linear",TREND(Perform_Active!$S16:$T16,Perform_Active!$S$8:$T$8,AR$343),)</f>
        <v>2.9450000000000003</v>
      </c>
      <c r="AS351" s="271">
        <f>IF(Tech_Specs!$E15="linear",TREND(Perform_Active!$S16:$T16,Perform_Active!$S$8:$T$8,AS$343),)</f>
        <v>2.9295000000000009</v>
      </c>
      <c r="AT351" s="271">
        <f>IF(Tech_Specs!$E15="linear",TREND(Perform_Active!$S16:$T16,Perform_Active!$S$8:$T$8,AT$343),)</f>
        <v>2.9139999999999979</v>
      </c>
      <c r="AU351" s="271">
        <f>IF(Tech_Specs!$E15="linear",TREND(Perform_Active!$S16:$T16,Perform_Active!$S$8:$T$8,AU$343),)</f>
        <v>2.8984999999999985</v>
      </c>
      <c r="AV351" s="271">
        <f>IF(Tech_Specs!$E15="linear",TREND(Perform_Active!$S16:$T16,Perform_Active!$S$8:$T$8,AV$343),)</f>
        <v>2.8829999999999991</v>
      </c>
      <c r="AW351" s="271">
        <f>IF(Tech_Specs!$E15="linear",TREND(Perform_Active!$S16:$T16,Perform_Active!$S$8:$T$8,AW$343),)</f>
        <v>2.8674999999999997</v>
      </c>
      <c r="AX351" s="271">
        <f>IF(Tech_Specs!$E15="linear",TREND(Perform_Active!$S16:$T16,Perform_Active!$S$8:$T$8,AX$343),)</f>
        <v>2.8520000000000003</v>
      </c>
      <c r="AY351" s="271">
        <f>IF(Tech_Specs!$E15="linear",TREND(Perform_Active!$S16:$T16,Perform_Active!$S$8:$T$8,AY$343),)</f>
        <v>2.8365000000000009</v>
      </c>
      <c r="AZ351" s="271">
        <f>IF(Tech_Specs!$E15="linear",TREND(Perform_Active!$S16:$T16,Perform_Active!$S$8:$T$8,AZ$343),)</f>
        <v>2.820999999999998</v>
      </c>
      <c r="BA351" s="271">
        <f>IF(Tech_Specs!$E15="linear",TREND(Perform_Active!$S16:$T16,Perform_Active!$S$8:$T$8,BA$343),)</f>
        <v>2.8054999999999986</v>
      </c>
      <c r="BB351" s="271">
        <f>IF(Tech_Specs!$E15="linear",TREND(Perform_Active!$S16:$T16,Perform_Active!$S$8:$T$8,BB$343),)</f>
        <v>2.7899999999999991</v>
      </c>
      <c r="BC351" s="271">
        <f>IF(Tech_Specs!$E15="linear",TREND(Perform_Active!$S16:$T16,Perform_Active!$S$8:$T$8,BC$343),)</f>
        <v>2.7744999999999997</v>
      </c>
      <c r="BD351" s="271">
        <f>IF(Tech_Specs!$E15="linear",TREND(Perform_Active!$S16:$T16,Perform_Active!$S$8:$T$8,BD$343),)</f>
        <v>2.7590000000000003</v>
      </c>
      <c r="BE351" s="271">
        <f>IF(Tech_Specs!$E15="linear",TREND(Perform_Active!$S16:$T16,Perform_Active!$S$8:$T$8,BE$343),)</f>
        <v>2.7435000000000009</v>
      </c>
      <c r="BF351" s="271">
        <f>IF(Tech_Specs!$E15="linear",TREND(Perform_Active!$S16:$T16,Perform_Active!$S$8:$T$8,BF$343),)</f>
        <v>2.727999999999998</v>
      </c>
      <c r="BG351" s="271">
        <f>IF(Tech_Specs!$E15="linear",TREND(Perform_Active!$S16:$T16,Perform_Active!$S$8:$T$8,BG$343),)</f>
        <v>2.7124999999999986</v>
      </c>
      <c r="BI351" s="271">
        <f>IF(Tech_Specs!$E15="logistic",IF(Tech_Specs!$K15="lamp",Perform_SSL!G$14,Perform_SSL!G$15),)*Perform_Active!$I16/1000</f>
        <v>0</v>
      </c>
      <c r="BJ351" s="271">
        <f>IF(Tech_Specs!$E15="logistic",IF(Tech_Specs!$K15="lamp",Perform_SSL!H$14,Perform_SSL!H$15),)*Perform_Active!$I16/1000</f>
        <v>0</v>
      </c>
      <c r="BK351" s="271">
        <f>IF(Tech_Specs!$E15="logistic",IF(Tech_Specs!$K15="lamp",Perform_SSL!I$14,Perform_SSL!I$15),)*Perform_Active!$I16/1000</f>
        <v>0</v>
      </c>
      <c r="BL351" s="271">
        <f>IF(Tech_Specs!$E15="logistic",IF(Tech_Specs!$K15="lamp",Perform_SSL!J$14,Perform_SSL!J$15),)*Perform_Active!$I16/1000</f>
        <v>0</v>
      </c>
      <c r="BM351" s="271">
        <f>IF(Tech_Specs!$E15="logistic",IF(Tech_Specs!$K15="lamp",Perform_SSL!K$14,Perform_SSL!K$15),)*Perform_Active!$I16/1000</f>
        <v>0</v>
      </c>
      <c r="BN351" s="271">
        <f>IF(Tech_Specs!$E15="logistic",IF(Tech_Specs!$K15="lamp",Perform_SSL!L$14,Perform_SSL!L$15),)*Perform_Active!$I16/1000</f>
        <v>0</v>
      </c>
      <c r="BO351" s="271">
        <f>IF(Tech_Specs!$E15="logistic",IF(Tech_Specs!$K15="lamp",Perform_SSL!M$14,Perform_SSL!M$15),)*Perform_Active!$I16/1000</f>
        <v>0</v>
      </c>
      <c r="BP351" s="271">
        <f>IF(Tech_Specs!$E15="logistic",IF(Tech_Specs!$K15="lamp",Perform_SSL!N$14,Perform_SSL!N$15),)*Perform_Active!$I16/1000</f>
        <v>0</v>
      </c>
      <c r="BQ351" s="271">
        <f>IF(Tech_Specs!$E15="logistic",IF(Tech_Specs!$K15="lamp",Perform_SSL!O$14,Perform_SSL!O$15),)*Perform_Active!$I16/1000</f>
        <v>0</v>
      </c>
      <c r="BR351" s="271">
        <f>IF(Tech_Specs!$E15="logistic",IF(Tech_Specs!$K15="lamp",Perform_SSL!P$14,Perform_SSL!P$15),)*Perform_Active!$I16/1000</f>
        <v>0</v>
      </c>
      <c r="BS351" s="271">
        <f>IF(Tech_Specs!$E15="logistic",IF(Tech_Specs!$K15="lamp",Perform_SSL!Q$14,Perform_SSL!Q$15),)*Perform_Active!$I16/1000</f>
        <v>0</v>
      </c>
      <c r="BT351" s="271">
        <f>IF(Tech_Specs!$E15="logistic",IF(Tech_Specs!$K15="lamp",Perform_SSL!R$14,Perform_SSL!R$15),)*Perform_Active!$I16/1000</f>
        <v>0</v>
      </c>
      <c r="BU351" s="271">
        <f>IF(Tech_Specs!$E15="logistic",IF(Tech_Specs!$K15="lamp",Perform_SSL!S$14,Perform_SSL!S$15),)*Perform_Active!$I16/1000</f>
        <v>0</v>
      </c>
      <c r="BV351" s="271">
        <f>IF(Tech_Specs!$E15="logistic",IF(Tech_Specs!$K15="lamp",Perform_SSL!T$14,Perform_SSL!T$15),)*Perform_Active!$I16/1000</f>
        <v>0</v>
      </c>
      <c r="BW351" s="271">
        <f>IF(Tech_Specs!$E15="logistic",IF(Tech_Specs!$K15="lamp",Perform_SSL!U$14,Perform_SSL!U$15),)*Perform_Active!$I16/1000</f>
        <v>0</v>
      </c>
      <c r="BX351" s="271">
        <f>IF(Tech_Specs!$E15="logistic",IF(Tech_Specs!$K15="lamp",Perform_SSL!V$14,Perform_SSL!V$15),)*Perform_Active!$I16/1000</f>
        <v>0</v>
      </c>
      <c r="BY351" s="271">
        <f>IF(Tech_Specs!$E15="logistic",IF(Tech_Specs!$K15="lamp",Perform_SSL!W$14,Perform_SSL!W$15),)*Perform_Active!$I16/1000</f>
        <v>0</v>
      </c>
      <c r="BZ351" s="271">
        <f>IF(Tech_Specs!$E15="logistic",IF(Tech_Specs!$K15="lamp",Perform_SSL!X$14,Perform_SSL!X$15),)*Perform_Active!$I16/1000</f>
        <v>0</v>
      </c>
      <c r="CA351" s="271">
        <f>IF(Tech_Specs!$E15="logistic",IF(Tech_Specs!$K15="lamp",Perform_SSL!Y$14,Perform_SSL!Y$15),)*Perform_Active!$I16/1000</f>
        <v>0</v>
      </c>
      <c r="CB351" s="271">
        <f>IF(Tech_Specs!$E15="logistic",IF(Tech_Specs!$K15="lamp",Perform_SSL!Z$14,Perform_SSL!Z$15),)*Perform_Active!$I16/1000</f>
        <v>0</v>
      </c>
      <c r="CC351" s="271">
        <f>IF(Tech_Specs!$E15="logistic",IF(Tech_Specs!$K15="lamp",Perform_SSL!AA$14,Perform_SSL!AA$15),)*Perform_Active!$I16/1000</f>
        <v>0</v>
      </c>
      <c r="CD351" s="271">
        <f>IF(Tech_Specs!$E15="logistic",IF(Tech_Specs!$K15="lamp",Perform_SSL!AB$14,Perform_SSL!AB$15),)*Perform_Active!$I16/1000</f>
        <v>0</v>
      </c>
      <c r="CE351" s="271">
        <f>IF(Tech_Specs!$E15="logistic",IF(Tech_Specs!$K15="lamp",Perform_SSL!AC$14,Perform_SSL!AC$15),)*Perform_Active!$I16/1000</f>
        <v>0</v>
      </c>
      <c r="CF351" s="271">
        <f>IF(Tech_Specs!$E15="logistic",IF(Tech_Specs!$K15="lamp",Perform_SSL!AD$14,Perform_SSL!AD$15),)*Perform_Active!$I16/1000</f>
        <v>0</v>
      </c>
      <c r="CG351" s="271">
        <f>IF(Tech_Specs!$E15="logistic",IF(Tech_Specs!$K15="lamp",Perform_SSL!AE$14,Perform_SSL!AE$15),)*Perform_Active!$I16/1000</f>
        <v>0</v>
      </c>
      <c r="CH351" s="271">
        <f>IF(Tech_Specs!$E15="logistic",IF(Tech_Specs!$K15="lamp",Perform_SSL!AF$14,Perform_SSL!AF$15),)*Perform_Active!$I16/1000</f>
        <v>0</v>
      </c>
      <c r="CJ351" s="271">
        <f>IF(AND(Tech_Specs!$E15="step",Standards_Active!$E16="yes"),IF(CJ$343&lt;Standards_Active!$C16,TREND(Perform_Active!$S16:$T16,Perform_Active!$S$8:$T$8,CJ$343),IF(ISNUMBER(Standards_Active!$M16),IF(AND(CJ$343&gt;=Standards_Active!$C16,CJ$343&lt;Standards_Active!$D16),(Standards_Active!$M16-INDEX($CJ351:$DI351,1,MATCH((Standards_Active!$C16-1),$CJ$343:$DI$343,FALSE)))/(Standards_Active!$D16-(Standards_Active!$C16-1))+CI351,Standards_Active!$M16*((1+Standards_Active!$O16)^(CJ$343-Standards_Active!$D16))),TREND(Perform_Active!$S16:$T16,Perform_Active!$S$8:$T$8,CJ$343))),)</f>
        <v>0</v>
      </c>
      <c r="CK351" s="271">
        <f>IF(AND(Tech_Specs!$E15="step",Standards_Active!$E16="yes"),IF(CK$343&lt;Standards_Active!$C16,TREND(Perform_Active!$S16:$T16,Perform_Active!$S$8:$T$8,CK$343),IF(ISNUMBER(Standards_Active!$M16),IF(AND(CK$343&gt;=Standards_Active!$C16,CK$343&lt;Standards_Active!$D16),(Standards_Active!$M16-INDEX($CJ351:$DI351,1,MATCH((Standards_Active!$C16-1),$CJ$343:$DI$343,FALSE)))/(Standards_Active!$D16-(Standards_Active!$C16-1))+CJ351,Standards_Active!$M16*((1+Standards_Active!$O16)^(CK$343-Standards_Active!$D16))),TREND(Perform_Active!$S16:$T16,Perform_Active!$S$8:$T$8,CK$343))),)</f>
        <v>0</v>
      </c>
      <c r="CL351" s="271">
        <f>IF(AND(Tech_Specs!$E15="step",Standards_Active!$E16="yes"),IF(CL$343&lt;Standards_Active!$C16,TREND(Perform_Active!$S16:$T16,Perform_Active!$S$8:$T$8,CL$343),IF(ISNUMBER(Standards_Active!$M16),IF(AND(CL$343&gt;=Standards_Active!$C16,CL$343&lt;Standards_Active!$D16),(Standards_Active!$M16-INDEX($CJ351:$DI351,1,MATCH((Standards_Active!$C16-1),$CJ$343:$DI$343,FALSE)))/(Standards_Active!$D16-(Standards_Active!$C16-1))+CK351,Standards_Active!$M16*((1+Standards_Active!$O16)^(CL$343-Standards_Active!$D16))),TREND(Perform_Active!$S16:$T16,Perform_Active!$S$8:$T$8,CL$343))),)</f>
        <v>0</v>
      </c>
      <c r="CM351" s="271">
        <f>IF(AND(Tech_Specs!$E15="step",Standards_Active!$E16="yes"),IF(CM$343&lt;Standards_Active!$C16,TREND(Perform_Active!$S16:$T16,Perform_Active!$S$8:$T$8,CM$343),IF(ISNUMBER(Standards_Active!$M16),IF(AND(CM$343&gt;=Standards_Active!$C16,CM$343&lt;Standards_Active!$D16),(Standards_Active!$M16-INDEX($CJ351:$DI351,1,MATCH((Standards_Active!$C16-1),$CJ$343:$DI$343,FALSE)))/(Standards_Active!$D16-(Standards_Active!$C16-1))+CL351,Standards_Active!$M16*((1+Standards_Active!$O16)^(CM$343-Standards_Active!$D16))),TREND(Perform_Active!$S16:$T16,Perform_Active!$S$8:$T$8,CM$343))),)</f>
        <v>0</v>
      </c>
      <c r="CN351" s="271">
        <f>IF(AND(Tech_Specs!$E15="step",Standards_Active!$E16="yes"),IF(CN$343&lt;Standards_Active!$C16,TREND(Perform_Active!$S16:$T16,Perform_Active!$S$8:$T$8,CN$343),IF(ISNUMBER(Standards_Active!$M16),IF(AND(CN$343&gt;=Standards_Active!$C16,CN$343&lt;Standards_Active!$D16),(Standards_Active!$M16-INDEX($CJ351:$DI351,1,MATCH((Standards_Active!$C16-1),$CJ$343:$DI$343,FALSE)))/(Standards_Active!$D16-(Standards_Active!$C16-1))+CM351,Standards_Active!$M16*((1+Standards_Active!$O16)^(CN$343-Standards_Active!$D16))),TREND(Perform_Active!$S16:$T16,Perform_Active!$S$8:$T$8,CN$343))),)</f>
        <v>0</v>
      </c>
      <c r="CO351" s="271">
        <f>IF(AND(Tech_Specs!$E15="step",Standards_Active!$E16="yes"),IF(CO$343&lt;Standards_Active!$C16,TREND(Perform_Active!$S16:$T16,Perform_Active!$S$8:$T$8,CO$343),IF(ISNUMBER(Standards_Active!$M16),IF(AND(CO$343&gt;=Standards_Active!$C16,CO$343&lt;Standards_Active!$D16),(Standards_Active!$M16-INDEX($CJ351:$DI351,1,MATCH((Standards_Active!$C16-1),$CJ$343:$DI$343,FALSE)))/(Standards_Active!$D16-(Standards_Active!$C16-1))+CN351,Standards_Active!$M16*((1+Standards_Active!$O16)^(CO$343-Standards_Active!$D16))),TREND(Perform_Active!$S16:$T16,Perform_Active!$S$8:$T$8,CO$343))),)</f>
        <v>0</v>
      </c>
      <c r="CP351" s="271">
        <f>IF(AND(Tech_Specs!$E15="step",Standards_Active!$E16="yes"),IF(CP$343&lt;Standards_Active!$C16,TREND(Perform_Active!$S16:$T16,Perform_Active!$S$8:$T$8,CP$343),IF(ISNUMBER(Standards_Active!$M16),IF(AND(CP$343&gt;=Standards_Active!$C16,CP$343&lt;Standards_Active!$D16),(Standards_Active!$M16-INDEX($CJ351:$DI351,1,MATCH((Standards_Active!$C16-1),$CJ$343:$DI$343,FALSE)))/(Standards_Active!$D16-(Standards_Active!$C16-1))+CO351,Standards_Active!$M16*((1+Standards_Active!$O16)^(CP$343-Standards_Active!$D16))),TREND(Perform_Active!$S16:$T16,Perform_Active!$S$8:$T$8,CP$343))),)</f>
        <v>0</v>
      </c>
      <c r="CQ351" s="271">
        <f>IF(AND(Tech_Specs!$E15="step",Standards_Active!$E16="yes"),IF(CQ$343&lt;Standards_Active!$C16,TREND(Perform_Active!$S16:$T16,Perform_Active!$S$8:$T$8,CQ$343),IF(ISNUMBER(Standards_Active!$M16),IF(AND(CQ$343&gt;=Standards_Active!$C16,CQ$343&lt;Standards_Active!$D16),(Standards_Active!$M16-INDEX($CJ351:$DI351,1,MATCH((Standards_Active!$C16-1),$CJ$343:$DI$343,FALSE)))/(Standards_Active!$D16-(Standards_Active!$C16-1))+CP351,Standards_Active!$M16*((1+Standards_Active!$O16)^(CQ$343-Standards_Active!$D16))),TREND(Perform_Active!$S16:$T16,Perform_Active!$S$8:$T$8,CQ$343))),)</f>
        <v>0</v>
      </c>
      <c r="CR351" s="271">
        <f>IF(AND(Tech_Specs!$E15="step",Standards_Active!$E16="yes"),IF(CR$343&lt;Standards_Active!$C16,TREND(Perform_Active!$S16:$T16,Perform_Active!$S$8:$T$8,CR$343),IF(ISNUMBER(Standards_Active!$M16),IF(AND(CR$343&gt;=Standards_Active!$C16,CR$343&lt;Standards_Active!$D16),(Standards_Active!$M16-INDEX($CJ351:$DI351,1,MATCH((Standards_Active!$C16-1),$CJ$343:$DI$343,FALSE)))/(Standards_Active!$D16-(Standards_Active!$C16-1))+CQ351,Standards_Active!$M16*((1+Standards_Active!$O16)^(CR$343-Standards_Active!$D16))),TREND(Perform_Active!$S16:$T16,Perform_Active!$S$8:$T$8,CR$343))),)</f>
        <v>0</v>
      </c>
      <c r="CS351" s="271">
        <f>IF(AND(Tech_Specs!$E15="step",Standards_Active!$E16="yes"),IF(CS$343&lt;Standards_Active!$C16,TREND(Perform_Active!$S16:$T16,Perform_Active!$S$8:$T$8,CS$343),IF(ISNUMBER(Standards_Active!$M16),IF(AND(CS$343&gt;=Standards_Active!$C16,CS$343&lt;Standards_Active!$D16),(Standards_Active!$M16-INDEX($CJ351:$DI351,1,MATCH((Standards_Active!$C16-1),$CJ$343:$DI$343,FALSE)))/(Standards_Active!$D16-(Standards_Active!$C16-1))+CR351,Standards_Active!$M16*((1+Standards_Active!$O16)^(CS$343-Standards_Active!$D16))),TREND(Perform_Active!$S16:$T16,Perform_Active!$S$8:$T$8,CS$343))),)</f>
        <v>0</v>
      </c>
      <c r="CT351" s="271">
        <f>IF(AND(Tech_Specs!$E15="step",Standards_Active!$E16="yes"),IF(CT$343&lt;Standards_Active!$C16,TREND(Perform_Active!$S16:$T16,Perform_Active!$S$8:$T$8,CT$343),IF(ISNUMBER(Standards_Active!$M16),IF(AND(CT$343&gt;=Standards_Active!$C16,CT$343&lt;Standards_Active!$D16),(Standards_Active!$M16-INDEX($CJ351:$DI351,1,MATCH((Standards_Active!$C16-1),$CJ$343:$DI$343,FALSE)))/(Standards_Active!$D16-(Standards_Active!$C16-1))+CS351,Standards_Active!$M16*((1+Standards_Active!$O16)^(CT$343-Standards_Active!$D16))),TREND(Perform_Active!$S16:$T16,Perform_Active!$S$8:$T$8,CT$343))),)</f>
        <v>0</v>
      </c>
      <c r="CU351" s="271">
        <f>IF(AND(Tech_Specs!$E15="step",Standards_Active!$E16="yes"),IF(CU$343&lt;Standards_Active!$C16,TREND(Perform_Active!$S16:$T16,Perform_Active!$S$8:$T$8,CU$343),IF(ISNUMBER(Standards_Active!$M16),IF(AND(CU$343&gt;=Standards_Active!$C16,CU$343&lt;Standards_Active!$D16),(Standards_Active!$M16-INDEX($CJ351:$DI351,1,MATCH((Standards_Active!$C16-1),$CJ$343:$DI$343,FALSE)))/(Standards_Active!$D16-(Standards_Active!$C16-1))+CT351,Standards_Active!$M16*((1+Standards_Active!$O16)^(CU$343-Standards_Active!$D16))),TREND(Perform_Active!$S16:$T16,Perform_Active!$S$8:$T$8,CU$343))),)</f>
        <v>0</v>
      </c>
      <c r="CV351" s="271">
        <f>IF(AND(Tech_Specs!$E15="step",Standards_Active!$E16="yes"),IF(CV$343&lt;Standards_Active!$C16,TREND(Perform_Active!$S16:$T16,Perform_Active!$S$8:$T$8,CV$343),IF(ISNUMBER(Standards_Active!$M16),IF(AND(CV$343&gt;=Standards_Active!$C16,CV$343&lt;Standards_Active!$D16),(Standards_Active!$M16-INDEX($CJ351:$DI351,1,MATCH((Standards_Active!$C16-1),$CJ$343:$DI$343,FALSE)))/(Standards_Active!$D16-(Standards_Active!$C16-1))+CU351,Standards_Active!$M16*((1+Standards_Active!$O16)^(CV$343-Standards_Active!$D16))),TREND(Perform_Active!$S16:$T16,Perform_Active!$S$8:$T$8,CV$343))),)</f>
        <v>0</v>
      </c>
      <c r="CW351" s="271">
        <f>IF(AND(Tech_Specs!$E15="step",Standards_Active!$E16="yes"),IF(CW$343&lt;Standards_Active!$C16,TREND(Perform_Active!$S16:$T16,Perform_Active!$S$8:$T$8,CW$343),IF(ISNUMBER(Standards_Active!$M16),IF(AND(CW$343&gt;=Standards_Active!$C16,CW$343&lt;Standards_Active!$D16),(Standards_Active!$M16-INDEX($CJ351:$DI351,1,MATCH((Standards_Active!$C16-1),$CJ$343:$DI$343,FALSE)))/(Standards_Active!$D16-(Standards_Active!$C16-1))+CV351,Standards_Active!$M16*((1+Standards_Active!$O16)^(CW$343-Standards_Active!$D16))),TREND(Perform_Active!$S16:$T16,Perform_Active!$S$8:$T$8,CW$343))),)</f>
        <v>0</v>
      </c>
      <c r="CX351" s="271">
        <f>IF(AND(Tech_Specs!$E15="step",Standards_Active!$E16="yes"),IF(CX$343&lt;Standards_Active!$C16,TREND(Perform_Active!$S16:$T16,Perform_Active!$S$8:$T$8,CX$343),IF(ISNUMBER(Standards_Active!$M16),IF(AND(CX$343&gt;=Standards_Active!$C16,CX$343&lt;Standards_Active!$D16),(Standards_Active!$M16-INDEX($CJ351:$DI351,1,MATCH((Standards_Active!$C16-1),$CJ$343:$DI$343,FALSE)))/(Standards_Active!$D16-(Standards_Active!$C16-1))+CW351,Standards_Active!$M16*((1+Standards_Active!$O16)^(CX$343-Standards_Active!$D16))),TREND(Perform_Active!$S16:$T16,Perform_Active!$S$8:$T$8,CX$343))),)</f>
        <v>0</v>
      </c>
      <c r="CY351" s="271">
        <f>IF(AND(Tech_Specs!$E15="step",Standards_Active!$E16="yes"),IF(CY$343&lt;Standards_Active!$C16,TREND(Perform_Active!$S16:$T16,Perform_Active!$S$8:$T$8,CY$343),IF(ISNUMBER(Standards_Active!$M16),IF(AND(CY$343&gt;=Standards_Active!$C16,CY$343&lt;Standards_Active!$D16),(Standards_Active!$M16-INDEX($CJ351:$DI351,1,MATCH((Standards_Active!$C16-1),$CJ$343:$DI$343,FALSE)))/(Standards_Active!$D16-(Standards_Active!$C16-1))+CX351,Standards_Active!$M16*((1+Standards_Active!$O16)^(CY$343-Standards_Active!$D16))),TREND(Perform_Active!$S16:$T16,Perform_Active!$S$8:$T$8,CY$343))),)</f>
        <v>0</v>
      </c>
      <c r="CZ351" s="271">
        <f>IF(AND(Tech_Specs!$E15="step",Standards_Active!$E16="yes"),IF(CZ$343&lt;Standards_Active!$C16,TREND(Perform_Active!$S16:$T16,Perform_Active!$S$8:$T$8,CZ$343),IF(ISNUMBER(Standards_Active!$M16),IF(AND(CZ$343&gt;=Standards_Active!$C16,CZ$343&lt;Standards_Active!$D16),(Standards_Active!$M16-INDEX($CJ351:$DI351,1,MATCH((Standards_Active!$C16-1),$CJ$343:$DI$343,FALSE)))/(Standards_Active!$D16-(Standards_Active!$C16-1))+CY351,Standards_Active!$M16*((1+Standards_Active!$O16)^(CZ$343-Standards_Active!$D16))),TREND(Perform_Active!$S16:$T16,Perform_Active!$S$8:$T$8,CZ$343))),)</f>
        <v>0</v>
      </c>
      <c r="DA351" s="271">
        <f>IF(AND(Tech_Specs!$E15="step",Standards_Active!$E16="yes"),IF(DA$343&lt;Standards_Active!$C16,TREND(Perform_Active!$S16:$T16,Perform_Active!$S$8:$T$8,DA$343),IF(ISNUMBER(Standards_Active!$M16),IF(AND(DA$343&gt;=Standards_Active!$C16,DA$343&lt;Standards_Active!$D16),(Standards_Active!$M16-INDEX($CJ351:$DI351,1,MATCH((Standards_Active!$C16-1),$CJ$343:$DI$343,FALSE)))/(Standards_Active!$D16-(Standards_Active!$C16-1))+CZ351,Standards_Active!$M16*((1+Standards_Active!$O16)^(DA$343-Standards_Active!$D16))),TREND(Perform_Active!$S16:$T16,Perform_Active!$S$8:$T$8,DA$343))),)</f>
        <v>0</v>
      </c>
      <c r="DB351" s="271">
        <f>IF(AND(Tech_Specs!$E15="step",Standards_Active!$E16="yes"),IF(DB$343&lt;Standards_Active!$C16,TREND(Perform_Active!$S16:$T16,Perform_Active!$S$8:$T$8,DB$343),IF(ISNUMBER(Standards_Active!$M16),IF(AND(DB$343&gt;=Standards_Active!$C16,DB$343&lt;Standards_Active!$D16),(Standards_Active!$M16-INDEX($CJ351:$DI351,1,MATCH((Standards_Active!$C16-1),$CJ$343:$DI$343,FALSE)))/(Standards_Active!$D16-(Standards_Active!$C16-1))+DA351,Standards_Active!$M16*((1+Standards_Active!$O16)^(DB$343-Standards_Active!$D16))),TREND(Perform_Active!$S16:$T16,Perform_Active!$S$8:$T$8,DB$343))),)</f>
        <v>0</v>
      </c>
      <c r="DC351" s="271">
        <f>IF(AND(Tech_Specs!$E15="step",Standards_Active!$E16="yes"),IF(DC$343&lt;Standards_Active!$C16,TREND(Perform_Active!$S16:$T16,Perform_Active!$S$8:$T$8,DC$343),IF(ISNUMBER(Standards_Active!$M16),IF(AND(DC$343&gt;=Standards_Active!$C16,DC$343&lt;Standards_Active!$D16),(Standards_Active!$M16-INDEX($CJ351:$DI351,1,MATCH((Standards_Active!$C16-1),$CJ$343:$DI$343,FALSE)))/(Standards_Active!$D16-(Standards_Active!$C16-1))+DB351,Standards_Active!$M16*((1+Standards_Active!$O16)^(DC$343-Standards_Active!$D16))),TREND(Perform_Active!$S16:$T16,Perform_Active!$S$8:$T$8,DC$343))),)</f>
        <v>0</v>
      </c>
      <c r="DD351" s="271">
        <f>IF(AND(Tech_Specs!$E15="step",Standards_Active!$E16="yes"),IF(DD$343&lt;Standards_Active!$C16,TREND(Perform_Active!$S16:$T16,Perform_Active!$S$8:$T$8,DD$343),IF(ISNUMBER(Standards_Active!$M16),IF(AND(DD$343&gt;=Standards_Active!$C16,DD$343&lt;Standards_Active!$D16),(Standards_Active!$M16-INDEX($CJ351:$DI351,1,MATCH((Standards_Active!$C16-1),$CJ$343:$DI$343,FALSE)))/(Standards_Active!$D16-(Standards_Active!$C16-1))+DC351,Standards_Active!$M16*((1+Standards_Active!$O16)^(DD$343-Standards_Active!$D16))),TREND(Perform_Active!$S16:$T16,Perform_Active!$S$8:$T$8,DD$343))),)</f>
        <v>0</v>
      </c>
      <c r="DE351" s="271">
        <f>IF(AND(Tech_Specs!$E15="step",Standards_Active!$E16="yes"),IF(DE$343&lt;Standards_Active!$C16,TREND(Perform_Active!$S16:$T16,Perform_Active!$S$8:$T$8,DE$343),IF(ISNUMBER(Standards_Active!$M16),IF(AND(DE$343&gt;=Standards_Active!$C16,DE$343&lt;Standards_Active!$D16),(Standards_Active!$M16-INDEX($CJ351:$DI351,1,MATCH((Standards_Active!$C16-1),$CJ$343:$DI$343,FALSE)))/(Standards_Active!$D16-(Standards_Active!$C16-1))+DD351,Standards_Active!$M16*((1+Standards_Active!$O16)^(DE$343-Standards_Active!$D16))),TREND(Perform_Active!$S16:$T16,Perform_Active!$S$8:$T$8,DE$343))),)</f>
        <v>0</v>
      </c>
      <c r="DF351" s="271">
        <f>IF(AND(Tech_Specs!$E15="step",Standards_Active!$E16="yes"),IF(DF$343&lt;Standards_Active!$C16,TREND(Perform_Active!$S16:$T16,Perform_Active!$S$8:$T$8,DF$343),IF(ISNUMBER(Standards_Active!$M16),IF(AND(DF$343&gt;=Standards_Active!$C16,DF$343&lt;Standards_Active!$D16),(Standards_Active!$M16-INDEX($CJ351:$DI351,1,MATCH((Standards_Active!$C16-1),$CJ$343:$DI$343,FALSE)))/(Standards_Active!$D16-(Standards_Active!$C16-1))+DE351,Standards_Active!$M16*((1+Standards_Active!$O16)^(DF$343-Standards_Active!$D16))),TREND(Perform_Active!$S16:$T16,Perform_Active!$S$8:$T$8,DF$343))),)</f>
        <v>0</v>
      </c>
      <c r="DG351" s="271">
        <f>IF(AND(Tech_Specs!$E15="step",Standards_Active!$E16="yes"),IF(DG$343&lt;Standards_Active!$C16,TREND(Perform_Active!$S16:$T16,Perform_Active!$S$8:$T$8,DG$343),IF(ISNUMBER(Standards_Active!$M16),IF(AND(DG$343&gt;=Standards_Active!$C16,DG$343&lt;Standards_Active!$D16),(Standards_Active!$M16-INDEX($CJ351:$DI351,1,MATCH((Standards_Active!$C16-1),$CJ$343:$DI$343,FALSE)))/(Standards_Active!$D16-(Standards_Active!$C16-1))+DF351,Standards_Active!$M16*((1+Standards_Active!$O16)^(DG$343-Standards_Active!$D16))),TREND(Perform_Active!$S16:$T16,Perform_Active!$S$8:$T$8,DG$343))),)</f>
        <v>0</v>
      </c>
      <c r="DH351" s="271">
        <f>IF(AND(Tech_Specs!$E15="step",Standards_Active!$E16="yes"),IF(DH$343&lt;Standards_Active!$C16,TREND(Perform_Active!$S16:$T16,Perform_Active!$S$8:$T$8,DH$343),IF(ISNUMBER(Standards_Active!$M16),IF(AND(DH$343&gt;=Standards_Active!$C16,DH$343&lt;Standards_Active!$D16),(Standards_Active!$M16-INDEX($CJ351:$DI351,1,MATCH((Standards_Active!$C16-1),$CJ$343:$DI$343,FALSE)))/(Standards_Active!$D16-(Standards_Active!$C16-1))+DG351,Standards_Active!$M16*((1+Standards_Active!$O16)^(DH$343-Standards_Active!$D16))),TREND(Perform_Active!$S16:$T16,Perform_Active!$S$8:$T$8,DH$343))),)</f>
        <v>0</v>
      </c>
      <c r="DI351" s="271">
        <f>IF(AND(Tech_Specs!$E15="step",Standards_Active!$E16="yes"),IF(DI$343&lt;Standards_Active!$C16,TREND(Perform_Active!$S16:$T16,Perform_Active!$S$8:$T$8,DI$343),IF(ISNUMBER(Standards_Active!$M16),IF(AND(DI$343&gt;=Standards_Active!$C16,DI$343&lt;Standards_Active!$D16),(Standards_Active!$M16-INDEX($CJ351:$DI351,1,MATCH((Standards_Active!$C16-1),$CJ$343:$DI$343,FALSE)))/(Standards_Active!$D16-(Standards_Active!$C16-1))+DH351,Standards_Active!$M16*((1+Standards_Active!$O16)^(DI$343-Standards_Active!$D16))),TREND(Perform_Active!$S16:$T16,Perform_Active!$S$8:$T$8,DI$343))),)</f>
        <v>0</v>
      </c>
    </row>
    <row r="352" spans="1:113" s="302" customFormat="1" ht="12.75" x14ac:dyDescent="0.2">
      <c r="A352" s="306"/>
      <c r="B352" s="306" t="s">
        <v>34</v>
      </c>
      <c r="D352" s="550"/>
      <c r="E352" s="550"/>
      <c r="F352" s="550"/>
      <c r="G352" s="272">
        <f t="shared" si="54"/>
        <v>4.7000000000000028</v>
      </c>
      <c r="H352" s="272">
        <f t="shared" si="54"/>
        <v>4.6765000000000043</v>
      </c>
      <c r="I352" s="272">
        <f t="shared" si="54"/>
        <v>5.5643333333333365</v>
      </c>
      <c r="J352" s="272">
        <f t="shared" si="54"/>
        <v>6.4521666666666686</v>
      </c>
      <c r="K352" s="272">
        <f t="shared" si="54"/>
        <v>7.34</v>
      </c>
      <c r="L352" s="272">
        <f t="shared" si="54"/>
        <v>7.3033000000000001</v>
      </c>
      <c r="M352" s="272">
        <f t="shared" si="54"/>
        <v>7.2667834999999998</v>
      </c>
      <c r="N352" s="272">
        <f t="shared" si="54"/>
        <v>7.2304495825000004</v>
      </c>
      <c r="O352" s="272">
        <f t="shared" si="54"/>
        <v>7.1942973345875005</v>
      </c>
      <c r="P352" s="272">
        <f t="shared" si="54"/>
        <v>7.1583258479145631</v>
      </c>
      <c r="Q352" s="272">
        <f t="shared" si="55"/>
        <v>7.12253421867499</v>
      </c>
      <c r="R352" s="272">
        <f t="shared" si="55"/>
        <v>7.086921547581615</v>
      </c>
      <c r="S352" s="272">
        <f t="shared" si="55"/>
        <v>7.0514869398437074</v>
      </c>
      <c r="T352" s="272">
        <f t="shared" si="55"/>
        <v>7.0162295051444881</v>
      </c>
      <c r="U352" s="272">
        <f t="shared" si="55"/>
        <v>6.9811483576187658</v>
      </c>
      <c r="V352" s="272">
        <f t="shared" si="55"/>
        <v>6.9462426158306716</v>
      </c>
      <c r="W352" s="272">
        <f t="shared" si="55"/>
        <v>6.9115114027515192</v>
      </c>
      <c r="X352" s="272">
        <f t="shared" si="55"/>
        <v>6.8769538457377619</v>
      </c>
      <c r="Y352" s="272">
        <f t="shared" si="55"/>
        <v>6.8425690765090739</v>
      </c>
      <c r="Z352" s="272">
        <f t="shared" si="55"/>
        <v>6.8083562311265275</v>
      </c>
      <c r="AA352" s="272">
        <f t="shared" si="56"/>
        <v>6.7743144499708947</v>
      </c>
      <c r="AB352" s="272">
        <f t="shared" si="56"/>
        <v>6.7404428777210406</v>
      </c>
      <c r="AC352" s="272">
        <f t="shared" si="56"/>
        <v>6.7067406633324351</v>
      </c>
      <c r="AD352" s="272">
        <f t="shared" si="56"/>
        <v>6.6732069600157731</v>
      </c>
      <c r="AE352" s="272">
        <f t="shared" si="56"/>
        <v>6.6398409252156947</v>
      </c>
      <c r="AF352" s="272">
        <f t="shared" si="56"/>
        <v>6.6066417205896162</v>
      </c>
      <c r="AH352" s="271">
        <f>IF(Tech_Specs!$E16="linear",TREND(Perform_Active!$S17:$T17,Perform_Active!$S$8:$T$8,AH$343),)</f>
        <v>0</v>
      </c>
      <c r="AI352" s="271">
        <f>IF(Tech_Specs!$E16="linear",TREND(Perform_Active!$S17:$T17,Perform_Active!$S$8:$T$8,AI$343),)</f>
        <v>0</v>
      </c>
      <c r="AJ352" s="271">
        <f>IF(Tech_Specs!$E16="linear",TREND(Perform_Active!$S17:$T17,Perform_Active!$S$8:$T$8,AJ$343),)</f>
        <v>0</v>
      </c>
      <c r="AK352" s="271">
        <f>IF(Tech_Specs!$E16="linear",TREND(Perform_Active!$S17:$T17,Perform_Active!$S$8:$T$8,AK$343),)</f>
        <v>0</v>
      </c>
      <c r="AL352" s="271">
        <f>IF(Tech_Specs!$E16="linear",TREND(Perform_Active!$S17:$T17,Perform_Active!$S$8:$T$8,AL$343),)</f>
        <v>0</v>
      </c>
      <c r="AM352" s="271">
        <f>IF(Tech_Specs!$E16="linear",TREND(Perform_Active!$S17:$T17,Perform_Active!$S$8:$T$8,AM$343),)</f>
        <v>0</v>
      </c>
      <c r="AN352" s="271">
        <f>IF(Tech_Specs!$E16="linear",TREND(Perform_Active!$S17:$T17,Perform_Active!$S$8:$T$8,AN$343),)</f>
        <v>0</v>
      </c>
      <c r="AO352" s="271">
        <f>IF(Tech_Specs!$E16="linear",TREND(Perform_Active!$S17:$T17,Perform_Active!$S$8:$T$8,AO$343),)</f>
        <v>0</v>
      </c>
      <c r="AP352" s="271">
        <f>IF(Tech_Specs!$E16="linear",TREND(Perform_Active!$S17:$T17,Perform_Active!$S$8:$T$8,AP$343),)</f>
        <v>0</v>
      </c>
      <c r="AQ352" s="271">
        <f>IF(Tech_Specs!$E16="linear",TREND(Perform_Active!$S17:$T17,Perform_Active!$S$8:$T$8,AQ$343),)</f>
        <v>0</v>
      </c>
      <c r="AR352" s="271">
        <f>IF(Tech_Specs!$E16="linear",TREND(Perform_Active!$S17:$T17,Perform_Active!$S$8:$T$8,AR$343),)</f>
        <v>0</v>
      </c>
      <c r="AS352" s="271">
        <f>IF(Tech_Specs!$E16="linear",TREND(Perform_Active!$S17:$T17,Perform_Active!$S$8:$T$8,AS$343),)</f>
        <v>0</v>
      </c>
      <c r="AT352" s="271">
        <f>IF(Tech_Specs!$E16="linear",TREND(Perform_Active!$S17:$T17,Perform_Active!$S$8:$T$8,AT$343),)</f>
        <v>0</v>
      </c>
      <c r="AU352" s="271">
        <f>IF(Tech_Specs!$E16="linear",TREND(Perform_Active!$S17:$T17,Perform_Active!$S$8:$T$8,AU$343),)</f>
        <v>0</v>
      </c>
      <c r="AV352" s="271">
        <f>IF(Tech_Specs!$E16="linear",TREND(Perform_Active!$S17:$T17,Perform_Active!$S$8:$T$8,AV$343),)</f>
        <v>0</v>
      </c>
      <c r="AW352" s="271">
        <f>IF(Tech_Specs!$E16="linear",TREND(Perform_Active!$S17:$T17,Perform_Active!$S$8:$T$8,AW$343),)</f>
        <v>0</v>
      </c>
      <c r="AX352" s="271">
        <f>IF(Tech_Specs!$E16="linear",TREND(Perform_Active!$S17:$T17,Perform_Active!$S$8:$T$8,AX$343),)</f>
        <v>0</v>
      </c>
      <c r="AY352" s="271">
        <f>IF(Tech_Specs!$E16="linear",TREND(Perform_Active!$S17:$T17,Perform_Active!$S$8:$T$8,AY$343),)</f>
        <v>0</v>
      </c>
      <c r="AZ352" s="271">
        <f>IF(Tech_Specs!$E16="linear",TREND(Perform_Active!$S17:$T17,Perform_Active!$S$8:$T$8,AZ$343),)</f>
        <v>0</v>
      </c>
      <c r="BA352" s="271">
        <f>IF(Tech_Specs!$E16="linear",TREND(Perform_Active!$S17:$T17,Perform_Active!$S$8:$T$8,BA$343),)</f>
        <v>0</v>
      </c>
      <c r="BB352" s="271">
        <f>IF(Tech_Specs!$E16="linear",TREND(Perform_Active!$S17:$T17,Perform_Active!$S$8:$T$8,BB$343),)</f>
        <v>0</v>
      </c>
      <c r="BC352" s="271">
        <f>IF(Tech_Specs!$E16="linear",TREND(Perform_Active!$S17:$T17,Perform_Active!$S$8:$T$8,BC$343),)</f>
        <v>0</v>
      </c>
      <c r="BD352" s="271">
        <f>IF(Tech_Specs!$E16="linear",TREND(Perform_Active!$S17:$T17,Perform_Active!$S$8:$T$8,BD$343),)</f>
        <v>0</v>
      </c>
      <c r="BE352" s="271">
        <f>IF(Tech_Specs!$E16="linear",TREND(Perform_Active!$S17:$T17,Perform_Active!$S$8:$T$8,BE$343),)</f>
        <v>0</v>
      </c>
      <c r="BF352" s="271">
        <f>IF(Tech_Specs!$E16="linear",TREND(Perform_Active!$S17:$T17,Perform_Active!$S$8:$T$8,BF$343),)</f>
        <v>0</v>
      </c>
      <c r="BG352" s="271">
        <f>IF(Tech_Specs!$E16="linear",TREND(Perform_Active!$S17:$T17,Perform_Active!$S$8:$T$8,BG$343),)</f>
        <v>0</v>
      </c>
      <c r="BI352" s="271">
        <f>IF(Tech_Specs!$E16="logistic",IF(Tech_Specs!$K16="lamp",Perform_SSL!G$14,Perform_SSL!G$15),)*Perform_Active!$I17/1000</f>
        <v>0</v>
      </c>
      <c r="BJ352" s="271">
        <f>IF(Tech_Specs!$E16="logistic",IF(Tech_Specs!$K16="lamp",Perform_SSL!H$14,Perform_SSL!H$15),)*Perform_Active!$I17/1000</f>
        <v>0</v>
      </c>
      <c r="BK352" s="271">
        <f>IF(Tech_Specs!$E16="logistic",IF(Tech_Specs!$K16="lamp",Perform_SSL!I$14,Perform_SSL!I$15),)*Perform_Active!$I17/1000</f>
        <v>0</v>
      </c>
      <c r="BL352" s="271">
        <f>IF(Tech_Specs!$E16="logistic",IF(Tech_Specs!$K16="lamp",Perform_SSL!J$14,Perform_SSL!J$15),)*Perform_Active!$I17/1000</f>
        <v>0</v>
      </c>
      <c r="BM352" s="271">
        <f>IF(Tech_Specs!$E16="logistic",IF(Tech_Specs!$K16="lamp",Perform_SSL!K$14,Perform_SSL!K$15),)*Perform_Active!$I17/1000</f>
        <v>0</v>
      </c>
      <c r="BN352" s="271">
        <f>IF(Tech_Specs!$E16="logistic",IF(Tech_Specs!$K16="lamp",Perform_SSL!L$14,Perform_SSL!L$15),)*Perform_Active!$I17/1000</f>
        <v>0</v>
      </c>
      <c r="BO352" s="271">
        <f>IF(Tech_Specs!$E16="logistic",IF(Tech_Specs!$K16="lamp",Perform_SSL!M$14,Perform_SSL!M$15),)*Perform_Active!$I17/1000</f>
        <v>0</v>
      </c>
      <c r="BP352" s="271">
        <f>IF(Tech_Specs!$E16="logistic",IF(Tech_Specs!$K16="lamp",Perform_SSL!N$14,Perform_SSL!N$15),)*Perform_Active!$I17/1000</f>
        <v>0</v>
      </c>
      <c r="BQ352" s="271">
        <f>IF(Tech_Specs!$E16="logistic",IF(Tech_Specs!$K16="lamp",Perform_SSL!O$14,Perform_SSL!O$15),)*Perform_Active!$I17/1000</f>
        <v>0</v>
      </c>
      <c r="BR352" s="271">
        <f>IF(Tech_Specs!$E16="logistic",IF(Tech_Specs!$K16="lamp",Perform_SSL!P$14,Perform_SSL!P$15),)*Perform_Active!$I17/1000</f>
        <v>0</v>
      </c>
      <c r="BS352" s="271">
        <f>IF(Tech_Specs!$E16="logistic",IF(Tech_Specs!$K16="lamp",Perform_SSL!Q$14,Perform_SSL!Q$15),)*Perform_Active!$I17/1000</f>
        <v>0</v>
      </c>
      <c r="BT352" s="271">
        <f>IF(Tech_Specs!$E16="logistic",IF(Tech_Specs!$K16="lamp",Perform_SSL!R$14,Perform_SSL!R$15),)*Perform_Active!$I17/1000</f>
        <v>0</v>
      </c>
      <c r="BU352" s="271">
        <f>IF(Tech_Specs!$E16="logistic",IF(Tech_Specs!$K16="lamp",Perform_SSL!S$14,Perform_SSL!S$15),)*Perform_Active!$I17/1000</f>
        <v>0</v>
      </c>
      <c r="BV352" s="271">
        <f>IF(Tech_Specs!$E16="logistic",IF(Tech_Specs!$K16="lamp",Perform_SSL!T$14,Perform_SSL!T$15),)*Perform_Active!$I17/1000</f>
        <v>0</v>
      </c>
      <c r="BW352" s="271">
        <f>IF(Tech_Specs!$E16="logistic",IF(Tech_Specs!$K16="lamp",Perform_SSL!U$14,Perform_SSL!U$15),)*Perform_Active!$I17/1000</f>
        <v>0</v>
      </c>
      <c r="BX352" s="271">
        <f>IF(Tech_Specs!$E16="logistic",IF(Tech_Specs!$K16="lamp",Perform_SSL!V$14,Perform_SSL!V$15),)*Perform_Active!$I17/1000</f>
        <v>0</v>
      </c>
      <c r="BY352" s="271">
        <f>IF(Tech_Specs!$E16="logistic",IF(Tech_Specs!$K16="lamp",Perform_SSL!W$14,Perform_SSL!W$15),)*Perform_Active!$I17/1000</f>
        <v>0</v>
      </c>
      <c r="BZ352" s="271">
        <f>IF(Tech_Specs!$E16="logistic",IF(Tech_Specs!$K16="lamp",Perform_SSL!X$14,Perform_SSL!X$15),)*Perform_Active!$I17/1000</f>
        <v>0</v>
      </c>
      <c r="CA352" s="271">
        <f>IF(Tech_Specs!$E16="logistic",IF(Tech_Specs!$K16="lamp",Perform_SSL!Y$14,Perform_SSL!Y$15),)*Perform_Active!$I17/1000</f>
        <v>0</v>
      </c>
      <c r="CB352" s="271">
        <f>IF(Tech_Specs!$E16="logistic",IF(Tech_Specs!$K16="lamp",Perform_SSL!Z$14,Perform_SSL!Z$15),)*Perform_Active!$I17/1000</f>
        <v>0</v>
      </c>
      <c r="CC352" s="271">
        <f>IF(Tech_Specs!$E16="logistic",IF(Tech_Specs!$K16="lamp",Perform_SSL!AA$14,Perform_SSL!AA$15),)*Perform_Active!$I17/1000</f>
        <v>0</v>
      </c>
      <c r="CD352" s="271">
        <f>IF(Tech_Specs!$E16="logistic",IF(Tech_Specs!$K16="lamp",Perform_SSL!AB$14,Perform_SSL!AB$15),)*Perform_Active!$I17/1000</f>
        <v>0</v>
      </c>
      <c r="CE352" s="271">
        <f>IF(Tech_Specs!$E16="logistic",IF(Tech_Specs!$K16="lamp",Perform_SSL!AC$14,Perform_SSL!AC$15),)*Perform_Active!$I17/1000</f>
        <v>0</v>
      </c>
      <c r="CF352" s="271">
        <f>IF(Tech_Specs!$E16="logistic",IF(Tech_Specs!$K16="lamp",Perform_SSL!AD$14,Perform_SSL!AD$15),)*Perform_Active!$I17/1000</f>
        <v>0</v>
      </c>
      <c r="CG352" s="271">
        <f>IF(Tech_Specs!$E16="logistic",IF(Tech_Specs!$K16="lamp",Perform_SSL!AE$14,Perform_SSL!AE$15),)*Perform_Active!$I17/1000</f>
        <v>0</v>
      </c>
      <c r="CH352" s="271">
        <f>IF(Tech_Specs!$E16="logistic",IF(Tech_Specs!$K16="lamp",Perform_SSL!AF$14,Perform_SSL!AF$15),)*Perform_Active!$I17/1000</f>
        <v>0</v>
      </c>
      <c r="CJ352" s="271">
        <f>IF(AND(Tech_Specs!$E16="step",Standards_Active!$E17="yes"),IF(CJ$343&lt;Standards_Active!$C17,TREND(Perform_Active!$S17:$T17,Perform_Active!$S$8:$T$8,CJ$343),IF(ISNUMBER(Standards_Active!$M17),IF(AND(CJ$343&gt;=Standards_Active!$C17,CJ$343&lt;Standards_Active!$D17),(Standards_Active!$M17-INDEX($CJ352:$DI352,1,MATCH((Standards_Active!$C17-1),$CJ$343:$DI$343,FALSE)))/(Standards_Active!$D17-(Standards_Active!$C17-1))+CI352,Standards_Active!$M17*((1+Standards_Active!$O17)^(CJ$343-Standards_Active!$D17))),TREND(Perform_Active!$S17:$T17,Perform_Active!$S$8:$T$8,CJ$343))),)</f>
        <v>4.7000000000000028</v>
      </c>
      <c r="CK352" s="271">
        <f>IF(AND(Tech_Specs!$E16="step",Standards_Active!$E17="yes"),IF(CK$343&lt;Standards_Active!$C17,TREND(Perform_Active!$S17:$T17,Perform_Active!$S$8:$T$8,CK$343),IF(ISNUMBER(Standards_Active!$M17),IF(AND(CK$343&gt;=Standards_Active!$C17,CK$343&lt;Standards_Active!$D17),(Standards_Active!$M17-INDEX($CJ352:$DI352,1,MATCH((Standards_Active!$C17-1),$CJ$343:$DI$343,FALSE)))/(Standards_Active!$D17-(Standards_Active!$C17-1))+CJ352,Standards_Active!$M17*((1+Standards_Active!$O17)^(CK$343-Standards_Active!$D17))),TREND(Perform_Active!$S17:$T17,Perform_Active!$S$8:$T$8,CK$343))),)</f>
        <v>4.6765000000000043</v>
      </c>
      <c r="CL352" s="271">
        <f>IF(AND(Tech_Specs!$E16="step",Standards_Active!$E17="yes"),IF(CL$343&lt;Standards_Active!$C17,TREND(Perform_Active!$S17:$T17,Perform_Active!$S$8:$T$8,CL$343),IF(ISNUMBER(Standards_Active!$M17),IF(AND(CL$343&gt;=Standards_Active!$C17,CL$343&lt;Standards_Active!$D17),(Standards_Active!$M17-INDEX($CJ352:$DI352,1,MATCH((Standards_Active!$C17-1),$CJ$343:$DI$343,FALSE)))/(Standards_Active!$D17-(Standards_Active!$C17-1))+CK352,Standards_Active!$M17*((1+Standards_Active!$O17)^(CL$343-Standards_Active!$D17))),TREND(Perform_Active!$S17:$T17,Perform_Active!$S$8:$T$8,CL$343))),)</f>
        <v>5.5643333333333365</v>
      </c>
      <c r="CM352" s="271">
        <f>IF(AND(Tech_Specs!$E16="step",Standards_Active!$E17="yes"),IF(CM$343&lt;Standards_Active!$C17,TREND(Perform_Active!$S17:$T17,Perform_Active!$S$8:$T$8,CM$343),IF(ISNUMBER(Standards_Active!$M17),IF(AND(CM$343&gt;=Standards_Active!$C17,CM$343&lt;Standards_Active!$D17),(Standards_Active!$M17-INDEX($CJ352:$DI352,1,MATCH((Standards_Active!$C17-1),$CJ$343:$DI$343,FALSE)))/(Standards_Active!$D17-(Standards_Active!$C17-1))+CL352,Standards_Active!$M17*((1+Standards_Active!$O17)^(CM$343-Standards_Active!$D17))),TREND(Perform_Active!$S17:$T17,Perform_Active!$S$8:$T$8,CM$343))),)</f>
        <v>6.4521666666666686</v>
      </c>
      <c r="CN352" s="271">
        <f>IF(AND(Tech_Specs!$E16="step",Standards_Active!$E17="yes"),IF(CN$343&lt;Standards_Active!$C17,TREND(Perform_Active!$S17:$T17,Perform_Active!$S$8:$T$8,CN$343),IF(ISNUMBER(Standards_Active!$M17),IF(AND(CN$343&gt;=Standards_Active!$C17,CN$343&lt;Standards_Active!$D17),(Standards_Active!$M17-INDEX($CJ352:$DI352,1,MATCH((Standards_Active!$C17-1),$CJ$343:$DI$343,FALSE)))/(Standards_Active!$D17-(Standards_Active!$C17-1))+CM352,Standards_Active!$M17*((1+Standards_Active!$O17)^(CN$343-Standards_Active!$D17))),TREND(Perform_Active!$S17:$T17,Perform_Active!$S$8:$T$8,CN$343))),)</f>
        <v>7.34</v>
      </c>
      <c r="CO352" s="271">
        <f>IF(AND(Tech_Specs!$E16="step",Standards_Active!$E17="yes"),IF(CO$343&lt;Standards_Active!$C17,TREND(Perform_Active!$S17:$T17,Perform_Active!$S$8:$T$8,CO$343),IF(ISNUMBER(Standards_Active!$M17),IF(AND(CO$343&gt;=Standards_Active!$C17,CO$343&lt;Standards_Active!$D17),(Standards_Active!$M17-INDEX($CJ352:$DI352,1,MATCH((Standards_Active!$C17-1),$CJ$343:$DI$343,FALSE)))/(Standards_Active!$D17-(Standards_Active!$C17-1))+CN352,Standards_Active!$M17*((1+Standards_Active!$O17)^(CO$343-Standards_Active!$D17))),TREND(Perform_Active!$S17:$T17,Perform_Active!$S$8:$T$8,CO$343))),)</f>
        <v>7.3033000000000001</v>
      </c>
      <c r="CP352" s="271">
        <f>IF(AND(Tech_Specs!$E16="step",Standards_Active!$E17="yes"),IF(CP$343&lt;Standards_Active!$C17,TREND(Perform_Active!$S17:$T17,Perform_Active!$S$8:$T$8,CP$343),IF(ISNUMBER(Standards_Active!$M17),IF(AND(CP$343&gt;=Standards_Active!$C17,CP$343&lt;Standards_Active!$D17),(Standards_Active!$M17-INDEX($CJ352:$DI352,1,MATCH((Standards_Active!$C17-1),$CJ$343:$DI$343,FALSE)))/(Standards_Active!$D17-(Standards_Active!$C17-1))+CO352,Standards_Active!$M17*((1+Standards_Active!$O17)^(CP$343-Standards_Active!$D17))),TREND(Perform_Active!$S17:$T17,Perform_Active!$S$8:$T$8,CP$343))),)</f>
        <v>7.2667834999999998</v>
      </c>
      <c r="CQ352" s="271">
        <f>IF(AND(Tech_Specs!$E16="step",Standards_Active!$E17="yes"),IF(CQ$343&lt;Standards_Active!$C17,TREND(Perform_Active!$S17:$T17,Perform_Active!$S$8:$T$8,CQ$343),IF(ISNUMBER(Standards_Active!$M17),IF(AND(CQ$343&gt;=Standards_Active!$C17,CQ$343&lt;Standards_Active!$D17),(Standards_Active!$M17-INDEX($CJ352:$DI352,1,MATCH((Standards_Active!$C17-1),$CJ$343:$DI$343,FALSE)))/(Standards_Active!$D17-(Standards_Active!$C17-1))+CP352,Standards_Active!$M17*((1+Standards_Active!$O17)^(CQ$343-Standards_Active!$D17))),TREND(Perform_Active!$S17:$T17,Perform_Active!$S$8:$T$8,CQ$343))),)</f>
        <v>7.2304495825000004</v>
      </c>
      <c r="CR352" s="271">
        <f>IF(AND(Tech_Specs!$E16="step",Standards_Active!$E17="yes"),IF(CR$343&lt;Standards_Active!$C17,TREND(Perform_Active!$S17:$T17,Perform_Active!$S$8:$T$8,CR$343),IF(ISNUMBER(Standards_Active!$M17),IF(AND(CR$343&gt;=Standards_Active!$C17,CR$343&lt;Standards_Active!$D17),(Standards_Active!$M17-INDEX($CJ352:$DI352,1,MATCH((Standards_Active!$C17-1),$CJ$343:$DI$343,FALSE)))/(Standards_Active!$D17-(Standards_Active!$C17-1))+CQ352,Standards_Active!$M17*((1+Standards_Active!$O17)^(CR$343-Standards_Active!$D17))),TREND(Perform_Active!$S17:$T17,Perform_Active!$S$8:$T$8,CR$343))),)</f>
        <v>7.1942973345875005</v>
      </c>
      <c r="CS352" s="271">
        <f>IF(AND(Tech_Specs!$E16="step",Standards_Active!$E17="yes"),IF(CS$343&lt;Standards_Active!$C17,TREND(Perform_Active!$S17:$T17,Perform_Active!$S$8:$T$8,CS$343),IF(ISNUMBER(Standards_Active!$M17),IF(AND(CS$343&gt;=Standards_Active!$C17,CS$343&lt;Standards_Active!$D17),(Standards_Active!$M17-INDEX($CJ352:$DI352,1,MATCH((Standards_Active!$C17-1),$CJ$343:$DI$343,FALSE)))/(Standards_Active!$D17-(Standards_Active!$C17-1))+CR352,Standards_Active!$M17*((1+Standards_Active!$O17)^(CS$343-Standards_Active!$D17))),TREND(Perform_Active!$S17:$T17,Perform_Active!$S$8:$T$8,CS$343))),)</f>
        <v>7.1583258479145631</v>
      </c>
      <c r="CT352" s="271">
        <f>IF(AND(Tech_Specs!$E16="step",Standards_Active!$E17="yes"),IF(CT$343&lt;Standards_Active!$C17,TREND(Perform_Active!$S17:$T17,Perform_Active!$S$8:$T$8,CT$343),IF(ISNUMBER(Standards_Active!$M17),IF(AND(CT$343&gt;=Standards_Active!$C17,CT$343&lt;Standards_Active!$D17),(Standards_Active!$M17-INDEX($CJ352:$DI352,1,MATCH((Standards_Active!$C17-1),$CJ$343:$DI$343,FALSE)))/(Standards_Active!$D17-(Standards_Active!$C17-1))+CS352,Standards_Active!$M17*((1+Standards_Active!$O17)^(CT$343-Standards_Active!$D17))),TREND(Perform_Active!$S17:$T17,Perform_Active!$S$8:$T$8,CT$343))),)</f>
        <v>7.12253421867499</v>
      </c>
      <c r="CU352" s="271">
        <f>IF(AND(Tech_Specs!$E16="step",Standards_Active!$E17="yes"),IF(CU$343&lt;Standards_Active!$C17,TREND(Perform_Active!$S17:$T17,Perform_Active!$S$8:$T$8,CU$343),IF(ISNUMBER(Standards_Active!$M17),IF(AND(CU$343&gt;=Standards_Active!$C17,CU$343&lt;Standards_Active!$D17),(Standards_Active!$M17-INDEX($CJ352:$DI352,1,MATCH((Standards_Active!$C17-1),$CJ$343:$DI$343,FALSE)))/(Standards_Active!$D17-(Standards_Active!$C17-1))+CT352,Standards_Active!$M17*((1+Standards_Active!$O17)^(CU$343-Standards_Active!$D17))),TREND(Perform_Active!$S17:$T17,Perform_Active!$S$8:$T$8,CU$343))),)</f>
        <v>7.086921547581615</v>
      </c>
      <c r="CV352" s="271">
        <f>IF(AND(Tech_Specs!$E16="step",Standards_Active!$E17="yes"),IF(CV$343&lt;Standards_Active!$C17,TREND(Perform_Active!$S17:$T17,Perform_Active!$S$8:$T$8,CV$343),IF(ISNUMBER(Standards_Active!$M17),IF(AND(CV$343&gt;=Standards_Active!$C17,CV$343&lt;Standards_Active!$D17),(Standards_Active!$M17-INDEX($CJ352:$DI352,1,MATCH((Standards_Active!$C17-1),$CJ$343:$DI$343,FALSE)))/(Standards_Active!$D17-(Standards_Active!$C17-1))+CU352,Standards_Active!$M17*((1+Standards_Active!$O17)^(CV$343-Standards_Active!$D17))),TREND(Perform_Active!$S17:$T17,Perform_Active!$S$8:$T$8,CV$343))),)</f>
        <v>7.0514869398437074</v>
      </c>
      <c r="CW352" s="271">
        <f>IF(AND(Tech_Specs!$E16="step",Standards_Active!$E17="yes"),IF(CW$343&lt;Standards_Active!$C17,TREND(Perform_Active!$S17:$T17,Perform_Active!$S$8:$T$8,CW$343),IF(ISNUMBER(Standards_Active!$M17),IF(AND(CW$343&gt;=Standards_Active!$C17,CW$343&lt;Standards_Active!$D17),(Standards_Active!$M17-INDEX($CJ352:$DI352,1,MATCH((Standards_Active!$C17-1),$CJ$343:$DI$343,FALSE)))/(Standards_Active!$D17-(Standards_Active!$C17-1))+CV352,Standards_Active!$M17*((1+Standards_Active!$O17)^(CW$343-Standards_Active!$D17))),TREND(Perform_Active!$S17:$T17,Perform_Active!$S$8:$T$8,CW$343))),)</f>
        <v>7.0162295051444881</v>
      </c>
      <c r="CX352" s="271">
        <f>IF(AND(Tech_Specs!$E16="step",Standards_Active!$E17="yes"),IF(CX$343&lt;Standards_Active!$C17,TREND(Perform_Active!$S17:$T17,Perform_Active!$S$8:$T$8,CX$343),IF(ISNUMBER(Standards_Active!$M17),IF(AND(CX$343&gt;=Standards_Active!$C17,CX$343&lt;Standards_Active!$D17),(Standards_Active!$M17-INDEX($CJ352:$DI352,1,MATCH((Standards_Active!$C17-1),$CJ$343:$DI$343,FALSE)))/(Standards_Active!$D17-(Standards_Active!$C17-1))+CW352,Standards_Active!$M17*((1+Standards_Active!$O17)^(CX$343-Standards_Active!$D17))),TREND(Perform_Active!$S17:$T17,Perform_Active!$S$8:$T$8,CX$343))),)</f>
        <v>6.9811483576187658</v>
      </c>
      <c r="CY352" s="271">
        <f>IF(AND(Tech_Specs!$E16="step",Standards_Active!$E17="yes"),IF(CY$343&lt;Standards_Active!$C17,TREND(Perform_Active!$S17:$T17,Perform_Active!$S$8:$T$8,CY$343),IF(ISNUMBER(Standards_Active!$M17),IF(AND(CY$343&gt;=Standards_Active!$C17,CY$343&lt;Standards_Active!$D17),(Standards_Active!$M17-INDEX($CJ352:$DI352,1,MATCH((Standards_Active!$C17-1),$CJ$343:$DI$343,FALSE)))/(Standards_Active!$D17-(Standards_Active!$C17-1))+CX352,Standards_Active!$M17*((1+Standards_Active!$O17)^(CY$343-Standards_Active!$D17))),TREND(Perform_Active!$S17:$T17,Perform_Active!$S$8:$T$8,CY$343))),)</f>
        <v>6.9462426158306716</v>
      </c>
      <c r="CZ352" s="271">
        <f>IF(AND(Tech_Specs!$E16="step",Standards_Active!$E17="yes"),IF(CZ$343&lt;Standards_Active!$C17,TREND(Perform_Active!$S17:$T17,Perform_Active!$S$8:$T$8,CZ$343),IF(ISNUMBER(Standards_Active!$M17),IF(AND(CZ$343&gt;=Standards_Active!$C17,CZ$343&lt;Standards_Active!$D17),(Standards_Active!$M17-INDEX($CJ352:$DI352,1,MATCH((Standards_Active!$C17-1),$CJ$343:$DI$343,FALSE)))/(Standards_Active!$D17-(Standards_Active!$C17-1))+CY352,Standards_Active!$M17*((1+Standards_Active!$O17)^(CZ$343-Standards_Active!$D17))),TREND(Perform_Active!$S17:$T17,Perform_Active!$S$8:$T$8,CZ$343))),)</f>
        <v>6.9115114027515192</v>
      </c>
      <c r="DA352" s="271">
        <f>IF(AND(Tech_Specs!$E16="step",Standards_Active!$E17="yes"),IF(DA$343&lt;Standards_Active!$C17,TREND(Perform_Active!$S17:$T17,Perform_Active!$S$8:$T$8,DA$343),IF(ISNUMBER(Standards_Active!$M17),IF(AND(DA$343&gt;=Standards_Active!$C17,DA$343&lt;Standards_Active!$D17),(Standards_Active!$M17-INDEX($CJ352:$DI352,1,MATCH((Standards_Active!$C17-1),$CJ$343:$DI$343,FALSE)))/(Standards_Active!$D17-(Standards_Active!$C17-1))+CZ352,Standards_Active!$M17*((1+Standards_Active!$O17)^(DA$343-Standards_Active!$D17))),TREND(Perform_Active!$S17:$T17,Perform_Active!$S$8:$T$8,DA$343))),)</f>
        <v>6.8769538457377619</v>
      </c>
      <c r="DB352" s="271">
        <f>IF(AND(Tech_Specs!$E16="step",Standards_Active!$E17="yes"),IF(DB$343&lt;Standards_Active!$C17,TREND(Perform_Active!$S17:$T17,Perform_Active!$S$8:$T$8,DB$343),IF(ISNUMBER(Standards_Active!$M17),IF(AND(DB$343&gt;=Standards_Active!$C17,DB$343&lt;Standards_Active!$D17),(Standards_Active!$M17-INDEX($CJ352:$DI352,1,MATCH((Standards_Active!$C17-1),$CJ$343:$DI$343,FALSE)))/(Standards_Active!$D17-(Standards_Active!$C17-1))+DA352,Standards_Active!$M17*((1+Standards_Active!$O17)^(DB$343-Standards_Active!$D17))),TREND(Perform_Active!$S17:$T17,Perform_Active!$S$8:$T$8,DB$343))),)</f>
        <v>6.8425690765090739</v>
      </c>
      <c r="DC352" s="271">
        <f>IF(AND(Tech_Specs!$E16="step",Standards_Active!$E17="yes"),IF(DC$343&lt;Standards_Active!$C17,TREND(Perform_Active!$S17:$T17,Perform_Active!$S$8:$T$8,DC$343),IF(ISNUMBER(Standards_Active!$M17),IF(AND(DC$343&gt;=Standards_Active!$C17,DC$343&lt;Standards_Active!$D17),(Standards_Active!$M17-INDEX($CJ352:$DI352,1,MATCH((Standards_Active!$C17-1),$CJ$343:$DI$343,FALSE)))/(Standards_Active!$D17-(Standards_Active!$C17-1))+DB352,Standards_Active!$M17*((1+Standards_Active!$O17)^(DC$343-Standards_Active!$D17))),TREND(Perform_Active!$S17:$T17,Perform_Active!$S$8:$T$8,DC$343))),)</f>
        <v>6.8083562311265275</v>
      </c>
      <c r="DD352" s="271">
        <f>IF(AND(Tech_Specs!$E16="step",Standards_Active!$E17="yes"),IF(DD$343&lt;Standards_Active!$C17,TREND(Perform_Active!$S17:$T17,Perform_Active!$S$8:$T$8,DD$343),IF(ISNUMBER(Standards_Active!$M17),IF(AND(DD$343&gt;=Standards_Active!$C17,DD$343&lt;Standards_Active!$D17),(Standards_Active!$M17-INDEX($CJ352:$DI352,1,MATCH((Standards_Active!$C17-1),$CJ$343:$DI$343,FALSE)))/(Standards_Active!$D17-(Standards_Active!$C17-1))+DC352,Standards_Active!$M17*((1+Standards_Active!$O17)^(DD$343-Standards_Active!$D17))),TREND(Perform_Active!$S17:$T17,Perform_Active!$S$8:$T$8,DD$343))),)</f>
        <v>6.7743144499708947</v>
      </c>
      <c r="DE352" s="271">
        <f>IF(AND(Tech_Specs!$E16="step",Standards_Active!$E17="yes"),IF(DE$343&lt;Standards_Active!$C17,TREND(Perform_Active!$S17:$T17,Perform_Active!$S$8:$T$8,DE$343),IF(ISNUMBER(Standards_Active!$M17),IF(AND(DE$343&gt;=Standards_Active!$C17,DE$343&lt;Standards_Active!$D17),(Standards_Active!$M17-INDEX($CJ352:$DI352,1,MATCH((Standards_Active!$C17-1),$CJ$343:$DI$343,FALSE)))/(Standards_Active!$D17-(Standards_Active!$C17-1))+DD352,Standards_Active!$M17*((1+Standards_Active!$O17)^(DE$343-Standards_Active!$D17))),TREND(Perform_Active!$S17:$T17,Perform_Active!$S$8:$T$8,DE$343))),)</f>
        <v>6.7404428777210406</v>
      </c>
      <c r="DF352" s="271">
        <f>IF(AND(Tech_Specs!$E16="step",Standards_Active!$E17="yes"),IF(DF$343&lt;Standards_Active!$C17,TREND(Perform_Active!$S17:$T17,Perform_Active!$S$8:$T$8,DF$343),IF(ISNUMBER(Standards_Active!$M17),IF(AND(DF$343&gt;=Standards_Active!$C17,DF$343&lt;Standards_Active!$D17),(Standards_Active!$M17-INDEX($CJ352:$DI352,1,MATCH((Standards_Active!$C17-1),$CJ$343:$DI$343,FALSE)))/(Standards_Active!$D17-(Standards_Active!$C17-1))+DE352,Standards_Active!$M17*((1+Standards_Active!$O17)^(DF$343-Standards_Active!$D17))),TREND(Perform_Active!$S17:$T17,Perform_Active!$S$8:$T$8,DF$343))),)</f>
        <v>6.7067406633324351</v>
      </c>
      <c r="DG352" s="271">
        <f>IF(AND(Tech_Specs!$E16="step",Standards_Active!$E17="yes"),IF(DG$343&lt;Standards_Active!$C17,TREND(Perform_Active!$S17:$T17,Perform_Active!$S$8:$T$8,DG$343),IF(ISNUMBER(Standards_Active!$M17),IF(AND(DG$343&gt;=Standards_Active!$C17,DG$343&lt;Standards_Active!$D17),(Standards_Active!$M17-INDEX($CJ352:$DI352,1,MATCH((Standards_Active!$C17-1),$CJ$343:$DI$343,FALSE)))/(Standards_Active!$D17-(Standards_Active!$C17-1))+DF352,Standards_Active!$M17*((1+Standards_Active!$O17)^(DG$343-Standards_Active!$D17))),TREND(Perform_Active!$S17:$T17,Perform_Active!$S$8:$T$8,DG$343))),)</f>
        <v>6.6732069600157731</v>
      </c>
      <c r="DH352" s="271">
        <f>IF(AND(Tech_Specs!$E16="step",Standards_Active!$E17="yes"),IF(DH$343&lt;Standards_Active!$C17,TREND(Perform_Active!$S17:$T17,Perform_Active!$S$8:$T$8,DH$343),IF(ISNUMBER(Standards_Active!$M17),IF(AND(DH$343&gt;=Standards_Active!$C17,DH$343&lt;Standards_Active!$D17),(Standards_Active!$M17-INDEX($CJ352:$DI352,1,MATCH((Standards_Active!$C17-1),$CJ$343:$DI$343,FALSE)))/(Standards_Active!$D17-(Standards_Active!$C17-1))+DG352,Standards_Active!$M17*((1+Standards_Active!$O17)^(DH$343-Standards_Active!$D17))),TREND(Perform_Active!$S17:$T17,Perform_Active!$S$8:$T$8,DH$343))),)</f>
        <v>6.6398409252156947</v>
      </c>
      <c r="DI352" s="271">
        <f>IF(AND(Tech_Specs!$E16="step",Standards_Active!$E17="yes"),IF(DI$343&lt;Standards_Active!$C17,TREND(Perform_Active!$S17:$T17,Perform_Active!$S$8:$T$8,DI$343),IF(ISNUMBER(Standards_Active!$M17),IF(AND(DI$343&gt;=Standards_Active!$C17,DI$343&lt;Standards_Active!$D17),(Standards_Active!$M17-INDEX($CJ352:$DI352,1,MATCH((Standards_Active!$C17-1),$CJ$343:$DI$343,FALSE)))/(Standards_Active!$D17-(Standards_Active!$C17-1))+DH352,Standards_Active!$M17*((1+Standards_Active!$O17)^(DI$343-Standards_Active!$D17))),TREND(Perform_Active!$S17:$T17,Perform_Active!$S$8:$T$8,DI$343))),)</f>
        <v>6.6066417205896162</v>
      </c>
    </row>
    <row r="353" spans="1:113" s="302" customFormat="1" ht="12.75" x14ac:dyDescent="0.2">
      <c r="B353" s="306" t="s">
        <v>35</v>
      </c>
      <c r="D353" s="550"/>
      <c r="E353" s="550"/>
      <c r="F353" s="550"/>
      <c r="G353" s="272">
        <f t="shared" si="54"/>
        <v>10.299999999999997</v>
      </c>
      <c r="H353" s="272">
        <f t="shared" si="54"/>
        <v>10.248500000000007</v>
      </c>
      <c r="I353" s="272">
        <f t="shared" si="54"/>
        <v>10.197000000000003</v>
      </c>
      <c r="J353" s="272">
        <f t="shared" si="54"/>
        <v>10.145499999999998</v>
      </c>
      <c r="K353" s="272">
        <f t="shared" si="54"/>
        <v>10.094000000000008</v>
      </c>
      <c r="L353" s="272">
        <f t="shared" si="54"/>
        <v>10.042500000000004</v>
      </c>
      <c r="M353" s="272">
        <f t="shared" si="54"/>
        <v>9.9909999999999997</v>
      </c>
      <c r="N353" s="272">
        <f t="shared" si="54"/>
        <v>9.9395000000000095</v>
      </c>
      <c r="O353" s="272">
        <f t="shared" si="54"/>
        <v>9.8880000000000052</v>
      </c>
      <c r="P353" s="272">
        <f t="shared" si="54"/>
        <v>9.8365000000000009</v>
      </c>
      <c r="Q353" s="272">
        <f t="shared" si="55"/>
        <v>9.7849999999999966</v>
      </c>
      <c r="R353" s="272">
        <f t="shared" si="55"/>
        <v>9.7335000000000065</v>
      </c>
      <c r="S353" s="272">
        <f t="shared" si="55"/>
        <v>9.6820000000000022</v>
      </c>
      <c r="T353" s="272">
        <f t="shared" si="55"/>
        <v>9.6304999999999978</v>
      </c>
      <c r="U353" s="272">
        <f t="shared" si="55"/>
        <v>9.5790000000000077</v>
      </c>
      <c r="V353" s="272">
        <f t="shared" si="55"/>
        <v>9.5275000000000034</v>
      </c>
      <c r="W353" s="272">
        <f t="shared" si="55"/>
        <v>9.4759999999999991</v>
      </c>
      <c r="X353" s="272">
        <f t="shared" si="55"/>
        <v>9.424500000000009</v>
      </c>
      <c r="Y353" s="272">
        <f t="shared" si="55"/>
        <v>9.3730000000000047</v>
      </c>
      <c r="Z353" s="272">
        <f t="shared" si="55"/>
        <v>9.3215000000000003</v>
      </c>
      <c r="AA353" s="272">
        <f t="shared" si="56"/>
        <v>9.2700000000000102</v>
      </c>
      <c r="AB353" s="272">
        <f t="shared" si="56"/>
        <v>9.2185000000000059</v>
      </c>
      <c r="AC353" s="272">
        <f t="shared" si="56"/>
        <v>9.1670000000000016</v>
      </c>
      <c r="AD353" s="272">
        <f t="shared" si="56"/>
        <v>9.1154999999999973</v>
      </c>
      <c r="AE353" s="272">
        <f t="shared" si="56"/>
        <v>9.0640000000000072</v>
      </c>
      <c r="AF353" s="272">
        <f t="shared" si="56"/>
        <v>9.0125000000000028</v>
      </c>
      <c r="AH353" s="271">
        <f>IF(Tech_Specs!$E17="linear",TREND(Perform_Active!$S18:$T18,Perform_Active!$S$8:$T$8,AH$343),)</f>
        <v>10.299999999999997</v>
      </c>
      <c r="AI353" s="271">
        <f>IF(Tech_Specs!$E17="linear",TREND(Perform_Active!$S18:$T18,Perform_Active!$S$8:$T$8,AI$343),)</f>
        <v>10.248500000000007</v>
      </c>
      <c r="AJ353" s="271">
        <f>IF(Tech_Specs!$E17="linear",TREND(Perform_Active!$S18:$T18,Perform_Active!$S$8:$T$8,AJ$343),)</f>
        <v>10.197000000000003</v>
      </c>
      <c r="AK353" s="271">
        <f>IF(Tech_Specs!$E17="linear",TREND(Perform_Active!$S18:$T18,Perform_Active!$S$8:$T$8,AK$343),)</f>
        <v>10.145499999999998</v>
      </c>
      <c r="AL353" s="271">
        <f>IF(Tech_Specs!$E17="linear",TREND(Perform_Active!$S18:$T18,Perform_Active!$S$8:$T$8,AL$343),)</f>
        <v>10.094000000000008</v>
      </c>
      <c r="AM353" s="271">
        <f>IF(Tech_Specs!$E17="linear",TREND(Perform_Active!$S18:$T18,Perform_Active!$S$8:$T$8,AM$343),)</f>
        <v>10.042500000000004</v>
      </c>
      <c r="AN353" s="271">
        <f>IF(Tech_Specs!$E17="linear",TREND(Perform_Active!$S18:$T18,Perform_Active!$S$8:$T$8,AN$343),)</f>
        <v>9.9909999999999997</v>
      </c>
      <c r="AO353" s="271">
        <f>IF(Tech_Specs!$E17="linear",TREND(Perform_Active!$S18:$T18,Perform_Active!$S$8:$T$8,AO$343),)</f>
        <v>9.9395000000000095</v>
      </c>
      <c r="AP353" s="271">
        <f>IF(Tech_Specs!$E17="linear",TREND(Perform_Active!$S18:$T18,Perform_Active!$S$8:$T$8,AP$343),)</f>
        <v>9.8880000000000052</v>
      </c>
      <c r="AQ353" s="271">
        <f>IF(Tech_Specs!$E17="linear",TREND(Perform_Active!$S18:$T18,Perform_Active!$S$8:$T$8,AQ$343),)</f>
        <v>9.8365000000000009</v>
      </c>
      <c r="AR353" s="271">
        <f>IF(Tech_Specs!$E17="linear",TREND(Perform_Active!$S18:$T18,Perform_Active!$S$8:$T$8,AR$343),)</f>
        <v>9.7849999999999966</v>
      </c>
      <c r="AS353" s="271">
        <f>IF(Tech_Specs!$E17="linear",TREND(Perform_Active!$S18:$T18,Perform_Active!$S$8:$T$8,AS$343),)</f>
        <v>9.7335000000000065</v>
      </c>
      <c r="AT353" s="271">
        <f>IF(Tech_Specs!$E17="linear",TREND(Perform_Active!$S18:$T18,Perform_Active!$S$8:$T$8,AT$343),)</f>
        <v>9.6820000000000022</v>
      </c>
      <c r="AU353" s="271">
        <f>IF(Tech_Specs!$E17="linear",TREND(Perform_Active!$S18:$T18,Perform_Active!$S$8:$T$8,AU$343),)</f>
        <v>9.6304999999999978</v>
      </c>
      <c r="AV353" s="271">
        <f>IF(Tech_Specs!$E17="linear",TREND(Perform_Active!$S18:$T18,Perform_Active!$S$8:$T$8,AV$343),)</f>
        <v>9.5790000000000077</v>
      </c>
      <c r="AW353" s="271">
        <f>IF(Tech_Specs!$E17="linear",TREND(Perform_Active!$S18:$T18,Perform_Active!$S$8:$T$8,AW$343),)</f>
        <v>9.5275000000000034</v>
      </c>
      <c r="AX353" s="271">
        <f>IF(Tech_Specs!$E17="linear",TREND(Perform_Active!$S18:$T18,Perform_Active!$S$8:$T$8,AX$343),)</f>
        <v>9.4759999999999991</v>
      </c>
      <c r="AY353" s="271">
        <f>IF(Tech_Specs!$E17="linear",TREND(Perform_Active!$S18:$T18,Perform_Active!$S$8:$T$8,AY$343),)</f>
        <v>9.424500000000009</v>
      </c>
      <c r="AZ353" s="271">
        <f>IF(Tech_Specs!$E17="linear",TREND(Perform_Active!$S18:$T18,Perform_Active!$S$8:$T$8,AZ$343),)</f>
        <v>9.3730000000000047</v>
      </c>
      <c r="BA353" s="271">
        <f>IF(Tech_Specs!$E17="linear",TREND(Perform_Active!$S18:$T18,Perform_Active!$S$8:$T$8,BA$343),)</f>
        <v>9.3215000000000003</v>
      </c>
      <c r="BB353" s="271">
        <f>IF(Tech_Specs!$E17="linear",TREND(Perform_Active!$S18:$T18,Perform_Active!$S$8:$T$8,BB$343),)</f>
        <v>9.2700000000000102</v>
      </c>
      <c r="BC353" s="271">
        <f>IF(Tech_Specs!$E17="linear",TREND(Perform_Active!$S18:$T18,Perform_Active!$S$8:$T$8,BC$343),)</f>
        <v>9.2185000000000059</v>
      </c>
      <c r="BD353" s="271">
        <f>IF(Tech_Specs!$E17="linear",TREND(Perform_Active!$S18:$T18,Perform_Active!$S$8:$T$8,BD$343),)</f>
        <v>9.1670000000000016</v>
      </c>
      <c r="BE353" s="271">
        <f>IF(Tech_Specs!$E17="linear",TREND(Perform_Active!$S18:$T18,Perform_Active!$S$8:$T$8,BE$343),)</f>
        <v>9.1154999999999973</v>
      </c>
      <c r="BF353" s="271">
        <f>IF(Tech_Specs!$E17="linear",TREND(Perform_Active!$S18:$T18,Perform_Active!$S$8:$T$8,BF$343),)</f>
        <v>9.0640000000000072</v>
      </c>
      <c r="BG353" s="271">
        <f>IF(Tech_Specs!$E17="linear",TREND(Perform_Active!$S18:$T18,Perform_Active!$S$8:$T$8,BG$343),)</f>
        <v>9.0125000000000028</v>
      </c>
      <c r="BI353" s="271">
        <f>IF(Tech_Specs!$E17="logistic",IF(Tech_Specs!$K17="lamp",Perform_SSL!G$14,Perform_SSL!G$15),)*Perform_Active!$I18/1000</f>
        <v>0</v>
      </c>
      <c r="BJ353" s="271">
        <f>IF(Tech_Specs!$E17="logistic",IF(Tech_Specs!$K17="lamp",Perform_SSL!H$14,Perform_SSL!H$15),)*Perform_Active!$I18/1000</f>
        <v>0</v>
      </c>
      <c r="BK353" s="271">
        <f>IF(Tech_Specs!$E17="logistic",IF(Tech_Specs!$K17="lamp",Perform_SSL!I$14,Perform_SSL!I$15),)*Perform_Active!$I18/1000</f>
        <v>0</v>
      </c>
      <c r="BL353" s="271">
        <f>IF(Tech_Specs!$E17="logistic",IF(Tech_Specs!$K17="lamp",Perform_SSL!J$14,Perform_SSL!J$15),)*Perform_Active!$I18/1000</f>
        <v>0</v>
      </c>
      <c r="BM353" s="271">
        <f>IF(Tech_Specs!$E17="logistic",IF(Tech_Specs!$K17="lamp",Perform_SSL!K$14,Perform_SSL!K$15),)*Perform_Active!$I18/1000</f>
        <v>0</v>
      </c>
      <c r="BN353" s="271">
        <f>IF(Tech_Specs!$E17="logistic",IF(Tech_Specs!$K17="lamp",Perform_SSL!L$14,Perform_SSL!L$15),)*Perform_Active!$I18/1000</f>
        <v>0</v>
      </c>
      <c r="BO353" s="271">
        <f>IF(Tech_Specs!$E17="logistic",IF(Tech_Specs!$K17="lamp",Perform_SSL!M$14,Perform_SSL!M$15),)*Perform_Active!$I18/1000</f>
        <v>0</v>
      </c>
      <c r="BP353" s="271">
        <f>IF(Tech_Specs!$E17="logistic",IF(Tech_Specs!$K17="lamp",Perform_SSL!N$14,Perform_SSL!N$15),)*Perform_Active!$I18/1000</f>
        <v>0</v>
      </c>
      <c r="BQ353" s="271">
        <f>IF(Tech_Specs!$E17="logistic",IF(Tech_Specs!$K17="lamp",Perform_SSL!O$14,Perform_SSL!O$15),)*Perform_Active!$I18/1000</f>
        <v>0</v>
      </c>
      <c r="BR353" s="271">
        <f>IF(Tech_Specs!$E17="logistic",IF(Tech_Specs!$K17="lamp",Perform_SSL!P$14,Perform_SSL!P$15),)*Perform_Active!$I18/1000</f>
        <v>0</v>
      </c>
      <c r="BS353" s="271">
        <f>IF(Tech_Specs!$E17="logistic",IF(Tech_Specs!$K17="lamp",Perform_SSL!Q$14,Perform_SSL!Q$15),)*Perform_Active!$I18/1000</f>
        <v>0</v>
      </c>
      <c r="BT353" s="271">
        <f>IF(Tech_Specs!$E17="logistic",IF(Tech_Specs!$K17="lamp",Perform_SSL!R$14,Perform_SSL!R$15),)*Perform_Active!$I18/1000</f>
        <v>0</v>
      </c>
      <c r="BU353" s="271">
        <f>IF(Tech_Specs!$E17="logistic",IF(Tech_Specs!$K17="lamp",Perform_SSL!S$14,Perform_SSL!S$15),)*Perform_Active!$I18/1000</f>
        <v>0</v>
      </c>
      <c r="BV353" s="271">
        <f>IF(Tech_Specs!$E17="logistic",IF(Tech_Specs!$K17="lamp",Perform_SSL!T$14,Perform_SSL!T$15),)*Perform_Active!$I18/1000</f>
        <v>0</v>
      </c>
      <c r="BW353" s="271">
        <f>IF(Tech_Specs!$E17="logistic",IF(Tech_Specs!$K17="lamp",Perform_SSL!U$14,Perform_SSL!U$15),)*Perform_Active!$I18/1000</f>
        <v>0</v>
      </c>
      <c r="BX353" s="271">
        <f>IF(Tech_Specs!$E17="logistic",IF(Tech_Specs!$K17="lamp",Perform_SSL!V$14,Perform_SSL!V$15),)*Perform_Active!$I18/1000</f>
        <v>0</v>
      </c>
      <c r="BY353" s="271">
        <f>IF(Tech_Specs!$E17="logistic",IF(Tech_Specs!$K17="lamp",Perform_SSL!W$14,Perform_SSL!W$15),)*Perform_Active!$I18/1000</f>
        <v>0</v>
      </c>
      <c r="BZ353" s="271">
        <f>IF(Tech_Specs!$E17="logistic",IF(Tech_Specs!$K17="lamp",Perform_SSL!X$14,Perform_SSL!X$15),)*Perform_Active!$I18/1000</f>
        <v>0</v>
      </c>
      <c r="CA353" s="271">
        <f>IF(Tech_Specs!$E17="logistic",IF(Tech_Specs!$K17="lamp",Perform_SSL!Y$14,Perform_SSL!Y$15),)*Perform_Active!$I18/1000</f>
        <v>0</v>
      </c>
      <c r="CB353" s="271">
        <f>IF(Tech_Specs!$E17="logistic",IF(Tech_Specs!$K17="lamp",Perform_SSL!Z$14,Perform_SSL!Z$15),)*Perform_Active!$I18/1000</f>
        <v>0</v>
      </c>
      <c r="CC353" s="271">
        <f>IF(Tech_Specs!$E17="logistic",IF(Tech_Specs!$K17="lamp",Perform_SSL!AA$14,Perform_SSL!AA$15),)*Perform_Active!$I18/1000</f>
        <v>0</v>
      </c>
      <c r="CD353" s="271">
        <f>IF(Tech_Specs!$E17="logistic",IF(Tech_Specs!$K17="lamp",Perform_SSL!AB$14,Perform_SSL!AB$15),)*Perform_Active!$I18/1000</f>
        <v>0</v>
      </c>
      <c r="CE353" s="271">
        <f>IF(Tech_Specs!$E17="logistic",IF(Tech_Specs!$K17="lamp",Perform_SSL!AC$14,Perform_SSL!AC$15),)*Perform_Active!$I18/1000</f>
        <v>0</v>
      </c>
      <c r="CF353" s="271">
        <f>IF(Tech_Specs!$E17="logistic",IF(Tech_Specs!$K17="lamp",Perform_SSL!AD$14,Perform_SSL!AD$15),)*Perform_Active!$I18/1000</f>
        <v>0</v>
      </c>
      <c r="CG353" s="271">
        <f>IF(Tech_Specs!$E17="logistic",IF(Tech_Specs!$K17="lamp",Perform_SSL!AE$14,Perform_SSL!AE$15),)*Perform_Active!$I18/1000</f>
        <v>0</v>
      </c>
      <c r="CH353" s="271">
        <f>IF(Tech_Specs!$E17="logistic",IF(Tech_Specs!$K17="lamp",Perform_SSL!AF$14,Perform_SSL!AF$15),)*Perform_Active!$I18/1000</f>
        <v>0</v>
      </c>
      <c r="CJ353" s="271">
        <f>IF(AND(Tech_Specs!$E17="step",Standards_Active!$E18="yes"),IF(CJ$343&lt;Standards_Active!$C18,TREND(Perform_Active!$S18:$T18,Perform_Active!$S$8:$T$8,CJ$343),IF(ISNUMBER(Standards_Active!$M18),IF(AND(CJ$343&gt;=Standards_Active!$C18,CJ$343&lt;Standards_Active!$D18),(Standards_Active!$M18-INDEX($CJ353:$DI353,1,MATCH((Standards_Active!$C18-1),$CJ$343:$DI$343,FALSE)))/(Standards_Active!$D18-(Standards_Active!$C18-1))+CI353,Standards_Active!$M18*((1+Standards_Active!$O18)^(CJ$343-Standards_Active!$D18))),TREND(Perform_Active!$S18:$T18,Perform_Active!$S$8:$T$8,CJ$343))),)</f>
        <v>0</v>
      </c>
      <c r="CK353" s="271">
        <f>IF(AND(Tech_Specs!$E17="step",Standards_Active!$E18="yes"),IF(CK$343&lt;Standards_Active!$C18,TREND(Perform_Active!$S18:$T18,Perform_Active!$S$8:$T$8,CK$343),IF(ISNUMBER(Standards_Active!$M18),IF(AND(CK$343&gt;=Standards_Active!$C18,CK$343&lt;Standards_Active!$D18),(Standards_Active!$M18-INDEX($CJ353:$DI353,1,MATCH((Standards_Active!$C18-1),$CJ$343:$DI$343,FALSE)))/(Standards_Active!$D18-(Standards_Active!$C18-1))+CJ353,Standards_Active!$M18*((1+Standards_Active!$O18)^(CK$343-Standards_Active!$D18))),TREND(Perform_Active!$S18:$T18,Perform_Active!$S$8:$T$8,CK$343))),)</f>
        <v>0</v>
      </c>
      <c r="CL353" s="271">
        <f>IF(AND(Tech_Specs!$E17="step",Standards_Active!$E18="yes"),IF(CL$343&lt;Standards_Active!$C18,TREND(Perform_Active!$S18:$T18,Perform_Active!$S$8:$T$8,CL$343),IF(ISNUMBER(Standards_Active!$M18),IF(AND(CL$343&gt;=Standards_Active!$C18,CL$343&lt;Standards_Active!$D18),(Standards_Active!$M18-INDEX($CJ353:$DI353,1,MATCH((Standards_Active!$C18-1),$CJ$343:$DI$343,FALSE)))/(Standards_Active!$D18-(Standards_Active!$C18-1))+CK353,Standards_Active!$M18*((1+Standards_Active!$O18)^(CL$343-Standards_Active!$D18))),TREND(Perform_Active!$S18:$T18,Perform_Active!$S$8:$T$8,CL$343))),)</f>
        <v>0</v>
      </c>
      <c r="CM353" s="271">
        <f>IF(AND(Tech_Specs!$E17="step",Standards_Active!$E18="yes"),IF(CM$343&lt;Standards_Active!$C18,TREND(Perform_Active!$S18:$T18,Perform_Active!$S$8:$T$8,CM$343),IF(ISNUMBER(Standards_Active!$M18),IF(AND(CM$343&gt;=Standards_Active!$C18,CM$343&lt;Standards_Active!$D18),(Standards_Active!$M18-INDEX($CJ353:$DI353,1,MATCH((Standards_Active!$C18-1),$CJ$343:$DI$343,FALSE)))/(Standards_Active!$D18-(Standards_Active!$C18-1))+CL353,Standards_Active!$M18*((1+Standards_Active!$O18)^(CM$343-Standards_Active!$D18))),TREND(Perform_Active!$S18:$T18,Perform_Active!$S$8:$T$8,CM$343))),)</f>
        <v>0</v>
      </c>
      <c r="CN353" s="271">
        <f>IF(AND(Tech_Specs!$E17="step",Standards_Active!$E18="yes"),IF(CN$343&lt;Standards_Active!$C18,TREND(Perform_Active!$S18:$T18,Perform_Active!$S$8:$T$8,CN$343),IF(ISNUMBER(Standards_Active!$M18),IF(AND(CN$343&gt;=Standards_Active!$C18,CN$343&lt;Standards_Active!$D18),(Standards_Active!$M18-INDEX($CJ353:$DI353,1,MATCH((Standards_Active!$C18-1),$CJ$343:$DI$343,FALSE)))/(Standards_Active!$D18-(Standards_Active!$C18-1))+CM353,Standards_Active!$M18*((1+Standards_Active!$O18)^(CN$343-Standards_Active!$D18))),TREND(Perform_Active!$S18:$T18,Perform_Active!$S$8:$T$8,CN$343))),)</f>
        <v>0</v>
      </c>
      <c r="CO353" s="271">
        <f>IF(AND(Tech_Specs!$E17="step",Standards_Active!$E18="yes"),IF(CO$343&lt;Standards_Active!$C18,TREND(Perform_Active!$S18:$T18,Perform_Active!$S$8:$T$8,CO$343),IF(ISNUMBER(Standards_Active!$M18),IF(AND(CO$343&gt;=Standards_Active!$C18,CO$343&lt;Standards_Active!$D18),(Standards_Active!$M18-INDEX($CJ353:$DI353,1,MATCH((Standards_Active!$C18-1),$CJ$343:$DI$343,FALSE)))/(Standards_Active!$D18-(Standards_Active!$C18-1))+CN353,Standards_Active!$M18*((1+Standards_Active!$O18)^(CO$343-Standards_Active!$D18))),TREND(Perform_Active!$S18:$T18,Perform_Active!$S$8:$T$8,CO$343))),)</f>
        <v>0</v>
      </c>
      <c r="CP353" s="271">
        <f>IF(AND(Tech_Specs!$E17="step",Standards_Active!$E18="yes"),IF(CP$343&lt;Standards_Active!$C18,TREND(Perform_Active!$S18:$T18,Perform_Active!$S$8:$T$8,CP$343),IF(ISNUMBER(Standards_Active!$M18),IF(AND(CP$343&gt;=Standards_Active!$C18,CP$343&lt;Standards_Active!$D18),(Standards_Active!$M18-INDEX($CJ353:$DI353,1,MATCH((Standards_Active!$C18-1),$CJ$343:$DI$343,FALSE)))/(Standards_Active!$D18-(Standards_Active!$C18-1))+CO353,Standards_Active!$M18*((1+Standards_Active!$O18)^(CP$343-Standards_Active!$D18))),TREND(Perform_Active!$S18:$T18,Perform_Active!$S$8:$T$8,CP$343))),)</f>
        <v>0</v>
      </c>
      <c r="CQ353" s="271">
        <f>IF(AND(Tech_Specs!$E17="step",Standards_Active!$E18="yes"),IF(CQ$343&lt;Standards_Active!$C18,TREND(Perform_Active!$S18:$T18,Perform_Active!$S$8:$T$8,CQ$343),IF(ISNUMBER(Standards_Active!$M18),IF(AND(CQ$343&gt;=Standards_Active!$C18,CQ$343&lt;Standards_Active!$D18),(Standards_Active!$M18-INDEX($CJ353:$DI353,1,MATCH((Standards_Active!$C18-1),$CJ$343:$DI$343,FALSE)))/(Standards_Active!$D18-(Standards_Active!$C18-1))+CP353,Standards_Active!$M18*((1+Standards_Active!$O18)^(CQ$343-Standards_Active!$D18))),TREND(Perform_Active!$S18:$T18,Perform_Active!$S$8:$T$8,CQ$343))),)</f>
        <v>0</v>
      </c>
      <c r="CR353" s="271">
        <f>IF(AND(Tech_Specs!$E17="step",Standards_Active!$E18="yes"),IF(CR$343&lt;Standards_Active!$C18,TREND(Perform_Active!$S18:$T18,Perform_Active!$S$8:$T$8,CR$343),IF(ISNUMBER(Standards_Active!$M18),IF(AND(CR$343&gt;=Standards_Active!$C18,CR$343&lt;Standards_Active!$D18),(Standards_Active!$M18-INDEX($CJ353:$DI353,1,MATCH((Standards_Active!$C18-1),$CJ$343:$DI$343,FALSE)))/(Standards_Active!$D18-(Standards_Active!$C18-1))+CQ353,Standards_Active!$M18*((1+Standards_Active!$O18)^(CR$343-Standards_Active!$D18))),TREND(Perform_Active!$S18:$T18,Perform_Active!$S$8:$T$8,CR$343))),)</f>
        <v>0</v>
      </c>
      <c r="CS353" s="271">
        <f>IF(AND(Tech_Specs!$E17="step",Standards_Active!$E18="yes"),IF(CS$343&lt;Standards_Active!$C18,TREND(Perform_Active!$S18:$T18,Perform_Active!$S$8:$T$8,CS$343),IF(ISNUMBER(Standards_Active!$M18),IF(AND(CS$343&gt;=Standards_Active!$C18,CS$343&lt;Standards_Active!$D18),(Standards_Active!$M18-INDEX($CJ353:$DI353,1,MATCH((Standards_Active!$C18-1),$CJ$343:$DI$343,FALSE)))/(Standards_Active!$D18-(Standards_Active!$C18-1))+CR353,Standards_Active!$M18*((1+Standards_Active!$O18)^(CS$343-Standards_Active!$D18))),TREND(Perform_Active!$S18:$T18,Perform_Active!$S$8:$T$8,CS$343))),)</f>
        <v>0</v>
      </c>
      <c r="CT353" s="271">
        <f>IF(AND(Tech_Specs!$E17="step",Standards_Active!$E18="yes"),IF(CT$343&lt;Standards_Active!$C18,TREND(Perform_Active!$S18:$T18,Perform_Active!$S$8:$T$8,CT$343),IF(ISNUMBER(Standards_Active!$M18),IF(AND(CT$343&gt;=Standards_Active!$C18,CT$343&lt;Standards_Active!$D18),(Standards_Active!$M18-INDEX($CJ353:$DI353,1,MATCH((Standards_Active!$C18-1),$CJ$343:$DI$343,FALSE)))/(Standards_Active!$D18-(Standards_Active!$C18-1))+CS353,Standards_Active!$M18*((1+Standards_Active!$O18)^(CT$343-Standards_Active!$D18))),TREND(Perform_Active!$S18:$T18,Perform_Active!$S$8:$T$8,CT$343))),)</f>
        <v>0</v>
      </c>
      <c r="CU353" s="271">
        <f>IF(AND(Tech_Specs!$E17="step",Standards_Active!$E18="yes"),IF(CU$343&lt;Standards_Active!$C18,TREND(Perform_Active!$S18:$T18,Perform_Active!$S$8:$T$8,CU$343),IF(ISNUMBER(Standards_Active!$M18),IF(AND(CU$343&gt;=Standards_Active!$C18,CU$343&lt;Standards_Active!$D18),(Standards_Active!$M18-INDEX($CJ353:$DI353,1,MATCH((Standards_Active!$C18-1),$CJ$343:$DI$343,FALSE)))/(Standards_Active!$D18-(Standards_Active!$C18-1))+CT353,Standards_Active!$M18*((1+Standards_Active!$O18)^(CU$343-Standards_Active!$D18))),TREND(Perform_Active!$S18:$T18,Perform_Active!$S$8:$T$8,CU$343))),)</f>
        <v>0</v>
      </c>
      <c r="CV353" s="271">
        <f>IF(AND(Tech_Specs!$E17="step",Standards_Active!$E18="yes"),IF(CV$343&lt;Standards_Active!$C18,TREND(Perform_Active!$S18:$T18,Perform_Active!$S$8:$T$8,CV$343),IF(ISNUMBER(Standards_Active!$M18),IF(AND(CV$343&gt;=Standards_Active!$C18,CV$343&lt;Standards_Active!$D18),(Standards_Active!$M18-INDEX($CJ353:$DI353,1,MATCH((Standards_Active!$C18-1),$CJ$343:$DI$343,FALSE)))/(Standards_Active!$D18-(Standards_Active!$C18-1))+CU353,Standards_Active!$M18*((1+Standards_Active!$O18)^(CV$343-Standards_Active!$D18))),TREND(Perform_Active!$S18:$T18,Perform_Active!$S$8:$T$8,CV$343))),)</f>
        <v>0</v>
      </c>
      <c r="CW353" s="271">
        <f>IF(AND(Tech_Specs!$E17="step",Standards_Active!$E18="yes"),IF(CW$343&lt;Standards_Active!$C18,TREND(Perform_Active!$S18:$T18,Perform_Active!$S$8:$T$8,CW$343),IF(ISNUMBER(Standards_Active!$M18),IF(AND(CW$343&gt;=Standards_Active!$C18,CW$343&lt;Standards_Active!$D18),(Standards_Active!$M18-INDEX($CJ353:$DI353,1,MATCH((Standards_Active!$C18-1),$CJ$343:$DI$343,FALSE)))/(Standards_Active!$D18-(Standards_Active!$C18-1))+CV353,Standards_Active!$M18*((1+Standards_Active!$O18)^(CW$343-Standards_Active!$D18))),TREND(Perform_Active!$S18:$T18,Perform_Active!$S$8:$T$8,CW$343))),)</f>
        <v>0</v>
      </c>
      <c r="CX353" s="271">
        <f>IF(AND(Tech_Specs!$E17="step",Standards_Active!$E18="yes"),IF(CX$343&lt;Standards_Active!$C18,TREND(Perform_Active!$S18:$T18,Perform_Active!$S$8:$T$8,CX$343),IF(ISNUMBER(Standards_Active!$M18),IF(AND(CX$343&gt;=Standards_Active!$C18,CX$343&lt;Standards_Active!$D18),(Standards_Active!$M18-INDEX($CJ353:$DI353,1,MATCH((Standards_Active!$C18-1),$CJ$343:$DI$343,FALSE)))/(Standards_Active!$D18-(Standards_Active!$C18-1))+CW353,Standards_Active!$M18*((1+Standards_Active!$O18)^(CX$343-Standards_Active!$D18))),TREND(Perform_Active!$S18:$T18,Perform_Active!$S$8:$T$8,CX$343))),)</f>
        <v>0</v>
      </c>
      <c r="CY353" s="271">
        <f>IF(AND(Tech_Specs!$E17="step",Standards_Active!$E18="yes"),IF(CY$343&lt;Standards_Active!$C18,TREND(Perform_Active!$S18:$T18,Perform_Active!$S$8:$T$8,CY$343),IF(ISNUMBER(Standards_Active!$M18),IF(AND(CY$343&gt;=Standards_Active!$C18,CY$343&lt;Standards_Active!$D18),(Standards_Active!$M18-INDEX($CJ353:$DI353,1,MATCH((Standards_Active!$C18-1),$CJ$343:$DI$343,FALSE)))/(Standards_Active!$D18-(Standards_Active!$C18-1))+CX353,Standards_Active!$M18*((1+Standards_Active!$O18)^(CY$343-Standards_Active!$D18))),TREND(Perform_Active!$S18:$T18,Perform_Active!$S$8:$T$8,CY$343))),)</f>
        <v>0</v>
      </c>
      <c r="CZ353" s="271">
        <f>IF(AND(Tech_Specs!$E17="step",Standards_Active!$E18="yes"),IF(CZ$343&lt;Standards_Active!$C18,TREND(Perform_Active!$S18:$T18,Perform_Active!$S$8:$T$8,CZ$343),IF(ISNUMBER(Standards_Active!$M18),IF(AND(CZ$343&gt;=Standards_Active!$C18,CZ$343&lt;Standards_Active!$D18),(Standards_Active!$M18-INDEX($CJ353:$DI353,1,MATCH((Standards_Active!$C18-1),$CJ$343:$DI$343,FALSE)))/(Standards_Active!$D18-(Standards_Active!$C18-1))+CY353,Standards_Active!$M18*((1+Standards_Active!$O18)^(CZ$343-Standards_Active!$D18))),TREND(Perform_Active!$S18:$T18,Perform_Active!$S$8:$T$8,CZ$343))),)</f>
        <v>0</v>
      </c>
      <c r="DA353" s="271">
        <f>IF(AND(Tech_Specs!$E17="step",Standards_Active!$E18="yes"),IF(DA$343&lt;Standards_Active!$C18,TREND(Perform_Active!$S18:$T18,Perform_Active!$S$8:$T$8,DA$343),IF(ISNUMBER(Standards_Active!$M18),IF(AND(DA$343&gt;=Standards_Active!$C18,DA$343&lt;Standards_Active!$D18),(Standards_Active!$M18-INDEX($CJ353:$DI353,1,MATCH((Standards_Active!$C18-1),$CJ$343:$DI$343,FALSE)))/(Standards_Active!$D18-(Standards_Active!$C18-1))+CZ353,Standards_Active!$M18*((1+Standards_Active!$O18)^(DA$343-Standards_Active!$D18))),TREND(Perform_Active!$S18:$T18,Perform_Active!$S$8:$T$8,DA$343))),)</f>
        <v>0</v>
      </c>
      <c r="DB353" s="271">
        <f>IF(AND(Tech_Specs!$E17="step",Standards_Active!$E18="yes"),IF(DB$343&lt;Standards_Active!$C18,TREND(Perform_Active!$S18:$T18,Perform_Active!$S$8:$T$8,DB$343),IF(ISNUMBER(Standards_Active!$M18),IF(AND(DB$343&gt;=Standards_Active!$C18,DB$343&lt;Standards_Active!$D18),(Standards_Active!$M18-INDEX($CJ353:$DI353,1,MATCH((Standards_Active!$C18-1),$CJ$343:$DI$343,FALSE)))/(Standards_Active!$D18-(Standards_Active!$C18-1))+DA353,Standards_Active!$M18*((1+Standards_Active!$O18)^(DB$343-Standards_Active!$D18))),TREND(Perform_Active!$S18:$T18,Perform_Active!$S$8:$T$8,DB$343))),)</f>
        <v>0</v>
      </c>
      <c r="DC353" s="271">
        <f>IF(AND(Tech_Specs!$E17="step",Standards_Active!$E18="yes"),IF(DC$343&lt;Standards_Active!$C18,TREND(Perform_Active!$S18:$T18,Perform_Active!$S$8:$T$8,DC$343),IF(ISNUMBER(Standards_Active!$M18),IF(AND(DC$343&gt;=Standards_Active!$C18,DC$343&lt;Standards_Active!$D18),(Standards_Active!$M18-INDEX($CJ353:$DI353,1,MATCH((Standards_Active!$C18-1),$CJ$343:$DI$343,FALSE)))/(Standards_Active!$D18-(Standards_Active!$C18-1))+DB353,Standards_Active!$M18*((1+Standards_Active!$O18)^(DC$343-Standards_Active!$D18))),TREND(Perform_Active!$S18:$T18,Perform_Active!$S$8:$T$8,DC$343))),)</f>
        <v>0</v>
      </c>
      <c r="DD353" s="271">
        <f>IF(AND(Tech_Specs!$E17="step",Standards_Active!$E18="yes"),IF(DD$343&lt;Standards_Active!$C18,TREND(Perform_Active!$S18:$T18,Perform_Active!$S$8:$T$8,DD$343),IF(ISNUMBER(Standards_Active!$M18),IF(AND(DD$343&gt;=Standards_Active!$C18,DD$343&lt;Standards_Active!$D18),(Standards_Active!$M18-INDEX($CJ353:$DI353,1,MATCH((Standards_Active!$C18-1),$CJ$343:$DI$343,FALSE)))/(Standards_Active!$D18-(Standards_Active!$C18-1))+DC353,Standards_Active!$M18*((1+Standards_Active!$O18)^(DD$343-Standards_Active!$D18))),TREND(Perform_Active!$S18:$T18,Perform_Active!$S$8:$T$8,DD$343))),)</f>
        <v>0</v>
      </c>
      <c r="DE353" s="271">
        <f>IF(AND(Tech_Specs!$E17="step",Standards_Active!$E18="yes"),IF(DE$343&lt;Standards_Active!$C18,TREND(Perform_Active!$S18:$T18,Perform_Active!$S$8:$T$8,DE$343),IF(ISNUMBER(Standards_Active!$M18),IF(AND(DE$343&gt;=Standards_Active!$C18,DE$343&lt;Standards_Active!$D18),(Standards_Active!$M18-INDEX($CJ353:$DI353,1,MATCH((Standards_Active!$C18-1),$CJ$343:$DI$343,FALSE)))/(Standards_Active!$D18-(Standards_Active!$C18-1))+DD353,Standards_Active!$M18*((1+Standards_Active!$O18)^(DE$343-Standards_Active!$D18))),TREND(Perform_Active!$S18:$T18,Perform_Active!$S$8:$T$8,DE$343))),)</f>
        <v>0</v>
      </c>
      <c r="DF353" s="271">
        <f>IF(AND(Tech_Specs!$E17="step",Standards_Active!$E18="yes"),IF(DF$343&lt;Standards_Active!$C18,TREND(Perform_Active!$S18:$T18,Perform_Active!$S$8:$T$8,DF$343),IF(ISNUMBER(Standards_Active!$M18),IF(AND(DF$343&gt;=Standards_Active!$C18,DF$343&lt;Standards_Active!$D18),(Standards_Active!$M18-INDEX($CJ353:$DI353,1,MATCH((Standards_Active!$C18-1),$CJ$343:$DI$343,FALSE)))/(Standards_Active!$D18-(Standards_Active!$C18-1))+DE353,Standards_Active!$M18*((1+Standards_Active!$O18)^(DF$343-Standards_Active!$D18))),TREND(Perform_Active!$S18:$T18,Perform_Active!$S$8:$T$8,DF$343))),)</f>
        <v>0</v>
      </c>
      <c r="DG353" s="271">
        <f>IF(AND(Tech_Specs!$E17="step",Standards_Active!$E18="yes"),IF(DG$343&lt;Standards_Active!$C18,TREND(Perform_Active!$S18:$T18,Perform_Active!$S$8:$T$8,DG$343),IF(ISNUMBER(Standards_Active!$M18),IF(AND(DG$343&gt;=Standards_Active!$C18,DG$343&lt;Standards_Active!$D18),(Standards_Active!$M18-INDEX($CJ353:$DI353,1,MATCH((Standards_Active!$C18-1),$CJ$343:$DI$343,FALSE)))/(Standards_Active!$D18-(Standards_Active!$C18-1))+DF353,Standards_Active!$M18*((1+Standards_Active!$O18)^(DG$343-Standards_Active!$D18))),TREND(Perform_Active!$S18:$T18,Perform_Active!$S$8:$T$8,DG$343))),)</f>
        <v>0</v>
      </c>
      <c r="DH353" s="271">
        <f>IF(AND(Tech_Specs!$E17="step",Standards_Active!$E18="yes"),IF(DH$343&lt;Standards_Active!$C18,TREND(Perform_Active!$S18:$T18,Perform_Active!$S$8:$T$8,DH$343),IF(ISNUMBER(Standards_Active!$M18),IF(AND(DH$343&gt;=Standards_Active!$C18,DH$343&lt;Standards_Active!$D18),(Standards_Active!$M18-INDEX($CJ353:$DI353,1,MATCH((Standards_Active!$C18-1),$CJ$343:$DI$343,FALSE)))/(Standards_Active!$D18-(Standards_Active!$C18-1))+DG353,Standards_Active!$M18*((1+Standards_Active!$O18)^(DH$343-Standards_Active!$D18))),TREND(Perform_Active!$S18:$T18,Perform_Active!$S$8:$T$8,DH$343))),)</f>
        <v>0</v>
      </c>
      <c r="DI353" s="271">
        <f>IF(AND(Tech_Specs!$E17="step",Standards_Active!$E18="yes"),IF(DI$343&lt;Standards_Active!$C18,TREND(Perform_Active!$S18:$T18,Perform_Active!$S$8:$T$8,DI$343),IF(ISNUMBER(Standards_Active!$M18),IF(AND(DI$343&gt;=Standards_Active!$C18,DI$343&lt;Standards_Active!$D18),(Standards_Active!$M18-INDEX($CJ353:$DI353,1,MATCH((Standards_Active!$C18-1),$CJ$343:$DI$343,FALSE)))/(Standards_Active!$D18-(Standards_Active!$C18-1))+DH353,Standards_Active!$M18*((1+Standards_Active!$O18)^(DI$343-Standards_Active!$D18))),TREND(Perform_Active!$S18:$T18,Perform_Active!$S$8:$T$8,DI$343))),)</f>
        <v>0</v>
      </c>
    </row>
    <row r="354" spans="1:113" s="302" customFormat="1" ht="12.75" x14ac:dyDescent="0.2">
      <c r="B354" s="306" t="s">
        <v>29</v>
      </c>
      <c r="D354" s="550"/>
      <c r="E354" s="550"/>
      <c r="F354" s="550"/>
      <c r="G354" s="272">
        <f t="shared" si="54"/>
        <v>43.371784418305339</v>
      </c>
      <c r="H354" s="272">
        <f t="shared" si="54"/>
        <v>24.340617112263921</v>
      </c>
      <c r="I354" s="272">
        <f t="shared" si="54"/>
        <v>16.922534970011032</v>
      </c>
      <c r="J354" s="272">
        <f t="shared" si="54"/>
        <v>12.972841018885431</v>
      </c>
      <c r="K354" s="272">
        <f t="shared" si="54"/>
        <v>10.519941034931337</v>
      </c>
      <c r="L354" s="272">
        <f t="shared" si="54"/>
        <v>8.8485256899677704</v>
      </c>
      <c r="M354" s="272">
        <f t="shared" si="54"/>
        <v>7.6364456896351607</v>
      </c>
      <c r="N354" s="272">
        <f t="shared" si="54"/>
        <v>6.7172256957371594</v>
      </c>
      <c r="O354" s="272">
        <f t="shared" si="54"/>
        <v>5.9961660191164263</v>
      </c>
      <c r="P354" s="272">
        <f t="shared" si="54"/>
        <v>5.4154239236519697</v>
      </c>
      <c r="Q354" s="272">
        <f t="shared" si="55"/>
        <v>4.9376727586187643</v>
      </c>
      <c r="R354" s="272">
        <f t="shared" si="55"/>
        <v>4.5377468290057008</v>
      </c>
      <c r="S354" s="272">
        <f t="shared" si="55"/>
        <v>4.1980618736244635</v>
      </c>
      <c r="T354" s="272">
        <f t="shared" si="55"/>
        <v>3.9059600438037316</v>
      </c>
      <c r="U354" s="272">
        <f t="shared" si="55"/>
        <v>3.652097597685465</v>
      </c>
      <c r="V354" s="272">
        <f t="shared" si="55"/>
        <v>3.4294269002374427</v>
      </c>
      <c r="W354" s="272">
        <f t="shared" si="55"/>
        <v>3.2325319458406661</v>
      </c>
      <c r="X354" s="272">
        <f t="shared" si="55"/>
        <v>3.0571820100553144</v>
      </c>
      <c r="Y354" s="272">
        <f t="shared" si="55"/>
        <v>2.9000242241746776</v>
      </c>
      <c r="Z354" s="272">
        <f t="shared" si="55"/>
        <v>2.7583671150937112</v>
      </c>
      <c r="AA354" s="272">
        <f t="shared" si="56"/>
        <v>2.6300251842298299</v>
      </c>
      <c r="AB354" s="272">
        <f t="shared" si="56"/>
        <v>2.5132053459369339</v>
      </c>
      <c r="AC354" s="272">
        <f t="shared" si="56"/>
        <v>2.4064226374643485</v>
      </c>
      <c r="AD354" s="272">
        <f t="shared" si="56"/>
        <v>2.3084367605270337</v>
      </c>
      <c r="AE354" s="272">
        <f t="shared" si="56"/>
        <v>2.218203685678596</v>
      </c>
      <c r="AF354" s="272">
        <f t="shared" si="56"/>
        <v>2.1348383069491894</v>
      </c>
      <c r="AH354" s="271">
        <f>IF(Tech_Specs!$E18="linear",TREND(Perform_Active!$S19:$T19,Perform_Active!$S$8:$T$8,AH$343),)</f>
        <v>0</v>
      </c>
      <c r="AI354" s="271">
        <f>IF(Tech_Specs!$E18="linear",TREND(Perform_Active!$S19:$T19,Perform_Active!$S$8:$T$8,AI$343),)</f>
        <v>0</v>
      </c>
      <c r="AJ354" s="271">
        <f>IF(Tech_Specs!$E18="linear",TREND(Perform_Active!$S19:$T19,Perform_Active!$S$8:$T$8,AJ$343),)</f>
        <v>0</v>
      </c>
      <c r="AK354" s="271">
        <f>IF(Tech_Specs!$E18="linear",TREND(Perform_Active!$S19:$T19,Perform_Active!$S$8:$T$8,AK$343),)</f>
        <v>0</v>
      </c>
      <c r="AL354" s="271">
        <f>IF(Tech_Specs!$E18="linear",TREND(Perform_Active!$S19:$T19,Perform_Active!$S$8:$T$8,AL$343),)</f>
        <v>0</v>
      </c>
      <c r="AM354" s="271">
        <f>IF(Tech_Specs!$E18="linear",TREND(Perform_Active!$S19:$T19,Perform_Active!$S$8:$T$8,AM$343),)</f>
        <v>0</v>
      </c>
      <c r="AN354" s="271">
        <f>IF(Tech_Specs!$E18="linear",TREND(Perform_Active!$S19:$T19,Perform_Active!$S$8:$T$8,AN$343),)</f>
        <v>0</v>
      </c>
      <c r="AO354" s="271">
        <f>IF(Tech_Specs!$E18="linear",TREND(Perform_Active!$S19:$T19,Perform_Active!$S$8:$T$8,AO$343),)</f>
        <v>0</v>
      </c>
      <c r="AP354" s="271">
        <f>IF(Tech_Specs!$E18="linear",TREND(Perform_Active!$S19:$T19,Perform_Active!$S$8:$T$8,AP$343),)</f>
        <v>0</v>
      </c>
      <c r="AQ354" s="271">
        <f>IF(Tech_Specs!$E18="linear",TREND(Perform_Active!$S19:$T19,Perform_Active!$S$8:$T$8,AQ$343),)</f>
        <v>0</v>
      </c>
      <c r="AR354" s="271">
        <f>IF(Tech_Specs!$E18="linear",TREND(Perform_Active!$S19:$T19,Perform_Active!$S$8:$T$8,AR$343),)</f>
        <v>0</v>
      </c>
      <c r="AS354" s="271">
        <f>IF(Tech_Specs!$E18="linear",TREND(Perform_Active!$S19:$T19,Perform_Active!$S$8:$T$8,AS$343),)</f>
        <v>0</v>
      </c>
      <c r="AT354" s="271">
        <f>IF(Tech_Specs!$E18="linear",TREND(Perform_Active!$S19:$T19,Perform_Active!$S$8:$T$8,AT$343),)</f>
        <v>0</v>
      </c>
      <c r="AU354" s="271">
        <f>IF(Tech_Specs!$E18="linear",TREND(Perform_Active!$S19:$T19,Perform_Active!$S$8:$T$8,AU$343),)</f>
        <v>0</v>
      </c>
      <c r="AV354" s="271">
        <f>IF(Tech_Specs!$E18="linear",TREND(Perform_Active!$S19:$T19,Perform_Active!$S$8:$T$8,AV$343),)</f>
        <v>0</v>
      </c>
      <c r="AW354" s="271">
        <f>IF(Tech_Specs!$E18="linear",TREND(Perform_Active!$S19:$T19,Perform_Active!$S$8:$T$8,AW$343),)</f>
        <v>0</v>
      </c>
      <c r="AX354" s="271">
        <f>IF(Tech_Specs!$E18="linear",TREND(Perform_Active!$S19:$T19,Perform_Active!$S$8:$T$8,AX$343),)</f>
        <v>0</v>
      </c>
      <c r="AY354" s="271">
        <f>IF(Tech_Specs!$E18="linear",TREND(Perform_Active!$S19:$T19,Perform_Active!$S$8:$T$8,AY$343),)</f>
        <v>0</v>
      </c>
      <c r="AZ354" s="271">
        <f>IF(Tech_Specs!$E18="linear",TREND(Perform_Active!$S19:$T19,Perform_Active!$S$8:$T$8,AZ$343),)</f>
        <v>0</v>
      </c>
      <c r="BA354" s="271">
        <f>IF(Tech_Specs!$E18="linear",TREND(Perform_Active!$S19:$T19,Perform_Active!$S$8:$T$8,BA$343),)</f>
        <v>0</v>
      </c>
      <c r="BB354" s="271">
        <f>IF(Tech_Specs!$E18="linear",TREND(Perform_Active!$S19:$T19,Perform_Active!$S$8:$T$8,BB$343),)</f>
        <v>0</v>
      </c>
      <c r="BC354" s="271">
        <f>IF(Tech_Specs!$E18="linear",TREND(Perform_Active!$S19:$T19,Perform_Active!$S$8:$T$8,BC$343),)</f>
        <v>0</v>
      </c>
      <c r="BD354" s="271">
        <f>IF(Tech_Specs!$E18="linear",TREND(Perform_Active!$S19:$T19,Perform_Active!$S$8:$T$8,BD$343),)</f>
        <v>0</v>
      </c>
      <c r="BE354" s="271">
        <f>IF(Tech_Specs!$E18="linear",TREND(Perform_Active!$S19:$T19,Perform_Active!$S$8:$T$8,BE$343),)</f>
        <v>0</v>
      </c>
      <c r="BF354" s="271">
        <f>IF(Tech_Specs!$E18="linear",TREND(Perform_Active!$S19:$T19,Perform_Active!$S$8:$T$8,BF$343),)</f>
        <v>0</v>
      </c>
      <c r="BG354" s="271">
        <f>IF(Tech_Specs!$E18="linear",TREND(Perform_Active!$S19:$T19,Perform_Active!$S$8:$T$8,BG$343),)</f>
        <v>0</v>
      </c>
      <c r="BI354" s="271">
        <f>IF(Tech_Specs!$E18="logistic",IF(Tech_Specs!$K18="lamp",Perform_SSL!G$14,Perform_SSL!G$15),)*Perform_Active!$I19/1000</f>
        <v>43.371784418305339</v>
      </c>
      <c r="BJ354" s="271">
        <f>IF(Tech_Specs!$E18="logistic",IF(Tech_Specs!$K18="lamp",Perform_SSL!H$14,Perform_SSL!H$15),)*Perform_Active!$I19/1000</f>
        <v>24.340617112263921</v>
      </c>
      <c r="BK354" s="271">
        <f>IF(Tech_Specs!$E18="logistic",IF(Tech_Specs!$K18="lamp",Perform_SSL!I$14,Perform_SSL!I$15),)*Perform_Active!$I19/1000</f>
        <v>16.922534970011032</v>
      </c>
      <c r="BL354" s="271">
        <f>IF(Tech_Specs!$E18="logistic",IF(Tech_Specs!$K18="lamp",Perform_SSL!J$14,Perform_SSL!J$15),)*Perform_Active!$I19/1000</f>
        <v>12.972841018885431</v>
      </c>
      <c r="BM354" s="271">
        <f>IF(Tech_Specs!$E18="logistic",IF(Tech_Specs!$K18="lamp",Perform_SSL!K$14,Perform_SSL!K$15),)*Perform_Active!$I19/1000</f>
        <v>10.519941034931337</v>
      </c>
      <c r="BN354" s="271">
        <f>IF(Tech_Specs!$E18="logistic",IF(Tech_Specs!$K18="lamp",Perform_SSL!L$14,Perform_SSL!L$15),)*Perform_Active!$I19/1000</f>
        <v>8.8485256899677704</v>
      </c>
      <c r="BO354" s="271">
        <f>IF(Tech_Specs!$E18="logistic",IF(Tech_Specs!$K18="lamp",Perform_SSL!M$14,Perform_SSL!M$15),)*Perform_Active!$I19/1000</f>
        <v>7.6364456896351607</v>
      </c>
      <c r="BP354" s="271">
        <f>IF(Tech_Specs!$E18="logistic",IF(Tech_Specs!$K18="lamp",Perform_SSL!N$14,Perform_SSL!N$15),)*Perform_Active!$I19/1000</f>
        <v>6.7172256957371594</v>
      </c>
      <c r="BQ354" s="271">
        <f>IF(Tech_Specs!$E18="logistic",IF(Tech_Specs!$K18="lamp",Perform_SSL!O$14,Perform_SSL!O$15),)*Perform_Active!$I19/1000</f>
        <v>5.9961660191164263</v>
      </c>
      <c r="BR354" s="271">
        <f>IF(Tech_Specs!$E18="logistic",IF(Tech_Specs!$K18="lamp",Perform_SSL!P$14,Perform_SSL!P$15),)*Perform_Active!$I19/1000</f>
        <v>5.4154239236519697</v>
      </c>
      <c r="BS354" s="271">
        <f>IF(Tech_Specs!$E18="logistic",IF(Tech_Specs!$K18="lamp",Perform_SSL!Q$14,Perform_SSL!Q$15),)*Perform_Active!$I19/1000</f>
        <v>4.9376727586187643</v>
      </c>
      <c r="BT354" s="271">
        <f>IF(Tech_Specs!$E18="logistic",IF(Tech_Specs!$K18="lamp",Perform_SSL!R$14,Perform_SSL!R$15),)*Perform_Active!$I19/1000</f>
        <v>4.5377468290057008</v>
      </c>
      <c r="BU354" s="271">
        <f>IF(Tech_Specs!$E18="logistic",IF(Tech_Specs!$K18="lamp",Perform_SSL!S$14,Perform_SSL!S$15),)*Perform_Active!$I19/1000</f>
        <v>4.1980618736244635</v>
      </c>
      <c r="BV354" s="271">
        <f>IF(Tech_Specs!$E18="logistic",IF(Tech_Specs!$K18="lamp",Perform_SSL!T$14,Perform_SSL!T$15),)*Perform_Active!$I19/1000</f>
        <v>3.9059600438037316</v>
      </c>
      <c r="BW354" s="271">
        <f>IF(Tech_Specs!$E18="logistic",IF(Tech_Specs!$K18="lamp",Perform_SSL!U$14,Perform_SSL!U$15),)*Perform_Active!$I19/1000</f>
        <v>3.652097597685465</v>
      </c>
      <c r="BX354" s="271">
        <f>IF(Tech_Specs!$E18="logistic",IF(Tech_Specs!$K18="lamp",Perform_SSL!V$14,Perform_SSL!V$15),)*Perform_Active!$I19/1000</f>
        <v>3.4294269002374427</v>
      </c>
      <c r="BY354" s="271">
        <f>IF(Tech_Specs!$E18="logistic",IF(Tech_Specs!$K18="lamp",Perform_SSL!W$14,Perform_SSL!W$15),)*Perform_Active!$I19/1000</f>
        <v>3.2325319458406661</v>
      </c>
      <c r="BZ354" s="271">
        <f>IF(Tech_Specs!$E18="logistic",IF(Tech_Specs!$K18="lamp",Perform_SSL!X$14,Perform_SSL!X$15),)*Perform_Active!$I19/1000</f>
        <v>3.0571820100553144</v>
      </c>
      <c r="CA354" s="271">
        <f>IF(Tech_Specs!$E18="logistic",IF(Tech_Specs!$K18="lamp",Perform_SSL!Y$14,Perform_SSL!Y$15),)*Perform_Active!$I19/1000</f>
        <v>2.9000242241746776</v>
      </c>
      <c r="CB354" s="271">
        <f>IF(Tech_Specs!$E18="logistic",IF(Tech_Specs!$K18="lamp",Perform_SSL!Z$14,Perform_SSL!Z$15),)*Perform_Active!$I19/1000</f>
        <v>2.7583671150937112</v>
      </c>
      <c r="CC354" s="271">
        <f>IF(Tech_Specs!$E18="logistic",IF(Tech_Specs!$K18="lamp",Perform_SSL!AA$14,Perform_SSL!AA$15),)*Perform_Active!$I19/1000</f>
        <v>2.6300251842298299</v>
      </c>
      <c r="CD354" s="271">
        <f>IF(Tech_Specs!$E18="logistic",IF(Tech_Specs!$K18="lamp",Perform_SSL!AB$14,Perform_SSL!AB$15),)*Perform_Active!$I19/1000</f>
        <v>2.5132053459369339</v>
      </c>
      <c r="CE354" s="271">
        <f>IF(Tech_Specs!$E18="logistic",IF(Tech_Specs!$K18="lamp",Perform_SSL!AC$14,Perform_SSL!AC$15),)*Perform_Active!$I19/1000</f>
        <v>2.4064226374643485</v>
      </c>
      <c r="CF354" s="271">
        <f>IF(Tech_Specs!$E18="logistic",IF(Tech_Specs!$K18="lamp",Perform_SSL!AD$14,Perform_SSL!AD$15),)*Perform_Active!$I19/1000</f>
        <v>2.3084367605270337</v>
      </c>
      <c r="CG354" s="271">
        <f>IF(Tech_Specs!$E18="logistic",IF(Tech_Specs!$K18="lamp",Perform_SSL!AE$14,Perform_SSL!AE$15),)*Perform_Active!$I19/1000</f>
        <v>2.218203685678596</v>
      </c>
      <c r="CH354" s="271">
        <f>IF(Tech_Specs!$E18="logistic",IF(Tech_Specs!$K18="lamp",Perform_SSL!AF$14,Perform_SSL!AF$15),)*Perform_Active!$I19/1000</f>
        <v>2.1348383069491894</v>
      </c>
      <c r="CJ354" s="271">
        <f>IF(AND(Tech_Specs!$E18="step",Standards_Active!$E19="yes"),IF(CJ$343&lt;Standards_Active!$C19,TREND(Perform_Active!$S19:$T19,Perform_Active!$S$8:$T$8,CJ$343),IF(ISNUMBER(Standards_Active!$M19),IF(AND(CJ$343&gt;=Standards_Active!$C19,CJ$343&lt;Standards_Active!$D19),(Standards_Active!$M19-INDEX($CJ354:$DI354,1,MATCH((Standards_Active!$C19-1),$CJ$343:$DI$343,FALSE)))/(Standards_Active!$D19-(Standards_Active!$C19-1))+CI354,Standards_Active!$M19*((1+Standards_Active!$O19)^(CJ$343-Standards_Active!$D19))),TREND(Perform_Active!$S19:$T19,Perform_Active!$S$8:$T$8,CJ$343))),)</f>
        <v>0</v>
      </c>
      <c r="CK354" s="271">
        <f>IF(AND(Tech_Specs!$E18="step",Standards_Active!$E19="yes"),IF(CK$343&lt;Standards_Active!$C19,TREND(Perform_Active!$S19:$T19,Perform_Active!$S$8:$T$8,CK$343),IF(ISNUMBER(Standards_Active!$M19),IF(AND(CK$343&gt;=Standards_Active!$C19,CK$343&lt;Standards_Active!$D19),(Standards_Active!$M19-INDEX($CJ354:$DI354,1,MATCH((Standards_Active!$C19-1),$CJ$343:$DI$343,FALSE)))/(Standards_Active!$D19-(Standards_Active!$C19-1))+CJ354,Standards_Active!$M19*((1+Standards_Active!$O19)^(CK$343-Standards_Active!$D19))),TREND(Perform_Active!$S19:$T19,Perform_Active!$S$8:$T$8,CK$343))),)</f>
        <v>0</v>
      </c>
      <c r="CL354" s="271">
        <f>IF(AND(Tech_Specs!$E18="step",Standards_Active!$E19="yes"),IF(CL$343&lt;Standards_Active!$C19,TREND(Perform_Active!$S19:$T19,Perform_Active!$S$8:$T$8,CL$343),IF(ISNUMBER(Standards_Active!$M19),IF(AND(CL$343&gt;=Standards_Active!$C19,CL$343&lt;Standards_Active!$D19),(Standards_Active!$M19-INDEX($CJ354:$DI354,1,MATCH((Standards_Active!$C19-1),$CJ$343:$DI$343,FALSE)))/(Standards_Active!$D19-(Standards_Active!$C19-1))+CK354,Standards_Active!$M19*((1+Standards_Active!$O19)^(CL$343-Standards_Active!$D19))),TREND(Perform_Active!$S19:$T19,Perform_Active!$S$8:$T$8,CL$343))),)</f>
        <v>0</v>
      </c>
      <c r="CM354" s="271">
        <f>IF(AND(Tech_Specs!$E18="step",Standards_Active!$E19="yes"),IF(CM$343&lt;Standards_Active!$C19,TREND(Perform_Active!$S19:$T19,Perform_Active!$S$8:$T$8,CM$343),IF(ISNUMBER(Standards_Active!$M19),IF(AND(CM$343&gt;=Standards_Active!$C19,CM$343&lt;Standards_Active!$D19),(Standards_Active!$M19-INDEX($CJ354:$DI354,1,MATCH((Standards_Active!$C19-1),$CJ$343:$DI$343,FALSE)))/(Standards_Active!$D19-(Standards_Active!$C19-1))+CL354,Standards_Active!$M19*((1+Standards_Active!$O19)^(CM$343-Standards_Active!$D19))),TREND(Perform_Active!$S19:$T19,Perform_Active!$S$8:$T$8,CM$343))),)</f>
        <v>0</v>
      </c>
      <c r="CN354" s="271">
        <f>IF(AND(Tech_Specs!$E18="step",Standards_Active!$E19="yes"),IF(CN$343&lt;Standards_Active!$C19,TREND(Perform_Active!$S19:$T19,Perform_Active!$S$8:$T$8,CN$343),IF(ISNUMBER(Standards_Active!$M19),IF(AND(CN$343&gt;=Standards_Active!$C19,CN$343&lt;Standards_Active!$D19),(Standards_Active!$M19-INDEX($CJ354:$DI354,1,MATCH((Standards_Active!$C19-1),$CJ$343:$DI$343,FALSE)))/(Standards_Active!$D19-(Standards_Active!$C19-1))+CM354,Standards_Active!$M19*((1+Standards_Active!$O19)^(CN$343-Standards_Active!$D19))),TREND(Perform_Active!$S19:$T19,Perform_Active!$S$8:$T$8,CN$343))),)</f>
        <v>0</v>
      </c>
      <c r="CO354" s="271">
        <f>IF(AND(Tech_Specs!$E18="step",Standards_Active!$E19="yes"),IF(CO$343&lt;Standards_Active!$C19,TREND(Perform_Active!$S19:$T19,Perform_Active!$S$8:$T$8,CO$343),IF(ISNUMBER(Standards_Active!$M19),IF(AND(CO$343&gt;=Standards_Active!$C19,CO$343&lt;Standards_Active!$D19),(Standards_Active!$M19-INDEX($CJ354:$DI354,1,MATCH((Standards_Active!$C19-1),$CJ$343:$DI$343,FALSE)))/(Standards_Active!$D19-(Standards_Active!$C19-1))+CN354,Standards_Active!$M19*((1+Standards_Active!$O19)^(CO$343-Standards_Active!$D19))),TREND(Perform_Active!$S19:$T19,Perform_Active!$S$8:$T$8,CO$343))),)</f>
        <v>0</v>
      </c>
      <c r="CP354" s="271">
        <f>IF(AND(Tech_Specs!$E18="step",Standards_Active!$E19="yes"),IF(CP$343&lt;Standards_Active!$C19,TREND(Perform_Active!$S19:$T19,Perform_Active!$S$8:$T$8,CP$343),IF(ISNUMBER(Standards_Active!$M19),IF(AND(CP$343&gt;=Standards_Active!$C19,CP$343&lt;Standards_Active!$D19),(Standards_Active!$M19-INDEX($CJ354:$DI354,1,MATCH((Standards_Active!$C19-1),$CJ$343:$DI$343,FALSE)))/(Standards_Active!$D19-(Standards_Active!$C19-1))+CO354,Standards_Active!$M19*((1+Standards_Active!$O19)^(CP$343-Standards_Active!$D19))),TREND(Perform_Active!$S19:$T19,Perform_Active!$S$8:$T$8,CP$343))),)</f>
        <v>0</v>
      </c>
      <c r="CQ354" s="271">
        <f>IF(AND(Tech_Specs!$E18="step",Standards_Active!$E19="yes"),IF(CQ$343&lt;Standards_Active!$C19,TREND(Perform_Active!$S19:$T19,Perform_Active!$S$8:$T$8,CQ$343),IF(ISNUMBER(Standards_Active!$M19),IF(AND(CQ$343&gt;=Standards_Active!$C19,CQ$343&lt;Standards_Active!$D19),(Standards_Active!$M19-INDEX($CJ354:$DI354,1,MATCH((Standards_Active!$C19-1),$CJ$343:$DI$343,FALSE)))/(Standards_Active!$D19-(Standards_Active!$C19-1))+CP354,Standards_Active!$M19*((1+Standards_Active!$O19)^(CQ$343-Standards_Active!$D19))),TREND(Perform_Active!$S19:$T19,Perform_Active!$S$8:$T$8,CQ$343))),)</f>
        <v>0</v>
      </c>
      <c r="CR354" s="271">
        <f>IF(AND(Tech_Specs!$E18="step",Standards_Active!$E19="yes"),IF(CR$343&lt;Standards_Active!$C19,TREND(Perform_Active!$S19:$T19,Perform_Active!$S$8:$T$8,CR$343),IF(ISNUMBER(Standards_Active!$M19),IF(AND(CR$343&gt;=Standards_Active!$C19,CR$343&lt;Standards_Active!$D19),(Standards_Active!$M19-INDEX($CJ354:$DI354,1,MATCH((Standards_Active!$C19-1),$CJ$343:$DI$343,FALSE)))/(Standards_Active!$D19-(Standards_Active!$C19-1))+CQ354,Standards_Active!$M19*((1+Standards_Active!$O19)^(CR$343-Standards_Active!$D19))),TREND(Perform_Active!$S19:$T19,Perform_Active!$S$8:$T$8,CR$343))),)</f>
        <v>0</v>
      </c>
      <c r="CS354" s="271">
        <f>IF(AND(Tech_Specs!$E18="step",Standards_Active!$E19="yes"),IF(CS$343&lt;Standards_Active!$C19,TREND(Perform_Active!$S19:$T19,Perform_Active!$S$8:$T$8,CS$343),IF(ISNUMBER(Standards_Active!$M19),IF(AND(CS$343&gt;=Standards_Active!$C19,CS$343&lt;Standards_Active!$D19),(Standards_Active!$M19-INDEX($CJ354:$DI354,1,MATCH((Standards_Active!$C19-1),$CJ$343:$DI$343,FALSE)))/(Standards_Active!$D19-(Standards_Active!$C19-1))+CR354,Standards_Active!$M19*((1+Standards_Active!$O19)^(CS$343-Standards_Active!$D19))),TREND(Perform_Active!$S19:$T19,Perform_Active!$S$8:$T$8,CS$343))),)</f>
        <v>0</v>
      </c>
      <c r="CT354" s="271">
        <f>IF(AND(Tech_Specs!$E18="step",Standards_Active!$E19="yes"),IF(CT$343&lt;Standards_Active!$C19,TREND(Perform_Active!$S19:$T19,Perform_Active!$S$8:$T$8,CT$343),IF(ISNUMBER(Standards_Active!$M19),IF(AND(CT$343&gt;=Standards_Active!$C19,CT$343&lt;Standards_Active!$D19),(Standards_Active!$M19-INDEX($CJ354:$DI354,1,MATCH((Standards_Active!$C19-1),$CJ$343:$DI$343,FALSE)))/(Standards_Active!$D19-(Standards_Active!$C19-1))+CS354,Standards_Active!$M19*((1+Standards_Active!$O19)^(CT$343-Standards_Active!$D19))),TREND(Perform_Active!$S19:$T19,Perform_Active!$S$8:$T$8,CT$343))),)</f>
        <v>0</v>
      </c>
      <c r="CU354" s="271">
        <f>IF(AND(Tech_Specs!$E18="step",Standards_Active!$E19="yes"),IF(CU$343&lt;Standards_Active!$C19,TREND(Perform_Active!$S19:$T19,Perform_Active!$S$8:$T$8,CU$343),IF(ISNUMBER(Standards_Active!$M19),IF(AND(CU$343&gt;=Standards_Active!$C19,CU$343&lt;Standards_Active!$D19),(Standards_Active!$M19-INDEX($CJ354:$DI354,1,MATCH((Standards_Active!$C19-1),$CJ$343:$DI$343,FALSE)))/(Standards_Active!$D19-(Standards_Active!$C19-1))+CT354,Standards_Active!$M19*((1+Standards_Active!$O19)^(CU$343-Standards_Active!$D19))),TREND(Perform_Active!$S19:$T19,Perform_Active!$S$8:$T$8,CU$343))),)</f>
        <v>0</v>
      </c>
      <c r="CV354" s="271">
        <f>IF(AND(Tech_Specs!$E18="step",Standards_Active!$E19="yes"),IF(CV$343&lt;Standards_Active!$C19,TREND(Perform_Active!$S19:$T19,Perform_Active!$S$8:$T$8,CV$343),IF(ISNUMBER(Standards_Active!$M19),IF(AND(CV$343&gt;=Standards_Active!$C19,CV$343&lt;Standards_Active!$D19),(Standards_Active!$M19-INDEX($CJ354:$DI354,1,MATCH((Standards_Active!$C19-1),$CJ$343:$DI$343,FALSE)))/(Standards_Active!$D19-(Standards_Active!$C19-1))+CU354,Standards_Active!$M19*((1+Standards_Active!$O19)^(CV$343-Standards_Active!$D19))),TREND(Perform_Active!$S19:$T19,Perform_Active!$S$8:$T$8,CV$343))),)</f>
        <v>0</v>
      </c>
      <c r="CW354" s="271">
        <f>IF(AND(Tech_Specs!$E18="step",Standards_Active!$E19="yes"),IF(CW$343&lt;Standards_Active!$C19,TREND(Perform_Active!$S19:$T19,Perform_Active!$S$8:$T$8,CW$343),IF(ISNUMBER(Standards_Active!$M19),IF(AND(CW$343&gt;=Standards_Active!$C19,CW$343&lt;Standards_Active!$D19),(Standards_Active!$M19-INDEX($CJ354:$DI354,1,MATCH((Standards_Active!$C19-1),$CJ$343:$DI$343,FALSE)))/(Standards_Active!$D19-(Standards_Active!$C19-1))+CV354,Standards_Active!$M19*((1+Standards_Active!$O19)^(CW$343-Standards_Active!$D19))),TREND(Perform_Active!$S19:$T19,Perform_Active!$S$8:$T$8,CW$343))),)</f>
        <v>0</v>
      </c>
      <c r="CX354" s="271">
        <f>IF(AND(Tech_Specs!$E18="step",Standards_Active!$E19="yes"),IF(CX$343&lt;Standards_Active!$C19,TREND(Perform_Active!$S19:$T19,Perform_Active!$S$8:$T$8,CX$343),IF(ISNUMBER(Standards_Active!$M19),IF(AND(CX$343&gt;=Standards_Active!$C19,CX$343&lt;Standards_Active!$D19),(Standards_Active!$M19-INDEX($CJ354:$DI354,1,MATCH((Standards_Active!$C19-1),$CJ$343:$DI$343,FALSE)))/(Standards_Active!$D19-(Standards_Active!$C19-1))+CW354,Standards_Active!$M19*((1+Standards_Active!$O19)^(CX$343-Standards_Active!$D19))),TREND(Perform_Active!$S19:$T19,Perform_Active!$S$8:$T$8,CX$343))),)</f>
        <v>0</v>
      </c>
      <c r="CY354" s="271">
        <f>IF(AND(Tech_Specs!$E18="step",Standards_Active!$E19="yes"),IF(CY$343&lt;Standards_Active!$C19,TREND(Perform_Active!$S19:$T19,Perform_Active!$S$8:$T$8,CY$343),IF(ISNUMBER(Standards_Active!$M19),IF(AND(CY$343&gt;=Standards_Active!$C19,CY$343&lt;Standards_Active!$D19),(Standards_Active!$M19-INDEX($CJ354:$DI354,1,MATCH((Standards_Active!$C19-1),$CJ$343:$DI$343,FALSE)))/(Standards_Active!$D19-(Standards_Active!$C19-1))+CX354,Standards_Active!$M19*((1+Standards_Active!$O19)^(CY$343-Standards_Active!$D19))),TREND(Perform_Active!$S19:$T19,Perform_Active!$S$8:$T$8,CY$343))),)</f>
        <v>0</v>
      </c>
      <c r="CZ354" s="271">
        <f>IF(AND(Tech_Specs!$E18="step",Standards_Active!$E19="yes"),IF(CZ$343&lt;Standards_Active!$C19,TREND(Perform_Active!$S19:$T19,Perform_Active!$S$8:$T$8,CZ$343),IF(ISNUMBER(Standards_Active!$M19),IF(AND(CZ$343&gt;=Standards_Active!$C19,CZ$343&lt;Standards_Active!$D19),(Standards_Active!$M19-INDEX($CJ354:$DI354,1,MATCH((Standards_Active!$C19-1),$CJ$343:$DI$343,FALSE)))/(Standards_Active!$D19-(Standards_Active!$C19-1))+CY354,Standards_Active!$M19*((1+Standards_Active!$O19)^(CZ$343-Standards_Active!$D19))),TREND(Perform_Active!$S19:$T19,Perform_Active!$S$8:$T$8,CZ$343))),)</f>
        <v>0</v>
      </c>
      <c r="DA354" s="271">
        <f>IF(AND(Tech_Specs!$E18="step",Standards_Active!$E19="yes"),IF(DA$343&lt;Standards_Active!$C19,TREND(Perform_Active!$S19:$T19,Perform_Active!$S$8:$T$8,DA$343),IF(ISNUMBER(Standards_Active!$M19),IF(AND(DA$343&gt;=Standards_Active!$C19,DA$343&lt;Standards_Active!$D19),(Standards_Active!$M19-INDEX($CJ354:$DI354,1,MATCH((Standards_Active!$C19-1),$CJ$343:$DI$343,FALSE)))/(Standards_Active!$D19-(Standards_Active!$C19-1))+CZ354,Standards_Active!$M19*((1+Standards_Active!$O19)^(DA$343-Standards_Active!$D19))),TREND(Perform_Active!$S19:$T19,Perform_Active!$S$8:$T$8,DA$343))),)</f>
        <v>0</v>
      </c>
      <c r="DB354" s="271">
        <f>IF(AND(Tech_Specs!$E18="step",Standards_Active!$E19="yes"),IF(DB$343&lt;Standards_Active!$C19,TREND(Perform_Active!$S19:$T19,Perform_Active!$S$8:$T$8,DB$343),IF(ISNUMBER(Standards_Active!$M19),IF(AND(DB$343&gt;=Standards_Active!$C19,DB$343&lt;Standards_Active!$D19),(Standards_Active!$M19-INDEX($CJ354:$DI354,1,MATCH((Standards_Active!$C19-1),$CJ$343:$DI$343,FALSE)))/(Standards_Active!$D19-(Standards_Active!$C19-1))+DA354,Standards_Active!$M19*((1+Standards_Active!$O19)^(DB$343-Standards_Active!$D19))),TREND(Perform_Active!$S19:$T19,Perform_Active!$S$8:$T$8,DB$343))),)</f>
        <v>0</v>
      </c>
      <c r="DC354" s="271">
        <f>IF(AND(Tech_Specs!$E18="step",Standards_Active!$E19="yes"),IF(DC$343&lt;Standards_Active!$C19,TREND(Perform_Active!$S19:$T19,Perform_Active!$S$8:$T$8,DC$343),IF(ISNUMBER(Standards_Active!$M19),IF(AND(DC$343&gt;=Standards_Active!$C19,DC$343&lt;Standards_Active!$D19),(Standards_Active!$M19-INDEX($CJ354:$DI354,1,MATCH((Standards_Active!$C19-1),$CJ$343:$DI$343,FALSE)))/(Standards_Active!$D19-(Standards_Active!$C19-1))+DB354,Standards_Active!$M19*((1+Standards_Active!$O19)^(DC$343-Standards_Active!$D19))),TREND(Perform_Active!$S19:$T19,Perform_Active!$S$8:$T$8,DC$343))),)</f>
        <v>0</v>
      </c>
      <c r="DD354" s="271">
        <f>IF(AND(Tech_Specs!$E18="step",Standards_Active!$E19="yes"),IF(DD$343&lt;Standards_Active!$C19,TREND(Perform_Active!$S19:$T19,Perform_Active!$S$8:$T$8,DD$343),IF(ISNUMBER(Standards_Active!$M19),IF(AND(DD$343&gt;=Standards_Active!$C19,DD$343&lt;Standards_Active!$D19),(Standards_Active!$M19-INDEX($CJ354:$DI354,1,MATCH((Standards_Active!$C19-1),$CJ$343:$DI$343,FALSE)))/(Standards_Active!$D19-(Standards_Active!$C19-1))+DC354,Standards_Active!$M19*((1+Standards_Active!$O19)^(DD$343-Standards_Active!$D19))),TREND(Perform_Active!$S19:$T19,Perform_Active!$S$8:$T$8,DD$343))),)</f>
        <v>0</v>
      </c>
      <c r="DE354" s="271">
        <f>IF(AND(Tech_Specs!$E18="step",Standards_Active!$E19="yes"),IF(DE$343&lt;Standards_Active!$C19,TREND(Perform_Active!$S19:$T19,Perform_Active!$S$8:$T$8,DE$343),IF(ISNUMBER(Standards_Active!$M19),IF(AND(DE$343&gt;=Standards_Active!$C19,DE$343&lt;Standards_Active!$D19),(Standards_Active!$M19-INDEX($CJ354:$DI354,1,MATCH((Standards_Active!$C19-1),$CJ$343:$DI$343,FALSE)))/(Standards_Active!$D19-(Standards_Active!$C19-1))+DD354,Standards_Active!$M19*((1+Standards_Active!$O19)^(DE$343-Standards_Active!$D19))),TREND(Perform_Active!$S19:$T19,Perform_Active!$S$8:$T$8,DE$343))),)</f>
        <v>0</v>
      </c>
      <c r="DF354" s="271">
        <f>IF(AND(Tech_Specs!$E18="step",Standards_Active!$E19="yes"),IF(DF$343&lt;Standards_Active!$C19,TREND(Perform_Active!$S19:$T19,Perform_Active!$S$8:$T$8,DF$343),IF(ISNUMBER(Standards_Active!$M19),IF(AND(DF$343&gt;=Standards_Active!$C19,DF$343&lt;Standards_Active!$D19),(Standards_Active!$M19-INDEX($CJ354:$DI354,1,MATCH((Standards_Active!$C19-1),$CJ$343:$DI$343,FALSE)))/(Standards_Active!$D19-(Standards_Active!$C19-1))+DE354,Standards_Active!$M19*((1+Standards_Active!$O19)^(DF$343-Standards_Active!$D19))),TREND(Perform_Active!$S19:$T19,Perform_Active!$S$8:$T$8,DF$343))),)</f>
        <v>0</v>
      </c>
      <c r="DG354" s="271">
        <f>IF(AND(Tech_Specs!$E18="step",Standards_Active!$E19="yes"),IF(DG$343&lt;Standards_Active!$C19,TREND(Perform_Active!$S19:$T19,Perform_Active!$S$8:$T$8,DG$343),IF(ISNUMBER(Standards_Active!$M19),IF(AND(DG$343&gt;=Standards_Active!$C19,DG$343&lt;Standards_Active!$D19),(Standards_Active!$M19-INDEX($CJ354:$DI354,1,MATCH((Standards_Active!$C19-1),$CJ$343:$DI$343,FALSE)))/(Standards_Active!$D19-(Standards_Active!$C19-1))+DF354,Standards_Active!$M19*((1+Standards_Active!$O19)^(DG$343-Standards_Active!$D19))),TREND(Perform_Active!$S19:$T19,Perform_Active!$S$8:$T$8,DG$343))),)</f>
        <v>0</v>
      </c>
      <c r="DH354" s="271">
        <f>IF(AND(Tech_Specs!$E18="step",Standards_Active!$E19="yes"),IF(DH$343&lt;Standards_Active!$C19,TREND(Perform_Active!$S19:$T19,Perform_Active!$S$8:$T$8,DH$343),IF(ISNUMBER(Standards_Active!$M19),IF(AND(DH$343&gt;=Standards_Active!$C19,DH$343&lt;Standards_Active!$D19),(Standards_Active!$M19-INDEX($CJ354:$DI354,1,MATCH((Standards_Active!$C19-1),$CJ$343:$DI$343,FALSE)))/(Standards_Active!$D19-(Standards_Active!$C19-1))+DG354,Standards_Active!$M19*((1+Standards_Active!$O19)^(DH$343-Standards_Active!$D19))),TREND(Perform_Active!$S19:$T19,Perform_Active!$S$8:$T$8,DH$343))),)</f>
        <v>0</v>
      </c>
      <c r="DI354" s="271">
        <f>IF(AND(Tech_Specs!$E18="step",Standards_Active!$E19="yes"),IF(DI$343&lt;Standards_Active!$C19,TREND(Perform_Active!$S19:$T19,Perform_Active!$S$8:$T$8,DI$343),IF(ISNUMBER(Standards_Active!$M19),IF(AND(DI$343&gt;=Standards_Active!$C19,DI$343&lt;Standards_Active!$D19),(Standards_Active!$M19-INDEX($CJ354:$DI354,1,MATCH((Standards_Active!$C19-1),$CJ$343:$DI$343,FALSE)))/(Standards_Active!$D19-(Standards_Active!$C19-1))+DH354,Standards_Active!$M19*((1+Standards_Active!$O19)^(DI$343-Standards_Active!$D19))),TREND(Perform_Active!$S19:$T19,Perform_Active!$S$8:$T$8,DI$343))),)</f>
        <v>0</v>
      </c>
    </row>
    <row r="355" spans="1:113" s="302" customFormat="1" ht="12.75" x14ac:dyDescent="0.2">
      <c r="D355" s="550"/>
      <c r="E355" s="550"/>
      <c r="F355" s="550"/>
      <c r="G355" s="341"/>
      <c r="H355" s="341"/>
      <c r="I355" s="341"/>
      <c r="J355" s="341"/>
      <c r="K355" s="341"/>
      <c r="L355" s="341"/>
      <c r="M355" s="341"/>
      <c r="N355" s="341"/>
      <c r="O355" s="341"/>
      <c r="P355" s="341"/>
      <c r="Q355" s="341"/>
      <c r="R355" s="341"/>
      <c r="S355" s="341"/>
      <c r="T355" s="341"/>
      <c r="U355" s="341"/>
      <c r="V355" s="341"/>
      <c r="W355" s="341"/>
      <c r="X355" s="341"/>
      <c r="Y355" s="341"/>
      <c r="Z355" s="341"/>
      <c r="AA355" s="341"/>
      <c r="AB355" s="341"/>
      <c r="AC355" s="341"/>
      <c r="AD355" s="341"/>
      <c r="AE355" s="341"/>
      <c r="AF355" s="341"/>
      <c r="AH355" s="341"/>
      <c r="AI355" s="341"/>
      <c r="AJ355" s="341"/>
      <c r="AK355" s="341"/>
      <c r="AL355" s="341"/>
      <c r="AM355" s="341"/>
      <c r="AN355" s="341"/>
      <c r="AO355" s="341"/>
      <c r="AP355" s="341"/>
      <c r="AQ355" s="341"/>
      <c r="AR355" s="341"/>
      <c r="AS355" s="341"/>
      <c r="AT355" s="341"/>
      <c r="AU355" s="341"/>
      <c r="AV355" s="341"/>
      <c r="AW355" s="341"/>
      <c r="AX355" s="341"/>
      <c r="AY355" s="341"/>
      <c r="AZ355" s="341"/>
      <c r="BA355" s="341"/>
      <c r="BB355" s="341"/>
      <c r="BC355" s="341"/>
      <c r="BD355" s="341"/>
      <c r="BE355" s="341"/>
      <c r="BF355" s="341"/>
      <c r="BG355" s="341"/>
      <c r="BI355" s="341"/>
      <c r="BJ355" s="341"/>
      <c r="BK355" s="341"/>
      <c r="BL355" s="341"/>
      <c r="BM355" s="341"/>
      <c r="BN355" s="341"/>
      <c r="BO355" s="341"/>
      <c r="BP355" s="341"/>
      <c r="BQ355" s="341"/>
      <c r="BR355" s="341"/>
      <c r="BS355" s="341"/>
      <c r="BT355" s="341"/>
      <c r="BU355" s="341"/>
      <c r="BV355" s="341"/>
      <c r="BW355" s="341"/>
      <c r="BX355" s="341"/>
      <c r="BY355" s="341"/>
      <c r="BZ355" s="341"/>
      <c r="CA355" s="341"/>
      <c r="CB355" s="341"/>
      <c r="CC355" s="341"/>
      <c r="CD355" s="341"/>
      <c r="CE355" s="341"/>
      <c r="CF355" s="341"/>
      <c r="CG355" s="341"/>
      <c r="CH355" s="341"/>
      <c r="CJ355" s="341"/>
      <c r="CK355" s="341"/>
      <c r="CL355" s="341"/>
      <c r="CM355" s="341"/>
      <c r="CN355" s="341"/>
      <c r="CO355" s="341"/>
      <c r="CP355" s="341"/>
      <c r="CQ355" s="341"/>
      <c r="CR355" s="341"/>
      <c r="CS355" s="341"/>
      <c r="CT355" s="341"/>
      <c r="CU355" s="341"/>
      <c r="CV355" s="341"/>
      <c r="CW355" s="341"/>
      <c r="CX355" s="341"/>
      <c r="CY355" s="341"/>
      <c r="CZ355" s="341"/>
      <c r="DA355" s="341"/>
      <c r="DB355" s="341"/>
      <c r="DC355" s="341"/>
      <c r="DD355" s="341"/>
      <c r="DE355" s="341"/>
      <c r="DF355" s="341"/>
      <c r="DG355" s="341"/>
      <c r="DH355" s="341"/>
      <c r="DI355" s="341"/>
    </row>
    <row r="356" spans="1:113" s="302" customFormat="1" ht="12.75" x14ac:dyDescent="0.2">
      <c r="A356" s="305" t="s">
        <v>36</v>
      </c>
      <c r="B356" s="304"/>
      <c r="C356" s="304"/>
      <c r="D356" s="501"/>
      <c r="E356" s="501"/>
      <c r="F356" s="501"/>
      <c r="G356" s="320"/>
      <c r="H356" s="320"/>
      <c r="I356" s="320"/>
      <c r="J356" s="320"/>
      <c r="K356" s="320"/>
      <c r="L356" s="320"/>
      <c r="M356" s="320"/>
      <c r="N356" s="320"/>
      <c r="O356" s="320"/>
      <c r="P356" s="320"/>
      <c r="Q356" s="320"/>
      <c r="R356" s="320"/>
      <c r="S356" s="320"/>
      <c r="T356" s="320"/>
      <c r="U356" s="320"/>
      <c r="V356" s="320"/>
      <c r="W356" s="320"/>
      <c r="X356" s="320"/>
      <c r="Y356" s="320"/>
      <c r="Z356" s="320"/>
      <c r="AA356" s="320"/>
      <c r="AB356" s="320"/>
      <c r="AC356" s="320"/>
      <c r="AD356" s="320"/>
      <c r="AE356" s="320"/>
      <c r="AF356" s="320"/>
      <c r="AH356" s="320"/>
      <c r="AI356" s="320"/>
      <c r="AJ356" s="320"/>
      <c r="AK356" s="320"/>
      <c r="AL356" s="320"/>
      <c r="AM356" s="320"/>
      <c r="AN356" s="320"/>
      <c r="AO356" s="320"/>
      <c r="AP356" s="320"/>
      <c r="AQ356" s="320"/>
      <c r="AR356" s="320"/>
      <c r="AS356" s="320"/>
      <c r="AT356" s="320"/>
      <c r="AU356" s="320"/>
      <c r="AV356" s="320"/>
      <c r="AW356" s="320"/>
      <c r="AX356" s="320"/>
      <c r="AY356" s="320"/>
      <c r="AZ356" s="320"/>
      <c r="BA356" s="320"/>
      <c r="BB356" s="320"/>
      <c r="BC356" s="320"/>
      <c r="BD356" s="320"/>
      <c r="BE356" s="320"/>
      <c r="BF356" s="320"/>
      <c r="BG356" s="320"/>
      <c r="BI356" s="320"/>
      <c r="BJ356" s="320"/>
      <c r="BK356" s="320"/>
      <c r="BL356" s="320"/>
      <c r="BM356" s="320"/>
      <c r="BN356" s="320"/>
      <c r="BO356" s="320"/>
      <c r="BP356" s="320"/>
      <c r="BQ356" s="320"/>
      <c r="BR356" s="320"/>
      <c r="BS356" s="320"/>
      <c r="BT356" s="320"/>
      <c r="BU356" s="320"/>
      <c r="BV356" s="320"/>
      <c r="BW356" s="320"/>
      <c r="BX356" s="320"/>
      <c r="BY356" s="320"/>
      <c r="BZ356" s="320"/>
      <c r="CA356" s="320"/>
      <c r="CB356" s="320"/>
      <c r="CC356" s="320"/>
      <c r="CD356" s="320"/>
      <c r="CE356" s="320"/>
      <c r="CF356" s="320"/>
      <c r="CG356" s="320"/>
      <c r="CH356" s="320"/>
      <c r="CJ356" s="320"/>
      <c r="CK356" s="320"/>
      <c r="CL356" s="320"/>
      <c r="CM356" s="320"/>
      <c r="CN356" s="320"/>
      <c r="CO356" s="320"/>
      <c r="CP356" s="320"/>
      <c r="CQ356" s="320"/>
      <c r="CR356" s="320"/>
      <c r="CS356" s="320"/>
      <c r="CT356" s="320"/>
      <c r="CU356" s="320"/>
      <c r="CV356" s="320"/>
      <c r="CW356" s="320"/>
      <c r="CX356" s="320"/>
      <c r="CY356" s="320"/>
      <c r="CZ356" s="320"/>
      <c r="DA356" s="320"/>
      <c r="DB356" s="320"/>
      <c r="DC356" s="320"/>
      <c r="DD356" s="320"/>
      <c r="DE356" s="320"/>
      <c r="DF356" s="320"/>
      <c r="DG356" s="320"/>
      <c r="DH356" s="320"/>
      <c r="DI356" s="320"/>
    </row>
    <row r="357" spans="1:113" s="302" customFormat="1" ht="12.75" x14ac:dyDescent="0.2">
      <c r="B357" s="302" t="s">
        <v>37</v>
      </c>
      <c r="C357" s="306"/>
      <c r="D357" s="552"/>
      <c r="E357" s="552"/>
      <c r="F357" s="552"/>
      <c r="G357" s="272">
        <f t="shared" ref="G357:P360" si="57">SUM(AH357,BI357,CJ357)</f>
        <v>3.3000000000000043</v>
      </c>
      <c r="H357" s="272">
        <f t="shared" si="57"/>
        <v>3.2835000000000036</v>
      </c>
      <c r="I357" s="272">
        <f t="shared" si="57"/>
        <v>3.267000000000003</v>
      </c>
      <c r="J357" s="272">
        <f t="shared" si="57"/>
        <v>3.2505000000000024</v>
      </c>
      <c r="K357" s="272">
        <f t="shared" si="57"/>
        <v>3.2340000000000018</v>
      </c>
      <c r="L357" s="272">
        <f t="shared" si="57"/>
        <v>3.2175000000000011</v>
      </c>
      <c r="M357" s="272">
        <f t="shared" si="57"/>
        <v>3.2010000000000005</v>
      </c>
      <c r="N357" s="272">
        <f t="shared" si="57"/>
        <v>3.1844999999999999</v>
      </c>
      <c r="O357" s="272">
        <f t="shared" si="57"/>
        <v>3.1679999999999993</v>
      </c>
      <c r="P357" s="272">
        <f t="shared" si="57"/>
        <v>3.1514999999999986</v>
      </c>
      <c r="Q357" s="272">
        <f t="shared" ref="Q357:Z360" si="58">SUM(AR357,BS357,CT357)</f>
        <v>3.1350000000000051</v>
      </c>
      <c r="R357" s="272">
        <f t="shared" si="58"/>
        <v>3.1185000000000045</v>
      </c>
      <c r="S357" s="272">
        <f t="shared" si="58"/>
        <v>3.1020000000000039</v>
      </c>
      <c r="T357" s="272">
        <f t="shared" si="58"/>
        <v>3.0855000000000032</v>
      </c>
      <c r="U357" s="272">
        <f t="shared" si="58"/>
        <v>3.0690000000000026</v>
      </c>
      <c r="V357" s="272">
        <f t="shared" si="58"/>
        <v>3.052500000000002</v>
      </c>
      <c r="W357" s="272">
        <f t="shared" si="58"/>
        <v>3.0360000000000014</v>
      </c>
      <c r="X357" s="272">
        <f t="shared" si="58"/>
        <v>3.0195000000000007</v>
      </c>
      <c r="Y357" s="272">
        <f t="shared" si="58"/>
        <v>3.0030000000000001</v>
      </c>
      <c r="Z357" s="272">
        <f t="shared" si="58"/>
        <v>2.9864999999999995</v>
      </c>
      <c r="AA357" s="272">
        <f t="shared" ref="AA357:AF360" si="59">SUM(BB357,CC357,DD357)</f>
        <v>2.9699999999999989</v>
      </c>
      <c r="AB357" s="272">
        <f t="shared" si="59"/>
        <v>2.9535000000000053</v>
      </c>
      <c r="AC357" s="272">
        <f t="shared" si="59"/>
        <v>2.9370000000000047</v>
      </c>
      <c r="AD357" s="272">
        <f t="shared" si="59"/>
        <v>2.9205000000000041</v>
      </c>
      <c r="AE357" s="272">
        <f t="shared" si="59"/>
        <v>2.9040000000000035</v>
      </c>
      <c r="AF357" s="272">
        <f t="shared" si="59"/>
        <v>2.8875000000000028</v>
      </c>
      <c r="AH357" s="271">
        <f>IF(Tech_Specs!$E21="linear",TREND(Perform_Active!$S22:$T22,Perform_Active!$S$8:$T$8,AH$343),)</f>
        <v>0</v>
      </c>
      <c r="AI357" s="271">
        <f>IF(Tech_Specs!$E21="linear",TREND(Perform_Active!$S22:$T22,Perform_Active!$S$8:$T$8,AI$343),)</f>
        <v>0</v>
      </c>
      <c r="AJ357" s="271">
        <f>IF(Tech_Specs!$E21="linear",TREND(Perform_Active!$S22:$T22,Perform_Active!$S$8:$T$8,AJ$343),)</f>
        <v>0</v>
      </c>
      <c r="AK357" s="271">
        <f>IF(Tech_Specs!$E21="linear",TREND(Perform_Active!$S22:$T22,Perform_Active!$S$8:$T$8,AK$343),)</f>
        <v>0</v>
      </c>
      <c r="AL357" s="271">
        <f>IF(Tech_Specs!$E21="linear",TREND(Perform_Active!$S22:$T22,Perform_Active!$S$8:$T$8,AL$343),)</f>
        <v>0</v>
      </c>
      <c r="AM357" s="271">
        <f>IF(Tech_Specs!$E21="linear",TREND(Perform_Active!$S22:$T22,Perform_Active!$S$8:$T$8,AM$343),)</f>
        <v>0</v>
      </c>
      <c r="AN357" s="271">
        <f>IF(Tech_Specs!$E21="linear",TREND(Perform_Active!$S22:$T22,Perform_Active!$S$8:$T$8,AN$343),)</f>
        <v>0</v>
      </c>
      <c r="AO357" s="271">
        <f>IF(Tech_Specs!$E21="linear",TREND(Perform_Active!$S22:$T22,Perform_Active!$S$8:$T$8,AO$343),)</f>
        <v>0</v>
      </c>
      <c r="AP357" s="271">
        <f>IF(Tech_Specs!$E21="linear",TREND(Perform_Active!$S22:$T22,Perform_Active!$S$8:$T$8,AP$343),)</f>
        <v>0</v>
      </c>
      <c r="AQ357" s="271">
        <f>IF(Tech_Specs!$E21="linear",TREND(Perform_Active!$S22:$T22,Perform_Active!$S$8:$T$8,AQ$343),)</f>
        <v>0</v>
      </c>
      <c r="AR357" s="271">
        <f>IF(Tech_Specs!$E21="linear",TREND(Perform_Active!$S22:$T22,Perform_Active!$S$8:$T$8,AR$343),)</f>
        <v>0</v>
      </c>
      <c r="AS357" s="271">
        <f>IF(Tech_Specs!$E21="linear",TREND(Perform_Active!$S22:$T22,Perform_Active!$S$8:$T$8,AS$343),)</f>
        <v>0</v>
      </c>
      <c r="AT357" s="271">
        <f>IF(Tech_Specs!$E21="linear",TREND(Perform_Active!$S22:$T22,Perform_Active!$S$8:$T$8,AT$343),)</f>
        <v>0</v>
      </c>
      <c r="AU357" s="271">
        <f>IF(Tech_Specs!$E21="linear",TREND(Perform_Active!$S22:$T22,Perform_Active!$S$8:$T$8,AU$343),)</f>
        <v>0</v>
      </c>
      <c r="AV357" s="271">
        <f>IF(Tech_Specs!$E21="linear",TREND(Perform_Active!$S22:$T22,Perform_Active!$S$8:$T$8,AV$343),)</f>
        <v>0</v>
      </c>
      <c r="AW357" s="271">
        <f>IF(Tech_Specs!$E21="linear",TREND(Perform_Active!$S22:$T22,Perform_Active!$S$8:$T$8,AW$343),)</f>
        <v>0</v>
      </c>
      <c r="AX357" s="271">
        <f>IF(Tech_Specs!$E21="linear",TREND(Perform_Active!$S22:$T22,Perform_Active!$S$8:$T$8,AX$343),)</f>
        <v>0</v>
      </c>
      <c r="AY357" s="271">
        <f>IF(Tech_Specs!$E21="linear",TREND(Perform_Active!$S22:$T22,Perform_Active!$S$8:$T$8,AY$343),)</f>
        <v>0</v>
      </c>
      <c r="AZ357" s="271">
        <f>IF(Tech_Specs!$E21="linear",TREND(Perform_Active!$S22:$T22,Perform_Active!$S$8:$T$8,AZ$343),)</f>
        <v>0</v>
      </c>
      <c r="BA357" s="271">
        <f>IF(Tech_Specs!$E21="linear",TREND(Perform_Active!$S22:$T22,Perform_Active!$S$8:$T$8,BA$343),)</f>
        <v>0</v>
      </c>
      <c r="BB357" s="271">
        <f>IF(Tech_Specs!$E21="linear",TREND(Perform_Active!$S22:$T22,Perform_Active!$S$8:$T$8,BB$343),)</f>
        <v>0</v>
      </c>
      <c r="BC357" s="271">
        <f>IF(Tech_Specs!$E21="linear",TREND(Perform_Active!$S22:$T22,Perform_Active!$S$8:$T$8,BC$343),)</f>
        <v>0</v>
      </c>
      <c r="BD357" s="271">
        <f>IF(Tech_Specs!$E21="linear",TREND(Perform_Active!$S22:$T22,Perform_Active!$S$8:$T$8,BD$343),)</f>
        <v>0</v>
      </c>
      <c r="BE357" s="271">
        <f>IF(Tech_Specs!$E21="linear",TREND(Perform_Active!$S22:$T22,Perform_Active!$S$8:$T$8,BE$343),)</f>
        <v>0</v>
      </c>
      <c r="BF357" s="271">
        <f>IF(Tech_Specs!$E21="linear",TREND(Perform_Active!$S22:$T22,Perform_Active!$S$8:$T$8,BF$343),)</f>
        <v>0</v>
      </c>
      <c r="BG357" s="271">
        <f>IF(Tech_Specs!$E21="linear",TREND(Perform_Active!$S22:$T22,Perform_Active!$S$8:$T$8,BG$343),)</f>
        <v>0</v>
      </c>
      <c r="BI357" s="271">
        <f>IF(Tech_Specs!$E21="logistic",IF(Tech_Specs!$K21="lamp",Perform_SSL!G$14,Perform_SSL!G$15),)*Perform_Active!$I22/1000</f>
        <v>0</v>
      </c>
      <c r="BJ357" s="271">
        <f>IF(Tech_Specs!$E21="logistic",IF(Tech_Specs!$K21="lamp",Perform_SSL!H$14,Perform_SSL!H$15),)*Perform_Active!$I22/1000</f>
        <v>0</v>
      </c>
      <c r="BK357" s="271">
        <f>IF(Tech_Specs!$E21="logistic",IF(Tech_Specs!$K21="lamp",Perform_SSL!I$14,Perform_SSL!I$15),)*Perform_Active!$I22/1000</f>
        <v>0</v>
      </c>
      <c r="BL357" s="271">
        <f>IF(Tech_Specs!$E21="logistic",IF(Tech_Specs!$K21="lamp",Perform_SSL!J$14,Perform_SSL!J$15),)*Perform_Active!$I22/1000</f>
        <v>0</v>
      </c>
      <c r="BM357" s="271">
        <f>IF(Tech_Specs!$E21="logistic",IF(Tech_Specs!$K21="lamp",Perform_SSL!K$14,Perform_SSL!K$15),)*Perform_Active!$I22/1000</f>
        <v>0</v>
      </c>
      <c r="BN357" s="271">
        <f>IF(Tech_Specs!$E21="logistic",IF(Tech_Specs!$K21="lamp",Perform_SSL!L$14,Perform_SSL!L$15),)*Perform_Active!$I22/1000</f>
        <v>0</v>
      </c>
      <c r="BO357" s="271">
        <f>IF(Tech_Specs!$E21="logistic",IF(Tech_Specs!$K21="lamp",Perform_SSL!M$14,Perform_SSL!M$15),)*Perform_Active!$I22/1000</f>
        <v>0</v>
      </c>
      <c r="BP357" s="271">
        <f>IF(Tech_Specs!$E21="logistic",IF(Tech_Specs!$K21="lamp",Perform_SSL!N$14,Perform_SSL!N$15),)*Perform_Active!$I22/1000</f>
        <v>0</v>
      </c>
      <c r="BQ357" s="271">
        <f>IF(Tech_Specs!$E21="logistic",IF(Tech_Specs!$K21="lamp",Perform_SSL!O$14,Perform_SSL!O$15),)*Perform_Active!$I22/1000</f>
        <v>0</v>
      </c>
      <c r="BR357" s="271">
        <f>IF(Tech_Specs!$E21="logistic",IF(Tech_Specs!$K21="lamp",Perform_SSL!P$14,Perform_SSL!P$15),)*Perform_Active!$I22/1000</f>
        <v>0</v>
      </c>
      <c r="BS357" s="271">
        <f>IF(Tech_Specs!$E21="logistic",IF(Tech_Specs!$K21="lamp",Perform_SSL!Q$14,Perform_SSL!Q$15),)*Perform_Active!$I22/1000</f>
        <v>0</v>
      </c>
      <c r="BT357" s="271">
        <f>IF(Tech_Specs!$E21="logistic",IF(Tech_Specs!$K21="lamp",Perform_SSL!R$14,Perform_SSL!R$15),)*Perform_Active!$I22/1000</f>
        <v>0</v>
      </c>
      <c r="BU357" s="271">
        <f>IF(Tech_Specs!$E21="logistic",IF(Tech_Specs!$K21="lamp",Perform_SSL!S$14,Perform_SSL!S$15),)*Perform_Active!$I22/1000</f>
        <v>0</v>
      </c>
      <c r="BV357" s="271">
        <f>IF(Tech_Specs!$E21="logistic",IF(Tech_Specs!$K21="lamp",Perform_SSL!T$14,Perform_SSL!T$15),)*Perform_Active!$I22/1000</f>
        <v>0</v>
      </c>
      <c r="BW357" s="271">
        <f>IF(Tech_Specs!$E21="logistic",IF(Tech_Specs!$K21="lamp",Perform_SSL!U$14,Perform_SSL!U$15),)*Perform_Active!$I22/1000</f>
        <v>0</v>
      </c>
      <c r="BX357" s="271">
        <f>IF(Tech_Specs!$E21="logistic",IF(Tech_Specs!$K21="lamp",Perform_SSL!V$14,Perform_SSL!V$15),)*Perform_Active!$I22/1000</f>
        <v>0</v>
      </c>
      <c r="BY357" s="271">
        <f>IF(Tech_Specs!$E21="logistic",IF(Tech_Specs!$K21="lamp",Perform_SSL!W$14,Perform_SSL!W$15),)*Perform_Active!$I22/1000</f>
        <v>0</v>
      </c>
      <c r="BZ357" s="271">
        <f>IF(Tech_Specs!$E21="logistic",IF(Tech_Specs!$K21="lamp",Perform_SSL!X$14,Perform_SSL!X$15),)*Perform_Active!$I22/1000</f>
        <v>0</v>
      </c>
      <c r="CA357" s="271">
        <f>IF(Tech_Specs!$E21="logistic",IF(Tech_Specs!$K21="lamp",Perform_SSL!Y$14,Perform_SSL!Y$15),)*Perform_Active!$I22/1000</f>
        <v>0</v>
      </c>
      <c r="CB357" s="271">
        <f>IF(Tech_Specs!$E21="logistic",IF(Tech_Specs!$K21="lamp",Perform_SSL!Z$14,Perform_SSL!Z$15),)*Perform_Active!$I22/1000</f>
        <v>0</v>
      </c>
      <c r="CC357" s="271">
        <f>IF(Tech_Specs!$E21="logistic",IF(Tech_Specs!$K21="lamp",Perform_SSL!AA$14,Perform_SSL!AA$15),)*Perform_Active!$I22/1000</f>
        <v>0</v>
      </c>
      <c r="CD357" s="271">
        <f>IF(Tech_Specs!$E21="logistic",IF(Tech_Specs!$K21="lamp",Perform_SSL!AB$14,Perform_SSL!AB$15),)*Perform_Active!$I22/1000</f>
        <v>0</v>
      </c>
      <c r="CE357" s="271">
        <f>IF(Tech_Specs!$E21="logistic",IF(Tech_Specs!$K21="lamp",Perform_SSL!AC$14,Perform_SSL!AC$15),)*Perform_Active!$I22/1000</f>
        <v>0</v>
      </c>
      <c r="CF357" s="271">
        <f>IF(Tech_Specs!$E21="logistic",IF(Tech_Specs!$K21="lamp",Perform_SSL!AD$14,Perform_SSL!AD$15),)*Perform_Active!$I22/1000</f>
        <v>0</v>
      </c>
      <c r="CG357" s="271">
        <f>IF(Tech_Specs!$E21="logistic",IF(Tech_Specs!$K21="lamp",Perform_SSL!AE$14,Perform_SSL!AE$15),)*Perform_Active!$I22/1000</f>
        <v>0</v>
      </c>
      <c r="CH357" s="271">
        <f>IF(Tech_Specs!$E21="logistic",IF(Tech_Specs!$K21="lamp",Perform_SSL!AF$14,Perform_SSL!AF$15),)*Perform_Active!$I22/1000</f>
        <v>0</v>
      </c>
      <c r="CJ357" s="271">
        <f>IF(AND(Tech_Specs!$E21="step",Standards_Active!$E22="yes"),IF(CJ$343&lt;Standards_Active!$C22,TREND(Perform_Active!$S22:$T22,Perform_Active!$S$8:$T$8,CJ$343),IF(ISNUMBER(Standards_Active!$M22),IF(AND(CJ$343&gt;=Standards_Active!$C22,CJ$343&lt;Standards_Active!$D22),(Standards_Active!$M22-INDEX($CJ357:$DI357,1,MATCH((Standards_Active!$C22-1),$CJ$343:$DI$343,FALSE)))/(Standards_Active!$D22-(Standards_Active!$C22-1))+CI357,Standards_Active!$M22*((1+Standards_Active!$O22)^(CJ$343-Standards_Active!$D22))),TREND(Perform_Active!$S22:$T22,Perform_Active!$S$8:$T$8,CJ$343))),)</f>
        <v>3.3000000000000043</v>
      </c>
      <c r="CK357" s="271">
        <f>IF(AND(Tech_Specs!$E21="step",Standards_Active!$E22="yes"),IF(CK$343&lt;Standards_Active!$C22,TREND(Perform_Active!$S22:$T22,Perform_Active!$S$8:$T$8,CK$343),IF(ISNUMBER(Standards_Active!$M22),IF(AND(CK$343&gt;=Standards_Active!$C22,CK$343&lt;Standards_Active!$D22),(Standards_Active!$M22-INDEX($CJ357:$DI357,1,MATCH((Standards_Active!$C22-1),$CJ$343:$DI$343,FALSE)))/(Standards_Active!$D22-(Standards_Active!$C22-1))+CJ357,Standards_Active!$M22*((1+Standards_Active!$O22)^(CK$343-Standards_Active!$D22))),TREND(Perform_Active!$S22:$T22,Perform_Active!$S$8:$T$8,CK$343))),)</f>
        <v>3.2835000000000036</v>
      </c>
      <c r="CL357" s="271">
        <f>IF(AND(Tech_Specs!$E21="step",Standards_Active!$E22="yes"),IF(CL$343&lt;Standards_Active!$C22,TREND(Perform_Active!$S22:$T22,Perform_Active!$S$8:$T$8,CL$343),IF(ISNUMBER(Standards_Active!$M22),IF(AND(CL$343&gt;=Standards_Active!$C22,CL$343&lt;Standards_Active!$D22),(Standards_Active!$M22-INDEX($CJ357:$DI357,1,MATCH((Standards_Active!$C22-1),$CJ$343:$DI$343,FALSE)))/(Standards_Active!$D22-(Standards_Active!$C22-1))+CK357,Standards_Active!$M22*((1+Standards_Active!$O22)^(CL$343-Standards_Active!$D22))),TREND(Perform_Active!$S22:$T22,Perform_Active!$S$8:$T$8,CL$343))),)</f>
        <v>3.267000000000003</v>
      </c>
      <c r="CM357" s="271">
        <f>IF(AND(Tech_Specs!$E21="step",Standards_Active!$E22="yes"),IF(CM$343&lt;Standards_Active!$C22,TREND(Perform_Active!$S22:$T22,Perform_Active!$S$8:$T$8,CM$343),IF(ISNUMBER(Standards_Active!$M22),IF(AND(CM$343&gt;=Standards_Active!$C22,CM$343&lt;Standards_Active!$D22),(Standards_Active!$M22-INDEX($CJ357:$DI357,1,MATCH((Standards_Active!$C22-1),$CJ$343:$DI$343,FALSE)))/(Standards_Active!$D22-(Standards_Active!$C22-1))+CL357,Standards_Active!$M22*((1+Standards_Active!$O22)^(CM$343-Standards_Active!$D22))),TREND(Perform_Active!$S22:$T22,Perform_Active!$S$8:$T$8,CM$343))),)</f>
        <v>3.2505000000000024</v>
      </c>
      <c r="CN357" s="271">
        <f>IF(AND(Tech_Specs!$E21="step",Standards_Active!$E22="yes"),IF(CN$343&lt;Standards_Active!$C22,TREND(Perform_Active!$S22:$T22,Perform_Active!$S$8:$T$8,CN$343),IF(ISNUMBER(Standards_Active!$M22),IF(AND(CN$343&gt;=Standards_Active!$C22,CN$343&lt;Standards_Active!$D22),(Standards_Active!$M22-INDEX($CJ357:$DI357,1,MATCH((Standards_Active!$C22-1),$CJ$343:$DI$343,FALSE)))/(Standards_Active!$D22-(Standards_Active!$C22-1))+CM357,Standards_Active!$M22*((1+Standards_Active!$O22)^(CN$343-Standards_Active!$D22))),TREND(Perform_Active!$S22:$T22,Perform_Active!$S$8:$T$8,CN$343))),)</f>
        <v>3.2340000000000018</v>
      </c>
      <c r="CO357" s="271">
        <f>IF(AND(Tech_Specs!$E21="step",Standards_Active!$E22="yes"),IF(CO$343&lt;Standards_Active!$C22,TREND(Perform_Active!$S22:$T22,Perform_Active!$S$8:$T$8,CO$343),IF(ISNUMBER(Standards_Active!$M22),IF(AND(CO$343&gt;=Standards_Active!$C22,CO$343&lt;Standards_Active!$D22),(Standards_Active!$M22-INDEX($CJ357:$DI357,1,MATCH((Standards_Active!$C22-1),$CJ$343:$DI$343,FALSE)))/(Standards_Active!$D22-(Standards_Active!$C22-1))+CN357,Standards_Active!$M22*((1+Standards_Active!$O22)^(CO$343-Standards_Active!$D22))),TREND(Perform_Active!$S22:$T22,Perform_Active!$S$8:$T$8,CO$343))),)</f>
        <v>3.2175000000000011</v>
      </c>
      <c r="CP357" s="271">
        <f>IF(AND(Tech_Specs!$E21="step",Standards_Active!$E22="yes"),IF(CP$343&lt;Standards_Active!$C22,TREND(Perform_Active!$S22:$T22,Perform_Active!$S$8:$T$8,CP$343),IF(ISNUMBER(Standards_Active!$M22),IF(AND(CP$343&gt;=Standards_Active!$C22,CP$343&lt;Standards_Active!$D22),(Standards_Active!$M22-INDEX($CJ357:$DI357,1,MATCH((Standards_Active!$C22-1),$CJ$343:$DI$343,FALSE)))/(Standards_Active!$D22-(Standards_Active!$C22-1))+CO357,Standards_Active!$M22*((1+Standards_Active!$O22)^(CP$343-Standards_Active!$D22))),TREND(Perform_Active!$S22:$T22,Perform_Active!$S$8:$T$8,CP$343))),)</f>
        <v>3.2010000000000005</v>
      </c>
      <c r="CQ357" s="271">
        <f>IF(AND(Tech_Specs!$E21="step",Standards_Active!$E22="yes"),IF(CQ$343&lt;Standards_Active!$C22,TREND(Perform_Active!$S22:$T22,Perform_Active!$S$8:$T$8,CQ$343),IF(ISNUMBER(Standards_Active!$M22),IF(AND(CQ$343&gt;=Standards_Active!$C22,CQ$343&lt;Standards_Active!$D22),(Standards_Active!$M22-INDEX($CJ357:$DI357,1,MATCH((Standards_Active!$C22-1),$CJ$343:$DI$343,FALSE)))/(Standards_Active!$D22-(Standards_Active!$C22-1))+CP357,Standards_Active!$M22*((1+Standards_Active!$O22)^(CQ$343-Standards_Active!$D22))),TREND(Perform_Active!$S22:$T22,Perform_Active!$S$8:$T$8,CQ$343))),)</f>
        <v>3.1844999999999999</v>
      </c>
      <c r="CR357" s="271">
        <f>IF(AND(Tech_Specs!$E21="step",Standards_Active!$E22="yes"),IF(CR$343&lt;Standards_Active!$C22,TREND(Perform_Active!$S22:$T22,Perform_Active!$S$8:$T$8,CR$343),IF(ISNUMBER(Standards_Active!$M22),IF(AND(CR$343&gt;=Standards_Active!$C22,CR$343&lt;Standards_Active!$D22),(Standards_Active!$M22-INDEX($CJ357:$DI357,1,MATCH((Standards_Active!$C22-1),$CJ$343:$DI$343,FALSE)))/(Standards_Active!$D22-(Standards_Active!$C22-1))+CQ357,Standards_Active!$M22*((1+Standards_Active!$O22)^(CR$343-Standards_Active!$D22))),TREND(Perform_Active!$S22:$T22,Perform_Active!$S$8:$T$8,CR$343))),)</f>
        <v>3.1679999999999993</v>
      </c>
      <c r="CS357" s="271">
        <f>IF(AND(Tech_Specs!$E21="step",Standards_Active!$E22="yes"),IF(CS$343&lt;Standards_Active!$C22,TREND(Perform_Active!$S22:$T22,Perform_Active!$S$8:$T$8,CS$343),IF(ISNUMBER(Standards_Active!$M22),IF(AND(CS$343&gt;=Standards_Active!$C22,CS$343&lt;Standards_Active!$D22),(Standards_Active!$M22-INDEX($CJ357:$DI357,1,MATCH((Standards_Active!$C22-1),$CJ$343:$DI$343,FALSE)))/(Standards_Active!$D22-(Standards_Active!$C22-1))+CR357,Standards_Active!$M22*((1+Standards_Active!$O22)^(CS$343-Standards_Active!$D22))),TREND(Perform_Active!$S22:$T22,Perform_Active!$S$8:$T$8,CS$343))),)</f>
        <v>3.1514999999999986</v>
      </c>
      <c r="CT357" s="271">
        <f>IF(AND(Tech_Specs!$E21="step",Standards_Active!$E22="yes"),IF(CT$343&lt;Standards_Active!$C22,TREND(Perform_Active!$S22:$T22,Perform_Active!$S$8:$T$8,CT$343),IF(ISNUMBER(Standards_Active!$M22),IF(AND(CT$343&gt;=Standards_Active!$C22,CT$343&lt;Standards_Active!$D22),(Standards_Active!$M22-INDEX($CJ357:$DI357,1,MATCH((Standards_Active!$C22-1),$CJ$343:$DI$343,FALSE)))/(Standards_Active!$D22-(Standards_Active!$C22-1))+CS357,Standards_Active!$M22*((1+Standards_Active!$O22)^(CT$343-Standards_Active!$D22))),TREND(Perform_Active!$S22:$T22,Perform_Active!$S$8:$T$8,CT$343))),)</f>
        <v>3.1350000000000051</v>
      </c>
      <c r="CU357" s="271">
        <f>IF(AND(Tech_Specs!$E21="step",Standards_Active!$E22="yes"),IF(CU$343&lt;Standards_Active!$C22,TREND(Perform_Active!$S22:$T22,Perform_Active!$S$8:$T$8,CU$343),IF(ISNUMBER(Standards_Active!$M22),IF(AND(CU$343&gt;=Standards_Active!$C22,CU$343&lt;Standards_Active!$D22),(Standards_Active!$M22-INDEX($CJ357:$DI357,1,MATCH((Standards_Active!$C22-1),$CJ$343:$DI$343,FALSE)))/(Standards_Active!$D22-(Standards_Active!$C22-1))+CT357,Standards_Active!$M22*((1+Standards_Active!$O22)^(CU$343-Standards_Active!$D22))),TREND(Perform_Active!$S22:$T22,Perform_Active!$S$8:$T$8,CU$343))),)</f>
        <v>3.1185000000000045</v>
      </c>
      <c r="CV357" s="271">
        <f>IF(AND(Tech_Specs!$E21="step",Standards_Active!$E22="yes"),IF(CV$343&lt;Standards_Active!$C22,TREND(Perform_Active!$S22:$T22,Perform_Active!$S$8:$T$8,CV$343),IF(ISNUMBER(Standards_Active!$M22),IF(AND(CV$343&gt;=Standards_Active!$C22,CV$343&lt;Standards_Active!$D22),(Standards_Active!$M22-INDEX($CJ357:$DI357,1,MATCH((Standards_Active!$C22-1),$CJ$343:$DI$343,FALSE)))/(Standards_Active!$D22-(Standards_Active!$C22-1))+CU357,Standards_Active!$M22*((1+Standards_Active!$O22)^(CV$343-Standards_Active!$D22))),TREND(Perform_Active!$S22:$T22,Perform_Active!$S$8:$T$8,CV$343))),)</f>
        <v>3.1020000000000039</v>
      </c>
      <c r="CW357" s="271">
        <f>IF(AND(Tech_Specs!$E21="step",Standards_Active!$E22="yes"),IF(CW$343&lt;Standards_Active!$C22,TREND(Perform_Active!$S22:$T22,Perform_Active!$S$8:$T$8,CW$343),IF(ISNUMBER(Standards_Active!$M22),IF(AND(CW$343&gt;=Standards_Active!$C22,CW$343&lt;Standards_Active!$D22),(Standards_Active!$M22-INDEX($CJ357:$DI357,1,MATCH((Standards_Active!$C22-1),$CJ$343:$DI$343,FALSE)))/(Standards_Active!$D22-(Standards_Active!$C22-1))+CV357,Standards_Active!$M22*((1+Standards_Active!$O22)^(CW$343-Standards_Active!$D22))),TREND(Perform_Active!$S22:$T22,Perform_Active!$S$8:$T$8,CW$343))),)</f>
        <v>3.0855000000000032</v>
      </c>
      <c r="CX357" s="271">
        <f>IF(AND(Tech_Specs!$E21="step",Standards_Active!$E22="yes"),IF(CX$343&lt;Standards_Active!$C22,TREND(Perform_Active!$S22:$T22,Perform_Active!$S$8:$T$8,CX$343),IF(ISNUMBER(Standards_Active!$M22),IF(AND(CX$343&gt;=Standards_Active!$C22,CX$343&lt;Standards_Active!$D22),(Standards_Active!$M22-INDEX($CJ357:$DI357,1,MATCH((Standards_Active!$C22-1),$CJ$343:$DI$343,FALSE)))/(Standards_Active!$D22-(Standards_Active!$C22-1))+CW357,Standards_Active!$M22*((1+Standards_Active!$O22)^(CX$343-Standards_Active!$D22))),TREND(Perform_Active!$S22:$T22,Perform_Active!$S$8:$T$8,CX$343))),)</f>
        <v>3.0690000000000026</v>
      </c>
      <c r="CY357" s="271">
        <f>IF(AND(Tech_Specs!$E21="step",Standards_Active!$E22="yes"),IF(CY$343&lt;Standards_Active!$C22,TREND(Perform_Active!$S22:$T22,Perform_Active!$S$8:$T$8,CY$343),IF(ISNUMBER(Standards_Active!$M22),IF(AND(CY$343&gt;=Standards_Active!$C22,CY$343&lt;Standards_Active!$D22),(Standards_Active!$M22-INDEX($CJ357:$DI357,1,MATCH((Standards_Active!$C22-1),$CJ$343:$DI$343,FALSE)))/(Standards_Active!$D22-(Standards_Active!$C22-1))+CX357,Standards_Active!$M22*((1+Standards_Active!$O22)^(CY$343-Standards_Active!$D22))),TREND(Perform_Active!$S22:$T22,Perform_Active!$S$8:$T$8,CY$343))),)</f>
        <v>3.052500000000002</v>
      </c>
      <c r="CZ357" s="271">
        <f>IF(AND(Tech_Specs!$E21="step",Standards_Active!$E22="yes"),IF(CZ$343&lt;Standards_Active!$C22,TREND(Perform_Active!$S22:$T22,Perform_Active!$S$8:$T$8,CZ$343),IF(ISNUMBER(Standards_Active!$M22),IF(AND(CZ$343&gt;=Standards_Active!$C22,CZ$343&lt;Standards_Active!$D22),(Standards_Active!$M22-INDEX($CJ357:$DI357,1,MATCH((Standards_Active!$C22-1),$CJ$343:$DI$343,FALSE)))/(Standards_Active!$D22-(Standards_Active!$C22-1))+CY357,Standards_Active!$M22*((1+Standards_Active!$O22)^(CZ$343-Standards_Active!$D22))),TREND(Perform_Active!$S22:$T22,Perform_Active!$S$8:$T$8,CZ$343))),)</f>
        <v>3.0360000000000014</v>
      </c>
      <c r="DA357" s="271">
        <f>IF(AND(Tech_Specs!$E21="step",Standards_Active!$E22="yes"),IF(DA$343&lt;Standards_Active!$C22,TREND(Perform_Active!$S22:$T22,Perform_Active!$S$8:$T$8,DA$343),IF(ISNUMBER(Standards_Active!$M22),IF(AND(DA$343&gt;=Standards_Active!$C22,DA$343&lt;Standards_Active!$D22),(Standards_Active!$M22-INDEX($CJ357:$DI357,1,MATCH((Standards_Active!$C22-1),$CJ$343:$DI$343,FALSE)))/(Standards_Active!$D22-(Standards_Active!$C22-1))+CZ357,Standards_Active!$M22*((1+Standards_Active!$O22)^(DA$343-Standards_Active!$D22))),TREND(Perform_Active!$S22:$T22,Perform_Active!$S$8:$T$8,DA$343))),)</f>
        <v>3.0195000000000007</v>
      </c>
      <c r="DB357" s="271">
        <f>IF(AND(Tech_Specs!$E21="step",Standards_Active!$E22="yes"),IF(DB$343&lt;Standards_Active!$C22,TREND(Perform_Active!$S22:$T22,Perform_Active!$S$8:$T$8,DB$343),IF(ISNUMBER(Standards_Active!$M22),IF(AND(DB$343&gt;=Standards_Active!$C22,DB$343&lt;Standards_Active!$D22),(Standards_Active!$M22-INDEX($CJ357:$DI357,1,MATCH((Standards_Active!$C22-1),$CJ$343:$DI$343,FALSE)))/(Standards_Active!$D22-(Standards_Active!$C22-1))+DA357,Standards_Active!$M22*((1+Standards_Active!$O22)^(DB$343-Standards_Active!$D22))),TREND(Perform_Active!$S22:$T22,Perform_Active!$S$8:$T$8,DB$343))),)</f>
        <v>3.0030000000000001</v>
      </c>
      <c r="DC357" s="271">
        <f>IF(AND(Tech_Specs!$E21="step",Standards_Active!$E22="yes"),IF(DC$343&lt;Standards_Active!$C22,TREND(Perform_Active!$S22:$T22,Perform_Active!$S$8:$T$8,DC$343),IF(ISNUMBER(Standards_Active!$M22),IF(AND(DC$343&gt;=Standards_Active!$C22,DC$343&lt;Standards_Active!$D22),(Standards_Active!$M22-INDEX($CJ357:$DI357,1,MATCH((Standards_Active!$C22-1),$CJ$343:$DI$343,FALSE)))/(Standards_Active!$D22-(Standards_Active!$C22-1))+DB357,Standards_Active!$M22*((1+Standards_Active!$O22)^(DC$343-Standards_Active!$D22))),TREND(Perform_Active!$S22:$T22,Perform_Active!$S$8:$T$8,DC$343))),)</f>
        <v>2.9864999999999995</v>
      </c>
      <c r="DD357" s="271">
        <f>IF(AND(Tech_Specs!$E21="step",Standards_Active!$E22="yes"),IF(DD$343&lt;Standards_Active!$C22,TREND(Perform_Active!$S22:$T22,Perform_Active!$S$8:$T$8,DD$343),IF(ISNUMBER(Standards_Active!$M22),IF(AND(DD$343&gt;=Standards_Active!$C22,DD$343&lt;Standards_Active!$D22),(Standards_Active!$M22-INDEX($CJ357:$DI357,1,MATCH((Standards_Active!$C22-1),$CJ$343:$DI$343,FALSE)))/(Standards_Active!$D22-(Standards_Active!$C22-1))+DC357,Standards_Active!$M22*((1+Standards_Active!$O22)^(DD$343-Standards_Active!$D22))),TREND(Perform_Active!$S22:$T22,Perform_Active!$S$8:$T$8,DD$343))),)</f>
        <v>2.9699999999999989</v>
      </c>
      <c r="DE357" s="271">
        <f>IF(AND(Tech_Specs!$E21="step",Standards_Active!$E22="yes"),IF(DE$343&lt;Standards_Active!$C22,TREND(Perform_Active!$S22:$T22,Perform_Active!$S$8:$T$8,DE$343),IF(ISNUMBER(Standards_Active!$M22),IF(AND(DE$343&gt;=Standards_Active!$C22,DE$343&lt;Standards_Active!$D22),(Standards_Active!$M22-INDEX($CJ357:$DI357,1,MATCH((Standards_Active!$C22-1),$CJ$343:$DI$343,FALSE)))/(Standards_Active!$D22-(Standards_Active!$C22-1))+DD357,Standards_Active!$M22*((1+Standards_Active!$O22)^(DE$343-Standards_Active!$D22))),TREND(Perform_Active!$S22:$T22,Perform_Active!$S$8:$T$8,DE$343))),)</f>
        <v>2.9535000000000053</v>
      </c>
      <c r="DF357" s="271">
        <f>IF(AND(Tech_Specs!$E21="step",Standards_Active!$E22="yes"),IF(DF$343&lt;Standards_Active!$C22,TREND(Perform_Active!$S22:$T22,Perform_Active!$S$8:$T$8,DF$343),IF(ISNUMBER(Standards_Active!$M22),IF(AND(DF$343&gt;=Standards_Active!$C22,DF$343&lt;Standards_Active!$D22),(Standards_Active!$M22-INDEX($CJ357:$DI357,1,MATCH((Standards_Active!$C22-1),$CJ$343:$DI$343,FALSE)))/(Standards_Active!$D22-(Standards_Active!$C22-1))+DE357,Standards_Active!$M22*((1+Standards_Active!$O22)^(DF$343-Standards_Active!$D22))),TREND(Perform_Active!$S22:$T22,Perform_Active!$S$8:$T$8,DF$343))),)</f>
        <v>2.9370000000000047</v>
      </c>
      <c r="DG357" s="271">
        <f>IF(AND(Tech_Specs!$E21="step",Standards_Active!$E22="yes"),IF(DG$343&lt;Standards_Active!$C22,TREND(Perform_Active!$S22:$T22,Perform_Active!$S$8:$T$8,DG$343),IF(ISNUMBER(Standards_Active!$M22),IF(AND(DG$343&gt;=Standards_Active!$C22,DG$343&lt;Standards_Active!$D22),(Standards_Active!$M22-INDEX($CJ357:$DI357,1,MATCH((Standards_Active!$C22-1),$CJ$343:$DI$343,FALSE)))/(Standards_Active!$D22-(Standards_Active!$C22-1))+DF357,Standards_Active!$M22*((1+Standards_Active!$O22)^(DG$343-Standards_Active!$D22))),TREND(Perform_Active!$S22:$T22,Perform_Active!$S$8:$T$8,DG$343))),)</f>
        <v>2.9205000000000041</v>
      </c>
      <c r="DH357" s="271">
        <f>IF(AND(Tech_Specs!$E21="step",Standards_Active!$E22="yes"),IF(DH$343&lt;Standards_Active!$C22,TREND(Perform_Active!$S22:$T22,Perform_Active!$S$8:$T$8,DH$343),IF(ISNUMBER(Standards_Active!$M22),IF(AND(DH$343&gt;=Standards_Active!$C22,DH$343&lt;Standards_Active!$D22),(Standards_Active!$M22-INDEX($CJ357:$DI357,1,MATCH((Standards_Active!$C22-1),$CJ$343:$DI$343,FALSE)))/(Standards_Active!$D22-(Standards_Active!$C22-1))+DG357,Standards_Active!$M22*((1+Standards_Active!$O22)^(DH$343-Standards_Active!$D22))),TREND(Perform_Active!$S22:$T22,Perform_Active!$S$8:$T$8,DH$343))),)</f>
        <v>2.9040000000000035</v>
      </c>
      <c r="DI357" s="271">
        <f>IF(AND(Tech_Specs!$E21="step",Standards_Active!$E22="yes"),IF(DI$343&lt;Standards_Active!$C22,TREND(Perform_Active!$S22:$T22,Perform_Active!$S$8:$T$8,DI$343),IF(ISNUMBER(Standards_Active!$M22),IF(AND(DI$343&gt;=Standards_Active!$C22,DI$343&lt;Standards_Active!$D22),(Standards_Active!$M22-INDEX($CJ357:$DI357,1,MATCH((Standards_Active!$C22-1),$CJ$343:$DI$343,FALSE)))/(Standards_Active!$D22-(Standards_Active!$C22-1))+DH357,Standards_Active!$M22*((1+Standards_Active!$O22)^(DI$343-Standards_Active!$D22))),TREND(Perform_Active!$S22:$T22,Perform_Active!$S$8:$T$8,DI$343))),)</f>
        <v>2.8875000000000028</v>
      </c>
    </row>
    <row r="358" spans="1:113" s="302" customFormat="1" ht="12.75" x14ac:dyDescent="0.2">
      <c r="B358" s="302" t="s">
        <v>39</v>
      </c>
      <c r="D358" s="550"/>
      <c r="E358" s="550"/>
      <c r="F358" s="550"/>
      <c r="G358" s="272">
        <f t="shared" si="57"/>
        <v>4.2999999999999972</v>
      </c>
      <c r="H358" s="272">
        <f t="shared" si="57"/>
        <v>4.278499999999994</v>
      </c>
      <c r="I358" s="272">
        <f t="shared" si="57"/>
        <v>4.2569999999999979</v>
      </c>
      <c r="J358" s="272">
        <f t="shared" si="57"/>
        <v>4.2354999999999947</v>
      </c>
      <c r="K358" s="272">
        <f t="shared" si="57"/>
        <v>4.5236666666666627</v>
      </c>
      <c r="L358" s="272">
        <f t="shared" si="57"/>
        <v>4.8118333333333307</v>
      </c>
      <c r="M358" s="272">
        <f t="shared" si="57"/>
        <v>5.0999999999999996</v>
      </c>
      <c r="N358" s="272">
        <f t="shared" si="57"/>
        <v>5.0744999999999996</v>
      </c>
      <c r="O358" s="272">
        <f t="shared" si="57"/>
        <v>5.0491275</v>
      </c>
      <c r="P358" s="272">
        <f t="shared" si="57"/>
        <v>5.0238818624999997</v>
      </c>
      <c r="Q358" s="272">
        <f t="shared" si="58"/>
        <v>4.9987624531875001</v>
      </c>
      <c r="R358" s="272">
        <f t="shared" si="58"/>
        <v>4.9737686409215627</v>
      </c>
      <c r="S358" s="272">
        <f t="shared" si="58"/>
        <v>4.9488997977169547</v>
      </c>
      <c r="T358" s="272">
        <f t="shared" si="58"/>
        <v>4.9241552987283699</v>
      </c>
      <c r="U358" s="272">
        <f t="shared" si="58"/>
        <v>4.8995345222347284</v>
      </c>
      <c r="V358" s="272">
        <f t="shared" si="58"/>
        <v>4.8750368496235543</v>
      </c>
      <c r="W358" s="272">
        <f t="shared" si="58"/>
        <v>4.8506616653754371</v>
      </c>
      <c r="X358" s="272">
        <f t="shared" si="58"/>
        <v>4.8264083570485594</v>
      </c>
      <c r="Y358" s="272">
        <f t="shared" si="58"/>
        <v>4.8022763152633168</v>
      </c>
      <c r="Z358" s="272">
        <f t="shared" si="58"/>
        <v>4.7782649336870007</v>
      </c>
      <c r="AA358" s="272">
        <f t="shared" si="59"/>
        <v>4.7543736090185655</v>
      </c>
      <c r="AB358" s="272">
        <f t="shared" si="59"/>
        <v>4.7306017409734729</v>
      </c>
      <c r="AC358" s="272">
        <f t="shared" si="59"/>
        <v>4.7069487322686054</v>
      </c>
      <c r="AD358" s="272">
        <f t="shared" si="59"/>
        <v>4.6834139886072625</v>
      </c>
      <c r="AE358" s="272">
        <f t="shared" si="59"/>
        <v>4.6599969186642261</v>
      </c>
      <c r="AF358" s="272">
        <f t="shared" si="59"/>
        <v>4.6366969340709048</v>
      </c>
      <c r="AH358" s="271">
        <f>IF(Tech_Specs!$E22="linear",TREND(Perform_Active!$S23:$T23,Perform_Active!$S$8:$T$8,AH$343),)</f>
        <v>0</v>
      </c>
      <c r="AI358" s="271">
        <f>IF(Tech_Specs!$E22="linear",TREND(Perform_Active!$S23:$T23,Perform_Active!$S$8:$T$8,AI$343),)</f>
        <v>0</v>
      </c>
      <c r="AJ358" s="271">
        <f>IF(Tech_Specs!$E22="linear",TREND(Perform_Active!$S23:$T23,Perform_Active!$S$8:$T$8,AJ$343),)</f>
        <v>0</v>
      </c>
      <c r="AK358" s="271">
        <f>IF(Tech_Specs!$E22="linear",TREND(Perform_Active!$S23:$T23,Perform_Active!$S$8:$T$8,AK$343),)</f>
        <v>0</v>
      </c>
      <c r="AL358" s="271">
        <f>IF(Tech_Specs!$E22="linear",TREND(Perform_Active!$S23:$T23,Perform_Active!$S$8:$T$8,AL$343),)</f>
        <v>0</v>
      </c>
      <c r="AM358" s="271">
        <f>IF(Tech_Specs!$E22="linear",TREND(Perform_Active!$S23:$T23,Perform_Active!$S$8:$T$8,AM$343),)</f>
        <v>0</v>
      </c>
      <c r="AN358" s="271">
        <f>IF(Tech_Specs!$E22="linear",TREND(Perform_Active!$S23:$T23,Perform_Active!$S$8:$T$8,AN$343),)</f>
        <v>0</v>
      </c>
      <c r="AO358" s="271">
        <f>IF(Tech_Specs!$E22="linear",TREND(Perform_Active!$S23:$T23,Perform_Active!$S$8:$T$8,AO$343),)</f>
        <v>0</v>
      </c>
      <c r="AP358" s="271">
        <f>IF(Tech_Specs!$E22="linear",TREND(Perform_Active!$S23:$T23,Perform_Active!$S$8:$T$8,AP$343),)</f>
        <v>0</v>
      </c>
      <c r="AQ358" s="271">
        <f>IF(Tech_Specs!$E22="linear",TREND(Perform_Active!$S23:$T23,Perform_Active!$S$8:$T$8,AQ$343),)</f>
        <v>0</v>
      </c>
      <c r="AR358" s="271">
        <f>IF(Tech_Specs!$E22="linear",TREND(Perform_Active!$S23:$T23,Perform_Active!$S$8:$T$8,AR$343),)</f>
        <v>0</v>
      </c>
      <c r="AS358" s="271">
        <f>IF(Tech_Specs!$E22="linear",TREND(Perform_Active!$S23:$T23,Perform_Active!$S$8:$T$8,AS$343),)</f>
        <v>0</v>
      </c>
      <c r="AT358" s="271">
        <f>IF(Tech_Specs!$E22="linear",TREND(Perform_Active!$S23:$T23,Perform_Active!$S$8:$T$8,AT$343),)</f>
        <v>0</v>
      </c>
      <c r="AU358" s="271">
        <f>IF(Tech_Specs!$E22="linear",TREND(Perform_Active!$S23:$T23,Perform_Active!$S$8:$T$8,AU$343),)</f>
        <v>0</v>
      </c>
      <c r="AV358" s="271">
        <f>IF(Tech_Specs!$E22="linear",TREND(Perform_Active!$S23:$T23,Perform_Active!$S$8:$T$8,AV$343),)</f>
        <v>0</v>
      </c>
      <c r="AW358" s="271">
        <f>IF(Tech_Specs!$E22="linear",TREND(Perform_Active!$S23:$T23,Perform_Active!$S$8:$T$8,AW$343),)</f>
        <v>0</v>
      </c>
      <c r="AX358" s="271">
        <f>IF(Tech_Specs!$E22="linear",TREND(Perform_Active!$S23:$T23,Perform_Active!$S$8:$T$8,AX$343),)</f>
        <v>0</v>
      </c>
      <c r="AY358" s="271">
        <f>IF(Tech_Specs!$E22="linear",TREND(Perform_Active!$S23:$T23,Perform_Active!$S$8:$T$8,AY$343),)</f>
        <v>0</v>
      </c>
      <c r="AZ358" s="271">
        <f>IF(Tech_Specs!$E22="linear",TREND(Perform_Active!$S23:$T23,Perform_Active!$S$8:$T$8,AZ$343),)</f>
        <v>0</v>
      </c>
      <c r="BA358" s="271">
        <f>IF(Tech_Specs!$E22="linear",TREND(Perform_Active!$S23:$T23,Perform_Active!$S$8:$T$8,BA$343),)</f>
        <v>0</v>
      </c>
      <c r="BB358" s="271">
        <f>IF(Tech_Specs!$E22="linear",TREND(Perform_Active!$S23:$T23,Perform_Active!$S$8:$T$8,BB$343),)</f>
        <v>0</v>
      </c>
      <c r="BC358" s="271">
        <f>IF(Tech_Specs!$E22="linear",TREND(Perform_Active!$S23:$T23,Perform_Active!$S$8:$T$8,BC$343),)</f>
        <v>0</v>
      </c>
      <c r="BD358" s="271">
        <f>IF(Tech_Specs!$E22="linear",TREND(Perform_Active!$S23:$T23,Perform_Active!$S$8:$T$8,BD$343),)</f>
        <v>0</v>
      </c>
      <c r="BE358" s="271">
        <f>IF(Tech_Specs!$E22="linear",TREND(Perform_Active!$S23:$T23,Perform_Active!$S$8:$T$8,BE$343),)</f>
        <v>0</v>
      </c>
      <c r="BF358" s="271">
        <f>IF(Tech_Specs!$E22="linear",TREND(Perform_Active!$S23:$T23,Perform_Active!$S$8:$T$8,BF$343),)</f>
        <v>0</v>
      </c>
      <c r="BG358" s="271">
        <f>IF(Tech_Specs!$E22="linear",TREND(Perform_Active!$S23:$T23,Perform_Active!$S$8:$T$8,BG$343),)</f>
        <v>0</v>
      </c>
      <c r="BI358" s="271">
        <f>IF(Tech_Specs!$E22="logistic",IF(Tech_Specs!$K22="lamp",Perform_SSL!G$14,Perform_SSL!G$15),)*Perform_Active!$I23/1000</f>
        <v>0</v>
      </c>
      <c r="BJ358" s="271">
        <f>IF(Tech_Specs!$E22="logistic",IF(Tech_Specs!$K22="lamp",Perform_SSL!H$14,Perform_SSL!H$15),)*Perform_Active!$I23/1000</f>
        <v>0</v>
      </c>
      <c r="BK358" s="271">
        <f>IF(Tech_Specs!$E22="logistic",IF(Tech_Specs!$K22="lamp",Perform_SSL!I$14,Perform_SSL!I$15),)*Perform_Active!$I23/1000</f>
        <v>0</v>
      </c>
      <c r="BL358" s="271">
        <f>IF(Tech_Specs!$E22="logistic",IF(Tech_Specs!$K22="lamp",Perform_SSL!J$14,Perform_SSL!J$15),)*Perform_Active!$I23/1000</f>
        <v>0</v>
      </c>
      <c r="BM358" s="271">
        <f>IF(Tech_Specs!$E22="logistic",IF(Tech_Specs!$K22="lamp",Perform_SSL!K$14,Perform_SSL!K$15),)*Perform_Active!$I23/1000</f>
        <v>0</v>
      </c>
      <c r="BN358" s="271">
        <f>IF(Tech_Specs!$E22="logistic",IF(Tech_Specs!$K22="lamp",Perform_SSL!L$14,Perform_SSL!L$15),)*Perform_Active!$I23/1000</f>
        <v>0</v>
      </c>
      <c r="BO358" s="271">
        <f>IF(Tech_Specs!$E22="logistic",IF(Tech_Specs!$K22="lamp",Perform_SSL!M$14,Perform_SSL!M$15),)*Perform_Active!$I23/1000</f>
        <v>0</v>
      </c>
      <c r="BP358" s="271">
        <f>IF(Tech_Specs!$E22="logistic",IF(Tech_Specs!$K22="lamp",Perform_SSL!N$14,Perform_SSL!N$15),)*Perform_Active!$I23/1000</f>
        <v>0</v>
      </c>
      <c r="BQ358" s="271">
        <f>IF(Tech_Specs!$E22="logistic",IF(Tech_Specs!$K22="lamp",Perform_SSL!O$14,Perform_SSL!O$15),)*Perform_Active!$I23/1000</f>
        <v>0</v>
      </c>
      <c r="BR358" s="271">
        <f>IF(Tech_Specs!$E22="logistic",IF(Tech_Specs!$K22="lamp",Perform_SSL!P$14,Perform_SSL!P$15),)*Perform_Active!$I23/1000</f>
        <v>0</v>
      </c>
      <c r="BS358" s="271">
        <f>IF(Tech_Specs!$E22="logistic",IF(Tech_Specs!$K22="lamp",Perform_SSL!Q$14,Perform_SSL!Q$15),)*Perform_Active!$I23/1000</f>
        <v>0</v>
      </c>
      <c r="BT358" s="271">
        <f>IF(Tech_Specs!$E22="logistic",IF(Tech_Specs!$K22="lamp",Perform_SSL!R$14,Perform_SSL!R$15),)*Perform_Active!$I23/1000</f>
        <v>0</v>
      </c>
      <c r="BU358" s="271">
        <f>IF(Tech_Specs!$E22="logistic",IF(Tech_Specs!$K22="lamp",Perform_SSL!S$14,Perform_SSL!S$15),)*Perform_Active!$I23/1000</f>
        <v>0</v>
      </c>
      <c r="BV358" s="271">
        <f>IF(Tech_Specs!$E22="logistic",IF(Tech_Specs!$K22="lamp",Perform_SSL!T$14,Perform_SSL!T$15),)*Perform_Active!$I23/1000</f>
        <v>0</v>
      </c>
      <c r="BW358" s="271">
        <f>IF(Tech_Specs!$E22="logistic",IF(Tech_Specs!$K22="lamp",Perform_SSL!U$14,Perform_SSL!U$15),)*Perform_Active!$I23/1000</f>
        <v>0</v>
      </c>
      <c r="BX358" s="271">
        <f>IF(Tech_Specs!$E22="logistic",IF(Tech_Specs!$K22="lamp",Perform_SSL!V$14,Perform_SSL!V$15),)*Perform_Active!$I23/1000</f>
        <v>0</v>
      </c>
      <c r="BY358" s="271">
        <f>IF(Tech_Specs!$E22="logistic",IF(Tech_Specs!$K22="lamp",Perform_SSL!W$14,Perform_SSL!W$15),)*Perform_Active!$I23/1000</f>
        <v>0</v>
      </c>
      <c r="BZ358" s="271">
        <f>IF(Tech_Specs!$E22="logistic",IF(Tech_Specs!$K22="lamp",Perform_SSL!X$14,Perform_SSL!X$15),)*Perform_Active!$I23/1000</f>
        <v>0</v>
      </c>
      <c r="CA358" s="271">
        <f>IF(Tech_Specs!$E22="logistic",IF(Tech_Specs!$K22="lamp",Perform_SSL!Y$14,Perform_SSL!Y$15),)*Perform_Active!$I23/1000</f>
        <v>0</v>
      </c>
      <c r="CB358" s="271">
        <f>IF(Tech_Specs!$E22="logistic",IF(Tech_Specs!$K22="lamp",Perform_SSL!Z$14,Perform_SSL!Z$15),)*Perform_Active!$I23/1000</f>
        <v>0</v>
      </c>
      <c r="CC358" s="271">
        <f>IF(Tech_Specs!$E22="logistic",IF(Tech_Specs!$K22="lamp",Perform_SSL!AA$14,Perform_SSL!AA$15),)*Perform_Active!$I23/1000</f>
        <v>0</v>
      </c>
      <c r="CD358" s="271">
        <f>IF(Tech_Specs!$E22="logistic",IF(Tech_Specs!$K22="lamp",Perform_SSL!AB$14,Perform_SSL!AB$15),)*Perform_Active!$I23/1000</f>
        <v>0</v>
      </c>
      <c r="CE358" s="271">
        <f>IF(Tech_Specs!$E22="logistic",IF(Tech_Specs!$K22="lamp",Perform_SSL!AC$14,Perform_SSL!AC$15),)*Perform_Active!$I23/1000</f>
        <v>0</v>
      </c>
      <c r="CF358" s="271">
        <f>IF(Tech_Specs!$E22="logistic",IF(Tech_Specs!$K22="lamp",Perform_SSL!AD$14,Perform_SSL!AD$15),)*Perform_Active!$I23/1000</f>
        <v>0</v>
      </c>
      <c r="CG358" s="271">
        <f>IF(Tech_Specs!$E22="logistic",IF(Tech_Specs!$K22="lamp",Perform_SSL!AE$14,Perform_SSL!AE$15),)*Perform_Active!$I23/1000</f>
        <v>0</v>
      </c>
      <c r="CH358" s="271">
        <f>IF(Tech_Specs!$E22="logistic",IF(Tech_Specs!$K22="lamp",Perform_SSL!AF$14,Perform_SSL!AF$15),)*Perform_Active!$I23/1000</f>
        <v>0</v>
      </c>
      <c r="CJ358" s="271">
        <f>IF(AND(Tech_Specs!$E22="step",Standards_Active!$E23="yes"),IF(CJ$343&lt;Standards_Active!$C23,TREND(Perform_Active!$S23:$T23,Perform_Active!$S$8:$T$8,CJ$343),IF(ISNUMBER(Standards_Active!$M23),IF(AND(CJ$343&gt;=Standards_Active!$C23,CJ$343&lt;Standards_Active!$D23),(Standards_Active!$M23-INDEX($CJ358:$DI358,1,MATCH((Standards_Active!$C23-1),$CJ$343:$DI$343,FALSE)))/(Standards_Active!$D23-(Standards_Active!$C23-1))+CI358,Standards_Active!$M23*((1+Standards_Active!$O23)^(CJ$343-Standards_Active!$D23))),TREND(Perform_Active!$S23:$T23,Perform_Active!$S$8:$T$8,CJ$343))),)</f>
        <v>4.2999999999999972</v>
      </c>
      <c r="CK358" s="271">
        <f>IF(AND(Tech_Specs!$E22="step",Standards_Active!$E23="yes"),IF(CK$343&lt;Standards_Active!$C23,TREND(Perform_Active!$S23:$T23,Perform_Active!$S$8:$T$8,CK$343),IF(ISNUMBER(Standards_Active!$M23),IF(AND(CK$343&gt;=Standards_Active!$C23,CK$343&lt;Standards_Active!$D23),(Standards_Active!$M23-INDEX($CJ358:$DI358,1,MATCH((Standards_Active!$C23-1),$CJ$343:$DI$343,FALSE)))/(Standards_Active!$D23-(Standards_Active!$C23-1))+CJ358,Standards_Active!$M23*((1+Standards_Active!$O23)^(CK$343-Standards_Active!$D23))),TREND(Perform_Active!$S23:$T23,Perform_Active!$S$8:$T$8,CK$343))),)</f>
        <v>4.278499999999994</v>
      </c>
      <c r="CL358" s="271">
        <f>IF(AND(Tech_Specs!$E22="step",Standards_Active!$E23="yes"),IF(CL$343&lt;Standards_Active!$C23,TREND(Perform_Active!$S23:$T23,Perform_Active!$S$8:$T$8,CL$343),IF(ISNUMBER(Standards_Active!$M23),IF(AND(CL$343&gt;=Standards_Active!$C23,CL$343&lt;Standards_Active!$D23),(Standards_Active!$M23-INDEX($CJ358:$DI358,1,MATCH((Standards_Active!$C23-1),$CJ$343:$DI$343,FALSE)))/(Standards_Active!$D23-(Standards_Active!$C23-1))+CK358,Standards_Active!$M23*((1+Standards_Active!$O23)^(CL$343-Standards_Active!$D23))),TREND(Perform_Active!$S23:$T23,Perform_Active!$S$8:$T$8,CL$343))),)</f>
        <v>4.2569999999999979</v>
      </c>
      <c r="CM358" s="271">
        <f>IF(AND(Tech_Specs!$E22="step",Standards_Active!$E23="yes"),IF(CM$343&lt;Standards_Active!$C23,TREND(Perform_Active!$S23:$T23,Perform_Active!$S$8:$T$8,CM$343),IF(ISNUMBER(Standards_Active!$M23),IF(AND(CM$343&gt;=Standards_Active!$C23,CM$343&lt;Standards_Active!$D23),(Standards_Active!$M23-INDEX($CJ358:$DI358,1,MATCH((Standards_Active!$C23-1),$CJ$343:$DI$343,FALSE)))/(Standards_Active!$D23-(Standards_Active!$C23-1))+CL358,Standards_Active!$M23*((1+Standards_Active!$O23)^(CM$343-Standards_Active!$D23))),TREND(Perform_Active!$S23:$T23,Perform_Active!$S$8:$T$8,CM$343))),)</f>
        <v>4.2354999999999947</v>
      </c>
      <c r="CN358" s="271">
        <f>IF(AND(Tech_Specs!$E22="step",Standards_Active!$E23="yes"),IF(CN$343&lt;Standards_Active!$C23,TREND(Perform_Active!$S23:$T23,Perform_Active!$S$8:$T$8,CN$343),IF(ISNUMBER(Standards_Active!$M23),IF(AND(CN$343&gt;=Standards_Active!$C23,CN$343&lt;Standards_Active!$D23),(Standards_Active!$M23-INDEX($CJ358:$DI358,1,MATCH((Standards_Active!$C23-1),$CJ$343:$DI$343,FALSE)))/(Standards_Active!$D23-(Standards_Active!$C23-1))+CM358,Standards_Active!$M23*((1+Standards_Active!$O23)^(CN$343-Standards_Active!$D23))),TREND(Perform_Active!$S23:$T23,Perform_Active!$S$8:$T$8,CN$343))),)</f>
        <v>4.5236666666666627</v>
      </c>
      <c r="CO358" s="271">
        <f>IF(AND(Tech_Specs!$E22="step",Standards_Active!$E23="yes"),IF(CO$343&lt;Standards_Active!$C23,TREND(Perform_Active!$S23:$T23,Perform_Active!$S$8:$T$8,CO$343),IF(ISNUMBER(Standards_Active!$M23),IF(AND(CO$343&gt;=Standards_Active!$C23,CO$343&lt;Standards_Active!$D23),(Standards_Active!$M23-INDEX($CJ358:$DI358,1,MATCH((Standards_Active!$C23-1),$CJ$343:$DI$343,FALSE)))/(Standards_Active!$D23-(Standards_Active!$C23-1))+CN358,Standards_Active!$M23*((1+Standards_Active!$O23)^(CO$343-Standards_Active!$D23))),TREND(Perform_Active!$S23:$T23,Perform_Active!$S$8:$T$8,CO$343))),)</f>
        <v>4.8118333333333307</v>
      </c>
      <c r="CP358" s="271">
        <f>IF(AND(Tech_Specs!$E22="step",Standards_Active!$E23="yes"),IF(CP$343&lt;Standards_Active!$C23,TREND(Perform_Active!$S23:$T23,Perform_Active!$S$8:$T$8,CP$343),IF(ISNUMBER(Standards_Active!$M23),IF(AND(CP$343&gt;=Standards_Active!$C23,CP$343&lt;Standards_Active!$D23),(Standards_Active!$M23-INDEX($CJ358:$DI358,1,MATCH((Standards_Active!$C23-1),$CJ$343:$DI$343,FALSE)))/(Standards_Active!$D23-(Standards_Active!$C23-1))+CO358,Standards_Active!$M23*((1+Standards_Active!$O23)^(CP$343-Standards_Active!$D23))),TREND(Perform_Active!$S23:$T23,Perform_Active!$S$8:$T$8,CP$343))),)</f>
        <v>5.0999999999999996</v>
      </c>
      <c r="CQ358" s="271">
        <f>IF(AND(Tech_Specs!$E22="step",Standards_Active!$E23="yes"),IF(CQ$343&lt;Standards_Active!$C23,TREND(Perform_Active!$S23:$T23,Perform_Active!$S$8:$T$8,CQ$343),IF(ISNUMBER(Standards_Active!$M23),IF(AND(CQ$343&gt;=Standards_Active!$C23,CQ$343&lt;Standards_Active!$D23),(Standards_Active!$M23-INDEX($CJ358:$DI358,1,MATCH((Standards_Active!$C23-1),$CJ$343:$DI$343,FALSE)))/(Standards_Active!$D23-(Standards_Active!$C23-1))+CP358,Standards_Active!$M23*((1+Standards_Active!$O23)^(CQ$343-Standards_Active!$D23))),TREND(Perform_Active!$S23:$T23,Perform_Active!$S$8:$T$8,CQ$343))),)</f>
        <v>5.0744999999999996</v>
      </c>
      <c r="CR358" s="271">
        <f>IF(AND(Tech_Specs!$E22="step",Standards_Active!$E23="yes"),IF(CR$343&lt;Standards_Active!$C23,TREND(Perform_Active!$S23:$T23,Perform_Active!$S$8:$T$8,CR$343),IF(ISNUMBER(Standards_Active!$M23),IF(AND(CR$343&gt;=Standards_Active!$C23,CR$343&lt;Standards_Active!$D23),(Standards_Active!$M23-INDEX($CJ358:$DI358,1,MATCH((Standards_Active!$C23-1),$CJ$343:$DI$343,FALSE)))/(Standards_Active!$D23-(Standards_Active!$C23-1))+CQ358,Standards_Active!$M23*((1+Standards_Active!$O23)^(CR$343-Standards_Active!$D23))),TREND(Perform_Active!$S23:$T23,Perform_Active!$S$8:$T$8,CR$343))),)</f>
        <v>5.0491275</v>
      </c>
      <c r="CS358" s="271">
        <f>IF(AND(Tech_Specs!$E22="step",Standards_Active!$E23="yes"),IF(CS$343&lt;Standards_Active!$C23,TREND(Perform_Active!$S23:$T23,Perform_Active!$S$8:$T$8,CS$343),IF(ISNUMBER(Standards_Active!$M23),IF(AND(CS$343&gt;=Standards_Active!$C23,CS$343&lt;Standards_Active!$D23),(Standards_Active!$M23-INDEX($CJ358:$DI358,1,MATCH((Standards_Active!$C23-1),$CJ$343:$DI$343,FALSE)))/(Standards_Active!$D23-(Standards_Active!$C23-1))+CR358,Standards_Active!$M23*((1+Standards_Active!$O23)^(CS$343-Standards_Active!$D23))),TREND(Perform_Active!$S23:$T23,Perform_Active!$S$8:$T$8,CS$343))),)</f>
        <v>5.0238818624999997</v>
      </c>
      <c r="CT358" s="271">
        <f>IF(AND(Tech_Specs!$E22="step",Standards_Active!$E23="yes"),IF(CT$343&lt;Standards_Active!$C23,TREND(Perform_Active!$S23:$T23,Perform_Active!$S$8:$T$8,CT$343),IF(ISNUMBER(Standards_Active!$M23),IF(AND(CT$343&gt;=Standards_Active!$C23,CT$343&lt;Standards_Active!$D23),(Standards_Active!$M23-INDEX($CJ358:$DI358,1,MATCH((Standards_Active!$C23-1),$CJ$343:$DI$343,FALSE)))/(Standards_Active!$D23-(Standards_Active!$C23-1))+CS358,Standards_Active!$M23*((1+Standards_Active!$O23)^(CT$343-Standards_Active!$D23))),TREND(Perform_Active!$S23:$T23,Perform_Active!$S$8:$T$8,CT$343))),)</f>
        <v>4.9987624531875001</v>
      </c>
      <c r="CU358" s="271">
        <f>IF(AND(Tech_Specs!$E22="step",Standards_Active!$E23="yes"),IF(CU$343&lt;Standards_Active!$C23,TREND(Perform_Active!$S23:$T23,Perform_Active!$S$8:$T$8,CU$343),IF(ISNUMBER(Standards_Active!$M23),IF(AND(CU$343&gt;=Standards_Active!$C23,CU$343&lt;Standards_Active!$D23),(Standards_Active!$M23-INDEX($CJ358:$DI358,1,MATCH((Standards_Active!$C23-1),$CJ$343:$DI$343,FALSE)))/(Standards_Active!$D23-(Standards_Active!$C23-1))+CT358,Standards_Active!$M23*((1+Standards_Active!$O23)^(CU$343-Standards_Active!$D23))),TREND(Perform_Active!$S23:$T23,Perform_Active!$S$8:$T$8,CU$343))),)</f>
        <v>4.9737686409215627</v>
      </c>
      <c r="CV358" s="271">
        <f>IF(AND(Tech_Specs!$E22="step",Standards_Active!$E23="yes"),IF(CV$343&lt;Standards_Active!$C23,TREND(Perform_Active!$S23:$T23,Perform_Active!$S$8:$T$8,CV$343),IF(ISNUMBER(Standards_Active!$M23),IF(AND(CV$343&gt;=Standards_Active!$C23,CV$343&lt;Standards_Active!$D23),(Standards_Active!$M23-INDEX($CJ358:$DI358,1,MATCH((Standards_Active!$C23-1),$CJ$343:$DI$343,FALSE)))/(Standards_Active!$D23-(Standards_Active!$C23-1))+CU358,Standards_Active!$M23*((1+Standards_Active!$O23)^(CV$343-Standards_Active!$D23))),TREND(Perform_Active!$S23:$T23,Perform_Active!$S$8:$T$8,CV$343))),)</f>
        <v>4.9488997977169547</v>
      </c>
      <c r="CW358" s="271">
        <f>IF(AND(Tech_Specs!$E22="step",Standards_Active!$E23="yes"),IF(CW$343&lt;Standards_Active!$C23,TREND(Perform_Active!$S23:$T23,Perform_Active!$S$8:$T$8,CW$343),IF(ISNUMBER(Standards_Active!$M23),IF(AND(CW$343&gt;=Standards_Active!$C23,CW$343&lt;Standards_Active!$D23),(Standards_Active!$M23-INDEX($CJ358:$DI358,1,MATCH((Standards_Active!$C23-1),$CJ$343:$DI$343,FALSE)))/(Standards_Active!$D23-(Standards_Active!$C23-1))+CV358,Standards_Active!$M23*((1+Standards_Active!$O23)^(CW$343-Standards_Active!$D23))),TREND(Perform_Active!$S23:$T23,Perform_Active!$S$8:$T$8,CW$343))),)</f>
        <v>4.9241552987283699</v>
      </c>
      <c r="CX358" s="271">
        <f>IF(AND(Tech_Specs!$E22="step",Standards_Active!$E23="yes"),IF(CX$343&lt;Standards_Active!$C23,TREND(Perform_Active!$S23:$T23,Perform_Active!$S$8:$T$8,CX$343),IF(ISNUMBER(Standards_Active!$M23),IF(AND(CX$343&gt;=Standards_Active!$C23,CX$343&lt;Standards_Active!$D23),(Standards_Active!$M23-INDEX($CJ358:$DI358,1,MATCH((Standards_Active!$C23-1),$CJ$343:$DI$343,FALSE)))/(Standards_Active!$D23-(Standards_Active!$C23-1))+CW358,Standards_Active!$M23*((1+Standards_Active!$O23)^(CX$343-Standards_Active!$D23))),TREND(Perform_Active!$S23:$T23,Perform_Active!$S$8:$T$8,CX$343))),)</f>
        <v>4.8995345222347284</v>
      </c>
      <c r="CY358" s="271">
        <f>IF(AND(Tech_Specs!$E22="step",Standards_Active!$E23="yes"),IF(CY$343&lt;Standards_Active!$C23,TREND(Perform_Active!$S23:$T23,Perform_Active!$S$8:$T$8,CY$343),IF(ISNUMBER(Standards_Active!$M23),IF(AND(CY$343&gt;=Standards_Active!$C23,CY$343&lt;Standards_Active!$D23),(Standards_Active!$M23-INDEX($CJ358:$DI358,1,MATCH((Standards_Active!$C23-1),$CJ$343:$DI$343,FALSE)))/(Standards_Active!$D23-(Standards_Active!$C23-1))+CX358,Standards_Active!$M23*((1+Standards_Active!$O23)^(CY$343-Standards_Active!$D23))),TREND(Perform_Active!$S23:$T23,Perform_Active!$S$8:$T$8,CY$343))),)</f>
        <v>4.8750368496235543</v>
      </c>
      <c r="CZ358" s="271">
        <f>IF(AND(Tech_Specs!$E22="step",Standards_Active!$E23="yes"),IF(CZ$343&lt;Standards_Active!$C23,TREND(Perform_Active!$S23:$T23,Perform_Active!$S$8:$T$8,CZ$343),IF(ISNUMBER(Standards_Active!$M23),IF(AND(CZ$343&gt;=Standards_Active!$C23,CZ$343&lt;Standards_Active!$D23),(Standards_Active!$M23-INDEX($CJ358:$DI358,1,MATCH((Standards_Active!$C23-1),$CJ$343:$DI$343,FALSE)))/(Standards_Active!$D23-(Standards_Active!$C23-1))+CY358,Standards_Active!$M23*((1+Standards_Active!$O23)^(CZ$343-Standards_Active!$D23))),TREND(Perform_Active!$S23:$T23,Perform_Active!$S$8:$T$8,CZ$343))),)</f>
        <v>4.8506616653754371</v>
      </c>
      <c r="DA358" s="271">
        <f>IF(AND(Tech_Specs!$E22="step",Standards_Active!$E23="yes"),IF(DA$343&lt;Standards_Active!$C23,TREND(Perform_Active!$S23:$T23,Perform_Active!$S$8:$T$8,DA$343),IF(ISNUMBER(Standards_Active!$M23),IF(AND(DA$343&gt;=Standards_Active!$C23,DA$343&lt;Standards_Active!$D23),(Standards_Active!$M23-INDEX($CJ358:$DI358,1,MATCH((Standards_Active!$C23-1),$CJ$343:$DI$343,FALSE)))/(Standards_Active!$D23-(Standards_Active!$C23-1))+CZ358,Standards_Active!$M23*((1+Standards_Active!$O23)^(DA$343-Standards_Active!$D23))),TREND(Perform_Active!$S23:$T23,Perform_Active!$S$8:$T$8,DA$343))),)</f>
        <v>4.8264083570485594</v>
      </c>
      <c r="DB358" s="271">
        <f>IF(AND(Tech_Specs!$E22="step",Standards_Active!$E23="yes"),IF(DB$343&lt;Standards_Active!$C23,TREND(Perform_Active!$S23:$T23,Perform_Active!$S$8:$T$8,DB$343),IF(ISNUMBER(Standards_Active!$M23),IF(AND(DB$343&gt;=Standards_Active!$C23,DB$343&lt;Standards_Active!$D23),(Standards_Active!$M23-INDEX($CJ358:$DI358,1,MATCH((Standards_Active!$C23-1),$CJ$343:$DI$343,FALSE)))/(Standards_Active!$D23-(Standards_Active!$C23-1))+DA358,Standards_Active!$M23*((1+Standards_Active!$O23)^(DB$343-Standards_Active!$D23))),TREND(Perform_Active!$S23:$T23,Perform_Active!$S$8:$T$8,DB$343))),)</f>
        <v>4.8022763152633168</v>
      </c>
      <c r="DC358" s="271">
        <f>IF(AND(Tech_Specs!$E22="step",Standards_Active!$E23="yes"),IF(DC$343&lt;Standards_Active!$C23,TREND(Perform_Active!$S23:$T23,Perform_Active!$S$8:$T$8,DC$343),IF(ISNUMBER(Standards_Active!$M23),IF(AND(DC$343&gt;=Standards_Active!$C23,DC$343&lt;Standards_Active!$D23),(Standards_Active!$M23-INDEX($CJ358:$DI358,1,MATCH((Standards_Active!$C23-1),$CJ$343:$DI$343,FALSE)))/(Standards_Active!$D23-(Standards_Active!$C23-1))+DB358,Standards_Active!$M23*((1+Standards_Active!$O23)^(DC$343-Standards_Active!$D23))),TREND(Perform_Active!$S23:$T23,Perform_Active!$S$8:$T$8,DC$343))),)</f>
        <v>4.7782649336870007</v>
      </c>
      <c r="DD358" s="271">
        <f>IF(AND(Tech_Specs!$E22="step",Standards_Active!$E23="yes"),IF(DD$343&lt;Standards_Active!$C23,TREND(Perform_Active!$S23:$T23,Perform_Active!$S$8:$T$8,DD$343),IF(ISNUMBER(Standards_Active!$M23),IF(AND(DD$343&gt;=Standards_Active!$C23,DD$343&lt;Standards_Active!$D23),(Standards_Active!$M23-INDEX($CJ358:$DI358,1,MATCH((Standards_Active!$C23-1),$CJ$343:$DI$343,FALSE)))/(Standards_Active!$D23-(Standards_Active!$C23-1))+DC358,Standards_Active!$M23*((1+Standards_Active!$O23)^(DD$343-Standards_Active!$D23))),TREND(Perform_Active!$S23:$T23,Perform_Active!$S$8:$T$8,DD$343))),)</f>
        <v>4.7543736090185655</v>
      </c>
      <c r="DE358" s="271">
        <f>IF(AND(Tech_Specs!$E22="step",Standards_Active!$E23="yes"),IF(DE$343&lt;Standards_Active!$C23,TREND(Perform_Active!$S23:$T23,Perform_Active!$S$8:$T$8,DE$343),IF(ISNUMBER(Standards_Active!$M23),IF(AND(DE$343&gt;=Standards_Active!$C23,DE$343&lt;Standards_Active!$D23),(Standards_Active!$M23-INDEX($CJ358:$DI358,1,MATCH((Standards_Active!$C23-1),$CJ$343:$DI$343,FALSE)))/(Standards_Active!$D23-(Standards_Active!$C23-1))+DD358,Standards_Active!$M23*((1+Standards_Active!$O23)^(DE$343-Standards_Active!$D23))),TREND(Perform_Active!$S23:$T23,Perform_Active!$S$8:$T$8,DE$343))),)</f>
        <v>4.7306017409734729</v>
      </c>
      <c r="DF358" s="271">
        <f>IF(AND(Tech_Specs!$E22="step",Standards_Active!$E23="yes"),IF(DF$343&lt;Standards_Active!$C23,TREND(Perform_Active!$S23:$T23,Perform_Active!$S$8:$T$8,DF$343),IF(ISNUMBER(Standards_Active!$M23),IF(AND(DF$343&gt;=Standards_Active!$C23,DF$343&lt;Standards_Active!$D23),(Standards_Active!$M23-INDEX($CJ358:$DI358,1,MATCH((Standards_Active!$C23-1),$CJ$343:$DI$343,FALSE)))/(Standards_Active!$D23-(Standards_Active!$C23-1))+DE358,Standards_Active!$M23*((1+Standards_Active!$O23)^(DF$343-Standards_Active!$D23))),TREND(Perform_Active!$S23:$T23,Perform_Active!$S$8:$T$8,DF$343))),)</f>
        <v>4.7069487322686054</v>
      </c>
      <c r="DG358" s="271">
        <f>IF(AND(Tech_Specs!$E22="step",Standards_Active!$E23="yes"),IF(DG$343&lt;Standards_Active!$C23,TREND(Perform_Active!$S23:$T23,Perform_Active!$S$8:$T$8,DG$343),IF(ISNUMBER(Standards_Active!$M23),IF(AND(DG$343&gt;=Standards_Active!$C23,DG$343&lt;Standards_Active!$D23),(Standards_Active!$M23-INDEX($CJ358:$DI358,1,MATCH((Standards_Active!$C23-1),$CJ$343:$DI$343,FALSE)))/(Standards_Active!$D23-(Standards_Active!$C23-1))+DF358,Standards_Active!$M23*((1+Standards_Active!$O23)^(DG$343-Standards_Active!$D23))),TREND(Perform_Active!$S23:$T23,Perform_Active!$S$8:$T$8,DG$343))),)</f>
        <v>4.6834139886072625</v>
      </c>
      <c r="DH358" s="271">
        <f>IF(AND(Tech_Specs!$E22="step",Standards_Active!$E23="yes"),IF(DH$343&lt;Standards_Active!$C23,TREND(Perform_Active!$S23:$T23,Perform_Active!$S$8:$T$8,DH$343),IF(ISNUMBER(Standards_Active!$M23),IF(AND(DH$343&gt;=Standards_Active!$C23,DH$343&lt;Standards_Active!$D23),(Standards_Active!$M23-INDEX($CJ358:$DI358,1,MATCH((Standards_Active!$C23-1),$CJ$343:$DI$343,FALSE)))/(Standards_Active!$D23-(Standards_Active!$C23-1))+DG358,Standards_Active!$M23*((1+Standards_Active!$O23)^(DH$343-Standards_Active!$D23))),TREND(Perform_Active!$S23:$T23,Perform_Active!$S$8:$T$8,DH$343))),)</f>
        <v>4.6599969186642261</v>
      </c>
      <c r="DI358" s="271">
        <f>IF(AND(Tech_Specs!$E22="step",Standards_Active!$E23="yes"),IF(DI$343&lt;Standards_Active!$C23,TREND(Perform_Active!$S23:$T23,Perform_Active!$S$8:$T$8,DI$343),IF(ISNUMBER(Standards_Active!$M23),IF(AND(DI$343&gt;=Standards_Active!$C23,DI$343&lt;Standards_Active!$D23),(Standards_Active!$M23-INDEX($CJ358:$DI358,1,MATCH((Standards_Active!$C23-1),$CJ$343:$DI$343,FALSE)))/(Standards_Active!$D23-(Standards_Active!$C23-1))+DH358,Standards_Active!$M23*((1+Standards_Active!$O23)^(DI$343-Standards_Active!$D23))),TREND(Perform_Active!$S23:$T23,Perform_Active!$S$8:$T$8,DI$343))),)</f>
        <v>4.6366969340709048</v>
      </c>
    </row>
    <row r="359" spans="1:113" s="302" customFormat="1" ht="12.75" x14ac:dyDescent="0.2">
      <c r="B359" s="302" t="s">
        <v>40</v>
      </c>
      <c r="D359" s="550"/>
      <c r="E359" s="550"/>
      <c r="F359" s="550"/>
      <c r="G359" s="272">
        <f t="shared" si="57"/>
        <v>4.3999999999999986</v>
      </c>
      <c r="H359" s="272">
        <f t="shared" si="57"/>
        <v>4.3780000000000001</v>
      </c>
      <c r="I359" s="272">
        <f t="shared" si="57"/>
        <v>4.3560000000000016</v>
      </c>
      <c r="J359" s="272">
        <f t="shared" si="57"/>
        <v>4.3340000000000032</v>
      </c>
      <c r="K359" s="272">
        <f t="shared" si="57"/>
        <v>4.3119999999999976</v>
      </c>
      <c r="L359" s="272">
        <f t="shared" si="57"/>
        <v>4.2899999999999991</v>
      </c>
      <c r="M359" s="272">
        <f t="shared" si="57"/>
        <v>4.2680000000000007</v>
      </c>
      <c r="N359" s="272">
        <f t="shared" si="57"/>
        <v>4.2460000000000022</v>
      </c>
      <c r="O359" s="272">
        <f t="shared" si="57"/>
        <v>4.2239999999999966</v>
      </c>
      <c r="P359" s="272">
        <f t="shared" si="57"/>
        <v>4.2019999999999982</v>
      </c>
      <c r="Q359" s="272">
        <f t="shared" si="58"/>
        <v>4.18</v>
      </c>
      <c r="R359" s="272">
        <f t="shared" si="58"/>
        <v>4.1580000000000013</v>
      </c>
      <c r="S359" s="272">
        <f t="shared" si="58"/>
        <v>4.1360000000000028</v>
      </c>
      <c r="T359" s="272">
        <f t="shared" si="58"/>
        <v>4.1139999999999972</v>
      </c>
      <c r="U359" s="272">
        <f t="shared" si="58"/>
        <v>4.0919999999999987</v>
      </c>
      <c r="V359" s="272">
        <f t="shared" si="58"/>
        <v>4.07</v>
      </c>
      <c r="W359" s="272">
        <f t="shared" si="58"/>
        <v>4.0480000000000018</v>
      </c>
      <c r="X359" s="272">
        <f t="shared" si="58"/>
        <v>4.0260000000000034</v>
      </c>
      <c r="Y359" s="272">
        <f t="shared" si="58"/>
        <v>4.0039999999999978</v>
      </c>
      <c r="Z359" s="272">
        <f t="shared" si="58"/>
        <v>3.9819999999999993</v>
      </c>
      <c r="AA359" s="272">
        <f t="shared" si="59"/>
        <v>3.9600000000000009</v>
      </c>
      <c r="AB359" s="272">
        <f t="shared" si="59"/>
        <v>3.9380000000000024</v>
      </c>
      <c r="AC359" s="272">
        <f t="shared" si="59"/>
        <v>3.9159999999999968</v>
      </c>
      <c r="AD359" s="272">
        <f t="shared" si="59"/>
        <v>3.8939999999999984</v>
      </c>
      <c r="AE359" s="272">
        <f t="shared" si="59"/>
        <v>3.8719999999999999</v>
      </c>
      <c r="AF359" s="272">
        <f t="shared" si="59"/>
        <v>3.8500000000000014</v>
      </c>
      <c r="AH359" s="271">
        <f>IF(Tech_Specs!$E23="linear",TREND(Perform_Active!$S24:$T24,Perform_Active!$S$8:$T$8,AH$343),)</f>
        <v>4.3999999999999986</v>
      </c>
      <c r="AI359" s="271">
        <f>IF(Tech_Specs!$E23="linear",TREND(Perform_Active!$S24:$T24,Perform_Active!$S$8:$T$8,AI$343),)</f>
        <v>4.3780000000000001</v>
      </c>
      <c r="AJ359" s="271">
        <f>IF(Tech_Specs!$E23="linear",TREND(Perform_Active!$S24:$T24,Perform_Active!$S$8:$T$8,AJ$343),)</f>
        <v>4.3560000000000016</v>
      </c>
      <c r="AK359" s="271">
        <f>IF(Tech_Specs!$E23="linear",TREND(Perform_Active!$S24:$T24,Perform_Active!$S$8:$T$8,AK$343),)</f>
        <v>4.3340000000000032</v>
      </c>
      <c r="AL359" s="271">
        <f>IF(Tech_Specs!$E23="linear",TREND(Perform_Active!$S24:$T24,Perform_Active!$S$8:$T$8,AL$343),)</f>
        <v>4.3119999999999976</v>
      </c>
      <c r="AM359" s="271">
        <f>IF(Tech_Specs!$E23="linear",TREND(Perform_Active!$S24:$T24,Perform_Active!$S$8:$T$8,AM$343),)</f>
        <v>4.2899999999999991</v>
      </c>
      <c r="AN359" s="271">
        <f>IF(Tech_Specs!$E23="linear",TREND(Perform_Active!$S24:$T24,Perform_Active!$S$8:$T$8,AN$343),)</f>
        <v>4.2680000000000007</v>
      </c>
      <c r="AO359" s="271">
        <f>IF(Tech_Specs!$E23="linear",TREND(Perform_Active!$S24:$T24,Perform_Active!$S$8:$T$8,AO$343),)</f>
        <v>4.2460000000000022</v>
      </c>
      <c r="AP359" s="271">
        <f>IF(Tech_Specs!$E23="linear",TREND(Perform_Active!$S24:$T24,Perform_Active!$S$8:$T$8,AP$343),)</f>
        <v>4.2239999999999966</v>
      </c>
      <c r="AQ359" s="271">
        <f>IF(Tech_Specs!$E23="linear",TREND(Perform_Active!$S24:$T24,Perform_Active!$S$8:$T$8,AQ$343),)</f>
        <v>4.2019999999999982</v>
      </c>
      <c r="AR359" s="271">
        <f>IF(Tech_Specs!$E23="linear",TREND(Perform_Active!$S24:$T24,Perform_Active!$S$8:$T$8,AR$343),)</f>
        <v>4.18</v>
      </c>
      <c r="AS359" s="271">
        <f>IF(Tech_Specs!$E23="linear",TREND(Perform_Active!$S24:$T24,Perform_Active!$S$8:$T$8,AS$343),)</f>
        <v>4.1580000000000013</v>
      </c>
      <c r="AT359" s="271">
        <f>IF(Tech_Specs!$E23="linear",TREND(Perform_Active!$S24:$T24,Perform_Active!$S$8:$T$8,AT$343),)</f>
        <v>4.1360000000000028</v>
      </c>
      <c r="AU359" s="271">
        <f>IF(Tech_Specs!$E23="linear",TREND(Perform_Active!$S24:$T24,Perform_Active!$S$8:$T$8,AU$343),)</f>
        <v>4.1139999999999972</v>
      </c>
      <c r="AV359" s="271">
        <f>IF(Tech_Specs!$E23="linear",TREND(Perform_Active!$S24:$T24,Perform_Active!$S$8:$T$8,AV$343),)</f>
        <v>4.0919999999999987</v>
      </c>
      <c r="AW359" s="271">
        <f>IF(Tech_Specs!$E23="linear",TREND(Perform_Active!$S24:$T24,Perform_Active!$S$8:$T$8,AW$343),)</f>
        <v>4.07</v>
      </c>
      <c r="AX359" s="271">
        <f>IF(Tech_Specs!$E23="linear",TREND(Perform_Active!$S24:$T24,Perform_Active!$S$8:$T$8,AX$343),)</f>
        <v>4.0480000000000018</v>
      </c>
      <c r="AY359" s="271">
        <f>IF(Tech_Specs!$E23="linear",TREND(Perform_Active!$S24:$T24,Perform_Active!$S$8:$T$8,AY$343),)</f>
        <v>4.0260000000000034</v>
      </c>
      <c r="AZ359" s="271">
        <f>IF(Tech_Specs!$E23="linear",TREND(Perform_Active!$S24:$T24,Perform_Active!$S$8:$T$8,AZ$343),)</f>
        <v>4.0039999999999978</v>
      </c>
      <c r="BA359" s="271">
        <f>IF(Tech_Specs!$E23="linear",TREND(Perform_Active!$S24:$T24,Perform_Active!$S$8:$T$8,BA$343),)</f>
        <v>3.9819999999999993</v>
      </c>
      <c r="BB359" s="271">
        <f>IF(Tech_Specs!$E23="linear",TREND(Perform_Active!$S24:$T24,Perform_Active!$S$8:$T$8,BB$343),)</f>
        <v>3.9600000000000009</v>
      </c>
      <c r="BC359" s="271">
        <f>IF(Tech_Specs!$E23="linear",TREND(Perform_Active!$S24:$T24,Perform_Active!$S$8:$T$8,BC$343),)</f>
        <v>3.9380000000000024</v>
      </c>
      <c r="BD359" s="271">
        <f>IF(Tech_Specs!$E23="linear",TREND(Perform_Active!$S24:$T24,Perform_Active!$S$8:$T$8,BD$343),)</f>
        <v>3.9159999999999968</v>
      </c>
      <c r="BE359" s="271">
        <f>IF(Tech_Specs!$E23="linear",TREND(Perform_Active!$S24:$T24,Perform_Active!$S$8:$T$8,BE$343),)</f>
        <v>3.8939999999999984</v>
      </c>
      <c r="BF359" s="271">
        <f>IF(Tech_Specs!$E23="linear",TREND(Perform_Active!$S24:$T24,Perform_Active!$S$8:$T$8,BF$343),)</f>
        <v>3.8719999999999999</v>
      </c>
      <c r="BG359" s="271">
        <f>IF(Tech_Specs!$E23="linear",TREND(Perform_Active!$S24:$T24,Perform_Active!$S$8:$T$8,BG$343),)</f>
        <v>3.8500000000000014</v>
      </c>
      <c r="BI359" s="271">
        <f>IF(Tech_Specs!$E23="logistic",IF(Tech_Specs!$K23="lamp",Perform_SSL!G$14,Perform_SSL!G$15),)*Perform_Active!$I24/1000</f>
        <v>0</v>
      </c>
      <c r="BJ359" s="271">
        <f>IF(Tech_Specs!$E23="logistic",IF(Tech_Specs!$K23="lamp",Perform_SSL!H$14,Perform_SSL!H$15),)*Perform_Active!$I24/1000</f>
        <v>0</v>
      </c>
      <c r="BK359" s="271">
        <f>IF(Tech_Specs!$E23="logistic",IF(Tech_Specs!$K23="lamp",Perform_SSL!I$14,Perform_SSL!I$15),)*Perform_Active!$I24/1000</f>
        <v>0</v>
      </c>
      <c r="BL359" s="271">
        <f>IF(Tech_Specs!$E23="logistic",IF(Tech_Specs!$K23="lamp",Perform_SSL!J$14,Perform_SSL!J$15),)*Perform_Active!$I24/1000</f>
        <v>0</v>
      </c>
      <c r="BM359" s="271">
        <f>IF(Tech_Specs!$E23="logistic",IF(Tech_Specs!$K23="lamp",Perform_SSL!K$14,Perform_SSL!K$15),)*Perform_Active!$I24/1000</f>
        <v>0</v>
      </c>
      <c r="BN359" s="271">
        <f>IF(Tech_Specs!$E23="logistic",IF(Tech_Specs!$K23="lamp",Perform_SSL!L$14,Perform_SSL!L$15),)*Perform_Active!$I24/1000</f>
        <v>0</v>
      </c>
      <c r="BO359" s="271">
        <f>IF(Tech_Specs!$E23="logistic",IF(Tech_Specs!$K23="lamp",Perform_SSL!M$14,Perform_SSL!M$15),)*Perform_Active!$I24/1000</f>
        <v>0</v>
      </c>
      <c r="BP359" s="271">
        <f>IF(Tech_Specs!$E23="logistic",IF(Tech_Specs!$K23="lamp",Perform_SSL!N$14,Perform_SSL!N$15),)*Perform_Active!$I24/1000</f>
        <v>0</v>
      </c>
      <c r="BQ359" s="271">
        <f>IF(Tech_Specs!$E23="logistic",IF(Tech_Specs!$K23="lamp",Perform_SSL!O$14,Perform_SSL!O$15),)*Perform_Active!$I24/1000</f>
        <v>0</v>
      </c>
      <c r="BR359" s="271">
        <f>IF(Tech_Specs!$E23="logistic",IF(Tech_Specs!$K23="lamp",Perform_SSL!P$14,Perform_SSL!P$15),)*Perform_Active!$I24/1000</f>
        <v>0</v>
      </c>
      <c r="BS359" s="271">
        <f>IF(Tech_Specs!$E23="logistic",IF(Tech_Specs!$K23="lamp",Perform_SSL!Q$14,Perform_SSL!Q$15),)*Perform_Active!$I24/1000</f>
        <v>0</v>
      </c>
      <c r="BT359" s="271">
        <f>IF(Tech_Specs!$E23="logistic",IF(Tech_Specs!$K23="lamp",Perform_SSL!R$14,Perform_SSL!R$15),)*Perform_Active!$I24/1000</f>
        <v>0</v>
      </c>
      <c r="BU359" s="271">
        <f>IF(Tech_Specs!$E23="logistic",IF(Tech_Specs!$K23="lamp",Perform_SSL!S$14,Perform_SSL!S$15),)*Perform_Active!$I24/1000</f>
        <v>0</v>
      </c>
      <c r="BV359" s="271">
        <f>IF(Tech_Specs!$E23="logistic",IF(Tech_Specs!$K23="lamp",Perform_SSL!T$14,Perform_SSL!T$15),)*Perform_Active!$I24/1000</f>
        <v>0</v>
      </c>
      <c r="BW359" s="271">
        <f>IF(Tech_Specs!$E23="logistic",IF(Tech_Specs!$K23="lamp",Perform_SSL!U$14,Perform_SSL!U$15),)*Perform_Active!$I24/1000</f>
        <v>0</v>
      </c>
      <c r="BX359" s="271">
        <f>IF(Tech_Specs!$E23="logistic",IF(Tech_Specs!$K23="lamp",Perform_SSL!V$14,Perform_SSL!V$15),)*Perform_Active!$I24/1000</f>
        <v>0</v>
      </c>
      <c r="BY359" s="271">
        <f>IF(Tech_Specs!$E23="logistic",IF(Tech_Specs!$K23="lamp",Perform_SSL!W$14,Perform_SSL!W$15),)*Perform_Active!$I24/1000</f>
        <v>0</v>
      </c>
      <c r="BZ359" s="271">
        <f>IF(Tech_Specs!$E23="logistic",IF(Tech_Specs!$K23="lamp",Perform_SSL!X$14,Perform_SSL!X$15),)*Perform_Active!$I24/1000</f>
        <v>0</v>
      </c>
      <c r="CA359" s="271">
        <f>IF(Tech_Specs!$E23="logistic",IF(Tech_Specs!$K23="lamp",Perform_SSL!Y$14,Perform_SSL!Y$15),)*Perform_Active!$I24/1000</f>
        <v>0</v>
      </c>
      <c r="CB359" s="271">
        <f>IF(Tech_Specs!$E23="logistic",IF(Tech_Specs!$K23="lamp",Perform_SSL!Z$14,Perform_SSL!Z$15),)*Perform_Active!$I24/1000</f>
        <v>0</v>
      </c>
      <c r="CC359" s="271">
        <f>IF(Tech_Specs!$E23="logistic",IF(Tech_Specs!$K23="lamp",Perform_SSL!AA$14,Perform_SSL!AA$15),)*Perform_Active!$I24/1000</f>
        <v>0</v>
      </c>
      <c r="CD359" s="271">
        <f>IF(Tech_Specs!$E23="logistic",IF(Tech_Specs!$K23="lamp",Perform_SSL!AB$14,Perform_SSL!AB$15),)*Perform_Active!$I24/1000</f>
        <v>0</v>
      </c>
      <c r="CE359" s="271">
        <f>IF(Tech_Specs!$E23="logistic",IF(Tech_Specs!$K23="lamp",Perform_SSL!AC$14,Perform_SSL!AC$15),)*Perform_Active!$I24/1000</f>
        <v>0</v>
      </c>
      <c r="CF359" s="271">
        <f>IF(Tech_Specs!$E23="logistic",IF(Tech_Specs!$K23="lamp",Perform_SSL!AD$14,Perform_SSL!AD$15),)*Perform_Active!$I24/1000</f>
        <v>0</v>
      </c>
      <c r="CG359" s="271">
        <f>IF(Tech_Specs!$E23="logistic",IF(Tech_Specs!$K23="lamp",Perform_SSL!AE$14,Perform_SSL!AE$15),)*Perform_Active!$I24/1000</f>
        <v>0</v>
      </c>
      <c r="CH359" s="271">
        <f>IF(Tech_Specs!$E23="logistic",IF(Tech_Specs!$K23="lamp",Perform_SSL!AF$14,Perform_SSL!AF$15),)*Perform_Active!$I24/1000</f>
        <v>0</v>
      </c>
      <c r="CJ359" s="271">
        <f>IF(AND(Tech_Specs!$E23="step",Standards_Active!$E24="yes"),IF(CJ$343&lt;Standards_Active!$C24,TREND(Perform_Active!$S24:$T24,Perform_Active!$S$8:$T$8,CJ$343),IF(ISNUMBER(Standards_Active!$M24),IF(AND(CJ$343&gt;=Standards_Active!$C24,CJ$343&lt;Standards_Active!$D24),(Standards_Active!$M24-INDEX($CJ359:$DI359,1,MATCH((Standards_Active!$C24-1),$CJ$343:$DI$343,FALSE)))/(Standards_Active!$D24-(Standards_Active!$C24-1))+CI359,Standards_Active!$M24*((1+Standards_Active!$O24)^(CJ$343-Standards_Active!$D24))),TREND(Perform_Active!$S24:$T24,Perform_Active!$S$8:$T$8,CJ$343))),)</f>
        <v>0</v>
      </c>
      <c r="CK359" s="271">
        <f>IF(AND(Tech_Specs!$E23="step",Standards_Active!$E24="yes"),IF(CK$343&lt;Standards_Active!$C24,TREND(Perform_Active!$S24:$T24,Perform_Active!$S$8:$T$8,CK$343),IF(ISNUMBER(Standards_Active!$M24),IF(AND(CK$343&gt;=Standards_Active!$C24,CK$343&lt;Standards_Active!$D24),(Standards_Active!$M24-INDEX($CJ359:$DI359,1,MATCH((Standards_Active!$C24-1),$CJ$343:$DI$343,FALSE)))/(Standards_Active!$D24-(Standards_Active!$C24-1))+CJ359,Standards_Active!$M24*((1+Standards_Active!$O24)^(CK$343-Standards_Active!$D24))),TREND(Perform_Active!$S24:$T24,Perform_Active!$S$8:$T$8,CK$343))),)</f>
        <v>0</v>
      </c>
      <c r="CL359" s="271">
        <f>IF(AND(Tech_Specs!$E23="step",Standards_Active!$E24="yes"),IF(CL$343&lt;Standards_Active!$C24,TREND(Perform_Active!$S24:$T24,Perform_Active!$S$8:$T$8,CL$343),IF(ISNUMBER(Standards_Active!$M24),IF(AND(CL$343&gt;=Standards_Active!$C24,CL$343&lt;Standards_Active!$D24),(Standards_Active!$M24-INDEX($CJ359:$DI359,1,MATCH((Standards_Active!$C24-1),$CJ$343:$DI$343,FALSE)))/(Standards_Active!$D24-(Standards_Active!$C24-1))+CK359,Standards_Active!$M24*((1+Standards_Active!$O24)^(CL$343-Standards_Active!$D24))),TREND(Perform_Active!$S24:$T24,Perform_Active!$S$8:$T$8,CL$343))),)</f>
        <v>0</v>
      </c>
      <c r="CM359" s="271">
        <f>IF(AND(Tech_Specs!$E23="step",Standards_Active!$E24="yes"),IF(CM$343&lt;Standards_Active!$C24,TREND(Perform_Active!$S24:$T24,Perform_Active!$S$8:$T$8,CM$343),IF(ISNUMBER(Standards_Active!$M24),IF(AND(CM$343&gt;=Standards_Active!$C24,CM$343&lt;Standards_Active!$D24),(Standards_Active!$M24-INDEX($CJ359:$DI359,1,MATCH((Standards_Active!$C24-1),$CJ$343:$DI$343,FALSE)))/(Standards_Active!$D24-(Standards_Active!$C24-1))+CL359,Standards_Active!$M24*((1+Standards_Active!$O24)^(CM$343-Standards_Active!$D24))),TREND(Perform_Active!$S24:$T24,Perform_Active!$S$8:$T$8,CM$343))),)</f>
        <v>0</v>
      </c>
      <c r="CN359" s="271">
        <f>IF(AND(Tech_Specs!$E23="step",Standards_Active!$E24="yes"),IF(CN$343&lt;Standards_Active!$C24,TREND(Perform_Active!$S24:$T24,Perform_Active!$S$8:$T$8,CN$343),IF(ISNUMBER(Standards_Active!$M24),IF(AND(CN$343&gt;=Standards_Active!$C24,CN$343&lt;Standards_Active!$D24),(Standards_Active!$M24-INDEX($CJ359:$DI359,1,MATCH((Standards_Active!$C24-1),$CJ$343:$DI$343,FALSE)))/(Standards_Active!$D24-(Standards_Active!$C24-1))+CM359,Standards_Active!$M24*((1+Standards_Active!$O24)^(CN$343-Standards_Active!$D24))),TREND(Perform_Active!$S24:$T24,Perform_Active!$S$8:$T$8,CN$343))),)</f>
        <v>0</v>
      </c>
      <c r="CO359" s="271">
        <f>IF(AND(Tech_Specs!$E23="step",Standards_Active!$E24="yes"),IF(CO$343&lt;Standards_Active!$C24,TREND(Perform_Active!$S24:$T24,Perform_Active!$S$8:$T$8,CO$343),IF(ISNUMBER(Standards_Active!$M24),IF(AND(CO$343&gt;=Standards_Active!$C24,CO$343&lt;Standards_Active!$D24),(Standards_Active!$M24-INDEX($CJ359:$DI359,1,MATCH((Standards_Active!$C24-1),$CJ$343:$DI$343,FALSE)))/(Standards_Active!$D24-(Standards_Active!$C24-1))+CN359,Standards_Active!$M24*((1+Standards_Active!$O24)^(CO$343-Standards_Active!$D24))),TREND(Perform_Active!$S24:$T24,Perform_Active!$S$8:$T$8,CO$343))),)</f>
        <v>0</v>
      </c>
      <c r="CP359" s="271">
        <f>IF(AND(Tech_Specs!$E23="step",Standards_Active!$E24="yes"),IF(CP$343&lt;Standards_Active!$C24,TREND(Perform_Active!$S24:$T24,Perform_Active!$S$8:$T$8,CP$343),IF(ISNUMBER(Standards_Active!$M24),IF(AND(CP$343&gt;=Standards_Active!$C24,CP$343&lt;Standards_Active!$D24),(Standards_Active!$M24-INDEX($CJ359:$DI359,1,MATCH((Standards_Active!$C24-1),$CJ$343:$DI$343,FALSE)))/(Standards_Active!$D24-(Standards_Active!$C24-1))+CO359,Standards_Active!$M24*((1+Standards_Active!$O24)^(CP$343-Standards_Active!$D24))),TREND(Perform_Active!$S24:$T24,Perform_Active!$S$8:$T$8,CP$343))),)</f>
        <v>0</v>
      </c>
      <c r="CQ359" s="271">
        <f>IF(AND(Tech_Specs!$E23="step",Standards_Active!$E24="yes"),IF(CQ$343&lt;Standards_Active!$C24,TREND(Perform_Active!$S24:$T24,Perform_Active!$S$8:$T$8,CQ$343),IF(ISNUMBER(Standards_Active!$M24),IF(AND(CQ$343&gt;=Standards_Active!$C24,CQ$343&lt;Standards_Active!$D24),(Standards_Active!$M24-INDEX($CJ359:$DI359,1,MATCH((Standards_Active!$C24-1),$CJ$343:$DI$343,FALSE)))/(Standards_Active!$D24-(Standards_Active!$C24-1))+CP359,Standards_Active!$M24*((1+Standards_Active!$O24)^(CQ$343-Standards_Active!$D24))),TREND(Perform_Active!$S24:$T24,Perform_Active!$S$8:$T$8,CQ$343))),)</f>
        <v>0</v>
      </c>
      <c r="CR359" s="271">
        <f>IF(AND(Tech_Specs!$E23="step",Standards_Active!$E24="yes"),IF(CR$343&lt;Standards_Active!$C24,TREND(Perform_Active!$S24:$T24,Perform_Active!$S$8:$T$8,CR$343),IF(ISNUMBER(Standards_Active!$M24),IF(AND(CR$343&gt;=Standards_Active!$C24,CR$343&lt;Standards_Active!$D24),(Standards_Active!$M24-INDEX($CJ359:$DI359,1,MATCH((Standards_Active!$C24-1),$CJ$343:$DI$343,FALSE)))/(Standards_Active!$D24-(Standards_Active!$C24-1))+CQ359,Standards_Active!$M24*((1+Standards_Active!$O24)^(CR$343-Standards_Active!$D24))),TREND(Perform_Active!$S24:$T24,Perform_Active!$S$8:$T$8,CR$343))),)</f>
        <v>0</v>
      </c>
      <c r="CS359" s="271">
        <f>IF(AND(Tech_Specs!$E23="step",Standards_Active!$E24="yes"),IF(CS$343&lt;Standards_Active!$C24,TREND(Perform_Active!$S24:$T24,Perform_Active!$S$8:$T$8,CS$343),IF(ISNUMBER(Standards_Active!$M24),IF(AND(CS$343&gt;=Standards_Active!$C24,CS$343&lt;Standards_Active!$D24),(Standards_Active!$M24-INDEX($CJ359:$DI359,1,MATCH((Standards_Active!$C24-1),$CJ$343:$DI$343,FALSE)))/(Standards_Active!$D24-(Standards_Active!$C24-1))+CR359,Standards_Active!$M24*((1+Standards_Active!$O24)^(CS$343-Standards_Active!$D24))),TREND(Perform_Active!$S24:$T24,Perform_Active!$S$8:$T$8,CS$343))),)</f>
        <v>0</v>
      </c>
      <c r="CT359" s="271">
        <f>IF(AND(Tech_Specs!$E23="step",Standards_Active!$E24="yes"),IF(CT$343&lt;Standards_Active!$C24,TREND(Perform_Active!$S24:$T24,Perform_Active!$S$8:$T$8,CT$343),IF(ISNUMBER(Standards_Active!$M24),IF(AND(CT$343&gt;=Standards_Active!$C24,CT$343&lt;Standards_Active!$D24),(Standards_Active!$M24-INDEX($CJ359:$DI359,1,MATCH((Standards_Active!$C24-1),$CJ$343:$DI$343,FALSE)))/(Standards_Active!$D24-(Standards_Active!$C24-1))+CS359,Standards_Active!$M24*((1+Standards_Active!$O24)^(CT$343-Standards_Active!$D24))),TREND(Perform_Active!$S24:$T24,Perform_Active!$S$8:$T$8,CT$343))),)</f>
        <v>0</v>
      </c>
      <c r="CU359" s="271">
        <f>IF(AND(Tech_Specs!$E23="step",Standards_Active!$E24="yes"),IF(CU$343&lt;Standards_Active!$C24,TREND(Perform_Active!$S24:$T24,Perform_Active!$S$8:$T$8,CU$343),IF(ISNUMBER(Standards_Active!$M24),IF(AND(CU$343&gt;=Standards_Active!$C24,CU$343&lt;Standards_Active!$D24),(Standards_Active!$M24-INDEX($CJ359:$DI359,1,MATCH((Standards_Active!$C24-1),$CJ$343:$DI$343,FALSE)))/(Standards_Active!$D24-(Standards_Active!$C24-1))+CT359,Standards_Active!$M24*((1+Standards_Active!$O24)^(CU$343-Standards_Active!$D24))),TREND(Perform_Active!$S24:$T24,Perform_Active!$S$8:$T$8,CU$343))),)</f>
        <v>0</v>
      </c>
      <c r="CV359" s="271">
        <f>IF(AND(Tech_Specs!$E23="step",Standards_Active!$E24="yes"),IF(CV$343&lt;Standards_Active!$C24,TREND(Perform_Active!$S24:$T24,Perform_Active!$S$8:$T$8,CV$343),IF(ISNUMBER(Standards_Active!$M24),IF(AND(CV$343&gt;=Standards_Active!$C24,CV$343&lt;Standards_Active!$D24),(Standards_Active!$M24-INDEX($CJ359:$DI359,1,MATCH((Standards_Active!$C24-1),$CJ$343:$DI$343,FALSE)))/(Standards_Active!$D24-(Standards_Active!$C24-1))+CU359,Standards_Active!$M24*((1+Standards_Active!$O24)^(CV$343-Standards_Active!$D24))),TREND(Perform_Active!$S24:$T24,Perform_Active!$S$8:$T$8,CV$343))),)</f>
        <v>0</v>
      </c>
      <c r="CW359" s="271">
        <f>IF(AND(Tech_Specs!$E23="step",Standards_Active!$E24="yes"),IF(CW$343&lt;Standards_Active!$C24,TREND(Perform_Active!$S24:$T24,Perform_Active!$S$8:$T$8,CW$343),IF(ISNUMBER(Standards_Active!$M24),IF(AND(CW$343&gt;=Standards_Active!$C24,CW$343&lt;Standards_Active!$D24),(Standards_Active!$M24-INDEX($CJ359:$DI359,1,MATCH((Standards_Active!$C24-1),$CJ$343:$DI$343,FALSE)))/(Standards_Active!$D24-(Standards_Active!$C24-1))+CV359,Standards_Active!$M24*((1+Standards_Active!$O24)^(CW$343-Standards_Active!$D24))),TREND(Perform_Active!$S24:$T24,Perform_Active!$S$8:$T$8,CW$343))),)</f>
        <v>0</v>
      </c>
      <c r="CX359" s="271">
        <f>IF(AND(Tech_Specs!$E23="step",Standards_Active!$E24="yes"),IF(CX$343&lt;Standards_Active!$C24,TREND(Perform_Active!$S24:$T24,Perform_Active!$S$8:$T$8,CX$343),IF(ISNUMBER(Standards_Active!$M24),IF(AND(CX$343&gt;=Standards_Active!$C24,CX$343&lt;Standards_Active!$D24),(Standards_Active!$M24-INDEX($CJ359:$DI359,1,MATCH((Standards_Active!$C24-1),$CJ$343:$DI$343,FALSE)))/(Standards_Active!$D24-(Standards_Active!$C24-1))+CW359,Standards_Active!$M24*((1+Standards_Active!$O24)^(CX$343-Standards_Active!$D24))),TREND(Perform_Active!$S24:$T24,Perform_Active!$S$8:$T$8,CX$343))),)</f>
        <v>0</v>
      </c>
      <c r="CY359" s="271">
        <f>IF(AND(Tech_Specs!$E23="step",Standards_Active!$E24="yes"),IF(CY$343&lt;Standards_Active!$C24,TREND(Perform_Active!$S24:$T24,Perform_Active!$S$8:$T$8,CY$343),IF(ISNUMBER(Standards_Active!$M24),IF(AND(CY$343&gt;=Standards_Active!$C24,CY$343&lt;Standards_Active!$D24),(Standards_Active!$M24-INDEX($CJ359:$DI359,1,MATCH((Standards_Active!$C24-1),$CJ$343:$DI$343,FALSE)))/(Standards_Active!$D24-(Standards_Active!$C24-1))+CX359,Standards_Active!$M24*((1+Standards_Active!$O24)^(CY$343-Standards_Active!$D24))),TREND(Perform_Active!$S24:$T24,Perform_Active!$S$8:$T$8,CY$343))),)</f>
        <v>0</v>
      </c>
      <c r="CZ359" s="271">
        <f>IF(AND(Tech_Specs!$E23="step",Standards_Active!$E24="yes"),IF(CZ$343&lt;Standards_Active!$C24,TREND(Perform_Active!$S24:$T24,Perform_Active!$S$8:$T$8,CZ$343),IF(ISNUMBER(Standards_Active!$M24),IF(AND(CZ$343&gt;=Standards_Active!$C24,CZ$343&lt;Standards_Active!$D24),(Standards_Active!$M24-INDEX($CJ359:$DI359,1,MATCH((Standards_Active!$C24-1),$CJ$343:$DI$343,FALSE)))/(Standards_Active!$D24-(Standards_Active!$C24-1))+CY359,Standards_Active!$M24*((1+Standards_Active!$O24)^(CZ$343-Standards_Active!$D24))),TREND(Perform_Active!$S24:$T24,Perform_Active!$S$8:$T$8,CZ$343))),)</f>
        <v>0</v>
      </c>
      <c r="DA359" s="271">
        <f>IF(AND(Tech_Specs!$E23="step",Standards_Active!$E24="yes"),IF(DA$343&lt;Standards_Active!$C24,TREND(Perform_Active!$S24:$T24,Perform_Active!$S$8:$T$8,DA$343),IF(ISNUMBER(Standards_Active!$M24),IF(AND(DA$343&gt;=Standards_Active!$C24,DA$343&lt;Standards_Active!$D24),(Standards_Active!$M24-INDEX($CJ359:$DI359,1,MATCH((Standards_Active!$C24-1),$CJ$343:$DI$343,FALSE)))/(Standards_Active!$D24-(Standards_Active!$C24-1))+CZ359,Standards_Active!$M24*((1+Standards_Active!$O24)^(DA$343-Standards_Active!$D24))),TREND(Perform_Active!$S24:$T24,Perform_Active!$S$8:$T$8,DA$343))),)</f>
        <v>0</v>
      </c>
      <c r="DB359" s="271">
        <f>IF(AND(Tech_Specs!$E23="step",Standards_Active!$E24="yes"),IF(DB$343&lt;Standards_Active!$C24,TREND(Perform_Active!$S24:$T24,Perform_Active!$S$8:$T$8,DB$343),IF(ISNUMBER(Standards_Active!$M24),IF(AND(DB$343&gt;=Standards_Active!$C24,DB$343&lt;Standards_Active!$D24),(Standards_Active!$M24-INDEX($CJ359:$DI359,1,MATCH((Standards_Active!$C24-1),$CJ$343:$DI$343,FALSE)))/(Standards_Active!$D24-(Standards_Active!$C24-1))+DA359,Standards_Active!$M24*((1+Standards_Active!$O24)^(DB$343-Standards_Active!$D24))),TREND(Perform_Active!$S24:$T24,Perform_Active!$S$8:$T$8,DB$343))),)</f>
        <v>0</v>
      </c>
      <c r="DC359" s="271">
        <f>IF(AND(Tech_Specs!$E23="step",Standards_Active!$E24="yes"),IF(DC$343&lt;Standards_Active!$C24,TREND(Perform_Active!$S24:$T24,Perform_Active!$S$8:$T$8,DC$343),IF(ISNUMBER(Standards_Active!$M24),IF(AND(DC$343&gt;=Standards_Active!$C24,DC$343&lt;Standards_Active!$D24),(Standards_Active!$M24-INDEX($CJ359:$DI359,1,MATCH((Standards_Active!$C24-1),$CJ$343:$DI$343,FALSE)))/(Standards_Active!$D24-(Standards_Active!$C24-1))+DB359,Standards_Active!$M24*((1+Standards_Active!$O24)^(DC$343-Standards_Active!$D24))),TREND(Perform_Active!$S24:$T24,Perform_Active!$S$8:$T$8,DC$343))),)</f>
        <v>0</v>
      </c>
      <c r="DD359" s="271">
        <f>IF(AND(Tech_Specs!$E23="step",Standards_Active!$E24="yes"),IF(DD$343&lt;Standards_Active!$C24,TREND(Perform_Active!$S24:$T24,Perform_Active!$S$8:$T$8,DD$343),IF(ISNUMBER(Standards_Active!$M24),IF(AND(DD$343&gt;=Standards_Active!$C24,DD$343&lt;Standards_Active!$D24),(Standards_Active!$M24-INDEX($CJ359:$DI359,1,MATCH((Standards_Active!$C24-1),$CJ$343:$DI$343,FALSE)))/(Standards_Active!$D24-(Standards_Active!$C24-1))+DC359,Standards_Active!$M24*((1+Standards_Active!$O24)^(DD$343-Standards_Active!$D24))),TREND(Perform_Active!$S24:$T24,Perform_Active!$S$8:$T$8,DD$343))),)</f>
        <v>0</v>
      </c>
      <c r="DE359" s="271">
        <f>IF(AND(Tech_Specs!$E23="step",Standards_Active!$E24="yes"),IF(DE$343&lt;Standards_Active!$C24,TREND(Perform_Active!$S24:$T24,Perform_Active!$S$8:$T$8,DE$343),IF(ISNUMBER(Standards_Active!$M24),IF(AND(DE$343&gt;=Standards_Active!$C24,DE$343&lt;Standards_Active!$D24),(Standards_Active!$M24-INDEX($CJ359:$DI359,1,MATCH((Standards_Active!$C24-1),$CJ$343:$DI$343,FALSE)))/(Standards_Active!$D24-(Standards_Active!$C24-1))+DD359,Standards_Active!$M24*((1+Standards_Active!$O24)^(DE$343-Standards_Active!$D24))),TREND(Perform_Active!$S24:$T24,Perform_Active!$S$8:$T$8,DE$343))),)</f>
        <v>0</v>
      </c>
      <c r="DF359" s="271">
        <f>IF(AND(Tech_Specs!$E23="step",Standards_Active!$E24="yes"),IF(DF$343&lt;Standards_Active!$C24,TREND(Perform_Active!$S24:$T24,Perform_Active!$S$8:$T$8,DF$343),IF(ISNUMBER(Standards_Active!$M24),IF(AND(DF$343&gt;=Standards_Active!$C24,DF$343&lt;Standards_Active!$D24),(Standards_Active!$M24-INDEX($CJ359:$DI359,1,MATCH((Standards_Active!$C24-1),$CJ$343:$DI$343,FALSE)))/(Standards_Active!$D24-(Standards_Active!$C24-1))+DE359,Standards_Active!$M24*((1+Standards_Active!$O24)^(DF$343-Standards_Active!$D24))),TREND(Perform_Active!$S24:$T24,Perform_Active!$S$8:$T$8,DF$343))),)</f>
        <v>0</v>
      </c>
      <c r="DG359" s="271">
        <f>IF(AND(Tech_Specs!$E23="step",Standards_Active!$E24="yes"),IF(DG$343&lt;Standards_Active!$C24,TREND(Perform_Active!$S24:$T24,Perform_Active!$S$8:$T$8,DG$343),IF(ISNUMBER(Standards_Active!$M24),IF(AND(DG$343&gt;=Standards_Active!$C24,DG$343&lt;Standards_Active!$D24),(Standards_Active!$M24-INDEX($CJ359:$DI359,1,MATCH((Standards_Active!$C24-1),$CJ$343:$DI$343,FALSE)))/(Standards_Active!$D24-(Standards_Active!$C24-1))+DF359,Standards_Active!$M24*((1+Standards_Active!$O24)^(DG$343-Standards_Active!$D24))),TREND(Perform_Active!$S24:$T24,Perform_Active!$S$8:$T$8,DG$343))),)</f>
        <v>0</v>
      </c>
      <c r="DH359" s="271">
        <f>IF(AND(Tech_Specs!$E23="step",Standards_Active!$E24="yes"),IF(DH$343&lt;Standards_Active!$C24,TREND(Perform_Active!$S24:$T24,Perform_Active!$S$8:$T$8,DH$343),IF(ISNUMBER(Standards_Active!$M24),IF(AND(DH$343&gt;=Standards_Active!$C24,DH$343&lt;Standards_Active!$D24),(Standards_Active!$M24-INDEX($CJ359:$DI359,1,MATCH((Standards_Active!$C24-1),$CJ$343:$DI$343,FALSE)))/(Standards_Active!$D24-(Standards_Active!$C24-1))+DG359,Standards_Active!$M24*((1+Standards_Active!$O24)^(DH$343-Standards_Active!$D24))),TREND(Perform_Active!$S24:$T24,Perform_Active!$S$8:$T$8,DH$343))),)</f>
        <v>0</v>
      </c>
      <c r="DI359" s="271">
        <f>IF(AND(Tech_Specs!$E23="step",Standards_Active!$E24="yes"),IF(DI$343&lt;Standards_Active!$C24,TREND(Perform_Active!$S24:$T24,Perform_Active!$S$8:$T$8,DI$343),IF(ISNUMBER(Standards_Active!$M24),IF(AND(DI$343&gt;=Standards_Active!$C24,DI$343&lt;Standards_Active!$D24),(Standards_Active!$M24-INDEX($CJ359:$DI359,1,MATCH((Standards_Active!$C24-1),$CJ$343:$DI$343,FALSE)))/(Standards_Active!$D24-(Standards_Active!$C24-1))+DH359,Standards_Active!$M24*((1+Standards_Active!$O24)^(DI$343-Standards_Active!$D24))),TREND(Perform_Active!$S24:$T24,Perform_Active!$S$8:$T$8,DI$343))),)</f>
        <v>0</v>
      </c>
    </row>
    <row r="360" spans="1:113" s="302" customFormat="1" ht="12.75" x14ac:dyDescent="0.2">
      <c r="B360" s="302" t="s">
        <v>29</v>
      </c>
      <c r="D360" s="550"/>
      <c r="E360" s="550"/>
      <c r="F360" s="550"/>
      <c r="G360" s="272">
        <f t="shared" si="57"/>
        <v>477.99989405268468</v>
      </c>
      <c r="H360" s="272">
        <f t="shared" si="57"/>
        <v>286.80827844113179</v>
      </c>
      <c r="I360" s="272">
        <f t="shared" si="57"/>
        <v>204.92380845490501</v>
      </c>
      <c r="J360" s="272">
        <f t="shared" si="57"/>
        <v>159.44663097095236</v>
      </c>
      <c r="K360" s="272">
        <f t="shared" si="57"/>
        <v>130.51188594630915</v>
      </c>
      <c r="L360" s="272">
        <f t="shared" si="57"/>
        <v>110.48254315280866</v>
      </c>
      <c r="M360" s="272">
        <f t="shared" si="57"/>
        <v>95.795608198844008</v>
      </c>
      <c r="N360" s="272">
        <f t="shared" si="57"/>
        <v>84.565136096981163</v>
      </c>
      <c r="O360" s="272">
        <f t="shared" si="57"/>
        <v>75.699410640568857</v>
      </c>
      <c r="P360" s="272">
        <f t="shared" si="57"/>
        <v>68.522677016038017</v>
      </c>
      <c r="Q360" s="272">
        <f t="shared" si="58"/>
        <v>62.594261427379536</v>
      </c>
      <c r="R360" s="272">
        <f t="shared" si="58"/>
        <v>57.614525488942313</v>
      </c>
      <c r="S360" s="272">
        <f t="shared" si="58"/>
        <v>53.372624098754699</v>
      </c>
      <c r="T360" s="272">
        <f t="shared" si="58"/>
        <v>49.715883359588069</v>
      </c>
      <c r="U360" s="272">
        <f t="shared" si="58"/>
        <v>46.531033549904741</v>
      </c>
      <c r="V360" s="272">
        <f t="shared" si="58"/>
        <v>43.732267194738561</v>
      </c>
      <c r="W360" s="272">
        <f t="shared" si="58"/>
        <v>41.253391922803289</v>
      </c>
      <c r="X360" s="272">
        <f t="shared" si="58"/>
        <v>39.042528584303078</v>
      </c>
      <c r="Y360" s="272">
        <f t="shared" si="58"/>
        <v>37.058440863900842</v>
      </c>
      <c r="Z360" s="272">
        <f t="shared" si="58"/>
        <v>35.267939245254134</v>
      </c>
      <c r="AA360" s="272">
        <f t="shared" si="59"/>
        <v>33.644009509689184</v>
      </c>
      <c r="AB360" s="272">
        <f t="shared" si="59"/>
        <v>32.16444034081433</v>
      </c>
      <c r="AC360" s="272">
        <f t="shared" si="59"/>
        <v>30.810801354117899</v>
      </c>
      <c r="AD360" s="272">
        <f t="shared" si="59"/>
        <v>29.567671422956121</v>
      </c>
      <c r="AE360" s="272">
        <f t="shared" si="59"/>
        <v>28.42204858739046</v>
      </c>
      <c r="AF360" s="272">
        <f t="shared" si="59"/>
        <v>27.362893577417342</v>
      </c>
      <c r="AH360" s="271">
        <f>IF(Tech_Specs!$E24="linear",TREND(Perform_Active!$S25:$T25,Perform_Active!$S$8:$T$8,AH$343),)</f>
        <v>0</v>
      </c>
      <c r="AI360" s="271">
        <f>IF(Tech_Specs!$E24="linear",TREND(Perform_Active!$S25:$T25,Perform_Active!$S$8:$T$8,AI$343),)</f>
        <v>0</v>
      </c>
      <c r="AJ360" s="271">
        <f>IF(Tech_Specs!$E24="linear",TREND(Perform_Active!$S25:$T25,Perform_Active!$S$8:$T$8,AJ$343),)</f>
        <v>0</v>
      </c>
      <c r="AK360" s="271">
        <f>IF(Tech_Specs!$E24="linear",TREND(Perform_Active!$S25:$T25,Perform_Active!$S$8:$T$8,AK$343),)</f>
        <v>0</v>
      </c>
      <c r="AL360" s="271">
        <f>IF(Tech_Specs!$E24="linear",TREND(Perform_Active!$S25:$T25,Perform_Active!$S$8:$T$8,AL$343),)</f>
        <v>0</v>
      </c>
      <c r="AM360" s="271">
        <f>IF(Tech_Specs!$E24="linear",TREND(Perform_Active!$S25:$T25,Perform_Active!$S$8:$T$8,AM$343),)</f>
        <v>0</v>
      </c>
      <c r="AN360" s="271">
        <f>IF(Tech_Specs!$E24="linear",TREND(Perform_Active!$S25:$T25,Perform_Active!$S$8:$T$8,AN$343),)</f>
        <v>0</v>
      </c>
      <c r="AO360" s="271">
        <f>IF(Tech_Specs!$E24="linear",TREND(Perform_Active!$S25:$T25,Perform_Active!$S$8:$T$8,AO$343),)</f>
        <v>0</v>
      </c>
      <c r="AP360" s="271">
        <f>IF(Tech_Specs!$E24="linear",TREND(Perform_Active!$S25:$T25,Perform_Active!$S$8:$T$8,AP$343),)</f>
        <v>0</v>
      </c>
      <c r="AQ360" s="271">
        <f>IF(Tech_Specs!$E24="linear",TREND(Perform_Active!$S25:$T25,Perform_Active!$S$8:$T$8,AQ$343),)</f>
        <v>0</v>
      </c>
      <c r="AR360" s="271">
        <f>IF(Tech_Specs!$E24="linear",TREND(Perform_Active!$S25:$T25,Perform_Active!$S$8:$T$8,AR$343),)</f>
        <v>0</v>
      </c>
      <c r="AS360" s="271">
        <f>IF(Tech_Specs!$E24="linear",TREND(Perform_Active!$S25:$T25,Perform_Active!$S$8:$T$8,AS$343),)</f>
        <v>0</v>
      </c>
      <c r="AT360" s="271">
        <f>IF(Tech_Specs!$E24="linear",TREND(Perform_Active!$S25:$T25,Perform_Active!$S$8:$T$8,AT$343),)</f>
        <v>0</v>
      </c>
      <c r="AU360" s="271">
        <f>IF(Tech_Specs!$E24="linear",TREND(Perform_Active!$S25:$T25,Perform_Active!$S$8:$T$8,AU$343),)</f>
        <v>0</v>
      </c>
      <c r="AV360" s="271">
        <f>IF(Tech_Specs!$E24="linear",TREND(Perform_Active!$S25:$T25,Perform_Active!$S$8:$T$8,AV$343),)</f>
        <v>0</v>
      </c>
      <c r="AW360" s="271">
        <f>IF(Tech_Specs!$E24="linear",TREND(Perform_Active!$S25:$T25,Perform_Active!$S$8:$T$8,AW$343),)</f>
        <v>0</v>
      </c>
      <c r="AX360" s="271">
        <f>IF(Tech_Specs!$E24="linear",TREND(Perform_Active!$S25:$T25,Perform_Active!$S$8:$T$8,AX$343),)</f>
        <v>0</v>
      </c>
      <c r="AY360" s="271">
        <f>IF(Tech_Specs!$E24="linear",TREND(Perform_Active!$S25:$T25,Perform_Active!$S$8:$T$8,AY$343),)</f>
        <v>0</v>
      </c>
      <c r="AZ360" s="271">
        <f>IF(Tech_Specs!$E24="linear",TREND(Perform_Active!$S25:$T25,Perform_Active!$S$8:$T$8,AZ$343),)</f>
        <v>0</v>
      </c>
      <c r="BA360" s="271">
        <f>IF(Tech_Specs!$E24="linear",TREND(Perform_Active!$S25:$T25,Perform_Active!$S$8:$T$8,BA$343),)</f>
        <v>0</v>
      </c>
      <c r="BB360" s="271">
        <f>IF(Tech_Specs!$E24="linear",TREND(Perform_Active!$S25:$T25,Perform_Active!$S$8:$T$8,BB$343),)</f>
        <v>0</v>
      </c>
      <c r="BC360" s="271">
        <f>IF(Tech_Specs!$E24="linear",TREND(Perform_Active!$S25:$T25,Perform_Active!$S$8:$T$8,BC$343),)</f>
        <v>0</v>
      </c>
      <c r="BD360" s="271">
        <f>IF(Tech_Specs!$E24="linear",TREND(Perform_Active!$S25:$T25,Perform_Active!$S$8:$T$8,BD$343),)</f>
        <v>0</v>
      </c>
      <c r="BE360" s="271">
        <f>IF(Tech_Specs!$E24="linear",TREND(Perform_Active!$S25:$T25,Perform_Active!$S$8:$T$8,BE$343),)</f>
        <v>0</v>
      </c>
      <c r="BF360" s="271">
        <f>IF(Tech_Specs!$E24="linear",TREND(Perform_Active!$S25:$T25,Perform_Active!$S$8:$T$8,BF$343),)</f>
        <v>0</v>
      </c>
      <c r="BG360" s="271">
        <f>IF(Tech_Specs!$E24="linear",TREND(Perform_Active!$S25:$T25,Perform_Active!$S$8:$T$8,BG$343),)</f>
        <v>0</v>
      </c>
      <c r="BI360" s="271">
        <f>IF(Tech_Specs!$E24="logistic",IF(Tech_Specs!$K24="lamp",Perform_SSL!G$14,Perform_SSL!G$15),)*Perform_Active!$I25/1000</f>
        <v>477.99989405268468</v>
      </c>
      <c r="BJ360" s="271">
        <f>IF(Tech_Specs!$E24="logistic",IF(Tech_Specs!$K24="lamp",Perform_SSL!H$14,Perform_SSL!H$15),)*Perform_Active!$I25/1000</f>
        <v>286.80827844113179</v>
      </c>
      <c r="BK360" s="271">
        <f>IF(Tech_Specs!$E24="logistic",IF(Tech_Specs!$K24="lamp",Perform_SSL!I$14,Perform_SSL!I$15),)*Perform_Active!$I25/1000</f>
        <v>204.92380845490501</v>
      </c>
      <c r="BL360" s="271">
        <f>IF(Tech_Specs!$E24="logistic",IF(Tech_Specs!$K24="lamp",Perform_SSL!J$14,Perform_SSL!J$15),)*Perform_Active!$I25/1000</f>
        <v>159.44663097095236</v>
      </c>
      <c r="BM360" s="271">
        <f>IF(Tech_Specs!$E24="logistic",IF(Tech_Specs!$K24="lamp",Perform_SSL!K$14,Perform_SSL!K$15),)*Perform_Active!$I25/1000</f>
        <v>130.51188594630915</v>
      </c>
      <c r="BN360" s="271">
        <f>IF(Tech_Specs!$E24="logistic",IF(Tech_Specs!$K24="lamp",Perform_SSL!L$14,Perform_SSL!L$15),)*Perform_Active!$I25/1000</f>
        <v>110.48254315280866</v>
      </c>
      <c r="BO360" s="271">
        <f>IF(Tech_Specs!$E24="logistic",IF(Tech_Specs!$K24="lamp",Perform_SSL!M$14,Perform_SSL!M$15),)*Perform_Active!$I25/1000</f>
        <v>95.795608198844008</v>
      </c>
      <c r="BP360" s="271">
        <f>IF(Tech_Specs!$E24="logistic",IF(Tech_Specs!$K24="lamp",Perform_SSL!N$14,Perform_SSL!N$15),)*Perform_Active!$I25/1000</f>
        <v>84.565136096981163</v>
      </c>
      <c r="BQ360" s="271">
        <f>IF(Tech_Specs!$E24="logistic",IF(Tech_Specs!$K24="lamp",Perform_SSL!O$14,Perform_SSL!O$15),)*Perform_Active!$I25/1000</f>
        <v>75.699410640568857</v>
      </c>
      <c r="BR360" s="271">
        <f>IF(Tech_Specs!$E24="logistic",IF(Tech_Specs!$K24="lamp",Perform_SSL!P$14,Perform_SSL!P$15),)*Perform_Active!$I25/1000</f>
        <v>68.522677016038017</v>
      </c>
      <c r="BS360" s="271">
        <f>IF(Tech_Specs!$E24="logistic",IF(Tech_Specs!$K24="lamp",Perform_SSL!Q$14,Perform_SSL!Q$15),)*Perform_Active!$I25/1000</f>
        <v>62.594261427379536</v>
      </c>
      <c r="BT360" s="271">
        <f>IF(Tech_Specs!$E24="logistic",IF(Tech_Specs!$K24="lamp",Perform_SSL!R$14,Perform_SSL!R$15),)*Perform_Active!$I25/1000</f>
        <v>57.614525488942313</v>
      </c>
      <c r="BU360" s="271">
        <f>IF(Tech_Specs!$E24="logistic",IF(Tech_Specs!$K24="lamp",Perform_SSL!S$14,Perform_SSL!S$15),)*Perform_Active!$I25/1000</f>
        <v>53.372624098754699</v>
      </c>
      <c r="BV360" s="271">
        <f>IF(Tech_Specs!$E24="logistic",IF(Tech_Specs!$K24="lamp",Perform_SSL!T$14,Perform_SSL!T$15),)*Perform_Active!$I25/1000</f>
        <v>49.715883359588069</v>
      </c>
      <c r="BW360" s="271">
        <f>IF(Tech_Specs!$E24="logistic",IF(Tech_Specs!$K24="lamp",Perform_SSL!U$14,Perform_SSL!U$15),)*Perform_Active!$I25/1000</f>
        <v>46.531033549904741</v>
      </c>
      <c r="BX360" s="271">
        <f>IF(Tech_Specs!$E24="logistic",IF(Tech_Specs!$K24="lamp",Perform_SSL!V$14,Perform_SSL!V$15),)*Perform_Active!$I25/1000</f>
        <v>43.732267194738561</v>
      </c>
      <c r="BY360" s="271">
        <f>IF(Tech_Specs!$E24="logistic",IF(Tech_Specs!$K24="lamp",Perform_SSL!W$14,Perform_SSL!W$15),)*Perform_Active!$I25/1000</f>
        <v>41.253391922803289</v>
      </c>
      <c r="BZ360" s="271">
        <f>IF(Tech_Specs!$E24="logistic",IF(Tech_Specs!$K24="lamp",Perform_SSL!X$14,Perform_SSL!X$15),)*Perform_Active!$I25/1000</f>
        <v>39.042528584303078</v>
      </c>
      <c r="CA360" s="271">
        <f>IF(Tech_Specs!$E24="logistic",IF(Tech_Specs!$K24="lamp",Perform_SSL!Y$14,Perform_SSL!Y$15),)*Perform_Active!$I25/1000</f>
        <v>37.058440863900842</v>
      </c>
      <c r="CB360" s="271">
        <f>IF(Tech_Specs!$E24="logistic",IF(Tech_Specs!$K24="lamp",Perform_SSL!Z$14,Perform_SSL!Z$15),)*Perform_Active!$I25/1000</f>
        <v>35.267939245254134</v>
      </c>
      <c r="CC360" s="271">
        <f>IF(Tech_Specs!$E24="logistic",IF(Tech_Specs!$K24="lamp",Perform_SSL!AA$14,Perform_SSL!AA$15),)*Perform_Active!$I25/1000</f>
        <v>33.644009509689184</v>
      </c>
      <c r="CD360" s="271">
        <f>IF(Tech_Specs!$E24="logistic",IF(Tech_Specs!$K24="lamp",Perform_SSL!AB$14,Perform_SSL!AB$15),)*Perform_Active!$I25/1000</f>
        <v>32.16444034081433</v>
      </c>
      <c r="CE360" s="271">
        <f>IF(Tech_Specs!$E24="logistic",IF(Tech_Specs!$K24="lamp",Perform_SSL!AC$14,Perform_SSL!AC$15),)*Perform_Active!$I25/1000</f>
        <v>30.810801354117899</v>
      </c>
      <c r="CF360" s="271">
        <f>IF(Tech_Specs!$E24="logistic",IF(Tech_Specs!$K24="lamp",Perform_SSL!AD$14,Perform_SSL!AD$15),)*Perform_Active!$I25/1000</f>
        <v>29.567671422956121</v>
      </c>
      <c r="CG360" s="271">
        <f>IF(Tech_Specs!$E24="logistic",IF(Tech_Specs!$K24="lamp",Perform_SSL!AE$14,Perform_SSL!AE$15),)*Perform_Active!$I25/1000</f>
        <v>28.42204858739046</v>
      </c>
      <c r="CH360" s="271">
        <f>IF(Tech_Specs!$E24="logistic",IF(Tech_Specs!$K24="lamp",Perform_SSL!AF$14,Perform_SSL!AF$15),)*Perform_Active!$I25/1000</f>
        <v>27.362893577417342</v>
      </c>
      <c r="CJ360" s="271">
        <f>IF(AND(Tech_Specs!$E24="step",Standards_Active!$E25="yes"),IF(CJ$343&lt;Standards_Active!$C25,TREND(Perform_Active!$S25:$T25,Perform_Active!$S$8:$T$8,CJ$343),IF(ISNUMBER(Standards_Active!$M25),IF(AND(CJ$343&gt;=Standards_Active!$C25,CJ$343&lt;Standards_Active!$D25),(Standards_Active!$M25-INDEX($CJ360:$DI360,1,MATCH((Standards_Active!$C25-1),$CJ$343:$DI$343,FALSE)))/(Standards_Active!$D25-(Standards_Active!$C25-1))+CI360,Standards_Active!$M25*((1+Standards_Active!$O25)^(CJ$343-Standards_Active!$D25))),TREND(Perform_Active!$S25:$T25,Perform_Active!$S$8:$T$8,CJ$343))),)</f>
        <v>0</v>
      </c>
      <c r="CK360" s="271">
        <f>IF(AND(Tech_Specs!$E24="step",Standards_Active!$E25="yes"),IF(CK$343&lt;Standards_Active!$C25,TREND(Perform_Active!$S25:$T25,Perform_Active!$S$8:$T$8,CK$343),IF(ISNUMBER(Standards_Active!$M25),IF(AND(CK$343&gt;=Standards_Active!$C25,CK$343&lt;Standards_Active!$D25),(Standards_Active!$M25-INDEX($CJ360:$DI360,1,MATCH((Standards_Active!$C25-1),$CJ$343:$DI$343,FALSE)))/(Standards_Active!$D25-(Standards_Active!$C25-1))+CJ360,Standards_Active!$M25*((1+Standards_Active!$O25)^(CK$343-Standards_Active!$D25))),TREND(Perform_Active!$S25:$T25,Perform_Active!$S$8:$T$8,CK$343))),)</f>
        <v>0</v>
      </c>
      <c r="CL360" s="271">
        <f>IF(AND(Tech_Specs!$E24="step",Standards_Active!$E25="yes"),IF(CL$343&lt;Standards_Active!$C25,TREND(Perform_Active!$S25:$T25,Perform_Active!$S$8:$T$8,CL$343),IF(ISNUMBER(Standards_Active!$M25),IF(AND(CL$343&gt;=Standards_Active!$C25,CL$343&lt;Standards_Active!$D25),(Standards_Active!$M25-INDEX($CJ360:$DI360,1,MATCH((Standards_Active!$C25-1),$CJ$343:$DI$343,FALSE)))/(Standards_Active!$D25-(Standards_Active!$C25-1))+CK360,Standards_Active!$M25*((1+Standards_Active!$O25)^(CL$343-Standards_Active!$D25))),TREND(Perform_Active!$S25:$T25,Perform_Active!$S$8:$T$8,CL$343))),)</f>
        <v>0</v>
      </c>
      <c r="CM360" s="271">
        <f>IF(AND(Tech_Specs!$E24="step",Standards_Active!$E25="yes"),IF(CM$343&lt;Standards_Active!$C25,TREND(Perform_Active!$S25:$T25,Perform_Active!$S$8:$T$8,CM$343),IF(ISNUMBER(Standards_Active!$M25),IF(AND(CM$343&gt;=Standards_Active!$C25,CM$343&lt;Standards_Active!$D25),(Standards_Active!$M25-INDEX($CJ360:$DI360,1,MATCH((Standards_Active!$C25-1),$CJ$343:$DI$343,FALSE)))/(Standards_Active!$D25-(Standards_Active!$C25-1))+CL360,Standards_Active!$M25*((1+Standards_Active!$O25)^(CM$343-Standards_Active!$D25))),TREND(Perform_Active!$S25:$T25,Perform_Active!$S$8:$T$8,CM$343))),)</f>
        <v>0</v>
      </c>
      <c r="CN360" s="271">
        <f>IF(AND(Tech_Specs!$E24="step",Standards_Active!$E25="yes"),IF(CN$343&lt;Standards_Active!$C25,TREND(Perform_Active!$S25:$T25,Perform_Active!$S$8:$T$8,CN$343),IF(ISNUMBER(Standards_Active!$M25),IF(AND(CN$343&gt;=Standards_Active!$C25,CN$343&lt;Standards_Active!$D25),(Standards_Active!$M25-INDEX($CJ360:$DI360,1,MATCH((Standards_Active!$C25-1),$CJ$343:$DI$343,FALSE)))/(Standards_Active!$D25-(Standards_Active!$C25-1))+CM360,Standards_Active!$M25*((1+Standards_Active!$O25)^(CN$343-Standards_Active!$D25))),TREND(Perform_Active!$S25:$T25,Perform_Active!$S$8:$T$8,CN$343))),)</f>
        <v>0</v>
      </c>
      <c r="CO360" s="271">
        <f>IF(AND(Tech_Specs!$E24="step",Standards_Active!$E25="yes"),IF(CO$343&lt;Standards_Active!$C25,TREND(Perform_Active!$S25:$T25,Perform_Active!$S$8:$T$8,CO$343),IF(ISNUMBER(Standards_Active!$M25),IF(AND(CO$343&gt;=Standards_Active!$C25,CO$343&lt;Standards_Active!$D25),(Standards_Active!$M25-INDEX($CJ360:$DI360,1,MATCH((Standards_Active!$C25-1),$CJ$343:$DI$343,FALSE)))/(Standards_Active!$D25-(Standards_Active!$C25-1))+CN360,Standards_Active!$M25*((1+Standards_Active!$O25)^(CO$343-Standards_Active!$D25))),TREND(Perform_Active!$S25:$T25,Perform_Active!$S$8:$T$8,CO$343))),)</f>
        <v>0</v>
      </c>
      <c r="CP360" s="271">
        <f>IF(AND(Tech_Specs!$E24="step",Standards_Active!$E25="yes"),IF(CP$343&lt;Standards_Active!$C25,TREND(Perform_Active!$S25:$T25,Perform_Active!$S$8:$T$8,CP$343),IF(ISNUMBER(Standards_Active!$M25),IF(AND(CP$343&gt;=Standards_Active!$C25,CP$343&lt;Standards_Active!$D25),(Standards_Active!$M25-INDEX($CJ360:$DI360,1,MATCH((Standards_Active!$C25-1),$CJ$343:$DI$343,FALSE)))/(Standards_Active!$D25-(Standards_Active!$C25-1))+CO360,Standards_Active!$M25*((1+Standards_Active!$O25)^(CP$343-Standards_Active!$D25))),TREND(Perform_Active!$S25:$T25,Perform_Active!$S$8:$T$8,CP$343))),)</f>
        <v>0</v>
      </c>
      <c r="CQ360" s="271">
        <f>IF(AND(Tech_Specs!$E24="step",Standards_Active!$E25="yes"),IF(CQ$343&lt;Standards_Active!$C25,TREND(Perform_Active!$S25:$T25,Perform_Active!$S$8:$T$8,CQ$343),IF(ISNUMBER(Standards_Active!$M25),IF(AND(CQ$343&gt;=Standards_Active!$C25,CQ$343&lt;Standards_Active!$D25),(Standards_Active!$M25-INDEX($CJ360:$DI360,1,MATCH((Standards_Active!$C25-1),$CJ$343:$DI$343,FALSE)))/(Standards_Active!$D25-(Standards_Active!$C25-1))+CP360,Standards_Active!$M25*((1+Standards_Active!$O25)^(CQ$343-Standards_Active!$D25))),TREND(Perform_Active!$S25:$T25,Perform_Active!$S$8:$T$8,CQ$343))),)</f>
        <v>0</v>
      </c>
      <c r="CR360" s="271">
        <f>IF(AND(Tech_Specs!$E24="step",Standards_Active!$E25="yes"),IF(CR$343&lt;Standards_Active!$C25,TREND(Perform_Active!$S25:$T25,Perform_Active!$S$8:$T$8,CR$343),IF(ISNUMBER(Standards_Active!$M25),IF(AND(CR$343&gt;=Standards_Active!$C25,CR$343&lt;Standards_Active!$D25),(Standards_Active!$M25-INDEX($CJ360:$DI360,1,MATCH((Standards_Active!$C25-1),$CJ$343:$DI$343,FALSE)))/(Standards_Active!$D25-(Standards_Active!$C25-1))+CQ360,Standards_Active!$M25*((1+Standards_Active!$O25)^(CR$343-Standards_Active!$D25))),TREND(Perform_Active!$S25:$T25,Perform_Active!$S$8:$T$8,CR$343))),)</f>
        <v>0</v>
      </c>
      <c r="CS360" s="271">
        <f>IF(AND(Tech_Specs!$E24="step",Standards_Active!$E25="yes"),IF(CS$343&lt;Standards_Active!$C25,TREND(Perform_Active!$S25:$T25,Perform_Active!$S$8:$T$8,CS$343),IF(ISNUMBER(Standards_Active!$M25),IF(AND(CS$343&gt;=Standards_Active!$C25,CS$343&lt;Standards_Active!$D25),(Standards_Active!$M25-INDEX($CJ360:$DI360,1,MATCH((Standards_Active!$C25-1),$CJ$343:$DI$343,FALSE)))/(Standards_Active!$D25-(Standards_Active!$C25-1))+CR360,Standards_Active!$M25*((1+Standards_Active!$O25)^(CS$343-Standards_Active!$D25))),TREND(Perform_Active!$S25:$T25,Perform_Active!$S$8:$T$8,CS$343))),)</f>
        <v>0</v>
      </c>
      <c r="CT360" s="271">
        <f>IF(AND(Tech_Specs!$E24="step",Standards_Active!$E25="yes"),IF(CT$343&lt;Standards_Active!$C25,TREND(Perform_Active!$S25:$T25,Perform_Active!$S$8:$T$8,CT$343),IF(ISNUMBER(Standards_Active!$M25),IF(AND(CT$343&gt;=Standards_Active!$C25,CT$343&lt;Standards_Active!$D25),(Standards_Active!$M25-INDEX($CJ360:$DI360,1,MATCH((Standards_Active!$C25-1),$CJ$343:$DI$343,FALSE)))/(Standards_Active!$D25-(Standards_Active!$C25-1))+CS360,Standards_Active!$M25*((1+Standards_Active!$O25)^(CT$343-Standards_Active!$D25))),TREND(Perform_Active!$S25:$T25,Perform_Active!$S$8:$T$8,CT$343))),)</f>
        <v>0</v>
      </c>
      <c r="CU360" s="271">
        <f>IF(AND(Tech_Specs!$E24="step",Standards_Active!$E25="yes"),IF(CU$343&lt;Standards_Active!$C25,TREND(Perform_Active!$S25:$T25,Perform_Active!$S$8:$T$8,CU$343),IF(ISNUMBER(Standards_Active!$M25),IF(AND(CU$343&gt;=Standards_Active!$C25,CU$343&lt;Standards_Active!$D25),(Standards_Active!$M25-INDEX($CJ360:$DI360,1,MATCH((Standards_Active!$C25-1),$CJ$343:$DI$343,FALSE)))/(Standards_Active!$D25-(Standards_Active!$C25-1))+CT360,Standards_Active!$M25*((1+Standards_Active!$O25)^(CU$343-Standards_Active!$D25))),TREND(Perform_Active!$S25:$T25,Perform_Active!$S$8:$T$8,CU$343))),)</f>
        <v>0</v>
      </c>
      <c r="CV360" s="271">
        <f>IF(AND(Tech_Specs!$E24="step",Standards_Active!$E25="yes"),IF(CV$343&lt;Standards_Active!$C25,TREND(Perform_Active!$S25:$T25,Perform_Active!$S$8:$T$8,CV$343),IF(ISNUMBER(Standards_Active!$M25),IF(AND(CV$343&gt;=Standards_Active!$C25,CV$343&lt;Standards_Active!$D25),(Standards_Active!$M25-INDEX($CJ360:$DI360,1,MATCH((Standards_Active!$C25-1),$CJ$343:$DI$343,FALSE)))/(Standards_Active!$D25-(Standards_Active!$C25-1))+CU360,Standards_Active!$M25*((1+Standards_Active!$O25)^(CV$343-Standards_Active!$D25))),TREND(Perform_Active!$S25:$T25,Perform_Active!$S$8:$T$8,CV$343))),)</f>
        <v>0</v>
      </c>
      <c r="CW360" s="271">
        <f>IF(AND(Tech_Specs!$E24="step",Standards_Active!$E25="yes"),IF(CW$343&lt;Standards_Active!$C25,TREND(Perform_Active!$S25:$T25,Perform_Active!$S$8:$T$8,CW$343),IF(ISNUMBER(Standards_Active!$M25),IF(AND(CW$343&gt;=Standards_Active!$C25,CW$343&lt;Standards_Active!$D25),(Standards_Active!$M25-INDEX($CJ360:$DI360,1,MATCH((Standards_Active!$C25-1),$CJ$343:$DI$343,FALSE)))/(Standards_Active!$D25-(Standards_Active!$C25-1))+CV360,Standards_Active!$M25*((1+Standards_Active!$O25)^(CW$343-Standards_Active!$D25))),TREND(Perform_Active!$S25:$T25,Perform_Active!$S$8:$T$8,CW$343))),)</f>
        <v>0</v>
      </c>
      <c r="CX360" s="271">
        <f>IF(AND(Tech_Specs!$E24="step",Standards_Active!$E25="yes"),IF(CX$343&lt;Standards_Active!$C25,TREND(Perform_Active!$S25:$T25,Perform_Active!$S$8:$T$8,CX$343),IF(ISNUMBER(Standards_Active!$M25),IF(AND(CX$343&gt;=Standards_Active!$C25,CX$343&lt;Standards_Active!$D25),(Standards_Active!$M25-INDEX($CJ360:$DI360,1,MATCH((Standards_Active!$C25-1),$CJ$343:$DI$343,FALSE)))/(Standards_Active!$D25-(Standards_Active!$C25-1))+CW360,Standards_Active!$M25*((1+Standards_Active!$O25)^(CX$343-Standards_Active!$D25))),TREND(Perform_Active!$S25:$T25,Perform_Active!$S$8:$T$8,CX$343))),)</f>
        <v>0</v>
      </c>
      <c r="CY360" s="271">
        <f>IF(AND(Tech_Specs!$E24="step",Standards_Active!$E25="yes"),IF(CY$343&lt;Standards_Active!$C25,TREND(Perform_Active!$S25:$T25,Perform_Active!$S$8:$T$8,CY$343),IF(ISNUMBER(Standards_Active!$M25),IF(AND(CY$343&gt;=Standards_Active!$C25,CY$343&lt;Standards_Active!$D25),(Standards_Active!$M25-INDEX($CJ360:$DI360,1,MATCH((Standards_Active!$C25-1),$CJ$343:$DI$343,FALSE)))/(Standards_Active!$D25-(Standards_Active!$C25-1))+CX360,Standards_Active!$M25*((1+Standards_Active!$O25)^(CY$343-Standards_Active!$D25))),TREND(Perform_Active!$S25:$T25,Perform_Active!$S$8:$T$8,CY$343))),)</f>
        <v>0</v>
      </c>
      <c r="CZ360" s="271">
        <f>IF(AND(Tech_Specs!$E24="step",Standards_Active!$E25="yes"),IF(CZ$343&lt;Standards_Active!$C25,TREND(Perform_Active!$S25:$T25,Perform_Active!$S$8:$T$8,CZ$343),IF(ISNUMBER(Standards_Active!$M25),IF(AND(CZ$343&gt;=Standards_Active!$C25,CZ$343&lt;Standards_Active!$D25),(Standards_Active!$M25-INDEX($CJ360:$DI360,1,MATCH((Standards_Active!$C25-1),$CJ$343:$DI$343,FALSE)))/(Standards_Active!$D25-(Standards_Active!$C25-1))+CY360,Standards_Active!$M25*((1+Standards_Active!$O25)^(CZ$343-Standards_Active!$D25))),TREND(Perform_Active!$S25:$T25,Perform_Active!$S$8:$T$8,CZ$343))),)</f>
        <v>0</v>
      </c>
      <c r="DA360" s="271">
        <f>IF(AND(Tech_Specs!$E24="step",Standards_Active!$E25="yes"),IF(DA$343&lt;Standards_Active!$C25,TREND(Perform_Active!$S25:$T25,Perform_Active!$S$8:$T$8,DA$343),IF(ISNUMBER(Standards_Active!$M25),IF(AND(DA$343&gt;=Standards_Active!$C25,DA$343&lt;Standards_Active!$D25),(Standards_Active!$M25-INDEX($CJ360:$DI360,1,MATCH((Standards_Active!$C25-1),$CJ$343:$DI$343,FALSE)))/(Standards_Active!$D25-(Standards_Active!$C25-1))+CZ360,Standards_Active!$M25*((1+Standards_Active!$O25)^(DA$343-Standards_Active!$D25))),TREND(Perform_Active!$S25:$T25,Perform_Active!$S$8:$T$8,DA$343))),)</f>
        <v>0</v>
      </c>
      <c r="DB360" s="271">
        <f>IF(AND(Tech_Specs!$E24="step",Standards_Active!$E25="yes"),IF(DB$343&lt;Standards_Active!$C25,TREND(Perform_Active!$S25:$T25,Perform_Active!$S$8:$T$8,DB$343),IF(ISNUMBER(Standards_Active!$M25),IF(AND(DB$343&gt;=Standards_Active!$C25,DB$343&lt;Standards_Active!$D25),(Standards_Active!$M25-INDEX($CJ360:$DI360,1,MATCH((Standards_Active!$C25-1),$CJ$343:$DI$343,FALSE)))/(Standards_Active!$D25-(Standards_Active!$C25-1))+DA360,Standards_Active!$M25*((1+Standards_Active!$O25)^(DB$343-Standards_Active!$D25))),TREND(Perform_Active!$S25:$T25,Perform_Active!$S$8:$T$8,DB$343))),)</f>
        <v>0</v>
      </c>
      <c r="DC360" s="271">
        <f>IF(AND(Tech_Specs!$E24="step",Standards_Active!$E25="yes"),IF(DC$343&lt;Standards_Active!$C25,TREND(Perform_Active!$S25:$T25,Perform_Active!$S$8:$T$8,DC$343),IF(ISNUMBER(Standards_Active!$M25),IF(AND(DC$343&gt;=Standards_Active!$C25,DC$343&lt;Standards_Active!$D25),(Standards_Active!$M25-INDEX($CJ360:$DI360,1,MATCH((Standards_Active!$C25-1),$CJ$343:$DI$343,FALSE)))/(Standards_Active!$D25-(Standards_Active!$C25-1))+DB360,Standards_Active!$M25*((1+Standards_Active!$O25)^(DC$343-Standards_Active!$D25))),TREND(Perform_Active!$S25:$T25,Perform_Active!$S$8:$T$8,DC$343))),)</f>
        <v>0</v>
      </c>
      <c r="DD360" s="271">
        <f>IF(AND(Tech_Specs!$E24="step",Standards_Active!$E25="yes"),IF(DD$343&lt;Standards_Active!$C25,TREND(Perform_Active!$S25:$T25,Perform_Active!$S$8:$T$8,DD$343),IF(ISNUMBER(Standards_Active!$M25),IF(AND(DD$343&gt;=Standards_Active!$C25,DD$343&lt;Standards_Active!$D25),(Standards_Active!$M25-INDEX($CJ360:$DI360,1,MATCH((Standards_Active!$C25-1),$CJ$343:$DI$343,FALSE)))/(Standards_Active!$D25-(Standards_Active!$C25-1))+DC360,Standards_Active!$M25*((1+Standards_Active!$O25)^(DD$343-Standards_Active!$D25))),TREND(Perform_Active!$S25:$T25,Perform_Active!$S$8:$T$8,DD$343))),)</f>
        <v>0</v>
      </c>
      <c r="DE360" s="271">
        <f>IF(AND(Tech_Specs!$E24="step",Standards_Active!$E25="yes"),IF(DE$343&lt;Standards_Active!$C25,TREND(Perform_Active!$S25:$T25,Perform_Active!$S$8:$T$8,DE$343),IF(ISNUMBER(Standards_Active!$M25),IF(AND(DE$343&gt;=Standards_Active!$C25,DE$343&lt;Standards_Active!$D25),(Standards_Active!$M25-INDEX($CJ360:$DI360,1,MATCH((Standards_Active!$C25-1),$CJ$343:$DI$343,FALSE)))/(Standards_Active!$D25-(Standards_Active!$C25-1))+DD360,Standards_Active!$M25*((1+Standards_Active!$O25)^(DE$343-Standards_Active!$D25))),TREND(Perform_Active!$S25:$T25,Perform_Active!$S$8:$T$8,DE$343))),)</f>
        <v>0</v>
      </c>
      <c r="DF360" s="271">
        <f>IF(AND(Tech_Specs!$E24="step",Standards_Active!$E25="yes"),IF(DF$343&lt;Standards_Active!$C25,TREND(Perform_Active!$S25:$T25,Perform_Active!$S$8:$T$8,DF$343),IF(ISNUMBER(Standards_Active!$M25),IF(AND(DF$343&gt;=Standards_Active!$C25,DF$343&lt;Standards_Active!$D25),(Standards_Active!$M25-INDEX($CJ360:$DI360,1,MATCH((Standards_Active!$C25-1),$CJ$343:$DI$343,FALSE)))/(Standards_Active!$D25-(Standards_Active!$C25-1))+DE360,Standards_Active!$M25*((1+Standards_Active!$O25)^(DF$343-Standards_Active!$D25))),TREND(Perform_Active!$S25:$T25,Perform_Active!$S$8:$T$8,DF$343))),)</f>
        <v>0</v>
      </c>
      <c r="DG360" s="271">
        <f>IF(AND(Tech_Specs!$E24="step",Standards_Active!$E25="yes"),IF(DG$343&lt;Standards_Active!$C25,TREND(Perform_Active!$S25:$T25,Perform_Active!$S$8:$T$8,DG$343),IF(ISNUMBER(Standards_Active!$M25),IF(AND(DG$343&gt;=Standards_Active!$C25,DG$343&lt;Standards_Active!$D25),(Standards_Active!$M25-INDEX($CJ360:$DI360,1,MATCH((Standards_Active!$C25-1),$CJ$343:$DI$343,FALSE)))/(Standards_Active!$D25-(Standards_Active!$C25-1))+DF360,Standards_Active!$M25*((1+Standards_Active!$O25)^(DG$343-Standards_Active!$D25))),TREND(Perform_Active!$S25:$T25,Perform_Active!$S$8:$T$8,DG$343))),)</f>
        <v>0</v>
      </c>
      <c r="DH360" s="271">
        <f>IF(AND(Tech_Specs!$E24="step",Standards_Active!$E25="yes"),IF(DH$343&lt;Standards_Active!$C25,TREND(Perform_Active!$S25:$T25,Perform_Active!$S$8:$T$8,DH$343),IF(ISNUMBER(Standards_Active!$M25),IF(AND(DH$343&gt;=Standards_Active!$C25,DH$343&lt;Standards_Active!$D25),(Standards_Active!$M25-INDEX($CJ360:$DI360,1,MATCH((Standards_Active!$C25-1),$CJ$343:$DI$343,FALSE)))/(Standards_Active!$D25-(Standards_Active!$C25-1))+DG360,Standards_Active!$M25*((1+Standards_Active!$O25)^(DH$343-Standards_Active!$D25))),TREND(Perform_Active!$S25:$T25,Perform_Active!$S$8:$T$8,DH$343))),)</f>
        <v>0</v>
      </c>
      <c r="DI360" s="271">
        <f>IF(AND(Tech_Specs!$E24="step",Standards_Active!$E25="yes"),IF(DI$343&lt;Standards_Active!$C25,TREND(Perform_Active!$S25:$T25,Perform_Active!$S$8:$T$8,DI$343),IF(ISNUMBER(Standards_Active!$M25),IF(AND(DI$343&gt;=Standards_Active!$C25,DI$343&lt;Standards_Active!$D25),(Standards_Active!$M25-INDEX($CJ360:$DI360,1,MATCH((Standards_Active!$C25-1),$CJ$343:$DI$343,FALSE)))/(Standards_Active!$D25-(Standards_Active!$C25-1))+DH360,Standards_Active!$M25*((1+Standards_Active!$O25)^(DI$343-Standards_Active!$D25))),TREND(Perform_Active!$S25:$T25,Perform_Active!$S$8:$T$8,DI$343))),)</f>
        <v>0</v>
      </c>
    </row>
    <row r="361" spans="1:113" s="302" customFormat="1" ht="12.75" x14ac:dyDescent="0.2">
      <c r="D361" s="550"/>
      <c r="E361" s="550"/>
      <c r="F361" s="550"/>
      <c r="G361" s="341"/>
      <c r="H361" s="341"/>
      <c r="I361" s="341"/>
      <c r="J361" s="341"/>
      <c r="K361" s="341"/>
      <c r="L361" s="341"/>
      <c r="M361" s="341"/>
      <c r="N361" s="341"/>
      <c r="O361" s="341"/>
      <c r="P361" s="341"/>
      <c r="Q361" s="341"/>
      <c r="R361" s="341"/>
      <c r="S361" s="341"/>
      <c r="T361" s="341"/>
      <c r="U361" s="341"/>
      <c r="V361" s="341"/>
      <c r="W361" s="341"/>
      <c r="X361" s="341"/>
      <c r="Y361" s="341"/>
      <c r="Z361" s="341"/>
      <c r="AA361" s="341"/>
      <c r="AB361" s="341"/>
      <c r="AC361" s="341"/>
      <c r="AD361" s="341"/>
      <c r="AE361" s="341"/>
      <c r="AF361" s="341"/>
      <c r="AH361" s="341"/>
      <c r="AI361" s="341"/>
      <c r="AJ361" s="341"/>
      <c r="AK361" s="341"/>
      <c r="AL361" s="341"/>
      <c r="AM361" s="341"/>
      <c r="AN361" s="341"/>
      <c r="AO361" s="341"/>
      <c r="AP361" s="341"/>
      <c r="AQ361" s="341"/>
      <c r="AR361" s="341"/>
      <c r="AS361" s="341"/>
      <c r="AT361" s="341"/>
      <c r="AU361" s="341"/>
      <c r="AV361" s="341"/>
      <c r="AW361" s="341"/>
      <c r="AX361" s="341"/>
      <c r="AY361" s="341"/>
      <c r="AZ361" s="341"/>
      <c r="BA361" s="341"/>
      <c r="BB361" s="341"/>
      <c r="BC361" s="341"/>
      <c r="BD361" s="341"/>
      <c r="BE361" s="341"/>
      <c r="BF361" s="341"/>
      <c r="BG361" s="341"/>
      <c r="BI361" s="341"/>
      <c r="BJ361" s="341"/>
      <c r="BK361" s="341"/>
      <c r="BL361" s="341"/>
      <c r="BM361" s="341"/>
      <c r="BN361" s="341"/>
      <c r="BO361" s="341"/>
      <c r="BP361" s="341"/>
      <c r="BQ361" s="341"/>
      <c r="BR361" s="341"/>
      <c r="BS361" s="341"/>
      <c r="BT361" s="341"/>
      <c r="BU361" s="341"/>
      <c r="BV361" s="341"/>
      <c r="BW361" s="341"/>
      <c r="BX361" s="341"/>
      <c r="BY361" s="341"/>
      <c r="BZ361" s="341"/>
      <c r="CA361" s="341"/>
      <c r="CB361" s="341"/>
      <c r="CC361" s="341"/>
      <c r="CD361" s="341"/>
      <c r="CE361" s="341"/>
      <c r="CF361" s="341"/>
      <c r="CG361" s="341"/>
      <c r="CH361" s="341"/>
      <c r="CJ361" s="341"/>
      <c r="CK361" s="341"/>
      <c r="CL361" s="341"/>
      <c r="CM361" s="341"/>
      <c r="CN361" s="341"/>
      <c r="CO361" s="341"/>
      <c r="CP361" s="341"/>
      <c r="CQ361" s="341"/>
      <c r="CR361" s="341"/>
      <c r="CS361" s="341"/>
      <c r="CT361" s="341"/>
      <c r="CU361" s="341"/>
      <c r="CV361" s="341"/>
      <c r="CW361" s="341"/>
      <c r="CX361" s="341"/>
      <c r="CY361" s="341"/>
      <c r="CZ361" s="341"/>
      <c r="DA361" s="341"/>
      <c r="DB361" s="341"/>
      <c r="DC361" s="341"/>
      <c r="DD361" s="341"/>
      <c r="DE361" s="341"/>
      <c r="DF361" s="341"/>
      <c r="DG361" s="341"/>
      <c r="DH361" s="341"/>
      <c r="DI361" s="341"/>
    </row>
    <row r="362" spans="1:113" s="302" customFormat="1" ht="12.75" x14ac:dyDescent="0.2">
      <c r="A362" s="305" t="s">
        <v>42</v>
      </c>
      <c r="B362" s="304"/>
      <c r="C362" s="304"/>
      <c r="D362" s="501"/>
      <c r="E362" s="501"/>
      <c r="F362" s="501"/>
      <c r="G362" s="320"/>
      <c r="H362" s="320"/>
      <c r="I362" s="320"/>
      <c r="J362" s="320"/>
      <c r="K362" s="320"/>
      <c r="L362" s="320"/>
      <c r="M362" s="320"/>
      <c r="N362" s="320"/>
      <c r="O362" s="320"/>
      <c r="P362" s="320"/>
      <c r="Q362" s="320"/>
      <c r="R362" s="320"/>
      <c r="S362" s="320"/>
      <c r="T362" s="320"/>
      <c r="U362" s="320"/>
      <c r="V362" s="320"/>
      <c r="W362" s="320"/>
      <c r="X362" s="320"/>
      <c r="Y362" s="320"/>
      <c r="Z362" s="320"/>
      <c r="AA362" s="320"/>
      <c r="AB362" s="320"/>
      <c r="AC362" s="320"/>
      <c r="AD362" s="320"/>
      <c r="AE362" s="320"/>
      <c r="AF362" s="320"/>
      <c r="AH362" s="320"/>
      <c r="AI362" s="320"/>
      <c r="AJ362" s="320"/>
      <c r="AK362" s="320"/>
      <c r="AL362" s="320"/>
      <c r="AM362" s="320"/>
      <c r="AN362" s="320"/>
      <c r="AO362" s="320"/>
      <c r="AP362" s="320"/>
      <c r="AQ362" s="320"/>
      <c r="AR362" s="320"/>
      <c r="AS362" s="320"/>
      <c r="AT362" s="320"/>
      <c r="AU362" s="320"/>
      <c r="AV362" s="320"/>
      <c r="AW362" s="320"/>
      <c r="AX362" s="320"/>
      <c r="AY362" s="320"/>
      <c r="AZ362" s="320"/>
      <c r="BA362" s="320"/>
      <c r="BB362" s="320"/>
      <c r="BC362" s="320"/>
      <c r="BD362" s="320"/>
      <c r="BE362" s="320"/>
      <c r="BF362" s="320"/>
      <c r="BG362" s="320"/>
      <c r="BI362" s="320"/>
      <c r="BJ362" s="320"/>
      <c r="BK362" s="320"/>
      <c r="BL362" s="320"/>
      <c r="BM362" s="320"/>
      <c r="BN362" s="320"/>
      <c r="BO362" s="320"/>
      <c r="BP362" s="320"/>
      <c r="BQ362" s="320"/>
      <c r="BR362" s="320"/>
      <c r="BS362" s="320"/>
      <c r="BT362" s="320"/>
      <c r="BU362" s="320"/>
      <c r="BV362" s="320"/>
      <c r="BW362" s="320"/>
      <c r="BX362" s="320"/>
      <c r="BY362" s="320"/>
      <c r="BZ362" s="320"/>
      <c r="CA362" s="320"/>
      <c r="CB362" s="320"/>
      <c r="CC362" s="320"/>
      <c r="CD362" s="320"/>
      <c r="CE362" s="320"/>
      <c r="CF362" s="320"/>
      <c r="CG362" s="320"/>
      <c r="CH362" s="320"/>
      <c r="CJ362" s="320"/>
      <c r="CK362" s="320"/>
      <c r="CL362" s="320"/>
      <c r="CM362" s="320"/>
      <c r="CN362" s="320"/>
      <c r="CO362" s="320"/>
      <c r="CP362" s="320"/>
      <c r="CQ362" s="320"/>
      <c r="CR362" s="320"/>
      <c r="CS362" s="320"/>
      <c r="CT362" s="320"/>
      <c r="CU362" s="320"/>
      <c r="CV362" s="320"/>
      <c r="CW362" s="320"/>
      <c r="CX362" s="320"/>
      <c r="CY362" s="320"/>
      <c r="CZ362" s="320"/>
      <c r="DA362" s="320"/>
      <c r="DB362" s="320"/>
      <c r="DC362" s="320"/>
      <c r="DD362" s="320"/>
      <c r="DE362" s="320"/>
      <c r="DF362" s="320"/>
      <c r="DG362" s="320"/>
      <c r="DH362" s="320"/>
      <c r="DI362" s="320"/>
    </row>
    <row r="363" spans="1:113" s="302" customFormat="1" ht="12.75" x14ac:dyDescent="0.2">
      <c r="B363" s="306" t="s">
        <v>43</v>
      </c>
      <c r="C363" s="306"/>
      <c r="D363" s="552"/>
      <c r="E363" s="552"/>
      <c r="F363" s="552"/>
      <c r="G363" s="272">
        <f t="shared" ref="G363:P367" si="60">SUM(AH363,BI363,CJ363)</f>
        <v>18.400000000000006</v>
      </c>
      <c r="H363" s="272">
        <f t="shared" si="60"/>
        <v>18.307999999999993</v>
      </c>
      <c r="I363" s="272">
        <f t="shared" si="60"/>
        <v>18.216000000000008</v>
      </c>
      <c r="J363" s="272">
        <f t="shared" si="60"/>
        <v>18.123999999999995</v>
      </c>
      <c r="K363" s="272">
        <f t="shared" si="60"/>
        <v>18.032000000000011</v>
      </c>
      <c r="L363" s="272">
        <f t="shared" si="60"/>
        <v>17.939999999999998</v>
      </c>
      <c r="M363" s="272">
        <f t="shared" si="60"/>
        <v>17.847999999999985</v>
      </c>
      <c r="N363" s="272">
        <f t="shared" si="60"/>
        <v>17.756</v>
      </c>
      <c r="O363" s="272">
        <f t="shared" si="60"/>
        <v>17.663999999999987</v>
      </c>
      <c r="P363" s="272">
        <f t="shared" si="60"/>
        <v>17.572000000000003</v>
      </c>
      <c r="Q363" s="272">
        <f t="shared" ref="Q363:Z367" si="61">SUM(AR363,BS363,CT363)</f>
        <v>17.47999999999999</v>
      </c>
      <c r="R363" s="272">
        <f t="shared" si="61"/>
        <v>17.388000000000005</v>
      </c>
      <c r="S363" s="272">
        <f t="shared" si="61"/>
        <v>17.295999999999992</v>
      </c>
      <c r="T363" s="272">
        <f t="shared" si="61"/>
        <v>17.204000000000008</v>
      </c>
      <c r="U363" s="272">
        <f t="shared" si="61"/>
        <v>17.111999999999995</v>
      </c>
      <c r="V363" s="272">
        <f t="shared" si="61"/>
        <v>17.02000000000001</v>
      </c>
      <c r="W363" s="272">
        <f t="shared" si="61"/>
        <v>16.927999999999997</v>
      </c>
      <c r="X363" s="272">
        <f t="shared" si="61"/>
        <v>16.835999999999984</v>
      </c>
      <c r="Y363" s="272">
        <f t="shared" si="61"/>
        <v>16.744</v>
      </c>
      <c r="Z363" s="272">
        <f t="shared" si="61"/>
        <v>16.651999999999987</v>
      </c>
      <c r="AA363" s="272">
        <f t="shared" ref="AA363:AF367" si="62">SUM(BB363,CC363,DD363)</f>
        <v>16.560000000000002</v>
      </c>
      <c r="AB363" s="272">
        <f t="shared" si="62"/>
        <v>16.467999999999989</v>
      </c>
      <c r="AC363" s="272">
        <f t="shared" si="62"/>
        <v>16.376000000000005</v>
      </c>
      <c r="AD363" s="272">
        <f t="shared" si="62"/>
        <v>16.283999999999992</v>
      </c>
      <c r="AE363" s="272">
        <f t="shared" si="62"/>
        <v>16.192000000000007</v>
      </c>
      <c r="AF363" s="272">
        <f t="shared" si="62"/>
        <v>16.099999999999994</v>
      </c>
      <c r="AH363" s="271">
        <f>IF(Tech_Specs!$E27="linear",TREND(Perform_Active!$S28:$T28,Perform_Active!$S$8:$T$8,AH$343),)</f>
        <v>18.400000000000006</v>
      </c>
      <c r="AI363" s="271">
        <f>IF(Tech_Specs!$E27="linear",TREND(Perform_Active!$S28:$T28,Perform_Active!$S$8:$T$8,AI$343),)</f>
        <v>18.307999999999993</v>
      </c>
      <c r="AJ363" s="271">
        <f>IF(Tech_Specs!$E27="linear",TREND(Perform_Active!$S28:$T28,Perform_Active!$S$8:$T$8,AJ$343),)</f>
        <v>18.216000000000008</v>
      </c>
      <c r="AK363" s="271">
        <f>IF(Tech_Specs!$E27="linear",TREND(Perform_Active!$S28:$T28,Perform_Active!$S$8:$T$8,AK$343),)</f>
        <v>18.123999999999995</v>
      </c>
      <c r="AL363" s="271">
        <f>IF(Tech_Specs!$E27="linear",TREND(Perform_Active!$S28:$T28,Perform_Active!$S$8:$T$8,AL$343),)</f>
        <v>18.032000000000011</v>
      </c>
      <c r="AM363" s="271">
        <f>IF(Tech_Specs!$E27="linear",TREND(Perform_Active!$S28:$T28,Perform_Active!$S$8:$T$8,AM$343),)</f>
        <v>17.939999999999998</v>
      </c>
      <c r="AN363" s="271">
        <f>IF(Tech_Specs!$E27="linear",TREND(Perform_Active!$S28:$T28,Perform_Active!$S$8:$T$8,AN$343),)</f>
        <v>17.847999999999985</v>
      </c>
      <c r="AO363" s="271">
        <f>IF(Tech_Specs!$E27="linear",TREND(Perform_Active!$S28:$T28,Perform_Active!$S$8:$T$8,AO$343),)</f>
        <v>17.756</v>
      </c>
      <c r="AP363" s="271">
        <f>IF(Tech_Specs!$E27="linear",TREND(Perform_Active!$S28:$T28,Perform_Active!$S$8:$T$8,AP$343),)</f>
        <v>17.663999999999987</v>
      </c>
      <c r="AQ363" s="271">
        <f>IF(Tech_Specs!$E27="linear",TREND(Perform_Active!$S28:$T28,Perform_Active!$S$8:$T$8,AQ$343),)</f>
        <v>17.572000000000003</v>
      </c>
      <c r="AR363" s="271">
        <f>IF(Tech_Specs!$E27="linear",TREND(Perform_Active!$S28:$T28,Perform_Active!$S$8:$T$8,AR$343),)</f>
        <v>17.47999999999999</v>
      </c>
      <c r="AS363" s="271">
        <f>IF(Tech_Specs!$E27="linear",TREND(Perform_Active!$S28:$T28,Perform_Active!$S$8:$T$8,AS$343),)</f>
        <v>17.388000000000005</v>
      </c>
      <c r="AT363" s="271">
        <f>IF(Tech_Specs!$E27="linear",TREND(Perform_Active!$S28:$T28,Perform_Active!$S$8:$T$8,AT$343),)</f>
        <v>17.295999999999992</v>
      </c>
      <c r="AU363" s="271">
        <f>IF(Tech_Specs!$E27="linear",TREND(Perform_Active!$S28:$T28,Perform_Active!$S$8:$T$8,AU$343),)</f>
        <v>17.204000000000008</v>
      </c>
      <c r="AV363" s="271">
        <f>IF(Tech_Specs!$E27="linear",TREND(Perform_Active!$S28:$T28,Perform_Active!$S$8:$T$8,AV$343),)</f>
        <v>17.111999999999995</v>
      </c>
      <c r="AW363" s="271">
        <f>IF(Tech_Specs!$E27="linear",TREND(Perform_Active!$S28:$T28,Perform_Active!$S$8:$T$8,AW$343),)</f>
        <v>17.02000000000001</v>
      </c>
      <c r="AX363" s="271">
        <f>IF(Tech_Specs!$E27="linear",TREND(Perform_Active!$S28:$T28,Perform_Active!$S$8:$T$8,AX$343),)</f>
        <v>16.927999999999997</v>
      </c>
      <c r="AY363" s="271">
        <f>IF(Tech_Specs!$E27="linear",TREND(Perform_Active!$S28:$T28,Perform_Active!$S$8:$T$8,AY$343),)</f>
        <v>16.835999999999984</v>
      </c>
      <c r="AZ363" s="271">
        <f>IF(Tech_Specs!$E27="linear",TREND(Perform_Active!$S28:$T28,Perform_Active!$S$8:$T$8,AZ$343),)</f>
        <v>16.744</v>
      </c>
      <c r="BA363" s="271">
        <f>IF(Tech_Specs!$E27="linear",TREND(Perform_Active!$S28:$T28,Perform_Active!$S$8:$T$8,BA$343),)</f>
        <v>16.651999999999987</v>
      </c>
      <c r="BB363" s="271">
        <f>IF(Tech_Specs!$E27="linear",TREND(Perform_Active!$S28:$T28,Perform_Active!$S$8:$T$8,BB$343),)</f>
        <v>16.560000000000002</v>
      </c>
      <c r="BC363" s="271">
        <f>IF(Tech_Specs!$E27="linear",TREND(Perform_Active!$S28:$T28,Perform_Active!$S$8:$T$8,BC$343),)</f>
        <v>16.467999999999989</v>
      </c>
      <c r="BD363" s="271">
        <f>IF(Tech_Specs!$E27="linear",TREND(Perform_Active!$S28:$T28,Perform_Active!$S$8:$T$8,BD$343),)</f>
        <v>16.376000000000005</v>
      </c>
      <c r="BE363" s="271">
        <f>IF(Tech_Specs!$E27="linear",TREND(Perform_Active!$S28:$T28,Perform_Active!$S$8:$T$8,BE$343),)</f>
        <v>16.283999999999992</v>
      </c>
      <c r="BF363" s="271">
        <f>IF(Tech_Specs!$E27="linear",TREND(Perform_Active!$S28:$T28,Perform_Active!$S$8:$T$8,BF$343),)</f>
        <v>16.192000000000007</v>
      </c>
      <c r="BG363" s="271">
        <f>IF(Tech_Specs!$E27="linear",TREND(Perform_Active!$S28:$T28,Perform_Active!$S$8:$T$8,BG$343),)</f>
        <v>16.099999999999994</v>
      </c>
      <c r="BI363" s="271">
        <f>IF(Tech_Specs!$E27="logistic",IF(Tech_Specs!$K27="lamp",Perform_SSL!G$14,Perform_SSL!G$15),)*Perform_Active!$I28/1000</f>
        <v>0</v>
      </c>
      <c r="BJ363" s="271">
        <f>IF(Tech_Specs!$E27="logistic",IF(Tech_Specs!$K27="lamp",Perform_SSL!H$14,Perform_SSL!H$15),)*Perform_Active!$I28/1000</f>
        <v>0</v>
      </c>
      <c r="BK363" s="271">
        <f>IF(Tech_Specs!$E27="logistic",IF(Tech_Specs!$K27="lamp",Perform_SSL!I$14,Perform_SSL!I$15),)*Perform_Active!$I28/1000</f>
        <v>0</v>
      </c>
      <c r="BL363" s="271">
        <f>IF(Tech_Specs!$E27="logistic",IF(Tech_Specs!$K27="lamp",Perform_SSL!J$14,Perform_SSL!J$15),)*Perform_Active!$I28/1000</f>
        <v>0</v>
      </c>
      <c r="BM363" s="271">
        <f>IF(Tech_Specs!$E27="logistic",IF(Tech_Specs!$K27="lamp",Perform_SSL!K$14,Perform_SSL!K$15),)*Perform_Active!$I28/1000</f>
        <v>0</v>
      </c>
      <c r="BN363" s="271">
        <f>IF(Tech_Specs!$E27="logistic",IF(Tech_Specs!$K27="lamp",Perform_SSL!L$14,Perform_SSL!L$15),)*Perform_Active!$I28/1000</f>
        <v>0</v>
      </c>
      <c r="BO363" s="271">
        <f>IF(Tech_Specs!$E27="logistic",IF(Tech_Specs!$K27="lamp",Perform_SSL!M$14,Perform_SSL!M$15),)*Perform_Active!$I28/1000</f>
        <v>0</v>
      </c>
      <c r="BP363" s="271">
        <f>IF(Tech_Specs!$E27="logistic",IF(Tech_Specs!$K27="lamp",Perform_SSL!N$14,Perform_SSL!N$15),)*Perform_Active!$I28/1000</f>
        <v>0</v>
      </c>
      <c r="BQ363" s="271">
        <f>IF(Tech_Specs!$E27="logistic",IF(Tech_Specs!$K27="lamp",Perform_SSL!O$14,Perform_SSL!O$15),)*Perform_Active!$I28/1000</f>
        <v>0</v>
      </c>
      <c r="BR363" s="271">
        <f>IF(Tech_Specs!$E27="logistic",IF(Tech_Specs!$K27="lamp",Perform_SSL!P$14,Perform_SSL!P$15),)*Perform_Active!$I28/1000</f>
        <v>0</v>
      </c>
      <c r="BS363" s="271">
        <f>IF(Tech_Specs!$E27="logistic",IF(Tech_Specs!$K27="lamp",Perform_SSL!Q$14,Perform_SSL!Q$15),)*Perform_Active!$I28/1000</f>
        <v>0</v>
      </c>
      <c r="BT363" s="271">
        <f>IF(Tech_Specs!$E27="logistic",IF(Tech_Specs!$K27="lamp",Perform_SSL!R$14,Perform_SSL!R$15),)*Perform_Active!$I28/1000</f>
        <v>0</v>
      </c>
      <c r="BU363" s="271">
        <f>IF(Tech_Specs!$E27="logistic",IF(Tech_Specs!$K27="lamp",Perform_SSL!S$14,Perform_SSL!S$15),)*Perform_Active!$I28/1000</f>
        <v>0</v>
      </c>
      <c r="BV363" s="271">
        <f>IF(Tech_Specs!$E27="logistic",IF(Tech_Specs!$K27="lamp",Perform_SSL!T$14,Perform_SSL!T$15),)*Perform_Active!$I28/1000</f>
        <v>0</v>
      </c>
      <c r="BW363" s="271">
        <f>IF(Tech_Specs!$E27="logistic",IF(Tech_Specs!$K27="lamp",Perform_SSL!U$14,Perform_SSL!U$15),)*Perform_Active!$I28/1000</f>
        <v>0</v>
      </c>
      <c r="BX363" s="271">
        <f>IF(Tech_Specs!$E27="logistic",IF(Tech_Specs!$K27="lamp",Perform_SSL!V$14,Perform_SSL!V$15),)*Perform_Active!$I28/1000</f>
        <v>0</v>
      </c>
      <c r="BY363" s="271">
        <f>IF(Tech_Specs!$E27="logistic",IF(Tech_Specs!$K27="lamp",Perform_SSL!W$14,Perform_SSL!W$15),)*Perform_Active!$I28/1000</f>
        <v>0</v>
      </c>
      <c r="BZ363" s="271">
        <f>IF(Tech_Specs!$E27="logistic",IF(Tech_Specs!$K27="lamp",Perform_SSL!X$14,Perform_SSL!X$15),)*Perform_Active!$I28/1000</f>
        <v>0</v>
      </c>
      <c r="CA363" s="271">
        <f>IF(Tech_Specs!$E27="logistic",IF(Tech_Specs!$K27="lamp",Perform_SSL!Y$14,Perform_SSL!Y$15),)*Perform_Active!$I28/1000</f>
        <v>0</v>
      </c>
      <c r="CB363" s="271">
        <f>IF(Tech_Specs!$E27="logistic",IF(Tech_Specs!$K27="lamp",Perform_SSL!Z$14,Perform_SSL!Z$15),)*Perform_Active!$I28/1000</f>
        <v>0</v>
      </c>
      <c r="CC363" s="271">
        <f>IF(Tech_Specs!$E27="logistic",IF(Tech_Specs!$K27="lamp",Perform_SSL!AA$14,Perform_SSL!AA$15),)*Perform_Active!$I28/1000</f>
        <v>0</v>
      </c>
      <c r="CD363" s="271">
        <f>IF(Tech_Specs!$E27="logistic",IF(Tech_Specs!$K27="lamp",Perform_SSL!AB$14,Perform_SSL!AB$15),)*Perform_Active!$I28/1000</f>
        <v>0</v>
      </c>
      <c r="CE363" s="271">
        <f>IF(Tech_Specs!$E27="logistic",IF(Tech_Specs!$K27="lamp",Perform_SSL!AC$14,Perform_SSL!AC$15),)*Perform_Active!$I28/1000</f>
        <v>0</v>
      </c>
      <c r="CF363" s="271">
        <f>IF(Tech_Specs!$E27="logistic",IF(Tech_Specs!$K27="lamp",Perform_SSL!AD$14,Perform_SSL!AD$15),)*Perform_Active!$I28/1000</f>
        <v>0</v>
      </c>
      <c r="CG363" s="271">
        <f>IF(Tech_Specs!$E27="logistic",IF(Tech_Specs!$K27="lamp",Perform_SSL!AE$14,Perform_SSL!AE$15),)*Perform_Active!$I28/1000</f>
        <v>0</v>
      </c>
      <c r="CH363" s="271">
        <f>IF(Tech_Specs!$E27="logistic",IF(Tech_Specs!$K27="lamp",Perform_SSL!AF$14,Perform_SSL!AF$15),)*Perform_Active!$I28/1000</f>
        <v>0</v>
      </c>
      <c r="CJ363" s="271">
        <f>IF(AND(Tech_Specs!$E27="step",Standards_Active!$E28="yes"),IF(CJ$343&lt;Standards_Active!$C28,TREND(Perform_Active!$S28:$T28,Perform_Active!$S$8:$T$8,CJ$343),IF(ISNUMBER(Standards_Active!$M28),IF(AND(CJ$343&gt;=Standards_Active!$C28,CJ$343&lt;Standards_Active!$D28),(Standards_Active!$M28-INDEX($CJ363:$DI363,1,MATCH((Standards_Active!$C28-1),$CJ$343:$DI$343,FALSE)))/(Standards_Active!$D28-(Standards_Active!$C28-1))+CI363,Standards_Active!$M28*((1+Standards_Active!$O28)^(CJ$343-Standards_Active!$D28))),TREND(Perform_Active!$S28:$T28,Perform_Active!$S$8:$T$8,CJ$343))),)</f>
        <v>0</v>
      </c>
      <c r="CK363" s="271">
        <f>IF(AND(Tech_Specs!$E27="step",Standards_Active!$E28="yes"),IF(CK$343&lt;Standards_Active!$C28,TREND(Perform_Active!$S28:$T28,Perform_Active!$S$8:$T$8,CK$343),IF(ISNUMBER(Standards_Active!$M28),IF(AND(CK$343&gt;=Standards_Active!$C28,CK$343&lt;Standards_Active!$D28),(Standards_Active!$M28-INDEX($CJ363:$DI363,1,MATCH((Standards_Active!$C28-1),$CJ$343:$DI$343,FALSE)))/(Standards_Active!$D28-(Standards_Active!$C28-1))+CJ363,Standards_Active!$M28*((1+Standards_Active!$O28)^(CK$343-Standards_Active!$D28))),TREND(Perform_Active!$S28:$T28,Perform_Active!$S$8:$T$8,CK$343))),)</f>
        <v>0</v>
      </c>
      <c r="CL363" s="271">
        <f>IF(AND(Tech_Specs!$E27="step",Standards_Active!$E28="yes"),IF(CL$343&lt;Standards_Active!$C28,TREND(Perform_Active!$S28:$T28,Perform_Active!$S$8:$T$8,CL$343),IF(ISNUMBER(Standards_Active!$M28),IF(AND(CL$343&gt;=Standards_Active!$C28,CL$343&lt;Standards_Active!$D28),(Standards_Active!$M28-INDEX($CJ363:$DI363,1,MATCH((Standards_Active!$C28-1),$CJ$343:$DI$343,FALSE)))/(Standards_Active!$D28-(Standards_Active!$C28-1))+CK363,Standards_Active!$M28*((1+Standards_Active!$O28)^(CL$343-Standards_Active!$D28))),TREND(Perform_Active!$S28:$T28,Perform_Active!$S$8:$T$8,CL$343))),)</f>
        <v>0</v>
      </c>
      <c r="CM363" s="271">
        <f>IF(AND(Tech_Specs!$E27="step",Standards_Active!$E28="yes"),IF(CM$343&lt;Standards_Active!$C28,TREND(Perform_Active!$S28:$T28,Perform_Active!$S$8:$T$8,CM$343),IF(ISNUMBER(Standards_Active!$M28),IF(AND(CM$343&gt;=Standards_Active!$C28,CM$343&lt;Standards_Active!$D28),(Standards_Active!$M28-INDEX($CJ363:$DI363,1,MATCH((Standards_Active!$C28-1),$CJ$343:$DI$343,FALSE)))/(Standards_Active!$D28-(Standards_Active!$C28-1))+CL363,Standards_Active!$M28*((1+Standards_Active!$O28)^(CM$343-Standards_Active!$D28))),TREND(Perform_Active!$S28:$T28,Perform_Active!$S$8:$T$8,CM$343))),)</f>
        <v>0</v>
      </c>
      <c r="CN363" s="271">
        <f>IF(AND(Tech_Specs!$E27="step",Standards_Active!$E28="yes"),IF(CN$343&lt;Standards_Active!$C28,TREND(Perform_Active!$S28:$T28,Perform_Active!$S$8:$T$8,CN$343),IF(ISNUMBER(Standards_Active!$M28),IF(AND(CN$343&gt;=Standards_Active!$C28,CN$343&lt;Standards_Active!$D28),(Standards_Active!$M28-INDEX($CJ363:$DI363,1,MATCH((Standards_Active!$C28-1),$CJ$343:$DI$343,FALSE)))/(Standards_Active!$D28-(Standards_Active!$C28-1))+CM363,Standards_Active!$M28*((1+Standards_Active!$O28)^(CN$343-Standards_Active!$D28))),TREND(Perform_Active!$S28:$T28,Perform_Active!$S$8:$T$8,CN$343))),)</f>
        <v>0</v>
      </c>
      <c r="CO363" s="271">
        <f>IF(AND(Tech_Specs!$E27="step",Standards_Active!$E28="yes"),IF(CO$343&lt;Standards_Active!$C28,TREND(Perform_Active!$S28:$T28,Perform_Active!$S$8:$T$8,CO$343),IF(ISNUMBER(Standards_Active!$M28),IF(AND(CO$343&gt;=Standards_Active!$C28,CO$343&lt;Standards_Active!$D28),(Standards_Active!$M28-INDEX($CJ363:$DI363,1,MATCH((Standards_Active!$C28-1),$CJ$343:$DI$343,FALSE)))/(Standards_Active!$D28-(Standards_Active!$C28-1))+CN363,Standards_Active!$M28*((1+Standards_Active!$O28)^(CO$343-Standards_Active!$D28))),TREND(Perform_Active!$S28:$T28,Perform_Active!$S$8:$T$8,CO$343))),)</f>
        <v>0</v>
      </c>
      <c r="CP363" s="271">
        <f>IF(AND(Tech_Specs!$E27="step",Standards_Active!$E28="yes"),IF(CP$343&lt;Standards_Active!$C28,TREND(Perform_Active!$S28:$T28,Perform_Active!$S$8:$T$8,CP$343),IF(ISNUMBER(Standards_Active!$M28),IF(AND(CP$343&gt;=Standards_Active!$C28,CP$343&lt;Standards_Active!$D28),(Standards_Active!$M28-INDEX($CJ363:$DI363,1,MATCH((Standards_Active!$C28-1),$CJ$343:$DI$343,FALSE)))/(Standards_Active!$D28-(Standards_Active!$C28-1))+CO363,Standards_Active!$M28*((1+Standards_Active!$O28)^(CP$343-Standards_Active!$D28))),TREND(Perform_Active!$S28:$T28,Perform_Active!$S$8:$T$8,CP$343))),)</f>
        <v>0</v>
      </c>
      <c r="CQ363" s="271">
        <f>IF(AND(Tech_Specs!$E27="step",Standards_Active!$E28="yes"),IF(CQ$343&lt;Standards_Active!$C28,TREND(Perform_Active!$S28:$T28,Perform_Active!$S$8:$T$8,CQ$343),IF(ISNUMBER(Standards_Active!$M28),IF(AND(CQ$343&gt;=Standards_Active!$C28,CQ$343&lt;Standards_Active!$D28),(Standards_Active!$M28-INDEX($CJ363:$DI363,1,MATCH((Standards_Active!$C28-1),$CJ$343:$DI$343,FALSE)))/(Standards_Active!$D28-(Standards_Active!$C28-1))+CP363,Standards_Active!$M28*((1+Standards_Active!$O28)^(CQ$343-Standards_Active!$D28))),TREND(Perform_Active!$S28:$T28,Perform_Active!$S$8:$T$8,CQ$343))),)</f>
        <v>0</v>
      </c>
      <c r="CR363" s="271">
        <f>IF(AND(Tech_Specs!$E27="step",Standards_Active!$E28="yes"),IF(CR$343&lt;Standards_Active!$C28,TREND(Perform_Active!$S28:$T28,Perform_Active!$S$8:$T$8,CR$343),IF(ISNUMBER(Standards_Active!$M28),IF(AND(CR$343&gt;=Standards_Active!$C28,CR$343&lt;Standards_Active!$D28),(Standards_Active!$M28-INDEX($CJ363:$DI363,1,MATCH((Standards_Active!$C28-1),$CJ$343:$DI$343,FALSE)))/(Standards_Active!$D28-(Standards_Active!$C28-1))+CQ363,Standards_Active!$M28*((1+Standards_Active!$O28)^(CR$343-Standards_Active!$D28))),TREND(Perform_Active!$S28:$T28,Perform_Active!$S$8:$T$8,CR$343))),)</f>
        <v>0</v>
      </c>
      <c r="CS363" s="271">
        <f>IF(AND(Tech_Specs!$E27="step",Standards_Active!$E28="yes"),IF(CS$343&lt;Standards_Active!$C28,TREND(Perform_Active!$S28:$T28,Perform_Active!$S$8:$T$8,CS$343),IF(ISNUMBER(Standards_Active!$M28),IF(AND(CS$343&gt;=Standards_Active!$C28,CS$343&lt;Standards_Active!$D28),(Standards_Active!$M28-INDEX($CJ363:$DI363,1,MATCH((Standards_Active!$C28-1),$CJ$343:$DI$343,FALSE)))/(Standards_Active!$D28-(Standards_Active!$C28-1))+CR363,Standards_Active!$M28*((1+Standards_Active!$O28)^(CS$343-Standards_Active!$D28))),TREND(Perform_Active!$S28:$T28,Perform_Active!$S$8:$T$8,CS$343))),)</f>
        <v>0</v>
      </c>
      <c r="CT363" s="271">
        <f>IF(AND(Tech_Specs!$E27="step",Standards_Active!$E28="yes"),IF(CT$343&lt;Standards_Active!$C28,TREND(Perform_Active!$S28:$T28,Perform_Active!$S$8:$T$8,CT$343),IF(ISNUMBER(Standards_Active!$M28),IF(AND(CT$343&gt;=Standards_Active!$C28,CT$343&lt;Standards_Active!$D28),(Standards_Active!$M28-INDEX($CJ363:$DI363,1,MATCH((Standards_Active!$C28-1),$CJ$343:$DI$343,FALSE)))/(Standards_Active!$D28-(Standards_Active!$C28-1))+CS363,Standards_Active!$M28*((1+Standards_Active!$O28)^(CT$343-Standards_Active!$D28))),TREND(Perform_Active!$S28:$T28,Perform_Active!$S$8:$T$8,CT$343))),)</f>
        <v>0</v>
      </c>
      <c r="CU363" s="271">
        <f>IF(AND(Tech_Specs!$E27="step",Standards_Active!$E28="yes"),IF(CU$343&lt;Standards_Active!$C28,TREND(Perform_Active!$S28:$T28,Perform_Active!$S$8:$T$8,CU$343),IF(ISNUMBER(Standards_Active!$M28),IF(AND(CU$343&gt;=Standards_Active!$C28,CU$343&lt;Standards_Active!$D28),(Standards_Active!$M28-INDEX($CJ363:$DI363,1,MATCH((Standards_Active!$C28-1),$CJ$343:$DI$343,FALSE)))/(Standards_Active!$D28-(Standards_Active!$C28-1))+CT363,Standards_Active!$M28*((1+Standards_Active!$O28)^(CU$343-Standards_Active!$D28))),TREND(Perform_Active!$S28:$T28,Perform_Active!$S$8:$T$8,CU$343))),)</f>
        <v>0</v>
      </c>
      <c r="CV363" s="271">
        <f>IF(AND(Tech_Specs!$E27="step",Standards_Active!$E28="yes"),IF(CV$343&lt;Standards_Active!$C28,TREND(Perform_Active!$S28:$T28,Perform_Active!$S$8:$T$8,CV$343),IF(ISNUMBER(Standards_Active!$M28),IF(AND(CV$343&gt;=Standards_Active!$C28,CV$343&lt;Standards_Active!$D28),(Standards_Active!$M28-INDEX($CJ363:$DI363,1,MATCH((Standards_Active!$C28-1),$CJ$343:$DI$343,FALSE)))/(Standards_Active!$D28-(Standards_Active!$C28-1))+CU363,Standards_Active!$M28*((1+Standards_Active!$O28)^(CV$343-Standards_Active!$D28))),TREND(Perform_Active!$S28:$T28,Perform_Active!$S$8:$T$8,CV$343))),)</f>
        <v>0</v>
      </c>
      <c r="CW363" s="271">
        <f>IF(AND(Tech_Specs!$E27="step",Standards_Active!$E28="yes"),IF(CW$343&lt;Standards_Active!$C28,TREND(Perform_Active!$S28:$T28,Perform_Active!$S$8:$T$8,CW$343),IF(ISNUMBER(Standards_Active!$M28),IF(AND(CW$343&gt;=Standards_Active!$C28,CW$343&lt;Standards_Active!$D28),(Standards_Active!$M28-INDEX($CJ363:$DI363,1,MATCH((Standards_Active!$C28-1),$CJ$343:$DI$343,FALSE)))/(Standards_Active!$D28-(Standards_Active!$C28-1))+CV363,Standards_Active!$M28*((1+Standards_Active!$O28)^(CW$343-Standards_Active!$D28))),TREND(Perform_Active!$S28:$T28,Perform_Active!$S$8:$T$8,CW$343))),)</f>
        <v>0</v>
      </c>
      <c r="CX363" s="271">
        <f>IF(AND(Tech_Specs!$E27="step",Standards_Active!$E28="yes"),IF(CX$343&lt;Standards_Active!$C28,TREND(Perform_Active!$S28:$T28,Perform_Active!$S$8:$T$8,CX$343),IF(ISNUMBER(Standards_Active!$M28),IF(AND(CX$343&gt;=Standards_Active!$C28,CX$343&lt;Standards_Active!$D28),(Standards_Active!$M28-INDEX($CJ363:$DI363,1,MATCH((Standards_Active!$C28-1),$CJ$343:$DI$343,FALSE)))/(Standards_Active!$D28-(Standards_Active!$C28-1))+CW363,Standards_Active!$M28*((1+Standards_Active!$O28)^(CX$343-Standards_Active!$D28))),TREND(Perform_Active!$S28:$T28,Perform_Active!$S$8:$T$8,CX$343))),)</f>
        <v>0</v>
      </c>
      <c r="CY363" s="271">
        <f>IF(AND(Tech_Specs!$E27="step",Standards_Active!$E28="yes"),IF(CY$343&lt;Standards_Active!$C28,TREND(Perform_Active!$S28:$T28,Perform_Active!$S$8:$T$8,CY$343),IF(ISNUMBER(Standards_Active!$M28),IF(AND(CY$343&gt;=Standards_Active!$C28,CY$343&lt;Standards_Active!$D28),(Standards_Active!$M28-INDEX($CJ363:$DI363,1,MATCH((Standards_Active!$C28-1),$CJ$343:$DI$343,FALSE)))/(Standards_Active!$D28-(Standards_Active!$C28-1))+CX363,Standards_Active!$M28*((1+Standards_Active!$O28)^(CY$343-Standards_Active!$D28))),TREND(Perform_Active!$S28:$T28,Perform_Active!$S$8:$T$8,CY$343))),)</f>
        <v>0</v>
      </c>
      <c r="CZ363" s="271">
        <f>IF(AND(Tech_Specs!$E27="step",Standards_Active!$E28="yes"),IF(CZ$343&lt;Standards_Active!$C28,TREND(Perform_Active!$S28:$T28,Perform_Active!$S$8:$T$8,CZ$343),IF(ISNUMBER(Standards_Active!$M28),IF(AND(CZ$343&gt;=Standards_Active!$C28,CZ$343&lt;Standards_Active!$D28),(Standards_Active!$M28-INDEX($CJ363:$DI363,1,MATCH((Standards_Active!$C28-1),$CJ$343:$DI$343,FALSE)))/(Standards_Active!$D28-(Standards_Active!$C28-1))+CY363,Standards_Active!$M28*((1+Standards_Active!$O28)^(CZ$343-Standards_Active!$D28))),TREND(Perform_Active!$S28:$T28,Perform_Active!$S$8:$T$8,CZ$343))),)</f>
        <v>0</v>
      </c>
      <c r="DA363" s="271">
        <f>IF(AND(Tech_Specs!$E27="step",Standards_Active!$E28="yes"),IF(DA$343&lt;Standards_Active!$C28,TREND(Perform_Active!$S28:$T28,Perform_Active!$S$8:$T$8,DA$343),IF(ISNUMBER(Standards_Active!$M28),IF(AND(DA$343&gt;=Standards_Active!$C28,DA$343&lt;Standards_Active!$D28),(Standards_Active!$M28-INDEX($CJ363:$DI363,1,MATCH((Standards_Active!$C28-1),$CJ$343:$DI$343,FALSE)))/(Standards_Active!$D28-(Standards_Active!$C28-1))+CZ363,Standards_Active!$M28*((1+Standards_Active!$O28)^(DA$343-Standards_Active!$D28))),TREND(Perform_Active!$S28:$T28,Perform_Active!$S$8:$T$8,DA$343))),)</f>
        <v>0</v>
      </c>
      <c r="DB363" s="271">
        <f>IF(AND(Tech_Specs!$E27="step",Standards_Active!$E28="yes"),IF(DB$343&lt;Standards_Active!$C28,TREND(Perform_Active!$S28:$T28,Perform_Active!$S$8:$T$8,DB$343),IF(ISNUMBER(Standards_Active!$M28),IF(AND(DB$343&gt;=Standards_Active!$C28,DB$343&lt;Standards_Active!$D28),(Standards_Active!$M28-INDEX($CJ363:$DI363,1,MATCH((Standards_Active!$C28-1),$CJ$343:$DI$343,FALSE)))/(Standards_Active!$D28-(Standards_Active!$C28-1))+DA363,Standards_Active!$M28*((1+Standards_Active!$O28)^(DB$343-Standards_Active!$D28))),TREND(Perform_Active!$S28:$T28,Perform_Active!$S$8:$T$8,DB$343))),)</f>
        <v>0</v>
      </c>
      <c r="DC363" s="271">
        <f>IF(AND(Tech_Specs!$E27="step",Standards_Active!$E28="yes"),IF(DC$343&lt;Standards_Active!$C28,TREND(Perform_Active!$S28:$T28,Perform_Active!$S$8:$T$8,DC$343),IF(ISNUMBER(Standards_Active!$M28),IF(AND(DC$343&gt;=Standards_Active!$C28,DC$343&lt;Standards_Active!$D28),(Standards_Active!$M28-INDEX($CJ363:$DI363,1,MATCH((Standards_Active!$C28-1),$CJ$343:$DI$343,FALSE)))/(Standards_Active!$D28-(Standards_Active!$C28-1))+DB363,Standards_Active!$M28*((1+Standards_Active!$O28)^(DC$343-Standards_Active!$D28))),TREND(Perform_Active!$S28:$T28,Perform_Active!$S$8:$T$8,DC$343))),)</f>
        <v>0</v>
      </c>
      <c r="DD363" s="271">
        <f>IF(AND(Tech_Specs!$E27="step",Standards_Active!$E28="yes"),IF(DD$343&lt;Standards_Active!$C28,TREND(Perform_Active!$S28:$T28,Perform_Active!$S$8:$T$8,DD$343),IF(ISNUMBER(Standards_Active!$M28),IF(AND(DD$343&gt;=Standards_Active!$C28,DD$343&lt;Standards_Active!$D28),(Standards_Active!$M28-INDEX($CJ363:$DI363,1,MATCH((Standards_Active!$C28-1),$CJ$343:$DI$343,FALSE)))/(Standards_Active!$D28-(Standards_Active!$C28-1))+DC363,Standards_Active!$M28*((1+Standards_Active!$O28)^(DD$343-Standards_Active!$D28))),TREND(Perform_Active!$S28:$T28,Perform_Active!$S$8:$T$8,DD$343))),)</f>
        <v>0</v>
      </c>
      <c r="DE363" s="271">
        <f>IF(AND(Tech_Specs!$E27="step",Standards_Active!$E28="yes"),IF(DE$343&lt;Standards_Active!$C28,TREND(Perform_Active!$S28:$T28,Perform_Active!$S$8:$T$8,DE$343),IF(ISNUMBER(Standards_Active!$M28),IF(AND(DE$343&gt;=Standards_Active!$C28,DE$343&lt;Standards_Active!$D28),(Standards_Active!$M28-INDEX($CJ363:$DI363,1,MATCH((Standards_Active!$C28-1),$CJ$343:$DI$343,FALSE)))/(Standards_Active!$D28-(Standards_Active!$C28-1))+DD363,Standards_Active!$M28*((1+Standards_Active!$O28)^(DE$343-Standards_Active!$D28))),TREND(Perform_Active!$S28:$T28,Perform_Active!$S$8:$T$8,DE$343))),)</f>
        <v>0</v>
      </c>
      <c r="DF363" s="271">
        <f>IF(AND(Tech_Specs!$E27="step",Standards_Active!$E28="yes"),IF(DF$343&lt;Standards_Active!$C28,TREND(Perform_Active!$S28:$T28,Perform_Active!$S$8:$T$8,DF$343),IF(ISNUMBER(Standards_Active!$M28),IF(AND(DF$343&gt;=Standards_Active!$C28,DF$343&lt;Standards_Active!$D28),(Standards_Active!$M28-INDEX($CJ363:$DI363,1,MATCH((Standards_Active!$C28-1),$CJ$343:$DI$343,FALSE)))/(Standards_Active!$D28-(Standards_Active!$C28-1))+DE363,Standards_Active!$M28*((1+Standards_Active!$O28)^(DF$343-Standards_Active!$D28))),TREND(Perform_Active!$S28:$T28,Perform_Active!$S$8:$T$8,DF$343))),)</f>
        <v>0</v>
      </c>
      <c r="DG363" s="271">
        <f>IF(AND(Tech_Specs!$E27="step",Standards_Active!$E28="yes"),IF(DG$343&lt;Standards_Active!$C28,TREND(Perform_Active!$S28:$T28,Perform_Active!$S$8:$T$8,DG$343),IF(ISNUMBER(Standards_Active!$M28),IF(AND(DG$343&gt;=Standards_Active!$C28,DG$343&lt;Standards_Active!$D28),(Standards_Active!$M28-INDEX($CJ363:$DI363,1,MATCH((Standards_Active!$C28-1),$CJ$343:$DI$343,FALSE)))/(Standards_Active!$D28-(Standards_Active!$C28-1))+DF363,Standards_Active!$M28*((1+Standards_Active!$O28)^(DG$343-Standards_Active!$D28))),TREND(Perform_Active!$S28:$T28,Perform_Active!$S$8:$T$8,DG$343))),)</f>
        <v>0</v>
      </c>
      <c r="DH363" s="271">
        <f>IF(AND(Tech_Specs!$E27="step",Standards_Active!$E28="yes"),IF(DH$343&lt;Standards_Active!$C28,TREND(Perform_Active!$S28:$T28,Perform_Active!$S$8:$T$8,DH$343),IF(ISNUMBER(Standards_Active!$M28),IF(AND(DH$343&gt;=Standards_Active!$C28,DH$343&lt;Standards_Active!$D28),(Standards_Active!$M28-INDEX($CJ363:$DI363,1,MATCH((Standards_Active!$C28-1),$CJ$343:$DI$343,FALSE)))/(Standards_Active!$D28-(Standards_Active!$C28-1))+DG363,Standards_Active!$M28*((1+Standards_Active!$O28)^(DH$343-Standards_Active!$D28))),TREND(Perform_Active!$S28:$T28,Perform_Active!$S$8:$T$8,DH$343))),)</f>
        <v>0</v>
      </c>
      <c r="DI363" s="271">
        <f>IF(AND(Tech_Specs!$E27="step",Standards_Active!$E28="yes"),IF(DI$343&lt;Standards_Active!$C28,TREND(Perform_Active!$S28:$T28,Perform_Active!$S$8:$T$8,DI$343),IF(ISNUMBER(Standards_Active!$M28),IF(AND(DI$343&gt;=Standards_Active!$C28,DI$343&lt;Standards_Active!$D28),(Standards_Active!$M28-INDEX($CJ363:$DI363,1,MATCH((Standards_Active!$C28-1),$CJ$343:$DI$343,FALSE)))/(Standards_Active!$D28-(Standards_Active!$C28-1))+DH363,Standards_Active!$M28*((1+Standards_Active!$O28)^(DI$343-Standards_Active!$D28))),TREND(Perform_Active!$S28:$T28,Perform_Active!$S$8:$T$8,DI$343))),)</f>
        <v>0</v>
      </c>
    </row>
    <row r="364" spans="1:113" s="302" customFormat="1" ht="12.75" x14ac:dyDescent="0.2">
      <c r="B364" s="306" t="s">
        <v>44</v>
      </c>
      <c r="D364" s="550"/>
      <c r="E364" s="550"/>
      <c r="F364" s="550"/>
      <c r="G364" s="272">
        <f t="shared" si="60"/>
        <v>29</v>
      </c>
      <c r="H364" s="272">
        <f t="shared" si="60"/>
        <v>28.855000000000018</v>
      </c>
      <c r="I364" s="272">
        <f t="shared" si="60"/>
        <v>28.710000000000036</v>
      </c>
      <c r="J364" s="272">
        <f t="shared" si="60"/>
        <v>28.564999999999998</v>
      </c>
      <c r="K364" s="272">
        <f t="shared" si="60"/>
        <v>28.420000000000016</v>
      </c>
      <c r="L364" s="272">
        <f t="shared" si="60"/>
        <v>28.275000000000034</v>
      </c>
      <c r="M364" s="272">
        <f t="shared" si="60"/>
        <v>28.129999999999995</v>
      </c>
      <c r="N364" s="272">
        <f t="shared" si="60"/>
        <v>27.985000000000014</v>
      </c>
      <c r="O364" s="272">
        <f t="shared" si="60"/>
        <v>27.840000000000032</v>
      </c>
      <c r="P364" s="272">
        <f t="shared" si="60"/>
        <v>27.694999999999993</v>
      </c>
      <c r="Q364" s="272">
        <f t="shared" si="61"/>
        <v>27.550000000000011</v>
      </c>
      <c r="R364" s="272">
        <f t="shared" si="61"/>
        <v>27.40500000000003</v>
      </c>
      <c r="S364" s="272">
        <f t="shared" si="61"/>
        <v>27.259999999999991</v>
      </c>
      <c r="T364" s="272">
        <f t="shared" si="61"/>
        <v>27.115000000000009</v>
      </c>
      <c r="U364" s="272">
        <f t="shared" si="61"/>
        <v>26.970000000000027</v>
      </c>
      <c r="V364" s="272">
        <f t="shared" si="61"/>
        <v>26.824999999999989</v>
      </c>
      <c r="W364" s="272">
        <f t="shared" si="61"/>
        <v>26.680000000000007</v>
      </c>
      <c r="X364" s="272">
        <f t="shared" si="61"/>
        <v>26.535000000000025</v>
      </c>
      <c r="Y364" s="272">
        <f t="shared" si="61"/>
        <v>26.389999999999986</v>
      </c>
      <c r="Z364" s="272">
        <f t="shared" si="61"/>
        <v>26.245000000000005</v>
      </c>
      <c r="AA364" s="272">
        <f t="shared" si="62"/>
        <v>26.100000000000023</v>
      </c>
      <c r="AB364" s="272">
        <f t="shared" si="62"/>
        <v>25.954999999999984</v>
      </c>
      <c r="AC364" s="272">
        <f t="shared" si="62"/>
        <v>25.810000000000002</v>
      </c>
      <c r="AD364" s="272">
        <f t="shared" si="62"/>
        <v>25.66500000000002</v>
      </c>
      <c r="AE364" s="272">
        <f t="shared" si="62"/>
        <v>25.519999999999982</v>
      </c>
      <c r="AF364" s="272">
        <f t="shared" si="62"/>
        <v>25.375</v>
      </c>
      <c r="AH364" s="271">
        <f>IF(Tech_Specs!$E28="linear",TREND(Perform_Active!$S29:$T29,Perform_Active!$S$8:$T$8,AH$343),)</f>
        <v>29</v>
      </c>
      <c r="AI364" s="271">
        <f>IF(Tech_Specs!$E28="linear",TREND(Perform_Active!$S29:$T29,Perform_Active!$S$8:$T$8,AI$343),)</f>
        <v>28.855000000000018</v>
      </c>
      <c r="AJ364" s="271">
        <f>IF(Tech_Specs!$E28="linear",TREND(Perform_Active!$S29:$T29,Perform_Active!$S$8:$T$8,AJ$343),)</f>
        <v>28.710000000000036</v>
      </c>
      <c r="AK364" s="271">
        <f>IF(Tech_Specs!$E28="linear",TREND(Perform_Active!$S29:$T29,Perform_Active!$S$8:$T$8,AK$343),)</f>
        <v>28.564999999999998</v>
      </c>
      <c r="AL364" s="271">
        <f>IF(Tech_Specs!$E28="linear",TREND(Perform_Active!$S29:$T29,Perform_Active!$S$8:$T$8,AL$343),)</f>
        <v>28.420000000000016</v>
      </c>
      <c r="AM364" s="271">
        <f>IF(Tech_Specs!$E28="linear",TREND(Perform_Active!$S29:$T29,Perform_Active!$S$8:$T$8,AM$343),)</f>
        <v>28.275000000000034</v>
      </c>
      <c r="AN364" s="271">
        <f>IF(Tech_Specs!$E28="linear",TREND(Perform_Active!$S29:$T29,Perform_Active!$S$8:$T$8,AN$343),)</f>
        <v>28.129999999999995</v>
      </c>
      <c r="AO364" s="271">
        <f>IF(Tech_Specs!$E28="linear",TREND(Perform_Active!$S29:$T29,Perform_Active!$S$8:$T$8,AO$343),)</f>
        <v>27.985000000000014</v>
      </c>
      <c r="AP364" s="271">
        <f>IF(Tech_Specs!$E28="linear",TREND(Perform_Active!$S29:$T29,Perform_Active!$S$8:$T$8,AP$343),)</f>
        <v>27.840000000000032</v>
      </c>
      <c r="AQ364" s="271">
        <f>IF(Tech_Specs!$E28="linear",TREND(Perform_Active!$S29:$T29,Perform_Active!$S$8:$T$8,AQ$343),)</f>
        <v>27.694999999999993</v>
      </c>
      <c r="AR364" s="271">
        <f>IF(Tech_Specs!$E28="linear",TREND(Perform_Active!$S29:$T29,Perform_Active!$S$8:$T$8,AR$343),)</f>
        <v>27.550000000000011</v>
      </c>
      <c r="AS364" s="271">
        <f>IF(Tech_Specs!$E28="linear",TREND(Perform_Active!$S29:$T29,Perform_Active!$S$8:$T$8,AS$343),)</f>
        <v>27.40500000000003</v>
      </c>
      <c r="AT364" s="271">
        <f>IF(Tech_Specs!$E28="linear",TREND(Perform_Active!$S29:$T29,Perform_Active!$S$8:$T$8,AT$343),)</f>
        <v>27.259999999999991</v>
      </c>
      <c r="AU364" s="271">
        <f>IF(Tech_Specs!$E28="linear",TREND(Perform_Active!$S29:$T29,Perform_Active!$S$8:$T$8,AU$343),)</f>
        <v>27.115000000000009</v>
      </c>
      <c r="AV364" s="271">
        <f>IF(Tech_Specs!$E28="linear",TREND(Perform_Active!$S29:$T29,Perform_Active!$S$8:$T$8,AV$343),)</f>
        <v>26.970000000000027</v>
      </c>
      <c r="AW364" s="271">
        <f>IF(Tech_Specs!$E28="linear",TREND(Perform_Active!$S29:$T29,Perform_Active!$S$8:$T$8,AW$343),)</f>
        <v>26.824999999999989</v>
      </c>
      <c r="AX364" s="271">
        <f>IF(Tech_Specs!$E28="linear",TREND(Perform_Active!$S29:$T29,Perform_Active!$S$8:$T$8,AX$343),)</f>
        <v>26.680000000000007</v>
      </c>
      <c r="AY364" s="271">
        <f>IF(Tech_Specs!$E28="linear",TREND(Perform_Active!$S29:$T29,Perform_Active!$S$8:$T$8,AY$343),)</f>
        <v>26.535000000000025</v>
      </c>
      <c r="AZ364" s="271">
        <f>IF(Tech_Specs!$E28="linear",TREND(Perform_Active!$S29:$T29,Perform_Active!$S$8:$T$8,AZ$343),)</f>
        <v>26.389999999999986</v>
      </c>
      <c r="BA364" s="271">
        <f>IF(Tech_Specs!$E28="linear",TREND(Perform_Active!$S29:$T29,Perform_Active!$S$8:$T$8,BA$343),)</f>
        <v>26.245000000000005</v>
      </c>
      <c r="BB364" s="271">
        <f>IF(Tech_Specs!$E28="linear",TREND(Perform_Active!$S29:$T29,Perform_Active!$S$8:$T$8,BB$343),)</f>
        <v>26.100000000000023</v>
      </c>
      <c r="BC364" s="271">
        <f>IF(Tech_Specs!$E28="linear",TREND(Perform_Active!$S29:$T29,Perform_Active!$S$8:$T$8,BC$343),)</f>
        <v>25.954999999999984</v>
      </c>
      <c r="BD364" s="271">
        <f>IF(Tech_Specs!$E28="linear",TREND(Perform_Active!$S29:$T29,Perform_Active!$S$8:$T$8,BD$343),)</f>
        <v>25.810000000000002</v>
      </c>
      <c r="BE364" s="271">
        <f>IF(Tech_Specs!$E28="linear",TREND(Perform_Active!$S29:$T29,Perform_Active!$S$8:$T$8,BE$343),)</f>
        <v>25.66500000000002</v>
      </c>
      <c r="BF364" s="271">
        <f>IF(Tech_Specs!$E28="linear",TREND(Perform_Active!$S29:$T29,Perform_Active!$S$8:$T$8,BF$343),)</f>
        <v>25.519999999999982</v>
      </c>
      <c r="BG364" s="271">
        <f>IF(Tech_Specs!$E28="linear",TREND(Perform_Active!$S29:$T29,Perform_Active!$S$8:$T$8,BG$343),)</f>
        <v>25.375</v>
      </c>
      <c r="BI364" s="271">
        <f>IF(Tech_Specs!$E28="logistic",IF(Tech_Specs!$K28="lamp",Perform_SSL!G$14,Perform_SSL!G$15),)*Perform_Active!$I29/1000</f>
        <v>0</v>
      </c>
      <c r="BJ364" s="271">
        <f>IF(Tech_Specs!$E28="logistic",IF(Tech_Specs!$K28="lamp",Perform_SSL!H$14,Perform_SSL!H$15),)*Perform_Active!$I29/1000</f>
        <v>0</v>
      </c>
      <c r="BK364" s="271">
        <f>IF(Tech_Specs!$E28="logistic",IF(Tech_Specs!$K28="lamp",Perform_SSL!I$14,Perform_SSL!I$15),)*Perform_Active!$I29/1000</f>
        <v>0</v>
      </c>
      <c r="BL364" s="271">
        <f>IF(Tech_Specs!$E28="logistic",IF(Tech_Specs!$K28="lamp",Perform_SSL!J$14,Perform_SSL!J$15),)*Perform_Active!$I29/1000</f>
        <v>0</v>
      </c>
      <c r="BM364" s="271">
        <f>IF(Tech_Specs!$E28="logistic",IF(Tech_Specs!$K28="lamp",Perform_SSL!K$14,Perform_SSL!K$15),)*Perform_Active!$I29/1000</f>
        <v>0</v>
      </c>
      <c r="BN364" s="271">
        <f>IF(Tech_Specs!$E28="logistic",IF(Tech_Specs!$K28="lamp",Perform_SSL!L$14,Perform_SSL!L$15),)*Perform_Active!$I29/1000</f>
        <v>0</v>
      </c>
      <c r="BO364" s="271">
        <f>IF(Tech_Specs!$E28="logistic",IF(Tech_Specs!$K28="lamp",Perform_SSL!M$14,Perform_SSL!M$15),)*Perform_Active!$I29/1000</f>
        <v>0</v>
      </c>
      <c r="BP364" s="271">
        <f>IF(Tech_Specs!$E28="logistic",IF(Tech_Specs!$K28="lamp",Perform_SSL!N$14,Perform_SSL!N$15),)*Perform_Active!$I29/1000</f>
        <v>0</v>
      </c>
      <c r="BQ364" s="271">
        <f>IF(Tech_Specs!$E28="logistic",IF(Tech_Specs!$K28="lamp",Perform_SSL!O$14,Perform_SSL!O$15),)*Perform_Active!$I29/1000</f>
        <v>0</v>
      </c>
      <c r="BR364" s="271">
        <f>IF(Tech_Specs!$E28="logistic",IF(Tech_Specs!$K28="lamp",Perform_SSL!P$14,Perform_SSL!P$15),)*Perform_Active!$I29/1000</f>
        <v>0</v>
      </c>
      <c r="BS364" s="271">
        <f>IF(Tech_Specs!$E28="logistic",IF(Tech_Specs!$K28="lamp",Perform_SSL!Q$14,Perform_SSL!Q$15),)*Perform_Active!$I29/1000</f>
        <v>0</v>
      </c>
      <c r="BT364" s="271">
        <f>IF(Tech_Specs!$E28="logistic",IF(Tech_Specs!$K28="lamp",Perform_SSL!R$14,Perform_SSL!R$15),)*Perform_Active!$I29/1000</f>
        <v>0</v>
      </c>
      <c r="BU364" s="271">
        <f>IF(Tech_Specs!$E28="logistic",IF(Tech_Specs!$K28="lamp",Perform_SSL!S$14,Perform_SSL!S$15),)*Perform_Active!$I29/1000</f>
        <v>0</v>
      </c>
      <c r="BV364" s="271">
        <f>IF(Tech_Specs!$E28="logistic",IF(Tech_Specs!$K28="lamp",Perform_SSL!T$14,Perform_SSL!T$15),)*Perform_Active!$I29/1000</f>
        <v>0</v>
      </c>
      <c r="BW364" s="271">
        <f>IF(Tech_Specs!$E28="logistic",IF(Tech_Specs!$K28="lamp",Perform_SSL!U$14,Perform_SSL!U$15),)*Perform_Active!$I29/1000</f>
        <v>0</v>
      </c>
      <c r="BX364" s="271">
        <f>IF(Tech_Specs!$E28="logistic",IF(Tech_Specs!$K28="lamp",Perform_SSL!V$14,Perform_SSL!V$15),)*Perform_Active!$I29/1000</f>
        <v>0</v>
      </c>
      <c r="BY364" s="271">
        <f>IF(Tech_Specs!$E28="logistic",IF(Tech_Specs!$K28="lamp",Perform_SSL!W$14,Perform_SSL!W$15),)*Perform_Active!$I29/1000</f>
        <v>0</v>
      </c>
      <c r="BZ364" s="271">
        <f>IF(Tech_Specs!$E28="logistic",IF(Tech_Specs!$K28="lamp",Perform_SSL!X$14,Perform_SSL!X$15),)*Perform_Active!$I29/1000</f>
        <v>0</v>
      </c>
      <c r="CA364" s="271">
        <f>IF(Tech_Specs!$E28="logistic",IF(Tech_Specs!$K28="lamp",Perform_SSL!Y$14,Perform_SSL!Y$15),)*Perform_Active!$I29/1000</f>
        <v>0</v>
      </c>
      <c r="CB364" s="271">
        <f>IF(Tech_Specs!$E28="logistic",IF(Tech_Specs!$K28="lamp",Perform_SSL!Z$14,Perform_SSL!Z$15),)*Perform_Active!$I29/1000</f>
        <v>0</v>
      </c>
      <c r="CC364" s="271">
        <f>IF(Tech_Specs!$E28="logistic",IF(Tech_Specs!$K28="lamp",Perform_SSL!AA$14,Perform_SSL!AA$15),)*Perform_Active!$I29/1000</f>
        <v>0</v>
      </c>
      <c r="CD364" s="271">
        <f>IF(Tech_Specs!$E28="logistic",IF(Tech_Specs!$K28="lamp",Perform_SSL!AB$14,Perform_SSL!AB$15),)*Perform_Active!$I29/1000</f>
        <v>0</v>
      </c>
      <c r="CE364" s="271">
        <f>IF(Tech_Specs!$E28="logistic",IF(Tech_Specs!$K28="lamp",Perform_SSL!AC$14,Perform_SSL!AC$15),)*Perform_Active!$I29/1000</f>
        <v>0</v>
      </c>
      <c r="CF364" s="271">
        <f>IF(Tech_Specs!$E28="logistic",IF(Tech_Specs!$K28="lamp",Perform_SSL!AD$14,Perform_SSL!AD$15),)*Perform_Active!$I29/1000</f>
        <v>0</v>
      </c>
      <c r="CG364" s="271">
        <f>IF(Tech_Specs!$E28="logistic",IF(Tech_Specs!$K28="lamp",Perform_SSL!AE$14,Perform_SSL!AE$15),)*Perform_Active!$I29/1000</f>
        <v>0</v>
      </c>
      <c r="CH364" s="271">
        <f>IF(Tech_Specs!$E28="logistic",IF(Tech_Specs!$K28="lamp",Perform_SSL!AF$14,Perform_SSL!AF$15),)*Perform_Active!$I29/1000</f>
        <v>0</v>
      </c>
      <c r="CJ364" s="271">
        <f>IF(AND(Tech_Specs!$E28="step",Standards_Active!$E29="yes"),IF(CJ$343&lt;Standards_Active!$C29,TREND(Perform_Active!$S29:$T29,Perform_Active!$S$8:$T$8,CJ$343),IF(ISNUMBER(Standards_Active!$M29),IF(AND(CJ$343&gt;=Standards_Active!$C29,CJ$343&lt;Standards_Active!$D29),(Standards_Active!$M29-INDEX($CJ364:$DI364,1,MATCH((Standards_Active!$C29-1),$CJ$343:$DI$343,FALSE)))/(Standards_Active!$D29-(Standards_Active!$C29-1))+CI364,Standards_Active!$M29*((1+Standards_Active!$O29)^(CJ$343-Standards_Active!$D29))),TREND(Perform_Active!$S29:$T29,Perform_Active!$S$8:$T$8,CJ$343))),)</f>
        <v>0</v>
      </c>
      <c r="CK364" s="271">
        <f>IF(AND(Tech_Specs!$E28="step",Standards_Active!$E29="yes"),IF(CK$343&lt;Standards_Active!$C29,TREND(Perform_Active!$S29:$T29,Perform_Active!$S$8:$T$8,CK$343),IF(ISNUMBER(Standards_Active!$M29),IF(AND(CK$343&gt;=Standards_Active!$C29,CK$343&lt;Standards_Active!$D29),(Standards_Active!$M29-INDEX($CJ364:$DI364,1,MATCH((Standards_Active!$C29-1),$CJ$343:$DI$343,FALSE)))/(Standards_Active!$D29-(Standards_Active!$C29-1))+CJ364,Standards_Active!$M29*((1+Standards_Active!$O29)^(CK$343-Standards_Active!$D29))),TREND(Perform_Active!$S29:$T29,Perform_Active!$S$8:$T$8,CK$343))),)</f>
        <v>0</v>
      </c>
      <c r="CL364" s="271">
        <f>IF(AND(Tech_Specs!$E28="step",Standards_Active!$E29="yes"),IF(CL$343&lt;Standards_Active!$C29,TREND(Perform_Active!$S29:$T29,Perform_Active!$S$8:$T$8,CL$343),IF(ISNUMBER(Standards_Active!$M29),IF(AND(CL$343&gt;=Standards_Active!$C29,CL$343&lt;Standards_Active!$D29),(Standards_Active!$M29-INDEX($CJ364:$DI364,1,MATCH((Standards_Active!$C29-1),$CJ$343:$DI$343,FALSE)))/(Standards_Active!$D29-(Standards_Active!$C29-1))+CK364,Standards_Active!$M29*((1+Standards_Active!$O29)^(CL$343-Standards_Active!$D29))),TREND(Perform_Active!$S29:$T29,Perform_Active!$S$8:$T$8,CL$343))),)</f>
        <v>0</v>
      </c>
      <c r="CM364" s="271">
        <f>IF(AND(Tech_Specs!$E28="step",Standards_Active!$E29="yes"),IF(CM$343&lt;Standards_Active!$C29,TREND(Perform_Active!$S29:$T29,Perform_Active!$S$8:$T$8,CM$343),IF(ISNUMBER(Standards_Active!$M29),IF(AND(CM$343&gt;=Standards_Active!$C29,CM$343&lt;Standards_Active!$D29),(Standards_Active!$M29-INDEX($CJ364:$DI364,1,MATCH((Standards_Active!$C29-1),$CJ$343:$DI$343,FALSE)))/(Standards_Active!$D29-(Standards_Active!$C29-1))+CL364,Standards_Active!$M29*((1+Standards_Active!$O29)^(CM$343-Standards_Active!$D29))),TREND(Perform_Active!$S29:$T29,Perform_Active!$S$8:$T$8,CM$343))),)</f>
        <v>0</v>
      </c>
      <c r="CN364" s="271">
        <f>IF(AND(Tech_Specs!$E28="step",Standards_Active!$E29="yes"),IF(CN$343&lt;Standards_Active!$C29,TREND(Perform_Active!$S29:$T29,Perform_Active!$S$8:$T$8,CN$343),IF(ISNUMBER(Standards_Active!$M29),IF(AND(CN$343&gt;=Standards_Active!$C29,CN$343&lt;Standards_Active!$D29),(Standards_Active!$M29-INDEX($CJ364:$DI364,1,MATCH((Standards_Active!$C29-1),$CJ$343:$DI$343,FALSE)))/(Standards_Active!$D29-(Standards_Active!$C29-1))+CM364,Standards_Active!$M29*((1+Standards_Active!$O29)^(CN$343-Standards_Active!$D29))),TREND(Perform_Active!$S29:$T29,Perform_Active!$S$8:$T$8,CN$343))),)</f>
        <v>0</v>
      </c>
      <c r="CO364" s="271">
        <f>IF(AND(Tech_Specs!$E28="step",Standards_Active!$E29="yes"),IF(CO$343&lt;Standards_Active!$C29,TREND(Perform_Active!$S29:$T29,Perform_Active!$S$8:$T$8,CO$343),IF(ISNUMBER(Standards_Active!$M29),IF(AND(CO$343&gt;=Standards_Active!$C29,CO$343&lt;Standards_Active!$D29),(Standards_Active!$M29-INDEX($CJ364:$DI364,1,MATCH((Standards_Active!$C29-1),$CJ$343:$DI$343,FALSE)))/(Standards_Active!$D29-(Standards_Active!$C29-1))+CN364,Standards_Active!$M29*((1+Standards_Active!$O29)^(CO$343-Standards_Active!$D29))),TREND(Perform_Active!$S29:$T29,Perform_Active!$S$8:$T$8,CO$343))),)</f>
        <v>0</v>
      </c>
      <c r="CP364" s="271">
        <f>IF(AND(Tech_Specs!$E28="step",Standards_Active!$E29="yes"),IF(CP$343&lt;Standards_Active!$C29,TREND(Perform_Active!$S29:$T29,Perform_Active!$S$8:$T$8,CP$343),IF(ISNUMBER(Standards_Active!$M29),IF(AND(CP$343&gt;=Standards_Active!$C29,CP$343&lt;Standards_Active!$D29),(Standards_Active!$M29-INDEX($CJ364:$DI364,1,MATCH((Standards_Active!$C29-1),$CJ$343:$DI$343,FALSE)))/(Standards_Active!$D29-(Standards_Active!$C29-1))+CO364,Standards_Active!$M29*((1+Standards_Active!$O29)^(CP$343-Standards_Active!$D29))),TREND(Perform_Active!$S29:$T29,Perform_Active!$S$8:$T$8,CP$343))),)</f>
        <v>0</v>
      </c>
      <c r="CQ364" s="271">
        <f>IF(AND(Tech_Specs!$E28="step",Standards_Active!$E29="yes"),IF(CQ$343&lt;Standards_Active!$C29,TREND(Perform_Active!$S29:$T29,Perform_Active!$S$8:$T$8,CQ$343),IF(ISNUMBER(Standards_Active!$M29),IF(AND(CQ$343&gt;=Standards_Active!$C29,CQ$343&lt;Standards_Active!$D29),(Standards_Active!$M29-INDEX($CJ364:$DI364,1,MATCH((Standards_Active!$C29-1),$CJ$343:$DI$343,FALSE)))/(Standards_Active!$D29-(Standards_Active!$C29-1))+CP364,Standards_Active!$M29*((1+Standards_Active!$O29)^(CQ$343-Standards_Active!$D29))),TREND(Perform_Active!$S29:$T29,Perform_Active!$S$8:$T$8,CQ$343))),)</f>
        <v>0</v>
      </c>
      <c r="CR364" s="271">
        <f>IF(AND(Tech_Specs!$E28="step",Standards_Active!$E29="yes"),IF(CR$343&lt;Standards_Active!$C29,TREND(Perform_Active!$S29:$T29,Perform_Active!$S$8:$T$8,CR$343),IF(ISNUMBER(Standards_Active!$M29),IF(AND(CR$343&gt;=Standards_Active!$C29,CR$343&lt;Standards_Active!$D29),(Standards_Active!$M29-INDEX($CJ364:$DI364,1,MATCH((Standards_Active!$C29-1),$CJ$343:$DI$343,FALSE)))/(Standards_Active!$D29-(Standards_Active!$C29-1))+CQ364,Standards_Active!$M29*((1+Standards_Active!$O29)^(CR$343-Standards_Active!$D29))),TREND(Perform_Active!$S29:$T29,Perform_Active!$S$8:$T$8,CR$343))),)</f>
        <v>0</v>
      </c>
      <c r="CS364" s="271">
        <f>IF(AND(Tech_Specs!$E28="step",Standards_Active!$E29="yes"),IF(CS$343&lt;Standards_Active!$C29,TREND(Perform_Active!$S29:$T29,Perform_Active!$S$8:$T$8,CS$343),IF(ISNUMBER(Standards_Active!$M29),IF(AND(CS$343&gt;=Standards_Active!$C29,CS$343&lt;Standards_Active!$D29),(Standards_Active!$M29-INDEX($CJ364:$DI364,1,MATCH((Standards_Active!$C29-1),$CJ$343:$DI$343,FALSE)))/(Standards_Active!$D29-(Standards_Active!$C29-1))+CR364,Standards_Active!$M29*((1+Standards_Active!$O29)^(CS$343-Standards_Active!$D29))),TREND(Perform_Active!$S29:$T29,Perform_Active!$S$8:$T$8,CS$343))),)</f>
        <v>0</v>
      </c>
      <c r="CT364" s="271">
        <f>IF(AND(Tech_Specs!$E28="step",Standards_Active!$E29="yes"),IF(CT$343&lt;Standards_Active!$C29,TREND(Perform_Active!$S29:$T29,Perform_Active!$S$8:$T$8,CT$343),IF(ISNUMBER(Standards_Active!$M29),IF(AND(CT$343&gt;=Standards_Active!$C29,CT$343&lt;Standards_Active!$D29),(Standards_Active!$M29-INDEX($CJ364:$DI364,1,MATCH((Standards_Active!$C29-1),$CJ$343:$DI$343,FALSE)))/(Standards_Active!$D29-(Standards_Active!$C29-1))+CS364,Standards_Active!$M29*((1+Standards_Active!$O29)^(CT$343-Standards_Active!$D29))),TREND(Perform_Active!$S29:$T29,Perform_Active!$S$8:$T$8,CT$343))),)</f>
        <v>0</v>
      </c>
      <c r="CU364" s="271">
        <f>IF(AND(Tech_Specs!$E28="step",Standards_Active!$E29="yes"),IF(CU$343&lt;Standards_Active!$C29,TREND(Perform_Active!$S29:$T29,Perform_Active!$S$8:$T$8,CU$343),IF(ISNUMBER(Standards_Active!$M29),IF(AND(CU$343&gt;=Standards_Active!$C29,CU$343&lt;Standards_Active!$D29),(Standards_Active!$M29-INDEX($CJ364:$DI364,1,MATCH((Standards_Active!$C29-1),$CJ$343:$DI$343,FALSE)))/(Standards_Active!$D29-(Standards_Active!$C29-1))+CT364,Standards_Active!$M29*((1+Standards_Active!$O29)^(CU$343-Standards_Active!$D29))),TREND(Perform_Active!$S29:$T29,Perform_Active!$S$8:$T$8,CU$343))),)</f>
        <v>0</v>
      </c>
      <c r="CV364" s="271">
        <f>IF(AND(Tech_Specs!$E28="step",Standards_Active!$E29="yes"),IF(CV$343&lt;Standards_Active!$C29,TREND(Perform_Active!$S29:$T29,Perform_Active!$S$8:$T$8,CV$343),IF(ISNUMBER(Standards_Active!$M29),IF(AND(CV$343&gt;=Standards_Active!$C29,CV$343&lt;Standards_Active!$D29),(Standards_Active!$M29-INDEX($CJ364:$DI364,1,MATCH((Standards_Active!$C29-1),$CJ$343:$DI$343,FALSE)))/(Standards_Active!$D29-(Standards_Active!$C29-1))+CU364,Standards_Active!$M29*((1+Standards_Active!$O29)^(CV$343-Standards_Active!$D29))),TREND(Perform_Active!$S29:$T29,Perform_Active!$S$8:$T$8,CV$343))),)</f>
        <v>0</v>
      </c>
      <c r="CW364" s="271">
        <f>IF(AND(Tech_Specs!$E28="step",Standards_Active!$E29="yes"),IF(CW$343&lt;Standards_Active!$C29,TREND(Perform_Active!$S29:$T29,Perform_Active!$S$8:$T$8,CW$343),IF(ISNUMBER(Standards_Active!$M29),IF(AND(CW$343&gt;=Standards_Active!$C29,CW$343&lt;Standards_Active!$D29),(Standards_Active!$M29-INDEX($CJ364:$DI364,1,MATCH((Standards_Active!$C29-1),$CJ$343:$DI$343,FALSE)))/(Standards_Active!$D29-(Standards_Active!$C29-1))+CV364,Standards_Active!$M29*((1+Standards_Active!$O29)^(CW$343-Standards_Active!$D29))),TREND(Perform_Active!$S29:$T29,Perform_Active!$S$8:$T$8,CW$343))),)</f>
        <v>0</v>
      </c>
      <c r="CX364" s="271">
        <f>IF(AND(Tech_Specs!$E28="step",Standards_Active!$E29="yes"),IF(CX$343&lt;Standards_Active!$C29,TREND(Perform_Active!$S29:$T29,Perform_Active!$S$8:$T$8,CX$343),IF(ISNUMBER(Standards_Active!$M29),IF(AND(CX$343&gt;=Standards_Active!$C29,CX$343&lt;Standards_Active!$D29),(Standards_Active!$M29-INDEX($CJ364:$DI364,1,MATCH((Standards_Active!$C29-1),$CJ$343:$DI$343,FALSE)))/(Standards_Active!$D29-(Standards_Active!$C29-1))+CW364,Standards_Active!$M29*((1+Standards_Active!$O29)^(CX$343-Standards_Active!$D29))),TREND(Perform_Active!$S29:$T29,Perform_Active!$S$8:$T$8,CX$343))),)</f>
        <v>0</v>
      </c>
      <c r="CY364" s="271">
        <f>IF(AND(Tech_Specs!$E28="step",Standards_Active!$E29="yes"),IF(CY$343&lt;Standards_Active!$C29,TREND(Perform_Active!$S29:$T29,Perform_Active!$S$8:$T$8,CY$343),IF(ISNUMBER(Standards_Active!$M29),IF(AND(CY$343&gt;=Standards_Active!$C29,CY$343&lt;Standards_Active!$D29),(Standards_Active!$M29-INDEX($CJ364:$DI364,1,MATCH((Standards_Active!$C29-1),$CJ$343:$DI$343,FALSE)))/(Standards_Active!$D29-(Standards_Active!$C29-1))+CX364,Standards_Active!$M29*((1+Standards_Active!$O29)^(CY$343-Standards_Active!$D29))),TREND(Perform_Active!$S29:$T29,Perform_Active!$S$8:$T$8,CY$343))),)</f>
        <v>0</v>
      </c>
      <c r="CZ364" s="271">
        <f>IF(AND(Tech_Specs!$E28="step",Standards_Active!$E29="yes"),IF(CZ$343&lt;Standards_Active!$C29,TREND(Perform_Active!$S29:$T29,Perform_Active!$S$8:$T$8,CZ$343),IF(ISNUMBER(Standards_Active!$M29),IF(AND(CZ$343&gt;=Standards_Active!$C29,CZ$343&lt;Standards_Active!$D29),(Standards_Active!$M29-INDEX($CJ364:$DI364,1,MATCH((Standards_Active!$C29-1),$CJ$343:$DI$343,FALSE)))/(Standards_Active!$D29-(Standards_Active!$C29-1))+CY364,Standards_Active!$M29*((1+Standards_Active!$O29)^(CZ$343-Standards_Active!$D29))),TREND(Perform_Active!$S29:$T29,Perform_Active!$S$8:$T$8,CZ$343))),)</f>
        <v>0</v>
      </c>
      <c r="DA364" s="271">
        <f>IF(AND(Tech_Specs!$E28="step",Standards_Active!$E29="yes"),IF(DA$343&lt;Standards_Active!$C29,TREND(Perform_Active!$S29:$T29,Perform_Active!$S$8:$T$8,DA$343),IF(ISNUMBER(Standards_Active!$M29),IF(AND(DA$343&gt;=Standards_Active!$C29,DA$343&lt;Standards_Active!$D29),(Standards_Active!$M29-INDEX($CJ364:$DI364,1,MATCH((Standards_Active!$C29-1),$CJ$343:$DI$343,FALSE)))/(Standards_Active!$D29-(Standards_Active!$C29-1))+CZ364,Standards_Active!$M29*((1+Standards_Active!$O29)^(DA$343-Standards_Active!$D29))),TREND(Perform_Active!$S29:$T29,Perform_Active!$S$8:$T$8,DA$343))),)</f>
        <v>0</v>
      </c>
      <c r="DB364" s="271">
        <f>IF(AND(Tech_Specs!$E28="step",Standards_Active!$E29="yes"),IF(DB$343&lt;Standards_Active!$C29,TREND(Perform_Active!$S29:$T29,Perform_Active!$S$8:$T$8,DB$343),IF(ISNUMBER(Standards_Active!$M29),IF(AND(DB$343&gt;=Standards_Active!$C29,DB$343&lt;Standards_Active!$D29),(Standards_Active!$M29-INDEX($CJ364:$DI364,1,MATCH((Standards_Active!$C29-1),$CJ$343:$DI$343,FALSE)))/(Standards_Active!$D29-(Standards_Active!$C29-1))+DA364,Standards_Active!$M29*((1+Standards_Active!$O29)^(DB$343-Standards_Active!$D29))),TREND(Perform_Active!$S29:$T29,Perform_Active!$S$8:$T$8,DB$343))),)</f>
        <v>0</v>
      </c>
      <c r="DC364" s="271">
        <f>IF(AND(Tech_Specs!$E28="step",Standards_Active!$E29="yes"),IF(DC$343&lt;Standards_Active!$C29,TREND(Perform_Active!$S29:$T29,Perform_Active!$S$8:$T$8,DC$343),IF(ISNUMBER(Standards_Active!$M29),IF(AND(DC$343&gt;=Standards_Active!$C29,DC$343&lt;Standards_Active!$D29),(Standards_Active!$M29-INDEX($CJ364:$DI364,1,MATCH((Standards_Active!$C29-1),$CJ$343:$DI$343,FALSE)))/(Standards_Active!$D29-(Standards_Active!$C29-1))+DB364,Standards_Active!$M29*((1+Standards_Active!$O29)^(DC$343-Standards_Active!$D29))),TREND(Perform_Active!$S29:$T29,Perform_Active!$S$8:$T$8,DC$343))),)</f>
        <v>0</v>
      </c>
      <c r="DD364" s="271">
        <f>IF(AND(Tech_Specs!$E28="step",Standards_Active!$E29="yes"),IF(DD$343&lt;Standards_Active!$C29,TREND(Perform_Active!$S29:$T29,Perform_Active!$S$8:$T$8,DD$343),IF(ISNUMBER(Standards_Active!$M29),IF(AND(DD$343&gt;=Standards_Active!$C29,DD$343&lt;Standards_Active!$D29),(Standards_Active!$M29-INDEX($CJ364:$DI364,1,MATCH((Standards_Active!$C29-1),$CJ$343:$DI$343,FALSE)))/(Standards_Active!$D29-(Standards_Active!$C29-1))+DC364,Standards_Active!$M29*((1+Standards_Active!$O29)^(DD$343-Standards_Active!$D29))),TREND(Perform_Active!$S29:$T29,Perform_Active!$S$8:$T$8,DD$343))),)</f>
        <v>0</v>
      </c>
      <c r="DE364" s="271">
        <f>IF(AND(Tech_Specs!$E28="step",Standards_Active!$E29="yes"),IF(DE$343&lt;Standards_Active!$C29,TREND(Perform_Active!$S29:$T29,Perform_Active!$S$8:$T$8,DE$343),IF(ISNUMBER(Standards_Active!$M29),IF(AND(DE$343&gt;=Standards_Active!$C29,DE$343&lt;Standards_Active!$D29),(Standards_Active!$M29-INDEX($CJ364:$DI364,1,MATCH((Standards_Active!$C29-1),$CJ$343:$DI$343,FALSE)))/(Standards_Active!$D29-(Standards_Active!$C29-1))+DD364,Standards_Active!$M29*((1+Standards_Active!$O29)^(DE$343-Standards_Active!$D29))),TREND(Perform_Active!$S29:$T29,Perform_Active!$S$8:$T$8,DE$343))),)</f>
        <v>0</v>
      </c>
      <c r="DF364" s="271">
        <f>IF(AND(Tech_Specs!$E28="step",Standards_Active!$E29="yes"),IF(DF$343&lt;Standards_Active!$C29,TREND(Perform_Active!$S29:$T29,Perform_Active!$S$8:$T$8,DF$343),IF(ISNUMBER(Standards_Active!$M29),IF(AND(DF$343&gt;=Standards_Active!$C29,DF$343&lt;Standards_Active!$D29),(Standards_Active!$M29-INDEX($CJ364:$DI364,1,MATCH((Standards_Active!$C29-1),$CJ$343:$DI$343,FALSE)))/(Standards_Active!$D29-(Standards_Active!$C29-1))+DE364,Standards_Active!$M29*((1+Standards_Active!$O29)^(DF$343-Standards_Active!$D29))),TREND(Perform_Active!$S29:$T29,Perform_Active!$S$8:$T$8,DF$343))),)</f>
        <v>0</v>
      </c>
      <c r="DG364" s="271">
        <f>IF(AND(Tech_Specs!$E28="step",Standards_Active!$E29="yes"),IF(DG$343&lt;Standards_Active!$C29,TREND(Perform_Active!$S29:$T29,Perform_Active!$S$8:$T$8,DG$343),IF(ISNUMBER(Standards_Active!$M29),IF(AND(DG$343&gt;=Standards_Active!$C29,DG$343&lt;Standards_Active!$D29),(Standards_Active!$M29-INDEX($CJ364:$DI364,1,MATCH((Standards_Active!$C29-1),$CJ$343:$DI$343,FALSE)))/(Standards_Active!$D29-(Standards_Active!$C29-1))+DF364,Standards_Active!$M29*((1+Standards_Active!$O29)^(DG$343-Standards_Active!$D29))),TREND(Perform_Active!$S29:$T29,Perform_Active!$S$8:$T$8,DG$343))),)</f>
        <v>0</v>
      </c>
      <c r="DH364" s="271">
        <f>IF(AND(Tech_Specs!$E28="step",Standards_Active!$E29="yes"),IF(DH$343&lt;Standards_Active!$C29,TREND(Perform_Active!$S29:$T29,Perform_Active!$S$8:$T$8,DH$343),IF(ISNUMBER(Standards_Active!$M29),IF(AND(DH$343&gt;=Standards_Active!$C29,DH$343&lt;Standards_Active!$D29),(Standards_Active!$M29-INDEX($CJ364:$DI364,1,MATCH((Standards_Active!$C29-1),$CJ$343:$DI$343,FALSE)))/(Standards_Active!$D29-(Standards_Active!$C29-1))+DG364,Standards_Active!$M29*((1+Standards_Active!$O29)^(DH$343-Standards_Active!$D29))),TREND(Perform_Active!$S29:$T29,Perform_Active!$S$8:$T$8,DH$343))),)</f>
        <v>0</v>
      </c>
      <c r="DI364" s="271">
        <f>IF(AND(Tech_Specs!$E28="step",Standards_Active!$E29="yes"),IF(DI$343&lt;Standards_Active!$C29,TREND(Perform_Active!$S29:$T29,Perform_Active!$S$8:$T$8,DI$343),IF(ISNUMBER(Standards_Active!$M29),IF(AND(DI$343&gt;=Standards_Active!$C29,DI$343&lt;Standards_Active!$D29),(Standards_Active!$M29-INDEX($CJ364:$DI364,1,MATCH((Standards_Active!$C29-1),$CJ$343:$DI$343,FALSE)))/(Standards_Active!$D29-(Standards_Active!$C29-1))+DH364,Standards_Active!$M29*((1+Standards_Active!$O29)^(DI$343-Standards_Active!$D29))),TREND(Perform_Active!$S29:$T29,Perform_Active!$S$8:$T$8,DI$343))),)</f>
        <v>0</v>
      </c>
    </row>
    <row r="365" spans="1:113" s="302" customFormat="1" ht="12.75" x14ac:dyDescent="0.2">
      <c r="B365" s="306" t="s">
        <v>45</v>
      </c>
      <c r="D365" s="550"/>
      <c r="E365" s="550"/>
      <c r="F365" s="550"/>
      <c r="G365" s="272">
        <f t="shared" si="60"/>
        <v>21</v>
      </c>
      <c r="H365" s="272">
        <f t="shared" si="60"/>
        <v>20.894999999999982</v>
      </c>
      <c r="I365" s="272">
        <f t="shared" si="60"/>
        <v>20.789999999999992</v>
      </c>
      <c r="J365" s="272">
        <f t="shared" si="60"/>
        <v>20.685000000000002</v>
      </c>
      <c r="K365" s="272">
        <f t="shared" si="60"/>
        <v>20.579999999999984</v>
      </c>
      <c r="L365" s="272">
        <f t="shared" si="60"/>
        <v>20.474999999999994</v>
      </c>
      <c r="M365" s="272">
        <f t="shared" si="60"/>
        <v>20.370000000000005</v>
      </c>
      <c r="N365" s="272">
        <f t="shared" si="60"/>
        <v>20.264999999999986</v>
      </c>
      <c r="O365" s="272">
        <f t="shared" si="60"/>
        <v>20.159999999999997</v>
      </c>
      <c r="P365" s="272">
        <f t="shared" si="60"/>
        <v>20.054999999999978</v>
      </c>
      <c r="Q365" s="272">
        <f t="shared" si="61"/>
        <v>19.949999999999989</v>
      </c>
      <c r="R365" s="272">
        <f t="shared" si="61"/>
        <v>19.844999999999999</v>
      </c>
      <c r="S365" s="272">
        <f t="shared" si="61"/>
        <v>19.739999999999981</v>
      </c>
      <c r="T365" s="272">
        <f t="shared" si="61"/>
        <v>19.634999999999991</v>
      </c>
      <c r="U365" s="272">
        <f t="shared" si="61"/>
        <v>19.53</v>
      </c>
      <c r="V365" s="272">
        <f t="shared" si="61"/>
        <v>19.424999999999983</v>
      </c>
      <c r="W365" s="272">
        <f t="shared" si="61"/>
        <v>19.319999999999993</v>
      </c>
      <c r="X365" s="272">
        <f t="shared" si="61"/>
        <v>19.215000000000003</v>
      </c>
      <c r="Y365" s="272">
        <f t="shared" si="61"/>
        <v>19.109999999999985</v>
      </c>
      <c r="Z365" s="272">
        <f t="shared" si="61"/>
        <v>19.004999999999995</v>
      </c>
      <c r="AA365" s="272">
        <f t="shared" si="62"/>
        <v>18.899999999999977</v>
      </c>
      <c r="AB365" s="272">
        <f t="shared" si="62"/>
        <v>18.794999999999987</v>
      </c>
      <c r="AC365" s="272">
        <f t="shared" si="62"/>
        <v>18.689999999999998</v>
      </c>
      <c r="AD365" s="272">
        <f t="shared" si="62"/>
        <v>18.58499999999998</v>
      </c>
      <c r="AE365" s="272">
        <f t="shared" si="62"/>
        <v>18.47999999999999</v>
      </c>
      <c r="AF365" s="272">
        <f t="shared" si="62"/>
        <v>18.375</v>
      </c>
      <c r="AH365" s="271">
        <f>IF(Tech_Specs!$E29="linear",TREND(Perform_Active!$S30:$T30,Perform_Active!$S$8:$T$8,AH$343),)</f>
        <v>21</v>
      </c>
      <c r="AI365" s="271">
        <f>IF(Tech_Specs!$E29="linear",TREND(Perform_Active!$S30:$T30,Perform_Active!$S$8:$T$8,AI$343),)</f>
        <v>20.894999999999982</v>
      </c>
      <c r="AJ365" s="271">
        <f>IF(Tech_Specs!$E29="linear",TREND(Perform_Active!$S30:$T30,Perform_Active!$S$8:$T$8,AJ$343),)</f>
        <v>20.789999999999992</v>
      </c>
      <c r="AK365" s="271">
        <f>IF(Tech_Specs!$E29="linear",TREND(Perform_Active!$S30:$T30,Perform_Active!$S$8:$T$8,AK$343),)</f>
        <v>20.685000000000002</v>
      </c>
      <c r="AL365" s="271">
        <f>IF(Tech_Specs!$E29="linear",TREND(Perform_Active!$S30:$T30,Perform_Active!$S$8:$T$8,AL$343),)</f>
        <v>20.579999999999984</v>
      </c>
      <c r="AM365" s="271">
        <f>IF(Tech_Specs!$E29="linear",TREND(Perform_Active!$S30:$T30,Perform_Active!$S$8:$T$8,AM$343),)</f>
        <v>20.474999999999994</v>
      </c>
      <c r="AN365" s="271">
        <f>IF(Tech_Specs!$E29="linear",TREND(Perform_Active!$S30:$T30,Perform_Active!$S$8:$T$8,AN$343),)</f>
        <v>20.370000000000005</v>
      </c>
      <c r="AO365" s="271">
        <f>IF(Tech_Specs!$E29="linear",TREND(Perform_Active!$S30:$T30,Perform_Active!$S$8:$T$8,AO$343),)</f>
        <v>20.264999999999986</v>
      </c>
      <c r="AP365" s="271">
        <f>IF(Tech_Specs!$E29="linear",TREND(Perform_Active!$S30:$T30,Perform_Active!$S$8:$T$8,AP$343),)</f>
        <v>20.159999999999997</v>
      </c>
      <c r="AQ365" s="271">
        <f>IF(Tech_Specs!$E29="linear",TREND(Perform_Active!$S30:$T30,Perform_Active!$S$8:$T$8,AQ$343),)</f>
        <v>20.054999999999978</v>
      </c>
      <c r="AR365" s="271">
        <f>IF(Tech_Specs!$E29="linear",TREND(Perform_Active!$S30:$T30,Perform_Active!$S$8:$T$8,AR$343),)</f>
        <v>19.949999999999989</v>
      </c>
      <c r="AS365" s="271">
        <f>IF(Tech_Specs!$E29="linear",TREND(Perform_Active!$S30:$T30,Perform_Active!$S$8:$T$8,AS$343),)</f>
        <v>19.844999999999999</v>
      </c>
      <c r="AT365" s="271">
        <f>IF(Tech_Specs!$E29="linear",TREND(Perform_Active!$S30:$T30,Perform_Active!$S$8:$T$8,AT$343),)</f>
        <v>19.739999999999981</v>
      </c>
      <c r="AU365" s="271">
        <f>IF(Tech_Specs!$E29="linear",TREND(Perform_Active!$S30:$T30,Perform_Active!$S$8:$T$8,AU$343),)</f>
        <v>19.634999999999991</v>
      </c>
      <c r="AV365" s="271">
        <f>IF(Tech_Specs!$E29="linear",TREND(Perform_Active!$S30:$T30,Perform_Active!$S$8:$T$8,AV$343),)</f>
        <v>19.53</v>
      </c>
      <c r="AW365" s="271">
        <f>IF(Tech_Specs!$E29="linear",TREND(Perform_Active!$S30:$T30,Perform_Active!$S$8:$T$8,AW$343),)</f>
        <v>19.424999999999983</v>
      </c>
      <c r="AX365" s="271">
        <f>IF(Tech_Specs!$E29="linear",TREND(Perform_Active!$S30:$T30,Perform_Active!$S$8:$T$8,AX$343),)</f>
        <v>19.319999999999993</v>
      </c>
      <c r="AY365" s="271">
        <f>IF(Tech_Specs!$E29="linear",TREND(Perform_Active!$S30:$T30,Perform_Active!$S$8:$T$8,AY$343),)</f>
        <v>19.215000000000003</v>
      </c>
      <c r="AZ365" s="271">
        <f>IF(Tech_Specs!$E29="linear",TREND(Perform_Active!$S30:$T30,Perform_Active!$S$8:$T$8,AZ$343),)</f>
        <v>19.109999999999985</v>
      </c>
      <c r="BA365" s="271">
        <f>IF(Tech_Specs!$E29="linear",TREND(Perform_Active!$S30:$T30,Perform_Active!$S$8:$T$8,BA$343),)</f>
        <v>19.004999999999995</v>
      </c>
      <c r="BB365" s="271">
        <f>IF(Tech_Specs!$E29="linear",TREND(Perform_Active!$S30:$T30,Perform_Active!$S$8:$T$8,BB$343),)</f>
        <v>18.899999999999977</v>
      </c>
      <c r="BC365" s="271">
        <f>IF(Tech_Specs!$E29="linear",TREND(Perform_Active!$S30:$T30,Perform_Active!$S$8:$T$8,BC$343),)</f>
        <v>18.794999999999987</v>
      </c>
      <c r="BD365" s="271">
        <f>IF(Tech_Specs!$E29="linear",TREND(Perform_Active!$S30:$T30,Perform_Active!$S$8:$T$8,BD$343),)</f>
        <v>18.689999999999998</v>
      </c>
      <c r="BE365" s="271">
        <f>IF(Tech_Specs!$E29="linear",TREND(Perform_Active!$S30:$T30,Perform_Active!$S$8:$T$8,BE$343),)</f>
        <v>18.58499999999998</v>
      </c>
      <c r="BF365" s="271">
        <f>IF(Tech_Specs!$E29="linear",TREND(Perform_Active!$S30:$T30,Perform_Active!$S$8:$T$8,BF$343),)</f>
        <v>18.47999999999999</v>
      </c>
      <c r="BG365" s="271">
        <f>IF(Tech_Specs!$E29="linear",TREND(Perform_Active!$S30:$T30,Perform_Active!$S$8:$T$8,BG$343),)</f>
        <v>18.375</v>
      </c>
      <c r="BI365" s="271">
        <f>IF(Tech_Specs!$E29="logistic",IF(Tech_Specs!$K29="lamp",Perform_SSL!G$14,Perform_SSL!G$15),)*Perform_Active!$I30/1000</f>
        <v>0</v>
      </c>
      <c r="BJ365" s="271">
        <f>IF(Tech_Specs!$E29="logistic",IF(Tech_Specs!$K29="lamp",Perform_SSL!H$14,Perform_SSL!H$15),)*Perform_Active!$I30/1000</f>
        <v>0</v>
      </c>
      <c r="BK365" s="271">
        <f>IF(Tech_Specs!$E29="logistic",IF(Tech_Specs!$K29="lamp",Perform_SSL!I$14,Perform_SSL!I$15),)*Perform_Active!$I30/1000</f>
        <v>0</v>
      </c>
      <c r="BL365" s="271">
        <f>IF(Tech_Specs!$E29="logistic",IF(Tech_Specs!$K29="lamp",Perform_SSL!J$14,Perform_SSL!J$15),)*Perform_Active!$I30/1000</f>
        <v>0</v>
      </c>
      <c r="BM365" s="271">
        <f>IF(Tech_Specs!$E29="logistic",IF(Tech_Specs!$K29="lamp",Perform_SSL!K$14,Perform_SSL!K$15),)*Perform_Active!$I30/1000</f>
        <v>0</v>
      </c>
      <c r="BN365" s="271">
        <f>IF(Tech_Specs!$E29="logistic",IF(Tech_Specs!$K29="lamp",Perform_SSL!L$14,Perform_SSL!L$15),)*Perform_Active!$I30/1000</f>
        <v>0</v>
      </c>
      <c r="BO365" s="271">
        <f>IF(Tech_Specs!$E29="logistic",IF(Tech_Specs!$K29="lamp",Perform_SSL!M$14,Perform_SSL!M$15),)*Perform_Active!$I30/1000</f>
        <v>0</v>
      </c>
      <c r="BP365" s="271">
        <f>IF(Tech_Specs!$E29="logistic",IF(Tech_Specs!$K29="lamp",Perform_SSL!N$14,Perform_SSL!N$15),)*Perform_Active!$I30/1000</f>
        <v>0</v>
      </c>
      <c r="BQ365" s="271">
        <f>IF(Tech_Specs!$E29="logistic",IF(Tech_Specs!$K29="lamp",Perform_SSL!O$14,Perform_SSL!O$15),)*Perform_Active!$I30/1000</f>
        <v>0</v>
      </c>
      <c r="BR365" s="271">
        <f>IF(Tech_Specs!$E29="logistic",IF(Tech_Specs!$K29="lamp",Perform_SSL!P$14,Perform_SSL!P$15),)*Perform_Active!$I30/1000</f>
        <v>0</v>
      </c>
      <c r="BS365" s="271">
        <f>IF(Tech_Specs!$E29="logistic",IF(Tech_Specs!$K29="lamp",Perform_SSL!Q$14,Perform_SSL!Q$15),)*Perform_Active!$I30/1000</f>
        <v>0</v>
      </c>
      <c r="BT365" s="271">
        <f>IF(Tech_Specs!$E29="logistic",IF(Tech_Specs!$K29="lamp",Perform_SSL!R$14,Perform_SSL!R$15),)*Perform_Active!$I30/1000</f>
        <v>0</v>
      </c>
      <c r="BU365" s="271">
        <f>IF(Tech_Specs!$E29="logistic",IF(Tech_Specs!$K29="lamp",Perform_SSL!S$14,Perform_SSL!S$15),)*Perform_Active!$I30/1000</f>
        <v>0</v>
      </c>
      <c r="BV365" s="271">
        <f>IF(Tech_Specs!$E29="logistic",IF(Tech_Specs!$K29="lamp",Perform_SSL!T$14,Perform_SSL!T$15),)*Perform_Active!$I30/1000</f>
        <v>0</v>
      </c>
      <c r="BW365" s="271">
        <f>IF(Tech_Specs!$E29="logistic",IF(Tech_Specs!$K29="lamp",Perform_SSL!U$14,Perform_SSL!U$15),)*Perform_Active!$I30/1000</f>
        <v>0</v>
      </c>
      <c r="BX365" s="271">
        <f>IF(Tech_Specs!$E29="logistic",IF(Tech_Specs!$K29="lamp",Perform_SSL!V$14,Perform_SSL!V$15),)*Perform_Active!$I30/1000</f>
        <v>0</v>
      </c>
      <c r="BY365" s="271">
        <f>IF(Tech_Specs!$E29="logistic",IF(Tech_Specs!$K29="lamp",Perform_SSL!W$14,Perform_SSL!W$15),)*Perform_Active!$I30/1000</f>
        <v>0</v>
      </c>
      <c r="BZ365" s="271">
        <f>IF(Tech_Specs!$E29="logistic",IF(Tech_Specs!$K29="lamp",Perform_SSL!X$14,Perform_SSL!X$15),)*Perform_Active!$I30/1000</f>
        <v>0</v>
      </c>
      <c r="CA365" s="271">
        <f>IF(Tech_Specs!$E29="logistic",IF(Tech_Specs!$K29="lamp",Perform_SSL!Y$14,Perform_SSL!Y$15),)*Perform_Active!$I30/1000</f>
        <v>0</v>
      </c>
      <c r="CB365" s="271">
        <f>IF(Tech_Specs!$E29="logistic",IF(Tech_Specs!$K29="lamp",Perform_SSL!Z$14,Perform_SSL!Z$15),)*Perform_Active!$I30/1000</f>
        <v>0</v>
      </c>
      <c r="CC365" s="271">
        <f>IF(Tech_Specs!$E29="logistic",IF(Tech_Specs!$K29="lamp",Perform_SSL!AA$14,Perform_SSL!AA$15),)*Perform_Active!$I30/1000</f>
        <v>0</v>
      </c>
      <c r="CD365" s="271">
        <f>IF(Tech_Specs!$E29="logistic",IF(Tech_Specs!$K29="lamp",Perform_SSL!AB$14,Perform_SSL!AB$15),)*Perform_Active!$I30/1000</f>
        <v>0</v>
      </c>
      <c r="CE365" s="271">
        <f>IF(Tech_Specs!$E29="logistic",IF(Tech_Specs!$K29="lamp",Perform_SSL!AC$14,Perform_SSL!AC$15),)*Perform_Active!$I30/1000</f>
        <v>0</v>
      </c>
      <c r="CF365" s="271">
        <f>IF(Tech_Specs!$E29="logistic",IF(Tech_Specs!$K29="lamp",Perform_SSL!AD$14,Perform_SSL!AD$15),)*Perform_Active!$I30/1000</f>
        <v>0</v>
      </c>
      <c r="CG365" s="271">
        <f>IF(Tech_Specs!$E29="logistic",IF(Tech_Specs!$K29="lamp",Perform_SSL!AE$14,Perform_SSL!AE$15),)*Perform_Active!$I30/1000</f>
        <v>0</v>
      </c>
      <c r="CH365" s="271">
        <f>IF(Tech_Specs!$E29="logistic",IF(Tech_Specs!$K29="lamp",Perform_SSL!AF$14,Perform_SSL!AF$15),)*Perform_Active!$I30/1000</f>
        <v>0</v>
      </c>
      <c r="CJ365" s="271">
        <f>IF(AND(Tech_Specs!$E29="step",Standards_Active!$E30="yes"),IF(CJ$343&lt;Standards_Active!$C30,TREND(Perform_Active!$S30:$T30,Perform_Active!$S$8:$T$8,CJ$343),IF(ISNUMBER(Standards_Active!$M30),IF(AND(CJ$343&gt;=Standards_Active!$C30,CJ$343&lt;Standards_Active!$D30),(Standards_Active!$M30-INDEX($CJ365:$DI365,1,MATCH((Standards_Active!$C30-1),$CJ$343:$DI$343,FALSE)))/(Standards_Active!$D30-(Standards_Active!$C30-1))+CI365,Standards_Active!$M30*((1+Standards_Active!$O30)^(CJ$343-Standards_Active!$D30))),TREND(Perform_Active!$S30:$T30,Perform_Active!$S$8:$T$8,CJ$343))),)</f>
        <v>0</v>
      </c>
      <c r="CK365" s="271">
        <f>IF(AND(Tech_Specs!$E29="step",Standards_Active!$E30="yes"),IF(CK$343&lt;Standards_Active!$C30,TREND(Perform_Active!$S30:$T30,Perform_Active!$S$8:$T$8,CK$343),IF(ISNUMBER(Standards_Active!$M30),IF(AND(CK$343&gt;=Standards_Active!$C30,CK$343&lt;Standards_Active!$D30),(Standards_Active!$M30-INDEX($CJ365:$DI365,1,MATCH((Standards_Active!$C30-1),$CJ$343:$DI$343,FALSE)))/(Standards_Active!$D30-(Standards_Active!$C30-1))+CJ365,Standards_Active!$M30*((1+Standards_Active!$O30)^(CK$343-Standards_Active!$D30))),TREND(Perform_Active!$S30:$T30,Perform_Active!$S$8:$T$8,CK$343))),)</f>
        <v>0</v>
      </c>
      <c r="CL365" s="271">
        <f>IF(AND(Tech_Specs!$E29="step",Standards_Active!$E30="yes"),IF(CL$343&lt;Standards_Active!$C30,TREND(Perform_Active!$S30:$T30,Perform_Active!$S$8:$T$8,CL$343),IF(ISNUMBER(Standards_Active!$M30),IF(AND(CL$343&gt;=Standards_Active!$C30,CL$343&lt;Standards_Active!$D30),(Standards_Active!$M30-INDEX($CJ365:$DI365,1,MATCH((Standards_Active!$C30-1),$CJ$343:$DI$343,FALSE)))/(Standards_Active!$D30-(Standards_Active!$C30-1))+CK365,Standards_Active!$M30*((1+Standards_Active!$O30)^(CL$343-Standards_Active!$D30))),TREND(Perform_Active!$S30:$T30,Perform_Active!$S$8:$T$8,CL$343))),)</f>
        <v>0</v>
      </c>
      <c r="CM365" s="271">
        <f>IF(AND(Tech_Specs!$E29="step",Standards_Active!$E30="yes"),IF(CM$343&lt;Standards_Active!$C30,TREND(Perform_Active!$S30:$T30,Perform_Active!$S$8:$T$8,CM$343),IF(ISNUMBER(Standards_Active!$M30),IF(AND(CM$343&gt;=Standards_Active!$C30,CM$343&lt;Standards_Active!$D30),(Standards_Active!$M30-INDEX($CJ365:$DI365,1,MATCH((Standards_Active!$C30-1),$CJ$343:$DI$343,FALSE)))/(Standards_Active!$D30-(Standards_Active!$C30-1))+CL365,Standards_Active!$M30*((1+Standards_Active!$O30)^(CM$343-Standards_Active!$D30))),TREND(Perform_Active!$S30:$T30,Perform_Active!$S$8:$T$8,CM$343))),)</f>
        <v>0</v>
      </c>
      <c r="CN365" s="271">
        <f>IF(AND(Tech_Specs!$E29="step",Standards_Active!$E30="yes"),IF(CN$343&lt;Standards_Active!$C30,TREND(Perform_Active!$S30:$T30,Perform_Active!$S$8:$T$8,CN$343),IF(ISNUMBER(Standards_Active!$M30),IF(AND(CN$343&gt;=Standards_Active!$C30,CN$343&lt;Standards_Active!$D30),(Standards_Active!$M30-INDEX($CJ365:$DI365,1,MATCH((Standards_Active!$C30-1),$CJ$343:$DI$343,FALSE)))/(Standards_Active!$D30-(Standards_Active!$C30-1))+CM365,Standards_Active!$M30*((1+Standards_Active!$O30)^(CN$343-Standards_Active!$D30))),TREND(Perform_Active!$S30:$T30,Perform_Active!$S$8:$T$8,CN$343))),)</f>
        <v>0</v>
      </c>
      <c r="CO365" s="271">
        <f>IF(AND(Tech_Specs!$E29="step",Standards_Active!$E30="yes"),IF(CO$343&lt;Standards_Active!$C30,TREND(Perform_Active!$S30:$T30,Perform_Active!$S$8:$T$8,CO$343),IF(ISNUMBER(Standards_Active!$M30),IF(AND(CO$343&gt;=Standards_Active!$C30,CO$343&lt;Standards_Active!$D30),(Standards_Active!$M30-INDEX($CJ365:$DI365,1,MATCH((Standards_Active!$C30-1),$CJ$343:$DI$343,FALSE)))/(Standards_Active!$D30-(Standards_Active!$C30-1))+CN365,Standards_Active!$M30*((1+Standards_Active!$O30)^(CO$343-Standards_Active!$D30))),TREND(Perform_Active!$S30:$T30,Perform_Active!$S$8:$T$8,CO$343))),)</f>
        <v>0</v>
      </c>
      <c r="CP365" s="271">
        <f>IF(AND(Tech_Specs!$E29="step",Standards_Active!$E30="yes"),IF(CP$343&lt;Standards_Active!$C30,TREND(Perform_Active!$S30:$T30,Perform_Active!$S$8:$T$8,CP$343),IF(ISNUMBER(Standards_Active!$M30),IF(AND(CP$343&gt;=Standards_Active!$C30,CP$343&lt;Standards_Active!$D30),(Standards_Active!$M30-INDEX($CJ365:$DI365,1,MATCH((Standards_Active!$C30-1),$CJ$343:$DI$343,FALSE)))/(Standards_Active!$D30-(Standards_Active!$C30-1))+CO365,Standards_Active!$M30*((1+Standards_Active!$O30)^(CP$343-Standards_Active!$D30))),TREND(Perform_Active!$S30:$T30,Perform_Active!$S$8:$T$8,CP$343))),)</f>
        <v>0</v>
      </c>
      <c r="CQ365" s="271">
        <f>IF(AND(Tech_Specs!$E29="step",Standards_Active!$E30="yes"),IF(CQ$343&lt;Standards_Active!$C30,TREND(Perform_Active!$S30:$T30,Perform_Active!$S$8:$T$8,CQ$343),IF(ISNUMBER(Standards_Active!$M30),IF(AND(CQ$343&gt;=Standards_Active!$C30,CQ$343&lt;Standards_Active!$D30),(Standards_Active!$M30-INDEX($CJ365:$DI365,1,MATCH((Standards_Active!$C30-1),$CJ$343:$DI$343,FALSE)))/(Standards_Active!$D30-(Standards_Active!$C30-1))+CP365,Standards_Active!$M30*((1+Standards_Active!$O30)^(CQ$343-Standards_Active!$D30))),TREND(Perform_Active!$S30:$T30,Perform_Active!$S$8:$T$8,CQ$343))),)</f>
        <v>0</v>
      </c>
      <c r="CR365" s="271">
        <f>IF(AND(Tech_Specs!$E29="step",Standards_Active!$E30="yes"),IF(CR$343&lt;Standards_Active!$C30,TREND(Perform_Active!$S30:$T30,Perform_Active!$S$8:$T$8,CR$343),IF(ISNUMBER(Standards_Active!$M30),IF(AND(CR$343&gt;=Standards_Active!$C30,CR$343&lt;Standards_Active!$D30),(Standards_Active!$M30-INDEX($CJ365:$DI365,1,MATCH((Standards_Active!$C30-1),$CJ$343:$DI$343,FALSE)))/(Standards_Active!$D30-(Standards_Active!$C30-1))+CQ365,Standards_Active!$M30*((1+Standards_Active!$O30)^(CR$343-Standards_Active!$D30))),TREND(Perform_Active!$S30:$T30,Perform_Active!$S$8:$T$8,CR$343))),)</f>
        <v>0</v>
      </c>
      <c r="CS365" s="271">
        <f>IF(AND(Tech_Specs!$E29="step",Standards_Active!$E30="yes"),IF(CS$343&lt;Standards_Active!$C30,TREND(Perform_Active!$S30:$T30,Perform_Active!$S$8:$T$8,CS$343),IF(ISNUMBER(Standards_Active!$M30),IF(AND(CS$343&gt;=Standards_Active!$C30,CS$343&lt;Standards_Active!$D30),(Standards_Active!$M30-INDEX($CJ365:$DI365,1,MATCH((Standards_Active!$C30-1),$CJ$343:$DI$343,FALSE)))/(Standards_Active!$D30-(Standards_Active!$C30-1))+CR365,Standards_Active!$M30*((1+Standards_Active!$O30)^(CS$343-Standards_Active!$D30))),TREND(Perform_Active!$S30:$T30,Perform_Active!$S$8:$T$8,CS$343))),)</f>
        <v>0</v>
      </c>
      <c r="CT365" s="271">
        <f>IF(AND(Tech_Specs!$E29="step",Standards_Active!$E30="yes"),IF(CT$343&lt;Standards_Active!$C30,TREND(Perform_Active!$S30:$T30,Perform_Active!$S$8:$T$8,CT$343),IF(ISNUMBER(Standards_Active!$M30),IF(AND(CT$343&gt;=Standards_Active!$C30,CT$343&lt;Standards_Active!$D30),(Standards_Active!$M30-INDEX($CJ365:$DI365,1,MATCH((Standards_Active!$C30-1),$CJ$343:$DI$343,FALSE)))/(Standards_Active!$D30-(Standards_Active!$C30-1))+CS365,Standards_Active!$M30*((1+Standards_Active!$O30)^(CT$343-Standards_Active!$D30))),TREND(Perform_Active!$S30:$T30,Perform_Active!$S$8:$T$8,CT$343))),)</f>
        <v>0</v>
      </c>
      <c r="CU365" s="271">
        <f>IF(AND(Tech_Specs!$E29="step",Standards_Active!$E30="yes"),IF(CU$343&lt;Standards_Active!$C30,TREND(Perform_Active!$S30:$T30,Perform_Active!$S$8:$T$8,CU$343),IF(ISNUMBER(Standards_Active!$M30),IF(AND(CU$343&gt;=Standards_Active!$C30,CU$343&lt;Standards_Active!$D30),(Standards_Active!$M30-INDEX($CJ365:$DI365,1,MATCH((Standards_Active!$C30-1),$CJ$343:$DI$343,FALSE)))/(Standards_Active!$D30-(Standards_Active!$C30-1))+CT365,Standards_Active!$M30*((1+Standards_Active!$O30)^(CU$343-Standards_Active!$D30))),TREND(Perform_Active!$S30:$T30,Perform_Active!$S$8:$T$8,CU$343))),)</f>
        <v>0</v>
      </c>
      <c r="CV365" s="271">
        <f>IF(AND(Tech_Specs!$E29="step",Standards_Active!$E30="yes"),IF(CV$343&lt;Standards_Active!$C30,TREND(Perform_Active!$S30:$T30,Perform_Active!$S$8:$T$8,CV$343),IF(ISNUMBER(Standards_Active!$M30),IF(AND(CV$343&gt;=Standards_Active!$C30,CV$343&lt;Standards_Active!$D30),(Standards_Active!$M30-INDEX($CJ365:$DI365,1,MATCH((Standards_Active!$C30-1),$CJ$343:$DI$343,FALSE)))/(Standards_Active!$D30-(Standards_Active!$C30-1))+CU365,Standards_Active!$M30*((1+Standards_Active!$O30)^(CV$343-Standards_Active!$D30))),TREND(Perform_Active!$S30:$T30,Perform_Active!$S$8:$T$8,CV$343))),)</f>
        <v>0</v>
      </c>
      <c r="CW365" s="271">
        <f>IF(AND(Tech_Specs!$E29="step",Standards_Active!$E30="yes"),IF(CW$343&lt;Standards_Active!$C30,TREND(Perform_Active!$S30:$T30,Perform_Active!$S$8:$T$8,CW$343),IF(ISNUMBER(Standards_Active!$M30),IF(AND(CW$343&gt;=Standards_Active!$C30,CW$343&lt;Standards_Active!$D30),(Standards_Active!$M30-INDEX($CJ365:$DI365,1,MATCH((Standards_Active!$C30-1),$CJ$343:$DI$343,FALSE)))/(Standards_Active!$D30-(Standards_Active!$C30-1))+CV365,Standards_Active!$M30*((1+Standards_Active!$O30)^(CW$343-Standards_Active!$D30))),TREND(Perform_Active!$S30:$T30,Perform_Active!$S$8:$T$8,CW$343))),)</f>
        <v>0</v>
      </c>
      <c r="CX365" s="271">
        <f>IF(AND(Tech_Specs!$E29="step",Standards_Active!$E30="yes"),IF(CX$343&lt;Standards_Active!$C30,TREND(Perform_Active!$S30:$T30,Perform_Active!$S$8:$T$8,CX$343),IF(ISNUMBER(Standards_Active!$M30),IF(AND(CX$343&gt;=Standards_Active!$C30,CX$343&lt;Standards_Active!$D30),(Standards_Active!$M30-INDEX($CJ365:$DI365,1,MATCH((Standards_Active!$C30-1),$CJ$343:$DI$343,FALSE)))/(Standards_Active!$D30-(Standards_Active!$C30-1))+CW365,Standards_Active!$M30*((1+Standards_Active!$O30)^(CX$343-Standards_Active!$D30))),TREND(Perform_Active!$S30:$T30,Perform_Active!$S$8:$T$8,CX$343))),)</f>
        <v>0</v>
      </c>
      <c r="CY365" s="271">
        <f>IF(AND(Tech_Specs!$E29="step",Standards_Active!$E30="yes"),IF(CY$343&lt;Standards_Active!$C30,TREND(Perform_Active!$S30:$T30,Perform_Active!$S$8:$T$8,CY$343),IF(ISNUMBER(Standards_Active!$M30),IF(AND(CY$343&gt;=Standards_Active!$C30,CY$343&lt;Standards_Active!$D30),(Standards_Active!$M30-INDEX($CJ365:$DI365,1,MATCH((Standards_Active!$C30-1),$CJ$343:$DI$343,FALSE)))/(Standards_Active!$D30-(Standards_Active!$C30-1))+CX365,Standards_Active!$M30*((1+Standards_Active!$O30)^(CY$343-Standards_Active!$D30))),TREND(Perform_Active!$S30:$T30,Perform_Active!$S$8:$T$8,CY$343))),)</f>
        <v>0</v>
      </c>
      <c r="CZ365" s="271">
        <f>IF(AND(Tech_Specs!$E29="step",Standards_Active!$E30="yes"),IF(CZ$343&lt;Standards_Active!$C30,TREND(Perform_Active!$S30:$T30,Perform_Active!$S$8:$T$8,CZ$343),IF(ISNUMBER(Standards_Active!$M30),IF(AND(CZ$343&gt;=Standards_Active!$C30,CZ$343&lt;Standards_Active!$D30),(Standards_Active!$M30-INDEX($CJ365:$DI365,1,MATCH((Standards_Active!$C30-1),$CJ$343:$DI$343,FALSE)))/(Standards_Active!$D30-(Standards_Active!$C30-1))+CY365,Standards_Active!$M30*((1+Standards_Active!$O30)^(CZ$343-Standards_Active!$D30))),TREND(Perform_Active!$S30:$T30,Perform_Active!$S$8:$T$8,CZ$343))),)</f>
        <v>0</v>
      </c>
      <c r="DA365" s="271">
        <f>IF(AND(Tech_Specs!$E29="step",Standards_Active!$E30="yes"),IF(DA$343&lt;Standards_Active!$C30,TREND(Perform_Active!$S30:$T30,Perform_Active!$S$8:$T$8,DA$343),IF(ISNUMBER(Standards_Active!$M30),IF(AND(DA$343&gt;=Standards_Active!$C30,DA$343&lt;Standards_Active!$D30),(Standards_Active!$M30-INDEX($CJ365:$DI365,1,MATCH((Standards_Active!$C30-1),$CJ$343:$DI$343,FALSE)))/(Standards_Active!$D30-(Standards_Active!$C30-1))+CZ365,Standards_Active!$M30*((1+Standards_Active!$O30)^(DA$343-Standards_Active!$D30))),TREND(Perform_Active!$S30:$T30,Perform_Active!$S$8:$T$8,DA$343))),)</f>
        <v>0</v>
      </c>
      <c r="DB365" s="271">
        <f>IF(AND(Tech_Specs!$E29="step",Standards_Active!$E30="yes"),IF(DB$343&lt;Standards_Active!$C30,TREND(Perform_Active!$S30:$T30,Perform_Active!$S$8:$T$8,DB$343),IF(ISNUMBER(Standards_Active!$M30),IF(AND(DB$343&gt;=Standards_Active!$C30,DB$343&lt;Standards_Active!$D30),(Standards_Active!$M30-INDEX($CJ365:$DI365,1,MATCH((Standards_Active!$C30-1),$CJ$343:$DI$343,FALSE)))/(Standards_Active!$D30-(Standards_Active!$C30-1))+DA365,Standards_Active!$M30*((1+Standards_Active!$O30)^(DB$343-Standards_Active!$D30))),TREND(Perform_Active!$S30:$T30,Perform_Active!$S$8:$T$8,DB$343))),)</f>
        <v>0</v>
      </c>
      <c r="DC365" s="271">
        <f>IF(AND(Tech_Specs!$E29="step",Standards_Active!$E30="yes"),IF(DC$343&lt;Standards_Active!$C30,TREND(Perform_Active!$S30:$T30,Perform_Active!$S$8:$T$8,DC$343),IF(ISNUMBER(Standards_Active!$M30),IF(AND(DC$343&gt;=Standards_Active!$C30,DC$343&lt;Standards_Active!$D30),(Standards_Active!$M30-INDEX($CJ365:$DI365,1,MATCH((Standards_Active!$C30-1),$CJ$343:$DI$343,FALSE)))/(Standards_Active!$D30-(Standards_Active!$C30-1))+DB365,Standards_Active!$M30*((1+Standards_Active!$O30)^(DC$343-Standards_Active!$D30))),TREND(Perform_Active!$S30:$T30,Perform_Active!$S$8:$T$8,DC$343))),)</f>
        <v>0</v>
      </c>
      <c r="DD365" s="271">
        <f>IF(AND(Tech_Specs!$E29="step",Standards_Active!$E30="yes"),IF(DD$343&lt;Standards_Active!$C30,TREND(Perform_Active!$S30:$T30,Perform_Active!$S$8:$T$8,DD$343),IF(ISNUMBER(Standards_Active!$M30),IF(AND(DD$343&gt;=Standards_Active!$C30,DD$343&lt;Standards_Active!$D30),(Standards_Active!$M30-INDEX($CJ365:$DI365,1,MATCH((Standards_Active!$C30-1),$CJ$343:$DI$343,FALSE)))/(Standards_Active!$D30-(Standards_Active!$C30-1))+DC365,Standards_Active!$M30*((1+Standards_Active!$O30)^(DD$343-Standards_Active!$D30))),TREND(Perform_Active!$S30:$T30,Perform_Active!$S$8:$T$8,DD$343))),)</f>
        <v>0</v>
      </c>
      <c r="DE365" s="271">
        <f>IF(AND(Tech_Specs!$E29="step",Standards_Active!$E30="yes"),IF(DE$343&lt;Standards_Active!$C30,TREND(Perform_Active!$S30:$T30,Perform_Active!$S$8:$T$8,DE$343),IF(ISNUMBER(Standards_Active!$M30),IF(AND(DE$343&gt;=Standards_Active!$C30,DE$343&lt;Standards_Active!$D30),(Standards_Active!$M30-INDEX($CJ365:$DI365,1,MATCH((Standards_Active!$C30-1),$CJ$343:$DI$343,FALSE)))/(Standards_Active!$D30-(Standards_Active!$C30-1))+DD365,Standards_Active!$M30*((1+Standards_Active!$O30)^(DE$343-Standards_Active!$D30))),TREND(Perform_Active!$S30:$T30,Perform_Active!$S$8:$T$8,DE$343))),)</f>
        <v>0</v>
      </c>
      <c r="DF365" s="271">
        <f>IF(AND(Tech_Specs!$E29="step",Standards_Active!$E30="yes"),IF(DF$343&lt;Standards_Active!$C30,TREND(Perform_Active!$S30:$T30,Perform_Active!$S$8:$T$8,DF$343),IF(ISNUMBER(Standards_Active!$M30),IF(AND(DF$343&gt;=Standards_Active!$C30,DF$343&lt;Standards_Active!$D30),(Standards_Active!$M30-INDEX($CJ365:$DI365,1,MATCH((Standards_Active!$C30-1),$CJ$343:$DI$343,FALSE)))/(Standards_Active!$D30-(Standards_Active!$C30-1))+DE365,Standards_Active!$M30*((1+Standards_Active!$O30)^(DF$343-Standards_Active!$D30))),TREND(Perform_Active!$S30:$T30,Perform_Active!$S$8:$T$8,DF$343))),)</f>
        <v>0</v>
      </c>
      <c r="DG365" s="271">
        <f>IF(AND(Tech_Specs!$E29="step",Standards_Active!$E30="yes"),IF(DG$343&lt;Standards_Active!$C30,TREND(Perform_Active!$S30:$T30,Perform_Active!$S$8:$T$8,DG$343),IF(ISNUMBER(Standards_Active!$M30),IF(AND(DG$343&gt;=Standards_Active!$C30,DG$343&lt;Standards_Active!$D30),(Standards_Active!$M30-INDEX($CJ365:$DI365,1,MATCH((Standards_Active!$C30-1),$CJ$343:$DI$343,FALSE)))/(Standards_Active!$D30-(Standards_Active!$C30-1))+DF365,Standards_Active!$M30*((1+Standards_Active!$O30)^(DG$343-Standards_Active!$D30))),TREND(Perform_Active!$S30:$T30,Perform_Active!$S$8:$T$8,DG$343))),)</f>
        <v>0</v>
      </c>
      <c r="DH365" s="271">
        <f>IF(AND(Tech_Specs!$E29="step",Standards_Active!$E30="yes"),IF(DH$343&lt;Standards_Active!$C30,TREND(Perform_Active!$S30:$T30,Perform_Active!$S$8:$T$8,DH$343),IF(ISNUMBER(Standards_Active!$M30),IF(AND(DH$343&gt;=Standards_Active!$C30,DH$343&lt;Standards_Active!$D30),(Standards_Active!$M30-INDEX($CJ365:$DI365,1,MATCH((Standards_Active!$C30-1),$CJ$343:$DI$343,FALSE)))/(Standards_Active!$D30-(Standards_Active!$C30-1))+DG365,Standards_Active!$M30*((1+Standards_Active!$O30)^(DH$343-Standards_Active!$D30))),TREND(Perform_Active!$S30:$T30,Perform_Active!$S$8:$T$8,DH$343))),)</f>
        <v>0</v>
      </c>
      <c r="DI365" s="271">
        <f>IF(AND(Tech_Specs!$E29="step",Standards_Active!$E30="yes"),IF(DI$343&lt;Standards_Active!$C30,TREND(Perform_Active!$S30:$T30,Perform_Active!$S$8:$T$8,DI$343),IF(ISNUMBER(Standards_Active!$M30),IF(AND(DI$343&gt;=Standards_Active!$C30,DI$343&lt;Standards_Active!$D30),(Standards_Active!$M30-INDEX($CJ365:$DI365,1,MATCH((Standards_Active!$C30-1),$CJ$343:$DI$343,FALSE)))/(Standards_Active!$D30-(Standards_Active!$C30-1))+DH365,Standards_Active!$M30*((1+Standards_Active!$O30)^(DI$343-Standards_Active!$D30))),TREND(Perform_Active!$S30:$T30,Perform_Active!$S$8:$T$8,DI$343))),)</f>
        <v>0</v>
      </c>
    </row>
    <row r="366" spans="1:113" s="302" customFormat="1" ht="12.75" x14ac:dyDescent="0.2">
      <c r="B366" s="306" t="s">
        <v>46</v>
      </c>
      <c r="D366" s="550"/>
      <c r="E366" s="550"/>
      <c r="F366" s="550"/>
      <c r="G366" s="272">
        <f t="shared" si="60"/>
        <v>18.400000000000006</v>
      </c>
      <c r="H366" s="272">
        <f t="shared" si="60"/>
        <v>18.307999999999993</v>
      </c>
      <c r="I366" s="272">
        <f t="shared" si="60"/>
        <v>18.216000000000008</v>
      </c>
      <c r="J366" s="272">
        <f t="shared" si="60"/>
        <v>18.123999999999995</v>
      </c>
      <c r="K366" s="272">
        <f t="shared" si="60"/>
        <v>18.032000000000011</v>
      </c>
      <c r="L366" s="272">
        <f t="shared" si="60"/>
        <v>17.939999999999998</v>
      </c>
      <c r="M366" s="272">
        <f t="shared" si="60"/>
        <v>17.847999999999985</v>
      </c>
      <c r="N366" s="272">
        <f t="shared" si="60"/>
        <v>17.756</v>
      </c>
      <c r="O366" s="272">
        <f t="shared" si="60"/>
        <v>17.663999999999987</v>
      </c>
      <c r="P366" s="272">
        <f t="shared" si="60"/>
        <v>17.572000000000003</v>
      </c>
      <c r="Q366" s="272">
        <f t="shared" si="61"/>
        <v>17.47999999999999</v>
      </c>
      <c r="R366" s="272">
        <f t="shared" si="61"/>
        <v>17.388000000000005</v>
      </c>
      <c r="S366" s="272">
        <f t="shared" si="61"/>
        <v>17.295999999999992</v>
      </c>
      <c r="T366" s="272">
        <f t="shared" si="61"/>
        <v>17.204000000000008</v>
      </c>
      <c r="U366" s="272">
        <f t="shared" si="61"/>
        <v>17.111999999999995</v>
      </c>
      <c r="V366" s="272">
        <f t="shared" si="61"/>
        <v>17.02000000000001</v>
      </c>
      <c r="W366" s="272">
        <f t="shared" si="61"/>
        <v>16.927999999999997</v>
      </c>
      <c r="X366" s="272">
        <f t="shared" si="61"/>
        <v>16.835999999999984</v>
      </c>
      <c r="Y366" s="272">
        <f t="shared" si="61"/>
        <v>16.744</v>
      </c>
      <c r="Z366" s="272">
        <f t="shared" si="61"/>
        <v>16.651999999999987</v>
      </c>
      <c r="AA366" s="272">
        <f t="shared" si="62"/>
        <v>16.560000000000002</v>
      </c>
      <c r="AB366" s="272">
        <f t="shared" si="62"/>
        <v>16.467999999999989</v>
      </c>
      <c r="AC366" s="272">
        <f t="shared" si="62"/>
        <v>16.376000000000005</v>
      </c>
      <c r="AD366" s="272">
        <f t="shared" si="62"/>
        <v>16.283999999999992</v>
      </c>
      <c r="AE366" s="272">
        <f t="shared" si="62"/>
        <v>16.192000000000007</v>
      </c>
      <c r="AF366" s="272">
        <f t="shared" si="62"/>
        <v>16.099999999999994</v>
      </c>
      <c r="AH366" s="271">
        <f>IF(Tech_Specs!$E30="linear",TREND(Perform_Active!$S31:$T31,Perform_Active!$S$8:$T$8,AH$343),)</f>
        <v>18.400000000000006</v>
      </c>
      <c r="AI366" s="271">
        <f>IF(Tech_Specs!$E30="linear",TREND(Perform_Active!$S31:$T31,Perform_Active!$S$8:$T$8,AI$343),)</f>
        <v>18.307999999999993</v>
      </c>
      <c r="AJ366" s="271">
        <f>IF(Tech_Specs!$E30="linear",TREND(Perform_Active!$S31:$T31,Perform_Active!$S$8:$T$8,AJ$343),)</f>
        <v>18.216000000000008</v>
      </c>
      <c r="AK366" s="271">
        <f>IF(Tech_Specs!$E30="linear",TREND(Perform_Active!$S31:$T31,Perform_Active!$S$8:$T$8,AK$343),)</f>
        <v>18.123999999999995</v>
      </c>
      <c r="AL366" s="271">
        <f>IF(Tech_Specs!$E30="linear",TREND(Perform_Active!$S31:$T31,Perform_Active!$S$8:$T$8,AL$343),)</f>
        <v>18.032000000000011</v>
      </c>
      <c r="AM366" s="271">
        <f>IF(Tech_Specs!$E30="linear",TREND(Perform_Active!$S31:$T31,Perform_Active!$S$8:$T$8,AM$343),)</f>
        <v>17.939999999999998</v>
      </c>
      <c r="AN366" s="271">
        <f>IF(Tech_Specs!$E30="linear",TREND(Perform_Active!$S31:$T31,Perform_Active!$S$8:$T$8,AN$343),)</f>
        <v>17.847999999999985</v>
      </c>
      <c r="AO366" s="271">
        <f>IF(Tech_Specs!$E30="linear",TREND(Perform_Active!$S31:$T31,Perform_Active!$S$8:$T$8,AO$343),)</f>
        <v>17.756</v>
      </c>
      <c r="AP366" s="271">
        <f>IF(Tech_Specs!$E30="linear",TREND(Perform_Active!$S31:$T31,Perform_Active!$S$8:$T$8,AP$343),)</f>
        <v>17.663999999999987</v>
      </c>
      <c r="AQ366" s="271">
        <f>IF(Tech_Specs!$E30="linear",TREND(Perform_Active!$S31:$T31,Perform_Active!$S$8:$T$8,AQ$343),)</f>
        <v>17.572000000000003</v>
      </c>
      <c r="AR366" s="271">
        <f>IF(Tech_Specs!$E30="linear",TREND(Perform_Active!$S31:$T31,Perform_Active!$S$8:$T$8,AR$343),)</f>
        <v>17.47999999999999</v>
      </c>
      <c r="AS366" s="271">
        <f>IF(Tech_Specs!$E30="linear",TREND(Perform_Active!$S31:$T31,Perform_Active!$S$8:$T$8,AS$343),)</f>
        <v>17.388000000000005</v>
      </c>
      <c r="AT366" s="271">
        <f>IF(Tech_Specs!$E30="linear",TREND(Perform_Active!$S31:$T31,Perform_Active!$S$8:$T$8,AT$343),)</f>
        <v>17.295999999999992</v>
      </c>
      <c r="AU366" s="271">
        <f>IF(Tech_Specs!$E30="linear",TREND(Perform_Active!$S31:$T31,Perform_Active!$S$8:$T$8,AU$343),)</f>
        <v>17.204000000000008</v>
      </c>
      <c r="AV366" s="271">
        <f>IF(Tech_Specs!$E30="linear",TREND(Perform_Active!$S31:$T31,Perform_Active!$S$8:$T$8,AV$343),)</f>
        <v>17.111999999999995</v>
      </c>
      <c r="AW366" s="271">
        <f>IF(Tech_Specs!$E30="linear",TREND(Perform_Active!$S31:$T31,Perform_Active!$S$8:$T$8,AW$343),)</f>
        <v>17.02000000000001</v>
      </c>
      <c r="AX366" s="271">
        <f>IF(Tech_Specs!$E30="linear",TREND(Perform_Active!$S31:$T31,Perform_Active!$S$8:$T$8,AX$343),)</f>
        <v>16.927999999999997</v>
      </c>
      <c r="AY366" s="271">
        <f>IF(Tech_Specs!$E30="linear",TREND(Perform_Active!$S31:$T31,Perform_Active!$S$8:$T$8,AY$343),)</f>
        <v>16.835999999999984</v>
      </c>
      <c r="AZ366" s="271">
        <f>IF(Tech_Specs!$E30="linear",TREND(Perform_Active!$S31:$T31,Perform_Active!$S$8:$T$8,AZ$343),)</f>
        <v>16.744</v>
      </c>
      <c r="BA366" s="271">
        <f>IF(Tech_Specs!$E30="linear",TREND(Perform_Active!$S31:$T31,Perform_Active!$S$8:$T$8,BA$343),)</f>
        <v>16.651999999999987</v>
      </c>
      <c r="BB366" s="271">
        <f>IF(Tech_Specs!$E30="linear",TREND(Perform_Active!$S31:$T31,Perform_Active!$S$8:$T$8,BB$343),)</f>
        <v>16.560000000000002</v>
      </c>
      <c r="BC366" s="271">
        <f>IF(Tech_Specs!$E30="linear",TREND(Perform_Active!$S31:$T31,Perform_Active!$S$8:$T$8,BC$343),)</f>
        <v>16.467999999999989</v>
      </c>
      <c r="BD366" s="271">
        <f>IF(Tech_Specs!$E30="linear",TREND(Perform_Active!$S31:$T31,Perform_Active!$S$8:$T$8,BD$343),)</f>
        <v>16.376000000000005</v>
      </c>
      <c r="BE366" s="271">
        <f>IF(Tech_Specs!$E30="linear",TREND(Perform_Active!$S31:$T31,Perform_Active!$S$8:$T$8,BE$343),)</f>
        <v>16.283999999999992</v>
      </c>
      <c r="BF366" s="271">
        <f>IF(Tech_Specs!$E30="linear",TREND(Perform_Active!$S31:$T31,Perform_Active!$S$8:$T$8,BF$343),)</f>
        <v>16.192000000000007</v>
      </c>
      <c r="BG366" s="271">
        <f>IF(Tech_Specs!$E30="linear",TREND(Perform_Active!$S31:$T31,Perform_Active!$S$8:$T$8,BG$343),)</f>
        <v>16.099999999999994</v>
      </c>
      <c r="BI366" s="271">
        <f>IF(Tech_Specs!$E30="logistic",IF(Tech_Specs!$K30="lamp",Perform_SSL!G$14,Perform_SSL!G$15),)*Perform_Active!$I31/1000</f>
        <v>0</v>
      </c>
      <c r="BJ366" s="271">
        <f>IF(Tech_Specs!$E30="logistic",IF(Tech_Specs!$K30="lamp",Perform_SSL!H$14,Perform_SSL!H$15),)*Perform_Active!$I31/1000</f>
        <v>0</v>
      </c>
      <c r="BK366" s="271">
        <f>IF(Tech_Specs!$E30="logistic",IF(Tech_Specs!$K30="lamp",Perform_SSL!I$14,Perform_SSL!I$15),)*Perform_Active!$I31/1000</f>
        <v>0</v>
      </c>
      <c r="BL366" s="271">
        <f>IF(Tech_Specs!$E30="logistic",IF(Tech_Specs!$K30="lamp",Perform_SSL!J$14,Perform_SSL!J$15),)*Perform_Active!$I31/1000</f>
        <v>0</v>
      </c>
      <c r="BM366" s="271">
        <f>IF(Tech_Specs!$E30="logistic",IF(Tech_Specs!$K30="lamp",Perform_SSL!K$14,Perform_SSL!K$15),)*Perform_Active!$I31/1000</f>
        <v>0</v>
      </c>
      <c r="BN366" s="271">
        <f>IF(Tech_Specs!$E30="logistic",IF(Tech_Specs!$K30="lamp",Perform_SSL!L$14,Perform_SSL!L$15),)*Perform_Active!$I31/1000</f>
        <v>0</v>
      </c>
      <c r="BO366" s="271">
        <f>IF(Tech_Specs!$E30="logistic",IF(Tech_Specs!$K30="lamp",Perform_SSL!M$14,Perform_SSL!M$15),)*Perform_Active!$I31/1000</f>
        <v>0</v>
      </c>
      <c r="BP366" s="271">
        <f>IF(Tech_Specs!$E30="logistic",IF(Tech_Specs!$K30="lamp",Perform_SSL!N$14,Perform_SSL!N$15),)*Perform_Active!$I31/1000</f>
        <v>0</v>
      </c>
      <c r="BQ366" s="271">
        <f>IF(Tech_Specs!$E30="logistic",IF(Tech_Specs!$K30="lamp",Perform_SSL!O$14,Perform_SSL!O$15),)*Perform_Active!$I31/1000</f>
        <v>0</v>
      </c>
      <c r="BR366" s="271">
        <f>IF(Tech_Specs!$E30="logistic",IF(Tech_Specs!$K30="lamp",Perform_SSL!P$14,Perform_SSL!P$15),)*Perform_Active!$I31/1000</f>
        <v>0</v>
      </c>
      <c r="BS366" s="271">
        <f>IF(Tech_Specs!$E30="logistic",IF(Tech_Specs!$K30="lamp",Perform_SSL!Q$14,Perform_SSL!Q$15),)*Perform_Active!$I31/1000</f>
        <v>0</v>
      </c>
      <c r="BT366" s="271">
        <f>IF(Tech_Specs!$E30="logistic",IF(Tech_Specs!$K30="lamp",Perform_SSL!R$14,Perform_SSL!R$15),)*Perform_Active!$I31/1000</f>
        <v>0</v>
      </c>
      <c r="BU366" s="271">
        <f>IF(Tech_Specs!$E30="logistic",IF(Tech_Specs!$K30="lamp",Perform_SSL!S$14,Perform_SSL!S$15),)*Perform_Active!$I31/1000</f>
        <v>0</v>
      </c>
      <c r="BV366" s="271">
        <f>IF(Tech_Specs!$E30="logistic",IF(Tech_Specs!$K30="lamp",Perform_SSL!T$14,Perform_SSL!T$15),)*Perform_Active!$I31/1000</f>
        <v>0</v>
      </c>
      <c r="BW366" s="271">
        <f>IF(Tech_Specs!$E30="logistic",IF(Tech_Specs!$K30="lamp",Perform_SSL!U$14,Perform_SSL!U$15),)*Perform_Active!$I31/1000</f>
        <v>0</v>
      </c>
      <c r="BX366" s="271">
        <f>IF(Tech_Specs!$E30="logistic",IF(Tech_Specs!$K30="lamp",Perform_SSL!V$14,Perform_SSL!V$15),)*Perform_Active!$I31/1000</f>
        <v>0</v>
      </c>
      <c r="BY366" s="271">
        <f>IF(Tech_Specs!$E30="logistic",IF(Tech_Specs!$K30="lamp",Perform_SSL!W$14,Perform_SSL!W$15),)*Perform_Active!$I31/1000</f>
        <v>0</v>
      </c>
      <c r="BZ366" s="271">
        <f>IF(Tech_Specs!$E30="logistic",IF(Tech_Specs!$K30="lamp",Perform_SSL!X$14,Perform_SSL!X$15),)*Perform_Active!$I31/1000</f>
        <v>0</v>
      </c>
      <c r="CA366" s="271">
        <f>IF(Tech_Specs!$E30="logistic",IF(Tech_Specs!$K30="lamp",Perform_SSL!Y$14,Perform_SSL!Y$15),)*Perform_Active!$I31/1000</f>
        <v>0</v>
      </c>
      <c r="CB366" s="271">
        <f>IF(Tech_Specs!$E30="logistic",IF(Tech_Specs!$K30="lamp",Perform_SSL!Z$14,Perform_SSL!Z$15),)*Perform_Active!$I31/1000</f>
        <v>0</v>
      </c>
      <c r="CC366" s="271">
        <f>IF(Tech_Specs!$E30="logistic",IF(Tech_Specs!$K30="lamp",Perform_SSL!AA$14,Perform_SSL!AA$15),)*Perform_Active!$I31/1000</f>
        <v>0</v>
      </c>
      <c r="CD366" s="271">
        <f>IF(Tech_Specs!$E30="logistic",IF(Tech_Specs!$K30="lamp",Perform_SSL!AB$14,Perform_SSL!AB$15),)*Perform_Active!$I31/1000</f>
        <v>0</v>
      </c>
      <c r="CE366" s="271">
        <f>IF(Tech_Specs!$E30="logistic",IF(Tech_Specs!$K30="lamp",Perform_SSL!AC$14,Perform_SSL!AC$15),)*Perform_Active!$I31/1000</f>
        <v>0</v>
      </c>
      <c r="CF366" s="271">
        <f>IF(Tech_Specs!$E30="logistic",IF(Tech_Specs!$K30="lamp",Perform_SSL!AD$14,Perform_SSL!AD$15),)*Perform_Active!$I31/1000</f>
        <v>0</v>
      </c>
      <c r="CG366" s="271">
        <f>IF(Tech_Specs!$E30="logistic",IF(Tech_Specs!$K30="lamp",Perform_SSL!AE$14,Perform_SSL!AE$15),)*Perform_Active!$I31/1000</f>
        <v>0</v>
      </c>
      <c r="CH366" s="271">
        <f>IF(Tech_Specs!$E30="logistic",IF(Tech_Specs!$K30="lamp",Perform_SSL!AF$14,Perform_SSL!AF$15),)*Perform_Active!$I31/1000</f>
        <v>0</v>
      </c>
      <c r="CJ366" s="271">
        <f>IF(AND(Tech_Specs!$E30="step",Standards_Active!$E31="yes"),IF(CJ$343&lt;Standards_Active!$C31,TREND(Perform_Active!$S31:$T31,Perform_Active!$S$8:$T$8,CJ$343),IF(ISNUMBER(Standards_Active!$M31),IF(AND(CJ$343&gt;=Standards_Active!$C31,CJ$343&lt;Standards_Active!$D31),(Standards_Active!$M31-INDEX($CJ366:$DI366,1,MATCH((Standards_Active!$C31-1),$CJ$343:$DI$343,FALSE)))/(Standards_Active!$D31-(Standards_Active!$C31-1))+CI366,Standards_Active!$M31*((1+Standards_Active!$O31)^(CJ$343-Standards_Active!$D31))),TREND(Perform_Active!$S31:$T31,Perform_Active!$S$8:$T$8,CJ$343))),)</f>
        <v>0</v>
      </c>
      <c r="CK366" s="271">
        <f>IF(AND(Tech_Specs!$E30="step",Standards_Active!$E31="yes"),IF(CK$343&lt;Standards_Active!$C31,TREND(Perform_Active!$S31:$T31,Perform_Active!$S$8:$T$8,CK$343),IF(ISNUMBER(Standards_Active!$M31),IF(AND(CK$343&gt;=Standards_Active!$C31,CK$343&lt;Standards_Active!$D31),(Standards_Active!$M31-INDEX($CJ366:$DI366,1,MATCH((Standards_Active!$C31-1),$CJ$343:$DI$343,FALSE)))/(Standards_Active!$D31-(Standards_Active!$C31-1))+CJ366,Standards_Active!$M31*((1+Standards_Active!$O31)^(CK$343-Standards_Active!$D31))),TREND(Perform_Active!$S31:$T31,Perform_Active!$S$8:$T$8,CK$343))),)</f>
        <v>0</v>
      </c>
      <c r="CL366" s="271">
        <f>IF(AND(Tech_Specs!$E30="step",Standards_Active!$E31="yes"),IF(CL$343&lt;Standards_Active!$C31,TREND(Perform_Active!$S31:$T31,Perform_Active!$S$8:$T$8,CL$343),IF(ISNUMBER(Standards_Active!$M31),IF(AND(CL$343&gt;=Standards_Active!$C31,CL$343&lt;Standards_Active!$D31),(Standards_Active!$M31-INDEX($CJ366:$DI366,1,MATCH((Standards_Active!$C31-1),$CJ$343:$DI$343,FALSE)))/(Standards_Active!$D31-(Standards_Active!$C31-1))+CK366,Standards_Active!$M31*((1+Standards_Active!$O31)^(CL$343-Standards_Active!$D31))),TREND(Perform_Active!$S31:$T31,Perform_Active!$S$8:$T$8,CL$343))),)</f>
        <v>0</v>
      </c>
      <c r="CM366" s="271">
        <f>IF(AND(Tech_Specs!$E30="step",Standards_Active!$E31="yes"),IF(CM$343&lt;Standards_Active!$C31,TREND(Perform_Active!$S31:$T31,Perform_Active!$S$8:$T$8,CM$343),IF(ISNUMBER(Standards_Active!$M31),IF(AND(CM$343&gt;=Standards_Active!$C31,CM$343&lt;Standards_Active!$D31),(Standards_Active!$M31-INDEX($CJ366:$DI366,1,MATCH((Standards_Active!$C31-1),$CJ$343:$DI$343,FALSE)))/(Standards_Active!$D31-(Standards_Active!$C31-1))+CL366,Standards_Active!$M31*((1+Standards_Active!$O31)^(CM$343-Standards_Active!$D31))),TREND(Perform_Active!$S31:$T31,Perform_Active!$S$8:$T$8,CM$343))),)</f>
        <v>0</v>
      </c>
      <c r="CN366" s="271">
        <f>IF(AND(Tech_Specs!$E30="step",Standards_Active!$E31="yes"),IF(CN$343&lt;Standards_Active!$C31,TREND(Perform_Active!$S31:$T31,Perform_Active!$S$8:$T$8,CN$343),IF(ISNUMBER(Standards_Active!$M31),IF(AND(CN$343&gt;=Standards_Active!$C31,CN$343&lt;Standards_Active!$D31),(Standards_Active!$M31-INDEX($CJ366:$DI366,1,MATCH((Standards_Active!$C31-1),$CJ$343:$DI$343,FALSE)))/(Standards_Active!$D31-(Standards_Active!$C31-1))+CM366,Standards_Active!$M31*((1+Standards_Active!$O31)^(CN$343-Standards_Active!$D31))),TREND(Perform_Active!$S31:$T31,Perform_Active!$S$8:$T$8,CN$343))),)</f>
        <v>0</v>
      </c>
      <c r="CO366" s="271">
        <f>IF(AND(Tech_Specs!$E30="step",Standards_Active!$E31="yes"),IF(CO$343&lt;Standards_Active!$C31,TREND(Perform_Active!$S31:$T31,Perform_Active!$S$8:$T$8,CO$343),IF(ISNUMBER(Standards_Active!$M31),IF(AND(CO$343&gt;=Standards_Active!$C31,CO$343&lt;Standards_Active!$D31),(Standards_Active!$M31-INDEX($CJ366:$DI366,1,MATCH((Standards_Active!$C31-1),$CJ$343:$DI$343,FALSE)))/(Standards_Active!$D31-(Standards_Active!$C31-1))+CN366,Standards_Active!$M31*((1+Standards_Active!$O31)^(CO$343-Standards_Active!$D31))),TREND(Perform_Active!$S31:$T31,Perform_Active!$S$8:$T$8,CO$343))),)</f>
        <v>0</v>
      </c>
      <c r="CP366" s="271">
        <f>IF(AND(Tech_Specs!$E30="step",Standards_Active!$E31="yes"),IF(CP$343&lt;Standards_Active!$C31,TREND(Perform_Active!$S31:$T31,Perform_Active!$S$8:$T$8,CP$343),IF(ISNUMBER(Standards_Active!$M31),IF(AND(CP$343&gt;=Standards_Active!$C31,CP$343&lt;Standards_Active!$D31),(Standards_Active!$M31-INDEX($CJ366:$DI366,1,MATCH((Standards_Active!$C31-1),$CJ$343:$DI$343,FALSE)))/(Standards_Active!$D31-(Standards_Active!$C31-1))+CO366,Standards_Active!$M31*((1+Standards_Active!$O31)^(CP$343-Standards_Active!$D31))),TREND(Perform_Active!$S31:$T31,Perform_Active!$S$8:$T$8,CP$343))),)</f>
        <v>0</v>
      </c>
      <c r="CQ366" s="271">
        <f>IF(AND(Tech_Specs!$E30="step",Standards_Active!$E31="yes"),IF(CQ$343&lt;Standards_Active!$C31,TREND(Perform_Active!$S31:$T31,Perform_Active!$S$8:$T$8,CQ$343),IF(ISNUMBER(Standards_Active!$M31),IF(AND(CQ$343&gt;=Standards_Active!$C31,CQ$343&lt;Standards_Active!$D31),(Standards_Active!$M31-INDEX($CJ366:$DI366,1,MATCH((Standards_Active!$C31-1),$CJ$343:$DI$343,FALSE)))/(Standards_Active!$D31-(Standards_Active!$C31-1))+CP366,Standards_Active!$M31*((1+Standards_Active!$O31)^(CQ$343-Standards_Active!$D31))),TREND(Perform_Active!$S31:$T31,Perform_Active!$S$8:$T$8,CQ$343))),)</f>
        <v>0</v>
      </c>
      <c r="CR366" s="271">
        <f>IF(AND(Tech_Specs!$E30="step",Standards_Active!$E31="yes"),IF(CR$343&lt;Standards_Active!$C31,TREND(Perform_Active!$S31:$T31,Perform_Active!$S$8:$T$8,CR$343),IF(ISNUMBER(Standards_Active!$M31),IF(AND(CR$343&gt;=Standards_Active!$C31,CR$343&lt;Standards_Active!$D31),(Standards_Active!$M31-INDEX($CJ366:$DI366,1,MATCH((Standards_Active!$C31-1),$CJ$343:$DI$343,FALSE)))/(Standards_Active!$D31-(Standards_Active!$C31-1))+CQ366,Standards_Active!$M31*((1+Standards_Active!$O31)^(CR$343-Standards_Active!$D31))),TREND(Perform_Active!$S31:$T31,Perform_Active!$S$8:$T$8,CR$343))),)</f>
        <v>0</v>
      </c>
      <c r="CS366" s="271">
        <f>IF(AND(Tech_Specs!$E30="step",Standards_Active!$E31="yes"),IF(CS$343&lt;Standards_Active!$C31,TREND(Perform_Active!$S31:$T31,Perform_Active!$S$8:$T$8,CS$343),IF(ISNUMBER(Standards_Active!$M31),IF(AND(CS$343&gt;=Standards_Active!$C31,CS$343&lt;Standards_Active!$D31),(Standards_Active!$M31-INDEX($CJ366:$DI366,1,MATCH((Standards_Active!$C31-1),$CJ$343:$DI$343,FALSE)))/(Standards_Active!$D31-(Standards_Active!$C31-1))+CR366,Standards_Active!$M31*((1+Standards_Active!$O31)^(CS$343-Standards_Active!$D31))),TREND(Perform_Active!$S31:$T31,Perform_Active!$S$8:$T$8,CS$343))),)</f>
        <v>0</v>
      </c>
      <c r="CT366" s="271">
        <f>IF(AND(Tech_Specs!$E30="step",Standards_Active!$E31="yes"),IF(CT$343&lt;Standards_Active!$C31,TREND(Perform_Active!$S31:$T31,Perform_Active!$S$8:$T$8,CT$343),IF(ISNUMBER(Standards_Active!$M31),IF(AND(CT$343&gt;=Standards_Active!$C31,CT$343&lt;Standards_Active!$D31),(Standards_Active!$M31-INDEX($CJ366:$DI366,1,MATCH((Standards_Active!$C31-1),$CJ$343:$DI$343,FALSE)))/(Standards_Active!$D31-(Standards_Active!$C31-1))+CS366,Standards_Active!$M31*((1+Standards_Active!$O31)^(CT$343-Standards_Active!$D31))),TREND(Perform_Active!$S31:$T31,Perform_Active!$S$8:$T$8,CT$343))),)</f>
        <v>0</v>
      </c>
      <c r="CU366" s="271">
        <f>IF(AND(Tech_Specs!$E30="step",Standards_Active!$E31="yes"),IF(CU$343&lt;Standards_Active!$C31,TREND(Perform_Active!$S31:$T31,Perform_Active!$S$8:$T$8,CU$343),IF(ISNUMBER(Standards_Active!$M31),IF(AND(CU$343&gt;=Standards_Active!$C31,CU$343&lt;Standards_Active!$D31),(Standards_Active!$M31-INDEX($CJ366:$DI366,1,MATCH((Standards_Active!$C31-1),$CJ$343:$DI$343,FALSE)))/(Standards_Active!$D31-(Standards_Active!$C31-1))+CT366,Standards_Active!$M31*((1+Standards_Active!$O31)^(CU$343-Standards_Active!$D31))),TREND(Perform_Active!$S31:$T31,Perform_Active!$S$8:$T$8,CU$343))),)</f>
        <v>0</v>
      </c>
      <c r="CV366" s="271">
        <f>IF(AND(Tech_Specs!$E30="step",Standards_Active!$E31="yes"),IF(CV$343&lt;Standards_Active!$C31,TREND(Perform_Active!$S31:$T31,Perform_Active!$S$8:$T$8,CV$343),IF(ISNUMBER(Standards_Active!$M31),IF(AND(CV$343&gt;=Standards_Active!$C31,CV$343&lt;Standards_Active!$D31),(Standards_Active!$M31-INDEX($CJ366:$DI366,1,MATCH((Standards_Active!$C31-1),$CJ$343:$DI$343,FALSE)))/(Standards_Active!$D31-(Standards_Active!$C31-1))+CU366,Standards_Active!$M31*((1+Standards_Active!$O31)^(CV$343-Standards_Active!$D31))),TREND(Perform_Active!$S31:$T31,Perform_Active!$S$8:$T$8,CV$343))),)</f>
        <v>0</v>
      </c>
      <c r="CW366" s="271">
        <f>IF(AND(Tech_Specs!$E30="step",Standards_Active!$E31="yes"),IF(CW$343&lt;Standards_Active!$C31,TREND(Perform_Active!$S31:$T31,Perform_Active!$S$8:$T$8,CW$343),IF(ISNUMBER(Standards_Active!$M31),IF(AND(CW$343&gt;=Standards_Active!$C31,CW$343&lt;Standards_Active!$D31),(Standards_Active!$M31-INDEX($CJ366:$DI366,1,MATCH((Standards_Active!$C31-1),$CJ$343:$DI$343,FALSE)))/(Standards_Active!$D31-(Standards_Active!$C31-1))+CV366,Standards_Active!$M31*((1+Standards_Active!$O31)^(CW$343-Standards_Active!$D31))),TREND(Perform_Active!$S31:$T31,Perform_Active!$S$8:$T$8,CW$343))),)</f>
        <v>0</v>
      </c>
      <c r="CX366" s="271">
        <f>IF(AND(Tech_Specs!$E30="step",Standards_Active!$E31="yes"),IF(CX$343&lt;Standards_Active!$C31,TREND(Perform_Active!$S31:$T31,Perform_Active!$S$8:$T$8,CX$343),IF(ISNUMBER(Standards_Active!$M31),IF(AND(CX$343&gt;=Standards_Active!$C31,CX$343&lt;Standards_Active!$D31),(Standards_Active!$M31-INDEX($CJ366:$DI366,1,MATCH((Standards_Active!$C31-1),$CJ$343:$DI$343,FALSE)))/(Standards_Active!$D31-(Standards_Active!$C31-1))+CW366,Standards_Active!$M31*((1+Standards_Active!$O31)^(CX$343-Standards_Active!$D31))),TREND(Perform_Active!$S31:$T31,Perform_Active!$S$8:$T$8,CX$343))),)</f>
        <v>0</v>
      </c>
      <c r="CY366" s="271">
        <f>IF(AND(Tech_Specs!$E30="step",Standards_Active!$E31="yes"),IF(CY$343&lt;Standards_Active!$C31,TREND(Perform_Active!$S31:$T31,Perform_Active!$S$8:$T$8,CY$343),IF(ISNUMBER(Standards_Active!$M31),IF(AND(CY$343&gt;=Standards_Active!$C31,CY$343&lt;Standards_Active!$D31),(Standards_Active!$M31-INDEX($CJ366:$DI366,1,MATCH((Standards_Active!$C31-1),$CJ$343:$DI$343,FALSE)))/(Standards_Active!$D31-(Standards_Active!$C31-1))+CX366,Standards_Active!$M31*((1+Standards_Active!$O31)^(CY$343-Standards_Active!$D31))),TREND(Perform_Active!$S31:$T31,Perform_Active!$S$8:$T$8,CY$343))),)</f>
        <v>0</v>
      </c>
      <c r="CZ366" s="271">
        <f>IF(AND(Tech_Specs!$E30="step",Standards_Active!$E31="yes"),IF(CZ$343&lt;Standards_Active!$C31,TREND(Perform_Active!$S31:$T31,Perform_Active!$S$8:$T$8,CZ$343),IF(ISNUMBER(Standards_Active!$M31),IF(AND(CZ$343&gt;=Standards_Active!$C31,CZ$343&lt;Standards_Active!$D31),(Standards_Active!$M31-INDEX($CJ366:$DI366,1,MATCH((Standards_Active!$C31-1),$CJ$343:$DI$343,FALSE)))/(Standards_Active!$D31-(Standards_Active!$C31-1))+CY366,Standards_Active!$M31*((1+Standards_Active!$O31)^(CZ$343-Standards_Active!$D31))),TREND(Perform_Active!$S31:$T31,Perform_Active!$S$8:$T$8,CZ$343))),)</f>
        <v>0</v>
      </c>
      <c r="DA366" s="271">
        <f>IF(AND(Tech_Specs!$E30="step",Standards_Active!$E31="yes"),IF(DA$343&lt;Standards_Active!$C31,TREND(Perform_Active!$S31:$T31,Perform_Active!$S$8:$T$8,DA$343),IF(ISNUMBER(Standards_Active!$M31),IF(AND(DA$343&gt;=Standards_Active!$C31,DA$343&lt;Standards_Active!$D31),(Standards_Active!$M31-INDEX($CJ366:$DI366,1,MATCH((Standards_Active!$C31-1),$CJ$343:$DI$343,FALSE)))/(Standards_Active!$D31-(Standards_Active!$C31-1))+CZ366,Standards_Active!$M31*((1+Standards_Active!$O31)^(DA$343-Standards_Active!$D31))),TREND(Perform_Active!$S31:$T31,Perform_Active!$S$8:$T$8,DA$343))),)</f>
        <v>0</v>
      </c>
      <c r="DB366" s="271">
        <f>IF(AND(Tech_Specs!$E30="step",Standards_Active!$E31="yes"),IF(DB$343&lt;Standards_Active!$C31,TREND(Perform_Active!$S31:$T31,Perform_Active!$S$8:$T$8,DB$343),IF(ISNUMBER(Standards_Active!$M31),IF(AND(DB$343&gt;=Standards_Active!$C31,DB$343&lt;Standards_Active!$D31),(Standards_Active!$M31-INDEX($CJ366:$DI366,1,MATCH((Standards_Active!$C31-1),$CJ$343:$DI$343,FALSE)))/(Standards_Active!$D31-(Standards_Active!$C31-1))+DA366,Standards_Active!$M31*((1+Standards_Active!$O31)^(DB$343-Standards_Active!$D31))),TREND(Perform_Active!$S31:$T31,Perform_Active!$S$8:$T$8,DB$343))),)</f>
        <v>0</v>
      </c>
      <c r="DC366" s="271">
        <f>IF(AND(Tech_Specs!$E30="step",Standards_Active!$E31="yes"),IF(DC$343&lt;Standards_Active!$C31,TREND(Perform_Active!$S31:$T31,Perform_Active!$S$8:$T$8,DC$343),IF(ISNUMBER(Standards_Active!$M31),IF(AND(DC$343&gt;=Standards_Active!$C31,DC$343&lt;Standards_Active!$D31),(Standards_Active!$M31-INDEX($CJ366:$DI366,1,MATCH((Standards_Active!$C31-1),$CJ$343:$DI$343,FALSE)))/(Standards_Active!$D31-(Standards_Active!$C31-1))+DB366,Standards_Active!$M31*((1+Standards_Active!$O31)^(DC$343-Standards_Active!$D31))),TREND(Perform_Active!$S31:$T31,Perform_Active!$S$8:$T$8,DC$343))),)</f>
        <v>0</v>
      </c>
      <c r="DD366" s="271">
        <f>IF(AND(Tech_Specs!$E30="step",Standards_Active!$E31="yes"),IF(DD$343&lt;Standards_Active!$C31,TREND(Perform_Active!$S31:$T31,Perform_Active!$S$8:$T$8,DD$343),IF(ISNUMBER(Standards_Active!$M31),IF(AND(DD$343&gt;=Standards_Active!$C31,DD$343&lt;Standards_Active!$D31),(Standards_Active!$M31-INDEX($CJ366:$DI366,1,MATCH((Standards_Active!$C31-1),$CJ$343:$DI$343,FALSE)))/(Standards_Active!$D31-(Standards_Active!$C31-1))+DC366,Standards_Active!$M31*((1+Standards_Active!$O31)^(DD$343-Standards_Active!$D31))),TREND(Perform_Active!$S31:$T31,Perform_Active!$S$8:$T$8,DD$343))),)</f>
        <v>0</v>
      </c>
      <c r="DE366" s="271">
        <f>IF(AND(Tech_Specs!$E30="step",Standards_Active!$E31="yes"),IF(DE$343&lt;Standards_Active!$C31,TREND(Perform_Active!$S31:$T31,Perform_Active!$S$8:$T$8,DE$343),IF(ISNUMBER(Standards_Active!$M31),IF(AND(DE$343&gt;=Standards_Active!$C31,DE$343&lt;Standards_Active!$D31),(Standards_Active!$M31-INDEX($CJ366:$DI366,1,MATCH((Standards_Active!$C31-1),$CJ$343:$DI$343,FALSE)))/(Standards_Active!$D31-(Standards_Active!$C31-1))+DD366,Standards_Active!$M31*((1+Standards_Active!$O31)^(DE$343-Standards_Active!$D31))),TREND(Perform_Active!$S31:$T31,Perform_Active!$S$8:$T$8,DE$343))),)</f>
        <v>0</v>
      </c>
      <c r="DF366" s="271">
        <f>IF(AND(Tech_Specs!$E30="step",Standards_Active!$E31="yes"),IF(DF$343&lt;Standards_Active!$C31,TREND(Perform_Active!$S31:$T31,Perform_Active!$S$8:$T$8,DF$343),IF(ISNUMBER(Standards_Active!$M31),IF(AND(DF$343&gt;=Standards_Active!$C31,DF$343&lt;Standards_Active!$D31),(Standards_Active!$M31-INDEX($CJ366:$DI366,1,MATCH((Standards_Active!$C31-1),$CJ$343:$DI$343,FALSE)))/(Standards_Active!$D31-(Standards_Active!$C31-1))+DE366,Standards_Active!$M31*((1+Standards_Active!$O31)^(DF$343-Standards_Active!$D31))),TREND(Perform_Active!$S31:$T31,Perform_Active!$S$8:$T$8,DF$343))),)</f>
        <v>0</v>
      </c>
      <c r="DG366" s="271">
        <f>IF(AND(Tech_Specs!$E30="step",Standards_Active!$E31="yes"),IF(DG$343&lt;Standards_Active!$C31,TREND(Perform_Active!$S31:$T31,Perform_Active!$S$8:$T$8,DG$343),IF(ISNUMBER(Standards_Active!$M31),IF(AND(DG$343&gt;=Standards_Active!$C31,DG$343&lt;Standards_Active!$D31),(Standards_Active!$M31-INDEX($CJ366:$DI366,1,MATCH((Standards_Active!$C31-1),$CJ$343:$DI$343,FALSE)))/(Standards_Active!$D31-(Standards_Active!$C31-1))+DF366,Standards_Active!$M31*((1+Standards_Active!$O31)^(DG$343-Standards_Active!$D31))),TREND(Perform_Active!$S31:$T31,Perform_Active!$S$8:$T$8,DG$343))),)</f>
        <v>0</v>
      </c>
      <c r="DH366" s="271">
        <f>IF(AND(Tech_Specs!$E30="step",Standards_Active!$E31="yes"),IF(DH$343&lt;Standards_Active!$C31,TREND(Perform_Active!$S31:$T31,Perform_Active!$S$8:$T$8,DH$343),IF(ISNUMBER(Standards_Active!$M31),IF(AND(DH$343&gt;=Standards_Active!$C31,DH$343&lt;Standards_Active!$D31),(Standards_Active!$M31-INDEX($CJ366:$DI366,1,MATCH((Standards_Active!$C31-1),$CJ$343:$DI$343,FALSE)))/(Standards_Active!$D31-(Standards_Active!$C31-1))+DG366,Standards_Active!$M31*((1+Standards_Active!$O31)^(DH$343-Standards_Active!$D31))),TREND(Perform_Active!$S31:$T31,Perform_Active!$S$8:$T$8,DH$343))),)</f>
        <v>0</v>
      </c>
      <c r="DI366" s="271">
        <f>IF(AND(Tech_Specs!$E30="step",Standards_Active!$E31="yes"),IF(DI$343&lt;Standards_Active!$C31,TREND(Perform_Active!$S31:$T31,Perform_Active!$S$8:$T$8,DI$343),IF(ISNUMBER(Standards_Active!$M31),IF(AND(DI$343&gt;=Standards_Active!$C31,DI$343&lt;Standards_Active!$D31),(Standards_Active!$M31-INDEX($CJ366:$DI366,1,MATCH((Standards_Active!$C31-1),$CJ$343:$DI$343,FALSE)))/(Standards_Active!$D31-(Standards_Active!$C31-1))+DH366,Standards_Active!$M31*((1+Standards_Active!$O31)^(DI$343-Standards_Active!$D31))),TREND(Perform_Active!$S31:$T31,Perform_Active!$S$8:$T$8,DI$343))),)</f>
        <v>0</v>
      </c>
    </row>
    <row r="367" spans="1:113" s="302" customFormat="1" ht="12.75" x14ac:dyDescent="0.2">
      <c r="B367" s="302" t="s">
        <v>29</v>
      </c>
      <c r="D367" s="550"/>
      <c r="E367" s="550"/>
      <c r="F367" s="550"/>
      <c r="G367" s="272">
        <f t="shared" si="60"/>
        <v>1203.7062211089469</v>
      </c>
      <c r="H367" s="272">
        <f t="shared" si="60"/>
        <v>722.24473963395099</v>
      </c>
      <c r="I367" s="272">
        <f t="shared" si="60"/>
        <v>516.0420873719271</v>
      </c>
      <c r="J367" s="272">
        <f t="shared" si="60"/>
        <v>401.52080371265487</v>
      </c>
      <c r="K367" s="272">
        <f t="shared" si="60"/>
        <v>328.6569118463413</v>
      </c>
      <c r="L367" s="272">
        <f t="shared" si="60"/>
        <v>278.21873220397742</v>
      </c>
      <c r="M367" s="272">
        <f t="shared" si="60"/>
        <v>241.23388096641386</v>
      </c>
      <c r="N367" s="272">
        <f t="shared" si="60"/>
        <v>212.95314429011489</v>
      </c>
      <c r="O367" s="272">
        <f t="shared" si="60"/>
        <v>190.62734669202749</v>
      </c>
      <c r="P367" s="272">
        <f t="shared" si="60"/>
        <v>172.5547926630984</v>
      </c>
      <c r="Q367" s="272">
        <f t="shared" si="61"/>
        <v>157.62577110017534</v>
      </c>
      <c r="R367" s="272">
        <f t="shared" si="61"/>
        <v>145.08572830276833</v>
      </c>
      <c r="S367" s="272">
        <f t="shared" si="61"/>
        <v>134.40371109684665</v>
      </c>
      <c r="T367" s="272">
        <f t="shared" si="61"/>
        <v>125.19525387440162</v>
      </c>
      <c r="U367" s="272">
        <f t="shared" si="61"/>
        <v>117.17511919045766</v>
      </c>
      <c r="V367" s="272">
        <f t="shared" si="61"/>
        <v>110.1272254250824</v>
      </c>
      <c r="W367" s="272">
        <f t="shared" si="61"/>
        <v>103.88488599508089</v>
      </c>
      <c r="X367" s="272">
        <f t="shared" si="61"/>
        <v>98.31745807786659</v>
      </c>
      <c r="Y367" s="272">
        <f t="shared" si="61"/>
        <v>93.321099789948619</v>
      </c>
      <c r="Z367" s="272">
        <f t="shared" si="61"/>
        <v>88.812232813017587</v>
      </c>
      <c r="AA367" s="272">
        <f t="shared" si="62"/>
        <v>84.722829552338439</v>
      </c>
      <c r="AB367" s="272">
        <f t="shared" si="62"/>
        <v>80.99695715091201</v>
      </c>
      <c r="AC367" s="272">
        <f t="shared" si="62"/>
        <v>77.588203948881983</v>
      </c>
      <c r="AD367" s="272">
        <f t="shared" si="62"/>
        <v>74.457736242917932</v>
      </c>
      <c r="AE367" s="272">
        <f t="shared" si="62"/>
        <v>71.572812310146375</v>
      </c>
      <c r="AF367" s="272">
        <f t="shared" si="62"/>
        <v>68.905632901770119</v>
      </c>
      <c r="AH367" s="271">
        <f>IF(Tech_Specs!$E31="linear",TREND(Perform_Active!$S32:$T32,Perform_Active!$S$8:$T$8,AH$343),)</f>
        <v>0</v>
      </c>
      <c r="AI367" s="271">
        <f>IF(Tech_Specs!$E31="linear",TREND(Perform_Active!$S32:$T32,Perform_Active!$S$8:$T$8,AI$343),)</f>
        <v>0</v>
      </c>
      <c r="AJ367" s="271">
        <f>IF(Tech_Specs!$E31="linear",TREND(Perform_Active!$S32:$T32,Perform_Active!$S$8:$T$8,AJ$343),)</f>
        <v>0</v>
      </c>
      <c r="AK367" s="271">
        <f>IF(Tech_Specs!$E31="linear",TREND(Perform_Active!$S32:$T32,Perform_Active!$S$8:$T$8,AK$343),)</f>
        <v>0</v>
      </c>
      <c r="AL367" s="271">
        <f>IF(Tech_Specs!$E31="linear",TREND(Perform_Active!$S32:$T32,Perform_Active!$S$8:$T$8,AL$343),)</f>
        <v>0</v>
      </c>
      <c r="AM367" s="271">
        <f>IF(Tech_Specs!$E31="linear",TREND(Perform_Active!$S32:$T32,Perform_Active!$S$8:$T$8,AM$343),)</f>
        <v>0</v>
      </c>
      <c r="AN367" s="271">
        <f>IF(Tech_Specs!$E31="linear",TREND(Perform_Active!$S32:$T32,Perform_Active!$S$8:$T$8,AN$343),)</f>
        <v>0</v>
      </c>
      <c r="AO367" s="271">
        <f>IF(Tech_Specs!$E31="linear",TREND(Perform_Active!$S32:$T32,Perform_Active!$S$8:$T$8,AO$343),)</f>
        <v>0</v>
      </c>
      <c r="AP367" s="271">
        <f>IF(Tech_Specs!$E31="linear",TREND(Perform_Active!$S32:$T32,Perform_Active!$S$8:$T$8,AP$343),)</f>
        <v>0</v>
      </c>
      <c r="AQ367" s="271">
        <f>IF(Tech_Specs!$E31="linear",TREND(Perform_Active!$S32:$T32,Perform_Active!$S$8:$T$8,AQ$343),)</f>
        <v>0</v>
      </c>
      <c r="AR367" s="271">
        <f>IF(Tech_Specs!$E31="linear",TREND(Perform_Active!$S32:$T32,Perform_Active!$S$8:$T$8,AR$343),)</f>
        <v>0</v>
      </c>
      <c r="AS367" s="271">
        <f>IF(Tech_Specs!$E31="linear",TREND(Perform_Active!$S32:$T32,Perform_Active!$S$8:$T$8,AS$343),)</f>
        <v>0</v>
      </c>
      <c r="AT367" s="271">
        <f>IF(Tech_Specs!$E31="linear",TREND(Perform_Active!$S32:$T32,Perform_Active!$S$8:$T$8,AT$343),)</f>
        <v>0</v>
      </c>
      <c r="AU367" s="271">
        <f>IF(Tech_Specs!$E31="linear",TREND(Perform_Active!$S32:$T32,Perform_Active!$S$8:$T$8,AU$343),)</f>
        <v>0</v>
      </c>
      <c r="AV367" s="271">
        <f>IF(Tech_Specs!$E31="linear",TREND(Perform_Active!$S32:$T32,Perform_Active!$S$8:$T$8,AV$343),)</f>
        <v>0</v>
      </c>
      <c r="AW367" s="271">
        <f>IF(Tech_Specs!$E31="linear",TREND(Perform_Active!$S32:$T32,Perform_Active!$S$8:$T$8,AW$343),)</f>
        <v>0</v>
      </c>
      <c r="AX367" s="271">
        <f>IF(Tech_Specs!$E31="linear",TREND(Perform_Active!$S32:$T32,Perform_Active!$S$8:$T$8,AX$343),)</f>
        <v>0</v>
      </c>
      <c r="AY367" s="271">
        <f>IF(Tech_Specs!$E31="linear",TREND(Perform_Active!$S32:$T32,Perform_Active!$S$8:$T$8,AY$343),)</f>
        <v>0</v>
      </c>
      <c r="AZ367" s="271">
        <f>IF(Tech_Specs!$E31="linear",TREND(Perform_Active!$S32:$T32,Perform_Active!$S$8:$T$8,AZ$343),)</f>
        <v>0</v>
      </c>
      <c r="BA367" s="271">
        <f>IF(Tech_Specs!$E31="linear",TREND(Perform_Active!$S32:$T32,Perform_Active!$S$8:$T$8,BA$343),)</f>
        <v>0</v>
      </c>
      <c r="BB367" s="271">
        <f>IF(Tech_Specs!$E31="linear",TREND(Perform_Active!$S32:$T32,Perform_Active!$S$8:$T$8,BB$343),)</f>
        <v>0</v>
      </c>
      <c r="BC367" s="271">
        <f>IF(Tech_Specs!$E31="linear",TREND(Perform_Active!$S32:$T32,Perform_Active!$S$8:$T$8,BC$343),)</f>
        <v>0</v>
      </c>
      <c r="BD367" s="271">
        <f>IF(Tech_Specs!$E31="linear",TREND(Perform_Active!$S32:$T32,Perform_Active!$S$8:$T$8,BD$343),)</f>
        <v>0</v>
      </c>
      <c r="BE367" s="271">
        <f>IF(Tech_Specs!$E31="linear",TREND(Perform_Active!$S32:$T32,Perform_Active!$S$8:$T$8,BE$343),)</f>
        <v>0</v>
      </c>
      <c r="BF367" s="271">
        <f>IF(Tech_Specs!$E31="linear",TREND(Perform_Active!$S32:$T32,Perform_Active!$S$8:$T$8,BF$343),)</f>
        <v>0</v>
      </c>
      <c r="BG367" s="271">
        <f>IF(Tech_Specs!$E31="linear",TREND(Perform_Active!$S32:$T32,Perform_Active!$S$8:$T$8,BG$343),)</f>
        <v>0</v>
      </c>
      <c r="BI367" s="271">
        <f>IF(Tech_Specs!$E31="logistic",IF(Tech_Specs!$K31="lamp",Perform_SSL!G$14,Perform_SSL!G$15),)*Perform_Active!$I32/1000</f>
        <v>1203.7062211089469</v>
      </c>
      <c r="BJ367" s="271">
        <f>IF(Tech_Specs!$E31="logistic",IF(Tech_Specs!$K31="lamp",Perform_SSL!H$14,Perform_SSL!H$15),)*Perform_Active!$I32/1000</f>
        <v>722.24473963395099</v>
      </c>
      <c r="BK367" s="271">
        <f>IF(Tech_Specs!$E31="logistic",IF(Tech_Specs!$K31="lamp",Perform_SSL!I$14,Perform_SSL!I$15),)*Perform_Active!$I32/1000</f>
        <v>516.0420873719271</v>
      </c>
      <c r="BL367" s="271">
        <f>IF(Tech_Specs!$E31="logistic",IF(Tech_Specs!$K31="lamp",Perform_SSL!J$14,Perform_SSL!J$15),)*Perform_Active!$I32/1000</f>
        <v>401.52080371265487</v>
      </c>
      <c r="BM367" s="271">
        <f>IF(Tech_Specs!$E31="logistic",IF(Tech_Specs!$K31="lamp",Perform_SSL!K$14,Perform_SSL!K$15),)*Perform_Active!$I32/1000</f>
        <v>328.6569118463413</v>
      </c>
      <c r="BN367" s="271">
        <f>IF(Tech_Specs!$E31="logistic",IF(Tech_Specs!$K31="lamp",Perform_SSL!L$14,Perform_SSL!L$15),)*Perform_Active!$I32/1000</f>
        <v>278.21873220397742</v>
      </c>
      <c r="BO367" s="271">
        <f>IF(Tech_Specs!$E31="logistic",IF(Tech_Specs!$K31="lamp",Perform_SSL!M$14,Perform_SSL!M$15),)*Perform_Active!$I32/1000</f>
        <v>241.23388096641386</v>
      </c>
      <c r="BP367" s="271">
        <f>IF(Tech_Specs!$E31="logistic",IF(Tech_Specs!$K31="lamp",Perform_SSL!N$14,Perform_SSL!N$15),)*Perform_Active!$I32/1000</f>
        <v>212.95314429011489</v>
      </c>
      <c r="BQ367" s="271">
        <f>IF(Tech_Specs!$E31="logistic",IF(Tech_Specs!$K31="lamp",Perform_SSL!O$14,Perform_SSL!O$15),)*Perform_Active!$I32/1000</f>
        <v>190.62734669202749</v>
      </c>
      <c r="BR367" s="271">
        <f>IF(Tech_Specs!$E31="logistic",IF(Tech_Specs!$K31="lamp",Perform_SSL!P$14,Perform_SSL!P$15),)*Perform_Active!$I32/1000</f>
        <v>172.5547926630984</v>
      </c>
      <c r="BS367" s="271">
        <f>IF(Tech_Specs!$E31="logistic",IF(Tech_Specs!$K31="lamp",Perform_SSL!Q$14,Perform_SSL!Q$15),)*Perform_Active!$I32/1000</f>
        <v>157.62577110017534</v>
      </c>
      <c r="BT367" s="271">
        <f>IF(Tech_Specs!$E31="logistic",IF(Tech_Specs!$K31="lamp",Perform_SSL!R$14,Perform_SSL!R$15),)*Perform_Active!$I32/1000</f>
        <v>145.08572830276833</v>
      </c>
      <c r="BU367" s="271">
        <f>IF(Tech_Specs!$E31="logistic",IF(Tech_Specs!$K31="lamp",Perform_SSL!S$14,Perform_SSL!S$15),)*Perform_Active!$I32/1000</f>
        <v>134.40371109684665</v>
      </c>
      <c r="BV367" s="271">
        <f>IF(Tech_Specs!$E31="logistic",IF(Tech_Specs!$K31="lamp",Perform_SSL!T$14,Perform_SSL!T$15),)*Perform_Active!$I32/1000</f>
        <v>125.19525387440162</v>
      </c>
      <c r="BW367" s="271">
        <f>IF(Tech_Specs!$E31="logistic",IF(Tech_Specs!$K31="lamp",Perform_SSL!U$14,Perform_SSL!U$15),)*Perform_Active!$I32/1000</f>
        <v>117.17511919045766</v>
      </c>
      <c r="BX367" s="271">
        <f>IF(Tech_Specs!$E31="logistic",IF(Tech_Specs!$K31="lamp",Perform_SSL!V$14,Perform_SSL!V$15),)*Perform_Active!$I32/1000</f>
        <v>110.1272254250824</v>
      </c>
      <c r="BY367" s="271">
        <f>IF(Tech_Specs!$E31="logistic",IF(Tech_Specs!$K31="lamp",Perform_SSL!W$14,Perform_SSL!W$15),)*Perform_Active!$I32/1000</f>
        <v>103.88488599508089</v>
      </c>
      <c r="BZ367" s="271">
        <f>IF(Tech_Specs!$E31="logistic",IF(Tech_Specs!$K31="lamp",Perform_SSL!X$14,Perform_SSL!X$15),)*Perform_Active!$I32/1000</f>
        <v>98.31745807786659</v>
      </c>
      <c r="CA367" s="271">
        <f>IF(Tech_Specs!$E31="logistic",IF(Tech_Specs!$K31="lamp",Perform_SSL!Y$14,Perform_SSL!Y$15),)*Perform_Active!$I32/1000</f>
        <v>93.321099789948619</v>
      </c>
      <c r="CB367" s="271">
        <f>IF(Tech_Specs!$E31="logistic",IF(Tech_Specs!$K31="lamp",Perform_SSL!Z$14,Perform_SSL!Z$15),)*Perform_Active!$I32/1000</f>
        <v>88.812232813017587</v>
      </c>
      <c r="CC367" s="271">
        <f>IF(Tech_Specs!$E31="logistic",IF(Tech_Specs!$K31="lamp",Perform_SSL!AA$14,Perform_SSL!AA$15),)*Perform_Active!$I32/1000</f>
        <v>84.722829552338439</v>
      </c>
      <c r="CD367" s="271">
        <f>IF(Tech_Specs!$E31="logistic",IF(Tech_Specs!$K31="lamp",Perform_SSL!AB$14,Perform_SSL!AB$15),)*Perform_Active!$I32/1000</f>
        <v>80.99695715091201</v>
      </c>
      <c r="CE367" s="271">
        <f>IF(Tech_Specs!$E31="logistic",IF(Tech_Specs!$K31="lamp",Perform_SSL!AC$14,Perform_SSL!AC$15),)*Perform_Active!$I32/1000</f>
        <v>77.588203948881983</v>
      </c>
      <c r="CF367" s="271">
        <f>IF(Tech_Specs!$E31="logistic",IF(Tech_Specs!$K31="lamp",Perform_SSL!AD$14,Perform_SSL!AD$15),)*Perform_Active!$I32/1000</f>
        <v>74.457736242917932</v>
      </c>
      <c r="CG367" s="271">
        <f>IF(Tech_Specs!$E31="logistic",IF(Tech_Specs!$K31="lamp",Perform_SSL!AE$14,Perform_SSL!AE$15),)*Perform_Active!$I32/1000</f>
        <v>71.572812310146375</v>
      </c>
      <c r="CH367" s="271">
        <f>IF(Tech_Specs!$E31="logistic",IF(Tech_Specs!$K31="lamp",Perform_SSL!AF$14,Perform_SSL!AF$15),)*Perform_Active!$I32/1000</f>
        <v>68.905632901770119</v>
      </c>
      <c r="CJ367" s="271">
        <f>IF(AND(Tech_Specs!$E31="step",Standards_Active!$E32="yes"),IF(CJ$343&lt;Standards_Active!$C32,TREND(Perform_Active!$S32:$T32,Perform_Active!$S$8:$T$8,CJ$343),IF(ISNUMBER(Standards_Active!$M32),IF(AND(CJ$343&gt;=Standards_Active!$C32,CJ$343&lt;Standards_Active!$D32),(Standards_Active!$M32-INDEX($CJ367:$DI367,1,MATCH((Standards_Active!$C32-1),$CJ$343:$DI$343,FALSE)))/(Standards_Active!$D32-(Standards_Active!$C32-1))+CI367,Standards_Active!$M32*((1+Standards_Active!$O32)^(CJ$343-Standards_Active!$D32))),TREND(Perform_Active!$S32:$T32,Perform_Active!$S$8:$T$8,CJ$343))),)</f>
        <v>0</v>
      </c>
      <c r="CK367" s="271">
        <f>IF(AND(Tech_Specs!$E31="step",Standards_Active!$E32="yes"),IF(CK$343&lt;Standards_Active!$C32,TREND(Perform_Active!$S32:$T32,Perform_Active!$S$8:$T$8,CK$343),IF(ISNUMBER(Standards_Active!$M32),IF(AND(CK$343&gt;=Standards_Active!$C32,CK$343&lt;Standards_Active!$D32),(Standards_Active!$M32-INDEX($CJ367:$DI367,1,MATCH((Standards_Active!$C32-1),$CJ$343:$DI$343,FALSE)))/(Standards_Active!$D32-(Standards_Active!$C32-1))+CJ367,Standards_Active!$M32*((1+Standards_Active!$O32)^(CK$343-Standards_Active!$D32))),TREND(Perform_Active!$S32:$T32,Perform_Active!$S$8:$T$8,CK$343))),)</f>
        <v>0</v>
      </c>
      <c r="CL367" s="271">
        <f>IF(AND(Tech_Specs!$E31="step",Standards_Active!$E32="yes"),IF(CL$343&lt;Standards_Active!$C32,TREND(Perform_Active!$S32:$T32,Perform_Active!$S$8:$T$8,CL$343),IF(ISNUMBER(Standards_Active!$M32),IF(AND(CL$343&gt;=Standards_Active!$C32,CL$343&lt;Standards_Active!$D32),(Standards_Active!$M32-INDEX($CJ367:$DI367,1,MATCH((Standards_Active!$C32-1),$CJ$343:$DI$343,FALSE)))/(Standards_Active!$D32-(Standards_Active!$C32-1))+CK367,Standards_Active!$M32*((1+Standards_Active!$O32)^(CL$343-Standards_Active!$D32))),TREND(Perform_Active!$S32:$T32,Perform_Active!$S$8:$T$8,CL$343))),)</f>
        <v>0</v>
      </c>
      <c r="CM367" s="271">
        <f>IF(AND(Tech_Specs!$E31="step",Standards_Active!$E32="yes"),IF(CM$343&lt;Standards_Active!$C32,TREND(Perform_Active!$S32:$T32,Perform_Active!$S$8:$T$8,CM$343),IF(ISNUMBER(Standards_Active!$M32),IF(AND(CM$343&gt;=Standards_Active!$C32,CM$343&lt;Standards_Active!$D32),(Standards_Active!$M32-INDEX($CJ367:$DI367,1,MATCH((Standards_Active!$C32-1),$CJ$343:$DI$343,FALSE)))/(Standards_Active!$D32-(Standards_Active!$C32-1))+CL367,Standards_Active!$M32*((1+Standards_Active!$O32)^(CM$343-Standards_Active!$D32))),TREND(Perform_Active!$S32:$T32,Perform_Active!$S$8:$T$8,CM$343))),)</f>
        <v>0</v>
      </c>
      <c r="CN367" s="271">
        <f>IF(AND(Tech_Specs!$E31="step",Standards_Active!$E32="yes"),IF(CN$343&lt;Standards_Active!$C32,TREND(Perform_Active!$S32:$T32,Perform_Active!$S$8:$T$8,CN$343),IF(ISNUMBER(Standards_Active!$M32),IF(AND(CN$343&gt;=Standards_Active!$C32,CN$343&lt;Standards_Active!$D32),(Standards_Active!$M32-INDEX($CJ367:$DI367,1,MATCH((Standards_Active!$C32-1),$CJ$343:$DI$343,FALSE)))/(Standards_Active!$D32-(Standards_Active!$C32-1))+CM367,Standards_Active!$M32*((1+Standards_Active!$O32)^(CN$343-Standards_Active!$D32))),TREND(Perform_Active!$S32:$T32,Perform_Active!$S$8:$T$8,CN$343))),)</f>
        <v>0</v>
      </c>
      <c r="CO367" s="271">
        <f>IF(AND(Tech_Specs!$E31="step",Standards_Active!$E32="yes"),IF(CO$343&lt;Standards_Active!$C32,TREND(Perform_Active!$S32:$T32,Perform_Active!$S$8:$T$8,CO$343),IF(ISNUMBER(Standards_Active!$M32),IF(AND(CO$343&gt;=Standards_Active!$C32,CO$343&lt;Standards_Active!$D32),(Standards_Active!$M32-INDEX($CJ367:$DI367,1,MATCH((Standards_Active!$C32-1),$CJ$343:$DI$343,FALSE)))/(Standards_Active!$D32-(Standards_Active!$C32-1))+CN367,Standards_Active!$M32*((1+Standards_Active!$O32)^(CO$343-Standards_Active!$D32))),TREND(Perform_Active!$S32:$T32,Perform_Active!$S$8:$T$8,CO$343))),)</f>
        <v>0</v>
      </c>
      <c r="CP367" s="271">
        <f>IF(AND(Tech_Specs!$E31="step",Standards_Active!$E32="yes"),IF(CP$343&lt;Standards_Active!$C32,TREND(Perform_Active!$S32:$T32,Perform_Active!$S$8:$T$8,CP$343),IF(ISNUMBER(Standards_Active!$M32),IF(AND(CP$343&gt;=Standards_Active!$C32,CP$343&lt;Standards_Active!$D32),(Standards_Active!$M32-INDEX($CJ367:$DI367,1,MATCH((Standards_Active!$C32-1),$CJ$343:$DI$343,FALSE)))/(Standards_Active!$D32-(Standards_Active!$C32-1))+CO367,Standards_Active!$M32*((1+Standards_Active!$O32)^(CP$343-Standards_Active!$D32))),TREND(Perform_Active!$S32:$T32,Perform_Active!$S$8:$T$8,CP$343))),)</f>
        <v>0</v>
      </c>
      <c r="CQ367" s="271">
        <f>IF(AND(Tech_Specs!$E31="step",Standards_Active!$E32="yes"),IF(CQ$343&lt;Standards_Active!$C32,TREND(Perform_Active!$S32:$T32,Perform_Active!$S$8:$T$8,CQ$343),IF(ISNUMBER(Standards_Active!$M32),IF(AND(CQ$343&gt;=Standards_Active!$C32,CQ$343&lt;Standards_Active!$D32),(Standards_Active!$M32-INDEX($CJ367:$DI367,1,MATCH((Standards_Active!$C32-1),$CJ$343:$DI$343,FALSE)))/(Standards_Active!$D32-(Standards_Active!$C32-1))+CP367,Standards_Active!$M32*((1+Standards_Active!$O32)^(CQ$343-Standards_Active!$D32))),TREND(Perform_Active!$S32:$T32,Perform_Active!$S$8:$T$8,CQ$343))),)</f>
        <v>0</v>
      </c>
      <c r="CR367" s="271">
        <f>IF(AND(Tech_Specs!$E31="step",Standards_Active!$E32="yes"),IF(CR$343&lt;Standards_Active!$C32,TREND(Perform_Active!$S32:$T32,Perform_Active!$S$8:$T$8,CR$343),IF(ISNUMBER(Standards_Active!$M32),IF(AND(CR$343&gt;=Standards_Active!$C32,CR$343&lt;Standards_Active!$D32),(Standards_Active!$M32-INDEX($CJ367:$DI367,1,MATCH((Standards_Active!$C32-1),$CJ$343:$DI$343,FALSE)))/(Standards_Active!$D32-(Standards_Active!$C32-1))+CQ367,Standards_Active!$M32*((1+Standards_Active!$O32)^(CR$343-Standards_Active!$D32))),TREND(Perform_Active!$S32:$T32,Perform_Active!$S$8:$T$8,CR$343))),)</f>
        <v>0</v>
      </c>
      <c r="CS367" s="271">
        <f>IF(AND(Tech_Specs!$E31="step",Standards_Active!$E32="yes"),IF(CS$343&lt;Standards_Active!$C32,TREND(Perform_Active!$S32:$T32,Perform_Active!$S$8:$T$8,CS$343),IF(ISNUMBER(Standards_Active!$M32),IF(AND(CS$343&gt;=Standards_Active!$C32,CS$343&lt;Standards_Active!$D32),(Standards_Active!$M32-INDEX($CJ367:$DI367,1,MATCH((Standards_Active!$C32-1),$CJ$343:$DI$343,FALSE)))/(Standards_Active!$D32-(Standards_Active!$C32-1))+CR367,Standards_Active!$M32*((1+Standards_Active!$O32)^(CS$343-Standards_Active!$D32))),TREND(Perform_Active!$S32:$T32,Perform_Active!$S$8:$T$8,CS$343))),)</f>
        <v>0</v>
      </c>
      <c r="CT367" s="271">
        <f>IF(AND(Tech_Specs!$E31="step",Standards_Active!$E32="yes"),IF(CT$343&lt;Standards_Active!$C32,TREND(Perform_Active!$S32:$T32,Perform_Active!$S$8:$T$8,CT$343),IF(ISNUMBER(Standards_Active!$M32),IF(AND(CT$343&gt;=Standards_Active!$C32,CT$343&lt;Standards_Active!$D32),(Standards_Active!$M32-INDEX($CJ367:$DI367,1,MATCH((Standards_Active!$C32-1),$CJ$343:$DI$343,FALSE)))/(Standards_Active!$D32-(Standards_Active!$C32-1))+CS367,Standards_Active!$M32*((1+Standards_Active!$O32)^(CT$343-Standards_Active!$D32))),TREND(Perform_Active!$S32:$T32,Perform_Active!$S$8:$T$8,CT$343))),)</f>
        <v>0</v>
      </c>
      <c r="CU367" s="271">
        <f>IF(AND(Tech_Specs!$E31="step",Standards_Active!$E32="yes"),IF(CU$343&lt;Standards_Active!$C32,TREND(Perform_Active!$S32:$T32,Perform_Active!$S$8:$T$8,CU$343),IF(ISNUMBER(Standards_Active!$M32),IF(AND(CU$343&gt;=Standards_Active!$C32,CU$343&lt;Standards_Active!$D32),(Standards_Active!$M32-INDEX($CJ367:$DI367,1,MATCH((Standards_Active!$C32-1),$CJ$343:$DI$343,FALSE)))/(Standards_Active!$D32-(Standards_Active!$C32-1))+CT367,Standards_Active!$M32*((1+Standards_Active!$O32)^(CU$343-Standards_Active!$D32))),TREND(Perform_Active!$S32:$T32,Perform_Active!$S$8:$T$8,CU$343))),)</f>
        <v>0</v>
      </c>
      <c r="CV367" s="271">
        <f>IF(AND(Tech_Specs!$E31="step",Standards_Active!$E32="yes"),IF(CV$343&lt;Standards_Active!$C32,TREND(Perform_Active!$S32:$T32,Perform_Active!$S$8:$T$8,CV$343),IF(ISNUMBER(Standards_Active!$M32),IF(AND(CV$343&gt;=Standards_Active!$C32,CV$343&lt;Standards_Active!$D32),(Standards_Active!$M32-INDEX($CJ367:$DI367,1,MATCH((Standards_Active!$C32-1),$CJ$343:$DI$343,FALSE)))/(Standards_Active!$D32-(Standards_Active!$C32-1))+CU367,Standards_Active!$M32*((1+Standards_Active!$O32)^(CV$343-Standards_Active!$D32))),TREND(Perform_Active!$S32:$T32,Perform_Active!$S$8:$T$8,CV$343))),)</f>
        <v>0</v>
      </c>
      <c r="CW367" s="271">
        <f>IF(AND(Tech_Specs!$E31="step",Standards_Active!$E32="yes"),IF(CW$343&lt;Standards_Active!$C32,TREND(Perform_Active!$S32:$T32,Perform_Active!$S$8:$T$8,CW$343),IF(ISNUMBER(Standards_Active!$M32),IF(AND(CW$343&gt;=Standards_Active!$C32,CW$343&lt;Standards_Active!$D32),(Standards_Active!$M32-INDEX($CJ367:$DI367,1,MATCH((Standards_Active!$C32-1),$CJ$343:$DI$343,FALSE)))/(Standards_Active!$D32-(Standards_Active!$C32-1))+CV367,Standards_Active!$M32*((1+Standards_Active!$O32)^(CW$343-Standards_Active!$D32))),TREND(Perform_Active!$S32:$T32,Perform_Active!$S$8:$T$8,CW$343))),)</f>
        <v>0</v>
      </c>
      <c r="CX367" s="271">
        <f>IF(AND(Tech_Specs!$E31="step",Standards_Active!$E32="yes"),IF(CX$343&lt;Standards_Active!$C32,TREND(Perform_Active!$S32:$T32,Perform_Active!$S$8:$T$8,CX$343),IF(ISNUMBER(Standards_Active!$M32),IF(AND(CX$343&gt;=Standards_Active!$C32,CX$343&lt;Standards_Active!$D32),(Standards_Active!$M32-INDEX($CJ367:$DI367,1,MATCH((Standards_Active!$C32-1),$CJ$343:$DI$343,FALSE)))/(Standards_Active!$D32-(Standards_Active!$C32-1))+CW367,Standards_Active!$M32*((1+Standards_Active!$O32)^(CX$343-Standards_Active!$D32))),TREND(Perform_Active!$S32:$T32,Perform_Active!$S$8:$T$8,CX$343))),)</f>
        <v>0</v>
      </c>
      <c r="CY367" s="271">
        <f>IF(AND(Tech_Specs!$E31="step",Standards_Active!$E32="yes"),IF(CY$343&lt;Standards_Active!$C32,TREND(Perform_Active!$S32:$T32,Perform_Active!$S$8:$T$8,CY$343),IF(ISNUMBER(Standards_Active!$M32),IF(AND(CY$343&gt;=Standards_Active!$C32,CY$343&lt;Standards_Active!$D32),(Standards_Active!$M32-INDEX($CJ367:$DI367,1,MATCH((Standards_Active!$C32-1),$CJ$343:$DI$343,FALSE)))/(Standards_Active!$D32-(Standards_Active!$C32-1))+CX367,Standards_Active!$M32*((1+Standards_Active!$O32)^(CY$343-Standards_Active!$D32))),TREND(Perform_Active!$S32:$T32,Perform_Active!$S$8:$T$8,CY$343))),)</f>
        <v>0</v>
      </c>
      <c r="CZ367" s="271">
        <f>IF(AND(Tech_Specs!$E31="step",Standards_Active!$E32="yes"),IF(CZ$343&lt;Standards_Active!$C32,TREND(Perform_Active!$S32:$T32,Perform_Active!$S$8:$T$8,CZ$343),IF(ISNUMBER(Standards_Active!$M32),IF(AND(CZ$343&gt;=Standards_Active!$C32,CZ$343&lt;Standards_Active!$D32),(Standards_Active!$M32-INDEX($CJ367:$DI367,1,MATCH((Standards_Active!$C32-1),$CJ$343:$DI$343,FALSE)))/(Standards_Active!$D32-(Standards_Active!$C32-1))+CY367,Standards_Active!$M32*((1+Standards_Active!$O32)^(CZ$343-Standards_Active!$D32))),TREND(Perform_Active!$S32:$T32,Perform_Active!$S$8:$T$8,CZ$343))),)</f>
        <v>0</v>
      </c>
      <c r="DA367" s="271">
        <f>IF(AND(Tech_Specs!$E31="step",Standards_Active!$E32="yes"),IF(DA$343&lt;Standards_Active!$C32,TREND(Perform_Active!$S32:$T32,Perform_Active!$S$8:$T$8,DA$343),IF(ISNUMBER(Standards_Active!$M32),IF(AND(DA$343&gt;=Standards_Active!$C32,DA$343&lt;Standards_Active!$D32),(Standards_Active!$M32-INDEX($CJ367:$DI367,1,MATCH((Standards_Active!$C32-1),$CJ$343:$DI$343,FALSE)))/(Standards_Active!$D32-(Standards_Active!$C32-1))+CZ367,Standards_Active!$M32*((1+Standards_Active!$O32)^(DA$343-Standards_Active!$D32))),TREND(Perform_Active!$S32:$T32,Perform_Active!$S$8:$T$8,DA$343))),)</f>
        <v>0</v>
      </c>
      <c r="DB367" s="271">
        <f>IF(AND(Tech_Specs!$E31="step",Standards_Active!$E32="yes"),IF(DB$343&lt;Standards_Active!$C32,TREND(Perform_Active!$S32:$T32,Perform_Active!$S$8:$T$8,DB$343),IF(ISNUMBER(Standards_Active!$M32),IF(AND(DB$343&gt;=Standards_Active!$C32,DB$343&lt;Standards_Active!$D32),(Standards_Active!$M32-INDEX($CJ367:$DI367,1,MATCH((Standards_Active!$C32-1),$CJ$343:$DI$343,FALSE)))/(Standards_Active!$D32-(Standards_Active!$C32-1))+DA367,Standards_Active!$M32*((1+Standards_Active!$O32)^(DB$343-Standards_Active!$D32))),TREND(Perform_Active!$S32:$T32,Perform_Active!$S$8:$T$8,DB$343))),)</f>
        <v>0</v>
      </c>
      <c r="DC367" s="271">
        <f>IF(AND(Tech_Specs!$E31="step",Standards_Active!$E32="yes"),IF(DC$343&lt;Standards_Active!$C32,TREND(Perform_Active!$S32:$T32,Perform_Active!$S$8:$T$8,DC$343),IF(ISNUMBER(Standards_Active!$M32),IF(AND(DC$343&gt;=Standards_Active!$C32,DC$343&lt;Standards_Active!$D32),(Standards_Active!$M32-INDEX($CJ367:$DI367,1,MATCH((Standards_Active!$C32-1),$CJ$343:$DI$343,FALSE)))/(Standards_Active!$D32-(Standards_Active!$C32-1))+DB367,Standards_Active!$M32*((1+Standards_Active!$O32)^(DC$343-Standards_Active!$D32))),TREND(Perform_Active!$S32:$T32,Perform_Active!$S$8:$T$8,DC$343))),)</f>
        <v>0</v>
      </c>
      <c r="DD367" s="271">
        <f>IF(AND(Tech_Specs!$E31="step",Standards_Active!$E32="yes"),IF(DD$343&lt;Standards_Active!$C32,TREND(Perform_Active!$S32:$T32,Perform_Active!$S$8:$T$8,DD$343),IF(ISNUMBER(Standards_Active!$M32),IF(AND(DD$343&gt;=Standards_Active!$C32,DD$343&lt;Standards_Active!$D32),(Standards_Active!$M32-INDEX($CJ367:$DI367,1,MATCH((Standards_Active!$C32-1),$CJ$343:$DI$343,FALSE)))/(Standards_Active!$D32-(Standards_Active!$C32-1))+DC367,Standards_Active!$M32*((1+Standards_Active!$O32)^(DD$343-Standards_Active!$D32))),TREND(Perform_Active!$S32:$T32,Perform_Active!$S$8:$T$8,DD$343))),)</f>
        <v>0</v>
      </c>
      <c r="DE367" s="271">
        <f>IF(AND(Tech_Specs!$E31="step",Standards_Active!$E32="yes"),IF(DE$343&lt;Standards_Active!$C32,TREND(Perform_Active!$S32:$T32,Perform_Active!$S$8:$T$8,DE$343),IF(ISNUMBER(Standards_Active!$M32),IF(AND(DE$343&gt;=Standards_Active!$C32,DE$343&lt;Standards_Active!$D32),(Standards_Active!$M32-INDEX($CJ367:$DI367,1,MATCH((Standards_Active!$C32-1),$CJ$343:$DI$343,FALSE)))/(Standards_Active!$D32-(Standards_Active!$C32-1))+DD367,Standards_Active!$M32*((1+Standards_Active!$O32)^(DE$343-Standards_Active!$D32))),TREND(Perform_Active!$S32:$T32,Perform_Active!$S$8:$T$8,DE$343))),)</f>
        <v>0</v>
      </c>
      <c r="DF367" s="271">
        <f>IF(AND(Tech_Specs!$E31="step",Standards_Active!$E32="yes"),IF(DF$343&lt;Standards_Active!$C32,TREND(Perform_Active!$S32:$T32,Perform_Active!$S$8:$T$8,DF$343),IF(ISNUMBER(Standards_Active!$M32),IF(AND(DF$343&gt;=Standards_Active!$C32,DF$343&lt;Standards_Active!$D32),(Standards_Active!$M32-INDEX($CJ367:$DI367,1,MATCH((Standards_Active!$C32-1),$CJ$343:$DI$343,FALSE)))/(Standards_Active!$D32-(Standards_Active!$C32-1))+DE367,Standards_Active!$M32*((1+Standards_Active!$O32)^(DF$343-Standards_Active!$D32))),TREND(Perform_Active!$S32:$T32,Perform_Active!$S$8:$T$8,DF$343))),)</f>
        <v>0</v>
      </c>
      <c r="DG367" s="271">
        <f>IF(AND(Tech_Specs!$E31="step",Standards_Active!$E32="yes"),IF(DG$343&lt;Standards_Active!$C32,TREND(Perform_Active!$S32:$T32,Perform_Active!$S$8:$T$8,DG$343),IF(ISNUMBER(Standards_Active!$M32),IF(AND(DG$343&gt;=Standards_Active!$C32,DG$343&lt;Standards_Active!$D32),(Standards_Active!$M32-INDEX($CJ367:$DI367,1,MATCH((Standards_Active!$C32-1),$CJ$343:$DI$343,FALSE)))/(Standards_Active!$D32-(Standards_Active!$C32-1))+DF367,Standards_Active!$M32*((1+Standards_Active!$O32)^(DG$343-Standards_Active!$D32))),TREND(Perform_Active!$S32:$T32,Perform_Active!$S$8:$T$8,DG$343))),)</f>
        <v>0</v>
      </c>
      <c r="DH367" s="271">
        <f>IF(AND(Tech_Specs!$E31="step",Standards_Active!$E32="yes"),IF(DH$343&lt;Standards_Active!$C32,TREND(Perform_Active!$S32:$T32,Perform_Active!$S$8:$T$8,DH$343),IF(ISNUMBER(Standards_Active!$M32),IF(AND(DH$343&gt;=Standards_Active!$C32,DH$343&lt;Standards_Active!$D32),(Standards_Active!$M32-INDEX($CJ367:$DI367,1,MATCH((Standards_Active!$C32-1),$CJ$343:$DI$343,FALSE)))/(Standards_Active!$D32-(Standards_Active!$C32-1))+DG367,Standards_Active!$M32*((1+Standards_Active!$O32)^(DH$343-Standards_Active!$D32))),TREND(Perform_Active!$S32:$T32,Perform_Active!$S$8:$T$8,DH$343))),)</f>
        <v>0</v>
      </c>
      <c r="DI367" s="271">
        <f>IF(AND(Tech_Specs!$E31="step",Standards_Active!$E32="yes"),IF(DI$343&lt;Standards_Active!$C32,TREND(Perform_Active!$S32:$T32,Perform_Active!$S$8:$T$8,DI$343),IF(ISNUMBER(Standards_Active!$M32),IF(AND(DI$343&gt;=Standards_Active!$C32,DI$343&lt;Standards_Active!$D32),(Standards_Active!$M32-INDEX($CJ367:$DI367,1,MATCH((Standards_Active!$C32-1),$CJ$343:$DI$343,FALSE)))/(Standards_Active!$D32-(Standards_Active!$C32-1))+DH367,Standards_Active!$M32*((1+Standards_Active!$O32)^(DI$343-Standards_Active!$D32))),TREND(Perform_Active!$S32:$T32,Perform_Active!$S$8:$T$8,DI$343))),)</f>
        <v>0</v>
      </c>
    </row>
    <row r="368" spans="1:113" s="302" customFormat="1" ht="12.75" x14ac:dyDescent="0.2">
      <c r="D368" s="550"/>
      <c r="E368" s="550"/>
      <c r="F368" s="550"/>
      <c r="G368" s="341"/>
      <c r="H368" s="341"/>
      <c r="I368" s="341"/>
      <c r="J368" s="341"/>
      <c r="K368" s="341"/>
      <c r="L368" s="341"/>
      <c r="M368" s="341"/>
      <c r="N368" s="341"/>
      <c r="O368" s="341"/>
      <c r="P368" s="341"/>
      <c r="Q368" s="341"/>
      <c r="R368" s="341"/>
      <c r="S368" s="341"/>
      <c r="T368" s="341"/>
      <c r="U368" s="341"/>
      <c r="V368" s="341"/>
      <c r="W368" s="341"/>
      <c r="X368" s="341"/>
      <c r="Y368" s="341"/>
      <c r="Z368" s="341"/>
      <c r="AA368" s="341"/>
      <c r="AB368" s="341"/>
      <c r="AC368" s="341"/>
      <c r="AD368" s="341"/>
      <c r="AE368" s="341"/>
      <c r="AF368" s="341"/>
      <c r="AH368" s="341"/>
      <c r="AI368" s="341"/>
      <c r="AJ368" s="341"/>
      <c r="AK368" s="341"/>
      <c r="AL368" s="341"/>
      <c r="AM368" s="341"/>
      <c r="AN368" s="341"/>
      <c r="AO368" s="341"/>
      <c r="AP368" s="341"/>
      <c r="AQ368" s="341"/>
      <c r="AR368" s="341"/>
      <c r="AS368" s="341"/>
      <c r="AT368" s="341"/>
      <c r="AU368" s="341"/>
      <c r="AV368" s="341"/>
      <c r="AW368" s="341"/>
      <c r="AX368" s="341"/>
      <c r="AY368" s="341"/>
      <c r="AZ368" s="341"/>
      <c r="BA368" s="341"/>
      <c r="BB368" s="341"/>
      <c r="BC368" s="341"/>
      <c r="BD368" s="341"/>
      <c r="BE368" s="341"/>
      <c r="BF368" s="341"/>
      <c r="BG368" s="341"/>
      <c r="BI368" s="341"/>
      <c r="BJ368" s="341"/>
      <c r="BK368" s="341"/>
      <c r="BL368" s="341"/>
      <c r="BM368" s="341"/>
      <c r="BN368" s="341"/>
      <c r="BO368" s="341"/>
      <c r="BP368" s="341"/>
      <c r="BQ368" s="341"/>
      <c r="BR368" s="341"/>
      <c r="BS368" s="341"/>
      <c r="BT368" s="341"/>
      <c r="BU368" s="341"/>
      <c r="BV368" s="341"/>
      <c r="BW368" s="341"/>
      <c r="BX368" s="341"/>
      <c r="BY368" s="341"/>
      <c r="BZ368" s="341"/>
      <c r="CA368" s="341"/>
      <c r="CB368" s="341"/>
      <c r="CC368" s="341"/>
      <c r="CD368" s="341"/>
      <c r="CE368" s="341"/>
      <c r="CF368" s="341"/>
      <c r="CG368" s="341"/>
      <c r="CH368" s="341"/>
      <c r="CJ368" s="341"/>
      <c r="CK368" s="341"/>
      <c r="CL368" s="341"/>
      <c r="CM368" s="341"/>
      <c r="CN368" s="341"/>
      <c r="CO368" s="341"/>
      <c r="CP368" s="341"/>
      <c r="CQ368" s="341"/>
      <c r="CR368" s="341"/>
      <c r="CS368" s="341"/>
      <c r="CT368" s="341"/>
      <c r="CU368" s="341"/>
      <c r="CV368" s="341"/>
      <c r="CW368" s="341"/>
      <c r="CX368" s="341"/>
      <c r="CY368" s="341"/>
      <c r="CZ368" s="341"/>
      <c r="DA368" s="341"/>
      <c r="DB368" s="341"/>
      <c r="DC368" s="341"/>
      <c r="DD368" s="341"/>
      <c r="DE368" s="341"/>
      <c r="DF368" s="341"/>
      <c r="DG368" s="341"/>
      <c r="DH368" s="341"/>
      <c r="DI368" s="341"/>
    </row>
    <row r="369" spans="1:113" s="302" customFormat="1" ht="12.75" x14ac:dyDescent="0.2">
      <c r="A369" s="311" t="s">
        <v>47</v>
      </c>
      <c r="B369" s="310"/>
      <c r="C369" s="304"/>
      <c r="D369" s="501"/>
      <c r="E369" s="501"/>
      <c r="F369" s="501"/>
      <c r="G369" s="320"/>
      <c r="H369" s="320"/>
      <c r="I369" s="320"/>
      <c r="J369" s="320"/>
      <c r="K369" s="320"/>
      <c r="L369" s="320"/>
      <c r="M369" s="320"/>
      <c r="N369" s="320"/>
      <c r="O369" s="320"/>
      <c r="P369" s="320"/>
      <c r="Q369" s="320"/>
      <c r="R369" s="320"/>
      <c r="S369" s="320"/>
      <c r="T369" s="320"/>
      <c r="U369" s="320"/>
      <c r="V369" s="320"/>
      <c r="W369" s="320"/>
      <c r="X369" s="320"/>
      <c r="Y369" s="320"/>
      <c r="Z369" s="320"/>
      <c r="AA369" s="320"/>
      <c r="AB369" s="320"/>
      <c r="AC369" s="320"/>
      <c r="AD369" s="320"/>
      <c r="AE369" s="320"/>
      <c r="AF369" s="320"/>
      <c r="AH369" s="320"/>
      <c r="AI369" s="320"/>
      <c r="AJ369" s="320"/>
      <c r="AK369" s="320"/>
      <c r="AL369" s="320"/>
      <c r="AM369" s="320"/>
      <c r="AN369" s="320"/>
      <c r="AO369" s="320"/>
      <c r="AP369" s="320"/>
      <c r="AQ369" s="320"/>
      <c r="AR369" s="320"/>
      <c r="AS369" s="320"/>
      <c r="AT369" s="320"/>
      <c r="AU369" s="320"/>
      <c r="AV369" s="320"/>
      <c r="AW369" s="320"/>
      <c r="AX369" s="320"/>
      <c r="AY369" s="320"/>
      <c r="AZ369" s="320"/>
      <c r="BA369" s="320"/>
      <c r="BB369" s="320"/>
      <c r="BC369" s="320"/>
      <c r="BD369" s="320"/>
      <c r="BE369" s="320"/>
      <c r="BF369" s="320"/>
      <c r="BG369" s="320"/>
      <c r="BI369" s="320"/>
      <c r="BJ369" s="320"/>
      <c r="BK369" s="320"/>
      <c r="BL369" s="320"/>
      <c r="BM369" s="320"/>
      <c r="BN369" s="320"/>
      <c r="BO369" s="320"/>
      <c r="BP369" s="320"/>
      <c r="BQ369" s="320"/>
      <c r="BR369" s="320"/>
      <c r="BS369" s="320"/>
      <c r="BT369" s="320"/>
      <c r="BU369" s="320"/>
      <c r="BV369" s="320"/>
      <c r="BW369" s="320"/>
      <c r="BX369" s="320"/>
      <c r="BY369" s="320"/>
      <c r="BZ369" s="320"/>
      <c r="CA369" s="320"/>
      <c r="CB369" s="320"/>
      <c r="CC369" s="320"/>
      <c r="CD369" s="320"/>
      <c r="CE369" s="320"/>
      <c r="CF369" s="320"/>
      <c r="CG369" s="320"/>
      <c r="CH369" s="320"/>
      <c r="CJ369" s="320"/>
      <c r="CK369" s="320"/>
      <c r="CL369" s="320"/>
      <c r="CM369" s="320"/>
      <c r="CN369" s="320"/>
      <c r="CO369" s="320"/>
      <c r="CP369" s="320"/>
      <c r="CQ369" s="320"/>
      <c r="CR369" s="320"/>
      <c r="CS369" s="320"/>
      <c r="CT369" s="320"/>
      <c r="CU369" s="320"/>
      <c r="CV369" s="320"/>
      <c r="CW369" s="320"/>
      <c r="CX369" s="320"/>
      <c r="CY369" s="320"/>
      <c r="CZ369" s="320"/>
      <c r="DA369" s="320"/>
      <c r="DB369" s="320"/>
      <c r="DC369" s="320"/>
      <c r="DD369" s="320"/>
      <c r="DE369" s="320"/>
      <c r="DF369" s="320"/>
      <c r="DG369" s="320"/>
      <c r="DH369" s="320"/>
      <c r="DI369" s="320"/>
    </row>
    <row r="370" spans="1:113" s="302" customFormat="1" ht="12.75" x14ac:dyDescent="0.2">
      <c r="B370" s="302" t="s">
        <v>48</v>
      </c>
      <c r="C370" s="306"/>
      <c r="D370" s="552"/>
      <c r="E370" s="552"/>
      <c r="F370" s="552"/>
      <c r="G370" s="272">
        <f t="shared" ref="G370:P375" si="63">SUM(AH370,BI370,CJ370)</f>
        <v>0.95823036626248737</v>
      </c>
      <c r="H370" s="272">
        <f t="shared" si="63"/>
        <v>0.9534392144311763</v>
      </c>
      <c r="I370" s="272">
        <f t="shared" si="63"/>
        <v>0.94864806259986345</v>
      </c>
      <c r="J370" s="272">
        <f t="shared" si="63"/>
        <v>0.94385691076855061</v>
      </c>
      <c r="K370" s="272">
        <f t="shared" si="63"/>
        <v>0.93906575893723776</v>
      </c>
      <c r="L370" s="272">
        <f t="shared" si="63"/>
        <v>0.93427460710592669</v>
      </c>
      <c r="M370" s="272">
        <f t="shared" si="63"/>
        <v>0.92948345527461385</v>
      </c>
      <c r="N370" s="272">
        <f t="shared" si="63"/>
        <v>0.924692303443301</v>
      </c>
      <c r="O370" s="272">
        <f t="shared" si="63"/>
        <v>0.91990115161198815</v>
      </c>
      <c r="P370" s="272">
        <f t="shared" si="63"/>
        <v>0.91510999978067531</v>
      </c>
      <c r="Q370" s="272">
        <f t="shared" ref="Q370:Z375" si="64">SUM(AR370,BS370,CT370)</f>
        <v>0.91031884794936424</v>
      </c>
      <c r="R370" s="272">
        <f t="shared" si="64"/>
        <v>0.9055276961180514</v>
      </c>
      <c r="S370" s="272">
        <f t="shared" si="64"/>
        <v>0.90073654428673855</v>
      </c>
      <c r="T370" s="272">
        <f t="shared" si="64"/>
        <v>0.8959453924554257</v>
      </c>
      <c r="U370" s="272">
        <f t="shared" si="64"/>
        <v>0.89115424062411464</v>
      </c>
      <c r="V370" s="272">
        <f t="shared" si="64"/>
        <v>0.88636308879280179</v>
      </c>
      <c r="W370" s="272">
        <f t="shared" si="64"/>
        <v>0.88157193696148894</v>
      </c>
      <c r="X370" s="272">
        <f t="shared" si="64"/>
        <v>0.8767807851301761</v>
      </c>
      <c r="Y370" s="272">
        <f t="shared" si="64"/>
        <v>0.87198963329886325</v>
      </c>
      <c r="Z370" s="272">
        <f t="shared" si="64"/>
        <v>0.86719848146755218</v>
      </c>
      <c r="AA370" s="272">
        <f t="shared" ref="AA370:AF375" si="65">SUM(BB370,CC370,DD370)</f>
        <v>0.86240732963623934</v>
      </c>
      <c r="AB370" s="272">
        <f t="shared" si="65"/>
        <v>0.85761617780492649</v>
      </c>
      <c r="AC370" s="272">
        <f t="shared" si="65"/>
        <v>0.85282502597361365</v>
      </c>
      <c r="AD370" s="272">
        <f t="shared" si="65"/>
        <v>0.84803387414230258</v>
      </c>
      <c r="AE370" s="272">
        <f t="shared" si="65"/>
        <v>0.84324272231098973</v>
      </c>
      <c r="AF370" s="272">
        <f t="shared" si="65"/>
        <v>0.83845157047967689</v>
      </c>
      <c r="AH370" s="271">
        <f>IF(Tech_Specs!$E34="linear",TREND(Perform_Active!$S35:$T35,Perform_Active!$S$8:$T$8,AH$343),)</f>
        <v>0</v>
      </c>
      <c r="AI370" s="271">
        <f>IF(Tech_Specs!$E34="linear",TREND(Perform_Active!$S35:$T35,Perform_Active!$S$8:$T$8,AI$343),)</f>
        <v>0</v>
      </c>
      <c r="AJ370" s="271">
        <f>IF(Tech_Specs!$E34="linear",TREND(Perform_Active!$S35:$T35,Perform_Active!$S$8:$T$8,AJ$343),)</f>
        <v>0</v>
      </c>
      <c r="AK370" s="271">
        <f>IF(Tech_Specs!$E34="linear",TREND(Perform_Active!$S35:$T35,Perform_Active!$S$8:$T$8,AK$343),)</f>
        <v>0</v>
      </c>
      <c r="AL370" s="271">
        <f>IF(Tech_Specs!$E34="linear",TREND(Perform_Active!$S35:$T35,Perform_Active!$S$8:$T$8,AL$343),)</f>
        <v>0</v>
      </c>
      <c r="AM370" s="271">
        <f>IF(Tech_Specs!$E34="linear",TREND(Perform_Active!$S35:$T35,Perform_Active!$S$8:$T$8,AM$343),)</f>
        <v>0</v>
      </c>
      <c r="AN370" s="271">
        <f>IF(Tech_Specs!$E34="linear",TREND(Perform_Active!$S35:$T35,Perform_Active!$S$8:$T$8,AN$343),)</f>
        <v>0</v>
      </c>
      <c r="AO370" s="271">
        <f>IF(Tech_Specs!$E34="linear",TREND(Perform_Active!$S35:$T35,Perform_Active!$S$8:$T$8,AO$343),)</f>
        <v>0</v>
      </c>
      <c r="AP370" s="271">
        <f>IF(Tech_Specs!$E34="linear",TREND(Perform_Active!$S35:$T35,Perform_Active!$S$8:$T$8,AP$343),)</f>
        <v>0</v>
      </c>
      <c r="AQ370" s="271">
        <f>IF(Tech_Specs!$E34="linear",TREND(Perform_Active!$S35:$T35,Perform_Active!$S$8:$T$8,AQ$343),)</f>
        <v>0</v>
      </c>
      <c r="AR370" s="271">
        <f>IF(Tech_Specs!$E34="linear",TREND(Perform_Active!$S35:$T35,Perform_Active!$S$8:$T$8,AR$343),)</f>
        <v>0</v>
      </c>
      <c r="AS370" s="271">
        <f>IF(Tech_Specs!$E34="linear",TREND(Perform_Active!$S35:$T35,Perform_Active!$S$8:$T$8,AS$343),)</f>
        <v>0</v>
      </c>
      <c r="AT370" s="271">
        <f>IF(Tech_Specs!$E34="linear",TREND(Perform_Active!$S35:$T35,Perform_Active!$S$8:$T$8,AT$343),)</f>
        <v>0</v>
      </c>
      <c r="AU370" s="271">
        <f>IF(Tech_Specs!$E34="linear",TREND(Perform_Active!$S35:$T35,Perform_Active!$S$8:$T$8,AU$343),)</f>
        <v>0</v>
      </c>
      <c r="AV370" s="271">
        <f>IF(Tech_Specs!$E34="linear",TREND(Perform_Active!$S35:$T35,Perform_Active!$S$8:$T$8,AV$343),)</f>
        <v>0</v>
      </c>
      <c r="AW370" s="271">
        <f>IF(Tech_Specs!$E34="linear",TREND(Perform_Active!$S35:$T35,Perform_Active!$S$8:$T$8,AW$343),)</f>
        <v>0</v>
      </c>
      <c r="AX370" s="271">
        <f>IF(Tech_Specs!$E34="linear",TREND(Perform_Active!$S35:$T35,Perform_Active!$S$8:$T$8,AX$343),)</f>
        <v>0</v>
      </c>
      <c r="AY370" s="271">
        <f>IF(Tech_Specs!$E34="linear",TREND(Perform_Active!$S35:$T35,Perform_Active!$S$8:$T$8,AY$343),)</f>
        <v>0</v>
      </c>
      <c r="AZ370" s="271">
        <f>IF(Tech_Specs!$E34="linear",TREND(Perform_Active!$S35:$T35,Perform_Active!$S$8:$T$8,AZ$343),)</f>
        <v>0</v>
      </c>
      <c r="BA370" s="271">
        <f>IF(Tech_Specs!$E34="linear",TREND(Perform_Active!$S35:$T35,Perform_Active!$S$8:$T$8,BA$343),)</f>
        <v>0</v>
      </c>
      <c r="BB370" s="271">
        <f>IF(Tech_Specs!$E34="linear",TREND(Perform_Active!$S35:$T35,Perform_Active!$S$8:$T$8,BB$343),)</f>
        <v>0</v>
      </c>
      <c r="BC370" s="271">
        <f>IF(Tech_Specs!$E34="linear",TREND(Perform_Active!$S35:$T35,Perform_Active!$S$8:$T$8,BC$343),)</f>
        <v>0</v>
      </c>
      <c r="BD370" s="271">
        <f>IF(Tech_Specs!$E34="linear",TREND(Perform_Active!$S35:$T35,Perform_Active!$S$8:$T$8,BD$343),)</f>
        <v>0</v>
      </c>
      <c r="BE370" s="271">
        <f>IF(Tech_Specs!$E34="linear",TREND(Perform_Active!$S35:$T35,Perform_Active!$S$8:$T$8,BE$343),)</f>
        <v>0</v>
      </c>
      <c r="BF370" s="271">
        <f>IF(Tech_Specs!$E34="linear",TREND(Perform_Active!$S35:$T35,Perform_Active!$S$8:$T$8,BF$343),)</f>
        <v>0</v>
      </c>
      <c r="BG370" s="271">
        <f>IF(Tech_Specs!$E34="linear",TREND(Perform_Active!$S35:$T35,Perform_Active!$S$8:$T$8,BG$343),)</f>
        <v>0</v>
      </c>
      <c r="BI370" s="271">
        <f>IF(Tech_Specs!$E34="logistic",IF(Tech_Specs!$K34="lamp",Perform_SSL!G$14,Perform_SSL!G$15),)*Perform_Active!$I35/1000</f>
        <v>0</v>
      </c>
      <c r="BJ370" s="271">
        <f>IF(Tech_Specs!$E34="logistic",IF(Tech_Specs!$K34="lamp",Perform_SSL!H$14,Perform_SSL!H$15),)*Perform_Active!$I35/1000</f>
        <v>0</v>
      </c>
      <c r="BK370" s="271">
        <f>IF(Tech_Specs!$E34="logistic",IF(Tech_Specs!$K34="lamp",Perform_SSL!I$14,Perform_SSL!I$15),)*Perform_Active!$I35/1000</f>
        <v>0</v>
      </c>
      <c r="BL370" s="271">
        <f>IF(Tech_Specs!$E34="logistic",IF(Tech_Specs!$K34="lamp",Perform_SSL!J$14,Perform_SSL!J$15),)*Perform_Active!$I35/1000</f>
        <v>0</v>
      </c>
      <c r="BM370" s="271">
        <f>IF(Tech_Specs!$E34="logistic",IF(Tech_Specs!$K34="lamp",Perform_SSL!K$14,Perform_SSL!K$15),)*Perform_Active!$I35/1000</f>
        <v>0</v>
      </c>
      <c r="BN370" s="271">
        <f>IF(Tech_Specs!$E34="logistic",IF(Tech_Specs!$K34="lamp",Perform_SSL!L$14,Perform_SSL!L$15),)*Perform_Active!$I35/1000</f>
        <v>0</v>
      </c>
      <c r="BO370" s="271">
        <f>IF(Tech_Specs!$E34="logistic",IF(Tech_Specs!$K34="lamp",Perform_SSL!M$14,Perform_SSL!M$15),)*Perform_Active!$I35/1000</f>
        <v>0</v>
      </c>
      <c r="BP370" s="271">
        <f>IF(Tech_Specs!$E34="logistic",IF(Tech_Specs!$K34="lamp",Perform_SSL!N$14,Perform_SSL!N$15),)*Perform_Active!$I35/1000</f>
        <v>0</v>
      </c>
      <c r="BQ370" s="271">
        <f>IF(Tech_Specs!$E34="logistic",IF(Tech_Specs!$K34="lamp",Perform_SSL!O$14,Perform_SSL!O$15),)*Perform_Active!$I35/1000</f>
        <v>0</v>
      </c>
      <c r="BR370" s="271">
        <f>IF(Tech_Specs!$E34="logistic",IF(Tech_Specs!$K34="lamp",Perform_SSL!P$14,Perform_SSL!P$15),)*Perform_Active!$I35/1000</f>
        <v>0</v>
      </c>
      <c r="BS370" s="271">
        <f>IF(Tech_Specs!$E34="logistic",IF(Tech_Specs!$K34="lamp",Perform_SSL!Q$14,Perform_SSL!Q$15),)*Perform_Active!$I35/1000</f>
        <v>0</v>
      </c>
      <c r="BT370" s="271">
        <f>IF(Tech_Specs!$E34="logistic",IF(Tech_Specs!$K34="lamp",Perform_SSL!R$14,Perform_SSL!R$15),)*Perform_Active!$I35/1000</f>
        <v>0</v>
      </c>
      <c r="BU370" s="271">
        <f>IF(Tech_Specs!$E34="logistic",IF(Tech_Specs!$K34="lamp",Perform_SSL!S$14,Perform_SSL!S$15),)*Perform_Active!$I35/1000</f>
        <v>0</v>
      </c>
      <c r="BV370" s="271">
        <f>IF(Tech_Specs!$E34="logistic",IF(Tech_Specs!$K34="lamp",Perform_SSL!T$14,Perform_SSL!T$15),)*Perform_Active!$I35/1000</f>
        <v>0</v>
      </c>
      <c r="BW370" s="271">
        <f>IF(Tech_Specs!$E34="logistic",IF(Tech_Specs!$K34="lamp",Perform_SSL!U$14,Perform_SSL!U$15),)*Perform_Active!$I35/1000</f>
        <v>0</v>
      </c>
      <c r="BX370" s="271">
        <f>IF(Tech_Specs!$E34="logistic",IF(Tech_Specs!$K34="lamp",Perform_SSL!V$14,Perform_SSL!V$15),)*Perform_Active!$I35/1000</f>
        <v>0</v>
      </c>
      <c r="BY370" s="271">
        <f>IF(Tech_Specs!$E34="logistic",IF(Tech_Specs!$K34="lamp",Perform_SSL!W$14,Perform_SSL!W$15),)*Perform_Active!$I35/1000</f>
        <v>0</v>
      </c>
      <c r="BZ370" s="271">
        <f>IF(Tech_Specs!$E34="logistic",IF(Tech_Specs!$K34="lamp",Perform_SSL!X$14,Perform_SSL!X$15),)*Perform_Active!$I35/1000</f>
        <v>0</v>
      </c>
      <c r="CA370" s="271">
        <f>IF(Tech_Specs!$E34="logistic",IF(Tech_Specs!$K34="lamp",Perform_SSL!Y$14,Perform_SSL!Y$15),)*Perform_Active!$I35/1000</f>
        <v>0</v>
      </c>
      <c r="CB370" s="271">
        <f>IF(Tech_Specs!$E34="logistic",IF(Tech_Specs!$K34="lamp",Perform_SSL!Z$14,Perform_SSL!Z$15),)*Perform_Active!$I35/1000</f>
        <v>0</v>
      </c>
      <c r="CC370" s="271">
        <f>IF(Tech_Specs!$E34="logistic",IF(Tech_Specs!$K34="lamp",Perform_SSL!AA$14,Perform_SSL!AA$15),)*Perform_Active!$I35/1000</f>
        <v>0</v>
      </c>
      <c r="CD370" s="271">
        <f>IF(Tech_Specs!$E34="logistic",IF(Tech_Specs!$K34="lamp",Perform_SSL!AB$14,Perform_SSL!AB$15),)*Perform_Active!$I35/1000</f>
        <v>0</v>
      </c>
      <c r="CE370" s="271">
        <f>IF(Tech_Specs!$E34="logistic",IF(Tech_Specs!$K34="lamp",Perform_SSL!AC$14,Perform_SSL!AC$15),)*Perform_Active!$I35/1000</f>
        <v>0</v>
      </c>
      <c r="CF370" s="271">
        <f>IF(Tech_Specs!$E34="logistic",IF(Tech_Specs!$K34="lamp",Perform_SSL!AD$14,Perform_SSL!AD$15),)*Perform_Active!$I35/1000</f>
        <v>0</v>
      </c>
      <c r="CG370" s="271">
        <f>IF(Tech_Specs!$E34="logistic",IF(Tech_Specs!$K34="lamp",Perform_SSL!AE$14,Perform_SSL!AE$15),)*Perform_Active!$I35/1000</f>
        <v>0</v>
      </c>
      <c r="CH370" s="271">
        <f>IF(Tech_Specs!$E34="logistic",IF(Tech_Specs!$K34="lamp",Perform_SSL!AF$14,Perform_SSL!AF$15),)*Perform_Active!$I35/1000</f>
        <v>0</v>
      </c>
      <c r="CJ370" s="271">
        <f>IF(AND(Tech_Specs!$E34="step",Standards_Active!$E35="yes"),IF(CJ$343&lt;Standards_Active!$C35,TREND(Perform_Active!$S35:$T35,Perform_Active!$S$8:$T$8,CJ$343),IF(ISNUMBER(Standards_Active!$M35),IF(AND(CJ$343&gt;=Standards_Active!$C35,CJ$343&lt;Standards_Active!$D35),(Standards_Active!$M35-INDEX($CJ370:$DI370,1,MATCH((Standards_Active!$C35-1),$CJ$343:$DI$343,FALSE)))/(Standards_Active!$D35-(Standards_Active!$C35-1))+CI370,Standards_Active!$M35*((1+Standards_Active!$O35)^(CJ$343-Standards_Active!$D35))),TREND(Perform_Active!$S35:$T35,Perform_Active!$S$8:$T$8,CJ$343))),)</f>
        <v>0.95823036626248737</v>
      </c>
      <c r="CK370" s="271">
        <f>IF(AND(Tech_Specs!$E34="step",Standards_Active!$E35="yes"),IF(CK$343&lt;Standards_Active!$C35,TREND(Perform_Active!$S35:$T35,Perform_Active!$S$8:$T$8,CK$343),IF(ISNUMBER(Standards_Active!$M35),IF(AND(CK$343&gt;=Standards_Active!$C35,CK$343&lt;Standards_Active!$D35),(Standards_Active!$M35-INDEX($CJ370:$DI370,1,MATCH((Standards_Active!$C35-1),$CJ$343:$DI$343,FALSE)))/(Standards_Active!$D35-(Standards_Active!$C35-1))+CJ370,Standards_Active!$M35*((1+Standards_Active!$O35)^(CK$343-Standards_Active!$D35))),TREND(Perform_Active!$S35:$T35,Perform_Active!$S$8:$T$8,CK$343))),)</f>
        <v>0.9534392144311763</v>
      </c>
      <c r="CL370" s="271">
        <f>IF(AND(Tech_Specs!$E34="step",Standards_Active!$E35="yes"),IF(CL$343&lt;Standards_Active!$C35,TREND(Perform_Active!$S35:$T35,Perform_Active!$S$8:$T$8,CL$343),IF(ISNUMBER(Standards_Active!$M35),IF(AND(CL$343&gt;=Standards_Active!$C35,CL$343&lt;Standards_Active!$D35),(Standards_Active!$M35-INDEX($CJ370:$DI370,1,MATCH((Standards_Active!$C35-1),$CJ$343:$DI$343,FALSE)))/(Standards_Active!$D35-(Standards_Active!$C35-1))+CK370,Standards_Active!$M35*((1+Standards_Active!$O35)^(CL$343-Standards_Active!$D35))),TREND(Perform_Active!$S35:$T35,Perform_Active!$S$8:$T$8,CL$343))),)</f>
        <v>0.94864806259986345</v>
      </c>
      <c r="CM370" s="271">
        <f>IF(AND(Tech_Specs!$E34="step",Standards_Active!$E35="yes"),IF(CM$343&lt;Standards_Active!$C35,TREND(Perform_Active!$S35:$T35,Perform_Active!$S$8:$T$8,CM$343),IF(ISNUMBER(Standards_Active!$M35),IF(AND(CM$343&gt;=Standards_Active!$C35,CM$343&lt;Standards_Active!$D35),(Standards_Active!$M35-INDEX($CJ370:$DI370,1,MATCH((Standards_Active!$C35-1),$CJ$343:$DI$343,FALSE)))/(Standards_Active!$D35-(Standards_Active!$C35-1))+CL370,Standards_Active!$M35*((1+Standards_Active!$O35)^(CM$343-Standards_Active!$D35))),TREND(Perform_Active!$S35:$T35,Perform_Active!$S$8:$T$8,CM$343))),)</f>
        <v>0.94385691076855061</v>
      </c>
      <c r="CN370" s="271">
        <f>IF(AND(Tech_Specs!$E34="step",Standards_Active!$E35="yes"),IF(CN$343&lt;Standards_Active!$C35,TREND(Perform_Active!$S35:$T35,Perform_Active!$S$8:$T$8,CN$343),IF(ISNUMBER(Standards_Active!$M35),IF(AND(CN$343&gt;=Standards_Active!$C35,CN$343&lt;Standards_Active!$D35),(Standards_Active!$M35-INDEX($CJ370:$DI370,1,MATCH((Standards_Active!$C35-1),$CJ$343:$DI$343,FALSE)))/(Standards_Active!$D35-(Standards_Active!$C35-1))+CM370,Standards_Active!$M35*((1+Standards_Active!$O35)^(CN$343-Standards_Active!$D35))),TREND(Perform_Active!$S35:$T35,Perform_Active!$S$8:$T$8,CN$343))),)</f>
        <v>0.93906575893723776</v>
      </c>
      <c r="CO370" s="271">
        <f>IF(AND(Tech_Specs!$E34="step",Standards_Active!$E35="yes"),IF(CO$343&lt;Standards_Active!$C35,TREND(Perform_Active!$S35:$T35,Perform_Active!$S$8:$T$8,CO$343),IF(ISNUMBER(Standards_Active!$M35),IF(AND(CO$343&gt;=Standards_Active!$C35,CO$343&lt;Standards_Active!$D35),(Standards_Active!$M35-INDEX($CJ370:$DI370,1,MATCH((Standards_Active!$C35-1),$CJ$343:$DI$343,FALSE)))/(Standards_Active!$D35-(Standards_Active!$C35-1))+CN370,Standards_Active!$M35*((1+Standards_Active!$O35)^(CO$343-Standards_Active!$D35))),TREND(Perform_Active!$S35:$T35,Perform_Active!$S$8:$T$8,CO$343))),)</f>
        <v>0.93427460710592669</v>
      </c>
      <c r="CP370" s="271">
        <f>IF(AND(Tech_Specs!$E34="step",Standards_Active!$E35="yes"),IF(CP$343&lt;Standards_Active!$C35,TREND(Perform_Active!$S35:$T35,Perform_Active!$S$8:$T$8,CP$343),IF(ISNUMBER(Standards_Active!$M35),IF(AND(CP$343&gt;=Standards_Active!$C35,CP$343&lt;Standards_Active!$D35),(Standards_Active!$M35-INDEX($CJ370:$DI370,1,MATCH((Standards_Active!$C35-1),$CJ$343:$DI$343,FALSE)))/(Standards_Active!$D35-(Standards_Active!$C35-1))+CO370,Standards_Active!$M35*((1+Standards_Active!$O35)^(CP$343-Standards_Active!$D35))),TREND(Perform_Active!$S35:$T35,Perform_Active!$S$8:$T$8,CP$343))),)</f>
        <v>0.92948345527461385</v>
      </c>
      <c r="CQ370" s="271">
        <f>IF(AND(Tech_Specs!$E34="step",Standards_Active!$E35="yes"),IF(CQ$343&lt;Standards_Active!$C35,TREND(Perform_Active!$S35:$T35,Perform_Active!$S$8:$T$8,CQ$343),IF(ISNUMBER(Standards_Active!$M35),IF(AND(CQ$343&gt;=Standards_Active!$C35,CQ$343&lt;Standards_Active!$D35),(Standards_Active!$M35-INDEX($CJ370:$DI370,1,MATCH((Standards_Active!$C35-1),$CJ$343:$DI$343,FALSE)))/(Standards_Active!$D35-(Standards_Active!$C35-1))+CP370,Standards_Active!$M35*((1+Standards_Active!$O35)^(CQ$343-Standards_Active!$D35))),TREND(Perform_Active!$S35:$T35,Perform_Active!$S$8:$T$8,CQ$343))),)</f>
        <v>0.924692303443301</v>
      </c>
      <c r="CR370" s="271">
        <f>IF(AND(Tech_Specs!$E34="step",Standards_Active!$E35="yes"),IF(CR$343&lt;Standards_Active!$C35,TREND(Perform_Active!$S35:$T35,Perform_Active!$S$8:$T$8,CR$343),IF(ISNUMBER(Standards_Active!$M35),IF(AND(CR$343&gt;=Standards_Active!$C35,CR$343&lt;Standards_Active!$D35),(Standards_Active!$M35-INDEX($CJ370:$DI370,1,MATCH((Standards_Active!$C35-1),$CJ$343:$DI$343,FALSE)))/(Standards_Active!$D35-(Standards_Active!$C35-1))+CQ370,Standards_Active!$M35*((1+Standards_Active!$O35)^(CR$343-Standards_Active!$D35))),TREND(Perform_Active!$S35:$T35,Perform_Active!$S$8:$T$8,CR$343))),)</f>
        <v>0.91990115161198815</v>
      </c>
      <c r="CS370" s="271">
        <f>IF(AND(Tech_Specs!$E34="step",Standards_Active!$E35="yes"),IF(CS$343&lt;Standards_Active!$C35,TREND(Perform_Active!$S35:$T35,Perform_Active!$S$8:$T$8,CS$343),IF(ISNUMBER(Standards_Active!$M35),IF(AND(CS$343&gt;=Standards_Active!$C35,CS$343&lt;Standards_Active!$D35),(Standards_Active!$M35-INDEX($CJ370:$DI370,1,MATCH((Standards_Active!$C35-1),$CJ$343:$DI$343,FALSE)))/(Standards_Active!$D35-(Standards_Active!$C35-1))+CR370,Standards_Active!$M35*((1+Standards_Active!$O35)^(CS$343-Standards_Active!$D35))),TREND(Perform_Active!$S35:$T35,Perform_Active!$S$8:$T$8,CS$343))),)</f>
        <v>0.91510999978067531</v>
      </c>
      <c r="CT370" s="271">
        <f>IF(AND(Tech_Specs!$E34="step",Standards_Active!$E35="yes"),IF(CT$343&lt;Standards_Active!$C35,TREND(Perform_Active!$S35:$T35,Perform_Active!$S$8:$T$8,CT$343),IF(ISNUMBER(Standards_Active!$M35),IF(AND(CT$343&gt;=Standards_Active!$C35,CT$343&lt;Standards_Active!$D35),(Standards_Active!$M35-INDEX($CJ370:$DI370,1,MATCH((Standards_Active!$C35-1),$CJ$343:$DI$343,FALSE)))/(Standards_Active!$D35-(Standards_Active!$C35-1))+CS370,Standards_Active!$M35*((1+Standards_Active!$O35)^(CT$343-Standards_Active!$D35))),TREND(Perform_Active!$S35:$T35,Perform_Active!$S$8:$T$8,CT$343))),)</f>
        <v>0.91031884794936424</v>
      </c>
      <c r="CU370" s="271">
        <f>IF(AND(Tech_Specs!$E34="step",Standards_Active!$E35="yes"),IF(CU$343&lt;Standards_Active!$C35,TREND(Perform_Active!$S35:$T35,Perform_Active!$S$8:$T$8,CU$343),IF(ISNUMBER(Standards_Active!$M35),IF(AND(CU$343&gt;=Standards_Active!$C35,CU$343&lt;Standards_Active!$D35),(Standards_Active!$M35-INDEX($CJ370:$DI370,1,MATCH((Standards_Active!$C35-1),$CJ$343:$DI$343,FALSE)))/(Standards_Active!$D35-(Standards_Active!$C35-1))+CT370,Standards_Active!$M35*((1+Standards_Active!$O35)^(CU$343-Standards_Active!$D35))),TREND(Perform_Active!$S35:$T35,Perform_Active!$S$8:$T$8,CU$343))),)</f>
        <v>0.9055276961180514</v>
      </c>
      <c r="CV370" s="271">
        <f>IF(AND(Tech_Specs!$E34="step",Standards_Active!$E35="yes"),IF(CV$343&lt;Standards_Active!$C35,TREND(Perform_Active!$S35:$T35,Perform_Active!$S$8:$T$8,CV$343),IF(ISNUMBER(Standards_Active!$M35),IF(AND(CV$343&gt;=Standards_Active!$C35,CV$343&lt;Standards_Active!$D35),(Standards_Active!$M35-INDEX($CJ370:$DI370,1,MATCH((Standards_Active!$C35-1),$CJ$343:$DI$343,FALSE)))/(Standards_Active!$D35-(Standards_Active!$C35-1))+CU370,Standards_Active!$M35*((1+Standards_Active!$O35)^(CV$343-Standards_Active!$D35))),TREND(Perform_Active!$S35:$T35,Perform_Active!$S$8:$T$8,CV$343))),)</f>
        <v>0.90073654428673855</v>
      </c>
      <c r="CW370" s="271">
        <f>IF(AND(Tech_Specs!$E34="step",Standards_Active!$E35="yes"),IF(CW$343&lt;Standards_Active!$C35,TREND(Perform_Active!$S35:$T35,Perform_Active!$S$8:$T$8,CW$343),IF(ISNUMBER(Standards_Active!$M35),IF(AND(CW$343&gt;=Standards_Active!$C35,CW$343&lt;Standards_Active!$D35),(Standards_Active!$M35-INDEX($CJ370:$DI370,1,MATCH((Standards_Active!$C35-1),$CJ$343:$DI$343,FALSE)))/(Standards_Active!$D35-(Standards_Active!$C35-1))+CV370,Standards_Active!$M35*((1+Standards_Active!$O35)^(CW$343-Standards_Active!$D35))),TREND(Perform_Active!$S35:$T35,Perform_Active!$S$8:$T$8,CW$343))),)</f>
        <v>0.8959453924554257</v>
      </c>
      <c r="CX370" s="271">
        <f>IF(AND(Tech_Specs!$E34="step",Standards_Active!$E35="yes"),IF(CX$343&lt;Standards_Active!$C35,TREND(Perform_Active!$S35:$T35,Perform_Active!$S$8:$T$8,CX$343),IF(ISNUMBER(Standards_Active!$M35),IF(AND(CX$343&gt;=Standards_Active!$C35,CX$343&lt;Standards_Active!$D35),(Standards_Active!$M35-INDEX($CJ370:$DI370,1,MATCH((Standards_Active!$C35-1),$CJ$343:$DI$343,FALSE)))/(Standards_Active!$D35-(Standards_Active!$C35-1))+CW370,Standards_Active!$M35*((1+Standards_Active!$O35)^(CX$343-Standards_Active!$D35))),TREND(Perform_Active!$S35:$T35,Perform_Active!$S$8:$T$8,CX$343))),)</f>
        <v>0.89115424062411464</v>
      </c>
      <c r="CY370" s="271">
        <f>IF(AND(Tech_Specs!$E34="step",Standards_Active!$E35="yes"),IF(CY$343&lt;Standards_Active!$C35,TREND(Perform_Active!$S35:$T35,Perform_Active!$S$8:$T$8,CY$343),IF(ISNUMBER(Standards_Active!$M35),IF(AND(CY$343&gt;=Standards_Active!$C35,CY$343&lt;Standards_Active!$D35),(Standards_Active!$M35-INDEX($CJ370:$DI370,1,MATCH((Standards_Active!$C35-1),$CJ$343:$DI$343,FALSE)))/(Standards_Active!$D35-(Standards_Active!$C35-1))+CX370,Standards_Active!$M35*((1+Standards_Active!$O35)^(CY$343-Standards_Active!$D35))),TREND(Perform_Active!$S35:$T35,Perform_Active!$S$8:$T$8,CY$343))),)</f>
        <v>0.88636308879280179</v>
      </c>
      <c r="CZ370" s="271">
        <f>IF(AND(Tech_Specs!$E34="step",Standards_Active!$E35="yes"),IF(CZ$343&lt;Standards_Active!$C35,TREND(Perform_Active!$S35:$T35,Perform_Active!$S$8:$T$8,CZ$343),IF(ISNUMBER(Standards_Active!$M35),IF(AND(CZ$343&gt;=Standards_Active!$C35,CZ$343&lt;Standards_Active!$D35),(Standards_Active!$M35-INDEX($CJ370:$DI370,1,MATCH((Standards_Active!$C35-1),$CJ$343:$DI$343,FALSE)))/(Standards_Active!$D35-(Standards_Active!$C35-1))+CY370,Standards_Active!$M35*((1+Standards_Active!$O35)^(CZ$343-Standards_Active!$D35))),TREND(Perform_Active!$S35:$T35,Perform_Active!$S$8:$T$8,CZ$343))),)</f>
        <v>0.88157193696148894</v>
      </c>
      <c r="DA370" s="271">
        <f>IF(AND(Tech_Specs!$E34="step",Standards_Active!$E35="yes"),IF(DA$343&lt;Standards_Active!$C35,TREND(Perform_Active!$S35:$T35,Perform_Active!$S$8:$T$8,DA$343),IF(ISNUMBER(Standards_Active!$M35),IF(AND(DA$343&gt;=Standards_Active!$C35,DA$343&lt;Standards_Active!$D35),(Standards_Active!$M35-INDEX($CJ370:$DI370,1,MATCH((Standards_Active!$C35-1),$CJ$343:$DI$343,FALSE)))/(Standards_Active!$D35-(Standards_Active!$C35-1))+CZ370,Standards_Active!$M35*((1+Standards_Active!$O35)^(DA$343-Standards_Active!$D35))),TREND(Perform_Active!$S35:$T35,Perform_Active!$S$8:$T$8,DA$343))),)</f>
        <v>0.8767807851301761</v>
      </c>
      <c r="DB370" s="271">
        <f>IF(AND(Tech_Specs!$E34="step",Standards_Active!$E35="yes"),IF(DB$343&lt;Standards_Active!$C35,TREND(Perform_Active!$S35:$T35,Perform_Active!$S$8:$T$8,DB$343),IF(ISNUMBER(Standards_Active!$M35),IF(AND(DB$343&gt;=Standards_Active!$C35,DB$343&lt;Standards_Active!$D35),(Standards_Active!$M35-INDEX($CJ370:$DI370,1,MATCH((Standards_Active!$C35-1),$CJ$343:$DI$343,FALSE)))/(Standards_Active!$D35-(Standards_Active!$C35-1))+DA370,Standards_Active!$M35*((1+Standards_Active!$O35)^(DB$343-Standards_Active!$D35))),TREND(Perform_Active!$S35:$T35,Perform_Active!$S$8:$T$8,DB$343))),)</f>
        <v>0.87198963329886325</v>
      </c>
      <c r="DC370" s="271">
        <f>IF(AND(Tech_Specs!$E34="step",Standards_Active!$E35="yes"),IF(DC$343&lt;Standards_Active!$C35,TREND(Perform_Active!$S35:$T35,Perform_Active!$S$8:$T$8,DC$343),IF(ISNUMBER(Standards_Active!$M35),IF(AND(DC$343&gt;=Standards_Active!$C35,DC$343&lt;Standards_Active!$D35),(Standards_Active!$M35-INDEX($CJ370:$DI370,1,MATCH((Standards_Active!$C35-1),$CJ$343:$DI$343,FALSE)))/(Standards_Active!$D35-(Standards_Active!$C35-1))+DB370,Standards_Active!$M35*((1+Standards_Active!$O35)^(DC$343-Standards_Active!$D35))),TREND(Perform_Active!$S35:$T35,Perform_Active!$S$8:$T$8,DC$343))),)</f>
        <v>0.86719848146755218</v>
      </c>
      <c r="DD370" s="271">
        <f>IF(AND(Tech_Specs!$E34="step",Standards_Active!$E35="yes"),IF(DD$343&lt;Standards_Active!$C35,TREND(Perform_Active!$S35:$T35,Perform_Active!$S$8:$T$8,DD$343),IF(ISNUMBER(Standards_Active!$M35),IF(AND(DD$343&gt;=Standards_Active!$C35,DD$343&lt;Standards_Active!$D35),(Standards_Active!$M35-INDEX($CJ370:$DI370,1,MATCH((Standards_Active!$C35-1),$CJ$343:$DI$343,FALSE)))/(Standards_Active!$D35-(Standards_Active!$C35-1))+DC370,Standards_Active!$M35*((1+Standards_Active!$O35)^(DD$343-Standards_Active!$D35))),TREND(Perform_Active!$S35:$T35,Perform_Active!$S$8:$T$8,DD$343))),)</f>
        <v>0.86240732963623934</v>
      </c>
      <c r="DE370" s="271">
        <f>IF(AND(Tech_Specs!$E34="step",Standards_Active!$E35="yes"),IF(DE$343&lt;Standards_Active!$C35,TREND(Perform_Active!$S35:$T35,Perform_Active!$S$8:$T$8,DE$343),IF(ISNUMBER(Standards_Active!$M35),IF(AND(DE$343&gt;=Standards_Active!$C35,DE$343&lt;Standards_Active!$D35),(Standards_Active!$M35-INDEX($CJ370:$DI370,1,MATCH((Standards_Active!$C35-1),$CJ$343:$DI$343,FALSE)))/(Standards_Active!$D35-(Standards_Active!$C35-1))+DD370,Standards_Active!$M35*((1+Standards_Active!$O35)^(DE$343-Standards_Active!$D35))),TREND(Perform_Active!$S35:$T35,Perform_Active!$S$8:$T$8,DE$343))),)</f>
        <v>0.85761617780492649</v>
      </c>
      <c r="DF370" s="271">
        <f>IF(AND(Tech_Specs!$E34="step",Standards_Active!$E35="yes"),IF(DF$343&lt;Standards_Active!$C35,TREND(Perform_Active!$S35:$T35,Perform_Active!$S$8:$T$8,DF$343),IF(ISNUMBER(Standards_Active!$M35),IF(AND(DF$343&gt;=Standards_Active!$C35,DF$343&lt;Standards_Active!$D35),(Standards_Active!$M35-INDEX($CJ370:$DI370,1,MATCH((Standards_Active!$C35-1),$CJ$343:$DI$343,FALSE)))/(Standards_Active!$D35-(Standards_Active!$C35-1))+DE370,Standards_Active!$M35*((1+Standards_Active!$O35)^(DF$343-Standards_Active!$D35))),TREND(Perform_Active!$S35:$T35,Perform_Active!$S$8:$T$8,DF$343))),)</f>
        <v>0.85282502597361365</v>
      </c>
      <c r="DG370" s="271">
        <f>IF(AND(Tech_Specs!$E34="step",Standards_Active!$E35="yes"),IF(DG$343&lt;Standards_Active!$C35,TREND(Perform_Active!$S35:$T35,Perform_Active!$S$8:$T$8,DG$343),IF(ISNUMBER(Standards_Active!$M35),IF(AND(DG$343&gt;=Standards_Active!$C35,DG$343&lt;Standards_Active!$D35),(Standards_Active!$M35-INDEX($CJ370:$DI370,1,MATCH((Standards_Active!$C35-1),$CJ$343:$DI$343,FALSE)))/(Standards_Active!$D35-(Standards_Active!$C35-1))+DF370,Standards_Active!$M35*((1+Standards_Active!$O35)^(DG$343-Standards_Active!$D35))),TREND(Perform_Active!$S35:$T35,Perform_Active!$S$8:$T$8,DG$343))),)</f>
        <v>0.84803387414230258</v>
      </c>
      <c r="DH370" s="271">
        <f>IF(AND(Tech_Specs!$E34="step",Standards_Active!$E35="yes"),IF(DH$343&lt;Standards_Active!$C35,TREND(Perform_Active!$S35:$T35,Perform_Active!$S$8:$T$8,DH$343),IF(ISNUMBER(Standards_Active!$M35),IF(AND(DH$343&gt;=Standards_Active!$C35,DH$343&lt;Standards_Active!$D35),(Standards_Active!$M35-INDEX($CJ370:$DI370,1,MATCH((Standards_Active!$C35-1),$CJ$343:$DI$343,FALSE)))/(Standards_Active!$D35-(Standards_Active!$C35-1))+DG370,Standards_Active!$M35*((1+Standards_Active!$O35)^(DH$343-Standards_Active!$D35))),TREND(Perform_Active!$S35:$T35,Perform_Active!$S$8:$T$8,DH$343))),)</f>
        <v>0.84324272231098973</v>
      </c>
      <c r="DI370" s="271">
        <f>IF(AND(Tech_Specs!$E34="step",Standards_Active!$E35="yes"),IF(DI$343&lt;Standards_Active!$C35,TREND(Perform_Active!$S35:$T35,Perform_Active!$S$8:$T$8,DI$343),IF(ISNUMBER(Standards_Active!$M35),IF(AND(DI$343&gt;=Standards_Active!$C35,DI$343&lt;Standards_Active!$D35),(Standards_Active!$M35-INDEX($CJ370:$DI370,1,MATCH((Standards_Active!$C35-1),$CJ$343:$DI$343,FALSE)))/(Standards_Active!$D35-(Standards_Active!$C35-1))+DH370,Standards_Active!$M35*((1+Standards_Active!$O35)^(DI$343-Standards_Active!$D35))),TREND(Perform_Active!$S35:$T35,Perform_Active!$S$8:$T$8,DI$343))),)</f>
        <v>0.83845157047967689</v>
      </c>
    </row>
    <row r="371" spans="1:113" s="302" customFormat="1" ht="12.75" x14ac:dyDescent="0.2">
      <c r="B371" s="306" t="s">
        <v>50</v>
      </c>
      <c r="D371" s="550"/>
      <c r="E371" s="550"/>
      <c r="F371" s="550"/>
      <c r="G371" s="272">
        <f t="shared" si="63"/>
        <v>4.3166941802403116</v>
      </c>
      <c r="H371" s="272">
        <f t="shared" si="63"/>
        <v>4.2951107093391059</v>
      </c>
      <c r="I371" s="272">
        <f t="shared" si="63"/>
        <v>4.2735272384379073</v>
      </c>
      <c r="J371" s="272">
        <f t="shared" si="63"/>
        <v>4.2519437675367087</v>
      </c>
      <c r="K371" s="272">
        <f t="shared" si="63"/>
        <v>4.2303602966355029</v>
      </c>
      <c r="L371" s="272">
        <f t="shared" si="63"/>
        <v>4.2087768257343043</v>
      </c>
      <c r="M371" s="272">
        <f t="shared" si="63"/>
        <v>4.1871933548330986</v>
      </c>
      <c r="N371" s="272">
        <f t="shared" si="63"/>
        <v>4.1656098839319</v>
      </c>
      <c r="O371" s="272">
        <f t="shared" si="63"/>
        <v>4.1440264130306943</v>
      </c>
      <c r="P371" s="272">
        <f t="shared" si="63"/>
        <v>4.1224429421294957</v>
      </c>
      <c r="Q371" s="272">
        <f t="shared" si="64"/>
        <v>4.1008594712282971</v>
      </c>
      <c r="R371" s="272">
        <f t="shared" si="64"/>
        <v>4.0792760003270914</v>
      </c>
      <c r="S371" s="272">
        <f t="shared" si="64"/>
        <v>4.0576925294258928</v>
      </c>
      <c r="T371" s="272">
        <f t="shared" si="64"/>
        <v>4.036109058524687</v>
      </c>
      <c r="U371" s="272">
        <f t="shared" si="64"/>
        <v>4.0145255876234884</v>
      </c>
      <c r="V371" s="272">
        <f t="shared" si="64"/>
        <v>3.9929421167222898</v>
      </c>
      <c r="W371" s="272">
        <f t="shared" si="64"/>
        <v>3.9713586458210841</v>
      </c>
      <c r="X371" s="272">
        <f t="shared" si="64"/>
        <v>3.9497751749198855</v>
      </c>
      <c r="Y371" s="272">
        <f t="shared" si="64"/>
        <v>3.9281917040186798</v>
      </c>
      <c r="Z371" s="272">
        <f t="shared" si="64"/>
        <v>3.9066082331174812</v>
      </c>
      <c r="AA371" s="272">
        <f t="shared" si="65"/>
        <v>3.8850247622162755</v>
      </c>
      <c r="AB371" s="272">
        <f t="shared" si="65"/>
        <v>3.8634412913150769</v>
      </c>
      <c r="AC371" s="272">
        <f t="shared" si="65"/>
        <v>3.8418578204138782</v>
      </c>
      <c r="AD371" s="272">
        <f t="shared" si="65"/>
        <v>3.8202743495126725</v>
      </c>
      <c r="AE371" s="272">
        <f t="shared" si="65"/>
        <v>3.7986908786114739</v>
      </c>
      <c r="AF371" s="272">
        <f t="shared" si="65"/>
        <v>3.7771074077102682</v>
      </c>
      <c r="AH371" s="271">
        <f>IF(Tech_Specs!$E35="linear",TREND(Perform_Active!$S36:$T36,Perform_Active!$S$8:$T$8,AH$343),)</f>
        <v>4.3166941802403116</v>
      </c>
      <c r="AI371" s="271">
        <f>IF(Tech_Specs!$E35="linear",TREND(Perform_Active!$S36:$T36,Perform_Active!$S$8:$T$8,AI$343),)</f>
        <v>4.2951107093391059</v>
      </c>
      <c r="AJ371" s="271">
        <f>IF(Tech_Specs!$E35="linear",TREND(Perform_Active!$S36:$T36,Perform_Active!$S$8:$T$8,AJ$343),)</f>
        <v>4.2735272384379073</v>
      </c>
      <c r="AK371" s="271">
        <f>IF(Tech_Specs!$E35="linear",TREND(Perform_Active!$S36:$T36,Perform_Active!$S$8:$T$8,AK$343),)</f>
        <v>4.2519437675367087</v>
      </c>
      <c r="AL371" s="271">
        <f>IF(Tech_Specs!$E35="linear",TREND(Perform_Active!$S36:$T36,Perform_Active!$S$8:$T$8,AL$343),)</f>
        <v>4.2303602966355029</v>
      </c>
      <c r="AM371" s="271">
        <f>IF(Tech_Specs!$E35="linear",TREND(Perform_Active!$S36:$T36,Perform_Active!$S$8:$T$8,AM$343),)</f>
        <v>4.2087768257343043</v>
      </c>
      <c r="AN371" s="271">
        <f>IF(Tech_Specs!$E35="linear",TREND(Perform_Active!$S36:$T36,Perform_Active!$S$8:$T$8,AN$343),)</f>
        <v>4.1871933548330986</v>
      </c>
      <c r="AO371" s="271">
        <f>IF(Tech_Specs!$E35="linear",TREND(Perform_Active!$S36:$T36,Perform_Active!$S$8:$T$8,AO$343),)</f>
        <v>4.1656098839319</v>
      </c>
      <c r="AP371" s="271">
        <f>IF(Tech_Specs!$E35="linear",TREND(Perform_Active!$S36:$T36,Perform_Active!$S$8:$T$8,AP$343),)</f>
        <v>4.1440264130306943</v>
      </c>
      <c r="AQ371" s="271">
        <f>IF(Tech_Specs!$E35="linear",TREND(Perform_Active!$S36:$T36,Perform_Active!$S$8:$T$8,AQ$343),)</f>
        <v>4.1224429421294957</v>
      </c>
      <c r="AR371" s="271">
        <f>IF(Tech_Specs!$E35="linear",TREND(Perform_Active!$S36:$T36,Perform_Active!$S$8:$T$8,AR$343),)</f>
        <v>4.1008594712282971</v>
      </c>
      <c r="AS371" s="271">
        <f>IF(Tech_Specs!$E35="linear",TREND(Perform_Active!$S36:$T36,Perform_Active!$S$8:$T$8,AS$343),)</f>
        <v>4.0792760003270914</v>
      </c>
      <c r="AT371" s="271">
        <f>IF(Tech_Specs!$E35="linear",TREND(Perform_Active!$S36:$T36,Perform_Active!$S$8:$T$8,AT$343),)</f>
        <v>4.0576925294258928</v>
      </c>
      <c r="AU371" s="271">
        <f>IF(Tech_Specs!$E35="linear",TREND(Perform_Active!$S36:$T36,Perform_Active!$S$8:$T$8,AU$343),)</f>
        <v>4.036109058524687</v>
      </c>
      <c r="AV371" s="271">
        <f>IF(Tech_Specs!$E35="linear",TREND(Perform_Active!$S36:$T36,Perform_Active!$S$8:$T$8,AV$343),)</f>
        <v>4.0145255876234884</v>
      </c>
      <c r="AW371" s="271">
        <f>IF(Tech_Specs!$E35="linear",TREND(Perform_Active!$S36:$T36,Perform_Active!$S$8:$T$8,AW$343),)</f>
        <v>3.9929421167222898</v>
      </c>
      <c r="AX371" s="271">
        <f>IF(Tech_Specs!$E35="linear",TREND(Perform_Active!$S36:$T36,Perform_Active!$S$8:$T$8,AX$343),)</f>
        <v>3.9713586458210841</v>
      </c>
      <c r="AY371" s="271">
        <f>IF(Tech_Specs!$E35="linear",TREND(Perform_Active!$S36:$T36,Perform_Active!$S$8:$T$8,AY$343),)</f>
        <v>3.9497751749198855</v>
      </c>
      <c r="AZ371" s="271">
        <f>IF(Tech_Specs!$E35="linear",TREND(Perform_Active!$S36:$T36,Perform_Active!$S$8:$T$8,AZ$343),)</f>
        <v>3.9281917040186798</v>
      </c>
      <c r="BA371" s="271">
        <f>IF(Tech_Specs!$E35="linear",TREND(Perform_Active!$S36:$T36,Perform_Active!$S$8:$T$8,BA$343),)</f>
        <v>3.9066082331174812</v>
      </c>
      <c r="BB371" s="271">
        <f>IF(Tech_Specs!$E35="linear",TREND(Perform_Active!$S36:$T36,Perform_Active!$S$8:$T$8,BB$343),)</f>
        <v>3.8850247622162755</v>
      </c>
      <c r="BC371" s="271">
        <f>IF(Tech_Specs!$E35="linear",TREND(Perform_Active!$S36:$T36,Perform_Active!$S$8:$T$8,BC$343),)</f>
        <v>3.8634412913150769</v>
      </c>
      <c r="BD371" s="271">
        <f>IF(Tech_Specs!$E35="linear",TREND(Perform_Active!$S36:$T36,Perform_Active!$S$8:$T$8,BD$343),)</f>
        <v>3.8418578204138782</v>
      </c>
      <c r="BE371" s="271">
        <f>IF(Tech_Specs!$E35="linear",TREND(Perform_Active!$S36:$T36,Perform_Active!$S$8:$T$8,BE$343),)</f>
        <v>3.8202743495126725</v>
      </c>
      <c r="BF371" s="271">
        <f>IF(Tech_Specs!$E35="linear",TREND(Perform_Active!$S36:$T36,Perform_Active!$S$8:$T$8,BF$343),)</f>
        <v>3.7986908786114739</v>
      </c>
      <c r="BG371" s="271">
        <f>IF(Tech_Specs!$E35="linear",TREND(Perform_Active!$S36:$T36,Perform_Active!$S$8:$T$8,BG$343),)</f>
        <v>3.7771074077102682</v>
      </c>
      <c r="BI371" s="271">
        <f>IF(Tech_Specs!$E35="logistic",IF(Tech_Specs!$K35="lamp",Perform_SSL!G$14,Perform_SSL!G$15),)*Perform_Active!$I36/1000</f>
        <v>0</v>
      </c>
      <c r="BJ371" s="271">
        <f>IF(Tech_Specs!$E35="logistic",IF(Tech_Specs!$K35="lamp",Perform_SSL!H$14,Perform_SSL!H$15),)*Perform_Active!$I36/1000</f>
        <v>0</v>
      </c>
      <c r="BK371" s="271">
        <f>IF(Tech_Specs!$E35="logistic",IF(Tech_Specs!$K35="lamp",Perform_SSL!I$14,Perform_SSL!I$15),)*Perform_Active!$I36/1000</f>
        <v>0</v>
      </c>
      <c r="BL371" s="271">
        <f>IF(Tech_Specs!$E35="logistic",IF(Tech_Specs!$K35="lamp",Perform_SSL!J$14,Perform_SSL!J$15),)*Perform_Active!$I36/1000</f>
        <v>0</v>
      </c>
      <c r="BM371" s="271">
        <f>IF(Tech_Specs!$E35="logistic",IF(Tech_Specs!$K35="lamp",Perform_SSL!K$14,Perform_SSL!K$15),)*Perform_Active!$I36/1000</f>
        <v>0</v>
      </c>
      <c r="BN371" s="271">
        <f>IF(Tech_Specs!$E35="logistic",IF(Tech_Specs!$K35="lamp",Perform_SSL!L$14,Perform_SSL!L$15),)*Perform_Active!$I36/1000</f>
        <v>0</v>
      </c>
      <c r="BO371" s="271">
        <f>IF(Tech_Specs!$E35="logistic",IF(Tech_Specs!$K35="lamp",Perform_SSL!M$14,Perform_SSL!M$15),)*Perform_Active!$I36/1000</f>
        <v>0</v>
      </c>
      <c r="BP371" s="271">
        <f>IF(Tech_Specs!$E35="logistic",IF(Tech_Specs!$K35="lamp",Perform_SSL!N$14,Perform_SSL!N$15),)*Perform_Active!$I36/1000</f>
        <v>0</v>
      </c>
      <c r="BQ371" s="271">
        <f>IF(Tech_Specs!$E35="logistic",IF(Tech_Specs!$K35="lamp",Perform_SSL!O$14,Perform_SSL!O$15),)*Perform_Active!$I36/1000</f>
        <v>0</v>
      </c>
      <c r="BR371" s="271">
        <f>IF(Tech_Specs!$E35="logistic",IF(Tech_Specs!$K35="lamp",Perform_SSL!P$14,Perform_SSL!P$15),)*Perform_Active!$I36/1000</f>
        <v>0</v>
      </c>
      <c r="BS371" s="271">
        <f>IF(Tech_Specs!$E35="logistic",IF(Tech_Specs!$K35="lamp",Perform_SSL!Q$14,Perform_SSL!Q$15),)*Perform_Active!$I36/1000</f>
        <v>0</v>
      </c>
      <c r="BT371" s="271">
        <f>IF(Tech_Specs!$E35="logistic",IF(Tech_Specs!$K35="lamp",Perform_SSL!R$14,Perform_SSL!R$15),)*Perform_Active!$I36/1000</f>
        <v>0</v>
      </c>
      <c r="BU371" s="271">
        <f>IF(Tech_Specs!$E35="logistic",IF(Tech_Specs!$K35="lamp",Perform_SSL!S$14,Perform_SSL!S$15),)*Perform_Active!$I36/1000</f>
        <v>0</v>
      </c>
      <c r="BV371" s="271">
        <f>IF(Tech_Specs!$E35="logistic",IF(Tech_Specs!$K35="lamp",Perform_SSL!T$14,Perform_SSL!T$15),)*Perform_Active!$I36/1000</f>
        <v>0</v>
      </c>
      <c r="BW371" s="271">
        <f>IF(Tech_Specs!$E35="logistic",IF(Tech_Specs!$K35="lamp",Perform_SSL!U$14,Perform_SSL!U$15),)*Perform_Active!$I36/1000</f>
        <v>0</v>
      </c>
      <c r="BX371" s="271">
        <f>IF(Tech_Specs!$E35="logistic",IF(Tech_Specs!$K35="lamp",Perform_SSL!V$14,Perform_SSL!V$15),)*Perform_Active!$I36/1000</f>
        <v>0</v>
      </c>
      <c r="BY371" s="271">
        <f>IF(Tech_Specs!$E35="logistic",IF(Tech_Specs!$K35="lamp",Perform_SSL!W$14,Perform_SSL!W$15),)*Perform_Active!$I36/1000</f>
        <v>0</v>
      </c>
      <c r="BZ371" s="271">
        <f>IF(Tech_Specs!$E35="logistic",IF(Tech_Specs!$K35="lamp",Perform_SSL!X$14,Perform_SSL!X$15),)*Perform_Active!$I36/1000</f>
        <v>0</v>
      </c>
      <c r="CA371" s="271">
        <f>IF(Tech_Specs!$E35="logistic",IF(Tech_Specs!$K35="lamp",Perform_SSL!Y$14,Perform_SSL!Y$15),)*Perform_Active!$I36/1000</f>
        <v>0</v>
      </c>
      <c r="CB371" s="271">
        <f>IF(Tech_Specs!$E35="logistic",IF(Tech_Specs!$K35="lamp",Perform_SSL!Z$14,Perform_SSL!Z$15),)*Perform_Active!$I36/1000</f>
        <v>0</v>
      </c>
      <c r="CC371" s="271">
        <f>IF(Tech_Specs!$E35="logistic",IF(Tech_Specs!$K35="lamp",Perform_SSL!AA$14,Perform_SSL!AA$15),)*Perform_Active!$I36/1000</f>
        <v>0</v>
      </c>
      <c r="CD371" s="271">
        <f>IF(Tech_Specs!$E35="logistic",IF(Tech_Specs!$K35="lamp",Perform_SSL!AB$14,Perform_SSL!AB$15),)*Perform_Active!$I36/1000</f>
        <v>0</v>
      </c>
      <c r="CE371" s="271">
        <f>IF(Tech_Specs!$E35="logistic",IF(Tech_Specs!$K35="lamp",Perform_SSL!AC$14,Perform_SSL!AC$15),)*Perform_Active!$I36/1000</f>
        <v>0</v>
      </c>
      <c r="CF371" s="271">
        <f>IF(Tech_Specs!$E35="logistic",IF(Tech_Specs!$K35="lamp",Perform_SSL!AD$14,Perform_SSL!AD$15),)*Perform_Active!$I36/1000</f>
        <v>0</v>
      </c>
      <c r="CG371" s="271">
        <f>IF(Tech_Specs!$E35="logistic",IF(Tech_Specs!$K35="lamp",Perform_SSL!AE$14,Perform_SSL!AE$15),)*Perform_Active!$I36/1000</f>
        <v>0</v>
      </c>
      <c r="CH371" s="271">
        <f>IF(Tech_Specs!$E35="logistic",IF(Tech_Specs!$K35="lamp",Perform_SSL!AF$14,Perform_SSL!AF$15),)*Perform_Active!$I36/1000</f>
        <v>0</v>
      </c>
      <c r="CJ371" s="271">
        <f>IF(AND(Tech_Specs!$E35="step",Standards_Active!$E36="yes"),IF(CJ$343&lt;Standards_Active!$C36,TREND(Perform_Active!$S36:$T36,Perform_Active!$S$8:$T$8,CJ$343),IF(ISNUMBER(Standards_Active!$M36),IF(AND(CJ$343&gt;=Standards_Active!$C36,CJ$343&lt;Standards_Active!$D36),(Standards_Active!$M36-INDEX($CJ371:$DI371,1,MATCH((Standards_Active!$C36-1),$CJ$343:$DI$343,FALSE)))/(Standards_Active!$D36-(Standards_Active!$C36-1))+CI371,Standards_Active!$M36*((1+Standards_Active!$O36)^(CJ$343-Standards_Active!$D36))),TREND(Perform_Active!$S36:$T36,Perform_Active!$S$8:$T$8,CJ$343))),)</f>
        <v>0</v>
      </c>
      <c r="CK371" s="271">
        <f>IF(AND(Tech_Specs!$E35="step",Standards_Active!$E36="yes"),IF(CK$343&lt;Standards_Active!$C36,TREND(Perform_Active!$S36:$T36,Perform_Active!$S$8:$T$8,CK$343),IF(ISNUMBER(Standards_Active!$M36),IF(AND(CK$343&gt;=Standards_Active!$C36,CK$343&lt;Standards_Active!$D36),(Standards_Active!$M36-INDEX($CJ371:$DI371,1,MATCH((Standards_Active!$C36-1),$CJ$343:$DI$343,FALSE)))/(Standards_Active!$D36-(Standards_Active!$C36-1))+CJ371,Standards_Active!$M36*((1+Standards_Active!$O36)^(CK$343-Standards_Active!$D36))),TREND(Perform_Active!$S36:$T36,Perform_Active!$S$8:$T$8,CK$343))),)</f>
        <v>0</v>
      </c>
      <c r="CL371" s="271">
        <f>IF(AND(Tech_Specs!$E35="step",Standards_Active!$E36="yes"),IF(CL$343&lt;Standards_Active!$C36,TREND(Perform_Active!$S36:$T36,Perform_Active!$S$8:$T$8,CL$343),IF(ISNUMBER(Standards_Active!$M36),IF(AND(CL$343&gt;=Standards_Active!$C36,CL$343&lt;Standards_Active!$D36),(Standards_Active!$M36-INDEX($CJ371:$DI371,1,MATCH((Standards_Active!$C36-1),$CJ$343:$DI$343,FALSE)))/(Standards_Active!$D36-(Standards_Active!$C36-1))+CK371,Standards_Active!$M36*((1+Standards_Active!$O36)^(CL$343-Standards_Active!$D36))),TREND(Perform_Active!$S36:$T36,Perform_Active!$S$8:$T$8,CL$343))),)</f>
        <v>0</v>
      </c>
      <c r="CM371" s="271">
        <f>IF(AND(Tech_Specs!$E35="step",Standards_Active!$E36="yes"),IF(CM$343&lt;Standards_Active!$C36,TREND(Perform_Active!$S36:$T36,Perform_Active!$S$8:$T$8,CM$343),IF(ISNUMBER(Standards_Active!$M36),IF(AND(CM$343&gt;=Standards_Active!$C36,CM$343&lt;Standards_Active!$D36),(Standards_Active!$M36-INDEX($CJ371:$DI371,1,MATCH((Standards_Active!$C36-1),$CJ$343:$DI$343,FALSE)))/(Standards_Active!$D36-(Standards_Active!$C36-1))+CL371,Standards_Active!$M36*((1+Standards_Active!$O36)^(CM$343-Standards_Active!$D36))),TREND(Perform_Active!$S36:$T36,Perform_Active!$S$8:$T$8,CM$343))),)</f>
        <v>0</v>
      </c>
      <c r="CN371" s="271">
        <f>IF(AND(Tech_Specs!$E35="step",Standards_Active!$E36="yes"),IF(CN$343&lt;Standards_Active!$C36,TREND(Perform_Active!$S36:$T36,Perform_Active!$S$8:$T$8,CN$343),IF(ISNUMBER(Standards_Active!$M36),IF(AND(CN$343&gt;=Standards_Active!$C36,CN$343&lt;Standards_Active!$D36),(Standards_Active!$M36-INDEX($CJ371:$DI371,1,MATCH((Standards_Active!$C36-1),$CJ$343:$DI$343,FALSE)))/(Standards_Active!$D36-(Standards_Active!$C36-1))+CM371,Standards_Active!$M36*((1+Standards_Active!$O36)^(CN$343-Standards_Active!$D36))),TREND(Perform_Active!$S36:$T36,Perform_Active!$S$8:$T$8,CN$343))),)</f>
        <v>0</v>
      </c>
      <c r="CO371" s="271">
        <f>IF(AND(Tech_Specs!$E35="step",Standards_Active!$E36="yes"),IF(CO$343&lt;Standards_Active!$C36,TREND(Perform_Active!$S36:$T36,Perform_Active!$S$8:$T$8,CO$343),IF(ISNUMBER(Standards_Active!$M36),IF(AND(CO$343&gt;=Standards_Active!$C36,CO$343&lt;Standards_Active!$D36),(Standards_Active!$M36-INDEX($CJ371:$DI371,1,MATCH((Standards_Active!$C36-1),$CJ$343:$DI$343,FALSE)))/(Standards_Active!$D36-(Standards_Active!$C36-1))+CN371,Standards_Active!$M36*((1+Standards_Active!$O36)^(CO$343-Standards_Active!$D36))),TREND(Perform_Active!$S36:$T36,Perform_Active!$S$8:$T$8,CO$343))),)</f>
        <v>0</v>
      </c>
      <c r="CP371" s="271">
        <f>IF(AND(Tech_Specs!$E35="step",Standards_Active!$E36="yes"),IF(CP$343&lt;Standards_Active!$C36,TREND(Perform_Active!$S36:$T36,Perform_Active!$S$8:$T$8,CP$343),IF(ISNUMBER(Standards_Active!$M36),IF(AND(CP$343&gt;=Standards_Active!$C36,CP$343&lt;Standards_Active!$D36),(Standards_Active!$M36-INDEX($CJ371:$DI371,1,MATCH((Standards_Active!$C36-1),$CJ$343:$DI$343,FALSE)))/(Standards_Active!$D36-(Standards_Active!$C36-1))+CO371,Standards_Active!$M36*((1+Standards_Active!$O36)^(CP$343-Standards_Active!$D36))),TREND(Perform_Active!$S36:$T36,Perform_Active!$S$8:$T$8,CP$343))),)</f>
        <v>0</v>
      </c>
      <c r="CQ371" s="271">
        <f>IF(AND(Tech_Specs!$E35="step",Standards_Active!$E36="yes"),IF(CQ$343&lt;Standards_Active!$C36,TREND(Perform_Active!$S36:$T36,Perform_Active!$S$8:$T$8,CQ$343),IF(ISNUMBER(Standards_Active!$M36),IF(AND(CQ$343&gt;=Standards_Active!$C36,CQ$343&lt;Standards_Active!$D36),(Standards_Active!$M36-INDEX($CJ371:$DI371,1,MATCH((Standards_Active!$C36-1),$CJ$343:$DI$343,FALSE)))/(Standards_Active!$D36-(Standards_Active!$C36-1))+CP371,Standards_Active!$M36*((1+Standards_Active!$O36)^(CQ$343-Standards_Active!$D36))),TREND(Perform_Active!$S36:$T36,Perform_Active!$S$8:$T$8,CQ$343))),)</f>
        <v>0</v>
      </c>
      <c r="CR371" s="271">
        <f>IF(AND(Tech_Specs!$E35="step",Standards_Active!$E36="yes"),IF(CR$343&lt;Standards_Active!$C36,TREND(Perform_Active!$S36:$T36,Perform_Active!$S$8:$T$8,CR$343),IF(ISNUMBER(Standards_Active!$M36),IF(AND(CR$343&gt;=Standards_Active!$C36,CR$343&lt;Standards_Active!$D36),(Standards_Active!$M36-INDEX($CJ371:$DI371,1,MATCH((Standards_Active!$C36-1),$CJ$343:$DI$343,FALSE)))/(Standards_Active!$D36-(Standards_Active!$C36-1))+CQ371,Standards_Active!$M36*((1+Standards_Active!$O36)^(CR$343-Standards_Active!$D36))),TREND(Perform_Active!$S36:$T36,Perform_Active!$S$8:$T$8,CR$343))),)</f>
        <v>0</v>
      </c>
      <c r="CS371" s="271">
        <f>IF(AND(Tech_Specs!$E35="step",Standards_Active!$E36="yes"),IF(CS$343&lt;Standards_Active!$C36,TREND(Perform_Active!$S36:$T36,Perform_Active!$S$8:$T$8,CS$343),IF(ISNUMBER(Standards_Active!$M36),IF(AND(CS$343&gt;=Standards_Active!$C36,CS$343&lt;Standards_Active!$D36),(Standards_Active!$M36-INDEX($CJ371:$DI371,1,MATCH((Standards_Active!$C36-1),$CJ$343:$DI$343,FALSE)))/(Standards_Active!$D36-(Standards_Active!$C36-1))+CR371,Standards_Active!$M36*((1+Standards_Active!$O36)^(CS$343-Standards_Active!$D36))),TREND(Perform_Active!$S36:$T36,Perform_Active!$S$8:$T$8,CS$343))),)</f>
        <v>0</v>
      </c>
      <c r="CT371" s="271">
        <f>IF(AND(Tech_Specs!$E35="step",Standards_Active!$E36="yes"),IF(CT$343&lt;Standards_Active!$C36,TREND(Perform_Active!$S36:$T36,Perform_Active!$S$8:$T$8,CT$343),IF(ISNUMBER(Standards_Active!$M36),IF(AND(CT$343&gt;=Standards_Active!$C36,CT$343&lt;Standards_Active!$D36),(Standards_Active!$M36-INDEX($CJ371:$DI371,1,MATCH((Standards_Active!$C36-1),$CJ$343:$DI$343,FALSE)))/(Standards_Active!$D36-(Standards_Active!$C36-1))+CS371,Standards_Active!$M36*((1+Standards_Active!$O36)^(CT$343-Standards_Active!$D36))),TREND(Perform_Active!$S36:$T36,Perform_Active!$S$8:$T$8,CT$343))),)</f>
        <v>0</v>
      </c>
      <c r="CU371" s="271">
        <f>IF(AND(Tech_Specs!$E35="step",Standards_Active!$E36="yes"),IF(CU$343&lt;Standards_Active!$C36,TREND(Perform_Active!$S36:$T36,Perform_Active!$S$8:$T$8,CU$343),IF(ISNUMBER(Standards_Active!$M36),IF(AND(CU$343&gt;=Standards_Active!$C36,CU$343&lt;Standards_Active!$D36),(Standards_Active!$M36-INDEX($CJ371:$DI371,1,MATCH((Standards_Active!$C36-1),$CJ$343:$DI$343,FALSE)))/(Standards_Active!$D36-(Standards_Active!$C36-1))+CT371,Standards_Active!$M36*((1+Standards_Active!$O36)^(CU$343-Standards_Active!$D36))),TREND(Perform_Active!$S36:$T36,Perform_Active!$S$8:$T$8,CU$343))),)</f>
        <v>0</v>
      </c>
      <c r="CV371" s="271">
        <f>IF(AND(Tech_Specs!$E35="step",Standards_Active!$E36="yes"),IF(CV$343&lt;Standards_Active!$C36,TREND(Perform_Active!$S36:$T36,Perform_Active!$S$8:$T$8,CV$343),IF(ISNUMBER(Standards_Active!$M36),IF(AND(CV$343&gt;=Standards_Active!$C36,CV$343&lt;Standards_Active!$D36),(Standards_Active!$M36-INDEX($CJ371:$DI371,1,MATCH((Standards_Active!$C36-1),$CJ$343:$DI$343,FALSE)))/(Standards_Active!$D36-(Standards_Active!$C36-1))+CU371,Standards_Active!$M36*((1+Standards_Active!$O36)^(CV$343-Standards_Active!$D36))),TREND(Perform_Active!$S36:$T36,Perform_Active!$S$8:$T$8,CV$343))),)</f>
        <v>0</v>
      </c>
      <c r="CW371" s="271">
        <f>IF(AND(Tech_Specs!$E35="step",Standards_Active!$E36="yes"),IF(CW$343&lt;Standards_Active!$C36,TREND(Perform_Active!$S36:$T36,Perform_Active!$S$8:$T$8,CW$343),IF(ISNUMBER(Standards_Active!$M36),IF(AND(CW$343&gt;=Standards_Active!$C36,CW$343&lt;Standards_Active!$D36),(Standards_Active!$M36-INDEX($CJ371:$DI371,1,MATCH((Standards_Active!$C36-1),$CJ$343:$DI$343,FALSE)))/(Standards_Active!$D36-(Standards_Active!$C36-1))+CV371,Standards_Active!$M36*((1+Standards_Active!$O36)^(CW$343-Standards_Active!$D36))),TREND(Perform_Active!$S36:$T36,Perform_Active!$S$8:$T$8,CW$343))),)</f>
        <v>0</v>
      </c>
      <c r="CX371" s="271">
        <f>IF(AND(Tech_Specs!$E35="step",Standards_Active!$E36="yes"),IF(CX$343&lt;Standards_Active!$C36,TREND(Perform_Active!$S36:$T36,Perform_Active!$S$8:$T$8,CX$343),IF(ISNUMBER(Standards_Active!$M36),IF(AND(CX$343&gt;=Standards_Active!$C36,CX$343&lt;Standards_Active!$D36),(Standards_Active!$M36-INDEX($CJ371:$DI371,1,MATCH((Standards_Active!$C36-1),$CJ$343:$DI$343,FALSE)))/(Standards_Active!$D36-(Standards_Active!$C36-1))+CW371,Standards_Active!$M36*((1+Standards_Active!$O36)^(CX$343-Standards_Active!$D36))),TREND(Perform_Active!$S36:$T36,Perform_Active!$S$8:$T$8,CX$343))),)</f>
        <v>0</v>
      </c>
      <c r="CY371" s="271">
        <f>IF(AND(Tech_Specs!$E35="step",Standards_Active!$E36="yes"),IF(CY$343&lt;Standards_Active!$C36,TREND(Perform_Active!$S36:$T36,Perform_Active!$S$8:$T$8,CY$343),IF(ISNUMBER(Standards_Active!$M36),IF(AND(CY$343&gt;=Standards_Active!$C36,CY$343&lt;Standards_Active!$D36),(Standards_Active!$M36-INDEX($CJ371:$DI371,1,MATCH((Standards_Active!$C36-1),$CJ$343:$DI$343,FALSE)))/(Standards_Active!$D36-(Standards_Active!$C36-1))+CX371,Standards_Active!$M36*((1+Standards_Active!$O36)^(CY$343-Standards_Active!$D36))),TREND(Perform_Active!$S36:$T36,Perform_Active!$S$8:$T$8,CY$343))),)</f>
        <v>0</v>
      </c>
      <c r="CZ371" s="271">
        <f>IF(AND(Tech_Specs!$E35="step",Standards_Active!$E36="yes"),IF(CZ$343&lt;Standards_Active!$C36,TREND(Perform_Active!$S36:$T36,Perform_Active!$S$8:$T$8,CZ$343),IF(ISNUMBER(Standards_Active!$M36),IF(AND(CZ$343&gt;=Standards_Active!$C36,CZ$343&lt;Standards_Active!$D36),(Standards_Active!$M36-INDEX($CJ371:$DI371,1,MATCH((Standards_Active!$C36-1),$CJ$343:$DI$343,FALSE)))/(Standards_Active!$D36-(Standards_Active!$C36-1))+CY371,Standards_Active!$M36*((1+Standards_Active!$O36)^(CZ$343-Standards_Active!$D36))),TREND(Perform_Active!$S36:$T36,Perform_Active!$S$8:$T$8,CZ$343))),)</f>
        <v>0</v>
      </c>
      <c r="DA371" s="271">
        <f>IF(AND(Tech_Specs!$E35="step",Standards_Active!$E36="yes"),IF(DA$343&lt;Standards_Active!$C36,TREND(Perform_Active!$S36:$T36,Perform_Active!$S$8:$T$8,DA$343),IF(ISNUMBER(Standards_Active!$M36),IF(AND(DA$343&gt;=Standards_Active!$C36,DA$343&lt;Standards_Active!$D36),(Standards_Active!$M36-INDEX($CJ371:$DI371,1,MATCH((Standards_Active!$C36-1),$CJ$343:$DI$343,FALSE)))/(Standards_Active!$D36-(Standards_Active!$C36-1))+CZ371,Standards_Active!$M36*((1+Standards_Active!$O36)^(DA$343-Standards_Active!$D36))),TREND(Perform_Active!$S36:$T36,Perform_Active!$S$8:$T$8,DA$343))),)</f>
        <v>0</v>
      </c>
      <c r="DB371" s="271">
        <f>IF(AND(Tech_Specs!$E35="step",Standards_Active!$E36="yes"),IF(DB$343&lt;Standards_Active!$C36,TREND(Perform_Active!$S36:$T36,Perform_Active!$S$8:$T$8,DB$343),IF(ISNUMBER(Standards_Active!$M36),IF(AND(DB$343&gt;=Standards_Active!$C36,DB$343&lt;Standards_Active!$D36),(Standards_Active!$M36-INDEX($CJ371:$DI371,1,MATCH((Standards_Active!$C36-1),$CJ$343:$DI$343,FALSE)))/(Standards_Active!$D36-(Standards_Active!$C36-1))+DA371,Standards_Active!$M36*((1+Standards_Active!$O36)^(DB$343-Standards_Active!$D36))),TREND(Perform_Active!$S36:$T36,Perform_Active!$S$8:$T$8,DB$343))),)</f>
        <v>0</v>
      </c>
      <c r="DC371" s="271">
        <f>IF(AND(Tech_Specs!$E35="step",Standards_Active!$E36="yes"),IF(DC$343&lt;Standards_Active!$C36,TREND(Perform_Active!$S36:$T36,Perform_Active!$S$8:$T$8,DC$343),IF(ISNUMBER(Standards_Active!$M36),IF(AND(DC$343&gt;=Standards_Active!$C36,DC$343&lt;Standards_Active!$D36),(Standards_Active!$M36-INDEX($CJ371:$DI371,1,MATCH((Standards_Active!$C36-1),$CJ$343:$DI$343,FALSE)))/(Standards_Active!$D36-(Standards_Active!$C36-1))+DB371,Standards_Active!$M36*((1+Standards_Active!$O36)^(DC$343-Standards_Active!$D36))),TREND(Perform_Active!$S36:$T36,Perform_Active!$S$8:$T$8,DC$343))),)</f>
        <v>0</v>
      </c>
      <c r="DD371" s="271">
        <f>IF(AND(Tech_Specs!$E35="step",Standards_Active!$E36="yes"),IF(DD$343&lt;Standards_Active!$C36,TREND(Perform_Active!$S36:$T36,Perform_Active!$S$8:$T$8,DD$343),IF(ISNUMBER(Standards_Active!$M36),IF(AND(DD$343&gt;=Standards_Active!$C36,DD$343&lt;Standards_Active!$D36),(Standards_Active!$M36-INDEX($CJ371:$DI371,1,MATCH((Standards_Active!$C36-1),$CJ$343:$DI$343,FALSE)))/(Standards_Active!$D36-(Standards_Active!$C36-1))+DC371,Standards_Active!$M36*((1+Standards_Active!$O36)^(DD$343-Standards_Active!$D36))),TREND(Perform_Active!$S36:$T36,Perform_Active!$S$8:$T$8,DD$343))),)</f>
        <v>0</v>
      </c>
      <c r="DE371" s="271">
        <f>IF(AND(Tech_Specs!$E35="step",Standards_Active!$E36="yes"),IF(DE$343&lt;Standards_Active!$C36,TREND(Perform_Active!$S36:$T36,Perform_Active!$S$8:$T$8,DE$343),IF(ISNUMBER(Standards_Active!$M36),IF(AND(DE$343&gt;=Standards_Active!$C36,DE$343&lt;Standards_Active!$D36),(Standards_Active!$M36-INDEX($CJ371:$DI371,1,MATCH((Standards_Active!$C36-1),$CJ$343:$DI$343,FALSE)))/(Standards_Active!$D36-(Standards_Active!$C36-1))+DD371,Standards_Active!$M36*((1+Standards_Active!$O36)^(DE$343-Standards_Active!$D36))),TREND(Perform_Active!$S36:$T36,Perform_Active!$S$8:$T$8,DE$343))),)</f>
        <v>0</v>
      </c>
      <c r="DF371" s="271">
        <f>IF(AND(Tech_Specs!$E35="step",Standards_Active!$E36="yes"),IF(DF$343&lt;Standards_Active!$C36,TREND(Perform_Active!$S36:$T36,Perform_Active!$S$8:$T$8,DF$343),IF(ISNUMBER(Standards_Active!$M36),IF(AND(DF$343&gt;=Standards_Active!$C36,DF$343&lt;Standards_Active!$D36),(Standards_Active!$M36-INDEX($CJ371:$DI371,1,MATCH((Standards_Active!$C36-1),$CJ$343:$DI$343,FALSE)))/(Standards_Active!$D36-(Standards_Active!$C36-1))+DE371,Standards_Active!$M36*((1+Standards_Active!$O36)^(DF$343-Standards_Active!$D36))),TREND(Perform_Active!$S36:$T36,Perform_Active!$S$8:$T$8,DF$343))),)</f>
        <v>0</v>
      </c>
      <c r="DG371" s="271">
        <f>IF(AND(Tech_Specs!$E35="step",Standards_Active!$E36="yes"),IF(DG$343&lt;Standards_Active!$C36,TREND(Perform_Active!$S36:$T36,Perform_Active!$S$8:$T$8,DG$343),IF(ISNUMBER(Standards_Active!$M36),IF(AND(DG$343&gt;=Standards_Active!$C36,DG$343&lt;Standards_Active!$D36),(Standards_Active!$M36-INDEX($CJ371:$DI371,1,MATCH((Standards_Active!$C36-1),$CJ$343:$DI$343,FALSE)))/(Standards_Active!$D36-(Standards_Active!$C36-1))+DF371,Standards_Active!$M36*((1+Standards_Active!$O36)^(DG$343-Standards_Active!$D36))),TREND(Perform_Active!$S36:$T36,Perform_Active!$S$8:$T$8,DG$343))),)</f>
        <v>0</v>
      </c>
      <c r="DH371" s="271">
        <f>IF(AND(Tech_Specs!$E35="step",Standards_Active!$E36="yes"),IF(DH$343&lt;Standards_Active!$C36,TREND(Perform_Active!$S36:$T36,Perform_Active!$S$8:$T$8,DH$343),IF(ISNUMBER(Standards_Active!$M36),IF(AND(DH$343&gt;=Standards_Active!$C36,DH$343&lt;Standards_Active!$D36),(Standards_Active!$M36-INDEX($CJ371:$DI371,1,MATCH((Standards_Active!$C36-1),$CJ$343:$DI$343,FALSE)))/(Standards_Active!$D36-(Standards_Active!$C36-1))+DG371,Standards_Active!$M36*((1+Standards_Active!$O36)^(DH$343-Standards_Active!$D36))),TREND(Perform_Active!$S36:$T36,Perform_Active!$S$8:$T$8,DH$343))),)</f>
        <v>0</v>
      </c>
      <c r="DI371" s="271">
        <f>IF(AND(Tech_Specs!$E35="step",Standards_Active!$E36="yes"),IF(DI$343&lt;Standards_Active!$C36,TREND(Perform_Active!$S36:$T36,Perform_Active!$S$8:$T$8,DI$343),IF(ISNUMBER(Standards_Active!$M36),IF(AND(DI$343&gt;=Standards_Active!$C36,DI$343&lt;Standards_Active!$D36),(Standards_Active!$M36-INDEX($CJ371:$DI371,1,MATCH((Standards_Active!$C36-1),$CJ$343:$DI$343,FALSE)))/(Standards_Active!$D36-(Standards_Active!$C36-1))+DH371,Standards_Active!$M36*((1+Standards_Active!$O36)^(DI$343-Standards_Active!$D36))),TREND(Perform_Active!$S36:$T36,Perform_Active!$S$8:$T$8,DI$343))),)</f>
        <v>0</v>
      </c>
    </row>
    <row r="372" spans="1:113" s="302" customFormat="1" ht="12.75" x14ac:dyDescent="0.2">
      <c r="B372" s="302" t="s">
        <v>51</v>
      </c>
      <c r="D372" s="550"/>
      <c r="E372" s="550"/>
      <c r="F372" s="550"/>
      <c r="G372" s="272">
        <f t="shared" si="63"/>
        <v>3.6776407187469431</v>
      </c>
      <c r="H372" s="272">
        <f t="shared" si="63"/>
        <v>3.6592525151532129</v>
      </c>
      <c r="I372" s="272">
        <f t="shared" si="63"/>
        <v>3.6408643115594757</v>
      </c>
      <c r="J372" s="272">
        <f t="shared" si="63"/>
        <v>3.6224761079657384</v>
      </c>
      <c r="K372" s="272">
        <f t="shared" si="63"/>
        <v>3.6040879043720082</v>
      </c>
      <c r="L372" s="272">
        <f t="shared" si="63"/>
        <v>3.5856997007782709</v>
      </c>
      <c r="M372" s="272">
        <f t="shared" si="63"/>
        <v>3.5673114971845408</v>
      </c>
      <c r="N372" s="272">
        <f t="shared" si="63"/>
        <v>3.5489232935908035</v>
      </c>
      <c r="O372" s="272">
        <f t="shared" si="63"/>
        <v>3.5305350899970662</v>
      </c>
      <c r="P372" s="272">
        <f t="shared" si="63"/>
        <v>3.5121468864033361</v>
      </c>
      <c r="Q372" s="272">
        <f t="shared" si="64"/>
        <v>3.4937586828095988</v>
      </c>
      <c r="R372" s="272">
        <f t="shared" si="64"/>
        <v>3.4753704792158615</v>
      </c>
      <c r="S372" s="272">
        <f t="shared" si="64"/>
        <v>3.4569822756221313</v>
      </c>
      <c r="T372" s="272">
        <f t="shared" si="64"/>
        <v>3.4385940720283941</v>
      </c>
      <c r="U372" s="272">
        <f t="shared" si="64"/>
        <v>3.4202058684346568</v>
      </c>
      <c r="V372" s="272">
        <f t="shared" si="64"/>
        <v>3.4018176648409266</v>
      </c>
      <c r="W372" s="272">
        <f t="shared" si="64"/>
        <v>3.3834294612471894</v>
      </c>
      <c r="X372" s="272">
        <f t="shared" si="64"/>
        <v>3.3650412576534521</v>
      </c>
      <c r="Y372" s="272">
        <f t="shared" si="64"/>
        <v>3.3466530540597219</v>
      </c>
      <c r="Z372" s="272">
        <f t="shared" si="64"/>
        <v>3.3282648504659846</v>
      </c>
      <c r="AA372" s="272">
        <f t="shared" si="65"/>
        <v>3.3098766468722545</v>
      </c>
      <c r="AB372" s="272">
        <f t="shared" si="65"/>
        <v>3.2914884432785172</v>
      </c>
      <c r="AC372" s="272">
        <f t="shared" si="65"/>
        <v>3.2731002396847799</v>
      </c>
      <c r="AD372" s="272">
        <f t="shared" si="65"/>
        <v>3.2547120360910498</v>
      </c>
      <c r="AE372" s="272">
        <f t="shared" si="65"/>
        <v>3.2363238324973125</v>
      </c>
      <c r="AF372" s="272">
        <f t="shared" si="65"/>
        <v>3.2179356289035752</v>
      </c>
      <c r="AH372" s="271">
        <f>IF(Tech_Specs!$E36="linear",TREND(Perform_Active!$S37:$T37,Perform_Active!$S$8:$T$8,AH$343),)</f>
        <v>3.6776407187469431</v>
      </c>
      <c r="AI372" s="271">
        <f>IF(Tech_Specs!$E36="linear",TREND(Perform_Active!$S37:$T37,Perform_Active!$S$8:$T$8,AI$343),)</f>
        <v>3.6592525151532129</v>
      </c>
      <c r="AJ372" s="271">
        <f>IF(Tech_Specs!$E36="linear",TREND(Perform_Active!$S37:$T37,Perform_Active!$S$8:$T$8,AJ$343),)</f>
        <v>3.6408643115594757</v>
      </c>
      <c r="AK372" s="271">
        <f>IF(Tech_Specs!$E36="linear",TREND(Perform_Active!$S37:$T37,Perform_Active!$S$8:$T$8,AK$343),)</f>
        <v>3.6224761079657384</v>
      </c>
      <c r="AL372" s="271">
        <f>IF(Tech_Specs!$E36="linear",TREND(Perform_Active!$S37:$T37,Perform_Active!$S$8:$T$8,AL$343),)</f>
        <v>3.6040879043720082</v>
      </c>
      <c r="AM372" s="271">
        <f>IF(Tech_Specs!$E36="linear",TREND(Perform_Active!$S37:$T37,Perform_Active!$S$8:$T$8,AM$343),)</f>
        <v>3.5856997007782709</v>
      </c>
      <c r="AN372" s="271">
        <f>IF(Tech_Specs!$E36="linear",TREND(Perform_Active!$S37:$T37,Perform_Active!$S$8:$T$8,AN$343),)</f>
        <v>3.5673114971845408</v>
      </c>
      <c r="AO372" s="271">
        <f>IF(Tech_Specs!$E36="linear",TREND(Perform_Active!$S37:$T37,Perform_Active!$S$8:$T$8,AO$343),)</f>
        <v>3.5489232935908035</v>
      </c>
      <c r="AP372" s="271">
        <f>IF(Tech_Specs!$E36="linear",TREND(Perform_Active!$S37:$T37,Perform_Active!$S$8:$T$8,AP$343),)</f>
        <v>3.5305350899970662</v>
      </c>
      <c r="AQ372" s="271">
        <f>IF(Tech_Specs!$E36="linear",TREND(Perform_Active!$S37:$T37,Perform_Active!$S$8:$T$8,AQ$343),)</f>
        <v>3.5121468864033361</v>
      </c>
      <c r="AR372" s="271">
        <f>IF(Tech_Specs!$E36="linear",TREND(Perform_Active!$S37:$T37,Perform_Active!$S$8:$T$8,AR$343),)</f>
        <v>3.4937586828095988</v>
      </c>
      <c r="AS372" s="271">
        <f>IF(Tech_Specs!$E36="linear",TREND(Perform_Active!$S37:$T37,Perform_Active!$S$8:$T$8,AS$343),)</f>
        <v>3.4753704792158615</v>
      </c>
      <c r="AT372" s="271">
        <f>IF(Tech_Specs!$E36="linear",TREND(Perform_Active!$S37:$T37,Perform_Active!$S$8:$T$8,AT$343),)</f>
        <v>3.4569822756221313</v>
      </c>
      <c r="AU372" s="271">
        <f>IF(Tech_Specs!$E36="linear",TREND(Perform_Active!$S37:$T37,Perform_Active!$S$8:$T$8,AU$343),)</f>
        <v>3.4385940720283941</v>
      </c>
      <c r="AV372" s="271">
        <f>IF(Tech_Specs!$E36="linear",TREND(Perform_Active!$S37:$T37,Perform_Active!$S$8:$T$8,AV$343),)</f>
        <v>3.4202058684346568</v>
      </c>
      <c r="AW372" s="271">
        <f>IF(Tech_Specs!$E36="linear",TREND(Perform_Active!$S37:$T37,Perform_Active!$S$8:$T$8,AW$343),)</f>
        <v>3.4018176648409266</v>
      </c>
      <c r="AX372" s="271">
        <f>IF(Tech_Specs!$E36="linear",TREND(Perform_Active!$S37:$T37,Perform_Active!$S$8:$T$8,AX$343),)</f>
        <v>3.3834294612471894</v>
      </c>
      <c r="AY372" s="271">
        <f>IF(Tech_Specs!$E36="linear",TREND(Perform_Active!$S37:$T37,Perform_Active!$S$8:$T$8,AY$343),)</f>
        <v>3.3650412576534521</v>
      </c>
      <c r="AZ372" s="271">
        <f>IF(Tech_Specs!$E36="linear",TREND(Perform_Active!$S37:$T37,Perform_Active!$S$8:$T$8,AZ$343),)</f>
        <v>3.3466530540597219</v>
      </c>
      <c r="BA372" s="271">
        <f>IF(Tech_Specs!$E36="linear",TREND(Perform_Active!$S37:$T37,Perform_Active!$S$8:$T$8,BA$343),)</f>
        <v>3.3282648504659846</v>
      </c>
      <c r="BB372" s="271">
        <f>IF(Tech_Specs!$E36="linear",TREND(Perform_Active!$S37:$T37,Perform_Active!$S$8:$T$8,BB$343),)</f>
        <v>3.3098766468722545</v>
      </c>
      <c r="BC372" s="271">
        <f>IF(Tech_Specs!$E36="linear",TREND(Perform_Active!$S37:$T37,Perform_Active!$S$8:$T$8,BC$343),)</f>
        <v>3.2914884432785172</v>
      </c>
      <c r="BD372" s="271">
        <f>IF(Tech_Specs!$E36="linear",TREND(Perform_Active!$S37:$T37,Perform_Active!$S$8:$T$8,BD$343),)</f>
        <v>3.2731002396847799</v>
      </c>
      <c r="BE372" s="271">
        <f>IF(Tech_Specs!$E36="linear",TREND(Perform_Active!$S37:$T37,Perform_Active!$S$8:$T$8,BE$343),)</f>
        <v>3.2547120360910498</v>
      </c>
      <c r="BF372" s="271">
        <f>IF(Tech_Specs!$E36="linear",TREND(Perform_Active!$S37:$T37,Perform_Active!$S$8:$T$8,BF$343),)</f>
        <v>3.2363238324973125</v>
      </c>
      <c r="BG372" s="271">
        <f>IF(Tech_Specs!$E36="linear",TREND(Perform_Active!$S37:$T37,Perform_Active!$S$8:$T$8,BG$343),)</f>
        <v>3.2179356289035752</v>
      </c>
      <c r="BI372" s="271">
        <f>IF(Tech_Specs!$E36="logistic",IF(Tech_Specs!$K36="lamp",Perform_SSL!G$14,Perform_SSL!G$15),)*Perform_Active!$I37/1000</f>
        <v>0</v>
      </c>
      <c r="BJ372" s="271">
        <f>IF(Tech_Specs!$E36="logistic",IF(Tech_Specs!$K36="lamp",Perform_SSL!H$14,Perform_SSL!H$15),)*Perform_Active!$I37/1000</f>
        <v>0</v>
      </c>
      <c r="BK372" s="271">
        <f>IF(Tech_Specs!$E36="logistic",IF(Tech_Specs!$K36="lamp",Perform_SSL!I$14,Perform_SSL!I$15),)*Perform_Active!$I37/1000</f>
        <v>0</v>
      </c>
      <c r="BL372" s="271">
        <f>IF(Tech_Specs!$E36="logistic",IF(Tech_Specs!$K36="lamp",Perform_SSL!J$14,Perform_SSL!J$15),)*Perform_Active!$I37/1000</f>
        <v>0</v>
      </c>
      <c r="BM372" s="271">
        <f>IF(Tech_Specs!$E36="logistic",IF(Tech_Specs!$K36="lamp",Perform_SSL!K$14,Perform_SSL!K$15),)*Perform_Active!$I37/1000</f>
        <v>0</v>
      </c>
      <c r="BN372" s="271">
        <f>IF(Tech_Specs!$E36="logistic",IF(Tech_Specs!$K36="lamp",Perform_SSL!L$14,Perform_SSL!L$15),)*Perform_Active!$I37/1000</f>
        <v>0</v>
      </c>
      <c r="BO372" s="271">
        <f>IF(Tech_Specs!$E36="logistic",IF(Tech_Specs!$K36="lamp",Perform_SSL!M$14,Perform_SSL!M$15),)*Perform_Active!$I37/1000</f>
        <v>0</v>
      </c>
      <c r="BP372" s="271">
        <f>IF(Tech_Specs!$E36="logistic",IF(Tech_Specs!$K36="lamp",Perform_SSL!N$14,Perform_SSL!N$15),)*Perform_Active!$I37/1000</f>
        <v>0</v>
      </c>
      <c r="BQ372" s="271">
        <f>IF(Tech_Specs!$E36="logistic",IF(Tech_Specs!$K36="lamp",Perform_SSL!O$14,Perform_SSL!O$15),)*Perform_Active!$I37/1000</f>
        <v>0</v>
      </c>
      <c r="BR372" s="271">
        <f>IF(Tech_Specs!$E36="logistic",IF(Tech_Specs!$K36="lamp",Perform_SSL!P$14,Perform_SSL!P$15),)*Perform_Active!$I37/1000</f>
        <v>0</v>
      </c>
      <c r="BS372" s="271">
        <f>IF(Tech_Specs!$E36="logistic",IF(Tech_Specs!$K36="lamp",Perform_SSL!Q$14,Perform_SSL!Q$15),)*Perform_Active!$I37/1000</f>
        <v>0</v>
      </c>
      <c r="BT372" s="271">
        <f>IF(Tech_Specs!$E36="logistic",IF(Tech_Specs!$K36="lamp",Perform_SSL!R$14,Perform_SSL!R$15),)*Perform_Active!$I37/1000</f>
        <v>0</v>
      </c>
      <c r="BU372" s="271">
        <f>IF(Tech_Specs!$E36="logistic",IF(Tech_Specs!$K36="lamp",Perform_SSL!S$14,Perform_SSL!S$15),)*Perform_Active!$I37/1000</f>
        <v>0</v>
      </c>
      <c r="BV372" s="271">
        <f>IF(Tech_Specs!$E36="logistic",IF(Tech_Specs!$K36="lamp",Perform_SSL!T$14,Perform_SSL!T$15),)*Perform_Active!$I37/1000</f>
        <v>0</v>
      </c>
      <c r="BW372" s="271">
        <f>IF(Tech_Specs!$E36="logistic",IF(Tech_Specs!$K36="lamp",Perform_SSL!U$14,Perform_SSL!U$15),)*Perform_Active!$I37/1000</f>
        <v>0</v>
      </c>
      <c r="BX372" s="271">
        <f>IF(Tech_Specs!$E36="logistic",IF(Tech_Specs!$K36="lamp",Perform_SSL!V$14,Perform_SSL!V$15),)*Perform_Active!$I37/1000</f>
        <v>0</v>
      </c>
      <c r="BY372" s="271">
        <f>IF(Tech_Specs!$E36="logistic",IF(Tech_Specs!$K36="lamp",Perform_SSL!W$14,Perform_SSL!W$15),)*Perform_Active!$I37/1000</f>
        <v>0</v>
      </c>
      <c r="BZ372" s="271">
        <f>IF(Tech_Specs!$E36="logistic",IF(Tech_Specs!$K36="lamp",Perform_SSL!X$14,Perform_SSL!X$15),)*Perform_Active!$I37/1000</f>
        <v>0</v>
      </c>
      <c r="CA372" s="271">
        <f>IF(Tech_Specs!$E36="logistic",IF(Tech_Specs!$K36="lamp",Perform_SSL!Y$14,Perform_SSL!Y$15),)*Perform_Active!$I37/1000</f>
        <v>0</v>
      </c>
      <c r="CB372" s="271">
        <f>IF(Tech_Specs!$E36="logistic",IF(Tech_Specs!$K36="lamp",Perform_SSL!Z$14,Perform_SSL!Z$15),)*Perform_Active!$I37/1000</f>
        <v>0</v>
      </c>
      <c r="CC372" s="271">
        <f>IF(Tech_Specs!$E36="logistic",IF(Tech_Specs!$K36="lamp",Perform_SSL!AA$14,Perform_SSL!AA$15),)*Perform_Active!$I37/1000</f>
        <v>0</v>
      </c>
      <c r="CD372" s="271">
        <f>IF(Tech_Specs!$E36="logistic",IF(Tech_Specs!$K36="lamp",Perform_SSL!AB$14,Perform_SSL!AB$15),)*Perform_Active!$I37/1000</f>
        <v>0</v>
      </c>
      <c r="CE372" s="271">
        <f>IF(Tech_Specs!$E36="logistic",IF(Tech_Specs!$K36="lamp",Perform_SSL!AC$14,Perform_SSL!AC$15),)*Perform_Active!$I37/1000</f>
        <v>0</v>
      </c>
      <c r="CF372" s="271">
        <f>IF(Tech_Specs!$E36="logistic",IF(Tech_Specs!$K36="lamp",Perform_SSL!AD$14,Perform_SSL!AD$15),)*Perform_Active!$I37/1000</f>
        <v>0</v>
      </c>
      <c r="CG372" s="271">
        <f>IF(Tech_Specs!$E36="logistic",IF(Tech_Specs!$K36="lamp",Perform_SSL!AE$14,Perform_SSL!AE$15),)*Perform_Active!$I37/1000</f>
        <v>0</v>
      </c>
      <c r="CH372" s="271">
        <f>IF(Tech_Specs!$E36="logistic",IF(Tech_Specs!$K36="lamp",Perform_SSL!AF$14,Perform_SSL!AF$15),)*Perform_Active!$I37/1000</f>
        <v>0</v>
      </c>
      <c r="CJ372" s="271">
        <f>IF(AND(Tech_Specs!$E36="step",Standards_Active!$E37="yes"),IF(CJ$343&lt;Standards_Active!$C37,TREND(Perform_Active!$S37:$T37,Perform_Active!$S$8:$T$8,CJ$343),IF(ISNUMBER(Standards_Active!$M37),IF(AND(CJ$343&gt;=Standards_Active!$C37,CJ$343&lt;Standards_Active!$D37),(Standards_Active!$M37-INDEX($CJ372:$DI372,1,MATCH((Standards_Active!$C37-1),$CJ$343:$DI$343,FALSE)))/(Standards_Active!$D37-(Standards_Active!$C37-1))+CI372,Standards_Active!$M37*((1+Standards_Active!$O37)^(CJ$343-Standards_Active!$D37))),TREND(Perform_Active!$S37:$T37,Perform_Active!$S$8:$T$8,CJ$343))),)</f>
        <v>0</v>
      </c>
      <c r="CK372" s="271">
        <f>IF(AND(Tech_Specs!$E36="step",Standards_Active!$E37="yes"),IF(CK$343&lt;Standards_Active!$C37,TREND(Perform_Active!$S37:$T37,Perform_Active!$S$8:$T$8,CK$343),IF(ISNUMBER(Standards_Active!$M37),IF(AND(CK$343&gt;=Standards_Active!$C37,CK$343&lt;Standards_Active!$D37),(Standards_Active!$M37-INDEX($CJ372:$DI372,1,MATCH((Standards_Active!$C37-1),$CJ$343:$DI$343,FALSE)))/(Standards_Active!$D37-(Standards_Active!$C37-1))+CJ372,Standards_Active!$M37*((1+Standards_Active!$O37)^(CK$343-Standards_Active!$D37))),TREND(Perform_Active!$S37:$T37,Perform_Active!$S$8:$T$8,CK$343))),)</f>
        <v>0</v>
      </c>
      <c r="CL372" s="271">
        <f>IF(AND(Tech_Specs!$E36="step",Standards_Active!$E37="yes"),IF(CL$343&lt;Standards_Active!$C37,TREND(Perform_Active!$S37:$T37,Perform_Active!$S$8:$T$8,CL$343),IF(ISNUMBER(Standards_Active!$M37),IF(AND(CL$343&gt;=Standards_Active!$C37,CL$343&lt;Standards_Active!$D37),(Standards_Active!$M37-INDEX($CJ372:$DI372,1,MATCH((Standards_Active!$C37-1),$CJ$343:$DI$343,FALSE)))/(Standards_Active!$D37-(Standards_Active!$C37-1))+CK372,Standards_Active!$M37*((1+Standards_Active!$O37)^(CL$343-Standards_Active!$D37))),TREND(Perform_Active!$S37:$T37,Perform_Active!$S$8:$T$8,CL$343))),)</f>
        <v>0</v>
      </c>
      <c r="CM372" s="271">
        <f>IF(AND(Tech_Specs!$E36="step",Standards_Active!$E37="yes"),IF(CM$343&lt;Standards_Active!$C37,TREND(Perform_Active!$S37:$T37,Perform_Active!$S$8:$T$8,CM$343),IF(ISNUMBER(Standards_Active!$M37),IF(AND(CM$343&gt;=Standards_Active!$C37,CM$343&lt;Standards_Active!$D37),(Standards_Active!$M37-INDEX($CJ372:$DI372,1,MATCH((Standards_Active!$C37-1),$CJ$343:$DI$343,FALSE)))/(Standards_Active!$D37-(Standards_Active!$C37-1))+CL372,Standards_Active!$M37*((1+Standards_Active!$O37)^(CM$343-Standards_Active!$D37))),TREND(Perform_Active!$S37:$T37,Perform_Active!$S$8:$T$8,CM$343))),)</f>
        <v>0</v>
      </c>
      <c r="CN372" s="271">
        <f>IF(AND(Tech_Specs!$E36="step",Standards_Active!$E37="yes"),IF(CN$343&lt;Standards_Active!$C37,TREND(Perform_Active!$S37:$T37,Perform_Active!$S$8:$T$8,CN$343),IF(ISNUMBER(Standards_Active!$M37),IF(AND(CN$343&gt;=Standards_Active!$C37,CN$343&lt;Standards_Active!$D37),(Standards_Active!$M37-INDEX($CJ372:$DI372,1,MATCH((Standards_Active!$C37-1),$CJ$343:$DI$343,FALSE)))/(Standards_Active!$D37-(Standards_Active!$C37-1))+CM372,Standards_Active!$M37*((1+Standards_Active!$O37)^(CN$343-Standards_Active!$D37))),TREND(Perform_Active!$S37:$T37,Perform_Active!$S$8:$T$8,CN$343))),)</f>
        <v>0</v>
      </c>
      <c r="CO372" s="271">
        <f>IF(AND(Tech_Specs!$E36="step",Standards_Active!$E37="yes"),IF(CO$343&lt;Standards_Active!$C37,TREND(Perform_Active!$S37:$T37,Perform_Active!$S$8:$T$8,CO$343),IF(ISNUMBER(Standards_Active!$M37),IF(AND(CO$343&gt;=Standards_Active!$C37,CO$343&lt;Standards_Active!$D37),(Standards_Active!$M37-INDEX($CJ372:$DI372,1,MATCH((Standards_Active!$C37-1),$CJ$343:$DI$343,FALSE)))/(Standards_Active!$D37-(Standards_Active!$C37-1))+CN372,Standards_Active!$M37*((1+Standards_Active!$O37)^(CO$343-Standards_Active!$D37))),TREND(Perform_Active!$S37:$T37,Perform_Active!$S$8:$T$8,CO$343))),)</f>
        <v>0</v>
      </c>
      <c r="CP372" s="271">
        <f>IF(AND(Tech_Specs!$E36="step",Standards_Active!$E37="yes"),IF(CP$343&lt;Standards_Active!$C37,TREND(Perform_Active!$S37:$T37,Perform_Active!$S$8:$T$8,CP$343),IF(ISNUMBER(Standards_Active!$M37),IF(AND(CP$343&gt;=Standards_Active!$C37,CP$343&lt;Standards_Active!$D37),(Standards_Active!$M37-INDEX($CJ372:$DI372,1,MATCH((Standards_Active!$C37-1),$CJ$343:$DI$343,FALSE)))/(Standards_Active!$D37-(Standards_Active!$C37-1))+CO372,Standards_Active!$M37*((1+Standards_Active!$O37)^(CP$343-Standards_Active!$D37))),TREND(Perform_Active!$S37:$T37,Perform_Active!$S$8:$T$8,CP$343))),)</f>
        <v>0</v>
      </c>
      <c r="CQ372" s="271">
        <f>IF(AND(Tech_Specs!$E36="step",Standards_Active!$E37="yes"),IF(CQ$343&lt;Standards_Active!$C37,TREND(Perform_Active!$S37:$T37,Perform_Active!$S$8:$T$8,CQ$343),IF(ISNUMBER(Standards_Active!$M37),IF(AND(CQ$343&gt;=Standards_Active!$C37,CQ$343&lt;Standards_Active!$D37),(Standards_Active!$M37-INDEX($CJ372:$DI372,1,MATCH((Standards_Active!$C37-1),$CJ$343:$DI$343,FALSE)))/(Standards_Active!$D37-(Standards_Active!$C37-1))+CP372,Standards_Active!$M37*((1+Standards_Active!$O37)^(CQ$343-Standards_Active!$D37))),TREND(Perform_Active!$S37:$T37,Perform_Active!$S$8:$T$8,CQ$343))),)</f>
        <v>0</v>
      </c>
      <c r="CR372" s="271">
        <f>IF(AND(Tech_Specs!$E36="step",Standards_Active!$E37="yes"),IF(CR$343&lt;Standards_Active!$C37,TREND(Perform_Active!$S37:$T37,Perform_Active!$S$8:$T$8,CR$343),IF(ISNUMBER(Standards_Active!$M37),IF(AND(CR$343&gt;=Standards_Active!$C37,CR$343&lt;Standards_Active!$D37),(Standards_Active!$M37-INDEX($CJ372:$DI372,1,MATCH((Standards_Active!$C37-1),$CJ$343:$DI$343,FALSE)))/(Standards_Active!$D37-(Standards_Active!$C37-1))+CQ372,Standards_Active!$M37*((1+Standards_Active!$O37)^(CR$343-Standards_Active!$D37))),TREND(Perform_Active!$S37:$T37,Perform_Active!$S$8:$T$8,CR$343))),)</f>
        <v>0</v>
      </c>
      <c r="CS372" s="271">
        <f>IF(AND(Tech_Specs!$E36="step",Standards_Active!$E37="yes"),IF(CS$343&lt;Standards_Active!$C37,TREND(Perform_Active!$S37:$T37,Perform_Active!$S$8:$T$8,CS$343),IF(ISNUMBER(Standards_Active!$M37),IF(AND(CS$343&gt;=Standards_Active!$C37,CS$343&lt;Standards_Active!$D37),(Standards_Active!$M37-INDEX($CJ372:$DI372,1,MATCH((Standards_Active!$C37-1),$CJ$343:$DI$343,FALSE)))/(Standards_Active!$D37-(Standards_Active!$C37-1))+CR372,Standards_Active!$M37*((1+Standards_Active!$O37)^(CS$343-Standards_Active!$D37))),TREND(Perform_Active!$S37:$T37,Perform_Active!$S$8:$T$8,CS$343))),)</f>
        <v>0</v>
      </c>
      <c r="CT372" s="271">
        <f>IF(AND(Tech_Specs!$E36="step",Standards_Active!$E37="yes"),IF(CT$343&lt;Standards_Active!$C37,TREND(Perform_Active!$S37:$T37,Perform_Active!$S$8:$T$8,CT$343),IF(ISNUMBER(Standards_Active!$M37),IF(AND(CT$343&gt;=Standards_Active!$C37,CT$343&lt;Standards_Active!$D37),(Standards_Active!$M37-INDEX($CJ372:$DI372,1,MATCH((Standards_Active!$C37-1),$CJ$343:$DI$343,FALSE)))/(Standards_Active!$D37-(Standards_Active!$C37-1))+CS372,Standards_Active!$M37*((1+Standards_Active!$O37)^(CT$343-Standards_Active!$D37))),TREND(Perform_Active!$S37:$T37,Perform_Active!$S$8:$T$8,CT$343))),)</f>
        <v>0</v>
      </c>
      <c r="CU372" s="271">
        <f>IF(AND(Tech_Specs!$E36="step",Standards_Active!$E37="yes"),IF(CU$343&lt;Standards_Active!$C37,TREND(Perform_Active!$S37:$T37,Perform_Active!$S$8:$T$8,CU$343),IF(ISNUMBER(Standards_Active!$M37),IF(AND(CU$343&gt;=Standards_Active!$C37,CU$343&lt;Standards_Active!$D37),(Standards_Active!$M37-INDEX($CJ372:$DI372,1,MATCH((Standards_Active!$C37-1),$CJ$343:$DI$343,FALSE)))/(Standards_Active!$D37-(Standards_Active!$C37-1))+CT372,Standards_Active!$M37*((1+Standards_Active!$O37)^(CU$343-Standards_Active!$D37))),TREND(Perform_Active!$S37:$T37,Perform_Active!$S$8:$T$8,CU$343))),)</f>
        <v>0</v>
      </c>
      <c r="CV372" s="271">
        <f>IF(AND(Tech_Specs!$E36="step",Standards_Active!$E37="yes"),IF(CV$343&lt;Standards_Active!$C37,TREND(Perform_Active!$S37:$T37,Perform_Active!$S$8:$T$8,CV$343),IF(ISNUMBER(Standards_Active!$M37),IF(AND(CV$343&gt;=Standards_Active!$C37,CV$343&lt;Standards_Active!$D37),(Standards_Active!$M37-INDEX($CJ372:$DI372,1,MATCH((Standards_Active!$C37-1),$CJ$343:$DI$343,FALSE)))/(Standards_Active!$D37-(Standards_Active!$C37-1))+CU372,Standards_Active!$M37*((1+Standards_Active!$O37)^(CV$343-Standards_Active!$D37))),TREND(Perform_Active!$S37:$T37,Perform_Active!$S$8:$T$8,CV$343))),)</f>
        <v>0</v>
      </c>
      <c r="CW372" s="271">
        <f>IF(AND(Tech_Specs!$E36="step",Standards_Active!$E37="yes"),IF(CW$343&lt;Standards_Active!$C37,TREND(Perform_Active!$S37:$T37,Perform_Active!$S$8:$T$8,CW$343),IF(ISNUMBER(Standards_Active!$M37),IF(AND(CW$343&gt;=Standards_Active!$C37,CW$343&lt;Standards_Active!$D37),(Standards_Active!$M37-INDEX($CJ372:$DI372,1,MATCH((Standards_Active!$C37-1),$CJ$343:$DI$343,FALSE)))/(Standards_Active!$D37-(Standards_Active!$C37-1))+CV372,Standards_Active!$M37*((1+Standards_Active!$O37)^(CW$343-Standards_Active!$D37))),TREND(Perform_Active!$S37:$T37,Perform_Active!$S$8:$T$8,CW$343))),)</f>
        <v>0</v>
      </c>
      <c r="CX372" s="271">
        <f>IF(AND(Tech_Specs!$E36="step",Standards_Active!$E37="yes"),IF(CX$343&lt;Standards_Active!$C37,TREND(Perform_Active!$S37:$T37,Perform_Active!$S$8:$T$8,CX$343),IF(ISNUMBER(Standards_Active!$M37),IF(AND(CX$343&gt;=Standards_Active!$C37,CX$343&lt;Standards_Active!$D37),(Standards_Active!$M37-INDEX($CJ372:$DI372,1,MATCH((Standards_Active!$C37-1),$CJ$343:$DI$343,FALSE)))/(Standards_Active!$D37-(Standards_Active!$C37-1))+CW372,Standards_Active!$M37*((1+Standards_Active!$O37)^(CX$343-Standards_Active!$D37))),TREND(Perform_Active!$S37:$T37,Perform_Active!$S$8:$T$8,CX$343))),)</f>
        <v>0</v>
      </c>
      <c r="CY372" s="271">
        <f>IF(AND(Tech_Specs!$E36="step",Standards_Active!$E37="yes"),IF(CY$343&lt;Standards_Active!$C37,TREND(Perform_Active!$S37:$T37,Perform_Active!$S$8:$T$8,CY$343),IF(ISNUMBER(Standards_Active!$M37),IF(AND(CY$343&gt;=Standards_Active!$C37,CY$343&lt;Standards_Active!$D37),(Standards_Active!$M37-INDEX($CJ372:$DI372,1,MATCH((Standards_Active!$C37-1),$CJ$343:$DI$343,FALSE)))/(Standards_Active!$D37-(Standards_Active!$C37-1))+CX372,Standards_Active!$M37*((1+Standards_Active!$O37)^(CY$343-Standards_Active!$D37))),TREND(Perform_Active!$S37:$T37,Perform_Active!$S$8:$T$8,CY$343))),)</f>
        <v>0</v>
      </c>
      <c r="CZ372" s="271">
        <f>IF(AND(Tech_Specs!$E36="step",Standards_Active!$E37="yes"),IF(CZ$343&lt;Standards_Active!$C37,TREND(Perform_Active!$S37:$T37,Perform_Active!$S$8:$T$8,CZ$343),IF(ISNUMBER(Standards_Active!$M37),IF(AND(CZ$343&gt;=Standards_Active!$C37,CZ$343&lt;Standards_Active!$D37),(Standards_Active!$M37-INDEX($CJ372:$DI372,1,MATCH((Standards_Active!$C37-1),$CJ$343:$DI$343,FALSE)))/(Standards_Active!$D37-(Standards_Active!$C37-1))+CY372,Standards_Active!$M37*((1+Standards_Active!$O37)^(CZ$343-Standards_Active!$D37))),TREND(Perform_Active!$S37:$T37,Perform_Active!$S$8:$T$8,CZ$343))),)</f>
        <v>0</v>
      </c>
      <c r="DA372" s="271">
        <f>IF(AND(Tech_Specs!$E36="step",Standards_Active!$E37="yes"),IF(DA$343&lt;Standards_Active!$C37,TREND(Perform_Active!$S37:$T37,Perform_Active!$S$8:$T$8,DA$343),IF(ISNUMBER(Standards_Active!$M37),IF(AND(DA$343&gt;=Standards_Active!$C37,DA$343&lt;Standards_Active!$D37),(Standards_Active!$M37-INDEX($CJ372:$DI372,1,MATCH((Standards_Active!$C37-1),$CJ$343:$DI$343,FALSE)))/(Standards_Active!$D37-(Standards_Active!$C37-1))+CZ372,Standards_Active!$M37*((1+Standards_Active!$O37)^(DA$343-Standards_Active!$D37))),TREND(Perform_Active!$S37:$T37,Perform_Active!$S$8:$T$8,DA$343))),)</f>
        <v>0</v>
      </c>
      <c r="DB372" s="271">
        <f>IF(AND(Tech_Specs!$E36="step",Standards_Active!$E37="yes"),IF(DB$343&lt;Standards_Active!$C37,TREND(Perform_Active!$S37:$T37,Perform_Active!$S$8:$T$8,DB$343),IF(ISNUMBER(Standards_Active!$M37),IF(AND(DB$343&gt;=Standards_Active!$C37,DB$343&lt;Standards_Active!$D37),(Standards_Active!$M37-INDEX($CJ372:$DI372,1,MATCH((Standards_Active!$C37-1),$CJ$343:$DI$343,FALSE)))/(Standards_Active!$D37-(Standards_Active!$C37-1))+DA372,Standards_Active!$M37*((1+Standards_Active!$O37)^(DB$343-Standards_Active!$D37))),TREND(Perform_Active!$S37:$T37,Perform_Active!$S$8:$T$8,DB$343))),)</f>
        <v>0</v>
      </c>
      <c r="DC372" s="271">
        <f>IF(AND(Tech_Specs!$E36="step",Standards_Active!$E37="yes"),IF(DC$343&lt;Standards_Active!$C37,TREND(Perform_Active!$S37:$T37,Perform_Active!$S$8:$T$8,DC$343),IF(ISNUMBER(Standards_Active!$M37),IF(AND(DC$343&gt;=Standards_Active!$C37,DC$343&lt;Standards_Active!$D37),(Standards_Active!$M37-INDEX($CJ372:$DI372,1,MATCH((Standards_Active!$C37-1),$CJ$343:$DI$343,FALSE)))/(Standards_Active!$D37-(Standards_Active!$C37-1))+DB372,Standards_Active!$M37*((1+Standards_Active!$O37)^(DC$343-Standards_Active!$D37))),TREND(Perform_Active!$S37:$T37,Perform_Active!$S$8:$T$8,DC$343))),)</f>
        <v>0</v>
      </c>
      <c r="DD372" s="271">
        <f>IF(AND(Tech_Specs!$E36="step",Standards_Active!$E37="yes"),IF(DD$343&lt;Standards_Active!$C37,TREND(Perform_Active!$S37:$T37,Perform_Active!$S$8:$T$8,DD$343),IF(ISNUMBER(Standards_Active!$M37),IF(AND(DD$343&gt;=Standards_Active!$C37,DD$343&lt;Standards_Active!$D37),(Standards_Active!$M37-INDEX($CJ372:$DI372,1,MATCH((Standards_Active!$C37-1),$CJ$343:$DI$343,FALSE)))/(Standards_Active!$D37-(Standards_Active!$C37-1))+DC372,Standards_Active!$M37*((1+Standards_Active!$O37)^(DD$343-Standards_Active!$D37))),TREND(Perform_Active!$S37:$T37,Perform_Active!$S$8:$T$8,DD$343))),)</f>
        <v>0</v>
      </c>
      <c r="DE372" s="271">
        <f>IF(AND(Tech_Specs!$E36="step",Standards_Active!$E37="yes"),IF(DE$343&lt;Standards_Active!$C37,TREND(Perform_Active!$S37:$T37,Perform_Active!$S$8:$T$8,DE$343),IF(ISNUMBER(Standards_Active!$M37),IF(AND(DE$343&gt;=Standards_Active!$C37,DE$343&lt;Standards_Active!$D37),(Standards_Active!$M37-INDEX($CJ372:$DI372,1,MATCH((Standards_Active!$C37-1),$CJ$343:$DI$343,FALSE)))/(Standards_Active!$D37-(Standards_Active!$C37-1))+DD372,Standards_Active!$M37*((1+Standards_Active!$O37)^(DE$343-Standards_Active!$D37))),TREND(Perform_Active!$S37:$T37,Perform_Active!$S$8:$T$8,DE$343))),)</f>
        <v>0</v>
      </c>
      <c r="DF372" s="271">
        <f>IF(AND(Tech_Specs!$E36="step",Standards_Active!$E37="yes"),IF(DF$343&lt;Standards_Active!$C37,TREND(Perform_Active!$S37:$T37,Perform_Active!$S$8:$T$8,DF$343),IF(ISNUMBER(Standards_Active!$M37),IF(AND(DF$343&gt;=Standards_Active!$C37,DF$343&lt;Standards_Active!$D37),(Standards_Active!$M37-INDEX($CJ372:$DI372,1,MATCH((Standards_Active!$C37-1),$CJ$343:$DI$343,FALSE)))/(Standards_Active!$D37-(Standards_Active!$C37-1))+DE372,Standards_Active!$M37*((1+Standards_Active!$O37)^(DF$343-Standards_Active!$D37))),TREND(Perform_Active!$S37:$T37,Perform_Active!$S$8:$T$8,DF$343))),)</f>
        <v>0</v>
      </c>
      <c r="DG372" s="271">
        <f>IF(AND(Tech_Specs!$E36="step",Standards_Active!$E37="yes"),IF(DG$343&lt;Standards_Active!$C37,TREND(Perform_Active!$S37:$T37,Perform_Active!$S$8:$T$8,DG$343),IF(ISNUMBER(Standards_Active!$M37),IF(AND(DG$343&gt;=Standards_Active!$C37,DG$343&lt;Standards_Active!$D37),(Standards_Active!$M37-INDEX($CJ372:$DI372,1,MATCH((Standards_Active!$C37-1),$CJ$343:$DI$343,FALSE)))/(Standards_Active!$D37-(Standards_Active!$C37-1))+DF372,Standards_Active!$M37*((1+Standards_Active!$O37)^(DG$343-Standards_Active!$D37))),TREND(Perform_Active!$S37:$T37,Perform_Active!$S$8:$T$8,DG$343))),)</f>
        <v>0</v>
      </c>
      <c r="DH372" s="271">
        <f>IF(AND(Tech_Specs!$E36="step",Standards_Active!$E37="yes"),IF(DH$343&lt;Standards_Active!$C37,TREND(Perform_Active!$S37:$T37,Perform_Active!$S$8:$T$8,DH$343),IF(ISNUMBER(Standards_Active!$M37),IF(AND(DH$343&gt;=Standards_Active!$C37,DH$343&lt;Standards_Active!$D37),(Standards_Active!$M37-INDEX($CJ372:$DI372,1,MATCH((Standards_Active!$C37-1),$CJ$343:$DI$343,FALSE)))/(Standards_Active!$D37-(Standards_Active!$C37-1))+DG372,Standards_Active!$M37*((1+Standards_Active!$O37)^(DH$343-Standards_Active!$D37))),TREND(Perform_Active!$S37:$T37,Perform_Active!$S$8:$T$8,DH$343))),)</f>
        <v>0</v>
      </c>
      <c r="DI372" s="271">
        <f>IF(AND(Tech_Specs!$E36="step",Standards_Active!$E37="yes"),IF(DI$343&lt;Standards_Active!$C37,TREND(Perform_Active!$S37:$T37,Perform_Active!$S$8:$T$8,DI$343),IF(ISNUMBER(Standards_Active!$M37),IF(AND(DI$343&gt;=Standards_Active!$C37,DI$343&lt;Standards_Active!$D37),(Standards_Active!$M37-INDEX($CJ372:$DI372,1,MATCH((Standards_Active!$C37-1),$CJ$343:$DI$343,FALSE)))/(Standards_Active!$D37-(Standards_Active!$C37-1))+DH372,Standards_Active!$M37*((1+Standards_Active!$O37)^(DI$343-Standards_Active!$D37))),TREND(Perform_Active!$S37:$T37,Perform_Active!$S$8:$T$8,DI$343))),)</f>
        <v>0</v>
      </c>
    </row>
    <row r="373" spans="1:113" s="302" customFormat="1" ht="12.75" x14ac:dyDescent="0.2">
      <c r="B373" s="302" t="s">
        <v>52</v>
      </c>
      <c r="D373" s="550"/>
      <c r="E373" s="550"/>
      <c r="F373" s="550"/>
      <c r="G373" s="272">
        <f t="shared" si="63"/>
        <v>3.4898933830365166</v>
      </c>
      <c r="H373" s="272">
        <f t="shared" si="63"/>
        <v>3.4724439161213354</v>
      </c>
      <c r="I373" s="272">
        <f t="shared" si="63"/>
        <v>3.4549944492061542</v>
      </c>
      <c r="J373" s="272">
        <f t="shared" si="63"/>
        <v>3.4375449822909729</v>
      </c>
      <c r="K373" s="272">
        <f t="shared" si="63"/>
        <v>3.4200955153757917</v>
      </c>
      <c r="L373" s="272">
        <f t="shared" si="63"/>
        <v>3.4026460484606034</v>
      </c>
      <c r="M373" s="272">
        <f t="shared" si="63"/>
        <v>3.3851965815454221</v>
      </c>
      <c r="N373" s="272">
        <f t="shared" si="63"/>
        <v>3.3677471146302409</v>
      </c>
      <c r="O373" s="272">
        <f t="shared" si="63"/>
        <v>3.3502976477150597</v>
      </c>
      <c r="P373" s="272">
        <f t="shared" si="63"/>
        <v>3.3328481807998784</v>
      </c>
      <c r="Q373" s="272">
        <f t="shared" si="64"/>
        <v>3.3153987138846901</v>
      </c>
      <c r="R373" s="272">
        <f t="shared" si="64"/>
        <v>3.2979492469695089</v>
      </c>
      <c r="S373" s="272">
        <f t="shared" si="64"/>
        <v>3.2804997800543276</v>
      </c>
      <c r="T373" s="272">
        <f t="shared" si="64"/>
        <v>3.2630503131391464</v>
      </c>
      <c r="U373" s="272">
        <f t="shared" si="64"/>
        <v>3.2456008462239652</v>
      </c>
      <c r="V373" s="272">
        <f t="shared" si="64"/>
        <v>3.2281513793087768</v>
      </c>
      <c r="W373" s="272">
        <f t="shared" si="64"/>
        <v>3.2107019123935956</v>
      </c>
      <c r="X373" s="272">
        <f t="shared" si="64"/>
        <v>3.1932524454784144</v>
      </c>
      <c r="Y373" s="272">
        <f t="shared" si="64"/>
        <v>3.1758029785632331</v>
      </c>
      <c r="Z373" s="272">
        <f t="shared" si="64"/>
        <v>3.1583535116480519</v>
      </c>
      <c r="AA373" s="272">
        <f t="shared" si="65"/>
        <v>3.1409040447328636</v>
      </c>
      <c r="AB373" s="272">
        <f t="shared" si="65"/>
        <v>3.1234545778176823</v>
      </c>
      <c r="AC373" s="272">
        <f t="shared" si="65"/>
        <v>3.1060051109025011</v>
      </c>
      <c r="AD373" s="272">
        <f t="shared" si="65"/>
        <v>3.0885556439873199</v>
      </c>
      <c r="AE373" s="272">
        <f t="shared" si="65"/>
        <v>3.0711061770721386</v>
      </c>
      <c r="AF373" s="272">
        <f t="shared" si="65"/>
        <v>3.0536567101569574</v>
      </c>
      <c r="AH373" s="271">
        <f>IF(Tech_Specs!$E37="linear",TREND(Perform_Active!$S38:$T38,Perform_Active!$S$8:$T$8,AH$343),)</f>
        <v>3.4898933830365166</v>
      </c>
      <c r="AI373" s="271">
        <f>IF(Tech_Specs!$E37="linear",TREND(Perform_Active!$S38:$T38,Perform_Active!$S$8:$T$8,AI$343),)</f>
        <v>3.4724439161213354</v>
      </c>
      <c r="AJ373" s="271">
        <f>IF(Tech_Specs!$E37="linear",TREND(Perform_Active!$S38:$T38,Perform_Active!$S$8:$T$8,AJ$343),)</f>
        <v>3.4549944492061542</v>
      </c>
      <c r="AK373" s="271">
        <f>IF(Tech_Specs!$E37="linear",TREND(Perform_Active!$S38:$T38,Perform_Active!$S$8:$T$8,AK$343),)</f>
        <v>3.4375449822909729</v>
      </c>
      <c r="AL373" s="271">
        <f>IF(Tech_Specs!$E37="linear",TREND(Perform_Active!$S38:$T38,Perform_Active!$S$8:$T$8,AL$343),)</f>
        <v>3.4200955153757917</v>
      </c>
      <c r="AM373" s="271">
        <f>IF(Tech_Specs!$E37="linear",TREND(Perform_Active!$S38:$T38,Perform_Active!$S$8:$T$8,AM$343),)</f>
        <v>3.4026460484606034</v>
      </c>
      <c r="AN373" s="271">
        <f>IF(Tech_Specs!$E37="linear",TREND(Perform_Active!$S38:$T38,Perform_Active!$S$8:$T$8,AN$343),)</f>
        <v>3.3851965815454221</v>
      </c>
      <c r="AO373" s="271">
        <f>IF(Tech_Specs!$E37="linear",TREND(Perform_Active!$S38:$T38,Perform_Active!$S$8:$T$8,AO$343),)</f>
        <v>3.3677471146302409</v>
      </c>
      <c r="AP373" s="271">
        <f>IF(Tech_Specs!$E37="linear",TREND(Perform_Active!$S38:$T38,Perform_Active!$S$8:$T$8,AP$343),)</f>
        <v>3.3502976477150597</v>
      </c>
      <c r="AQ373" s="271">
        <f>IF(Tech_Specs!$E37="linear",TREND(Perform_Active!$S38:$T38,Perform_Active!$S$8:$T$8,AQ$343),)</f>
        <v>3.3328481807998784</v>
      </c>
      <c r="AR373" s="271">
        <f>IF(Tech_Specs!$E37="linear",TREND(Perform_Active!$S38:$T38,Perform_Active!$S$8:$T$8,AR$343),)</f>
        <v>3.3153987138846901</v>
      </c>
      <c r="AS373" s="271">
        <f>IF(Tech_Specs!$E37="linear",TREND(Perform_Active!$S38:$T38,Perform_Active!$S$8:$T$8,AS$343),)</f>
        <v>3.2979492469695089</v>
      </c>
      <c r="AT373" s="271">
        <f>IF(Tech_Specs!$E37="linear",TREND(Perform_Active!$S38:$T38,Perform_Active!$S$8:$T$8,AT$343),)</f>
        <v>3.2804997800543276</v>
      </c>
      <c r="AU373" s="271">
        <f>IF(Tech_Specs!$E37="linear",TREND(Perform_Active!$S38:$T38,Perform_Active!$S$8:$T$8,AU$343),)</f>
        <v>3.2630503131391464</v>
      </c>
      <c r="AV373" s="271">
        <f>IF(Tech_Specs!$E37="linear",TREND(Perform_Active!$S38:$T38,Perform_Active!$S$8:$T$8,AV$343),)</f>
        <v>3.2456008462239652</v>
      </c>
      <c r="AW373" s="271">
        <f>IF(Tech_Specs!$E37="linear",TREND(Perform_Active!$S38:$T38,Perform_Active!$S$8:$T$8,AW$343),)</f>
        <v>3.2281513793087768</v>
      </c>
      <c r="AX373" s="271">
        <f>IF(Tech_Specs!$E37="linear",TREND(Perform_Active!$S38:$T38,Perform_Active!$S$8:$T$8,AX$343),)</f>
        <v>3.2107019123935956</v>
      </c>
      <c r="AY373" s="271">
        <f>IF(Tech_Specs!$E37="linear",TREND(Perform_Active!$S38:$T38,Perform_Active!$S$8:$T$8,AY$343),)</f>
        <v>3.1932524454784144</v>
      </c>
      <c r="AZ373" s="271">
        <f>IF(Tech_Specs!$E37="linear",TREND(Perform_Active!$S38:$T38,Perform_Active!$S$8:$T$8,AZ$343),)</f>
        <v>3.1758029785632331</v>
      </c>
      <c r="BA373" s="271">
        <f>IF(Tech_Specs!$E37="linear",TREND(Perform_Active!$S38:$T38,Perform_Active!$S$8:$T$8,BA$343),)</f>
        <v>3.1583535116480519</v>
      </c>
      <c r="BB373" s="271">
        <f>IF(Tech_Specs!$E37="linear",TREND(Perform_Active!$S38:$T38,Perform_Active!$S$8:$T$8,BB$343),)</f>
        <v>3.1409040447328636</v>
      </c>
      <c r="BC373" s="271">
        <f>IF(Tech_Specs!$E37="linear",TREND(Perform_Active!$S38:$T38,Perform_Active!$S$8:$T$8,BC$343),)</f>
        <v>3.1234545778176823</v>
      </c>
      <c r="BD373" s="271">
        <f>IF(Tech_Specs!$E37="linear",TREND(Perform_Active!$S38:$T38,Perform_Active!$S$8:$T$8,BD$343),)</f>
        <v>3.1060051109025011</v>
      </c>
      <c r="BE373" s="271">
        <f>IF(Tech_Specs!$E37="linear",TREND(Perform_Active!$S38:$T38,Perform_Active!$S$8:$T$8,BE$343),)</f>
        <v>3.0885556439873199</v>
      </c>
      <c r="BF373" s="271">
        <f>IF(Tech_Specs!$E37="linear",TREND(Perform_Active!$S38:$T38,Perform_Active!$S$8:$T$8,BF$343),)</f>
        <v>3.0711061770721386</v>
      </c>
      <c r="BG373" s="271">
        <f>IF(Tech_Specs!$E37="linear",TREND(Perform_Active!$S38:$T38,Perform_Active!$S$8:$T$8,BG$343),)</f>
        <v>3.0536567101569574</v>
      </c>
      <c r="BI373" s="271">
        <f>IF(Tech_Specs!$E37="logistic",IF(Tech_Specs!$K37="lamp",Perform_SSL!G$14,Perform_SSL!G$15),)*Perform_Active!$I38/1000</f>
        <v>0</v>
      </c>
      <c r="BJ373" s="271">
        <f>IF(Tech_Specs!$E37="logistic",IF(Tech_Specs!$K37="lamp",Perform_SSL!H$14,Perform_SSL!H$15),)*Perform_Active!$I38/1000</f>
        <v>0</v>
      </c>
      <c r="BK373" s="271">
        <f>IF(Tech_Specs!$E37="logistic",IF(Tech_Specs!$K37="lamp",Perform_SSL!I$14,Perform_SSL!I$15),)*Perform_Active!$I38/1000</f>
        <v>0</v>
      </c>
      <c r="BL373" s="271">
        <f>IF(Tech_Specs!$E37="logistic",IF(Tech_Specs!$K37="lamp",Perform_SSL!J$14,Perform_SSL!J$15),)*Perform_Active!$I38/1000</f>
        <v>0</v>
      </c>
      <c r="BM373" s="271">
        <f>IF(Tech_Specs!$E37="logistic",IF(Tech_Specs!$K37="lamp",Perform_SSL!K$14,Perform_SSL!K$15),)*Perform_Active!$I38/1000</f>
        <v>0</v>
      </c>
      <c r="BN373" s="271">
        <f>IF(Tech_Specs!$E37="logistic",IF(Tech_Specs!$K37="lamp",Perform_SSL!L$14,Perform_SSL!L$15),)*Perform_Active!$I38/1000</f>
        <v>0</v>
      </c>
      <c r="BO373" s="271">
        <f>IF(Tech_Specs!$E37="logistic",IF(Tech_Specs!$K37="lamp",Perform_SSL!M$14,Perform_SSL!M$15),)*Perform_Active!$I38/1000</f>
        <v>0</v>
      </c>
      <c r="BP373" s="271">
        <f>IF(Tech_Specs!$E37="logistic",IF(Tech_Specs!$K37="lamp",Perform_SSL!N$14,Perform_SSL!N$15),)*Perform_Active!$I38/1000</f>
        <v>0</v>
      </c>
      <c r="BQ373" s="271">
        <f>IF(Tech_Specs!$E37="logistic",IF(Tech_Specs!$K37="lamp",Perform_SSL!O$14,Perform_SSL!O$15),)*Perform_Active!$I38/1000</f>
        <v>0</v>
      </c>
      <c r="BR373" s="271">
        <f>IF(Tech_Specs!$E37="logistic",IF(Tech_Specs!$K37="lamp",Perform_SSL!P$14,Perform_SSL!P$15),)*Perform_Active!$I38/1000</f>
        <v>0</v>
      </c>
      <c r="BS373" s="271">
        <f>IF(Tech_Specs!$E37="logistic",IF(Tech_Specs!$K37="lamp",Perform_SSL!Q$14,Perform_SSL!Q$15),)*Perform_Active!$I38/1000</f>
        <v>0</v>
      </c>
      <c r="BT373" s="271">
        <f>IF(Tech_Specs!$E37="logistic",IF(Tech_Specs!$K37="lamp",Perform_SSL!R$14,Perform_SSL!R$15),)*Perform_Active!$I38/1000</f>
        <v>0</v>
      </c>
      <c r="BU373" s="271">
        <f>IF(Tech_Specs!$E37="logistic",IF(Tech_Specs!$K37="lamp",Perform_SSL!S$14,Perform_SSL!S$15),)*Perform_Active!$I38/1000</f>
        <v>0</v>
      </c>
      <c r="BV373" s="271">
        <f>IF(Tech_Specs!$E37="logistic",IF(Tech_Specs!$K37="lamp",Perform_SSL!T$14,Perform_SSL!T$15),)*Perform_Active!$I38/1000</f>
        <v>0</v>
      </c>
      <c r="BW373" s="271">
        <f>IF(Tech_Specs!$E37="logistic",IF(Tech_Specs!$K37="lamp",Perform_SSL!U$14,Perform_SSL!U$15),)*Perform_Active!$I38/1000</f>
        <v>0</v>
      </c>
      <c r="BX373" s="271">
        <f>IF(Tech_Specs!$E37="logistic",IF(Tech_Specs!$K37="lamp",Perform_SSL!V$14,Perform_SSL!V$15),)*Perform_Active!$I38/1000</f>
        <v>0</v>
      </c>
      <c r="BY373" s="271">
        <f>IF(Tech_Specs!$E37="logistic",IF(Tech_Specs!$K37="lamp",Perform_SSL!W$14,Perform_SSL!W$15),)*Perform_Active!$I38/1000</f>
        <v>0</v>
      </c>
      <c r="BZ373" s="271">
        <f>IF(Tech_Specs!$E37="logistic",IF(Tech_Specs!$K37="lamp",Perform_SSL!X$14,Perform_SSL!X$15),)*Perform_Active!$I38/1000</f>
        <v>0</v>
      </c>
      <c r="CA373" s="271">
        <f>IF(Tech_Specs!$E37="logistic",IF(Tech_Specs!$K37="lamp",Perform_SSL!Y$14,Perform_SSL!Y$15),)*Perform_Active!$I38/1000</f>
        <v>0</v>
      </c>
      <c r="CB373" s="271">
        <f>IF(Tech_Specs!$E37="logistic",IF(Tech_Specs!$K37="lamp",Perform_SSL!Z$14,Perform_SSL!Z$15),)*Perform_Active!$I38/1000</f>
        <v>0</v>
      </c>
      <c r="CC373" s="271">
        <f>IF(Tech_Specs!$E37="logistic",IF(Tech_Specs!$K37="lamp",Perform_SSL!AA$14,Perform_SSL!AA$15),)*Perform_Active!$I38/1000</f>
        <v>0</v>
      </c>
      <c r="CD373" s="271">
        <f>IF(Tech_Specs!$E37="logistic",IF(Tech_Specs!$K37="lamp",Perform_SSL!AB$14,Perform_SSL!AB$15),)*Perform_Active!$I38/1000</f>
        <v>0</v>
      </c>
      <c r="CE373" s="271">
        <f>IF(Tech_Specs!$E37="logistic",IF(Tech_Specs!$K37="lamp",Perform_SSL!AC$14,Perform_SSL!AC$15),)*Perform_Active!$I38/1000</f>
        <v>0</v>
      </c>
      <c r="CF373" s="271">
        <f>IF(Tech_Specs!$E37="logistic",IF(Tech_Specs!$K37="lamp",Perform_SSL!AD$14,Perform_SSL!AD$15),)*Perform_Active!$I38/1000</f>
        <v>0</v>
      </c>
      <c r="CG373" s="271">
        <f>IF(Tech_Specs!$E37="logistic",IF(Tech_Specs!$K37="lamp",Perform_SSL!AE$14,Perform_SSL!AE$15),)*Perform_Active!$I38/1000</f>
        <v>0</v>
      </c>
      <c r="CH373" s="271">
        <f>IF(Tech_Specs!$E37="logistic",IF(Tech_Specs!$K37="lamp",Perform_SSL!AF$14,Perform_SSL!AF$15),)*Perform_Active!$I38/1000</f>
        <v>0</v>
      </c>
      <c r="CJ373" s="271">
        <f>IF(AND(Tech_Specs!$E37="step",Standards_Active!$E38="yes"),IF(CJ$343&lt;Standards_Active!$C38,TREND(Perform_Active!$S38:$T38,Perform_Active!$S$8:$T$8,CJ$343),IF(ISNUMBER(Standards_Active!$M38),IF(AND(CJ$343&gt;=Standards_Active!$C38,CJ$343&lt;Standards_Active!$D38),(Standards_Active!$M38-INDEX($CJ373:$DI373,1,MATCH((Standards_Active!$C38-1),$CJ$343:$DI$343,FALSE)))/(Standards_Active!$D38-(Standards_Active!$C38-1))+CI373,Standards_Active!$M38*((1+Standards_Active!$O38)^(CJ$343-Standards_Active!$D38))),TREND(Perform_Active!$S38:$T38,Perform_Active!$S$8:$T$8,CJ$343))),)</f>
        <v>0</v>
      </c>
      <c r="CK373" s="271">
        <f>IF(AND(Tech_Specs!$E37="step",Standards_Active!$E38="yes"),IF(CK$343&lt;Standards_Active!$C38,TREND(Perform_Active!$S38:$T38,Perform_Active!$S$8:$T$8,CK$343),IF(ISNUMBER(Standards_Active!$M38),IF(AND(CK$343&gt;=Standards_Active!$C38,CK$343&lt;Standards_Active!$D38),(Standards_Active!$M38-INDEX($CJ373:$DI373,1,MATCH((Standards_Active!$C38-1),$CJ$343:$DI$343,FALSE)))/(Standards_Active!$D38-(Standards_Active!$C38-1))+CJ373,Standards_Active!$M38*((1+Standards_Active!$O38)^(CK$343-Standards_Active!$D38))),TREND(Perform_Active!$S38:$T38,Perform_Active!$S$8:$T$8,CK$343))),)</f>
        <v>0</v>
      </c>
      <c r="CL373" s="271">
        <f>IF(AND(Tech_Specs!$E37="step",Standards_Active!$E38="yes"),IF(CL$343&lt;Standards_Active!$C38,TREND(Perform_Active!$S38:$T38,Perform_Active!$S$8:$T$8,CL$343),IF(ISNUMBER(Standards_Active!$M38),IF(AND(CL$343&gt;=Standards_Active!$C38,CL$343&lt;Standards_Active!$D38),(Standards_Active!$M38-INDEX($CJ373:$DI373,1,MATCH((Standards_Active!$C38-1),$CJ$343:$DI$343,FALSE)))/(Standards_Active!$D38-(Standards_Active!$C38-1))+CK373,Standards_Active!$M38*((1+Standards_Active!$O38)^(CL$343-Standards_Active!$D38))),TREND(Perform_Active!$S38:$T38,Perform_Active!$S$8:$T$8,CL$343))),)</f>
        <v>0</v>
      </c>
      <c r="CM373" s="271">
        <f>IF(AND(Tech_Specs!$E37="step",Standards_Active!$E38="yes"),IF(CM$343&lt;Standards_Active!$C38,TREND(Perform_Active!$S38:$T38,Perform_Active!$S$8:$T$8,CM$343),IF(ISNUMBER(Standards_Active!$M38),IF(AND(CM$343&gt;=Standards_Active!$C38,CM$343&lt;Standards_Active!$D38),(Standards_Active!$M38-INDEX($CJ373:$DI373,1,MATCH((Standards_Active!$C38-1),$CJ$343:$DI$343,FALSE)))/(Standards_Active!$D38-(Standards_Active!$C38-1))+CL373,Standards_Active!$M38*((1+Standards_Active!$O38)^(CM$343-Standards_Active!$D38))),TREND(Perform_Active!$S38:$T38,Perform_Active!$S$8:$T$8,CM$343))),)</f>
        <v>0</v>
      </c>
      <c r="CN373" s="271">
        <f>IF(AND(Tech_Specs!$E37="step",Standards_Active!$E38="yes"),IF(CN$343&lt;Standards_Active!$C38,TREND(Perform_Active!$S38:$T38,Perform_Active!$S$8:$T$8,CN$343),IF(ISNUMBER(Standards_Active!$M38),IF(AND(CN$343&gt;=Standards_Active!$C38,CN$343&lt;Standards_Active!$D38),(Standards_Active!$M38-INDEX($CJ373:$DI373,1,MATCH((Standards_Active!$C38-1),$CJ$343:$DI$343,FALSE)))/(Standards_Active!$D38-(Standards_Active!$C38-1))+CM373,Standards_Active!$M38*((1+Standards_Active!$O38)^(CN$343-Standards_Active!$D38))),TREND(Perform_Active!$S38:$T38,Perform_Active!$S$8:$T$8,CN$343))),)</f>
        <v>0</v>
      </c>
      <c r="CO373" s="271">
        <f>IF(AND(Tech_Specs!$E37="step",Standards_Active!$E38="yes"),IF(CO$343&lt;Standards_Active!$C38,TREND(Perform_Active!$S38:$T38,Perform_Active!$S$8:$T$8,CO$343),IF(ISNUMBER(Standards_Active!$M38),IF(AND(CO$343&gt;=Standards_Active!$C38,CO$343&lt;Standards_Active!$D38),(Standards_Active!$M38-INDEX($CJ373:$DI373,1,MATCH((Standards_Active!$C38-1),$CJ$343:$DI$343,FALSE)))/(Standards_Active!$D38-(Standards_Active!$C38-1))+CN373,Standards_Active!$M38*((1+Standards_Active!$O38)^(CO$343-Standards_Active!$D38))),TREND(Perform_Active!$S38:$T38,Perform_Active!$S$8:$T$8,CO$343))),)</f>
        <v>0</v>
      </c>
      <c r="CP373" s="271">
        <f>IF(AND(Tech_Specs!$E37="step",Standards_Active!$E38="yes"),IF(CP$343&lt;Standards_Active!$C38,TREND(Perform_Active!$S38:$T38,Perform_Active!$S$8:$T$8,CP$343),IF(ISNUMBER(Standards_Active!$M38),IF(AND(CP$343&gt;=Standards_Active!$C38,CP$343&lt;Standards_Active!$D38),(Standards_Active!$M38-INDEX($CJ373:$DI373,1,MATCH((Standards_Active!$C38-1),$CJ$343:$DI$343,FALSE)))/(Standards_Active!$D38-(Standards_Active!$C38-1))+CO373,Standards_Active!$M38*((1+Standards_Active!$O38)^(CP$343-Standards_Active!$D38))),TREND(Perform_Active!$S38:$T38,Perform_Active!$S$8:$T$8,CP$343))),)</f>
        <v>0</v>
      </c>
      <c r="CQ373" s="271">
        <f>IF(AND(Tech_Specs!$E37="step",Standards_Active!$E38="yes"),IF(CQ$343&lt;Standards_Active!$C38,TREND(Perform_Active!$S38:$T38,Perform_Active!$S$8:$T$8,CQ$343),IF(ISNUMBER(Standards_Active!$M38),IF(AND(CQ$343&gt;=Standards_Active!$C38,CQ$343&lt;Standards_Active!$D38),(Standards_Active!$M38-INDEX($CJ373:$DI373,1,MATCH((Standards_Active!$C38-1),$CJ$343:$DI$343,FALSE)))/(Standards_Active!$D38-(Standards_Active!$C38-1))+CP373,Standards_Active!$M38*((1+Standards_Active!$O38)^(CQ$343-Standards_Active!$D38))),TREND(Perform_Active!$S38:$T38,Perform_Active!$S$8:$T$8,CQ$343))),)</f>
        <v>0</v>
      </c>
      <c r="CR373" s="271">
        <f>IF(AND(Tech_Specs!$E37="step",Standards_Active!$E38="yes"),IF(CR$343&lt;Standards_Active!$C38,TREND(Perform_Active!$S38:$T38,Perform_Active!$S$8:$T$8,CR$343),IF(ISNUMBER(Standards_Active!$M38),IF(AND(CR$343&gt;=Standards_Active!$C38,CR$343&lt;Standards_Active!$D38),(Standards_Active!$M38-INDEX($CJ373:$DI373,1,MATCH((Standards_Active!$C38-1),$CJ$343:$DI$343,FALSE)))/(Standards_Active!$D38-(Standards_Active!$C38-1))+CQ373,Standards_Active!$M38*((1+Standards_Active!$O38)^(CR$343-Standards_Active!$D38))),TREND(Perform_Active!$S38:$T38,Perform_Active!$S$8:$T$8,CR$343))),)</f>
        <v>0</v>
      </c>
      <c r="CS373" s="271">
        <f>IF(AND(Tech_Specs!$E37="step",Standards_Active!$E38="yes"),IF(CS$343&lt;Standards_Active!$C38,TREND(Perform_Active!$S38:$T38,Perform_Active!$S$8:$T$8,CS$343),IF(ISNUMBER(Standards_Active!$M38),IF(AND(CS$343&gt;=Standards_Active!$C38,CS$343&lt;Standards_Active!$D38),(Standards_Active!$M38-INDEX($CJ373:$DI373,1,MATCH((Standards_Active!$C38-1),$CJ$343:$DI$343,FALSE)))/(Standards_Active!$D38-(Standards_Active!$C38-1))+CR373,Standards_Active!$M38*((1+Standards_Active!$O38)^(CS$343-Standards_Active!$D38))),TREND(Perform_Active!$S38:$T38,Perform_Active!$S$8:$T$8,CS$343))),)</f>
        <v>0</v>
      </c>
      <c r="CT373" s="271">
        <f>IF(AND(Tech_Specs!$E37="step",Standards_Active!$E38="yes"),IF(CT$343&lt;Standards_Active!$C38,TREND(Perform_Active!$S38:$T38,Perform_Active!$S$8:$T$8,CT$343),IF(ISNUMBER(Standards_Active!$M38),IF(AND(CT$343&gt;=Standards_Active!$C38,CT$343&lt;Standards_Active!$D38),(Standards_Active!$M38-INDEX($CJ373:$DI373,1,MATCH((Standards_Active!$C38-1),$CJ$343:$DI$343,FALSE)))/(Standards_Active!$D38-(Standards_Active!$C38-1))+CS373,Standards_Active!$M38*((1+Standards_Active!$O38)^(CT$343-Standards_Active!$D38))),TREND(Perform_Active!$S38:$T38,Perform_Active!$S$8:$T$8,CT$343))),)</f>
        <v>0</v>
      </c>
      <c r="CU373" s="271">
        <f>IF(AND(Tech_Specs!$E37="step",Standards_Active!$E38="yes"),IF(CU$343&lt;Standards_Active!$C38,TREND(Perform_Active!$S38:$T38,Perform_Active!$S$8:$T$8,CU$343),IF(ISNUMBER(Standards_Active!$M38),IF(AND(CU$343&gt;=Standards_Active!$C38,CU$343&lt;Standards_Active!$D38),(Standards_Active!$M38-INDEX($CJ373:$DI373,1,MATCH((Standards_Active!$C38-1),$CJ$343:$DI$343,FALSE)))/(Standards_Active!$D38-(Standards_Active!$C38-1))+CT373,Standards_Active!$M38*((1+Standards_Active!$O38)^(CU$343-Standards_Active!$D38))),TREND(Perform_Active!$S38:$T38,Perform_Active!$S$8:$T$8,CU$343))),)</f>
        <v>0</v>
      </c>
      <c r="CV373" s="271">
        <f>IF(AND(Tech_Specs!$E37="step",Standards_Active!$E38="yes"),IF(CV$343&lt;Standards_Active!$C38,TREND(Perform_Active!$S38:$T38,Perform_Active!$S$8:$T$8,CV$343),IF(ISNUMBER(Standards_Active!$M38),IF(AND(CV$343&gt;=Standards_Active!$C38,CV$343&lt;Standards_Active!$D38),(Standards_Active!$M38-INDEX($CJ373:$DI373,1,MATCH((Standards_Active!$C38-1),$CJ$343:$DI$343,FALSE)))/(Standards_Active!$D38-(Standards_Active!$C38-1))+CU373,Standards_Active!$M38*((1+Standards_Active!$O38)^(CV$343-Standards_Active!$D38))),TREND(Perform_Active!$S38:$T38,Perform_Active!$S$8:$T$8,CV$343))),)</f>
        <v>0</v>
      </c>
      <c r="CW373" s="271">
        <f>IF(AND(Tech_Specs!$E37="step",Standards_Active!$E38="yes"),IF(CW$343&lt;Standards_Active!$C38,TREND(Perform_Active!$S38:$T38,Perform_Active!$S$8:$T$8,CW$343),IF(ISNUMBER(Standards_Active!$M38),IF(AND(CW$343&gt;=Standards_Active!$C38,CW$343&lt;Standards_Active!$D38),(Standards_Active!$M38-INDEX($CJ373:$DI373,1,MATCH((Standards_Active!$C38-1),$CJ$343:$DI$343,FALSE)))/(Standards_Active!$D38-(Standards_Active!$C38-1))+CV373,Standards_Active!$M38*((1+Standards_Active!$O38)^(CW$343-Standards_Active!$D38))),TREND(Perform_Active!$S38:$T38,Perform_Active!$S$8:$T$8,CW$343))),)</f>
        <v>0</v>
      </c>
      <c r="CX373" s="271">
        <f>IF(AND(Tech_Specs!$E37="step",Standards_Active!$E38="yes"),IF(CX$343&lt;Standards_Active!$C38,TREND(Perform_Active!$S38:$T38,Perform_Active!$S$8:$T$8,CX$343),IF(ISNUMBER(Standards_Active!$M38),IF(AND(CX$343&gt;=Standards_Active!$C38,CX$343&lt;Standards_Active!$D38),(Standards_Active!$M38-INDEX($CJ373:$DI373,1,MATCH((Standards_Active!$C38-1),$CJ$343:$DI$343,FALSE)))/(Standards_Active!$D38-(Standards_Active!$C38-1))+CW373,Standards_Active!$M38*((1+Standards_Active!$O38)^(CX$343-Standards_Active!$D38))),TREND(Perform_Active!$S38:$T38,Perform_Active!$S$8:$T$8,CX$343))),)</f>
        <v>0</v>
      </c>
      <c r="CY373" s="271">
        <f>IF(AND(Tech_Specs!$E37="step",Standards_Active!$E38="yes"),IF(CY$343&lt;Standards_Active!$C38,TREND(Perform_Active!$S38:$T38,Perform_Active!$S$8:$T$8,CY$343),IF(ISNUMBER(Standards_Active!$M38),IF(AND(CY$343&gt;=Standards_Active!$C38,CY$343&lt;Standards_Active!$D38),(Standards_Active!$M38-INDEX($CJ373:$DI373,1,MATCH((Standards_Active!$C38-1),$CJ$343:$DI$343,FALSE)))/(Standards_Active!$D38-(Standards_Active!$C38-1))+CX373,Standards_Active!$M38*((1+Standards_Active!$O38)^(CY$343-Standards_Active!$D38))),TREND(Perform_Active!$S38:$T38,Perform_Active!$S$8:$T$8,CY$343))),)</f>
        <v>0</v>
      </c>
      <c r="CZ373" s="271">
        <f>IF(AND(Tech_Specs!$E37="step",Standards_Active!$E38="yes"),IF(CZ$343&lt;Standards_Active!$C38,TREND(Perform_Active!$S38:$T38,Perform_Active!$S$8:$T$8,CZ$343),IF(ISNUMBER(Standards_Active!$M38),IF(AND(CZ$343&gt;=Standards_Active!$C38,CZ$343&lt;Standards_Active!$D38),(Standards_Active!$M38-INDEX($CJ373:$DI373,1,MATCH((Standards_Active!$C38-1),$CJ$343:$DI$343,FALSE)))/(Standards_Active!$D38-(Standards_Active!$C38-1))+CY373,Standards_Active!$M38*((1+Standards_Active!$O38)^(CZ$343-Standards_Active!$D38))),TREND(Perform_Active!$S38:$T38,Perform_Active!$S$8:$T$8,CZ$343))),)</f>
        <v>0</v>
      </c>
      <c r="DA373" s="271">
        <f>IF(AND(Tech_Specs!$E37="step",Standards_Active!$E38="yes"),IF(DA$343&lt;Standards_Active!$C38,TREND(Perform_Active!$S38:$T38,Perform_Active!$S$8:$T$8,DA$343),IF(ISNUMBER(Standards_Active!$M38),IF(AND(DA$343&gt;=Standards_Active!$C38,DA$343&lt;Standards_Active!$D38),(Standards_Active!$M38-INDEX($CJ373:$DI373,1,MATCH((Standards_Active!$C38-1),$CJ$343:$DI$343,FALSE)))/(Standards_Active!$D38-(Standards_Active!$C38-1))+CZ373,Standards_Active!$M38*((1+Standards_Active!$O38)^(DA$343-Standards_Active!$D38))),TREND(Perform_Active!$S38:$T38,Perform_Active!$S$8:$T$8,DA$343))),)</f>
        <v>0</v>
      </c>
      <c r="DB373" s="271">
        <f>IF(AND(Tech_Specs!$E37="step",Standards_Active!$E38="yes"),IF(DB$343&lt;Standards_Active!$C38,TREND(Perform_Active!$S38:$T38,Perform_Active!$S$8:$T$8,DB$343),IF(ISNUMBER(Standards_Active!$M38),IF(AND(DB$343&gt;=Standards_Active!$C38,DB$343&lt;Standards_Active!$D38),(Standards_Active!$M38-INDEX($CJ373:$DI373,1,MATCH((Standards_Active!$C38-1),$CJ$343:$DI$343,FALSE)))/(Standards_Active!$D38-(Standards_Active!$C38-1))+DA373,Standards_Active!$M38*((1+Standards_Active!$O38)^(DB$343-Standards_Active!$D38))),TREND(Perform_Active!$S38:$T38,Perform_Active!$S$8:$T$8,DB$343))),)</f>
        <v>0</v>
      </c>
      <c r="DC373" s="271">
        <f>IF(AND(Tech_Specs!$E37="step",Standards_Active!$E38="yes"),IF(DC$343&lt;Standards_Active!$C38,TREND(Perform_Active!$S38:$T38,Perform_Active!$S$8:$T$8,DC$343),IF(ISNUMBER(Standards_Active!$M38),IF(AND(DC$343&gt;=Standards_Active!$C38,DC$343&lt;Standards_Active!$D38),(Standards_Active!$M38-INDEX($CJ373:$DI373,1,MATCH((Standards_Active!$C38-1),$CJ$343:$DI$343,FALSE)))/(Standards_Active!$D38-(Standards_Active!$C38-1))+DB373,Standards_Active!$M38*((1+Standards_Active!$O38)^(DC$343-Standards_Active!$D38))),TREND(Perform_Active!$S38:$T38,Perform_Active!$S$8:$T$8,DC$343))),)</f>
        <v>0</v>
      </c>
      <c r="DD373" s="271">
        <f>IF(AND(Tech_Specs!$E37="step",Standards_Active!$E38="yes"),IF(DD$343&lt;Standards_Active!$C38,TREND(Perform_Active!$S38:$T38,Perform_Active!$S$8:$T$8,DD$343),IF(ISNUMBER(Standards_Active!$M38),IF(AND(DD$343&gt;=Standards_Active!$C38,DD$343&lt;Standards_Active!$D38),(Standards_Active!$M38-INDEX($CJ373:$DI373,1,MATCH((Standards_Active!$C38-1),$CJ$343:$DI$343,FALSE)))/(Standards_Active!$D38-(Standards_Active!$C38-1))+DC373,Standards_Active!$M38*((1+Standards_Active!$O38)^(DD$343-Standards_Active!$D38))),TREND(Perform_Active!$S38:$T38,Perform_Active!$S$8:$T$8,DD$343))),)</f>
        <v>0</v>
      </c>
      <c r="DE373" s="271">
        <f>IF(AND(Tech_Specs!$E37="step",Standards_Active!$E38="yes"),IF(DE$343&lt;Standards_Active!$C38,TREND(Perform_Active!$S38:$T38,Perform_Active!$S$8:$T$8,DE$343),IF(ISNUMBER(Standards_Active!$M38),IF(AND(DE$343&gt;=Standards_Active!$C38,DE$343&lt;Standards_Active!$D38),(Standards_Active!$M38-INDEX($CJ373:$DI373,1,MATCH((Standards_Active!$C38-1),$CJ$343:$DI$343,FALSE)))/(Standards_Active!$D38-(Standards_Active!$C38-1))+DD373,Standards_Active!$M38*((1+Standards_Active!$O38)^(DE$343-Standards_Active!$D38))),TREND(Perform_Active!$S38:$T38,Perform_Active!$S$8:$T$8,DE$343))),)</f>
        <v>0</v>
      </c>
      <c r="DF373" s="271">
        <f>IF(AND(Tech_Specs!$E37="step",Standards_Active!$E38="yes"),IF(DF$343&lt;Standards_Active!$C38,TREND(Perform_Active!$S38:$T38,Perform_Active!$S$8:$T$8,DF$343),IF(ISNUMBER(Standards_Active!$M38),IF(AND(DF$343&gt;=Standards_Active!$C38,DF$343&lt;Standards_Active!$D38),(Standards_Active!$M38-INDEX($CJ373:$DI373,1,MATCH((Standards_Active!$C38-1),$CJ$343:$DI$343,FALSE)))/(Standards_Active!$D38-(Standards_Active!$C38-1))+DE373,Standards_Active!$M38*((1+Standards_Active!$O38)^(DF$343-Standards_Active!$D38))),TREND(Perform_Active!$S38:$T38,Perform_Active!$S$8:$T$8,DF$343))),)</f>
        <v>0</v>
      </c>
      <c r="DG373" s="271">
        <f>IF(AND(Tech_Specs!$E37="step",Standards_Active!$E38="yes"),IF(DG$343&lt;Standards_Active!$C38,TREND(Perform_Active!$S38:$T38,Perform_Active!$S$8:$T$8,DG$343),IF(ISNUMBER(Standards_Active!$M38),IF(AND(DG$343&gt;=Standards_Active!$C38,DG$343&lt;Standards_Active!$D38),(Standards_Active!$M38-INDEX($CJ373:$DI373,1,MATCH((Standards_Active!$C38-1),$CJ$343:$DI$343,FALSE)))/(Standards_Active!$D38-(Standards_Active!$C38-1))+DF373,Standards_Active!$M38*((1+Standards_Active!$O38)^(DG$343-Standards_Active!$D38))),TREND(Perform_Active!$S38:$T38,Perform_Active!$S$8:$T$8,DG$343))),)</f>
        <v>0</v>
      </c>
      <c r="DH373" s="271">
        <f>IF(AND(Tech_Specs!$E37="step",Standards_Active!$E38="yes"),IF(DH$343&lt;Standards_Active!$C38,TREND(Perform_Active!$S38:$T38,Perform_Active!$S$8:$T$8,DH$343),IF(ISNUMBER(Standards_Active!$M38),IF(AND(DH$343&gt;=Standards_Active!$C38,DH$343&lt;Standards_Active!$D38),(Standards_Active!$M38-INDEX($CJ373:$DI373,1,MATCH((Standards_Active!$C38-1),$CJ$343:$DI$343,FALSE)))/(Standards_Active!$D38-(Standards_Active!$C38-1))+DG373,Standards_Active!$M38*((1+Standards_Active!$O38)^(DH$343-Standards_Active!$D38))),TREND(Perform_Active!$S38:$T38,Perform_Active!$S$8:$T$8,DH$343))),)</f>
        <v>0</v>
      </c>
      <c r="DI373" s="271">
        <f>IF(AND(Tech_Specs!$E37="step",Standards_Active!$E38="yes"),IF(DI$343&lt;Standards_Active!$C38,TREND(Perform_Active!$S38:$T38,Perform_Active!$S$8:$T$8,DI$343),IF(ISNUMBER(Standards_Active!$M38),IF(AND(DI$343&gt;=Standards_Active!$C38,DI$343&lt;Standards_Active!$D38),(Standards_Active!$M38-INDEX($CJ373:$DI373,1,MATCH((Standards_Active!$C38-1),$CJ$343:$DI$343,FALSE)))/(Standards_Active!$D38-(Standards_Active!$C38-1))+DH373,Standards_Active!$M38*((1+Standards_Active!$O38)^(DI$343-Standards_Active!$D38))),TREND(Perform_Active!$S38:$T38,Perform_Active!$S$8:$T$8,DI$343))),)</f>
        <v>0</v>
      </c>
    </row>
    <row r="374" spans="1:113" s="302" customFormat="1" ht="12.75" x14ac:dyDescent="0.2">
      <c r="B374" s="306" t="s">
        <v>29</v>
      </c>
      <c r="D374" s="550"/>
      <c r="E374" s="550"/>
      <c r="F374" s="550"/>
      <c r="G374" s="272">
        <f t="shared" si="63"/>
        <v>65.996942564095988</v>
      </c>
      <c r="H374" s="272">
        <f t="shared" si="63"/>
        <v>37.038049761557417</v>
      </c>
      <c r="I374" s="272">
        <f t="shared" si="63"/>
        <v>25.750279437047006</v>
      </c>
      <c r="J374" s="272">
        <f t="shared" si="63"/>
        <v>19.740203339551304</v>
      </c>
      <c r="K374" s="272">
        <f t="shared" si="63"/>
        <v>16.007732989814752</v>
      </c>
      <c r="L374" s="272">
        <f t="shared" si="63"/>
        <v>13.464413548345039</v>
      </c>
      <c r="M374" s="272">
        <f t="shared" si="63"/>
        <v>11.620044559660339</v>
      </c>
      <c r="N374" s="272">
        <f t="shared" si="63"/>
        <v>10.221307801311729</v>
      </c>
      <c r="O374" s="272">
        <f t="shared" si="63"/>
        <v>9.124102908742465</v>
      </c>
      <c r="P374" s="272">
        <f t="shared" si="63"/>
        <v>8.2404131267111715</v>
      </c>
      <c r="Q374" s="272">
        <f t="shared" si="64"/>
        <v>7.5134401275251168</v>
      </c>
      <c r="R374" s="272">
        <f t="shared" si="64"/>
        <v>6.9048903765624523</v>
      </c>
      <c r="S374" s="272">
        <f t="shared" si="64"/>
        <v>6.3880066746154034</v>
      </c>
      <c r="T374" s="272">
        <f t="shared" si="64"/>
        <v>5.943528128387781</v>
      </c>
      <c r="U374" s="272">
        <f t="shared" si="64"/>
        <v>5.5572367756027452</v>
      </c>
      <c r="V374" s="272">
        <f t="shared" si="64"/>
        <v>5.2184085390595891</v>
      </c>
      <c r="W374" s="272">
        <f t="shared" si="64"/>
        <v>4.9188021204913008</v>
      </c>
      <c r="X374" s="272">
        <f t="shared" si="64"/>
        <v>4.6519798120284861</v>
      </c>
      <c r="Y374" s="272">
        <f t="shared" si="64"/>
        <v>4.4128397003782185</v>
      </c>
      <c r="Z374" s="272">
        <f t="shared" si="64"/>
        <v>4.1972862889334586</v>
      </c>
      <c r="AA374" s="272">
        <f t="shared" si="65"/>
        <v>4.0019940003317958</v>
      </c>
      <c r="AB374" s="272">
        <f t="shared" si="65"/>
        <v>3.8242343747695773</v>
      </c>
      <c r="AC374" s="272">
        <f t="shared" si="65"/>
        <v>3.6617478095424043</v>
      </c>
      <c r="AD374" s="272">
        <f t="shared" si="65"/>
        <v>3.5126469971350831</v>
      </c>
      <c r="AE374" s="272">
        <f t="shared" si="65"/>
        <v>3.3753432837181019</v>
      </c>
      <c r="AF374" s="272">
        <f t="shared" si="65"/>
        <v>3.2484898423476634</v>
      </c>
      <c r="AH374" s="271">
        <f>IF(Tech_Specs!$E38="linear",TREND(Perform_Active!$S39:$T39,Perform_Active!$S$8:$T$8,AH$343),)</f>
        <v>0</v>
      </c>
      <c r="AI374" s="271">
        <f>IF(Tech_Specs!$E38="linear",TREND(Perform_Active!$S39:$T39,Perform_Active!$S$8:$T$8,AI$343),)</f>
        <v>0</v>
      </c>
      <c r="AJ374" s="271">
        <f>IF(Tech_Specs!$E38="linear",TREND(Perform_Active!$S39:$T39,Perform_Active!$S$8:$T$8,AJ$343),)</f>
        <v>0</v>
      </c>
      <c r="AK374" s="271">
        <f>IF(Tech_Specs!$E38="linear",TREND(Perform_Active!$S39:$T39,Perform_Active!$S$8:$T$8,AK$343),)</f>
        <v>0</v>
      </c>
      <c r="AL374" s="271">
        <f>IF(Tech_Specs!$E38="linear",TREND(Perform_Active!$S39:$T39,Perform_Active!$S$8:$T$8,AL$343),)</f>
        <v>0</v>
      </c>
      <c r="AM374" s="271">
        <f>IF(Tech_Specs!$E38="linear",TREND(Perform_Active!$S39:$T39,Perform_Active!$S$8:$T$8,AM$343),)</f>
        <v>0</v>
      </c>
      <c r="AN374" s="271">
        <f>IF(Tech_Specs!$E38="linear",TREND(Perform_Active!$S39:$T39,Perform_Active!$S$8:$T$8,AN$343),)</f>
        <v>0</v>
      </c>
      <c r="AO374" s="271">
        <f>IF(Tech_Specs!$E38="linear",TREND(Perform_Active!$S39:$T39,Perform_Active!$S$8:$T$8,AO$343),)</f>
        <v>0</v>
      </c>
      <c r="AP374" s="271">
        <f>IF(Tech_Specs!$E38="linear",TREND(Perform_Active!$S39:$T39,Perform_Active!$S$8:$T$8,AP$343),)</f>
        <v>0</v>
      </c>
      <c r="AQ374" s="271">
        <f>IF(Tech_Specs!$E38="linear",TREND(Perform_Active!$S39:$T39,Perform_Active!$S$8:$T$8,AQ$343),)</f>
        <v>0</v>
      </c>
      <c r="AR374" s="271">
        <f>IF(Tech_Specs!$E38="linear",TREND(Perform_Active!$S39:$T39,Perform_Active!$S$8:$T$8,AR$343),)</f>
        <v>0</v>
      </c>
      <c r="AS374" s="271">
        <f>IF(Tech_Specs!$E38="linear",TREND(Perform_Active!$S39:$T39,Perform_Active!$S$8:$T$8,AS$343),)</f>
        <v>0</v>
      </c>
      <c r="AT374" s="271">
        <f>IF(Tech_Specs!$E38="linear",TREND(Perform_Active!$S39:$T39,Perform_Active!$S$8:$T$8,AT$343),)</f>
        <v>0</v>
      </c>
      <c r="AU374" s="271">
        <f>IF(Tech_Specs!$E38="linear",TREND(Perform_Active!$S39:$T39,Perform_Active!$S$8:$T$8,AU$343),)</f>
        <v>0</v>
      </c>
      <c r="AV374" s="271">
        <f>IF(Tech_Specs!$E38="linear",TREND(Perform_Active!$S39:$T39,Perform_Active!$S$8:$T$8,AV$343),)</f>
        <v>0</v>
      </c>
      <c r="AW374" s="271">
        <f>IF(Tech_Specs!$E38="linear",TREND(Perform_Active!$S39:$T39,Perform_Active!$S$8:$T$8,AW$343),)</f>
        <v>0</v>
      </c>
      <c r="AX374" s="271">
        <f>IF(Tech_Specs!$E38="linear",TREND(Perform_Active!$S39:$T39,Perform_Active!$S$8:$T$8,AX$343),)</f>
        <v>0</v>
      </c>
      <c r="AY374" s="271">
        <f>IF(Tech_Specs!$E38="linear",TREND(Perform_Active!$S39:$T39,Perform_Active!$S$8:$T$8,AY$343),)</f>
        <v>0</v>
      </c>
      <c r="AZ374" s="271">
        <f>IF(Tech_Specs!$E38="linear",TREND(Perform_Active!$S39:$T39,Perform_Active!$S$8:$T$8,AZ$343),)</f>
        <v>0</v>
      </c>
      <c r="BA374" s="271">
        <f>IF(Tech_Specs!$E38="linear",TREND(Perform_Active!$S39:$T39,Perform_Active!$S$8:$T$8,BA$343),)</f>
        <v>0</v>
      </c>
      <c r="BB374" s="271">
        <f>IF(Tech_Specs!$E38="linear",TREND(Perform_Active!$S39:$T39,Perform_Active!$S$8:$T$8,BB$343),)</f>
        <v>0</v>
      </c>
      <c r="BC374" s="271">
        <f>IF(Tech_Specs!$E38="linear",TREND(Perform_Active!$S39:$T39,Perform_Active!$S$8:$T$8,BC$343),)</f>
        <v>0</v>
      </c>
      <c r="BD374" s="271">
        <f>IF(Tech_Specs!$E38="linear",TREND(Perform_Active!$S39:$T39,Perform_Active!$S$8:$T$8,BD$343),)</f>
        <v>0</v>
      </c>
      <c r="BE374" s="271">
        <f>IF(Tech_Specs!$E38="linear",TREND(Perform_Active!$S39:$T39,Perform_Active!$S$8:$T$8,BE$343),)</f>
        <v>0</v>
      </c>
      <c r="BF374" s="271">
        <f>IF(Tech_Specs!$E38="linear",TREND(Perform_Active!$S39:$T39,Perform_Active!$S$8:$T$8,BF$343),)</f>
        <v>0</v>
      </c>
      <c r="BG374" s="271">
        <f>IF(Tech_Specs!$E38="linear",TREND(Perform_Active!$S39:$T39,Perform_Active!$S$8:$T$8,BG$343),)</f>
        <v>0</v>
      </c>
      <c r="BI374" s="271">
        <f>IF(Tech_Specs!$E38="logistic",IF(Tech_Specs!$K38="lamp",Perform_SSL!G$14,Perform_SSL!G$15),)*Perform_Active!$I39/1000</f>
        <v>65.996942564095988</v>
      </c>
      <c r="BJ374" s="271">
        <f>IF(Tech_Specs!$E38="logistic",IF(Tech_Specs!$K38="lamp",Perform_SSL!H$14,Perform_SSL!H$15),)*Perform_Active!$I39/1000</f>
        <v>37.038049761557417</v>
      </c>
      <c r="BK374" s="271">
        <f>IF(Tech_Specs!$E38="logistic",IF(Tech_Specs!$K38="lamp",Perform_SSL!I$14,Perform_SSL!I$15),)*Perform_Active!$I39/1000</f>
        <v>25.750279437047006</v>
      </c>
      <c r="BL374" s="271">
        <f>IF(Tech_Specs!$E38="logistic",IF(Tech_Specs!$K38="lamp",Perform_SSL!J$14,Perform_SSL!J$15),)*Perform_Active!$I39/1000</f>
        <v>19.740203339551304</v>
      </c>
      <c r="BM374" s="271">
        <f>IF(Tech_Specs!$E38="logistic",IF(Tech_Specs!$K38="lamp",Perform_SSL!K$14,Perform_SSL!K$15),)*Perform_Active!$I39/1000</f>
        <v>16.007732989814752</v>
      </c>
      <c r="BN374" s="271">
        <f>IF(Tech_Specs!$E38="logistic",IF(Tech_Specs!$K38="lamp",Perform_SSL!L$14,Perform_SSL!L$15),)*Perform_Active!$I39/1000</f>
        <v>13.464413548345039</v>
      </c>
      <c r="BO374" s="271">
        <f>IF(Tech_Specs!$E38="logistic",IF(Tech_Specs!$K38="lamp",Perform_SSL!M$14,Perform_SSL!M$15),)*Perform_Active!$I39/1000</f>
        <v>11.620044559660339</v>
      </c>
      <c r="BP374" s="271">
        <f>IF(Tech_Specs!$E38="logistic",IF(Tech_Specs!$K38="lamp",Perform_SSL!N$14,Perform_SSL!N$15),)*Perform_Active!$I39/1000</f>
        <v>10.221307801311729</v>
      </c>
      <c r="BQ374" s="271">
        <f>IF(Tech_Specs!$E38="logistic",IF(Tech_Specs!$K38="lamp",Perform_SSL!O$14,Perform_SSL!O$15),)*Perform_Active!$I39/1000</f>
        <v>9.124102908742465</v>
      </c>
      <c r="BR374" s="271">
        <f>IF(Tech_Specs!$E38="logistic",IF(Tech_Specs!$K38="lamp",Perform_SSL!P$14,Perform_SSL!P$15),)*Perform_Active!$I39/1000</f>
        <v>8.2404131267111715</v>
      </c>
      <c r="BS374" s="271">
        <f>IF(Tech_Specs!$E38="logistic",IF(Tech_Specs!$K38="lamp",Perform_SSL!Q$14,Perform_SSL!Q$15),)*Perform_Active!$I39/1000</f>
        <v>7.5134401275251168</v>
      </c>
      <c r="BT374" s="271">
        <f>IF(Tech_Specs!$E38="logistic",IF(Tech_Specs!$K38="lamp",Perform_SSL!R$14,Perform_SSL!R$15),)*Perform_Active!$I39/1000</f>
        <v>6.9048903765624523</v>
      </c>
      <c r="BU374" s="271">
        <f>IF(Tech_Specs!$E38="logistic",IF(Tech_Specs!$K38="lamp",Perform_SSL!S$14,Perform_SSL!S$15),)*Perform_Active!$I39/1000</f>
        <v>6.3880066746154034</v>
      </c>
      <c r="BV374" s="271">
        <f>IF(Tech_Specs!$E38="logistic",IF(Tech_Specs!$K38="lamp",Perform_SSL!T$14,Perform_SSL!T$15),)*Perform_Active!$I39/1000</f>
        <v>5.943528128387781</v>
      </c>
      <c r="BW374" s="271">
        <f>IF(Tech_Specs!$E38="logistic",IF(Tech_Specs!$K38="lamp",Perform_SSL!U$14,Perform_SSL!U$15),)*Perform_Active!$I39/1000</f>
        <v>5.5572367756027452</v>
      </c>
      <c r="BX374" s="271">
        <f>IF(Tech_Specs!$E38="logistic",IF(Tech_Specs!$K38="lamp",Perform_SSL!V$14,Perform_SSL!V$15),)*Perform_Active!$I39/1000</f>
        <v>5.2184085390595891</v>
      </c>
      <c r="BY374" s="271">
        <f>IF(Tech_Specs!$E38="logistic",IF(Tech_Specs!$K38="lamp",Perform_SSL!W$14,Perform_SSL!W$15),)*Perform_Active!$I39/1000</f>
        <v>4.9188021204913008</v>
      </c>
      <c r="BZ374" s="271">
        <f>IF(Tech_Specs!$E38="logistic",IF(Tech_Specs!$K38="lamp",Perform_SSL!X$14,Perform_SSL!X$15),)*Perform_Active!$I39/1000</f>
        <v>4.6519798120284861</v>
      </c>
      <c r="CA374" s="271">
        <f>IF(Tech_Specs!$E38="logistic",IF(Tech_Specs!$K38="lamp",Perform_SSL!Y$14,Perform_SSL!Y$15),)*Perform_Active!$I39/1000</f>
        <v>4.4128397003782185</v>
      </c>
      <c r="CB374" s="271">
        <f>IF(Tech_Specs!$E38="logistic",IF(Tech_Specs!$K38="lamp",Perform_SSL!Z$14,Perform_SSL!Z$15),)*Perform_Active!$I39/1000</f>
        <v>4.1972862889334586</v>
      </c>
      <c r="CC374" s="271">
        <f>IF(Tech_Specs!$E38="logistic",IF(Tech_Specs!$K38="lamp",Perform_SSL!AA$14,Perform_SSL!AA$15),)*Perform_Active!$I39/1000</f>
        <v>4.0019940003317958</v>
      </c>
      <c r="CD374" s="271">
        <f>IF(Tech_Specs!$E38="logistic",IF(Tech_Specs!$K38="lamp",Perform_SSL!AB$14,Perform_SSL!AB$15),)*Perform_Active!$I39/1000</f>
        <v>3.8242343747695773</v>
      </c>
      <c r="CE374" s="271">
        <f>IF(Tech_Specs!$E38="logistic",IF(Tech_Specs!$K38="lamp",Perform_SSL!AC$14,Perform_SSL!AC$15),)*Perform_Active!$I39/1000</f>
        <v>3.6617478095424043</v>
      </c>
      <c r="CF374" s="271">
        <f>IF(Tech_Specs!$E38="logistic",IF(Tech_Specs!$K38="lamp",Perform_SSL!AD$14,Perform_SSL!AD$15),)*Perform_Active!$I39/1000</f>
        <v>3.5126469971350831</v>
      </c>
      <c r="CG374" s="271">
        <f>IF(Tech_Specs!$E38="logistic",IF(Tech_Specs!$K38="lamp",Perform_SSL!AE$14,Perform_SSL!AE$15),)*Perform_Active!$I39/1000</f>
        <v>3.3753432837181019</v>
      </c>
      <c r="CH374" s="271">
        <f>IF(Tech_Specs!$E38="logistic",IF(Tech_Specs!$K38="lamp",Perform_SSL!AF$14,Perform_SSL!AF$15),)*Perform_Active!$I39/1000</f>
        <v>3.2484898423476634</v>
      </c>
      <c r="CJ374" s="271">
        <f>IF(AND(Tech_Specs!$E38="step",Standards_Active!$E39="yes"),IF(CJ$343&lt;Standards_Active!$C39,TREND(Perform_Active!$S39:$T39,Perform_Active!$S$8:$T$8,CJ$343),IF(ISNUMBER(Standards_Active!$M39),IF(AND(CJ$343&gt;=Standards_Active!$C39,CJ$343&lt;Standards_Active!$D39),(Standards_Active!$M39-INDEX($CJ374:$DI374,1,MATCH((Standards_Active!$C39-1),$CJ$343:$DI$343,FALSE)))/(Standards_Active!$D39-(Standards_Active!$C39-1))+CI374,Standards_Active!$M39*((1+Standards_Active!$O39)^(CJ$343-Standards_Active!$D39))),TREND(Perform_Active!$S39:$T39,Perform_Active!$S$8:$T$8,CJ$343))),)</f>
        <v>0</v>
      </c>
      <c r="CK374" s="271">
        <f>IF(AND(Tech_Specs!$E38="step",Standards_Active!$E39="yes"),IF(CK$343&lt;Standards_Active!$C39,TREND(Perform_Active!$S39:$T39,Perform_Active!$S$8:$T$8,CK$343),IF(ISNUMBER(Standards_Active!$M39),IF(AND(CK$343&gt;=Standards_Active!$C39,CK$343&lt;Standards_Active!$D39),(Standards_Active!$M39-INDEX($CJ374:$DI374,1,MATCH((Standards_Active!$C39-1),$CJ$343:$DI$343,FALSE)))/(Standards_Active!$D39-(Standards_Active!$C39-1))+CJ374,Standards_Active!$M39*((1+Standards_Active!$O39)^(CK$343-Standards_Active!$D39))),TREND(Perform_Active!$S39:$T39,Perform_Active!$S$8:$T$8,CK$343))),)</f>
        <v>0</v>
      </c>
      <c r="CL374" s="271">
        <f>IF(AND(Tech_Specs!$E38="step",Standards_Active!$E39="yes"),IF(CL$343&lt;Standards_Active!$C39,TREND(Perform_Active!$S39:$T39,Perform_Active!$S$8:$T$8,CL$343),IF(ISNUMBER(Standards_Active!$M39),IF(AND(CL$343&gt;=Standards_Active!$C39,CL$343&lt;Standards_Active!$D39),(Standards_Active!$M39-INDEX($CJ374:$DI374,1,MATCH((Standards_Active!$C39-1),$CJ$343:$DI$343,FALSE)))/(Standards_Active!$D39-(Standards_Active!$C39-1))+CK374,Standards_Active!$M39*((1+Standards_Active!$O39)^(CL$343-Standards_Active!$D39))),TREND(Perform_Active!$S39:$T39,Perform_Active!$S$8:$T$8,CL$343))),)</f>
        <v>0</v>
      </c>
      <c r="CM374" s="271">
        <f>IF(AND(Tech_Specs!$E38="step",Standards_Active!$E39="yes"),IF(CM$343&lt;Standards_Active!$C39,TREND(Perform_Active!$S39:$T39,Perform_Active!$S$8:$T$8,CM$343),IF(ISNUMBER(Standards_Active!$M39),IF(AND(CM$343&gt;=Standards_Active!$C39,CM$343&lt;Standards_Active!$D39),(Standards_Active!$M39-INDEX($CJ374:$DI374,1,MATCH((Standards_Active!$C39-1),$CJ$343:$DI$343,FALSE)))/(Standards_Active!$D39-(Standards_Active!$C39-1))+CL374,Standards_Active!$M39*((1+Standards_Active!$O39)^(CM$343-Standards_Active!$D39))),TREND(Perform_Active!$S39:$T39,Perform_Active!$S$8:$T$8,CM$343))),)</f>
        <v>0</v>
      </c>
      <c r="CN374" s="271">
        <f>IF(AND(Tech_Specs!$E38="step",Standards_Active!$E39="yes"),IF(CN$343&lt;Standards_Active!$C39,TREND(Perform_Active!$S39:$T39,Perform_Active!$S$8:$T$8,CN$343),IF(ISNUMBER(Standards_Active!$M39),IF(AND(CN$343&gt;=Standards_Active!$C39,CN$343&lt;Standards_Active!$D39),(Standards_Active!$M39-INDEX($CJ374:$DI374,1,MATCH((Standards_Active!$C39-1),$CJ$343:$DI$343,FALSE)))/(Standards_Active!$D39-(Standards_Active!$C39-1))+CM374,Standards_Active!$M39*((1+Standards_Active!$O39)^(CN$343-Standards_Active!$D39))),TREND(Perform_Active!$S39:$T39,Perform_Active!$S$8:$T$8,CN$343))),)</f>
        <v>0</v>
      </c>
      <c r="CO374" s="271">
        <f>IF(AND(Tech_Specs!$E38="step",Standards_Active!$E39="yes"),IF(CO$343&lt;Standards_Active!$C39,TREND(Perform_Active!$S39:$T39,Perform_Active!$S$8:$T$8,CO$343),IF(ISNUMBER(Standards_Active!$M39),IF(AND(CO$343&gt;=Standards_Active!$C39,CO$343&lt;Standards_Active!$D39),(Standards_Active!$M39-INDEX($CJ374:$DI374,1,MATCH((Standards_Active!$C39-1),$CJ$343:$DI$343,FALSE)))/(Standards_Active!$D39-(Standards_Active!$C39-1))+CN374,Standards_Active!$M39*((1+Standards_Active!$O39)^(CO$343-Standards_Active!$D39))),TREND(Perform_Active!$S39:$T39,Perform_Active!$S$8:$T$8,CO$343))),)</f>
        <v>0</v>
      </c>
      <c r="CP374" s="271">
        <f>IF(AND(Tech_Specs!$E38="step",Standards_Active!$E39="yes"),IF(CP$343&lt;Standards_Active!$C39,TREND(Perform_Active!$S39:$T39,Perform_Active!$S$8:$T$8,CP$343),IF(ISNUMBER(Standards_Active!$M39),IF(AND(CP$343&gt;=Standards_Active!$C39,CP$343&lt;Standards_Active!$D39),(Standards_Active!$M39-INDEX($CJ374:$DI374,1,MATCH((Standards_Active!$C39-1),$CJ$343:$DI$343,FALSE)))/(Standards_Active!$D39-(Standards_Active!$C39-1))+CO374,Standards_Active!$M39*((1+Standards_Active!$O39)^(CP$343-Standards_Active!$D39))),TREND(Perform_Active!$S39:$T39,Perform_Active!$S$8:$T$8,CP$343))),)</f>
        <v>0</v>
      </c>
      <c r="CQ374" s="271">
        <f>IF(AND(Tech_Specs!$E38="step",Standards_Active!$E39="yes"),IF(CQ$343&lt;Standards_Active!$C39,TREND(Perform_Active!$S39:$T39,Perform_Active!$S$8:$T$8,CQ$343),IF(ISNUMBER(Standards_Active!$M39),IF(AND(CQ$343&gt;=Standards_Active!$C39,CQ$343&lt;Standards_Active!$D39),(Standards_Active!$M39-INDEX($CJ374:$DI374,1,MATCH((Standards_Active!$C39-1),$CJ$343:$DI$343,FALSE)))/(Standards_Active!$D39-(Standards_Active!$C39-1))+CP374,Standards_Active!$M39*((1+Standards_Active!$O39)^(CQ$343-Standards_Active!$D39))),TREND(Perform_Active!$S39:$T39,Perform_Active!$S$8:$T$8,CQ$343))),)</f>
        <v>0</v>
      </c>
      <c r="CR374" s="271">
        <f>IF(AND(Tech_Specs!$E38="step",Standards_Active!$E39="yes"),IF(CR$343&lt;Standards_Active!$C39,TREND(Perform_Active!$S39:$T39,Perform_Active!$S$8:$T$8,CR$343),IF(ISNUMBER(Standards_Active!$M39),IF(AND(CR$343&gt;=Standards_Active!$C39,CR$343&lt;Standards_Active!$D39),(Standards_Active!$M39-INDEX($CJ374:$DI374,1,MATCH((Standards_Active!$C39-1),$CJ$343:$DI$343,FALSE)))/(Standards_Active!$D39-(Standards_Active!$C39-1))+CQ374,Standards_Active!$M39*((1+Standards_Active!$O39)^(CR$343-Standards_Active!$D39))),TREND(Perform_Active!$S39:$T39,Perform_Active!$S$8:$T$8,CR$343))),)</f>
        <v>0</v>
      </c>
      <c r="CS374" s="271">
        <f>IF(AND(Tech_Specs!$E38="step",Standards_Active!$E39="yes"),IF(CS$343&lt;Standards_Active!$C39,TREND(Perform_Active!$S39:$T39,Perform_Active!$S$8:$T$8,CS$343),IF(ISNUMBER(Standards_Active!$M39),IF(AND(CS$343&gt;=Standards_Active!$C39,CS$343&lt;Standards_Active!$D39),(Standards_Active!$M39-INDEX($CJ374:$DI374,1,MATCH((Standards_Active!$C39-1),$CJ$343:$DI$343,FALSE)))/(Standards_Active!$D39-(Standards_Active!$C39-1))+CR374,Standards_Active!$M39*((1+Standards_Active!$O39)^(CS$343-Standards_Active!$D39))),TREND(Perform_Active!$S39:$T39,Perform_Active!$S$8:$T$8,CS$343))),)</f>
        <v>0</v>
      </c>
      <c r="CT374" s="271">
        <f>IF(AND(Tech_Specs!$E38="step",Standards_Active!$E39="yes"),IF(CT$343&lt;Standards_Active!$C39,TREND(Perform_Active!$S39:$T39,Perform_Active!$S$8:$T$8,CT$343),IF(ISNUMBER(Standards_Active!$M39),IF(AND(CT$343&gt;=Standards_Active!$C39,CT$343&lt;Standards_Active!$D39),(Standards_Active!$M39-INDEX($CJ374:$DI374,1,MATCH((Standards_Active!$C39-1),$CJ$343:$DI$343,FALSE)))/(Standards_Active!$D39-(Standards_Active!$C39-1))+CS374,Standards_Active!$M39*((1+Standards_Active!$O39)^(CT$343-Standards_Active!$D39))),TREND(Perform_Active!$S39:$T39,Perform_Active!$S$8:$T$8,CT$343))),)</f>
        <v>0</v>
      </c>
      <c r="CU374" s="271">
        <f>IF(AND(Tech_Specs!$E38="step",Standards_Active!$E39="yes"),IF(CU$343&lt;Standards_Active!$C39,TREND(Perform_Active!$S39:$T39,Perform_Active!$S$8:$T$8,CU$343),IF(ISNUMBER(Standards_Active!$M39),IF(AND(CU$343&gt;=Standards_Active!$C39,CU$343&lt;Standards_Active!$D39),(Standards_Active!$M39-INDEX($CJ374:$DI374,1,MATCH((Standards_Active!$C39-1),$CJ$343:$DI$343,FALSE)))/(Standards_Active!$D39-(Standards_Active!$C39-1))+CT374,Standards_Active!$M39*((1+Standards_Active!$O39)^(CU$343-Standards_Active!$D39))),TREND(Perform_Active!$S39:$T39,Perform_Active!$S$8:$T$8,CU$343))),)</f>
        <v>0</v>
      </c>
      <c r="CV374" s="271">
        <f>IF(AND(Tech_Specs!$E38="step",Standards_Active!$E39="yes"),IF(CV$343&lt;Standards_Active!$C39,TREND(Perform_Active!$S39:$T39,Perform_Active!$S$8:$T$8,CV$343),IF(ISNUMBER(Standards_Active!$M39),IF(AND(CV$343&gt;=Standards_Active!$C39,CV$343&lt;Standards_Active!$D39),(Standards_Active!$M39-INDEX($CJ374:$DI374,1,MATCH((Standards_Active!$C39-1),$CJ$343:$DI$343,FALSE)))/(Standards_Active!$D39-(Standards_Active!$C39-1))+CU374,Standards_Active!$M39*((1+Standards_Active!$O39)^(CV$343-Standards_Active!$D39))),TREND(Perform_Active!$S39:$T39,Perform_Active!$S$8:$T$8,CV$343))),)</f>
        <v>0</v>
      </c>
      <c r="CW374" s="271">
        <f>IF(AND(Tech_Specs!$E38="step",Standards_Active!$E39="yes"),IF(CW$343&lt;Standards_Active!$C39,TREND(Perform_Active!$S39:$T39,Perform_Active!$S$8:$T$8,CW$343),IF(ISNUMBER(Standards_Active!$M39),IF(AND(CW$343&gt;=Standards_Active!$C39,CW$343&lt;Standards_Active!$D39),(Standards_Active!$M39-INDEX($CJ374:$DI374,1,MATCH((Standards_Active!$C39-1),$CJ$343:$DI$343,FALSE)))/(Standards_Active!$D39-(Standards_Active!$C39-1))+CV374,Standards_Active!$M39*((1+Standards_Active!$O39)^(CW$343-Standards_Active!$D39))),TREND(Perform_Active!$S39:$T39,Perform_Active!$S$8:$T$8,CW$343))),)</f>
        <v>0</v>
      </c>
      <c r="CX374" s="271">
        <f>IF(AND(Tech_Specs!$E38="step",Standards_Active!$E39="yes"),IF(CX$343&lt;Standards_Active!$C39,TREND(Perform_Active!$S39:$T39,Perform_Active!$S$8:$T$8,CX$343),IF(ISNUMBER(Standards_Active!$M39),IF(AND(CX$343&gt;=Standards_Active!$C39,CX$343&lt;Standards_Active!$D39),(Standards_Active!$M39-INDEX($CJ374:$DI374,1,MATCH((Standards_Active!$C39-1),$CJ$343:$DI$343,FALSE)))/(Standards_Active!$D39-(Standards_Active!$C39-1))+CW374,Standards_Active!$M39*((1+Standards_Active!$O39)^(CX$343-Standards_Active!$D39))),TREND(Perform_Active!$S39:$T39,Perform_Active!$S$8:$T$8,CX$343))),)</f>
        <v>0</v>
      </c>
      <c r="CY374" s="271">
        <f>IF(AND(Tech_Specs!$E38="step",Standards_Active!$E39="yes"),IF(CY$343&lt;Standards_Active!$C39,TREND(Perform_Active!$S39:$T39,Perform_Active!$S$8:$T$8,CY$343),IF(ISNUMBER(Standards_Active!$M39),IF(AND(CY$343&gt;=Standards_Active!$C39,CY$343&lt;Standards_Active!$D39),(Standards_Active!$M39-INDEX($CJ374:$DI374,1,MATCH((Standards_Active!$C39-1),$CJ$343:$DI$343,FALSE)))/(Standards_Active!$D39-(Standards_Active!$C39-1))+CX374,Standards_Active!$M39*((1+Standards_Active!$O39)^(CY$343-Standards_Active!$D39))),TREND(Perform_Active!$S39:$T39,Perform_Active!$S$8:$T$8,CY$343))),)</f>
        <v>0</v>
      </c>
      <c r="CZ374" s="271">
        <f>IF(AND(Tech_Specs!$E38="step",Standards_Active!$E39="yes"),IF(CZ$343&lt;Standards_Active!$C39,TREND(Perform_Active!$S39:$T39,Perform_Active!$S$8:$T$8,CZ$343),IF(ISNUMBER(Standards_Active!$M39),IF(AND(CZ$343&gt;=Standards_Active!$C39,CZ$343&lt;Standards_Active!$D39),(Standards_Active!$M39-INDEX($CJ374:$DI374,1,MATCH((Standards_Active!$C39-1),$CJ$343:$DI$343,FALSE)))/(Standards_Active!$D39-(Standards_Active!$C39-1))+CY374,Standards_Active!$M39*((1+Standards_Active!$O39)^(CZ$343-Standards_Active!$D39))),TREND(Perform_Active!$S39:$T39,Perform_Active!$S$8:$T$8,CZ$343))),)</f>
        <v>0</v>
      </c>
      <c r="DA374" s="271">
        <f>IF(AND(Tech_Specs!$E38="step",Standards_Active!$E39="yes"),IF(DA$343&lt;Standards_Active!$C39,TREND(Perform_Active!$S39:$T39,Perform_Active!$S$8:$T$8,DA$343),IF(ISNUMBER(Standards_Active!$M39),IF(AND(DA$343&gt;=Standards_Active!$C39,DA$343&lt;Standards_Active!$D39),(Standards_Active!$M39-INDEX($CJ374:$DI374,1,MATCH((Standards_Active!$C39-1),$CJ$343:$DI$343,FALSE)))/(Standards_Active!$D39-(Standards_Active!$C39-1))+CZ374,Standards_Active!$M39*((1+Standards_Active!$O39)^(DA$343-Standards_Active!$D39))),TREND(Perform_Active!$S39:$T39,Perform_Active!$S$8:$T$8,DA$343))),)</f>
        <v>0</v>
      </c>
      <c r="DB374" s="271">
        <f>IF(AND(Tech_Specs!$E38="step",Standards_Active!$E39="yes"),IF(DB$343&lt;Standards_Active!$C39,TREND(Perform_Active!$S39:$T39,Perform_Active!$S$8:$T$8,DB$343),IF(ISNUMBER(Standards_Active!$M39),IF(AND(DB$343&gt;=Standards_Active!$C39,DB$343&lt;Standards_Active!$D39),(Standards_Active!$M39-INDEX($CJ374:$DI374,1,MATCH((Standards_Active!$C39-1),$CJ$343:$DI$343,FALSE)))/(Standards_Active!$D39-(Standards_Active!$C39-1))+DA374,Standards_Active!$M39*((1+Standards_Active!$O39)^(DB$343-Standards_Active!$D39))),TREND(Perform_Active!$S39:$T39,Perform_Active!$S$8:$T$8,DB$343))),)</f>
        <v>0</v>
      </c>
      <c r="DC374" s="271">
        <f>IF(AND(Tech_Specs!$E38="step",Standards_Active!$E39="yes"),IF(DC$343&lt;Standards_Active!$C39,TREND(Perform_Active!$S39:$T39,Perform_Active!$S$8:$T$8,DC$343),IF(ISNUMBER(Standards_Active!$M39),IF(AND(DC$343&gt;=Standards_Active!$C39,DC$343&lt;Standards_Active!$D39),(Standards_Active!$M39-INDEX($CJ374:$DI374,1,MATCH((Standards_Active!$C39-1),$CJ$343:$DI$343,FALSE)))/(Standards_Active!$D39-(Standards_Active!$C39-1))+DB374,Standards_Active!$M39*((1+Standards_Active!$O39)^(DC$343-Standards_Active!$D39))),TREND(Perform_Active!$S39:$T39,Perform_Active!$S$8:$T$8,DC$343))),)</f>
        <v>0</v>
      </c>
      <c r="DD374" s="271">
        <f>IF(AND(Tech_Specs!$E38="step",Standards_Active!$E39="yes"),IF(DD$343&lt;Standards_Active!$C39,TREND(Perform_Active!$S39:$T39,Perform_Active!$S$8:$T$8,DD$343),IF(ISNUMBER(Standards_Active!$M39),IF(AND(DD$343&gt;=Standards_Active!$C39,DD$343&lt;Standards_Active!$D39),(Standards_Active!$M39-INDEX($CJ374:$DI374,1,MATCH((Standards_Active!$C39-1),$CJ$343:$DI$343,FALSE)))/(Standards_Active!$D39-(Standards_Active!$C39-1))+DC374,Standards_Active!$M39*((1+Standards_Active!$O39)^(DD$343-Standards_Active!$D39))),TREND(Perform_Active!$S39:$T39,Perform_Active!$S$8:$T$8,DD$343))),)</f>
        <v>0</v>
      </c>
      <c r="DE374" s="271">
        <f>IF(AND(Tech_Specs!$E38="step",Standards_Active!$E39="yes"),IF(DE$343&lt;Standards_Active!$C39,TREND(Perform_Active!$S39:$T39,Perform_Active!$S$8:$T$8,DE$343),IF(ISNUMBER(Standards_Active!$M39),IF(AND(DE$343&gt;=Standards_Active!$C39,DE$343&lt;Standards_Active!$D39),(Standards_Active!$M39-INDEX($CJ374:$DI374,1,MATCH((Standards_Active!$C39-1),$CJ$343:$DI$343,FALSE)))/(Standards_Active!$D39-(Standards_Active!$C39-1))+DD374,Standards_Active!$M39*((1+Standards_Active!$O39)^(DE$343-Standards_Active!$D39))),TREND(Perform_Active!$S39:$T39,Perform_Active!$S$8:$T$8,DE$343))),)</f>
        <v>0</v>
      </c>
      <c r="DF374" s="271">
        <f>IF(AND(Tech_Specs!$E38="step",Standards_Active!$E39="yes"),IF(DF$343&lt;Standards_Active!$C39,TREND(Perform_Active!$S39:$T39,Perform_Active!$S$8:$T$8,DF$343),IF(ISNUMBER(Standards_Active!$M39),IF(AND(DF$343&gt;=Standards_Active!$C39,DF$343&lt;Standards_Active!$D39),(Standards_Active!$M39-INDEX($CJ374:$DI374,1,MATCH((Standards_Active!$C39-1),$CJ$343:$DI$343,FALSE)))/(Standards_Active!$D39-(Standards_Active!$C39-1))+DE374,Standards_Active!$M39*((1+Standards_Active!$O39)^(DF$343-Standards_Active!$D39))),TREND(Perform_Active!$S39:$T39,Perform_Active!$S$8:$T$8,DF$343))),)</f>
        <v>0</v>
      </c>
      <c r="DG374" s="271">
        <f>IF(AND(Tech_Specs!$E38="step",Standards_Active!$E39="yes"),IF(DG$343&lt;Standards_Active!$C39,TREND(Perform_Active!$S39:$T39,Perform_Active!$S$8:$T$8,DG$343),IF(ISNUMBER(Standards_Active!$M39),IF(AND(DG$343&gt;=Standards_Active!$C39,DG$343&lt;Standards_Active!$D39),(Standards_Active!$M39-INDEX($CJ374:$DI374,1,MATCH((Standards_Active!$C39-1),$CJ$343:$DI$343,FALSE)))/(Standards_Active!$D39-(Standards_Active!$C39-1))+DF374,Standards_Active!$M39*((1+Standards_Active!$O39)^(DG$343-Standards_Active!$D39))),TREND(Perform_Active!$S39:$T39,Perform_Active!$S$8:$T$8,DG$343))),)</f>
        <v>0</v>
      </c>
      <c r="DH374" s="271">
        <f>IF(AND(Tech_Specs!$E38="step",Standards_Active!$E39="yes"),IF(DH$343&lt;Standards_Active!$C39,TREND(Perform_Active!$S39:$T39,Perform_Active!$S$8:$T$8,DH$343),IF(ISNUMBER(Standards_Active!$M39),IF(AND(DH$343&gt;=Standards_Active!$C39,DH$343&lt;Standards_Active!$D39),(Standards_Active!$M39-INDEX($CJ374:$DI374,1,MATCH((Standards_Active!$C39-1),$CJ$343:$DI$343,FALSE)))/(Standards_Active!$D39-(Standards_Active!$C39-1))+DG374,Standards_Active!$M39*((1+Standards_Active!$O39)^(DH$343-Standards_Active!$D39))),TREND(Perform_Active!$S39:$T39,Perform_Active!$S$8:$T$8,DH$343))),)</f>
        <v>0</v>
      </c>
      <c r="DI374" s="271">
        <f>IF(AND(Tech_Specs!$E38="step",Standards_Active!$E39="yes"),IF(DI$343&lt;Standards_Active!$C39,TREND(Perform_Active!$S39:$T39,Perform_Active!$S$8:$T$8,DI$343),IF(ISNUMBER(Standards_Active!$M39),IF(AND(DI$343&gt;=Standards_Active!$C39,DI$343&lt;Standards_Active!$D39),(Standards_Active!$M39-INDEX($CJ374:$DI374,1,MATCH((Standards_Active!$C39-1),$CJ$343:$DI$343,FALSE)))/(Standards_Active!$D39-(Standards_Active!$C39-1))+DH374,Standards_Active!$M39*((1+Standards_Active!$O39)^(DI$343-Standards_Active!$D39))),TREND(Perform_Active!$S39:$T39,Perform_Active!$S$8:$T$8,DI$343))),)</f>
        <v>0</v>
      </c>
    </row>
    <row r="375" spans="1:113" s="302" customFormat="1" ht="12.75" x14ac:dyDescent="0.2">
      <c r="B375" s="306" t="s">
        <v>53</v>
      </c>
      <c r="D375" s="550"/>
      <c r="E375" s="550"/>
      <c r="F375" s="550"/>
      <c r="G375" s="272">
        <f t="shared" si="63"/>
        <v>7.1999999999999886</v>
      </c>
      <c r="H375" s="272">
        <f t="shared" si="63"/>
        <v>7.1639999999999873</v>
      </c>
      <c r="I375" s="272">
        <f t="shared" si="63"/>
        <v>7.1280000000000001</v>
      </c>
      <c r="J375" s="272">
        <f t="shared" si="63"/>
        <v>7.0919999999999987</v>
      </c>
      <c r="K375" s="272">
        <f t="shared" si="63"/>
        <v>7.0559999999999974</v>
      </c>
      <c r="L375" s="272">
        <f t="shared" si="63"/>
        <v>7.019999999999996</v>
      </c>
      <c r="M375" s="272">
        <f t="shared" si="63"/>
        <v>6.9839999999999947</v>
      </c>
      <c r="N375" s="272">
        <f t="shared" si="63"/>
        <v>6.9479999999999933</v>
      </c>
      <c r="O375" s="272">
        <f t="shared" si="63"/>
        <v>6.9119999999999919</v>
      </c>
      <c r="P375" s="272">
        <f t="shared" si="63"/>
        <v>6.8759999999999906</v>
      </c>
      <c r="Q375" s="272">
        <f t="shared" si="64"/>
        <v>6.8399999999999892</v>
      </c>
      <c r="R375" s="272">
        <f t="shared" si="64"/>
        <v>6.8039999999999878</v>
      </c>
      <c r="S375" s="272">
        <f t="shared" si="64"/>
        <v>6.7680000000000007</v>
      </c>
      <c r="T375" s="272">
        <f t="shared" si="64"/>
        <v>6.7319999999999993</v>
      </c>
      <c r="U375" s="272">
        <f t="shared" si="64"/>
        <v>6.695999999999998</v>
      </c>
      <c r="V375" s="272">
        <f t="shared" si="64"/>
        <v>6.6599999999999966</v>
      </c>
      <c r="W375" s="272">
        <f t="shared" si="64"/>
        <v>6.6239999999999952</v>
      </c>
      <c r="X375" s="272">
        <f t="shared" si="64"/>
        <v>6.5879999999999939</v>
      </c>
      <c r="Y375" s="272">
        <f t="shared" si="64"/>
        <v>6.5519999999999925</v>
      </c>
      <c r="Z375" s="272">
        <f t="shared" si="64"/>
        <v>6.5159999999999911</v>
      </c>
      <c r="AA375" s="272">
        <f t="shared" si="65"/>
        <v>6.4799999999999898</v>
      </c>
      <c r="AB375" s="272">
        <f t="shared" si="65"/>
        <v>6.4439999999999884</v>
      </c>
      <c r="AC375" s="272">
        <f t="shared" si="65"/>
        <v>6.407999999999987</v>
      </c>
      <c r="AD375" s="272">
        <f t="shared" si="65"/>
        <v>6.3719999999999999</v>
      </c>
      <c r="AE375" s="272">
        <f t="shared" si="65"/>
        <v>6.3359999999999985</v>
      </c>
      <c r="AF375" s="272">
        <f t="shared" si="65"/>
        <v>6.2999999999999972</v>
      </c>
      <c r="AH375" s="271">
        <f>IF(Tech_Specs!$E39="linear",TREND(Perform_Active!$S40:$T40,Perform_Active!$S$8:$T$8,AH$343),)</f>
        <v>7.1999999999999886</v>
      </c>
      <c r="AI375" s="271">
        <f>IF(Tech_Specs!$E39="linear",TREND(Perform_Active!$S40:$T40,Perform_Active!$S$8:$T$8,AI$343),)</f>
        <v>7.1639999999999873</v>
      </c>
      <c r="AJ375" s="271">
        <f>IF(Tech_Specs!$E39="linear",TREND(Perform_Active!$S40:$T40,Perform_Active!$S$8:$T$8,AJ$343),)</f>
        <v>7.1280000000000001</v>
      </c>
      <c r="AK375" s="271">
        <f>IF(Tech_Specs!$E39="linear",TREND(Perform_Active!$S40:$T40,Perform_Active!$S$8:$T$8,AK$343),)</f>
        <v>7.0919999999999987</v>
      </c>
      <c r="AL375" s="271">
        <f>IF(Tech_Specs!$E39="linear",TREND(Perform_Active!$S40:$T40,Perform_Active!$S$8:$T$8,AL$343),)</f>
        <v>7.0559999999999974</v>
      </c>
      <c r="AM375" s="271">
        <f>IF(Tech_Specs!$E39="linear",TREND(Perform_Active!$S40:$T40,Perform_Active!$S$8:$T$8,AM$343),)</f>
        <v>7.019999999999996</v>
      </c>
      <c r="AN375" s="271">
        <f>IF(Tech_Specs!$E39="linear",TREND(Perform_Active!$S40:$T40,Perform_Active!$S$8:$T$8,AN$343),)</f>
        <v>6.9839999999999947</v>
      </c>
      <c r="AO375" s="271">
        <f>IF(Tech_Specs!$E39="linear",TREND(Perform_Active!$S40:$T40,Perform_Active!$S$8:$T$8,AO$343),)</f>
        <v>6.9479999999999933</v>
      </c>
      <c r="AP375" s="271">
        <f>IF(Tech_Specs!$E39="linear",TREND(Perform_Active!$S40:$T40,Perform_Active!$S$8:$T$8,AP$343),)</f>
        <v>6.9119999999999919</v>
      </c>
      <c r="AQ375" s="271">
        <f>IF(Tech_Specs!$E39="linear",TREND(Perform_Active!$S40:$T40,Perform_Active!$S$8:$T$8,AQ$343),)</f>
        <v>6.8759999999999906</v>
      </c>
      <c r="AR375" s="271">
        <f>IF(Tech_Specs!$E39="linear",TREND(Perform_Active!$S40:$T40,Perform_Active!$S$8:$T$8,AR$343),)</f>
        <v>6.8399999999999892</v>
      </c>
      <c r="AS375" s="271">
        <f>IF(Tech_Specs!$E39="linear",TREND(Perform_Active!$S40:$T40,Perform_Active!$S$8:$T$8,AS$343),)</f>
        <v>6.8039999999999878</v>
      </c>
      <c r="AT375" s="271">
        <f>IF(Tech_Specs!$E39="linear",TREND(Perform_Active!$S40:$T40,Perform_Active!$S$8:$T$8,AT$343),)</f>
        <v>6.7680000000000007</v>
      </c>
      <c r="AU375" s="271">
        <f>IF(Tech_Specs!$E39="linear",TREND(Perform_Active!$S40:$T40,Perform_Active!$S$8:$T$8,AU$343),)</f>
        <v>6.7319999999999993</v>
      </c>
      <c r="AV375" s="271">
        <f>IF(Tech_Specs!$E39="linear",TREND(Perform_Active!$S40:$T40,Perform_Active!$S$8:$T$8,AV$343),)</f>
        <v>6.695999999999998</v>
      </c>
      <c r="AW375" s="271">
        <f>IF(Tech_Specs!$E39="linear",TREND(Perform_Active!$S40:$T40,Perform_Active!$S$8:$T$8,AW$343),)</f>
        <v>6.6599999999999966</v>
      </c>
      <c r="AX375" s="271">
        <f>IF(Tech_Specs!$E39="linear",TREND(Perform_Active!$S40:$T40,Perform_Active!$S$8:$T$8,AX$343),)</f>
        <v>6.6239999999999952</v>
      </c>
      <c r="AY375" s="271">
        <f>IF(Tech_Specs!$E39="linear",TREND(Perform_Active!$S40:$T40,Perform_Active!$S$8:$T$8,AY$343),)</f>
        <v>6.5879999999999939</v>
      </c>
      <c r="AZ375" s="271">
        <f>IF(Tech_Specs!$E39="linear",TREND(Perform_Active!$S40:$T40,Perform_Active!$S$8:$T$8,AZ$343),)</f>
        <v>6.5519999999999925</v>
      </c>
      <c r="BA375" s="271">
        <f>IF(Tech_Specs!$E39="linear",TREND(Perform_Active!$S40:$T40,Perform_Active!$S$8:$T$8,BA$343),)</f>
        <v>6.5159999999999911</v>
      </c>
      <c r="BB375" s="271">
        <f>IF(Tech_Specs!$E39="linear",TREND(Perform_Active!$S40:$T40,Perform_Active!$S$8:$T$8,BB$343),)</f>
        <v>6.4799999999999898</v>
      </c>
      <c r="BC375" s="271">
        <f>IF(Tech_Specs!$E39="linear",TREND(Perform_Active!$S40:$T40,Perform_Active!$S$8:$T$8,BC$343),)</f>
        <v>6.4439999999999884</v>
      </c>
      <c r="BD375" s="271">
        <f>IF(Tech_Specs!$E39="linear",TREND(Perform_Active!$S40:$T40,Perform_Active!$S$8:$T$8,BD$343),)</f>
        <v>6.407999999999987</v>
      </c>
      <c r="BE375" s="271">
        <f>IF(Tech_Specs!$E39="linear",TREND(Perform_Active!$S40:$T40,Perform_Active!$S$8:$T$8,BE$343),)</f>
        <v>6.3719999999999999</v>
      </c>
      <c r="BF375" s="271">
        <f>IF(Tech_Specs!$E39="linear",TREND(Perform_Active!$S40:$T40,Perform_Active!$S$8:$T$8,BF$343),)</f>
        <v>6.3359999999999985</v>
      </c>
      <c r="BG375" s="271">
        <f>IF(Tech_Specs!$E39="linear",TREND(Perform_Active!$S40:$T40,Perform_Active!$S$8:$T$8,BG$343),)</f>
        <v>6.2999999999999972</v>
      </c>
      <c r="BI375" s="271">
        <f>IF(Tech_Specs!$E39="logistic",IF(Tech_Specs!$K39="lamp",Perform_SSL!G$14,Perform_SSL!G$15),)*Perform_Active!$I40/1000</f>
        <v>0</v>
      </c>
      <c r="BJ375" s="271">
        <f>IF(Tech_Specs!$E39="logistic",IF(Tech_Specs!$K39="lamp",Perform_SSL!H$14,Perform_SSL!H$15),)*Perform_Active!$I40/1000</f>
        <v>0</v>
      </c>
      <c r="BK375" s="271">
        <f>IF(Tech_Specs!$E39="logistic",IF(Tech_Specs!$K39="lamp",Perform_SSL!I$14,Perform_SSL!I$15),)*Perform_Active!$I40/1000</f>
        <v>0</v>
      </c>
      <c r="BL375" s="271">
        <f>IF(Tech_Specs!$E39="logistic",IF(Tech_Specs!$K39="lamp",Perform_SSL!J$14,Perform_SSL!J$15),)*Perform_Active!$I40/1000</f>
        <v>0</v>
      </c>
      <c r="BM375" s="271">
        <f>IF(Tech_Specs!$E39="logistic",IF(Tech_Specs!$K39="lamp",Perform_SSL!K$14,Perform_SSL!K$15),)*Perform_Active!$I40/1000</f>
        <v>0</v>
      </c>
      <c r="BN375" s="271">
        <f>IF(Tech_Specs!$E39="logistic",IF(Tech_Specs!$K39="lamp",Perform_SSL!L$14,Perform_SSL!L$15),)*Perform_Active!$I40/1000</f>
        <v>0</v>
      </c>
      <c r="BO375" s="271">
        <f>IF(Tech_Specs!$E39="logistic",IF(Tech_Specs!$K39="lamp",Perform_SSL!M$14,Perform_SSL!M$15),)*Perform_Active!$I40/1000</f>
        <v>0</v>
      </c>
      <c r="BP375" s="271">
        <f>IF(Tech_Specs!$E39="logistic",IF(Tech_Specs!$K39="lamp",Perform_SSL!N$14,Perform_SSL!N$15),)*Perform_Active!$I40/1000</f>
        <v>0</v>
      </c>
      <c r="BQ375" s="271">
        <f>IF(Tech_Specs!$E39="logistic",IF(Tech_Specs!$K39="lamp",Perform_SSL!O$14,Perform_SSL!O$15),)*Perform_Active!$I40/1000</f>
        <v>0</v>
      </c>
      <c r="BR375" s="271">
        <f>IF(Tech_Specs!$E39="logistic",IF(Tech_Specs!$K39="lamp",Perform_SSL!P$14,Perform_SSL!P$15),)*Perform_Active!$I40/1000</f>
        <v>0</v>
      </c>
      <c r="BS375" s="271">
        <f>IF(Tech_Specs!$E39="logistic",IF(Tech_Specs!$K39="lamp",Perform_SSL!Q$14,Perform_SSL!Q$15),)*Perform_Active!$I40/1000</f>
        <v>0</v>
      </c>
      <c r="BT375" s="271">
        <f>IF(Tech_Specs!$E39="logistic",IF(Tech_Specs!$K39="lamp",Perform_SSL!R$14,Perform_SSL!R$15),)*Perform_Active!$I40/1000</f>
        <v>0</v>
      </c>
      <c r="BU375" s="271">
        <f>IF(Tech_Specs!$E39="logistic",IF(Tech_Specs!$K39="lamp",Perform_SSL!S$14,Perform_SSL!S$15),)*Perform_Active!$I40/1000</f>
        <v>0</v>
      </c>
      <c r="BV375" s="271">
        <f>IF(Tech_Specs!$E39="logistic",IF(Tech_Specs!$K39="lamp",Perform_SSL!T$14,Perform_SSL!T$15),)*Perform_Active!$I40/1000</f>
        <v>0</v>
      </c>
      <c r="BW375" s="271">
        <f>IF(Tech_Specs!$E39="logistic",IF(Tech_Specs!$K39="lamp",Perform_SSL!U$14,Perform_SSL!U$15),)*Perform_Active!$I40/1000</f>
        <v>0</v>
      </c>
      <c r="BX375" s="271">
        <f>IF(Tech_Specs!$E39="logistic",IF(Tech_Specs!$K39="lamp",Perform_SSL!V$14,Perform_SSL!V$15),)*Perform_Active!$I40/1000</f>
        <v>0</v>
      </c>
      <c r="BY375" s="271">
        <f>IF(Tech_Specs!$E39="logistic",IF(Tech_Specs!$K39="lamp",Perform_SSL!W$14,Perform_SSL!W$15),)*Perform_Active!$I40/1000</f>
        <v>0</v>
      </c>
      <c r="BZ375" s="271">
        <f>IF(Tech_Specs!$E39="logistic",IF(Tech_Specs!$K39="lamp",Perform_SSL!X$14,Perform_SSL!X$15),)*Perform_Active!$I40/1000</f>
        <v>0</v>
      </c>
      <c r="CA375" s="271">
        <f>IF(Tech_Specs!$E39="logistic",IF(Tech_Specs!$K39="lamp",Perform_SSL!Y$14,Perform_SSL!Y$15),)*Perform_Active!$I40/1000</f>
        <v>0</v>
      </c>
      <c r="CB375" s="271">
        <f>IF(Tech_Specs!$E39="logistic",IF(Tech_Specs!$K39="lamp",Perform_SSL!Z$14,Perform_SSL!Z$15),)*Perform_Active!$I40/1000</f>
        <v>0</v>
      </c>
      <c r="CC375" s="271">
        <f>IF(Tech_Specs!$E39="logistic",IF(Tech_Specs!$K39="lamp",Perform_SSL!AA$14,Perform_SSL!AA$15),)*Perform_Active!$I40/1000</f>
        <v>0</v>
      </c>
      <c r="CD375" s="271">
        <f>IF(Tech_Specs!$E39="logistic",IF(Tech_Specs!$K39="lamp",Perform_SSL!AB$14,Perform_SSL!AB$15),)*Perform_Active!$I40/1000</f>
        <v>0</v>
      </c>
      <c r="CE375" s="271">
        <f>IF(Tech_Specs!$E39="logistic",IF(Tech_Specs!$K39="lamp",Perform_SSL!AC$14,Perform_SSL!AC$15),)*Perform_Active!$I40/1000</f>
        <v>0</v>
      </c>
      <c r="CF375" s="271">
        <f>IF(Tech_Specs!$E39="logistic",IF(Tech_Specs!$K39="lamp",Perform_SSL!AD$14,Perform_SSL!AD$15),)*Perform_Active!$I40/1000</f>
        <v>0</v>
      </c>
      <c r="CG375" s="271">
        <f>IF(Tech_Specs!$E39="logistic",IF(Tech_Specs!$K39="lamp",Perform_SSL!AE$14,Perform_SSL!AE$15),)*Perform_Active!$I40/1000</f>
        <v>0</v>
      </c>
      <c r="CH375" s="271">
        <f>IF(Tech_Specs!$E39="logistic",IF(Tech_Specs!$K39="lamp",Perform_SSL!AF$14,Perform_SSL!AF$15),)*Perform_Active!$I40/1000</f>
        <v>0</v>
      </c>
      <c r="CJ375" s="271">
        <f>IF(AND(Tech_Specs!$E39="step",Standards_Active!$E40="yes"),IF(CJ$343&lt;Standards_Active!$C40,TREND(Perform_Active!$S40:$T40,Perform_Active!$S$8:$T$8,CJ$343),IF(ISNUMBER(Standards_Active!$M40),IF(AND(CJ$343&gt;=Standards_Active!$C40,CJ$343&lt;Standards_Active!$D40),(Standards_Active!$M40-INDEX($CJ375:$DI375,1,MATCH((Standards_Active!$C40-1),$CJ$343:$DI$343,FALSE)))/(Standards_Active!$D40-(Standards_Active!$C40-1))+CI375,Standards_Active!$M40*((1+Standards_Active!$O40)^(CJ$343-Standards_Active!$D40))),TREND(Perform_Active!$S40:$T40,Perform_Active!$S$8:$T$8,CJ$343))),)</f>
        <v>0</v>
      </c>
      <c r="CK375" s="271">
        <f>IF(AND(Tech_Specs!$E39="step",Standards_Active!$E40="yes"),IF(CK$343&lt;Standards_Active!$C40,TREND(Perform_Active!$S40:$T40,Perform_Active!$S$8:$T$8,CK$343),IF(ISNUMBER(Standards_Active!$M40),IF(AND(CK$343&gt;=Standards_Active!$C40,CK$343&lt;Standards_Active!$D40),(Standards_Active!$M40-INDEX($CJ375:$DI375,1,MATCH((Standards_Active!$C40-1),$CJ$343:$DI$343,FALSE)))/(Standards_Active!$D40-(Standards_Active!$C40-1))+CJ375,Standards_Active!$M40*((1+Standards_Active!$O40)^(CK$343-Standards_Active!$D40))),TREND(Perform_Active!$S40:$T40,Perform_Active!$S$8:$T$8,CK$343))),)</f>
        <v>0</v>
      </c>
      <c r="CL375" s="271">
        <f>IF(AND(Tech_Specs!$E39="step",Standards_Active!$E40="yes"),IF(CL$343&lt;Standards_Active!$C40,TREND(Perform_Active!$S40:$T40,Perform_Active!$S$8:$T$8,CL$343),IF(ISNUMBER(Standards_Active!$M40),IF(AND(CL$343&gt;=Standards_Active!$C40,CL$343&lt;Standards_Active!$D40),(Standards_Active!$M40-INDEX($CJ375:$DI375,1,MATCH((Standards_Active!$C40-1),$CJ$343:$DI$343,FALSE)))/(Standards_Active!$D40-(Standards_Active!$C40-1))+CK375,Standards_Active!$M40*((1+Standards_Active!$O40)^(CL$343-Standards_Active!$D40))),TREND(Perform_Active!$S40:$T40,Perform_Active!$S$8:$T$8,CL$343))),)</f>
        <v>0</v>
      </c>
      <c r="CM375" s="271">
        <f>IF(AND(Tech_Specs!$E39="step",Standards_Active!$E40="yes"),IF(CM$343&lt;Standards_Active!$C40,TREND(Perform_Active!$S40:$T40,Perform_Active!$S$8:$T$8,CM$343),IF(ISNUMBER(Standards_Active!$M40),IF(AND(CM$343&gt;=Standards_Active!$C40,CM$343&lt;Standards_Active!$D40),(Standards_Active!$M40-INDEX($CJ375:$DI375,1,MATCH((Standards_Active!$C40-1),$CJ$343:$DI$343,FALSE)))/(Standards_Active!$D40-(Standards_Active!$C40-1))+CL375,Standards_Active!$M40*((1+Standards_Active!$O40)^(CM$343-Standards_Active!$D40))),TREND(Perform_Active!$S40:$T40,Perform_Active!$S$8:$T$8,CM$343))),)</f>
        <v>0</v>
      </c>
      <c r="CN375" s="271">
        <f>IF(AND(Tech_Specs!$E39="step",Standards_Active!$E40="yes"),IF(CN$343&lt;Standards_Active!$C40,TREND(Perform_Active!$S40:$T40,Perform_Active!$S$8:$T$8,CN$343),IF(ISNUMBER(Standards_Active!$M40),IF(AND(CN$343&gt;=Standards_Active!$C40,CN$343&lt;Standards_Active!$D40),(Standards_Active!$M40-INDEX($CJ375:$DI375,1,MATCH((Standards_Active!$C40-1),$CJ$343:$DI$343,FALSE)))/(Standards_Active!$D40-(Standards_Active!$C40-1))+CM375,Standards_Active!$M40*((1+Standards_Active!$O40)^(CN$343-Standards_Active!$D40))),TREND(Perform_Active!$S40:$T40,Perform_Active!$S$8:$T$8,CN$343))),)</f>
        <v>0</v>
      </c>
      <c r="CO375" s="271">
        <f>IF(AND(Tech_Specs!$E39="step",Standards_Active!$E40="yes"),IF(CO$343&lt;Standards_Active!$C40,TREND(Perform_Active!$S40:$T40,Perform_Active!$S$8:$T$8,CO$343),IF(ISNUMBER(Standards_Active!$M40),IF(AND(CO$343&gt;=Standards_Active!$C40,CO$343&lt;Standards_Active!$D40),(Standards_Active!$M40-INDEX($CJ375:$DI375,1,MATCH((Standards_Active!$C40-1),$CJ$343:$DI$343,FALSE)))/(Standards_Active!$D40-(Standards_Active!$C40-1))+CN375,Standards_Active!$M40*((1+Standards_Active!$O40)^(CO$343-Standards_Active!$D40))),TREND(Perform_Active!$S40:$T40,Perform_Active!$S$8:$T$8,CO$343))),)</f>
        <v>0</v>
      </c>
      <c r="CP375" s="271">
        <f>IF(AND(Tech_Specs!$E39="step",Standards_Active!$E40="yes"),IF(CP$343&lt;Standards_Active!$C40,TREND(Perform_Active!$S40:$T40,Perform_Active!$S$8:$T$8,CP$343),IF(ISNUMBER(Standards_Active!$M40),IF(AND(CP$343&gt;=Standards_Active!$C40,CP$343&lt;Standards_Active!$D40),(Standards_Active!$M40-INDEX($CJ375:$DI375,1,MATCH((Standards_Active!$C40-1),$CJ$343:$DI$343,FALSE)))/(Standards_Active!$D40-(Standards_Active!$C40-1))+CO375,Standards_Active!$M40*((1+Standards_Active!$O40)^(CP$343-Standards_Active!$D40))),TREND(Perform_Active!$S40:$T40,Perform_Active!$S$8:$T$8,CP$343))),)</f>
        <v>0</v>
      </c>
      <c r="CQ375" s="271">
        <f>IF(AND(Tech_Specs!$E39="step",Standards_Active!$E40="yes"),IF(CQ$343&lt;Standards_Active!$C40,TREND(Perform_Active!$S40:$T40,Perform_Active!$S$8:$T$8,CQ$343),IF(ISNUMBER(Standards_Active!$M40),IF(AND(CQ$343&gt;=Standards_Active!$C40,CQ$343&lt;Standards_Active!$D40),(Standards_Active!$M40-INDEX($CJ375:$DI375,1,MATCH((Standards_Active!$C40-1),$CJ$343:$DI$343,FALSE)))/(Standards_Active!$D40-(Standards_Active!$C40-1))+CP375,Standards_Active!$M40*((1+Standards_Active!$O40)^(CQ$343-Standards_Active!$D40))),TREND(Perform_Active!$S40:$T40,Perform_Active!$S$8:$T$8,CQ$343))),)</f>
        <v>0</v>
      </c>
      <c r="CR375" s="271">
        <f>IF(AND(Tech_Specs!$E39="step",Standards_Active!$E40="yes"),IF(CR$343&lt;Standards_Active!$C40,TREND(Perform_Active!$S40:$T40,Perform_Active!$S$8:$T$8,CR$343),IF(ISNUMBER(Standards_Active!$M40),IF(AND(CR$343&gt;=Standards_Active!$C40,CR$343&lt;Standards_Active!$D40),(Standards_Active!$M40-INDEX($CJ375:$DI375,1,MATCH((Standards_Active!$C40-1),$CJ$343:$DI$343,FALSE)))/(Standards_Active!$D40-(Standards_Active!$C40-1))+CQ375,Standards_Active!$M40*((1+Standards_Active!$O40)^(CR$343-Standards_Active!$D40))),TREND(Perform_Active!$S40:$T40,Perform_Active!$S$8:$T$8,CR$343))),)</f>
        <v>0</v>
      </c>
      <c r="CS375" s="271">
        <f>IF(AND(Tech_Specs!$E39="step",Standards_Active!$E40="yes"),IF(CS$343&lt;Standards_Active!$C40,TREND(Perform_Active!$S40:$T40,Perform_Active!$S$8:$T$8,CS$343),IF(ISNUMBER(Standards_Active!$M40),IF(AND(CS$343&gt;=Standards_Active!$C40,CS$343&lt;Standards_Active!$D40),(Standards_Active!$M40-INDEX($CJ375:$DI375,1,MATCH((Standards_Active!$C40-1),$CJ$343:$DI$343,FALSE)))/(Standards_Active!$D40-(Standards_Active!$C40-1))+CR375,Standards_Active!$M40*((1+Standards_Active!$O40)^(CS$343-Standards_Active!$D40))),TREND(Perform_Active!$S40:$T40,Perform_Active!$S$8:$T$8,CS$343))),)</f>
        <v>0</v>
      </c>
      <c r="CT375" s="271">
        <f>IF(AND(Tech_Specs!$E39="step",Standards_Active!$E40="yes"),IF(CT$343&lt;Standards_Active!$C40,TREND(Perform_Active!$S40:$T40,Perform_Active!$S$8:$T$8,CT$343),IF(ISNUMBER(Standards_Active!$M40),IF(AND(CT$343&gt;=Standards_Active!$C40,CT$343&lt;Standards_Active!$D40),(Standards_Active!$M40-INDEX($CJ375:$DI375,1,MATCH((Standards_Active!$C40-1),$CJ$343:$DI$343,FALSE)))/(Standards_Active!$D40-(Standards_Active!$C40-1))+CS375,Standards_Active!$M40*((1+Standards_Active!$O40)^(CT$343-Standards_Active!$D40))),TREND(Perform_Active!$S40:$T40,Perform_Active!$S$8:$T$8,CT$343))),)</f>
        <v>0</v>
      </c>
      <c r="CU375" s="271">
        <f>IF(AND(Tech_Specs!$E39="step",Standards_Active!$E40="yes"),IF(CU$343&lt;Standards_Active!$C40,TREND(Perform_Active!$S40:$T40,Perform_Active!$S$8:$T$8,CU$343),IF(ISNUMBER(Standards_Active!$M40),IF(AND(CU$343&gt;=Standards_Active!$C40,CU$343&lt;Standards_Active!$D40),(Standards_Active!$M40-INDEX($CJ375:$DI375,1,MATCH((Standards_Active!$C40-1),$CJ$343:$DI$343,FALSE)))/(Standards_Active!$D40-(Standards_Active!$C40-1))+CT375,Standards_Active!$M40*((1+Standards_Active!$O40)^(CU$343-Standards_Active!$D40))),TREND(Perform_Active!$S40:$T40,Perform_Active!$S$8:$T$8,CU$343))),)</f>
        <v>0</v>
      </c>
      <c r="CV375" s="271">
        <f>IF(AND(Tech_Specs!$E39="step",Standards_Active!$E40="yes"),IF(CV$343&lt;Standards_Active!$C40,TREND(Perform_Active!$S40:$T40,Perform_Active!$S$8:$T$8,CV$343),IF(ISNUMBER(Standards_Active!$M40),IF(AND(CV$343&gt;=Standards_Active!$C40,CV$343&lt;Standards_Active!$D40),(Standards_Active!$M40-INDEX($CJ375:$DI375,1,MATCH((Standards_Active!$C40-1),$CJ$343:$DI$343,FALSE)))/(Standards_Active!$D40-(Standards_Active!$C40-1))+CU375,Standards_Active!$M40*((1+Standards_Active!$O40)^(CV$343-Standards_Active!$D40))),TREND(Perform_Active!$S40:$T40,Perform_Active!$S$8:$T$8,CV$343))),)</f>
        <v>0</v>
      </c>
      <c r="CW375" s="271">
        <f>IF(AND(Tech_Specs!$E39="step",Standards_Active!$E40="yes"),IF(CW$343&lt;Standards_Active!$C40,TREND(Perform_Active!$S40:$T40,Perform_Active!$S$8:$T$8,CW$343),IF(ISNUMBER(Standards_Active!$M40),IF(AND(CW$343&gt;=Standards_Active!$C40,CW$343&lt;Standards_Active!$D40),(Standards_Active!$M40-INDEX($CJ375:$DI375,1,MATCH((Standards_Active!$C40-1),$CJ$343:$DI$343,FALSE)))/(Standards_Active!$D40-(Standards_Active!$C40-1))+CV375,Standards_Active!$M40*((1+Standards_Active!$O40)^(CW$343-Standards_Active!$D40))),TREND(Perform_Active!$S40:$T40,Perform_Active!$S$8:$T$8,CW$343))),)</f>
        <v>0</v>
      </c>
      <c r="CX375" s="271">
        <f>IF(AND(Tech_Specs!$E39="step",Standards_Active!$E40="yes"),IF(CX$343&lt;Standards_Active!$C40,TREND(Perform_Active!$S40:$T40,Perform_Active!$S$8:$T$8,CX$343),IF(ISNUMBER(Standards_Active!$M40),IF(AND(CX$343&gt;=Standards_Active!$C40,CX$343&lt;Standards_Active!$D40),(Standards_Active!$M40-INDEX($CJ375:$DI375,1,MATCH((Standards_Active!$C40-1),$CJ$343:$DI$343,FALSE)))/(Standards_Active!$D40-(Standards_Active!$C40-1))+CW375,Standards_Active!$M40*((1+Standards_Active!$O40)^(CX$343-Standards_Active!$D40))),TREND(Perform_Active!$S40:$T40,Perform_Active!$S$8:$T$8,CX$343))),)</f>
        <v>0</v>
      </c>
      <c r="CY375" s="271">
        <f>IF(AND(Tech_Specs!$E39="step",Standards_Active!$E40="yes"),IF(CY$343&lt;Standards_Active!$C40,TREND(Perform_Active!$S40:$T40,Perform_Active!$S$8:$T$8,CY$343),IF(ISNUMBER(Standards_Active!$M40),IF(AND(CY$343&gt;=Standards_Active!$C40,CY$343&lt;Standards_Active!$D40),(Standards_Active!$M40-INDEX($CJ375:$DI375,1,MATCH((Standards_Active!$C40-1),$CJ$343:$DI$343,FALSE)))/(Standards_Active!$D40-(Standards_Active!$C40-1))+CX375,Standards_Active!$M40*((1+Standards_Active!$O40)^(CY$343-Standards_Active!$D40))),TREND(Perform_Active!$S40:$T40,Perform_Active!$S$8:$T$8,CY$343))),)</f>
        <v>0</v>
      </c>
      <c r="CZ375" s="271">
        <f>IF(AND(Tech_Specs!$E39="step",Standards_Active!$E40="yes"),IF(CZ$343&lt;Standards_Active!$C40,TREND(Perform_Active!$S40:$T40,Perform_Active!$S$8:$T$8,CZ$343),IF(ISNUMBER(Standards_Active!$M40),IF(AND(CZ$343&gt;=Standards_Active!$C40,CZ$343&lt;Standards_Active!$D40),(Standards_Active!$M40-INDEX($CJ375:$DI375,1,MATCH((Standards_Active!$C40-1),$CJ$343:$DI$343,FALSE)))/(Standards_Active!$D40-(Standards_Active!$C40-1))+CY375,Standards_Active!$M40*((1+Standards_Active!$O40)^(CZ$343-Standards_Active!$D40))),TREND(Perform_Active!$S40:$T40,Perform_Active!$S$8:$T$8,CZ$343))),)</f>
        <v>0</v>
      </c>
      <c r="DA375" s="271">
        <f>IF(AND(Tech_Specs!$E39="step",Standards_Active!$E40="yes"),IF(DA$343&lt;Standards_Active!$C40,TREND(Perform_Active!$S40:$T40,Perform_Active!$S$8:$T$8,DA$343),IF(ISNUMBER(Standards_Active!$M40),IF(AND(DA$343&gt;=Standards_Active!$C40,DA$343&lt;Standards_Active!$D40),(Standards_Active!$M40-INDEX($CJ375:$DI375,1,MATCH((Standards_Active!$C40-1),$CJ$343:$DI$343,FALSE)))/(Standards_Active!$D40-(Standards_Active!$C40-1))+CZ375,Standards_Active!$M40*((1+Standards_Active!$O40)^(DA$343-Standards_Active!$D40))),TREND(Perform_Active!$S40:$T40,Perform_Active!$S$8:$T$8,DA$343))),)</f>
        <v>0</v>
      </c>
      <c r="DB375" s="271">
        <f>IF(AND(Tech_Specs!$E39="step",Standards_Active!$E40="yes"),IF(DB$343&lt;Standards_Active!$C40,TREND(Perform_Active!$S40:$T40,Perform_Active!$S$8:$T$8,DB$343),IF(ISNUMBER(Standards_Active!$M40),IF(AND(DB$343&gt;=Standards_Active!$C40,DB$343&lt;Standards_Active!$D40),(Standards_Active!$M40-INDEX($CJ375:$DI375,1,MATCH((Standards_Active!$C40-1),$CJ$343:$DI$343,FALSE)))/(Standards_Active!$D40-(Standards_Active!$C40-1))+DA375,Standards_Active!$M40*((1+Standards_Active!$O40)^(DB$343-Standards_Active!$D40))),TREND(Perform_Active!$S40:$T40,Perform_Active!$S$8:$T$8,DB$343))),)</f>
        <v>0</v>
      </c>
      <c r="DC375" s="271">
        <f>IF(AND(Tech_Specs!$E39="step",Standards_Active!$E40="yes"),IF(DC$343&lt;Standards_Active!$C40,TREND(Perform_Active!$S40:$T40,Perform_Active!$S$8:$T$8,DC$343),IF(ISNUMBER(Standards_Active!$M40),IF(AND(DC$343&gt;=Standards_Active!$C40,DC$343&lt;Standards_Active!$D40),(Standards_Active!$M40-INDEX($CJ375:$DI375,1,MATCH((Standards_Active!$C40-1),$CJ$343:$DI$343,FALSE)))/(Standards_Active!$D40-(Standards_Active!$C40-1))+DB375,Standards_Active!$M40*((1+Standards_Active!$O40)^(DC$343-Standards_Active!$D40))),TREND(Perform_Active!$S40:$T40,Perform_Active!$S$8:$T$8,DC$343))),)</f>
        <v>0</v>
      </c>
      <c r="DD375" s="271">
        <f>IF(AND(Tech_Specs!$E39="step",Standards_Active!$E40="yes"),IF(DD$343&lt;Standards_Active!$C40,TREND(Perform_Active!$S40:$T40,Perform_Active!$S$8:$T$8,DD$343),IF(ISNUMBER(Standards_Active!$M40),IF(AND(DD$343&gt;=Standards_Active!$C40,DD$343&lt;Standards_Active!$D40),(Standards_Active!$M40-INDEX($CJ375:$DI375,1,MATCH((Standards_Active!$C40-1),$CJ$343:$DI$343,FALSE)))/(Standards_Active!$D40-(Standards_Active!$C40-1))+DC375,Standards_Active!$M40*((1+Standards_Active!$O40)^(DD$343-Standards_Active!$D40))),TREND(Perform_Active!$S40:$T40,Perform_Active!$S$8:$T$8,DD$343))),)</f>
        <v>0</v>
      </c>
      <c r="DE375" s="271">
        <f>IF(AND(Tech_Specs!$E39="step",Standards_Active!$E40="yes"),IF(DE$343&lt;Standards_Active!$C40,TREND(Perform_Active!$S40:$T40,Perform_Active!$S$8:$T$8,DE$343),IF(ISNUMBER(Standards_Active!$M40),IF(AND(DE$343&gt;=Standards_Active!$C40,DE$343&lt;Standards_Active!$D40),(Standards_Active!$M40-INDEX($CJ375:$DI375,1,MATCH((Standards_Active!$C40-1),$CJ$343:$DI$343,FALSE)))/(Standards_Active!$D40-(Standards_Active!$C40-1))+DD375,Standards_Active!$M40*((1+Standards_Active!$O40)^(DE$343-Standards_Active!$D40))),TREND(Perform_Active!$S40:$T40,Perform_Active!$S$8:$T$8,DE$343))),)</f>
        <v>0</v>
      </c>
      <c r="DF375" s="271">
        <f>IF(AND(Tech_Specs!$E39="step",Standards_Active!$E40="yes"),IF(DF$343&lt;Standards_Active!$C40,TREND(Perform_Active!$S40:$T40,Perform_Active!$S$8:$T$8,DF$343),IF(ISNUMBER(Standards_Active!$M40),IF(AND(DF$343&gt;=Standards_Active!$C40,DF$343&lt;Standards_Active!$D40),(Standards_Active!$M40-INDEX($CJ375:$DI375,1,MATCH((Standards_Active!$C40-1),$CJ$343:$DI$343,FALSE)))/(Standards_Active!$D40-(Standards_Active!$C40-1))+DE375,Standards_Active!$M40*((1+Standards_Active!$O40)^(DF$343-Standards_Active!$D40))),TREND(Perform_Active!$S40:$T40,Perform_Active!$S$8:$T$8,DF$343))),)</f>
        <v>0</v>
      </c>
      <c r="DG375" s="271">
        <f>IF(AND(Tech_Specs!$E39="step",Standards_Active!$E40="yes"),IF(DG$343&lt;Standards_Active!$C40,TREND(Perform_Active!$S40:$T40,Perform_Active!$S$8:$T$8,DG$343),IF(ISNUMBER(Standards_Active!$M40),IF(AND(DG$343&gt;=Standards_Active!$C40,DG$343&lt;Standards_Active!$D40),(Standards_Active!$M40-INDEX($CJ375:$DI375,1,MATCH((Standards_Active!$C40-1),$CJ$343:$DI$343,FALSE)))/(Standards_Active!$D40-(Standards_Active!$C40-1))+DF375,Standards_Active!$M40*((1+Standards_Active!$O40)^(DG$343-Standards_Active!$D40))),TREND(Perform_Active!$S40:$T40,Perform_Active!$S$8:$T$8,DG$343))),)</f>
        <v>0</v>
      </c>
      <c r="DH375" s="271">
        <f>IF(AND(Tech_Specs!$E39="step",Standards_Active!$E40="yes"),IF(DH$343&lt;Standards_Active!$C40,TREND(Perform_Active!$S40:$T40,Perform_Active!$S$8:$T$8,DH$343),IF(ISNUMBER(Standards_Active!$M40),IF(AND(DH$343&gt;=Standards_Active!$C40,DH$343&lt;Standards_Active!$D40),(Standards_Active!$M40-INDEX($CJ375:$DI375,1,MATCH((Standards_Active!$C40-1),$CJ$343:$DI$343,FALSE)))/(Standards_Active!$D40-(Standards_Active!$C40-1))+DG375,Standards_Active!$M40*((1+Standards_Active!$O40)^(DH$343-Standards_Active!$D40))),TREND(Perform_Active!$S40:$T40,Perform_Active!$S$8:$T$8,DH$343))),)</f>
        <v>0</v>
      </c>
      <c r="DI375" s="271">
        <f>IF(AND(Tech_Specs!$E39="step",Standards_Active!$E40="yes"),IF(DI$343&lt;Standards_Active!$C40,TREND(Perform_Active!$S40:$T40,Perform_Active!$S$8:$T$8,DI$343),IF(ISNUMBER(Standards_Active!$M40),IF(AND(DI$343&gt;=Standards_Active!$C40,DI$343&lt;Standards_Active!$D40),(Standards_Active!$M40-INDEX($CJ375:$DI375,1,MATCH((Standards_Active!$C40-1),$CJ$343:$DI$343,FALSE)))/(Standards_Active!$D40-(Standards_Active!$C40-1))+DH375,Standards_Active!$M40*((1+Standards_Active!$O40)^(DI$343-Standards_Active!$D40))),TREND(Perform_Active!$S40:$T40,Perform_Active!$S$8:$T$8,DI$343))),)</f>
        <v>0</v>
      </c>
    </row>
    <row r="376" spans="1:113" s="302" customFormat="1" ht="12.75" x14ac:dyDescent="0.2">
      <c r="D376" s="550"/>
      <c r="E376" s="550"/>
      <c r="F376" s="550"/>
      <c r="G376" s="309"/>
      <c r="H376" s="309"/>
      <c r="I376" s="309"/>
      <c r="J376" s="309"/>
      <c r="K376" s="309"/>
      <c r="L376" s="309"/>
      <c r="M376" s="309"/>
      <c r="N376" s="309"/>
      <c r="O376" s="309"/>
      <c r="P376" s="309"/>
      <c r="Q376" s="309"/>
      <c r="R376" s="309"/>
      <c r="S376" s="309"/>
      <c r="T376" s="309"/>
      <c r="U376" s="309"/>
      <c r="V376" s="309"/>
      <c r="W376" s="309"/>
      <c r="X376" s="309"/>
      <c r="Y376" s="309"/>
      <c r="Z376" s="309"/>
      <c r="AA376" s="309"/>
      <c r="AB376" s="309"/>
      <c r="AC376" s="309"/>
      <c r="AD376" s="309"/>
      <c r="AE376" s="309"/>
      <c r="AF376" s="309"/>
      <c r="CJ376" s="322"/>
      <c r="CK376" s="322"/>
      <c r="CL376" s="322"/>
      <c r="CM376" s="322"/>
      <c r="CN376" s="322"/>
      <c r="CO376" s="322"/>
      <c r="CP376" s="322"/>
      <c r="CQ376" s="322"/>
      <c r="CR376" s="322"/>
      <c r="CS376" s="322"/>
      <c r="CT376" s="322"/>
      <c r="CU376" s="322"/>
      <c r="CV376" s="322"/>
      <c r="CW376" s="322"/>
      <c r="CX376" s="322"/>
      <c r="CY376" s="322"/>
      <c r="CZ376" s="322"/>
      <c r="DA376" s="322"/>
      <c r="DB376" s="322"/>
      <c r="DC376" s="322"/>
      <c r="DD376" s="322"/>
      <c r="DE376" s="322"/>
      <c r="DF376" s="322"/>
      <c r="DG376" s="322"/>
      <c r="DH376" s="322"/>
      <c r="DI376" s="322"/>
    </row>
    <row r="377" spans="1:113" s="336" customFormat="1" ht="12.75" x14ac:dyDescent="0.2">
      <c r="A377" s="337" t="s">
        <v>180</v>
      </c>
      <c r="D377" s="403"/>
      <c r="E377" s="403"/>
      <c r="F377" s="403"/>
      <c r="G377" s="1044" t="s">
        <v>685</v>
      </c>
      <c r="AG377" s="403"/>
      <c r="AH377" s="403"/>
      <c r="AI377" s="403"/>
      <c r="AJ377" s="403"/>
      <c r="AK377" s="403"/>
      <c r="AL377" s="403"/>
      <c r="AM377" s="403"/>
      <c r="AN377" s="403"/>
      <c r="AO377" s="403"/>
      <c r="AP377" s="403"/>
      <c r="AQ377" s="403"/>
      <c r="AR377" s="403"/>
      <c r="AS377" s="403"/>
      <c r="AT377" s="403"/>
      <c r="AU377" s="403"/>
      <c r="AV377" s="403"/>
      <c r="AW377" s="403"/>
      <c r="AX377" s="403"/>
      <c r="AY377" s="403"/>
      <c r="AZ377" s="403"/>
      <c r="BA377" s="403"/>
      <c r="BB377" s="403"/>
      <c r="BC377" s="403"/>
      <c r="BD377" s="403"/>
      <c r="BE377" s="403"/>
      <c r="BF377" s="403"/>
      <c r="BG377" s="403"/>
      <c r="BH377" s="403"/>
      <c r="BI377" s="403"/>
      <c r="BJ377" s="403"/>
      <c r="BK377" s="403"/>
      <c r="BL377" s="403"/>
      <c r="BM377" s="403"/>
      <c r="BN377" s="403"/>
      <c r="BO377" s="403"/>
      <c r="BP377" s="403"/>
      <c r="BQ377" s="403"/>
      <c r="BR377" s="403"/>
      <c r="BS377" s="403"/>
      <c r="BT377" s="403"/>
      <c r="BU377" s="403"/>
      <c r="BV377" s="403"/>
      <c r="BW377" s="403"/>
      <c r="BX377" s="403"/>
      <c r="BY377" s="403"/>
      <c r="BZ377" s="403"/>
      <c r="CA377" s="403"/>
      <c r="CB377" s="403"/>
      <c r="CC377" s="403"/>
      <c r="CD377" s="403"/>
      <c r="CE377" s="403"/>
      <c r="CF377" s="403"/>
      <c r="CG377" s="403"/>
      <c r="CH377" s="403"/>
      <c r="CI377" s="403"/>
      <c r="CJ377" s="403"/>
      <c r="CK377" s="403"/>
      <c r="CL377" s="403"/>
      <c r="CM377" s="403"/>
      <c r="CN377" s="403"/>
      <c r="CO377" s="403"/>
      <c r="CP377" s="403"/>
      <c r="CQ377" s="403"/>
      <c r="CR377" s="403"/>
      <c r="CS377" s="403"/>
      <c r="CT377" s="403"/>
      <c r="CU377" s="403"/>
      <c r="CV377" s="403"/>
      <c r="CW377" s="403"/>
      <c r="CX377" s="403"/>
      <c r="CY377" s="403"/>
      <c r="CZ377" s="403"/>
      <c r="DA377" s="403"/>
      <c r="DB377" s="403"/>
      <c r="DC377" s="403"/>
      <c r="DD377" s="403"/>
      <c r="DE377" s="403"/>
      <c r="DF377" s="403"/>
      <c r="DG377" s="403"/>
      <c r="DH377" s="403"/>
      <c r="DI377" s="403"/>
    </row>
    <row r="378" spans="1:113" s="322" customFormat="1" ht="12.75" x14ac:dyDescent="0.2">
      <c r="D378" s="550"/>
      <c r="E378" s="550"/>
      <c r="F378" s="550"/>
      <c r="AG378" s="376"/>
      <c r="AH378" s="378" t="s">
        <v>28</v>
      </c>
      <c r="AI378" s="376"/>
      <c r="AJ378" s="376"/>
      <c r="AK378" s="376"/>
      <c r="AL378" s="376"/>
      <c r="AM378" s="376"/>
      <c r="AN378" s="376"/>
      <c r="AO378" s="376"/>
      <c r="AP378" s="376"/>
      <c r="AQ378" s="376"/>
      <c r="AR378" s="376"/>
      <c r="AS378" s="376"/>
      <c r="AT378" s="376"/>
      <c r="AU378" s="376"/>
      <c r="AV378" s="376"/>
      <c r="AW378" s="376"/>
      <c r="AX378" s="376"/>
      <c r="AY378" s="376"/>
      <c r="AZ378" s="376"/>
      <c r="BA378" s="376"/>
      <c r="BB378" s="376"/>
      <c r="BC378" s="376"/>
      <c r="BD378" s="376"/>
      <c r="BE378" s="376"/>
      <c r="BF378" s="376"/>
      <c r="BG378" s="376"/>
      <c r="BH378" s="376"/>
      <c r="BI378" s="378" t="s">
        <v>30</v>
      </c>
      <c r="BJ378" s="376"/>
      <c r="BK378" s="376"/>
      <c r="BL378" s="376"/>
      <c r="BM378" s="376"/>
      <c r="BN378" s="376"/>
      <c r="BO378" s="376"/>
      <c r="BP378" s="376"/>
      <c r="BQ378" s="376"/>
      <c r="BR378" s="376"/>
      <c r="BS378" s="376"/>
      <c r="BT378" s="376"/>
      <c r="BU378" s="376"/>
      <c r="BV378" s="376"/>
      <c r="BW378" s="376"/>
      <c r="BX378" s="376"/>
      <c r="BY378" s="376"/>
      <c r="BZ378" s="376"/>
      <c r="CA378" s="376"/>
      <c r="CB378" s="376"/>
      <c r="CC378" s="376"/>
      <c r="CD378" s="376"/>
      <c r="CE378" s="376"/>
      <c r="CF378" s="376"/>
      <c r="CG378" s="376"/>
      <c r="CH378" s="376"/>
      <c r="CI378" s="376"/>
      <c r="CJ378" s="378" t="s">
        <v>23</v>
      </c>
      <c r="CK378" s="376"/>
      <c r="CL378" s="376"/>
      <c r="CM378" s="376"/>
      <c r="CN378" s="376"/>
      <c r="CO378" s="376"/>
      <c r="CP378" s="376"/>
      <c r="CQ378" s="376"/>
      <c r="CR378" s="376"/>
      <c r="CS378" s="376"/>
      <c r="CT378" s="376"/>
      <c r="CU378" s="376"/>
      <c r="CV378" s="376"/>
      <c r="CW378" s="376"/>
      <c r="CX378" s="376"/>
      <c r="CY378" s="376"/>
      <c r="CZ378" s="376"/>
      <c r="DA378" s="376"/>
      <c r="DB378" s="376"/>
      <c r="DC378" s="376"/>
      <c r="DD378" s="376"/>
      <c r="DE378" s="376"/>
      <c r="DF378" s="376"/>
      <c r="DG378" s="376"/>
      <c r="DH378" s="376"/>
      <c r="DI378" s="376"/>
    </row>
    <row r="379" spans="1:113" s="322" customFormat="1" ht="12.75" x14ac:dyDescent="0.2">
      <c r="A379" s="323" t="s">
        <v>12</v>
      </c>
      <c r="D379" s="550"/>
      <c r="E379" s="550"/>
      <c r="F379" s="550"/>
      <c r="AG379" s="376"/>
      <c r="AH379" s="376"/>
      <c r="AI379" s="376"/>
      <c r="AJ379" s="376"/>
      <c r="AK379" s="376"/>
      <c r="AL379" s="376"/>
      <c r="AM379" s="376"/>
      <c r="AN379" s="376"/>
      <c r="AO379" s="376"/>
      <c r="AP379" s="376"/>
      <c r="AQ379" s="376"/>
      <c r="AR379" s="376"/>
      <c r="AS379" s="376"/>
      <c r="AT379" s="376"/>
      <c r="AU379" s="376"/>
      <c r="AV379" s="376"/>
      <c r="AW379" s="376"/>
      <c r="AX379" s="376"/>
      <c r="AY379" s="376"/>
      <c r="AZ379" s="376"/>
      <c r="BA379" s="376"/>
      <c r="BB379" s="376"/>
      <c r="BC379" s="376"/>
      <c r="BD379" s="376"/>
      <c r="BE379" s="376"/>
      <c r="BF379" s="376"/>
      <c r="BG379" s="376"/>
      <c r="BH379" s="376"/>
      <c r="BI379" s="376"/>
      <c r="BJ379" s="376"/>
      <c r="BK379" s="376"/>
      <c r="BL379" s="376"/>
      <c r="BM379" s="376"/>
      <c r="BN379" s="376"/>
      <c r="BO379" s="376"/>
      <c r="BP379" s="376"/>
      <c r="BQ379" s="376"/>
      <c r="BR379" s="376"/>
      <c r="BS379" s="376"/>
      <c r="BT379" s="376"/>
      <c r="BU379" s="376"/>
      <c r="BV379" s="376"/>
      <c r="BW379" s="376"/>
      <c r="BX379" s="376"/>
      <c r="BY379" s="376"/>
      <c r="BZ379" s="376"/>
      <c r="CA379" s="376"/>
      <c r="CB379" s="376"/>
      <c r="CC379" s="376"/>
      <c r="CD379" s="376"/>
      <c r="CE379" s="376"/>
      <c r="CF379" s="376"/>
      <c r="CG379" s="376"/>
      <c r="CH379" s="376"/>
      <c r="CI379" s="376"/>
      <c r="CJ379" s="376"/>
      <c r="CK379" s="376"/>
      <c r="CL379" s="376"/>
      <c r="CM379" s="376"/>
      <c r="CN379" s="393"/>
      <c r="CO379" s="376"/>
      <c r="CP379" s="376"/>
      <c r="CQ379" s="376"/>
      <c r="CR379" s="376"/>
      <c r="CS379" s="376"/>
      <c r="CT379" s="376"/>
      <c r="CU379" s="376"/>
      <c r="CV379" s="376"/>
      <c r="CW379" s="376"/>
      <c r="CX379" s="376"/>
      <c r="CY379" s="376"/>
      <c r="CZ379" s="376"/>
      <c r="DA379" s="376"/>
      <c r="DB379" s="376"/>
      <c r="DC379" s="376"/>
      <c r="DD379" s="376"/>
      <c r="DE379" s="376"/>
      <c r="DF379" s="376"/>
      <c r="DG379" s="376"/>
      <c r="DH379" s="376"/>
      <c r="DI379" s="376"/>
    </row>
    <row r="380" spans="1:113" s="322" customFormat="1" ht="12.75" x14ac:dyDescent="0.2">
      <c r="B380" s="322" t="s">
        <v>20</v>
      </c>
      <c r="D380" s="550"/>
      <c r="E380" s="550"/>
      <c r="F380" s="550"/>
      <c r="G380" s="322">
        <v>2010</v>
      </c>
      <c r="H380" s="322">
        <v>2011</v>
      </c>
      <c r="I380" s="322">
        <v>2012</v>
      </c>
      <c r="J380" s="322">
        <v>2013</v>
      </c>
      <c r="K380" s="322">
        <v>2014</v>
      </c>
      <c r="L380" s="322">
        <v>2015</v>
      </c>
      <c r="M380" s="322">
        <v>2016</v>
      </c>
      <c r="N380" s="322">
        <v>2017</v>
      </c>
      <c r="O380" s="322">
        <v>2018</v>
      </c>
      <c r="P380" s="322">
        <v>2019</v>
      </c>
      <c r="Q380" s="322">
        <v>2020</v>
      </c>
      <c r="R380" s="322">
        <v>2021</v>
      </c>
      <c r="S380" s="322">
        <v>2022</v>
      </c>
      <c r="T380" s="322">
        <v>2023</v>
      </c>
      <c r="U380" s="322">
        <v>2024</v>
      </c>
      <c r="V380" s="322">
        <v>2025</v>
      </c>
      <c r="W380" s="322">
        <v>2026</v>
      </c>
      <c r="X380" s="322">
        <v>2027</v>
      </c>
      <c r="Y380" s="322">
        <v>2028</v>
      </c>
      <c r="Z380" s="322">
        <v>2029</v>
      </c>
      <c r="AA380" s="322">
        <v>2030</v>
      </c>
      <c r="AB380" s="322">
        <v>2031</v>
      </c>
      <c r="AC380" s="322">
        <v>2032</v>
      </c>
      <c r="AD380" s="322">
        <v>2033</v>
      </c>
      <c r="AE380" s="322">
        <v>2034</v>
      </c>
      <c r="AF380" s="322">
        <v>2035</v>
      </c>
      <c r="AG380" s="376"/>
      <c r="AH380" s="376">
        <v>2010</v>
      </c>
      <c r="AI380" s="376">
        <v>2011</v>
      </c>
      <c r="AJ380" s="376">
        <v>2012</v>
      </c>
      <c r="AK380" s="376">
        <v>2013</v>
      </c>
      <c r="AL380" s="376">
        <v>2014</v>
      </c>
      <c r="AM380" s="376">
        <v>2015</v>
      </c>
      <c r="AN380" s="376">
        <v>2016</v>
      </c>
      <c r="AO380" s="376">
        <v>2017</v>
      </c>
      <c r="AP380" s="376">
        <v>2018</v>
      </c>
      <c r="AQ380" s="376">
        <v>2019</v>
      </c>
      <c r="AR380" s="376">
        <v>2020</v>
      </c>
      <c r="AS380" s="376">
        <v>2021</v>
      </c>
      <c r="AT380" s="376">
        <v>2022</v>
      </c>
      <c r="AU380" s="376">
        <v>2023</v>
      </c>
      <c r="AV380" s="376">
        <v>2024</v>
      </c>
      <c r="AW380" s="376">
        <v>2025</v>
      </c>
      <c r="AX380" s="376">
        <v>2026</v>
      </c>
      <c r="AY380" s="376">
        <v>2027</v>
      </c>
      <c r="AZ380" s="376">
        <v>2028</v>
      </c>
      <c r="BA380" s="376">
        <v>2029</v>
      </c>
      <c r="BB380" s="376">
        <v>2030</v>
      </c>
      <c r="BC380" s="376">
        <v>2031</v>
      </c>
      <c r="BD380" s="376">
        <v>2032</v>
      </c>
      <c r="BE380" s="376">
        <v>2033</v>
      </c>
      <c r="BF380" s="376">
        <v>2034</v>
      </c>
      <c r="BG380" s="376">
        <v>2035</v>
      </c>
      <c r="BH380" s="376"/>
      <c r="BI380" s="376">
        <v>2010</v>
      </c>
      <c r="BJ380" s="376">
        <v>2011</v>
      </c>
      <c r="BK380" s="376">
        <v>2012</v>
      </c>
      <c r="BL380" s="376">
        <v>2013</v>
      </c>
      <c r="BM380" s="376">
        <v>2014</v>
      </c>
      <c r="BN380" s="376">
        <v>2015</v>
      </c>
      <c r="BO380" s="376">
        <v>2016</v>
      </c>
      <c r="BP380" s="376">
        <v>2017</v>
      </c>
      <c r="BQ380" s="376">
        <v>2018</v>
      </c>
      <c r="BR380" s="376">
        <v>2019</v>
      </c>
      <c r="BS380" s="376">
        <v>2020</v>
      </c>
      <c r="BT380" s="376">
        <v>2021</v>
      </c>
      <c r="BU380" s="376">
        <v>2022</v>
      </c>
      <c r="BV380" s="376">
        <v>2023</v>
      </c>
      <c r="BW380" s="376">
        <v>2024</v>
      </c>
      <c r="BX380" s="376">
        <v>2025</v>
      </c>
      <c r="BY380" s="376">
        <v>2026</v>
      </c>
      <c r="BZ380" s="376">
        <v>2027</v>
      </c>
      <c r="CA380" s="376">
        <v>2028</v>
      </c>
      <c r="CB380" s="376">
        <v>2029</v>
      </c>
      <c r="CC380" s="376">
        <v>2030</v>
      </c>
      <c r="CD380" s="376">
        <v>2031</v>
      </c>
      <c r="CE380" s="376">
        <v>2032</v>
      </c>
      <c r="CF380" s="376">
        <v>2033</v>
      </c>
      <c r="CG380" s="376">
        <v>2034</v>
      </c>
      <c r="CH380" s="376">
        <v>2035</v>
      </c>
      <c r="CI380" s="376"/>
      <c r="CJ380" s="376">
        <v>2010</v>
      </c>
      <c r="CK380" s="376">
        <v>2011</v>
      </c>
      <c r="CL380" s="376">
        <v>2012</v>
      </c>
      <c r="CM380" s="376">
        <v>2013</v>
      </c>
      <c r="CN380" s="376">
        <v>2014</v>
      </c>
      <c r="CO380" s="376">
        <v>2015</v>
      </c>
      <c r="CP380" s="376">
        <v>2016</v>
      </c>
      <c r="CQ380" s="376">
        <v>2017</v>
      </c>
      <c r="CR380" s="376">
        <v>2018</v>
      </c>
      <c r="CS380" s="376">
        <v>2019</v>
      </c>
      <c r="CT380" s="376">
        <v>2020</v>
      </c>
      <c r="CU380" s="376">
        <v>2021</v>
      </c>
      <c r="CV380" s="376">
        <v>2022</v>
      </c>
      <c r="CW380" s="376">
        <v>2023</v>
      </c>
      <c r="CX380" s="376">
        <v>2024</v>
      </c>
      <c r="CY380" s="376">
        <v>2025</v>
      </c>
      <c r="CZ380" s="376">
        <v>2026</v>
      </c>
      <c r="DA380" s="376">
        <v>2027</v>
      </c>
      <c r="DB380" s="376">
        <v>2028</v>
      </c>
      <c r="DC380" s="376">
        <v>2029</v>
      </c>
      <c r="DD380" s="376">
        <v>2030</v>
      </c>
      <c r="DE380" s="376">
        <v>2031</v>
      </c>
      <c r="DF380" s="376">
        <v>2032</v>
      </c>
      <c r="DG380" s="376">
        <v>2033</v>
      </c>
      <c r="DH380" s="376">
        <v>2034</v>
      </c>
      <c r="DI380" s="376">
        <v>2035</v>
      </c>
    </row>
    <row r="381" spans="1:113" s="322" customFormat="1" ht="12.75" x14ac:dyDescent="0.2">
      <c r="A381" s="335" t="s">
        <v>21</v>
      </c>
      <c r="B381" s="329"/>
      <c r="C381" s="324"/>
      <c r="D381" s="501"/>
      <c r="E381" s="501"/>
      <c r="F381" s="501"/>
      <c r="G381" s="324"/>
      <c r="H381" s="324"/>
      <c r="I381" s="324"/>
      <c r="J381" s="324"/>
      <c r="K381" s="324"/>
      <c r="L381" s="324"/>
      <c r="M381" s="324"/>
      <c r="N381" s="324"/>
      <c r="O381" s="324"/>
      <c r="P381" s="324"/>
      <c r="Q381" s="324"/>
      <c r="R381" s="324"/>
      <c r="S381" s="324"/>
      <c r="T381" s="324"/>
      <c r="U381" s="324"/>
      <c r="V381" s="324"/>
      <c r="W381" s="324"/>
      <c r="X381" s="324"/>
      <c r="Y381" s="324"/>
      <c r="Z381" s="324"/>
      <c r="AA381" s="324"/>
      <c r="AB381" s="324"/>
      <c r="AC381" s="324"/>
      <c r="AD381" s="324"/>
      <c r="AE381" s="324"/>
      <c r="AF381" s="324"/>
      <c r="AG381" s="376"/>
      <c r="AH381" s="383"/>
      <c r="AI381" s="383"/>
      <c r="AJ381" s="383"/>
      <c r="AK381" s="383"/>
      <c r="AL381" s="383"/>
      <c r="AM381" s="383"/>
      <c r="AN381" s="383"/>
      <c r="AO381" s="383"/>
      <c r="AP381" s="383"/>
      <c r="AQ381" s="383"/>
      <c r="AR381" s="383"/>
      <c r="AS381" s="383"/>
      <c r="AT381" s="383"/>
      <c r="AU381" s="383"/>
      <c r="AV381" s="383"/>
      <c r="AW381" s="383"/>
      <c r="AX381" s="383"/>
      <c r="AY381" s="383"/>
      <c r="AZ381" s="383"/>
      <c r="BA381" s="383"/>
      <c r="BB381" s="383"/>
      <c r="BC381" s="383"/>
      <c r="BD381" s="383"/>
      <c r="BE381" s="383"/>
      <c r="BF381" s="383"/>
      <c r="BG381" s="383"/>
      <c r="BH381" s="376"/>
      <c r="BI381" s="383"/>
      <c r="BJ381" s="383"/>
      <c r="BK381" s="383"/>
      <c r="BL381" s="383"/>
      <c r="BM381" s="383"/>
      <c r="BN381" s="383"/>
      <c r="BO381" s="383"/>
      <c r="BP381" s="383"/>
      <c r="BQ381" s="383"/>
      <c r="BR381" s="383"/>
      <c r="BS381" s="383"/>
      <c r="BT381" s="383"/>
      <c r="BU381" s="383"/>
      <c r="BV381" s="383"/>
      <c r="BW381" s="383"/>
      <c r="BX381" s="383"/>
      <c r="BY381" s="383"/>
      <c r="BZ381" s="383"/>
      <c r="CA381" s="383"/>
      <c r="CB381" s="383"/>
      <c r="CC381" s="383"/>
      <c r="CD381" s="383"/>
      <c r="CE381" s="383"/>
      <c r="CF381" s="383"/>
      <c r="CG381" s="383"/>
      <c r="CH381" s="383"/>
      <c r="CI381" s="376"/>
      <c r="CJ381" s="383"/>
      <c r="CK381" s="383"/>
      <c r="CL381" s="383"/>
      <c r="CM381" s="383"/>
      <c r="CN381" s="383"/>
      <c r="CO381" s="383"/>
      <c r="CP381" s="383"/>
      <c r="CQ381" s="383"/>
      <c r="CR381" s="383"/>
      <c r="CS381" s="383"/>
      <c r="CT381" s="383"/>
      <c r="CU381" s="383"/>
      <c r="CV381" s="383"/>
      <c r="CW381" s="383"/>
      <c r="CX381" s="383"/>
      <c r="CY381" s="383"/>
      <c r="CZ381" s="383"/>
      <c r="DA381" s="383"/>
      <c r="DB381" s="383"/>
      <c r="DC381" s="383"/>
      <c r="DD381" s="383"/>
      <c r="DE381" s="383"/>
      <c r="DF381" s="383"/>
      <c r="DG381" s="383"/>
      <c r="DH381" s="383"/>
      <c r="DI381" s="383"/>
    </row>
    <row r="382" spans="1:113" s="322" customFormat="1" ht="12.75" x14ac:dyDescent="0.2">
      <c r="B382" s="322" t="s">
        <v>22</v>
      </c>
      <c r="D382" s="550"/>
      <c r="E382" s="550"/>
      <c r="F382" s="550"/>
      <c r="G382" s="272">
        <f t="shared" ref="G382:P385" si="66">SUM(AH382,BI382,CJ382)</f>
        <v>0</v>
      </c>
      <c r="H382" s="272">
        <f t="shared" si="66"/>
        <v>0</v>
      </c>
      <c r="I382" s="272">
        <f t="shared" si="66"/>
        <v>0</v>
      </c>
      <c r="J382" s="272">
        <f t="shared" si="66"/>
        <v>0</v>
      </c>
      <c r="K382" s="272">
        <f t="shared" si="66"/>
        <v>0</v>
      </c>
      <c r="L382" s="272">
        <f t="shared" si="66"/>
        <v>0</v>
      </c>
      <c r="M382" s="272">
        <f t="shared" si="66"/>
        <v>0</v>
      </c>
      <c r="N382" s="272">
        <f t="shared" si="66"/>
        <v>0</v>
      </c>
      <c r="O382" s="272">
        <f t="shared" si="66"/>
        <v>0</v>
      </c>
      <c r="P382" s="272">
        <f t="shared" si="66"/>
        <v>0</v>
      </c>
      <c r="Q382" s="272">
        <f t="shared" ref="Q382:Z385" si="67">SUM(AR382,BS382,CT382)</f>
        <v>0</v>
      </c>
      <c r="R382" s="272">
        <f t="shared" si="67"/>
        <v>0</v>
      </c>
      <c r="S382" s="272">
        <f t="shared" si="67"/>
        <v>0</v>
      </c>
      <c r="T382" s="272">
        <f t="shared" si="67"/>
        <v>0</v>
      </c>
      <c r="U382" s="272">
        <f t="shared" si="67"/>
        <v>0</v>
      </c>
      <c r="V382" s="272">
        <f t="shared" si="67"/>
        <v>0</v>
      </c>
      <c r="W382" s="272">
        <f t="shared" si="67"/>
        <v>0</v>
      </c>
      <c r="X382" s="272">
        <f t="shared" si="67"/>
        <v>0</v>
      </c>
      <c r="Y382" s="272">
        <f t="shared" si="67"/>
        <v>0</v>
      </c>
      <c r="Z382" s="272">
        <f t="shared" si="67"/>
        <v>0</v>
      </c>
      <c r="AA382" s="272">
        <f t="shared" ref="AA382:AF385" si="68">SUM(BB382,CC382,DD382)</f>
        <v>0</v>
      </c>
      <c r="AB382" s="272">
        <f t="shared" si="68"/>
        <v>0</v>
      </c>
      <c r="AC382" s="272">
        <f t="shared" si="68"/>
        <v>0</v>
      </c>
      <c r="AD382" s="272">
        <f t="shared" si="68"/>
        <v>0</v>
      </c>
      <c r="AE382" s="272">
        <f t="shared" si="68"/>
        <v>0</v>
      </c>
      <c r="AF382" s="272">
        <f t="shared" si="68"/>
        <v>0</v>
      </c>
      <c r="AG382" s="376"/>
      <c r="AH382" s="271">
        <f>IF(Tech_Specs!$F9="linear",TREND(Perform_Active!$U10:$V10,Perform_Active!$U$8:$V$8,AH$380),)</f>
        <v>0</v>
      </c>
      <c r="AI382" s="271">
        <f>IF(Tech_Specs!$F9="linear",TREND(Perform_Active!$U10:$V10,Perform_Active!$U$8:$V$8,AI$380),)</f>
        <v>0</v>
      </c>
      <c r="AJ382" s="271">
        <f>IF(Tech_Specs!$F9="linear",TREND(Perform_Active!$U10:$V10,Perform_Active!$U$8:$V$8,AJ$380),)</f>
        <v>0</v>
      </c>
      <c r="AK382" s="271">
        <f>IF(Tech_Specs!$F9="linear",TREND(Perform_Active!$U10:$V10,Perform_Active!$U$8:$V$8,AK$380),)</f>
        <v>0</v>
      </c>
      <c r="AL382" s="271">
        <f>IF(Tech_Specs!$F9="linear",TREND(Perform_Active!$U10:$V10,Perform_Active!$U$8:$V$8,AL$380),)</f>
        <v>0</v>
      </c>
      <c r="AM382" s="271">
        <f>IF(Tech_Specs!$F9="linear",TREND(Perform_Active!$U10:$V10,Perform_Active!$U$8:$V$8,AM$380),)</f>
        <v>0</v>
      </c>
      <c r="AN382" s="271">
        <f>IF(Tech_Specs!$F9="linear",TREND(Perform_Active!$U10:$V10,Perform_Active!$U$8:$V$8,AN$380),)</f>
        <v>0</v>
      </c>
      <c r="AO382" s="271">
        <f>IF(Tech_Specs!$F9="linear",TREND(Perform_Active!$U10:$V10,Perform_Active!$U$8:$V$8,AO$380),)</f>
        <v>0</v>
      </c>
      <c r="AP382" s="271">
        <f>IF(Tech_Specs!$F9="linear",TREND(Perform_Active!$U10:$V10,Perform_Active!$U$8:$V$8,AP$380),)</f>
        <v>0</v>
      </c>
      <c r="AQ382" s="271">
        <f>IF(Tech_Specs!$F9="linear",TREND(Perform_Active!$U10:$V10,Perform_Active!$U$8:$V$8,AQ$380),)</f>
        <v>0</v>
      </c>
      <c r="AR382" s="271">
        <f>IF(Tech_Specs!$F9="linear",TREND(Perform_Active!$U10:$V10,Perform_Active!$U$8:$V$8,AR$380),)</f>
        <v>0</v>
      </c>
      <c r="AS382" s="271">
        <f>IF(Tech_Specs!$F9="linear",TREND(Perform_Active!$U10:$V10,Perform_Active!$U$8:$V$8,AS$380),)</f>
        <v>0</v>
      </c>
      <c r="AT382" s="271">
        <f>IF(Tech_Specs!$F9="linear",TREND(Perform_Active!$U10:$V10,Perform_Active!$U$8:$V$8,AT$380),)</f>
        <v>0</v>
      </c>
      <c r="AU382" s="271">
        <f>IF(Tech_Specs!$F9="linear",TREND(Perform_Active!$U10:$V10,Perform_Active!$U$8:$V$8,AU$380),)</f>
        <v>0</v>
      </c>
      <c r="AV382" s="271">
        <f>IF(Tech_Specs!$F9="linear",TREND(Perform_Active!$U10:$V10,Perform_Active!$U$8:$V$8,AV$380),)</f>
        <v>0</v>
      </c>
      <c r="AW382" s="271">
        <f>IF(Tech_Specs!$F9="linear",TREND(Perform_Active!$U10:$V10,Perform_Active!$U$8:$V$8,AW$380),)</f>
        <v>0</v>
      </c>
      <c r="AX382" s="271">
        <f>IF(Tech_Specs!$F9="linear",TREND(Perform_Active!$U10:$V10,Perform_Active!$U$8:$V$8,AX$380),)</f>
        <v>0</v>
      </c>
      <c r="AY382" s="271">
        <f>IF(Tech_Specs!$F9="linear",TREND(Perform_Active!$U10:$V10,Perform_Active!$U$8:$V$8,AY$380),)</f>
        <v>0</v>
      </c>
      <c r="AZ382" s="271">
        <f>IF(Tech_Specs!$F9="linear",TREND(Perform_Active!$U10:$V10,Perform_Active!$U$8:$V$8,AZ$380),)</f>
        <v>0</v>
      </c>
      <c r="BA382" s="271">
        <f>IF(Tech_Specs!$F9="linear",TREND(Perform_Active!$U10:$V10,Perform_Active!$U$8:$V$8,BA$380),)</f>
        <v>0</v>
      </c>
      <c r="BB382" s="271">
        <f>IF(Tech_Specs!$F9="linear",TREND(Perform_Active!$U10:$V10,Perform_Active!$U$8:$V$8,BB$380),)</f>
        <v>0</v>
      </c>
      <c r="BC382" s="271">
        <f>IF(Tech_Specs!$F9="linear",TREND(Perform_Active!$U10:$V10,Perform_Active!$U$8:$V$8,BC$380),)</f>
        <v>0</v>
      </c>
      <c r="BD382" s="271">
        <f>IF(Tech_Specs!$F9="linear",TREND(Perform_Active!$U10:$V10,Perform_Active!$U$8:$V$8,BD$380),)</f>
        <v>0</v>
      </c>
      <c r="BE382" s="271">
        <f>IF(Tech_Specs!$F9="linear",TREND(Perform_Active!$U10:$V10,Perform_Active!$U$8:$V$8,BE$380),)</f>
        <v>0</v>
      </c>
      <c r="BF382" s="271">
        <f>IF(Tech_Specs!$F9="linear",TREND(Perform_Active!$U10:$V10,Perform_Active!$U$8:$V$8,BF$380),)</f>
        <v>0</v>
      </c>
      <c r="BG382" s="271">
        <f>IF(Tech_Specs!$F9="linear",TREND(Perform_Active!$U10:$V10,Perform_Active!$U$8:$V$8,BG$380),)</f>
        <v>0</v>
      </c>
      <c r="BH382" s="376"/>
      <c r="BI382" s="271">
        <f>IF(Tech_Specs!$F9="logistic",0,)</f>
        <v>0</v>
      </c>
      <c r="BJ382" s="271">
        <f>IF(Tech_Specs!$F9="logistic",0,)</f>
        <v>0</v>
      </c>
      <c r="BK382" s="271">
        <f>IF(Tech_Specs!$F9="logistic",0,)</f>
        <v>0</v>
      </c>
      <c r="BL382" s="271">
        <f>IF(Tech_Specs!$F9="logistic",0,)</f>
        <v>0</v>
      </c>
      <c r="BM382" s="271">
        <f>IF(Tech_Specs!$F9="logistic",0,)</f>
        <v>0</v>
      </c>
      <c r="BN382" s="271">
        <f>IF(Tech_Specs!$F9="logistic",0,)</f>
        <v>0</v>
      </c>
      <c r="BO382" s="271">
        <f>IF(Tech_Specs!$F9="logistic",0,)</f>
        <v>0</v>
      </c>
      <c r="BP382" s="271">
        <f>IF(Tech_Specs!$F9="logistic",0,)</f>
        <v>0</v>
      </c>
      <c r="BQ382" s="271">
        <f>IF(Tech_Specs!$F9="logistic",0,)</f>
        <v>0</v>
      </c>
      <c r="BR382" s="271">
        <f>IF(Tech_Specs!$F9="logistic",0,)</f>
        <v>0</v>
      </c>
      <c r="BS382" s="271">
        <f>IF(Tech_Specs!$F9="logistic",0,)</f>
        <v>0</v>
      </c>
      <c r="BT382" s="271">
        <f>IF(Tech_Specs!$F9="logistic",0,)</f>
        <v>0</v>
      </c>
      <c r="BU382" s="271">
        <f>IF(Tech_Specs!$F9="logistic",0,)</f>
        <v>0</v>
      </c>
      <c r="BV382" s="271">
        <f>IF(Tech_Specs!$F9="logistic",0,)</f>
        <v>0</v>
      </c>
      <c r="BW382" s="271">
        <f>IF(Tech_Specs!$F9="logistic",0,)</f>
        <v>0</v>
      </c>
      <c r="BX382" s="271">
        <f>IF(Tech_Specs!$F9="logistic",0,)</f>
        <v>0</v>
      </c>
      <c r="BY382" s="271">
        <f>IF(Tech_Specs!$F9="logistic",0,)</f>
        <v>0</v>
      </c>
      <c r="BZ382" s="271">
        <f>IF(Tech_Specs!$F9="logistic",0,)</f>
        <v>0</v>
      </c>
      <c r="CA382" s="271">
        <f>IF(Tech_Specs!$F9="logistic",0,)</f>
        <v>0</v>
      </c>
      <c r="CB382" s="271">
        <f>IF(Tech_Specs!$F9="logistic",0,)</f>
        <v>0</v>
      </c>
      <c r="CC382" s="271">
        <f>IF(Tech_Specs!$F9="logistic",0,)</f>
        <v>0</v>
      </c>
      <c r="CD382" s="271">
        <f>IF(Tech_Specs!$F9="logistic",0,)</f>
        <v>0</v>
      </c>
      <c r="CE382" s="271">
        <f>IF(Tech_Specs!$F9="logistic",0,)</f>
        <v>0</v>
      </c>
      <c r="CF382" s="271">
        <f>IF(Tech_Specs!$F9="logistic",0,)</f>
        <v>0</v>
      </c>
      <c r="CG382" s="271">
        <f>IF(Tech_Specs!$F9="logistic",0,)</f>
        <v>0</v>
      </c>
      <c r="CH382" s="271">
        <f>IF(Tech_Specs!$F9="logistic",0,)</f>
        <v>0</v>
      </c>
      <c r="CI382" s="376"/>
      <c r="CJ382" s="271">
        <f>IF(AND(Tech_Specs!$F9="step",Standards_Active!$S10="yes"),IF(CJ$380&lt;Standards_Active!$Q10,TREND(Perform_Active!$U10:$V10,Perform_Active!$U$8:$V$8,CJ$380),IF(ISNUMBER(Standards_Active!$AA10),IF(AND(CJ$380&gt;=Standards_Active!$Q10,CJ$380&lt;Standards_Active!$R10),(Standards_Active!$AA10-INDEX($CJ382:$DI382,1,MATCH((Standards_Active!$Q10-1),$CJ$380:$DI$380,FALSE)))/(Standards_Active!$R10-(Standards_Active!$Q10-1))+CI382,Standards_Active!$AA10*((1+Standards_Active!$AC10)^(CJ$380-Standards_Active!$R10))),TREND(Perform_Active!$U10:$V10,Perform_Active!$U$8:$V$8,CJ$380))),)</f>
        <v>0</v>
      </c>
      <c r="CK382" s="271">
        <f>IF(AND(Tech_Specs!$F9="step",Standards_Active!$S10="yes"),IF(CK$380&lt;Standards_Active!$Q10,TREND(Perform_Active!$U10:$V10,Perform_Active!$U$8:$V$8,CK$380),IF(ISNUMBER(Standards_Active!$AA10),IF(AND(CK$380&gt;=Standards_Active!$Q10,CK$380&lt;Standards_Active!$R10),(Standards_Active!$AA10-INDEX($CJ382:$DI382,1,MATCH((Standards_Active!$Q10-1),$CJ$380:$DI$380,FALSE)))/(Standards_Active!$R10-(Standards_Active!$Q10-1))+CJ382,Standards_Active!$AA10*((1+Standards_Active!$AC10)^(CK$380-Standards_Active!$R10))),TREND(Perform_Active!$U10:$V10,Perform_Active!$U$8:$V$8,CK$380))),)</f>
        <v>0</v>
      </c>
      <c r="CL382" s="271">
        <f>IF(AND(Tech_Specs!$F9="step",Standards_Active!$S10="yes"),IF(CL$380&lt;Standards_Active!$Q10,TREND(Perform_Active!$U10:$V10,Perform_Active!$U$8:$V$8,CL$380),IF(ISNUMBER(Standards_Active!$AA10),IF(AND(CL$380&gt;=Standards_Active!$Q10,CL$380&lt;Standards_Active!$R10),(Standards_Active!$AA10-INDEX($CJ382:$DI382,1,MATCH((Standards_Active!$Q10-1),$CJ$380:$DI$380,FALSE)))/(Standards_Active!$R10-(Standards_Active!$Q10-1))+CK382,Standards_Active!$AA10*((1+Standards_Active!$AC10)^(CL$380-Standards_Active!$R10))),TREND(Perform_Active!$U10:$V10,Perform_Active!$U$8:$V$8,CL$380))),)</f>
        <v>0</v>
      </c>
      <c r="CM382" s="271">
        <f>IF(AND(Tech_Specs!$F9="step",Standards_Active!$S10="yes"),IF(CM$380&lt;Standards_Active!$Q10,TREND(Perform_Active!$U10:$V10,Perform_Active!$U$8:$V$8,CM$380),IF(ISNUMBER(Standards_Active!$AA10),IF(AND(CM$380&gt;=Standards_Active!$Q10,CM$380&lt;Standards_Active!$R10),(Standards_Active!$AA10-INDEX($CJ382:$DI382,1,MATCH((Standards_Active!$Q10-1),$CJ$380:$DI$380,FALSE)))/(Standards_Active!$R10-(Standards_Active!$Q10-1))+CL382,Standards_Active!$AA10*((1+Standards_Active!$AC10)^(CM$380-Standards_Active!$R10))),TREND(Perform_Active!$U10:$V10,Perform_Active!$U$8:$V$8,CM$380))),)</f>
        <v>0</v>
      </c>
      <c r="CN382" s="271">
        <f>IF(AND(Tech_Specs!$F9="step",Standards_Active!$S10="yes"),IF(CN$380&lt;Standards_Active!$Q10,TREND(Perform_Active!$U10:$V10,Perform_Active!$U$8:$V$8,CN$380),IF(ISNUMBER(Standards_Active!$AA10),IF(AND(CN$380&gt;=Standards_Active!$Q10,CN$380&lt;Standards_Active!$R10),(Standards_Active!$AA10-INDEX($CJ382:$DI382,1,MATCH((Standards_Active!$Q10-1),$CJ$380:$DI$380,FALSE)))/(Standards_Active!$R10-(Standards_Active!$Q10-1))+CM382,Standards_Active!$AA10*((1+Standards_Active!$AC10)^(CN$380-Standards_Active!$R10))),TREND(Perform_Active!$U10:$V10,Perform_Active!$U$8:$V$8,CN$380))),)</f>
        <v>0</v>
      </c>
      <c r="CO382" s="271">
        <f>IF(AND(Tech_Specs!$F9="step",Standards_Active!$S10="yes"),IF(CO$380&lt;Standards_Active!$Q10,TREND(Perform_Active!$U10:$V10,Perform_Active!$U$8:$V$8,CO$380),IF(ISNUMBER(Standards_Active!$AA10),IF(AND(CO$380&gt;=Standards_Active!$Q10,CO$380&lt;Standards_Active!$R10),(Standards_Active!$AA10-INDEX($CJ382:$DI382,1,MATCH((Standards_Active!$Q10-1),$CJ$380:$DI$380,FALSE)))/(Standards_Active!$R10-(Standards_Active!$Q10-1))+CN382,Standards_Active!$AA10*((1+Standards_Active!$AC10)^(CO$380-Standards_Active!$R10))),TREND(Perform_Active!$U10:$V10,Perform_Active!$U$8:$V$8,CO$380))),)</f>
        <v>0</v>
      </c>
      <c r="CP382" s="271">
        <f>IF(AND(Tech_Specs!$F9="step",Standards_Active!$S10="yes"),IF(CP$380&lt;Standards_Active!$Q10,TREND(Perform_Active!$U10:$V10,Perform_Active!$U$8:$V$8,CP$380),IF(ISNUMBER(Standards_Active!$AA10),IF(AND(CP$380&gt;=Standards_Active!$Q10,CP$380&lt;Standards_Active!$R10),(Standards_Active!$AA10-INDEX($CJ382:$DI382,1,MATCH((Standards_Active!$Q10-1),$CJ$380:$DI$380,FALSE)))/(Standards_Active!$R10-(Standards_Active!$Q10-1))+CO382,Standards_Active!$AA10*((1+Standards_Active!$AC10)^(CP$380-Standards_Active!$R10))),TREND(Perform_Active!$U10:$V10,Perform_Active!$U$8:$V$8,CP$380))),)</f>
        <v>0</v>
      </c>
      <c r="CQ382" s="271">
        <f>IF(AND(Tech_Specs!$F9="step",Standards_Active!$S10="yes"),IF(CQ$380&lt;Standards_Active!$Q10,TREND(Perform_Active!$U10:$V10,Perform_Active!$U$8:$V$8,CQ$380),IF(ISNUMBER(Standards_Active!$AA10),IF(AND(CQ$380&gt;=Standards_Active!$Q10,CQ$380&lt;Standards_Active!$R10),(Standards_Active!$AA10-INDEX($CJ382:$DI382,1,MATCH((Standards_Active!$Q10-1),$CJ$380:$DI$380,FALSE)))/(Standards_Active!$R10-(Standards_Active!$Q10-1))+CP382,Standards_Active!$AA10*((1+Standards_Active!$AC10)^(CQ$380-Standards_Active!$R10))),TREND(Perform_Active!$U10:$V10,Perform_Active!$U$8:$V$8,CQ$380))),)</f>
        <v>0</v>
      </c>
      <c r="CR382" s="271">
        <f>IF(AND(Tech_Specs!$F9="step",Standards_Active!$S10="yes"),IF(CR$380&lt;Standards_Active!$Q10,TREND(Perform_Active!$U10:$V10,Perform_Active!$U$8:$V$8,CR$380),IF(ISNUMBER(Standards_Active!$AA10),IF(AND(CR$380&gt;=Standards_Active!$Q10,CR$380&lt;Standards_Active!$R10),(Standards_Active!$AA10-INDEX($CJ382:$DI382,1,MATCH((Standards_Active!$Q10-1),$CJ$380:$DI$380,FALSE)))/(Standards_Active!$R10-(Standards_Active!$Q10-1))+CQ382,Standards_Active!$AA10*((1+Standards_Active!$AC10)^(CR$380-Standards_Active!$R10))),TREND(Perform_Active!$U10:$V10,Perform_Active!$U$8:$V$8,CR$380))),)</f>
        <v>0</v>
      </c>
      <c r="CS382" s="271">
        <f>IF(AND(Tech_Specs!$F9="step",Standards_Active!$S10="yes"),IF(CS$380&lt;Standards_Active!$Q10,TREND(Perform_Active!$U10:$V10,Perform_Active!$U$8:$V$8,CS$380),IF(ISNUMBER(Standards_Active!$AA10),IF(AND(CS$380&gt;=Standards_Active!$Q10,CS$380&lt;Standards_Active!$R10),(Standards_Active!$AA10-INDEX($CJ382:$DI382,1,MATCH((Standards_Active!$Q10-1),$CJ$380:$DI$380,FALSE)))/(Standards_Active!$R10-(Standards_Active!$Q10-1))+CR382,Standards_Active!$AA10*((1+Standards_Active!$AC10)^(CS$380-Standards_Active!$R10))),TREND(Perform_Active!$U10:$V10,Perform_Active!$U$8:$V$8,CS$380))),)</f>
        <v>0</v>
      </c>
      <c r="CT382" s="271">
        <f>IF(AND(Tech_Specs!$F9="step",Standards_Active!$S10="yes"),IF(CT$380&lt;Standards_Active!$Q10,TREND(Perform_Active!$U10:$V10,Perform_Active!$U$8:$V$8,CT$380),IF(ISNUMBER(Standards_Active!$AA10),IF(AND(CT$380&gt;=Standards_Active!$Q10,CT$380&lt;Standards_Active!$R10),(Standards_Active!$AA10-INDEX($CJ382:$DI382,1,MATCH((Standards_Active!$Q10-1),$CJ$380:$DI$380,FALSE)))/(Standards_Active!$R10-(Standards_Active!$Q10-1))+CS382,Standards_Active!$AA10*((1+Standards_Active!$AC10)^(CT$380-Standards_Active!$R10))),TREND(Perform_Active!$U10:$V10,Perform_Active!$U$8:$V$8,CT$380))),)</f>
        <v>0</v>
      </c>
      <c r="CU382" s="271">
        <f>IF(AND(Tech_Specs!$F9="step",Standards_Active!$S10="yes"),IF(CU$380&lt;Standards_Active!$Q10,TREND(Perform_Active!$U10:$V10,Perform_Active!$U$8:$V$8,CU$380),IF(ISNUMBER(Standards_Active!$AA10),IF(AND(CU$380&gt;=Standards_Active!$Q10,CU$380&lt;Standards_Active!$R10),(Standards_Active!$AA10-INDEX($CJ382:$DI382,1,MATCH((Standards_Active!$Q10-1),$CJ$380:$DI$380,FALSE)))/(Standards_Active!$R10-(Standards_Active!$Q10-1))+CT382,Standards_Active!$AA10*((1+Standards_Active!$AC10)^(CU$380-Standards_Active!$R10))),TREND(Perform_Active!$U10:$V10,Perform_Active!$U$8:$V$8,CU$380))),)</f>
        <v>0</v>
      </c>
      <c r="CV382" s="271">
        <f>IF(AND(Tech_Specs!$F9="step",Standards_Active!$S10="yes"),IF(CV$380&lt;Standards_Active!$Q10,TREND(Perform_Active!$U10:$V10,Perform_Active!$U$8:$V$8,CV$380),IF(ISNUMBER(Standards_Active!$AA10),IF(AND(CV$380&gt;=Standards_Active!$Q10,CV$380&lt;Standards_Active!$R10),(Standards_Active!$AA10-INDEX($CJ382:$DI382,1,MATCH((Standards_Active!$Q10-1),$CJ$380:$DI$380,FALSE)))/(Standards_Active!$R10-(Standards_Active!$Q10-1))+CU382,Standards_Active!$AA10*((1+Standards_Active!$AC10)^(CV$380-Standards_Active!$R10))),TREND(Perform_Active!$U10:$V10,Perform_Active!$U$8:$V$8,CV$380))),)</f>
        <v>0</v>
      </c>
      <c r="CW382" s="271">
        <f>IF(AND(Tech_Specs!$F9="step",Standards_Active!$S10="yes"),IF(CW$380&lt;Standards_Active!$Q10,TREND(Perform_Active!$U10:$V10,Perform_Active!$U$8:$V$8,CW$380),IF(ISNUMBER(Standards_Active!$AA10),IF(AND(CW$380&gt;=Standards_Active!$Q10,CW$380&lt;Standards_Active!$R10),(Standards_Active!$AA10-INDEX($CJ382:$DI382,1,MATCH((Standards_Active!$Q10-1),$CJ$380:$DI$380,FALSE)))/(Standards_Active!$R10-(Standards_Active!$Q10-1))+CV382,Standards_Active!$AA10*((1+Standards_Active!$AC10)^(CW$380-Standards_Active!$R10))),TREND(Perform_Active!$U10:$V10,Perform_Active!$U$8:$V$8,CW$380))),)</f>
        <v>0</v>
      </c>
      <c r="CX382" s="271">
        <f>IF(AND(Tech_Specs!$F9="step",Standards_Active!$S10="yes"),IF(CX$380&lt;Standards_Active!$Q10,TREND(Perform_Active!$U10:$V10,Perform_Active!$U$8:$V$8,CX$380),IF(ISNUMBER(Standards_Active!$AA10),IF(AND(CX$380&gt;=Standards_Active!$Q10,CX$380&lt;Standards_Active!$R10),(Standards_Active!$AA10-INDEX($CJ382:$DI382,1,MATCH((Standards_Active!$Q10-1),$CJ$380:$DI$380,FALSE)))/(Standards_Active!$R10-(Standards_Active!$Q10-1))+CW382,Standards_Active!$AA10*((1+Standards_Active!$AC10)^(CX$380-Standards_Active!$R10))),TREND(Perform_Active!$U10:$V10,Perform_Active!$U$8:$V$8,CX$380))),)</f>
        <v>0</v>
      </c>
      <c r="CY382" s="271">
        <f>IF(AND(Tech_Specs!$F9="step",Standards_Active!$S10="yes"),IF(CY$380&lt;Standards_Active!$Q10,TREND(Perform_Active!$U10:$V10,Perform_Active!$U$8:$V$8,CY$380),IF(ISNUMBER(Standards_Active!$AA10),IF(AND(CY$380&gt;=Standards_Active!$Q10,CY$380&lt;Standards_Active!$R10),(Standards_Active!$AA10-INDEX($CJ382:$DI382,1,MATCH((Standards_Active!$Q10-1),$CJ$380:$DI$380,FALSE)))/(Standards_Active!$R10-(Standards_Active!$Q10-1))+CX382,Standards_Active!$AA10*((1+Standards_Active!$AC10)^(CY$380-Standards_Active!$R10))),TREND(Perform_Active!$U10:$V10,Perform_Active!$U$8:$V$8,CY$380))),)</f>
        <v>0</v>
      </c>
      <c r="CZ382" s="271">
        <f>IF(AND(Tech_Specs!$F9="step",Standards_Active!$S10="yes"),IF(CZ$380&lt;Standards_Active!$Q10,TREND(Perform_Active!$U10:$V10,Perform_Active!$U$8:$V$8,CZ$380),IF(ISNUMBER(Standards_Active!$AA10),IF(AND(CZ$380&gt;=Standards_Active!$Q10,CZ$380&lt;Standards_Active!$R10),(Standards_Active!$AA10-INDEX($CJ382:$DI382,1,MATCH((Standards_Active!$Q10-1),$CJ$380:$DI$380,FALSE)))/(Standards_Active!$R10-(Standards_Active!$Q10-1))+CY382,Standards_Active!$AA10*((1+Standards_Active!$AC10)^(CZ$380-Standards_Active!$R10))),TREND(Perform_Active!$U10:$V10,Perform_Active!$U$8:$V$8,CZ$380))),)</f>
        <v>0</v>
      </c>
      <c r="DA382" s="271">
        <f>IF(AND(Tech_Specs!$F9="step",Standards_Active!$S10="yes"),IF(DA$380&lt;Standards_Active!$Q10,TREND(Perform_Active!$U10:$V10,Perform_Active!$U$8:$V$8,DA$380),IF(ISNUMBER(Standards_Active!$AA10),IF(AND(DA$380&gt;=Standards_Active!$Q10,DA$380&lt;Standards_Active!$R10),(Standards_Active!$AA10-INDEX($CJ382:$DI382,1,MATCH((Standards_Active!$Q10-1),$CJ$380:$DI$380,FALSE)))/(Standards_Active!$R10-(Standards_Active!$Q10-1))+CZ382,Standards_Active!$AA10*((1+Standards_Active!$AC10)^(DA$380-Standards_Active!$R10))),TREND(Perform_Active!$U10:$V10,Perform_Active!$U$8:$V$8,DA$380))),)</f>
        <v>0</v>
      </c>
      <c r="DB382" s="271">
        <f>IF(AND(Tech_Specs!$F9="step",Standards_Active!$S10="yes"),IF(DB$380&lt;Standards_Active!$Q10,TREND(Perform_Active!$U10:$V10,Perform_Active!$U$8:$V$8,DB$380),IF(ISNUMBER(Standards_Active!$AA10),IF(AND(DB$380&gt;=Standards_Active!$Q10,DB$380&lt;Standards_Active!$R10),(Standards_Active!$AA10-INDEX($CJ382:$DI382,1,MATCH((Standards_Active!$Q10-1),$CJ$380:$DI$380,FALSE)))/(Standards_Active!$R10-(Standards_Active!$Q10-1))+DA382,Standards_Active!$AA10*((1+Standards_Active!$AC10)^(DB$380-Standards_Active!$R10))),TREND(Perform_Active!$U10:$V10,Perform_Active!$U$8:$V$8,DB$380))),)</f>
        <v>0</v>
      </c>
      <c r="DC382" s="271">
        <f>IF(AND(Tech_Specs!$F9="step",Standards_Active!$S10="yes"),IF(DC$380&lt;Standards_Active!$Q10,TREND(Perform_Active!$U10:$V10,Perform_Active!$U$8:$V$8,DC$380),IF(ISNUMBER(Standards_Active!$AA10),IF(AND(DC$380&gt;=Standards_Active!$Q10,DC$380&lt;Standards_Active!$R10),(Standards_Active!$AA10-INDEX($CJ382:$DI382,1,MATCH((Standards_Active!$Q10-1),$CJ$380:$DI$380,FALSE)))/(Standards_Active!$R10-(Standards_Active!$Q10-1))+DB382,Standards_Active!$AA10*((1+Standards_Active!$AC10)^(DC$380-Standards_Active!$R10))),TREND(Perform_Active!$U10:$V10,Perform_Active!$U$8:$V$8,DC$380))),)</f>
        <v>0</v>
      </c>
      <c r="DD382" s="271">
        <f>IF(AND(Tech_Specs!$F9="step",Standards_Active!$S10="yes"),IF(DD$380&lt;Standards_Active!$Q10,TREND(Perform_Active!$U10:$V10,Perform_Active!$U$8:$V$8,DD$380),IF(ISNUMBER(Standards_Active!$AA10),IF(AND(DD$380&gt;=Standards_Active!$Q10,DD$380&lt;Standards_Active!$R10),(Standards_Active!$AA10-INDEX($CJ382:$DI382,1,MATCH((Standards_Active!$Q10-1),$CJ$380:$DI$380,FALSE)))/(Standards_Active!$R10-(Standards_Active!$Q10-1))+DC382,Standards_Active!$AA10*((1+Standards_Active!$AC10)^(DD$380-Standards_Active!$R10))),TREND(Perform_Active!$U10:$V10,Perform_Active!$U$8:$V$8,DD$380))),)</f>
        <v>0</v>
      </c>
      <c r="DE382" s="271">
        <f>IF(AND(Tech_Specs!$F9="step",Standards_Active!$S10="yes"),IF(DE$380&lt;Standards_Active!$Q10,TREND(Perform_Active!$U10:$V10,Perform_Active!$U$8:$V$8,DE$380),IF(ISNUMBER(Standards_Active!$AA10),IF(AND(DE$380&gt;=Standards_Active!$Q10,DE$380&lt;Standards_Active!$R10),(Standards_Active!$AA10-INDEX($CJ382:$DI382,1,MATCH((Standards_Active!$Q10-1),$CJ$380:$DI$380,FALSE)))/(Standards_Active!$R10-(Standards_Active!$Q10-1))+DD382,Standards_Active!$AA10*((1+Standards_Active!$AC10)^(DE$380-Standards_Active!$R10))),TREND(Perform_Active!$U10:$V10,Perform_Active!$U$8:$V$8,DE$380))),)</f>
        <v>0</v>
      </c>
      <c r="DF382" s="271">
        <f>IF(AND(Tech_Specs!$F9="step",Standards_Active!$S10="yes"),IF(DF$380&lt;Standards_Active!$Q10,TREND(Perform_Active!$U10:$V10,Perform_Active!$U$8:$V$8,DF$380),IF(ISNUMBER(Standards_Active!$AA10),IF(AND(DF$380&gt;=Standards_Active!$Q10,DF$380&lt;Standards_Active!$R10),(Standards_Active!$AA10-INDEX($CJ382:$DI382,1,MATCH((Standards_Active!$Q10-1),$CJ$380:$DI$380,FALSE)))/(Standards_Active!$R10-(Standards_Active!$Q10-1))+DE382,Standards_Active!$AA10*((1+Standards_Active!$AC10)^(DF$380-Standards_Active!$R10))),TREND(Perform_Active!$U10:$V10,Perform_Active!$U$8:$V$8,DF$380))),)</f>
        <v>0</v>
      </c>
      <c r="DG382" s="271">
        <f>IF(AND(Tech_Specs!$F9="step",Standards_Active!$S10="yes"),IF(DG$380&lt;Standards_Active!$Q10,TREND(Perform_Active!$U10:$V10,Perform_Active!$U$8:$V$8,DG$380),IF(ISNUMBER(Standards_Active!$AA10),IF(AND(DG$380&gt;=Standards_Active!$Q10,DG$380&lt;Standards_Active!$R10),(Standards_Active!$AA10-INDEX($CJ382:$DI382,1,MATCH((Standards_Active!$Q10-1),$CJ$380:$DI$380,FALSE)))/(Standards_Active!$R10-(Standards_Active!$Q10-1))+DF382,Standards_Active!$AA10*((1+Standards_Active!$AC10)^(DG$380-Standards_Active!$R10))),TREND(Perform_Active!$U10:$V10,Perform_Active!$U$8:$V$8,DG$380))),)</f>
        <v>0</v>
      </c>
      <c r="DH382" s="271">
        <f>IF(AND(Tech_Specs!$F9="step",Standards_Active!$S10="yes"),IF(DH$380&lt;Standards_Active!$Q10,TREND(Perform_Active!$U10:$V10,Perform_Active!$U$8:$V$8,DH$380),IF(ISNUMBER(Standards_Active!$AA10),IF(AND(DH$380&gt;=Standards_Active!$Q10,DH$380&lt;Standards_Active!$R10),(Standards_Active!$AA10-INDEX($CJ382:$DI382,1,MATCH((Standards_Active!$Q10-1),$CJ$380:$DI$380,FALSE)))/(Standards_Active!$R10-(Standards_Active!$Q10-1))+DG382,Standards_Active!$AA10*((1+Standards_Active!$AC10)^(DH$380-Standards_Active!$R10))),TREND(Perform_Active!$U10:$V10,Perform_Active!$U$8:$V$8,DH$380))),)</f>
        <v>0</v>
      </c>
      <c r="DI382" s="271">
        <f>IF(AND(Tech_Specs!$F9="step",Standards_Active!$S10="yes"),IF(DI$380&lt;Standards_Active!$Q10,TREND(Perform_Active!$U10:$V10,Perform_Active!$U$8:$V$8,DI$380),IF(ISNUMBER(Standards_Active!$AA10),IF(AND(DI$380&gt;=Standards_Active!$Q10,DI$380&lt;Standards_Active!$R10),(Standards_Active!$AA10-INDEX($CJ382:$DI382,1,MATCH((Standards_Active!$Q10-1),$CJ$380:$DI$380,FALSE)))/(Standards_Active!$R10-(Standards_Active!$Q10-1))+DH382,Standards_Active!$AA10*((1+Standards_Active!$AC10)^(DI$380-Standards_Active!$R10))),TREND(Perform_Active!$U10:$V10,Perform_Active!$U$8:$V$8,DI$380))),)</f>
        <v>0</v>
      </c>
    </row>
    <row r="383" spans="1:113" s="322" customFormat="1" ht="12.75" x14ac:dyDescent="0.2">
      <c r="B383" s="322" t="s">
        <v>26</v>
      </c>
      <c r="D383" s="550"/>
      <c r="E383" s="550"/>
      <c r="F383" s="550"/>
      <c r="G383" s="272">
        <f t="shared" si="66"/>
        <v>0</v>
      </c>
      <c r="H383" s="272">
        <f t="shared" si="66"/>
        <v>0</v>
      </c>
      <c r="I383" s="272">
        <f t="shared" si="66"/>
        <v>0</v>
      </c>
      <c r="J383" s="272">
        <f t="shared" si="66"/>
        <v>0</v>
      </c>
      <c r="K383" s="272">
        <f t="shared" si="66"/>
        <v>0</v>
      </c>
      <c r="L383" s="272">
        <f t="shared" si="66"/>
        <v>0</v>
      </c>
      <c r="M383" s="272">
        <f t="shared" si="66"/>
        <v>0</v>
      </c>
      <c r="N383" s="272">
        <f t="shared" si="66"/>
        <v>0</v>
      </c>
      <c r="O383" s="272">
        <f t="shared" si="66"/>
        <v>0</v>
      </c>
      <c r="P383" s="272">
        <f t="shared" si="66"/>
        <v>0</v>
      </c>
      <c r="Q383" s="272">
        <f t="shared" si="67"/>
        <v>0</v>
      </c>
      <c r="R383" s="272">
        <f t="shared" si="67"/>
        <v>0</v>
      </c>
      <c r="S383" s="272">
        <f t="shared" si="67"/>
        <v>0</v>
      </c>
      <c r="T383" s="272">
        <f t="shared" si="67"/>
        <v>0</v>
      </c>
      <c r="U383" s="272">
        <f t="shared" si="67"/>
        <v>0</v>
      </c>
      <c r="V383" s="272">
        <f t="shared" si="67"/>
        <v>0</v>
      </c>
      <c r="W383" s="272">
        <f t="shared" si="67"/>
        <v>0</v>
      </c>
      <c r="X383" s="272">
        <f t="shared" si="67"/>
        <v>0</v>
      </c>
      <c r="Y383" s="272">
        <f t="shared" si="67"/>
        <v>0</v>
      </c>
      <c r="Z383" s="272">
        <f t="shared" si="67"/>
        <v>0</v>
      </c>
      <c r="AA383" s="272">
        <f t="shared" si="68"/>
        <v>0</v>
      </c>
      <c r="AB383" s="272">
        <f t="shared" si="68"/>
        <v>0</v>
      </c>
      <c r="AC383" s="272">
        <f t="shared" si="68"/>
        <v>0</v>
      </c>
      <c r="AD383" s="272">
        <f t="shared" si="68"/>
        <v>0</v>
      </c>
      <c r="AE383" s="272">
        <f t="shared" si="68"/>
        <v>0</v>
      </c>
      <c r="AF383" s="272">
        <f t="shared" si="68"/>
        <v>0</v>
      </c>
      <c r="AG383" s="376"/>
      <c r="AH383" s="271">
        <f>IF(Tech_Specs!$F10="linear",TREND(Perform_Active!$U11:$V11,Perform_Active!$U$8:$V$8,AH$380),)</f>
        <v>0</v>
      </c>
      <c r="AI383" s="271">
        <f>IF(Tech_Specs!$F10="linear",TREND(Perform_Active!$U11:$V11,Perform_Active!$U$8:$V$8,AI$380),)</f>
        <v>0</v>
      </c>
      <c r="AJ383" s="271">
        <f>IF(Tech_Specs!$F10="linear",TREND(Perform_Active!$U11:$V11,Perform_Active!$U$8:$V$8,AJ$380),)</f>
        <v>0</v>
      </c>
      <c r="AK383" s="271">
        <f>IF(Tech_Specs!$F10="linear",TREND(Perform_Active!$U11:$V11,Perform_Active!$U$8:$V$8,AK$380),)</f>
        <v>0</v>
      </c>
      <c r="AL383" s="271">
        <f>IF(Tech_Specs!$F10="linear",TREND(Perform_Active!$U11:$V11,Perform_Active!$U$8:$V$8,AL$380),)</f>
        <v>0</v>
      </c>
      <c r="AM383" s="271">
        <f>IF(Tech_Specs!$F10="linear",TREND(Perform_Active!$U11:$V11,Perform_Active!$U$8:$V$8,AM$380),)</f>
        <v>0</v>
      </c>
      <c r="AN383" s="271">
        <f>IF(Tech_Specs!$F10="linear",TREND(Perform_Active!$U11:$V11,Perform_Active!$U$8:$V$8,AN$380),)</f>
        <v>0</v>
      </c>
      <c r="AO383" s="271">
        <f>IF(Tech_Specs!$F10="linear",TREND(Perform_Active!$U11:$V11,Perform_Active!$U$8:$V$8,AO$380),)</f>
        <v>0</v>
      </c>
      <c r="AP383" s="271">
        <f>IF(Tech_Specs!$F10="linear",TREND(Perform_Active!$U11:$V11,Perform_Active!$U$8:$V$8,AP$380),)</f>
        <v>0</v>
      </c>
      <c r="AQ383" s="271">
        <f>IF(Tech_Specs!$F10="linear",TREND(Perform_Active!$U11:$V11,Perform_Active!$U$8:$V$8,AQ$380),)</f>
        <v>0</v>
      </c>
      <c r="AR383" s="271">
        <f>IF(Tech_Specs!$F10="linear",TREND(Perform_Active!$U11:$V11,Perform_Active!$U$8:$V$8,AR$380),)</f>
        <v>0</v>
      </c>
      <c r="AS383" s="271">
        <f>IF(Tech_Specs!$F10="linear",TREND(Perform_Active!$U11:$V11,Perform_Active!$U$8:$V$8,AS$380),)</f>
        <v>0</v>
      </c>
      <c r="AT383" s="271">
        <f>IF(Tech_Specs!$F10="linear",TREND(Perform_Active!$U11:$V11,Perform_Active!$U$8:$V$8,AT$380),)</f>
        <v>0</v>
      </c>
      <c r="AU383" s="271">
        <f>IF(Tech_Specs!$F10="linear",TREND(Perform_Active!$U11:$V11,Perform_Active!$U$8:$V$8,AU$380),)</f>
        <v>0</v>
      </c>
      <c r="AV383" s="271">
        <f>IF(Tech_Specs!$F10="linear",TREND(Perform_Active!$U11:$V11,Perform_Active!$U$8:$V$8,AV$380),)</f>
        <v>0</v>
      </c>
      <c r="AW383" s="271">
        <f>IF(Tech_Specs!$F10="linear",TREND(Perform_Active!$U11:$V11,Perform_Active!$U$8:$V$8,AW$380),)</f>
        <v>0</v>
      </c>
      <c r="AX383" s="271">
        <f>IF(Tech_Specs!$F10="linear",TREND(Perform_Active!$U11:$V11,Perform_Active!$U$8:$V$8,AX$380),)</f>
        <v>0</v>
      </c>
      <c r="AY383" s="271">
        <f>IF(Tech_Specs!$F10="linear",TREND(Perform_Active!$U11:$V11,Perform_Active!$U$8:$V$8,AY$380),)</f>
        <v>0</v>
      </c>
      <c r="AZ383" s="271">
        <f>IF(Tech_Specs!$F10="linear",TREND(Perform_Active!$U11:$V11,Perform_Active!$U$8:$V$8,AZ$380),)</f>
        <v>0</v>
      </c>
      <c r="BA383" s="271">
        <f>IF(Tech_Specs!$F10="linear",TREND(Perform_Active!$U11:$V11,Perform_Active!$U$8:$V$8,BA$380),)</f>
        <v>0</v>
      </c>
      <c r="BB383" s="271">
        <f>IF(Tech_Specs!$F10="linear",TREND(Perform_Active!$U11:$V11,Perform_Active!$U$8:$V$8,BB$380),)</f>
        <v>0</v>
      </c>
      <c r="BC383" s="271">
        <f>IF(Tech_Specs!$F10="linear",TREND(Perform_Active!$U11:$V11,Perform_Active!$U$8:$V$8,BC$380),)</f>
        <v>0</v>
      </c>
      <c r="BD383" s="271">
        <f>IF(Tech_Specs!$F10="linear",TREND(Perform_Active!$U11:$V11,Perform_Active!$U$8:$V$8,BD$380),)</f>
        <v>0</v>
      </c>
      <c r="BE383" s="271">
        <f>IF(Tech_Specs!$F10="linear",TREND(Perform_Active!$U11:$V11,Perform_Active!$U$8:$V$8,BE$380),)</f>
        <v>0</v>
      </c>
      <c r="BF383" s="271">
        <f>IF(Tech_Specs!$F10="linear",TREND(Perform_Active!$U11:$V11,Perform_Active!$U$8:$V$8,BF$380),)</f>
        <v>0</v>
      </c>
      <c r="BG383" s="271">
        <f>IF(Tech_Specs!$F10="linear",TREND(Perform_Active!$U11:$V11,Perform_Active!$U$8:$V$8,BG$380),)</f>
        <v>0</v>
      </c>
      <c r="BH383" s="376"/>
      <c r="BI383" s="271">
        <f>IF(Tech_Specs!$F10="logistic",0,)</f>
        <v>0</v>
      </c>
      <c r="BJ383" s="271">
        <f>IF(Tech_Specs!$F10="logistic",0,)</f>
        <v>0</v>
      </c>
      <c r="BK383" s="271">
        <f>IF(Tech_Specs!$F10="logistic",0,)</f>
        <v>0</v>
      </c>
      <c r="BL383" s="271">
        <f>IF(Tech_Specs!$F10="logistic",0,)</f>
        <v>0</v>
      </c>
      <c r="BM383" s="271">
        <f>IF(Tech_Specs!$F10="logistic",0,)</f>
        <v>0</v>
      </c>
      <c r="BN383" s="271">
        <f>IF(Tech_Specs!$F10="logistic",0,)</f>
        <v>0</v>
      </c>
      <c r="BO383" s="271">
        <f>IF(Tech_Specs!$F10="logistic",0,)</f>
        <v>0</v>
      </c>
      <c r="BP383" s="271">
        <f>IF(Tech_Specs!$F10="logistic",0,)</f>
        <v>0</v>
      </c>
      <c r="BQ383" s="271">
        <f>IF(Tech_Specs!$F10="logistic",0,)</f>
        <v>0</v>
      </c>
      <c r="BR383" s="271">
        <f>IF(Tech_Specs!$F10="logistic",0,)</f>
        <v>0</v>
      </c>
      <c r="BS383" s="271">
        <f>IF(Tech_Specs!$F10="logistic",0,)</f>
        <v>0</v>
      </c>
      <c r="BT383" s="271">
        <f>IF(Tech_Specs!$F10="logistic",0,)</f>
        <v>0</v>
      </c>
      <c r="BU383" s="271">
        <f>IF(Tech_Specs!$F10="logistic",0,)</f>
        <v>0</v>
      </c>
      <c r="BV383" s="271">
        <f>IF(Tech_Specs!$F10="logistic",0,)</f>
        <v>0</v>
      </c>
      <c r="BW383" s="271">
        <f>IF(Tech_Specs!$F10="logistic",0,)</f>
        <v>0</v>
      </c>
      <c r="BX383" s="271">
        <f>IF(Tech_Specs!$F10="logistic",0,)</f>
        <v>0</v>
      </c>
      <c r="BY383" s="271">
        <f>IF(Tech_Specs!$F10="logistic",0,)</f>
        <v>0</v>
      </c>
      <c r="BZ383" s="271">
        <f>IF(Tech_Specs!$F10="logistic",0,)</f>
        <v>0</v>
      </c>
      <c r="CA383" s="271">
        <f>IF(Tech_Specs!$F10="logistic",0,)</f>
        <v>0</v>
      </c>
      <c r="CB383" s="271">
        <f>IF(Tech_Specs!$F10="logistic",0,)</f>
        <v>0</v>
      </c>
      <c r="CC383" s="271">
        <f>IF(Tech_Specs!$F10="logistic",0,)</f>
        <v>0</v>
      </c>
      <c r="CD383" s="271">
        <f>IF(Tech_Specs!$F10="logistic",0,)</f>
        <v>0</v>
      </c>
      <c r="CE383" s="271">
        <f>IF(Tech_Specs!$F10="logistic",0,)</f>
        <v>0</v>
      </c>
      <c r="CF383" s="271">
        <f>IF(Tech_Specs!$F10="logistic",0,)</f>
        <v>0</v>
      </c>
      <c r="CG383" s="271">
        <f>IF(Tech_Specs!$F10="logistic",0,)</f>
        <v>0</v>
      </c>
      <c r="CH383" s="271">
        <f>IF(Tech_Specs!$F10="logistic",0,)</f>
        <v>0</v>
      </c>
      <c r="CI383" s="376"/>
      <c r="CJ383" s="271">
        <f>IF(AND(Tech_Specs!$F10="step",Standards_Active!$S11="yes"),IF(CJ$380&lt;Standards_Active!$Q11,TREND(Perform_Active!$U11:$V11,Perform_Active!$U$8:$V$8,CJ$380),IF(ISNUMBER(Standards_Active!$AA11),IF(AND(CJ$380&gt;=Standards_Active!$Q11,CJ$380&lt;Standards_Active!$R11),(Standards_Active!$AA11-INDEX($CJ383:$DI383,1,MATCH((Standards_Active!$Q11-1),$CJ$380:$DI$380,FALSE)))/(Standards_Active!$R11-(Standards_Active!$Q11-1))+CI383,Standards_Active!$AA11*((1+Standards_Active!$AC11)^(CJ$380-Standards_Active!$R11))),TREND(Perform_Active!$U11:$V11,Perform_Active!$U$8:$V$8,CJ$380))),)</f>
        <v>0</v>
      </c>
      <c r="CK383" s="271">
        <f>IF(AND(Tech_Specs!$F10="step",Standards_Active!$S11="yes"),IF(CK$380&lt;Standards_Active!$Q11,TREND(Perform_Active!$U11:$V11,Perform_Active!$U$8:$V$8,CK$380),IF(ISNUMBER(Standards_Active!$AA11),IF(AND(CK$380&gt;=Standards_Active!$Q11,CK$380&lt;Standards_Active!$R11),(Standards_Active!$AA11-INDEX($CJ383:$DI383,1,MATCH((Standards_Active!$Q11-1),$CJ$380:$DI$380,FALSE)))/(Standards_Active!$R11-(Standards_Active!$Q11-1))+CJ383,Standards_Active!$AA11*((1+Standards_Active!$AC11)^(CK$380-Standards_Active!$R11))),TREND(Perform_Active!$U11:$V11,Perform_Active!$U$8:$V$8,CK$380))),)</f>
        <v>0</v>
      </c>
      <c r="CL383" s="271">
        <f>IF(AND(Tech_Specs!$F10="step",Standards_Active!$S11="yes"),IF(CL$380&lt;Standards_Active!$Q11,TREND(Perform_Active!$U11:$V11,Perform_Active!$U$8:$V$8,CL$380),IF(ISNUMBER(Standards_Active!$AA11),IF(AND(CL$380&gt;=Standards_Active!$Q11,CL$380&lt;Standards_Active!$R11),(Standards_Active!$AA11-INDEX($CJ383:$DI383,1,MATCH((Standards_Active!$Q11-1),$CJ$380:$DI$380,FALSE)))/(Standards_Active!$R11-(Standards_Active!$Q11-1))+CK383,Standards_Active!$AA11*((1+Standards_Active!$AC11)^(CL$380-Standards_Active!$R11))),TREND(Perform_Active!$U11:$V11,Perform_Active!$U$8:$V$8,CL$380))),)</f>
        <v>0</v>
      </c>
      <c r="CM383" s="271">
        <f>IF(AND(Tech_Specs!$F10="step",Standards_Active!$S11="yes"),IF(CM$380&lt;Standards_Active!$Q11,TREND(Perform_Active!$U11:$V11,Perform_Active!$U$8:$V$8,CM$380),IF(ISNUMBER(Standards_Active!$AA11),IF(AND(CM$380&gt;=Standards_Active!$Q11,CM$380&lt;Standards_Active!$R11),(Standards_Active!$AA11-INDEX($CJ383:$DI383,1,MATCH((Standards_Active!$Q11-1),$CJ$380:$DI$380,FALSE)))/(Standards_Active!$R11-(Standards_Active!$Q11-1))+CL383,Standards_Active!$AA11*((1+Standards_Active!$AC11)^(CM$380-Standards_Active!$R11))),TREND(Perform_Active!$U11:$V11,Perform_Active!$U$8:$V$8,CM$380))),)</f>
        <v>0</v>
      </c>
      <c r="CN383" s="271">
        <f>IF(AND(Tech_Specs!$F10="step",Standards_Active!$S11="yes"),IF(CN$380&lt;Standards_Active!$Q11,TREND(Perform_Active!$U11:$V11,Perform_Active!$U$8:$V$8,CN$380),IF(ISNUMBER(Standards_Active!$AA11),IF(AND(CN$380&gt;=Standards_Active!$Q11,CN$380&lt;Standards_Active!$R11),(Standards_Active!$AA11-INDEX($CJ383:$DI383,1,MATCH((Standards_Active!$Q11-1),$CJ$380:$DI$380,FALSE)))/(Standards_Active!$R11-(Standards_Active!$Q11-1))+CM383,Standards_Active!$AA11*((1+Standards_Active!$AC11)^(CN$380-Standards_Active!$R11))),TREND(Perform_Active!$U11:$V11,Perform_Active!$U$8:$V$8,CN$380))),)</f>
        <v>0</v>
      </c>
      <c r="CO383" s="271">
        <f>IF(AND(Tech_Specs!$F10="step",Standards_Active!$S11="yes"),IF(CO$380&lt;Standards_Active!$Q11,TREND(Perform_Active!$U11:$V11,Perform_Active!$U$8:$V$8,CO$380),IF(ISNUMBER(Standards_Active!$AA11),IF(AND(CO$380&gt;=Standards_Active!$Q11,CO$380&lt;Standards_Active!$R11),(Standards_Active!$AA11-INDEX($CJ383:$DI383,1,MATCH((Standards_Active!$Q11-1),$CJ$380:$DI$380,FALSE)))/(Standards_Active!$R11-(Standards_Active!$Q11-1))+CN383,Standards_Active!$AA11*((1+Standards_Active!$AC11)^(CO$380-Standards_Active!$R11))),TREND(Perform_Active!$U11:$V11,Perform_Active!$U$8:$V$8,CO$380))),)</f>
        <v>0</v>
      </c>
      <c r="CP383" s="271">
        <f>IF(AND(Tech_Specs!$F10="step",Standards_Active!$S11="yes"),IF(CP$380&lt;Standards_Active!$Q11,TREND(Perform_Active!$U11:$V11,Perform_Active!$U$8:$V$8,CP$380),IF(ISNUMBER(Standards_Active!$AA11),IF(AND(CP$380&gt;=Standards_Active!$Q11,CP$380&lt;Standards_Active!$R11),(Standards_Active!$AA11-INDEX($CJ383:$DI383,1,MATCH((Standards_Active!$Q11-1),$CJ$380:$DI$380,FALSE)))/(Standards_Active!$R11-(Standards_Active!$Q11-1))+CO383,Standards_Active!$AA11*((1+Standards_Active!$AC11)^(CP$380-Standards_Active!$R11))),TREND(Perform_Active!$U11:$V11,Perform_Active!$U$8:$V$8,CP$380))),)</f>
        <v>0</v>
      </c>
      <c r="CQ383" s="271">
        <f>IF(AND(Tech_Specs!$F10="step",Standards_Active!$S11="yes"),IF(CQ$380&lt;Standards_Active!$Q11,TREND(Perform_Active!$U11:$V11,Perform_Active!$U$8:$V$8,CQ$380),IF(ISNUMBER(Standards_Active!$AA11),IF(AND(CQ$380&gt;=Standards_Active!$Q11,CQ$380&lt;Standards_Active!$R11),(Standards_Active!$AA11-INDEX($CJ383:$DI383,1,MATCH((Standards_Active!$Q11-1),$CJ$380:$DI$380,FALSE)))/(Standards_Active!$R11-(Standards_Active!$Q11-1))+CP383,Standards_Active!$AA11*((1+Standards_Active!$AC11)^(CQ$380-Standards_Active!$R11))),TREND(Perform_Active!$U11:$V11,Perform_Active!$U$8:$V$8,CQ$380))),)</f>
        <v>0</v>
      </c>
      <c r="CR383" s="271">
        <f>IF(AND(Tech_Specs!$F10="step",Standards_Active!$S11="yes"),IF(CR$380&lt;Standards_Active!$Q11,TREND(Perform_Active!$U11:$V11,Perform_Active!$U$8:$V$8,CR$380),IF(ISNUMBER(Standards_Active!$AA11),IF(AND(CR$380&gt;=Standards_Active!$Q11,CR$380&lt;Standards_Active!$R11),(Standards_Active!$AA11-INDEX($CJ383:$DI383,1,MATCH((Standards_Active!$Q11-1),$CJ$380:$DI$380,FALSE)))/(Standards_Active!$R11-(Standards_Active!$Q11-1))+CQ383,Standards_Active!$AA11*((1+Standards_Active!$AC11)^(CR$380-Standards_Active!$R11))),TREND(Perform_Active!$U11:$V11,Perform_Active!$U$8:$V$8,CR$380))),)</f>
        <v>0</v>
      </c>
      <c r="CS383" s="271">
        <f>IF(AND(Tech_Specs!$F10="step",Standards_Active!$S11="yes"),IF(CS$380&lt;Standards_Active!$Q11,TREND(Perform_Active!$U11:$V11,Perform_Active!$U$8:$V$8,CS$380),IF(ISNUMBER(Standards_Active!$AA11),IF(AND(CS$380&gt;=Standards_Active!$Q11,CS$380&lt;Standards_Active!$R11),(Standards_Active!$AA11-INDEX($CJ383:$DI383,1,MATCH((Standards_Active!$Q11-1),$CJ$380:$DI$380,FALSE)))/(Standards_Active!$R11-(Standards_Active!$Q11-1))+CR383,Standards_Active!$AA11*((1+Standards_Active!$AC11)^(CS$380-Standards_Active!$R11))),TREND(Perform_Active!$U11:$V11,Perform_Active!$U$8:$V$8,CS$380))),)</f>
        <v>0</v>
      </c>
      <c r="CT383" s="271">
        <f>IF(AND(Tech_Specs!$F10="step",Standards_Active!$S11="yes"),IF(CT$380&lt;Standards_Active!$Q11,TREND(Perform_Active!$U11:$V11,Perform_Active!$U$8:$V$8,CT$380),IF(ISNUMBER(Standards_Active!$AA11),IF(AND(CT$380&gt;=Standards_Active!$Q11,CT$380&lt;Standards_Active!$R11),(Standards_Active!$AA11-INDEX($CJ383:$DI383,1,MATCH((Standards_Active!$Q11-1),$CJ$380:$DI$380,FALSE)))/(Standards_Active!$R11-(Standards_Active!$Q11-1))+CS383,Standards_Active!$AA11*((1+Standards_Active!$AC11)^(CT$380-Standards_Active!$R11))),TREND(Perform_Active!$U11:$V11,Perform_Active!$U$8:$V$8,CT$380))),)</f>
        <v>0</v>
      </c>
      <c r="CU383" s="271">
        <f>IF(AND(Tech_Specs!$F10="step",Standards_Active!$S11="yes"),IF(CU$380&lt;Standards_Active!$Q11,TREND(Perform_Active!$U11:$V11,Perform_Active!$U$8:$V$8,CU$380),IF(ISNUMBER(Standards_Active!$AA11),IF(AND(CU$380&gt;=Standards_Active!$Q11,CU$380&lt;Standards_Active!$R11),(Standards_Active!$AA11-INDEX($CJ383:$DI383,1,MATCH((Standards_Active!$Q11-1),$CJ$380:$DI$380,FALSE)))/(Standards_Active!$R11-(Standards_Active!$Q11-1))+CT383,Standards_Active!$AA11*((1+Standards_Active!$AC11)^(CU$380-Standards_Active!$R11))),TREND(Perform_Active!$U11:$V11,Perform_Active!$U$8:$V$8,CU$380))),)</f>
        <v>0</v>
      </c>
      <c r="CV383" s="271">
        <f>IF(AND(Tech_Specs!$F10="step",Standards_Active!$S11="yes"),IF(CV$380&lt;Standards_Active!$Q11,TREND(Perform_Active!$U11:$V11,Perform_Active!$U$8:$V$8,CV$380),IF(ISNUMBER(Standards_Active!$AA11),IF(AND(CV$380&gt;=Standards_Active!$Q11,CV$380&lt;Standards_Active!$R11),(Standards_Active!$AA11-INDEX($CJ383:$DI383,1,MATCH((Standards_Active!$Q11-1),$CJ$380:$DI$380,FALSE)))/(Standards_Active!$R11-(Standards_Active!$Q11-1))+CU383,Standards_Active!$AA11*((1+Standards_Active!$AC11)^(CV$380-Standards_Active!$R11))),TREND(Perform_Active!$U11:$V11,Perform_Active!$U$8:$V$8,CV$380))),)</f>
        <v>0</v>
      </c>
      <c r="CW383" s="271">
        <f>IF(AND(Tech_Specs!$F10="step",Standards_Active!$S11="yes"),IF(CW$380&lt;Standards_Active!$Q11,TREND(Perform_Active!$U11:$V11,Perform_Active!$U$8:$V$8,CW$380),IF(ISNUMBER(Standards_Active!$AA11),IF(AND(CW$380&gt;=Standards_Active!$Q11,CW$380&lt;Standards_Active!$R11),(Standards_Active!$AA11-INDEX($CJ383:$DI383,1,MATCH((Standards_Active!$Q11-1),$CJ$380:$DI$380,FALSE)))/(Standards_Active!$R11-(Standards_Active!$Q11-1))+CV383,Standards_Active!$AA11*((1+Standards_Active!$AC11)^(CW$380-Standards_Active!$R11))),TREND(Perform_Active!$U11:$V11,Perform_Active!$U$8:$V$8,CW$380))),)</f>
        <v>0</v>
      </c>
      <c r="CX383" s="271">
        <f>IF(AND(Tech_Specs!$F10="step",Standards_Active!$S11="yes"),IF(CX$380&lt;Standards_Active!$Q11,TREND(Perform_Active!$U11:$V11,Perform_Active!$U$8:$V$8,CX$380),IF(ISNUMBER(Standards_Active!$AA11),IF(AND(CX$380&gt;=Standards_Active!$Q11,CX$380&lt;Standards_Active!$R11),(Standards_Active!$AA11-INDEX($CJ383:$DI383,1,MATCH((Standards_Active!$Q11-1),$CJ$380:$DI$380,FALSE)))/(Standards_Active!$R11-(Standards_Active!$Q11-1))+CW383,Standards_Active!$AA11*((1+Standards_Active!$AC11)^(CX$380-Standards_Active!$R11))),TREND(Perform_Active!$U11:$V11,Perform_Active!$U$8:$V$8,CX$380))),)</f>
        <v>0</v>
      </c>
      <c r="CY383" s="271">
        <f>IF(AND(Tech_Specs!$F10="step",Standards_Active!$S11="yes"),IF(CY$380&lt;Standards_Active!$Q11,TREND(Perform_Active!$U11:$V11,Perform_Active!$U$8:$V$8,CY$380),IF(ISNUMBER(Standards_Active!$AA11),IF(AND(CY$380&gt;=Standards_Active!$Q11,CY$380&lt;Standards_Active!$R11),(Standards_Active!$AA11-INDEX($CJ383:$DI383,1,MATCH((Standards_Active!$Q11-1),$CJ$380:$DI$380,FALSE)))/(Standards_Active!$R11-(Standards_Active!$Q11-1))+CX383,Standards_Active!$AA11*((1+Standards_Active!$AC11)^(CY$380-Standards_Active!$R11))),TREND(Perform_Active!$U11:$V11,Perform_Active!$U$8:$V$8,CY$380))),)</f>
        <v>0</v>
      </c>
      <c r="CZ383" s="271">
        <f>IF(AND(Tech_Specs!$F10="step",Standards_Active!$S11="yes"),IF(CZ$380&lt;Standards_Active!$Q11,TREND(Perform_Active!$U11:$V11,Perform_Active!$U$8:$V$8,CZ$380),IF(ISNUMBER(Standards_Active!$AA11),IF(AND(CZ$380&gt;=Standards_Active!$Q11,CZ$380&lt;Standards_Active!$R11),(Standards_Active!$AA11-INDEX($CJ383:$DI383,1,MATCH((Standards_Active!$Q11-1),$CJ$380:$DI$380,FALSE)))/(Standards_Active!$R11-(Standards_Active!$Q11-1))+CY383,Standards_Active!$AA11*((1+Standards_Active!$AC11)^(CZ$380-Standards_Active!$R11))),TREND(Perform_Active!$U11:$V11,Perform_Active!$U$8:$V$8,CZ$380))),)</f>
        <v>0</v>
      </c>
      <c r="DA383" s="271">
        <f>IF(AND(Tech_Specs!$F10="step",Standards_Active!$S11="yes"),IF(DA$380&lt;Standards_Active!$Q11,TREND(Perform_Active!$U11:$V11,Perform_Active!$U$8:$V$8,DA$380),IF(ISNUMBER(Standards_Active!$AA11),IF(AND(DA$380&gt;=Standards_Active!$Q11,DA$380&lt;Standards_Active!$R11),(Standards_Active!$AA11-INDEX($CJ383:$DI383,1,MATCH((Standards_Active!$Q11-1),$CJ$380:$DI$380,FALSE)))/(Standards_Active!$R11-(Standards_Active!$Q11-1))+CZ383,Standards_Active!$AA11*((1+Standards_Active!$AC11)^(DA$380-Standards_Active!$R11))),TREND(Perform_Active!$U11:$V11,Perform_Active!$U$8:$V$8,DA$380))),)</f>
        <v>0</v>
      </c>
      <c r="DB383" s="271">
        <f>IF(AND(Tech_Specs!$F10="step",Standards_Active!$S11="yes"),IF(DB$380&lt;Standards_Active!$Q11,TREND(Perform_Active!$U11:$V11,Perform_Active!$U$8:$V$8,DB$380),IF(ISNUMBER(Standards_Active!$AA11),IF(AND(DB$380&gt;=Standards_Active!$Q11,DB$380&lt;Standards_Active!$R11),(Standards_Active!$AA11-INDEX($CJ383:$DI383,1,MATCH((Standards_Active!$Q11-1),$CJ$380:$DI$380,FALSE)))/(Standards_Active!$R11-(Standards_Active!$Q11-1))+DA383,Standards_Active!$AA11*((1+Standards_Active!$AC11)^(DB$380-Standards_Active!$R11))),TREND(Perform_Active!$U11:$V11,Perform_Active!$U$8:$V$8,DB$380))),)</f>
        <v>0</v>
      </c>
      <c r="DC383" s="271">
        <f>IF(AND(Tech_Specs!$F10="step",Standards_Active!$S11="yes"),IF(DC$380&lt;Standards_Active!$Q11,TREND(Perform_Active!$U11:$V11,Perform_Active!$U$8:$V$8,DC$380),IF(ISNUMBER(Standards_Active!$AA11),IF(AND(DC$380&gt;=Standards_Active!$Q11,DC$380&lt;Standards_Active!$R11),(Standards_Active!$AA11-INDEX($CJ383:$DI383,1,MATCH((Standards_Active!$Q11-1),$CJ$380:$DI$380,FALSE)))/(Standards_Active!$R11-(Standards_Active!$Q11-1))+DB383,Standards_Active!$AA11*((1+Standards_Active!$AC11)^(DC$380-Standards_Active!$R11))),TREND(Perform_Active!$U11:$V11,Perform_Active!$U$8:$V$8,DC$380))),)</f>
        <v>0</v>
      </c>
      <c r="DD383" s="271">
        <f>IF(AND(Tech_Specs!$F10="step",Standards_Active!$S11="yes"),IF(DD$380&lt;Standards_Active!$Q11,TREND(Perform_Active!$U11:$V11,Perform_Active!$U$8:$V$8,DD$380),IF(ISNUMBER(Standards_Active!$AA11),IF(AND(DD$380&gt;=Standards_Active!$Q11,DD$380&lt;Standards_Active!$R11),(Standards_Active!$AA11-INDEX($CJ383:$DI383,1,MATCH((Standards_Active!$Q11-1),$CJ$380:$DI$380,FALSE)))/(Standards_Active!$R11-(Standards_Active!$Q11-1))+DC383,Standards_Active!$AA11*((1+Standards_Active!$AC11)^(DD$380-Standards_Active!$R11))),TREND(Perform_Active!$U11:$V11,Perform_Active!$U$8:$V$8,DD$380))),)</f>
        <v>0</v>
      </c>
      <c r="DE383" s="271">
        <f>IF(AND(Tech_Specs!$F10="step",Standards_Active!$S11="yes"),IF(DE$380&lt;Standards_Active!$Q11,TREND(Perform_Active!$U11:$V11,Perform_Active!$U$8:$V$8,DE$380),IF(ISNUMBER(Standards_Active!$AA11),IF(AND(DE$380&gt;=Standards_Active!$Q11,DE$380&lt;Standards_Active!$R11),(Standards_Active!$AA11-INDEX($CJ383:$DI383,1,MATCH((Standards_Active!$Q11-1),$CJ$380:$DI$380,FALSE)))/(Standards_Active!$R11-(Standards_Active!$Q11-1))+DD383,Standards_Active!$AA11*((1+Standards_Active!$AC11)^(DE$380-Standards_Active!$R11))),TREND(Perform_Active!$U11:$V11,Perform_Active!$U$8:$V$8,DE$380))),)</f>
        <v>0</v>
      </c>
      <c r="DF383" s="271">
        <f>IF(AND(Tech_Specs!$F10="step",Standards_Active!$S11="yes"),IF(DF$380&lt;Standards_Active!$Q11,TREND(Perform_Active!$U11:$V11,Perform_Active!$U$8:$V$8,DF$380),IF(ISNUMBER(Standards_Active!$AA11),IF(AND(DF$380&gt;=Standards_Active!$Q11,DF$380&lt;Standards_Active!$R11),(Standards_Active!$AA11-INDEX($CJ383:$DI383,1,MATCH((Standards_Active!$Q11-1),$CJ$380:$DI$380,FALSE)))/(Standards_Active!$R11-(Standards_Active!$Q11-1))+DE383,Standards_Active!$AA11*((1+Standards_Active!$AC11)^(DF$380-Standards_Active!$R11))),TREND(Perform_Active!$U11:$V11,Perform_Active!$U$8:$V$8,DF$380))),)</f>
        <v>0</v>
      </c>
      <c r="DG383" s="271">
        <f>IF(AND(Tech_Specs!$F10="step",Standards_Active!$S11="yes"),IF(DG$380&lt;Standards_Active!$Q11,TREND(Perform_Active!$U11:$V11,Perform_Active!$U$8:$V$8,DG$380),IF(ISNUMBER(Standards_Active!$AA11),IF(AND(DG$380&gt;=Standards_Active!$Q11,DG$380&lt;Standards_Active!$R11),(Standards_Active!$AA11-INDEX($CJ383:$DI383,1,MATCH((Standards_Active!$Q11-1),$CJ$380:$DI$380,FALSE)))/(Standards_Active!$R11-(Standards_Active!$Q11-1))+DF383,Standards_Active!$AA11*((1+Standards_Active!$AC11)^(DG$380-Standards_Active!$R11))),TREND(Perform_Active!$U11:$V11,Perform_Active!$U$8:$V$8,DG$380))),)</f>
        <v>0</v>
      </c>
      <c r="DH383" s="271">
        <f>IF(AND(Tech_Specs!$F10="step",Standards_Active!$S11="yes"),IF(DH$380&lt;Standards_Active!$Q11,TREND(Perform_Active!$U11:$V11,Perform_Active!$U$8:$V$8,DH$380),IF(ISNUMBER(Standards_Active!$AA11),IF(AND(DH$380&gt;=Standards_Active!$Q11,DH$380&lt;Standards_Active!$R11),(Standards_Active!$AA11-INDEX($CJ383:$DI383,1,MATCH((Standards_Active!$Q11-1),$CJ$380:$DI$380,FALSE)))/(Standards_Active!$R11-(Standards_Active!$Q11-1))+DG383,Standards_Active!$AA11*((1+Standards_Active!$AC11)^(DH$380-Standards_Active!$R11))),TREND(Perform_Active!$U11:$V11,Perform_Active!$U$8:$V$8,DH$380))),)</f>
        <v>0</v>
      </c>
      <c r="DI383" s="271">
        <f>IF(AND(Tech_Specs!$F10="step",Standards_Active!$S11="yes"),IF(DI$380&lt;Standards_Active!$Q11,TREND(Perform_Active!$U11:$V11,Perform_Active!$U$8:$V$8,DI$380),IF(ISNUMBER(Standards_Active!$AA11),IF(AND(DI$380&gt;=Standards_Active!$Q11,DI$380&lt;Standards_Active!$R11),(Standards_Active!$AA11-INDEX($CJ383:$DI383,1,MATCH((Standards_Active!$Q11-1),$CJ$380:$DI$380,FALSE)))/(Standards_Active!$R11-(Standards_Active!$Q11-1))+DH383,Standards_Active!$AA11*((1+Standards_Active!$AC11)^(DI$380-Standards_Active!$R11))),TREND(Perform_Active!$U11:$V11,Perform_Active!$U$8:$V$8,DI$380))),)</f>
        <v>0</v>
      </c>
    </row>
    <row r="384" spans="1:113" s="322" customFormat="1" ht="12.75" x14ac:dyDescent="0.2">
      <c r="B384" s="322" t="s">
        <v>27</v>
      </c>
      <c r="D384" s="550"/>
      <c r="E384" s="550"/>
      <c r="F384" s="550"/>
      <c r="G384" s="272">
        <f t="shared" si="66"/>
        <v>0</v>
      </c>
      <c r="H384" s="272">
        <f t="shared" si="66"/>
        <v>0</v>
      </c>
      <c r="I384" s="272">
        <f t="shared" si="66"/>
        <v>0</v>
      </c>
      <c r="J384" s="272">
        <f t="shared" si="66"/>
        <v>0</v>
      </c>
      <c r="K384" s="272">
        <f t="shared" si="66"/>
        <v>0</v>
      </c>
      <c r="L384" s="272">
        <f t="shared" si="66"/>
        <v>0</v>
      </c>
      <c r="M384" s="272">
        <f t="shared" si="66"/>
        <v>0</v>
      </c>
      <c r="N384" s="272">
        <f t="shared" si="66"/>
        <v>0</v>
      </c>
      <c r="O384" s="272">
        <f t="shared" si="66"/>
        <v>0</v>
      </c>
      <c r="P384" s="272">
        <f t="shared" si="66"/>
        <v>0</v>
      </c>
      <c r="Q384" s="272">
        <f t="shared" si="67"/>
        <v>0</v>
      </c>
      <c r="R384" s="272">
        <f t="shared" si="67"/>
        <v>0</v>
      </c>
      <c r="S384" s="272">
        <f t="shared" si="67"/>
        <v>0</v>
      </c>
      <c r="T384" s="272">
        <f t="shared" si="67"/>
        <v>0</v>
      </c>
      <c r="U384" s="272">
        <f t="shared" si="67"/>
        <v>0</v>
      </c>
      <c r="V384" s="272">
        <f t="shared" si="67"/>
        <v>0</v>
      </c>
      <c r="W384" s="272">
        <f t="shared" si="67"/>
        <v>0</v>
      </c>
      <c r="X384" s="272">
        <f t="shared" si="67"/>
        <v>0</v>
      </c>
      <c r="Y384" s="272">
        <f t="shared" si="67"/>
        <v>0</v>
      </c>
      <c r="Z384" s="272">
        <f t="shared" si="67"/>
        <v>0</v>
      </c>
      <c r="AA384" s="272">
        <f t="shared" si="68"/>
        <v>0</v>
      </c>
      <c r="AB384" s="272">
        <f t="shared" si="68"/>
        <v>0</v>
      </c>
      <c r="AC384" s="272">
        <f t="shared" si="68"/>
        <v>0</v>
      </c>
      <c r="AD384" s="272">
        <f t="shared" si="68"/>
        <v>0</v>
      </c>
      <c r="AE384" s="272">
        <f t="shared" si="68"/>
        <v>0</v>
      </c>
      <c r="AF384" s="272">
        <f t="shared" si="68"/>
        <v>0</v>
      </c>
      <c r="AG384" s="376"/>
      <c r="AH384" s="271">
        <f>IF(Tech_Specs!$F11="linear",TREND(Perform_Active!$U12:$V12,Perform_Active!$U$8:$V$8,AH$380),)</f>
        <v>0</v>
      </c>
      <c r="AI384" s="271">
        <f>IF(Tech_Specs!$F11="linear",TREND(Perform_Active!$U12:$V12,Perform_Active!$U$8:$V$8,AI$380),)</f>
        <v>0</v>
      </c>
      <c r="AJ384" s="271">
        <f>IF(Tech_Specs!$F11="linear",TREND(Perform_Active!$U12:$V12,Perform_Active!$U$8:$V$8,AJ$380),)</f>
        <v>0</v>
      </c>
      <c r="AK384" s="271">
        <f>IF(Tech_Specs!$F11="linear",TREND(Perform_Active!$U12:$V12,Perform_Active!$U$8:$V$8,AK$380),)</f>
        <v>0</v>
      </c>
      <c r="AL384" s="271">
        <f>IF(Tech_Specs!$F11="linear",TREND(Perform_Active!$U12:$V12,Perform_Active!$U$8:$V$8,AL$380),)</f>
        <v>0</v>
      </c>
      <c r="AM384" s="271">
        <f>IF(Tech_Specs!$F11="linear",TREND(Perform_Active!$U12:$V12,Perform_Active!$U$8:$V$8,AM$380),)</f>
        <v>0</v>
      </c>
      <c r="AN384" s="271">
        <f>IF(Tech_Specs!$F11="linear",TREND(Perform_Active!$U12:$V12,Perform_Active!$U$8:$V$8,AN$380),)</f>
        <v>0</v>
      </c>
      <c r="AO384" s="271">
        <f>IF(Tech_Specs!$F11="linear",TREND(Perform_Active!$U12:$V12,Perform_Active!$U$8:$V$8,AO$380),)</f>
        <v>0</v>
      </c>
      <c r="AP384" s="271">
        <f>IF(Tech_Specs!$F11="linear",TREND(Perform_Active!$U12:$V12,Perform_Active!$U$8:$V$8,AP$380),)</f>
        <v>0</v>
      </c>
      <c r="AQ384" s="271">
        <f>IF(Tech_Specs!$F11="linear",TREND(Perform_Active!$U12:$V12,Perform_Active!$U$8:$V$8,AQ$380),)</f>
        <v>0</v>
      </c>
      <c r="AR384" s="271">
        <f>IF(Tech_Specs!$F11="linear",TREND(Perform_Active!$U12:$V12,Perform_Active!$U$8:$V$8,AR$380),)</f>
        <v>0</v>
      </c>
      <c r="AS384" s="271">
        <f>IF(Tech_Specs!$F11="linear",TREND(Perform_Active!$U12:$V12,Perform_Active!$U$8:$V$8,AS$380),)</f>
        <v>0</v>
      </c>
      <c r="AT384" s="271">
        <f>IF(Tech_Specs!$F11="linear",TREND(Perform_Active!$U12:$V12,Perform_Active!$U$8:$V$8,AT$380),)</f>
        <v>0</v>
      </c>
      <c r="AU384" s="271">
        <f>IF(Tech_Specs!$F11="linear",TREND(Perform_Active!$U12:$V12,Perform_Active!$U$8:$V$8,AU$380),)</f>
        <v>0</v>
      </c>
      <c r="AV384" s="271">
        <f>IF(Tech_Specs!$F11="linear",TREND(Perform_Active!$U12:$V12,Perform_Active!$U$8:$V$8,AV$380),)</f>
        <v>0</v>
      </c>
      <c r="AW384" s="271">
        <f>IF(Tech_Specs!$F11="linear",TREND(Perform_Active!$U12:$V12,Perform_Active!$U$8:$V$8,AW$380),)</f>
        <v>0</v>
      </c>
      <c r="AX384" s="271">
        <f>IF(Tech_Specs!$F11="linear",TREND(Perform_Active!$U12:$V12,Perform_Active!$U$8:$V$8,AX$380),)</f>
        <v>0</v>
      </c>
      <c r="AY384" s="271">
        <f>IF(Tech_Specs!$F11="linear",TREND(Perform_Active!$U12:$V12,Perform_Active!$U$8:$V$8,AY$380),)</f>
        <v>0</v>
      </c>
      <c r="AZ384" s="271">
        <f>IF(Tech_Specs!$F11="linear",TREND(Perform_Active!$U12:$V12,Perform_Active!$U$8:$V$8,AZ$380),)</f>
        <v>0</v>
      </c>
      <c r="BA384" s="271">
        <f>IF(Tech_Specs!$F11="linear",TREND(Perform_Active!$U12:$V12,Perform_Active!$U$8:$V$8,BA$380),)</f>
        <v>0</v>
      </c>
      <c r="BB384" s="271">
        <f>IF(Tech_Specs!$F11="linear",TREND(Perform_Active!$U12:$V12,Perform_Active!$U$8:$V$8,BB$380),)</f>
        <v>0</v>
      </c>
      <c r="BC384" s="271">
        <f>IF(Tech_Specs!$F11="linear",TREND(Perform_Active!$U12:$V12,Perform_Active!$U$8:$V$8,BC$380),)</f>
        <v>0</v>
      </c>
      <c r="BD384" s="271">
        <f>IF(Tech_Specs!$F11="linear",TREND(Perform_Active!$U12:$V12,Perform_Active!$U$8:$V$8,BD$380),)</f>
        <v>0</v>
      </c>
      <c r="BE384" s="271">
        <f>IF(Tech_Specs!$F11="linear",TREND(Perform_Active!$U12:$V12,Perform_Active!$U$8:$V$8,BE$380),)</f>
        <v>0</v>
      </c>
      <c r="BF384" s="271">
        <f>IF(Tech_Specs!$F11="linear",TREND(Perform_Active!$U12:$V12,Perform_Active!$U$8:$V$8,BF$380),)</f>
        <v>0</v>
      </c>
      <c r="BG384" s="271">
        <f>IF(Tech_Specs!$F11="linear",TREND(Perform_Active!$U12:$V12,Perform_Active!$U$8:$V$8,BG$380),)</f>
        <v>0</v>
      </c>
      <c r="BH384" s="376"/>
      <c r="BI384" s="271">
        <f>IF(Tech_Specs!$F11="logistic",0,)</f>
        <v>0</v>
      </c>
      <c r="BJ384" s="271">
        <f>IF(Tech_Specs!$F11="logistic",0,)</f>
        <v>0</v>
      </c>
      <c r="BK384" s="271">
        <f>IF(Tech_Specs!$F11="logistic",0,)</f>
        <v>0</v>
      </c>
      <c r="BL384" s="271">
        <f>IF(Tech_Specs!$F11="logistic",0,)</f>
        <v>0</v>
      </c>
      <c r="BM384" s="271">
        <f>IF(Tech_Specs!$F11="logistic",0,)</f>
        <v>0</v>
      </c>
      <c r="BN384" s="271">
        <f>IF(Tech_Specs!$F11="logistic",0,)</f>
        <v>0</v>
      </c>
      <c r="BO384" s="271">
        <f>IF(Tech_Specs!$F11="logistic",0,)</f>
        <v>0</v>
      </c>
      <c r="BP384" s="271">
        <f>IF(Tech_Specs!$F11="logistic",0,)</f>
        <v>0</v>
      </c>
      <c r="BQ384" s="271">
        <f>IF(Tech_Specs!$F11="logistic",0,)</f>
        <v>0</v>
      </c>
      <c r="BR384" s="271">
        <f>IF(Tech_Specs!$F11="logistic",0,)</f>
        <v>0</v>
      </c>
      <c r="BS384" s="271">
        <f>IF(Tech_Specs!$F11="logistic",0,)</f>
        <v>0</v>
      </c>
      <c r="BT384" s="271">
        <f>IF(Tech_Specs!$F11="logistic",0,)</f>
        <v>0</v>
      </c>
      <c r="BU384" s="271">
        <f>IF(Tech_Specs!$F11="logistic",0,)</f>
        <v>0</v>
      </c>
      <c r="BV384" s="271">
        <f>IF(Tech_Specs!$F11="logistic",0,)</f>
        <v>0</v>
      </c>
      <c r="BW384" s="271">
        <f>IF(Tech_Specs!$F11="logistic",0,)</f>
        <v>0</v>
      </c>
      <c r="BX384" s="271">
        <f>IF(Tech_Specs!$F11="logistic",0,)</f>
        <v>0</v>
      </c>
      <c r="BY384" s="271">
        <f>IF(Tech_Specs!$F11="logistic",0,)</f>
        <v>0</v>
      </c>
      <c r="BZ384" s="271">
        <f>IF(Tech_Specs!$F11="logistic",0,)</f>
        <v>0</v>
      </c>
      <c r="CA384" s="271">
        <f>IF(Tech_Specs!$F11="logistic",0,)</f>
        <v>0</v>
      </c>
      <c r="CB384" s="271">
        <f>IF(Tech_Specs!$F11="logistic",0,)</f>
        <v>0</v>
      </c>
      <c r="CC384" s="271">
        <f>IF(Tech_Specs!$F11="logistic",0,)</f>
        <v>0</v>
      </c>
      <c r="CD384" s="271">
        <f>IF(Tech_Specs!$F11="logistic",0,)</f>
        <v>0</v>
      </c>
      <c r="CE384" s="271">
        <f>IF(Tech_Specs!$F11="logistic",0,)</f>
        <v>0</v>
      </c>
      <c r="CF384" s="271">
        <f>IF(Tech_Specs!$F11="logistic",0,)</f>
        <v>0</v>
      </c>
      <c r="CG384" s="271">
        <f>IF(Tech_Specs!$F11="logistic",0,)</f>
        <v>0</v>
      </c>
      <c r="CH384" s="271">
        <f>IF(Tech_Specs!$F11="logistic",0,)</f>
        <v>0</v>
      </c>
      <c r="CI384" s="376"/>
      <c r="CJ384" s="271">
        <f>IF(AND(Tech_Specs!$F11="step",Standards_Active!$S12="yes"),IF(CJ$380&lt;Standards_Active!$Q12,TREND(Perform_Active!$U12:$V12,Perform_Active!$U$8:$V$8,CJ$380),IF(ISNUMBER(Standards_Active!$AA12),IF(AND(CJ$380&gt;=Standards_Active!$Q12,CJ$380&lt;Standards_Active!$R12),(Standards_Active!$AA12-INDEX($CJ384:$DI384,1,MATCH((Standards_Active!$Q12-1),$CJ$380:$DI$380,FALSE)))/(Standards_Active!$R12-(Standards_Active!$Q12-1))+CI384,Standards_Active!$AA12*((1+Standards_Active!$AC12)^(CJ$380-Standards_Active!$R12))),TREND(Perform_Active!$U12:$V12,Perform_Active!$U$8:$V$8,CJ$380))),)</f>
        <v>0</v>
      </c>
      <c r="CK384" s="271">
        <f>IF(AND(Tech_Specs!$F11="step",Standards_Active!$S12="yes"),IF(CK$380&lt;Standards_Active!$Q12,TREND(Perform_Active!$U12:$V12,Perform_Active!$U$8:$V$8,CK$380),IF(ISNUMBER(Standards_Active!$AA12),IF(AND(CK$380&gt;=Standards_Active!$Q12,CK$380&lt;Standards_Active!$R12),(Standards_Active!$AA12-INDEX($CJ384:$DI384,1,MATCH((Standards_Active!$Q12-1),$CJ$380:$DI$380,FALSE)))/(Standards_Active!$R12-(Standards_Active!$Q12-1))+CJ384,Standards_Active!$AA12*((1+Standards_Active!$AC12)^(CK$380-Standards_Active!$R12))),TREND(Perform_Active!$U12:$V12,Perform_Active!$U$8:$V$8,CK$380))),)</f>
        <v>0</v>
      </c>
      <c r="CL384" s="271">
        <f>IF(AND(Tech_Specs!$F11="step",Standards_Active!$S12="yes"),IF(CL$380&lt;Standards_Active!$Q12,TREND(Perform_Active!$U12:$V12,Perform_Active!$U$8:$V$8,CL$380),IF(ISNUMBER(Standards_Active!$AA12),IF(AND(CL$380&gt;=Standards_Active!$Q12,CL$380&lt;Standards_Active!$R12),(Standards_Active!$AA12-INDEX($CJ384:$DI384,1,MATCH((Standards_Active!$Q12-1),$CJ$380:$DI$380,FALSE)))/(Standards_Active!$R12-(Standards_Active!$Q12-1))+CK384,Standards_Active!$AA12*((1+Standards_Active!$AC12)^(CL$380-Standards_Active!$R12))),TREND(Perform_Active!$U12:$V12,Perform_Active!$U$8:$V$8,CL$380))),)</f>
        <v>0</v>
      </c>
      <c r="CM384" s="271">
        <f>IF(AND(Tech_Specs!$F11="step",Standards_Active!$S12="yes"),IF(CM$380&lt;Standards_Active!$Q12,TREND(Perform_Active!$U12:$V12,Perform_Active!$U$8:$V$8,CM$380),IF(ISNUMBER(Standards_Active!$AA12),IF(AND(CM$380&gt;=Standards_Active!$Q12,CM$380&lt;Standards_Active!$R12),(Standards_Active!$AA12-INDEX($CJ384:$DI384,1,MATCH((Standards_Active!$Q12-1),$CJ$380:$DI$380,FALSE)))/(Standards_Active!$R12-(Standards_Active!$Q12-1))+CL384,Standards_Active!$AA12*((1+Standards_Active!$AC12)^(CM$380-Standards_Active!$R12))),TREND(Perform_Active!$U12:$V12,Perform_Active!$U$8:$V$8,CM$380))),)</f>
        <v>0</v>
      </c>
      <c r="CN384" s="271">
        <f>IF(AND(Tech_Specs!$F11="step",Standards_Active!$S12="yes"),IF(CN$380&lt;Standards_Active!$Q12,TREND(Perform_Active!$U12:$V12,Perform_Active!$U$8:$V$8,CN$380),IF(ISNUMBER(Standards_Active!$AA12),IF(AND(CN$380&gt;=Standards_Active!$Q12,CN$380&lt;Standards_Active!$R12),(Standards_Active!$AA12-INDEX($CJ384:$DI384,1,MATCH((Standards_Active!$Q12-1),$CJ$380:$DI$380,FALSE)))/(Standards_Active!$R12-(Standards_Active!$Q12-1))+CM384,Standards_Active!$AA12*((1+Standards_Active!$AC12)^(CN$380-Standards_Active!$R12))),TREND(Perform_Active!$U12:$V12,Perform_Active!$U$8:$V$8,CN$380))),)</f>
        <v>0</v>
      </c>
      <c r="CO384" s="271">
        <f>IF(AND(Tech_Specs!$F11="step",Standards_Active!$S12="yes"),IF(CO$380&lt;Standards_Active!$Q12,TREND(Perform_Active!$U12:$V12,Perform_Active!$U$8:$V$8,CO$380),IF(ISNUMBER(Standards_Active!$AA12),IF(AND(CO$380&gt;=Standards_Active!$Q12,CO$380&lt;Standards_Active!$R12),(Standards_Active!$AA12-INDEX($CJ384:$DI384,1,MATCH((Standards_Active!$Q12-1),$CJ$380:$DI$380,FALSE)))/(Standards_Active!$R12-(Standards_Active!$Q12-1))+CN384,Standards_Active!$AA12*((1+Standards_Active!$AC12)^(CO$380-Standards_Active!$R12))),TREND(Perform_Active!$U12:$V12,Perform_Active!$U$8:$V$8,CO$380))),)</f>
        <v>0</v>
      </c>
      <c r="CP384" s="271">
        <f>IF(AND(Tech_Specs!$F11="step",Standards_Active!$S12="yes"),IF(CP$380&lt;Standards_Active!$Q12,TREND(Perform_Active!$U12:$V12,Perform_Active!$U$8:$V$8,CP$380),IF(ISNUMBER(Standards_Active!$AA12),IF(AND(CP$380&gt;=Standards_Active!$Q12,CP$380&lt;Standards_Active!$R12),(Standards_Active!$AA12-INDEX($CJ384:$DI384,1,MATCH((Standards_Active!$Q12-1),$CJ$380:$DI$380,FALSE)))/(Standards_Active!$R12-(Standards_Active!$Q12-1))+CO384,Standards_Active!$AA12*((1+Standards_Active!$AC12)^(CP$380-Standards_Active!$R12))),TREND(Perform_Active!$U12:$V12,Perform_Active!$U$8:$V$8,CP$380))),)</f>
        <v>0</v>
      </c>
      <c r="CQ384" s="271">
        <f>IF(AND(Tech_Specs!$F11="step",Standards_Active!$S12="yes"),IF(CQ$380&lt;Standards_Active!$Q12,TREND(Perform_Active!$U12:$V12,Perform_Active!$U$8:$V$8,CQ$380),IF(ISNUMBER(Standards_Active!$AA12),IF(AND(CQ$380&gt;=Standards_Active!$Q12,CQ$380&lt;Standards_Active!$R12),(Standards_Active!$AA12-INDEX($CJ384:$DI384,1,MATCH((Standards_Active!$Q12-1),$CJ$380:$DI$380,FALSE)))/(Standards_Active!$R12-(Standards_Active!$Q12-1))+CP384,Standards_Active!$AA12*((1+Standards_Active!$AC12)^(CQ$380-Standards_Active!$R12))),TREND(Perform_Active!$U12:$V12,Perform_Active!$U$8:$V$8,CQ$380))),)</f>
        <v>0</v>
      </c>
      <c r="CR384" s="271">
        <f>IF(AND(Tech_Specs!$F11="step",Standards_Active!$S12="yes"),IF(CR$380&lt;Standards_Active!$Q12,TREND(Perform_Active!$U12:$V12,Perform_Active!$U$8:$V$8,CR$380),IF(ISNUMBER(Standards_Active!$AA12),IF(AND(CR$380&gt;=Standards_Active!$Q12,CR$380&lt;Standards_Active!$R12),(Standards_Active!$AA12-INDEX($CJ384:$DI384,1,MATCH((Standards_Active!$Q12-1),$CJ$380:$DI$380,FALSE)))/(Standards_Active!$R12-(Standards_Active!$Q12-1))+CQ384,Standards_Active!$AA12*((1+Standards_Active!$AC12)^(CR$380-Standards_Active!$R12))),TREND(Perform_Active!$U12:$V12,Perform_Active!$U$8:$V$8,CR$380))),)</f>
        <v>0</v>
      </c>
      <c r="CS384" s="271">
        <f>IF(AND(Tech_Specs!$F11="step",Standards_Active!$S12="yes"),IF(CS$380&lt;Standards_Active!$Q12,TREND(Perform_Active!$U12:$V12,Perform_Active!$U$8:$V$8,CS$380),IF(ISNUMBER(Standards_Active!$AA12),IF(AND(CS$380&gt;=Standards_Active!$Q12,CS$380&lt;Standards_Active!$R12),(Standards_Active!$AA12-INDEX($CJ384:$DI384,1,MATCH((Standards_Active!$Q12-1),$CJ$380:$DI$380,FALSE)))/(Standards_Active!$R12-(Standards_Active!$Q12-1))+CR384,Standards_Active!$AA12*((1+Standards_Active!$AC12)^(CS$380-Standards_Active!$R12))),TREND(Perform_Active!$U12:$V12,Perform_Active!$U$8:$V$8,CS$380))),)</f>
        <v>0</v>
      </c>
      <c r="CT384" s="271">
        <f>IF(AND(Tech_Specs!$F11="step",Standards_Active!$S12="yes"),IF(CT$380&lt;Standards_Active!$Q12,TREND(Perform_Active!$U12:$V12,Perform_Active!$U$8:$V$8,CT$380),IF(ISNUMBER(Standards_Active!$AA12),IF(AND(CT$380&gt;=Standards_Active!$Q12,CT$380&lt;Standards_Active!$R12),(Standards_Active!$AA12-INDEX($CJ384:$DI384,1,MATCH((Standards_Active!$Q12-1),$CJ$380:$DI$380,FALSE)))/(Standards_Active!$R12-(Standards_Active!$Q12-1))+CS384,Standards_Active!$AA12*((1+Standards_Active!$AC12)^(CT$380-Standards_Active!$R12))),TREND(Perform_Active!$U12:$V12,Perform_Active!$U$8:$V$8,CT$380))),)</f>
        <v>0</v>
      </c>
      <c r="CU384" s="271">
        <f>IF(AND(Tech_Specs!$F11="step",Standards_Active!$S12="yes"),IF(CU$380&lt;Standards_Active!$Q12,TREND(Perform_Active!$U12:$V12,Perform_Active!$U$8:$V$8,CU$380),IF(ISNUMBER(Standards_Active!$AA12),IF(AND(CU$380&gt;=Standards_Active!$Q12,CU$380&lt;Standards_Active!$R12),(Standards_Active!$AA12-INDEX($CJ384:$DI384,1,MATCH((Standards_Active!$Q12-1),$CJ$380:$DI$380,FALSE)))/(Standards_Active!$R12-(Standards_Active!$Q12-1))+CT384,Standards_Active!$AA12*((1+Standards_Active!$AC12)^(CU$380-Standards_Active!$R12))),TREND(Perform_Active!$U12:$V12,Perform_Active!$U$8:$V$8,CU$380))),)</f>
        <v>0</v>
      </c>
      <c r="CV384" s="271">
        <f>IF(AND(Tech_Specs!$F11="step",Standards_Active!$S12="yes"),IF(CV$380&lt;Standards_Active!$Q12,TREND(Perform_Active!$U12:$V12,Perform_Active!$U$8:$V$8,CV$380),IF(ISNUMBER(Standards_Active!$AA12),IF(AND(CV$380&gt;=Standards_Active!$Q12,CV$380&lt;Standards_Active!$R12),(Standards_Active!$AA12-INDEX($CJ384:$DI384,1,MATCH((Standards_Active!$Q12-1),$CJ$380:$DI$380,FALSE)))/(Standards_Active!$R12-(Standards_Active!$Q12-1))+CU384,Standards_Active!$AA12*((1+Standards_Active!$AC12)^(CV$380-Standards_Active!$R12))),TREND(Perform_Active!$U12:$V12,Perform_Active!$U$8:$V$8,CV$380))),)</f>
        <v>0</v>
      </c>
      <c r="CW384" s="271">
        <f>IF(AND(Tech_Specs!$F11="step",Standards_Active!$S12="yes"),IF(CW$380&lt;Standards_Active!$Q12,TREND(Perform_Active!$U12:$V12,Perform_Active!$U$8:$V$8,CW$380),IF(ISNUMBER(Standards_Active!$AA12),IF(AND(CW$380&gt;=Standards_Active!$Q12,CW$380&lt;Standards_Active!$R12),(Standards_Active!$AA12-INDEX($CJ384:$DI384,1,MATCH((Standards_Active!$Q12-1),$CJ$380:$DI$380,FALSE)))/(Standards_Active!$R12-(Standards_Active!$Q12-1))+CV384,Standards_Active!$AA12*((1+Standards_Active!$AC12)^(CW$380-Standards_Active!$R12))),TREND(Perform_Active!$U12:$V12,Perform_Active!$U$8:$V$8,CW$380))),)</f>
        <v>0</v>
      </c>
      <c r="CX384" s="271">
        <f>IF(AND(Tech_Specs!$F11="step",Standards_Active!$S12="yes"),IF(CX$380&lt;Standards_Active!$Q12,TREND(Perform_Active!$U12:$V12,Perform_Active!$U$8:$V$8,CX$380),IF(ISNUMBER(Standards_Active!$AA12),IF(AND(CX$380&gt;=Standards_Active!$Q12,CX$380&lt;Standards_Active!$R12),(Standards_Active!$AA12-INDEX($CJ384:$DI384,1,MATCH((Standards_Active!$Q12-1),$CJ$380:$DI$380,FALSE)))/(Standards_Active!$R12-(Standards_Active!$Q12-1))+CW384,Standards_Active!$AA12*((1+Standards_Active!$AC12)^(CX$380-Standards_Active!$R12))),TREND(Perform_Active!$U12:$V12,Perform_Active!$U$8:$V$8,CX$380))),)</f>
        <v>0</v>
      </c>
      <c r="CY384" s="271">
        <f>IF(AND(Tech_Specs!$F11="step",Standards_Active!$S12="yes"),IF(CY$380&lt;Standards_Active!$Q12,TREND(Perform_Active!$U12:$V12,Perform_Active!$U$8:$V$8,CY$380),IF(ISNUMBER(Standards_Active!$AA12),IF(AND(CY$380&gt;=Standards_Active!$Q12,CY$380&lt;Standards_Active!$R12),(Standards_Active!$AA12-INDEX($CJ384:$DI384,1,MATCH((Standards_Active!$Q12-1),$CJ$380:$DI$380,FALSE)))/(Standards_Active!$R12-(Standards_Active!$Q12-1))+CX384,Standards_Active!$AA12*((1+Standards_Active!$AC12)^(CY$380-Standards_Active!$R12))),TREND(Perform_Active!$U12:$V12,Perform_Active!$U$8:$V$8,CY$380))),)</f>
        <v>0</v>
      </c>
      <c r="CZ384" s="271">
        <f>IF(AND(Tech_Specs!$F11="step",Standards_Active!$S12="yes"),IF(CZ$380&lt;Standards_Active!$Q12,TREND(Perform_Active!$U12:$V12,Perform_Active!$U$8:$V$8,CZ$380),IF(ISNUMBER(Standards_Active!$AA12),IF(AND(CZ$380&gt;=Standards_Active!$Q12,CZ$380&lt;Standards_Active!$R12),(Standards_Active!$AA12-INDEX($CJ384:$DI384,1,MATCH((Standards_Active!$Q12-1),$CJ$380:$DI$380,FALSE)))/(Standards_Active!$R12-(Standards_Active!$Q12-1))+CY384,Standards_Active!$AA12*((1+Standards_Active!$AC12)^(CZ$380-Standards_Active!$R12))),TREND(Perform_Active!$U12:$V12,Perform_Active!$U$8:$V$8,CZ$380))),)</f>
        <v>0</v>
      </c>
      <c r="DA384" s="271">
        <f>IF(AND(Tech_Specs!$F11="step",Standards_Active!$S12="yes"),IF(DA$380&lt;Standards_Active!$Q12,TREND(Perform_Active!$U12:$V12,Perform_Active!$U$8:$V$8,DA$380),IF(ISNUMBER(Standards_Active!$AA12),IF(AND(DA$380&gt;=Standards_Active!$Q12,DA$380&lt;Standards_Active!$R12),(Standards_Active!$AA12-INDEX($CJ384:$DI384,1,MATCH((Standards_Active!$Q12-1),$CJ$380:$DI$380,FALSE)))/(Standards_Active!$R12-(Standards_Active!$Q12-1))+CZ384,Standards_Active!$AA12*((1+Standards_Active!$AC12)^(DA$380-Standards_Active!$R12))),TREND(Perform_Active!$U12:$V12,Perform_Active!$U$8:$V$8,DA$380))),)</f>
        <v>0</v>
      </c>
      <c r="DB384" s="271">
        <f>IF(AND(Tech_Specs!$F11="step",Standards_Active!$S12="yes"),IF(DB$380&lt;Standards_Active!$Q12,TREND(Perform_Active!$U12:$V12,Perform_Active!$U$8:$V$8,DB$380),IF(ISNUMBER(Standards_Active!$AA12),IF(AND(DB$380&gt;=Standards_Active!$Q12,DB$380&lt;Standards_Active!$R12),(Standards_Active!$AA12-INDEX($CJ384:$DI384,1,MATCH((Standards_Active!$Q12-1),$CJ$380:$DI$380,FALSE)))/(Standards_Active!$R12-(Standards_Active!$Q12-1))+DA384,Standards_Active!$AA12*((1+Standards_Active!$AC12)^(DB$380-Standards_Active!$R12))),TREND(Perform_Active!$U12:$V12,Perform_Active!$U$8:$V$8,DB$380))),)</f>
        <v>0</v>
      </c>
      <c r="DC384" s="271">
        <f>IF(AND(Tech_Specs!$F11="step",Standards_Active!$S12="yes"),IF(DC$380&lt;Standards_Active!$Q12,TREND(Perform_Active!$U12:$V12,Perform_Active!$U$8:$V$8,DC$380),IF(ISNUMBER(Standards_Active!$AA12),IF(AND(DC$380&gt;=Standards_Active!$Q12,DC$380&lt;Standards_Active!$R12),(Standards_Active!$AA12-INDEX($CJ384:$DI384,1,MATCH((Standards_Active!$Q12-1),$CJ$380:$DI$380,FALSE)))/(Standards_Active!$R12-(Standards_Active!$Q12-1))+DB384,Standards_Active!$AA12*((1+Standards_Active!$AC12)^(DC$380-Standards_Active!$R12))),TREND(Perform_Active!$U12:$V12,Perform_Active!$U$8:$V$8,DC$380))),)</f>
        <v>0</v>
      </c>
      <c r="DD384" s="271">
        <f>IF(AND(Tech_Specs!$F11="step",Standards_Active!$S12="yes"),IF(DD$380&lt;Standards_Active!$Q12,TREND(Perform_Active!$U12:$V12,Perform_Active!$U$8:$V$8,DD$380),IF(ISNUMBER(Standards_Active!$AA12),IF(AND(DD$380&gt;=Standards_Active!$Q12,DD$380&lt;Standards_Active!$R12),(Standards_Active!$AA12-INDEX($CJ384:$DI384,1,MATCH((Standards_Active!$Q12-1),$CJ$380:$DI$380,FALSE)))/(Standards_Active!$R12-(Standards_Active!$Q12-1))+DC384,Standards_Active!$AA12*((1+Standards_Active!$AC12)^(DD$380-Standards_Active!$R12))),TREND(Perform_Active!$U12:$V12,Perform_Active!$U$8:$V$8,DD$380))),)</f>
        <v>0</v>
      </c>
      <c r="DE384" s="271">
        <f>IF(AND(Tech_Specs!$F11="step",Standards_Active!$S12="yes"),IF(DE$380&lt;Standards_Active!$Q12,TREND(Perform_Active!$U12:$V12,Perform_Active!$U$8:$V$8,DE$380),IF(ISNUMBER(Standards_Active!$AA12),IF(AND(DE$380&gt;=Standards_Active!$Q12,DE$380&lt;Standards_Active!$R12),(Standards_Active!$AA12-INDEX($CJ384:$DI384,1,MATCH((Standards_Active!$Q12-1),$CJ$380:$DI$380,FALSE)))/(Standards_Active!$R12-(Standards_Active!$Q12-1))+DD384,Standards_Active!$AA12*((1+Standards_Active!$AC12)^(DE$380-Standards_Active!$R12))),TREND(Perform_Active!$U12:$V12,Perform_Active!$U$8:$V$8,DE$380))),)</f>
        <v>0</v>
      </c>
      <c r="DF384" s="271">
        <f>IF(AND(Tech_Specs!$F11="step",Standards_Active!$S12="yes"),IF(DF$380&lt;Standards_Active!$Q12,TREND(Perform_Active!$U12:$V12,Perform_Active!$U$8:$V$8,DF$380),IF(ISNUMBER(Standards_Active!$AA12),IF(AND(DF$380&gt;=Standards_Active!$Q12,DF$380&lt;Standards_Active!$R12),(Standards_Active!$AA12-INDEX($CJ384:$DI384,1,MATCH((Standards_Active!$Q12-1),$CJ$380:$DI$380,FALSE)))/(Standards_Active!$R12-(Standards_Active!$Q12-1))+DE384,Standards_Active!$AA12*((1+Standards_Active!$AC12)^(DF$380-Standards_Active!$R12))),TREND(Perform_Active!$U12:$V12,Perform_Active!$U$8:$V$8,DF$380))),)</f>
        <v>0</v>
      </c>
      <c r="DG384" s="271">
        <f>IF(AND(Tech_Specs!$F11="step",Standards_Active!$S12="yes"),IF(DG$380&lt;Standards_Active!$Q12,TREND(Perform_Active!$U12:$V12,Perform_Active!$U$8:$V$8,DG$380),IF(ISNUMBER(Standards_Active!$AA12),IF(AND(DG$380&gt;=Standards_Active!$Q12,DG$380&lt;Standards_Active!$R12),(Standards_Active!$AA12-INDEX($CJ384:$DI384,1,MATCH((Standards_Active!$Q12-1),$CJ$380:$DI$380,FALSE)))/(Standards_Active!$R12-(Standards_Active!$Q12-1))+DF384,Standards_Active!$AA12*((1+Standards_Active!$AC12)^(DG$380-Standards_Active!$R12))),TREND(Perform_Active!$U12:$V12,Perform_Active!$U$8:$V$8,DG$380))),)</f>
        <v>0</v>
      </c>
      <c r="DH384" s="271">
        <f>IF(AND(Tech_Specs!$F11="step",Standards_Active!$S12="yes"),IF(DH$380&lt;Standards_Active!$Q12,TREND(Perform_Active!$U12:$V12,Perform_Active!$U$8:$V$8,DH$380),IF(ISNUMBER(Standards_Active!$AA12),IF(AND(DH$380&gt;=Standards_Active!$Q12,DH$380&lt;Standards_Active!$R12),(Standards_Active!$AA12-INDEX($CJ384:$DI384,1,MATCH((Standards_Active!$Q12-1),$CJ$380:$DI$380,FALSE)))/(Standards_Active!$R12-(Standards_Active!$Q12-1))+DG384,Standards_Active!$AA12*((1+Standards_Active!$AC12)^(DH$380-Standards_Active!$R12))),TREND(Perform_Active!$U12:$V12,Perform_Active!$U$8:$V$8,DH$380))),)</f>
        <v>0</v>
      </c>
      <c r="DI384" s="271">
        <f>IF(AND(Tech_Specs!$F11="step",Standards_Active!$S12="yes"),IF(DI$380&lt;Standards_Active!$Q12,TREND(Perform_Active!$U12:$V12,Perform_Active!$U$8:$V$8,DI$380),IF(ISNUMBER(Standards_Active!$AA12),IF(AND(DI$380&gt;=Standards_Active!$Q12,DI$380&lt;Standards_Active!$R12),(Standards_Active!$AA12-INDEX($CJ384:$DI384,1,MATCH((Standards_Active!$Q12-1),$CJ$380:$DI$380,FALSE)))/(Standards_Active!$R12-(Standards_Active!$Q12-1))+DH384,Standards_Active!$AA12*((1+Standards_Active!$AC12)^(DI$380-Standards_Active!$R12))),TREND(Perform_Active!$U12:$V12,Perform_Active!$U$8:$V$8,DI$380))),)</f>
        <v>0</v>
      </c>
    </row>
    <row r="385" spans="1:113" s="322" customFormat="1" ht="12.75" x14ac:dyDescent="0.2">
      <c r="B385" s="322" t="s">
        <v>29</v>
      </c>
      <c r="D385" s="550"/>
      <c r="E385" s="550"/>
      <c r="F385" s="550"/>
      <c r="G385" s="272">
        <f t="shared" si="66"/>
        <v>0</v>
      </c>
      <c r="H385" s="272">
        <f t="shared" si="66"/>
        <v>0</v>
      </c>
      <c r="I385" s="272">
        <f t="shared" si="66"/>
        <v>0</v>
      </c>
      <c r="J385" s="272">
        <f t="shared" si="66"/>
        <v>0</v>
      </c>
      <c r="K385" s="272">
        <f t="shared" si="66"/>
        <v>0</v>
      </c>
      <c r="L385" s="272">
        <f t="shared" si="66"/>
        <v>0</v>
      </c>
      <c r="M385" s="272">
        <f t="shared" si="66"/>
        <v>0</v>
      </c>
      <c r="N385" s="272">
        <f t="shared" si="66"/>
        <v>0</v>
      </c>
      <c r="O385" s="272">
        <f t="shared" si="66"/>
        <v>0</v>
      </c>
      <c r="P385" s="272">
        <f t="shared" si="66"/>
        <v>0</v>
      </c>
      <c r="Q385" s="272">
        <f t="shared" si="67"/>
        <v>0</v>
      </c>
      <c r="R385" s="272">
        <f t="shared" si="67"/>
        <v>0</v>
      </c>
      <c r="S385" s="272">
        <f t="shared" si="67"/>
        <v>0</v>
      </c>
      <c r="T385" s="272">
        <f t="shared" si="67"/>
        <v>0</v>
      </c>
      <c r="U385" s="272">
        <f t="shared" si="67"/>
        <v>0</v>
      </c>
      <c r="V385" s="272">
        <f t="shared" si="67"/>
        <v>0</v>
      </c>
      <c r="W385" s="272">
        <f t="shared" si="67"/>
        <v>0</v>
      </c>
      <c r="X385" s="272">
        <f t="shared" si="67"/>
        <v>0</v>
      </c>
      <c r="Y385" s="272">
        <f t="shared" si="67"/>
        <v>0</v>
      </c>
      <c r="Z385" s="272">
        <f t="shared" si="67"/>
        <v>0</v>
      </c>
      <c r="AA385" s="272">
        <f t="shared" si="68"/>
        <v>0</v>
      </c>
      <c r="AB385" s="272">
        <f t="shared" si="68"/>
        <v>0</v>
      </c>
      <c r="AC385" s="272">
        <f t="shared" si="68"/>
        <v>0</v>
      </c>
      <c r="AD385" s="272">
        <f t="shared" si="68"/>
        <v>0</v>
      </c>
      <c r="AE385" s="272">
        <f t="shared" si="68"/>
        <v>0</v>
      </c>
      <c r="AF385" s="272">
        <f t="shared" si="68"/>
        <v>0</v>
      </c>
      <c r="AG385" s="376"/>
      <c r="AH385" s="271">
        <f>IF(Tech_Specs!$F12="linear",TREND(Perform_Active!$U13:$V13,Perform_Active!$U$8:$V$8,AH$380),)</f>
        <v>0</v>
      </c>
      <c r="AI385" s="271">
        <f>IF(Tech_Specs!$F12="linear",TREND(Perform_Active!$U13:$V13,Perform_Active!$U$8:$V$8,AI$380),)</f>
        <v>0</v>
      </c>
      <c r="AJ385" s="271">
        <f>IF(Tech_Specs!$F12="linear",TREND(Perform_Active!$U13:$V13,Perform_Active!$U$8:$V$8,AJ$380),)</f>
        <v>0</v>
      </c>
      <c r="AK385" s="271">
        <f>IF(Tech_Specs!$F12="linear",TREND(Perform_Active!$U13:$V13,Perform_Active!$U$8:$V$8,AK$380),)</f>
        <v>0</v>
      </c>
      <c r="AL385" s="271">
        <f>IF(Tech_Specs!$F12="linear",TREND(Perform_Active!$U13:$V13,Perform_Active!$U$8:$V$8,AL$380),)</f>
        <v>0</v>
      </c>
      <c r="AM385" s="271">
        <f>IF(Tech_Specs!$F12="linear",TREND(Perform_Active!$U13:$V13,Perform_Active!$U$8:$V$8,AM$380),)</f>
        <v>0</v>
      </c>
      <c r="AN385" s="271">
        <f>IF(Tech_Specs!$F12="linear",TREND(Perform_Active!$U13:$V13,Perform_Active!$U$8:$V$8,AN$380),)</f>
        <v>0</v>
      </c>
      <c r="AO385" s="271">
        <f>IF(Tech_Specs!$F12="linear",TREND(Perform_Active!$U13:$V13,Perform_Active!$U$8:$V$8,AO$380),)</f>
        <v>0</v>
      </c>
      <c r="AP385" s="271">
        <f>IF(Tech_Specs!$F12="linear",TREND(Perform_Active!$U13:$V13,Perform_Active!$U$8:$V$8,AP$380),)</f>
        <v>0</v>
      </c>
      <c r="AQ385" s="271">
        <f>IF(Tech_Specs!$F12="linear",TREND(Perform_Active!$U13:$V13,Perform_Active!$U$8:$V$8,AQ$380),)</f>
        <v>0</v>
      </c>
      <c r="AR385" s="271">
        <f>IF(Tech_Specs!$F12="linear",TREND(Perform_Active!$U13:$V13,Perform_Active!$U$8:$V$8,AR$380),)</f>
        <v>0</v>
      </c>
      <c r="AS385" s="271">
        <f>IF(Tech_Specs!$F12="linear",TREND(Perform_Active!$U13:$V13,Perform_Active!$U$8:$V$8,AS$380),)</f>
        <v>0</v>
      </c>
      <c r="AT385" s="271">
        <f>IF(Tech_Specs!$F12="linear",TREND(Perform_Active!$U13:$V13,Perform_Active!$U$8:$V$8,AT$380),)</f>
        <v>0</v>
      </c>
      <c r="AU385" s="271">
        <f>IF(Tech_Specs!$F12="linear",TREND(Perform_Active!$U13:$V13,Perform_Active!$U$8:$V$8,AU$380),)</f>
        <v>0</v>
      </c>
      <c r="AV385" s="271">
        <f>IF(Tech_Specs!$F12="linear",TREND(Perform_Active!$U13:$V13,Perform_Active!$U$8:$V$8,AV$380),)</f>
        <v>0</v>
      </c>
      <c r="AW385" s="271">
        <f>IF(Tech_Specs!$F12="linear",TREND(Perform_Active!$U13:$V13,Perform_Active!$U$8:$V$8,AW$380),)</f>
        <v>0</v>
      </c>
      <c r="AX385" s="271">
        <f>IF(Tech_Specs!$F12="linear",TREND(Perform_Active!$U13:$V13,Perform_Active!$U$8:$V$8,AX$380),)</f>
        <v>0</v>
      </c>
      <c r="AY385" s="271">
        <f>IF(Tech_Specs!$F12="linear",TREND(Perform_Active!$U13:$V13,Perform_Active!$U$8:$V$8,AY$380),)</f>
        <v>0</v>
      </c>
      <c r="AZ385" s="271">
        <f>IF(Tech_Specs!$F12="linear",TREND(Perform_Active!$U13:$V13,Perform_Active!$U$8:$V$8,AZ$380),)</f>
        <v>0</v>
      </c>
      <c r="BA385" s="271">
        <f>IF(Tech_Specs!$F12="linear",TREND(Perform_Active!$U13:$V13,Perform_Active!$U$8:$V$8,BA$380),)</f>
        <v>0</v>
      </c>
      <c r="BB385" s="271">
        <f>IF(Tech_Specs!$F12="linear",TREND(Perform_Active!$U13:$V13,Perform_Active!$U$8:$V$8,BB$380),)</f>
        <v>0</v>
      </c>
      <c r="BC385" s="271">
        <f>IF(Tech_Specs!$F12="linear",TREND(Perform_Active!$U13:$V13,Perform_Active!$U$8:$V$8,BC$380),)</f>
        <v>0</v>
      </c>
      <c r="BD385" s="271">
        <f>IF(Tech_Specs!$F12="linear",TREND(Perform_Active!$U13:$V13,Perform_Active!$U$8:$V$8,BD$380),)</f>
        <v>0</v>
      </c>
      <c r="BE385" s="271">
        <f>IF(Tech_Specs!$F12="linear",TREND(Perform_Active!$U13:$V13,Perform_Active!$U$8:$V$8,BE$380),)</f>
        <v>0</v>
      </c>
      <c r="BF385" s="271">
        <f>IF(Tech_Specs!$F12="linear",TREND(Perform_Active!$U13:$V13,Perform_Active!$U$8:$V$8,BF$380),)</f>
        <v>0</v>
      </c>
      <c r="BG385" s="271">
        <f>IF(Tech_Specs!$F12="linear",TREND(Perform_Active!$U13:$V13,Perform_Active!$U$8:$V$8,BG$380),)</f>
        <v>0</v>
      </c>
      <c r="BH385" s="376"/>
      <c r="BI385" s="271">
        <f>IF(Tech_Specs!$F12="logistic",0,)</f>
        <v>0</v>
      </c>
      <c r="BJ385" s="271">
        <f>IF(Tech_Specs!$F12="logistic",0,)</f>
        <v>0</v>
      </c>
      <c r="BK385" s="271">
        <f>IF(Tech_Specs!$F12="logistic",0,)</f>
        <v>0</v>
      </c>
      <c r="BL385" s="271">
        <f>IF(Tech_Specs!$F12="logistic",0,)</f>
        <v>0</v>
      </c>
      <c r="BM385" s="271">
        <f>IF(Tech_Specs!$F12="logistic",0,)</f>
        <v>0</v>
      </c>
      <c r="BN385" s="271">
        <f>IF(Tech_Specs!$F12="logistic",0,)</f>
        <v>0</v>
      </c>
      <c r="BO385" s="271">
        <f>IF(Tech_Specs!$F12="logistic",0,)</f>
        <v>0</v>
      </c>
      <c r="BP385" s="271">
        <f>IF(Tech_Specs!$F12="logistic",0,)</f>
        <v>0</v>
      </c>
      <c r="BQ385" s="271">
        <f>IF(Tech_Specs!$F12="logistic",0,)</f>
        <v>0</v>
      </c>
      <c r="BR385" s="271">
        <f>IF(Tech_Specs!$F12="logistic",0,)</f>
        <v>0</v>
      </c>
      <c r="BS385" s="271">
        <f>IF(Tech_Specs!$F12="logistic",0,)</f>
        <v>0</v>
      </c>
      <c r="BT385" s="271">
        <f>IF(Tech_Specs!$F12="logistic",0,)</f>
        <v>0</v>
      </c>
      <c r="BU385" s="271">
        <f>IF(Tech_Specs!$F12="logistic",0,)</f>
        <v>0</v>
      </c>
      <c r="BV385" s="271">
        <f>IF(Tech_Specs!$F12="logistic",0,)</f>
        <v>0</v>
      </c>
      <c r="BW385" s="271">
        <f>IF(Tech_Specs!$F12="logistic",0,)</f>
        <v>0</v>
      </c>
      <c r="BX385" s="271">
        <f>IF(Tech_Specs!$F12="logistic",0,)</f>
        <v>0</v>
      </c>
      <c r="BY385" s="271">
        <f>IF(Tech_Specs!$F12="logistic",0,)</f>
        <v>0</v>
      </c>
      <c r="BZ385" s="271">
        <f>IF(Tech_Specs!$F12="logistic",0,)</f>
        <v>0</v>
      </c>
      <c r="CA385" s="271">
        <f>IF(Tech_Specs!$F12="logistic",0,)</f>
        <v>0</v>
      </c>
      <c r="CB385" s="271">
        <f>IF(Tech_Specs!$F12="logistic",0,)</f>
        <v>0</v>
      </c>
      <c r="CC385" s="271">
        <f>IF(Tech_Specs!$F12="logistic",0,)</f>
        <v>0</v>
      </c>
      <c r="CD385" s="271">
        <f>IF(Tech_Specs!$F12="logistic",0,)</f>
        <v>0</v>
      </c>
      <c r="CE385" s="271">
        <f>IF(Tech_Specs!$F12="logistic",0,)</f>
        <v>0</v>
      </c>
      <c r="CF385" s="271">
        <f>IF(Tech_Specs!$F12="logistic",0,)</f>
        <v>0</v>
      </c>
      <c r="CG385" s="271">
        <f>IF(Tech_Specs!$F12="logistic",0,)</f>
        <v>0</v>
      </c>
      <c r="CH385" s="271">
        <f>IF(Tech_Specs!$F12="logistic",0,)</f>
        <v>0</v>
      </c>
      <c r="CI385" s="376"/>
      <c r="CJ385" s="271">
        <f>IF(AND(Tech_Specs!$F12="step",Standards_Active!$S13="yes"),IF(CJ$380&lt;Standards_Active!$Q13,TREND(Perform_Active!$U13:$V13,Perform_Active!$U$8:$V$8,CJ$380),IF(ISNUMBER(Standards_Active!$AA13),IF(AND(CJ$380&gt;=Standards_Active!$Q13,CJ$380&lt;Standards_Active!$R13),(Standards_Active!$AA13-INDEX($CJ385:$DI385,1,MATCH((Standards_Active!$Q13-1),$CJ$380:$DI$380,FALSE)))/(Standards_Active!$R13-(Standards_Active!$Q13-1))+CI385,Standards_Active!$AA13*((1+Standards_Active!$AC13)^(CJ$380-Standards_Active!$R13))),TREND(Perform_Active!$U13:$V13,Perform_Active!$U$8:$V$8,CJ$380))),)</f>
        <v>0</v>
      </c>
      <c r="CK385" s="271">
        <f>IF(AND(Tech_Specs!$F12="step",Standards_Active!$S13="yes"),IF(CK$380&lt;Standards_Active!$Q13,TREND(Perform_Active!$U13:$V13,Perform_Active!$U$8:$V$8,CK$380),IF(ISNUMBER(Standards_Active!$AA13),IF(AND(CK$380&gt;=Standards_Active!$Q13,CK$380&lt;Standards_Active!$R13),(Standards_Active!$AA13-INDEX($CJ385:$DI385,1,MATCH((Standards_Active!$Q13-1),$CJ$380:$DI$380,FALSE)))/(Standards_Active!$R13-(Standards_Active!$Q13-1))+CJ385,Standards_Active!$AA13*((1+Standards_Active!$AC13)^(CK$380-Standards_Active!$R13))),TREND(Perform_Active!$U13:$V13,Perform_Active!$U$8:$V$8,CK$380))),)</f>
        <v>0</v>
      </c>
      <c r="CL385" s="271">
        <f>IF(AND(Tech_Specs!$F12="step",Standards_Active!$S13="yes"),IF(CL$380&lt;Standards_Active!$Q13,TREND(Perform_Active!$U13:$V13,Perform_Active!$U$8:$V$8,CL$380),IF(ISNUMBER(Standards_Active!$AA13),IF(AND(CL$380&gt;=Standards_Active!$Q13,CL$380&lt;Standards_Active!$R13),(Standards_Active!$AA13-INDEX($CJ385:$DI385,1,MATCH((Standards_Active!$Q13-1),$CJ$380:$DI$380,FALSE)))/(Standards_Active!$R13-(Standards_Active!$Q13-1))+CK385,Standards_Active!$AA13*((1+Standards_Active!$AC13)^(CL$380-Standards_Active!$R13))),TREND(Perform_Active!$U13:$V13,Perform_Active!$U$8:$V$8,CL$380))),)</f>
        <v>0</v>
      </c>
      <c r="CM385" s="271">
        <f>IF(AND(Tech_Specs!$F12="step",Standards_Active!$S13="yes"),IF(CM$380&lt;Standards_Active!$Q13,TREND(Perform_Active!$U13:$V13,Perform_Active!$U$8:$V$8,CM$380),IF(ISNUMBER(Standards_Active!$AA13),IF(AND(CM$380&gt;=Standards_Active!$Q13,CM$380&lt;Standards_Active!$R13),(Standards_Active!$AA13-INDEX($CJ385:$DI385,1,MATCH((Standards_Active!$Q13-1),$CJ$380:$DI$380,FALSE)))/(Standards_Active!$R13-(Standards_Active!$Q13-1))+CL385,Standards_Active!$AA13*((1+Standards_Active!$AC13)^(CM$380-Standards_Active!$R13))),TREND(Perform_Active!$U13:$V13,Perform_Active!$U$8:$V$8,CM$380))),)</f>
        <v>0</v>
      </c>
      <c r="CN385" s="271">
        <f>IF(AND(Tech_Specs!$F12="step",Standards_Active!$S13="yes"),IF(CN$380&lt;Standards_Active!$Q13,TREND(Perform_Active!$U13:$V13,Perform_Active!$U$8:$V$8,CN$380),IF(ISNUMBER(Standards_Active!$AA13),IF(AND(CN$380&gt;=Standards_Active!$Q13,CN$380&lt;Standards_Active!$R13),(Standards_Active!$AA13-INDEX($CJ385:$DI385,1,MATCH((Standards_Active!$Q13-1),$CJ$380:$DI$380,FALSE)))/(Standards_Active!$R13-(Standards_Active!$Q13-1))+CM385,Standards_Active!$AA13*((1+Standards_Active!$AC13)^(CN$380-Standards_Active!$R13))),TREND(Perform_Active!$U13:$V13,Perform_Active!$U$8:$V$8,CN$380))),)</f>
        <v>0</v>
      </c>
      <c r="CO385" s="271">
        <f>IF(AND(Tech_Specs!$F12="step",Standards_Active!$S13="yes"),IF(CO$380&lt;Standards_Active!$Q13,TREND(Perform_Active!$U13:$V13,Perform_Active!$U$8:$V$8,CO$380),IF(ISNUMBER(Standards_Active!$AA13),IF(AND(CO$380&gt;=Standards_Active!$Q13,CO$380&lt;Standards_Active!$R13),(Standards_Active!$AA13-INDEX($CJ385:$DI385,1,MATCH((Standards_Active!$Q13-1),$CJ$380:$DI$380,FALSE)))/(Standards_Active!$R13-(Standards_Active!$Q13-1))+CN385,Standards_Active!$AA13*((1+Standards_Active!$AC13)^(CO$380-Standards_Active!$R13))),TREND(Perform_Active!$U13:$V13,Perform_Active!$U$8:$V$8,CO$380))),)</f>
        <v>0</v>
      </c>
      <c r="CP385" s="271">
        <f>IF(AND(Tech_Specs!$F12="step",Standards_Active!$S13="yes"),IF(CP$380&lt;Standards_Active!$Q13,TREND(Perform_Active!$U13:$V13,Perform_Active!$U$8:$V$8,CP$380),IF(ISNUMBER(Standards_Active!$AA13),IF(AND(CP$380&gt;=Standards_Active!$Q13,CP$380&lt;Standards_Active!$R13),(Standards_Active!$AA13-INDEX($CJ385:$DI385,1,MATCH((Standards_Active!$Q13-1),$CJ$380:$DI$380,FALSE)))/(Standards_Active!$R13-(Standards_Active!$Q13-1))+CO385,Standards_Active!$AA13*((1+Standards_Active!$AC13)^(CP$380-Standards_Active!$R13))),TREND(Perform_Active!$U13:$V13,Perform_Active!$U$8:$V$8,CP$380))),)</f>
        <v>0</v>
      </c>
      <c r="CQ385" s="271">
        <f>IF(AND(Tech_Specs!$F12="step",Standards_Active!$S13="yes"),IF(CQ$380&lt;Standards_Active!$Q13,TREND(Perform_Active!$U13:$V13,Perform_Active!$U$8:$V$8,CQ$380),IF(ISNUMBER(Standards_Active!$AA13),IF(AND(CQ$380&gt;=Standards_Active!$Q13,CQ$380&lt;Standards_Active!$R13),(Standards_Active!$AA13-INDEX($CJ385:$DI385,1,MATCH((Standards_Active!$Q13-1),$CJ$380:$DI$380,FALSE)))/(Standards_Active!$R13-(Standards_Active!$Q13-1))+CP385,Standards_Active!$AA13*((1+Standards_Active!$AC13)^(CQ$380-Standards_Active!$R13))),TREND(Perform_Active!$U13:$V13,Perform_Active!$U$8:$V$8,CQ$380))),)</f>
        <v>0</v>
      </c>
      <c r="CR385" s="271">
        <f>IF(AND(Tech_Specs!$F12="step",Standards_Active!$S13="yes"),IF(CR$380&lt;Standards_Active!$Q13,TREND(Perform_Active!$U13:$V13,Perform_Active!$U$8:$V$8,CR$380),IF(ISNUMBER(Standards_Active!$AA13),IF(AND(CR$380&gt;=Standards_Active!$Q13,CR$380&lt;Standards_Active!$R13),(Standards_Active!$AA13-INDEX($CJ385:$DI385,1,MATCH((Standards_Active!$Q13-1),$CJ$380:$DI$380,FALSE)))/(Standards_Active!$R13-(Standards_Active!$Q13-1))+CQ385,Standards_Active!$AA13*((1+Standards_Active!$AC13)^(CR$380-Standards_Active!$R13))),TREND(Perform_Active!$U13:$V13,Perform_Active!$U$8:$V$8,CR$380))),)</f>
        <v>0</v>
      </c>
      <c r="CS385" s="271">
        <f>IF(AND(Tech_Specs!$F12="step",Standards_Active!$S13="yes"),IF(CS$380&lt;Standards_Active!$Q13,TREND(Perform_Active!$U13:$V13,Perform_Active!$U$8:$V$8,CS$380),IF(ISNUMBER(Standards_Active!$AA13),IF(AND(CS$380&gt;=Standards_Active!$Q13,CS$380&lt;Standards_Active!$R13),(Standards_Active!$AA13-INDEX($CJ385:$DI385,1,MATCH((Standards_Active!$Q13-1),$CJ$380:$DI$380,FALSE)))/(Standards_Active!$R13-(Standards_Active!$Q13-1))+CR385,Standards_Active!$AA13*((1+Standards_Active!$AC13)^(CS$380-Standards_Active!$R13))),TREND(Perform_Active!$U13:$V13,Perform_Active!$U$8:$V$8,CS$380))),)</f>
        <v>0</v>
      </c>
      <c r="CT385" s="271">
        <f>IF(AND(Tech_Specs!$F12="step",Standards_Active!$S13="yes"),IF(CT$380&lt;Standards_Active!$Q13,TREND(Perform_Active!$U13:$V13,Perform_Active!$U$8:$V$8,CT$380),IF(ISNUMBER(Standards_Active!$AA13),IF(AND(CT$380&gt;=Standards_Active!$Q13,CT$380&lt;Standards_Active!$R13),(Standards_Active!$AA13-INDEX($CJ385:$DI385,1,MATCH((Standards_Active!$Q13-1),$CJ$380:$DI$380,FALSE)))/(Standards_Active!$R13-(Standards_Active!$Q13-1))+CS385,Standards_Active!$AA13*((1+Standards_Active!$AC13)^(CT$380-Standards_Active!$R13))),TREND(Perform_Active!$U13:$V13,Perform_Active!$U$8:$V$8,CT$380))),)</f>
        <v>0</v>
      </c>
      <c r="CU385" s="271">
        <f>IF(AND(Tech_Specs!$F12="step",Standards_Active!$S13="yes"),IF(CU$380&lt;Standards_Active!$Q13,TREND(Perform_Active!$U13:$V13,Perform_Active!$U$8:$V$8,CU$380),IF(ISNUMBER(Standards_Active!$AA13),IF(AND(CU$380&gt;=Standards_Active!$Q13,CU$380&lt;Standards_Active!$R13),(Standards_Active!$AA13-INDEX($CJ385:$DI385,1,MATCH((Standards_Active!$Q13-1),$CJ$380:$DI$380,FALSE)))/(Standards_Active!$R13-(Standards_Active!$Q13-1))+CT385,Standards_Active!$AA13*((1+Standards_Active!$AC13)^(CU$380-Standards_Active!$R13))),TREND(Perform_Active!$U13:$V13,Perform_Active!$U$8:$V$8,CU$380))),)</f>
        <v>0</v>
      </c>
      <c r="CV385" s="271">
        <f>IF(AND(Tech_Specs!$F12="step",Standards_Active!$S13="yes"),IF(CV$380&lt;Standards_Active!$Q13,TREND(Perform_Active!$U13:$V13,Perform_Active!$U$8:$V$8,CV$380),IF(ISNUMBER(Standards_Active!$AA13),IF(AND(CV$380&gt;=Standards_Active!$Q13,CV$380&lt;Standards_Active!$R13),(Standards_Active!$AA13-INDEX($CJ385:$DI385,1,MATCH((Standards_Active!$Q13-1),$CJ$380:$DI$380,FALSE)))/(Standards_Active!$R13-(Standards_Active!$Q13-1))+CU385,Standards_Active!$AA13*((1+Standards_Active!$AC13)^(CV$380-Standards_Active!$R13))),TREND(Perform_Active!$U13:$V13,Perform_Active!$U$8:$V$8,CV$380))),)</f>
        <v>0</v>
      </c>
      <c r="CW385" s="271">
        <f>IF(AND(Tech_Specs!$F12="step",Standards_Active!$S13="yes"),IF(CW$380&lt;Standards_Active!$Q13,TREND(Perform_Active!$U13:$V13,Perform_Active!$U$8:$V$8,CW$380),IF(ISNUMBER(Standards_Active!$AA13),IF(AND(CW$380&gt;=Standards_Active!$Q13,CW$380&lt;Standards_Active!$R13),(Standards_Active!$AA13-INDEX($CJ385:$DI385,1,MATCH((Standards_Active!$Q13-1),$CJ$380:$DI$380,FALSE)))/(Standards_Active!$R13-(Standards_Active!$Q13-1))+CV385,Standards_Active!$AA13*((1+Standards_Active!$AC13)^(CW$380-Standards_Active!$R13))),TREND(Perform_Active!$U13:$V13,Perform_Active!$U$8:$V$8,CW$380))),)</f>
        <v>0</v>
      </c>
      <c r="CX385" s="271">
        <f>IF(AND(Tech_Specs!$F12="step",Standards_Active!$S13="yes"),IF(CX$380&lt;Standards_Active!$Q13,TREND(Perform_Active!$U13:$V13,Perform_Active!$U$8:$V$8,CX$380),IF(ISNUMBER(Standards_Active!$AA13),IF(AND(CX$380&gt;=Standards_Active!$Q13,CX$380&lt;Standards_Active!$R13),(Standards_Active!$AA13-INDEX($CJ385:$DI385,1,MATCH((Standards_Active!$Q13-1),$CJ$380:$DI$380,FALSE)))/(Standards_Active!$R13-(Standards_Active!$Q13-1))+CW385,Standards_Active!$AA13*((1+Standards_Active!$AC13)^(CX$380-Standards_Active!$R13))),TREND(Perform_Active!$U13:$V13,Perform_Active!$U$8:$V$8,CX$380))),)</f>
        <v>0</v>
      </c>
      <c r="CY385" s="271">
        <f>IF(AND(Tech_Specs!$F12="step",Standards_Active!$S13="yes"),IF(CY$380&lt;Standards_Active!$Q13,TREND(Perform_Active!$U13:$V13,Perform_Active!$U$8:$V$8,CY$380),IF(ISNUMBER(Standards_Active!$AA13),IF(AND(CY$380&gt;=Standards_Active!$Q13,CY$380&lt;Standards_Active!$R13),(Standards_Active!$AA13-INDEX($CJ385:$DI385,1,MATCH((Standards_Active!$Q13-1),$CJ$380:$DI$380,FALSE)))/(Standards_Active!$R13-(Standards_Active!$Q13-1))+CX385,Standards_Active!$AA13*((1+Standards_Active!$AC13)^(CY$380-Standards_Active!$R13))),TREND(Perform_Active!$U13:$V13,Perform_Active!$U$8:$V$8,CY$380))),)</f>
        <v>0</v>
      </c>
      <c r="CZ385" s="271">
        <f>IF(AND(Tech_Specs!$F12="step",Standards_Active!$S13="yes"),IF(CZ$380&lt;Standards_Active!$Q13,TREND(Perform_Active!$U13:$V13,Perform_Active!$U$8:$V$8,CZ$380),IF(ISNUMBER(Standards_Active!$AA13),IF(AND(CZ$380&gt;=Standards_Active!$Q13,CZ$380&lt;Standards_Active!$R13),(Standards_Active!$AA13-INDEX($CJ385:$DI385,1,MATCH((Standards_Active!$Q13-1),$CJ$380:$DI$380,FALSE)))/(Standards_Active!$R13-(Standards_Active!$Q13-1))+CY385,Standards_Active!$AA13*((1+Standards_Active!$AC13)^(CZ$380-Standards_Active!$R13))),TREND(Perform_Active!$U13:$V13,Perform_Active!$U$8:$V$8,CZ$380))),)</f>
        <v>0</v>
      </c>
      <c r="DA385" s="271">
        <f>IF(AND(Tech_Specs!$F12="step",Standards_Active!$S13="yes"),IF(DA$380&lt;Standards_Active!$Q13,TREND(Perform_Active!$U13:$V13,Perform_Active!$U$8:$V$8,DA$380),IF(ISNUMBER(Standards_Active!$AA13),IF(AND(DA$380&gt;=Standards_Active!$Q13,DA$380&lt;Standards_Active!$R13),(Standards_Active!$AA13-INDEX($CJ385:$DI385,1,MATCH((Standards_Active!$Q13-1),$CJ$380:$DI$380,FALSE)))/(Standards_Active!$R13-(Standards_Active!$Q13-1))+CZ385,Standards_Active!$AA13*((1+Standards_Active!$AC13)^(DA$380-Standards_Active!$R13))),TREND(Perform_Active!$U13:$V13,Perform_Active!$U$8:$V$8,DA$380))),)</f>
        <v>0</v>
      </c>
      <c r="DB385" s="271">
        <f>IF(AND(Tech_Specs!$F12="step",Standards_Active!$S13="yes"),IF(DB$380&lt;Standards_Active!$Q13,TREND(Perform_Active!$U13:$V13,Perform_Active!$U$8:$V$8,DB$380),IF(ISNUMBER(Standards_Active!$AA13),IF(AND(DB$380&gt;=Standards_Active!$Q13,DB$380&lt;Standards_Active!$R13),(Standards_Active!$AA13-INDEX($CJ385:$DI385,1,MATCH((Standards_Active!$Q13-1),$CJ$380:$DI$380,FALSE)))/(Standards_Active!$R13-(Standards_Active!$Q13-1))+DA385,Standards_Active!$AA13*((1+Standards_Active!$AC13)^(DB$380-Standards_Active!$R13))),TREND(Perform_Active!$U13:$V13,Perform_Active!$U$8:$V$8,DB$380))),)</f>
        <v>0</v>
      </c>
      <c r="DC385" s="271">
        <f>IF(AND(Tech_Specs!$F12="step",Standards_Active!$S13="yes"),IF(DC$380&lt;Standards_Active!$Q13,TREND(Perform_Active!$U13:$V13,Perform_Active!$U$8:$V$8,DC$380),IF(ISNUMBER(Standards_Active!$AA13),IF(AND(DC$380&gt;=Standards_Active!$Q13,DC$380&lt;Standards_Active!$R13),(Standards_Active!$AA13-INDEX($CJ385:$DI385,1,MATCH((Standards_Active!$Q13-1),$CJ$380:$DI$380,FALSE)))/(Standards_Active!$R13-(Standards_Active!$Q13-1))+DB385,Standards_Active!$AA13*((1+Standards_Active!$AC13)^(DC$380-Standards_Active!$R13))),TREND(Perform_Active!$U13:$V13,Perform_Active!$U$8:$V$8,DC$380))),)</f>
        <v>0</v>
      </c>
      <c r="DD385" s="271">
        <f>IF(AND(Tech_Specs!$F12="step",Standards_Active!$S13="yes"),IF(DD$380&lt;Standards_Active!$Q13,TREND(Perform_Active!$U13:$V13,Perform_Active!$U$8:$V$8,DD$380),IF(ISNUMBER(Standards_Active!$AA13),IF(AND(DD$380&gt;=Standards_Active!$Q13,DD$380&lt;Standards_Active!$R13),(Standards_Active!$AA13-INDEX($CJ385:$DI385,1,MATCH((Standards_Active!$Q13-1),$CJ$380:$DI$380,FALSE)))/(Standards_Active!$R13-(Standards_Active!$Q13-1))+DC385,Standards_Active!$AA13*((1+Standards_Active!$AC13)^(DD$380-Standards_Active!$R13))),TREND(Perform_Active!$U13:$V13,Perform_Active!$U$8:$V$8,DD$380))),)</f>
        <v>0</v>
      </c>
      <c r="DE385" s="271">
        <f>IF(AND(Tech_Specs!$F12="step",Standards_Active!$S13="yes"),IF(DE$380&lt;Standards_Active!$Q13,TREND(Perform_Active!$U13:$V13,Perform_Active!$U$8:$V$8,DE$380),IF(ISNUMBER(Standards_Active!$AA13),IF(AND(DE$380&gt;=Standards_Active!$Q13,DE$380&lt;Standards_Active!$R13),(Standards_Active!$AA13-INDEX($CJ385:$DI385,1,MATCH((Standards_Active!$Q13-1),$CJ$380:$DI$380,FALSE)))/(Standards_Active!$R13-(Standards_Active!$Q13-1))+DD385,Standards_Active!$AA13*((1+Standards_Active!$AC13)^(DE$380-Standards_Active!$R13))),TREND(Perform_Active!$U13:$V13,Perform_Active!$U$8:$V$8,DE$380))),)</f>
        <v>0</v>
      </c>
      <c r="DF385" s="271">
        <f>IF(AND(Tech_Specs!$F12="step",Standards_Active!$S13="yes"),IF(DF$380&lt;Standards_Active!$Q13,TREND(Perform_Active!$U13:$V13,Perform_Active!$U$8:$V$8,DF$380),IF(ISNUMBER(Standards_Active!$AA13),IF(AND(DF$380&gt;=Standards_Active!$Q13,DF$380&lt;Standards_Active!$R13),(Standards_Active!$AA13-INDEX($CJ385:$DI385,1,MATCH((Standards_Active!$Q13-1),$CJ$380:$DI$380,FALSE)))/(Standards_Active!$R13-(Standards_Active!$Q13-1))+DE385,Standards_Active!$AA13*((1+Standards_Active!$AC13)^(DF$380-Standards_Active!$R13))),TREND(Perform_Active!$U13:$V13,Perform_Active!$U$8:$V$8,DF$380))),)</f>
        <v>0</v>
      </c>
      <c r="DG385" s="271">
        <f>IF(AND(Tech_Specs!$F12="step",Standards_Active!$S13="yes"),IF(DG$380&lt;Standards_Active!$Q13,TREND(Perform_Active!$U13:$V13,Perform_Active!$U$8:$V$8,DG$380),IF(ISNUMBER(Standards_Active!$AA13),IF(AND(DG$380&gt;=Standards_Active!$Q13,DG$380&lt;Standards_Active!$R13),(Standards_Active!$AA13-INDEX($CJ385:$DI385,1,MATCH((Standards_Active!$Q13-1),$CJ$380:$DI$380,FALSE)))/(Standards_Active!$R13-(Standards_Active!$Q13-1))+DF385,Standards_Active!$AA13*((1+Standards_Active!$AC13)^(DG$380-Standards_Active!$R13))),TREND(Perform_Active!$U13:$V13,Perform_Active!$U$8:$V$8,DG$380))),)</f>
        <v>0</v>
      </c>
      <c r="DH385" s="271">
        <f>IF(AND(Tech_Specs!$F12="step",Standards_Active!$S13="yes"),IF(DH$380&lt;Standards_Active!$Q13,TREND(Perform_Active!$U13:$V13,Perform_Active!$U$8:$V$8,DH$380),IF(ISNUMBER(Standards_Active!$AA13),IF(AND(DH$380&gt;=Standards_Active!$Q13,DH$380&lt;Standards_Active!$R13),(Standards_Active!$AA13-INDEX($CJ385:$DI385,1,MATCH((Standards_Active!$Q13-1),$CJ$380:$DI$380,FALSE)))/(Standards_Active!$R13-(Standards_Active!$Q13-1))+DG385,Standards_Active!$AA13*((1+Standards_Active!$AC13)^(DH$380-Standards_Active!$R13))),TREND(Perform_Active!$U13:$V13,Perform_Active!$U$8:$V$8,DH$380))),)</f>
        <v>0</v>
      </c>
      <c r="DI385" s="271">
        <f>IF(AND(Tech_Specs!$F12="step",Standards_Active!$S13="yes"),IF(DI$380&lt;Standards_Active!$Q13,TREND(Perform_Active!$U13:$V13,Perform_Active!$U$8:$V$8,DI$380),IF(ISNUMBER(Standards_Active!$AA13),IF(AND(DI$380&gt;=Standards_Active!$Q13,DI$380&lt;Standards_Active!$R13),(Standards_Active!$AA13-INDEX($CJ385:$DI385,1,MATCH((Standards_Active!$Q13-1),$CJ$380:$DI$380,FALSE)))/(Standards_Active!$R13-(Standards_Active!$Q13-1))+DH385,Standards_Active!$AA13*((1+Standards_Active!$AC13)^(DI$380-Standards_Active!$R13))),TREND(Perform_Active!$U13:$V13,Perform_Active!$U$8:$V$8,DI$380))),)</f>
        <v>0</v>
      </c>
    </row>
    <row r="386" spans="1:113" s="322" customFormat="1" ht="12.75" x14ac:dyDescent="0.2">
      <c r="D386" s="550"/>
      <c r="E386" s="550"/>
      <c r="F386" s="550"/>
      <c r="G386" s="341"/>
      <c r="H386" s="341"/>
      <c r="I386" s="341"/>
      <c r="J386" s="341"/>
      <c r="K386" s="341"/>
      <c r="L386" s="341"/>
      <c r="M386" s="341"/>
      <c r="N386" s="341"/>
      <c r="O386" s="341"/>
      <c r="P386" s="341"/>
      <c r="Q386" s="341"/>
      <c r="R386" s="341"/>
      <c r="S386" s="341"/>
      <c r="T386" s="341"/>
      <c r="U386" s="341"/>
      <c r="V386" s="341"/>
      <c r="W386" s="341"/>
      <c r="X386" s="341"/>
      <c r="Y386" s="341"/>
      <c r="Z386" s="341"/>
      <c r="AA386" s="341"/>
      <c r="AB386" s="341"/>
      <c r="AC386" s="341"/>
      <c r="AD386" s="341"/>
      <c r="AE386" s="341"/>
      <c r="AF386" s="341"/>
      <c r="AG386" s="376"/>
      <c r="AH386" s="426"/>
      <c r="AI386" s="426"/>
      <c r="AJ386" s="426"/>
      <c r="AK386" s="426"/>
      <c r="AL386" s="426"/>
      <c r="AM386" s="426"/>
      <c r="AN386" s="426"/>
      <c r="AO386" s="426"/>
      <c r="AP386" s="426"/>
      <c r="AQ386" s="426"/>
      <c r="AR386" s="426"/>
      <c r="AS386" s="426"/>
      <c r="AT386" s="426"/>
      <c r="AU386" s="426"/>
      <c r="AV386" s="426"/>
      <c r="AW386" s="426"/>
      <c r="AX386" s="426"/>
      <c r="AY386" s="426"/>
      <c r="AZ386" s="426"/>
      <c r="BA386" s="426"/>
      <c r="BB386" s="426"/>
      <c r="BC386" s="426"/>
      <c r="BD386" s="426"/>
      <c r="BE386" s="426"/>
      <c r="BF386" s="426"/>
      <c r="BG386" s="426"/>
      <c r="BH386" s="376"/>
      <c r="BI386" s="426"/>
      <c r="BJ386" s="426"/>
      <c r="BK386" s="426"/>
      <c r="BL386" s="426"/>
      <c r="BM386" s="426"/>
      <c r="BN386" s="426"/>
      <c r="BO386" s="426"/>
      <c r="BP386" s="426"/>
      <c r="BQ386" s="426"/>
      <c r="BR386" s="426"/>
      <c r="BS386" s="426"/>
      <c r="BT386" s="426"/>
      <c r="BU386" s="426"/>
      <c r="BV386" s="426"/>
      <c r="BW386" s="426"/>
      <c r="BX386" s="426"/>
      <c r="BY386" s="426"/>
      <c r="BZ386" s="426"/>
      <c r="CA386" s="426"/>
      <c r="CB386" s="426"/>
      <c r="CC386" s="426"/>
      <c r="CD386" s="426"/>
      <c r="CE386" s="426"/>
      <c r="CF386" s="426"/>
      <c r="CG386" s="426"/>
      <c r="CH386" s="426"/>
      <c r="CI386" s="376"/>
      <c r="CJ386" s="426"/>
      <c r="CK386" s="426"/>
      <c r="CL386" s="426"/>
      <c r="CM386" s="426"/>
      <c r="CN386" s="426"/>
      <c r="CO386" s="426"/>
      <c r="CP386" s="426"/>
      <c r="CQ386" s="426"/>
      <c r="CR386" s="426"/>
      <c r="CS386" s="426"/>
      <c r="CT386" s="426"/>
      <c r="CU386" s="426"/>
      <c r="CV386" s="426"/>
      <c r="CW386" s="426"/>
      <c r="CX386" s="426"/>
      <c r="CY386" s="426"/>
      <c r="CZ386" s="426"/>
      <c r="DA386" s="426"/>
      <c r="DB386" s="426"/>
      <c r="DC386" s="426"/>
      <c r="DD386" s="426"/>
      <c r="DE386" s="426"/>
      <c r="DF386" s="426"/>
      <c r="DG386" s="426"/>
      <c r="DH386" s="426"/>
      <c r="DI386" s="426"/>
    </row>
    <row r="387" spans="1:113" s="322" customFormat="1" ht="12.75" x14ac:dyDescent="0.2">
      <c r="A387" s="325" t="s">
        <v>32</v>
      </c>
      <c r="B387" s="324"/>
      <c r="C387" s="324"/>
      <c r="D387" s="501"/>
      <c r="E387" s="501"/>
      <c r="F387" s="501"/>
      <c r="G387" s="320"/>
      <c r="H387" s="320"/>
      <c r="I387" s="320"/>
      <c r="J387" s="320"/>
      <c r="K387" s="320"/>
      <c r="L387" s="320"/>
      <c r="M387" s="320"/>
      <c r="N387" s="320"/>
      <c r="O387" s="320"/>
      <c r="P387" s="320"/>
      <c r="Q387" s="320"/>
      <c r="R387" s="320"/>
      <c r="S387" s="320"/>
      <c r="T387" s="320"/>
      <c r="U387" s="320"/>
      <c r="V387" s="320"/>
      <c r="W387" s="320"/>
      <c r="X387" s="320"/>
      <c r="Y387" s="320"/>
      <c r="Z387" s="320"/>
      <c r="AA387" s="320"/>
      <c r="AB387" s="320"/>
      <c r="AC387" s="320"/>
      <c r="AD387" s="320"/>
      <c r="AE387" s="320"/>
      <c r="AF387" s="320"/>
      <c r="AG387" s="376"/>
      <c r="AH387" s="320"/>
      <c r="AI387" s="320"/>
      <c r="AJ387" s="320"/>
      <c r="AK387" s="320"/>
      <c r="AL387" s="320"/>
      <c r="AM387" s="320"/>
      <c r="AN387" s="320"/>
      <c r="AO387" s="320"/>
      <c r="AP387" s="320"/>
      <c r="AQ387" s="320"/>
      <c r="AR387" s="320"/>
      <c r="AS387" s="320"/>
      <c r="AT387" s="320"/>
      <c r="AU387" s="320"/>
      <c r="AV387" s="320"/>
      <c r="AW387" s="320"/>
      <c r="AX387" s="320"/>
      <c r="AY387" s="320"/>
      <c r="AZ387" s="320"/>
      <c r="BA387" s="320"/>
      <c r="BB387" s="320"/>
      <c r="BC387" s="320"/>
      <c r="BD387" s="320"/>
      <c r="BE387" s="320"/>
      <c r="BF387" s="320"/>
      <c r="BG387" s="320"/>
      <c r="BH387" s="376"/>
      <c r="BI387" s="320"/>
      <c r="BJ387" s="320"/>
      <c r="BK387" s="320"/>
      <c r="BL387" s="320"/>
      <c r="BM387" s="320"/>
      <c r="BN387" s="320"/>
      <c r="BO387" s="320"/>
      <c r="BP387" s="320"/>
      <c r="BQ387" s="320"/>
      <c r="BR387" s="320"/>
      <c r="BS387" s="320"/>
      <c r="BT387" s="320"/>
      <c r="BU387" s="320"/>
      <c r="BV387" s="320"/>
      <c r="BW387" s="320"/>
      <c r="BX387" s="320"/>
      <c r="BY387" s="320"/>
      <c r="BZ387" s="320"/>
      <c r="CA387" s="320"/>
      <c r="CB387" s="320"/>
      <c r="CC387" s="320"/>
      <c r="CD387" s="320"/>
      <c r="CE387" s="320"/>
      <c r="CF387" s="320"/>
      <c r="CG387" s="320"/>
      <c r="CH387" s="320"/>
      <c r="CI387" s="376"/>
      <c r="CJ387" s="320"/>
      <c r="CK387" s="320"/>
      <c r="CL387" s="320"/>
      <c r="CM387" s="320"/>
      <c r="CN387" s="320"/>
      <c r="CO387" s="320"/>
      <c r="CP387" s="320"/>
      <c r="CQ387" s="320"/>
      <c r="CR387" s="320"/>
      <c r="CS387" s="320"/>
      <c r="CT387" s="320"/>
      <c r="CU387" s="320"/>
      <c r="CV387" s="320"/>
      <c r="CW387" s="320"/>
      <c r="CX387" s="320"/>
      <c r="CY387" s="320"/>
      <c r="CZ387" s="320"/>
      <c r="DA387" s="320"/>
      <c r="DB387" s="320"/>
      <c r="DC387" s="320"/>
      <c r="DD387" s="320"/>
      <c r="DE387" s="320"/>
      <c r="DF387" s="320"/>
      <c r="DG387" s="320"/>
      <c r="DH387" s="320"/>
      <c r="DI387" s="320"/>
    </row>
    <row r="388" spans="1:113" s="322" customFormat="1" ht="12.75" x14ac:dyDescent="0.2">
      <c r="B388" s="322" t="s">
        <v>33</v>
      </c>
      <c r="D388" s="550"/>
      <c r="E388" s="550"/>
      <c r="F388" s="550"/>
      <c r="G388" s="272">
        <f t="shared" ref="G388:P391" si="69">SUM(AH388,BI388,CJ388)</f>
        <v>0</v>
      </c>
      <c r="H388" s="272">
        <f t="shared" si="69"/>
        <v>0</v>
      </c>
      <c r="I388" s="272">
        <f t="shared" si="69"/>
        <v>0</v>
      </c>
      <c r="J388" s="272">
        <f t="shared" si="69"/>
        <v>0</v>
      </c>
      <c r="K388" s="272">
        <f t="shared" si="69"/>
        <v>0</v>
      </c>
      <c r="L388" s="272">
        <f t="shared" si="69"/>
        <v>0</v>
      </c>
      <c r="M388" s="272">
        <f t="shared" si="69"/>
        <v>0</v>
      </c>
      <c r="N388" s="272">
        <f t="shared" si="69"/>
        <v>0</v>
      </c>
      <c r="O388" s="272">
        <f t="shared" si="69"/>
        <v>0</v>
      </c>
      <c r="P388" s="272">
        <f t="shared" si="69"/>
        <v>0</v>
      </c>
      <c r="Q388" s="272">
        <f t="shared" ref="Q388:Z391" si="70">SUM(AR388,BS388,CT388)</f>
        <v>0</v>
      </c>
      <c r="R388" s="272">
        <f t="shared" si="70"/>
        <v>0</v>
      </c>
      <c r="S388" s="272">
        <f t="shared" si="70"/>
        <v>0</v>
      </c>
      <c r="T388" s="272">
        <f t="shared" si="70"/>
        <v>0</v>
      </c>
      <c r="U388" s="272">
        <f t="shared" si="70"/>
        <v>0</v>
      </c>
      <c r="V388" s="272">
        <f t="shared" si="70"/>
        <v>0</v>
      </c>
      <c r="W388" s="272">
        <f t="shared" si="70"/>
        <v>0</v>
      </c>
      <c r="X388" s="272">
        <f t="shared" si="70"/>
        <v>0</v>
      </c>
      <c r="Y388" s="272">
        <f t="shared" si="70"/>
        <v>0</v>
      </c>
      <c r="Z388" s="272">
        <f t="shared" si="70"/>
        <v>0</v>
      </c>
      <c r="AA388" s="272">
        <f t="shared" ref="AA388:AF391" si="71">SUM(BB388,CC388,DD388)</f>
        <v>0</v>
      </c>
      <c r="AB388" s="272">
        <f t="shared" si="71"/>
        <v>0</v>
      </c>
      <c r="AC388" s="272">
        <f t="shared" si="71"/>
        <v>0</v>
      </c>
      <c r="AD388" s="272">
        <f t="shared" si="71"/>
        <v>0</v>
      </c>
      <c r="AE388" s="272">
        <f t="shared" si="71"/>
        <v>0</v>
      </c>
      <c r="AF388" s="272">
        <f t="shared" si="71"/>
        <v>0</v>
      </c>
      <c r="AG388" s="376"/>
      <c r="AH388" s="271">
        <f>IF(Tech_Specs!$F15="linear",TREND(Perform_Active!$U16:$V16,Perform_Active!$U$8:$V$8,AH$380),)</f>
        <v>0</v>
      </c>
      <c r="AI388" s="271">
        <f>IF(Tech_Specs!$F15="linear",TREND(Perform_Active!$U16:$V16,Perform_Active!$U$8:$V$8,AI$380),)</f>
        <v>0</v>
      </c>
      <c r="AJ388" s="271">
        <f>IF(Tech_Specs!$F15="linear",TREND(Perform_Active!$U16:$V16,Perform_Active!$U$8:$V$8,AJ$380),)</f>
        <v>0</v>
      </c>
      <c r="AK388" s="271">
        <f>IF(Tech_Specs!$F15="linear",TREND(Perform_Active!$U16:$V16,Perform_Active!$U$8:$V$8,AK$380),)</f>
        <v>0</v>
      </c>
      <c r="AL388" s="271">
        <f>IF(Tech_Specs!$F15="linear",TREND(Perform_Active!$U16:$V16,Perform_Active!$U$8:$V$8,AL$380),)</f>
        <v>0</v>
      </c>
      <c r="AM388" s="271">
        <f>IF(Tech_Specs!$F15="linear",TREND(Perform_Active!$U16:$V16,Perform_Active!$U$8:$V$8,AM$380),)</f>
        <v>0</v>
      </c>
      <c r="AN388" s="271">
        <f>IF(Tech_Specs!$F15="linear",TREND(Perform_Active!$U16:$V16,Perform_Active!$U$8:$V$8,AN$380),)</f>
        <v>0</v>
      </c>
      <c r="AO388" s="271">
        <f>IF(Tech_Specs!$F15="linear",TREND(Perform_Active!$U16:$V16,Perform_Active!$U$8:$V$8,AO$380),)</f>
        <v>0</v>
      </c>
      <c r="AP388" s="271">
        <f>IF(Tech_Specs!$F15="linear",TREND(Perform_Active!$U16:$V16,Perform_Active!$U$8:$V$8,AP$380),)</f>
        <v>0</v>
      </c>
      <c r="AQ388" s="271">
        <f>IF(Tech_Specs!$F15="linear",TREND(Perform_Active!$U16:$V16,Perform_Active!$U$8:$V$8,AQ$380),)</f>
        <v>0</v>
      </c>
      <c r="AR388" s="271">
        <f>IF(Tech_Specs!$F15="linear",TREND(Perform_Active!$U16:$V16,Perform_Active!$U$8:$V$8,AR$380),)</f>
        <v>0</v>
      </c>
      <c r="AS388" s="271">
        <f>IF(Tech_Specs!$F15="linear",TREND(Perform_Active!$U16:$V16,Perform_Active!$U$8:$V$8,AS$380),)</f>
        <v>0</v>
      </c>
      <c r="AT388" s="271">
        <f>IF(Tech_Specs!$F15="linear",TREND(Perform_Active!$U16:$V16,Perform_Active!$U$8:$V$8,AT$380),)</f>
        <v>0</v>
      </c>
      <c r="AU388" s="271">
        <f>IF(Tech_Specs!$F15="linear",TREND(Perform_Active!$U16:$V16,Perform_Active!$U$8:$V$8,AU$380),)</f>
        <v>0</v>
      </c>
      <c r="AV388" s="271">
        <f>IF(Tech_Specs!$F15="linear",TREND(Perform_Active!$U16:$V16,Perform_Active!$U$8:$V$8,AV$380),)</f>
        <v>0</v>
      </c>
      <c r="AW388" s="271">
        <f>IF(Tech_Specs!$F15="linear",TREND(Perform_Active!$U16:$V16,Perform_Active!$U$8:$V$8,AW$380),)</f>
        <v>0</v>
      </c>
      <c r="AX388" s="271">
        <f>IF(Tech_Specs!$F15="linear",TREND(Perform_Active!$U16:$V16,Perform_Active!$U$8:$V$8,AX$380),)</f>
        <v>0</v>
      </c>
      <c r="AY388" s="271">
        <f>IF(Tech_Specs!$F15="linear",TREND(Perform_Active!$U16:$V16,Perform_Active!$U$8:$V$8,AY$380),)</f>
        <v>0</v>
      </c>
      <c r="AZ388" s="271">
        <f>IF(Tech_Specs!$F15="linear",TREND(Perform_Active!$U16:$V16,Perform_Active!$U$8:$V$8,AZ$380),)</f>
        <v>0</v>
      </c>
      <c r="BA388" s="271">
        <f>IF(Tech_Specs!$F15="linear",TREND(Perform_Active!$U16:$V16,Perform_Active!$U$8:$V$8,BA$380),)</f>
        <v>0</v>
      </c>
      <c r="BB388" s="271">
        <f>IF(Tech_Specs!$F15="linear",TREND(Perform_Active!$U16:$V16,Perform_Active!$U$8:$V$8,BB$380),)</f>
        <v>0</v>
      </c>
      <c r="BC388" s="271">
        <f>IF(Tech_Specs!$F15="linear",TREND(Perform_Active!$U16:$V16,Perform_Active!$U$8:$V$8,BC$380),)</f>
        <v>0</v>
      </c>
      <c r="BD388" s="271">
        <f>IF(Tech_Specs!$F15="linear",TREND(Perform_Active!$U16:$V16,Perform_Active!$U$8:$V$8,BD$380),)</f>
        <v>0</v>
      </c>
      <c r="BE388" s="271">
        <f>IF(Tech_Specs!$F15="linear",TREND(Perform_Active!$U16:$V16,Perform_Active!$U$8:$V$8,BE$380),)</f>
        <v>0</v>
      </c>
      <c r="BF388" s="271">
        <f>IF(Tech_Specs!$F15="linear",TREND(Perform_Active!$U16:$V16,Perform_Active!$U$8:$V$8,BF$380),)</f>
        <v>0</v>
      </c>
      <c r="BG388" s="271">
        <f>IF(Tech_Specs!$F15="linear",TREND(Perform_Active!$U16:$V16,Perform_Active!$U$8:$V$8,BG$380),)</f>
        <v>0</v>
      </c>
      <c r="BH388" s="376"/>
      <c r="BI388" s="271">
        <f>IF(Tech_Specs!$F15="logistic",0,)</f>
        <v>0</v>
      </c>
      <c r="BJ388" s="271">
        <f>IF(Tech_Specs!$F15="logistic",0,)</f>
        <v>0</v>
      </c>
      <c r="BK388" s="271">
        <f>IF(Tech_Specs!$F15="logistic",0,)</f>
        <v>0</v>
      </c>
      <c r="BL388" s="271">
        <f>IF(Tech_Specs!$F15="logistic",0,)</f>
        <v>0</v>
      </c>
      <c r="BM388" s="271">
        <f>IF(Tech_Specs!$F15="logistic",0,)</f>
        <v>0</v>
      </c>
      <c r="BN388" s="271">
        <f>IF(Tech_Specs!$F15="logistic",0,)</f>
        <v>0</v>
      </c>
      <c r="BO388" s="271">
        <f>IF(Tech_Specs!$F15="logistic",0,)</f>
        <v>0</v>
      </c>
      <c r="BP388" s="271">
        <f>IF(Tech_Specs!$F15="logistic",0,)</f>
        <v>0</v>
      </c>
      <c r="BQ388" s="271">
        <f>IF(Tech_Specs!$F15="logistic",0,)</f>
        <v>0</v>
      </c>
      <c r="BR388" s="271">
        <f>IF(Tech_Specs!$F15="logistic",0,)</f>
        <v>0</v>
      </c>
      <c r="BS388" s="271">
        <f>IF(Tech_Specs!$F15="logistic",0,)</f>
        <v>0</v>
      </c>
      <c r="BT388" s="271">
        <f>IF(Tech_Specs!$F15="logistic",0,)</f>
        <v>0</v>
      </c>
      <c r="BU388" s="271">
        <f>IF(Tech_Specs!$F15="logistic",0,)</f>
        <v>0</v>
      </c>
      <c r="BV388" s="271">
        <f>IF(Tech_Specs!$F15="logistic",0,)</f>
        <v>0</v>
      </c>
      <c r="BW388" s="271">
        <f>IF(Tech_Specs!$F15="logistic",0,)</f>
        <v>0</v>
      </c>
      <c r="BX388" s="271">
        <f>IF(Tech_Specs!$F15="logistic",0,)</f>
        <v>0</v>
      </c>
      <c r="BY388" s="271">
        <f>IF(Tech_Specs!$F15="logistic",0,)</f>
        <v>0</v>
      </c>
      <c r="BZ388" s="271">
        <f>IF(Tech_Specs!$F15="logistic",0,)</f>
        <v>0</v>
      </c>
      <c r="CA388" s="271">
        <f>IF(Tech_Specs!$F15="logistic",0,)</f>
        <v>0</v>
      </c>
      <c r="CB388" s="271">
        <f>IF(Tech_Specs!$F15="logistic",0,)</f>
        <v>0</v>
      </c>
      <c r="CC388" s="271">
        <f>IF(Tech_Specs!$F15="logistic",0,)</f>
        <v>0</v>
      </c>
      <c r="CD388" s="271">
        <f>IF(Tech_Specs!$F15="logistic",0,)</f>
        <v>0</v>
      </c>
      <c r="CE388" s="271">
        <f>IF(Tech_Specs!$F15="logistic",0,)</f>
        <v>0</v>
      </c>
      <c r="CF388" s="271">
        <f>IF(Tech_Specs!$F15="logistic",0,)</f>
        <v>0</v>
      </c>
      <c r="CG388" s="271">
        <f>IF(Tech_Specs!$F15="logistic",0,)</f>
        <v>0</v>
      </c>
      <c r="CH388" s="271">
        <f>IF(Tech_Specs!$F15="logistic",0,)</f>
        <v>0</v>
      </c>
      <c r="CI388" s="376"/>
      <c r="CJ388" s="271">
        <f>IF(AND(Tech_Specs!$F15="step",Standards_Active!$S16="yes"),IF(CJ$380&lt;Standards_Active!$Q16,TREND(Perform_Active!$U16:$V16,Perform_Active!$U$8:$V$8,CJ$380),IF(ISNUMBER(Standards_Active!$AA16),IF(AND(CJ$380&gt;=Standards_Active!$Q16,CJ$380&lt;Standards_Active!$R16),(Standards_Active!$AA16-INDEX($CJ388:$DI388,1,MATCH((Standards_Active!$Q16-1),$CJ$380:$DI$380,FALSE)))/(Standards_Active!$R16-(Standards_Active!$Q16-1))+CI388,Standards_Active!$AA16*((1+Standards_Active!$AC16)^(CJ$380-Standards_Active!$R16))),TREND(Perform_Active!$U16:$V16,Perform_Active!$U$8:$V$8,CJ$380))),)</f>
        <v>0</v>
      </c>
      <c r="CK388" s="271">
        <f>IF(AND(Tech_Specs!$F15="step",Standards_Active!$S16="yes"),IF(CK$380&lt;Standards_Active!$Q16,TREND(Perform_Active!$U16:$V16,Perform_Active!$U$8:$V$8,CK$380),IF(ISNUMBER(Standards_Active!$AA16),IF(AND(CK$380&gt;=Standards_Active!$Q16,CK$380&lt;Standards_Active!$R16),(Standards_Active!$AA16-INDEX($CJ388:$DI388,1,MATCH((Standards_Active!$Q16-1),$CJ$380:$DI$380,FALSE)))/(Standards_Active!$R16-(Standards_Active!$Q16-1))+CJ388,Standards_Active!$AA16*((1+Standards_Active!$AC16)^(CK$380-Standards_Active!$R16))),TREND(Perform_Active!$U16:$V16,Perform_Active!$U$8:$V$8,CK$380))),)</f>
        <v>0</v>
      </c>
      <c r="CL388" s="271">
        <f>IF(AND(Tech_Specs!$F15="step",Standards_Active!$S16="yes"),IF(CL$380&lt;Standards_Active!$Q16,TREND(Perform_Active!$U16:$V16,Perform_Active!$U$8:$V$8,CL$380),IF(ISNUMBER(Standards_Active!$AA16),IF(AND(CL$380&gt;=Standards_Active!$Q16,CL$380&lt;Standards_Active!$R16),(Standards_Active!$AA16-INDEX($CJ388:$DI388,1,MATCH((Standards_Active!$Q16-1),$CJ$380:$DI$380,FALSE)))/(Standards_Active!$R16-(Standards_Active!$Q16-1))+CK388,Standards_Active!$AA16*((1+Standards_Active!$AC16)^(CL$380-Standards_Active!$R16))),TREND(Perform_Active!$U16:$V16,Perform_Active!$U$8:$V$8,CL$380))),)</f>
        <v>0</v>
      </c>
      <c r="CM388" s="271">
        <f>IF(AND(Tech_Specs!$F15="step",Standards_Active!$S16="yes"),IF(CM$380&lt;Standards_Active!$Q16,TREND(Perform_Active!$U16:$V16,Perform_Active!$U$8:$V$8,CM$380),IF(ISNUMBER(Standards_Active!$AA16),IF(AND(CM$380&gt;=Standards_Active!$Q16,CM$380&lt;Standards_Active!$R16),(Standards_Active!$AA16-INDEX($CJ388:$DI388,1,MATCH((Standards_Active!$Q16-1),$CJ$380:$DI$380,FALSE)))/(Standards_Active!$R16-(Standards_Active!$Q16-1))+CL388,Standards_Active!$AA16*((1+Standards_Active!$AC16)^(CM$380-Standards_Active!$R16))),TREND(Perform_Active!$U16:$V16,Perform_Active!$U$8:$V$8,CM$380))),)</f>
        <v>0</v>
      </c>
      <c r="CN388" s="271">
        <f>IF(AND(Tech_Specs!$F15="step",Standards_Active!$S16="yes"),IF(CN$380&lt;Standards_Active!$Q16,TREND(Perform_Active!$U16:$V16,Perform_Active!$U$8:$V$8,CN$380),IF(ISNUMBER(Standards_Active!$AA16),IF(AND(CN$380&gt;=Standards_Active!$Q16,CN$380&lt;Standards_Active!$R16),(Standards_Active!$AA16-INDEX($CJ388:$DI388,1,MATCH((Standards_Active!$Q16-1),$CJ$380:$DI$380,FALSE)))/(Standards_Active!$R16-(Standards_Active!$Q16-1))+CM388,Standards_Active!$AA16*((1+Standards_Active!$AC16)^(CN$380-Standards_Active!$R16))),TREND(Perform_Active!$U16:$V16,Perform_Active!$U$8:$V$8,CN$380))),)</f>
        <v>0</v>
      </c>
      <c r="CO388" s="271">
        <f>IF(AND(Tech_Specs!$F15="step",Standards_Active!$S16="yes"),IF(CO$380&lt;Standards_Active!$Q16,TREND(Perform_Active!$U16:$V16,Perform_Active!$U$8:$V$8,CO$380),IF(ISNUMBER(Standards_Active!$AA16),IF(AND(CO$380&gt;=Standards_Active!$Q16,CO$380&lt;Standards_Active!$R16),(Standards_Active!$AA16-INDEX($CJ388:$DI388,1,MATCH((Standards_Active!$Q16-1),$CJ$380:$DI$380,FALSE)))/(Standards_Active!$R16-(Standards_Active!$Q16-1))+CN388,Standards_Active!$AA16*((1+Standards_Active!$AC16)^(CO$380-Standards_Active!$R16))),TREND(Perform_Active!$U16:$V16,Perform_Active!$U$8:$V$8,CO$380))),)</f>
        <v>0</v>
      </c>
      <c r="CP388" s="271">
        <f>IF(AND(Tech_Specs!$F15="step",Standards_Active!$S16="yes"),IF(CP$380&lt;Standards_Active!$Q16,TREND(Perform_Active!$U16:$V16,Perform_Active!$U$8:$V$8,CP$380),IF(ISNUMBER(Standards_Active!$AA16),IF(AND(CP$380&gt;=Standards_Active!$Q16,CP$380&lt;Standards_Active!$R16),(Standards_Active!$AA16-INDEX($CJ388:$DI388,1,MATCH((Standards_Active!$Q16-1),$CJ$380:$DI$380,FALSE)))/(Standards_Active!$R16-(Standards_Active!$Q16-1))+CO388,Standards_Active!$AA16*((1+Standards_Active!$AC16)^(CP$380-Standards_Active!$R16))),TREND(Perform_Active!$U16:$V16,Perform_Active!$U$8:$V$8,CP$380))),)</f>
        <v>0</v>
      </c>
      <c r="CQ388" s="271">
        <f>IF(AND(Tech_Specs!$F15="step",Standards_Active!$S16="yes"),IF(CQ$380&lt;Standards_Active!$Q16,TREND(Perform_Active!$U16:$V16,Perform_Active!$U$8:$V$8,CQ$380),IF(ISNUMBER(Standards_Active!$AA16),IF(AND(CQ$380&gt;=Standards_Active!$Q16,CQ$380&lt;Standards_Active!$R16),(Standards_Active!$AA16-INDEX($CJ388:$DI388,1,MATCH((Standards_Active!$Q16-1),$CJ$380:$DI$380,FALSE)))/(Standards_Active!$R16-(Standards_Active!$Q16-1))+CP388,Standards_Active!$AA16*((1+Standards_Active!$AC16)^(CQ$380-Standards_Active!$R16))),TREND(Perform_Active!$U16:$V16,Perform_Active!$U$8:$V$8,CQ$380))),)</f>
        <v>0</v>
      </c>
      <c r="CR388" s="271">
        <f>IF(AND(Tech_Specs!$F15="step",Standards_Active!$S16="yes"),IF(CR$380&lt;Standards_Active!$Q16,TREND(Perform_Active!$U16:$V16,Perform_Active!$U$8:$V$8,CR$380),IF(ISNUMBER(Standards_Active!$AA16),IF(AND(CR$380&gt;=Standards_Active!$Q16,CR$380&lt;Standards_Active!$R16),(Standards_Active!$AA16-INDEX($CJ388:$DI388,1,MATCH((Standards_Active!$Q16-1),$CJ$380:$DI$380,FALSE)))/(Standards_Active!$R16-(Standards_Active!$Q16-1))+CQ388,Standards_Active!$AA16*((1+Standards_Active!$AC16)^(CR$380-Standards_Active!$R16))),TREND(Perform_Active!$U16:$V16,Perform_Active!$U$8:$V$8,CR$380))),)</f>
        <v>0</v>
      </c>
      <c r="CS388" s="271">
        <f>IF(AND(Tech_Specs!$F15="step",Standards_Active!$S16="yes"),IF(CS$380&lt;Standards_Active!$Q16,TREND(Perform_Active!$U16:$V16,Perform_Active!$U$8:$V$8,CS$380),IF(ISNUMBER(Standards_Active!$AA16),IF(AND(CS$380&gt;=Standards_Active!$Q16,CS$380&lt;Standards_Active!$R16),(Standards_Active!$AA16-INDEX($CJ388:$DI388,1,MATCH((Standards_Active!$Q16-1),$CJ$380:$DI$380,FALSE)))/(Standards_Active!$R16-(Standards_Active!$Q16-1))+CR388,Standards_Active!$AA16*((1+Standards_Active!$AC16)^(CS$380-Standards_Active!$R16))),TREND(Perform_Active!$U16:$V16,Perform_Active!$U$8:$V$8,CS$380))),)</f>
        <v>0</v>
      </c>
      <c r="CT388" s="271">
        <f>IF(AND(Tech_Specs!$F15="step",Standards_Active!$S16="yes"),IF(CT$380&lt;Standards_Active!$Q16,TREND(Perform_Active!$U16:$V16,Perform_Active!$U$8:$V$8,CT$380),IF(ISNUMBER(Standards_Active!$AA16),IF(AND(CT$380&gt;=Standards_Active!$Q16,CT$380&lt;Standards_Active!$R16),(Standards_Active!$AA16-INDEX($CJ388:$DI388,1,MATCH((Standards_Active!$Q16-1),$CJ$380:$DI$380,FALSE)))/(Standards_Active!$R16-(Standards_Active!$Q16-1))+CS388,Standards_Active!$AA16*((1+Standards_Active!$AC16)^(CT$380-Standards_Active!$R16))),TREND(Perform_Active!$U16:$V16,Perform_Active!$U$8:$V$8,CT$380))),)</f>
        <v>0</v>
      </c>
      <c r="CU388" s="271">
        <f>IF(AND(Tech_Specs!$F15="step",Standards_Active!$S16="yes"),IF(CU$380&lt;Standards_Active!$Q16,TREND(Perform_Active!$U16:$V16,Perform_Active!$U$8:$V$8,CU$380),IF(ISNUMBER(Standards_Active!$AA16),IF(AND(CU$380&gt;=Standards_Active!$Q16,CU$380&lt;Standards_Active!$R16),(Standards_Active!$AA16-INDEX($CJ388:$DI388,1,MATCH((Standards_Active!$Q16-1),$CJ$380:$DI$380,FALSE)))/(Standards_Active!$R16-(Standards_Active!$Q16-1))+CT388,Standards_Active!$AA16*((1+Standards_Active!$AC16)^(CU$380-Standards_Active!$R16))),TREND(Perform_Active!$U16:$V16,Perform_Active!$U$8:$V$8,CU$380))),)</f>
        <v>0</v>
      </c>
      <c r="CV388" s="271">
        <f>IF(AND(Tech_Specs!$F15="step",Standards_Active!$S16="yes"),IF(CV$380&lt;Standards_Active!$Q16,TREND(Perform_Active!$U16:$V16,Perform_Active!$U$8:$V$8,CV$380),IF(ISNUMBER(Standards_Active!$AA16),IF(AND(CV$380&gt;=Standards_Active!$Q16,CV$380&lt;Standards_Active!$R16),(Standards_Active!$AA16-INDEX($CJ388:$DI388,1,MATCH((Standards_Active!$Q16-1),$CJ$380:$DI$380,FALSE)))/(Standards_Active!$R16-(Standards_Active!$Q16-1))+CU388,Standards_Active!$AA16*((1+Standards_Active!$AC16)^(CV$380-Standards_Active!$R16))),TREND(Perform_Active!$U16:$V16,Perform_Active!$U$8:$V$8,CV$380))),)</f>
        <v>0</v>
      </c>
      <c r="CW388" s="271">
        <f>IF(AND(Tech_Specs!$F15="step",Standards_Active!$S16="yes"),IF(CW$380&lt;Standards_Active!$Q16,TREND(Perform_Active!$U16:$V16,Perform_Active!$U$8:$V$8,CW$380),IF(ISNUMBER(Standards_Active!$AA16),IF(AND(CW$380&gt;=Standards_Active!$Q16,CW$380&lt;Standards_Active!$R16),(Standards_Active!$AA16-INDEX($CJ388:$DI388,1,MATCH((Standards_Active!$Q16-1),$CJ$380:$DI$380,FALSE)))/(Standards_Active!$R16-(Standards_Active!$Q16-1))+CV388,Standards_Active!$AA16*((1+Standards_Active!$AC16)^(CW$380-Standards_Active!$R16))),TREND(Perform_Active!$U16:$V16,Perform_Active!$U$8:$V$8,CW$380))),)</f>
        <v>0</v>
      </c>
      <c r="CX388" s="271">
        <f>IF(AND(Tech_Specs!$F15="step",Standards_Active!$S16="yes"),IF(CX$380&lt;Standards_Active!$Q16,TREND(Perform_Active!$U16:$V16,Perform_Active!$U$8:$V$8,CX$380),IF(ISNUMBER(Standards_Active!$AA16),IF(AND(CX$380&gt;=Standards_Active!$Q16,CX$380&lt;Standards_Active!$R16),(Standards_Active!$AA16-INDEX($CJ388:$DI388,1,MATCH((Standards_Active!$Q16-1),$CJ$380:$DI$380,FALSE)))/(Standards_Active!$R16-(Standards_Active!$Q16-1))+CW388,Standards_Active!$AA16*((1+Standards_Active!$AC16)^(CX$380-Standards_Active!$R16))),TREND(Perform_Active!$U16:$V16,Perform_Active!$U$8:$V$8,CX$380))),)</f>
        <v>0</v>
      </c>
      <c r="CY388" s="271">
        <f>IF(AND(Tech_Specs!$F15="step",Standards_Active!$S16="yes"),IF(CY$380&lt;Standards_Active!$Q16,TREND(Perform_Active!$U16:$V16,Perform_Active!$U$8:$V$8,CY$380),IF(ISNUMBER(Standards_Active!$AA16),IF(AND(CY$380&gt;=Standards_Active!$Q16,CY$380&lt;Standards_Active!$R16),(Standards_Active!$AA16-INDEX($CJ388:$DI388,1,MATCH((Standards_Active!$Q16-1),$CJ$380:$DI$380,FALSE)))/(Standards_Active!$R16-(Standards_Active!$Q16-1))+CX388,Standards_Active!$AA16*((1+Standards_Active!$AC16)^(CY$380-Standards_Active!$R16))),TREND(Perform_Active!$U16:$V16,Perform_Active!$U$8:$V$8,CY$380))),)</f>
        <v>0</v>
      </c>
      <c r="CZ388" s="271">
        <f>IF(AND(Tech_Specs!$F15="step",Standards_Active!$S16="yes"),IF(CZ$380&lt;Standards_Active!$Q16,TREND(Perform_Active!$U16:$V16,Perform_Active!$U$8:$V$8,CZ$380),IF(ISNUMBER(Standards_Active!$AA16),IF(AND(CZ$380&gt;=Standards_Active!$Q16,CZ$380&lt;Standards_Active!$R16),(Standards_Active!$AA16-INDEX($CJ388:$DI388,1,MATCH((Standards_Active!$Q16-1),$CJ$380:$DI$380,FALSE)))/(Standards_Active!$R16-(Standards_Active!$Q16-1))+CY388,Standards_Active!$AA16*((1+Standards_Active!$AC16)^(CZ$380-Standards_Active!$R16))),TREND(Perform_Active!$U16:$V16,Perform_Active!$U$8:$V$8,CZ$380))),)</f>
        <v>0</v>
      </c>
      <c r="DA388" s="271">
        <f>IF(AND(Tech_Specs!$F15="step",Standards_Active!$S16="yes"),IF(DA$380&lt;Standards_Active!$Q16,TREND(Perform_Active!$U16:$V16,Perform_Active!$U$8:$V$8,DA$380),IF(ISNUMBER(Standards_Active!$AA16),IF(AND(DA$380&gt;=Standards_Active!$Q16,DA$380&lt;Standards_Active!$R16),(Standards_Active!$AA16-INDEX($CJ388:$DI388,1,MATCH((Standards_Active!$Q16-1),$CJ$380:$DI$380,FALSE)))/(Standards_Active!$R16-(Standards_Active!$Q16-1))+CZ388,Standards_Active!$AA16*((1+Standards_Active!$AC16)^(DA$380-Standards_Active!$R16))),TREND(Perform_Active!$U16:$V16,Perform_Active!$U$8:$V$8,DA$380))),)</f>
        <v>0</v>
      </c>
      <c r="DB388" s="271">
        <f>IF(AND(Tech_Specs!$F15="step",Standards_Active!$S16="yes"),IF(DB$380&lt;Standards_Active!$Q16,TREND(Perform_Active!$U16:$V16,Perform_Active!$U$8:$V$8,DB$380),IF(ISNUMBER(Standards_Active!$AA16),IF(AND(DB$380&gt;=Standards_Active!$Q16,DB$380&lt;Standards_Active!$R16),(Standards_Active!$AA16-INDEX($CJ388:$DI388,1,MATCH((Standards_Active!$Q16-1),$CJ$380:$DI$380,FALSE)))/(Standards_Active!$R16-(Standards_Active!$Q16-1))+DA388,Standards_Active!$AA16*((1+Standards_Active!$AC16)^(DB$380-Standards_Active!$R16))),TREND(Perform_Active!$U16:$V16,Perform_Active!$U$8:$V$8,DB$380))),)</f>
        <v>0</v>
      </c>
      <c r="DC388" s="271">
        <f>IF(AND(Tech_Specs!$F15="step",Standards_Active!$S16="yes"),IF(DC$380&lt;Standards_Active!$Q16,TREND(Perform_Active!$U16:$V16,Perform_Active!$U$8:$V$8,DC$380),IF(ISNUMBER(Standards_Active!$AA16),IF(AND(DC$380&gt;=Standards_Active!$Q16,DC$380&lt;Standards_Active!$R16),(Standards_Active!$AA16-INDEX($CJ388:$DI388,1,MATCH((Standards_Active!$Q16-1),$CJ$380:$DI$380,FALSE)))/(Standards_Active!$R16-(Standards_Active!$Q16-1))+DB388,Standards_Active!$AA16*((1+Standards_Active!$AC16)^(DC$380-Standards_Active!$R16))),TREND(Perform_Active!$U16:$V16,Perform_Active!$U$8:$V$8,DC$380))),)</f>
        <v>0</v>
      </c>
      <c r="DD388" s="271">
        <f>IF(AND(Tech_Specs!$F15="step",Standards_Active!$S16="yes"),IF(DD$380&lt;Standards_Active!$Q16,TREND(Perform_Active!$U16:$V16,Perform_Active!$U$8:$V$8,DD$380),IF(ISNUMBER(Standards_Active!$AA16),IF(AND(DD$380&gt;=Standards_Active!$Q16,DD$380&lt;Standards_Active!$R16),(Standards_Active!$AA16-INDEX($CJ388:$DI388,1,MATCH((Standards_Active!$Q16-1),$CJ$380:$DI$380,FALSE)))/(Standards_Active!$R16-(Standards_Active!$Q16-1))+DC388,Standards_Active!$AA16*((1+Standards_Active!$AC16)^(DD$380-Standards_Active!$R16))),TREND(Perform_Active!$U16:$V16,Perform_Active!$U$8:$V$8,DD$380))),)</f>
        <v>0</v>
      </c>
      <c r="DE388" s="271">
        <f>IF(AND(Tech_Specs!$F15="step",Standards_Active!$S16="yes"),IF(DE$380&lt;Standards_Active!$Q16,TREND(Perform_Active!$U16:$V16,Perform_Active!$U$8:$V$8,DE$380),IF(ISNUMBER(Standards_Active!$AA16),IF(AND(DE$380&gt;=Standards_Active!$Q16,DE$380&lt;Standards_Active!$R16),(Standards_Active!$AA16-INDEX($CJ388:$DI388,1,MATCH((Standards_Active!$Q16-1),$CJ$380:$DI$380,FALSE)))/(Standards_Active!$R16-(Standards_Active!$Q16-1))+DD388,Standards_Active!$AA16*((1+Standards_Active!$AC16)^(DE$380-Standards_Active!$R16))),TREND(Perform_Active!$U16:$V16,Perform_Active!$U$8:$V$8,DE$380))),)</f>
        <v>0</v>
      </c>
      <c r="DF388" s="271">
        <f>IF(AND(Tech_Specs!$F15="step",Standards_Active!$S16="yes"),IF(DF$380&lt;Standards_Active!$Q16,TREND(Perform_Active!$U16:$V16,Perform_Active!$U$8:$V$8,DF$380),IF(ISNUMBER(Standards_Active!$AA16),IF(AND(DF$380&gt;=Standards_Active!$Q16,DF$380&lt;Standards_Active!$R16),(Standards_Active!$AA16-INDEX($CJ388:$DI388,1,MATCH((Standards_Active!$Q16-1),$CJ$380:$DI$380,FALSE)))/(Standards_Active!$R16-(Standards_Active!$Q16-1))+DE388,Standards_Active!$AA16*((1+Standards_Active!$AC16)^(DF$380-Standards_Active!$R16))),TREND(Perform_Active!$U16:$V16,Perform_Active!$U$8:$V$8,DF$380))),)</f>
        <v>0</v>
      </c>
      <c r="DG388" s="271">
        <f>IF(AND(Tech_Specs!$F15="step",Standards_Active!$S16="yes"),IF(DG$380&lt;Standards_Active!$Q16,TREND(Perform_Active!$U16:$V16,Perform_Active!$U$8:$V$8,DG$380),IF(ISNUMBER(Standards_Active!$AA16),IF(AND(DG$380&gt;=Standards_Active!$Q16,DG$380&lt;Standards_Active!$R16),(Standards_Active!$AA16-INDEX($CJ388:$DI388,1,MATCH((Standards_Active!$Q16-1),$CJ$380:$DI$380,FALSE)))/(Standards_Active!$R16-(Standards_Active!$Q16-1))+DF388,Standards_Active!$AA16*((1+Standards_Active!$AC16)^(DG$380-Standards_Active!$R16))),TREND(Perform_Active!$U16:$V16,Perform_Active!$U$8:$V$8,DG$380))),)</f>
        <v>0</v>
      </c>
      <c r="DH388" s="271">
        <f>IF(AND(Tech_Specs!$F15="step",Standards_Active!$S16="yes"),IF(DH$380&lt;Standards_Active!$Q16,TREND(Perform_Active!$U16:$V16,Perform_Active!$U$8:$V$8,DH$380),IF(ISNUMBER(Standards_Active!$AA16),IF(AND(DH$380&gt;=Standards_Active!$Q16,DH$380&lt;Standards_Active!$R16),(Standards_Active!$AA16-INDEX($CJ388:$DI388,1,MATCH((Standards_Active!$Q16-1),$CJ$380:$DI$380,FALSE)))/(Standards_Active!$R16-(Standards_Active!$Q16-1))+DG388,Standards_Active!$AA16*((1+Standards_Active!$AC16)^(DH$380-Standards_Active!$R16))),TREND(Perform_Active!$U16:$V16,Perform_Active!$U$8:$V$8,DH$380))),)</f>
        <v>0</v>
      </c>
      <c r="DI388" s="271">
        <f>IF(AND(Tech_Specs!$F15="step",Standards_Active!$S16="yes"),IF(DI$380&lt;Standards_Active!$Q16,TREND(Perform_Active!$U16:$V16,Perform_Active!$U$8:$V$8,DI$380),IF(ISNUMBER(Standards_Active!$AA16),IF(AND(DI$380&gt;=Standards_Active!$Q16,DI$380&lt;Standards_Active!$R16),(Standards_Active!$AA16-INDEX($CJ388:$DI388,1,MATCH((Standards_Active!$Q16-1),$CJ$380:$DI$380,FALSE)))/(Standards_Active!$R16-(Standards_Active!$Q16-1))+DH388,Standards_Active!$AA16*((1+Standards_Active!$AC16)^(DI$380-Standards_Active!$R16))),TREND(Perform_Active!$U16:$V16,Perform_Active!$U$8:$V$8,DI$380))),)</f>
        <v>0</v>
      </c>
    </row>
    <row r="389" spans="1:113" s="322" customFormat="1" ht="12.75" x14ac:dyDescent="0.2">
      <c r="A389" s="328"/>
      <c r="B389" s="328" t="s">
        <v>34</v>
      </c>
      <c r="D389" s="550"/>
      <c r="E389" s="550"/>
      <c r="F389" s="550"/>
      <c r="G389" s="272">
        <f t="shared" si="69"/>
        <v>0</v>
      </c>
      <c r="H389" s="272">
        <f t="shared" si="69"/>
        <v>0</v>
      </c>
      <c r="I389" s="272">
        <f t="shared" si="69"/>
        <v>0</v>
      </c>
      <c r="J389" s="272">
        <f t="shared" si="69"/>
        <v>0</v>
      </c>
      <c r="K389" s="272">
        <f t="shared" si="69"/>
        <v>0</v>
      </c>
      <c r="L389" s="272">
        <f t="shared" si="69"/>
        <v>0</v>
      </c>
      <c r="M389" s="272">
        <f t="shared" si="69"/>
        <v>0</v>
      </c>
      <c r="N389" s="272">
        <f t="shared" si="69"/>
        <v>0</v>
      </c>
      <c r="O389" s="272">
        <f t="shared" si="69"/>
        <v>0</v>
      </c>
      <c r="P389" s="272">
        <f t="shared" si="69"/>
        <v>0</v>
      </c>
      <c r="Q389" s="272">
        <f t="shared" si="70"/>
        <v>0</v>
      </c>
      <c r="R389" s="272">
        <f t="shared" si="70"/>
        <v>0</v>
      </c>
      <c r="S389" s="272">
        <f t="shared" si="70"/>
        <v>0</v>
      </c>
      <c r="T389" s="272">
        <f t="shared" si="70"/>
        <v>0</v>
      </c>
      <c r="U389" s="272">
        <f t="shared" si="70"/>
        <v>0</v>
      </c>
      <c r="V389" s="272">
        <f t="shared" si="70"/>
        <v>0</v>
      </c>
      <c r="W389" s="272">
        <f t="shared" si="70"/>
        <v>0</v>
      </c>
      <c r="X389" s="272">
        <f t="shared" si="70"/>
        <v>0</v>
      </c>
      <c r="Y389" s="272">
        <f t="shared" si="70"/>
        <v>0</v>
      </c>
      <c r="Z389" s="272">
        <f t="shared" si="70"/>
        <v>0</v>
      </c>
      <c r="AA389" s="272">
        <f t="shared" si="71"/>
        <v>0</v>
      </c>
      <c r="AB389" s="272">
        <f t="shared" si="71"/>
        <v>0</v>
      </c>
      <c r="AC389" s="272">
        <f t="shared" si="71"/>
        <v>0</v>
      </c>
      <c r="AD389" s="272">
        <f t="shared" si="71"/>
        <v>0</v>
      </c>
      <c r="AE389" s="272">
        <f t="shared" si="71"/>
        <v>0</v>
      </c>
      <c r="AF389" s="272">
        <f t="shared" si="71"/>
        <v>0</v>
      </c>
      <c r="AG389" s="376"/>
      <c r="AH389" s="271">
        <f>IF(Tech_Specs!$F16="linear",TREND(Perform_Active!$U17:$V17,Perform_Active!$U$8:$V$8,AH$380),)</f>
        <v>0</v>
      </c>
      <c r="AI389" s="271">
        <f>IF(Tech_Specs!$F16="linear",TREND(Perform_Active!$U17:$V17,Perform_Active!$U$8:$V$8,AI$380),)</f>
        <v>0</v>
      </c>
      <c r="AJ389" s="271">
        <f>IF(Tech_Specs!$F16="linear",TREND(Perform_Active!$U17:$V17,Perform_Active!$U$8:$V$8,AJ$380),)</f>
        <v>0</v>
      </c>
      <c r="AK389" s="271">
        <f>IF(Tech_Specs!$F16="linear",TREND(Perform_Active!$U17:$V17,Perform_Active!$U$8:$V$8,AK$380),)</f>
        <v>0</v>
      </c>
      <c r="AL389" s="271">
        <f>IF(Tech_Specs!$F16="linear",TREND(Perform_Active!$U17:$V17,Perform_Active!$U$8:$V$8,AL$380),)</f>
        <v>0</v>
      </c>
      <c r="AM389" s="271">
        <f>IF(Tech_Specs!$F16="linear",TREND(Perform_Active!$U17:$V17,Perform_Active!$U$8:$V$8,AM$380),)</f>
        <v>0</v>
      </c>
      <c r="AN389" s="271">
        <f>IF(Tech_Specs!$F16="linear",TREND(Perform_Active!$U17:$V17,Perform_Active!$U$8:$V$8,AN$380),)</f>
        <v>0</v>
      </c>
      <c r="AO389" s="271">
        <f>IF(Tech_Specs!$F16="linear",TREND(Perform_Active!$U17:$V17,Perform_Active!$U$8:$V$8,AO$380),)</f>
        <v>0</v>
      </c>
      <c r="AP389" s="271">
        <f>IF(Tech_Specs!$F16="linear",TREND(Perform_Active!$U17:$V17,Perform_Active!$U$8:$V$8,AP$380),)</f>
        <v>0</v>
      </c>
      <c r="AQ389" s="271">
        <f>IF(Tech_Specs!$F16="linear",TREND(Perform_Active!$U17:$V17,Perform_Active!$U$8:$V$8,AQ$380),)</f>
        <v>0</v>
      </c>
      <c r="AR389" s="271">
        <f>IF(Tech_Specs!$F16="linear",TREND(Perform_Active!$U17:$V17,Perform_Active!$U$8:$V$8,AR$380),)</f>
        <v>0</v>
      </c>
      <c r="AS389" s="271">
        <f>IF(Tech_Specs!$F16="linear",TREND(Perform_Active!$U17:$V17,Perform_Active!$U$8:$V$8,AS$380),)</f>
        <v>0</v>
      </c>
      <c r="AT389" s="271">
        <f>IF(Tech_Specs!$F16="linear",TREND(Perform_Active!$U17:$V17,Perform_Active!$U$8:$V$8,AT$380),)</f>
        <v>0</v>
      </c>
      <c r="AU389" s="271">
        <f>IF(Tech_Specs!$F16="linear",TREND(Perform_Active!$U17:$V17,Perform_Active!$U$8:$V$8,AU$380),)</f>
        <v>0</v>
      </c>
      <c r="AV389" s="271">
        <f>IF(Tech_Specs!$F16="linear",TREND(Perform_Active!$U17:$V17,Perform_Active!$U$8:$V$8,AV$380),)</f>
        <v>0</v>
      </c>
      <c r="AW389" s="271">
        <f>IF(Tech_Specs!$F16="linear",TREND(Perform_Active!$U17:$V17,Perform_Active!$U$8:$V$8,AW$380),)</f>
        <v>0</v>
      </c>
      <c r="AX389" s="271">
        <f>IF(Tech_Specs!$F16="linear",TREND(Perform_Active!$U17:$V17,Perform_Active!$U$8:$V$8,AX$380),)</f>
        <v>0</v>
      </c>
      <c r="AY389" s="271">
        <f>IF(Tech_Specs!$F16="linear",TREND(Perform_Active!$U17:$V17,Perform_Active!$U$8:$V$8,AY$380),)</f>
        <v>0</v>
      </c>
      <c r="AZ389" s="271">
        <f>IF(Tech_Specs!$F16="linear",TREND(Perform_Active!$U17:$V17,Perform_Active!$U$8:$V$8,AZ$380),)</f>
        <v>0</v>
      </c>
      <c r="BA389" s="271">
        <f>IF(Tech_Specs!$F16="linear",TREND(Perform_Active!$U17:$V17,Perform_Active!$U$8:$V$8,BA$380),)</f>
        <v>0</v>
      </c>
      <c r="BB389" s="271">
        <f>IF(Tech_Specs!$F16="linear",TREND(Perform_Active!$U17:$V17,Perform_Active!$U$8:$V$8,BB$380),)</f>
        <v>0</v>
      </c>
      <c r="BC389" s="271">
        <f>IF(Tech_Specs!$F16="linear",TREND(Perform_Active!$U17:$V17,Perform_Active!$U$8:$V$8,BC$380),)</f>
        <v>0</v>
      </c>
      <c r="BD389" s="271">
        <f>IF(Tech_Specs!$F16="linear",TREND(Perform_Active!$U17:$V17,Perform_Active!$U$8:$V$8,BD$380),)</f>
        <v>0</v>
      </c>
      <c r="BE389" s="271">
        <f>IF(Tech_Specs!$F16="linear",TREND(Perform_Active!$U17:$V17,Perform_Active!$U$8:$V$8,BE$380),)</f>
        <v>0</v>
      </c>
      <c r="BF389" s="271">
        <f>IF(Tech_Specs!$F16="linear",TREND(Perform_Active!$U17:$V17,Perform_Active!$U$8:$V$8,BF$380),)</f>
        <v>0</v>
      </c>
      <c r="BG389" s="271">
        <f>IF(Tech_Specs!$F16="linear",TREND(Perform_Active!$U17:$V17,Perform_Active!$U$8:$V$8,BG$380),)</f>
        <v>0</v>
      </c>
      <c r="BH389" s="376"/>
      <c r="BI389" s="271">
        <f>IF(Tech_Specs!$F16="logistic",0,)</f>
        <v>0</v>
      </c>
      <c r="BJ389" s="271">
        <f>IF(Tech_Specs!$F16="logistic",0,)</f>
        <v>0</v>
      </c>
      <c r="BK389" s="271">
        <f>IF(Tech_Specs!$F16="logistic",0,)</f>
        <v>0</v>
      </c>
      <c r="BL389" s="271">
        <f>IF(Tech_Specs!$F16="logistic",0,)</f>
        <v>0</v>
      </c>
      <c r="BM389" s="271">
        <f>IF(Tech_Specs!$F16="logistic",0,)</f>
        <v>0</v>
      </c>
      <c r="BN389" s="271">
        <f>IF(Tech_Specs!$F16="logistic",0,)</f>
        <v>0</v>
      </c>
      <c r="BO389" s="271">
        <f>IF(Tech_Specs!$F16="logistic",0,)</f>
        <v>0</v>
      </c>
      <c r="BP389" s="271">
        <f>IF(Tech_Specs!$F16="logistic",0,)</f>
        <v>0</v>
      </c>
      <c r="BQ389" s="271">
        <f>IF(Tech_Specs!$F16="logistic",0,)</f>
        <v>0</v>
      </c>
      <c r="BR389" s="271">
        <f>IF(Tech_Specs!$F16="logistic",0,)</f>
        <v>0</v>
      </c>
      <c r="BS389" s="271">
        <f>IF(Tech_Specs!$F16="logistic",0,)</f>
        <v>0</v>
      </c>
      <c r="BT389" s="271">
        <f>IF(Tech_Specs!$F16="logistic",0,)</f>
        <v>0</v>
      </c>
      <c r="BU389" s="271">
        <f>IF(Tech_Specs!$F16="logistic",0,)</f>
        <v>0</v>
      </c>
      <c r="BV389" s="271">
        <f>IF(Tech_Specs!$F16="logistic",0,)</f>
        <v>0</v>
      </c>
      <c r="BW389" s="271">
        <f>IF(Tech_Specs!$F16="logistic",0,)</f>
        <v>0</v>
      </c>
      <c r="BX389" s="271">
        <f>IF(Tech_Specs!$F16="logistic",0,)</f>
        <v>0</v>
      </c>
      <c r="BY389" s="271">
        <f>IF(Tech_Specs!$F16="logistic",0,)</f>
        <v>0</v>
      </c>
      <c r="BZ389" s="271">
        <f>IF(Tech_Specs!$F16="logistic",0,)</f>
        <v>0</v>
      </c>
      <c r="CA389" s="271">
        <f>IF(Tech_Specs!$F16="logistic",0,)</f>
        <v>0</v>
      </c>
      <c r="CB389" s="271">
        <f>IF(Tech_Specs!$F16="logistic",0,)</f>
        <v>0</v>
      </c>
      <c r="CC389" s="271">
        <f>IF(Tech_Specs!$F16="logistic",0,)</f>
        <v>0</v>
      </c>
      <c r="CD389" s="271">
        <f>IF(Tech_Specs!$F16="logistic",0,)</f>
        <v>0</v>
      </c>
      <c r="CE389" s="271">
        <f>IF(Tech_Specs!$F16="logistic",0,)</f>
        <v>0</v>
      </c>
      <c r="CF389" s="271">
        <f>IF(Tech_Specs!$F16="logistic",0,)</f>
        <v>0</v>
      </c>
      <c r="CG389" s="271">
        <f>IF(Tech_Specs!$F16="logistic",0,)</f>
        <v>0</v>
      </c>
      <c r="CH389" s="271">
        <f>IF(Tech_Specs!$F16="logistic",0,)</f>
        <v>0</v>
      </c>
      <c r="CI389" s="376"/>
      <c r="CJ389" s="271">
        <f>IF(AND(Tech_Specs!$F16="step",Standards_Active!$S17="yes"),IF(CJ$380&lt;Standards_Active!$Q17,TREND(Perform_Active!$U17:$V17,Perform_Active!$U$8:$V$8,CJ$380),IF(ISNUMBER(Standards_Active!$AA17),IF(AND(CJ$380&gt;=Standards_Active!$Q17,CJ$380&lt;Standards_Active!$R17),(Standards_Active!$AA17-INDEX($CJ389:$DI389,1,MATCH((Standards_Active!$Q17-1),$CJ$380:$DI$380,FALSE)))/(Standards_Active!$R17-(Standards_Active!$Q17-1))+CI389,Standards_Active!$AA17*((1+Standards_Active!$AC17)^(CJ$380-Standards_Active!$R17))),TREND(Perform_Active!$U17:$V17,Perform_Active!$U$8:$V$8,CJ$380))),)</f>
        <v>0</v>
      </c>
      <c r="CK389" s="271">
        <f>IF(AND(Tech_Specs!$F16="step",Standards_Active!$S17="yes"),IF(CK$380&lt;Standards_Active!$Q17,TREND(Perform_Active!$U17:$V17,Perform_Active!$U$8:$V$8,CK$380),IF(ISNUMBER(Standards_Active!$AA17),IF(AND(CK$380&gt;=Standards_Active!$Q17,CK$380&lt;Standards_Active!$R17),(Standards_Active!$AA17-INDEX($CJ389:$DI389,1,MATCH((Standards_Active!$Q17-1),$CJ$380:$DI$380,FALSE)))/(Standards_Active!$R17-(Standards_Active!$Q17-1))+CJ389,Standards_Active!$AA17*((1+Standards_Active!$AC17)^(CK$380-Standards_Active!$R17))),TREND(Perform_Active!$U17:$V17,Perform_Active!$U$8:$V$8,CK$380))),)</f>
        <v>0</v>
      </c>
      <c r="CL389" s="271">
        <f>IF(AND(Tech_Specs!$F16="step",Standards_Active!$S17="yes"),IF(CL$380&lt;Standards_Active!$Q17,TREND(Perform_Active!$U17:$V17,Perform_Active!$U$8:$V$8,CL$380),IF(ISNUMBER(Standards_Active!$AA17),IF(AND(CL$380&gt;=Standards_Active!$Q17,CL$380&lt;Standards_Active!$R17),(Standards_Active!$AA17-INDEX($CJ389:$DI389,1,MATCH((Standards_Active!$Q17-1),$CJ$380:$DI$380,FALSE)))/(Standards_Active!$R17-(Standards_Active!$Q17-1))+CK389,Standards_Active!$AA17*((1+Standards_Active!$AC17)^(CL$380-Standards_Active!$R17))),TREND(Perform_Active!$U17:$V17,Perform_Active!$U$8:$V$8,CL$380))),)</f>
        <v>0</v>
      </c>
      <c r="CM389" s="271">
        <f>IF(AND(Tech_Specs!$F16="step",Standards_Active!$S17="yes"),IF(CM$380&lt;Standards_Active!$Q17,TREND(Perform_Active!$U17:$V17,Perform_Active!$U$8:$V$8,CM$380),IF(ISNUMBER(Standards_Active!$AA17),IF(AND(CM$380&gt;=Standards_Active!$Q17,CM$380&lt;Standards_Active!$R17),(Standards_Active!$AA17-INDEX($CJ389:$DI389,1,MATCH((Standards_Active!$Q17-1),$CJ$380:$DI$380,FALSE)))/(Standards_Active!$R17-(Standards_Active!$Q17-1))+CL389,Standards_Active!$AA17*((1+Standards_Active!$AC17)^(CM$380-Standards_Active!$R17))),TREND(Perform_Active!$U17:$V17,Perform_Active!$U$8:$V$8,CM$380))),)</f>
        <v>0</v>
      </c>
      <c r="CN389" s="271">
        <f>IF(AND(Tech_Specs!$F16="step",Standards_Active!$S17="yes"),IF(CN$380&lt;Standards_Active!$Q17,TREND(Perform_Active!$U17:$V17,Perform_Active!$U$8:$V$8,CN$380),IF(ISNUMBER(Standards_Active!$AA17),IF(AND(CN$380&gt;=Standards_Active!$Q17,CN$380&lt;Standards_Active!$R17),(Standards_Active!$AA17-INDEX($CJ389:$DI389,1,MATCH((Standards_Active!$Q17-1),$CJ$380:$DI$380,FALSE)))/(Standards_Active!$R17-(Standards_Active!$Q17-1))+CM389,Standards_Active!$AA17*((1+Standards_Active!$AC17)^(CN$380-Standards_Active!$R17))),TREND(Perform_Active!$U17:$V17,Perform_Active!$U$8:$V$8,CN$380))),)</f>
        <v>0</v>
      </c>
      <c r="CO389" s="271">
        <f>IF(AND(Tech_Specs!$F16="step",Standards_Active!$S17="yes"),IF(CO$380&lt;Standards_Active!$Q17,TREND(Perform_Active!$U17:$V17,Perform_Active!$U$8:$V$8,CO$380),IF(ISNUMBER(Standards_Active!$AA17),IF(AND(CO$380&gt;=Standards_Active!$Q17,CO$380&lt;Standards_Active!$R17),(Standards_Active!$AA17-INDEX($CJ389:$DI389,1,MATCH((Standards_Active!$Q17-1),$CJ$380:$DI$380,FALSE)))/(Standards_Active!$R17-(Standards_Active!$Q17-1))+CN389,Standards_Active!$AA17*((1+Standards_Active!$AC17)^(CO$380-Standards_Active!$R17))),TREND(Perform_Active!$U17:$V17,Perform_Active!$U$8:$V$8,CO$380))),)</f>
        <v>0</v>
      </c>
      <c r="CP389" s="271">
        <f>IF(AND(Tech_Specs!$F16="step",Standards_Active!$S17="yes"),IF(CP$380&lt;Standards_Active!$Q17,TREND(Perform_Active!$U17:$V17,Perform_Active!$U$8:$V$8,CP$380),IF(ISNUMBER(Standards_Active!$AA17),IF(AND(CP$380&gt;=Standards_Active!$Q17,CP$380&lt;Standards_Active!$R17),(Standards_Active!$AA17-INDEX($CJ389:$DI389,1,MATCH((Standards_Active!$Q17-1),$CJ$380:$DI$380,FALSE)))/(Standards_Active!$R17-(Standards_Active!$Q17-1))+CO389,Standards_Active!$AA17*((1+Standards_Active!$AC17)^(CP$380-Standards_Active!$R17))),TREND(Perform_Active!$U17:$V17,Perform_Active!$U$8:$V$8,CP$380))),)</f>
        <v>0</v>
      </c>
      <c r="CQ389" s="271">
        <f>IF(AND(Tech_Specs!$F16="step",Standards_Active!$S17="yes"),IF(CQ$380&lt;Standards_Active!$Q17,TREND(Perform_Active!$U17:$V17,Perform_Active!$U$8:$V$8,CQ$380),IF(ISNUMBER(Standards_Active!$AA17),IF(AND(CQ$380&gt;=Standards_Active!$Q17,CQ$380&lt;Standards_Active!$R17),(Standards_Active!$AA17-INDEX($CJ389:$DI389,1,MATCH((Standards_Active!$Q17-1),$CJ$380:$DI$380,FALSE)))/(Standards_Active!$R17-(Standards_Active!$Q17-1))+CP389,Standards_Active!$AA17*((1+Standards_Active!$AC17)^(CQ$380-Standards_Active!$R17))),TREND(Perform_Active!$U17:$V17,Perform_Active!$U$8:$V$8,CQ$380))),)</f>
        <v>0</v>
      </c>
      <c r="CR389" s="271">
        <f>IF(AND(Tech_Specs!$F16="step",Standards_Active!$S17="yes"),IF(CR$380&lt;Standards_Active!$Q17,TREND(Perform_Active!$U17:$V17,Perform_Active!$U$8:$V$8,CR$380),IF(ISNUMBER(Standards_Active!$AA17),IF(AND(CR$380&gt;=Standards_Active!$Q17,CR$380&lt;Standards_Active!$R17),(Standards_Active!$AA17-INDEX($CJ389:$DI389,1,MATCH((Standards_Active!$Q17-1),$CJ$380:$DI$380,FALSE)))/(Standards_Active!$R17-(Standards_Active!$Q17-1))+CQ389,Standards_Active!$AA17*((1+Standards_Active!$AC17)^(CR$380-Standards_Active!$R17))),TREND(Perform_Active!$U17:$V17,Perform_Active!$U$8:$V$8,CR$380))),)</f>
        <v>0</v>
      </c>
      <c r="CS389" s="271">
        <f>IF(AND(Tech_Specs!$F16="step",Standards_Active!$S17="yes"),IF(CS$380&lt;Standards_Active!$Q17,TREND(Perform_Active!$U17:$V17,Perform_Active!$U$8:$V$8,CS$380),IF(ISNUMBER(Standards_Active!$AA17),IF(AND(CS$380&gt;=Standards_Active!$Q17,CS$380&lt;Standards_Active!$R17),(Standards_Active!$AA17-INDEX($CJ389:$DI389,1,MATCH((Standards_Active!$Q17-1),$CJ$380:$DI$380,FALSE)))/(Standards_Active!$R17-(Standards_Active!$Q17-1))+CR389,Standards_Active!$AA17*((1+Standards_Active!$AC17)^(CS$380-Standards_Active!$R17))),TREND(Perform_Active!$U17:$V17,Perform_Active!$U$8:$V$8,CS$380))),)</f>
        <v>0</v>
      </c>
      <c r="CT389" s="271">
        <f>IF(AND(Tech_Specs!$F16="step",Standards_Active!$S17="yes"),IF(CT$380&lt;Standards_Active!$Q17,TREND(Perform_Active!$U17:$V17,Perform_Active!$U$8:$V$8,CT$380),IF(ISNUMBER(Standards_Active!$AA17),IF(AND(CT$380&gt;=Standards_Active!$Q17,CT$380&lt;Standards_Active!$R17),(Standards_Active!$AA17-INDEX($CJ389:$DI389,1,MATCH((Standards_Active!$Q17-1),$CJ$380:$DI$380,FALSE)))/(Standards_Active!$R17-(Standards_Active!$Q17-1))+CS389,Standards_Active!$AA17*((1+Standards_Active!$AC17)^(CT$380-Standards_Active!$R17))),TREND(Perform_Active!$U17:$V17,Perform_Active!$U$8:$V$8,CT$380))),)</f>
        <v>0</v>
      </c>
      <c r="CU389" s="271">
        <f>IF(AND(Tech_Specs!$F16="step",Standards_Active!$S17="yes"),IF(CU$380&lt;Standards_Active!$Q17,TREND(Perform_Active!$U17:$V17,Perform_Active!$U$8:$V$8,CU$380),IF(ISNUMBER(Standards_Active!$AA17),IF(AND(CU$380&gt;=Standards_Active!$Q17,CU$380&lt;Standards_Active!$R17),(Standards_Active!$AA17-INDEX($CJ389:$DI389,1,MATCH((Standards_Active!$Q17-1),$CJ$380:$DI$380,FALSE)))/(Standards_Active!$R17-(Standards_Active!$Q17-1))+CT389,Standards_Active!$AA17*((1+Standards_Active!$AC17)^(CU$380-Standards_Active!$R17))),TREND(Perform_Active!$U17:$V17,Perform_Active!$U$8:$V$8,CU$380))),)</f>
        <v>0</v>
      </c>
      <c r="CV389" s="271">
        <f>IF(AND(Tech_Specs!$F16="step",Standards_Active!$S17="yes"),IF(CV$380&lt;Standards_Active!$Q17,TREND(Perform_Active!$U17:$V17,Perform_Active!$U$8:$V$8,CV$380),IF(ISNUMBER(Standards_Active!$AA17),IF(AND(CV$380&gt;=Standards_Active!$Q17,CV$380&lt;Standards_Active!$R17),(Standards_Active!$AA17-INDEX($CJ389:$DI389,1,MATCH((Standards_Active!$Q17-1),$CJ$380:$DI$380,FALSE)))/(Standards_Active!$R17-(Standards_Active!$Q17-1))+CU389,Standards_Active!$AA17*((1+Standards_Active!$AC17)^(CV$380-Standards_Active!$R17))),TREND(Perform_Active!$U17:$V17,Perform_Active!$U$8:$V$8,CV$380))),)</f>
        <v>0</v>
      </c>
      <c r="CW389" s="271">
        <f>IF(AND(Tech_Specs!$F16="step",Standards_Active!$S17="yes"),IF(CW$380&lt;Standards_Active!$Q17,TREND(Perform_Active!$U17:$V17,Perform_Active!$U$8:$V$8,CW$380),IF(ISNUMBER(Standards_Active!$AA17),IF(AND(CW$380&gt;=Standards_Active!$Q17,CW$380&lt;Standards_Active!$R17),(Standards_Active!$AA17-INDEX($CJ389:$DI389,1,MATCH((Standards_Active!$Q17-1),$CJ$380:$DI$380,FALSE)))/(Standards_Active!$R17-(Standards_Active!$Q17-1))+CV389,Standards_Active!$AA17*((1+Standards_Active!$AC17)^(CW$380-Standards_Active!$R17))),TREND(Perform_Active!$U17:$V17,Perform_Active!$U$8:$V$8,CW$380))),)</f>
        <v>0</v>
      </c>
      <c r="CX389" s="271">
        <f>IF(AND(Tech_Specs!$F16="step",Standards_Active!$S17="yes"),IF(CX$380&lt;Standards_Active!$Q17,TREND(Perform_Active!$U17:$V17,Perform_Active!$U$8:$V$8,CX$380),IF(ISNUMBER(Standards_Active!$AA17),IF(AND(CX$380&gt;=Standards_Active!$Q17,CX$380&lt;Standards_Active!$R17),(Standards_Active!$AA17-INDEX($CJ389:$DI389,1,MATCH((Standards_Active!$Q17-1),$CJ$380:$DI$380,FALSE)))/(Standards_Active!$R17-(Standards_Active!$Q17-1))+CW389,Standards_Active!$AA17*((1+Standards_Active!$AC17)^(CX$380-Standards_Active!$R17))),TREND(Perform_Active!$U17:$V17,Perform_Active!$U$8:$V$8,CX$380))),)</f>
        <v>0</v>
      </c>
      <c r="CY389" s="271">
        <f>IF(AND(Tech_Specs!$F16="step",Standards_Active!$S17="yes"),IF(CY$380&lt;Standards_Active!$Q17,TREND(Perform_Active!$U17:$V17,Perform_Active!$U$8:$V$8,CY$380),IF(ISNUMBER(Standards_Active!$AA17),IF(AND(CY$380&gt;=Standards_Active!$Q17,CY$380&lt;Standards_Active!$R17),(Standards_Active!$AA17-INDEX($CJ389:$DI389,1,MATCH((Standards_Active!$Q17-1),$CJ$380:$DI$380,FALSE)))/(Standards_Active!$R17-(Standards_Active!$Q17-1))+CX389,Standards_Active!$AA17*((1+Standards_Active!$AC17)^(CY$380-Standards_Active!$R17))),TREND(Perform_Active!$U17:$V17,Perform_Active!$U$8:$V$8,CY$380))),)</f>
        <v>0</v>
      </c>
      <c r="CZ389" s="271">
        <f>IF(AND(Tech_Specs!$F16="step",Standards_Active!$S17="yes"),IF(CZ$380&lt;Standards_Active!$Q17,TREND(Perform_Active!$U17:$V17,Perform_Active!$U$8:$V$8,CZ$380),IF(ISNUMBER(Standards_Active!$AA17),IF(AND(CZ$380&gt;=Standards_Active!$Q17,CZ$380&lt;Standards_Active!$R17),(Standards_Active!$AA17-INDEX($CJ389:$DI389,1,MATCH((Standards_Active!$Q17-1),$CJ$380:$DI$380,FALSE)))/(Standards_Active!$R17-(Standards_Active!$Q17-1))+CY389,Standards_Active!$AA17*((1+Standards_Active!$AC17)^(CZ$380-Standards_Active!$R17))),TREND(Perform_Active!$U17:$V17,Perform_Active!$U$8:$V$8,CZ$380))),)</f>
        <v>0</v>
      </c>
      <c r="DA389" s="271">
        <f>IF(AND(Tech_Specs!$F16="step",Standards_Active!$S17="yes"),IF(DA$380&lt;Standards_Active!$Q17,TREND(Perform_Active!$U17:$V17,Perform_Active!$U$8:$V$8,DA$380),IF(ISNUMBER(Standards_Active!$AA17),IF(AND(DA$380&gt;=Standards_Active!$Q17,DA$380&lt;Standards_Active!$R17),(Standards_Active!$AA17-INDEX($CJ389:$DI389,1,MATCH((Standards_Active!$Q17-1),$CJ$380:$DI$380,FALSE)))/(Standards_Active!$R17-(Standards_Active!$Q17-1))+CZ389,Standards_Active!$AA17*((1+Standards_Active!$AC17)^(DA$380-Standards_Active!$R17))),TREND(Perform_Active!$U17:$V17,Perform_Active!$U$8:$V$8,DA$380))),)</f>
        <v>0</v>
      </c>
      <c r="DB389" s="271">
        <f>IF(AND(Tech_Specs!$F16="step",Standards_Active!$S17="yes"),IF(DB$380&lt;Standards_Active!$Q17,TREND(Perform_Active!$U17:$V17,Perform_Active!$U$8:$V$8,DB$380),IF(ISNUMBER(Standards_Active!$AA17),IF(AND(DB$380&gt;=Standards_Active!$Q17,DB$380&lt;Standards_Active!$R17),(Standards_Active!$AA17-INDEX($CJ389:$DI389,1,MATCH((Standards_Active!$Q17-1),$CJ$380:$DI$380,FALSE)))/(Standards_Active!$R17-(Standards_Active!$Q17-1))+DA389,Standards_Active!$AA17*((1+Standards_Active!$AC17)^(DB$380-Standards_Active!$R17))),TREND(Perform_Active!$U17:$V17,Perform_Active!$U$8:$V$8,DB$380))),)</f>
        <v>0</v>
      </c>
      <c r="DC389" s="271">
        <f>IF(AND(Tech_Specs!$F16="step",Standards_Active!$S17="yes"),IF(DC$380&lt;Standards_Active!$Q17,TREND(Perform_Active!$U17:$V17,Perform_Active!$U$8:$V$8,DC$380),IF(ISNUMBER(Standards_Active!$AA17),IF(AND(DC$380&gt;=Standards_Active!$Q17,DC$380&lt;Standards_Active!$R17),(Standards_Active!$AA17-INDEX($CJ389:$DI389,1,MATCH((Standards_Active!$Q17-1),$CJ$380:$DI$380,FALSE)))/(Standards_Active!$R17-(Standards_Active!$Q17-1))+DB389,Standards_Active!$AA17*((1+Standards_Active!$AC17)^(DC$380-Standards_Active!$R17))),TREND(Perform_Active!$U17:$V17,Perform_Active!$U$8:$V$8,DC$380))),)</f>
        <v>0</v>
      </c>
      <c r="DD389" s="271">
        <f>IF(AND(Tech_Specs!$F16="step",Standards_Active!$S17="yes"),IF(DD$380&lt;Standards_Active!$Q17,TREND(Perform_Active!$U17:$V17,Perform_Active!$U$8:$V$8,DD$380),IF(ISNUMBER(Standards_Active!$AA17),IF(AND(DD$380&gt;=Standards_Active!$Q17,DD$380&lt;Standards_Active!$R17),(Standards_Active!$AA17-INDEX($CJ389:$DI389,1,MATCH((Standards_Active!$Q17-1),$CJ$380:$DI$380,FALSE)))/(Standards_Active!$R17-(Standards_Active!$Q17-1))+DC389,Standards_Active!$AA17*((1+Standards_Active!$AC17)^(DD$380-Standards_Active!$R17))),TREND(Perform_Active!$U17:$V17,Perform_Active!$U$8:$V$8,DD$380))),)</f>
        <v>0</v>
      </c>
      <c r="DE389" s="271">
        <f>IF(AND(Tech_Specs!$F16="step",Standards_Active!$S17="yes"),IF(DE$380&lt;Standards_Active!$Q17,TREND(Perform_Active!$U17:$V17,Perform_Active!$U$8:$V$8,DE$380),IF(ISNUMBER(Standards_Active!$AA17),IF(AND(DE$380&gt;=Standards_Active!$Q17,DE$380&lt;Standards_Active!$R17),(Standards_Active!$AA17-INDEX($CJ389:$DI389,1,MATCH((Standards_Active!$Q17-1),$CJ$380:$DI$380,FALSE)))/(Standards_Active!$R17-(Standards_Active!$Q17-1))+DD389,Standards_Active!$AA17*((1+Standards_Active!$AC17)^(DE$380-Standards_Active!$R17))),TREND(Perform_Active!$U17:$V17,Perform_Active!$U$8:$V$8,DE$380))),)</f>
        <v>0</v>
      </c>
      <c r="DF389" s="271">
        <f>IF(AND(Tech_Specs!$F16="step",Standards_Active!$S17="yes"),IF(DF$380&lt;Standards_Active!$Q17,TREND(Perform_Active!$U17:$V17,Perform_Active!$U$8:$V$8,DF$380),IF(ISNUMBER(Standards_Active!$AA17),IF(AND(DF$380&gt;=Standards_Active!$Q17,DF$380&lt;Standards_Active!$R17),(Standards_Active!$AA17-INDEX($CJ389:$DI389,1,MATCH((Standards_Active!$Q17-1),$CJ$380:$DI$380,FALSE)))/(Standards_Active!$R17-(Standards_Active!$Q17-1))+DE389,Standards_Active!$AA17*((1+Standards_Active!$AC17)^(DF$380-Standards_Active!$R17))),TREND(Perform_Active!$U17:$V17,Perform_Active!$U$8:$V$8,DF$380))),)</f>
        <v>0</v>
      </c>
      <c r="DG389" s="271">
        <f>IF(AND(Tech_Specs!$F16="step",Standards_Active!$S17="yes"),IF(DG$380&lt;Standards_Active!$Q17,TREND(Perform_Active!$U17:$V17,Perform_Active!$U$8:$V$8,DG$380),IF(ISNUMBER(Standards_Active!$AA17),IF(AND(DG$380&gt;=Standards_Active!$Q17,DG$380&lt;Standards_Active!$R17),(Standards_Active!$AA17-INDEX($CJ389:$DI389,1,MATCH((Standards_Active!$Q17-1),$CJ$380:$DI$380,FALSE)))/(Standards_Active!$R17-(Standards_Active!$Q17-1))+DF389,Standards_Active!$AA17*((1+Standards_Active!$AC17)^(DG$380-Standards_Active!$R17))),TREND(Perform_Active!$U17:$V17,Perform_Active!$U$8:$V$8,DG$380))),)</f>
        <v>0</v>
      </c>
      <c r="DH389" s="271">
        <f>IF(AND(Tech_Specs!$F16="step",Standards_Active!$S17="yes"),IF(DH$380&lt;Standards_Active!$Q17,TREND(Perform_Active!$U17:$V17,Perform_Active!$U$8:$V$8,DH$380),IF(ISNUMBER(Standards_Active!$AA17),IF(AND(DH$380&gt;=Standards_Active!$Q17,DH$380&lt;Standards_Active!$R17),(Standards_Active!$AA17-INDEX($CJ389:$DI389,1,MATCH((Standards_Active!$Q17-1),$CJ$380:$DI$380,FALSE)))/(Standards_Active!$R17-(Standards_Active!$Q17-1))+DG389,Standards_Active!$AA17*((1+Standards_Active!$AC17)^(DH$380-Standards_Active!$R17))),TREND(Perform_Active!$U17:$V17,Perform_Active!$U$8:$V$8,DH$380))),)</f>
        <v>0</v>
      </c>
      <c r="DI389" s="271">
        <f>IF(AND(Tech_Specs!$F16="step",Standards_Active!$S17="yes"),IF(DI$380&lt;Standards_Active!$Q17,TREND(Perform_Active!$U17:$V17,Perform_Active!$U$8:$V$8,DI$380),IF(ISNUMBER(Standards_Active!$AA17),IF(AND(DI$380&gt;=Standards_Active!$Q17,DI$380&lt;Standards_Active!$R17),(Standards_Active!$AA17-INDEX($CJ389:$DI389,1,MATCH((Standards_Active!$Q17-1),$CJ$380:$DI$380,FALSE)))/(Standards_Active!$R17-(Standards_Active!$Q17-1))+DH389,Standards_Active!$AA17*((1+Standards_Active!$AC17)^(DI$380-Standards_Active!$R17))),TREND(Perform_Active!$U17:$V17,Perform_Active!$U$8:$V$8,DI$380))),)</f>
        <v>0</v>
      </c>
    </row>
    <row r="390" spans="1:113" s="322" customFormat="1" ht="12.75" x14ac:dyDescent="0.2">
      <c r="B390" s="328" t="s">
        <v>35</v>
      </c>
      <c r="D390" s="550"/>
      <c r="E390" s="550"/>
      <c r="F390" s="550"/>
      <c r="G390" s="272">
        <f t="shared" si="69"/>
        <v>0</v>
      </c>
      <c r="H390" s="272">
        <f t="shared" si="69"/>
        <v>0</v>
      </c>
      <c r="I390" s="272">
        <f t="shared" si="69"/>
        <v>0</v>
      </c>
      <c r="J390" s="272">
        <f t="shared" si="69"/>
        <v>0</v>
      </c>
      <c r="K390" s="272">
        <f t="shared" si="69"/>
        <v>0</v>
      </c>
      <c r="L390" s="272">
        <f t="shared" si="69"/>
        <v>0</v>
      </c>
      <c r="M390" s="272">
        <f t="shared" si="69"/>
        <v>0</v>
      </c>
      <c r="N390" s="272">
        <f t="shared" si="69"/>
        <v>0</v>
      </c>
      <c r="O390" s="272">
        <f t="shared" si="69"/>
        <v>0</v>
      </c>
      <c r="P390" s="272">
        <f t="shared" si="69"/>
        <v>0</v>
      </c>
      <c r="Q390" s="272">
        <f t="shared" si="70"/>
        <v>0</v>
      </c>
      <c r="R390" s="272">
        <f t="shared" si="70"/>
        <v>0</v>
      </c>
      <c r="S390" s="272">
        <f t="shared" si="70"/>
        <v>0</v>
      </c>
      <c r="T390" s="272">
        <f t="shared" si="70"/>
        <v>0</v>
      </c>
      <c r="U390" s="272">
        <f t="shared" si="70"/>
        <v>0</v>
      </c>
      <c r="V390" s="272">
        <f t="shared" si="70"/>
        <v>0</v>
      </c>
      <c r="W390" s="272">
        <f t="shared" si="70"/>
        <v>0</v>
      </c>
      <c r="X390" s="272">
        <f t="shared" si="70"/>
        <v>0</v>
      </c>
      <c r="Y390" s="272">
        <f t="shared" si="70"/>
        <v>0</v>
      </c>
      <c r="Z390" s="272">
        <f t="shared" si="70"/>
        <v>0</v>
      </c>
      <c r="AA390" s="272">
        <f t="shared" si="71"/>
        <v>0</v>
      </c>
      <c r="AB390" s="272">
        <f t="shared" si="71"/>
        <v>0</v>
      </c>
      <c r="AC390" s="272">
        <f t="shared" si="71"/>
        <v>0</v>
      </c>
      <c r="AD390" s="272">
        <f t="shared" si="71"/>
        <v>0</v>
      </c>
      <c r="AE390" s="272">
        <f t="shared" si="71"/>
        <v>0</v>
      </c>
      <c r="AF390" s="272">
        <f t="shared" si="71"/>
        <v>0</v>
      </c>
      <c r="AG390" s="376"/>
      <c r="AH390" s="271">
        <f>IF(Tech_Specs!$F17="linear",TREND(Perform_Active!$U18:$V18,Perform_Active!$U$8:$V$8,AH$380),)</f>
        <v>0</v>
      </c>
      <c r="AI390" s="271">
        <f>IF(Tech_Specs!$F17="linear",TREND(Perform_Active!$U18:$V18,Perform_Active!$U$8:$V$8,AI$380),)</f>
        <v>0</v>
      </c>
      <c r="AJ390" s="271">
        <f>IF(Tech_Specs!$F17="linear",TREND(Perform_Active!$U18:$V18,Perform_Active!$U$8:$V$8,AJ$380),)</f>
        <v>0</v>
      </c>
      <c r="AK390" s="271">
        <f>IF(Tech_Specs!$F17="linear",TREND(Perform_Active!$U18:$V18,Perform_Active!$U$8:$V$8,AK$380),)</f>
        <v>0</v>
      </c>
      <c r="AL390" s="271">
        <f>IF(Tech_Specs!$F17="linear",TREND(Perform_Active!$U18:$V18,Perform_Active!$U$8:$V$8,AL$380),)</f>
        <v>0</v>
      </c>
      <c r="AM390" s="271">
        <f>IF(Tech_Specs!$F17="linear",TREND(Perform_Active!$U18:$V18,Perform_Active!$U$8:$V$8,AM$380),)</f>
        <v>0</v>
      </c>
      <c r="AN390" s="271">
        <f>IF(Tech_Specs!$F17="linear",TREND(Perform_Active!$U18:$V18,Perform_Active!$U$8:$V$8,AN$380),)</f>
        <v>0</v>
      </c>
      <c r="AO390" s="271">
        <f>IF(Tech_Specs!$F17="linear",TREND(Perform_Active!$U18:$V18,Perform_Active!$U$8:$V$8,AO$380),)</f>
        <v>0</v>
      </c>
      <c r="AP390" s="271">
        <f>IF(Tech_Specs!$F17="linear",TREND(Perform_Active!$U18:$V18,Perform_Active!$U$8:$V$8,AP$380),)</f>
        <v>0</v>
      </c>
      <c r="AQ390" s="271">
        <f>IF(Tech_Specs!$F17="linear",TREND(Perform_Active!$U18:$V18,Perform_Active!$U$8:$V$8,AQ$380),)</f>
        <v>0</v>
      </c>
      <c r="AR390" s="271">
        <f>IF(Tech_Specs!$F17="linear",TREND(Perform_Active!$U18:$V18,Perform_Active!$U$8:$V$8,AR$380),)</f>
        <v>0</v>
      </c>
      <c r="AS390" s="271">
        <f>IF(Tech_Specs!$F17="linear",TREND(Perform_Active!$U18:$V18,Perform_Active!$U$8:$V$8,AS$380),)</f>
        <v>0</v>
      </c>
      <c r="AT390" s="271">
        <f>IF(Tech_Specs!$F17="linear",TREND(Perform_Active!$U18:$V18,Perform_Active!$U$8:$V$8,AT$380),)</f>
        <v>0</v>
      </c>
      <c r="AU390" s="271">
        <f>IF(Tech_Specs!$F17="linear",TREND(Perform_Active!$U18:$V18,Perform_Active!$U$8:$V$8,AU$380),)</f>
        <v>0</v>
      </c>
      <c r="AV390" s="271">
        <f>IF(Tech_Specs!$F17="linear",TREND(Perform_Active!$U18:$V18,Perform_Active!$U$8:$V$8,AV$380),)</f>
        <v>0</v>
      </c>
      <c r="AW390" s="271">
        <f>IF(Tech_Specs!$F17="linear",TREND(Perform_Active!$U18:$V18,Perform_Active!$U$8:$V$8,AW$380),)</f>
        <v>0</v>
      </c>
      <c r="AX390" s="271">
        <f>IF(Tech_Specs!$F17="linear",TREND(Perform_Active!$U18:$V18,Perform_Active!$U$8:$V$8,AX$380),)</f>
        <v>0</v>
      </c>
      <c r="AY390" s="271">
        <f>IF(Tech_Specs!$F17="linear",TREND(Perform_Active!$U18:$V18,Perform_Active!$U$8:$V$8,AY$380),)</f>
        <v>0</v>
      </c>
      <c r="AZ390" s="271">
        <f>IF(Tech_Specs!$F17="linear",TREND(Perform_Active!$U18:$V18,Perform_Active!$U$8:$V$8,AZ$380),)</f>
        <v>0</v>
      </c>
      <c r="BA390" s="271">
        <f>IF(Tech_Specs!$F17="linear",TREND(Perform_Active!$U18:$V18,Perform_Active!$U$8:$V$8,BA$380),)</f>
        <v>0</v>
      </c>
      <c r="BB390" s="271">
        <f>IF(Tech_Specs!$F17="linear",TREND(Perform_Active!$U18:$V18,Perform_Active!$U$8:$V$8,BB$380),)</f>
        <v>0</v>
      </c>
      <c r="BC390" s="271">
        <f>IF(Tech_Specs!$F17="linear",TREND(Perform_Active!$U18:$V18,Perform_Active!$U$8:$V$8,BC$380),)</f>
        <v>0</v>
      </c>
      <c r="BD390" s="271">
        <f>IF(Tech_Specs!$F17="linear",TREND(Perform_Active!$U18:$V18,Perform_Active!$U$8:$V$8,BD$380),)</f>
        <v>0</v>
      </c>
      <c r="BE390" s="271">
        <f>IF(Tech_Specs!$F17="linear",TREND(Perform_Active!$U18:$V18,Perform_Active!$U$8:$V$8,BE$380),)</f>
        <v>0</v>
      </c>
      <c r="BF390" s="271">
        <f>IF(Tech_Specs!$F17="linear",TREND(Perform_Active!$U18:$V18,Perform_Active!$U$8:$V$8,BF$380),)</f>
        <v>0</v>
      </c>
      <c r="BG390" s="271">
        <f>IF(Tech_Specs!$F17="linear",TREND(Perform_Active!$U18:$V18,Perform_Active!$U$8:$V$8,BG$380),)</f>
        <v>0</v>
      </c>
      <c r="BH390" s="376"/>
      <c r="BI390" s="271">
        <f>IF(Tech_Specs!$F17="logistic",0,)</f>
        <v>0</v>
      </c>
      <c r="BJ390" s="271">
        <f>IF(Tech_Specs!$F17="logistic",0,)</f>
        <v>0</v>
      </c>
      <c r="BK390" s="271">
        <f>IF(Tech_Specs!$F17="logistic",0,)</f>
        <v>0</v>
      </c>
      <c r="BL390" s="271">
        <f>IF(Tech_Specs!$F17="logistic",0,)</f>
        <v>0</v>
      </c>
      <c r="BM390" s="271">
        <f>IF(Tech_Specs!$F17="logistic",0,)</f>
        <v>0</v>
      </c>
      <c r="BN390" s="271">
        <f>IF(Tech_Specs!$F17="logistic",0,)</f>
        <v>0</v>
      </c>
      <c r="BO390" s="271">
        <f>IF(Tech_Specs!$F17="logistic",0,)</f>
        <v>0</v>
      </c>
      <c r="BP390" s="271">
        <f>IF(Tech_Specs!$F17="logistic",0,)</f>
        <v>0</v>
      </c>
      <c r="BQ390" s="271">
        <f>IF(Tech_Specs!$F17="logistic",0,)</f>
        <v>0</v>
      </c>
      <c r="BR390" s="271">
        <f>IF(Tech_Specs!$F17="logistic",0,)</f>
        <v>0</v>
      </c>
      <c r="BS390" s="271">
        <f>IF(Tech_Specs!$F17="logistic",0,)</f>
        <v>0</v>
      </c>
      <c r="BT390" s="271">
        <f>IF(Tech_Specs!$F17="logistic",0,)</f>
        <v>0</v>
      </c>
      <c r="BU390" s="271">
        <f>IF(Tech_Specs!$F17="logistic",0,)</f>
        <v>0</v>
      </c>
      <c r="BV390" s="271">
        <f>IF(Tech_Specs!$F17="logistic",0,)</f>
        <v>0</v>
      </c>
      <c r="BW390" s="271">
        <f>IF(Tech_Specs!$F17="logistic",0,)</f>
        <v>0</v>
      </c>
      <c r="BX390" s="271">
        <f>IF(Tech_Specs!$F17="logistic",0,)</f>
        <v>0</v>
      </c>
      <c r="BY390" s="271">
        <f>IF(Tech_Specs!$F17="logistic",0,)</f>
        <v>0</v>
      </c>
      <c r="BZ390" s="271">
        <f>IF(Tech_Specs!$F17="logistic",0,)</f>
        <v>0</v>
      </c>
      <c r="CA390" s="271">
        <f>IF(Tech_Specs!$F17="logistic",0,)</f>
        <v>0</v>
      </c>
      <c r="CB390" s="271">
        <f>IF(Tech_Specs!$F17="logistic",0,)</f>
        <v>0</v>
      </c>
      <c r="CC390" s="271">
        <f>IF(Tech_Specs!$F17="logistic",0,)</f>
        <v>0</v>
      </c>
      <c r="CD390" s="271">
        <f>IF(Tech_Specs!$F17="logistic",0,)</f>
        <v>0</v>
      </c>
      <c r="CE390" s="271">
        <f>IF(Tech_Specs!$F17="logistic",0,)</f>
        <v>0</v>
      </c>
      <c r="CF390" s="271">
        <f>IF(Tech_Specs!$F17="logistic",0,)</f>
        <v>0</v>
      </c>
      <c r="CG390" s="271">
        <f>IF(Tech_Specs!$F17="logistic",0,)</f>
        <v>0</v>
      </c>
      <c r="CH390" s="271">
        <f>IF(Tech_Specs!$F17="logistic",0,)</f>
        <v>0</v>
      </c>
      <c r="CI390" s="376"/>
      <c r="CJ390" s="271">
        <f>IF(AND(Tech_Specs!$F17="step",Standards_Active!$S18="yes"),IF(CJ$380&lt;Standards_Active!$Q18,TREND(Perform_Active!$U18:$V18,Perform_Active!$U$8:$V$8,CJ$380),IF(ISNUMBER(Standards_Active!$AA18),IF(AND(CJ$380&gt;=Standards_Active!$Q18,CJ$380&lt;Standards_Active!$R18),(Standards_Active!$AA18-INDEX($CJ390:$DI390,1,MATCH((Standards_Active!$Q18-1),$CJ$380:$DI$380,FALSE)))/(Standards_Active!$R18-(Standards_Active!$Q18-1))+CI390,Standards_Active!$AA18*((1+Standards_Active!$AC18)^(CJ$380-Standards_Active!$R18))),TREND(Perform_Active!$U18:$V18,Perform_Active!$U$8:$V$8,CJ$380))),)</f>
        <v>0</v>
      </c>
      <c r="CK390" s="271">
        <f>IF(AND(Tech_Specs!$F17="step",Standards_Active!$S18="yes"),IF(CK$380&lt;Standards_Active!$Q18,TREND(Perform_Active!$U18:$V18,Perform_Active!$U$8:$V$8,CK$380),IF(ISNUMBER(Standards_Active!$AA18),IF(AND(CK$380&gt;=Standards_Active!$Q18,CK$380&lt;Standards_Active!$R18),(Standards_Active!$AA18-INDEX($CJ390:$DI390,1,MATCH((Standards_Active!$Q18-1),$CJ$380:$DI$380,FALSE)))/(Standards_Active!$R18-(Standards_Active!$Q18-1))+CJ390,Standards_Active!$AA18*((1+Standards_Active!$AC18)^(CK$380-Standards_Active!$R18))),TREND(Perform_Active!$U18:$V18,Perform_Active!$U$8:$V$8,CK$380))),)</f>
        <v>0</v>
      </c>
      <c r="CL390" s="271">
        <f>IF(AND(Tech_Specs!$F17="step",Standards_Active!$S18="yes"),IF(CL$380&lt;Standards_Active!$Q18,TREND(Perform_Active!$U18:$V18,Perform_Active!$U$8:$V$8,CL$380),IF(ISNUMBER(Standards_Active!$AA18),IF(AND(CL$380&gt;=Standards_Active!$Q18,CL$380&lt;Standards_Active!$R18),(Standards_Active!$AA18-INDEX($CJ390:$DI390,1,MATCH((Standards_Active!$Q18-1),$CJ$380:$DI$380,FALSE)))/(Standards_Active!$R18-(Standards_Active!$Q18-1))+CK390,Standards_Active!$AA18*((1+Standards_Active!$AC18)^(CL$380-Standards_Active!$R18))),TREND(Perform_Active!$U18:$V18,Perform_Active!$U$8:$V$8,CL$380))),)</f>
        <v>0</v>
      </c>
      <c r="CM390" s="271">
        <f>IF(AND(Tech_Specs!$F17="step",Standards_Active!$S18="yes"),IF(CM$380&lt;Standards_Active!$Q18,TREND(Perform_Active!$U18:$V18,Perform_Active!$U$8:$V$8,CM$380),IF(ISNUMBER(Standards_Active!$AA18),IF(AND(CM$380&gt;=Standards_Active!$Q18,CM$380&lt;Standards_Active!$R18),(Standards_Active!$AA18-INDEX($CJ390:$DI390,1,MATCH((Standards_Active!$Q18-1),$CJ$380:$DI$380,FALSE)))/(Standards_Active!$R18-(Standards_Active!$Q18-1))+CL390,Standards_Active!$AA18*((1+Standards_Active!$AC18)^(CM$380-Standards_Active!$R18))),TREND(Perform_Active!$U18:$V18,Perform_Active!$U$8:$V$8,CM$380))),)</f>
        <v>0</v>
      </c>
      <c r="CN390" s="271">
        <f>IF(AND(Tech_Specs!$F17="step",Standards_Active!$S18="yes"),IF(CN$380&lt;Standards_Active!$Q18,TREND(Perform_Active!$U18:$V18,Perform_Active!$U$8:$V$8,CN$380),IF(ISNUMBER(Standards_Active!$AA18),IF(AND(CN$380&gt;=Standards_Active!$Q18,CN$380&lt;Standards_Active!$R18),(Standards_Active!$AA18-INDEX($CJ390:$DI390,1,MATCH((Standards_Active!$Q18-1),$CJ$380:$DI$380,FALSE)))/(Standards_Active!$R18-(Standards_Active!$Q18-1))+CM390,Standards_Active!$AA18*((1+Standards_Active!$AC18)^(CN$380-Standards_Active!$R18))),TREND(Perform_Active!$U18:$V18,Perform_Active!$U$8:$V$8,CN$380))),)</f>
        <v>0</v>
      </c>
      <c r="CO390" s="271">
        <f>IF(AND(Tech_Specs!$F17="step",Standards_Active!$S18="yes"),IF(CO$380&lt;Standards_Active!$Q18,TREND(Perform_Active!$U18:$V18,Perform_Active!$U$8:$V$8,CO$380),IF(ISNUMBER(Standards_Active!$AA18),IF(AND(CO$380&gt;=Standards_Active!$Q18,CO$380&lt;Standards_Active!$R18),(Standards_Active!$AA18-INDEX($CJ390:$DI390,1,MATCH((Standards_Active!$Q18-1),$CJ$380:$DI$380,FALSE)))/(Standards_Active!$R18-(Standards_Active!$Q18-1))+CN390,Standards_Active!$AA18*((1+Standards_Active!$AC18)^(CO$380-Standards_Active!$R18))),TREND(Perform_Active!$U18:$V18,Perform_Active!$U$8:$V$8,CO$380))),)</f>
        <v>0</v>
      </c>
      <c r="CP390" s="271">
        <f>IF(AND(Tech_Specs!$F17="step",Standards_Active!$S18="yes"),IF(CP$380&lt;Standards_Active!$Q18,TREND(Perform_Active!$U18:$V18,Perform_Active!$U$8:$V$8,CP$380),IF(ISNUMBER(Standards_Active!$AA18),IF(AND(CP$380&gt;=Standards_Active!$Q18,CP$380&lt;Standards_Active!$R18),(Standards_Active!$AA18-INDEX($CJ390:$DI390,1,MATCH((Standards_Active!$Q18-1),$CJ$380:$DI$380,FALSE)))/(Standards_Active!$R18-(Standards_Active!$Q18-1))+CO390,Standards_Active!$AA18*((1+Standards_Active!$AC18)^(CP$380-Standards_Active!$R18))),TREND(Perform_Active!$U18:$V18,Perform_Active!$U$8:$V$8,CP$380))),)</f>
        <v>0</v>
      </c>
      <c r="CQ390" s="271">
        <f>IF(AND(Tech_Specs!$F17="step",Standards_Active!$S18="yes"),IF(CQ$380&lt;Standards_Active!$Q18,TREND(Perform_Active!$U18:$V18,Perform_Active!$U$8:$V$8,CQ$380),IF(ISNUMBER(Standards_Active!$AA18),IF(AND(CQ$380&gt;=Standards_Active!$Q18,CQ$380&lt;Standards_Active!$R18),(Standards_Active!$AA18-INDEX($CJ390:$DI390,1,MATCH((Standards_Active!$Q18-1),$CJ$380:$DI$380,FALSE)))/(Standards_Active!$R18-(Standards_Active!$Q18-1))+CP390,Standards_Active!$AA18*((1+Standards_Active!$AC18)^(CQ$380-Standards_Active!$R18))),TREND(Perform_Active!$U18:$V18,Perform_Active!$U$8:$V$8,CQ$380))),)</f>
        <v>0</v>
      </c>
      <c r="CR390" s="271">
        <f>IF(AND(Tech_Specs!$F17="step",Standards_Active!$S18="yes"),IF(CR$380&lt;Standards_Active!$Q18,TREND(Perform_Active!$U18:$V18,Perform_Active!$U$8:$V$8,CR$380),IF(ISNUMBER(Standards_Active!$AA18),IF(AND(CR$380&gt;=Standards_Active!$Q18,CR$380&lt;Standards_Active!$R18),(Standards_Active!$AA18-INDEX($CJ390:$DI390,1,MATCH((Standards_Active!$Q18-1),$CJ$380:$DI$380,FALSE)))/(Standards_Active!$R18-(Standards_Active!$Q18-1))+CQ390,Standards_Active!$AA18*((1+Standards_Active!$AC18)^(CR$380-Standards_Active!$R18))),TREND(Perform_Active!$U18:$V18,Perform_Active!$U$8:$V$8,CR$380))),)</f>
        <v>0</v>
      </c>
      <c r="CS390" s="271">
        <f>IF(AND(Tech_Specs!$F17="step",Standards_Active!$S18="yes"),IF(CS$380&lt;Standards_Active!$Q18,TREND(Perform_Active!$U18:$V18,Perform_Active!$U$8:$V$8,CS$380),IF(ISNUMBER(Standards_Active!$AA18),IF(AND(CS$380&gt;=Standards_Active!$Q18,CS$380&lt;Standards_Active!$R18),(Standards_Active!$AA18-INDEX($CJ390:$DI390,1,MATCH((Standards_Active!$Q18-1),$CJ$380:$DI$380,FALSE)))/(Standards_Active!$R18-(Standards_Active!$Q18-1))+CR390,Standards_Active!$AA18*((1+Standards_Active!$AC18)^(CS$380-Standards_Active!$R18))),TREND(Perform_Active!$U18:$V18,Perform_Active!$U$8:$V$8,CS$380))),)</f>
        <v>0</v>
      </c>
      <c r="CT390" s="271">
        <f>IF(AND(Tech_Specs!$F17="step",Standards_Active!$S18="yes"),IF(CT$380&lt;Standards_Active!$Q18,TREND(Perform_Active!$U18:$V18,Perform_Active!$U$8:$V$8,CT$380),IF(ISNUMBER(Standards_Active!$AA18),IF(AND(CT$380&gt;=Standards_Active!$Q18,CT$380&lt;Standards_Active!$R18),(Standards_Active!$AA18-INDEX($CJ390:$DI390,1,MATCH((Standards_Active!$Q18-1),$CJ$380:$DI$380,FALSE)))/(Standards_Active!$R18-(Standards_Active!$Q18-1))+CS390,Standards_Active!$AA18*((1+Standards_Active!$AC18)^(CT$380-Standards_Active!$R18))),TREND(Perform_Active!$U18:$V18,Perform_Active!$U$8:$V$8,CT$380))),)</f>
        <v>0</v>
      </c>
      <c r="CU390" s="271">
        <f>IF(AND(Tech_Specs!$F17="step",Standards_Active!$S18="yes"),IF(CU$380&lt;Standards_Active!$Q18,TREND(Perform_Active!$U18:$V18,Perform_Active!$U$8:$V$8,CU$380),IF(ISNUMBER(Standards_Active!$AA18),IF(AND(CU$380&gt;=Standards_Active!$Q18,CU$380&lt;Standards_Active!$R18),(Standards_Active!$AA18-INDEX($CJ390:$DI390,1,MATCH((Standards_Active!$Q18-1),$CJ$380:$DI$380,FALSE)))/(Standards_Active!$R18-(Standards_Active!$Q18-1))+CT390,Standards_Active!$AA18*((1+Standards_Active!$AC18)^(CU$380-Standards_Active!$R18))),TREND(Perform_Active!$U18:$V18,Perform_Active!$U$8:$V$8,CU$380))),)</f>
        <v>0</v>
      </c>
      <c r="CV390" s="271">
        <f>IF(AND(Tech_Specs!$F17="step",Standards_Active!$S18="yes"),IF(CV$380&lt;Standards_Active!$Q18,TREND(Perform_Active!$U18:$V18,Perform_Active!$U$8:$V$8,CV$380),IF(ISNUMBER(Standards_Active!$AA18),IF(AND(CV$380&gt;=Standards_Active!$Q18,CV$380&lt;Standards_Active!$R18),(Standards_Active!$AA18-INDEX($CJ390:$DI390,1,MATCH((Standards_Active!$Q18-1),$CJ$380:$DI$380,FALSE)))/(Standards_Active!$R18-(Standards_Active!$Q18-1))+CU390,Standards_Active!$AA18*((1+Standards_Active!$AC18)^(CV$380-Standards_Active!$R18))),TREND(Perform_Active!$U18:$V18,Perform_Active!$U$8:$V$8,CV$380))),)</f>
        <v>0</v>
      </c>
      <c r="CW390" s="271">
        <f>IF(AND(Tech_Specs!$F17="step",Standards_Active!$S18="yes"),IF(CW$380&lt;Standards_Active!$Q18,TREND(Perform_Active!$U18:$V18,Perform_Active!$U$8:$V$8,CW$380),IF(ISNUMBER(Standards_Active!$AA18),IF(AND(CW$380&gt;=Standards_Active!$Q18,CW$380&lt;Standards_Active!$R18),(Standards_Active!$AA18-INDEX($CJ390:$DI390,1,MATCH((Standards_Active!$Q18-1),$CJ$380:$DI$380,FALSE)))/(Standards_Active!$R18-(Standards_Active!$Q18-1))+CV390,Standards_Active!$AA18*((1+Standards_Active!$AC18)^(CW$380-Standards_Active!$R18))),TREND(Perform_Active!$U18:$V18,Perform_Active!$U$8:$V$8,CW$380))),)</f>
        <v>0</v>
      </c>
      <c r="CX390" s="271">
        <f>IF(AND(Tech_Specs!$F17="step",Standards_Active!$S18="yes"),IF(CX$380&lt;Standards_Active!$Q18,TREND(Perform_Active!$U18:$V18,Perform_Active!$U$8:$V$8,CX$380),IF(ISNUMBER(Standards_Active!$AA18),IF(AND(CX$380&gt;=Standards_Active!$Q18,CX$380&lt;Standards_Active!$R18),(Standards_Active!$AA18-INDEX($CJ390:$DI390,1,MATCH((Standards_Active!$Q18-1),$CJ$380:$DI$380,FALSE)))/(Standards_Active!$R18-(Standards_Active!$Q18-1))+CW390,Standards_Active!$AA18*((1+Standards_Active!$AC18)^(CX$380-Standards_Active!$R18))),TREND(Perform_Active!$U18:$V18,Perform_Active!$U$8:$V$8,CX$380))),)</f>
        <v>0</v>
      </c>
      <c r="CY390" s="271">
        <f>IF(AND(Tech_Specs!$F17="step",Standards_Active!$S18="yes"),IF(CY$380&lt;Standards_Active!$Q18,TREND(Perform_Active!$U18:$V18,Perform_Active!$U$8:$V$8,CY$380),IF(ISNUMBER(Standards_Active!$AA18),IF(AND(CY$380&gt;=Standards_Active!$Q18,CY$380&lt;Standards_Active!$R18),(Standards_Active!$AA18-INDEX($CJ390:$DI390,1,MATCH((Standards_Active!$Q18-1),$CJ$380:$DI$380,FALSE)))/(Standards_Active!$R18-(Standards_Active!$Q18-1))+CX390,Standards_Active!$AA18*((1+Standards_Active!$AC18)^(CY$380-Standards_Active!$R18))),TREND(Perform_Active!$U18:$V18,Perform_Active!$U$8:$V$8,CY$380))),)</f>
        <v>0</v>
      </c>
      <c r="CZ390" s="271">
        <f>IF(AND(Tech_Specs!$F17="step",Standards_Active!$S18="yes"),IF(CZ$380&lt;Standards_Active!$Q18,TREND(Perform_Active!$U18:$V18,Perform_Active!$U$8:$V$8,CZ$380),IF(ISNUMBER(Standards_Active!$AA18),IF(AND(CZ$380&gt;=Standards_Active!$Q18,CZ$380&lt;Standards_Active!$R18),(Standards_Active!$AA18-INDEX($CJ390:$DI390,1,MATCH((Standards_Active!$Q18-1),$CJ$380:$DI$380,FALSE)))/(Standards_Active!$R18-(Standards_Active!$Q18-1))+CY390,Standards_Active!$AA18*((1+Standards_Active!$AC18)^(CZ$380-Standards_Active!$R18))),TREND(Perform_Active!$U18:$V18,Perform_Active!$U$8:$V$8,CZ$380))),)</f>
        <v>0</v>
      </c>
      <c r="DA390" s="271">
        <f>IF(AND(Tech_Specs!$F17="step",Standards_Active!$S18="yes"),IF(DA$380&lt;Standards_Active!$Q18,TREND(Perform_Active!$U18:$V18,Perform_Active!$U$8:$V$8,DA$380),IF(ISNUMBER(Standards_Active!$AA18),IF(AND(DA$380&gt;=Standards_Active!$Q18,DA$380&lt;Standards_Active!$R18),(Standards_Active!$AA18-INDEX($CJ390:$DI390,1,MATCH((Standards_Active!$Q18-1),$CJ$380:$DI$380,FALSE)))/(Standards_Active!$R18-(Standards_Active!$Q18-1))+CZ390,Standards_Active!$AA18*((1+Standards_Active!$AC18)^(DA$380-Standards_Active!$R18))),TREND(Perform_Active!$U18:$V18,Perform_Active!$U$8:$V$8,DA$380))),)</f>
        <v>0</v>
      </c>
      <c r="DB390" s="271">
        <f>IF(AND(Tech_Specs!$F17="step",Standards_Active!$S18="yes"),IF(DB$380&lt;Standards_Active!$Q18,TREND(Perform_Active!$U18:$V18,Perform_Active!$U$8:$V$8,DB$380),IF(ISNUMBER(Standards_Active!$AA18),IF(AND(DB$380&gt;=Standards_Active!$Q18,DB$380&lt;Standards_Active!$R18),(Standards_Active!$AA18-INDEX($CJ390:$DI390,1,MATCH((Standards_Active!$Q18-1),$CJ$380:$DI$380,FALSE)))/(Standards_Active!$R18-(Standards_Active!$Q18-1))+DA390,Standards_Active!$AA18*((1+Standards_Active!$AC18)^(DB$380-Standards_Active!$R18))),TREND(Perform_Active!$U18:$V18,Perform_Active!$U$8:$V$8,DB$380))),)</f>
        <v>0</v>
      </c>
      <c r="DC390" s="271">
        <f>IF(AND(Tech_Specs!$F17="step",Standards_Active!$S18="yes"),IF(DC$380&lt;Standards_Active!$Q18,TREND(Perform_Active!$U18:$V18,Perform_Active!$U$8:$V$8,DC$380),IF(ISNUMBER(Standards_Active!$AA18),IF(AND(DC$380&gt;=Standards_Active!$Q18,DC$380&lt;Standards_Active!$R18),(Standards_Active!$AA18-INDEX($CJ390:$DI390,1,MATCH((Standards_Active!$Q18-1),$CJ$380:$DI$380,FALSE)))/(Standards_Active!$R18-(Standards_Active!$Q18-1))+DB390,Standards_Active!$AA18*((1+Standards_Active!$AC18)^(DC$380-Standards_Active!$R18))),TREND(Perform_Active!$U18:$V18,Perform_Active!$U$8:$V$8,DC$380))),)</f>
        <v>0</v>
      </c>
      <c r="DD390" s="271">
        <f>IF(AND(Tech_Specs!$F17="step",Standards_Active!$S18="yes"),IF(DD$380&lt;Standards_Active!$Q18,TREND(Perform_Active!$U18:$V18,Perform_Active!$U$8:$V$8,DD$380),IF(ISNUMBER(Standards_Active!$AA18),IF(AND(DD$380&gt;=Standards_Active!$Q18,DD$380&lt;Standards_Active!$R18),(Standards_Active!$AA18-INDEX($CJ390:$DI390,1,MATCH((Standards_Active!$Q18-1),$CJ$380:$DI$380,FALSE)))/(Standards_Active!$R18-(Standards_Active!$Q18-1))+DC390,Standards_Active!$AA18*((1+Standards_Active!$AC18)^(DD$380-Standards_Active!$R18))),TREND(Perform_Active!$U18:$V18,Perform_Active!$U$8:$V$8,DD$380))),)</f>
        <v>0</v>
      </c>
      <c r="DE390" s="271">
        <f>IF(AND(Tech_Specs!$F17="step",Standards_Active!$S18="yes"),IF(DE$380&lt;Standards_Active!$Q18,TREND(Perform_Active!$U18:$V18,Perform_Active!$U$8:$V$8,DE$380),IF(ISNUMBER(Standards_Active!$AA18),IF(AND(DE$380&gt;=Standards_Active!$Q18,DE$380&lt;Standards_Active!$R18),(Standards_Active!$AA18-INDEX($CJ390:$DI390,1,MATCH((Standards_Active!$Q18-1),$CJ$380:$DI$380,FALSE)))/(Standards_Active!$R18-(Standards_Active!$Q18-1))+DD390,Standards_Active!$AA18*((1+Standards_Active!$AC18)^(DE$380-Standards_Active!$R18))),TREND(Perform_Active!$U18:$V18,Perform_Active!$U$8:$V$8,DE$380))),)</f>
        <v>0</v>
      </c>
      <c r="DF390" s="271">
        <f>IF(AND(Tech_Specs!$F17="step",Standards_Active!$S18="yes"),IF(DF$380&lt;Standards_Active!$Q18,TREND(Perform_Active!$U18:$V18,Perform_Active!$U$8:$V$8,DF$380),IF(ISNUMBER(Standards_Active!$AA18),IF(AND(DF$380&gt;=Standards_Active!$Q18,DF$380&lt;Standards_Active!$R18),(Standards_Active!$AA18-INDEX($CJ390:$DI390,1,MATCH((Standards_Active!$Q18-1),$CJ$380:$DI$380,FALSE)))/(Standards_Active!$R18-(Standards_Active!$Q18-1))+DE390,Standards_Active!$AA18*((1+Standards_Active!$AC18)^(DF$380-Standards_Active!$R18))),TREND(Perform_Active!$U18:$V18,Perform_Active!$U$8:$V$8,DF$380))),)</f>
        <v>0</v>
      </c>
      <c r="DG390" s="271">
        <f>IF(AND(Tech_Specs!$F17="step",Standards_Active!$S18="yes"),IF(DG$380&lt;Standards_Active!$Q18,TREND(Perform_Active!$U18:$V18,Perform_Active!$U$8:$V$8,DG$380),IF(ISNUMBER(Standards_Active!$AA18),IF(AND(DG$380&gt;=Standards_Active!$Q18,DG$380&lt;Standards_Active!$R18),(Standards_Active!$AA18-INDEX($CJ390:$DI390,1,MATCH((Standards_Active!$Q18-1),$CJ$380:$DI$380,FALSE)))/(Standards_Active!$R18-(Standards_Active!$Q18-1))+DF390,Standards_Active!$AA18*((1+Standards_Active!$AC18)^(DG$380-Standards_Active!$R18))),TREND(Perform_Active!$U18:$V18,Perform_Active!$U$8:$V$8,DG$380))),)</f>
        <v>0</v>
      </c>
      <c r="DH390" s="271">
        <f>IF(AND(Tech_Specs!$F17="step",Standards_Active!$S18="yes"),IF(DH$380&lt;Standards_Active!$Q18,TREND(Perform_Active!$U18:$V18,Perform_Active!$U$8:$V$8,DH$380),IF(ISNUMBER(Standards_Active!$AA18),IF(AND(DH$380&gt;=Standards_Active!$Q18,DH$380&lt;Standards_Active!$R18),(Standards_Active!$AA18-INDEX($CJ390:$DI390,1,MATCH((Standards_Active!$Q18-1),$CJ$380:$DI$380,FALSE)))/(Standards_Active!$R18-(Standards_Active!$Q18-1))+DG390,Standards_Active!$AA18*((1+Standards_Active!$AC18)^(DH$380-Standards_Active!$R18))),TREND(Perform_Active!$U18:$V18,Perform_Active!$U$8:$V$8,DH$380))),)</f>
        <v>0</v>
      </c>
      <c r="DI390" s="271">
        <f>IF(AND(Tech_Specs!$F17="step",Standards_Active!$S18="yes"),IF(DI$380&lt;Standards_Active!$Q18,TREND(Perform_Active!$U18:$V18,Perform_Active!$U$8:$V$8,DI$380),IF(ISNUMBER(Standards_Active!$AA18),IF(AND(DI$380&gt;=Standards_Active!$Q18,DI$380&lt;Standards_Active!$R18),(Standards_Active!$AA18-INDEX($CJ390:$DI390,1,MATCH((Standards_Active!$Q18-1),$CJ$380:$DI$380,FALSE)))/(Standards_Active!$R18-(Standards_Active!$Q18-1))+DH390,Standards_Active!$AA18*((1+Standards_Active!$AC18)^(DI$380-Standards_Active!$R18))),TREND(Perform_Active!$U18:$V18,Perform_Active!$U$8:$V$8,DI$380))),)</f>
        <v>0</v>
      </c>
    </row>
    <row r="391" spans="1:113" s="322" customFormat="1" ht="12.75" x14ac:dyDescent="0.2">
      <c r="B391" s="328" t="s">
        <v>29</v>
      </c>
      <c r="D391" s="550"/>
      <c r="E391" s="550"/>
      <c r="F391" s="550"/>
      <c r="G391" s="272">
        <f t="shared" si="69"/>
        <v>0</v>
      </c>
      <c r="H391" s="272">
        <f t="shared" si="69"/>
        <v>0</v>
      </c>
      <c r="I391" s="272">
        <f t="shared" si="69"/>
        <v>0</v>
      </c>
      <c r="J391" s="272">
        <f t="shared" si="69"/>
        <v>0</v>
      </c>
      <c r="K391" s="272">
        <f t="shared" si="69"/>
        <v>0</v>
      </c>
      <c r="L391" s="272">
        <f t="shared" si="69"/>
        <v>0</v>
      </c>
      <c r="M391" s="272">
        <f t="shared" si="69"/>
        <v>0</v>
      </c>
      <c r="N391" s="272">
        <f t="shared" si="69"/>
        <v>0</v>
      </c>
      <c r="O391" s="272">
        <f t="shared" si="69"/>
        <v>0</v>
      </c>
      <c r="P391" s="272">
        <f t="shared" si="69"/>
        <v>0</v>
      </c>
      <c r="Q391" s="272">
        <f t="shared" si="70"/>
        <v>0</v>
      </c>
      <c r="R391" s="272">
        <f t="shared" si="70"/>
        <v>0</v>
      </c>
      <c r="S391" s="272">
        <f t="shared" si="70"/>
        <v>0</v>
      </c>
      <c r="T391" s="272">
        <f t="shared" si="70"/>
        <v>0</v>
      </c>
      <c r="U391" s="272">
        <f t="shared" si="70"/>
        <v>0</v>
      </c>
      <c r="V391" s="272">
        <f t="shared" si="70"/>
        <v>0</v>
      </c>
      <c r="W391" s="272">
        <f t="shared" si="70"/>
        <v>0</v>
      </c>
      <c r="X391" s="272">
        <f t="shared" si="70"/>
        <v>0</v>
      </c>
      <c r="Y391" s="272">
        <f t="shared" si="70"/>
        <v>0</v>
      </c>
      <c r="Z391" s="272">
        <f t="shared" si="70"/>
        <v>0</v>
      </c>
      <c r="AA391" s="272">
        <f t="shared" si="71"/>
        <v>0</v>
      </c>
      <c r="AB391" s="272">
        <f t="shared" si="71"/>
        <v>0</v>
      </c>
      <c r="AC391" s="272">
        <f t="shared" si="71"/>
        <v>0</v>
      </c>
      <c r="AD391" s="272">
        <f t="shared" si="71"/>
        <v>0</v>
      </c>
      <c r="AE391" s="272">
        <f t="shared" si="71"/>
        <v>0</v>
      </c>
      <c r="AF391" s="272">
        <f t="shared" si="71"/>
        <v>0</v>
      </c>
      <c r="AG391" s="376"/>
      <c r="AH391" s="271">
        <f>IF(Tech_Specs!$F18="linear",TREND(Perform_Active!$U19:$V19,Perform_Active!$U$8:$V$8,AH$380),)</f>
        <v>0</v>
      </c>
      <c r="AI391" s="271">
        <f>IF(Tech_Specs!$F18="linear",TREND(Perform_Active!$U19:$V19,Perform_Active!$U$8:$V$8,AI$380),)</f>
        <v>0</v>
      </c>
      <c r="AJ391" s="271">
        <f>IF(Tech_Specs!$F18="linear",TREND(Perform_Active!$U19:$V19,Perform_Active!$U$8:$V$8,AJ$380),)</f>
        <v>0</v>
      </c>
      <c r="AK391" s="271">
        <f>IF(Tech_Specs!$F18="linear",TREND(Perform_Active!$U19:$V19,Perform_Active!$U$8:$V$8,AK$380),)</f>
        <v>0</v>
      </c>
      <c r="AL391" s="271">
        <f>IF(Tech_Specs!$F18="linear",TREND(Perform_Active!$U19:$V19,Perform_Active!$U$8:$V$8,AL$380),)</f>
        <v>0</v>
      </c>
      <c r="AM391" s="271">
        <f>IF(Tech_Specs!$F18="linear",TREND(Perform_Active!$U19:$V19,Perform_Active!$U$8:$V$8,AM$380),)</f>
        <v>0</v>
      </c>
      <c r="AN391" s="271">
        <f>IF(Tech_Specs!$F18="linear",TREND(Perform_Active!$U19:$V19,Perform_Active!$U$8:$V$8,AN$380),)</f>
        <v>0</v>
      </c>
      <c r="AO391" s="271">
        <f>IF(Tech_Specs!$F18="linear",TREND(Perform_Active!$U19:$V19,Perform_Active!$U$8:$V$8,AO$380),)</f>
        <v>0</v>
      </c>
      <c r="AP391" s="271">
        <f>IF(Tech_Specs!$F18="linear",TREND(Perform_Active!$U19:$V19,Perform_Active!$U$8:$V$8,AP$380),)</f>
        <v>0</v>
      </c>
      <c r="AQ391" s="271">
        <f>IF(Tech_Specs!$F18="linear",TREND(Perform_Active!$U19:$V19,Perform_Active!$U$8:$V$8,AQ$380),)</f>
        <v>0</v>
      </c>
      <c r="AR391" s="271">
        <f>IF(Tech_Specs!$F18="linear",TREND(Perform_Active!$U19:$V19,Perform_Active!$U$8:$V$8,AR$380),)</f>
        <v>0</v>
      </c>
      <c r="AS391" s="271">
        <f>IF(Tech_Specs!$F18="linear",TREND(Perform_Active!$U19:$V19,Perform_Active!$U$8:$V$8,AS$380),)</f>
        <v>0</v>
      </c>
      <c r="AT391" s="271">
        <f>IF(Tech_Specs!$F18="linear",TREND(Perform_Active!$U19:$V19,Perform_Active!$U$8:$V$8,AT$380),)</f>
        <v>0</v>
      </c>
      <c r="AU391" s="271">
        <f>IF(Tech_Specs!$F18="linear",TREND(Perform_Active!$U19:$V19,Perform_Active!$U$8:$V$8,AU$380),)</f>
        <v>0</v>
      </c>
      <c r="AV391" s="271">
        <f>IF(Tech_Specs!$F18="linear",TREND(Perform_Active!$U19:$V19,Perform_Active!$U$8:$V$8,AV$380),)</f>
        <v>0</v>
      </c>
      <c r="AW391" s="271">
        <f>IF(Tech_Specs!$F18="linear",TREND(Perform_Active!$U19:$V19,Perform_Active!$U$8:$V$8,AW$380),)</f>
        <v>0</v>
      </c>
      <c r="AX391" s="271">
        <f>IF(Tech_Specs!$F18="linear",TREND(Perform_Active!$U19:$V19,Perform_Active!$U$8:$V$8,AX$380),)</f>
        <v>0</v>
      </c>
      <c r="AY391" s="271">
        <f>IF(Tech_Specs!$F18="linear",TREND(Perform_Active!$U19:$V19,Perform_Active!$U$8:$V$8,AY$380),)</f>
        <v>0</v>
      </c>
      <c r="AZ391" s="271">
        <f>IF(Tech_Specs!$F18="linear",TREND(Perform_Active!$U19:$V19,Perform_Active!$U$8:$V$8,AZ$380),)</f>
        <v>0</v>
      </c>
      <c r="BA391" s="271">
        <f>IF(Tech_Specs!$F18="linear",TREND(Perform_Active!$U19:$V19,Perform_Active!$U$8:$V$8,BA$380),)</f>
        <v>0</v>
      </c>
      <c r="BB391" s="271">
        <f>IF(Tech_Specs!$F18="linear",TREND(Perform_Active!$U19:$V19,Perform_Active!$U$8:$V$8,BB$380),)</f>
        <v>0</v>
      </c>
      <c r="BC391" s="271">
        <f>IF(Tech_Specs!$F18="linear",TREND(Perform_Active!$U19:$V19,Perform_Active!$U$8:$V$8,BC$380),)</f>
        <v>0</v>
      </c>
      <c r="BD391" s="271">
        <f>IF(Tech_Specs!$F18="linear",TREND(Perform_Active!$U19:$V19,Perform_Active!$U$8:$V$8,BD$380),)</f>
        <v>0</v>
      </c>
      <c r="BE391" s="271">
        <f>IF(Tech_Specs!$F18="linear",TREND(Perform_Active!$U19:$V19,Perform_Active!$U$8:$V$8,BE$380),)</f>
        <v>0</v>
      </c>
      <c r="BF391" s="271">
        <f>IF(Tech_Specs!$F18="linear",TREND(Perform_Active!$U19:$V19,Perform_Active!$U$8:$V$8,BF$380),)</f>
        <v>0</v>
      </c>
      <c r="BG391" s="271">
        <f>IF(Tech_Specs!$F18="linear",TREND(Perform_Active!$U19:$V19,Perform_Active!$U$8:$V$8,BG$380),)</f>
        <v>0</v>
      </c>
      <c r="BH391" s="376"/>
      <c r="BI391" s="271">
        <f>IF(Tech_Specs!$F18="logistic",0,)</f>
        <v>0</v>
      </c>
      <c r="BJ391" s="271">
        <f>IF(Tech_Specs!$F18="logistic",0,)</f>
        <v>0</v>
      </c>
      <c r="BK391" s="271">
        <f>IF(Tech_Specs!$F18="logistic",0,)</f>
        <v>0</v>
      </c>
      <c r="BL391" s="271">
        <f>IF(Tech_Specs!$F18="logistic",0,)</f>
        <v>0</v>
      </c>
      <c r="BM391" s="271">
        <f>IF(Tech_Specs!$F18="logistic",0,)</f>
        <v>0</v>
      </c>
      <c r="BN391" s="271">
        <f>IF(Tech_Specs!$F18="logistic",0,)</f>
        <v>0</v>
      </c>
      <c r="BO391" s="271">
        <f>IF(Tech_Specs!$F18="logistic",0,)</f>
        <v>0</v>
      </c>
      <c r="BP391" s="271">
        <f>IF(Tech_Specs!$F18="logistic",0,)</f>
        <v>0</v>
      </c>
      <c r="BQ391" s="271">
        <f>IF(Tech_Specs!$F18="logistic",0,)</f>
        <v>0</v>
      </c>
      <c r="BR391" s="271">
        <f>IF(Tech_Specs!$F18="logistic",0,)</f>
        <v>0</v>
      </c>
      <c r="BS391" s="271">
        <f>IF(Tech_Specs!$F18="logistic",0,)</f>
        <v>0</v>
      </c>
      <c r="BT391" s="271">
        <f>IF(Tech_Specs!$F18="logistic",0,)</f>
        <v>0</v>
      </c>
      <c r="BU391" s="271">
        <f>IF(Tech_Specs!$F18="logistic",0,)</f>
        <v>0</v>
      </c>
      <c r="BV391" s="271">
        <f>IF(Tech_Specs!$F18="logistic",0,)</f>
        <v>0</v>
      </c>
      <c r="BW391" s="271">
        <f>IF(Tech_Specs!$F18="logistic",0,)</f>
        <v>0</v>
      </c>
      <c r="BX391" s="271">
        <f>IF(Tech_Specs!$F18="logistic",0,)</f>
        <v>0</v>
      </c>
      <c r="BY391" s="271">
        <f>IF(Tech_Specs!$F18="logistic",0,)</f>
        <v>0</v>
      </c>
      <c r="BZ391" s="271">
        <f>IF(Tech_Specs!$F18="logistic",0,)</f>
        <v>0</v>
      </c>
      <c r="CA391" s="271">
        <f>IF(Tech_Specs!$F18="logistic",0,)</f>
        <v>0</v>
      </c>
      <c r="CB391" s="271">
        <f>IF(Tech_Specs!$F18="logistic",0,)</f>
        <v>0</v>
      </c>
      <c r="CC391" s="271">
        <f>IF(Tech_Specs!$F18="logistic",0,)</f>
        <v>0</v>
      </c>
      <c r="CD391" s="271">
        <f>IF(Tech_Specs!$F18="logistic",0,)</f>
        <v>0</v>
      </c>
      <c r="CE391" s="271">
        <f>IF(Tech_Specs!$F18="logistic",0,)</f>
        <v>0</v>
      </c>
      <c r="CF391" s="271">
        <f>IF(Tech_Specs!$F18="logistic",0,)</f>
        <v>0</v>
      </c>
      <c r="CG391" s="271">
        <f>IF(Tech_Specs!$F18="logistic",0,)</f>
        <v>0</v>
      </c>
      <c r="CH391" s="271">
        <f>IF(Tech_Specs!$F18="logistic",0,)</f>
        <v>0</v>
      </c>
      <c r="CI391" s="376"/>
      <c r="CJ391" s="271">
        <f>IF(AND(Tech_Specs!$F18="step",Standards_Active!$S19="yes"),IF(CJ$380&lt;Standards_Active!$Q19,TREND(Perform_Active!$U19:$V19,Perform_Active!$U$8:$V$8,CJ$380),IF(ISNUMBER(Standards_Active!$AA19),IF(AND(CJ$380&gt;=Standards_Active!$Q19,CJ$380&lt;Standards_Active!$R19),(Standards_Active!$AA19-INDEX($CJ391:$DI391,1,MATCH((Standards_Active!$Q19-1),$CJ$380:$DI$380,FALSE)))/(Standards_Active!$R19-(Standards_Active!$Q19-1))+CI391,Standards_Active!$AA19*((1+Standards_Active!$AC19)^(CJ$380-Standards_Active!$R19))),TREND(Perform_Active!$U19:$V19,Perform_Active!$U$8:$V$8,CJ$380))),)</f>
        <v>0</v>
      </c>
      <c r="CK391" s="271">
        <f>IF(AND(Tech_Specs!$F18="step",Standards_Active!$S19="yes"),IF(CK$380&lt;Standards_Active!$Q19,TREND(Perform_Active!$U19:$V19,Perform_Active!$U$8:$V$8,CK$380),IF(ISNUMBER(Standards_Active!$AA19),IF(AND(CK$380&gt;=Standards_Active!$Q19,CK$380&lt;Standards_Active!$R19),(Standards_Active!$AA19-INDEX($CJ391:$DI391,1,MATCH((Standards_Active!$Q19-1),$CJ$380:$DI$380,FALSE)))/(Standards_Active!$R19-(Standards_Active!$Q19-1))+CJ391,Standards_Active!$AA19*((1+Standards_Active!$AC19)^(CK$380-Standards_Active!$R19))),TREND(Perform_Active!$U19:$V19,Perform_Active!$U$8:$V$8,CK$380))),)</f>
        <v>0</v>
      </c>
      <c r="CL391" s="271">
        <f>IF(AND(Tech_Specs!$F18="step",Standards_Active!$S19="yes"),IF(CL$380&lt;Standards_Active!$Q19,TREND(Perform_Active!$U19:$V19,Perform_Active!$U$8:$V$8,CL$380),IF(ISNUMBER(Standards_Active!$AA19),IF(AND(CL$380&gt;=Standards_Active!$Q19,CL$380&lt;Standards_Active!$R19),(Standards_Active!$AA19-INDEX($CJ391:$DI391,1,MATCH((Standards_Active!$Q19-1),$CJ$380:$DI$380,FALSE)))/(Standards_Active!$R19-(Standards_Active!$Q19-1))+CK391,Standards_Active!$AA19*((1+Standards_Active!$AC19)^(CL$380-Standards_Active!$R19))),TREND(Perform_Active!$U19:$V19,Perform_Active!$U$8:$V$8,CL$380))),)</f>
        <v>0</v>
      </c>
      <c r="CM391" s="271">
        <f>IF(AND(Tech_Specs!$F18="step",Standards_Active!$S19="yes"),IF(CM$380&lt;Standards_Active!$Q19,TREND(Perform_Active!$U19:$V19,Perform_Active!$U$8:$V$8,CM$380),IF(ISNUMBER(Standards_Active!$AA19),IF(AND(CM$380&gt;=Standards_Active!$Q19,CM$380&lt;Standards_Active!$R19),(Standards_Active!$AA19-INDEX($CJ391:$DI391,1,MATCH((Standards_Active!$Q19-1),$CJ$380:$DI$380,FALSE)))/(Standards_Active!$R19-(Standards_Active!$Q19-1))+CL391,Standards_Active!$AA19*((1+Standards_Active!$AC19)^(CM$380-Standards_Active!$R19))),TREND(Perform_Active!$U19:$V19,Perform_Active!$U$8:$V$8,CM$380))),)</f>
        <v>0</v>
      </c>
      <c r="CN391" s="271">
        <f>IF(AND(Tech_Specs!$F18="step",Standards_Active!$S19="yes"),IF(CN$380&lt;Standards_Active!$Q19,TREND(Perform_Active!$U19:$V19,Perform_Active!$U$8:$V$8,CN$380),IF(ISNUMBER(Standards_Active!$AA19),IF(AND(CN$380&gt;=Standards_Active!$Q19,CN$380&lt;Standards_Active!$R19),(Standards_Active!$AA19-INDEX($CJ391:$DI391,1,MATCH((Standards_Active!$Q19-1),$CJ$380:$DI$380,FALSE)))/(Standards_Active!$R19-(Standards_Active!$Q19-1))+CM391,Standards_Active!$AA19*((1+Standards_Active!$AC19)^(CN$380-Standards_Active!$R19))),TREND(Perform_Active!$U19:$V19,Perform_Active!$U$8:$V$8,CN$380))),)</f>
        <v>0</v>
      </c>
      <c r="CO391" s="271">
        <f>IF(AND(Tech_Specs!$F18="step",Standards_Active!$S19="yes"),IF(CO$380&lt;Standards_Active!$Q19,TREND(Perform_Active!$U19:$V19,Perform_Active!$U$8:$V$8,CO$380),IF(ISNUMBER(Standards_Active!$AA19),IF(AND(CO$380&gt;=Standards_Active!$Q19,CO$380&lt;Standards_Active!$R19),(Standards_Active!$AA19-INDEX($CJ391:$DI391,1,MATCH((Standards_Active!$Q19-1),$CJ$380:$DI$380,FALSE)))/(Standards_Active!$R19-(Standards_Active!$Q19-1))+CN391,Standards_Active!$AA19*((1+Standards_Active!$AC19)^(CO$380-Standards_Active!$R19))),TREND(Perform_Active!$U19:$V19,Perform_Active!$U$8:$V$8,CO$380))),)</f>
        <v>0</v>
      </c>
      <c r="CP391" s="271">
        <f>IF(AND(Tech_Specs!$F18="step",Standards_Active!$S19="yes"),IF(CP$380&lt;Standards_Active!$Q19,TREND(Perform_Active!$U19:$V19,Perform_Active!$U$8:$V$8,CP$380),IF(ISNUMBER(Standards_Active!$AA19),IF(AND(CP$380&gt;=Standards_Active!$Q19,CP$380&lt;Standards_Active!$R19),(Standards_Active!$AA19-INDEX($CJ391:$DI391,1,MATCH((Standards_Active!$Q19-1),$CJ$380:$DI$380,FALSE)))/(Standards_Active!$R19-(Standards_Active!$Q19-1))+CO391,Standards_Active!$AA19*((1+Standards_Active!$AC19)^(CP$380-Standards_Active!$R19))),TREND(Perform_Active!$U19:$V19,Perform_Active!$U$8:$V$8,CP$380))),)</f>
        <v>0</v>
      </c>
      <c r="CQ391" s="271">
        <f>IF(AND(Tech_Specs!$F18="step",Standards_Active!$S19="yes"),IF(CQ$380&lt;Standards_Active!$Q19,TREND(Perform_Active!$U19:$V19,Perform_Active!$U$8:$V$8,CQ$380),IF(ISNUMBER(Standards_Active!$AA19),IF(AND(CQ$380&gt;=Standards_Active!$Q19,CQ$380&lt;Standards_Active!$R19),(Standards_Active!$AA19-INDEX($CJ391:$DI391,1,MATCH((Standards_Active!$Q19-1),$CJ$380:$DI$380,FALSE)))/(Standards_Active!$R19-(Standards_Active!$Q19-1))+CP391,Standards_Active!$AA19*((1+Standards_Active!$AC19)^(CQ$380-Standards_Active!$R19))),TREND(Perform_Active!$U19:$V19,Perform_Active!$U$8:$V$8,CQ$380))),)</f>
        <v>0</v>
      </c>
      <c r="CR391" s="271">
        <f>IF(AND(Tech_Specs!$F18="step",Standards_Active!$S19="yes"),IF(CR$380&lt;Standards_Active!$Q19,TREND(Perform_Active!$U19:$V19,Perform_Active!$U$8:$V$8,CR$380),IF(ISNUMBER(Standards_Active!$AA19),IF(AND(CR$380&gt;=Standards_Active!$Q19,CR$380&lt;Standards_Active!$R19),(Standards_Active!$AA19-INDEX($CJ391:$DI391,1,MATCH((Standards_Active!$Q19-1),$CJ$380:$DI$380,FALSE)))/(Standards_Active!$R19-(Standards_Active!$Q19-1))+CQ391,Standards_Active!$AA19*((1+Standards_Active!$AC19)^(CR$380-Standards_Active!$R19))),TREND(Perform_Active!$U19:$V19,Perform_Active!$U$8:$V$8,CR$380))),)</f>
        <v>0</v>
      </c>
      <c r="CS391" s="271">
        <f>IF(AND(Tech_Specs!$F18="step",Standards_Active!$S19="yes"),IF(CS$380&lt;Standards_Active!$Q19,TREND(Perform_Active!$U19:$V19,Perform_Active!$U$8:$V$8,CS$380),IF(ISNUMBER(Standards_Active!$AA19),IF(AND(CS$380&gt;=Standards_Active!$Q19,CS$380&lt;Standards_Active!$R19),(Standards_Active!$AA19-INDEX($CJ391:$DI391,1,MATCH((Standards_Active!$Q19-1),$CJ$380:$DI$380,FALSE)))/(Standards_Active!$R19-(Standards_Active!$Q19-1))+CR391,Standards_Active!$AA19*((1+Standards_Active!$AC19)^(CS$380-Standards_Active!$R19))),TREND(Perform_Active!$U19:$V19,Perform_Active!$U$8:$V$8,CS$380))),)</f>
        <v>0</v>
      </c>
      <c r="CT391" s="271">
        <f>IF(AND(Tech_Specs!$F18="step",Standards_Active!$S19="yes"),IF(CT$380&lt;Standards_Active!$Q19,TREND(Perform_Active!$U19:$V19,Perform_Active!$U$8:$V$8,CT$380),IF(ISNUMBER(Standards_Active!$AA19),IF(AND(CT$380&gt;=Standards_Active!$Q19,CT$380&lt;Standards_Active!$R19),(Standards_Active!$AA19-INDEX($CJ391:$DI391,1,MATCH((Standards_Active!$Q19-1),$CJ$380:$DI$380,FALSE)))/(Standards_Active!$R19-(Standards_Active!$Q19-1))+CS391,Standards_Active!$AA19*((1+Standards_Active!$AC19)^(CT$380-Standards_Active!$R19))),TREND(Perform_Active!$U19:$V19,Perform_Active!$U$8:$V$8,CT$380))),)</f>
        <v>0</v>
      </c>
      <c r="CU391" s="271">
        <f>IF(AND(Tech_Specs!$F18="step",Standards_Active!$S19="yes"),IF(CU$380&lt;Standards_Active!$Q19,TREND(Perform_Active!$U19:$V19,Perform_Active!$U$8:$V$8,CU$380),IF(ISNUMBER(Standards_Active!$AA19),IF(AND(CU$380&gt;=Standards_Active!$Q19,CU$380&lt;Standards_Active!$R19),(Standards_Active!$AA19-INDEX($CJ391:$DI391,1,MATCH((Standards_Active!$Q19-1),$CJ$380:$DI$380,FALSE)))/(Standards_Active!$R19-(Standards_Active!$Q19-1))+CT391,Standards_Active!$AA19*((1+Standards_Active!$AC19)^(CU$380-Standards_Active!$R19))),TREND(Perform_Active!$U19:$V19,Perform_Active!$U$8:$V$8,CU$380))),)</f>
        <v>0</v>
      </c>
      <c r="CV391" s="271">
        <f>IF(AND(Tech_Specs!$F18="step",Standards_Active!$S19="yes"),IF(CV$380&lt;Standards_Active!$Q19,TREND(Perform_Active!$U19:$V19,Perform_Active!$U$8:$V$8,CV$380),IF(ISNUMBER(Standards_Active!$AA19),IF(AND(CV$380&gt;=Standards_Active!$Q19,CV$380&lt;Standards_Active!$R19),(Standards_Active!$AA19-INDEX($CJ391:$DI391,1,MATCH((Standards_Active!$Q19-1),$CJ$380:$DI$380,FALSE)))/(Standards_Active!$R19-(Standards_Active!$Q19-1))+CU391,Standards_Active!$AA19*((1+Standards_Active!$AC19)^(CV$380-Standards_Active!$R19))),TREND(Perform_Active!$U19:$V19,Perform_Active!$U$8:$V$8,CV$380))),)</f>
        <v>0</v>
      </c>
      <c r="CW391" s="271">
        <f>IF(AND(Tech_Specs!$F18="step",Standards_Active!$S19="yes"),IF(CW$380&lt;Standards_Active!$Q19,TREND(Perform_Active!$U19:$V19,Perform_Active!$U$8:$V$8,CW$380),IF(ISNUMBER(Standards_Active!$AA19),IF(AND(CW$380&gt;=Standards_Active!$Q19,CW$380&lt;Standards_Active!$R19),(Standards_Active!$AA19-INDEX($CJ391:$DI391,1,MATCH((Standards_Active!$Q19-1),$CJ$380:$DI$380,FALSE)))/(Standards_Active!$R19-(Standards_Active!$Q19-1))+CV391,Standards_Active!$AA19*((1+Standards_Active!$AC19)^(CW$380-Standards_Active!$R19))),TREND(Perform_Active!$U19:$V19,Perform_Active!$U$8:$V$8,CW$380))),)</f>
        <v>0</v>
      </c>
      <c r="CX391" s="271">
        <f>IF(AND(Tech_Specs!$F18="step",Standards_Active!$S19="yes"),IF(CX$380&lt;Standards_Active!$Q19,TREND(Perform_Active!$U19:$V19,Perform_Active!$U$8:$V$8,CX$380),IF(ISNUMBER(Standards_Active!$AA19),IF(AND(CX$380&gt;=Standards_Active!$Q19,CX$380&lt;Standards_Active!$R19),(Standards_Active!$AA19-INDEX($CJ391:$DI391,1,MATCH((Standards_Active!$Q19-1),$CJ$380:$DI$380,FALSE)))/(Standards_Active!$R19-(Standards_Active!$Q19-1))+CW391,Standards_Active!$AA19*((1+Standards_Active!$AC19)^(CX$380-Standards_Active!$R19))),TREND(Perform_Active!$U19:$V19,Perform_Active!$U$8:$V$8,CX$380))),)</f>
        <v>0</v>
      </c>
      <c r="CY391" s="271">
        <f>IF(AND(Tech_Specs!$F18="step",Standards_Active!$S19="yes"),IF(CY$380&lt;Standards_Active!$Q19,TREND(Perform_Active!$U19:$V19,Perform_Active!$U$8:$V$8,CY$380),IF(ISNUMBER(Standards_Active!$AA19),IF(AND(CY$380&gt;=Standards_Active!$Q19,CY$380&lt;Standards_Active!$R19),(Standards_Active!$AA19-INDEX($CJ391:$DI391,1,MATCH((Standards_Active!$Q19-1),$CJ$380:$DI$380,FALSE)))/(Standards_Active!$R19-(Standards_Active!$Q19-1))+CX391,Standards_Active!$AA19*((1+Standards_Active!$AC19)^(CY$380-Standards_Active!$R19))),TREND(Perform_Active!$U19:$V19,Perform_Active!$U$8:$V$8,CY$380))),)</f>
        <v>0</v>
      </c>
      <c r="CZ391" s="271">
        <f>IF(AND(Tech_Specs!$F18="step",Standards_Active!$S19="yes"),IF(CZ$380&lt;Standards_Active!$Q19,TREND(Perform_Active!$U19:$V19,Perform_Active!$U$8:$V$8,CZ$380),IF(ISNUMBER(Standards_Active!$AA19),IF(AND(CZ$380&gt;=Standards_Active!$Q19,CZ$380&lt;Standards_Active!$R19),(Standards_Active!$AA19-INDEX($CJ391:$DI391,1,MATCH((Standards_Active!$Q19-1),$CJ$380:$DI$380,FALSE)))/(Standards_Active!$R19-(Standards_Active!$Q19-1))+CY391,Standards_Active!$AA19*((1+Standards_Active!$AC19)^(CZ$380-Standards_Active!$R19))),TREND(Perform_Active!$U19:$V19,Perform_Active!$U$8:$V$8,CZ$380))),)</f>
        <v>0</v>
      </c>
      <c r="DA391" s="271">
        <f>IF(AND(Tech_Specs!$F18="step",Standards_Active!$S19="yes"),IF(DA$380&lt;Standards_Active!$Q19,TREND(Perform_Active!$U19:$V19,Perform_Active!$U$8:$V$8,DA$380),IF(ISNUMBER(Standards_Active!$AA19),IF(AND(DA$380&gt;=Standards_Active!$Q19,DA$380&lt;Standards_Active!$R19),(Standards_Active!$AA19-INDEX($CJ391:$DI391,1,MATCH((Standards_Active!$Q19-1),$CJ$380:$DI$380,FALSE)))/(Standards_Active!$R19-(Standards_Active!$Q19-1))+CZ391,Standards_Active!$AA19*((1+Standards_Active!$AC19)^(DA$380-Standards_Active!$R19))),TREND(Perform_Active!$U19:$V19,Perform_Active!$U$8:$V$8,DA$380))),)</f>
        <v>0</v>
      </c>
      <c r="DB391" s="271">
        <f>IF(AND(Tech_Specs!$F18="step",Standards_Active!$S19="yes"),IF(DB$380&lt;Standards_Active!$Q19,TREND(Perform_Active!$U19:$V19,Perform_Active!$U$8:$V$8,DB$380),IF(ISNUMBER(Standards_Active!$AA19),IF(AND(DB$380&gt;=Standards_Active!$Q19,DB$380&lt;Standards_Active!$R19),(Standards_Active!$AA19-INDEX($CJ391:$DI391,1,MATCH((Standards_Active!$Q19-1),$CJ$380:$DI$380,FALSE)))/(Standards_Active!$R19-(Standards_Active!$Q19-1))+DA391,Standards_Active!$AA19*((1+Standards_Active!$AC19)^(DB$380-Standards_Active!$R19))),TREND(Perform_Active!$U19:$V19,Perform_Active!$U$8:$V$8,DB$380))),)</f>
        <v>0</v>
      </c>
      <c r="DC391" s="271">
        <f>IF(AND(Tech_Specs!$F18="step",Standards_Active!$S19="yes"),IF(DC$380&lt;Standards_Active!$Q19,TREND(Perform_Active!$U19:$V19,Perform_Active!$U$8:$V$8,DC$380),IF(ISNUMBER(Standards_Active!$AA19),IF(AND(DC$380&gt;=Standards_Active!$Q19,DC$380&lt;Standards_Active!$R19),(Standards_Active!$AA19-INDEX($CJ391:$DI391,1,MATCH((Standards_Active!$Q19-1),$CJ$380:$DI$380,FALSE)))/(Standards_Active!$R19-(Standards_Active!$Q19-1))+DB391,Standards_Active!$AA19*((1+Standards_Active!$AC19)^(DC$380-Standards_Active!$R19))),TREND(Perform_Active!$U19:$V19,Perform_Active!$U$8:$V$8,DC$380))),)</f>
        <v>0</v>
      </c>
      <c r="DD391" s="271">
        <f>IF(AND(Tech_Specs!$F18="step",Standards_Active!$S19="yes"),IF(DD$380&lt;Standards_Active!$Q19,TREND(Perform_Active!$U19:$V19,Perform_Active!$U$8:$V$8,DD$380),IF(ISNUMBER(Standards_Active!$AA19),IF(AND(DD$380&gt;=Standards_Active!$Q19,DD$380&lt;Standards_Active!$R19),(Standards_Active!$AA19-INDEX($CJ391:$DI391,1,MATCH((Standards_Active!$Q19-1),$CJ$380:$DI$380,FALSE)))/(Standards_Active!$R19-(Standards_Active!$Q19-1))+DC391,Standards_Active!$AA19*((1+Standards_Active!$AC19)^(DD$380-Standards_Active!$R19))),TREND(Perform_Active!$U19:$V19,Perform_Active!$U$8:$V$8,DD$380))),)</f>
        <v>0</v>
      </c>
      <c r="DE391" s="271">
        <f>IF(AND(Tech_Specs!$F18="step",Standards_Active!$S19="yes"),IF(DE$380&lt;Standards_Active!$Q19,TREND(Perform_Active!$U19:$V19,Perform_Active!$U$8:$V$8,DE$380),IF(ISNUMBER(Standards_Active!$AA19),IF(AND(DE$380&gt;=Standards_Active!$Q19,DE$380&lt;Standards_Active!$R19),(Standards_Active!$AA19-INDEX($CJ391:$DI391,1,MATCH((Standards_Active!$Q19-1),$CJ$380:$DI$380,FALSE)))/(Standards_Active!$R19-(Standards_Active!$Q19-1))+DD391,Standards_Active!$AA19*((1+Standards_Active!$AC19)^(DE$380-Standards_Active!$R19))),TREND(Perform_Active!$U19:$V19,Perform_Active!$U$8:$V$8,DE$380))),)</f>
        <v>0</v>
      </c>
      <c r="DF391" s="271">
        <f>IF(AND(Tech_Specs!$F18="step",Standards_Active!$S19="yes"),IF(DF$380&lt;Standards_Active!$Q19,TREND(Perform_Active!$U19:$V19,Perform_Active!$U$8:$V$8,DF$380),IF(ISNUMBER(Standards_Active!$AA19),IF(AND(DF$380&gt;=Standards_Active!$Q19,DF$380&lt;Standards_Active!$R19),(Standards_Active!$AA19-INDEX($CJ391:$DI391,1,MATCH((Standards_Active!$Q19-1),$CJ$380:$DI$380,FALSE)))/(Standards_Active!$R19-(Standards_Active!$Q19-1))+DE391,Standards_Active!$AA19*((1+Standards_Active!$AC19)^(DF$380-Standards_Active!$R19))),TREND(Perform_Active!$U19:$V19,Perform_Active!$U$8:$V$8,DF$380))),)</f>
        <v>0</v>
      </c>
      <c r="DG391" s="271">
        <f>IF(AND(Tech_Specs!$F18="step",Standards_Active!$S19="yes"),IF(DG$380&lt;Standards_Active!$Q19,TREND(Perform_Active!$U19:$V19,Perform_Active!$U$8:$V$8,DG$380),IF(ISNUMBER(Standards_Active!$AA19),IF(AND(DG$380&gt;=Standards_Active!$Q19,DG$380&lt;Standards_Active!$R19),(Standards_Active!$AA19-INDEX($CJ391:$DI391,1,MATCH((Standards_Active!$Q19-1),$CJ$380:$DI$380,FALSE)))/(Standards_Active!$R19-(Standards_Active!$Q19-1))+DF391,Standards_Active!$AA19*((1+Standards_Active!$AC19)^(DG$380-Standards_Active!$R19))),TREND(Perform_Active!$U19:$V19,Perform_Active!$U$8:$V$8,DG$380))),)</f>
        <v>0</v>
      </c>
      <c r="DH391" s="271">
        <f>IF(AND(Tech_Specs!$F18="step",Standards_Active!$S19="yes"),IF(DH$380&lt;Standards_Active!$Q19,TREND(Perform_Active!$U19:$V19,Perform_Active!$U$8:$V$8,DH$380),IF(ISNUMBER(Standards_Active!$AA19),IF(AND(DH$380&gt;=Standards_Active!$Q19,DH$380&lt;Standards_Active!$R19),(Standards_Active!$AA19-INDEX($CJ391:$DI391,1,MATCH((Standards_Active!$Q19-1),$CJ$380:$DI$380,FALSE)))/(Standards_Active!$R19-(Standards_Active!$Q19-1))+DG391,Standards_Active!$AA19*((1+Standards_Active!$AC19)^(DH$380-Standards_Active!$R19))),TREND(Perform_Active!$U19:$V19,Perform_Active!$U$8:$V$8,DH$380))),)</f>
        <v>0</v>
      </c>
      <c r="DI391" s="271">
        <f>IF(AND(Tech_Specs!$F18="step",Standards_Active!$S19="yes"),IF(DI$380&lt;Standards_Active!$Q19,TREND(Perform_Active!$U19:$V19,Perform_Active!$U$8:$V$8,DI$380),IF(ISNUMBER(Standards_Active!$AA19),IF(AND(DI$380&gt;=Standards_Active!$Q19,DI$380&lt;Standards_Active!$R19),(Standards_Active!$AA19-INDEX($CJ391:$DI391,1,MATCH((Standards_Active!$Q19-1),$CJ$380:$DI$380,FALSE)))/(Standards_Active!$R19-(Standards_Active!$Q19-1))+DH391,Standards_Active!$AA19*((1+Standards_Active!$AC19)^(DI$380-Standards_Active!$R19))),TREND(Perform_Active!$U19:$V19,Perform_Active!$U$8:$V$8,DI$380))),)</f>
        <v>0</v>
      </c>
    </row>
    <row r="392" spans="1:113" s="322" customFormat="1" ht="12.75" x14ac:dyDescent="0.2">
      <c r="D392" s="550"/>
      <c r="E392" s="550"/>
      <c r="F392" s="550"/>
      <c r="G392" s="341"/>
      <c r="H392" s="341"/>
      <c r="I392" s="341"/>
      <c r="J392" s="341"/>
      <c r="K392" s="341"/>
      <c r="L392" s="341"/>
      <c r="M392" s="341"/>
      <c r="N392" s="341"/>
      <c r="O392" s="341"/>
      <c r="P392" s="341"/>
      <c r="Q392" s="341"/>
      <c r="R392" s="341"/>
      <c r="S392" s="341"/>
      <c r="T392" s="341"/>
      <c r="U392" s="341"/>
      <c r="V392" s="341"/>
      <c r="W392" s="341"/>
      <c r="X392" s="341"/>
      <c r="Y392" s="341"/>
      <c r="Z392" s="341"/>
      <c r="AA392" s="341"/>
      <c r="AB392" s="341"/>
      <c r="AC392" s="341"/>
      <c r="AD392" s="341"/>
      <c r="AE392" s="341"/>
      <c r="AF392" s="341"/>
      <c r="AG392" s="376"/>
      <c r="AH392" s="426"/>
      <c r="AI392" s="426"/>
      <c r="AJ392" s="426"/>
      <c r="AK392" s="426"/>
      <c r="AL392" s="426"/>
      <c r="AM392" s="426"/>
      <c r="AN392" s="426"/>
      <c r="AO392" s="426"/>
      <c r="AP392" s="426"/>
      <c r="AQ392" s="426"/>
      <c r="AR392" s="426"/>
      <c r="AS392" s="426"/>
      <c r="AT392" s="426"/>
      <c r="AU392" s="426"/>
      <c r="AV392" s="426"/>
      <c r="AW392" s="426"/>
      <c r="AX392" s="426"/>
      <c r="AY392" s="426"/>
      <c r="AZ392" s="426"/>
      <c r="BA392" s="426"/>
      <c r="BB392" s="426"/>
      <c r="BC392" s="426"/>
      <c r="BD392" s="426"/>
      <c r="BE392" s="426"/>
      <c r="BF392" s="426"/>
      <c r="BG392" s="426"/>
      <c r="BH392" s="376"/>
      <c r="BI392" s="426"/>
      <c r="BJ392" s="426"/>
      <c r="BK392" s="426"/>
      <c r="BL392" s="426"/>
      <c r="BM392" s="426"/>
      <c r="BN392" s="426"/>
      <c r="BO392" s="426"/>
      <c r="BP392" s="426"/>
      <c r="BQ392" s="426"/>
      <c r="BR392" s="426"/>
      <c r="BS392" s="426"/>
      <c r="BT392" s="426"/>
      <c r="BU392" s="426"/>
      <c r="BV392" s="426"/>
      <c r="BW392" s="426"/>
      <c r="BX392" s="426"/>
      <c r="BY392" s="426"/>
      <c r="BZ392" s="426"/>
      <c r="CA392" s="426"/>
      <c r="CB392" s="426"/>
      <c r="CC392" s="426"/>
      <c r="CD392" s="426"/>
      <c r="CE392" s="426"/>
      <c r="CF392" s="426"/>
      <c r="CG392" s="426"/>
      <c r="CH392" s="426"/>
      <c r="CI392" s="376"/>
      <c r="CJ392" s="426"/>
      <c r="CK392" s="426"/>
      <c r="CL392" s="426"/>
      <c r="CM392" s="426"/>
      <c r="CN392" s="426"/>
      <c r="CO392" s="426"/>
      <c r="CP392" s="426"/>
      <c r="CQ392" s="426"/>
      <c r="CR392" s="426"/>
      <c r="CS392" s="426"/>
      <c r="CT392" s="426"/>
      <c r="CU392" s="426"/>
      <c r="CV392" s="426"/>
      <c r="CW392" s="426"/>
      <c r="CX392" s="426"/>
      <c r="CY392" s="426"/>
      <c r="CZ392" s="426"/>
      <c r="DA392" s="426"/>
      <c r="DB392" s="426"/>
      <c r="DC392" s="426"/>
      <c r="DD392" s="426"/>
      <c r="DE392" s="426"/>
      <c r="DF392" s="426"/>
      <c r="DG392" s="426"/>
      <c r="DH392" s="426"/>
      <c r="DI392" s="426"/>
    </row>
    <row r="393" spans="1:113" s="322" customFormat="1" ht="12.75" x14ac:dyDescent="0.2">
      <c r="A393" s="325" t="s">
        <v>36</v>
      </c>
      <c r="B393" s="324"/>
      <c r="C393" s="324"/>
      <c r="D393" s="501"/>
      <c r="E393" s="501"/>
      <c r="F393" s="501"/>
      <c r="G393" s="320"/>
      <c r="H393" s="320"/>
      <c r="I393" s="320"/>
      <c r="J393" s="320"/>
      <c r="K393" s="320"/>
      <c r="L393" s="320"/>
      <c r="M393" s="320"/>
      <c r="N393" s="320"/>
      <c r="O393" s="320"/>
      <c r="P393" s="320"/>
      <c r="Q393" s="320"/>
      <c r="R393" s="320"/>
      <c r="S393" s="320"/>
      <c r="T393" s="320"/>
      <c r="U393" s="320"/>
      <c r="V393" s="320"/>
      <c r="W393" s="320"/>
      <c r="X393" s="320"/>
      <c r="Y393" s="320"/>
      <c r="Z393" s="320"/>
      <c r="AA393" s="320"/>
      <c r="AB393" s="320"/>
      <c r="AC393" s="320"/>
      <c r="AD393" s="320"/>
      <c r="AE393" s="320"/>
      <c r="AF393" s="320"/>
      <c r="AG393" s="376"/>
      <c r="AH393" s="320"/>
      <c r="AI393" s="320"/>
      <c r="AJ393" s="320"/>
      <c r="AK393" s="320"/>
      <c r="AL393" s="320"/>
      <c r="AM393" s="320"/>
      <c r="AN393" s="320"/>
      <c r="AO393" s="320"/>
      <c r="AP393" s="320"/>
      <c r="AQ393" s="320"/>
      <c r="AR393" s="320"/>
      <c r="AS393" s="320"/>
      <c r="AT393" s="320"/>
      <c r="AU393" s="320"/>
      <c r="AV393" s="320"/>
      <c r="AW393" s="320"/>
      <c r="AX393" s="320"/>
      <c r="AY393" s="320"/>
      <c r="AZ393" s="320"/>
      <c r="BA393" s="320"/>
      <c r="BB393" s="320"/>
      <c r="BC393" s="320"/>
      <c r="BD393" s="320"/>
      <c r="BE393" s="320"/>
      <c r="BF393" s="320"/>
      <c r="BG393" s="320"/>
      <c r="BH393" s="376"/>
      <c r="BI393" s="320"/>
      <c r="BJ393" s="320"/>
      <c r="BK393" s="320"/>
      <c r="BL393" s="320"/>
      <c r="BM393" s="320"/>
      <c r="BN393" s="320"/>
      <c r="BO393" s="320"/>
      <c r="BP393" s="320"/>
      <c r="BQ393" s="320"/>
      <c r="BR393" s="320"/>
      <c r="BS393" s="320"/>
      <c r="BT393" s="320"/>
      <c r="BU393" s="320"/>
      <c r="BV393" s="320"/>
      <c r="BW393" s="320"/>
      <c r="BX393" s="320"/>
      <c r="BY393" s="320"/>
      <c r="BZ393" s="320"/>
      <c r="CA393" s="320"/>
      <c r="CB393" s="320"/>
      <c r="CC393" s="320"/>
      <c r="CD393" s="320"/>
      <c r="CE393" s="320"/>
      <c r="CF393" s="320"/>
      <c r="CG393" s="320"/>
      <c r="CH393" s="320"/>
      <c r="CI393" s="376"/>
      <c r="CJ393" s="320"/>
      <c r="CK393" s="320"/>
      <c r="CL393" s="320"/>
      <c r="CM393" s="320"/>
      <c r="CN393" s="320"/>
      <c r="CO393" s="320"/>
      <c r="CP393" s="320"/>
      <c r="CQ393" s="320"/>
      <c r="CR393" s="320"/>
      <c r="CS393" s="320"/>
      <c r="CT393" s="320"/>
      <c r="CU393" s="320"/>
      <c r="CV393" s="320"/>
      <c r="CW393" s="320"/>
      <c r="CX393" s="320"/>
      <c r="CY393" s="320"/>
      <c r="CZ393" s="320"/>
      <c r="DA393" s="320"/>
      <c r="DB393" s="320"/>
      <c r="DC393" s="320"/>
      <c r="DD393" s="320"/>
      <c r="DE393" s="320"/>
      <c r="DF393" s="320"/>
      <c r="DG393" s="320"/>
      <c r="DH393" s="320"/>
      <c r="DI393" s="320"/>
    </row>
    <row r="394" spans="1:113" s="322" customFormat="1" ht="12.75" x14ac:dyDescent="0.2">
      <c r="B394" s="322" t="s">
        <v>37</v>
      </c>
      <c r="C394" s="328"/>
      <c r="D394" s="552"/>
      <c r="E394" s="552"/>
      <c r="F394" s="552"/>
      <c r="G394" s="272">
        <f t="shared" ref="G394:P397" si="72">SUM(AH394,BI394,CJ394)</f>
        <v>16</v>
      </c>
      <c r="H394" s="272">
        <f t="shared" si="72"/>
        <v>15.920000000000016</v>
      </c>
      <c r="I394" s="272">
        <f t="shared" si="72"/>
        <v>15.840000000000003</v>
      </c>
      <c r="J394" s="272">
        <f t="shared" si="72"/>
        <v>15.760000000000019</v>
      </c>
      <c r="K394" s="272">
        <f t="shared" si="72"/>
        <v>15.680000000000007</v>
      </c>
      <c r="L394" s="272">
        <f t="shared" si="72"/>
        <v>15.599999999999994</v>
      </c>
      <c r="M394" s="272">
        <f t="shared" si="72"/>
        <v>15.52000000000001</v>
      </c>
      <c r="N394" s="272">
        <f t="shared" si="72"/>
        <v>15.439999999999998</v>
      </c>
      <c r="O394" s="272">
        <f t="shared" si="72"/>
        <v>15.360000000000014</v>
      </c>
      <c r="P394" s="272">
        <f t="shared" si="72"/>
        <v>15.280000000000001</v>
      </c>
      <c r="Q394" s="272">
        <f t="shared" ref="Q394:Z397" si="73">SUM(AR394,BS394,CT394)</f>
        <v>15.200000000000017</v>
      </c>
      <c r="R394" s="272">
        <f t="shared" si="73"/>
        <v>15.120000000000005</v>
      </c>
      <c r="S394" s="272">
        <f t="shared" si="73"/>
        <v>15.04000000000002</v>
      </c>
      <c r="T394" s="272">
        <f t="shared" si="73"/>
        <v>14.960000000000008</v>
      </c>
      <c r="U394" s="272">
        <f t="shared" si="73"/>
        <v>14.879999999999995</v>
      </c>
      <c r="V394" s="272">
        <f t="shared" si="73"/>
        <v>14.800000000000011</v>
      </c>
      <c r="W394" s="272">
        <f t="shared" si="73"/>
        <v>14.719999999999999</v>
      </c>
      <c r="X394" s="272">
        <f t="shared" si="73"/>
        <v>14.640000000000015</v>
      </c>
      <c r="Y394" s="272">
        <f t="shared" si="73"/>
        <v>14.560000000000002</v>
      </c>
      <c r="Z394" s="272">
        <f t="shared" si="73"/>
        <v>14.480000000000018</v>
      </c>
      <c r="AA394" s="272">
        <f t="shared" ref="AA394:AF397" si="74">SUM(BB394,CC394,DD394)</f>
        <v>14.400000000000006</v>
      </c>
      <c r="AB394" s="272">
        <f t="shared" si="74"/>
        <v>14.320000000000022</v>
      </c>
      <c r="AC394" s="272">
        <f t="shared" si="74"/>
        <v>14.240000000000009</v>
      </c>
      <c r="AD394" s="272">
        <f t="shared" si="74"/>
        <v>14.159999999999997</v>
      </c>
      <c r="AE394" s="272">
        <f t="shared" si="74"/>
        <v>14.080000000000013</v>
      </c>
      <c r="AF394" s="272">
        <f t="shared" si="74"/>
        <v>14</v>
      </c>
      <c r="AG394" s="376"/>
      <c r="AH394" s="271">
        <f>IF(Tech_Specs!$F21="linear",TREND(Perform_Active!$U22:$V22,Perform_Active!$U$8:$V$8,AH$380),)</f>
        <v>0</v>
      </c>
      <c r="AI394" s="271">
        <f>IF(Tech_Specs!$F21="linear",TREND(Perform_Active!$U22:$V22,Perform_Active!$U$8:$V$8,AI$380),)</f>
        <v>0</v>
      </c>
      <c r="AJ394" s="271">
        <f>IF(Tech_Specs!$F21="linear",TREND(Perform_Active!$U22:$V22,Perform_Active!$U$8:$V$8,AJ$380),)</f>
        <v>0</v>
      </c>
      <c r="AK394" s="271">
        <f>IF(Tech_Specs!$F21="linear",TREND(Perform_Active!$U22:$V22,Perform_Active!$U$8:$V$8,AK$380),)</f>
        <v>0</v>
      </c>
      <c r="AL394" s="271">
        <f>IF(Tech_Specs!$F21="linear",TREND(Perform_Active!$U22:$V22,Perform_Active!$U$8:$V$8,AL$380),)</f>
        <v>0</v>
      </c>
      <c r="AM394" s="271">
        <f>IF(Tech_Specs!$F21="linear",TREND(Perform_Active!$U22:$V22,Perform_Active!$U$8:$V$8,AM$380),)</f>
        <v>0</v>
      </c>
      <c r="AN394" s="271">
        <f>IF(Tech_Specs!$F21="linear",TREND(Perform_Active!$U22:$V22,Perform_Active!$U$8:$V$8,AN$380),)</f>
        <v>0</v>
      </c>
      <c r="AO394" s="271">
        <f>IF(Tech_Specs!$F21="linear",TREND(Perform_Active!$U22:$V22,Perform_Active!$U$8:$V$8,AO$380),)</f>
        <v>0</v>
      </c>
      <c r="AP394" s="271">
        <f>IF(Tech_Specs!$F21="linear",TREND(Perform_Active!$U22:$V22,Perform_Active!$U$8:$V$8,AP$380),)</f>
        <v>0</v>
      </c>
      <c r="AQ394" s="271">
        <f>IF(Tech_Specs!$F21="linear",TREND(Perform_Active!$U22:$V22,Perform_Active!$U$8:$V$8,AQ$380),)</f>
        <v>0</v>
      </c>
      <c r="AR394" s="271">
        <f>IF(Tech_Specs!$F21="linear",TREND(Perform_Active!$U22:$V22,Perform_Active!$U$8:$V$8,AR$380),)</f>
        <v>0</v>
      </c>
      <c r="AS394" s="271">
        <f>IF(Tech_Specs!$F21="linear",TREND(Perform_Active!$U22:$V22,Perform_Active!$U$8:$V$8,AS$380),)</f>
        <v>0</v>
      </c>
      <c r="AT394" s="271">
        <f>IF(Tech_Specs!$F21="linear",TREND(Perform_Active!$U22:$V22,Perform_Active!$U$8:$V$8,AT$380),)</f>
        <v>0</v>
      </c>
      <c r="AU394" s="271">
        <f>IF(Tech_Specs!$F21="linear",TREND(Perform_Active!$U22:$V22,Perform_Active!$U$8:$V$8,AU$380),)</f>
        <v>0</v>
      </c>
      <c r="AV394" s="271">
        <f>IF(Tech_Specs!$F21="linear",TREND(Perform_Active!$U22:$V22,Perform_Active!$U$8:$V$8,AV$380),)</f>
        <v>0</v>
      </c>
      <c r="AW394" s="271">
        <f>IF(Tech_Specs!$F21="linear",TREND(Perform_Active!$U22:$V22,Perform_Active!$U$8:$V$8,AW$380),)</f>
        <v>0</v>
      </c>
      <c r="AX394" s="271">
        <f>IF(Tech_Specs!$F21="linear",TREND(Perform_Active!$U22:$V22,Perform_Active!$U$8:$V$8,AX$380),)</f>
        <v>0</v>
      </c>
      <c r="AY394" s="271">
        <f>IF(Tech_Specs!$F21="linear",TREND(Perform_Active!$U22:$V22,Perform_Active!$U$8:$V$8,AY$380),)</f>
        <v>0</v>
      </c>
      <c r="AZ394" s="271">
        <f>IF(Tech_Specs!$F21="linear",TREND(Perform_Active!$U22:$V22,Perform_Active!$U$8:$V$8,AZ$380),)</f>
        <v>0</v>
      </c>
      <c r="BA394" s="271">
        <f>IF(Tech_Specs!$F21="linear",TREND(Perform_Active!$U22:$V22,Perform_Active!$U$8:$V$8,BA$380),)</f>
        <v>0</v>
      </c>
      <c r="BB394" s="271">
        <f>IF(Tech_Specs!$F21="linear",TREND(Perform_Active!$U22:$V22,Perform_Active!$U$8:$V$8,BB$380),)</f>
        <v>0</v>
      </c>
      <c r="BC394" s="271">
        <f>IF(Tech_Specs!$F21="linear",TREND(Perform_Active!$U22:$V22,Perform_Active!$U$8:$V$8,BC$380),)</f>
        <v>0</v>
      </c>
      <c r="BD394" s="271">
        <f>IF(Tech_Specs!$F21="linear",TREND(Perform_Active!$U22:$V22,Perform_Active!$U$8:$V$8,BD$380),)</f>
        <v>0</v>
      </c>
      <c r="BE394" s="271">
        <f>IF(Tech_Specs!$F21="linear",TREND(Perform_Active!$U22:$V22,Perform_Active!$U$8:$V$8,BE$380),)</f>
        <v>0</v>
      </c>
      <c r="BF394" s="271">
        <f>IF(Tech_Specs!$F21="linear",TREND(Perform_Active!$U22:$V22,Perform_Active!$U$8:$V$8,BF$380),)</f>
        <v>0</v>
      </c>
      <c r="BG394" s="271">
        <f>IF(Tech_Specs!$F21="linear",TREND(Perform_Active!$U22:$V22,Perform_Active!$U$8:$V$8,BG$380),)</f>
        <v>0</v>
      </c>
      <c r="BH394" s="376"/>
      <c r="BI394" s="271">
        <f>IF(Tech_Specs!$F21="logistic",0,)</f>
        <v>0</v>
      </c>
      <c r="BJ394" s="271">
        <f>IF(Tech_Specs!$F21="logistic",0,)</f>
        <v>0</v>
      </c>
      <c r="BK394" s="271">
        <f>IF(Tech_Specs!$F21="logistic",0,)</f>
        <v>0</v>
      </c>
      <c r="BL394" s="271">
        <f>IF(Tech_Specs!$F21="logistic",0,)</f>
        <v>0</v>
      </c>
      <c r="BM394" s="271">
        <f>IF(Tech_Specs!$F21="logistic",0,)</f>
        <v>0</v>
      </c>
      <c r="BN394" s="271">
        <f>IF(Tech_Specs!$F21="logistic",0,)</f>
        <v>0</v>
      </c>
      <c r="BO394" s="271">
        <f>IF(Tech_Specs!$F21="logistic",0,)</f>
        <v>0</v>
      </c>
      <c r="BP394" s="271">
        <f>IF(Tech_Specs!$F21="logistic",0,)</f>
        <v>0</v>
      </c>
      <c r="BQ394" s="271">
        <f>IF(Tech_Specs!$F21="logistic",0,)</f>
        <v>0</v>
      </c>
      <c r="BR394" s="271">
        <f>IF(Tech_Specs!$F21="logistic",0,)</f>
        <v>0</v>
      </c>
      <c r="BS394" s="271">
        <f>IF(Tech_Specs!$F21="logistic",0,)</f>
        <v>0</v>
      </c>
      <c r="BT394" s="271">
        <f>IF(Tech_Specs!$F21="logistic",0,)</f>
        <v>0</v>
      </c>
      <c r="BU394" s="271">
        <f>IF(Tech_Specs!$F21="logistic",0,)</f>
        <v>0</v>
      </c>
      <c r="BV394" s="271">
        <f>IF(Tech_Specs!$F21="logistic",0,)</f>
        <v>0</v>
      </c>
      <c r="BW394" s="271">
        <f>IF(Tech_Specs!$F21="logistic",0,)</f>
        <v>0</v>
      </c>
      <c r="BX394" s="271">
        <f>IF(Tech_Specs!$F21="logistic",0,)</f>
        <v>0</v>
      </c>
      <c r="BY394" s="271">
        <f>IF(Tech_Specs!$F21="logistic",0,)</f>
        <v>0</v>
      </c>
      <c r="BZ394" s="271">
        <f>IF(Tech_Specs!$F21="logistic",0,)</f>
        <v>0</v>
      </c>
      <c r="CA394" s="271">
        <f>IF(Tech_Specs!$F21="logistic",0,)</f>
        <v>0</v>
      </c>
      <c r="CB394" s="271">
        <f>IF(Tech_Specs!$F21="logistic",0,)</f>
        <v>0</v>
      </c>
      <c r="CC394" s="271">
        <f>IF(Tech_Specs!$F21="logistic",0,)</f>
        <v>0</v>
      </c>
      <c r="CD394" s="271">
        <f>IF(Tech_Specs!$F21="logistic",0,)</f>
        <v>0</v>
      </c>
      <c r="CE394" s="271">
        <f>IF(Tech_Specs!$F21="logistic",0,)</f>
        <v>0</v>
      </c>
      <c r="CF394" s="271">
        <f>IF(Tech_Specs!$F21="logistic",0,)</f>
        <v>0</v>
      </c>
      <c r="CG394" s="271">
        <f>IF(Tech_Specs!$F21="logistic",0,)</f>
        <v>0</v>
      </c>
      <c r="CH394" s="271">
        <f>IF(Tech_Specs!$F21="logistic",0,)</f>
        <v>0</v>
      </c>
      <c r="CI394" s="376"/>
      <c r="CJ394" s="271">
        <f>IF(AND(Tech_Specs!$F21="step",Standards_Active!$S22="yes"),IF(CJ$380&lt;Standards_Active!$Q22,TREND(Perform_Active!$U22:$V22,Perform_Active!$U$8:$V$8,CJ$380),IF(ISNUMBER(Standards_Active!$AA22),IF(AND(CJ$380&gt;=Standards_Active!$Q22,CJ$380&lt;Standards_Active!$R22),(Standards_Active!$AA22-INDEX($CJ394:$DI394,1,MATCH((Standards_Active!$Q22-1),$CJ$380:$DI$380,FALSE)))/(Standards_Active!$R22-(Standards_Active!$Q22-1))+CI394,Standards_Active!$AA22*((1+Standards_Active!$AC22)^(CJ$380-Standards_Active!$R22))),TREND(Perform_Active!$U22:$V22,Perform_Active!$U$8:$V$8,CJ$380))),)</f>
        <v>16</v>
      </c>
      <c r="CK394" s="271">
        <f>IF(AND(Tech_Specs!$F21="step",Standards_Active!$S22="yes"),IF(CK$380&lt;Standards_Active!$Q22,TREND(Perform_Active!$U22:$V22,Perform_Active!$U$8:$V$8,CK$380),IF(ISNUMBER(Standards_Active!$AA22),IF(AND(CK$380&gt;=Standards_Active!$Q22,CK$380&lt;Standards_Active!$R22),(Standards_Active!$AA22-INDEX($CJ394:$DI394,1,MATCH((Standards_Active!$Q22-1),$CJ$380:$DI$380,FALSE)))/(Standards_Active!$R22-(Standards_Active!$Q22-1))+CJ394,Standards_Active!$AA22*((1+Standards_Active!$AC22)^(CK$380-Standards_Active!$R22))),TREND(Perform_Active!$U22:$V22,Perform_Active!$U$8:$V$8,CK$380))),)</f>
        <v>15.920000000000016</v>
      </c>
      <c r="CL394" s="271">
        <f>IF(AND(Tech_Specs!$F21="step",Standards_Active!$S22="yes"),IF(CL$380&lt;Standards_Active!$Q22,TREND(Perform_Active!$U22:$V22,Perform_Active!$U$8:$V$8,CL$380),IF(ISNUMBER(Standards_Active!$AA22),IF(AND(CL$380&gt;=Standards_Active!$Q22,CL$380&lt;Standards_Active!$R22),(Standards_Active!$AA22-INDEX($CJ394:$DI394,1,MATCH((Standards_Active!$Q22-1),$CJ$380:$DI$380,FALSE)))/(Standards_Active!$R22-(Standards_Active!$Q22-1))+CK394,Standards_Active!$AA22*((1+Standards_Active!$AC22)^(CL$380-Standards_Active!$R22))),TREND(Perform_Active!$U22:$V22,Perform_Active!$U$8:$V$8,CL$380))),)</f>
        <v>15.840000000000003</v>
      </c>
      <c r="CM394" s="271">
        <f>IF(AND(Tech_Specs!$F21="step",Standards_Active!$S22="yes"),IF(CM$380&lt;Standards_Active!$Q22,TREND(Perform_Active!$U22:$V22,Perform_Active!$U$8:$V$8,CM$380),IF(ISNUMBER(Standards_Active!$AA22),IF(AND(CM$380&gt;=Standards_Active!$Q22,CM$380&lt;Standards_Active!$R22),(Standards_Active!$AA22-INDEX($CJ394:$DI394,1,MATCH((Standards_Active!$Q22-1),$CJ$380:$DI$380,FALSE)))/(Standards_Active!$R22-(Standards_Active!$Q22-1))+CL394,Standards_Active!$AA22*((1+Standards_Active!$AC22)^(CM$380-Standards_Active!$R22))),TREND(Perform_Active!$U22:$V22,Perform_Active!$U$8:$V$8,CM$380))),)</f>
        <v>15.760000000000019</v>
      </c>
      <c r="CN394" s="271">
        <f>IF(AND(Tech_Specs!$F21="step",Standards_Active!$S22="yes"),IF(CN$380&lt;Standards_Active!$Q22,TREND(Perform_Active!$U22:$V22,Perform_Active!$U$8:$V$8,CN$380),IF(ISNUMBER(Standards_Active!$AA22),IF(AND(CN$380&gt;=Standards_Active!$Q22,CN$380&lt;Standards_Active!$R22),(Standards_Active!$AA22-INDEX($CJ394:$DI394,1,MATCH((Standards_Active!$Q22-1),$CJ$380:$DI$380,FALSE)))/(Standards_Active!$R22-(Standards_Active!$Q22-1))+CM394,Standards_Active!$AA22*((1+Standards_Active!$AC22)^(CN$380-Standards_Active!$R22))),TREND(Perform_Active!$U22:$V22,Perform_Active!$U$8:$V$8,CN$380))),)</f>
        <v>15.680000000000007</v>
      </c>
      <c r="CO394" s="271">
        <f>IF(AND(Tech_Specs!$F21="step",Standards_Active!$S22="yes"),IF(CO$380&lt;Standards_Active!$Q22,TREND(Perform_Active!$U22:$V22,Perform_Active!$U$8:$V$8,CO$380),IF(ISNUMBER(Standards_Active!$AA22),IF(AND(CO$380&gt;=Standards_Active!$Q22,CO$380&lt;Standards_Active!$R22),(Standards_Active!$AA22-INDEX($CJ394:$DI394,1,MATCH((Standards_Active!$Q22-1),$CJ$380:$DI$380,FALSE)))/(Standards_Active!$R22-(Standards_Active!$Q22-1))+CN394,Standards_Active!$AA22*((1+Standards_Active!$AC22)^(CO$380-Standards_Active!$R22))),TREND(Perform_Active!$U22:$V22,Perform_Active!$U$8:$V$8,CO$380))),)</f>
        <v>15.599999999999994</v>
      </c>
      <c r="CP394" s="271">
        <f>IF(AND(Tech_Specs!$F21="step",Standards_Active!$S22="yes"),IF(CP$380&lt;Standards_Active!$Q22,TREND(Perform_Active!$U22:$V22,Perform_Active!$U$8:$V$8,CP$380),IF(ISNUMBER(Standards_Active!$AA22),IF(AND(CP$380&gt;=Standards_Active!$Q22,CP$380&lt;Standards_Active!$R22),(Standards_Active!$AA22-INDEX($CJ394:$DI394,1,MATCH((Standards_Active!$Q22-1),$CJ$380:$DI$380,FALSE)))/(Standards_Active!$R22-(Standards_Active!$Q22-1))+CO394,Standards_Active!$AA22*((1+Standards_Active!$AC22)^(CP$380-Standards_Active!$R22))),TREND(Perform_Active!$U22:$V22,Perform_Active!$U$8:$V$8,CP$380))),)</f>
        <v>15.52000000000001</v>
      </c>
      <c r="CQ394" s="271">
        <f>IF(AND(Tech_Specs!$F21="step",Standards_Active!$S22="yes"),IF(CQ$380&lt;Standards_Active!$Q22,TREND(Perform_Active!$U22:$V22,Perform_Active!$U$8:$V$8,CQ$380),IF(ISNUMBER(Standards_Active!$AA22),IF(AND(CQ$380&gt;=Standards_Active!$Q22,CQ$380&lt;Standards_Active!$R22),(Standards_Active!$AA22-INDEX($CJ394:$DI394,1,MATCH((Standards_Active!$Q22-1),$CJ$380:$DI$380,FALSE)))/(Standards_Active!$R22-(Standards_Active!$Q22-1))+CP394,Standards_Active!$AA22*((1+Standards_Active!$AC22)^(CQ$380-Standards_Active!$R22))),TREND(Perform_Active!$U22:$V22,Perform_Active!$U$8:$V$8,CQ$380))),)</f>
        <v>15.439999999999998</v>
      </c>
      <c r="CR394" s="271">
        <f>IF(AND(Tech_Specs!$F21="step",Standards_Active!$S22="yes"),IF(CR$380&lt;Standards_Active!$Q22,TREND(Perform_Active!$U22:$V22,Perform_Active!$U$8:$V$8,CR$380),IF(ISNUMBER(Standards_Active!$AA22),IF(AND(CR$380&gt;=Standards_Active!$Q22,CR$380&lt;Standards_Active!$R22),(Standards_Active!$AA22-INDEX($CJ394:$DI394,1,MATCH((Standards_Active!$Q22-1),$CJ$380:$DI$380,FALSE)))/(Standards_Active!$R22-(Standards_Active!$Q22-1))+CQ394,Standards_Active!$AA22*((1+Standards_Active!$AC22)^(CR$380-Standards_Active!$R22))),TREND(Perform_Active!$U22:$V22,Perform_Active!$U$8:$V$8,CR$380))),)</f>
        <v>15.360000000000014</v>
      </c>
      <c r="CS394" s="271">
        <f>IF(AND(Tech_Specs!$F21="step",Standards_Active!$S22="yes"),IF(CS$380&lt;Standards_Active!$Q22,TREND(Perform_Active!$U22:$V22,Perform_Active!$U$8:$V$8,CS$380),IF(ISNUMBER(Standards_Active!$AA22),IF(AND(CS$380&gt;=Standards_Active!$Q22,CS$380&lt;Standards_Active!$R22),(Standards_Active!$AA22-INDEX($CJ394:$DI394,1,MATCH((Standards_Active!$Q22-1),$CJ$380:$DI$380,FALSE)))/(Standards_Active!$R22-(Standards_Active!$Q22-1))+CR394,Standards_Active!$AA22*((1+Standards_Active!$AC22)^(CS$380-Standards_Active!$R22))),TREND(Perform_Active!$U22:$V22,Perform_Active!$U$8:$V$8,CS$380))),)</f>
        <v>15.280000000000001</v>
      </c>
      <c r="CT394" s="271">
        <f>IF(AND(Tech_Specs!$F21="step",Standards_Active!$S22="yes"),IF(CT$380&lt;Standards_Active!$Q22,TREND(Perform_Active!$U22:$V22,Perform_Active!$U$8:$V$8,CT$380),IF(ISNUMBER(Standards_Active!$AA22),IF(AND(CT$380&gt;=Standards_Active!$Q22,CT$380&lt;Standards_Active!$R22),(Standards_Active!$AA22-INDEX($CJ394:$DI394,1,MATCH((Standards_Active!$Q22-1),$CJ$380:$DI$380,FALSE)))/(Standards_Active!$R22-(Standards_Active!$Q22-1))+CS394,Standards_Active!$AA22*((1+Standards_Active!$AC22)^(CT$380-Standards_Active!$R22))),TREND(Perform_Active!$U22:$V22,Perform_Active!$U$8:$V$8,CT$380))),)</f>
        <v>15.200000000000017</v>
      </c>
      <c r="CU394" s="271">
        <f>IF(AND(Tech_Specs!$F21="step",Standards_Active!$S22="yes"),IF(CU$380&lt;Standards_Active!$Q22,TREND(Perform_Active!$U22:$V22,Perform_Active!$U$8:$V$8,CU$380),IF(ISNUMBER(Standards_Active!$AA22),IF(AND(CU$380&gt;=Standards_Active!$Q22,CU$380&lt;Standards_Active!$R22),(Standards_Active!$AA22-INDEX($CJ394:$DI394,1,MATCH((Standards_Active!$Q22-1),$CJ$380:$DI$380,FALSE)))/(Standards_Active!$R22-(Standards_Active!$Q22-1))+CT394,Standards_Active!$AA22*((1+Standards_Active!$AC22)^(CU$380-Standards_Active!$R22))),TREND(Perform_Active!$U22:$V22,Perform_Active!$U$8:$V$8,CU$380))),)</f>
        <v>15.120000000000005</v>
      </c>
      <c r="CV394" s="271">
        <f>IF(AND(Tech_Specs!$F21="step",Standards_Active!$S22="yes"),IF(CV$380&lt;Standards_Active!$Q22,TREND(Perform_Active!$U22:$V22,Perform_Active!$U$8:$V$8,CV$380),IF(ISNUMBER(Standards_Active!$AA22),IF(AND(CV$380&gt;=Standards_Active!$Q22,CV$380&lt;Standards_Active!$R22),(Standards_Active!$AA22-INDEX($CJ394:$DI394,1,MATCH((Standards_Active!$Q22-1),$CJ$380:$DI$380,FALSE)))/(Standards_Active!$R22-(Standards_Active!$Q22-1))+CU394,Standards_Active!$AA22*((1+Standards_Active!$AC22)^(CV$380-Standards_Active!$R22))),TREND(Perform_Active!$U22:$V22,Perform_Active!$U$8:$V$8,CV$380))),)</f>
        <v>15.04000000000002</v>
      </c>
      <c r="CW394" s="271">
        <f>IF(AND(Tech_Specs!$F21="step",Standards_Active!$S22="yes"),IF(CW$380&lt;Standards_Active!$Q22,TREND(Perform_Active!$U22:$V22,Perform_Active!$U$8:$V$8,CW$380),IF(ISNUMBER(Standards_Active!$AA22),IF(AND(CW$380&gt;=Standards_Active!$Q22,CW$380&lt;Standards_Active!$R22),(Standards_Active!$AA22-INDEX($CJ394:$DI394,1,MATCH((Standards_Active!$Q22-1),$CJ$380:$DI$380,FALSE)))/(Standards_Active!$R22-(Standards_Active!$Q22-1))+CV394,Standards_Active!$AA22*((1+Standards_Active!$AC22)^(CW$380-Standards_Active!$R22))),TREND(Perform_Active!$U22:$V22,Perform_Active!$U$8:$V$8,CW$380))),)</f>
        <v>14.960000000000008</v>
      </c>
      <c r="CX394" s="271">
        <f>IF(AND(Tech_Specs!$F21="step",Standards_Active!$S22="yes"),IF(CX$380&lt;Standards_Active!$Q22,TREND(Perform_Active!$U22:$V22,Perform_Active!$U$8:$V$8,CX$380),IF(ISNUMBER(Standards_Active!$AA22),IF(AND(CX$380&gt;=Standards_Active!$Q22,CX$380&lt;Standards_Active!$R22),(Standards_Active!$AA22-INDEX($CJ394:$DI394,1,MATCH((Standards_Active!$Q22-1),$CJ$380:$DI$380,FALSE)))/(Standards_Active!$R22-(Standards_Active!$Q22-1))+CW394,Standards_Active!$AA22*((1+Standards_Active!$AC22)^(CX$380-Standards_Active!$R22))),TREND(Perform_Active!$U22:$V22,Perform_Active!$U$8:$V$8,CX$380))),)</f>
        <v>14.879999999999995</v>
      </c>
      <c r="CY394" s="271">
        <f>IF(AND(Tech_Specs!$F21="step",Standards_Active!$S22="yes"),IF(CY$380&lt;Standards_Active!$Q22,TREND(Perform_Active!$U22:$V22,Perform_Active!$U$8:$V$8,CY$380),IF(ISNUMBER(Standards_Active!$AA22),IF(AND(CY$380&gt;=Standards_Active!$Q22,CY$380&lt;Standards_Active!$R22),(Standards_Active!$AA22-INDEX($CJ394:$DI394,1,MATCH((Standards_Active!$Q22-1),$CJ$380:$DI$380,FALSE)))/(Standards_Active!$R22-(Standards_Active!$Q22-1))+CX394,Standards_Active!$AA22*((1+Standards_Active!$AC22)^(CY$380-Standards_Active!$R22))),TREND(Perform_Active!$U22:$V22,Perform_Active!$U$8:$V$8,CY$380))),)</f>
        <v>14.800000000000011</v>
      </c>
      <c r="CZ394" s="271">
        <f>IF(AND(Tech_Specs!$F21="step",Standards_Active!$S22="yes"),IF(CZ$380&lt;Standards_Active!$Q22,TREND(Perform_Active!$U22:$V22,Perform_Active!$U$8:$V$8,CZ$380),IF(ISNUMBER(Standards_Active!$AA22),IF(AND(CZ$380&gt;=Standards_Active!$Q22,CZ$380&lt;Standards_Active!$R22),(Standards_Active!$AA22-INDEX($CJ394:$DI394,1,MATCH((Standards_Active!$Q22-1),$CJ$380:$DI$380,FALSE)))/(Standards_Active!$R22-(Standards_Active!$Q22-1))+CY394,Standards_Active!$AA22*((1+Standards_Active!$AC22)^(CZ$380-Standards_Active!$R22))),TREND(Perform_Active!$U22:$V22,Perform_Active!$U$8:$V$8,CZ$380))),)</f>
        <v>14.719999999999999</v>
      </c>
      <c r="DA394" s="271">
        <f>IF(AND(Tech_Specs!$F21="step",Standards_Active!$S22="yes"),IF(DA$380&lt;Standards_Active!$Q22,TREND(Perform_Active!$U22:$V22,Perform_Active!$U$8:$V$8,DA$380),IF(ISNUMBER(Standards_Active!$AA22),IF(AND(DA$380&gt;=Standards_Active!$Q22,DA$380&lt;Standards_Active!$R22),(Standards_Active!$AA22-INDEX($CJ394:$DI394,1,MATCH((Standards_Active!$Q22-1),$CJ$380:$DI$380,FALSE)))/(Standards_Active!$R22-(Standards_Active!$Q22-1))+CZ394,Standards_Active!$AA22*((1+Standards_Active!$AC22)^(DA$380-Standards_Active!$R22))),TREND(Perform_Active!$U22:$V22,Perform_Active!$U$8:$V$8,DA$380))),)</f>
        <v>14.640000000000015</v>
      </c>
      <c r="DB394" s="271">
        <f>IF(AND(Tech_Specs!$F21="step",Standards_Active!$S22="yes"),IF(DB$380&lt;Standards_Active!$Q22,TREND(Perform_Active!$U22:$V22,Perform_Active!$U$8:$V$8,DB$380),IF(ISNUMBER(Standards_Active!$AA22),IF(AND(DB$380&gt;=Standards_Active!$Q22,DB$380&lt;Standards_Active!$R22),(Standards_Active!$AA22-INDEX($CJ394:$DI394,1,MATCH((Standards_Active!$Q22-1),$CJ$380:$DI$380,FALSE)))/(Standards_Active!$R22-(Standards_Active!$Q22-1))+DA394,Standards_Active!$AA22*((1+Standards_Active!$AC22)^(DB$380-Standards_Active!$R22))),TREND(Perform_Active!$U22:$V22,Perform_Active!$U$8:$V$8,DB$380))),)</f>
        <v>14.560000000000002</v>
      </c>
      <c r="DC394" s="271">
        <f>IF(AND(Tech_Specs!$F21="step",Standards_Active!$S22="yes"),IF(DC$380&lt;Standards_Active!$Q22,TREND(Perform_Active!$U22:$V22,Perform_Active!$U$8:$V$8,DC$380),IF(ISNUMBER(Standards_Active!$AA22),IF(AND(DC$380&gt;=Standards_Active!$Q22,DC$380&lt;Standards_Active!$R22),(Standards_Active!$AA22-INDEX($CJ394:$DI394,1,MATCH((Standards_Active!$Q22-1),$CJ$380:$DI$380,FALSE)))/(Standards_Active!$R22-(Standards_Active!$Q22-1))+DB394,Standards_Active!$AA22*((1+Standards_Active!$AC22)^(DC$380-Standards_Active!$R22))),TREND(Perform_Active!$U22:$V22,Perform_Active!$U$8:$V$8,DC$380))),)</f>
        <v>14.480000000000018</v>
      </c>
      <c r="DD394" s="271">
        <f>IF(AND(Tech_Specs!$F21="step",Standards_Active!$S22="yes"),IF(DD$380&lt;Standards_Active!$Q22,TREND(Perform_Active!$U22:$V22,Perform_Active!$U$8:$V$8,DD$380),IF(ISNUMBER(Standards_Active!$AA22),IF(AND(DD$380&gt;=Standards_Active!$Q22,DD$380&lt;Standards_Active!$R22),(Standards_Active!$AA22-INDEX($CJ394:$DI394,1,MATCH((Standards_Active!$Q22-1),$CJ$380:$DI$380,FALSE)))/(Standards_Active!$R22-(Standards_Active!$Q22-1))+DC394,Standards_Active!$AA22*((1+Standards_Active!$AC22)^(DD$380-Standards_Active!$R22))),TREND(Perform_Active!$U22:$V22,Perform_Active!$U$8:$V$8,DD$380))),)</f>
        <v>14.400000000000006</v>
      </c>
      <c r="DE394" s="271">
        <f>IF(AND(Tech_Specs!$F21="step",Standards_Active!$S22="yes"),IF(DE$380&lt;Standards_Active!$Q22,TREND(Perform_Active!$U22:$V22,Perform_Active!$U$8:$V$8,DE$380),IF(ISNUMBER(Standards_Active!$AA22),IF(AND(DE$380&gt;=Standards_Active!$Q22,DE$380&lt;Standards_Active!$R22),(Standards_Active!$AA22-INDEX($CJ394:$DI394,1,MATCH((Standards_Active!$Q22-1),$CJ$380:$DI$380,FALSE)))/(Standards_Active!$R22-(Standards_Active!$Q22-1))+DD394,Standards_Active!$AA22*((1+Standards_Active!$AC22)^(DE$380-Standards_Active!$R22))),TREND(Perform_Active!$U22:$V22,Perform_Active!$U$8:$V$8,DE$380))),)</f>
        <v>14.320000000000022</v>
      </c>
      <c r="DF394" s="271">
        <f>IF(AND(Tech_Specs!$F21="step",Standards_Active!$S22="yes"),IF(DF$380&lt;Standards_Active!$Q22,TREND(Perform_Active!$U22:$V22,Perform_Active!$U$8:$V$8,DF$380),IF(ISNUMBER(Standards_Active!$AA22),IF(AND(DF$380&gt;=Standards_Active!$Q22,DF$380&lt;Standards_Active!$R22),(Standards_Active!$AA22-INDEX($CJ394:$DI394,1,MATCH((Standards_Active!$Q22-1),$CJ$380:$DI$380,FALSE)))/(Standards_Active!$R22-(Standards_Active!$Q22-1))+DE394,Standards_Active!$AA22*((1+Standards_Active!$AC22)^(DF$380-Standards_Active!$R22))),TREND(Perform_Active!$U22:$V22,Perform_Active!$U$8:$V$8,DF$380))),)</f>
        <v>14.240000000000009</v>
      </c>
      <c r="DG394" s="271">
        <f>IF(AND(Tech_Specs!$F21="step",Standards_Active!$S22="yes"),IF(DG$380&lt;Standards_Active!$Q22,TREND(Perform_Active!$U22:$V22,Perform_Active!$U$8:$V$8,DG$380),IF(ISNUMBER(Standards_Active!$AA22),IF(AND(DG$380&gt;=Standards_Active!$Q22,DG$380&lt;Standards_Active!$R22),(Standards_Active!$AA22-INDEX($CJ394:$DI394,1,MATCH((Standards_Active!$Q22-1),$CJ$380:$DI$380,FALSE)))/(Standards_Active!$R22-(Standards_Active!$Q22-1))+DF394,Standards_Active!$AA22*((1+Standards_Active!$AC22)^(DG$380-Standards_Active!$R22))),TREND(Perform_Active!$U22:$V22,Perform_Active!$U$8:$V$8,DG$380))),)</f>
        <v>14.159999999999997</v>
      </c>
      <c r="DH394" s="271">
        <f>IF(AND(Tech_Specs!$F21="step",Standards_Active!$S22="yes"),IF(DH$380&lt;Standards_Active!$Q22,TREND(Perform_Active!$U22:$V22,Perform_Active!$U$8:$V$8,DH$380),IF(ISNUMBER(Standards_Active!$AA22),IF(AND(DH$380&gt;=Standards_Active!$Q22,DH$380&lt;Standards_Active!$R22),(Standards_Active!$AA22-INDEX($CJ394:$DI394,1,MATCH((Standards_Active!$Q22-1),$CJ$380:$DI$380,FALSE)))/(Standards_Active!$R22-(Standards_Active!$Q22-1))+DG394,Standards_Active!$AA22*((1+Standards_Active!$AC22)^(DH$380-Standards_Active!$R22))),TREND(Perform_Active!$U22:$V22,Perform_Active!$U$8:$V$8,DH$380))),)</f>
        <v>14.080000000000013</v>
      </c>
      <c r="DI394" s="271">
        <f>IF(AND(Tech_Specs!$F21="step",Standards_Active!$S22="yes"),IF(DI$380&lt;Standards_Active!$Q22,TREND(Perform_Active!$U22:$V22,Perform_Active!$U$8:$V$8,DI$380),IF(ISNUMBER(Standards_Active!$AA22),IF(AND(DI$380&gt;=Standards_Active!$Q22,DI$380&lt;Standards_Active!$R22),(Standards_Active!$AA22-INDEX($CJ394:$DI394,1,MATCH((Standards_Active!$Q22-1),$CJ$380:$DI$380,FALSE)))/(Standards_Active!$R22-(Standards_Active!$Q22-1))+DH394,Standards_Active!$AA22*((1+Standards_Active!$AC22)^(DI$380-Standards_Active!$R22))),TREND(Perform_Active!$U22:$V22,Perform_Active!$U$8:$V$8,DI$380))),)</f>
        <v>14</v>
      </c>
    </row>
    <row r="395" spans="1:113" s="322" customFormat="1" ht="12.75" x14ac:dyDescent="0.2">
      <c r="B395" s="322" t="s">
        <v>39</v>
      </c>
      <c r="D395" s="550"/>
      <c r="E395" s="550"/>
      <c r="F395" s="550"/>
      <c r="G395" s="272">
        <f t="shared" si="72"/>
        <v>16</v>
      </c>
      <c r="H395" s="272">
        <f t="shared" si="72"/>
        <v>15.920000000000016</v>
      </c>
      <c r="I395" s="272">
        <f t="shared" si="72"/>
        <v>15.840000000000003</v>
      </c>
      <c r="J395" s="272">
        <f t="shared" si="72"/>
        <v>15.760000000000019</v>
      </c>
      <c r="K395" s="272">
        <f t="shared" si="72"/>
        <v>15.680000000000007</v>
      </c>
      <c r="L395" s="272">
        <f t="shared" si="72"/>
        <v>15.599999999999994</v>
      </c>
      <c r="M395" s="272">
        <f t="shared" si="72"/>
        <v>15.52000000000001</v>
      </c>
      <c r="N395" s="272">
        <f t="shared" si="72"/>
        <v>15.439999999999998</v>
      </c>
      <c r="O395" s="272">
        <f t="shared" si="72"/>
        <v>15.360000000000014</v>
      </c>
      <c r="P395" s="272">
        <f t="shared" si="72"/>
        <v>15.280000000000001</v>
      </c>
      <c r="Q395" s="272">
        <f t="shared" si="73"/>
        <v>15.200000000000017</v>
      </c>
      <c r="R395" s="272">
        <f t="shared" si="73"/>
        <v>15.120000000000005</v>
      </c>
      <c r="S395" s="272">
        <f t="shared" si="73"/>
        <v>15.04000000000002</v>
      </c>
      <c r="T395" s="272">
        <f t="shared" si="73"/>
        <v>14.960000000000008</v>
      </c>
      <c r="U395" s="272">
        <f t="shared" si="73"/>
        <v>14.879999999999995</v>
      </c>
      <c r="V395" s="272">
        <f t="shared" si="73"/>
        <v>14.800000000000011</v>
      </c>
      <c r="W395" s="272">
        <f t="shared" si="73"/>
        <v>14.719999999999999</v>
      </c>
      <c r="X395" s="272">
        <f t="shared" si="73"/>
        <v>14.640000000000015</v>
      </c>
      <c r="Y395" s="272">
        <f t="shared" si="73"/>
        <v>14.560000000000002</v>
      </c>
      <c r="Z395" s="272">
        <f t="shared" si="73"/>
        <v>14.480000000000018</v>
      </c>
      <c r="AA395" s="272">
        <f t="shared" si="74"/>
        <v>14.400000000000006</v>
      </c>
      <c r="AB395" s="272">
        <f t="shared" si="74"/>
        <v>14.320000000000022</v>
      </c>
      <c r="AC395" s="272">
        <f t="shared" si="74"/>
        <v>14.240000000000009</v>
      </c>
      <c r="AD395" s="272">
        <f t="shared" si="74"/>
        <v>14.159999999999997</v>
      </c>
      <c r="AE395" s="272">
        <f t="shared" si="74"/>
        <v>14.080000000000013</v>
      </c>
      <c r="AF395" s="272">
        <f t="shared" si="74"/>
        <v>14</v>
      </c>
      <c r="AG395" s="376"/>
      <c r="AH395" s="271">
        <f>IF(Tech_Specs!$F22="linear",TREND(Perform_Active!$U23:$V23,Perform_Active!$U$8:$V$8,AH$380),)</f>
        <v>16</v>
      </c>
      <c r="AI395" s="271">
        <f>IF(Tech_Specs!$F22="linear",TREND(Perform_Active!$U23:$V23,Perform_Active!$U$8:$V$8,AI$380),)</f>
        <v>15.920000000000016</v>
      </c>
      <c r="AJ395" s="271">
        <f>IF(Tech_Specs!$F22="linear",TREND(Perform_Active!$U23:$V23,Perform_Active!$U$8:$V$8,AJ$380),)</f>
        <v>15.840000000000003</v>
      </c>
      <c r="AK395" s="271">
        <f>IF(Tech_Specs!$F22="linear",TREND(Perform_Active!$U23:$V23,Perform_Active!$U$8:$V$8,AK$380),)</f>
        <v>15.760000000000019</v>
      </c>
      <c r="AL395" s="271">
        <f>IF(Tech_Specs!$F22="linear",TREND(Perform_Active!$U23:$V23,Perform_Active!$U$8:$V$8,AL$380),)</f>
        <v>15.680000000000007</v>
      </c>
      <c r="AM395" s="271">
        <f>IF(Tech_Specs!$F22="linear",TREND(Perform_Active!$U23:$V23,Perform_Active!$U$8:$V$8,AM$380),)</f>
        <v>15.599999999999994</v>
      </c>
      <c r="AN395" s="271">
        <f>IF(Tech_Specs!$F22="linear",TREND(Perform_Active!$U23:$V23,Perform_Active!$U$8:$V$8,AN$380),)</f>
        <v>15.52000000000001</v>
      </c>
      <c r="AO395" s="271">
        <f>IF(Tech_Specs!$F22="linear",TREND(Perform_Active!$U23:$V23,Perform_Active!$U$8:$V$8,AO$380),)</f>
        <v>15.439999999999998</v>
      </c>
      <c r="AP395" s="271">
        <f>IF(Tech_Specs!$F22="linear",TREND(Perform_Active!$U23:$V23,Perform_Active!$U$8:$V$8,AP$380),)</f>
        <v>15.360000000000014</v>
      </c>
      <c r="AQ395" s="271">
        <f>IF(Tech_Specs!$F22="linear",TREND(Perform_Active!$U23:$V23,Perform_Active!$U$8:$V$8,AQ$380),)</f>
        <v>15.280000000000001</v>
      </c>
      <c r="AR395" s="271">
        <f>IF(Tech_Specs!$F22="linear",TREND(Perform_Active!$U23:$V23,Perform_Active!$U$8:$V$8,AR$380),)</f>
        <v>15.200000000000017</v>
      </c>
      <c r="AS395" s="271">
        <f>IF(Tech_Specs!$F22="linear",TREND(Perform_Active!$U23:$V23,Perform_Active!$U$8:$V$8,AS$380),)</f>
        <v>15.120000000000005</v>
      </c>
      <c r="AT395" s="271">
        <f>IF(Tech_Specs!$F22="linear",TREND(Perform_Active!$U23:$V23,Perform_Active!$U$8:$V$8,AT$380),)</f>
        <v>15.04000000000002</v>
      </c>
      <c r="AU395" s="271">
        <f>IF(Tech_Specs!$F22="linear",TREND(Perform_Active!$U23:$V23,Perform_Active!$U$8:$V$8,AU$380),)</f>
        <v>14.960000000000008</v>
      </c>
      <c r="AV395" s="271">
        <f>IF(Tech_Specs!$F22="linear",TREND(Perform_Active!$U23:$V23,Perform_Active!$U$8:$V$8,AV$380),)</f>
        <v>14.879999999999995</v>
      </c>
      <c r="AW395" s="271">
        <f>IF(Tech_Specs!$F22="linear",TREND(Perform_Active!$U23:$V23,Perform_Active!$U$8:$V$8,AW$380),)</f>
        <v>14.800000000000011</v>
      </c>
      <c r="AX395" s="271">
        <f>IF(Tech_Specs!$F22="linear",TREND(Perform_Active!$U23:$V23,Perform_Active!$U$8:$V$8,AX$380),)</f>
        <v>14.719999999999999</v>
      </c>
      <c r="AY395" s="271">
        <f>IF(Tech_Specs!$F22="linear",TREND(Perform_Active!$U23:$V23,Perform_Active!$U$8:$V$8,AY$380),)</f>
        <v>14.640000000000015</v>
      </c>
      <c r="AZ395" s="271">
        <f>IF(Tech_Specs!$F22="linear",TREND(Perform_Active!$U23:$V23,Perform_Active!$U$8:$V$8,AZ$380),)</f>
        <v>14.560000000000002</v>
      </c>
      <c r="BA395" s="271">
        <f>IF(Tech_Specs!$F22="linear",TREND(Perform_Active!$U23:$V23,Perform_Active!$U$8:$V$8,BA$380),)</f>
        <v>14.480000000000018</v>
      </c>
      <c r="BB395" s="271">
        <f>IF(Tech_Specs!$F22="linear",TREND(Perform_Active!$U23:$V23,Perform_Active!$U$8:$V$8,BB$380),)</f>
        <v>14.400000000000006</v>
      </c>
      <c r="BC395" s="271">
        <f>IF(Tech_Specs!$F22="linear",TREND(Perform_Active!$U23:$V23,Perform_Active!$U$8:$V$8,BC$380),)</f>
        <v>14.320000000000022</v>
      </c>
      <c r="BD395" s="271">
        <f>IF(Tech_Specs!$F22="linear",TREND(Perform_Active!$U23:$V23,Perform_Active!$U$8:$V$8,BD$380),)</f>
        <v>14.240000000000009</v>
      </c>
      <c r="BE395" s="271">
        <f>IF(Tech_Specs!$F22="linear",TREND(Perform_Active!$U23:$V23,Perform_Active!$U$8:$V$8,BE$380),)</f>
        <v>14.159999999999997</v>
      </c>
      <c r="BF395" s="271">
        <f>IF(Tech_Specs!$F22="linear",TREND(Perform_Active!$U23:$V23,Perform_Active!$U$8:$V$8,BF$380),)</f>
        <v>14.080000000000013</v>
      </c>
      <c r="BG395" s="271">
        <f>IF(Tech_Specs!$F22="linear",TREND(Perform_Active!$U23:$V23,Perform_Active!$U$8:$V$8,BG$380),)</f>
        <v>14</v>
      </c>
      <c r="BH395" s="376"/>
      <c r="BI395" s="271">
        <f>IF(Tech_Specs!$F22="logistic",0,)</f>
        <v>0</v>
      </c>
      <c r="BJ395" s="271">
        <f>IF(Tech_Specs!$F22="logistic",0,)</f>
        <v>0</v>
      </c>
      <c r="BK395" s="271">
        <f>IF(Tech_Specs!$F22="logistic",0,)</f>
        <v>0</v>
      </c>
      <c r="BL395" s="271">
        <f>IF(Tech_Specs!$F22="logistic",0,)</f>
        <v>0</v>
      </c>
      <c r="BM395" s="271">
        <f>IF(Tech_Specs!$F22="logistic",0,)</f>
        <v>0</v>
      </c>
      <c r="BN395" s="271">
        <f>IF(Tech_Specs!$F22="logistic",0,)</f>
        <v>0</v>
      </c>
      <c r="BO395" s="271">
        <f>IF(Tech_Specs!$F22="logistic",0,)</f>
        <v>0</v>
      </c>
      <c r="BP395" s="271">
        <f>IF(Tech_Specs!$F22="logistic",0,)</f>
        <v>0</v>
      </c>
      <c r="BQ395" s="271">
        <f>IF(Tech_Specs!$F22="logistic",0,)</f>
        <v>0</v>
      </c>
      <c r="BR395" s="271">
        <f>IF(Tech_Specs!$F22="logistic",0,)</f>
        <v>0</v>
      </c>
      <c r="BS395" s="271">
        <f>IF(Tech_Specs!$F22="logistic",0,)</f>
        <v>0</v>
      </c>
      <c r="BT395" s="271">
        <f>IF(Tech_Specs!$F22="logistic",0,)</f>
        <v>0</v>
      </c>
      <c r="BU395" s="271">
        <f>IF(Tech_Specs!$F22="logistic",0,)</f>
        <v>0</v>
      </c>
      <c r="BV395" s="271">
        <f>IF(Tech_Specs!$F22="logistic",0,)</f>
        <v>0</v>
      </c>
      <c r="BW395" s="271">
        <f>IF(Tech_Specs!$F22="logistic",0,)</f>
        <v>0</v>
      </c>
      <c r="BX395" s="271">
        <f>IF(Tech_Specs!$F22="logistic",0,)</f>
        <v>0</v>
      </c>
      <c r="BY395" s="271">
        <f>IF(Tech_Specs!$F22="logistic",0,)</f>
        <v>0</v>
      </c>
      <c r="BZ395" s="271">
        <f>IF(Tech_Specs!$F22="logistic",0,)</f>
        <v>0</v>
      </c>
      <c r="CA395" s="271">
        <f>IF(Tech_Specs!$F22="logistic",0,)</f>
        <v>0</v>
      </c>
      <c r="CB395" s="271">
        <f>IF(Tech_Specs!$F22="logistic",0,)</f>
        <v>0</v>
      </c>
      <c r="CC395" s="271">
        <f>IF(Tech_Specs!$F22="logistic",0,)</f>
        <v>0</v>
      </c>
      <c r="CD395" s="271">
        <f>IF(Tech_Specs!$F22="logistic",0,)</f>
        <v>0</v>
      </c>
      <c r="CE395" s="271">
        <f>IF(Tech_Specs!$F22="logistic",0,)</f>
        <v>0</v>
      </c>
      <c r="CF395" s="271">
        <f>IF(Tech_Specs!$F22="logistic",0,)</f>
        <v>0</v>
      </c>
      <c r="CG395" s="271">
        <f>IF(Tech_Specs!$F22="logistic",0,)</f>
        <v>0</v>
      </c>
      <c r="CH395" s="271">
        <f>IF(Tech_Specs!$F22="logistic",0,)</f>
        <v>0</v>
      </c>
      <c r="CI395" s="376"/>
      <c r="CJ395" s="271">
        <f>IF(AND(Tech_Specs!$F22="step",Standards_Active!$S23="yes"),IF(CJ$380&lt;Standards_Active!$Q23,TREND(Perform_Active!$U23:$V23,Perform_Active!$U$8:$V$8,CJ$380),IF(ISNUMBER(Standards_Active!$AA23),IF(AND(CJ$380&gt;=Standards_Active!$Q23,CJ$380&lt;Standards_Active!$R23),(Standards_Active!$AA23-INDEX($CJ395:$DI395,1,MATCH((Standards_Active!$Q23-1),$CJ$380:$DI$380,FALSE)))/(Standards_Active!$R23-(Standards_Active!$Q23-1))+CI395,Standards_Active!$AA23*((1+Standards_Active!$AC23)^(CJ$380-Standards_Active!$R23))),TREND(Perform_Active!$U23:$V23,Perform_Active!$U$8:$V$8,CJ$380))),)</f>
        <v>0</v>
      </c>
      <c r="CK395" s="271">
        <f>IF(AND(Tech_Specs!$F22="step",Standards_Active!$S23="yes"),IF(CK$380&lt;Standards_Active!$Q23,TREND(Perform_Active!$U23:$V23,Perform_Active!$U$8:$V$8,CK$380),IF(ISNUMBER(Standards_Active!$AA23),IF(AND(CK$380&gt;=Standards_Active!$Q23,CK$380&lt;Standards_Active!$R23),(Standards_Active!$AA23-INDEX($CJ395:$DI395,1,MATCH((Standards_Active!$Q23-1),$CJ$380:$DI$380,FALSE)))/(Standards_Active!$R23-(Standards_Active!$Q23-1))+CJ395,Standards_Active!$AA23*((1+Standards_Active!$AC23)^(CK$380-Standards_Active!$R23))),TREND(Perform_Active!$U23:$V23,Perform_Active!$U$8:$V$8,CK$380))),)</f>
        <v>0</v>
      </c>
      <c r="CL395" s="271">
        <f>IF(AND(Tech_Specs!$F22="step",Standards_Active!$S23="yes"),IF(CL$380&lt;Standards_Active!$Q23,TREND(Perform_Active!$U23:$V23,Perform_Active!$U$8:$V$8,CL$380),IF(ISNUMBER(Standards_Active!$AA23),IF(AND(CL$380&gt;=Standards_Active!$Q23,CL$380&lt;Standards_Active!$R23),(Standards_Active!$AA23-INDEX($CJ395:$DI395,1,MATCH((Standards_Active!$Q23-1),$CJ$380:$DI$380,FALSE)))/(Standards_Active!$R23-(Standards_Active!$Q23-1))+CK395,Standards_Active!$AA23*((1+Standards_Active!$AC23)^(CL$380-Standards_Active!$R23))),TREND(Perform_Active!$U23:$V23,Perform_Active!$U$8:$V$8,CL$380))),)</f>
        <v>0</v>
      </c>
      <c r="CM395" s="271">
        <f>IF(AND(Tech_Specs!$F22="step",Standards_Active!$S23="yes"),IF(CM$380&lt;Standards_Active!$Q23,TREND(Perform_Active!$U23:$V23,Perform_Active!$U$8:$V$8,CM$380),IF(ISNUMBER(Standards_Active!$AA23),IF(AND(CM$380&gt;=Standards_Active!$Q23,CM$380&lt;Standards_Active!$R23),(Standards_Active!$AA23-INDEX($CJ395:$DI395,1,MATCH((Standards_Active!$Q23-1),$CJ$380:$DI$380,FALSE)))/(Standards_Active!$R23-(Standards_Active!$Q23-1))+CL395,Standards_Active!$AA23*((1+Standards_Active!$AC23)^(CM$380-Standards_Active!$R23))),TREND(Perform_Active!$U23:$V23,Perform_Active!$U$8:$V$8,CM$380))),)</f>
        <v>0</v>
      </c>
      <c r="CN395" s="271">
        <f>IF(AND(Tech_Specs!$F22="step",Standards_Active!$S23="yes"),IF(CN$380&lt;Standards_Active!$Q23,TREND(Perform_Active!$U23:$V23,Perform_Active!$U$8:$V$8,CN$380),IF(ISNUMBER(Standards_Active!$AA23),IF(AND(CN$380&gt;=Standards_Active!$Q23,CN$380&lt;Standards_Active!$R23),(Standards_Active!$AA23-INDEX($CJ395:$DI395,1,MATCH((Standards_Active!$Q23-1),$CJ$380:$DI$380,FALSE)))/(Standards_Active!$R23-(Standards_Active!$Q23-1))+CM395,Standards_Active!$AA23*((1+Standards_Active!$AC23)^(CN$380-Standards_Active!$R23))),TREND(Perform_Active!$U23:$V23,Perform_Active!$U$8:$V$8,CN$380))),)</f>
        <v>0</v>
      </c>
      <c r="CO395" s="271">
        <f>IF(AND(Tech_Specs!$F22="step",Standards_Active!$S23="yes"),IF(CO$380&lt;Standards_Active!$Q23,TREND(Perform_Active!$U23:$V23,Perform_Active!$U$8:$V$8,CO$380),IF(ISNUMBER(Standards_Active!$AA23),IF(AND(CO$380&gt;=Standards_Active!$Q23,CO$380&lt;Standards_Active!$R23),(Standards_Active!$AA23-INDEX($CJ395:$DI395,1,MATCH((Standards_Active!$Q23-1),$CJ$380:$DI$380,FALSE)))/(Standards_Active!$R23-(Standards_Active!$Q23-1))+CN395,Standards_Active!$AA23*((1+Standards_Active!$AC23)^(CO$380-Standards_Active!$R23))),TREND(Perform_Active!$U23:$V23,Perform_Active!$U$8:$V$8,CO$380))),)</f>
        <v>0</v>
      </c>
      <c r="CP395" s="271">
        <f>IF(AND(Tech_Specs!$F22="step",Standards_Active!$S23="yes"),IF(CP$380&lt;Standards_Active!$Q23,TREND(Perform_Active!$U23:$V23,Perform_Active!$U$8:$V$8,CP$380),IF(ISNUMBER(Standards_Active!$AA23),IF(AND(CP$380&gt;=Standards_Active!$Q23,CP$380&lt;Standards_Active!$R23),(Standards_Active!$AA23-INDEX($CJ395:$DI395,1,MATCH((Standards_Active!$Q23-1),$CJ$380:$DI$380,FALSE)))/(Standards_Active!$R23-(Standards_Active!$Q23-1))+CO395,Standards_Active!$AA23*((1+Standards_Active!$AC23)^(CP$380-Standards_Active!$R23))),TREND(Perform_Active!$U23:$V23,Perform_Active!$U$8:$V$8,CP$380))),)</f>
        <v>0</v>
      </c>
      <c r="CQ395" s="271">
        <f>IF(AND(Tech_Specs!$F22="step",Standards_Active!$S23="yes"),IF(CQ$380&lt;Standards_Active!$Q23,TREND(Perform_Active!$U23:$V23,Perform_Active!$U$8:$V$8,CQ$380),IF(ISNUMBER(Standards_Active!$AA23),IF(AND(CQ$380&gt;=Standards_Active!$Q23,CQ$380&lt;Standards_Active!$R23),(Standards_Active!$AA23-INDEX($CJ395:$DI395,1,MATCH((Standards_Active!$Q23-1),$CJ$380:$DI$380,FALSE)))/(Standards_Active!$R23-(Standards_Active!$Q23-1))+CP395,Standards_Active!$AA23*((1+Standards_Active!$AC23)^(CQ$380-Standards_Active!$R23))),TREND(Perform_Active!$U23:$V23,Perform_Active!$U$8:$V$8,CQ$380))),)</f>
        <v>0</v>
      </c>
      <c r="CR395" s="271">
        <f>IF(AND(Tech_Specs!$F22="step",Standards_Active!$S23="yes"),IF(CR$380&lt;Standards_Active!$Q23,TREND(Perform_Active!$U23:$V23,Perform_Active!$U$8:$V$8,CR$380),IF(ISNUMBER(Standards_Active!$AA23),IF(AND(CR$380&gt;=Standards_Active!$Q23,CR$380&lt;Standards_Active!$R23),(Standards_Active!$AA23-INDEX($CJ395:$DI395,1,MATCH((Standards_Active!$Q23-1),$CJ$380:$DI$380,FALSE)))/(Standards_Active!$R23-(Standards_Active!$Q23-1))+CQ395,Standards_Active!$AA23*((1+Standards_Active!$AC23)^(CR$380-Standards_Active!$R23))),TREND(Perform_Active!$U23:$V23,Perform_Active!$U$8:$V$8,CR$380))),)</f>
        <v>0</v>
      </c>
      <c r="CS395" s="271">
        <f>IF(AND(Tech_Specs!$F22="step",Standards_Active!$S23="yes"),IF(CS$380&lt;Standards_Active!$Q23,TREND(Perform_Active!$U23:$V23,Perform_Active!$U$8:$V$8,CS$380),IF(ISNUMBER(Standards_Active!$AA23),IF(AND(CS$380&gt;=Standards_Active!$Q23,CS$380&lt;Standards_Active!$R23),(Standards_Active!$AA23-INDEX($CJ395:$DI395,1,MATCH((Standards_Active!$Q23-1),$CJ$380:$DI$380,FALSE)))/(Standards_Active!$R23-(Standards_Active!$Q23-1))+CR395,Standards_Active!$AA23*((1+Standards_Active!$AC23)^(CS$380-Standards_Active!$R23))),TREND(Perform_Active!$U23:$V23,Perform_Active!$U$8:$V$8,CS$380))),)</f>
        <v>0</v>
      </c>
      <c r="CT395" s="271">
        <f>IF(AND(Tech_Specs!$F22="step",Standards_Active!$S23="yes"),IF(CT$380&lt;Standards_Active!$Q23,TREND(Perform_Active!$U23:$V23,Perform_Active!$U$8:$V$8,CT$380),IF(ISNUMBER(Standards_Active!$AA23),IF(AND(CT$380&gt;=Standards_Active!$Q23,CT$380&lt;Standards_Active!$R23),(Standards_Active!$AA23-INDEX($CJ395:$DI395,1,MATCH((Standards_Active!$Q23-1),$CJ$380:$DI$380,FALSE)))/(Standards_Active!$R23-(Standards_Active!$Q23-1))+CS395,Standards_Active!$AA23*((1+Standards_Active!$AC23)^(CT$380-Standards_Active!$R23))),TREND(Perform_Active!$U23:$V23,Perform_Active!$U$8:$V$8,CT$380))),)</f>
        <v>0</v>
      </c>
      <c r="CU395" s="271">
        <f>IF(AND(Tech_Specs!$F22="step",Standards_Active!$S23="yes"),IF(CU$380&lt;Standards_Active!$Q23,TREND(Perform_Active!$U23:$V23,Perform_Active!$U$8:$V$8,CU$380),IF(ISNUMBER(Standards_Active!$AA23),IF(AND(CU$380&gt;=Standards_Active!$Q23,CU$380&lt;Standards_Active!$R23),(Standards_Active!$AA23-INDEX($CJ395:$DI395,1,MATCH((Standards_Active!$Q23-1),$CJ$380:$DI$380,FALSE)))/(Standards_Active!$R23-(Standards_Active!$Q23-1))+CT395,Standards_Active!$AA23*((1+Standards_Active!$AC23)^(CU$380-Standards_Active!$R23))),TREND(Perform_Active!$U23:$V23,Perform_Active!$U$8:$V$8,CU$380))),)</f>
        <v>0</v>
      </c>
      <c r="CV395" s="271">
        <f>IF(AND(Tech_Specs!$F22="step",Standards_Active!$S23="yes"),IF(CV$380&lt;Standards_Active!$Q23,TREND(Perform_Active!$U23:$V23,Perform_Active!$U$8:$V$8,CV$380),IF(ISNUMBER(Standards_Active!$AA23),IF(AND(CV$380&gt;=Standards_Active!$Q23,CV$380&lt;Standards_Active!$R23),(Standards_Active!$AA23-INDEX($CJ395:$DI395,1,MATCH((Standards_Active!$Q23-1),$CJ$380:$DI$380,FALSE)))/(Standards_Active!$R23-(Standards_Active!$Q23-1))+CU395,Standards_Active!$AA23*((1+Standards_Active!$AC23)^(CV$380-Standards_Active!$R23))),TREND(Perform_Active!$U23:$V23,Perform_Active!$U$8:$V$8,CV$380))),)</f>
        <v>0</v>
      </c>
      <c r="CW395" s="271">
        <f>IF(AND(Tech_Specs!$F22="step",Standards_Active!$S23="yes"),IF(CW$380&lt;Standards_Active!$Q23,TREND(Perform_Active!$U23:$V23,Perform_Active!$U$8:$V$8,CW$380),IF(ISNUMBER(Standards_Active!$AA23),IF(AND(CW$380&gt;=Standards_Active!$Q23,CW$380&lt;Standards_Active!$R23),(Standards_Active!$AA23-INDEX($CJ395:$DI395,1,MATCH((Standards_Active!$Q23-1),$CJ$380:$DI$380,FALSE)))/(Standards_Active!$R23-(Standards_Active!$Q23-1))+CV395,Standards_Active!$AA23*((1+Standards_Active!$AC23)^(CW$380-Standards_Active!$R23))),TREND(Perform_Active!$U23:$V23,Perform_Active!$U$8:$V$8,CW$380))),)</f>
        <v>0</v>
      </c>
      <c r="CX395" s="271">
        <f>IF(AND(Tech_Specs!$F22="step",Standards_Active!$S23="yes"),IF(CX$380&lt;Standards_Active!$Q23,TREND(Perform_Active!$U23:$V23,Perform_Active!$U$8:$V$8,CX$380),IF(ISNUMBER(Standards_Active!$AA23),IF(AND(CX$380&gt;=Standards_Active!$Q23,CX$380&lt;Standards_Active!$R23),(Standards_Active!$AA23-INDEX($CJ395:$DI395,1,MATCH((Standards_Active!$Q23-1),$CJ$380:$DI$380,FALSE)))/(Standards_Active!$R23-(Standards_Active!$Q23-1))+CW395,Standards_Active!$AA23*((1+Standards_Active!$AC23)^(CX$380-Standards_Active!$R23))),TREND(Perform_Active!$U23:$V23,Perform_Active!$U$8:$V$8,CX$380))),)</f>
        <v>0</v>
      </c>
      <c r="CY395" s="271">
        <f>IF(AND(Tech_Specs!$F22="step",Standards_Active!$S23="yes"),IF(CY$380&lt;Standards_Active!$Q23,TREND(Perform_Active!$U23:$V23,Perform_Active!$U$8:$V$8,CY$380),IF(ISNUMBER(Standards_Active!$AA23),IF(AND(CY$380&gt;=Standards_Active!$Q23,CY$380&lt;Standards_Active!$R23),(Standards_Active!$AA23-INDEX($CJ395:$DI395,1,MATCH((Standards_Active!$Q23-1),$CJ$380:$DI$380,FALSE)))/(Standards_Active!$R23-(Standards_Active!$Q23-1))+CX395,Standards_Active!$AA23*((1+Standards_Active!$AC23)^(CY$380-Standards_Active!$R23))),TREND(Perform_Active!$U23:$V23,Perform_Active!$U$8:$V$8,CY$380))),)</f>
        <v>0</v>
      </c>
      <c r="CZ395" s="271">
        <f>IF(AND(Tech_Specs!$F22="step",Standards_Active!$S23="yes"),IF(CZ$380&lt;Standards_Active!$Q23,TREND(Perform_Active!$U23:$V23,Perform_Active!$U$8:$V$8,CZ$380),IF(ISNUMBER(Standards_Active!$AA23),IF(AND(CZ$380&gt;=Standards_Active!$Q23,CZ$380&lt;Standards_Active!$R23),(Standards_Active!$AA23-INDEX($CJ395:$DI395,1,MATCH((Standards_Active!$Q23-1),$CJ$380:$DI$380,FALSE)))/(Standards_Active!$R23-(Standards_Active!$Q23-1))+CY395,Standards_Active!$AA23*((1+Standards_Active!$AC23)^(CZ$380-Standards_Active!$R23))),TREND(Perform_Active!$U23:$V23,Perform_Active!$U$8:$V$8,CZ$380))),)</f>
        <v>0</v>
      </c>
      <c r="DA395" s="271">
        <f>IF(AND(Tech_Specs!$F22="step",Standards_Active!$S23="yes"),IF(DA$380&lt;Standards_Active!$Q23,TREND(Perform_Active!$U23:$V23,Perform_Active!$U$8:$V$8,DA$380),IF(ISNUMBER(Standards_Active!$AA23),IF(AND(DA$380&gt;=Standards_Active!$Q23,DA$380&lt;Standards_Active!$R23),(Standards_Active!$AA23-INDEX($CJ395:$DI395,1,MATCH((Standards_Active!$Q23-1),$CJ$380:$DI$380,FALSE)))/(Standards_Active!$R23-(Standards_Active!$Q23-1))+CZ395,Standards_Active!$AA23*((1+Standards_Active!$AC23)^(DA$380-Standards_Active!$R23))),TREND(Perform_Active!$U23:$V23,Perform_Active!$U$8:$V$8,DA$380))),)</f>
        <v>0</v>
      </c>
      <c r="DB395" s="271">
        <f>IF(AND(Tech_Specs!$F22="step",Standards_Active!$S23="yes"),IF(DB$380&lt;Standards_Active!$Q23,TREND(Perform_Active!$U23:$V23,Perform_Active!$U$8:$V$8,DB$380),IF(ISNUMBER(Standards_Active!$AA23),IF(AND(DB$380&gt;=Standards_Active!$Q23,DB$380&lt;Standards_Active!$R23),(Standards_Active!$AA23-INDEX($CJ395:$DI395,1,MATCH((Standards_Active!$Q23-1),$CJ$380:$DI$380,FALSE)))/(Standards_Active!$R23-(Standards_Active!$Q23-1))+DA395,Standards_Active!$AA23*((1+Standards_Active!$AC23)^(DB$380-Standards_Active!$R23))),TREND(Perform_Active!$U23:$V23,Perform_Active!$U$8:$V$8,DB$380))),)</f>
        <v>0</v>
      </c>
      <c r="DC395" s="271">
        <f>IF(AND(Tech_Specs!$F22="step",Standards_Active!$S23="yes"),IF(DC$380&lt;Standards_Active!$Q23,TREND(Perform_Active!$U23:$V23,Perform_Active!$U$8:$V$8,DC$380),IF(ISNUMBER(Standards_Active!$AA23),IF(AND(DC$380&gt;=Standards_Active!$Q23,DC$380&lt;Standards_Active!$R23),(Standards_Active!$AA23-INDEX($CJ395:$DI395,1,MATCH((Standards_Active!$Q23-1),$CJ$380:$DI$380,FALSE)))/(Standards_Active!$R23-(Standards_Active!$Q23-1))+DB395,Standards_Active!$AA23*((1+Standards_Active!$AC23)^(DC$380-Standards_Active!$R23))),TREND(Perform_Active!$U23:$V23,Perform_Active!$U$8:$V$8,DC$380))),)</f>
        <v>0</v>
      </c>
      <c r="DD395" s="271">
        <f>IF(AND(Tech_Specs!$F22="step",Standards_Active!$S23="yes"),IF(DD$380&lt;Standards_Active!$Q23,TREND(Perform_Active!$U23:$V23,Perform_Active!$U$8:$V$8,DD$380),IF(ISNUMBER(Standards_Active!$AA23),IF(AND(DD$380&gt;=Standards_Active!$Q23,DD$380&lt;Standards_Active!$R23),(Standards_Active!$AA23-INDEX($CJ395:$DI395,1,MATCH((Standards_Active!$Q23-1),$CJ$380:$DI$380,FALSE)))/(Standards_Active!$R23-(Standards_Active!$Q23-1))+DC395,Standards_Active!$AA23*((1+Standards_Active!$AC23)^(DD$380-Standards_Active!$R23))),TREND(Perform_Active!$U23:$V23,Perform_Active!$U$8:$V$8,DD$380))),)</f>
        <v>0</v>
      </c>
      <c r="DE395" s="271">
        <f>IF(AND(Tech_Specs!$F22="step",Standards_Active!$S23="yes"),IF(DE$380&lt;Standards_Active!$Q23,TREND(Perform_Active!$U23:$V23,Perform_Active!$U$8:$V$8,DE$380),IF(ISNUMBER(Standards_Active!$AA23),IF(AND(DE$380&gt;=Standards_Active!$Q23,DE$380&lt;Standards_Active!$R23),(Standards_Active!$AA23-INDEX($CJ395:$DI395,1,MATCH((Standards_Active!$Q23-1),$CJ$380:$DI$380,FALSE)))/(Standards_Active!$R23-(Standards_Active!$Q23-1))+DD395,Standards_Active!$AA23*((1+Standards_Active!$AC23)^(DE$380-Standards_Active!$R23))),TREND(Perform_Active!$U23:$V23,Perform_Active!$U$8:$V$8,DE$380))),)</f>
        <v>0</v>
      </c>
      <c r="DF395" s="271">
        <f>IF(AND(Tech_Specs!$F22="step",Standards_Active!$S23="yes"),IF(DF$380&lt;Standards_Active!$Q23,TREND(Perform_Active!$U23:$V23,Perform_Active!$U$8:$V$8,DF$380),IF(ISNUMBER(Standards_Active!$AA23),IF(AND(DF$380&gt;=Standards_Active!$Q23,DF$380&lt;Standards_Active!$R23),(Standards_Active!$AA23-INDEX($CJ395:$DI395,1,MATCH((Standards_Active!$Q23-1),$CJ$380:$DI$380,FALSE)))/(Standards_Active!$R23-(Standards_Active!$Q23-1))+DE395,Standards_Active!$AA23*((1+Standards_Active!$AC23)^(DF$380-Standards_Active!$R23))),TREND(Perform_Active!$U23:$V23,Perform_Active!$U$8:$V$8,DF$380))),)</f>
        <v>0</v>
      </c>
      <c r="DG395" s="271">
        <f>IF(AND(Tech_Specs!$F22="step",Standards_Active!$S23="yes"),IF(DG$380&lt;Standards_Active!$Q23,TREND(Perform_Active!$U23:$V23,Perform_Active!$U$8:$V$8,DG$380),IF(ISNUMBER(Standards_Active!$AA23),IF(AND(DG$380&gt;=Standards_Active!$Q23,DG$380&lt;Standards_Active!$R23),(Standards_Active!$AA23-INDEX($CJ395:$DI395,1,MATCH((Standards_Active!$Q23-1),$CJ$380:$DI$380,FALSE)))/(Standards_Active!$R23-(Standards_Active!$Q23-1))+DF395,Standards_Active!$AA23*((1+Standards_Active!$AC23)^(DG$380-Standards_Active!$R23))),TREND(Perform_Active!$U23:$V23,Perform_Active!$U$8:$V$8,DG$380))),)</f>
        <v>0</v>
      </c>
      <c r="DH395" s="271">
        <f>IF(AND(Tech_Specs!$F22="step",Standards_Active!$S23="yes"),IF(DH$380&lt;Standards_Active!$Q23,TREND(Perform_Active!$U23:$V23,Perform_Active!$U$8:$V$8,DH$380),IF(ISNUMBER(Standards_Active!$AA23),IF(AND(DH$380&gt;=Standards_Active!$Q23,DH$380&lt;Standards_Active!$R23),(Standards_Active!$AA23-INDEX($CJ395:$DI395,1,MATCH((Standards_Active!$Q23-1),$CJ$380:$DI$380,FALSE)))/(Standards_Active!$R23-(Standards_Active!$Q23-1))+DG395,Standards_Active!$AA23*((1+Standards_Active!$AC23)^(DH$380-Standards_Active!$R23))),TREND(Perform_Active!$U23:$V23,Perform_Active!$U$8:$V$8,DH$380))),)</f>
        <v>0</v>
      </c>
      <c r="DI395" s="271">
        <f>IF(AND(Tech_Specs!$F22="step",Standards_Active!$S23="yes"),IF(DI$380&lt;Standards_Active!$Q23,TREND(Perform_Active!$U23:$V23,Perform_Active!$U$8:$V$8,DI$380),IF(ISNUMBER(Standards_Active!$AA23),IF(AND(DI$380&gt;=Standards_Active!$Q23,DI$380&lt;Standards_Active!$R23),(Standards_Active!$AA23-INDEX($CJ395:$DI395,1,MATCH((Standards_Active!$Q23-1),$CJ$380:$DI$380,FALSE)))/(Standards_Active!$R23-(Standards_Active!$Q23-1))+DH395,Standards_Active!$AA23*((1+Standards_Active!$AC23)^(DI$380-Standards_Active!$R23))),TREND(Perform_Active!$U23:$V23,Perform_Active!$U$8:$V$8,DI$380))),)</f>
        <v>0</v>
      </c>
    </row>
    <row r="396" spans="1:113" s="322" customFormat="1" ht="12.75" x14ac:dyDescent="0.2">
      <c r="B396" s="322" t="s">
        <v>40</v>
      </c>
      <c r="D396" s="550"/>
      <c r="E396" s="550"/>
      <c r="F396" s="550"/>
      <c r="G396" s="272">
        <f t="shared" si="72"/>
        <v>20</v>
      </c>
      <c r="H396" s="272">
        <f t="shared" si="72"/>
        <v>19.899999999999977</v>
      </c>
      <c r="I396" s="272">
        <f t="shared" si="72"/>
        <v>19.799999999999983</v>
      </c>
      <c r="J396" s="272">
        <f t="shared" si="72"/>
        <v>19.699999999999989</v>
      </c>
      <c r="K396" s="272">
        <f t="shared" si="72"/>
        <v>19.599999999999994</v>
      </c>
      <c r="L396" s="272">
        <f t="shared" si="72"/>
        <v>19.5</v>
      </c>
      <c r="M396" s="272">
        <f t="shared" si="72"/>
        <v>19.399999999999977</v>
      </c>
      <c r="N396" s="272">
        <f t="shared" si="72"/>
        <v>19.299999999999983</v>
      </c>
      <c r="O396" s="272">
        <f t="shared" si="72"/>
        <v>19.199999999999989</v>
      </c>
      <c r="P396" s="272">
        <f t="shared" si="72"/>
        <v>19.099999999999994</v>
      </c>
      <c r="Q396" s="272">
        <f t="shared" si="73"/>
        <v>19</v>
      </c>
      <c r="R396" s="272">
        <f t="shared" si="73"/>
        <v>18.899999999999977</v>
      </c>
      <c r="S396" s="272">
        <f t="shared" si="73"/>
        <v>18.799999999999983</v>
      </c>
      <c r="T396" s="272">
        <f t="shared" si="73"/>
        <v>18.699999999999989</v>
      </c>
      <c r="U396" s="272">
        <f t="shared" si="73"/>
        <v>18.599999999999994</v>
      </c>
      <c r="V396" s="272">
        <f t="shared" si="73"/>
        <v>18.5</v>
      </c>
      <c r="W396" s="272">
        <f t="shared" si="73"/>
        <v>18.399999999999977</v>
      </c>
      <c r="X396" s="272">
        <f t="shared" si="73"/>
        <v>18.299999999999983</v>
      </c>
      <c r="Y396" s="272">
        <f t="shared" si="73"/>
        <v>18.199999999999989</v>
      </c>
      <c r="Z396" s="272">
        <f t="shared" si="73"/>
        <v>18.099999999999994</v>
      </c>
      <c r="AA396" s="272">
        <f t="shared" si="74"/>
        <v>18</v>
      </c>
      <c r="AB396" s="272">
        <f t="shared" si="74"/>
        <v>17.899999999999977</v>
      </c>
      <c r="AC396" s="272">
        <f t="shared" si="74"/>
        <v>17.799999999999983</v>
      </c>
      <c r="AD396" s="272">
        <f t="shared" si="74"/>
        <v>17.699999999999989</v>
      </c>
      <c r="AE396" s="272">
        <f t="shared" si="74"/>
        <v>17.599999999999994</v>
      </c>
      <c r="AF396" s="272">
        <f t="shared" si="74"/>
        <v>17.5</v>
      </c>
      <c r="AG396" s="376"/>
      <c r="AH396" s="271">
        <f>IF(Tech_Specs!$F23="linear",TREND(Perform_Active!$U24:$V24,Perform_Active!$U$8:$V$8,AH$380),)</f>
        <v>20</v>
      </c>
      <c r="AI396" s="271">
        <f>IF(Tech_Specs!$F23="linear",TREND(Perform_Active!$U24:$V24,Perform_Active!$U$8:$V$8,AI$380),)</f>
        <v>19.899999999999977</v>
      </c>
      <c r="AJ396" s="271">
        <f>IF(Tech_Specs!$F23="linear",TREND(Perform_Active!$U24:$V24,Perform_Active!$U$8:$V$8,AJ$380),)</f>
        <v>19.799999999999983</v>
      </c>
      <c r="AK396" s="271">
        <f>IF(Tech_Specs!$F23="linear",TREND(Perform_Active!$U24:$V24,Perform_Active!$U$8:$V$8,AK$380),)</f>
        <v>19.699999999999989</v>
      </c>
      <c r="AL396" s="271">
        <f>IF(Tech_Specs!$F23="linear",TREND(Perform_Active!$U24:$V24,Perform_Active!$U$8:$V$8,AL$380),)</f>
        <v>19.599999999999994</v>
      </c>
      <c r="AM396" s="271">
        <f>IF(Tech_Specs!$F23="linear",TREND(Perform_Active!$U24:$V24,Perform_Active!$U$8:$V$8,AM$380),)</f>
        <v>19.5</v>
      </c>
      <c r="AN396" s="271">
        <f>IF(Tech_Specs!$F23="linear",TREND(Perform_Active!$U24:$V24,Perform_Active!$U$8:$V$8,AN$380),)</f>
        <v>19.399999999999977</v>
      </c>
      <c r="AO396" s="271">
        <f>IF(Tech_Specs!$F23="linear",TREND(Perform_Active!$U24:$V24,Perform_Active!$U$8:$V$8,AO$380),)</f>
        <v>19.299999999999983</v>
      </c>
      <c r="AP396" s="271">
        <f>IF(Tech_Specs!$F23="linear",TREND(Perform_Active!$U24:$V24,Perform_Active!$U$8:$V$8,AP$380),)</f>
        <v>19.199999999999989</v>
      </c>
      <c r="AQ396" s="271">
        <f>IF(Tech_Specs!$F23="linear",TREND(Perform_Active!$U24:$V24,Perform_Active!$U$8:$V$8,AQ$380),)</f>
        <v>19.099999999999994</v>
      </c>
      <c r="AR396" s="271">
        <f>IF(Tech_Specs!$F23="linear",TREND(Perform_Active!$U24:$V24,Perform_Active!$U$8:$V$8,AR$380),)</f>
        <v>19</v>
      </c>
      <c r="AS396" s="271">
        <f>IF(Tech_Specs!$F23="linear",TREND(Perform_Active!$U24:$V24,Perform_Active!$U$8:$V$8,AS$380),)</f>
        <v>18.899999999999977</v>
      </c>
      <c r="AT396" s="271">
        <f>IF(Tech_Specs!$F23="linear",TREND(Perform_Active!$U24:$V24,Perform_Active!$U$8:$V$8,AT$380),)</f>
        <v>18.799999999999983</v>
      </c>
      <c r="AU396" s="271">
        <f>IF(Tech_Specs!$F23="linear",TREND(Perform_Active!$U24:$V24,Perform_Active!$U$8:$V$8,AU$380),)</f>
        <v>18.699999999999989</v>
      </c>
      <c r="AV396" s="271">
        <f>IF(Tech_Specs!$F23="linear",TREND(Perform_Active!$U24:$V24,Perform_Active!$U$8:$V$8,AV$380),)</f>
        <v>18.599999999999994</v>
      </c>
      <c r="AW396" s="271">
        <f>IF(Tech_Specs!$F23="linear",TREND(Perform_Active!$U24:$V24,Perform_Active!$U$8:$V$8,AW$380),)</f>
        <v>18.5</v>
      </c>
      <c r="AX396" s="271">
        <f>IF(Tech_Specs!$F23="linear",TREND(Perform_Active!$U24:$V24,Perform_Active!$U$8:$V$8,AX$380),)</f>
        <v>18.399999999999977</v>
      </c>
      <c r="AY396" s="271">
        <f>IF(Tech_Specs!$F23="linear",TREND(Perform_Active!$U24:$V24,Perform_Active!$U$8:$V$8,AY$380),)</f>
        <v>18.299999999999983</v>
      </c>
      <c r="AZ396" s="271">
        <f>IF(Tech_Specs!$F23="linear",TREND(Perform_Active!$U24:$V24,Perform_Active!$U$8:$V$8,AZ$380),)</f>
        <v>18.199999999999989</v>
      </c>
      <c r="BA396" s="271">
        <f>IF(Tech_Specs!$F23="linear",TREND(Perform_Active!$U24:$V24,Perform_Active!$U$8:$V$8,BA$380),)</f>
        <v>18.099999999999994</v>
      </c>
      <c r="BB396" s="271">
        <f>IF(Tech_Specs!$F23="linear",TREND(Perform_Active!$U24:$V24,Perform_Active!$U$8:$V$8,BB$380),)</f>
        <v>18</v>
      </c>
      <c r="BC396" s="271">
        <f>IF(Tech_Specs!$F23="linear",TREND(Perform_Active!$U24:$V24,Perform_Active!$U$8:$V$8,BC$380),)</f>
        <v>17.899999999999977</v>
      </c>
      <c r="BD396" s="271">
        <f>IF(Tech_Specs!$F23="linear",TREND(Perform_Active!$U24:$V24,Perform_Active!$U$8:$V$8,BD$380),)</f>
        <v>17.799999999999983</v>
      </c>
      <c r="BE396" s="271">
        <f>IF(Tech_Specs!$F23="linear",TREND(Perform_Active!$U24:$V24,Perform_Active!$U$8:$V$8,BE$380),)</f>
        <v>17.699999999999989</v>
      </c>
      <c r="BF396" s="271">
        <f>IF(Tech_Specs!$F23="linear",TREND(Perform_Active!$U24:$V24,Perform_Active!$U$8:$V$8,BF$380),)</f>
        <v>17.599999999999994</v>
      </c>
      <c r="BG396" s="271">
        <f>IF(Tech_Specs!$F23="linear",TREND(Perform_Active!$U24:$V24,Perform_Active!$U$8:$V$8,BG$380),)</f>
        <v>17.5</v>
      </c>
      <c r="BH396" s="376"/>
      <c r="BI396" s="271">
        <f>IF(Tech_Specs!$F23="logistic",0,)</f>
        <v>0</v>
      </c>
      <c r="BJ396" s="271">
        <f>IF(Tech_Specs!$F23="logistic",0,)</f>
        <v>0</v>
      </c>
      <c r="BK396" s="271">
        <f>IF(Tech_Specs!$F23="logistic",0,)</f>
        <v>0</v>
      </c>
      <c r="BL396" s="271">
        <f>IF(Tech_Specs!$F23="logistic",0,)</f>
        <v>0</v>
      </c>
      <c r="BM396" s="271">
        <f>IF(Tech_Specs!$F23="logistic",0,)</f>
        <v>0</v>
      </c>
      <c r="BN396" s="271">
        <f>IF(Tech_Specs!$F23="logistic",0,)</f>
        <v>0</v>
      </c>
      <c r="BO396" s="271">
        <f>IF(Tech_Specs!$F23="logistic",0,)</f>
        <v>0</v>
      </c>
      <c r="BP396" s="271">
        <f>IF(Tech_Specs!$F23="logistic",0,)</f>
        <v>0</v>
      </c>
      <c r="BQ396" s="271">
        <f>IF(Tech_Specs!$F23="logistic",0,)</f>
        <v>0</v>
      </c>
      <c r="BR396" s="271">
        <f>IF(Tech_Specs!$F23="logistic",0,)</f>
        <v>0</v>
      </c>
      <c r="BS396" s="271">
        <f>IF(Tech_Specs!$F23="logistic",0,)</f>
        <v>0</v>
      </c>
      <c r="BT396" s="271">
        <f>IF(Tech_Specs!$F23="logistic",0,)</f>
        <v>0</v>
      </c>
      <c r="BU396" s="271">
        <f>IF(Tech_Specs!$F23="logistic",0,)</f>
        <v>0</v>
      </c>
      <c r="BV396" s="271">
        <f>IF(Tech_Specs!$F23="logistic",0,)</f>
        <v>0</v>
      </c>
      <c r="BW396" s="271">
        <f>IF(Tech_Specs!$F23="logistic",0,)</f>
        <v>0</v>
      </c>
      <c r="BX396" s="271">
        <f>IF(Tech_Specs!$F23="logistic",0,)</f>
        <v>0</v>
      </c>
      <c r="BY396" s="271">
        <f>IF(Tech_Specs!$F23="logistic",0,)</f>
        <v>0</v>
      </c>
      <c r="BZ396" s="271">
        <f>IF(Tech_Specs!$F23="logistic",0,)</f>
        <v>0</v>
      </c>
      <c r="CA396" s="271">
        <f>IF(Tech_Specs!$F23="logistic",0,)</f>
        <v>0</v>
      </c>
      <c r="CB396" s="271">
        <f>IF(Tech_Specs!$F23="logistic",0,)</f>
        <v>0</v>
      </c>
      <c r="CC396" s="271">
        <f>IF(Tech_Specs!$F23="logistic",0,)</f>
        <v>0</v>
      </c>
      <c r="CD396" s="271">
        <f>IF(Tech_Specs!$F23="logistic",0,)</f>
        <v>0</v>
      </c>
      <c r="CE396" s="271">
        <f>IF(Tech_Specs!$F23="logistic",0,)</f>
        <v>0</v>
      </c>
      <c r="CF396" s="271">
        <f>IF(Tech_Specs!$F23="logistic",0,)</f>
        <v>0</v>
      </c>
      <c r="CG396" s="271">
        <f>IF(Tech_Specs!$F23="logistic",0,)</f>
        <v>0</v>
      </c>
      <c r="CH396" s="271">
        <f>IF(Tech_Specs!$F23="logistic",0,)</f>
        <v>0</v>
      </c>
      <c r="CI396" s="376"/>
      <c r="CJ396" s="271">
        <f>IF(AND(Tech_Specs!$F23="step",Standards_Active!$S24="yes"),IF(CJ$380&lt;Standards_Active!$Q24,TREND(Perform_Active!$U24:$V24,Perform_Active!$U$8:$V$8,CJ$380),IF(ISNUMBER(Standards_Active!$AA24),IF(AND(CJ$380&gt;=Standards_Active!$Q24,CJ$380&lt;Standards_Active!$R24),(Standards_Active!$AA24-INDEX($CJ396:$DI396,1,MATCH((Standards_Active!$Q24-1),$CJ$380:$DI$380,FALSE)))/(Standards_Active!$R24-(Standards_Active!$Q24-1))+CI396,Standards_Active!$AA24*((1+Standards_Active!$AC24)^(CJ$380-Standards_Active!$R24))),TREND(Perform_Active!$U24:$V24,Perform_Active!$U$8:$V$8,CJ$380))),)</f>
        <v>0</v>
      </c>
      <c r="CK396" s="271">
        <f>IF(AND(Tech_Specs!$F23="step",Standards_Active!$S24="yes"),IF(CK$380&lt;Standards_Active!$Q24,TREND(Perform_Active!$U24:$V24,Perform_Active!$U$8:$V$8,CK$380),IF(ISNUMBER(Standards_Active!$AA24),IF(AND(CK$380&gt;=Standards_Active!$Q24,CK$380&lt;Standards_Active!$R24),(Standards_Active!$AA24-INDEX($CJ396:$DI396,1,MATCH((Standards_Active!$Q24-1),$CJ$380:$DI$380,FALSE)))/(Standards_Active!$R24-(Standards_Active!$Q24-1))+CJ396,Standards_Active!$AA24*((1+Standards_Active!$AC24)^(CK$380-Standards_Active!$R24))),TREND(Perform_Active!$U24:$V24,Perform_Active!$U$8:$V$8,CK$380))),)</f>
        <v>0</v>
      </c>
      <c r="CL396" s="271">
        <f>IF(AND(Tech_Specs!$F23="step",Standards_Active!$S24="yes"),IF(CL$380&lt;Standards_Active!$Q24,TREND(Perform_Active!$U24:$V24,Perform_Active!$U$8:$V$8,CL$380),IF(ISNUMBER(Standards_Active!$AA24),IF(AND(CL$380&gt;=Standards_Active!$Q24,CL$380&lt;Standards_Active!$R24),(Standards_Active!$AA24-INDEX($CJ396:$DI396,1,MATCH((Standards_Active!$Q24-1),$CJ$380:$DI$380,FALSE)))/(Standards_Active!$R24-(Standards_Active!$Q24-1))+CK396,Standards_Active!$AA24*((1+Standards_Active!$AC24)^(CL$380-Standards_Active!$R24))),TREND(Perform_Active!$U24:$V24,Perform_Active!$U$8:$V$8,CL$380))),)</f>
        <v>0</v>
      </c>
      <c r="CM396" s="271">
        <f>IF(AND(Tech_Specs!$F23="step",Standards_Active!$S24="yes"),IF(CM$380&lt;Standards_Active!$Q24,TREND(Perform_Active!$U24:$V24,Perform_Active!$U$8:$V$8,CM$380),IF(ISNUMBER(Standards_Active!$AA24),IF(AND(CM$380&gt;=Standards_Active!$Q24,CM$380&lt;Standards_Active!$R24),(Standards_Active!$AA24-INDEX($CJ396:$DI396,1,MATCH((Standards_Active!$Q24-1),$CJ$380:$DI$380,FALSE)))/(Standards_Active!$R24-(Standards_Active!$Q24-1))+CL396,Standards_Active!$AA24*((1+Standards_Active!$AC24)^(CM$380-Standards_Active!$R24))),TREND(Perform_Active!$U24:$V24,Perform_Active!$U$8:$V$8,CM$380))),)</f>
        <v>0</v>
      </c>
      <c r="CN396" s="271">
        <f>IF(AND(Tech_Specs!$F23="step",Standards_Active!$S24="yes"),IF(CN$380&lt;Standards_Active!$Q24,TREND(Perform_Active!$U24:$V24,Perform_Active!$U$8:$V$8,CN$380),IF(ISNUMBER(Standards_Active!$AA24),IF(AND(CN$380&gt;=Standards_Active!$Q24,CN$380&lt;Standards_Active!$R24),(Standards_Active!$AA24-INDEX($CJ396:$DI396,1,MATCH((Standards_Active!$Q24-1),$CJ$380:$DI$380,FALSE)))/(Standards_Active!$R24-(Standards_Active!$Q24-1))+CM396,Standards_Active!$AA24*((1+Standards_Active!$AC24)^(CN$380-Standards_Active!$R24))),TREND(Perform_Active!$U24:$V24,Perform_Active!$U$8:$V$8,CN$380))),)</f>
        <v>0</v>
      </c>
      <c r="CO396" s="271">
        <f>IF(AND(Tech_Specs!$F23="step",Standards_Active!$S24="yes"),IF(CO$380&lt;Standards_Active!$Q24,TREND(Perform_Active!$U24:$V24,Perform_Active!$U$8:$V$8,CO$380),IF(ISNUMBER(Standards_Active!$AA24),IF(AND(CO$380&gt;=Standards_Active!$Q24,CO$380&lt;Standards_Active!$R24),(Standards_Active!$AA24-INDEX($CJ396:$DI396,1,MATCH((Standards_Active!$Q24-1),$CJ$380:$DI$380,FALSE)))/(Standards_Active!$R24-(Standards_Active!$Q24-1))+CN396,Standards_Active!$AA24*((1+Standards_Active!$AC24)^(CO$380-Standards_Active!$R24))),TREND(Perform_Active!$U24:$V24,Perform_Active!$U$8:$V$8,CO$380))),)</f>
        <v>0</v>
      </c>
      <c r="CP396" s="271">
        <f>IF(AND(Tech_Specs!$F23="step",Standards_Active!$S24="yes"),IF(CP$380&lt;Standards_Active!$Q24,TREND(Perform_Active!$U24:$V24,Perform_Active!$U$8:$V$8,CP$380),IF(ISNUMBER(Standards_Active!$AA24),IF(AND(CP$380&gt;=Standards_Active!$Q24,CP$380&lt;Standards_Active!$R24),(Standards_Active!$AA24-INDEX($CJ396:$DI396,1,MATCH((Standards_Active!$Q24-1),$CJ$380:$DI$380,FALSE)))/(Standards_Active!$R24-(Standards_Active!$Q24-1))+CO396,Standards_Active!$AA24*((1+Standards_Active!$AC24)^(CP$380-Standards_Active!$R24))),TREND(Perform_Active!$U24:$V24,Perform_Active!$U$8:$V$8,CP$380))),)</f>
        <v>0</v>
      </c>
      <c r="CQ396" s="271">
        <f>IF(AND(Tech_Specs!$F23="step",Standards_Active!$S24="yes"),IF(CQ$380&lt;Standards_Active!$Q24,TREND(Perform_Active!$U24:$V24,Perform_Active!$U$8:$V$8,CQ$380),IF(ISNUMBER(Standards_Active!$AA24),IF(AND(CQ$380&gt;=Standards_Active!$Q24,CQ$380&lt;Standards_Active!$R24),(Standards_Active!$AA24-INDEX($CJ396:$DI396,1,MATCH((Standards_Active!$Q24-1),$CJ$380:$DI$380,FALSE)))/(Standards_Active!$R24-(Standards_Active!$Q24-1))+CP396,Standards_Active!$AA24*((1+Standards_Active!$AC24)^(CQ$380-Standards_Active!$R24))),TREND(Perform_Active!$U24:$V24,Perform_Active!$U$8:$V$8,CQ$380))),)</f>
        <v>0</v>
      </c>
      <c r="CR396" s="271">
        <f>IF(AND(Tech_Specs!$F23="step",Standards_Active!$S24="yes"),IF(CR$380&lt;Standards_Active!$Q24,TREND(Perform_Active!$U24:$V24,Perform_Active!$U$8:$V$8,CR$380),IF(ISNUMBER(Standards_Active!$AA24),IF(AND(CR$380&gt;=Standards_Active!$Q24,CR$380&lt;Standards_Active!$R24),(Standards_Active!$AA24-INDEX($CJ396:$DI396,1,MATCH((Standards_Active!$Q24-1),$CJ$380:$DI$380,FALSE)))/(Standards_Active!$R24-(Standards_Active!$Q24-1))+CQ396,Standards_Active!$AA24*((1+Standards_Active!$AC24)^(CR$380-Standards_Active!$R24))),TREND(Perform_Active!$U24:$V24,Perform_Active!$U$8:$V$8,CR$380))),)</f>
        <v>0</v>
      </c>
      <c r="CS396" s="271">
        <f>IF(AND(Tech_Specs!$F23="step",Standards_Active!$S24="yes"),IF(CS$380&lt;Standards_Active!$Q24,TREND(Perform_Active!$U24:$V24,Perform_Active!$U$8:$V$8,CS$380),IF(ISNUMBER(Standards_Active!$AA24),IF(AND(CS$380&gt;=Standards_Active!$Q24,CS$380&lt;Standards_Active!$R24),(Standards_Active!$AA24-INDEX($CJ396:$DI396,1,MATCH((Standards_Active!$Q24-1),$CJ$380:$DI$380,FALSE)))/(Standards_Active!$R24-(Standards_Active!$Q24-1))+CR396,Standards_Active!$AA24*((1+Standards_Active!$AC24)^(CS$380-Standards_Active!$R24))),TREND(Perform_Active!$U24:$V24,Perform_Active!$U$8:$V$8,CS$380))),)</f>
        <v>0</v>
      </c>
      <c r="CT396" s="271">
        <f>IF(AND(Tech_Specs!$F23="step",Standards_Active!$S24="yes"),IF(CT$380&lt;Standards_Active!$Q24,TREND(Perform_Active!$U24:$V24,Perform_Active!$U$8:$V$8,CT$380),IF(ISNUMBER(Standards_Active!$AA24),IF(AND(CT$380&gt;=Standards_Active!$Q24,CT$380&lt;Standards_Active!$R24),(Standards_Active!$AA24-INDEX($CJ396:$DI396,1,MATCH((Standards_Active!$Q24-1),$CJ$380:$DI$380,FALSE)))/(Standards_Active!$R24-(Standards_Active!$Q24-1))+CS396,Standards_Active!$AA24*((1+Standards_Active!$AC24)^(CT$380-Standards_Active!$R24))),TREND(Perform_Active!$U24:$V24,Perform_Active!$U$8:$V$8,CT$380))),)</f>
        <v>0</v>
      </c>
      <c r="CU396" s="271">
        <f>IF(AND(Tech_Specs!$F23="step",Standards_Active!$S24="yes"),IF(CU$380&lt;Standards_Active!$Q24,TREND(Perform_Active!$U24:$V24,Perform_Active!$U$8:$V$8,CU$380),IF(ISNUMBER(Standards_Active!$AA24),IF(AND(CU$380&gt;=Standards_Active!$Q24,CU$380&lt;Standards_Active!$R24),(Standards_Active!$AA24-INDEX($CJ396:$DI396,1,MATCH((Standards_Active!$Q24-1),$CJ$380:$DI$380,FALSE)))/(Standards_Active!$R24-(Standards_Active!$Q24-1))+CT396,Standards_Active!$AA24*((1+Standards_Active!$AC24)^(CU$380-Standards_Active!$R24))),TREND(Perform_Active!$U24:$V24,Perform_Active!$U$8:$V$8,CU$380))),)</f>
        <v>0</v>
      </c>
      <c r="CV396" s="271">
        <f>IF(AND(Tech_Specs!$F23="step",Standards_Active!$S24="yes"),IF(CV$380&lt;Standards_Active!$Q24,TREND(Perform_Active!$U24:$V24,Perform_Active!$U$8:$V$8,CV$380),IF(ISNUMBER(Standards_Active!$AA24),IF(AND(CV$380&gt;=Standards_Active!$Q24,CV$380&lt;Standards_Active!$R24),(Standards_Active!$AA24-INDEX($CJ396:$DI396,1,MATCH((Standards_Active!$Q24-1),$CJ$380:$DI$380,FALSE)))/(Standards_Active!$R24-(Standards_Active!$Q24-1))+CU396,Standards_Active!$AA24*((1+Standards_Active!$AC24)^(CV$380-Standards_Active!$R24))),TREND(Perform_Active!$U24:$V24,Perform_Active!$U$8:$V$8,CV$380))),)</f>
        <v>0</v>
      </c>
      <c r="CW396" s="271">
        <f>IF(AND(Tech_Specs!$F23="step",Standards_Active!$S24="yes"),IF(CW$380&lt;Standards_Active!$Q24,TREND(Perform_Active!$U24:$V24,Perform_Active!$U$8:$V$8,CW$380),IF(ISNUMBER(Standards_Active!$AA24),IF(AND(CW$380&gt;=Standards_Active!$Q24,CW$380&lt;Standards_Active!$R24),(Standards_Active!$AA24-INDEX($CJ396:$DI396,1,MATCH((Standards_Active!$Q24-1),$CJ$380:$DI$380,FALSE)))/(Standards_Active!$R24-(Standards_Active!$Q24-1))+CV396,Standards_Active!$AA24*((1+Standards_Active!$AC24)^(CW$380-Standards_Active!$R24))),TREND(Perform_Active!$U24:$V24,Perform_Active!$U$8:$V$8,CW$380))),)</f>
        <v>0</v>
      </c>
      <c r="CX396" s="271">
        <f>IF(AND(Tech_Specs!$F23="step",Standards_Active!$S24="yes"),IF(CX$380&lt;Standards_Active!$Q24,TREND(Perform_Active!$U24:$V24,Perform_Active!$U$8:$V$8,CX$380),IF(ISNUMBER(Standards_Active!$AA24),IF(AND(CX$380&gt;=Standards_Active!$Q24,CX$380&lt;Standards_Active!$R24),(Standards_Active!$AA24-INDEX($CJ396:$DI396,1,MATCH((Standards_Active!$Q24-1),$CJ$380:$DI$380,FALSE)))/(Standards_Active!$R24-(Standards_Active!$Q24-1))+CW396,Standards_Active!$AA24*((1+Standards_Active!$AC24)^(CX$380-Standards_Active!$R24))),TREND(Perform_Active!$U24:$V24,Perform_Active!$U$8:$V$8,CX$380))),)</f>
        <v>0</v>
      </c>
      <c r="CY396" s="271">
        <f>IF(AND(Tech_Specs!$F23="step",Standards_Active!$S24="yes"),IF(CY$380&lt;Standards_Active!$Q24,TREND(Perform_Active!$U24:$V24,Perform_Active!$U$8:$V$8,CY$380),IF(ISNUMBER(Standards_Active!$AA24),IF(AND(CY$380&gt;=Standards_Active!$Q24,CY$380&lt;Standards_Active!$R24),(Standards_Active!$AA24-INDEX($CJ396:$DI396,1,MATCH((Standards_Active!$Q24-1),$CJ$380:$DI$380,FALSE)))/(Standards_Active!$R24-(Standards_Active!$Q24-1))+CX396,Standards_Active!$AA24*((1+Standards_Active!$AC24)^(CY$380-Standards_Active!$R24))),TREND(Perform_Active!$U24:$V24,Perform_Active!$U$8:$V$8,CY$380))),)</f>
        <v>0</v>
      </c>
      <c r="CZ396" s="271">
        <f>IF(AND(Tech_Specs!$F23="step",Standards_Active!$S24="yes"),IF(CZ$380&lt;Standards_Active!$Q24,TREND(Perform_Active!$U24:$V24,Perform_Active!$U$8:$V$8,CZ$380),IF(ISNUMBER(Standards_Active!$AA24),IF(AND(CZ$380&gt;=Standards_Active!$Q24,CZ$380&lt;Standards_Active!$R24),(Standards_Active!$AA24-INDEX($CJ396:$DI396,1,MATCH((Standards_Active!$Q24-1),$CJ$380:$DI$380,FALSE)))/(Standards_Active!$R24-(Standards_Active!$Q24-1))+CY396,Standards_Active!$AA24*((1+Standards_Active!$AC24)^(CZ$380-Standards_Active!$R24))),TREND(Perform_Active!$U24:$V24,Perform_Active!$U$8:$V$8,CZ$380))),)</f>
        <v>0</v>
      </c>
      <c r="DA396" s="271">
        <f>IF(AND(Tech_Specs!$F23="step",Standards_Active!$S24="yes"),IF(DA$380&lt;Standards_Active!$Q24,TREND(Perform_Active!$U24:$V24,Perform_Active!$U$8:$V$8,DA$380),IF(ISNUMBER(Standards_Active!$AA24),IF(AND(DA$380&gt;=Standards_Active!$Q24,DA$380&lt;Standards_Active!$R24),(Standards_Active!$AA24-INDEX($CJ396:$DI396,1,MATCH((Standards_Active!$Q24-1),$CJ$380:$DI$380,FALSE)))/(Standards_Active!$R24-(Standards_Active!$Q24-1))+CZ396,Standards_Active!$AA24*((1+Standards_Active!$AC24)^(DA$380-Standards_Active!$R24))),TREND(Perform_Active!$U24:$V24,Perform_Active!$U$8:$V$8,DA$380))),)</f>
        <v>0</v>
      </c>
      <c r="DB396" s="271">
        <f>IF(AND(Tech_Specs!$F23="step",Standards_Active!$S24="yes"),IF(DB$380&lt;Standards_Active!$Q24,TREND(Perform_Active!$U24:$V24,Perform_Active!$U$8:$V$8,DB$380),IF(ISNUMBER(Standards_Active!$AA24),IF(AND(DB$380&gt;=Standards_Active!$Q24,DB$380&lt;Standards_Active!$R24),(Standards_Active!$AA24-INDEX($CJ396:$DI396,1,MATCH((Standards_Active!$Q24-1),$CJ$380:$DI$380,FALSE)))/(Standards_Active!$R24-(Standards_Active!$Q24-1))+DA396,Standards_Active!$AA24*((1+Standards_Active!$AC24)^(DB$380-Standards_Active!$R24))),TREND(Perform_Active!$U24:$V24,Perform_Active!$U$8:$V$8,DB$380))),)</f>
        <v>0</v>
      </c>
      <c r="DC396" s="271">
        <f>IF(AND(Tech_Specs!$F23="step",Standards_Active!$S24="yes"),IF(DC$380&lt;Standards_Active!$Q24,TREND(Perform_Active!$U24:$V24,Perform_Active!$U$8:$V$8,DC$380),IF(ISNUMBER(Standards_Active!$AA24),IF(AND(DC$380&gt;=Standards_Active!$Q24,DC$380&lt;Standards_Active!$R24),(Standards_Active!$AA24-INDEX($CJ396:$DI396,1,MATCH((Standards_Active!$Q24-1),$CJ$380:$DI$380,FALSE)))/(Standards_Active!$R24-(Standards_Active!$Q24-1))+DB396,Standards_Active!$AA24*((1+Standards_Active!$AC24)^(DC$380-Standards_Active!$R24))),TREND(Perform_Active!$U24:$V24,Perform_Active!$U$8:$V$8,DC$380))),)</f>
        <v>0</v>
      </c>
      <c r="DD396" s="271">
        <f>IF(AND(Tech_Specs!$F23="step",Standards_Active!$S24="yes"),IF(DD$380&lt;Standards_Active!$Q24,TREND(Perform_Active!$U24:$V24,Perform_Active!$U$8:$V$8,DD$380),IF(ISNUMBER(Standards_Active!$AA24),IF(AND(DD$380&gt;=Standards_Active!$Q24,DD$380&lt;Standards_Active!$R24),(Standards_Active!$AA24-INDEX($CJ396:$DI396,1,MATCH((Standards_Active!$Q24-1),$CJ$380:$DI$380,FALSE)))/(Standards_Active!$R24-(Standards_Active!$Q24-1))+DC396,Standards_Active!$AA24*((1+Standards_Active!$AC24)^(DD$380-Standards_Active!$R24))),TREND(Perform_Active!$U24:$V24,Perform_Active!$U$8:$V$8,DD$380))),)</f>
        <v>0</v>
      </c>
      <c r="DE396" s="271">
        <f>IF(AND(Tech_Specs!$F23="step",Standards_Active!$S24="yes"),IF(DE$380&lt;Standards_Active!$Q24,TREND(Perform_Active!$U24:$V24,Perform_Active!$U$8:$V$8,DE$380),IF(ISNUMBER(Standards_Active!$AA24),IF(AND(DE$380&gt;=Standards_Active!$Q24,DE$380&lt;Standards_Active!$R24),(Standards_Active!$AA24-INDEX($CJ396:$DI396,1,MATCH((Standards_Active!$Q24-1),$CJ$380:$DI$380,FALSE)))/(Standards_Active!$R24-(Standards_Active!$Q24-1))+DD396,Standards_Active!$AA24*((1+Standards_Active!$AC24)^(DE$380-Standards_Active!$R24))),TREND(Perform_Active!$U24:$V24,Perform_Active!$U$8:$V$8,DE$380))),)</f>
        <v>0</v>
      </c>
      <c r="DF396" s="271">
        <f>IF(AND(Tech_Specs!$F23="step",Standards_Active!$S24="yes"),IF(DF$380&lt;Standards_Active!$Q24,TREND(Perform_Active!$U24:$V24,Perform_Active!$U$8:$V$8,DF$380),IF(ISNUMBER(Standards_Active!$AA24),IF(AND(DF$380&gt;=Standards_Active!$Q24,DF$380&lt;Standards_Active!$R24),(Standards_Active!$AA24-INDEX($CJ396:$DI396,1,MATCH((Standards_Active!$Q24-1),$CJ$380:$DI$380,FALSE)))/(Standards_Active!$R24-(Standards_Active!$Q24-1))+DE396,Standards_Active!$AA24*((1+Standards_Active!$AC24)^(DF$380-Standards_Active!$R24))),TREND(Perform_Active!$U24:$V24,Perform_Active!$U$8:$V$8,DF$380))),)</f>
        <v>0</v>
      </c>
      <c r="DG396" s="271">
        <f>IF(AND(Tech_Specs!$F23="step",Standards_Active!$S24="yes"),IF(DG$380&lt;Standards_Active!$Q24,TREND(Perform_Active!$U24:$V24,Perform_Active!$U$8:$V$8,DG$380),IF(ISNUMBER(Standards_Active!$AA24),IF(AND(DG$380&gt;=Standards_Active!$Q24,DG$380&lt;Standards_Active!$R24),(Standards_Active!$AA24-INDEX($CJ396:$DI396,1,MATCH((Standards_Active!$Q24-1),$CJ$380:$DI$380,FALSE)))/(Standards_Active!$R24-(Standards_Active!$Q24-1))+DF396,Standards_Active!$AA24*((1+Standards_Active!$AC24)^(DG$380-Standards_Active!$R24))),TREND(Perform_Active!$U24:$V24,Perform_Active!$U$8:$V$8,DG$380))),)</f>
        <v>0</v>
      </c>
      <c r="DH396" s="271">
        <f>IF(AND(Tech_Specs!$F23="step",Standards_Active!$S24="yes"),IF(DH$380&lt;Standards_Active!$Q24,TREND(Perform_Active!$U24:$V24,Perform_Active!$U$8:$V$8,DH$380),IF(ISNUMBER(Standards_Active!$AA24),IF(AND(DH$380&gt;=Standards_Active!$Q24,DH$380&lt;Standards_Active!$R24),(Standards_Active!$AA24-INDEX($CJ396:$DI396,1,MATCH((Standards_Active!$Q24-1),$CJ$380:$DI$380,FALSE)))/(Standards_Active!$R24-(Standards_Active!$Q24-1))+DG396,Standards_Active!$AA24*((1+Standards_Active!$AC24)^(DH$380-Standards_Active!$R24))),TREND(Perform_Active!$U24:$V24,Perform_Active!$U$8:$V$8,DH$380))),)</f>
        <v>0</v>
      </c>
      <c r="DI396" s="271">
        <f>IF(AND(Tech_Specs!$F23="step",Standards_Active!$S24="yes"),IF(DI$380&lt;Standards_Active!$Q24,TREND(Perform_Active!$U24:$V24,Perform_Active!$U$8:$V$8,DI$380),IF(ISNUMBER(Standards_Active!$AA24),IF(AND(DI$380&gt;=Standards_Active!$Q24,DI$380&lt;Standards_Active!$R24),(Standards_Active!$AA24-INDEX($CJ396:$DI396,1,MATCH((Standards_Active!$Q24-1),$CJ$380:$DI$380,FALSE)))/(Standards_Active!$R24-(Standards_Active!$Q24-1))+DH396,Standards_Active!$AA24*((1+Standards_Active!$AC24)^(DI$380-Standards_Active!$R24))),TREND(Perform_Active!$U24:$V24,Perform_Active!$U$8:$V$8,DI$380))),)</f>
        <v>0</v>
      </c>
    </row>
    <row r="397" spans="1:113" s="322" customFormat="1" ht="12.75" x14ac:dyDescent="0.2">
      <c r="B397" s="322" t="s">
        <v>29</v>
      </c>
      <c r="D397" s="550"/>
      <c r="E397" s="550"/>
      <c r="F397" s="550"/>
      <c r="G397" s="272">
        <f t="shared" si="72"/>
        <v>0</v>
      </c>
      <c r="H397" s="272">
        <f t="shared" si="72"/>
        <v>0</v>
      </c>
      <c r="I397" s="272">
        <f t="shared" si="72"/>
        <v>0</v>
      </c>
      <c r="J397" s="272">
        <f t="shared" si="72"/>
        <v>0</v>
      </c>
      <c r="K397" s="272">
        <f t="shared" si="72"/>
        <v>0</v>
      </c>
      <c r="L397" s="272">
        <f t="shared" si="72"/>
        <v>0</v>
      </c>
      <c r="M397" s="272">
        <f t="shared" si="72"/>
        <v>0</v>
      </c>
      <c r="N397" s="272">
        <f t="shared" si="72"/>
        <v>0</v>
      </c>
      <c r="O397" s="272">
        <f t="shared" si="72"/>
        <v>0</v>
      </c>
      <c r="P397" s="272">
        <f t="shared" si="72"/>
        <v>0</v>
      </c>
      <c r="Q397" s="272">
        <f t="shared" si="73"/>
        <v>0</v>
      </c>
      <c r="R397" s="272">
        <f t="shared" si="73"/>
        <v>0</v>
      </c>
      <c r="S397" s="272">
        <f t="shared" si="73"/>
        <v>0</v>
      </c>
      <c r="T397" s="272">
        <f t="shared" si="73"/>
        <v>0</v>
      </c>
      <c r="U397" s="272">
        <f t="shared" si="73"/>
        <v>0</v>
      </c>
      <c r="V397" s="272">
        <f t="shared" si="73"/>
        <v>0</v>
      </c>
      <c r="W397" s="272">
        <f t="shared" si="73"/>
        <v>0</v>
      </c>
      <c r="X397" s="272">
        <f t="shared" si="73"/>
        <v>0</v>
      </c>
      <c r="Y397" s="272">
        <f t="shared" si="73"/>
        <v>0</v>
      </c>
      <c r="Z397" s="272">
        <f t="shared" si="73"/>
        <v>0</v>
      </c>
      <c r="AA397" s="272">
        <f t="shared" si="74"/>
        <v>0</v>
      </c>
      <c r="AB397" s="272">
        <f t="shared" si="74"/>
        <v>0</v>
      </c>
      <c r="AC397" s="272">
        <f t="shared" si="74"/>
        <v>0</v>
      </c>
      <c r="AD397" s="272">
        <f t="shared" si="74"/>
        <v>0</v>
      </c>
      <c r="AE397" s="272">
        <f t="shared" si="74"/>
        <v>0</v>
      </c>
      <c r="AF397" s="272">
        <f t="shared" si="74"/>
        <v>0</v>
      </c>
      <c r="AG397" s="376"/>
      <c r="AH397" s="271">
        <f>IF(Tech_Specs!$F24="linear",TREND(Perform_Active!$U25:$V25,Perform_Active!$U$8:$V$8,AH$380),)</f>
        <v>0</v>
      </c>
      <c r="AI397" s="271">
        <f>IF(Tech_Specs!$F24="linear",TREND(Perform_Active!$U25:$V25,Perform_Active!$U$8:$V$8,AI$380),)</f>
        <v>0</v>
      </c>
      <c r="AJ397" s="271">
        <f>IF(Tech_Specs!$F24="linear",TREND(Perform_Active!$U25:$V25,Perform_Active!$U$8:$V$8,AJ$380),)</f>
        <v>0</v>
      </c>
      <c r="AK397" s="271">
        <f>IF(Tech_Specs!$F24="linear",TREND(Perform_Active!$U25:$V25,Perform_Active!$U$8:$V$8,AK$380),)</f>
        <v>0</v>
      </c>
      <c r="AL397" s="271">
        <f>IF(Tech_Specs!$F24="linear",TREND(Perform_Active!$U25:$V25,Perform_Active!$U$8:$V$8,AL$380),)</f>
        <v>0</v>
      </c>
      <c r="AM397" s="271">
        <f>IF(Tech_Specs!$F24="linear",TREND(Perform_Active!$U25:$V25,Perform_Active!$U$8:$V$8,AM$380),)</f>
        <v>0</v>
      </c>
      <c r="AN397" s="271">
        <f>IF(Tech_Specs!$F24="linear",TREND(Perform_Active!$U25:$V25,Perform_Active!$U$8:$V$8,AN$380),)</f>
        <v>0</v>
      </c>
      <c r="AO397" s="271">
        <f>IF(Tech_Specs!$F24="linear",TREND(Perform_Active!$U25:$V25,Perform_Active!$U$8:$V$8,AO$380),)</f>
        <v>0</v>
      </c>
      <c r="AP397" s="271">
        <f>IF(Tech_Specs!$F24="linear",TREND(Perform_Active!$U25:$V25,Perform_Active!$U$8:$V$8,AP$380),)</f>
        <v>0</v>
      </c>
      <c r="AQ397" s="271">
        <f>IF(Tech_Specs!$F24="linear",TREND(Perform_Active!$U25:$V25,Perform_Active!$U$8:$V$8,AQ$380),)</f>
        <v>0</v>
      </c>
      <c r="AR397" s="271">
        <f>IF(Tech_Specs!$F24="linear",TREND(Perform_Active!$U25:$V25,Perform_Active!$U$8:$V$8,AR$380),)</f>
        <v>0</v>
      </c>
      <c r="AS397" s="271">
        <f>IF(Tech_Specs!$F24="linear",TREND(Perform_Active!$U25:$V25,Perform_Active!$U$8:$V$8,AS$380),)</f>
        <v>0</v>
      </c>
      <c r="AT397" s="271">
        <f>IF(Tech_Specs!$F24="linear",TREND(Perform_Active!$U25:$V25,Perform_Active!$U$8:$V$8,AT$380),)</f>
        <v>0</v>
      </c>
      <c r="AU397" s="271">
        <f>IF(Tech_Specs!$F24="linear",TREND(Perform_Active!$U25:$V25,Perform_Active!$U$8:$V$8,AU$380),)</f>
        <v>0</v>
      </c>
      <c r="AV397" s="271">
        <f>IF(Tech_Specs!$F24="linear",TREND(Perform_Active!$U25:$V25,Perform_Active!$U$8:$V$8,AV$380),)</f>
        <v>0</v>
      </c>
      <c r="AW397" s="271">
        <f>IF(Tech_Specs!$F24="linear",TREND(Perform_Active!$U25:$V25,Perform_Active!$U$8:$V$8,AW$380),)</f>
        <v>0</v>
      </c>
      <c r="AX397" s="271">
        <f>IF(Tech_Specs!$F24="linear",TREND(Perform_Active!$U25:$V25,Perform_Active!$U$8:$V$8,AX$380),)</f>
        <v>0</v>
      </c>
      <c r="AY397" s="271">
        <f>IF(Tech_Specs!$F24="linear",TREND(Perform_Active!$U25:$V25,Perform_Active!$U$8:$V$8,AY$380),)</f>
        <v>0</v>
      </c>
      <c r="AZ397" s="271">
        <f>IF(Tech_Specs!$F24="linear",TREND(Perform_Active!$U25:$V25,Perform_Active!$U$8:$V$8,AZ$380),)</f>
        <v>0</v>
      </c>
      <c r="BA397" s="271">
        <f>IF(Tech_Specs!$F24="linear",TREND(Perform_Active!$U25:$V25,Perform_Active!$U$8:$V$8,BA$380),)</f>
        <v>0</v>
      </c>
      <c r="BB397" s="271">
        <f>IF(Tech_Specs!$F24="linear",TREND(Perform_Active!$U25:$V25,Perform_Active!$U$8:$V$8,BB$380),)</f>
        <v>0</v>
      </c>
      <c r="BC397" s="271">
        <f>IF(Tech_Specs!$F24="linear",TREND(Perform_Active!$U25:$V25,Perform_Active!$U$8:$V$8,BC$380),)</f>
        <v>0</v>
      </c>
      <c r="BD397" s="271">
        <f>IF(Tech_Specs!$F24="linear",TREND(Perform_Active!$U25:$V25,Perform_Active!$U$8:$V$8,BD$380),)</f>
        <v>0</v>
      </c>
      <c r="BE397" s="271">
        <f>IF(Tech_Specs!$F24="linear",TREND(Perform_Active!$U25:$V25,Perform_Active!$U$8:$V$8,BE$380),)</f>
        <v>0</v>
      </c>
      <c r="BF397" s="271">
        <f>IF(Tech_Specs!$F24="linear",TREND(Perform_Active!$U25:$V25,Perform_Active!$U$8:$V$8,BF$380),)</f>
        <v>0</v>
      </c>
      <c r="BG397" s="271">
        <f>IF(Tech_Specs!$F24="linear",TREND(Perform_Active!$U25:$V25,Perform_Active!$U$8:$V$8,BG$380),)</f>
        <v>0</v>
      </c>
      <c r="BH397" s="376"/>
      <c r="BI397" s="271">
        <f>IF(Tech_Specs!$F24="logistic",0,)</f>
        <v>0</v>
      </c>
      <c r="BJ397" s="271">
        <f>IF(Tech_Specs!$F24="logistic",0,)</f>
        <v>0</v>
      </c>
      <c r="BK397" s="271">
        <f>IF(Tech_Specs!$F24="logistic",0,)</f>
        <v>0</v>
      </c>
      <c r="BL397" s="271">
        <f>IF(Tech_Specs!$F24="logistic",0,)</f>
        <v>0</v>
      </c>
      <c r="BM397" s="271">
        <f>IF(Tech_Specs!$F24="logistic",0,)</f>
        <v>0</v>
      </c>
      <c r="BN397" s="271">
        <f>IF(Tech_Specs!$F24="logistic",0,)</f>
        <v>0</v>
      </c>
      <c r="BO397" s="271">
        <f>IF(Tech_Specs!$F24="logistic",0,)</f>
        <v>0</v>
      </c>
      <c r="BP397" s="271">
        <f>IF(Tech_Specs!$F24="logistic",0,)</f>
        <v>0</v>
      </c>
      <c r="BQ397" s="271">
        <f>IF(Tech_Specs!$F24="logistic",0,)</f>
        <v>0</v>
      </c>
      <c r="BR397" s="271">
        <f>IF(Tech_Specs!$F24="logistic",0,)</f>
        <v>0</v>
      </c>
      <c r="BS397" s="271">
        <f>IF(Tech_Specs!$F24="logistic",0,)</f>
        <v>0</v>
      </c>
      <c r="BT397" s="271">
        <f>IF(Tech_Specs!$F24="logistic",0,)</f>
        <v>0</v>
      </c>
      <c r="BU397" s="271">
        <f>IF(Tech_Specs!$F24="logistic",0,)</f>
        <v>0</v>
      </c>
      <c r="BV397" s="271">
        <f>IF(Tech_Specs!$F24="logistic",0,)</f>
        <v>0</v>
      </c>
      <c r="BW397" s="271">
        <f>IF(Tech_Specs!$F24="logistic",0,)</f>
        <v>0</v>
      </c>
      <c r="BX397" s="271">
        <f>IF(Tech_Specs!$F24="logistic",0,)</f>
        <v>0</v>
      </c>
      <c r="BY397" s="271">
        <f>IF(Tech_Specs!$F24="logistic",0,)</f>
        <v>0</v>
      </c>
      <c r="BZ397" s="271">
        <f>IF(Tech_Specs!$F24="logistic",0,)</f>
        <v>0</v>
      </c>
      <c r="CA397" s="271">
        <f>IF(Tech_Specs!$F24="logistic",0,)</f>
        <v>0</v>
      </c>
      <c r="CB397" s="271">
        <f>IF(Tech_Specs!$F24="logistic",0,)</f>
        <v>0</v>
      </c>
      <c r="CC397" s="271">
        <f>IF(Tech_Specs!$F24="logistic",0,)</f>
        <v>0</v>
      </c>
      <c r="CD397" s="271">
        <f>IF(Tech_Specs!$F24="logistic",0,)</f>
        <v>0</v>
      </c>
      <c r="CE397" s="271">
        <f>IF(Tech_Specs!$F24="logistic",0,)</f>
        <v>0</v>
      </c>
      <c r="CF397" s="271">
        <f>IF(Tech_Specs!$F24="logistic",0,)</f>
        <v>0</v>
      </c>
      <c r="CG397" s="271">
        <f>IF(Tech_Specs!$F24="logistic",0,)</f>
        <v>0</v>
      </c>
      <c r="CH397" s="271">
        <f>IF(Tech_Specs!$F24="logistic",0,)</f>
        <v>0</v>
      </c>
      <c r="CI397" s="376"/>
      <c r="CJ397" s="271">
        <f>IF(AND(Tech_Specs!$F24="step",Standards_Active!$S25="yes"),IF(CJ$380&lt;Standards_Active!$Q25,TREND(Perform_Active!$U25:$V25,Perform_Active!$U$8:$V$8,CJ$380),IF(ISNUMBER(Standards_Active!$AA25),IF(AND(CJ$380&gt;=Standards_Active!$Q25,CJ$380&lt;Standards_Active!$R25),(Standards_Active!$AA25-INDEX($CJ397:$DI397,1,MATCH((Standards_Active!$Q25-1),$CJ$380:$DI$380,FALSE)))/(Standards_Active!$R25-(Standards_Active!$Q25-1))+CI397,Standards_Active!$AA25*((1+Standards_Active!$AC25)^(CJ$380-Standards_Active!$R25))),TREND(Perform_Active!$U25:$V25,Perform_Active!$U$8:$V$8,CJ$380))),)</f>
        <v>0</v>
      </c>
      <c r="CK397" s="271">
        <f>IF(AND(Tech_Specs!$F24="step",Standards_Active!$S25="yes"),IF(CK$380&lt;Standards_Active!$Q25,TREND(Perform_Active!$U25:$V25,Perform_Active!$U$8:$V$8,CK$380),IF(ISNUMBER(Standards_Active!$AA25),IF(AND(CK$380&gt;=Standards_Active!$Q25,CK$380&lt;Standards_Active!$R25),(Standards_Active!$AA25-INDEX($CJ397:$DI397,1,MATCH((Standards_Active!$Q25-1),$CJ$380:$DI$380,FALSE)))/(Standards_Active!$R25-(Standards_Active!$Q25-1))+CJ397,Standards_Active!$AA25*((1+Standards_Active!$AC25)^(CK$380-Standards_Active!$R25))),TREND(Perform_Active!$U25:$V25,Perform_Active!$U$8:$V$8,CK$380))),)</f>
        <v>0</v>
      </c>
      <c r="CL397" s="271">
        <f>IF(AND(Tech_Specs!$F24="step",Standards_Active!$S25="yes"),IF(CL$380&lt;Standards_Active!$Q25,TREND(Perform_Active!$U25:$V25,Perform_Active!$U$8:$V$8,CL$380),IF(ISNUMBER(Standards_Active!$AA25),IF(AND(CL$380&gt;=Standards_Active!$Q25,CL$380&lt;Standards_Active!$R25),(Standards_Active!$AA25-INDEX($CJ397:$DI397,1,MATCH((Standards_Active!$Q25-1),$CJ$380:$DI$380,FALSE)))/(Standards_Active!$R25-(Standards_Active!$Q25-1))+CK397,Standards_Active!$AA25*((1+Standards_Active!$AC25)^(CL$380-Standards_Active!$R25))),TREND(Perform_Active!$U25:$V25,Perform_Active!$U$8:$V$8,CL$380))),)</f>
        <v>0</v>
      </c>
      <c r="CM397" s="271">
        <f>IF(AND(Tech_Specs!$F24="step",Standards_Active!$S25="yes"),IF(CM$380&lt;Standards_Active!$Q25,TREND(Perform_Active!$U25:$V25,Perform_Active!$U$8:$V$8,CM$380),IF(ISNUMBER(Standards_Active!$AA25),IF(AND(CM$380&gt;=Standards_Active!$Q25,CM$380&lt;Standards_Active!$R25),(Standards_Active!$AA25-INDEX($CJ397:$DI397,1,MATCH((Standards_Active!$Q25-1),$CJ$380:$DI$380,FALSE)))/(Standards_Active!$R25-(Standards_Active!$Q25-1))+CL397,Standards_Active!$AA25*((1+Standards_Active!$AC25)^(CM$380-Standards_Active!$R25))),TREND(Perform_Active!$U25:$V25,Perform_Active!$U$8:$V$8,CM$380))),)</f>
        <v>0</v>
      </c>
      <c r="CN397" s="271">
        <f>IF(AND(Tech_Specs!$F24="step",Standards_Active!$S25="yes"),IF(CN$380&lt;Standards_Active!$Q25,TREND(Perform_Active!$U25:$V25,Perform_Active!$U$8:$V$8,CN$380),IF(ISNUMBER(Standards_Active!$AA25),IF(AND(CN$380&gt;=Standards_Active!$Q25,CN$380&lt;Standards_Active!$R25),(Standards_Active!$AA25-INDEX($CJ397:$DI397,1,MATCH((Standards_Active!$Q25-1),$CJ$380:$DI$380,FALSE)))/(Standards_Active!$R25-(Standards_Active!$Q25-1))+CM397,Standards_Active!$AA25*((1+Standards_Active!$AC25)^(CN$380-Standards_Active!$R25))),TREND(Perform_Active!$U25:$V25,Perform_Active!$U$8:$V$8,CN$380))),)</f>
        <v>0</v>
      </c>
      <c r="CO397" s="271">
        <f>IF(AND(Tech_Specs!$F24="step",Standards_Active!$S25="yes"),IF(CO$380&lt;Standards_Active!$Q25,TREND(Perform_Active!$U25:$V25,Perform_Active!$U$8:$V$8,CO$380),IF(ISNUMBER(Standards_Active!$AA25),IF(AND(CO$380&gt;=Standards_Active!$Q25,CO$380&lt;Standards_Active!$R25),(Standards_Active!$AA25-INDEX($CJ397:$DI397,1,MATCH((Standards_Active!$Q25-1),$CJ$380:$DI$380,FALSE)))/(Standards_Active!$R25-(Standards_Active!$Q25-1))+CN397,Standards_Active!$AA25*((1+Standards_Active!$AC25)^(CO$380-Standards_Active!$R25))),TREND(Perform_Active!$U25:$V25,Perform_Active!$U$8:$V$8,CO$380))),)</f>
        <v>0</v>
      </c>
      <c r="CP397" s="271">
        <f>IF(AND(Tech_Specs!$F24="step",Standards_Active!$S25="yes"),IF(CP$380&lt;Standards_Active!$Q25,TREND(Perform_Active!$U25:$V25,Perform_Active!$U$8:$V$8,CP$380),IF(ISNUMBER(Standards_Active!$AA25),IF(AND(CP$380&gt;=Standards_Active!$Q25,CP$380&lt;Standards_Active!$R25),(Standards_Active!$AA25-INDEX($CJ397:$DI397,1,MATCH((Standards_Active!$Q25-1),$CJ$380:$DI$380,FALSE)))/(Standards_Active!$R25-(Standards_Active!$Q25-1))+CO397,Standards_Active!$AA25*((1+Standards_Active!$AC25)^(CP$380-Standards_Active!$R25))),TREND(Perform_Active!$U25:$V25,Perform_Active!$U$8:$V$8,CP$380))),)</f>
        <v>0</v>
      </c>
      <c r="CQ397" s="271">
        <f>IF(AND(Tech_Specs!$F24="step",Standards_Active!$S25="yes"),IF(CQ$380&lt;Standards_Active!$Q25,TREND(Perform_Active!$U25:$V25,Perform_Active!$U$8:$V$8,CQ$380),IF(ISNUMBER(Standards_Active!$AA25),IF(AND(CQ$380&gt;=Standards_Active!$Q25,CQ$380&lt;Standards_Active!$R25),(Standards_Active!$AA25-INDEX($CJ397:$DI397,1,MATCH((Standards_Active!$Q25-1),$CJ$380:$DI$380,FALSE)))/(Standards_Active!$R25-(Standards_Active!$Q25-1))+CP397,Standards_Active!$AA25*((1+Standards_Active!$AC25)^(CQ$380-Standards_Active!$R25))),TREND(Perform_Active!$U25:$V25,Perform_Active!$U$8:$V$8,CQ$380))),)</f>
        <v>0</v>
      </c>
      <c r="CR397" s="271">
        <f>IF(AND(Tech_Specs!$F24="step",Standards_Active!$S25="yes"),IF(CR$380&lt;Standards_Active!$Q25,TREND(Perform_Active!$U25:$V25,Perform_Active!$U$8:$V$8,CR$380),IF(ISNUMBER(Standards_Active!$AA25),IF(AND(CR$380&gt;=Standards_Active!$Q25,CR$380&lt;Standards_Active!$R25),(Standards_Active!$AA25-INDEX($CJ397:$DI397,1,MATCH((Standards_Active!$Q25-1),$CJ$380:$DI$380,FALSE)))/(Standards_Active!$R25-(Standards_Active!$Q25-1))+CQ397,Standards_Active!$AA25*((1+Standards_Active!$AC25)^(CR$380-Standards_Active!$R25))),TREND(Perform_Active!$U25:$V25,Perform_Active!$U$8:$V$8,CR$380))),)</f>
        <v>0</v>
      </c>
      <c r="CS397" s="271">
        <f>IF(AND(Tech_Specs!$F24="step",Standards_Active!$S25="yes"),IF(CS$380&lt;Standards_Active!$Q25,TREND(Perform_Active!$U25:$V25,Perform_Active!$U$8:$V$8,CS$380),IF(ISNUMBER(Standards_Active!$AA25),IF(AND(CS$380&gt;=Standards_Active!$Q25,CS$380&lt;Standards_Active!$R25),(Standards_Active!$AA25-INDEX($CJ397:$DI397,1,MATCH((Standards_Active!$Q25-1),$CJ$380:$DI$380,FALSE)))/(Standards_Active!$R25-(Standards_Active!$Q25-1))+CR397,Standards_Active!$AA25*((1+Standards_Active!$AC25)^(CS$380-Standards_Active!$R25))),TREND(Perform_Active!$U25:$V25,Perform_Active!$U$8:$V$8,CS$380))),)</f>
        <v>0</v>
      </c>
      <c r="CT397" s="271">
        <f>IF(AND(Tech_Specs!$F24="step",Standards_Active!$S25="yes"),IF(CT$380&lt;Standards_Active!$Q25,TREND(Perform_Active!$U25:$V25,Perform_Active!$U$8:$V$8,CT$380),IF(ISNUMBER(Standards_Active!$AA25),IF(AND(CT$380&gt;=Standards_Active!$Q25,CT$380&lt;Standards_Active!$R25),(Standards_Active!$AA25-INDEX($CJ397:$DI397,1,MATCH((Standards_Active!$Q25-1),$CJ$380:$DI$380,FALSE)))/(Standards_Active!$R25-(Standards_Active!$Q25-1))+CS397,Standards_Active!$AA25*((1+Standards_Active!$AC25)^(CT$380-Standards_Active!$R25))),TREND(Perform_Active!$U25:$V25,Perform_Active!$U$8:$V$8,CT$380))),)</f>
        <v>0</v>
      </c>
      <c r="CU397" s="271">
        <f>IF(AND(Tech_Specs!$F24="step",Standards_Active!$S25="yes"),IF(CU$380&lt;Standards_Active!$Q25,TREND(Perform_Active!$U25:$V25,Perform_Active!$U$8:$V$8,CU$380),IF(ISNUMBER(Standards_Active!$AA25),IF(AND(CU$380&gt;=Standards_Active!$Q25,CU$380&lt;Standards_Active!$R25),(Standards_Active!$AA25-INDEX($CJ397:$DI397,1,MATCH((Standards_Active!$Q25-1),$CJ$380:$DI$380,FALSE)))/(Standards_Active!$R25-(Standards_Active!$Q25-1))+CT397,Standards_Active!$AA25*((1+Standards_Active!$AC25)^(CU$380-Standards_Active!$R25))),TREND(Perform_Active!$U25:$V25,Perform_Active!$U$8:$V$8,CU$380))),)</f>
        <v>0</v>
      </c>
      <c r="CV397" s="271">
        <f>IF(AND(Tech_Specs!$F24="step",Standards_Active!$S25="yes"),IF(CV$380&lt;Standards_Active!$Q25,TREND(Perform_Active!$U25:$V25,Perform_Active!$U$8:$V$8,CV$380),IF(ISNUMBER(Standards_Active!$AA25),IF(AND(CV$380&gt;=Standards_Active!$Q25,CV$380&lt;Standards_Active!$R25),(Standards_Active!$AA25-INDEX($CJ397:$DI397,1,MATCH((Standards_Active!$Q25-1),$CJ$380:$DI$380,FALSE)))/(Standards_Active!$R25-(Standards_Active!$Q25-1))+CU397,Standards_Active!$AA25*((1+Standards_Active!$AC25)^(CV$380-Standards_Active!$R25))),TREND(Perform_Active!$U25:$V25,Perform_Active!$U$8:$V$8,CV$380))),)</f>
        <v>0</v>
      </c>
      <c r="CW397" s="271">
        <f>IF(AND(Tech_Specs!$F24="step",Standards_Active!$S25="yes"),IF(CW$380&lt;Standards_Active!$Q25,TREND(Perform_Active!$U25:$V25,Perform_Active!$U$8:$V$8,CW$380),IF(ISNUMBER(Standards_Active!$AA25),IF(AND(CW$380&gt;=Standards_Active!$Q25,CW$380&lt;Standards_Active!$R25),(Standards_Active!$AA25-INDEX($CJ397:$DI397,1,MATCH((Standards_Active!$Q25-1),$CJ$380:$DI$380,FALSE)))/(Standards_Active!$R25-(Standards_Active!$Q25-1))+CV397,Standards_Active!$AA25*((1+Standards_Active!$AC25)^(CW$380-Standards_Active!$R25))),TREND(Perform_Active!$U25:$V25,Perform_Active!$U$8:$V$8,CW$380))),)</f>
        <v>0</v>
      </c>
      <c r="CX397" s="271">
        <f>IF(AND(Tech_Specs!$F24="step",Standards_Active!$S25="yes"),IF(CX$380&lt;Standards_Active!$Q25,TREND(Perform_Active!$U25:$V25,Perform_Active!$U$8:$V$8,CX$380),IF(ISNUMBER(Standards_Active!$AA25),IF(AND(CX$380&gt;=Standards_Active!$Q25,CX$380&lt;Standards_Active!$R25),(Standards_Active!$AA25-INDEX($CJ397:$DI397,1,MATCH((Standards_Active!$Q25-1),$CJ$380:$DI$380,FALSE)))/(Standards_Active!$R25-(Standards_Active!$Q25-1))+CW397,Standards_Active!$AA25*((1+Standards_Active!$AC25)^(CX$380-Standards_Active!$R25))),TREND(Perform_Active!$U25:$V25,Perform_Active!$U$8:$V$8,CX$380))),)</f>
        <v>0</v>
      </c>
      <c r="CY397" s="271">
        <f>IF(AND(Tech_Specs!$F24="step",Standards_Active!$S25="yes"),IF(CY$380&lt;Standards_Active!$Q25,TREND(Perform_Active!$U25:$V25,Perform_Active!$U$8:$V$8,CY$380),IF(ISNUMBER(Standards_Active!$AA25),IF(AND(CY$380&gt;=Standards_Active!$Q25,CY$380&lt;Standards_Active!$R25),(Standards_Active!$AA25-INDEX($CJ397:$DI397,1,MATCH((Standards_Active!$Q25-1),$CJ$380:$DI$380,FALSE)))/(Standards_Active!$R25-(Standards_Active!$Q25-1))+CX397,Standards_Active!$AA25*((1+Standards_Active!$AC25)^(CY$380-Standards_Active!$R25))),TREND(Perform_Active!$U25:$V25,Perform_Active!$U$8:$V$8,CY$380))),)</f>
        <v>0</v>
      </c>
      <c r="CZ397" s="271">
        <f>IF(AND(Tech_Specs!$F24="step",Standards_Active!$S25="yes"),IF(CZ$380&lt;Standards_Active!$Q25,TREND(Perform_Active!$U25:$V25,Perform_Active!$U$8:$V$8,CZ$380),IF(ISNUMBER(Standards_Active!$AA25),IF(AND(CZ$380&gt;=Standards_Active!$Q25,CZ$380&lt;Standards_Active!$R25),(Standards_Active!$AA25-INDEX($CJ397:$DI397,1,MATCH((Standards_Active!$Q25-1),$CJ$380:$DI$380,FALSE)))/(Standards_Active!$R25-(Standards_Active!$Q25-1))+CY397,Standards_Active!$AA25*((1+Standards_Active!$AC25)^(CZ$380-Standards_Active!$R25))),TREND(Perform_Active!$U25:$V25,Perform_Active!$U$8:$V$8,CZ$380))),)</f>
        <v>0</v>
      </c>
      <c r="DA397" s="271">
        <f>IF(AND(Tech_Specs!$F24="step",Standards_Active!$S25="yes"),IF(DA$380&lt;Standards_Active!$Q25,TREND(Perform_Active!$U25:$V25,Perform_Active!$U$8:$V$8,DA$380),IF(ISNUMBER(Standards_Active!$AA25),IF(AND(DA$380&gt;=Standards_Active!$Q25,DA$380&lt;Standards_Active!$R25),(Standards_Active!$AA25-INDEX($CJ397:$DI397,1,MATCH((Standards_Active!$Q25-1),$CJ$380:$DI$380,FALSE)))/(Standards_Active!$R25-(Standards_Active!$Q25-1))+CZ397,Standards_Active!$AA25*((1+Standards_Active!$AC25)^(DA$380-Standards_Active!$R25))),TREND(Perform_Active!$U25:$V25,Perform_Active!$U$8:$V$8,DA$380))),)</f>
        <v>0</v>
      </c>
      <c r="DB397" s="271">
        <f>IF(AND(Tech_Specs!$F24="step",Standards_Active!$S25="yes"),IF(DB$380&lt;Standards_Active!$Q25,TREND(Perform_Active!$U25:$V25,Perform_Active!$U$8:$V$8,DB$380),IF(ISNUMBER(Standards_Active!$AA25),IF(AND(DB$380&gt;=Standards_Active!$Q25,DB$380&lt;Standards_Active!$R25),(Standards_Active!$AA25-INDEX($CJ397:$DI397,1,MATCH((Standards_Active!$Q25-1),$CJ$380:$DI$380,FALSE)))/(Standards_Active!$R25-(Standards_Active!$Q25-1))+DA397,Standards_Active!$AA25*((1+Standards_Active!$AC25)^(DB$380-Standards_Active!$R25))),TREND(Perform_Active!$U25:$V25,Perform_Active!$U$8:$V$8,DB$380))),)</f>
        <v>0</v>
      </c>
      <c r="DC397" s="271">
        <f>IF(AND(Tech_Specs!$F24="step",Standards_Active!$S25="yes"),IF(DC$380&lt;Standards_Active!$Q25,TREND(Perform_Active!$U25:$V25,Perform_Active!$U$8:$V$8,DC$380),IF(ISNUMBER(Standards_Active!$AA25),IF(AND(DC$380&gt;=Standards_Active!$Q25,DC$380&lt;Standards_Active!$R25),(Standards_Active!$AA25-INDEX($CJ397:$DI397,1,MATCH((Standards_Active!$Q25-1),$CJ$380:$DI$380,FALSE)))/(Standards_Active!$R25-(Standards_Active!$Q25-1))+DB397,Standards_Active!$AA25*((1+Standards_Active!$AC25)^(DC$380-Standards_Active!$R25))),TREND(Perform_Active!$U25:$V25,Perform_Active!$U$8:$V$8,DC$380))),)</f>
        <v>0</v>
      </c>
      <c r="DD397" s="271">
        <f>IF(AND(Tech_Specs!$F24="step",Standards_Active!$S25="yes"),IF(DD$380&lt;Standards_Active!$Q25,TREND(Perform_Active!$U25:$V25,Perform_Active!$U$8:$V$8,DD$380),IF(ISNUMBER(Standards_Active!$AA25),IF(AND(DD$380&gt;=Standards_Active!$Q25,DD$380&lt;Standards_Active!$R25),(Standards_Active!$AA25-INDEX($CJ397:$DI397,1,MATCH((Standards_Active!$Q25-1),$CJ$380:$DI$380,FALSE)))/(Standards_Active!$R25-(Standards_Active!$Q25-1))+DC397,Standards_Active!$AA25*((1+Standards_Active!$AC25)^(DD$380-Standards_Active!$R25))),TREND(Perform_Active!$U25:$V25,Perform_Active!$U$8:$V$8,DD$380))),)</f>
        <v>0</v>
      </c>
      <c r="DE397" s="271">
        <f>IF(AND(Tech_Specs!$F24="step",Standards_Active!$S25="yes"),IF(DE$380&lt;Standards_Active!$Q25,TREND(Perform_Active!$U25:$V25,Perform_Active!$U$8:$V$8,DE$380),IF(ISNUMBER(Standards_Active!$AA25),IF(AND(DE$380&gt;=Standards_Active!$Q25,DE$380&lt;Standards_Active!$R25),(Standards_Active!$AA25-INDEX($CJ397:$DI397,1,MATCH((Standards_Active!$Q25-1),$CJ$380:$DI$380,FALSE)))/(Standards_Active!$R25-(Standards_Active!$Q25-1))+DD397,Standards_Active!$AA25*((1+Standards_Active!$AC25)^(DE$380-Standards_Active!$R25))),TREND(Perform_Active!$U25:$V25,Perform_Active!$U$8:$V$8,DE$380))),)</f>
        <v>0</v>
      </c>
      <c r="DF397" s="271">
        <f>IF(AND(Tech_Specs!$F24="step",Standards_Active!$S25="yes"),IF(DF$380&lt;Standards_Active!$Q25,TREND(Perform_Active!$U25:$V25,Perform_Active!$U$8:$V$8,DF$380),IF(ISNUMBER(Standards_Active!$AA25),IF(AND(DF$380&gt;=Standards_Active!$Q25,DF$380&lt;Standards_Active!$R25),(Standards_Active!$AA25-INDEX($CJ397:$DI397,1,MATCH((Standards_Active!$Q25-1),$CJ$380:$DI$380,FALSE)))/(Standards_Active!$R25-(Standards_Active!$Q25-1))+DE397,Standards_Active!$AA25*((1+Standards_Active!$AC25)^(DF$380-Standards_Active!$R25))),TREND(Perform_Active!$U25:$V25,Perform_Active!$U$8:$V$8,DF$380))),)</f>
        <v>0</v>
      </c>
      <c r="DG397" s="271">
        <f>IF(AND(Tech_Specs!$F24="step",Standards_Active!$S25="yes"),IF(DG$380&lt;Standards_Active!$Q25,TREND(Perform_Active!$U25:$V25,Perform_Active!$U$8:$V$8,DG$380),IF(ISNUMBER(Standards_Active!$AA25),IF(AND(DG$380&gt;=Standards_Active!$Q25,DG$380&lt;Standards_Active!$R25),(Standards_Active!$AA25-INDEX($CJ397:$DI397,1,MATCH((Standards_Active!$Q25-1),$CJ$380:$DI$380,FALSE)))/(Standards_Active!$R25-(Standards_Active!$Q25-1))+DF397,Standards_Active!$AA25*((1+Standards_Active!$AC25)^(DG$380-Standards_Active!$R25))),TREND(Perform_Active!$U25:$V25,Perform_Active!$U$8:$V$8,DG$380))),)</f>
        <v>0</v>
      </c>
      <c r="DH397" s="271">
        <f>IF(AND(Tech_Specs!$F24="step",Standards_Active!$S25="yes"),IF(DH$380&lt;Standards_Active!$Q25,TREND(Perform_Active!$U25:$V25,Perform_Active!$U$8:$V$8,DH$380),IF(ISNUMBER(Standards_Active!$AA25),IF(AND(DH$380&gt;=Standards_Active!$Q25,DH$380&lt;Standards_Active!$R25),(Standards_Active!$AA25-INDEX($CJ397:$DI397,1,MATCH((Standards_Active!$Q25-1),$CJ$380:$DI$380,FALSE)))/(Standards_Active!$R25-(Standards_Active!$Q25-1))+DG397,Standards_Active!$AA25*((1+Standards_Active!$AC25)^(DH$380-Standards_Active!$R25))),TREND(Perform_Active!$U25:$V25,Perform_Active!$U$8:$V$8,DH$380))),)</f>
        <v>0</v>
      </c>
      <c r="DI397" s="271">
        <f>IF(AND(Tech_Specs!$F24="step",Standards_Active!$S25="yes"),IF(DI$380&lt;Standards_Active!$Q25,TREND(Perform_Active!$U25:$V25,Perform_Active!$U$8:$V$8,DI$380),IF(ISNUMBER(Standards_Active!$AA25),IF(AND(DI$380&gt;=Standards_Active!$Q25,DI$380&lt;Standards_Active!$R25),(Standards_Active!$AA25-INDEX($CJ397:$DI397,1,MATCH((Standards_Active!$Q25-1),$CJ$380:$DI$380,FALSE)))/(Standards_Active!$R25-(Standards_Active!$Q25-1))+DH397,Standards_Active!$AA25*((1+Standards_Active!$AC25)^(DI$380-Standards_Active!$R25))),TREND(Perform_Active!$U25:$V25,Perform_Active!$U$8:$V$8,DI$380))),)</f>
        <v>0</v>
      </c>
    </row>
    <row r="398" spans="1:113" s="322" customFormat="1" ht="12.75" x14ac:dyDescent="0.2">
      <c r="D398" s="550"/>
      <c r="E398" s="550"/>
      <c r="F398" s="550"/>
      <c r="G398" s="341"/>
      <c r="H398" s="341"/>
      <c r="I398" s="341"/>
      <c r="J398" s="341"/>
      <c r="K398" s="341"/>
      <c r="L398" s="341"/>
      <c r="M398" s="341"/>
      <c r="N398" s="341"/>
      <c r="O398" s="341"/>
      <c r="P398" s="341"/>
      <c r="Q398" s="341"/>
      <c r="R398" s="341"/>
      <c r="S398" s="341"/>
      <c r="T398" s="341"/>
      <c r="U398" s="341"/>
      <c r="V398" s="341"/>
      <c r="W398" s="341"/>
      <c r="X398" s="341"/>
      <c r="Y398" s="341"/>
      <c r="Z398" s="341"/>
      <c r="AA398" s="341"/>
      <c r="AB398" s="341"/>
      <c r="AC398" s="341"/>
      <c r="AD398" s="341"/>
      <c r="AE398" s="341"/>
      <c r="AF398" s="341"/>
      <c r="AG398" s="376"/>
      <c r="AH398" s="426"/>
      <c r="AI398" s="426"/>
      <c r="AJ398" s="426"/>
      <c r="AK398" s="426"/>
      <c r="AL398" s="426"/>
      <c r="AM398" s="426"/>
      <c r="AN398" s="426"/>
      <c r="AO398" s="426"/>
      <c r="AP398" s="426"/>
      <c r="AQ398" s="426"/>
      <c r="AR398" s="426"/>
      <c r="AS398" s="426"/>
      <c r="AT398" s="426"/>
      <c r="AU398" s="426"/>
      <c r="AV398" s="426"/>
      <c r="AW398" s="426"/>
      <c r="AX398" s="426"/>
      <c r="AY398" s="426"/>
      <c r="AZ398" s="426"/>
      <c r="BA398" s="426"/>
      <c r="BB398" s="426"/>
      <c r="BC398" s="426"/>
      <c r="BD398" s="426"/>
      <c r="BE398" s="426"/>
      <c r="BF398" s="426"/>
      <c r="BG398" s="426"/>
      <c r="BH398" s="376"/>
      <c r="BI398" s="426"/>
      <c r="BJ398" s="426"/>
      <c r="BK398" s="426"/>
      <c r="BL398" s="426"/>
      <c r="BM398" s="426"/>
      <c r="BN398" s="426"/>
      <c r="BO398" s="426"/>
      <c r="BP398" s="426"/>
      <c r="BQ398" s="426"/>
      <c r="BR398" s="426"/>
      <c r="BS398" s="426"/>
      <c r="BT398" s="426"/>
      <c r="BU398" s="426"/>
      <c r="BV398" s="426"/>
      <c r="BW398" s="426"/>
      <c r="BX398" s="426"/>
      <c r="BY398" s="426"/>
      <c r="BZ398" s="426"/>
      <c r="CA398" s="426"/>
      <c r="CB398" s="426"/>
      <c r="CC398" s="426"/>
      <c r="CD398" s="426"/>
      <c r="CE398" s="426"/>
      <c r="CF398" s="426"/>
      <c r="CG398" s="426"/>
      <c r="CH398" s="426"/>
      <c r="CI398" s="376"/>
      <c r="CJ398" s="426"/>
      <c r="CK398" s="426"/>
      <c r="CL398" s="426"/>
      <c r="CM398" s="426"/>
      <c r="CN398" s="426"/>
      <c r="CO398" s="426"/>
      <c r="CP398" s="426"/>
      <c r="CQ398" s="426"/>
      <c r="CR398" s="426"/>
      <c r="CS398" s="426"/>
      <c r="CT398" s="426"/>
      <c r="CU398" s="426"/>
      <c r="CV398" s="426"/>
      <c r="CW398" s="426"/>
      <c r="CX398" s="426"/>
      <c r="CY398" s="426"/>
      <c r="CZ398" s="426"/>
      <c r="DA398" s="426"/>
      <c r="DB398" s="426"/>
      <c r="DC398" s="426"/>
      <c r="DD398" s="426"/>
      <c r="DE398" s="426"/>
      <c r="DF398" s="426"/>
      <c r="DG398" s="426"/>
      <c r="DH398" s="426"/>
      <c r="DI398" s="426"/>
    </row>
    <row r="399" spans="1:113" s="322" customFormat="1" ht="12.75" x14ac:dyDescent="0.2">
      <c r="A399" s="325" t="s">
        <v>42</v>
      </c>
      <c r="B399" s="324"/>
      <c r="C399" s="324"/>
      <c r="D399" s="501"/>
      <c r="E399" s="501"/>
      <c r="F399" s="501"/>
      <c r="G399" s="320"/>
      <c r="H399" s="320"/>
      <c r="I399" s="320"/>
      <c r="J399" s="320"/>
      <c r="K399" s="320"/>
      <c r="L399" s="320"/>
      <c r="M399" s="320"/>
      <c r="N399" s="320"/>
      <c r="O399" s="320"/>
      <c r="P399" s="320"/>
      <c r="Q399" s="320"/>
      <c r="R399" s="320"/>
      <c r="S399" s="320"/>
      <c r="T399" s="320"/>
      <c r="U399" s="320"/>
      <c r="V399" s="320"/>
      <c r="W399" s="320"/>
      <c r="X399" s="320"/>
      <c r="Y399" s="320"/>
      <c r="Z399" s="320"/>
      <c r="AA399" s="320"/>
      <c r="AB399" s="320"/>
      <c r="AC399" s="320"/>
      <c r="AD399" s="320"/>
      <c r="AE399" s="320"/>
      <c r="AF399" s="320"/>
      <c r="AG399" s="376"/>
      <c r="AH399" s="320"/>
      <c r="AI399" s="320"/>
      <c r="AJ399" s="320"/>
      <c r="AK399" s="320"/>
      <c r="AL399" s="320"/>
      <c r="AM399" s="320"/>
      <c r="AN399" s="320"/>
      <c r="AO399" s="320"/>
      <c r="AP399" s="320"/>
      <c r="AQ399" s="320"/>
      <c r="AR399" s="320"/>
      <c r="AS399" s="320"/>
      <c r="AT399" s="320"/>
      <c r="AU399" s="320"/>
      <c r="AV399" s="320"/>
      <c r="AW399" s="320"/>
      <c r="AX399" s="320"/>
      <c r="AY399" s="320"/>
      <c r="AZ399" s="320"/>
      <c r="BA399" s="320"/>
      <c r="BB399" s="320"/>
      <c r="BC399" s="320"/>
      <c r="BD399" s="320"/>
      <c r="BE399" s="320"/>
      <c r="BF399" s="320"/>
      <c r="BG399" s="320"/>
      <c r="BH399" s="376"/>
      <c r="BI399" s="320"/>
      <c r="BJ399" s="320"/>
      <c r="BK399" s="320"/>
      <c r="BL399" s="320"/>
      <c r="BM399" s="320"/>
      <c r="BN399" s="320"/>
      <c r="BO399" s="320"/>
      <c r="BP399" s="320"/>
      <c r="BQ399" s="320"/>
      <c r="BR399" s="320"/>
      <c r="BS399" s="320"/>
      <c r="BT399" s="320"/>
      <c r="BU399" s="320"/>
      <c r="BV399" s="320"/>
      <c r="BW399" s="320"/>
      <c r="BX399" s="320"/>
      <c r="BY399" s="320"/>
      <c r="BZ399" s="320"/>
      <c r="CA399" s="320"/>
      <c r="CB399" s="320"/>
      <c r="CC399" s="320"/>
      <c r="CD399" s="320"/>
      <c r="CE399" s="320"/>
      <c r="CF399" s="320"/>
      <c r="CG399" s="320"/>
      <c r="CH399" s="320"/>
      <c r="CI399" s="376"/>
      <c r="CJ399" s="320"/>
      <c r="CK399" s="320"/>
      <c r="CL399" s="320"/>
      <c r="CM399" s="320"/>
      <c r="CN399" s="320"/>
      <c r="CO399" s="320"/>
      <c r="CP399" s="320"/>
      <c r="CQ399" s="320"/>
      <c r="CR399" s="320"/>
      <c r="CS399" s="320"/>
      <c r="CT399" s="320"/>
      <c r="CU399" s="320"/>
      <c r="CV399" s="320"/>
      <c r="CW399" s="320"/>
      <c r="CX399" s="320"/>
      <c r="CY399" s="320"/>
      <c r="CZ399" s="320"/>
      <c r="DA399" s="320"/>
      <c r="DB399" s="320"/>
      <c r="DC399" s="320"/>
      <c r="DD399" s="320"/>
      <c r="DE399" s="320"/>
      <c r="DF399" s="320"/>
      <c r="DG399" s="320"/>
      <c r="DH399" s="320"/>
      <c r="DI399" s="320"/>
    </row>
    <row r="400" spans="1:113" s="322" customFormat="1" ht="12.75" x14ac:dyDescent="0.2">
      <c r="B400" s="328" t="s">
        <v>43</v>
      </c>
      <c r="C400" s="328"/>
      <c r="D400" s="552"/>
      <c r="E400" s="552"/>
      <c r="F400" s="552"/>
      <c r="G400" s="272">
        <f t="shared" ref="G400:P403" si="75">SUM(AH400,BI400,CJ400)</f>
        <v>85</v>
      </c>
      <c r="H400" s="272">
        <f t="shared" si="75"/>
        <v>84.575000000000045</v>
      </c>
      <c r="I400" s="272">
        <f t="shared" si="75"/>
        <v>84.149999999999977</v>
      </c>
      <c r="J400" s="272">
        <f t="shared" si="75"/>
        <v>83.725000000000023</v>
      </c>
      <c r="K400" s="272">
        <f t="shared" si="75"/>
        <v>83.300000000000068</v>
      </c>
      <c r="L400" s="272">
        <f t="shared" si="75"/>
        <v>82.875</v>
      </c>
      <c r="M400" s="272">
        <f t="shared" si="75"/>
        <v>82.450000000000045</v>
      </c>
      <c r="N400" s="272">
        <f t="shared" si="75"/>
        <v>82.024999999999977</v>
      </c>
      <c r="O400" s="272">
        <f t="shared" si="75"/>
        <v>81.600000000000023</v>
      </c>
      <c r="P400" s="272">
        <f t="shared" si="75"/>
        <v>81.175000000000068</v>
      </c>
      <c r="Q400" s="272">
        <f t="shared" ref="Q400:Z403" si="76">SUM(AR400,BS400,CT400)</f>
        <v>80.75</v>
      </c>
      <c r="R400" s="272">
        <f t="shared" si="76"/>
        <v>80.325000000000045</v>
      </c>
      <c r="S400" s="272">
        <f t="shared" si="76"/>
        <v>79.899999999999977</v>
      </c>
      <c r="T400" s="272">
        <f t="shared" si="76"/>
        <v>79.475000000000023</v>
      </c>
      <c r="U400" s="272">
        <f t="shared" si="76"/>
        <v>79.050000000000068</v>
      </c>
      <c r="V400" s="272">
        <f t="shared" si="76"/>
        <v>78.625</v>
      </c>
      <c r="W400" s="272">
        <f t="shared" si="76"/>
        <v>78.200000000000045</v>
      </c>
      <c r="X400" s="272">
        <f t="shared" si="76"/>
        <v>77.774999999999977</v>
      </c>
      <c r="Y400" s="272">
        <f t="shared" si="76"/>
        <v>77.350000000000023</v>
      </c>
      <c r="Z400" s="272">
        <f t="shared" si="76"/>
        <v>76.925000000000068</v>
      </c>
      <c r="AA400" s="272">
        <f t="shared" ref="AA400:AF403" si="77">SUM(BB400,CC400,DD400)</f>
        <v>76.5</v>
      </c>
      <c r="AB400" s="272">
        <f t="shared" si="77"/>
        <v>76.075000000000045</v>
      </c>
      <c r="AC400" s="272">
        <f t="shared" si="77"/>
        <v>75.649999999999977</v>
      </c>
      <c r="AD400" s="272">
        <f t="shared" si="77"/>
        <v>75.225000000000023</v>
      </c>
      <c r="AE400" s="272">
        <f t="shared" si="77"/>
        <v>74.800000000000068</v>
      </c>
      <c r="AF400" s="272">
        <f t="shared" si="77"/>
        <v>74.375</v>
      </c>
      <c r="AG400" s="376"/>
      <c r="AH400" s="271">
        <f>IF(Tech_Specs!$F27="linear",TREND(Perform_Active!$U28:$V28,Perform_Active!$U$8:$V$8,AH$380),)</f>
        <v>0</v>
      </c>
      <c r="AI400" s="271">
        <f>IF(Tech_Specs!$F27="linear",TREND(Perform_Active!$U28:$V28,Perform_Active!$U$8:$V$8,AI$380),)</f>
        <v>0</v>
      </c>
      <c r="AJ400" s="271">
        <f>IF(Tech_Specs!$F27="linear",TREND(Perform_Active!$U28:$V28,Perform_Active!$U$8:$V$8,AJ$380),)</f>
        <v>0</v>
      </c>
      <c r="AK400" s="271">
        <f>IF(Tech_Specs!$F27="linear",TREND(Perform_Active!$U28:$V28,Perform_Active!$U$8:$V$8,AK$380),)</f>
        <v>0</v>
      </c>
      <c r="AL400" s="271">
        <f>IF(Tech_Specs!$F27="linear",TREND(Perform_Active!$U28:$V28,Perform_Active!$U$8:$V$8,AL$380),)</f>
        <v>0</v>
      </c>
      <c r="AM400" s="271">
        <f>IF(Tech_Specs!$F27="linear",TREND(Perform_Active!$U28:$V28,Perform_Active!$U$8:$V$8,AM$380),)</f>
        <v>0</v>
      </c>
      <c r="AN400" s="271">
        <f>IF(Tech_Specs!$F27="linear",TREND(Perform_Active!$U28:$V28,Perform_Active!$U$8:$V$8,AN$380),)</f>
        <v>0</v>
      </c>
      <c r="AO400" s="271">
        <f>IF(Tech_Specs!$F27="linear",TREND(Perform_Active!$U28:$V28,Perform_Active!$U$8:$V$8,AO$380),)</f>
        <v>0</v>
      </c>
      <c r="AP400" s="271">
        <f>IF(Tech_Specs!$F27="linear",TREND(Perform_Active!$U28:$V28,Perform_Active!$U$8:$V$8,AP$380),)</f>
        <v>0</v>
      </c>
      <c r="AQ400" s="271">
        <f>IF(Tech_Specs!$F27="linear",TREND(Perform_Active!$U28:$V28,Perform_Active!$U$8:$V$8,AQ$380),)</f>
        <v>0</v>
      </c>
      <c r="AR400" s="271">
        <f>IF(Tech_Specs!$F27="linear",TREND(Perform_Active!$U28:$V28,Perform_Active!$U$8:$V$8,AR$380),)</f>
        <v>0</v>
      </c>
      <c r="AS400" s="271">
        <f>IF(Tech_Specs!$F27="linear",TREND(Perform_Active!$U28:$V28,Perform_Active!$U$8:$V$8,AS$380),)</f>
        <v>0</v>
      </c>
      <c r="AT400" s="271">
        <f>IF(Tech_Specs!$F27="linear",TREND(Perform_Active!$U28:$V28,Perform_Active!$U$8:$V$8,AT$380),)</f>
        <v>0</v>
      </c>
      <c r="AU400" s="271">
        <f>IF(Tech_Specs!$F27="linear",TREND(Perform_Active!$U28:$V28,Perform_Active!$U$8:$V$8,AU$380),)</f>
        <v>0</v>
      </c>
      <c r="AV400" s="271">
        <f>IF(Tech_Specs!$F27="linear",TREND(Perform_Active!$U28:$V28,Perform_Active!$U$8:$V$8,AV$380),)</f>
        <v>0</v>
      </c>
      <c r="AW400" s="271">
        <f>IF(Tech_Specs!$F27="linear",TREND(Perform_Active!$U28:$V28,Perform_Active!$U$8:$V$8,AW$380),)</f>
        <v>0</v>
      </c>
      <c r="AX400" s="271">
        <f>IF(Tech_Specs!$F27="linear",TREND(Perform_Active!$U28:$V28,Perform_Active!$U$8:$V$8,AX$380),)</f>
        <v>0</v>
      </c>
      <c r="AY400" s="271">
        <f>IF(Tech_Specs!$F27="linear",TREND(Perform_Active!$U28:$V28,Perform_Active!$U$8:$V$8,AY$380),)</f>
        <v>0</v>
      </c>
      <c r="AZ400" s="271">
        <f>IF(Tech_Specs!$F27="linear",TREND(Perform_Active!$U28:$V28,Perform_Active!$U$8:$V$8,AZ$380),)</f>
        <v>0</v>
      </c>
      <c r="BA400" s="271">
        <f>IF(Tech_Specs!$F27="linear",TREND(Perform_Active!$U28:$V28,Perform_Active!$U$8:$V$8,BA$380),)</f>
        <v>0</v>
      </c>
      <c r="BB400" s="271">
        <f>IF(Tech_Specs!$F27="linear",TREND(Perform_Active!$U28:$V28,Perform_Active!$U$8:$V$8,BB$380),)</f>
        <v>0</v>
      </c>
      <c r="BC400" s="271">
        <f>IF(Tech_Specs!$F27="linear",TREND(Perform_Active!$U28:$V28,Perform_Active!$U$8:$V$8,BC$380),)</f>
        <v>0</v>
      </c>
      <c r="BD400" s="271">
        <f>IF(Tech_Specs!$F27="linear",TREND(Perform_Active!$U28:$V28,Perform_Active!$U$8:$V$8,BD$380),)</f>
        <v>0</v>
      </c>
      <c r="BE400" s="271">
        <f>IF(Tech_Specs!$F27="linear",TREND(Perform_Active!$U28:$V28,Perform_Active!$U$8:$V$8,BE$380),)</f>
        <v>0</v>
      </c>
      <c r="BF400" s="271">
        <f>IF(Tech_Specs!$F27="linear",TREND(Perform_Active!$U28:$V28,Perform_Active!$U$8:$V$8,BF$380),)</f>
        <v>0</v>
      </c>
      <c r="BG400" s="271">
        <f>IF(Tech_Specs!$F27="linear",TREND(Perform_Active!$U28:$V28,Perform_Active!$U$8:$V$8,BG$380),)</f>
        <v>0</v>
      </c>
      <c r="BH400" s="376"/>
      <c r="BI400" s="271">
        <f>IF(Tech_Specs!$F27="logistic",0,)</f>
        <v>0</v>
      </c>
      <c r="BJ400" s="271">
        <f>IF(Tech_Specs!$F27="logistic",0,)</f>
        <v>0</v>
      </c>
      <c r="BK400" s="271">
        <f>IF(Tech_Specs!$F27="logistic",0,)</f>
        <v>0</v>
      </c>
      <c r="BL400" s="271">
        <f>IF(Tech_Specs!$F27="logistic",0,)</f>
        <v>0</v>
      </c>
      <c r="BM400" s="271">
        <f>IF(Tech_Specs!$F27="logistic",0,)</f>
        <v>0</v>
      </c>
      <c r="BN400" s="271">
        <f>IF(Tech_Specs!$F27="logistic",0,)</f>
        <v>0</v>
      </c>
      <c r="BO400" s="271">
        <f>IF(Tech_Specs!$F27="logistic",0,)</f>
        <v>0</v>
      </c>
      <c r="BP400" s="271">
        <f>IF(Tech_Specs!$F27="logistic",0,)</f>
        <v>0</v>
      </c>
      <c r="BQ400" s="271">
        <f>IF(Tech_Specs!$F27="logistic",0,)</f>
        <v>0</v>
      </c>
      <c r="BR400" s="271">
        <f>IF(Tech_Specs!$F27="logistic",0,)</f>
        <v>0</v>
      </c>
      <c r="BS400" s="271">
        <f>IF(Tech_Specs!$F27="logistic",0,)</f>
        <v>0</v>
      </c>
      <c r="BT400" s="271">
        <f>IF(Tech_Specs!$F27="logistic",0,)</f>
        <v>0</v>
      </c>
      <c r="BU400" s="271">
        <f>IF(Tech_Specs!$F27="logistic",0,)</f>
        <v>0</v>
      </c>
      <c r="BV400" s="271">
        <f>IF(Tech_Specs!$F27="logistic",0,)</f>
        <v>0</v>
      </c>
      <c r="BW400" s="271">
        <f>IF(Tech_Specs!$F27="logistic",0,)</f>
        <v>0</v>
      </c>
      <c r="BX400" s="271">
        <f>IF(Tech_Specs!$F27="logistic",0,)</f>
        <v>0</v>
      </c>
      <c r="BY400" s="271">
        <f>IF(Tech_Specs!$F27="logistic",0,)</f>
        <v>0</v>
      </c>
      <c r="BZ400" s="271">
        <f>IF(Tech_Specs!$F27="logistic",0,)</f>
        <v>0</v>
      </c>
      <c r="CA400" s="271">
        <f>IF(Tech_Specs!$F27="logistic",0,)</f>
        <v>0</v>
      </c>
      <c r="CB400" s="271">
        <f>IF(Tech_Specs!$F27="logistic",0,)</f>
        <v>0</v>
      </c>
      <c r="CC400" s="271">
        <f>IF(Tech_Specs!$F27="logistic",0,)</f>
        <v>0</v>
      </c>
      <c r="CD400" s="271">
        <f>IF(Tech_Specs!$F27="logistic",0,)</f>
        <v>0</v>
      </c>
      <c r="CE400" s="271">
        <f>IF(Tech_Specs!$F27="logistic",0,)</f>
        <v>0</v>
      </c>
      <c r="CF400" s="271">
        <f>IF(Tech_Specs!$F27="logistic",0,)</f>
        <v>0</v>
      </c>
      <c r="CG400" s="271">
        <f>IF(Tech_Specs!$F27="logistic",0,)</f>
        <v>0</v>
      </c>
      <c r="CH400" s="271">
        <f>IF(Tech_Specs!$F27="logistic",0,)</f>
        <v>0</v>
      </c>
      <c r="CI400" s="376"/>
      <c r="CJ400" s="271">
        <f>IF(AND(Tech_Specs!$F27="step",Standards_Active!$S28="yes"),IF(CJ$380&lt;Standards_Active!$Q28,TREND(Perform_Active!$U28:$V28,Perform_Active!$U$8:$V$8,CJ$380),IF(ISNUMBER(Standards_Active!$AA28),IF(AND(CJ$380&gt;=Standards_Active!$Q28,CJ$380&lt;Standards_Active!$R28),(Standards_Active!$AA28-INDEX($CJ400:$DI400,1,MATCH((Standards_Active!$Q28-1),$CJ$380:$DI$380,FALSE)))/(Standards_Active!$R28-(Standards_Active!$Q28-1))+CI400,Standards_Active!$AA28*((1+Standards_Active!$AC28)^(CJ$380-Standards_Active!$R28))),TREND(Perform_Active!$U28:$V28,Perform_Active!$U$8:$V$8,CJ$380))),)</f>
        <v>85</v>
      </c>
      <c r="CK400" s="271">
        <f>IF(AND(Tech_Specs!$F27="step",Standards_Active!$S28="yes"),IF(CK$380&lt;Standards_Active!$Q28,TREND(Perform_Active!$U28:$V28,Perform_Active!$U$8:$V$8,CK$380),IF(ISNUMBER(Standards_Active!$AA28),IF(AND(CK$380&gt;=Standards_Active!$Q28,CK$380&lt;Standards_Active!$R28),(Standards_Active!$AA28-INDEX($CJ400:$DI400,1,MATCH((Standards_Active!$Q28-1),$CJ$380:$DI$380,FALSE)))/(Standards_Active!$R28-(Standards_Active!$Q28-1))+CJ400,Standards_Active!$AA28*((1+Standards_Active!$AC28)^(CK$380-Standards_Active!$R28))),TREND(Perform_Active!$U28:$V28,Perform_Active!$U$8:$V$8,CK$380))),)</f>
        <v>84.575000000000045</v>
      </c>
      <c r="CL400" s="271">
        <f>IF(AND(Tech_Specs!$F27="step",Standards_Active!$S28="yes"),IF(CL$380&lt;Standards_Active!$Q28,TREND(Perform_Active!$U28:$V28,Perform_Active!$U$8:$V$8,CL$380),IF(ISNUMBER(Standards_Active!$AA28),IF(AND(CL$380&gt;=Standards_Active!$Q28,CL$380&lt;Standards_Active!$R28),(Standards_Active!$AA28-INDEX($CJ400:$DI400,1,MATCH((Standards_Active!$Q28-1),$CJ$380:$DI$380,FALSE)))/(Standards_Active!$R28-(Standards_Active!$Q28-1))+CK400,Standards_Active!$AA28*((1+Standards_Active!$AC28)^(CL$380-Standards_Active!$R28))),TREND(Perform_Active!$U28:$V28,Perform_Active!$U$8:$V$8,CL$380))),)</f>
        <v>84.149999999999977</v>
      </c>
      <c r="CM400" s="271">
        <f>IF(AND(Tech_Specs!$F27="step",Standards_Active!$S28="yes"),IF(CM$380&lt;Standards_Active!$Q28,TREND(Perform_Active!$U28:$V28,Perform_Active!$U$8:$V$8,CM$380),IF(ISNUMBER(Standards_Active!$AA28),IF(AND(CM$380&gt;=Standards_Active!$Q28,CM$380&lt;Standards_Active!$R28),(Standards_Active!$AA28-INDEX($CJ400:$DI400,1,MATCH((Standards_Active!$Q28-1),$CJ$380:$DI$380,FALSE)))/(Standards_Active!$R28-(Standards_Active!$Q28-1))+CL400,Standards_Active!$AA28*((1+Standards_Active!$AC28)^(CM$380-Standards_Active!$R28))),TREND(Perform_Active!$U28:$V28,Perform_Active!$U$8:$V$8,CM$380))),)</f>
        <v>83.725000000000023</v>
      </c>
      <c r="CN400" s="271">
        <f>IF(AND(Tech_Specs!$F27="step",Standards_Active!$S28="yes"),IF(CN$380&lt;Standards_Active!$Q28,TREND(Perform_Active!$U28:$V28,Perform_Active!$U$8:$V$8,CN$380),IF(ISNUMBER(Standards_Active!$AA28),IF(AND(CN$380&gt;=Standards_Active!$Q28,CN$380&lt;Standards_Active!$R28),(Standards_Active!$AA28-INDEX($CJ400:$DI400,1,MATCH((Standards_Active!$Q28-1),$CJ$380:$DI$380,FALSE)))/(Standards_Active!$R28-(Standards_Active!$Q28-1))+CM400,Standards_Active!$AA28*((1+Standards_Active!$AC28)^(CN$380-Standards_Active!$R28))),TREND(Perform_Active!$U28:$V28,Perform_Active!$U$8:$V$8,CN$380))),)</f>
        <v>83.300000000000068</v>
      </c>
      <c r="CO400" s="271">
        <f>IF(AND(Tech_Specs!$F27="step",Standards_Active!$S28="yes"),IF(CO$380&lt;Standards_Active!$Q28,TREND(Perform_Active!$U28:$V28,Perform_Active!$U$8:$V$8,CO$380),IF(ISNUMBER(Standards_Active!$AA28),IF(AND(CO$380&gt;=Standards_Active!$Q28,CO$380&lt;Standards_Active!$R28),(Standards_Active!$AA28-INDEX($CJ400:$DI400,1,MATCH((Standards_Active!$Q28-1),$CJ$380:$DI$380,FALSE)))/(Standards_Active!$R28-(Standards_Active!$Q28-1))+CN400,Standards_Active!$AA28*((1+Standards_Active!$AC28)^(CO$380-Standards_Active!$R28))),TREND(Perform_Active!$U28:$V28,Perform_Active!$U$8:$V$8,CO$380))),)</f>
        <v>82.875</v>
      </c>
      <c r="CP400" s="271">
        <f>IF(AND(Tech_Specs!$F27="step",Standards_Active!$S28="yes"),IF(CP$380&lt;Standards_Active!$Q28,TREND(Perform_Active!$U28:$V28,Perform_Active!$U$8:$V$8,CP$380),IF(ISNUMBER(Standards_Active!$AA28),IF(AND(CP$380&gt;=Standards_Active!$Q28,CP$380&lt;Standards_Active!$R28),(Standards_Active!$AA28-INDEX($CJ400:$DI400,1,MATCH((Standards_Active!$Q28-1),$CJ$380:$DI$380,FALSE)))/(Standards_Active!$R28-(Standards_Active!$Q28-1))+CO400,Standards_Active!$AA28*((1+Standards_Active!$AC28)^(CP$380-Standards_Active!$R28))),TREND(Perform_Active!$U28:$V28,Perform_Active!$U$8:$V$8,CP$380))),)</f>
        <v>82.450000000000045</v>
      </c>
      <c r="CQ400" s="271">
        <f>IF(AND(Tech_Specs!$F27="step",Standards_Active!$S28="yes"),IF(CQ$380&lt;Standards_Active!$Q28,TREND(Perform_Active!$U28:$V28,Perform_Active!$U$8:$V$8,CQ$380),IF(ISNUMBER(Standards_Active!$AA28),IF(AND(CQ$380&gt;=Standards_Active!$Q28,CQ$380&lt;Standards_Active!$R28),(Standards_Active!$AA28-INDEX($CJ400:$DI400,1,MATCH((Standards_Active!$Q28-1),$CJ$380:$DI$380,FALSE)))/(Standards_Active!$R28-(Standards_Active!$Q28-1))+CP400,Standards_Active!$AA28*((1+Standards_Active!$AC28)^(CQ$380-Standards_Active!$R28))),TREND(Perform_Active!$U28:$V28,Perform_Active!$U$8:$V$8,CQ$380))),)</f>
        <v>82.024999999999977</v>
      </c>
      <c r="CR400" s="271">
        <f>IF(AND(Tech_Specs!$F27="step",Standards_Active!$S28="yes"),IF(CR$380&lt;Standards_Active!$Q28,TREND(Perform_Active!$U28:$V28,Perform_Active!$U$8:$V$8,CR$380),IF(ISNUMBER(Standards_Active!$AA28),IF(AND(CR$380&gt;=Standards_Active!$Q28,CR$380&lt;Standards_Active!$R28),(Standards_Active!$AA28-INDEX($CJ400:$DI400,1,MATCH((Standards_Active!$Q28-1),$CJ$380:$DI$380,FALSE)))/(Standards_Active!$R28-(Standards_Active!$Q28-1))+CQ400,Standards_Active!$AA28*((1+Standards_Active!$AC28)^(CR$380-Standards_Active!$R28))),TREND(Perform_Active!$U28:$V28,Perform_Active!$U$8:$V$8,CR$380))),)</f>
        <v>81.600000000000023</v>
      </c>
      <c r="CS400" s="271">
        <f>IF(AND(Tech_Specs!$F27="step",Standards_Active!$S28="yes"),IF(CS$380&lt;Standards_Active!$Q28,TREND(Perform_Active!$U28:$V28,Perform_Active!$U$8:$V$8,CS$380),IF(ISNUMBER(Standards_Active!$AA28),IF(AND(CS$380&gt;=Standards_Active!$Q28,CS$380&lt;Standards_Active!$R28),(Standards_Active!$AA28-INDEX($CJ400:$DI400,1,MATCH((Standards_Active!$Q28-1),$CJ$380:$DI$380,FALSE)))/(Standards_Active!$R28-(Standards_Active!$Q28-1))+CR400,Standards_Active!$AA28*((1+Standards_Active!$AC28)^(CS$380-Standards_Active!$R28))),TREND(Perform_Active!$U28:$V28,Perform_Active!$U$8:$V$8,CS$380))),)</f>
        <v>81.175000000000068</v>
      </c>
      <c r="CT400" s="271">
        <f>IF(AND(Tech_Specs!$F27="step",Standards_Active!$S28="yes"),IF(CT$380&lt;Standards_Active!$Q28,TREND(Perform_Active!$U28:$V28,Perform_Active!$U$8:$V$8,CT$380),IF(ISNUMBER(Standards_Active!$AA28),IF(AND(CT$380&gt;=Standards_Active!$Q28,CT$380&lt;Standards_Active!$R28),(Standards_Active!$AA28-INDEX($CJ400:$DI400,1,MATCH((Standards_Active!$Q28-1),$CJ$380:$DI$380,FALSE)))/(Standards_Active!$R28-(Standards_Active!$Q28-1))+CS400,Standards_Active!$AA28*((1+Standards_Active!$AC28)^(CT$380-Standards_Active!$R28))),TREND(Perform_Active!$U28:$V28,Perform_Active!$U$8:$V$8,CT$380))),)</f>
        <v>80.75</v>
      </c>
      <c r="CU400" s="271">
        <f>IF(AND(Tech_Specs!$F27="step",Standards_Active!$S28="yes"),IF(CU$380&lt;Standards_Active!$Q28,TREND(Perform_Active!$U28:$V28,Perform_Active!$U$8:$V$8,CU$380),IF(ISNUMBER(Standards_Active!$AA28),IF(AND(CU$380&gt;=Standards_Active!$Q28,CU$380&lt;Standards_Active!$R28),(Standards_Active!$AA28-INDEX($CJ400:$DI400,1,MATCH((Standards_Active!$Q28-1),$CJ$380:$DI$380,FALSE)))/(Standards_Active!$R28-(Standards_Active!$Q28-1))+CT400,Standards_Active!$AA28*((1+Standards_Active!$AC28)^(CU$380-Standards_Active!$R28))),TREND(Perform_Active!$U28:$V28,Perform_Active!$U$8:$V$8,CU$380))),)</f>
        <v>80.325000000000045</v>
      </c>
      <c r="CV400" s="271">
        <f>IF(AND(Tech_Specs!$F27="step",Standards_Active!$S28="yes"),IF(CV$380&lt;Standards_Active!$Q28,TREND(Perform_Active!$U28:$V28,Perform_Active!$U$8:$V$8,CV$380),IF(ISNUMBER(Standards_Active!$AA28),IF(AND(CV$380&gt;=Standards_Active!$Q28,CV$380&lt;Standards_Active!$R28),(Standards_Active!$AA28-INDEX($CJ400:$DI400,1,MATCH((Standards_Active!$Q28-1),$CJ$380:$DI$380,FALSE)))/(Standards_Active!$R28-(Standards_Active!$Q28-1))+CU400,Standards_Active!$AA28*((1+Standards_Active!$AC28)^(CV$380-Standards_Active!$R28))),TREND(Perform_Active!$U28:$V28,Perform_Active!$U$8:$V$8,CV$380))),)</f>
        <v>79.899999999999977</v>
      </c>
      <c r="CW400" s="271">
        <f>IF(AND(Tech_Specs!$F27="step",Standards_Active!$S28="yes"),IF(CW$380&lt;Standards_Active!$Q28,TREND(Perform_Active!$U28:$V28,Perform_Active!$U$8:$V$8,CW$380),IF(ISNUMBER(Standards_Active!$AA28),IF(AND(CW$380&gt;=Standards_Active!$Q28,CW$380&lt;Standards_Active!$R28),(Standards_Active!$AA28-INDEX($CJ400:$DI400,1,MATCH((Standards_Active!$Q28-1),$CJ$380:$DI$380,FALSE)))/(Standards_Active!$R28-(Standards_Active!$Q28-1))+CV400,Standards_Active!$AA28*((1+Standards_Active!$AC28)^(CW$380-Standards_Active!$R28))),TREND(Perform_Active!$U28:$V28,Perform_Active!$U$8:$V$8,CW$380))),)</f>
        <v>79.475000000000023</v>
      </c>
      <c r="CX400" s="271">
        <f>IF(AND(Tech_Specs!$F27="step",Standards_Active!$S28="yes"),IF(CX$380&lt;Standards_Active!$Q28,TREND(Perform_Active!$U28:$V28,Perform_Active!$U$8:$V$8,CX$380),IF(ISNUMBER(Standards_Active!$AA28),IF(AND(CX$380&gt;=Standards_Active!$Q28,CX$380&lt;Standards_Active!$R28),(Standards_Active!$AA28-INDEX($CJ400:$DI400,1,MATCH((Standards_Active!$Q28-1),$CJ$380:$DI$380,FALSE)))/(Standards_Active!$R28-(Standards_Active!$Q28-1))+CW400,Standards_Active!$AA28*((1+Standards_Active!$AC28)^(CX$380-Standards_Active!$R28))),TREND(Perform_Active!$U28:$V28,Perform_Active!$U$8:$V$8,CX$380))),)</f>
        <v>79.050000000000068</v>
      </c>
      <c r="CY400" s="271">
        <f>IF(AND(Tech_Specs!$F27="step",Standards_Active!$S28="yes"),IF(CY$380&lt;Standards_Active!$Q28,TREND(Perform_Active!$U28:$V28,Perform_Active!$U$8:$V$8,CY$380),IF(ISNUMBER(Standards_Active!$AA28),IF(AND(CY$380&gt;=Standards_Active!$Q28,CY$380&lt;Standards_Active!$R28),(Standards_Active!$AA28-INDEX($CJ400:$DI400,1,MATCH((Standards_Active!$Q28-1),$CJ$380:$DI$380,FALSE)))/(Standards_Active!$R28-(Standards_Active!$Q28-1))+CX400,Standards_Active!$AA28*((1+Standards_Active!$AC28)^(CY$380-Standards_Active!$R28))),TREND(Perform_Active!$U28:$V28,Perform_Active!$U$8:$V$8,CY$380))),)</f>
        <v>78.625</v>
      </c>
      <c r="CZ400" s="271">
        <f>IF(AND(Tech_Specs!$F27="step",Standards_Active!$S28="yes"),IF(CZ$380&lt;Standards_Active!$Q28,TREND(Perform_Active!$U28:$V28,Perform_Active!$U$8:$V$8,CZ$380),IF(ISNUMBER(Standards_Active!$AA28),IF(AND(CZ$380&gt;=Standards_Active!$Q28,CZ$380&lt;Standards_Active!$R28),(Standards_Active!$AA28-INDEX($CJ400:$DI400,1,MATCH((Standards_Active!$Q28-1),$CJ$380:$DI$380,FALSE)))/(Standards_Active!$R28-(Standards_Active!$Q28-1))+CY400,Standards_Active!$AA28*((1+Standards_Active!$AC28)^(CZ$380-Standards_Active!$R28))),TREND(Perform_Active!$U28:$V28,Perform_Active!$U$8:$V$8,CZ$380))),)</f>
        <v>78.200000000000045</v>
      </c>
      <c r="DA400" s="271">
        <f>IF(AND(Tech_Specs!$F27="step",Standards_Active!$S28="yes"),IF(DA$380&lt;Standards_Active!$Q28,TREND(Perform_Active!$U28:$V28,Perform_Active!$U$8:$V$8,DA$380),IF(ISNUMBER(Standards_Active!$AA28),IF(AND(DA$380&gt;=Standards_Active!$Q28,DA$380&lt;Standards_Active!$R28),(Standards_Active!$AA28-INDEX($CJ400:$DI400,1,MATCH((Standards_Active!$Q28-1),$CJ$380:$DI$380,FALSE)))/(Standards_Active!$R28-(Standards_Active!$Q28-1))+CZ400,Standards_Active!$AA28*((1+Standards_Active!$AC28)^(DA$380-Standards_Active!$R28))),TREND(Perform_Active!$U28:$V28,Perform_Active!$U$8:$V$8,DA$380))),)</f>
        <v>77.774999999999977</v>
      </c>
      <c r="DB400" s="271">
        <f>IF(AND(Tech_Specs!$F27="step",Standards_Active!$S28="yes"),IF(DB$380&lt;Standards_Active!$Q28,TREND(Perform_Active!$U28:$V28,Perform_Active!$U$8:$V$8,DB$380),IF(ISNUMBER(Standards_Active!$AA28),IF(AND(DB$380&gt;=Standards_Active!$Q28,DB$380&lt;Standards_Active!$R28),(Standards_Active!$AA28-INDEX($CJ400:$DI400,1,MATCH((Standards_Active!$Q28-1),$CJ$380:$DI$380,FALSE)))/(Standards_Active!$R28-(Standards_Active!$Q28-1))+DA400,Standards_Active!$AA28*((1+Standards_Active!$AC28)^(DB$380-Standards_Active!$R28))),TREND(Perform_Active!$U28:$V28,Perform_Active!$U$8:$V$8,DB$380))),)</f>
        <v>77.350000000000023</v>
      </c>
      <c r="DC400" s="271">
        <f>IF(AND(Tech_Specs!$F27="step",Standards_Active!$S28="yes"),IF(DC$380&lt;Standards_Active!$Q28,TREND(Perform_Active!$U28:$V28,Perform_Active!$U$8:$V$8,DC$380),IF(ISNUMBER(Standards_Active!$AA28),IF(AND(DC$380&gt;=Standards_Active!$Q28,DC$380&lt;Standards_Active!$R28),(Standards_Active!$AA28-INDEX($CJ400:$DI400,1,MATCH((Standards_Active!$Q28-1),$CJ$380:$DI$380,FALSE)))/(Standards_Active!$R28-(Standards_Active!$Q28-1))+DB400,Standards_Active!$AA28*((1+Standards_Active!$AC28)^(DC$380-Standards_Active!$R28))),TREND(Perform_Active!$U28:$V28,Perform_Active!$U$8:$V$8,DC$380))),)</f>
        <v>76.925000000000068</v>
      </c>
      <c r="DD400" s="271">
        <f>IF(AND(Tech_Specs!$F27="step",Standards_Active!$S28="yes"),IF(DD$380&lt;Standards_Active!$Q28,TREND(Perform_Active!$U28:$V28,Perform_Active!$U$8:$V$8,DD$380),IF(ISNUMBER(Standards_Active!$AA28),IF(AND(DD$380&gt;=Standards_Active!$Q28,DD$380&lt;Standards_Active!$R28),(Standards_Active!$AA28-INDEX($CJ400:$DI400,1,MATCH((Standards_Active!$Q28-1),$CJ$380:$DI$380,FALSE)))/(Standards_Active!$R28-(Standards_Active!$Q28-1))+DC400,Standards_Active!$AA28*((1+Standards_Active!$AC28)^(DD$380-Standards_Active!$R28))),TREND(Perform_Active!$U28:$V28,Perform_Active!$U$8:$V$8,DD$380))),)</f>
        <v>76.5</v>
      </c>
      <c r="DE400" s="271">
        <f>IF(AND(Tech_Specs!$F27="step",Standards_Active!$S28="yes"),IF(DE$380&lt;Standards_Active!$Q28,TREND(Perform_Active!$U28:$V28,Perform_Active!$U$8:$V$8,DE$380),IF(ISNUMBER(Standards_Active!$AA28),IF(AND(DE$380&gt;=Standards_Active!$Q28,DE$380&lt;Standards_Active!$R28),(Standards_Active!$AA28-INDEX($CJ400:$DI400,1,MATCH((Standards_Active!$Q28-1),$CJ$380:$DI$380,FALSE)))/(Standards_Active!$R28-(Standards_Active!$Q28-1))+DD400,Standards_Active!$AA28*((1+Standards_Active!$AC28)^(DE$380-Standards_Active!$R28))),TREND(Perform_Active!$U28:$V28,Perform_Active!$U$8:$V$8,DE$380))),)</f>
        <v>76.075000000000045</v>
      </c>
      <c r="DF400" s="271">
        <f>IF(AND(Tech_Specs!$F27="step",Standards_Active!$S28="yes"),IF(DF$380&lt;Standards_Active!$Q28,TREND(Perform_Active!$U28:$V28,Perform_Active!$U$8:$V$8,DF$380),IF(ISNUMBER(Standards_Active!$AA28),IF(AND(DF$380&gt;=Standards_Active!$Q28,DF$380&lt;Standards_Active!$R28),(Standards_Active!$AA28-INDEX($CJ400:$DI400,1,MATCH((Standards_Active!$Q28-1),$CJ$380:$DI$380,FALSE)))/(Standards_Active!$R28-(Standards_Active!$Q28-1))+DE400,Standards_Active!$AA28*((1+Standards_Active!$AC28)^(DF$380-Standards_Active!$R28))),TREND(Perform_Active!$U28:$V28,Perform_Active!$U$8:$V$8,DF$380))),)</f>
        <v>75.649999999999977</v>
      </c>
      <c r="DG400" s="271">
        <f>IF(AND(Tech_Specs!$F27="step",Standards_Active!$S28="yes"),IF(DG$380&lt;Standards_Active!$Q28,TREND(Perform_Active!$U28:$V28,Perform_Active!$U$8:$V$8,DG$380),IF(ISNUMBER(Standards_Active!$AA28),IF(AND(DG$380&gt;=Standards_Active!$Q28,DG$380&lt;Standards_Active!$R28),(Standards_Active!$AA28-INDEX($CJ400:$DI400,1,MATCH((Standards_Active!$Q28-1),$CJ$380:$DI$380,FALSE)))/(Standards_Active!$R28-(Standards_Active!$Q28-1))+DF400,Standards_Active!$AA28*((1+Standards_Active!$AC28)^(DG$380-Standards_Active!$R28))),TREND(Perform_Active!$U28:$V28,Perform_Active!$U$8:$V$8,DG$380))),)</f>
        <v>75.225000000000023</v>
      </c>
      <c r="DH400" s="271">
        <f>IF(AND(Tech_Specs!$F27="step",Standards_Active!$S28="yes"),IF(DH$380&lt;Standards_Active!$Q28,TREND(Perform_Active!$U28:$V28,Perform_Active!$U$8:$V$8,DH$380),IF(ISNUMBER(Standards_Active!$AA28),IF(AND(DH$380&gt;=Standards_Active!$Q28,DH$380&lt;Standards_Active!$R28),(Standards_Active!$AA28-INDEX($CJ400:$DI400,1,MATCH((Standards_Active!$Q28-1),$CJ$380:$DI$380,FALSE)))/(Standards_Active!$R28-(Standards_Active!$Q28-1))+DG400,Standards_Active!$AA28*((1+Standards_Active!$AC28)^(DH$380-Standards_Active!$R28))),TREND(Perform_Active!$U28:$V28,Perform_Active!$U$8:$V$8,DH$380))),)</f>
        <v>74.800000000000068</v>
      </c>
      <c r="DI400" s="271">
        <f>IF(AND(Tech_Specs!$F27="step",Standards_Active!$S28="yes"),IF(DI$380&lt;Standards_Active!$Q28,TREND(Perform_Active!$U28:$V28,Perform_Active!$U$8:$V$8,DI$380),IF(ISNUMBER(Standards_Active!$AA28),IF(AND(DI$380&gt;=Standards_Active!$Q28,DI$380&lt;Standards_Active!$R28),(Standards_Active!$AA28-INDEX($CJ400:$DI400,1,MATCH((Standards_Active!$Q28-1),$CJ$380:$DI$380,FALSE)))/(Standards_Active!$R28-(Standards_Active!$Q28-1))+DH400,Standards_Active!$AA28*((1+Standards_Active!$AC28)^(DI$380-Standards_Active!$R28))),TREND(Perform_Active!$U28:$V28,Perform_Active!$U$8:$V$8,DI$380))),)</f>
        <v>74.375</v>
      </c>
    </row>
    <row r="401" spans="1:113" s="322" customFormat="1" ht="12.75" x14ac:dyDescent="0.2">
      <c r="B401" s="328" t="s">
        <v>44</v>
      </c>
      <c r="D401" s="550"/>
      <c r="E401" s="550"/>
      <c r="F401" s="550"/>
      <c r="G401" s="272">
        <f t="shared" si="75"/>
        <v>95</v>
      </c>
      <c r="H401" s="272">
        <f t="shared" si="75"/>
        <v>94.525000000000091</v>
      </c>
      <c r="I401" s="272">
        <f t="shared" si="75"/>
        <v>94.050000000000068</v>
      </c>
      <c r="J401" s="272">
        <f t="shared" si="75"/>
        <v>93.575000000000045</v>
      </c>
      <c r="K401" s="272">
        <f t="shared" si="75"/>
        <v>93.100000000000023</v>
      </c>
      <c r="L401" s="272">
        <f t="shared" si="75"/>
        <v>92.625</v>
      </c>
      <c r="M401" s="272">
        <f t="shared" si="75"/>
        <v>92.150000000000091</v>
      </c>
      <c r="N401" s="272">
        <f t="shared" si="75"/>
        <v>91.675000000000068</v>
      </c>
      <c r="O401" s="272">
        <f t="shared" si="75"/>
        <v>91.200000000000045</v>
      </c>
      <c r="P401" s="272">
        <f t="shared" si="75"/>
        <v>90.725000000000023</v>
      </c>
      <c r="Q401" s="272">
        <f t="shared" si="76"/>
        <v>90.25</v>
      </c>
      <c r="R401" s="272">
        <f t="shared" si="76"/>
        <v>89.775000000000091</v>
      </c>
      <c r="S401" s="272">
        <f t="shared" si="76"/>
        <v>89.300000000000068</v>
      </c>
      <c r="T401" s="272">
        <f t="shared" si="76"/>
        <v>88.825000000000045</v>
      </c>
      <c r="U401" s="272">
        <f t="shared" si="76"/>
        <v>88.350000000000023</v>
      </c>
      <c r="V401" s="272">
        <f t="shared" si="76"/>
        <v>87.875</v>
      </c>
      <c r="W401" s="272">
        <f t="shared" si="76"/>
        <v>87.400000000000091</v>
      </c>
      <c r="X401" s="272">
        <f t="shared" si="76"/>
        <v>86.925000000000068</v>
      </c>
      <c r="Y401" s="272">
        <f t="shared" si="76"/>
        <v>86.450000000000045</v>
      </c>
      <c r="Z401" s="272">
        <f t="shared" si="76"/>
        <v>85.975000000000023</v>
      </c>
      <c r="AA401" s="272">
        <f t="shared" si="77"/>
        <v>85.5</v>
      </c>
      <c r="AB401" s="272">
        <f t="shared" si="77"/>
        <v>85.025000000000091</v>
      </c>
      <c r="AC401" s="272">
        <f t="shared" si="77"/>
        <v>84.550000000000068</v>
      </c>
      <c r="AD401" s="272">
        <f t="shared" si="77"/>
        <v>84.075000000000045</v>
      </c>
      <c r="AE401" s="272">
        <f t="shared" si="77"/>
        <v>83.600000000000023</v>
      </c>
      <c r="AF401" s="272">
        <f t="shared" si="77"/>
        <v>83.125</v>
      </c>
      <c r="AG401" s="376"/>
      <c r="AH401" s="271">
        <f>IF(Tech_Specs!$F28="linear",TREND(Perform_Active!$U29:$V29,Perform_Active!$U$8:$V$8,AH$380),)</f>
        <v>95</v>
      </c>
      <c r="AI401" s="271">
        <f>IF(Tech_Specs!$F28="linear",TREND(Perform_Active!$U29:$V29,Perform_Active!$U$8:$V$8,AI$380),)</f>
        <v>94.525000000000091</v>
      </c>
      <c r="AJ401" s="271">
        <f>IF(Tech_Specs!$F28="linear",TREND(Perform_Active!$U29:$V29,Perform_Active!$U$8:$V$8,AJ$380),)</f>
        <v>94.050000000000068</v>
      </c>
      <c r="AK401" s="271">
        <f>IF(Tech_Specs!$F28="linear",TREND(Perform_Active!$U29:$V29,Perform_Active!$U$8:$V$8,AK$380),)</f>
        <v>93.575000000000045</v>
      </c>
      <c r="AL401" s="271">
        <f>IF(Tech_Specs!$F28="linear",TREND(Perform_Active!$U29:$V29,Perform_Active!$U$8:$V$8,AL$380),)</f>
        <v>93.100000000000023</v>
      </c>
      <c r="AM401" s="271">
        <f>IF(Tech_Specs!$F28="linear",TREND(Perform_Active!$U29:$V29,Perform_Active!$U$8:$V$8,AM$380),)</f>
        <v>92.625</v>
      </c>
      <c r="AN401" s="271">
        <f>IF(Tech_Specs!$F28="linear",TREND(Perform_Active!$U29:$V29,Perform_Active!$U$8:$V$8,AN$380),)</f>
        <v>92.150000000000091</v>
      </c>
      <c r="AO401" s="271">
        <f>IF(Tech_Specs!$F28="linear",TREND(Perform_Active!$U29:$V29,Perform_Active!$U$8:$V$8,AO$380),)</f>
        <v>91.675000000000068</v>
      </c>
      <c r="AP401" s="271">
        <f>IF(Tech_Specs!$F28="linear",TREND(Perform_Active!$U29:$V29,Perform_Active!$U$8:$V$8,AP$380),)</f>
        <v>91.200000000000045</v>
      </c>
      <c r="AQ401" s="271">
        <f>IF(Tech_Specs!$F28="linear",TREND(Perform_Active!$U29:$V29,Perform_Active!$U$8:$V$8,AQ$380),)</f>
        <v>90.725000000000023</v>
      </c>
      <c r="AR401" s="271">
        <f>IF(Tech_Specs!$F28="linear",TREND(Perform_Active!$U29:$V29,Perform_Active!$U$8:$V$8,AR$380),)</f>
        <v>90.25</v>
      </c>
      <c r="AS401" s="271">
        <f>IF(Tech_Specs!$F28="linear",TREND(Perform_Active!$U29:$V29,Perform_Active!$U$8:$V$8,AS$380),)</f>
        <v>89.775000000000091</v>
      </c>
      <c r="AT401" s="271">
        <f>IF(Tech_Specs!$F28="linear",TREND(Perform_Active!$U29:$V29,Perform_Active!$U$8:$V$8,AT$380),)</f>
        <v>89.300000000000068</v>
      </c>
      <c r="AU401" s="271">
        <f>IF(Tech_Specs!$F28="linear",TREND(Perform_Active!$U29:$V29,Perform_Active!$U$8:$V$8,AU$380),)</f>
        <v>88.825000000000045</v>
      </c>
      <c r="AV401" s="271">
        <f>IF(Tech_Specs!$F28="linear",TREND(Perform_Active!$U29:$V29,Perform_Active!$U$8:$V$8,AV$380),)</f>
        <v>88.350000000000023</v>
      </c>
      <c r="AW401" s="271">
        <f>IF(Tech_Specs!$F28="linear",TREND(Perform_Active!$U29:$V29,Perform_Active!$U$8:$V$8,AW$380),)</f>
        <v>87.875</v>
      </c>
      <c r="AX401" s="271">
        <f>IF(Tech_Specs!$F28="linear",TREND(Perform_Active!$U29:$V29,Perform_Active!$U$8:$V$8,AX$380),)</f>
        <v>87.400000000000091</v>
      </c>
      <c r="AY401" s="271">
        <f>IF(Tech_Specs!$F28="linear",TREND(Perform_Active!$U29:$V29,Perform_Active!$U$8:$V$8,AY$380),)</f>
        <v>86.925000000000068</v>
      </c>
      <c r="AZ401" s="271">
        <f>IF(Tech_Specs!$F28="linear",TREND(Perform_Active!$U29:$V29,Perform_Active!$U$8:$V$8,AZ$380),)</f>
        <v>86.450000000000045</v>
      </c>
      <c r="BA401" s="271">
        <f>IF(Tech_Specs!$F28="linear",TREND(Perform_Active!$U29:$V29,Perform_Active!$U$8:$V$8,BA$380),)</f>
        <v>85.975000000000023</v>
      </c>
      <c r="BB401" s="271">
        <f>IF(Tech_Specs!$F28="linear",TREND(Perform_Active!$U29:$V29,Perform_Active!$U$8:$V$8,BB$380),)</f>
        <v>85.5</v>
      </c>
      <c r="BC401" s="271">
        <f>IF(Tech_Specs!$F28="linear",TREND(Perform_Active!$U29:$V29,Perform_Active!$U$8:$V$8,BC$380),)</f>
        <v>85.025000000000091</v>
      </c>
      <c r="BD401" s="271">
        <f>IF(Tech_Specs!$F28="linear",TREND(Perform_Active!$U29:$V29,Perform_Active!$U$8:$V$8,BD$380),)</f>
        <v>84.550000000000068</v>
      </c>
      <c r="BE401" s="271">
        <f>IF(Tech_Specs!$F28="linear",TREND(Perform_Active!$U29:$V29,Perform_Active!$U$8:$V$8,BE$380),)</f>
        <v>84.075000000000045</v>
      </c>
      <c r="BF401" s="271">
        <f>IF(Tech_Specs!$F28="linear",TREND(Perform_Active!$U29:$V29,Perform_Active!$U$8:$V$8,BF$380),)</f>
        <v>83.600000000000023</v>
      </c>
      <c r="BG401" s="271">
        <f>IF(Tech_Specs!$F28="linear",TREND(Perform_Active!$U29:$V29,Perform_Active!$U$8:$V$8,BG$380),)</f>
        <v>83.125</v>
      </c>
      <c r="BH401" s="376"/>
      <c r="BI401" s="271">
        <f>IF(Tech_Specs!$F28="logistic",0,)</f>
        <v>0</v>
      </c>
      <c r="BJ401" s="271">
        <f>IF(Tech_Specs!$F28="logistic",0,)</f>
        <v>0</v>
      </c>
      <c r="BK401" s="271">
        <f>IF(Tech_Specs!$F28="logistic",0,)</f>
        <v>0</v>
      </c>
      <c r="BL401" s="271">
        <f>IF(Tech_Specs!$F28="logistic",0,)</f>
        <v>0</v>
      </c>
      <c r="BM401" s="271">
        <f>IF(Tech_Specs!$F28="logistic",0,)</f>
        <v>0</v>
      </c>
      <c r="BN401" s="271">
        <f>IF(Tech_Specs!$F28="logistic",0,)</f>
        <v>0</v>
      </c>
      <c r="BO401" s="271">
        <f>IF(Tech_Specs!$F28="logistic",0,)</f>
        <v>0</v>
      </c>
      <c r="BP401" s="271">
        <f>IF(Tech_Specs!$F28="logistic",0,)</f>
        <v>0</v>
      </c>
      <c r="BQ401" s="271">
        <f>IF(Tech_Specs!$F28="logistic",0,)</f>
        <v>0</v>
      </c>
      <c r="BR401" s="271">
        <f>IF(Tech_Specs!$F28="logistic",0,)</f>
        <v>0</v>
      </c>
      <c r="BS401" s="271">
        <f>IF(Tech_Specs!$F28="logistic",0,)</f>
        <v>0</v>
      </c>
      <c r="BT401" s="271">
        <f>IF(Tech_Specs!$F28="logistic",0,)</f>
        <v>0</v>
      </c>
      <c r="BU401" s="271">
        <f>IF(Tech_Specs!$F28="logistic",0,)</f>
        <v>0</v>
      </c>
      <c r="BV401" s="271">
        <f>IF(Tech_Specs!$F28="logistic",0,)</f>
        <v>0</v>
      </c>
      <c r="BW401" s="271">
        <f>IF(Tech_Specs!$F28="logistic",0,)</f>
        <v>0</v>
      </c>
      <c r="BX401" s="271">
        <f>IF(Tech_Specs!$F28="logistic",0,)</f>
        <v>0</v>
      </c>
      <c r="BY401" s="271">
        <f>IF(Tech_Specs!$F28="logistic",0,)</f>
        <v>0</v>
      </c>
      <c r="BZ401" s="271">
        <f>IF(Tech_Specs!$F28="logistic",0,)</f>
        <v>0</v>
      </c>
      <c r="CA401" s="271">
        <f>IF(Tech_Specs!$F28="logistic",0,)</f>
        <v>0</v>
      </c>
      <c r="CB401" s="271">
        <f>IF(Tech_Specs!$F28="logistic",0,)</f>
        <v>0</v>
      </c>
      <c r="CC401" s="271">
        <f>IF(Tech_Specs!$F28="logistic",0,)</f>
        <v>0</v>
      </c>
      <c r="CD401" s="271">
        <f>IF(Tech_Specs!$F28="logistic",0,)</f>
        <v>0</v>
      </c>
      <c r="CE401" s="271">
        <f>IF(Tech_Specs!$F28="logistic",0,)</f>
        <v>0</v>
      </c>
      <c r="CF401" s="271">
        <f>IF(Tech_Specs!$F28="logistic",0,)</f>
        <v>0</v>
      </c>
      <c r="CG401" s="271">
        <f>IF(Tech_Specs!$F28="logistic",0,)</f>
        <v>0</v>
      </c>
      <c r="CH401" s="271">
        <f>IF(Tech_Specs!$F28="logistic",0,)</f>
        <v>0</v>
      </c>
      <c r="CI401" s="376"/>
      <c r="CJ401" s="271">
        <f>IF(AND(Tech_Specs!$F28="step",Standards_Active!$S29="yes"),IF(CJ$380&lt;Standards_Active!$Q29,TREND(Perform_Active!$U29:$V29,Perform_Active!$U$8:$V$8,CJ$380),IF(ISNUMBER(Standards_Active!$AA29),IF(AND(CJ$380&gt;=Standards_Active!$Q29,CJ$380&lt;Standards_Active!$R29),(Standards_Active!$AA29-INDEX($CJ401:$DI401,1,MATCH((Standards_Active!$Q29-1),$CJ$380:$DI$380,FALSE)))/(Standards_Active!$R29-(Standards_Active!$Q29-1))+CI401,Standards_Active!$AA29*((1+Standards_Active!$AC29)^(CJ$380-Standards_Active!$R29))),TREND(Perform_Active!$U29:$V29,Perform_Active!$U$8:$V$8,CJ$380))),)</f>
        <v>0</v>
      </c>
      <c r="CK401" s="271">
        <f>IF(AND(Tech_Specs!$F28="step",Standards_Active!$S29="yes"),IF(CK$380&lt;Standards_Active!$Q29,TREND(Perform_Active!$U29:$V29,Perform_Active!$U$8:$V$8,CK$380),IF(ISNUMBER(Standards_Active!$AA29),IF(AND(CK$380&gt;=Standards_Active!$Q29,CK$380&lt;Standards_Active!$R29),(Standards_Active!$AA29-INDEX($CJ401:$DI401,1,MATCH((Standards_Active!$Q29-1),$CJ$380:$DI$380,FALSE)))/(Standards_Active!$R29-(Standards_Active!$Q29-1))+CJ401,Standards_Active!$AA29*((1+Standards_Active!$AC29)^(CK$380-Standards_Active!$R29))),TREND(Perform_Active!$U29:$V29,Perform_Active!$U$8:$V$8,CK$380))),)</f>
        <v>0</v>
      </c>
      <c r="CL401" s="271">
        <f>IF(AND(Tech_Specs!$F28="step",Standards_Active!$S29="yes"),IF(CL$380&lt;Standards_Active!$Q29,TREND(Perform_Active!$U29:$V29,Perform_Active!$U$8:$V$8,CL$380),IF(ISNUMBER(Standards_Active!$AA29),IF(AND(CL$380&gt;=Standards_Active!$Q29,CL$380&lt;Standards_Active!$R29),(Standards_Active!$AA29-INDEX($CJ401:$DI401,1,MATCH((Standards_Active!$Q29-1),$CJ$380:$DI$380,FALSE)))/(Standards_Active!$R29-(Standards_Active!$Q29-1))+CK401,Standards_Active!$AA29*((1+Standards_Active!$AC29)^(CL$380-Standards_Active!$R29))),TREND(Perform_Active!$U29:$V29,Perform_Active!$U$8:$V$8,CL$380))),)</f>
        <v>0</v>
      </c>
      <c r="CM401" s="271">
        <f>IF(AND(Tech_Specs!$F28="step",Standards_Active!$S29="yes"),IF(CM$380&lt;Standards_Active!$Q29,TREND(Perform_Active!$U29:$V29,Perform_Active!$U$8:$V$8,CM$380),IF(ISNUMBER(Standards_Active!$AA29),IF(AND(CM$380&gt;=Standards_Active!$Q29,CM$380&lt;Standards_Active!$R29),(Standards_Active!$AA29-INDEX($CJ401:$DI401,1,MATCH((Standards_Active!$Q29-1),$CJ$380:$DI$380,FALSE)))/(Standards_Active!$R29-(Standards_Active!$Q29-1))+CL401,Standards_Active!$AA29*((1+Standards_Active!$AC29)^(CM$380-Standards_Active!$R29))),TREND(Perform_Active!$U29:$V29,Perform_Active!$U$8:$V$8,CM$380))),)</f>
        <v>0</v>
      </c>
      <c r="CN401" s="271">
        <f>IF(AND(Tech_Specs!$F28="step",Standards_Active!$S29="yes"),IF(CN$380&lt;Standards_Active!$Q29,TREND(Perform_Active!$U29:$V29,Perform_Active!$U$8:$V$8,CN$380),IF(ISNUMBER(Standards_Active!$AA29),IF(AND(CN$380&gt;=Standards_Active!$Q29,CN$380&lt;Standards_Active!$R29),(Standards_Active!$AA29-INDEX($CJ401:$DI401,1,MATCH((Standards_Active!$Q29-1),$CJ$380:$DI$380,FALSE)))/(Standards_Active!$R29-(Standards_Active!$Q29-1))+CM401,Standards_Active!$AA29*((1+Standards_Active!$AC29)^(CN$380-Standards_Active!$R29))),TREND(Perform_Active!$U29:$V29,Perform_Active!$U$8:$V$8,CN$380))),)</f>
        <v>0</v>
      </c>
      <c r="CO401" s="271">
        <f>IF(AND(Tech_Specs!$F28="step",Standards_Active!$S29="yes"),IF(CO$380&lt;Standards_Active!$Q29,TREND(Perform_Active!$U29:$V29,Perform_Active!$U$8:$V$8,CO$380),IF(ISNUMBER(Standards_Active!$AA29),IF(AND(CO$380&gt;=Standards_Active!$Q29,CO$380&lt;Standards_Active!$R29),(Standards_Active!$AA29-INDEX($CJ401:$DI401,1,MATCH((Standards_Active!$Q29-1),$CJ$380:$DI$380,FALSE)))/(Standards_Active!$R29-(Standards_Active!$Q29-1))+CN401,Standards_Active!$AA29*((1+Standards_Active!$AC29)^(CO$380-Standards_Active!$R29))),TREND(Perform_Active!$U29:$V29,Perform_Active!$U$8:$V$8,CO$380))),)</f>
        <v>0</v>
      </c>
      <c r="CP401" s="271">
        <f>IF(AND(Tech_Specs!$F28="step",Standards_Active!$S29="yes"),IF(CP$380&lt;Standards_Active!$Q29,TREND(Perform_Active!$U29:$V29,Perform_Active!$U$8:$V$8,CP$380),IF(ISNUMBER(Standards_Active!$AA29),IF(AND(CP$380&gt;=Standards_Active!$Q29,CP$380&lt;Standards_Active!$R29),(Standards_Active!$AA29-INDEX($CJ401:$DI401,1,MATCH((Standards_Active!$Q29-1),$CJ$380:$DI$380,FALSE)))/(Standards_Active!$R29-(Standards_Active!$Q29-1))+CO401,Standards_Active!$AA29*((1+Standards_Active!$AC29)^(CP$380-Standards_Active!$R29))),TREND(Perform_Active!$U29:$V29,Perform_Active!$U$8:$V$8,CP$380))),)</f>
        <v>0</v>
      </c>
      <c r="CQ401" s="271">
        <f>IF(AND(Tech_Specs!$F28="step",Standards_Active!$S29="yes"),IF(CQ$380&lt;Standards_Active!$Q29,TREND(Perform_Active!$U29:$V29,Perform_Active!$U$8:$V$8,CQ$380),IF(ISNUMBER(Standards_Active!$AA29),IF(AND(CQ$380&gt;=Standards_Active!$Q29,CQ$380&lt;Standards_Active!$R29),(Standards_Active!$AA29-INDEX($CJ401:$DI401,1,MATCH((Standards_Active!$Q29-1),$CJ$380:$DI$380,FALSE)))/(Standards_Active!$R29-(Standards_Active!$Q29-1))+CP401,Standards_Active!$AA29*((1+Standards_Active!$AC29)^(CQ$380-Standards_Active!$R29))),TREND(Perform_Active!$U29:$V29,Perform_Active!$U$8:$V$8,CQ$380))),)</f>
        <v>0</v>
      </c>
      <c r="CR401" s="271">
        <f>IF(AND(Tech_Specs!$F28="step",Standards_Active!$S29="yes"),IF(CR$380&lt;Standards_Active!$Q29,TREND(Perform_Active!$U29:$V29,Perform_Active!$U$8:$V$8,CR$380),IF(ISNUMBER(Standards_Active!$AA29),IF(AND(CR$380&gt;=Standards_Active!$Q29,CR$380&lt;Standards_Active!$R29),(Standards_Active!$AA29-INDEX($CJ401:$DI401,1,MATCH((Standards_Active!$Q29-1),$CJ$380:$DI$380,FALSE)))/(Standards_Active!$R29-(Standards_Active!$Q29-1))+CQ401,Standards_Active!$AA29*((1+Standards_Active!$AC29)^(CR$380-Standards_Active!$R29))),TREND(Perform_Active!$U29:$V29,Perform_Active!$U$8:$V$8,CR$380))),)</f>
        <v>0</v>
      </c>
      <c r="CS401" s="271">
        <f>IF(AND(Tech_Specs!$F28="step",Standards_Active!$S29="yes"),IF(CS$380&lt;Standards_Active!$Q29,TREND(Perform_Active!$U29:$V29,Perform_Active!$U$8:$V$8,CS$380),IF(ISNUMBER(Standards_Active!$AA29),IF(AND(CS$380&gt;=Standards_Active!$Q29,CS$380&lt;Standards_Active!$R29),(Standards_Active!$AA29-INDEX($CJ401:$DI401,1,MATCH((Standards_Active!$Q29-1),$CJ$380:$DI$380,FALSE)))/(Standards_Active!$R29-(Standards_Active!$Q29-1))+CR401,Standards_Active!$AA29*((1+Standards_Active!$AC29)^(CS$380-Standards_Active!$R29))),TREND(Perform_Active!$U29:$V29,Perform_Active!$U$8:$V$8,CS$380))),)</f>
        <v>0</v>
      </c>
      <c r="CT401" s="271">
        <f>IF(AND(Tech_Specs!$F28="step",Standards_Active!$S29="yes"),IF(CT$380&lt;Standards_Active!$Q29,TREND(Perform_Active!$U29:$V29,Perform_Active!$U$8:$V$8,CT$380),IF(ISNUMBER(Standards_Active!$AA29),IF(AND(CT$380&gt;=Standards_Active!$Q29,CT$380&lt;Standards_Active!$R29),(Standards_Active!$AA29-INDEX($CJ401:$DI401,1,MATCH((Standards_Active!$Q29-1),$CJ$380:$DI$380,FALSE)))/(Standards_Active!$R29-(Standards_Active!$Q29-1))+CS401,Standards_Active!$AA29*((1+Standards_Active!$AC29)^(CT$380-Standards_Active!$R29))),TREND(Perform_Active!$U29:$V29,Perform_Active!$U$8:$V$8,CT$380))),)</f>
        <v>0</v>
      </c>
      <c r="CU401" s="271">
        <f>IF(AND(Tech_Specs!$F28="step",Standards_Active!$S29="yes"),IF(CU$380&lt;Standards_Active!$Q29,TREND(Perform_Active!$U29:$V29,Perform_Active!$U$8:$V$8,CU$380),IF(ISNUMBER(Standards_Active!$AA29),IF(AND(CU$380&gt;=Standards_Active!$Q29,CU$380&lt;Standards_Active!$R29),(Standards_Active!$AA29-INDEX($CJ401:$DI401,1,MATCH((Standards_Active!$Q29-1),$CJ$380:$DI$380,FALSE)))/(Standards_Active!$R29-(Standards_Active!$Q29-1))+CT401,Standards_Active!$AA29*((1+Standards_Active!$AC29)^(CU$380-Standards_Active!$R29))),TREND(Perform_Active!$U29:$V29,Perform_Active!$U$8:$V$8,CU$380))),)</f>
        <v>0</v>
      </c>
      <c r="CV401" s="271">
        <f>IF(AND(Tech_Specs!$F28="step",Standards_Active!$S29="yes"),IF(CV$380&lt;Standards_Active!$Q29,TREND(Perform_Active!$U29:$V29,Perform_Active!$U$8:$V$8,CV$380),IF(ISNUMBER(Standards_Active!$AA29),IF(AND(CV$380&gt;=Standards_Active!$Q29,CV$380&lt;Standards_Active!$R29),(Standards_Active!$AA29-INDEX($CJ401:$DI401,1,MATCH((Standards_Active!$Q29-1),$CJ$380:$DI$380,FALSE)))/(Standards_Active!$R29-(Standards_Active!$Q29-1))+CU401,Standards_Active!$AA29*((1+Standards_Active!$AC29)^(CV$380-Standards_Active!$R29))),TREND(Perform_Active!$U29:$V29,Perform_Active!$U$8:$V$8,CV$380))),)</f>
        <v>0</v>
      </c>
      <c r="CW401" s="271">
        <f>IF(AND(Tech_Specs!$F28="step",Standards_Active!$S29="yes"),IF(CW$380&lt;Standards_Active!$Q29,TREND(Perform_Active!$U29:$V29,Perform_Active!$U$8:$V$8,CW$380),IF(ISNUMBER(Standards_Active!$AA29),IF(AND(CW$380&gt;=Standards_Active!$Q29,CW$380&lt;Standards_Active!$R29),(Standards_Active!$AA29-INDEX($CJ401:$DI401,1,MATCH((Standards_Active!$Q29-1),$CJ$380:$DI$380,FALSE)))/(Standards_Active!$R29-(Standards_Active!$Q29-1))+CV401,Standards_Active!$AA29*((1+Standards_Active!$AC29)^(CW$380-Standards_Active!$R29))),TREND(Perform_Active!$U29:$V29,Perform_Active!$U$8:$V$8,CW$380))),)</f>
        <v>0</v>
      </c>
      <c r="CX401" s="271">
        <f>IF(AND(Tech_Specs!$F28="step",Standards_Active!$S29="yes"),IF(CX$380&lt;Standards_Active!$Q29,TREND(Perform_Active!$U29:$V29,Perform_Active!$U$8:$V$8,CX$380),IF(ISNUMBER(Standards_Active!$AA29),IF(AND(CX$380&gt;=Standards_Active!$Q29,CX$380&lt;Standards_Active!$R29),(Standards_Active!$AA29-INDEX($CJ401:$DI401,1,MATCH((Standards_Active!$Q29-1),$CJ$380:$DI$380,FALSE)))/(Standards_Active!$R29-(Standards_Active!$Q29-1))+CW401,Standards_Active!$AA29*((1+Standards_Active!$AC29)^(CX$380-Standards_Active!$R29))),TREND(Perform_Active!$U29:$V29,Perform_Active!$U$8:$V$8,CX$380))),)</f>
        <v>0</v>
      </c>
      <c r="CY401" s="271">
        <f>IF(AND(Tech_Specs!$F28="step",Standards_Active!$S29="yes"),IF(CY$380&lt;Standards_Active!$Q29,TREND(Perform_Active!$U29:$V29,Perform_Active!$U$8:$V$8,CY$380),IF(ISNUMBER(Standards_Active!$AA29),IF(AND(CY$380&gt;=Standards_Active!$Q29,CY$380&lt;Standards_Active!$R29),(Standards_Active!$AA29-INDEX($CJ401:$DI401,1,MATCH((Standards_Active!$Q29-1),$CJ$380:$DI$380,FALSE)))/(Standards_Active!$R29-(Standards_Active!$Q29-1))+CX401,Standards_Active!$AA29*((1+Standards_Active!$AC29)^(CY$380-Standards_Active!$R29))),TREND(Perform_Active!$U29:$V29,Perform_Active!$U$8:$V$8,CY$380))),)</f>
        <v>0</v>
      </c>
      <c r="CZ401" s="271">
        <f>IF(AND(Tech_Specs!$F28="step",Standards_Active!$S29="yes"),IF(CZ$380&lt;Standards_Active!$Q29,TREND(Perform_Active!$U29:$V29,Perform_Active!$U$8:$V$8,CZ$380),IF(ISNUMBER(Standards_Active!$AA29),IF(AND(CZ$380&gt;=Standards_Active!$Q29,CZ$380&lt;Standards_Active!$R29),(Standards_Active!$AA29-INDEX($CJ401:$DI401,1,MATCH((Standards_Active!$Q29-1),$CJ$380:$DI$380,FALSE)))/(Standards_Active!$R29-(Standards_Active!$Q29-1))+CY401,Standards_Active!$AA29*((1+Standards_Active!$AC29)^(CZ$380-Standards_Active!$R29))),TREND(Perform_Active!$U29:$V29,Perform_Active!$U$8:$V$8,CZ$380))),)</f>
        <v>0</v>
      </c>
      <c r="DA401" s="271">
        <f>IF(AND(Tech_Specs!$F28="step",Standards_Active!$S29="yes"),IF(DA$380&lt;Standards_Active!$Q29,TREND(Perform_Active!$U29:$V29,Perform_Active!$U$8:$V$8,DA$380),IF(ISNUMBER(Standards_Active!$AA29),IF(AND(DA$380&gt;=Standards_Active!$Q29,DA$380&lt;Standards_Active!$R29),(Standards_Active!$AA29-INDEX($CJ401:$DI401,1,MATCH((Standards_Active!$Q29-1),$CJ$380:$DI$380,FALSE)))/(Standards_Active!$R29-(Standards_Active!$Q29-1))+CZ401,Standards_Active!$AA29*((1+Standards_Active!$AC29)^(DA$380-Standards_Active!$R29))),TREND(Perform_Active!$U29:$V29,Perform_Active!$U$8:$V$8,DA$380))),)</f>
        <v>0</v>
      </c>
      <c r="DB401" s="271">
        <f>IF(AND(Tech_Specs!$F28="step",Standards_Active!$S29="yes"),IF(DB$380&lt;Standards_Active!$Q29,TREND(Perform_Active!$U29:$V29,Perform_Active!$U$8:$V$8,DB$380),IF(ISNUMBER(Standards_Active!$AA29),IF(AND(DB$380&gt;=Standards_Active!$Q29,DB$380&lt;Standards_Active!$R29),(Standards_Active!$AA29-INDEX($CJ401:$DI401,1,MATCH((Standards_Active!$Q29-1),$CJ$380:$DI$380,FALSE)))/(Standards_Active!$R29-(Standards_Active!$Q29-1))+DA401,Standards_Active!$AA29*((1+Standards_Active!$AC29)^(DB$380-Standards_Active!$R29))),TREND(Perform_Active!$U29:$V29,Perform_Active!$U$8:$V$8,DB$380))),)</f>
        <v>0</v>
      </c>
      <c r="DC401" s="271">
        <f>IF(AND(Tech_Specs!$F28="step",Standards_Active!$S29="yes"),IF(DC$380&lt;Standards_Active!$Q29,TREND(Perform_Active!$U29:$V29,Perform_Active!$U$8:$V$8,DC$380),IF(ISNUMBER(Standards_Active!$AA29),IF(AND(DC$380&gt;=Standards_Active!$Q29,DC$380&lt;Standards_Active!$R29),(Standards_Active!$AA29-INDEX($CJ401:$DI401,1,MATCH((Standards_Active!$Q29-1),$CJ$380:$DI$380,FALSE)))/(Standards_Active!$R29-(Standards_Active!$Q29-1))+DB401,Standards_Active!$AA29*((1+Standards_Active!$AC29)^(DC$380-Standards_Active!$R29))),TREND(Perform_Active!$U29:$V29,Perform_Active!$U$8:$V$8,DC$380))),)</f>
        <v>0</v>
      </c>
      <c r="DD401" s="271">
        <f>IF(AND(Tech_Specs!$F28="step",Standards_Active!$S29="yes"),IF(DD$380&lt;Standards_Active!$Q29,TREND(Perform_Active!$U29:$V29,Perform_Active!$U$8:$V$8,DD$380),IF(ISNUMBER(Standards_Active!$AA29),IF(AND(DD$380&gt;=Standards_Active!$Q29,DD$380&lt;Standards_Active!$R29),(Standards_Active!$AA29-INDEX($CJ401:$DI401,1,MATCH((Standards_Active!$Q29-1),$CJ$380:$DI$380,FALSE)))/(Standards_Active!$R29-(Standards_Active!$Q29-1))+DC401,Standards_Active!$AA29*((1+Standards_Active!$AC29)^(DD$380-Standards_Active!$R29))),TREND(Perform_Active!$U29:$V29,Perform_Active!$U$8:$V$8,DD$380))),)</f>
        <v>0</v>
      </c>
      <c r="DE401" s="271">
        <f>IF(AND(Tech_Specs!$F28="step",Standards_Active!$S29="yes"),IF(DE$380&lt;Standards_Active!$Q29,TREND(Perform_Active!$U29:$V29,Perform_Active!$U$8:$V$8,DE$380),IF(ISNUMBER(Standards_Active!$AA29),IF(AND(DE$380&gt;=Standards_Active!$Q29,DE$380&lt;Standards_Active!$R29),(Standards_Active!$AA29-INDEX($CJ401:$DI401,1,MATCH((Standards_Active!$Q29-1),$CJ$380:$DI$380,FALSE)))/(Standards_Active!$R29-(Standards_Active!$Q29-1))+DD401,Standards_Active!$AA29*((1+Standards_Active!$AC29)^(DE$380-Standards_Active!$R29))),TREND(Perform_Active!$U29:$V29,Perform_Active!$U$8:$V$8,DE$380))),)</f>
        <v>0</v>
      </c>
      <c r="DF401" s="271">
        <f>IF(AND(Tech_Specs!$F28="step",Standards_Active!$S29="yes"),IF(DF$380&lt;Standards_Active!$Q29,TREND(Perform_Active!$U29:$V29,Perform_Active!$U$8:$V$8,DF$380),IF(ISNUMBER(Standards_Active!$AA29),IF(AND(DF$380&gt;=Standards_Active!$Q29,DF$380&lt;Standards_Active!$R29),(Standards_Active!$AA29-INDEX($CJ401:$DI401,1,MATCH((Standards_Active!$Q29-1),$CJ$380:$DI$380,FALSE)))/(Standards_Active!$R29-(Standards_Active!$Q29-1))+DE401,Standards_Active!$AA29*((1+Standards_Active!$AC29)^(DF$380-Standards_Active!$R29))),TREND(Perform_Active!$U29:$V29,Perform_Active!$U$8:$V$8,DF$380))),)</f>
        <v>0</v>
      </c>
      <c r="DG401" s="271">
        <f>IF(AND(Tech_Specs!$F28="step",Standards_Active!$S29="yes"),IF(DG$380&lt;Standards_Active!$Q29,TREND(Perform_Active!$U29:$V29,Perform_Active!$U$8:$V$8,DG$380),IF(ISNUMBER(Standards_Active!$AA29),IF(AND(DG$380&gt;=Standards_Active!$Q29,DG$380&lt;Standards_Active!$R29),(Standards_Active!$AA29-INDEX($CJ401:$DI401,1,MATCH((Standards_Active!$Q29-1),$CJ$380:$DI$380,FALSE)))/(Standards_Active!$R29-(Standards_Active!$Q29-1))+DF401,Standards_Active!$AA29*((1+Standards_Active!$AC29)^(DG$380-Standards_Active!$R29))),TREND(Perform_Active!$U29:$V29,Perform_Active!$U$8:$V$8,DG$380))),)</f>
        <v>0</v>
      </c>
      <c r="DH401" s="271">
        <f>IF(AND(Tech_Specs!$F28="step",Standards_Active!$S29="yes"),IF(DH$380&lt;Standards_Active!$Q29,TREND(Perform_Active!$U29:$V29,Perform_Active!$U$8:$V$8,DH$380),IF(ISNUMBER(Standards_Active!$AA29),IF(AND(DH$380&gt;=Standards_Active!$Q29,DH$380&lt;Standards_Active!$R29),(Standards_Active!$AA29-INDEX($CJ401:$DI401,1,MATCH((Standards_Active!$Q29-1),$CJ$380:$DI$380,FALSE)))/(Standards_Active!$R29-(Standards_Active!$Q29-1))+DG401,Standards_Active!$AA29*((1+Standards_Active!$AC29)^(DH$380-Standards_Active!$R29))),TREND(Perform_Active!$U29:$V29,Perform_Active!$U$8:$V$8,DH$380))),)</f>
        <v>0</v>
      </c>
      <c r="DI401" s="271">
        <f>IF(AND(Tech_Specs!$F28="step",Standards_Active!$S29="yes"),IF(DI$380&lt;Standards_Active!$Q29,TREND(Perform_Active!$U29:$V29,Perform_Active!$U$8:$V$8,DI$380),IF(ISNUMBER(Standards_Active!$AA29),IF(AND(DI$380&gt;=Standards_Active!$Q29,DI$380&lt;Standards_Active!$R29),(Standards_Active!$AA29-INDEX($CJ401:$DI401,1,MATCH((Standards_Active!$Q29-1),$CJ$380:$DI$380,FALSE)))/(Standards_Active!$R29-(Standards_Active!$Q29-1))+DH401,Standards_Active!$AA29*((1+Standards_Active!$AC29)^(DI$380-Standards_Active!$R29))),TREND(Perform_Active!$U29:$V29,Perform_Active!$U$8:$V$8,DI$380))),)</f>
        <v>0</v>
      </c>
    </row>
    <row r="402" spans="1:113" s="322" customFormat="1" ht="12.75" x14ac:dyDescent="0.2">
      <c r="B402" s="328" t="s">
        <v>45</v>
      </c>
      <c r="D402" s="550"/>
      <c r="E402" s="550"/>
      <c r="F402" s="550"/>
      <c r="G402" s="272">
        <f t="shared" si="75"/>
        <v>85</v>
      </c>
      <c r="H402" s="272">
        <f t="shared" si="75"/>
        <v>84.575000000000045</v>
      </c>
      <c r="I402" s="272">
        <f t="shared" si="75"/>
        <v>84.149999999999977</v>
      </c>
      <c r="J402" s="272">
        <f t="shared" si="75"/>
        <v>83.725000000000023</v>
      </c>
      <c r="K402" s="272">
        <f t="shared" si="75"/>
        <v>83.300000000000068</v>
      </c>
      <c r="L402" s="272">
        <f t="shared" si="75"/>
        <v>82.875</v>
      </c>
      <c r="M402" s="272">
        <f t="shared" si="75"/>
        <v>82.450000000000045</v>
      </c>
      <c r="N402" s="272">
        <f t="shared" si="75"/>
        <v>82.024999999999977</v>
      </c>
      <c r="O402" s="272">
        <f t="shared" si="75"/>
        <v>81.600000000000023</v>
      </c>
      <c r="P402" s="272">
        <f t="shared" si="75"/>
        <v>81.175000000000068</v>
      </c>
      <c r="Q402" s="272">
        <f t="shared" si="76"/>
        <v>80.75</v>
      </c>
      <c r="R402" s="272">
        <f t="shared" si="76"/>
        <v>80.325000000000045</v>
      </c>
      <c r="S402" s="272">
        <f t="shared" si="76"/>
        <v>79.899999999999977</v>
      </c>
      <c r="T402" s="272">
        <f t="shared" si="76"/>
        <v>79.475000000000023</v>
      </c>
      <c r="U402" s="272">
        <f t="shared" si="76"/>
        <v>79.050000000000068</v>
      </c>
      <c r="V402" s="272">
        <f t="shared" si="76"/>
        <v>78.625</v>
      </c>
      <c r="W402" s="272">
        <f t="shared" si="76"/>
        <v>78.200000000000045</v>
      </c>
      <c r="X402" s="272">
        <f t="shared" si="76"/>
        <v>77.774999999999977</v>
      </c>
      <c r="Y402" s="272">
        <f t="shared" si="76"/>
        <v>77.350000000000023</v>
      </c>
      <c r="Z402" s="272">
        <f t="shared" si="76"/>
        <v>76.925000000000068</v>
      </c>
      <c r="AA402" s="272">
        <f t="shared" si="77"/>
        <v>76.5</v>
      </c>
      <c r="AB402" s="272">
        <f t="shared" si="77"/>
        <v>76.075000000000045</v>
      </c>
      <c r="AC402" s="272">
        <f t="shared" si="77"/>
        <v>75.649999999999977</v>
      </c>
      <c r="AD402" s="272">
        <f t="shared" si="77"/>
        <v>75.225000000000023</v>
      </c>
      <c r="AE402" s="272">
        <f t="shared" si="77"/>
        <v>74.800000000000068</v>
      </c>
      <c r="AF402" s="272">
        <f t="shared" si="77"/>
        <v>74.375</v>
      </c>
      <c r="AG402" s="376"/>
      <c r="AH402" s="271">
        <f>IF(Tech_Specs!$F29="linear",TREND(Perform_Active!$U30:$V30,Perform_Active!$U$8:$V$8,AH$380),)</f>
        <v>85</v>
      </c>
      <c r="AI402" s="271">
        <f>IF(Tech_Specs!$F29="linear",TREND(Perform_Active!$U30:$V30,Perform_Active!$U$8:$V$8,AI$380),)</f>
        <v>84.575000000000045</v>
      </c>
      <c r="AJ402" s="271">
        <f>IF(Tech_Specs!$F29="linear",TREND(Perform_Active!$U30:$V30,Perform_Active!$U$8:$V$8,AJ$380),)</f>
        <v>84.149999999999977</v>
      </c>
      <c r="AK402" s="271">
        <f>IF(Tech_Specs!$F29="linear",TREND(Perform_Active!$U30:$V30,Perform_Active!$U$8:$V$8,AK$380),)</f>
        <v>83.725000000000023</v>
      </c>
      <c r="AL402" s="271">
        <f>IF(Tech_Specs!$F29="linear",TREND(Perform_Active!$U30:$V30,Perform_Active!$U$8:$V$8,AL$380),)</f>
        <v>83.300000000000068</v>
      </c>
      <c r="AM402" s="271">
        <f>IF(Tech_Specs!$F29="linear",TREND(Perform_Active!$U30:$V30,Perform_Active!$U$8:$V$8,AM$380),)</f>
        <v>82.875</v>
      </c>
      <c r="AN402" s="271">
        <f>IF(Tech_Specs!$F29="linear",TREND(Perform_Active!$U30:$V30,Perform_Active!$U$8:$V$8,AN$380),)</f>
        <v>82.450000000000045</v>
      </c>
      <c r="AO402" s="271">
        <f>IF(Tech_Specs!$F29="linear",TREND(Perform_Active!$U30:$V30,Perform_Active!$U$8:$V$8,AO$380),)</f>
        <v>82.024999999999977</v>
      </c>
      <c r="AP402" s="271">
        <f>IF(Tech_Specs!$F29="linear",TREND(Perform_Active!$U30:$V30,Perform_Active!$U$8:$V$8,AP$380),)</f>
        <v>81.600000000000023</v>
      </c>
      <c r="AQ402" s="271">
        <f>IF(Tech_Specs!$F29="linear",TREND(Perform_Active!$U30:$V30,Perform_Active!$U$8:$V$8,AQ$380),)</f>
        <v>81.175000000000068</v>
      </c>
      <c r="AR402" s="271">
        <f>IF(Tech_Specs!$F29="linear",TREND(Perform_Active!$U30:$V30,Perform_Active!$U$8:$V$8,AR$380),)</f>
        <v>80.75</v>
      </c>
      <c r="AS402" s="271">
        <f>IF(Tech_Specs!$F29="linear",TREND(Perform_Active!$U30:$V30,Perform_Active!$U$8:$V$8,AS$380),)</f>
        <v>80.325000000000045</v>
      </c>
      <c r="AT402" s="271">
        <f>IF(Tech_Specs!$F29="linear",TREND(Perform_Active!$U30:$V30,Perform_Active!$U$8:$V$8,AT$380),)</f>
        <v>79.899999999999977</v>
      </c>
      <c r="AU402" s="271">
        <f>IF(Tech_Specs!$F29="linear",TREND(Perform_Active!$U30:$V30,Perform_Active!$U$8:$V$8,AU$380),)</f>
        <v>79.475000000000023</v>
      </c>
      <c r="AV402" s="271">
        <f>IF(Tech_Specs!$F29="linear",TREND(Perform_Active!$U30:$V30,Perform_Active!$U$8:$V$8,AV$380),)</f>
        <v>79.050000000000068</v>
      </c>
      <c r="AW402" s="271">
        <f>IF(Tech_Specs!$F29="linear",TREND(Perform_Active!$U30:$V30,Perform_Active!$U$8:$V$8,AW$380),)</f>
        <v>78.625</v>
      </c>
      <c r="AX402" s="271">
        <f>IF(Tech_Specs!$F29="linear",TREND(Perform_Active!$U30:$V30,Perform_Active!$U$8:$V$8,AX$380),)</f>
        <v>78.200000000000045</v>
      </c>
      <c r="AY402" s="271">
        <f>IF(Tech_Specs!$F29="linear",TREND(Perform_Active!$U30:$V30,Perform_Active!$U$8:$V$8,AY$380),)</f>
        <v>77.774999999999977</v>
      </c>
      <c r="AZ402" s="271">
        <f>IF(Tech_Specs!$F29="linear",TREND(Perform_Active!$U30:$V30,Perform_Active!$U$8:$V$8,AZ$380),)</f>
        <v>77.350000000000023</v>
      </c>
      <c r="BA402" s="271">
        <f>IF(Tech_Specs!$F29="linear",TREND(Perform_Active!$U30:$V30,Perform_Active!$U$8:$V$8,BA$380),)</f>
        <v>76.925000000000068</v>
      </c>
      <c r="BB402" s="271">
        <f>IF(Tech_Specs!$F29="linear",TREND(Perform_Active!$U30:$V30,Perform_Active!$U$8:$V$8,BB$380),)</f>
        <v>76.5</v>
      </c>
      <c r="BC402" s="271">
        <f>IF(Tech_Specs!$F29="linear",TREND(Perform_Active!$U30:$V30,Perform_Active!$U$8:$V$8,BC$380),)</f>
        <v>76.075000000000045</v>
      </c>
      <c r="BD402" s="271">
        <f>IF(Tech_Specs!$F29="linear",TREND(Perform_Active!$U30:$V30,Perform_Active!$U$8:$V$8,BD$380),)</f>
        <v>75.649999999999977</v>
      </c>
      <c r="BE402" s="271">
        <f>IF(Tech_Specs!$F29="linear",TREND(Perform_Active!$U30:$V30,Perform_Active!$U$8:$V$8,BE$380),)</f>
        <v>75.225000000000023</v>
      </c>
      <c r="BF402" s="271">
        <f>IF(Tech_Specs!$F29="linear",TREND(Perform_Active!$U30:$V30,Perform_Active!$U$8:$V$8,BF$380),)</f>
        <v>74.800000000000068</v>
      </c>
      <c r="BG402" s="271">
        <f>IF(Tech_Specs!$F29="linear",TREND(Perform_Active!$U30:$V30,Perform_Active!$U$8:$V$8,BG$380),)</f>
        <v>74.375</v>
      </c>
      <c r="BH402" s="376"/>
      <c r="BI402" s="271">
        <f>IF(Tech_Specs!$F29="logistic",0,)</f>
        <v>0</v>
      </c>
      <c r="BJ402" s="271">
        <f>IF(Tech_Specs!$F29="logistic",0,)</f>
        <v>0</v>
      </c>
      <c r="BK402" s="271">
        <f>IF(Tech_Specs!$F29="logistic",0,)</f>
        <v>0</v>
      </c>
      <c r="BL402" s="271">
        <f>IF(Tech_Specs!$F29="logistic",0,)</f>
        <v>0</v>
      </c>
      <c r="BM402" s="271">
        <f>IF(Tech_Specs!$F29="logistic",0,)</f>
        <v>0</v>
      </c>
      <c r="BN402" s="271">
        <f>IF(Tech_Specs!$F29="logistic",0,)</f>
        <v>0</v>
      </c>
      <c r="BO402" s="271">
        <f>IF(Tech_Specs!$F29="logistic",0,)</f>
        <v>0</v>
      </c>
      <c r="BP402" s="271">
        <f>IF(Tech_Specs!$F29="logistic",0,)</f>
        <v>0</v>
      </c>
      <c r="BQ402" s="271">
        <f>IF(Tech_Specs!$F29="logistic",0,)</f>
        <v>0</v>
      </c>
      <c r="BR402" s="271">
        <f>IF(Tech_Specs!$F29="logistic",0,)</f>
        <v>0</v>
      </c>
      <c r="BS402" s="271">
        <f>IF(Tech_Specs!$F29="logistic",0,)</f>
        <v>0</v>
      </c>
      <c r="BT402" s="271">
        <f>IF(Tech_Specs!$F29="logistic",0,)</f>
        <v>0</v>
      </c>
      <c r="BU402" s="271">
        <f>IF(Tech_Specs!$F29="logistic",0,)</f>
        <v>0</v>
      </c>
      <c r="BV402" s="271">
        <f>IF(Tech_Specs!$F29="logistic",0,)</f>
        <v>0</v>
      </c>
      <c r="BW402" s="271">
        <f>IF(Tech_Specs!$F29="logistic",0,)</f>
        <v>0</v>
      </c>
      <c r="BX402" s="271">
        <f>IF(Tech_Specs!$F29="logistic",0,)</f>
        <v>0</v>
      </c>
      <c r="BY402" s="271">
        <f>IF(Tech_Specs!$F29="logistic",0,)</f>
        <v>0</v>
      </c>
      <c r="BZ402" s="271">
        <f>IF(Tech_Specs!$F29="logistic",0,)</f>
        <v>0</v>
      </c>
      <c r="CA402" s="271">
        <f>IF(Tech_Specs!$F29="logistic",0,)</f>
        <v>0</v>
      </c>
      <c r="CB402" s="271">
        <f>IF(Tech_Specs!$F29="logistic",0,)</f>
        <v>0</v>
      </c>
      <c r="CC402" s="271">
        <f>IF(Tech_Specs!$F29="logistic",0,)</f>
        <v>0</v>
      </c>
      <c r="CD402" s="271">
        <f>IF(Tech_Specs!$F29="logistic",0,)</f>
        <v>0</v>
      </c>
      <c r="CE402" s="271">
        <f>IF(Tech_Specs!$F29="logistic",0,)</f>
        <v>0</v>
      </c>
      <c r="CF402" s="271">
        <f>IF(Tech_Specs!$F29="logistic",0,)</f>
        <v>0</v>
      </c>
      <c r="CG402" s="271">
        <f>IF(Tech_Specs!$F29="logistic",0,)</f>
        <v>0</v>
      </c>
      <c r="CH402" s="271">
        <f>IF(Tech_Specs!$F29="logistic",0,)</f>
        <v>0</v>
      </c>
      <c r="CI402" s="376"/>
      <c r="CJ402" s="271">
        <f>IF(AND(Tech_Specs!$F29="step",Standards_Active!$S30="yes"),IF(CJ$380&lt;Standards_Active!$Q30,TREND(Perform_Active!$U30:$V30,Perform_Active!$U$8:$V$8,CJ$380),IF(ISNUMBER(Standards_Active!$AA30),IF(AND(CJ$380&gt;=Standards_Active!$Q30,CJ$380&lt;Standards_Active!$R30),(Standards_Active!$AA30-INDEX($CJ402:$DI402,1,MATCH((Standards_Active!$Q30-1),$CJ$380:$DI$380,FALSE)))/(Standards_Active!$R30-(Standards_Active!$Q30-1))+CI402,Standards_Active!$AA30*((1+Standards_Active!$AC30)^(CJ$380-Standards_Active!$R30))),TREND(Perform_Active!$U30:$V30,Perform_Active!$U$8:$V$8,CJ$380))),)</f>
        <v>0</v>
      </c>
      <c r="CK402" s="271">
        <f>IF(AND(Tech_Specs!$F29="step",Standards_Active!$S30="yes"),IF(CK$380&lt;Standards_Active!$Q30,TREND(Perform_Active!$U30:$V30,Perform_Active!$U$8:$V$8,CK$380),IF(ISNUMBER(Standards_Active!$AA30),IF(AND(CK$380&gt;=Standards_Active!$Q30,CK$380&lt;Standards_Active!$R30),(Standards_Active!$AA30-INDEX($CJ402:$DI402,1,MATCH((Standards_Active!$Q30-1),$CJ$380:$DI$380,FALSE)))/(Standards_Active!$R30-(Standards_Active!$Q30-1))+CJ402,Standards_Active!$AA30*((1+Standards_Active!$AC30)^(CK$380-Standards_Active!$R30))),TREND(Perform_Active!$U30:$V30,Perform_Active!$U$8:$V$8,CK$380))),)</f>
        <v>0</v>
      </c>
      <c r="CL402" s="271">
        <f>IF(AND(Tech_Specs!$F29="step",Standards_Active!$S30="yes"),IF(CL$380&lt;Standards_Active!$Q30,TREND(Perform_Active!$U30:$V30,Perform_Active!$U$8:$V$8,CL$380),IF(ISNUMBER(Standards_Active!$AA30),IF(AND(CL$380&gt;=Standards_Active!$Q30,CL$380&lt;Standards_Active!$R30),(Standards_Active!$AA30-INDEX($CJ402:$DI402,1,MATCH((Standards_Active!$Q30-1),$CJ$380:$DI$380,FALSE)))/(Standards_Active!$R30-(Standards_Active!$Q30-1))+CK402,Standards_Active!$AA30*((1+Standards_Active!$AC30)^(CL$380-Standards_Active!$R30))),TREND(Perform_Active!$U30:$V30,Perform_Active!$U$8:$V$8,CL$380))),)</f>
        <v>0</v>
      </c>
      <c r="CM402" s="271">
        <f>IF(AND(Tech_Specs!$F29="step",Standards_Active!$S30="yes"),IF(CM$380&lt;Standards_Active!$Q30,TREND(Perform_Active!$U30:$V30,Perform_Active!$U$8:$V$8,CM$380),IF(ISNUMBER(Standards_Active!$AA30),IF(AND(CM$380&gt;=Standards_Active!$Q30,CM$380&lt;Standards_Active!$R30),(Standards_Active!$AA30-INDEX($CJ402:$DI402,1,MATCH((Standards_Active!$Q30-1),$CJ$380:$DI$380,FALSE)))/(Standards_Active!$R30-(Standards_Active!$Q30-1))+CL402,Standards_Active!$AA30*((1+Standards_Active!$AC30)^(CM$380-Standards_Active!$R30))),TREND(Perform_Active!$U30:$V30,Perform_Active!$U$8:$V$8,CM$380))),)</f>
        <v>0</v>
      </c>
      <c r="CN402" s="271">
        <f>IF(AND(Tech_Specs!$F29="step",Standards_Active!$S30="yes"),IF(CN$380&lt;Standards_Active!$Q30,TREND(Perform_Active!$U30:$V30,Perform_Active!$U$8:$V$8,CN$380),IF(ISNUMBER(Standards_Active!$AA30),IF(AND(CN$380&gt;=Standards_Active!$Q30,CN$380&lt;Standards_Active!$R30),(Standards_Active!$AA30-INDEX($CJ402:$DI402,1,MATCH((Standards_Active!$Q30-1),$CJ$380:$DI$380,FALSE)))/(Standards_Active!$R30-(Standards_Active!$Q30-1))+CM402,Standards_Active!$AA30*((1+Standards_Active!$AC30)^(CN$380-Standards_Active!$R30))),TREND(Perform_Active!$U30:$V30,Perform_Active!$U$8:$V$8,CN$380))),)</f>
        <v>0</v>
      </c>
      <c r="CO402" s="271">
        <f>IF(AND(Tech_Specs!$F29="step",Standards_Active!$S30="yes"),IF(CO$380&lt;Standards_Active!$Q30,TREND(Perform_Active!$U30:$V30,Perform_Active!$U$8:$V$8,CO$380),IF(ISNUMBER(Standards_Active!$AA30),IF(AND(CO$380&gt;=Standards_Active!$Q30,CO$380&lt;Standards_Active!$R30),(Standards_Active!$AA30-INDEX($CJ402:$DI402,1,MATCH((Standards_Active!$Q30-1),$CJ$380:$DI$380,FALSE)))/(Standards_Active!$R30-(Standards_Active!$Q30-1))+CN402,Standards_Active!$AA30*((1+Standards_Active!$AC30)^(CO$380-Standards_Active!$R30))),TREND(Perform_Active!$U30:$V30,Perform_Active!$U$8:$V$8,CO$380))),)</f>
        <v>0</v>
      </c>
      <c r="CP402" s="271">
        <f>IF(AND(Tech_Specs!$F29="step",Standards_Active!$S30="yes"),IF(CP$380&lt;Standards_Active!$Q30,TREND(Perform_Active!$U30:$V30,Perform_Active!$U$8:$V$8,CP$380),IF(ISNUMBER(Standards_Active!$AA30),IF(AND(CP$380&gt;=Standards_Active!$Q30,CP$380&lt;Standards_Active!$R30),(Standards_Active!$AA30-INDEX($CJ402:$DI402,1,MATCH((Standards_Active!$Q30-1),$CJ$380:$DI$380,FALSE)))/(Standards_Active!$R30-(Standards_Active!$Q30-1))+CO402,Standards_Active!$AA30*((1+Standards_Active!$AC30)^(CP$380-Standards_Active!$R30))),TREND(Perform_Active!$U30:$V30,Perform_Active!$U$8:$V$8,CP$380))),)</f>
        <v>0</v>
      </c>
      <c r="CQ402" s="271">
        <f>IF(AND(Tech_Specs!$F29="step",Standards_Active!$S30="yes"),IF(CQ$380&lt;Standards_Active!$Q30,TREND(Perform_Active!$U30:$V30,Perform_Active!$U$8:$V$8,CQ$380),IF(ISNUMBER(Standards_Active!$AA30),IF(AND(CQ$380&gt;=Standards_Active!$Q30,CQ$380&lt;Standards_Active!$R30),(Standards_Active!$AA30-INDEX($CJ402:$DI402,1,MATCH((Standards_Active!$Q30-1),$CJ$380:$DI$380,FALSE)))/(Standards_Active!$R30-(Standards_Active!$Q30-1))+CP402,Standards_Active!$AA30*((1+Standards_Active!$AC30)^(CQ$380-Standards_Active!$R30))),TREND(Perform_Active!$U30:$V30,Perform_Active!$U$8:$V$8,CQ$380))),)</f>
        <v>0</v>
      </c>
      <c r="CR402" s="271">
        <f>IF(AND(Tech_Specs!$F29="step",Standards_Active!$S30="yes"),IF(CR$380&lt;Standards_Active!$Q30,TREND(Perform_Active!$U30:$V30,Perform_Active!$U$8:$V$8,CR$380),IF(ISNUMBER(Standards_Active!$AA30),IF(AND(CR$380&gt;=Standards_Active!$Q30,CR$380&lt;Standards_Active!$R30),(Standards_Active!$AA30-INDEX($CJ402:$DI402,1,MATCH((Standards_Active!$Q30-1),$CJ$380:$DI$380,FALSE)))/(Standards_Active!$R30-(Standards_Active!$Q30-1))+CQ402,Standards_Active!$AA30*((1+Standards_Active!$AC30)^(CR$380-Standards_Active!$R30))),TREND(Perform_Active!$U30:$V30,Perform_Active!$U$8:$V$8,CR$380))),)</f>
        <v>0</v>
      </c>
      <c r="CS402" s="271">
        <f>IF(AND(Tech_Specs!$F29="step",Standards_Active!$S30="yes"),IF(CS$380&lt;Standards_Active!$Q30,TREND(Perform_Active!$U30:$V30,Perform_Active!$U$8:$V$8,CS$380),IF(ISNUMBER(Standards_Active!$AA30),IF(AND(CS$380&gt;=Standards_Active!$Q30,CS$380&lt;Standards_Active!$R30),(Standards_Active!$AA30-INDEX($CJ402:$DI402,1,MATCH((Standards_Active!$Q30-1),$CJ$380:$DI$380,FALSE)))/(Standards_Active!$R30-(Standards_Active!$Q30-1))+CR402,Standards_Active!$AA30*((1+Standards_Active!$AC30)^(CS$380-Standards_Active!$R30))),TREND(Perform_Active!$U30:$V30,Perform_Active!$U$8:$V$8,CS$380))),)</f>
        <v>0</v>
      </c>
      <c r="CT402" s="271">
        <f>IF(AND(Tech_Specs!$F29="step",Standards_Active!$S30="yes"),IF(CT$380&lt;Standards_Active!$Q30,TREND(Perform_Active!$U30:$V30,Perform_Active!$U$8:$V$8,CT$380),IF(ISNUMBER(Standards_Active!$AA30),IF(AND(CT$380&gt;=Standards_Active!$Q30,CT$380&lt;Standards_Active!$R30),(Standards_Active!$AA30-INDEX($CJ402:$DI402,1,MATCH((Standards_Active!$Q30-1),$CJ$380:$DI$380,FALSE)))/(Standards_Active!$R30-(Standards_Active!$Q30-1))+CS402,Standards_Active!$AA30*((1+Standards_Active!$AC30)^(CT$380-Standards_Active!$R30))),TREND(Perform_Active!$U30:$V30,Perform_Active!$U$8:$V$8,CT$380))),)</f>
        <v>0</v>
      </c>
      <c r="CU402" s="271">
        <f>IF(AND(Tech_Specs!$F29="step",Standards_Active!$S30="yes"),IF(CU$380&lt;Standards_Active!$Q30,TREND(Perform_Active!$U30:$V30,Perform_Active!$U$8:$V$8,CU$380),IF(ISNUMBER(Standards_Active!$AA30),IF(AND(CU$380&gt;=Standards_Active!$Q30,CU$380&lt;Standards_Active!$R30),(Standards_Active!$AA30-INDEX($CJ402:$DI402,1,MATCH((Standards_Active!$Q30-1),$CJ$380:$DI$380,FALSE)))/(Standards_Active!$R30-(Standards_Active!$Q30-1))+CT402,Standards_Active!$AA30*((1+Standards_Active!$AC30)^(CU$380-Standards_Active!$R30))),TREND(Perform_Active!$U30:$V30,Perform_Active!$U$8:$V$8,CU$380))),)</f>
        <v>0</v>
      </c>
      <c r="CV402" s="271">
        <f>IF(AND(Tech_Specs!$F29="step",Standards_Active!$S30="yes"),IF(CV$380&lt;Standards_Active!$Q30,TREND(Perform_Active!$U30:$V30,Perform_Active!$U$8:$V$8,CV$380),IF(ISNUMBER(Standards_Active!$AA30),IF(AND(CV$380&gt;=Standards_Active!$Q30,CV$380&lt;Standards_Active!$R30),(Standards_Active!$AA30-INDEX($CJ402:$DI402,1,MATCH((Standards_Active!$Q30-1),$CJ$380:$DI$380,FALSE)))/(Standards_Active!$R30-(Standards_Active!$Q30-1))+CU402,Standards_Active!$AA30*((1+Standards_Active!$AC30)^(CV$380-Standards_Active!$R30))),TREND(Perform_Active!$U30:$V30,Perform_Active!$U$8:$V$8,CV$380))),)</f>
        <v>0</v>
      </c>
      <c r="CW402" s="271">
        <f>IF(AND(Tech_Specs!$F29="step",Standards_Active!$S30="yes"),IF(CW$380&lt;Standards_Active!$Q30,TREND(Perform_Active!$U30:$V30,Perform_Active!$U$8:$V$8,CW$380),IF(ISNUMBER(Standards_Active!$AA30),IF(AND(CW$380&gt;=Standards_Active!$Q30,CW$380&lt;Standards_Active!$R30),(Standards_Active!$AA30-INDEX($CJ402:$DI402,1,MATCH((Standards_Active!$Q30-1),$CJ$380:$DI$380,FALSE)))/(Standards_Active!$R30-(Standards_Active!$Q30-1))+CV402,Standards_Active!$AA30*((1+Standards_Active!$AC30)^(CW$380-Standards_Active!$R30))),TREND(Perform_Active!$U30:$V30,Perform_Active!$U$8:$V$8,CW$380))),)</f>
        <v>0</v>
      </c>
      <c r="CX402" s="271">
        <f>IF(AND(Tech_Specs!$F29="step",Standards_Active!$S30="yes"),IF(CX$380&lt;Standards_Active!$Q30,TREND(Perform_Active!$U30:$V30,Perform_Active!$U$8:$V$8,CX$380),IF(ISNUMBER(Standards_Active!$AA30),IF(AND(CX$380&gt;=Standards_Active!$Q30,CX$380&lt;Standards_Active!$R30),(Standards_Active!$AA30-INDEX($CJ402:$DI402,1,MATCH((Standards_Active!$Q30-1),$CJ$380:$DI$380,FALSE)))/(Standards_Active!$R30-(Standards_Active!$Q30-1))+CW402,Standards_Active!$AA30*((1+Standards_Active!$AC30)^(CX$380-Standards_Active!$R30))),TREND(Perform_Active!$U30:$V30,Perform_Active!$U$8:$V$8,CX$380))),)</f>
        <v>0</v>
      </c>
      <c r="CY402" s="271">
        <f>IF(AND(Tech_Specs!$F29="step",Standards_Active!$S30="yes"),IF(CY$380&lt;Standards_Active!$Q30,TREND(Perform_Active!$U30:$V30,Perform_Active!$U$8:$V$8,CY$380),IF(ISNUMBER(Standards_Active!$AA30),IF(AND(CY$380&gt;=Standards_Active!$Q30,CY$380&lt;Standards_Active!$R30),(Standards_Active!$AA30-INDEX($CJ402:$DI402,1,MATCH((Standards_Active!$Q30-1),$CJ$380:$DI$380,FALSE)))/(Standards_Active!$R30-(Standards_Active!$Q30-1))+CX402,Standards_Active!$AA30*((1+Standards_Active!$AC30)^(CY$380-Standards_Active!$R30))),TREND(Perform_Active!$U30:$V30,Perform_Active!$U$8:$V$8,CY$380))),)</f>
        <v>0</v>
      </c>
      <c r="CZ402" s="271">
        <f>IF(AND(Tech_Specs!$F29="step",Standards_Active!$S30="yes"),IF(CZ$380&lt;Standards_Active!$Q30,TREND(Perform_Active!$U30:$V30,Perform_Active!$U$8:$V$8,CZ$380),IF(ISNUMBER(Standards_Active!$AA30),IF(AND(CZ$380&gt;=Standards_Active!$Q30,CZ$380&lt;Standards_Active!$R30),(Standards_Active!$AA30-INDEX($CJ402:$DI402,1,MATCH((Standards_Active!$Q30-1),$CJ$380:$DI$380,FALSE)))/(Standards_Active!$R30-(Standards_Active!$Q30-1))+CY402,Standards_Active!$AA30*((1+Standards_Active!$AC30)^(CZ$380-Standards_Active!$R30))),TREND(Perform_Active!$U30:$V30,Perform_Active!$U$8:$V$8,CZ$380))),)</f>
        <v>0</v>
      </c>
      <c r="DA402" s="271">
        <f>IF(AND(Tech_Specs!$F29="step",Standards_Active!$S30="yes"),IF(DA$380&lt;Standards_Active!$Q30,TREND(Perform_Active!$U30:$V30,Perform_Active!$U$8:$V$8,DA$380),IF(ISNUMBER(Standards_Active!$AA30),IF(AND(DA$380&gt;=Standards_Active!$Q30,DA$380&lt;Standards_Active!$R30),(Standards_Active!$AA30-INDEX($CJ402:$DI402,1,MATCH((Standards_Active!$Q30-1),$CJ$380:$DI$380,FALSE)))/(Standards_Active!$R30-(Standards_Active!$Q30-1))+CZ402,Standards_Active!$AA30*((1+Standards_Active!$AC30)^(DA$380-Standards_Active!$R30))),TREND(Perform_Active!$U30:$V30,Perform_Active!$U$8:$V$8,DA$380))),)</f>
        <v>0</v>
      </c>
      <c r="DB402" s="271">
        <f>IF(AND(Tech_Specs!$F29="step",Standards_Active!$S30="yes"),IF(DB$380&lt;Standards_Active!$Q30,TREND(Perform_Active!$U30:$V30,Perform_Active!$U$8:$V$8,DB$380),IF(ISNUMBER(Standards_Active!$AA30),IF(AND(DB$380&gt;=Standards_Active!$Q30,DB$380&lt;Standards_Active!$R30),(Standards_Active!$AA30-INDEX($CJ402:$DI402,1,MATCH((Standards_Active!$Q30-1),$CJ$380:$DI$380,FALSE)))/(Standards_Active!$R30-(Standards_Active!$Q30-1))+DA402,Standards_Active!$AA30*((1+Standards_Active!$AC30)^(DB$380-Standards_Active!$R30))),TREND(Perform_Active!$U30:$V30,Perform_Active!$U$8:$V$8,DB$380))),)</f>
        <v>0</v>
      </c>
      <c r="DC402" s="271">
        <f>IF(AND(Tech_Specs!$F29="step",Standards_Active!$S30="yes"),IF(DC$380&lt;Standards_Active!$Q30,TREND(Perform_Active!$U30:$V30,Perform_Active!$U$8:$V$8,DC$380),IF(ISNUMBER(Standards_Active!$AA30),IF(AND(DC$380&gt;=Standards_Active!$Q30,DC$380&lt;Standards_Active!$R30),(Standards_Active!$AA30-INDEX($CJ402:$DI402,1,MATCH((Standards_Active!$Q30-1),$CJ$380:$DI$380,FALSE)))/(Standards_Active!$R30-(Standards_Active!$Q30-1))+DB402,Standards_Active!$AA30*((1+Standards_Active!$AC30)^(DC$380-Standards_Active!$R30))),TREND(Perform_Active!$U30:$V30,Perform_Active!$U$8:$V$8,DC$380))),)</f>
        <v>0</v>
      </c>
      <c r="DD402" s="271">
        <f>IF(AND(Tech_Specs!$F29="step",Standards_Active!$S30="yes"),IF(DD$380&lt;Standards_Active!$Q30,TREND(Perform_Active!$U30:$V30,Perform_Active!$U$8:$V$8,DD$380),IF(ISNUMBER(Standards_Active!$AA30),IF(AND(DD$380&gt;=Standards_Active!$Q30,DD$380&lt;Standards_Active!$R30),(Standards_Active!$AA30-INDEX($CJ402:$DI402,1,MATCH((Standards_Active!$Q30-1),$CJ$380:$DI$380,FALSE)))/(Standards_Active!$R30-(Standards_Active!$Q30-1))+DC402,Standards_Active!$AA30*((1+Standards_Active!$AC30)^(DD$380-Standards_Active!$R30))),TREND(Perform_Active!$U30:$V30,Perform_Active!$U$8:$V$8,DD$380))),)</f>
        <v>0</v>
      </c>
      <c r="DE402" s="271">
        <f>IF(AND(Tech_Specs!$F29="step",Standards_Active!$S30="yes"),IF(DE$380&lt;Standards_Active!$Q30,TREND(Perform_Active!$U30:$V30,Perform_Active!$U$8:$V$8,DE$380),IF(ISNUMBER(Standards_Active!$AA30),IF(AND(DE$380&gt;=Standards_Active!$Q30,DE$380&lt;Standards_Active!$R30),(Standards_Active!$AA30-INDEX($CJ402:$DI402,1,MATCH((Standards_Active!$Q30-1),$CJ$380:$DI$380,FALSE)))/(Standards_Active!$R30-(Standards_Active!$Q30-1))+DD402,Standards_Active!$AA30*((1+Standards_Active!$AC30)^(DE$380-Standards_Active!$R30))),TREND(Perform_Active!$U30:$V30,Perform_Active!$U$8:$V$8,DE$380))),)</f>
        <v>0</v>
      </c>
      <c r="DF402" s="271">
        <f>IF(AND(Tech_Specs!$F29="step",Standards_Active!$S30="yes"),IF(DF$380&lt;Standards_Active!$Q30,TREND(Perform_Active!$U30:$V30,Perform_Active!$U$8:$V$8,DF$380),IF(ISNUMBER(Standards_Active!$AA30),IF(AND(DF$380&gt;=Standards_Active!$Q30,DF$380&lt;Standards_Active!$R30),(Standards_Active!$AA30-INDEX($CJ402:$DI402,1,MATCH((Standards_Active!$Q30-1),$CJ$380:$DI$380,FALSE)))/(Standards_Active!$R30-(Standards_Active!$Q30-1))+DE402,Standards_Active!$AA30*((1+Standards_Active!$AC30)^(DF$380-Standards_Active!$R30))),TREND(Perform_Active!$U30:$V30,Perform_Active!$U$8:$V$8,DF$380))),)</f>
        <v>0</v>
      </c>
      <c r="DG402" s="271">
        <f>IF(AND(Tech_Specs!$F29="step",Standards_Active!$S30="yes"),IF(DG$380&lt;Standards_Active!$Q30,TREND(Perform_Active!$U30:$V30,Perform_Active!$U$8:$V$8,DG$380),IF(ISNUMBER(Standards_Active!$AA30),IF(AND(DG$380&gt;=Standards_Active!$Q30,DG$380&lt;Standards_Active!$R30),(Standards_Active!$AA30-INDEX($CJ402:$DI402,1,MATCH((Standards_Active!$Q30-1),$CJ$380:$DI$380,FALSE)))/(Standards_Active!$R30-(Standards_Active!$Q30-1))+DF402,Standards_Active!$AA30*((1+Standards_Active!$AC30)^(DG$380-Standards_Active!$R30))),TREND(Perform_Active!$U30:$V30,Perform_Active!$U$8:$V$8,DG$380))),)</f>
        <v>0</v>
      </c>
      <c r="DH402" s="271">
        <f>IF(AND(Tech_Specs!$F29="step",Standards_Active!$S30="yes"),IF(DH$380&lt;Standards_Active!$Q30,TREND(Perform_Active!$U30:$V30,Perform_Active!$U$8:$V$8,DH$380),IF(ISNUMBER(Standards_Active!$AA30),IF(AND(DH$380&gt;=Standards_Active!$Q30,DH$380&lt;Standards_Active!$R30),(Standards_Active!$AA30-INDEX($CJ402:$DI402,1,MATCH((Standards_Active!$Q30-1),$CJ$380:$DI$380,FALSE)))/(Standards_Active!$R30-(Standards_Active!$Q30-1))+DG402,Standards_Active!$AA30*((1+Standards_Active!$AC30)^(DH$380-Standards_Active!$R30))),TREND(Perform_Active!$U30:$V30,Perform_Active!$U$8:$V$8,DH$380))),)</f>
        <v>0</v>
      </c>
      <c r="DI402" s="271">
        <f>IF(AND(Tech_Specs!$F29="step",Standards_Active!$S30="yes"),IF(DI$380&lt;Standards_Active!$Q30,TREND(Perform_Active!$U30:$V30,Perform_Active!$U$8:$V$8,DI$380),IF(ISNUMBER(Standards_Active!$AA30),IF(AND(DI$380&gt;=Standards_Active!$Q30,DI$380&lt;Standards_Active!$R30),(Standards_Active!$AA30-INDEX($CJ402:$DI402,1,MATCH((Standards_Active!$Q30-1),$CJ$380:$DI$380,FALSE)))/(Standards_Active!$R30-(Standards_Active!$Q30-1))+DH402,Standards_Active!$AA30*((1+Standards_Active!$AC30)^(DI$380-Standards_Active!$R30))),TREND(Perform_Active!$U30:$V30,Perform_Active!$U$8:$V$8,DI$380))),)</f>
        <v>0</v>
      </c>
    </row>
    <row r="403" spans="1:113" s="322" customFormat="1" ht="12.75" x14ac:dyDescent="0.2">
      <c r="B403" s="328" t="s">
        <v>46</v>
      </c>
      <c r="D403" s="550"/>
      <c r="E403" s="550"/>
      <c r="F403" s="550"/>
      <c r="G403" s="272">
        <f t="shared" si="75"/>
        <v>175</v>
      </c>
      <c r="H403" s="272">
        <f t="shared" si="75"/>
        <v>174.125</v>
      </c>
      <c r="I403" s="272">
        <f t="shared" si="75"/>
        <v>173.25</v>
      </c>
      <c r="J403" s="272">
        <f t="shared" si="75"/>
        <v>172.375</v>
      </c>
      <c r="K403" s="272">
        <f t="shared" si="75"/>
        <v>171.5</v>
      </c>
      <c r="L403" s="272">
        <f t="shared" si="75"/>
        <v>170.625</v>
      </c>
      <c r="M403" s="272">
        <f t="shared" si="75"/>
        <v>169.75</v>
      </c>
      <c r="N403" s="272">
        <f t="shared" si="75"/>
        <v>168.875</v>
      </c>
      <c r="O403" s="272">
        <f t="shared" si="75"/>
        <v>168</v>
      </c>
      <c r="P403" s="272">
        <f t="shared" si="75"/>
        <v>167.125</v>
      </c>
      <c r="Q403" s="272">
        <f t="shared" si="76"/>
        <v>166.25</v>
      </c>
      <c r="R403" s="272">
        <f t="shared" si="76"/>
        <v>165.375</v>
      </c>
      <c r="S403" s="272">
        <f t="shared" si="76"/>
        <v>164.5</v>
      </c>
      <c r="T403" s="272">
        <f t="shared" si="76"/>
        <v>163.625</v>
      </c>
      <c r="U403" s="272">
        <f t="shared" si="76"/>
        <v>162.75</v>
      </c>
      <c r="V403" s="272">
        <f t="shared" si="76"/>
        <v>161.875</v>
      </c>
      <c r="W403" s="272">
        <f t="shared" si="76"/>
        <v>161</v>
      </c>
      <c r="X403" s="272">
        <f t="shared" si="76"/>
        <v>160.125</v>
      </c>
      <c r="Y403" s="272">
        <f t="shared" si="76"/>
        <v>159.25</v>
      </c>
      <c r="Z403" s="272">
        <f t="shared" si="76"/>
        <v>158.375</v>
      </c>
      <c r="AA403" s="272">
        <f t="shared" si="77"/>
        <v>157.5</v>
      </c>
      <c r="AB403" s="272">
        <f t="shared" si="77"/>
        <v>156.625</v>
      </c>
      <c r="AC403" s="272">
        <f t="shared" si="77"/>
        <v>155.75</v>
      </c>
      <c r="AD403" s="272">
        <f t="shared" si="77"/>
        <v>154.875</v>
      </c>
      <c r="AE403" s="272">
        <f t="shared" si="77"/>
        <v>154</v>
      </c>
      <c r="AF403" s="272">
        <f t="shared" si="77"/>
        <v>153.125</v>
      </c>
      <c r="AG403" s="376"/>
      <c r="AH403" s="271">
        <f>IF(Tech_Specs!$F30="linear",TREND(Perform_Active!$U31:$V31,Perform_Active!$U$8:$V$8,AH$380),)</f>
        <v>175</v>
      </c>
      <c r="AI403" s="271">
        <f>IF(Tech_Specs!$F30="linear",TREND(Perform_Active!$U31:$V31,Perform_Active!$U$8:$V$8,AI$380),)</f>
        <v>174.125</v>
      </c>
      <c r="AJ403" s="271">
        <f>IF(Tech_Specs!$F30="linear",TREND(Perform_Active!$U31:$V31,Perform_Active!$U$8:$V$8,AJ$380),)</f>
        <v>173.25</v>
      </c>
      <c r="AK403" s="271">
        <f>IF(Tech_Specs!$F30="linear",TREND(Perform_Active!$U31:$V31,Perform_Active!$U$8:$V$8,AK$380),)</f>
        <v>172.375</v>
      </c>
      <c r="AL403" s="271">
        <f>IF(Tech_Specs!$F30="linear",TREND(Perform_Active!$U31:$V31,Perform_Active!$U$8:$V$8,AL$380),)</f>
        <v>171.5</v>
      </c>
      <c r="AM403" s="271">
        <f>IF(Tech_Specs!$F30="linear",TREND(Perform_Active!$U31:$V31,Perform_Active!$U$8:$V$8,AM$380),)</f>
        <v>170.625</v>
      </c>
      <c r="AN403" s="271">
        <f>IF(Tech_Specs!$F30="linear",TREND(Perform_Active!$U31:$V31,Perform_Active!$U$8:$V$8,AN$380),)</f>
        <v>169.75</v>
      </c>
      <c r="AO403" s="271">
        <f>IF(Tech_Specs!$F30="linear",TREND(Perform_Active!$U31:$V31,Perform_Active!$U$8:$V$8,AO$380),)</f>
        <v>168.875</v>
      </c>
      <c r="AP403" s="271">
        <f>IF(Tech_Specs!$F30="linear",TREND(Perform_Active!$U31:$V31,Perform_Active!$U$8:$V$8,AP$380),)</f>
        <v>168</v>
      </c>
      <c r="AQ403" s="271">
        <f>IF(Tech_Specs!$F30="linear",TREND(Perform_Active!$U31:$V31,Perform_Active!$U$8:$V$8,AQ$380),)</f>
        <v>167.125</v>
      </c>
      <c r="AR403" s="271">
        <f>IF(Tech_Specs!$F30="linear",TREND(Perform_Active!$U31:$V31,Perform_Active!$U$8:$V$8,AR$380),)</f>
        <v>166.25</v>
      </c>
      <c r="AS403" s="271">
        <f>IF(Tech_Specs!$F30="linear",TREND(Perform_Active!$U31:$V31,Perform_Active!$U$8:$V$8,AS$380),)</f>
        <v>165.375</v>
      </c>
      <c r="AT403" s="271">
        <f>IF(Tech_Specs!$F30="linear",TREND(Perform_Active!$U31:$V31,Perform_Active!$U$8:$V$8,AT$380),)</f>
        <v>164.5</v>
      </c>
      <c r="AU403" s="271">
        <f>IF(Tech_Specs!$F30="linear",TREND(Perform_Active!$U31:$V31,Perform_Active!$U$8:$V$8,AU$380),)</f>
        <v>163.625</v>
      </c>
      <c r="AV403" s="271">
        <f>IF(Tech_Specs!$F30="linear",TREND(Perform_Active!$U31:$V31,Perform_Active!$U$8:$V$8,AV$380),)</f>
        <v>162.75</v>
      </c>
      <c r="AW403" s="271">
        <f>IF(Tech_Specs!$F30="linear",TREND(Perform_Active!$U31:$V31,Perform_Active!$U$8:$V$8,AW$380),)</f>
        <v>161.875</v>
      </c>
      <c r="AX403" s="271">
        <f>IF(Tech_Specs!$F30="linear",TREND(Perform_Active!$U31:$V31,Perform_Active!$U$8:$V$8,AX$380),)</f>
        <v>161</v>
      </c>
      <c r="AY403" s="271">
        <f>IF(Tech_Specs!$F30="linear",TREND(Perform_Active!$U31:$V31,Perform_Active!$U$8:$V$8,AY$380),)</f>
        <v>160.125</v>
      </c>
      <c r="AZ403" s="271">
        <f>IF(Tech_Specs!$F30="linear",TREND(Perform_Active!$U31:$V31,Perform_Active!$U$8:$V$8,AZ$380),)</f>
        <v>159.25</v>
      </c>
      <c r="BA403" s="271">
        <f>IF(Tech_Specs!$F30="linear",TREND(Perform_Active!$U31:$V31,Perform_Active!$U$8:$V$8,BA$380),)</f>
        <v>158.375</v>
      </c>
      <c r="BB403" s="271">
        <f>IF(Tech_Specs!$F30="linear",TREND(Perform_Active!$U31:$V31,Perform_Active!$U$8:$V$8,BB$380),)</f>
        <v>157.5</v>
      </c>
      <c r="BC403" s="271">
        <f>IF(Tech_Specs!$F30="linear",TREND(Perform_Active!$U31:$V31,Perform_Active!$U$8:$V$8,BC$380),)</f>
        <v>156.625</v>
      </c>
      <c r="BD403" s="271">
        <f>IF(Tech_Specs!$F30="linear",TREND(Perform_Active!$U31:$V31,Perform_Active!$U$8:$V$8,BD$380),)</f>
        <v>155.75</v>
      </c>
      <c r="BE403" s="271">
        <f>IF(Tech_Specs!$F30="linear",TREND(Perform_Active!$U31:$V31,Perform_Active!$U$8:$V$8,BE$380),)</f>
        <v>154.875</v>
      </c>
      <c r="BF403" s="271">
        <f>IF(Tech_Specs!$F30="linear",TREND(Perform_Active!$U31:$V31,Perform_Active!$U$8:$V$8,BF$380),)</f>
        <v>154</v>
      </c>
      <c r="BG403" s="271">
        <f>IF(Tech_Specs!$F30="linear",TREND(Perform_Active!$U31:$V31,Perform_Active!$U$8:$V$8,BG$380),)</f>
        <v>153.125</v>
      </c>
      <c r="BH403" s="376"/>
      <c r="BI403" s="271">
        <f>IF(Tech_Specs!$F30="logistic",0,)</f>
        <v>0</v>
      </c>
      <c r="BJ403" s="271">
        <f>IF(Tech_Specs!$F30="logistic",0,)</f>
        <v>0</v>
      </c>
      <c r="BK403" s="271">
        <f>IF(Tech_Specs!$F30="logistic",0,)</f>
        <v>0</v>
      </c>
      <c r="BL403" s="271">
        <f>IF(Tech_Specs!$F30="logistic",0,)</f>
        <v>0</v>
      </c>
      <c r="BM403" s="271">
        <f>IF(Tech_Specs!$F30="logistic",0,)</f>
        <v>0</v>
      </c>
      <c r="BN403" s="271">
        <f>IF(Tech_Specs!$F30="logistic",0,)</f>
        <v>0</v>
      </c>
      <c r="BO403" s="271">
        <f>IF(Tech_Specs!$F30="logistic",0,)</f>
        <v>0</v>
      </c>
      <c r="BP403" s="271">
        <f>IF(Tech_Specs!$F30="logistic",0,)</f>
        <v>0</v>
      </c>
      <c r="BQ403" s="271">
        <f>IF(Tech_Specs!$F30="logistic",0,)</f>
        <v>0</v>
      </c>
      <c r="BR403" s="271">
        <f>IF(Tech_Specs!$F30="logistic",0,)</f>
        <v>0</v>
      </c>
      <c r="BS403" s="271">
        <f>IF(Tech_Specs!$F30="logistic",0,)</f>
        <v>0</v>
      </c>
      <c r="BT403" s="271">
        <f>IF(Tech_Specs!$F30="logistic",0,)</f>
        <v>0</v>
      </c>
      <c r="BU403" s="271">
        <f>IF(Tech_Specs!$F30="logistic",0,)</f>
        <v>0</v>
      </c>
      <c r="BV403" s="271">
        <f>IF(Tech_Specs!$F30="logistic",0,)</f>
        <v>0</v>
      </c>
      <c r="BW403" s="271">
        <f>IF(Tech_Specs!$F30="logistic",0,)</f>
        <v>0</v>
      </c>
      <c r="BX403" s="271">
        <f>IF(Tech_Specs!$F30="logistic",0,)</f>
        <v>0</v>
      </c>
      <c r="BY403" s="271">
        <f>IF(Tech_Specs!$F30="logistic",0,)</f>
        <v>0</v>
      </c>
      <c r="BZ403" s="271">
        <f>IF(Tech_Specs!$F30="logistic",0,)</f>
        <v>0</v>
      </c>
      <c r="CA403" s="271">
        <f>IF(Tech_Specs!$F30="logistic",0,)</f>
        <v>0</v>
      </c>
      <c r="CB403" s="271">
        <f>IF(Tech_Specs!$F30="logistic",0,)</f>
        <v>0</v>
      </c>
      <c r="CC403" s="271">
        <f>IF(Tech_Specs!$F30="logistic",0,)</f>
        <v>0</v>
      </c>
      <c r="CD403" s="271">
        <f>IF(Tech_Specs!$F30="logistic",0,)</f>
        <v>0</v>
      </c>
      <c r="CE403" s="271">
        <f>IF(Tech_Specs!$F30="logistic",0,)</f>
        <v>0</v>
      </c>
      <c r="CF403" s="271">
        <f>IF(Tech_Specs!$F30="logistic",0,)</f>
        <v>0</v>
      </c>
      <c r="CG403" s="271">
        <f>IF(Tech_Specs!$F30="logistic",0,)</f>
        <v>0</v>
      </c>
      <c r="CH403" s="271">
        <f>IF(Tech_Specs!$F30="logistic",0,)</f>
        <v>0</v>
      </c>
      <c r="CI403" s="376"/>
      <c r="CJ403" s="271">
        <f>IF(AND(Tech_Specs!$F30="step",Standards_Active!$S31="yes"),IF(CJ$380&lt;Standards_Active!$Q31,TREND(Perform_Active!$U31:$V31,Perform_Active!$U$8:$V$8,CJ$380),IF(ISNUMBER(Standards_Active!$AA31),IF(AND(CJ$380&gt;=Standards_Active!$Q31,CJ$380&lt;Standards_Active!$R31),(Standards_Active!$AA31-INDEX($CJ403:$DI403,1,MATCH((Standards_Active!$Q31-1),$CJ$380:$DI$380,FALSE)))/(Standards_Active!$R31-(Standards_Active!$Q31-1))+CI403,Standards_Active!$AA31*((1+Standards_Active!$AC31)^(CJ$380-Standards_Active!$R31))),TREND(Perform_Active!$U31:$V31,Perform_Active!$U$8:$V$8,CJ$380))),)</f>
        <v>0</v>
      </c>
      <c r="CK403" s="271">
        <f>IF(AND(Tech_Specs!$F30="step",Standards_Active!$S31="yes"),IF(CK$380&lt;Standards_Active!$Q31,TREND(Perform_Active!$U31:$V31,Perform_Active!$U$8:$V$8,CK$380),IF(ISNUMBER(Standards_Active!$AA31),IF(AND(CK$380&gt;=Standards_Active!$Q31,CK$380&lt;Standards_Active!$R31),(Standards_Active!$AA31-INDEX($CJ403:$DI403,1,MATCH((Standards_Active!$Q31-1),$CJ$380:$DI$380,FALSE)))/(Standards_Active!$R31-(Standards_Active!$Q31-1))+CJ403,Standards_Active!$AA31*((1+Standards_Active!$AC31)^(CK$380-Standards_Active!$R31))),TREND(Perform_Active!$U31:$V31,Perform_Active!$U$8:$V$8,CK$380))),)</f>
        <v>0</v>
      </c>
      <c r="CL403" s="271">
        <f>IF(AND(Tech_Specs!$F30="step",Standards_Active!$S31="yes"),IF(CL$380&lt;Standards_Active!$Q31,TREND(Perform_Active!$U31:$V31,Perform_Active!$U$8:$V$8,CL$380),IF(ISNUMBER(Standards_Active!$AA31),IF(AND(CL$380&gt;=Standards_Active!$Q31,CL$380&lt;Standards_Active!$R31),(Standards_Active!$AA31-INDEX($CJ403:$DI403,1,MATCH((Standards_Active!$Q31-1),$CJ$380:$DI$380,FALSE)))/(Standards_Active!$R31-(Standards_Active!$Q31-1))+CK403,Standards_Active!$AA31*((1+Standards_Active!$AC31)^(CL$380-Standards_Active!$R31))),TREND(Perform_Active!$U31:$V31,Perform_Active!$U$8:$V$8,CL$380))),)</f>
        <v>0</v>
      </c>
      <c r="CM403" s="271">
        <f>IF(AND(Tech_Specs!$F30="step",Standards_Active!$S31="yes"),IF(CM$380&lt;Standards_Active!$Q31,TREND(Perform_Active!$U31:$V31,Perform_Active!$U$8:$V$8,CM$380),IF(ISNUMBER(Standards_Active!$AA31),IF(AND(CM$380&gt;=Standards_Active!$Q31,CM$380&lt;Standards_Active!$R31),(Standards_Active!$AA31-INDEX($CJ403:$DI403,1,MATCH((Standards_Active!$Q31-1),$CJ$380:$DI$380,FALSE)))/(Standards_Active!$R31-(Standards_Active!$Q31-1))+CL403,Standards_Active!$AA31*((1+Standards_Active!$AC31)^(CM$380-Standards_Active!$R31))),TREND(Perform_Active!$U31:$V31,Perform_Active!$U$8:$V$8,CM$380))),)</f>
        <v>0</v>
      </c>
      <c r="CN403" s="271">
        <f>IF(AND(Tech_Specs!$F30="step",Standards_Active!$S31="yes"),IF(CN$380&lt;Standards_Active!$Q31,TREND(Perform_Active!$U31:$V31,Perform_Active!$U$8:$V$8,CN$380),IF(ISNUMBER(Standards_Active!$AA31),IF(AND(CN$380&gt;=Standards_Active!$Q31,CN$380&lt;Standards_Active!$R31),(Standards_Active!$AA31-INDEX($CJ403:$DI403,1,MATCH((Standards_Active!$Q31-1),$CJ$380:$DI$380,FALSE)))/(Standards_Active!$R31-(Standards_Active!$Q31-1))+CM403,Standards_Active!$AA31*((1+Standards_Active!$AC31)^(CN$380-Standards_Active!$R31))),TREND(Perform_Active!$U31:$V31,Perform_Active!$U$8:$V$8,CN$380))),)</f>
        <v>0</v>
      </c>
      <c r="CO403" s="271">
        <f>IF(AND(Tech_Specs!$F30="step",Standards_Active!$S31="yes"),IF(CO$380&lt;Standards_Active!$Q31,TREND(Perform_Active!$U31:$V31,Perform_Active!$U$8:$V$8,CO$380),IF(ISNUMBER(Standards_Active!$AA31),IF(AND(CO$380&gt;=Standards_Active!$Q31,CO$380&lt;Standards_Active!$R31),(Standards_Active!$AA31-INDEX($CJ403:$DI403,1,MATCH((Standards_Active!$Q31-1),$CJ$380:$DI$380,FALSE)))/(Standards_Active!$R31-(Standards_Active!$Q31-1))+CN403,Standards_Active!$AA31*((1+Standards_Active!$AC31)^(CO$380-Standards_Active!$R31))),TREND(Perform_Active!$U31:$V31,Perform_Active!$U$8:$V$8,CO$380))),)</f>
        <v>0</v>
      </c>
      <c r="CP403" s="271">
        <f>IF(AND(Tech_Specs!$F30="step",Standards_Active!$S31="yes"),IF(CP$380&lt;Standards_Active!$Q31,TREND(Perform_Active!$U31:$V31,Perform_Active!$U$8:$V$8,CP$380),IF(ISNUMBER(Standards_Active!$AA31),IF(AND(CP$380&gt;=Standards_Active!$Q31,CP$380&lt;Standards_Active!$R31),(Standards_Active!$AA31-INDEX($CJ403:$DI403,1,MATCH((Standards_Active!$Q31-1),$CJ$380:$DI$380,FALSE)))/(Standards_Active!$R31-(Standards_Active!$Q31-1))+CO403,Standards_Active!$AA31*((1+Standards_Active!$AC31)^(CP$380-Standards_Active!$R31))),TREND(Perform_Active!$U31:$V31,Perform_Active!$U$8:$V$8,CP$380))),)</f>
        <v>0</v>
      </c>
      <c r="CQ403" s="271">
        <f>IF(AND(Tech_Specs!$F30="step",Standards_Active!$S31="yes"),IF(CQ$380&lt;Standards_Active!$Q31,TREND(Perform_Active!$U31:$V31,Perform_Active!$U$8:$V$8,CQ$380),IF(ISNUMBER(Standards_Active!$AA31),IF(AND(CQ$380&gt;=Standards_Active!$Q31,CQ$380&lt;Standards_Active!$R31),(Standards_Active!$AA31-INDEX($CJ403:$DI403,1,MATCH((Standards_Active!$Q31-1),$CJ$380:$DI$380,FALSE)))/(Standards_Active!$R31-(Standards_Active!$Q31-1))+CP403,Standards_Active!$AA31*((1+Standards_Active!$AC31)^(CQ$380-Standards_Active!$R31))),TREND(Perform_Active!$U31:$V31,Perform_Active!$U$8:$V$8,CQ$380))),)</f>
        <v>0</v>
      </c>
      <c r="CR403" s="271">
        <f>IF(AND(Tech_Specs!$F30="step",Standards_Active!$S31="yes"),IF(CR$380&lt;Standards_Active!$Q31,TREND(Perform_Active!$U31:$V31,Perform_Active!$U$8:$V$8,CR$380),IF(ISNUMBER(Standards_Active!$AA31),IF(AND(CR$380&gt;=Standards_Active!$Q31,CR$380&lt;Standards_Active!$R31),(Standards_Active!$AA31-INDEX($CJ403:$DI403,1,MATCH((Standards_Active!$Q31-1),$CJ$380:$DI$380,FALSE)))/(Standards_Active!$R31-(Standards_Active!$Q31-1))+CQ403,Standards_Active!$AA31*((1+Standards_Active!$AC31)^(CR$380-Standards_Active!$R31))),TREND(Perform_Active!$U31:$V31,Perform_Active!$U$8:$V$8,CR$380))),)</f>
        <v>0</v>
      </c>
      <c r="CS403" s="271">
        <f>IF(AND(Tech_Specs!$F30="step",Standards_Active!$S31="yes"),IF(CS$380&lt;Standards_Active!$Q31,TREND(Perform_Active!$U31:$V31,Perform_Active!$U$8:$V$8,CS$380),IF(ISNUMBER(Standards_Active!$AA31),IF(AND(CS$380&gt;=Standards_Active!$Q31,CS$380&lt;Standards_Active!$R31),(Standards_Active!$AA31-INDEX($CJ403:$DI403,1,MATCH((Standards_Active!$Q31-1),$CJ$380:$DI$380,FALSE)))/(Standards_Active!$R31-(Standards_Active!$Q31-1))+CR403,Standards_Active!$AA31*((1+Standards_Active!$AC31)^(CS$380-Standards_Active!$R31))),TREND(Perform_Active!$U31:$V31,Perform_Active!$U$8:$V$8,CS$380))),)</f>
        <v>0</v>
      </c>
      <c r="CT403" s="271">
        <f>IF(AND(Tech_Specs!$F30="step",Standards_Active!$S31="yes"),IF(CT$380&lt;Standards_Active!$Q31,TREND(Perform_Active!$U31:$V31,Perform_Active!$U$8:$V$8,CT$380),IF(ISNUMBER(Standards_Active!$AA31),IF(AND(CT$380&gt;=Standards_Active!$Q31,CT$380&lt;Standards_Active!$R31),(Standards_Active!$AA31-INDEX($CJ403:$DI403,1,MATCH((Standards_Active!$Q31-1),$CJ$380:$DI$380,FALSE)))/(Standards_Active!$R31-(Standards_Active!$Q31-1))+CS403,Standards_Active!$AA31*((1+Standards_Active!$AC31)^(CT$380-Standards_Active!$R31))),TREND(Perform_Active!$U31:$V31,Perform_Active!$U$8:$V$8,CT$380))),)</f>
        <v>0</v>
      </c>
      <c r="CU403" s="271">
        <f>IF(AND(Tech_Specs!$F30="step",Standards_Active!$S31="yes"),IF(CU$380&lt;Standards_Active!$Q31,TREND(Perform_Active!$U31:$V31,Perform_Active!$U$8:$V$8,CU$380),IF(ISNUMBER(Standards_Active!$AA31),IF(AND(CU$380&gt;=Standards_Active!$Q31,CU$380&lt;Standards_Active!$R31),(Standards_Active!$AA31-INDEX($CJ403:$DI403,1,MATCH((Standards_Active!$Q31-1),$CJ$380:$DI$380,FALSE)))/(Standards_Active!$R31-(Standards_Active!$Q31-1))+CT403,Standards_Active!$AA31*((1+Standards_Active!$AC31)^(CU$380-Standards_Active!$R31))),TREND(Perform_Active!$U31:$V31,Perform_Active!$U$8:$V$8,CU$380))),)</f>
        <v>0</v>
      </c>
      <c r="CV403" s="271">
        <f>IF(AND(Tech_Specs!$F30="step",Standards_Active!$S31="yes"),IF(CV$380&lt;Standards_Active!$Q31,TREND(Perform_Active!$U31:$V31,Perform_Active!$U$8:$V$8,CV$380),IF(ISNUMBER(Standards_Active!$AA31),IF(AND(CV$380&gt;=Standards_Active!$Q31,CV$380&lt;Standards_Active!$R31),(Standards_Active!$AA31-INDEX($CJ403:$DI403,1,MATCH((Standards_Active!$Q31-1),$CJ$380:$DI$380,FALSE)))/(Standards_Active!$R31-(Standards_Active!$Q31-1))+CU403,Standards_Active!$AA31*((1+Standards_Active!$AC31)^(CV$380-Standards_Active!$R31))),TREND(Perform_Active!$U31:$V31,Perform_Active!$U$8:$V$8,CV$380))),)</f>
        <v>0</v>
      </c>
      <c r="CW403" s="271">
        <f>IF(AND(Tech_Specs!$F30="step",Standards_Active!$S31="yes"),IF(CW$380&lt;Standards_Active!$Q31,TREND(Perform_Active!$U31:$V31,Perform_Active!$U$8:$V$8,CW$380),IF(ISNUMBER(Standards_Active!$AA31),IF(AND(CW$380&gt;=Standards_Active!$Q31,CW$380&lt;Standards_Active!$R31),(Standards_Active!$AA31-INDEX($CJ403:$DI403,1,MATCH((Standards_Active!$Q31-1),$CJ$380:$DI$380,FALSE)))/(Standards_Active!$R31-(Standards_Active!$Q31-1))+CV403,Standards_Active!$AA31*((1+Standards_Active!$AC31)^(CW$380-Standards_Active!$R31))),TREND(Perform_Active!$U31:$V31,Perform_Active!$U$8:$V$8,CW$380))),)</f>
        <v>0</v>
      </c>
      <c r="CX403" s="271">
        <f>IF(AND(Tech_Specs!$F30="step",Standards_Active!$S31="yes"),IF(CX$380&lt;Standards_Active!$Q31,TREND(Perform_Active!$U31:$V31,Perform_Active!$U$8:$V$8,CX$380),IF(ISNUMBER(Standards_Active!$AA31),IF(AND(CX$380&gt;=Standards_Active!$Q31,CX$380&lt;Standards_Active!$R31),(Standards_Active!$AA31-INDEX($CJ403:$DI403,1,MATCH((Standards_Active!$Q31-1),$CJ$380:$DI$380,FALSE)))/(Standards_Active!$R31-(Standards_Active!$Q31-1))+CW403,Standards_Active!$AA31*((1+Standards_Active!$AC31)^(CX$380-Standards_Active!$R31))),TREND(Perform_Active!$U31:$V31,Perform_Active!$U$8:$V$8,CX$380))),)</f>
        <v>0</v>
      </c>
      <c r="CY403" s="271">
        <f>IF(AND(Tech_Specs!$F30="step",Standards_Active!$S31="yes"),IF(CY$380&lt;Standards_Active!$Q31,TREND(Perform_Active!$U31:$V31,Perform_Active!$U$8:$V$8,CY$380),IF(ISNUMBER(Standards_Active!$AA31),IF(AND(CY$380&gt;=Standards_Active!$Q31,CY$380&lt;Standards_Active!$R31),(Standards_Active!$AA31-INDEX($CJ403:$DI403,1,MATCH((Standards_Active!$Q31-1),$CJ$380:$DI$380,FALSE)))/(Standards_Active!$R31-(Standards_Active!$Q31-1))+CX403,Standards_Active!$AA31*((1+Standards_Active!$AC31)^(CY$380-Standards_Active!$R31))),TREND(Perform_Active!$U31:$V31,Perform_Active!$U$8:$V$8,CY$380))),)</f>
        <v>0</v>
      </c>
      <c r="CZ403" s="271">
        <f>IF(AND(Tech_Specs!$F30="step",Standards_Active!$S31="yes"),IF(CZ$380&lt;Standards_Active!$Q31,TREND(Perform_Active!$U31:$V31,Perform_Active!$U$8:$V$8,CZ$380),IF(ISNUMBER(Standards_Active!$AA31),IF(AND(CZ$380&gt;=Standards_Active!$Q31,CZ$380&lt;Standards_Active!$R31),(Standards_Active!$AA31-INDEX($CJ403:$DI403,1,MATCH((Standards_Active!$Q31-1),$CJ$380:$DI$380,FALSE)))/(Standards_Active!$R31-(Standards_Active!$Q31-1))+CY403,Standards_Active!$AA31*((1+Standards_Active!$AC31)^(CZ$380-Standards_Active!$R31))),TREND(Perform_Active!$U31:$V31,Perform_Active!$U$8:$V$8,CZ$380))),)</f>
        <v>0</v>
      </c>
      <c r="DA403" s="271">
        <f>IF(AND(Tech_Specs!$F30="step",Standards_Active!$S31="yes"),IF(DA$380&lt;Standards_Active!$Q31,TREND(Perform_Active!$U31:$V31,Perform_Active!$U$8:$V$8,DA$380),IF(ISNUMBER(Standards_Active!$AA31),IF(AND(DA$380&gt;=Standards_Active!$Q31,DA$380&lt;Standards_Active!$R31),(Standards_Active!$AA31-INDEX($CJ403:$DI403,1,MATCH((Standards_Active!$Q31-1),$CJ$380:$DI$380,FALSE)))/(Standards_Active!$R31-(Standards_Active!$Q31-1))+CZ403,Standards_Active!$AA31*((1+Standards_Active!$AC31)^(DA$380-Standards_Active!$R31))),TREND(Perform_Active!$U31:$V31,Perform_Active!$U$8:$V$8,DA$380))),)</f>
        <v>0</v>
      </c>
      <c r="DB403" s="271">
        <f>IF(AND(Tech_Specs!$F30="step",Standards_Active!$S31="yes"),IF(DB$380&lt;Standards_Active!$Q31,TREND(Perform_Active!$U31:$V31,Perform_Active!$U$8:$V$8,DB$380),IF(ISNUMBER(Standards_Active!$AA31),IF(AND(DB$380&gt;=Standards_Active!$Q31,DB$380&lt;Standards_Active!$R31),(Standards_Active!$AA31-INDEX($CJ403:$DI403,1,MATCH((Standards_Active!$Q31-1),$CJ$380:$DI$380,FALSE)))/(Standards_Active!$R31-(Standards_Active!$Q31-1))+DA403,Standards_Active!$AA31*((1+Standards_Active!$AC31)^(DB$380-Standards_Active!$R31))),TREND(Perform_Active!$U31:$V31,Perform_Active!$U$8:$V$8,DB$380))),)</f>
        <v>0</v>
      </c>
      <c r="DC403" s="271">
        <f>IF(AND(Tech_Specs!$F30="step",Standards_Active!$S31="yes"),IF(DC$380&lt;Standards_Active!$Q31,TREND(Perform_Active!$U31:$V31,Perform_Active!$U$8:$V$8,DC$380),IF(ISNUMBER(Standards_Active!$AA31),IF(AND(DC$380&gt;=Standards_Active!$Q31,DC$380&lt;Standards_Active!$R31),(Standards_Active!$AA31-INDEX($CJ403:$DI403,1,MATCH((Standards_Active!$Q31-1),$CJ$380:$DI$380,FALSE)))/(Standards_Active!$R31-(Standards_Active!$Q31-1))+DB403,Standards_Active!$AA31*((1+Standards_Active!$AC31)^(DC$380-Standards_Active!$R31))),TREND(Perform_Active!$U31:$V31,Perform_Active!$U$8:$V$8,DC$380))),)</f>
        <v>0</v>
      </c>
      <c r="DD403" s="271">
        <f>IF(AND(Tech_Specs!$F30="step",Standards_Active!$S31="yes"),IF(DD$380&lt;Standards_Active!$Q31,TREND(Perform_Active!$U31:$V31,Perform_Active!$U$8:$V$8,DD$380),IF(ISNUMBER(Standards_Active!$AA31),IF(AND(DD$380&gt;=Standards_Active!$Q31,DD$380&lt;Standards_Active!$R31),(Standards_Active!$AA31-INDEX($CJ403:$DI403,1,MATCH((Standards_Active!$Q31-1),$CJ$380:$DI$380,FALSE)))/(Standards_Active!$R31-(Standards_Active!$Q31-1))+DC403,Standards_Active!$AA31*((1+Standards_Active!$AC31)^(DD$380-Standards_Active!$R31))),TREND(Perform_Active!$U31:$V31,Perform_Active!$U$8:$V$8,DD$380))),)</f>
        <v>0</v>
      </c>
      <c r="DE403" s="271">
        <f>IF(AND(Tech_Specs!$F30="step",Standards_Active!$S31="yes"),IF(DE$380&lt;Standards_Active!$Q31,TREND(Perform_Active!$U31:$V31,Perform_Active!$U$8:$V$8,DE$380),IF(ISNUMBER(Standards_Active!$AA31),IF(AND(DE$380&gt;=Standards_Active!$Q31,DE$380&lt;Standards_Active!$R31),(Standards_Active!$AA31-INDEX($CJ403:$DI403,1,MATCH((Standards_Active!$Q31-1),$CJ$380:$DI$380,FALSE)))/(Standards_Active!$R31-(Standards_Active!$Q31-1))+DD403,Standards_Active!$AA31*((1+Standards_Active!$AC31)^(DE$380-Standards_Active!$R31))),TREND(Perform_Active!$U31:$V31,Perform_Active!$U$8:$V$8,DE$380))),)</f>
        <v>0</v>
      </c>
      <c r="DF403" s="271">
        <f>IF(AND(Tech_Specs!$F30="step",Standards_Active!$S31="yes"),IF(DF$380&lt;Standards_Active!$Q31,TREND(Perform_Active!$U31:$V31,Perform_Active!$U$8:$V$8,DF$380),IF(ISNUMBER(Standards_Active!$AA31),IF(AND(DF$380&gt;=Standards_Active!$Q31,DF$380&lt;Standards_Active!$R31),(Standards_Active!$AA31-INDEX($CJ403:$DI403,1,MATCH((Standards_Active!$Q31-1),$CJ$380:$DI$380,FALSE)))/(Standards_Active!$R31-(Standards_Active!$Q31-1))+DE403,Standards_Active!$AA31*((1+Standards_Active!$AC31)^(DF$380-Standards_Active!$R31))),TREND(Perform_Active!$U31:$V31,Perform_Active!$U$8:$V$8,DF$380))),)</f>
        <v>0</v>
      </c>
      <c r="DG403" s="271">
        <f>IF(AND(Tech_Specs!$F30="step",Standards_Active!$S31="yes"),IF(DG$380&lt;Standards_Active!$Q31,TREND(Perform_Active!$U31:$V31,Perform_Active!$U$8:$V$8,DG$380),IF(ISNUMBER(Standards_Active!$AA31),IF(AND(DG$380&gt;=Standards_Active!$Q31,DG$380&lt;Standards_Active!$R31),(Standards_Active!$AA31-INDEX($CJ403:$DI403,1,MATCH((Standards_Active!$Q31-1),$CJ$380:$DI$380,FALSE)))/(Standards_Active!$R31-(Standards_Active!$Q31-1))+DF403,Standards_Active!$AA31*((1+Standards_Active!$AC31)^(DG$380-Standards_Active!$R31))),TREND(Perform_Active!$U31:$V31,Perform_Active!$U$8:$V$8,DG$380))),)</f>
        <v>0</v>
      </c>
      <c r="DH403" s="271">
        <f>IF(AND(Tech_Specs!$F30="step",Standards_Active!$S31="yes"),IF(DH$380&lt;Standards_Active!$Q31,TREND(Perform_Active!$U31:$V31,Perform_Active!$U$8:$V$8,DH$380),IF(ISNUMBER(Standards_Active!$AA31),IF(AND(DH$380&gt;=Standards_Active!$Q31,DH$380&lt;Standards_Active!$R31),(Standards_Active!$AA31-INDEX($CJ403:$DI403,1,MATCH((Standards_Active!$Q31-1),$CJ$380:$DI$380,FALSE)))/(Standards_Active!$R31-(Standards_Active!$Q31-1))+DG403,Standards_Active!$AA31*((1+Standards_Active!$AC31)^(DH$380-Standards_Active!$R31))),TREND(Perform_Active!$U31:$V31,Perform_Active!$U$8:$V$8,DH$380))),)</f>
        <v>0</v>
      </c>
      <c r="DI403" s="271">
        <f>IF(AND(Tech_Specs!$F30="step",Standards_Active!$S31="yes"),IF(DI$380&lt;Standards_Active!$Q31,TREND(Perform_Active!$U31:$V31,Perform_Active!$U$8:$V$8,DI$380),IF(ISNUMBER(Standards_Active!$AA31),IF(AND(DI$380&gt;=Standards_Active!$Q31,DI$380&lt;Standards_Active!$R31),(Standards_Active!$AA31-INDEX($CJ403:$DI403,1,MATCH((Standards_Active!$Q31-1),$CJ$380:$DI$380,FALSE)))/(Standards_Active!$R31-(Standards_Active!$Q31-1))+DH403,Standards_Active!$AA31*((1+Standards_Active!$AC31)^(DI$380-Standards_Active!$R31))),TREND(Perform_Active!$U31:$V31,Perform_Active!$U$8:$V$8,DI$380))),)</f>
        <v>0</v>
      </c>
    </row>
    <row r="404" spans="1:113" s="322" customFormat="1" ht="12.75" x14ac:dyDescent="0.2">
      <c r="B404" s="322" t="s">
        <v>29</v>
      </c>
      <c r="D404" s="550"/>
      <c r="E404" s="550"/>
      <c r="F404" s="550"/>
      <c r="G404" s="272">
        <f>IF(ISNUMBER(Perform_Active!$U32),TREND(Perform_Active!$U32:$V32,Perform_Active!$U$8:$V$8,G$380),)</f>
        <v>0</v>
      </c>
      <c r="H404" s="272">
        <f>IF(ISNUMBER(Perform_Active!$U32),TREND(Perform_Active!$U32:$V32,Perform_Active!$U$8:$V$8,H$380),)</f>
        <v>0</v>
      </c>
      <c r="I404" s="272">
        <f>IF(ISNUMBER(Perform_Active!$U32),TREND(Perform_Active!$U32:$V32,Perform_Active!$U$8:$V$8,I$380),)</f>
        <v>0</v>
      </c>
      <c r="J404" s="272">
        <f>IF(ISNUMBER(Perform_Active!$U32),TREND(Perform_Active!$U32:$V32,Perform_Active!$U$8:$V$8,J$380),)</f>
        <v>0</v>
      </c>
      <c r="K404" s="272">
        <f>IF(ISNUMBER(Perform_Active!$U32),TREND(Perform_Active!$U32:$V32,Perform_Active!$U$8:$V$8,K$380),)</f>
        <v>0</v>
      </c>
      <c r="L404" s="272">
        <f>IF(ISNUMBER(Perform_Active!$U32),TREND(Perform_Active!$U32:$V32,Perform_Active!$U$8:$V$8,L$380),)</f>
        <v>0</v>
      </c>
      <c r="M404" s="272">
        <f>IF(ISNUMBER(Perform_Active!$U32),TREND(Perform_Active!$U32:$V32,Perform_Active!$U$8:$V$8,M$380),)</f>
        <v>0</v>
      </c>
      <c r="N404" s="272">
        <f>IF(ISNUMBER(Perform_Active!$U32),TREND(Perform_Active!$U32:$V32,Perform_Active!$U$8:$V$8,N$380),)</f>
        <v>0</v>
      </c>
      <c r="O404" s="272">
        <f>IF(ISNUMBER(Perform_Active!$U32),TREND(Perform_Active!$U32:$V32,Perform_Active!$U$8:$V$8,O$380),)</f>
        <v>0</v>
      </c>
      <c r="P404" s="272">
        <f>IF(ISNUMBER(Perform_Active!$U32),TREND(Perform_Active!$U32:$V32,Perform_Active!$U$8:$V$8,P$380),)</f>
        <v>0</v>
      </c>
      <c r="Q404" s="272">
        <f>IF(ISNUMBER(Perform_Active!$U32),TREND(Perform_Active!$U32:$V32,Perform_Active!$U$8:$V$8,Q$380),)</f>
        <v>0</v>
      </c>
      <c r="R404" s="272">
        <f>IF(ISNUMBER(Perform_Active!$U32),TREND(Perform_Active!$U32:$V32,Perform_Active!$U$8:$V$8,R$380),)</f>
        <v>0</v>
      </c>
      <c r="S404" s="272">
        <f>IF(ISNUMBER(Perform_Active!$U32),TREND(Perform_Active!$U32:$V32,Perform_Active!$U$8:$V$8,S$380),)</f>
        <v>0</v>
      </c>
      <c r="T404" s="272">
        <f>IF(ISNUMBER(Perform_Active!$U32),TREND(Perform_Active!$U32:$V32,Perform_Active!$U$8:$V$8,T$380),)</f>
        <v>0</v>
      </c>
      <c r="U404" s="272">
        <f>IF(ISNUMBER(Perform_Active!$U32),TREND(Perform_Active!$U32:$V32,Perform_Active!$U$8:$V$8,U$380),)</f>
        <v>0</v>
      </c>
      <c r="V404" s="272">
        <f>IF(ISNUMBER(Perform_Active!$U32),TREND(Perform_Active!$U32:$V32,Perform_Active!$U$8:$V$8,V$380),)</f>
        <v>0</v>
      </c>
      <c r="W404" s="272">
        <f>IF(ISNUMBER(Perform_Active!$U32),TREND(Perform_Active!$U32:$V32,Perform_Active!$U$8:$V$8,W$380),)</f>
        <v>0</v>
      </c>
      <c r="X404" s="272">
        <f>IF(ISNUMBER(Perform_Active!$U32),TREND(Perform_Active!$U32:$V32,Perform_Active!$U$8:$V$8,X$380),)</f>
        <v>0</v>
      </c>
      <c r="Y404" s="272">
        <f>IF(ISNUMBER(Perform_Active!$U32),TREND(Perform_Active!$U32:$V32,Perform_Active!$U$8:$V$8,Y$380),)</f>
        <v>0</v>
      </c>
      <c r="Z404" s="272">
        <f>IF(ISNUMBER(Perform_Active!$U32),TREND(Perform_Active!$U32:$V32,Perform_Active!$U$8:$V$8,Z$380),)</f>
        <v>0</v>
      </c>
      <c r="AA404" s="272">
        <f>IF(ISNUMBER(Perform_Active!$U32),TREND(Perform_Active!$U32:$V32,Perform_Active!$U$8:$V$8,AA$380),)</f>
        <v>0</v>
      </c>
      <c r="AB404" s="272">
        <f>IF(ISNUMBER(Perform_Active!$U32),TREND(Perform_Active!$U32:$V32,Perform_Active!$U$8:$V$8,AB$380),)</f>
        <v>0</v>
      </c>
      <c r="AC404" s="272">
        <f>IF(ISNUMBER(Perform_Active!$U32),TREND(Perform_Active!$U32:$V32,Perform_Active!$U$8:$V$8,AC$380),)</f>
        <v>0</v>
      </c>
      <c r="AD404" s="272">
        <f>IF(ISNUMBER(Perform_Active!$U32),TREND(Perform_Active!$U32:$V32,Perform_Active!$U$8:$V$8,AD$380),)</f>
        <v>0</v>
      </c>
      <c r="AE404" s="272">
        <f>IF(ISNUMBER(Perform_Active!$U32),TREND(Perform_Active!$U32:$V32,Perform_Active!$U$8:$V$8,AE$380),)</f>
        <v>0</v>
      </c>
      <c r="AF404" s="272">
        <f>IF(ISNUMBER(Perform_Active!$U32),TREND(Perform_Active!$U32:$V32,Perform_Active!$U$8:$V$8,AF$380),)</f>
        <v>0</v>
      </c>
      <c r="AG404" s="376"/>
      <c r="AH404" s="271">
        <f>IF(Tech_Specs!$F31="linear",TREND(Perform_Active!$U32:$V32,Perform_Active!$U$8:$V$8,AH$380),)</f>
        <v>0</v>
      </c>
      <c r="AI404" s="271">
        <f>IF(Tech_Specs!$F31="linear",TREND(Perform_Active!$U32:$V32,Perform_Active!$U$8:$V$8,AI$380),)</f>
        <v>0</v>
      </c>
      <c r="AJ404" s="271">
        <f>IF(Tech_Specs!$F31="linear",TREND(Perform_Active!$U32:$V32,Perform_Active!$U$8:$V$8,AJ$380),)</f>
        <v>0</v>
      </c>
      <c r="AK404" s="271">
        <f>IF(Tech_Specs!$F31="linear",TREND(Perform_Active!$U32:$V32,Perform_Active!$U$8:$V$8,AK$380),)</f>
        <v>0</v>
      </c>
      <c r="AL404" s="271">
        <f>IF(Tech_Specs!$F31="linear",TREND(Perform_Active!$U32:$V32,Perform_Active!$U$8:$V$8,AL$380),)</f>
        <v>0</v>
      </c>
      <c r="AM404" s="271">
        <f>IF(Tech_Specs!$F31="linear",TREND(Perform_Active!$U32:$V32,Perform_Active!$U$8:$V$8,AM$380),)</f>
        <v>0</v>
      </c>
      <c r="AN404" s="271">
        <f>IF(Tech_Specs!$F31="linear",TREND(Perform_Active!$U32:$V32,Perform_Active!$U$8:$V$8,AN$380),)</f>
        <v>0</v>
      </c>
      <c r="AO404" s="271">
        <f>IF(Tech_Specs!$F31="linear",TREND(Perform_Active!$U32:$V32,Perform_Active!$U$8:$V$8,AO$380),)</f>
        <v>0</v>
      </c>
      <c r="AP404" s="271">
        <f>IF(Tech_Specs!$F31="linear",TREND(Perform_Active!$U32:$V32,Perform_Active!$U$8:$V$8,AP$380),)</f>
        <v>0</v>
      </c>
      <c r="AQ404" s="271">
        <f>IF(Tech_Specs!$F31="linear",TREND(Perform_Active!$U32:$V32,Perform_Active!$U$8:$V$8,AQ$380),)</f>
        <v>0</v>
      </c>
      <c r="AR404" s="271">
        <f>IF(Tech_Specs!$F31="linear",TREND(Perform_Active!$U32:$V32,Perform_Active!$U$8:$V$8,AR$380),)</f>
        <v>0</v>
      </c>
      <c r="AS404" s="271">
        <f>IF(Tech_Specs!$F31="linear",TREND(Perform_Active!$U32:$V32,Perform_Active!$U$8:$V$8,AS$380),)</f>
        <v>0</v>
      </c>
      <c r="AT404" s="271">
        <f>IF(Tech_Specs!$F31="linear",TREND(Perform_Active!$U32:$V32,Perform_Active!$U$8:$V$8,AT$380),)</f>
        <v>0</v>
      </c>
      <c r="AU404" s="271">
        <f>IF(Tech_Specs!$F31="linear",TREND(Perform_Active!$U32:$V32,Perform_Active!$U$8:$V$8,AU$380),)</f>
        <v>0</v>
      </c>
      <c r="AV404" s="271">
        <f>IF(Tech_Specs!$F31="linear",TREND(Perform_Active!$U32:$V32,Perform_Active!$U$8:$V$8,AV$380),)</f>
        <v>0</v>
      </c>
      <c r="AW404" s="271">
        <f>IF(Tech_Specs!$F31="linear",TREND(Perform_Active!$U32:$V32,Perform_Active!$U$8:$V$8,AW$380),)</f>
        <v>0</v>
      </c>
      <c r="AX404" s="271">
        <f>IF(Tech_Specs!$F31="linear",TREND(Perform_Active!$U32:$V32,Perform_Active!$U$8:$V$8,AX$380),)</f>
        <v>0</v>
      </c>
      <c r="AY404" s="271">
        <f>IF(Tech_Specs!$F31="linear",TREND(Perform_Active!$U32:$V32,Perform_Active!$U$8:$V$8,AY$380),)</f>
        <v>0</v>
      </c>
      <c r="AZ404" s="271">
        <f>IF(Tech_Specs!$F31="linear",TREND(Perform_Active!$U32:$V32,Perform_Active!$U$8:$V$8,AZ$380),)</f>
        <v>0</v>
      </c>
      <c r="BA404" s="271">
        <f>IF(Tech_Specs!$F31="linear",TREND(Perform_Active!$U32:$V32,Perform_Active!$U$8:$V$8,BA$380),)</f>
        <v>0</v>
      </c>
      <c r="BB404" s="271">
        <f>IF(Tech_Specs!$F31="linear",TREND(Perform_Active!$U32:$V32,Perform_Active!$U$8:$V$8,BB$380),)</f>
        <v>0</v>
      </c>
      <c r="BC404" s="271">
        <f>IF(Tech_Specs!$F31="linear",TREND(Perform_Active!$U32:$V32,Perform_Active!$U$8:$V$8,BC$380),)</f>
        <v>0</v>
      </c>
      <c r="BD404" s="271">
        <f>IF(Tech_Specs!$F31="linear",TREND(Perform_Active!$U32:$V32,Perform_Active!$U$8:$V$8,BD$380),)</f>
        <v>0</v>
      </c>
      <c r="BE404" s="271">
        <f>IF(Tech_Specs!$F31="linear",TREND(Perform_Active!$U32:$V32,Perform_Active!$U$8:$V$8,BE$380),)</f>
        <v>0</v>
      </c>
      <c r="BF404" s="271">
        <f>IF(Tech_Specs!$F31="linear",TREND(Perform_Active!$U32:$V32,Perform_Active!$U$8:$V$8,BF$380),)</f>
        <v>0</v>
      </c>
      <c r="BG404" s="271">
        <f>IF(Tech_Specs!$F31="linear",TREND(Perform_Active!$U32:$V32,Perform_Active!$U$8:$V$8,BG$380),)</f>
        <v>0</v>
      </c>
      <c r="BH404" s="376"/>
      <c r="BI404" s="271">
        <f>IF(Tech_Specs!$F31="logistic",0,)</f>
        <v>0</v>
      </c>
      <c r="BJ404" s="271">
        <f>IF(Tech_Specs!$F31="logistic",0,)</f>
        <v>0</v>
      </c>
      <c r="BK404" s="271">
        <f>IF(Tech_Specs!$F31="logistic",0,)</f>
        <v>0</v>
      </c>
      <c r="BL404" s="271">
        <f>IF(Tech_Specs!$F31="logistic",0,)</f>
        <v>0</v>
      </c>
      <c r="BM404" s="271">
        <f>IF(Tech_Specs!$F31="logistic",0,)</f>
        <v>0</v>
      </c>
      <c r="BN404" s="271">
        <f>IF(Tech_Specs!$F31="logistic",0,)</f>
        <v>0</v>
      </c>
      <c r="BO404" s="271">
        <f>IF(Tech_Specs!$F31="logistic",0,)</f>
        <v>0</v>
      </c>
      <c r="BP404" s="271">
        <f>IF(Tech_Specs!$F31="logistic",0,)</f>
        <v>0</v>
      </c>
      <c r="BQ404" s="271">
        <f>IF(Tech_Specs!$F31="logistic",0,)</f>
        <v>0</v>
      </c>
      <c r="BR404" s="271">
        <f>IF(Tech_Specs!$F31="logistic",0,)</f>
        <v>0</v>
      </c>
      <c r="BS404" s="271">
        <f>IF(Tech_Specs!$F31="logistic",0,)</f>
        <v>0</v>
      </c>
      <c r="BT404" s="271">
        <f>IF(Tech_Specs!$F31="logistic",0,)</f>
        <v>0</v>
      </c>
      <c r="BU404" s="271">
        <f>IF(Tech_Specs!$F31="logistic",0,)</f>
        <v>0</v>
      </c>
      <c r="BV404" s="271">
        <f>IF(Tech_Specs!$F31="logistic",0,)</f>
        <v>0</v>
      </c>
      <c r="BW404" s="271">
        <f>IF(Tech_Specs!$F31="logistic",0,)</f>
        <v>0</v>
      </c>
      <c r="BX404" s="271">
        <f>IF(Tech_Specs!$F31="logistic",0,)</f>
        <v>0</v>
      </c>
      <c r="BY404" s="271">
        <f>IF(Tech_Specs!$F31="logistic",0,)</f>
        <v>0</v>
      </c>
      <c r="BZ404" s="271">
        <f>IF(Tech_Specs!$F31="logistic",0,)</f>
        <v>0</v>
      </c>
      <c r="CA404" s="271">
        <f>IF(Tech_Specs!$F31="logistic",0,)</f>
        <v>0</v>
      </c>
      <c r="CB404" s="271">
        <f>IF(Tech_Specs!$F31="logistic",0,)</f>
        <v>0</v>
      </c>
      <c r="CC404" s="271">
        <f>IF(Tech_Specs!$F31="logistic",0,)</f>
        <v>0</v>
      </c>
      <c r="CD404" s="271">
        <f>IF(Tech_Specs!$F31="logistic",0,)</f>
        <v>0</v>
      </c>
      <c r="CE404" s="271">
        <f>IF(Tech_Specs!$F31="logistic",0,)</f>
        <v>0</v>
      </c>
      <c r="CF404" s="271">
        <f>IF(Tech_Specs!$F31="logistic",0,)</f>
        <v>0</v>
      </c>
      <c r="CG404" s="271">
        <f>IF(Tech_Specs!$F31="logistic",0,)</f>
        <v>0</v>
      </c>
      <c r="CH404" s="271">
        <f>IF(Tech_Specs!$F31="logistic",0,)</f>
        <v>0</v>
      </c>
      <c r="CI404" s="376"/>
      <c r="CJ404" s="271">
        <f>IF(AND(Tech_Specs!$F31="step",Standards_Active!$S32="yes"),IF(CJ$380&lt;Standards_Active!$Q32,TREND(Perform_Active!$U32:$V32,Perform_Active!$U$8:$V$8,CJ$380),IF(ISNUMBER(Standards_Active!$AA32),IF(AND(CJ$380&gt;=Standards_Active!$Q32,CJ$380&lt;Standards_Active!$R32),(Standards_Active!$AA32-INDEX($CJ404:$DI404,1,MATCH((Standards_Active!$Q32-1),$CJ$380:$DI$380,FALSE)))/(Standards_Active!$R32-(Standards_Active!$Q32-1))+CI404,Standards_Active!$AA32*((1+Standards_Active!$AC32)^(CJ$380-Standards_Active!$R32))),TREND(Perform_Active!$U32:$V32,Perform_Active!$U$8:$V$8,CJ$380))),)</f>
        <v>0</v>
      </c>
      <c r="CK404" s="271">
        <f>IF(AND(Tech_Specs!$F31="step",Standards_Active!$S32="yes"),IF(CK$380&lt;Standards_Active!$Q32,TREND(Perform_Active!$U32:$V32,Perform_Active!$U$8:$V$8,CK$380),IF(ISNUMBER(Standards_Active!$AA32),IF(AND(CK$380&gt;=Standards_Active!$Q32,CK$380&lt;Standards_Active!$R32),(Standards_Active!$AA32-INDEX($CJ404:$DI404,1,MATCH((Standards_Active!$Q32-1),$CJ$380:$DI$380,FALSE)))/(Standards_Active!$R32-(Standards_Active!$Q32-1))+CJ404,Standards_Active!$AA32*((1+Standards_Active!$AC32)^(CK$380-Standards_Active!$R32))),TREND(Perform_Active!$U32:$V32,Perform_Active!$U$8:$V$8,CK$380))),)</f>
        <v>0</v>
      </c>
      <c r="CL404" s="271">
        <f>IF(AND(Tech_Specs!$F31="step",Standards_Active!$S32="yes"),IF(CL$380&lt;Standards_Active!$Q32,TREND(Perform_Active!$U32:$V32,Perform_Active!$U$8:$V$8,CL$380),IF(ISNUMBER(Standards_Active!$AA32),IF(AND(CL$380&gt;=Standards_Active!$Q32,CL$380&lt;Standards_Active!$R32),(Standards_Active!$AA32-INDEX($CJ404:$DI404,1,MATCH((Standards_Active!$Q32-1),$CJ$380:$DI$380,FALSE)))/(Standards_Active!$R32-(Standards_Active!$Q32-1))+CK404,Standards_Active!$AA32*((1+Standards_Active!$AC32)^(CL$380-Standards_Active!$R32))),TREND(Perform_Active!$U32:$V32,Perform_Active!$U$8:$V$8,CL$380))),)</f>
        <v>0</v>
      </c>
      <c r="CM404" s="271">
        <f>IF(AND(Tech_Specs!$F31="step",Standards_Active!$S32="yes"),IF(CM$380&lt;Standards_Active!$Q32,TREND(Perform_Active!$U32:$V32,Perform_Active!$U$8:$V$8,CM$380),IF(ISNUMBER(Standards_Active!$AA32),IF(AND(CM$380&gt;=Standards_Active!$Q32,CM$380&lt;Standards_Active!$R32),(Standards_Active!$AA32-INDEX($CJ404:$DI404,1,MATCH((Standards_Active!$Q32-1),$CJ$380:$DI$380,FALSE)))/(Standards_Active!$R32-(Standards_Active!$Q32-1))+CL404,Standards_Active!$AA32*((1+Standards_Active!$AC32)^(CM$380-Standards_Active!$R32))),TREND(Perform_Active!$U32:$V32,Perform_Active!$U$8:$V$8,CM$380))),)</f>
        <v>0</v>
      </c>
      <c r="CN404" s="271">
        <f>IF(AND(Tech_Specs!$F31="step",Standards_Active!$S32="yes"),IF(CN$380&lt;Standards_Active!$Q32,TREND(Perform_Active!$U32:$V32,Perform_Active!$U$8:$V$8,CN$380),IF(ISNUMBER(Standards_Active!$AA32),IF(AND(CN$380&gt;=Standards_Active!$Q32,CN$380&lt;Standards_Active!$R32),(Standards_Active!$AA32-INDEX($CJ404:$DI404,1,MATCH((Standards_Active!$Q32-1),$CJ$380:$DI$380,FALSE)))/(Standards_Active!$R32-(Standards_Active!$Q32-1))+CM404,Standards_Active!$AA32*((1+Standards_Active!$AC32)^(CN$380-Standards_Active!$R32))),TREND(Perform_Active!$U32:$V32,Perform_Active!$U$8:$V$8,CN$380))),)</f>
        <v>0</v>
      </c>
      <c r="CO404" s="271">
        <f>IF(AND(Tech_Specs!$F31="step",Standards_Active!$S32="yes"),IF(CO$380&lt;Standards_Active!$Q32,TREND(Perform_Active!$U32:$V32,Perform_Active!$U$8:$V$8,CO$380),IF(ISNUMBER(Standards_Active!$AA32),IF(AND(CO$380&gt;=Standards_Active!$Q32,CO$380&lt;Standards_Active!$R32),(Standards_Active!$AA32-INDEX($CJ404:$DI404,1,MATCH((Standards_Active!$Q32-1),$CJ$380:$DI$380,FALSE)))/(Standards_Active!$R32-(Standards_Active!$Q32-1))+CN404,Standards_Active!$AA32*((1+Standards_Active!$AC32)^(CO$380-Standards_Active!$R32))),TREND(Perform_Active!$U32:$V32,Perform_Active!$U$8:$V$8,CO$380))),)</f>
        <v>0</v>
      </c>
      <c r="CP404" s="271">
        <f>IF(AND(Tech_Specs!$F31="step",Standards_Active!$S32="yes"),IF(CP$380&lt;Standards_Active!$Q32,TREND(Perform_Active!$U32:$V32,Perform_Active!$U$8:$V$8,CP$380),IF(ISNUMBER(Standards_Active!$AA32),IF(AND(CP$380&gt;=Standards_Active!$Q32,CP$380&lt;Standards_Active!$R32),(Standards_Active!$AA32-INDEX($CJ404:$DI404,1,MATCH((Standards_Active!$Q32-1),$CJ$380:$DI$380,FALSE)))/(Standards_Active!$R32-(Standards_Active!$Q32-1))+CO404,Standards_Active!$AA32*((1+Standards_Active!$AC32)^(CP$380-Standards_Active!$R32))),TREND(Perform_Active!$U32:$V32,Perform_Active!$U$8:$V$8,CP$380))),)</f>
        <v>0</v>
      </c>
      <c r="CQ404" s="271">
        <f>IF(AND(Tech_Specs!$F31="step",Standards_Active!$S32="yes"),IF(CQ$380&lt;Standards_Active!$Q32,TREND(Perform_Active!$U32:$V32,Perform_Active!$U$8:$V$8,CQ$380),IF(ISNUMBER(Standards_Active!$AA32),IF(AND(CQ$380&gt;=Standards_Active!$Q32,CQ$380&lt;Standards_Active!$R32),(Standards_Active!$AA32-INDEX($CJ404:$DI404,1,MATCH((Standards_Active!$Q32-1),$CJ$380:$DI$380,FALSE)))/(Standards_Active!$R32-(Standards_Active!$Q32-1))+CP404,Standards_Active!$AA32*((1+Standards_Active!$AC32)^(CQ$380-Standards_Active!$R32))),TREND(Perform_Active!$U32:$V32,Perform_Active!$U$8:$V$8,CQ$380))),)</f>
        <v>0</v>
      </c>
      <c r="CR404" s="271">
        <f>IF(AND(Tech_Specs!$F31="step",Standards_Active!$S32="yes"),IF(CR$380&lt;Standards_Active!$Q32,TREND(Perform_Active!$U32:$V32,Perform_Active!$U$8:$V$8,CR$380),IF(ISNUMBER(Standards_Active!$AA32),IF(AND(CR$380&gt;=Standards_Active!$Q32,CR$380&lt;Standards_Active!$R32),(Standards_Active!$AA32-INDEX($CJ404:$DI404,1,MATCH((Standards_Active!$Q32-1),$CJ$380:$DI$380,FALSE)))/(Standards_Active!$R32-(Standards_Active!$Q32-1))+CQ404,Standards_Active!$AA32*((1+Standards_Active!$AC32)^(CR$380-Standards_Active!$R32))),TREND(Perform_Active!$U32:$V32,Perform_Active!$U$8:$V$8,CR$380))),)</f>
        <v>0</v>
      </c>
      <c r="CS404" s="271">
        <f>IF(AND(Tech_Specs!$F31="step",Standards_Active!$S32="yes"),IF(CS$380&lt;Standards_Active!$Q32,TREND(Perform_Active!$U32:$V32,Perform_Active!$U$8:$V$8,CS$380),IF(ISNUMBER(Standards_Active!$AA32),IF(AND(CS$380&gt;=Standards_Active!$Q32,CS$380&lt;Standards_Active!$R32),(Standards_Active!$AA32-INDEX($CJ404:$DI404,1,MATCH((Standards_Active!$Q32-1),$CJ$380:$DI$380,FALSE)))/(Standards_Active!$R32-(Standards_Active!$Q32-1))+CR404,Standards_Active!$AA32*((1+Standards_Active!$AC32)^(CS$380-Standards_Active!$R32))),TREND(Perform_Active!$U32:$V32,Perform_Active!$U$8:$V$8,CS$380))),)</f>
        <v>0</v>
      </c>
      <c r="CT404" s="271">
        <f>IF(AND(Tech_Specs!$F31="step",Standards_Active!$S32="yes"),IF(CT$380&lt;Standards_Active!$Q32,TREND(Perform_Active!$U32:$V32,Perform_Active!$U$8:$V$8,CT$380),IF(ISNUMBER(Standards_Active!$AA32),IF(AND(CT$380&gt;=Standards_Active!$Q32,CT$380&lt;Standards_Active!$R32),(Standards_Active!$AA32-INDEX($CJ404:$DI404,1,MATCH((Standards_Active!$Q32-1),$CJ$380:$DI$380,FALSE)))/(Standards_Active!$R32-(Standards_Active!$Q32-1))+CS404,Standards_Active!$AA32*((1+Standards_Active!$AC32)^(CT$380-Standards_Active!$R32))),TREND(Perform_Active!$U32:$V32,Perform_Active!$U$8:$V$8,CT$380))),)</f>
        <v>0</v>
      </c>
      <c r="CU404" s="271">
        <f>IF(AND(Tech_Specs!$F31="step",Standards_Active!$S32="yes"),IF(CU$380&lt;Standards_Active!$Q32,TREND(Perform_Active!$U32:$V32,Perform_Active!$U$8:$V$8,CU$380),IF(ISNUMBER(Standards_Active!$AA32),IF(AND(CU$380&gt;=Standards_Active!$Q32,CU$380&lt;Standards_Active!$R32),(Standards_Active!$AA32-INDEX($CJ404:$DI404,1,MATCH((Standards_Active!$Q32-1),$CJ$380:$DI$380,FALSE)))/(Standards_Active!$R32-(Standards_Active!$Q32-1))+CT404,Standards_Active!$AA32*((1+Standards_Active!$AC32)^(CU$380-Standards_Active!$R32))),TREND(Perform_Active!$U32:$V32,Perform_Active!$U$8:$V$8,CU$380))),)</f>
        <v>0</v>
      </c>
      <c r="CV404" s="271">
        <f>IF(AND(Tech_Specs!$F31="step",Standards_Active!$S32="yes"),IF(CV$380&lt;Standards_Active!$Q32,TREND(Perform_Active!$U32:$V32,Perform_Active!$U$8:$V$8,CV$380),IF(ISNUMBER(Standards_Active!$AA32),IF(AND(CV$380&gt;=Standards_Active!$Q32,CV$380&lt;Standards_Active!$R32),(Standards_Active!$AA32-INDEX($CJ404:$DI404,1,MATCH((Standards_Active!$Q32-1),$CJ$380:$DI$380,FALSE)))/(Standards_Active!$R32-(Standards_Active!$Q32-1))+CU404,Standards_Active!$AA32*((1+Standards_Active!$AC32)^(CV$380-Standards_Active!$R32))),TREND(Perform_Active!$U32:$V32,Perform_Active!$U$8:$V$8,CV$380))),)</f>
        <v>0</v>
      </c>
      <c r="CW404" s="271">
        <f>IF(AND(Tech_Specs!$F31="step",Standards_Active!$S32="yes"),IF(CW$380&lt;Standards_Active!$Q32,TREND(Perform_Active!$U32:$V32,Perform_Active!$U$8:$V$8,CW$380),IF(ISNUMBER(Standards_Active!$AA32),IF(AND(CW$380&gt;=Standards_Active!$Q32,CW$380&lt;Standards_Active!$R32),(Standards_Active!$AA32-INDEX($CJ404:$DI404,1,MATCH((Standards_Active!$Q32-1),$CJ$380:$DI$380,FALSE)))/(Standards_Active!$R32-(Standards_Active!$Q32-1))+CV404,Standards_Active!$AA32*((1+Standards_Active!$AC32)^(CW$380-Standards_Active!$R32))),TREND(Perform_Active!$U32:$V32,Perform_Active!$U$8:$V$8,CW$380))),)</f>
        <v>0</v>
      </c>
      <c r="CX404" s="271">
        <f>IF(AND(Tech_Specs!$F31="step",Standards_Active!$S32="yes"),IF(CX$380&lt;Standards_Active!$Q32,TREND(Perform_Active!$U32:$V32,Perform_Active!$U$8:$V$8,CX$380),IF(ISNUMBER(Standards_Active!$AA32),IF(AND(CX$380&gt;=Standards_Active!$Q32,CX$380&lt;Standards_Active!$R32),(Standards_Active!$AA32-INDEX($CJ404:$DI404,1,MATCH((Standards_Active!$Q32-1),$CJ$380:$DI$380,FALSE)))/(Standards_Active!$R32-(Standards_Active!$Q32-1))+CW404,Standards_Active!$AA32*((1+Standards_Active!$AC32)^(CX$380-Standards_Active!$R32))),TREND(Perform_Active!$U32:$V32,Perform_Active!$U$8:$V$8,CX$380))),)</f>
        <v>0</v>
      </c>
      <c r="CY404" s="271">
        <f>IF(AND(Tech_Specs!$F31="step",Standards_Active!$S32="yes"),IF(CY$380&lt;Standards_Active!$Q32,TREND(Perform_Active!$U32:$V32,Perform_Active!$U$8:$V$8,CY$380),IF(ISNUMBER(Standards_Active!$AA32),IF(AND(CY$380&gt;=Standards_Active!$Q32,CY$380&lt;Standards_Active!$R32),(Standards_Active!$AA32-INDEX($CJ404:$DI404,1,MATCH((Standards_Active!$Q32-1),$CJ$380:$DI$380,FALSE)))/(Standards_Active!$R32-(Standards_Active!$Q32-1))+CX404,Standards_Active!$AA32*((1+Standards_Active!$AC32)^(CY$380-Standards_Active!$R32))),TREND(Perform_Active!$U32:$V32,Perform_Active!$U$8:$V$8,CY$380))),)</f>
        <v>0</v>
      </c>
      <c r="CZ404" s="271">
        <f>IF(AND(Tech_Specs!$F31="step",Standards_Active!$S32="yes"),IF(CZ$380&lt;Standards_Active!$Q32,TREND(Perform_Active!$U32:$V32,Perform_Active!$U$8:$V$8,CZ$380),IF(ISNUMBER(Standards_Active!$AA32),IF(AND(CZ$380&gt;=Standards_Active!$Q32,CZ$380&lt;Standards_Active!$R32),(Standards_Active!$AA32-INDEX($CJ404:$DI404,1,MATCH((Standards_Active!$Q32-1),$CJ$380:$DI$380,FALSE)))/(Standards_Active!$R32-(Standards_Active!$Q32-1))+CY404,Standards_Active!$AA32*((1+Standards_Active!$AC32)^(CZ$380-Standards_Active!$R32))),TREND(Perform_Active!$U32:$V32,Perform_Active!$U$8:$V$8,CZ$380))),)</f>
        <v>0</v>
      </c>
      <c r="DA404" s="271">
        <f>IF(AND(Tech_Specs!$F31="step",Standards_Active!$S32="yes"),IF(DA$380&lt;Standards_Active!$Q32,TREND(Perform_Active!$U32:$V32,Perform_Active!$U$8:$V$8,DA$380),IF(ISNUMBER(Standards_Active!$AA32),IF(AND(DA$380&gt;=Standards_Active!$Q32,DA$380&lt;Standards_Active!$R32),(Standards_Active!$AA32-INDEX($CJ404:$DI404,1,MATCH((Standards_Active!$Q32-1),$CJ$380:$DI$380,FALSE)))/(Standards_Active!$R32-(Standards_Active!$Q32-1))+CZ404,Standards_Active!$AA32*((1+Standards_Active!$AC32)^(DA$380-Standards_Active!$R32))),TREND(Perform_Active!$U32:$V32,Perform_Active!$U$8:$V$8,DA$380))),)</f>
        <v>0</v>
      </c>
      <c r="DB404" s="271">
        <f>IF(AND(Tech_Specs!$F31="step",Standards_Active!$S32="yes"),IF(DB$380&lt;Standards_Active!$Q32,TREND(Perform_Active!$U32:$V32,Perform_Active!$U$8:$V$8,DB$380),IF(ISNUMBER(Standards_Active!$AA32),IF(AND(DB$380&gt;=Standards_Active!$Q32,DB$380&lt;Standards_Active!$R32),(Standards_Active!$AA32-INDEX($CJ404:$DI404,1,MATCH((Standards_Active!$Q32-1),$CJ$380:$DI$380,FALSE)))/(Standards_Active!$R32-(Standards_Active!$Q32-1))+DA404,Standards_Active!$AA32*((1+Standards_Active!$AC32)^(DB$380-Standards_Active!$R32))),TREND(Perform_Active!$U32:$V32,Perform_Active!$U$8:$V$8,DB$380))),)</f>
        <v>0</v>
      </c>
      <c r="DC404" s="271">
        <f>IF(AND(Tech_Specs!$F31="step",Standards_Active!$S32="yes"),IF(DC$380&lt;Standards_Active!$Q32,TREND(Perform_Active!$U32:$V32,Perform_Active!$U$8:$V$8,DC$380),IF(ISNUMBER(Standards_Active!$AA32),IF(AND(DC$380&gt;=Standards_Active!$Q32,DC$380&lt;Standards_Active!$R32),(Standards_Active!$AA32-INDEX($CJ404:$DI404,1,MATCH((Standards_Active!$Q32-1),$CJ$380:$DI$380,FALSE)))/(Standards_Active!$R32-(Standards_Active!$Q32-1))+DB404,Standards_Active!$AA32*((1+Standards_Active!$AC32)^(DC$380-Standards_Active!$R32))),TREND(Perform_Active!$U32:$V32,Perform_Active!$U$8:$V$8,DC$380))),)</f>
        <v>0</v>
      </c>
      <c r="DD404" s="271">
        <f>IF(AND(Tech_Specs!$F31="step",Standards_Active!$S32="yes"),IF(DD$380&lt;Standards_Active!$Q32,TREND(Perform_Active!$U32:$V32,Perform_Active!$U$8:$V$8,DD$380),IF(ISNUMBER(Standards_Active!$AA32),IF(AND(DD$380&gt;=Standards_Active!$Q32,DD$380&lt;Standards_Active!$R32),(Standards_Active!$AA32-INDEX($CJ404:$DI404,1,MATCH((Standards_Active!$Q32-1),$CJ$380:$DI$380,FALSE)))/(Standards_Active!$R32-(Standards_Active!$Q32-1))+DC404,Standards_Active!$AA32*((1+Standards_Active!$AC32)^(DD$380-Standards_Active!$R32))),TREND(Perform_Active!$U32:$V32,Perform_Active!$U$8:$V$8,DD$380))),)</f>
        <v>0</v>
      </c>
      <c r="DE404" s="271">
        <f>IF(AND(Tech_Specs!$F31="step",Standards_Active!$S32="yes"),IF(DE$380&lt;Standards_Active!$Q32,TREND(Perform_Active!$U32:$V32,Perform_Active!$U$8:$V$8,DE$380),IF(ISNUMBER(Standards_Active!$AA32),IF(AND(DE$380&gt;=Standards_Active!$Q32,DE$380&lt;Standards_Active!$R32),(Standards_Active!$AA32-INDEX($CJ404:$DI404,1,MATCH((Standards_Active!$Q32-1),$CJ$380:$DI$380,FALSE)))/(Standards_Active!$R32-(Standards_Active!$Q32-1))+DD404,Standards_Active!$AA32*((1+Standards_Active!$AC32)^(DE$380-Standards_Active!$R32))),TREND(Perform_Active!$U32:$V32,Perform_Active!$U$8:$V$8,DE$380))),)</f>
        <v>0</v>
      </c>
      <c r="DF404" s="271">
        <f>IF(AND(Tech_Specs!$F31="step",Standards_Active!$S32="yes"),IF(DF$380&lt;Standards_Active!$Q32,TREND(Perform_Active!$U32:$V32,Perform_Active!$U$8:$V$8,DF$380),IF(ISNUMBER(Standards_Active!$AA32),IF(AND(DF$380&gt;=Standards_Active!$Q32,DF$380&lt;Standards_Active!$R32),(Standards_Active!$AA32-INDEX($CJ404:$DI404,1,MATCH((Standards_Active!$Q32-1),$CJ$380:$DI$380,FALSE)))/(Standards_Active!$R32-(Standards_Active!$Q32-1))+DE404,Standards_Active!$AA32*((1+Standards_Active!$AC32)^(DF$380-Standards_Active!$R32))),TREND(Perform_Active!$U32:$V32,Perform_Active!$U$8:$V$8,DF$380))),)</f>
        <v>0</v>
      </c>
      <c r="DG404" s="271">
        <f>IF(AND(Tech_Specs!$F31="step",Standards_Active!$S32="yes"),IF(DG$380&lt;Standards_Active!$Q32,TREND(Perform_Active!$U32:$V32,Perform_Active!$U$8:$V$8,DG$380),IF(ISNUMBER(Standards_Active!$AA32),IF(AND(DG$380&gt;=Standards_Active!$Q32,DG$380&lt;Standards_Active!$R32),(Standards_Active!$AA32-INDEX($CJ404:$DI404,1,MATCH((Standards_Active!$Q32-1),$CJ$380:$DI$380,FALSE)))/(Standards_Active!$R32-(Standards_Active!$Q32-1))+DF404,Standards_Active!$AA32*((1+Standards_Active!$AC32)^(DG$380-Standards_Active!$R32))),TREND(Perform_Active!$U32:$V32,Perform_Active!$U$8:$V$8,DG$380))),)</f>
        <v>0</v>
      </c>
      <c r="DH404" s="271">
        <f>IF(AND(Tech_Specs!$F31="step",Standards_Active!$S32="yes"),IF(DH$380&lt;Standards_Active!$Q32,TREND(Perform_Active!$U32:$V32,Perform_Active!$U$8:$V$8,DH$380),IF(ISNUMBER(Standards_Active!$AA32),IF(AND(DH$380&gt;=Standards_Active!$Q32,DH$380&lt;Standards_Active!$R32),(Standards_Active!$AA32-INDEX($CJ404:$DI404,1,MATCH((Standards_Active!$Q32-1),$CJ$380:$DI$380,FALSE)))/(Standards_Active!$R32-(Standards_Active!$Q32-1))+DG404,Standards_Active!$AA32*((1+Standards_Active!$AC32)^(DH$380-Standards_Active!$R32))),TREND(Perform_Active!$U32:$V32,Perform_Active!$U$8:$V$8,DH$380))),)</f>
        <v>0</v>
      </c>
      <c r="DI404" s="271">
        <f>IF(AND(Tech_Specs!$F31="step",Standards_Active!$S32="yes"),IF(DI$380&lt;Standards_Active!$Q32,TREND(Perform_Active!$U32:$V32,Perform_Active!$U$8:$V$8,DI$380),IF(ISNUMBER(Standards_Active!$AA32),IF(AND(DI$380&gt;=Standards_Active!$Q32,DI$380&lt;Standards_Active!$R32),(Standards_Active!$AA32-INDEX($CJ404:$DI404,1,MATCH((Standards_Active!$Q32-1),$CJ$380:$DI$380,FALSE)))/(Standards_Active!$R32-(Standards_Active!$Q32-1))+DH404,Standards_Active!$AA32*((1+Standards_Active!$AC32)^(DI$380-Standards_Active!$R32))),TREND(Perform_Active!$U32:$V32,Perform_Active!$U$8:$V$8,DI$380))),)</f>
        <v>0</v>
      </c>
    </row>
    <row r="405" spans="1:113" s="322" customFormat="1" ht="12.75" x14ac:dyDescent="0.2">
      <c r="D405" s="550"/>
      <c r="E405" s="550"/>
      <c r="F405" s="550"/>
      <c r="G405" s="341"/>
      <c r="H405" s="341"/>
      <c r="I405" s="341"/>
      <c r="J405" s="341"/>
      <c r="K405" s="341"/>
      <c r="L405" s="341"/>
      <c r="M405" s="341"/>
      <c r="N405" s="341"/>
      <c r="O405" s="341"/>
      <c r="P405" s="341"/>
      <c r="Q405" s="341"/>
      <c r="R405" s="341"/>
      <c r="S405" s="341"/>
      <c r="T405" s="341"/>
      <c r="U405" s="341"/>
      <c r="V405" s="341"/>
      <c r="W405" s="341"/>
      <c r="X405" s="341"/>
      <c r="Y405" s="341"/>
      <c r="Z405" s="341"/>
      <c r="AA405" s="341"/>
      <c r="AB405" s="341"/>
      <c r="AC405" s="341"/>
      <c r="AD405" s="341"/>
      <c r="AE405" s="341"/>
      <c r="AF405" s="341"/>
      <c r="AG405" s="376"/>
      <c r="AH405" s="426"/>
      <c r="AI405" s="426"/>
      <c r="AJ405" s="426"/>
      <c r="AK405" s="426"/>
      <c r="AL405" s="426"/>
      <c r="AM405" s="426"/>
      <c r="AN405" s="426"/>
      <c r="AO405" s="426"/>
      <c r="AP405" s="426"/>
      <c r="AQ405" s="426"/>
      <c r="AR405" s="426"/>
      <c r="AS405" s="426"/>
      <c r="AT405" s="426"/>
      <c r="AU405" s="426"/>
      <c r="AV405" s="426"/>
      <c r="AW405" s="426"/>
      <c r="AX405" s="426"/>
      <c r="AY405" s="426"/>
      <c r="AZ405" s="426"/>
      <c r="BA405" s="426"/>
      <c r="BB405" s="426"/>
      <c r="BC405" s="426"/>
      <c r="BD405" s="426"/>
      <c r="BE405" s="426"/>
      <c r="BF405" s="426"/>
      <c r="BG405" s="426"/>
      <c r="BH405" s="376"/>
      <c r="BI405" s="426"/>
      <c r="BJ405" s="426"/>
      <c r="BK405" s="426"/>
      <c r="BL405" s="426"/>
      <c r="BM405" s="426"/>
      <c r="BN405" s="426"/>
      <c r="BO405" s="426"/>
      <c r="BP405" s="426"/>
      <c r="BQ405" s="426"/>
      <c r="BR405" s="426"/>
      <c r="BS405" s="426"/>
      <c r="BT405" s="426"/>
      <c r="BU405" s="426"/>
      <c r="BV405" s="426"/>
      <c r="BW405" s="426"/>
      <c r="BX405" s="426"/>
      <c r="BY405" s="426"/>
      <c r="BZ405" s="426"/>
      <c r="CA405" s="426"/>
      <c r="CB405" s="426"/>
      <c r="CC405" s="426"/>
      <c r="CD405" s="426"/>
      <c r="CE405" s="426"/>
      <c r="CF405" s="426"/>
      <c r="CG405" s="426"/>
      <c r="CH405" s="426"/>
      <c r="CI405" s="376"/>
      <c r="CJ405" s="426"/>
      <c r="CK405" s="426"/>
      <c r="CL405" s="426"/>
      <c r="CM405" s="426"/>
      <c r="CN405" s="426"/>
      <c r="CO405" s="426"/>
      <c r="CP405" s="426"/>
      <c r="CQ405" s="426"/>
      <c r="CR405" s="426"/>
      <c r="CS405" s="426"/>
      <c r="CT405" s="426"/>
      <c r="CU405" s="426"/>
      <c r="CV405" s="426"/>
      <c r="CW405" s="426"/>
      <c r="CX405" s="426"/>
      <c r="CY405" s="426"/>
      <c r="CZ405" s="426"/>
      <c r="DA405" s="426"/>
      <c r="DB405" s="426"/>
      <c r="DC405" s="426"/>
      <c r="DD405" s="426"/>
      <c r="DE405" s="426"/>
      <c r="DF405" s="426"/>
      <c r="DG405" s="426"/>
      <c r="DH405" s="426"/>
      <c r="DI405" s="426"/>
    </row>
    <row r="406" spans="1:113" s="322" customFormat="1" ht="12.75" x14ac:dyDescent="0.2">
      <c r="A406" s="334" t="s">
        <v>47</v>
      </c>
      <c r="B406" s="333"/>
      <c r="C406" s="324"/>
      <c r="D406" s="501"/>
      <c r="E406" s="501"/>
      <c r="F406" s="501"/>
      <c r="G406" s="320"/>
      <c r="H406" s="320"/>
      <c r="I406" s="320"/>
      <c r="J406" s="320"/>
      <c r="K406" s="320"/>
      <c r="L406" s="320"/>
      <c r="M406" s="320"/>
      <c r="N406" s="320"/>
      <c r="O406" s="320"/>
      <c r="P406" s="320"/>
      <c r="Q406" s="320"/>
      <c r="R406" s="320"/>
      <c r="S406" s="320"/>
      <c r="T406" s="320"/>
      <c r="U406" s="320"/>
      <c r="V406" s="320"/>
      <c r="W406" s="320"/>
      <c r="X406" s="320"/>
      <c r="Y406" s="320"/>
      <c r="Z406" s="320"/>
      <c r="AA406" s="320"/>
      <c r="AB406" s="320"/>
      <c r="AC406" s="320"/>
      <c r="AD406" s="320"/>
      <c r="AE406" s="320"/>
      <c r="AF406" s="320"/>
      <c r="AG406" s="376"/>
      <c r="AH406" s="320"/>
      <c r="AI406" s="320"/>
      <c r="AJ406" s="320"/>
      <c r="AK406" s="320"/>
      <c r="AL406" s="320"/>
      <c r="AM406" s="320"/>
      <c r="AN406" s="320"/>
      <c r="AO406" s="320"/>
      <c r="AP406" s="320"/>
      <c r="AQ406" s="320"/>
      <c r="AR406" s="320"/>
      <c r="AS406" s="320"/>
      <c r="AT406" s="320"/>
      <c r="AU406" s="320"/>
      <c r="AV406" s="320"/>
      <c r="AW406" s="320"/>
      <c r="AX406" s="320"/>
      <c r="AY406" s="320"/>
      <c r="AZ406" s="320"/>
      <c r="BA406" s="320"/>
      <c r="BB406" s="320"/>
      <c r="BC406" s="320"/>
      <c r="BD406" s="320"/>
      <c r="BE406" s="320"/>
      <c r="BF406" s="320"/>
      <c r="BG406" s="320"/>
      <c r="BH406" s="376"/>
      <c r="BI406" s="320"/>
      <c r="BJ406" s="320"/>
      <c r="BK406" s="320"/>
      <c r="BL406" s="320"/>
      <c r="BM406" s="320"/>
      <c r="BN406" s="320"/>
      <c r="BO406" s="320"/>
      <c r="BP406" s="320"/>
      <c r="BQ406" s="320"/>
      <c r="BR406" s="320"/>
      <c r="BS406" s="320"/>
      <c r="BT406" s="320"/>
      <c r="BU406" s="320"/>
      <c r="BV406" s="320"/>
      <c r="BW406" s="320"/>
      <c r="BX406" s="320"/>
      <c r="BY406" s="320"/>
      <c r="BZ406" s="320"/>
      <c r="CA406" s="320"/>
      <c r="CB406" s="320"/>
      <c r="CC406" s="320"/>
      <c r="CD406" s="320"/>
      <c r="CE406" s="320"/>
      <c r="CF406" s="320"/>
      <c r="CG406" s="320"/>
      <c r="CH406" s="320"/>
      <c r="CI406" s="376"/>
      <c r="CJ406" s="320"/>
      <c r="CK406" s="320"/>
      <c r="CL406" s="320"/>
      <c r="CM406" s="320"/>
      <c r="CN406" s="320"/>
      <c r="CO406" s="320"/>
      <c r="CP406" s="320"/>
      <c r="CQ406" s="320"/>
      <c r="CR406" s="320"/>
      <c r="CS406" s="320"/>
      <c r="CT406" s="320"/>
      <c r="CU406" s="320"/>
      <c r="CV406" s="320"/>
      <c r="CW406" s="320"/>
      <c r="CX406" s="320"/>
      <c r="CY406" s="320"/>
      <c r="CZ406" s="320"/>
      <c r="DA406" s="320"/>
      <c r="DB406" s="320"/>
      <c r="DC406" s="320"/>
      <c r="DD406" s="320"/>
      <c r="DE406" s="320"/>
      <c r="DF406" s="320"/>
      <c r="DG406" s="320"/>
      <c r="DH406" s="320"/>
      <c r="DI406" s="320"/>
    </row>
    <row r="407" spans="1:113" s="322" customFormat="1" ht="12.75" x14ac:dyDescent="0.2">
      <c r="B407" s="322" t="s">
        <v>48</v>
      </c>
      <c r="C407" s="328"/>
      <c r="D407" s="552"/>
      <c r="E407" s="552"/>
      <c r="F407" s="552"/>
      <c r="G407" s="272">
        <f t="shared" ref="G407:P412" si="78">SUM(AH407,BI407,CJ407)</f>
        <v>0</v>
      </c>
      <c r="H407" s="272">
        <f t="shared" si="78"/>
        <v>0</v>
      </c>
      <c r="I407" s="272">
        <f t="shared" si="78"/>
        <v>0</v>
      </c>
      <c r="J407" s="272">
        <f t="shared" si="78"/>
        <v>0</v>
      </c>
      <c r="K407" s="272">
        <f t="shared" si="78"/>
        <v>0</v>
      </c>
      <c r="L407" s="272">
        <f t="shared" si="78"/>
        <v>0</v>
      </c>
      <c r="M407" s="272">
        <f t="shared" si="78"/>
        <v>0</v>
      </c>
      <c r="N407" s="272">
        <f t="shared" si="78"/>
        <v>0</v>
      </c>
      <c r="O407" s="272">
        <f t="shared" si="78"/>
        <v>0</v>
      </c>
      <c r="P407" s="272">
        <f t="shared" si="78"/>
        <v>0</v>
      </c>
      <c r="Q407" s="272">
        <f t="shared" ref="Q407:Z412" si="79">SUM(AR407,BS407,CT407)</f>
        <v>0</v>
      </c>
      <c r="R407" s="272">
        <f t="shared" si="79"/>
        <v>0</v>
      </c>
      <c r="S407" s="272">
        <f t="shared" si="79"/>
        <v>0</v>
      </c>
      <c r="T407" s="272">
        <f t="shared" si="79"/>
        <v>0</v>
      </c>
      <c r="U407" s="272">
        <f t="shared" si="79"/>
        <v>0</v>
      </c>
      <c r="V407" s="272">
        <f t="shared" si="79"/>
        <v>0</v>
      </c>
      <c r="W407" s="272">
        <f t="shared" si="79"/>
        <v>0</v>
      </c>
      <c r="X407" s="272">
        <f t="shared" si="79"/>
        <v>0</v>
      </c>
      <c r="Y407" s="272">
        <f t="shared" si="79"/>
        <v>0</v>
      </c>
      <c r="Z407" s="272">
        <f t="shared" si="79"/>
        <v>0</v>
      </c>
      <c r="AA407" s="272">
        <f t="shared" ref="AA407:AF412" si="80">SUM(BB407,CC407,DD407)</f>
        <v>0</v>
      </c>
      <c r="AB407" s="272">
        <f t="shared" si="80"/>
        <v>0</v>
      </c>
      <c r="AC407" s="272">
        <f t="shared" si="80"/>
        <v>0</v>
      </c>
      <c r="AD407" s="272">
        <f t="shared" si="80"/>
        <v>0</v>
      </c>
      <c r="AE407" s="272">
        <f t="shared" si="80"/>
        <v>0</v>
      </c>
      <c r="AF407" s="272">
        <f t="shared" si="80"/>
        <v>0</v>
      </c>
      <c r="AG407" s="376"/>
      <c r="AH407" s="271">
        <f>IF(Tech_Specs!$F34="linear",TREND(Perform_Active!$U35:$V35,Perform_Active!$U$8:$V$8,AH$380),)</f>
        <v>0</v>
      </c>
      <c r="AI407" s="271">
        <f>IF(Tech_Specs!$F34="linear",TREND(Perform_Active!$U35:$V35,Perform_Active!$U$8:$V$8,AI$380),)</f>
        <v>0</v>
      </c>
      <c r="AJ407" s="271">
        <f>IF(Tech_Specs!$F34="linear",TREND(Perform_Active!$U35:$V35,Perform_Active!$U$8:$V$8,AJ$380),)</f>
        <v>0</v>
      </c>
      <c r="AK407" s="271">
        <f>IF(Tech_Specs!$F34="linear",TREND(Perform_Active!$U35:$V35,Perform_Active!$U$8:$V$8,AK$380),)</f>
        <v>0</v>
      </c>
      <c r="AL407" s="271">
        <f>IF(Tech_Specs!$F34="linear",TREND(Perform_Active!$U35:$V35,Perform_Active!$U$8:$V$8,AL$380),)</f>
        <v>0</v>
      </c>
      <c r="AM407" s="271">
        <f>IF(Tech_Specs!$F34="linear",TREND(Perform_Active!$U35:$V35,Perform_Active!$U$8:$V$8,AM$380),)</f>
        <v>0</v>
      </c>
      <c r="AN407" s="271">
        <f>IF(Tech_Specs!$F34="linear",TREND(Perform_Active!$U35:$V35,Perform_Active!$U$8:$V$8,AN$380),)</f>
        <v>0</v>
      </c>
      <c r="AO407" s="271">
        <f>IF(Tech_Specs!$F34="linear",TREND(Perform_Active!$U35:$V35,Perform_Active!$U$8:$V$8,AO$380),)</f>
        <v>0</v>
      </c>
      <c r="AP407" s="271">
        <f>IF(Tech_Specs!$F34="linear",TREND(Perform_Active!$U35:$V35,Perform_Active!$U$8:$V$8,AP$380),)</f>
        <v>0</v>
      </c>
      <c r="AQ407" s="271">
        <f>IF(Tech_Specs!$F34="linear",TREND(Perform_Active!$U35:$V35,Perform_Active!$U$8:$V$8,AQ$380),)</f>
        <v>0</v>
      </c>
      <c r="AR407" s="271">
        <f>IF(Tech_Specs!$F34="linear",TREND(Perform_Active!$U35:$V35,Perform_Active!$U$8:$V$8,AR$380),)</f>
        <v>0</v>
      </c>
      <c r="AS407" s="271">
        <f>IF(Tech_Specs!$F34="linear",TREND(Perform_Active!$U35:$V35,Perform_Active!$U$8:$V$8,AS$380),)</f>
        <v>0</v>
      </c>
      <c r="AT407" s="271">
        <f>IF(Tech_Specs!$F34="linear",TREND(Perform_Active!$U35:$V35,Perform_Active!$U$8:$V$8,AT$380),)</f>
        <v>0</v>
      </c>
      <c r="AU407" s="271">
        <f>IF(Tech_Specs!$F34="linear",TREND(Perform_Active!$U35:$V35,Perform_Active!$U$8:$V$8,AU$380),)</f>
        <v>0</v>
      </c>
      <c r="AV407" s="271">
        <f>IF(Tech_Specs!$F34="linear",TREND(Perform_Active!$U35:$V35,Perform_Active!$U$8:$V$8,AV$380),)</f>
        <v>0</v>
      </c>
      <c r="AW407" s="271">
        <f>IF(Tech_Specs!$F34="linear",TREND(Perform_Active!$U35:$V35,Perform_Active!$U$8:$V$8,AW$380),)</f>
        <v>0</v>
      </c>
      <c r="AX407" s="271">
        <f>IF(Tech_Specs!$F34="linear",TREND(Perform_Active!$U35:$V35,Perform_Active!$U$8:$V$8,AX$380),)</f>
        <v>0</v>
      </c>
      <c r="AY407" s="271">
        <f>IF(Tech_Specs!$F34="linear",TREND(Perform_Active!$U35:$V35,Perform_Active!$U$8:$V$8,AY$380),)</f>
        <v>0</v>
      </c>
      <c r="AZ407" s="271">
        <f>IF(Tech_Specs!$F34="linear",TREND(Perform_Active!$U35:$V35,Perform_Active!$U$8:$V$8,AZ$380),)</f>
        <v>0</v>
      </c>
      <c r="BA407" s="271">
        <f>IF(Tech_Specs!$F34="linear",TREND(Perform_Active!$U35:$V35,Perform_Active!$U$8:$V$8,BA$380),)</f>
        <v>0</v>
      </c>
      <c r="BB407" s="271">
        <f>IF(Tech_Specs!$F34="linear",TREND(Perform_Active!$U35:$V35,Perform_Active!$U$8:$V$8,BB$380),)</f>
        <v>0</v>
      </c>
      <c r="BC407" s="271">
        <f>IF(Tech_Specs!$F34="linear",TREND(Perform_Active!$U35:$V35,Perform_Active!$U$8:$V$8,BC$380),)</f>
        <v>0</v>
      </c>
      <c r="BD407" s="271">
        <f>IF(Tech_Specs!$F34="linear",TREND(Perform_Active!$U35:$V35,Perform_Active!$U$8:$V$8,BD$380),)</f>
        <v>0</v>
      </c>
      <c r="BE407" s="271">
        <f>IF(Tech_Specs!$F34="linear",TREND(Perform_Active!$U35:$V35,Perform_Active!$U$8:$V$8,BE$380),)</f>
        <v>0</v>
      </c>
      <c r="BF407" s="271">
        <f>IF(Tech_Specs!$F34="linear",TREND(Perform_Active!$U35:$V35,Perform_Active!$U$8:$V$8,BF$380),)</f>
        <v>0</v>
      </c>
      <c r="BG407" s="271">
        <f>IF(Tech_Specs!$F34="linear",TREND(Perform_Active!$U35:$V35,Perform_Active!$U$8:$V$8,BG$380),)</f>
        <v>0</v>
      </c>
      <c r="BH407" s="376"/>
      <c r="BI407" s="271">
        <f>IF(Tech_Specs!$F34="logistic",0,)</f>
        <v>0</v>
      </c>
      <c r="BJ407" s="271">
        <f>IF(Tech_Specs!$F34="logistic",0,)</f>
        <v>0</v>
      </c>
      <c r="BK407" s="271">
        <f>IF(Tech_Specs!$F34="logistic",0,)</f>
        <v>0</v>
      </c>
      <c r="BL407" s="271">
        <f>IF(Tech_Specs!$F34="logistic",0,)</f>
        <v>0</v>
      </c>
      <c r="BM407" s="271">
        <f>IF(Tech_Specs!$F34="logistic",0,)</f>
        <v>0</v>
      </c>
      <c r="BN407" s="271">
        <f>IF(Tech_Specs!$F34="logistic",0,)</f>
        <v>0</v>
      </c>
      <c r="BO407" s="271">
        <f>IF(Tech_Specs!$F34="logistic",0,)</f>
        <v>0</v>
      </c>
      <c r="BP407" s="271">
        <f>IF(Tech_Specs!$F34="logistic",0,)</f>
        <v>0</v>
      </c>
      <c r="BQ407" s="271">
        <f>IF(Tech_Specs!$F34="logistic",0,)</f>
        <v>0</v>
      </c>
      <c r="BR407" s="271">
        <f>IF(Tech_Specs!$F34="logistic",0,)</f>
        <v>0</v>
      </c>
      <c r="BS407" s="271">
        <f>IF(Tech_Specs!$F34="logistic",0,)</f>
        <v>0</v>
      </c>
      <c r="BT407" s="271">
        <f>IF(Tech_Specs!$F34="logistic",0,)</f>
        <v>0</v>
      </c>
      <c r="BU407" s="271">
        <f>IF(Tech_Specs!$F34="logistic",0,)</f>
        <v>0</v>
      </c>
      <c r="BV407" s="271">
        <f>IF(Tech_Specs!$F34="logistic",0,)</f>
        <v>0</v>
      </c>
      <c r="BW407" s="271">
        <f>IF(Tech_Specs!$F34="logistic",0,)</f>
        <v>0</v>
      </c>
      <c r="BX407" s="271">
        <f>IF(Tech_Specs!$F34="logistic",0,)</f>
        <v>0</v>
      </c>
      <c r="BY407" s="271">
        <f>IF(Tech_Specs!$F34="logistic",0,)</f>
        <v>0</v>
      </c>
      <c r="BZ407" s="271">
        <f>IF(Tech_Specs!$F34="logistic",0,)</f>
        <v>0</v>
      </c>
      <c r="CA407" s="271">
        <f>IF(Tech_Specs!$F34="logistic",0,)</f>
        <v>0</v>
      </c>
      <c r="CB407" s="271">
        <f>IF(Tech_Specs!$F34="logistic",0,)</f>
        <v>0</v>
      </c>
      <c r="CC407" s="271">
        <f>IF(Tech_Specs!$F34="logistic",0,)</f>
        <v>0</v>
      </c>
      <c r="CD407" s="271">
        <f>IF(Tech_Specs!$F34="logistic",0,)</f>
        <v>0</v>
      </c>
      <c r="CE407" s="271">
        <f>IF(Tech_Specs!$F34="logistic",0,)</f>
        <v>0</v>
      </c>
      <c r="CF407" s="271">
        <f>IF(Tech_Specs!$F34="logistic",0,)</f>
        <v>0</v>
      </c>
      <c r="CG407" s="271">
        <f>IF(Tech_Specs!$F34="logistic",0,)</f>
        <v>0</v>
      </c>
      <c r="CH407" s="271">
        <f>IF(Tech_Specs!$F34="logistic",0,)</f>
        <v>0</v>
      </c>
      <c r="CI407" s="376"/>
      <c r="CJ407" s="271">
        <f>IF(AND(Tech_Specs!$F34="step",Standards_Active!$S35="yes"),IF(CJ$380&lt;Standards_Active!$Q35,TREND(Perform_Active!$U35:$V35,Perform_Active!$U$8:$V$8,CJ$380),IF(ISNUMBER(Standards_Active!$AA35),IF(AND(CJ$380&gt;=Standards_Active!$Q35,CJ$380&lt;Standards_Active!$R35),(Standards_Active!$AA35-INDEX($CJ407:$DI407,1,MATCH((Standards_Active!$Q35-1),$CJ$380:$DI$380,FALSE)))/(Standards_Active!$R35-(Standards_Active!$Q35-1))+CI407,Standards_Active!$AA35*((1+Standards_Active!$AC35)^(CJ$380-Standards_Active!$R35))),TREND(Perform_Active!$U35:$V35,Perform_Active!$U$8:$V$8,CJ$380))),)</f>
        <v>0</v>
      </c>
      <c r="CK407" s="271">
        <f>IF(AND(Tech_Specs!$F34="step",Standards_Active!$S35="yes"),IF(CK$380&lt;Standards_Active!$Q35,TREND(Perform_Active!$U35:$V35,Perform_Active!$U$8:$V$8,CK$380),IF(ISNUMBER(Standards_Active!$AA35),IF(AND(CK$380&gt;=Standards_Active!$Q35,CK$380&lt;Standards_Active!$R35),(Standards_Active!$AA35-INDEX($CJ407:$DI407,1,MATCH((Standards_Active!$Q35-1),$CJ$380:$DI$380,FALSE)))/(Standards_Active!$R35-(Standards_Active!$Q35-1))+CJ407,Standards_Active!$AA35*((1+Standards_Active!$AC35)^(CK$380-Standards_Active!$R35))),TREND(Perform_Active!$U35:$V35,Perform_Active!$U$8:$V$8,CK$380))),)</f>
        <v>0</v>
      </c>
      <c r="CL407" s="271">
        <f>IF(AND(Tech_Specs!$F34="step",Standards_Active!$S35="yes"),IF(CL$380&lt;Standards_Active!$Q35,TREND(Perform_Active!$U35:$V35,Perform_Active!$U$8:$V$8,CL$380),IF(ISNUMBER(Standards_Active!$AA35),IF(AND(CL$380&gt;=Standards_Active!$Q35,CL$380&lt;Standards_Active!$R35),(Standards_Active!$AA35-INDEX($CJ407:$DI407,1,MATCH((Standards_Active!$Q35-1),$CJ$380:$DI$380,FALSE)))/(Standards_Active!$R35-(Standards_Active!$Q35-1))+CK407,Standards_Active!$AA35*((1+Standards_Active!$AC35)^(CL$380-Standards_Active!$R35))),TREND(Perform_Active!$U35:$V35,Perform_Active!$U$8:$V$8,CL$380))),)</f>
        <v>0</v>
      </c>
      <c r="CM407" s="271">
        <f>IF(AND(Tech_Specs!$F34="step",Standards_Active!$S35="yes"),IF(CM$380&lt;Standards_Active!$Q35,TREND(Perform_Active!$U35:$V35,Perform_Active!$U$8:$V$8,CM$380),IF(ISNUMBER(Standards_Active!$AA35),IF(AND(CM$380&gt;=Standards_Active!$Q35,CM$380&lt;Standards_Active!$R35),(Standards_Active!$AA35-INDEX($CJ407:$DI407,1,MATCH((Standards_Active!$Q35-1),$CJ$380:$DI$380,FALSE)))/(Standards_Active!$R35-(Standards_Active!$Q35-1))+CL407,Standards_Active!$AA35*((1+Standards_Active!$AC35)^(CM$380-Standards_Active!$R35))),TREND(Perform_Active!$U35:$V35,Perform_Active!$U$8:$V$8,CM$380))),)</f>
        <v>0</v>
      </c>
      <c r="CN407" s="271">
        <f>IF(AND(Tech_Specs!$F34="step",Standards_Active!$S35="yes"),IF(CN$380&lt;Standards_Active!$Q35,TREND(Perform_Active!$U35:$V35,Perform_Active!$U$8:$V$8,CN$380),IF(ISNUMBER(Standards_Active!$AA35),IF(AND(CN$380&gt;=Standards_Active!$Q35,CN$380&lt;Standards_Active!$R35),(Standards_Active!$AA35-INDEX($CJ407:$DI407,1,MATCH((Standards_Active!$Q35-1),$CJ$380:$DI$380,FALSE)))/(Standards_Active!$R35-(Standards_Active!$Q35-1))+CM407,Standards_Active!$AA35*((1+Standards_Active!$AC35)^(CN$380-Standards_Active!$R35))),TREND(Perform_Active!$U35:$V35,Perform_Active!$U$8:$V$8,CN$380))),)</f>
        <v>0</v>
      </c>
      <c r="CO407" s="271">
        <f>IF(AND(Tech_Specs!$F34="step",Standards_Active!$S35="yes"),IF(CO$380&lt;Standards_Active!$Q35,TREND(Perform_Active!$U35:$V35,Perform_Active!$U$8:$V$8,CO$380),IF(ISNUMBER(Standards_Active!$AA35),IF(AND(CO$380&gt;=Standards_Active!$Q35,CO$380&lt;Standards_Active!$R35),(Standards_Active!$AA35-INDEX($CJ407:$DI407,1,MATCH((Standards_Active!$Q35-1),$CJ$380:$DI$380,FALSE)))/(Standards_Active!$R35-(Standards_Active!$Q35-1))+CN407,Standards_Active!$AA35*((1+Standards_Active!$AC35)^(CO$380-Standards_Active!$R35))),TREND(Perform_Active!$U35:$V35,Perform_Active!$U$8:$V$8,CO$380))),)</f>
        <v>0</v>
      </c>
      <c r="CP407" s="271">
        <f>IF(AND(Tech_Specs!$F34="step",Standards_Active!$S35="yes"),IF(CP$380&lt;Standards_Active!$Q35,TREND(Perform_Active!$U35:$V35,Perform_Active!$U$8:$V$8,CP$380),IF(ISNUMBER(Standards_Active!$AA35),IF(AND(CP$380&gt;=Standards_Active!$Q35,CP$380&lt;Standards_Active!$R35),(Standards_Active!$AA35-INDEX($CJ407:$DI407,1,MATCH((Standards_Active!$Q35-1),$CJ$380:$DI$380,FALSE)))/(Standards_Active!$R35-(Standards_Active!$Q35-1))+CO407,Standards_Active!$AA35*((1+Standards_Active!$AC35)^(CP$380-Standards_Active!$R35))),TREND(Perform_Active!$U35:$V35,Perform_Active!$U$8:$V$8,CP$380))),)</f>
        <v>0</v>
      </c>
      <c r="CQ407" s="271">
        <f>IF(AND(Tech_Specs!$F34="step",Standards_Active!$S35="yes"),IF(CQ$380&lt;Standards_Active!$Q35,TREND(Perform_Active!$U35:$V35,Perform_Active!$U$8:$V$8,CQ$380),IF(ISNUMBER(Standards_Active!$AA35),IF(AND(CQ$380&gt;=Standards_Active!$Q35,CQ$380&lt;Standards_Active!$R35),(Standards_Active!$AA35-INDEX($CJ407:$DI407,1,MATCH((Standards_Active!$Q35-1),$CJ$380:$DI$380,FALSE)))/(Standards_Active!$R35-(Standards_Active!$Q35-1))+CP407,Standards_Active!$AA35*((1+Standards_Active!$AC35)^(CQ$380-Standards_Active!$R35))),TREND(Perform_Active!$U35:$V35,Perform_Active!$U$8:$V$8,CQ$380))),)</f>
        <v>0</v>
      </c>
      <c r="CR407" s="271">
        <f>IF(AND(Tech_Specs!$F34="step",Standards_Active!$S35="yes"),IF(CR$380&lt;Standards_Active!$Q35,TREND(Perform_Active!$U35:$V35,Perform_Active!$U$8:$V$8,CR$380),IF(ISNUMBER(Standards_Active!$AA35),IF(AND(CR$380&gt;=Standards_Active!$Q35,CR$380&lt;Standards_Active!$R35),(Standards_Active!$AA35-INDEX($CJ407:$DI407,1,MATCH((Standards_Active!$Q35-1),$CJ$380:$DI$380,FALSE)))/(Standards_Active!$R35-(Standards_Active!$Q35-1))+CQ407,Standards_Active!$AA35*((1+Standards_Active!$AC35)^(CR$380-Standards_Active!$R35))),TREND(Perform_Active!$U35:$V35,Perform_Active!$U$8:$V$8,CR$380))),)</f>
        <v>0</v>
      </c>
      <c r="CS407" s="271">
        <f>IF(AND(Tech_Specs!$F34="step",Standards_Active!$S35="yes"),IF(CS$380&lt;Standards_Active!$Q35,TREND(Perform_Active!$U35:$V35,Perform_Active!$U$8:$V$8,CS$380),IF(ISNUMBER(Standards_Active!$AA35),IF(AND(CS$380&gt;=Standards_Active!$Q35,CS$380&lt;Standards_Active!$R35),(Standards_Active!$AA35-INDEX($CJ407:$DI407,1,MATCH((Standards_Active!$Q35-1),$CJ$380:$DI$380,FALSE)))/(Standards_Active!$R35-(Standards_Active!$Q35-1))+CR407,Standards_Active!$AA35*((1+Standards_Active!$AC35)^(CS$380-Standards_Active!$R35))),TREND(Perform_Active!$U35:$V35,Perform_Active!$U$8:$V$8,CS$380))),)</f>
        <v>0</v>
      </c>
      <c r="CT407" s="271">
        <f>IF(AND(Tech_Specs!$F34="step",Standards_Active!$S35="yes"),IF(CT$380&lt;Standards_Active!$Q35,TREND(Perform_Active!$U35:$V35,Perform_Active!$U$8:$V$8,CT$380),IF(ISNUMBER(Standards_Active!$AA35),IF(AND(CT$380&gt;=Standards_Active!$Q35,CT$380&lt;Standards_Active!$R35),(Standards_Active!$AA35-INDEX($CJ407:$DI407,1,MATCH((Standards_Active!$Q35-1),$CJ$380:$DI$380,FALSE)))/(Standards_Active!$R35-(Standards_Active!$Q35-1))+CS407,Standards_Active!$AA35*((1+Standards_Active!$AC35)^(CT$380-Standards_Active!$R35))),TREND(Perform_Active!$U35:$V35,Perform_Active!$U$8:$V$8,CT$380))),)</f>
        <v>0</v>
      </c>
      <c r="CU407" s="271">
        <f>IF(AND(Tech_Specs!$F34="step",Standards_Active!$S35="yes"),IF(CU$380&lt;Standards_Active!$Q35,TREND(Perform_Active!$U35:$V35,Perform_Active!$U$8:$V$8,CU$380),IF(ISNUMBER(Standards_Active!$AA35),IF(AND(CU$380&gt;=Standards_Active!$Q35,CU$380&lt;Standards_Active!$R35),(Standards_Active!$AA35-INDEX($CJ407:$DI407,1,MATCH((Standards_Active!$Q35-1),$CJ$380:$DI$380,FALSE)))/(Standards_Active!$R35-(Standards_Active!$Q35-1))+CT407,Standards_Active!$AA35*((1+Standards_Active!$AC35)^(CU$380-Standards_Active!$R35))),TREND(Perform_Active!$U35:$V35,Perform_Active!$U$8:$V$8,CU$380))),)</f>
        <v>0</v>
      </c>
      <c r="CV407" s="271">
        <f>IF(AND(Tech_Specs!$F34="step",Standards_Active!$S35="yes"),IF(CV$380&lt;Standards_Active!$Q35,TREND(Perform_Active!$U35:$V35,Perform_Active!$U$8:$V$8,CV$380),IF(ISNUMBER(Standards_Active!$AA35),IF(AND(CV$380&gt;=Standards_Active!$Q35,CV$380&lt;Standards_Active!$R35),(Standards_Active!$AA35-INDEX($CJ407:$DI407,1,MATCH((Standards_Active!$Q35-1),$CJ$380:$DI$380,FALSE)))/(Standards_Active!$R35-(Standards_Active!$Q35-1))+CU407,Standards_Active!$AA35*((1+Standards_Active!$AC35)^(CV$380-Standards_Active!$R35))),TREND(Perform_Active!$U35:$V35,Perform_Active!$U$8:$V$8,CV$380))),)</f>
        <v>0</v>
      </c>
      <c r="CW407" s="271">
        <f>IF(AND(Tech_Specs!$F34="step",Standards_Active!$S35="yes"),IF(CW$380&lt;Standards_Active!$Q35,TREND(Perform_Active!$U35:$V35,Perform_Active!$U$8:$V$8,CW$380),IF(ISNUMBER(Standards_Active!$AA35),IF(AND(CW$380&gt;=Standards_Active!$Q35,CW$380&lt;Standards_Active!$R35),(Standards_Active!$AA35-INDEX($CJ407:$DI407,1,MATCH((Standards_Active!$Q35-1),$CJ$380:$DI$380,FALSE)))/(Standards_Active!$R35-(Standards_Active!$Q35-1))+CV407,Standards_Active!$AA35*((1+Standards_Active!$AC35)^(CW$380-Standards_Active!$R35))),TREND(Perform_Active!$U35:$V35,Perform_Active!$U$8:$V$8,CW$380))),)</f>
        <v>0</v>
      </c>
      <c r="CX407" s="271">
        <f>IF(AND(Tech_Specs!$F34="step",Standards_Active!$S35="yes"),IF(CX$380&lt;Standards_Active!$Q35,TREND(Perform_Active!$U35:$V35,Perform_Active!$U$8:$V$8,CX$380),IF(ISNUMBER(Standards_Active!$AA35),IF(AND(CX$380&gt;=Standards_Active!$Q35,CX$380&lt;Standards_Active!$R35),(Standards_Active!$AA35-INDEX($CJ407:$DI407,1,MATCH((Standards_Active!$Q35-1),$CJ$380:$DI$380,FALSE)))/(Standards_Active!$R35-(Standards_Active!$Q35-1))+CW407,Standards_Active!$AA35*((1+Standards_Active!$AC35)^(CX$380-Standards_Active!$R35))),TREND(Perform_Active!$U35:$V35,Perform_Active!$U$8:$V$8,CX$380))),)</f>
        <v>0</v>
      </c>
      <c r="CY407" s="271">
        <f>IF(AND(Tech_Specs!$F34="step",Standards_Active!$S35="yes"),IF(CY$380&lt;Standards_Active!$Q35,TREND(Perform_Active!$U35:$V35,Perform_Active!$U$8:$V$8,CY$380),IF(ISNUMBER(Standards_Active!$AA35),IF(AND(CY$380&gt;=Standards_Active!$Q35,CY$380&lt;Standards_Active!$R35),(Standards_Active!$AA35-INDEX($CJ407:$DI407,1,MATCH((Standards_Active!$Q35-1),$CJ$380:$DI$380,FALSE)))/(Standards_Active!$R35-(Standards_Active!$Q35-1))+CX407,Standards_Active!$AA35*((1+Standards_Active!$AC35)^(CY$380-Standards_Active!$R35))),TREND(Perform_Active!$U35:$V35,Perform_Active!$U$8:$V$8,CY$380))),)</f>
        <v>0</v>
      </c>
      <c r="CZ407" s="271">
        <f>IF(AND(Tech_Specs!$F34="step",Standards_Active!$S35="yes"),IF(CZ$380&lt;Standards_Active!$Q35,TREND(Perform_Active!$U35:$V35,Perform_Active!$U$8:$V$8,CZ$380),IF(ISNUMBER(Standards_Active!$AA35),IF(AND(CZ$380&gt;=Standards_Active!$Q35,CZ$380&lt;Standards_Active!$R35),(Standards_Active!$AA35-INDEX($CJ407:$DI407,1,MATCH((Standards_Active!$Q35-1),$CJ$380:$DI$380,FALSE)))/(Standards_Active!$R35-(Standards_Active!$Q35-1))+CY407,Standards_Active!$AA35*((1+Standards_Active!$AC35)^(CZ$380-Standards_Active!$R35))),TREND(Perform_Active!$U35:$V35,Perform_Active!$U$8:$V$8,CZ$380))),)</f>
        <v>0</v>
      </c>
      <c r="DA407" s="271">
        <f>IF(AND(Tech_Specs!$F34="step",Standards_Active!$S35="yes"),IF(DA$380&lt;Standards_Active!$Q35,TREND(Perform_Active!$U35:$V35,Perform_Active!$U$8:$V$8,DA$380),IF(ISNUMBER(Standards_Active!$AA35),IF(AND(DA$380&gt;=Standards_Active!$Q35,DA$380&lt;Standards_Active!$R35),(Standards_Active!$AA35-INDEX($CJ407:$DI407,1,MATCH((Standards_Active!$Q35-1),$CJ$380:$DI$380,FALSE)))/(Standards_Active!$R35-(Standards_Active!$Q35-1))+CZ407,Standards_Active!$AA35*((1+Standards_Active!$AC35)^(DA$380-Standards_Active!$R35))),TREND(Perform_Active!$U35:$V35,Perform_Active!$U$8:$V$8,DA$380))),)</f>
        <v>0</v>
      </c>
      <c r="DB407" s="271">
        <f>IF(AND(Tech_Specs!$F34="step",Standards_Active!$S35="yes"),IF(DB$380&lt;Standards_Active!$Q35,TREND(Perform_Active!$U35:$V35,Perform_Active!$U$8:$V$8,DB$380),IF(ISNUMBER(Standards_Active!$AA35),IF(AND(DB$380&gt;=Standards_Active!$Q35,DB$380&lt;Standards_Active!$R35),(Standards_Active!$AA35-INDEX($CJ407:$DI407,1,MATCH((Standards_Active!$Q35-1),$CJ$380:$DI$380,FALSE)))/(Standards_Active!$R35-(Standards_Active!$Q35-1))+DA407,Standards_Active!$AA35*((1+Standards_Active!$AC35)^(DB$380-Standards_Active!$R35))),TREND(Perform_Active!$U35:$V35,Perform_Active!$U$8:$V$8,DB$380))),)</f>
        <v>0</v>
      </c>
      <c r="DC407" s="271">
        <f>IF(AND(Tech_Specs!$F34="step",Standards_Active!$S35="yes"),IF(DC$380&lt;Standards_Active!$Q35,TREND(Perform_Active!$U35:$V35,Perform_Active!$U$8:$V$8,DC$380),IF(ISNUMBER(Standards_Active!$AA35),IF(AND(DC$380&gt;=Standards_Active!$Q35,DC$380&lt;Standards_Active!$R35),(Standards_Active!$AA35-INDEX($CJ407:$DI407,1,MATCH((Standards_Active!$Q35-1),$CJ$380:$DI$380,FALSE)))/(Standards_Active!$R35-(Standards_Active!$Q35-1))+DB407,Standards_Active!$AA35*((1+Standards_Active!$AC35)^(DC$380-Standards_Active!$R35))),TREND(Perform_Active!$U35:$V35,Perform_Active!$U$8:$V$8,DC$380))),)</f>
        <v>0</v>
      </c>
      <c r="DD407" s="271">
        <f>IF(AND(Tech_Specs!$F34="step",Standards_Active!$S35="yes"),IF(DD$380&lt;Standards_Active!$Q35,TREND(Perform_Active!$U35:$V35,Perform_Active!$U$8:$V$8,DD$380),IF(ISNUMBER(Standards_Active!$AA35),IF(AND(DD$380&gt;=Standards_Active!$Q35,DD$380&lt;Standards_Active!$R35),(Standards_Active!$AA35-INDEX($CJ407:$DI407,1,MATCH((Standards_Active!$Q35-1),$CJ$380:$DI$380,FALSE)))/(Standards_Active!$R35-(Standards_Active!$Q35-1))+DC407,Standards_Active!$AA35*((1+Standards_Active!$AC35)^(DD$380-Standards_Active!$R35))),TREND(Perform_Active!$U35:$V35,Perform_Active!$U$8:$V$8,DD$380))),)</f>
        <v>0</v>
      </c>
      <c r="DE407" s="271">
        <f>IF(AND(Tech_Specs!$F34="step",Standards_Active!$S35="yes"),IF(DE$380&lt;Standards_Active!$Q35,TREND(Perform_Active!$U35:$V35,Perform_Active!$U$8:$V$8,DE$380),IF(ISNUMBER(Standards_Active!$AA35),IF(AND(DE$380&gt;=Standards_Active!$Q35,DE$380&lt;Standards_Active!$R35),(Standards_Active!$AA35-INDEX($CJ407:$DI407,1,MATCH((Standards_Active!$Q35-1),$CJ$380:$DI$380,FALSE)))/(Standards_Active!$R35-(Standards_Active!$Q35-1))+DD407,Standards_Active!$AA35*((1+Standards_Active!$AC35)^(DE$380-Standards_Active!$R35))),TREND(Perform_Active!$U35:$V35,Perform_Active!$U$8:$V$8,DE$380))),)</f>
        <v>0</v>
      </c>
      <c r="DF407" s="271">
        <f>IF(AND(Tech_Specs!$F34="step",Standards_Active!$S35="yes"),IF(DF$380&lt;Standards_Active!$Q35,TREND(Perform_Active!$U35:$V35,Perform_Active!$U$8:$V$8,DF$380),IF(ISNUMBER(Standards_Active!$AA35),IF(AND(DF$380&gt;=Standards_Active!$Q35,DF$380&lt;Standards_Active!$R35),(Standards_Active!$AA35-INDEX($CJ407:$DI407,1,MATCH((Standards_Active!$Q35-1),$CJ$380:$DI$380,FALSE)))/(Standards_Active!$R35-(Standards_Active!$Q35-1))+DE407,Standards_Active!$AA35*((1+Standards_Active!$AC35)^(DF$380-Standards_Active!$R35))),TREND(Perform_Active!$U35:$V35,Perform_Active!$U$8:$V$8,DF$380))),)</f>
        <v>0</v>
      </c>
      <c r="DG407" s="271">
        <f>IF(AND(Tech_Specs!$F34="step",Standards_Active!$S35="yes"),IF(DG$380&lt;Standards_Active!$Q35,TREND(Perform_Active!$U35:$V35,Perform_Active!$U$8:$V$8,DG$380),IF(ISNUMBER(Standards_Active!$AA35),IF(AND(DG$380&gt;=Standards_Active!$Q35,DG$380&lt;Standards_Active!$R35),(Standards_Active!$AA35-INDEX($CJ407:$DI407,1,MATCH((Standards_Active!$Q35-1),$CJ$380:$DI$380,FALSE)))/(Standards_Active!$R35-(Standards_Active!$Q35-1))+DF407,Standards_Active!$AA35*((1+Standards_Active!$AC35)^(DG$380-Standards_Active!$R35))),TREND(Perform_Active!$U35:$V35,Perform_Active!$U$8:$V$8,DG$380))),)</f>
        <v>0</v>
      </c>
      <c r="DH407" s="271">
        <f>IF(AND(Tech_Specs!$F34="step",Standards_Active!$S35="yes"),IF(DH$380&lt;Standards_Active!$Q35,TREND(Perform_Active!$U35:$V35,Perform_Active!$U$8:$V$8,DH$380),IF(ISNUMBER(Standards_Active!$AA35),IF(AND(DH$380&gt;=Standards_Active!$Q35,DH$380&lt;Standards_Active!$R35),(Standards_Active!$AA35-INDEX($CJ407:$DI407,1,MATCH((Standards_Active!$Q35-1),$CJ$380:$DI$380,FALSE)))/(Standards_Active!$R35-(Standards_Active!$Q35-1))+DG407,Standards_Active!$AA35*((1+Standards_Active!$AC35)^(DH$380-Standards_Active!$R35))),TREND(Perform_Active!$U35:$V35,Perform_Active!$U$8:$V$8,DH$380))),)</f>
        <v>0</v>
      </c>
      <c r="DI407" s="271">
        <f>IF(AND(Tech_Specs!$F34="step",Standards_Active!$S35="yes"),IF(DI$380&lt;Standards_Active!$Q35,TREND(Perform_Active!$U35:$V35,Perform_Active!$U$8:$V$8,DI$380),IF(ISNUMBER(Standards_Active!$AA35),IF(AND(DI$380&gt;=Standards_Active!$Q35,DI$380&lt;Standards_Active!$R35),(Standards_Active!$AA35-INDEX($CJ407:$DI407,1,MATCH((Standards_Active!$Q35-1),$CJ$380:$DI$380,FALSE)))/(Standards_Active!$R35-(Standards_Active!$Q35-1))+DH407,Standards_Active!$AA35*((1+Standards_Active!$AC35)^(DI$380-Standards_Active!$R35))),TREND(Perform_Active!$U35:$V35,Perform_Active!$U$8:$V$8,DI$380))),)</f>
        <v>0</v>
      </c>
    </row>
    <row r="408" spans="1:113" s="322" customFormat="1" ht="12.75" x14ac:dyDescent="0.2">
      <c r="B408" s="328" t="s">
        <v>50</v>
      </c>
      <c r="D408" s="550"/>
      <c r="E408" s="550"/>
      <c r="F408" s="550"/>
      <c r="G408" s="272">
        <f t="shared" si="78"/>
        <v>0</v>
      </c>
      <c r="H408" s="272">
        <f t="shared" si="78"/>
        <v>0</v>
      </c>
      <c r="I408" s="272">
        <f t="shared" si="78"/>
        <v>0</v>
      </c>
      <c r="J408" s="272">
        <f t="shared" si="78"/>
        <v>0</v>
      </c>
      <c r="K408" s="272">
        <f t="shared" si="78"/>
        <v>0</v>
      </c>
      <c r="L408" s="272">
        <f t="shared" si="78"/>
        <v>0</v>
      </c>
      <c r="M408" s="272">
        <f t="shared" si="78"/>
        <v>0</v>
      </c>
      <c r="N408" s="272">
        <f t="shared" si="78"/>
        <v>0</v>
      </c>
      <c r="O408" s="272">
        <f t="shared" si="78"/>
        <v>0</v>
      </c>
      <c r="P408" s="272">
        <f t="shared" si="78"/>
        <v>0</v>
      </c>
      <c r="Q408" s="272">
        <f t="shared" si="79"/>
        <v>0</v>
      </c>
      <c r="R408" s="272">
        <f t="shared" si="79"/>
        <v>0</v>
      </c>
      <c r="S408" s="272">
        <f t="shared" si="79"/>
        <v>0</v>
      </c>
      <c r="T408" s="272">
        <f t="shared" si="79"/>
        <v>0</v>
      </c>
      <c r="U408" s="272">
        <f t="shared" si="79"/>
        <v>0</v>
      </c>
      <c r="V408" s="272">
        <f t="shared" si="79"/>
        <v>0</v>
      </c>
      <c r="W408" s="272">
        <f t="shared" si="79"/>
        <v>0</v>
      </c>
      <c r="X408" s="272">
        <f t="shared" si="79"/>
        <v>0</v>
      </c>
      <c r="Y408" s="272">
        <f t="shared" si="79"/>
        <v>0</v>
      </c>
      <c r="Z408" s="272">
        <f t="shared" si="79"/>
        <v>0</v>
      </c>
      <c r="AA408" s="272">
        <f t="shared" si="80"/>
        <v>0</v>
      </c>
      <c r="AB408" s="272">
        <f t="shared" si="80"/>
        <v>0</v>
      </c>
      <c r="AC408" s="272">
        <f t="shared" si="80"/>
        <v>0</v>
      </c>
      <c r="AD408" s="272">
        <f t="shared" si="80"/>
        <v>0</v>
      </c>
      <c r="AE408" s="272">
        <f t="shared" si="80"/>
        <v>0</v>
      </c>
      <c r="AF408" s="272">
        <f t="shared" si="80"/>
        <v>0</v>
      </c>
      <c r="AG408" s="376"/>
      <c r="AH408" s="271">
        <f>IF(Tech_Specs!$F35="linear",TREND(Perform_Active!$U36:$V36,Perform_Active!$U$8:$V$8,AH$380),)</f>
        <v>0</v>
      </c>
      <c r="AI408" s="271">
        <f>IF(Tech_Specs!$F35="linear",TREND(Perform_Active!$U36:$V36,Perform_Active!$U$8:$V$8,AI$380),)</f>
        <v>0</v>
      </c>
      <c r="AJ408" s="271">
        <f>IF(Tech_Specs!$F35="linear",TREND(Perform_Active!$U36:$V36,Perform_Active!$U$8:$V$8,AJ$380),)</f>
        <v>0</v>
      </c>
      <c r="AK408" s="271">
        <f>IF(Tech_Specs!$F35="linear",TREND(Perform_Active!$U36:$V36,Perform_Active!$U$8:$V$8,AK$380),)</f>
        <v>0</v>
      </c>
      <c r="AL408" s="271">
        <f>IF(Tech_Specs!$F35="linear",TREND(Perform_Active!$U36:$V36,Perform_Active!$U$8:$V$8,AL$380),)</f>
        <v>0</v>
      </c>
      <c r="AM408" s="271">
        <f>IF(Tech_Specs!$F35="linear",TREND(Perform_Active!$U36:$V36,Perform_Active!$U$8:$V$8,AM$380),)</f>
        <v>0</v>
      </c>
      <c r="AN408" s="271">
        <f>IF(Tech_Specs!$F35="linear",TREND(Perform_Active!$U36:$V36,Perform_Active!$U$8:$V$8,AN$380),)</f>
        <v>0</v>
      </c>
      <c r="AO408" s="271">
        <f>IF(Tech_Specs!$F35="linear",TREND(Perform_Active!$U36:$V36,Perform_Active!$U$8:$V$8,AO$380),)</f>
        <v>0</v>
      </c>
      <c r="AP408" s="271">
        <f>IF(Tech_Specs!$F35="linear",TREND(Perform_Active!$U36:$V36,Perform_Active!$U$8:$V$8,AP$380),)</f>
        <v>0</v>
      </c>
      <c r="AQ408" s="271">
        <f>IF(Tech_Specs!$F35="linear",TREND(Perform_Active!$U36:$V36,Perform_Active!$U$8:$V$8,AQ$380),)</f>
        <v>0</v>
      </c>
      <c r="AR408" s="271">
        <f>IF(Tech_Specs!$F35="linear",TREND(Perform_Active!$U36:$V36,Perform_Active!$U$8:$V$8,AR$380),)</f>
        <v>0</v>
      </c>
      <c r="AS408" s="271">
        <f>IF(Tech_Specs!$F35="linear",TREND(Perform_Active!$U36:$V36,Perform_Active!$U$8:$V$8,AS$380),)</f>
        <v>0</v>
      </c>
      <c r="AT408" s="271">
        <f>IF(Tech_Specs!$F35="linear",TREND(Perform_Active!$U36:$V36,Perform_Active!$U$8:$V$8,AT$380),)</f>
        <v>0</v>
      </c>
      <c r="AU408" s="271">
        <f>IF(Tech_Specs!$F35="linear",TREND(Perform_Active!$U36:$V36,Perform_Active!$U$8:$V$8,AU$380),)</f>
        <v>0</v>
      </c>
      <c r="AV408" s="271">
        <f>IF(Tech_Specs!$F35="linear",TREND(Perform_Active!$U36:$V36,Perform_Active!$U$8:$V$8,AV$380),)</f>
        <v>0</v>
      </c>
      <c r="AW408" s="271">
        <f>IF(Tech_Specs!$F35="linear",TREND(Perform_Active!$U36:$V36,Perform_Active!$U$8:$V$8,AW$380),)</f>
        <v>0</v>
      </c>
      <c r="AX408" s="271">
        <f>IF(Tech_Specs!$F35="linear",TREND(Perform_Active!$U36:$V36,Perform_Active!$U$8:$V$8,AX$380),)</f>
        <v>0</v>
      </c>
      <c r="AY408" s="271">
        <f>IF(Tech_Specs!$F35="linear",TREND(Perform_Active!$U36:$V36,Perform_Active!$U$8:$V$8,AY$380),)</f>
        <v>0</v>
      </c>
      <c r="AZ408" s="271">
        <f>IF(Tech_Specs!$F35="linear",TREND(Perform_Active!$U36:$V36,Perform_Active!$U$8:$V$8,AZ$380),)</f>
        <v>0</v>
      </c>
      <c r="BA408" s="271">
        <f>IF(Tech_Specs!$F35="linear",TREND(Perform_Active!$U36:$V36,Perform_Active!$U$8:$V$8,BA$380),)</f>
        <v>0</v>
      </c>
      <c r="BB408" s="271">
        <f>IF(Tech_Specs!$F35="linear",TREND(Perform_Active!$U36:$V36,Perform_Active!$U$8:$V$8,BB$380),)</f>
        <v>0</v>
      </c>
      <c r="BC408" s="271">
        <f>IF(Tech_Specs!$F35="linear",TREND(Perform_Active!$U36:$V36,Perform_Active!$U$8:$V$8,BC$380),)</f>
        <v>0</v>
      </c>
      <c r="BD408" s="271">
        <f>IF(Tech_Specs!$F35="linear",TREND(Perform_Active!$U36:$V36,Perform_Active!$U$8:$V$8,BD$380),)</f>
        <v>0</v>
      </c>
      <c r="BE408" s="271">
        <f>IF(Tech_Specs!$F35="linear",TREND(Perform_Active!$U36:$V36,Perform_Active!$U$8:$V$8,BE$380),)</f>
        <v>0</v>
      </c>
      <c r="BF408" s="271">
        <f>IF(Tech_Specs!$F35="linear",TREND(Perform_Active!$U36:$V36,Perform_Active!$U$8:$V$8,BF$380),)</f>
        <v>0</v>
      </c>
      <c r="BG408" s="271">
        <f>IF(Tech_Specs!$F35="linear",TREND(Perform_Active!$U36:$V36,Perform_Active!$U$8:$V$8,BG$380),)</f>
        <v>0</v>
      </c>
      <c r="BH408" s="376"/>
      <c r="BI408" s="271">
        <f>IF(Tech_Specs!$F35="logistic",0,)</f>
        <v>0</v>
      </c>
      <c r="BJ408" s="271">
        <f>IF(Tech_Specs!$F35="logistic",0,)</f>
        <v>0</v>
      </c>
      <c r="BK408" s="271">
        <f>IF(Tech_Specs!$F35="logistic",0,)</f>
        <v>0</v>
      </c>
      <c r="BL408" s="271">
        <f>IF(Tech_Specs!$F35="logistic",0,)</f>
        <v>0</v>
      </c>
      <c r="BM408" s="271">
        <f>IF(Tech_Specs!$F35="logistic",0,)</f>
        <v>0</v>
      </c>
      <c r="BN408" s="271">
        <f>IF(Tech_Specs!$F35="logistic",0,)</f>
        <v>0</v>
      </c>
      <c r="BO408" s="271">
        <f>IF(Tech_Specs!$F35="logistic",0,)</f>
        <v>0</v>
      </c>
      <c r="BP408" s="271">
        <f>IF(Tech_Specs!$F35="logistic",0,)</f>
        <v>0</v>
      </c>
      <c r="BQ408" s="271">
        <f>IF(Tech_Specs!$F35="logistic",0,)</f>
        <v>0</v>
      </c>
      <c r="BR408" s="271">
        <f>IF(Tech_Specs!$F35="logistic",0,)</f>
        <v>0</v>
      </c>
      <c r="BS408" s="271">
        <f>IF(Tech_Specs!$F35="logistic",0,)</f>
        <v>0</v>
      </c>
      <c r="BT408" s="271">
        <f>IF(Tech_Specs!$F35="logistic",0,)</f>
        <v>0</v>
      </c>
      <c r="BU408" s="271">
        <f>IF(Tech_Specs!$F35="logistic",0,)</f>
        <v>0</v>
      </c>
      <c r="BV408" s="271">
        <f>IF(Tech_Specs!$F35="logistic",0,)</f>
        <v>0</v>
      </c>
      <c r="BW408" s="271">
        <f>IF(Tech_Specs!$F35="logistic",0,)</f>
        <v>0</v>
      </c>
      <c r="BX408" s="271">
        <f>IF(Tech_Specs!$F35="logistic",0,)</f>
        <v>0</v>
      </c>
      <c r="BY408" s="271">
        <f>IF(Tech_Specs!$F35="logistic",0,)</f>
        <v>0</v>
      </c>
      <c r="BZ408" s="271">
        <f>IF(Tech_Specs!$F35="logistic",0,)</f>
        <v>0</v>
      </c>
      <c r="CA408" s="271">
        <f>IF(Tech_Specs!$F35="logistic",0,)</f>
        <v>0</v>
      </c>
      <c r="CB408" s="271">
        <f>IF(Tech_Specs!$F35="logistic",0,)</f>
        <v>0</v>
      </c>
      <c r="CC408" s="271">
        <f>IF(Tech_Specs!$F35="logistic",0,)</f>
        <v>0</v>
      </c>
      <c r="CD408" s="271">
        <f>IF(Tech_Specs!$F35="logistic",0,)</f>
        <v>0</v>
      </c>
      <c r="CE408" s="271">
        <f>IF(Tech_Specs!$F35="logistic",0,)</f>
        <v>0</v>
      </c>
      <c r="CF408" s="271">
        <f>IF(Tech_Specs!$F35="logistic",0,)</f>
        <v>0</v>
      </c>
      <c r="CG408" s="271">
        <f>IF(Tech_Specs!$F35="logistic",0,)</f>
        <v>0</v>
      </c>
      <c r="CH408" s="271">
        <f>IF(Tech_Specs!$F35="logistic",0,)</f>
        <v>0</v>
      </c>
      <c r="CI408" s="376"/>
      <c r="CJ408" s="271">
        <f>IF(AND(Tech_Specs!$F35="step",Standards_Active!$S36="yes"),IF(CJ$380&lt;Standards_Active!$Q36,TREND(Perform_Active!$U36:$V36,Perform_Active!$U$8:$V$8,CJ$380),IF(ISNUMBER(Standards_Active!$AA36),IF(AND(CJ$380&gt;=Standards_Active!$Q36,CJ$380&lt;Standards_Active!$R36),(Standards_Active!$AA36-INDEX($CJ408:$DI408,1,MATCH((Standards_Active!$Q36-1),$CJ$380:$DI$380,FALSE)))/(Standards_Active!$R36-(Standards_Active!$Q36-1))+CI408,Standards_Active!$AA36*((1+Standards_Active!$AC36)^(CJ$380-Standards_Active!$R36))),TREND(Perform_Active!$U36:$V36,Perform_Active!$U$8:$V$8,CJ$380))),)</f>
        <v>0</v>
      </c>
      <c r="CK408" s="271">
        <f>IF(AND(Tech_Specs!$F35="step",Standards_Active!$S36="yes"),IF(CK$380&lt;Standards_Active!$Q36,TREND(Perform_Active!$U36:$V36,Perform_Active!$U$8:$V$8,CK$380),IF(ISNUMBER(Standards_Active!$AA36),IF(AND(CK$380&gt;=Standards_Active!$Q36,CK$380&lt;Standards_Active!$R36),(Standards_Active!$AA36-INDEX($CJ408:$DI408,1,MATCH((Standards_Active!$Q36-1),$CJ$380:$DI$380,FALSE)))/(Standards_Active!$R36-(Standards_Active!$Q36-1))+CJ408,Standards_Active!$AA36*((1+Standards_Active!$AC36)^(CK$380-Standards_Active!$R36))),TREND(Perform_Active!$U36:$V36,Perform_Active!$U$8:$V$8,CK$380))),)</f>
        <v>0</v>
      </c>
      <c r="CL408" s="271">
        <f>IF(AND(Tech_Specs!$F35="step",Standards_Active!$S36="yes"),IF(CL$380&lt;Standards_Active!$Q36,TREND(Perform_Active!$U36:$V36,Perform_Active!$U$8:$V$8,CL$380),IF(ISNUMBER(Standards_Active!$AA36),IF(AND(CL$380&gt;=Standards_Active!$Q36,CL$380&lt;Standards_Active!$R36),(Standards_Active!$AA36-INDEX($CJ408:$DI408,1,MATCH((Standards_Active!$Q36-1),$CJ$380:$DI$380,FALSE)))/(Standards_Active!$R36-(Standards_Active!$Q36-1))+CK408,Standards_Active!$AA36*((1+Standards_Active!$AC36)^(CL$380-Standards_Active!$R36))),TREND(Perform_Active!$U36:$V36,Perform_Active!$U$8:$V$8,CL$380))),)</f>
        <v>0</v>
      </c>
      <c r="CM408" s="271">
        <f>IF(AND(Tech_Specs!$F35="step",Standards_Active!$S36="yes"),IF(CM$380&lt;Standards_Active!$Q36,TREND(Perform_Active!$U36:$V36,Perform_Active!$U$8:$V$8,CM$380),IF(ISNUMBER(Standards_Active!$AA36),IF(AND(CM$380&gt;=Standards_Active!$Q36,CM$380&lt;Standards_Active!$R36),(Standards_Active!$AA36-INDEX($CJ408:$DI408,1,MATCH((Standards_Active!$Q36-1),$CJ$380:$DI$380,FALSE)))/(Standards_Active!$R36-(Standards_Active!$Q36-1))+CL408,Standards_Active!$AA36*((1+Standards_Active!$AC36)^(CM$380-Standards_Active!$R36))),TREND(Perform_Active!$U36:$V36,Perform_Active!$U$8:$V$8,CM$380))),)</f>
        <v>0</v>
      </c>
      <c r="CN408" s="271">
        <f>IF(AND(Tech_Specs!$F35="step",Standards_Active!$S36="yes"),IF(CN$380&lt;Standards_Active!$Q36,TREND(Perform_Active!$U36:$V36,Perform_Active!$U$8:$V$8,CN$380),IF(ISNUMBER(Standards_Active!$AA36),IF(AND(CN$380&gt;=Standards_Active!$Q36,CN$380&lt;Standards_Active!$R36),(Standards_Active!$AA36-INDEX($CJ408:$DI408,1,MATCH((Standards_Active!$Q36-1),$CJ$380:$DI$380,FALSE)))/(Standards_Active!$R36-(Standards_Active!$Q36-1))+CM408,Standards_Active!$AA36*((1+Standards_Active!$AC36)^(CN$380-Standards_Active!$R36))),TREND(Perform_Active!$U36:$V36,Perform_Active!$U$8:$V$8,CN$380))),)</f>
        <v>0</v>
      </c>
      <c r="CO408" s="271">
        <f>IF(AND(Tech_Specs!$F35="step",Standards_Active!$S36="yes"),IF(CO$380&lt;Standards_Active!$Q36,TREND(Perform_Active!$U36:$V36,Perform_Active!$U$8:$V$8,CO$380),IF(ISNUMBER(Standards_Active!$AA36),IF(AND(CO$380&gt;=Standards_Active!$Q36,CO$380&lt;Standards_Active!$R36),(Standards_Active!$AA36-INDEX($CJ408:$DI408,1,MATCH((Standards_Active!$Q36-1),$CJ$380:$DI$380,FALSE)))/(Standards_Active!$R36-(Standards_Active!$Q36-1))+CN408,Standards_Active!$AA36*((1+Standards_Active!$AC36)^(CO$380-Standards_Active!$R36))),TREND(Perform_Active!$U36:$V36,Perform_Active!$U$8:$V$8,CO$380))),)</f>
        <v>0</v>
      </c>
      <c r="CP408" s="271">
        <f>IF(AND(Tech_Specs!$F35="step",Standards_Active!$S36="yes"),IF(CP$380&lt;Standards_Active!$Q36,TREND(Perform_Active!$U36:$V36,Perform_Active!$U$8:$V$8,CP$380),IF(ISNUMBER(Standards_Active!$AA36),IF(AND(CP$380&gt;=Standards_Active!$Q36,CP$380&lt;Standards_Active!$R36),(Standards_Active!$AA36-INDEX($CJ408:$DI408,1,MATCH((Standards_Active!$Q36-1),$CJ$380:$DI$380,FALSE)))/(Standards_Active!$R36-(Standards_Active!$Q36-1))+CO408,Standards_Active!$AA36*((1+Standards_Active!$AC36)^(CP$380-Standards_Active!$R36))),TREND(Perform_Active!$U36:$V36,Perform_Active!$U$8:$V$8,CP$380))),)</f>
        <v>0</v>
      </c>
      <c r="CQ408" s="271">
        <f>IF(AND(Tech_Specs!$F35="step",Standards_Active!$S36="yes"),IF(CQ$380&lt;Standards_Active!$Q36,TREND(Perform_Active!$U36:$V36,Perform_Active!$U$8:$V$8,CQ$380),IF(ISNUMBER(Standards_Active!$AA36),IF(AND(CQ$380&gt;=Standards_Active!$Q36,CQ$380&lt;Standards_Active!$R36),(Standards_Active!$AA36-INDEX($CJ408:$DI408,1,MATCH((Standards_Active!$Q36-1),$CJ$380:$DI$380,FALSE)))/(Standards_Active!$R36-(Standards_Active!$Q36-1))+CP408,Standards_Active!$AA36*((1+Standards_Active!$AC36)^(CQ$380-Standards_Active!$R36))),TREND(Perform_Active!$U36:$V36,Perform_Active!$U$8:$V$8,CQ$380))),)</f>
        <v>0</v>
      </c>
      <c r="CR408" s="271">
        <f>IF(AND(Tech_Specs!$F35="step",Standards_Active!$S36="yes"),IF(CR$380&lt;Standards_Active!$Q36,TREND(Perform_Active!$U36:$V36,Perform_Active!$U$8:$V$8,CR$380),IF(ISNUMBER(Standards_Active!$AA36),IF(AND(CR$380&gt;=Standards_Active!$Q36,CR$380&lt;Standards_Active!$R36),(Standards_Active!$AA36-INDEX($CJ408:$DI408,1,MATCH((Standards_Active!$Q36-1),$CJ$380:$DI$380,FALSE)))/(Standards_Active!$R36-(Standards_Active!$Q36-1))+CQ408,Standards_Active!$AA36*((1+Standards_Active!$AC36)^(CR$380-Standards_Active!$R36))),TREND(Perform_Active!$U36:$V36,Perform_Active!$U$8:$V$8,CR$380))),)</f>
        <v>0</v>
      </c>
      <c r="CS408" s="271">
        <f>IF(AND(Tech_Specs!$F35="step",Standards_Active!$S36="yes"),IF(CS$380&lt;Standards_Active!$Q36,TREND(Perform_Active!$U36:$V36,Perform_Active!$U$8:$V$8,CS$380),IF(ISNUMBER(Standards_Active!$AA36),IF(AND(CS$380&gt;=Standards_Active!$Q36,CS$380&lt;Standards_Active!$R36),(Standards_Active!$AA36-INDEX($CJ408:$DI408,1,MATCH((Standards_Active!$Q36-1),$CJ$380:$DI$380,FALSE)))/(Standards_Active!$R36-(Standards_Active!$Q36-1))+CR408,Standards_Active!$AA36*((1+Standards_Active!$AC36)^(CS$380-Standards_Active!$R36))),TREND(Perform_Active!$U36:$V36,Perform_Active!$U$8:$V$8,CS$380))),)</f>
        <v>0</v>
      </c>
      <c r="CT408" s="271">
        <f>IF(AND(Tech_Specs!$F35="step",Standards_Active!$S36="yes"),IF(CT$380&lt;Standards_Active!$Q36,TREND(Perform_Active!$U36:$V36,Perform_Active!$U$8:$V$8,CT$380),IF(ISNUMBER(Standards_Active!$AA36),IF(AND(CT$380&gt;=Standards_Active!$Q36,CT$380&lt;Standards_Active!$R36),(Standards_Active!$AA36-INDEX($CJ408:$DI408,1,MATCH((Standards_Active!$Q36-1),$CJ$380:$DI$380,FALSE)))/(Standards_Active!$R36-(Standards_Active!$Q36-1))+CS408,Standards_Active!$AA36*((1+Standards_Active!$AC36)^(CT$380-Standards_Active!$R36))),TREND(Perform_Active!$U36:$V36,Perform_Active!$U$8:$V$8,CT$380))),)</f>
        <v>0</v>
      </c>
      <c r="CU408" s="271">
        <f>IF(AND(Tech_Specs!$F35="step",Standards_Active!$S36="yes"),IF(CU$380&lt;Standards_Active!$Q36,TREND(Perform_Active!$U36:$V36,Perform_Active!$U$8:$V$8,CU$380),IF(ISNUMBER(Standards_Active!$AA36),IF(AND(CU$380&gt;=Standards_Active!$Q36,CU$380&lt;Standards_Active!$R36),(Standards_Active!$AA36-INDEX($CJ408:$DI408,1,MATCH((Standards_Active!$Q36-1),$CJ$380:$DI$380,FALSE)))/(Standards_Active!$R36-(Standards_Active!$Q36-1))+CT408,Standards_Active!$AA36*((1+Standards_Active!$AC36)^(CU$380-Standards_Active!$R36))),TREND(Perform_Active!$U36:$V36,Perform_Active!$U$8:$V$8,CU$380))),)</f>
        <v>0</v>
      </c>
      <c r="CV408" s="271">
        <f>IF(AND(Tech_Specs!$F35="step",Standards_Active!$S36="yes"),IF(CV$380&lt;Standards_Active!$Q36,TREND(Perform_Active!$U36:$V36,Perform_Active!$U$8:$V$8,CV$380),IF(ISNUMBER(Standards_Active!$AA36),IF(AND(CV$380&gt;=Standards_Active!$Q36,CV$380&lt;Standards_Active!$R36),(Standards_Active!$AA36-INDEX($CJ408:$DI408,1,MATCH((Standards_Active!$Q36-1),$CJ$380:$DI$380,FALSE)))/(Standards_Active!$R36-(Standards_Active!$Q36-1))+CU408,Standards_Active!$AA36*((1+Standards_Active!$AC36)^(CV$380-Standards_Active!$R36))),TREND(Perform_Active!$U36:$V36,Perform_Active!$U$8:$V$8,CV$380))),)</f>
        <v>0</v>
      </c>
      <c r="CW408" s="271">
        <f>IF(AND(Tech_Specs!$F35="step",Standards_Active!$S36="yes"),IF(CW$380&lt;Standards_Active!$Q36,TREND(Perform_Active!$U36:$V36,Perform_Active!$U$8:$V$8,CW$380),IF(ISNUMBER(Standards_Active!$AA36),IF(AND(CW$380&gt;=Standards_Active!$Q36,CW$380&lt;Standards_Active!$R36),(Standards_Active!$AA36-INDEX($CJ408:$DI408,1,MATCH((Standards_Active!$Q36-1),$CJ$380:$DI$380,FALSE)))/(Standards_Active!$R36-(Standards_Active!$Q36-1))+CV408,Standards_Active!$AA36*((1+Standards_Active!$AC36)^(CW$380-Standards_Active!$R36))),TREND(Perform_Active!$U36:$V36,Perform_Active!$U$8:$V$8,CW$380))),)</f>
        <v>0</v>
      </c>
      <c r="CX408" s="271">
        <f>IF(AND(Tech_Specs!$F35="step",Standards_Active!$S36="yes"),IF(CX$380&lt;Standards_Active!$Q36,TREND(Perform_Active!$U36:$V36,Perform_Active!$U$8:$V$8,CX$380),IF(ISNUMBER(Standards_Active!$AA36),IF(AND(CX$380&gt;=Standards_Active!$Q36,CX$380&lt;Standards_Active!$R36),(Standards_Active!$AA36-INDEX($CJ408:$DI408,1,MATCH((Standards_Active!$Q36-1),$CJ$380:$DI$380,FALSE)))/(Standards_Active!$R36-(Standards_Active!$Q36-1))+CW408,Standards_Active!$AA36*((1+Standards_Active!$AC36)^(CX$380-Standards_Active!$R36))),TREND(Perform_Active!$U36:$V36,Perform_Active!$U$8:$V$8,CX$380))),)</f>
        <v>0</v>
      </c>
      <c r="CY408" s="271">
        <f>IF(AND(Tech_Specs!$F35="step",Standards_Active!$S36="yes"),IF(CY$380&lt;Standards_Active!$Q36,TREND(Perform_Active!$U36:$V36,Perform_Active!$U$8:$V$8,CY$380),IF(ISNUMBER(Standards_Active!$AA36),IF(AND(CY$380&gt;=Standards_Active!$Q36,CY$380&lt;Standards_Active!$R36),(Standards_Active!$AA36-INDEX($CJ408:$DI408,1,MATCH((Standards_Active!$Q36-1),$CJ$380:$DI$380,FALSE)))/(Standards_Active!$R36-(Standards_Active!$Q36-1))+CX408,Standards_Active!$AA36*((1+Standards_Active!$AC36)^(CY$380-Standards_Active!$R36))),TREND(Perform_Active!$U36:$V36,Perform_Active!$U$8:$V$8,CY$380))),)</f>
        <v>0</v>
      </c>
      <c r="CZ408" s="271">
        <f>IF(AND(Tech_Specs!$F35="step",Standards_Active!$S36="yes"),IF(CZ$380&lt;Standards_Active!$Q36,TREND(Perform_Active!$U36:$V36,Perform_Active!$U$8:$V$8,CZ$380),IF(ISNUMBER(Standards_Active!$AA36),IF(AND(CZ$380&gt;=Standards_Active!$Q36,CZ$380&lt;Standards_Active!$R36),(Standards_Active!$AA36-INDEX($CJ408:$DI408,1,MATCH((Standards_Active!$Q36-1),$CJ$380:$DI$380,FALSE)))/(Standards_Active!$R36-(Standards_Active!$Q36-1))+CY408,Standards_Active!$AA36*((1+Standards_Active!$AC36)^(CZ$380-Standards_Active!$R36))),TREND(Perform_Active!$U36:$V36,Perform_Active!$U$8:$V$8,CZ$380))),)</f>
        <v>0</v>
      </c>
      <c r="DA408" s="271">
        <f>IF(AND(Tech_Specs!$F35="step",Standards_Active!$S36="yes"),IF(DA$380&lt;Standards_Active!$Q36,TREND(Perform_Active!$U36:$V36,Perform_Active!$U$8:$V$8,DA$380),IF(ISNUMBER(Standards_Active!$AA36),IF(AND(DA$380&gt;=Standards_Active!$Q36,DA$380&lt;Standards_Active!$R36),(Standards_Active!$AA36-INDEX($CJ408:$DI408,1,MATCH((Standards_Active!$Q36-1),$CJ$380:$DI$380,FALSE)))/(Standards_Active!$R36-(Standards_Active!$Q36-1))+CZ408,Standards_Active!$AA36*((1+Standards_Active!$AC36)^(DA$380-Standards_Active!$R36))),TREND(Perform_Active!$U36:$V36,Perform_Active!$U$8:$V$8,DA$380))),)</f>
        <v>0</v>
      </c>
      <c r="DB408" s="271">
        <f>IF(AND(Tech_Specs!$F35="step",Standards_Active!$S36="yes"),IF(DB$380&lt;Standards_Active!$Q36,TREND(Perform_Active!$U36:$V36,Perform_Active!$U$8:$V$8,DB$380),IF(ISNUMBER(Standards_Active!$AA36),IF(AND(DB$380&gt;=Standards_Active!$Q36,DB$380&lt;Standards_Active!$R36),(Standards_Active!$AA36-INDEX($CJ408:$DI408,1,MATCH((Standards_Active!$Q36-1),$CJ$380:$DI$380,FALSE)))/(Standards_Active!$R36-(Standards_Active!$Q36-1))+DA408,Standards_Active!$AA36*((1+Standards_Active!$AC36)^(DB$380-Standards_Active!$R36))),TREND(Perform_Active!$U36:$V36,Perform_Active!$U$8:$V$8,DB$380))),)</f>
        <v>0</v>
      </c>
      <c r="DC408" s="271">
        <f>IF(AND(Tech_Specs!$F35="step",Standards_Active!$S36="yes"),IF(DC$380&lt;Standards_Active!$Q36,TREND(Perform_Active!$U36:$V36,Perform_Active!$U$8:$V$8,DC$380),IF(ISNUMBER(Standards_Active!$AA36),IF(AND(DC$380&gt;=Standards_Active!$Q36,DC$380&lt;Standards_Active!$R36),(Standards_Active!$AA36-INDEX($CJ408:$DI408,1,MATCH((Standards_Active!$Q36-1),$CJ$380:$DI$380,FALSE)))/(Standards_Active!$R36-(Standards_Active!$Q36-1))+DB408,Standards_Active!$AA36*((1+Standards_Active!$AC36)^(DC$380-Standards_Active!$R36))),TREND(Perform_Active!$U36:$V36,Perform_Active!$U$8:$V$8,DC$380))),)</f>
        <v>0</v>
      </c>
      <c r="DD408" s="271">
        <f>IF(AND(Tech_Specs!$F35="step",Standards_Active!$S36="yes"),IF(DD$380&lt;Standards_Active!$Q36,TREND(Perform_Active!$U36:$V36,Perform_Active!$U$8:$V$8,DD$380),IF(ISNUMBER(Standards_Active!$AA36),IF(AND(DD$380&gt;=Standards_Active!$Q36,DD$380&lt;Standards_Active!$R36),(Standards_Active!$AA36-INDEX($CJ408:$DI408,1,MATCH((Standards_Active!$Q36-1),$CJ$380:$DI$380,FALSE)))/(Standards_Active!$R36-(Standards_Active!$Q36-1))+DC408,Standards_Active!$AA36*((1+Standards_Active!$AC36)^(DD$380-Standards_Active!$R36))),TREND(Perform_Active!$U36:$V36,Perform_Active!$U$8:$V$8,DD$380))),)</f>
        <v>0</v>
      </c>
      <c r="DE408" s="271">
        <f>IF(AND(Tech_Specs!$F35="step",Standards_Active!$S36="yes"),IF(DE$380&lt;Standards_Active!$Q36,TREND(Perform_Active!$U36:$V36,Perform_Active!$U$8:$V$8,DE$380),IF(ISNUMBER(Standards_Active!$AA36),IF(AND(DE$380&gt;=Standards_Active!$Q36,DE$380&lt;Standards_Active!$R36),(Standards_Active!$AA36-INDEX($CJ408:$DI408,1,MATCH((Standards_Active!$Q36-1),$CJ$380:$DI$380,FALSE)))/(Standards_Active!$R36-(Standards_Active!$Q36-1))+DD408,Standards_Active!$AA36*((1+Standards_Active!$AC36)^(DE$380-Standards_Active!$R36))),TREND(Perform_Active!$U36:$V36,Perform_Active!$U$8:$V$8,DE$380))),)</f>
        <v>0</v>
      </c>
      <c r="DF408" s="271">
        <f>IF(AND(Tech_Specs!$F35="step",Standards_Active!$S36="yes"),IF(DF$380&lt;Standards_Active!$Q36,TREND(Perform_Active!$U36:$V36,Perform_Active!$U$8:$V$8,DF$380),IF(ISNUMBER(Standards_Active!$AA36),IF(AND(DF$380&gt;=Standards_Active!$Q36,DF$380&lt;Standards_Active!$R36),(Standards_Active!$AA36-INDEX($CJ408:$DI408,1,MATCH((Standards_Active!$Q36-1),$CJ$380:$DI$380,FALSE)))/(Standards_Active!$R36-(Standards_Active!$Q36-1))+DE408,Standards_Active!$AA36*((1+Standards_Active!$AC36)^(DF$380-Standards_Active!$R36))),TREND(Perform_Active!$U36:$V36,Perform_Active!$U$8:$V$8,DF$380))),)</f>
        <v>0</v>
      </c>
      <c r="DG408" s="271">
        <f>IF(AND(Tech_Specs!$F35="step",Standards_Active!$S36="yes"),IF(DG$380&lt;Standards_Active!$Q36,TREND(Perform_Active!$U36:$V36,Perform_Active!$U$8:$V$8,DG$380),IF(ISNUMBER(Standards_Active!$AA36),IF(AND(DG$380&gt;=Standards_Active!$Q36,DG$380&lt;Standards_Active!$R36),(Standards_Active!$AA36-INDEX($CJ408:$DI408,1,MATCH((Standards_Active!$Q36-1),$CJ$380:$DI$380,FALSE)))/(Standards_Active!$R36-(Standards_Active!$Q36-1))+DF408,Standards_Active!$AA36*((1+Standards_Active!$AC36)^(DG$380-Standards_Active!$R36))),TREND(Perform_Active!$U36:$V36,Perform_Active!$U$8:$V$8,DG$380))),)</f>
        <v>0</v>
      </c>
      <c r="DH408" s="271">
        <f>IF(AND(Tech_Specs!$F35="step",Standards_Active!$S36="yes"),IF(DH$380&lt;Standards_Active!$Q36,TREND(Perform_Active!$U36:$V36,Perform_Active!$U$8:$V$8,DH$380),IF(ISNUMBER(Standards_Active!$AA36),IF(AND(DH$380&gt;=Standards_Active!$Q36,DH$380&lt;Standards_Active!$R36),(Standards_Active!$AA36-INDEX($CJ408:$DI408,1,MATCH((Standards_Active!$Q36-1),$CJ$380:$DI$380,FALSE)))/(Standards_Active!$R36-(Standards_Active!$Q36-1))+DG408,Standards_Active!$AA36*((1+Standards_Active!$AC36)^(DH$380-Standards_Active!$R36))),TREND(Perform_Active!$U36:$V36,Perform_Active!$U$8:$V$8,DH$380))),)</f>
        <v>0</v>
      </c>
      <c r="DI408" s="271">
        <f>IF(AND(Tech_Specs!$F35="step",Standards_Active!$S36="yes"),IF(DI$380&lt;Standards_Active!$Q36,TREND(Perform_Active!$U36:$V36,Perform_Active!$U$8:$V$8,DI$380),IF(ISNUMBER(Standards_Active!$AA36),IF(AND(DI$380&gt;=Standards_Active!$Q36,DI$380&lt;Standards_Active!$R36),(Standards_Active!$AA36-INDEX($CJ408:$DI408,1,MATCH((Standards_Active!$Q36-1),$CJ$380:$DI$380,FALSE)))/(Standards_Active!$R36-(Standards_Active!$Q36-1))+DH408,Standards_Active!$AA36*((1+Standards_Active!$AC36)^(DI$380-Standards_Active!$R36))),TREND(Perform_Active!$U36:$V36,Perform_Active!$U$8:$V$8,DI$380))),)</f>
        <v>0</v>
      </c>
    </row>
    <row r="409" spans="1:113" s="322" customFormat="1" ht="12.75" x14ac:dyDescent="0.2">
      <c r="B409" s="322" t="s">
        <v>51</v>
      </c>
      <c r="D409" s="550"/>
      <c r="E409" s="550"/>
      <c r="F409" s="550"/>
      <c r="G409" s="272">
        <f t="shared" si="78"/>
        <v>0</v>
      </c>
      <c r="H409" s="272">
        <f t="shared" si="78"/>
        <v>0</v>
      </c>
      <c r="I409" s="272">
        <f t="shared" si="78"/>
        <v>0</v>
      </c>
      <c r="J409" s="272">
        <f t="shared" si="78"/>
        <v>0</v>
      </c>
      <c r="K409" s="272">
        <f t="shared" si="78"/>
        <v>0</v>
      </c>
      <c r="L409" s="272">
        <f t="shared" si="78"/>
        <v>0</v>
      </c>
      <c r="M409" s="272">
        <f t="shared" si="78"/>
        <v>0</v>
      </c>
      <c r="N409" s="272">
        <f t="shared" si="78"/>
        <v>0</v>
      </c>
      <c r="O409" s="272">
        <f t="shared" si="78"/>
        <v>0</v>
      </c>
      <c r="P409" s="272">
        <f t="shared" si="78"/>
        <v>0</v>
      </c>
      <c r="Q409" s="272">
        <f t="shared" si="79"/>
        <v>0</v>
      </c>
      <c r="R409" s="272">
        <f t="shared" si="79"/>
        <v>0</v>
      </c>
      <c r="S409" s="272">
        <f t="shared" si="79"/>
        <v>0</v>
      </c>
      <c r="T409" s="272">
        <f t="shared" si="79"/>
        <v>0</v>
      </c>
      <c r="U409" s="272">
        <f t="shared" si="79"/>
        <v>0</v>
      </c>
      <c r="V409" s="272">
        <f t="shared" si="79"/>
        <v>0</v>
      </c>
      <c r="W409" s="272">
        <f t="shared" si="79"/>
        <v>0</v>
      </c>
      <c r="X409" s="272">
        <f t="shared" si="79"/>
        <v>0</v>
      </c>
      <c r="Y409" s="272">
        <f t="shared" si="79"/>
        <v>0</v>
      </c>
      <c r="Z409" s="272">
        <f t="shared" si="79"/>
        <v>0</v>
      </c>
      <c r="AA409" s="272">
        <f t="shared" si="80"/>
        <v>0</v>
      </c>
      <c r="AB409" s="272">
        <f t="shared" si="80"/>
        <v>0</v>
      </c>
      <c r="AC409" s="272">
        <f t="shared" si="80"/>
        <v>0</v>
      </c>
      <c r="AD409" s="272">
        <f t="shared" si="80"/>
        <v>0</v>
      </c>
      <c r="AE409" s="272">
        <f t="shared" si="80"/>
        <v>0</v>
      </c>
      <c r="AF409" s="272">
        <f t="shared" si="80"/>
        <v>0</v>
      </c>
      <c r="AG409" s="376"/>
      <c r="AH409" s="271">
        <f>IF(Tech_Specs!$F36="linear",TREND(Perform_Active!$U37:$V37,Perform_Active!$U$8:$V$8,AH$380),)</f>
        <v>0</v>
      </c>
      <c r="AI409" s="271">
        <f>IF(Tech_Specs!$F36="linear",TREND(Perform_Active!$U37:$V37,Perform_Active!$U$8:$V$8,AI$380),)</f>
        <v>0</v>
      </c>
      <c r="AJ409" s="271">
        <f>IF(Tech_Specs!$F36="linear",TREND(Perform_Active!$U37:$V37,Perform_Active!$U$8:$V$8,AJ$380),)</f>
        <v>0</v>
      </c>
      <c r="AK409" s="271">
        <f>IF(Tech_Specs!$F36="linear",TREND(Perform_Active!$U37:$V37,Perform_Active!$U$8:$V$8,AK$380),)</f>
        <v>0</v>
      </c>
      <c r="AL409" s="271">
        <f>IF(Tech_Specs!$F36="linear",TREND(Perform_Active!$U37:$V37,Perform_Active!$U$8:$V$8,AL$380),)</f>
        <v>0</v>
      </c>
      <c r="AM409" s="271">
        <f>IF(Tech_Specs!$F36="linear",TREND(Perform_Active!$U37:$V37,Perform_Active!$U$8:$V$8,AM$380),)</f>
        <v>0</v>
      </c>
      <c r="AN409" s="271">
        <f>IF(Tech_Specs!$F36="linear",TREND(Perform_Active!$U37:$V37,Perform_Active!$U$8:$V$8,AN$380),)</f>
        <v>0</v>
      </c>
      <c r="AO409" s="271">
        <f>IF(Tech_Specs!$F36="linear",TREND(Perform_Active!$U37:$V37,Perform_Active!$U$8:$V$8,AO$380),)</f>
        <v>0</v>
      </c>
      <c r="AP409" s="271">
        <f>IF(Tech_Specs!$F36="linear",TREND(Perform_Active!$U37:$V37,Perform_Active!$U$8:$V$8,AP$380),)</f>
        <v>0</v>
      </c>
      <c r="AQ409" s="271">
        <f>IF(Tech_Specs!$F36="linear",TREND(Perform_Active!$U37:$V37,Perform_Active!$U$8:$V$8,AQ$380),)</f>
        <v>0</v>
      </c>
      <c r="AR409" s="271">
        <f>IF(Tech_Specs!$F36="linear",TREND(Perform_Active!$U37:$V37,Perform_Active!$U$8:$V$8,AR$380),)</f>
        <v>0</v>
      </c>
      <c r="AS409" s="271">
        <f>IF(Tech_Specs!$F36="linear",TREND(Perform_Active!$U37:$V37,Perform_Active!$U$8:$V$8,AS$380),)</f>
        <v>0</v>
      </c>
      <c r="AT409" s="271">
        <f>IF(Tech_Specs!$F36="linear",TREND(Perform_Active!$U37:$V37,Perform_Active!$U$8:$V$8,AT$380),)</f>
        <v>0</v>
      </c>
      <c r="AU409" s="271">
        <f>IF(Tech_Specs!$F36="linear",TREND(Perform_Active!$U37:$V37,Perform_Active!$U$8:$V$8,AU$380),)</f>
        <v>0</v>
      </c>
      <c r="AV409" s="271">
        <f>IF(Tech_Specs!$F36="linear",TREND(Perform_Active!$U37:$V37,Perform_Active!$U$8:$V$8,AV$380),)</f>
        <v>0</v>
      </c>
      <c r="AW409" s="271">
        <f>IF(Tech_Specs!$F36="linear",TREND(Perform_Active!$U37:$V37,Perform_Active!$U$8:$V$8,AW$380),)</f>
        <v>0</v>
      </c>
      <c r="AX409" s="271">
        <f>IF(Tech_Specs!$F36="linear",TREND(Perform_Active!$U37:$V37,Perform_Active!$U$8:$V$8,AX$380),)</f>
        <v>0</v>
      </c>
      <c r="AY409" s="271">
        <f>IF(Tech_Specs!$F36="linear",TREND(Perform_Active!$U37:$V37,Perform_Active!$U$8:$V$8,AY$380),)</f>
        <v>0</v>
      </c>
      <c r="AZ409" s="271">
        <f>IF(Tech_Specs!$F36="linear",TREND(Perform_Active!$U37:$V37,Perform_Active!$U$8:$V$8,AZ$380),)</f>
        <v>0</v>
      </c>
      <c r="BA409" s="271">
        <f>IF(Tech_Specs!$F36="linear",TREND(Perform_Active!$U37:$V37,Perform_Active!$U$8:$V$8,BA$380),)</f>
        <v>0</v>
      </c>
      <c r="BB409" s="271">
        <f>IF(Tech_Specs!$F36="linear",TREND(Perform_Active!$U37:$V37,Perform_Active!$U$8:$V$8,BB$380),)</f>
        <v>0</v>
      </c>
      <c r="BC409" s="271">
        <f>IF(Tech_Specs!$F36="linear",TREND(Perform_Active!$U37:$V37,Perform_Active!$U$8:$V$8,BC$380),)</f>
        <v>0</v>
      </c>
      <c r="BD409" s="271">
        <f>IF(Tech_Specs!$F36="linear",TREND(Perform_Active!$U37:$V37,Perform_Active!$U$8:$V$8,BD$380),)</f>
        <v>0</v>
      </c>
      <c r="BE409" s="271">
        <f>IF(Tech_Specs!$F36="linear",TREND(Perform_Active!$U37:$V37,Perform_Active!$U$8:$V$8,BE$380),)</f>
        <v>0</v>
      </c>
      <c r="BF409" s="271">
        <f>IF(Tech_Specs!$F36="linear",TREND(Perform_Active!$U37:$V37,Perform_Active!$U$8:$V$8,BF$380),)</f>
        <v>0</v>
      </c>
      <c r="BG409" s="271">
        <f>IF(Tech_Specs!$F36="linear",TREND(Perform_Active!$U37:$V37,Perform_Active!$U$8:$V$8,BG$380),)</f>
        <v>0</v>
      </c>
      <c r="BH409" s="376"/>
      <c r="BI409" s="271">
        <f>IF(Tech_Specs!$F36="logistic",0,)</f>
        <v>0</v>
      </c>
      <c r="BJ409" s="271">
        <f>IF(Tech_Specs!$F36="logistic",0,)</f>
        <v>0</v>
      </c>
      <c r="BK409" s="271">
        <f>IF(Tech_Specs!$F36="logistic",0,)</f>
        <v>0</v>
      </c>
      <c r="BL409" s="271">
        <f>IF(Tech_Specs!$F36="logistic",0,)</f>
        <v>0</v>
      </c>
      <c r="BM409" s="271">
        <f>IF(Tech_Specs!$F36="logistic",0,)</f>
        <v>0</v>
      </c>
      <c r="BN409" s="271">
        <f>IF(Tech_Specs!$F36="logistic",0,)</f>
        <v>0</v>
      </c>
      <c r="BO409" s="271">
        <f>IF(Tech_Specs!$F36="logistic",0,)</f>
        <v>0</v>
      </c>
      <c r="BP409" s="271">
        <f>IF(Tech_Specs!$F36="logistic",0,)</f>
        <v>0</v>
      </c>
      <c r="BQ409" s="271">
        <f>IF(Tech_Specs!$F36="logistic",0,)</f>
        <v>0</v>
      </c>
      <c r="BR409" s="271">
        <f>IF(Tech_Specs!$F36="logistic",0,)</f>
        <v>0</v>
      </c>
      <c r="BS409" s="271">
        <f>IF(Tech_Specs!$F36="logistic",0,)</f>
        <v>0</v>
      </c>
      <c r="BT409" s="271">
        <f>IF(Tech_Specs!$F36="logistic",0,)</f>
        <v>0</v>
      </c>
      <c r="BU409" s="271">
        <f>IF(Tech_Specs!$F36="logistic",0,)</f>
        <v>0</v>
      </c>
      <c r="BV409" s="271">
        <f>IF(Tech_Specs!$F36="logistic",0,)</f>
        <v>0</v>
      </c>
      <c r="BW409" s="271">
        <f>IF(Tech_Specs!$F36="logistic",0,)</f>
        <v>0</v>
      </c>
      <c r="BX409" s="271">
        <f>IF(Tech_Specs!$F36="logistic",0,)</f>
        <v>0</v>
      </c>
      <c r="BY409" s="271">
        <f>IF(Tech_Specs!$F36="logistic",0,)</f>
        <v>0</v>
      </c>
      <c r="BZ409" s="271">
        <f>IF(Tech_Specs!$F36="logistic",0,)</f>
        <v>0</v>
      </c>
      <c r="CA409" s="271">
        <f>IF(Tech_Specs!$F36="logistic",0,)</f>
        <v>0</v>
      </c>
      <c r="CB409" s="271">
        <f>IF(Tech_Specs!$F36="logistic",0,)</f>
        <v>0</v>
      </c>
      <c r="CC409" s="271">
        <f>IF(Tech_Specs!$F36="logistic",0,)</f>
        <v>0</v>
      </c>
      <c r="CD409" s="271">
        <f>IF(Tech_Specs!$F36="logistic",0,)</f>
        <v>0</v>
      </c>
      <c r="CE409" s="271">
        <f>IF(Tech_Specs!$F36="logistic",0,)</f>
        <v>0</v>
      </c>
      <c r="CF409" s="271">
        <f>IF(Tech_Specs!$F36="logistic",0,)</f>
        <v>0</v>
      </c>
      <c r="CG409" s="271">
        <f>IF(Tech_Specs!$F36="logistic",0,)</f>
        <v>0</v>
      </c>
      <c r="CH409" s="271">
        <f>IF(Tech_Specs!$F36="logistic",0,)</f>
        <v>0</v>
      </c>
      <c r="CI409" s="376"/>
      <c r="CJ409" s="271">
        <f>IF(AND(Tech_Specs!$F36="step",Standards_Active!$S37="yes"),IF(CJ$380&lt;Standards_Active!$Q37,TREND(Perform_Active!$U37:$V37,Perform_Active!$U$8:$V$8,CJ$380),IF(ISNUMBER(Standards_Active!$AA37),IF(AND(CJ$380&gt;=Standards_Active!$Q37,CJ$380&lt;Standards_Active!$R37),(Standards_Active!$AA37-INDEX($CJ409:$DI409,1,MATCH((Standards_Active!$Q37-1),$CJ$380:$DI$380,FALSE)))/(Standards_Active!$R37-(Standards_Active!$Q37-1))+CI409,Standards_Active!$AA37*((1+Standards_Active!$AC37)^(CJ$380-Standards_Active!$R37))),TREND(Perform_Active!$U37:$V37,Perform_Active!$U$8:$V$8,CJ$380))),)</f>
        <v>0</v>
      </c>
      <c r="CK409" s="271">
        <f>IF(AND(Tech_Specs!$F36="step",Standards_Active!$S37="yes"),IF(CK$380&lt;Standards_Active!$Q37,TREND(Perform_Active!$U37:$V37,Perform_Active!$U$8:$V$8,CK$380),IF(ISNUMBER(Standards_Active!$AA37),IF(AND(CK$380&gt;=Standards_Active!$Q37,CK$380&lt;Standards_Active!$R37),(Standards_Active!$AA37-INDEX($CJ409:$DI409,1,MATCH((Standards_Active!$Q37-1),$CJ$380:$DI$380,FALSE)))/(Standards_Active!$R37-(Standards_Active!$Q37-1))+CJ409,Standards_Active!$AA37*((1+Standards_Active!$AC37)^(CK$380-Standards_Active!$R37))),TREND(Perform_Active!$U37:$V37,Perform_Active!$U$8:$V$8,CK$380))),)</f>
        <v>0</v>
      </c>
      <c r="CL409" s="271">
        <f>IF(AND(Tech_Specs!$F36="step",Standards_Active!$S37="yes"),IF(CL$380&lt;Standards_Active!$Q37,TREND(Perform_Active!$U37:$V37,Perform_Active!$U$8:$V$8,CL$380),IF(ISNUMBER(Standards_Active!$AA37),IF(AND(CL$380&gt;=Standards_Active!$Q37,CL$380&lt;Standards_Active!$R37),(Standards_Active!$AA37-INDEX($CJ409:$DI409,1,MATCH((Standards_Active!$Q37-1),$CJ$380:$DI$380,FALSE)))/(Standards_Active!$R37-(Standards_Active!$Q37-1))+CK409,Standards_Active!$AA37*((1+Standards_Active!$AC37)^(CL$380-Standards_Active!$R37))),TREND(Perform_Active!$U37:$V37,Perform_Active!$U$8:$V$8,CL$380))),)</f>
        <v>0</v>
      </c>
      <c r="CM409" s="271">
        <f>IF(AND(Tech_Specs!$F36="step",Standards_Active!$S37="yes"),IF(CM$380&lt;Standards_Active!$Q37,TREND(Perform_Active!$U37:$V37,Perform_Active!$U$8:$V$8,CM$380),IF(ISNUMBER(Standards_Active!$AA37),IF(AND(CM$380&gt;=Standards_Active!$Q37,CM$380&lt;Standards_Active!$R37),(Standards_Active!$AA37-INDEX($CJ409:$DI409,1,MATCH((Standards_Active!$Q37-1),$CJ$380:$DI$380,FALSE)))/(Standards_Active!$R37-(Standards_Active!$Q37-1))+CL409,Standards_Active!$AA37*((1+Standards_Active!$AC37)^(CM$380-Standards_Active!$R37))),TREND(Perform_Active!$U37:$V37,Perform_Active!$U$8:$V$8,CM$380))),)</f>
        <v>0</v>
      </c>
      <c r="CN409" s="271">
        <f>IF(AND(Tech_Specs!$F36="step",Standards_Active!$S37="yes"),IF(CN$380&lt;Standards_Active!$Q37,TREND(Perform_Active!$U37:$V37,Perform_Active!$U$8:$V$8,CN$380),IF(ISNUMBER(Standards_Active!$AA37),IF(AND(CN$380&gt;=Standards_Active!$Q37,CN$380&lt;Standards_Active!$R37),(Standards_Active!$AA37-INDEX($CJ409:$DI409,1,MATCH((Standards_Active!$Q37-1),$CJ$380:$DI$380,FALSE)))/(Standards_Active!$R37-(Standards_Active!$Q37-1))+CM409,Standards_Active!$AA37*((1+Standards_Active!$AC37)^(CN$380-Standards_Active!$R37))),TREND(Perform_Active!$U37:$V37,Perform_Active!$U$8:$V$8,CN$380))),)</f>
        <v>0</v>
      </c>
      <c r="CO409" s="271">
        <f>IF(AND(Tech_Specs!$F36="step",Standards_Active!$S37="yes"),IF(CO$380&lt;Standards_Active!$Q37,TREND(Perform_Active!$U37:$V37,Perform_Active!$U$8:$V$8,CO$380),IF(ISNUMBER(Standards_Active!$AA37),IF(AND(CO$380&gt;=Standards_Active!$Q37,CO$380&lt;Standards_Active!$R37),(Standards_Active!$AA37-INDEX($CJ409:$DI409,1,MATCH((Standards_Active!$Q37-1),$CJ$380:$DI$380,FALSE)))/(Standards_Active!$R37-(Standards_Active!$Q37-1))+CN409,Standards_Active!$AA37*((1+Standards_Active!$AC37)^(CO$380-Standards_Active!$R37))),TREND(Perform_Active!$U37:$V37,Perform_Active!$U$8:$V$8,CO$380))),)</f>
        <v>0</v>
      </c>
      <c r="CP409" s="271">
        <f>IF(AND(Tech_Specs!$F36="step",Standards_Active!$S37="yes"),IF(CP$380&lt;Standards_Active!$Q37,TREND(Perform_Active!$U37:$V37,Perform_Active!$U$8:$V$8,CP$380),IF(ISNUMBER(Standards_Active!$AA37),IF(AND(CP$380&gt;=Standards_Active!$Q37,CP$380&lt;Standards_Active!$R37),(Standards_Active!$AA37-INDEX($CJ409:$DI409,1,MATCH((Standards_Active!$Q37-1),$CJ$380:$DI$380,FALSE)))/(Standards_Active!$R37-(Standards_Active!$Q37-1))+CO409,Standards_Active!$AA37*((1+Standards_Active!$AC37)^(CP$380-Standards_Active!$R37))),TREND(Perform_Active!$U37:$V37,Perform_Active!$U$8:$V$8,CP$380))),)</f>
        <v>0</v>
      </c>
      <c r="CQ409" s="271">
        <f>IF(AND(Tech_Specs!$F36="step",Standards_Active!$S37="yes"),IF(CQ$380&lt;Standards_Active!$Q37,TREND(Perform_Active!$U37:$V37,Perform_Active!$U$8:$V$8,CQ$380),IF(ISNUMBER(Standards_Active!$AA37),IF(AND(CQ$380&gt;=Standards_Active!$Q37,CQ$380&lt;Standards_Active!$R37),(Standards_Active!$AA37-INDEX($CJ409:$DI409,1,MATCH((Standards_Active!$Q37-1),$CJ$380:$DI$380,FALSE)))/(Standards_Active!$R37-(Standards_Active!$Q37-1))+CP409,Standards_Active!$AA37*((1+Standards_Active!$AC37)^(CQ$380-Standards_Active!$R37))),TREND(Perform_Active!$U37:$V37,Perform_Active!$U$8:$V$8,CQ$380))),)</f>
        <v>0</v>
      </c>
      <c r="CR409" s="271">
        <f>IF(AND(Tech_Specs!$F36="step",Standards_Active!$S37="yes"),IF(CR$380&lt;Standards_Active!$Q37,TREND(Perform_Active!$U37:$V37,Perform_Active!$U$8:$V$8,CR$380),IF(ISNUMBER(Standards_Active!$AA37),IF(AND(CR$380&gt;=Standards_Active!$Q37,CR$380&lt;Standards_Active!$R37),(Standards_Active!$AA37-INDEX($CJ409:$DI409,1,MATCH((Standards_Active!$Q37-1),$CJ$380:$DI$380,FALSE)))/(Standards_Active!$R37-(Standards_Active!$Q37-1))+CQ409,Standards_Active!$AA37*((1+Standards_Active!$AC37)^(CR$380-Standards_Active!$R37))),TREND(Perform_Active!$U37:$V37,Perform_Active!$U$8:$V$8,CR$380))),)</f>
        <v>0</v>
      </c>
      <c r="CS409" s="271">
        <f>IF(AND(Tech_Specs!$F36="step",Standards_Active!$S37="yes"),IF(CS$380&lt;Standards_Active!$Q37,TREND(Perform_Active!$U37:$V37,Perform_Active!$U$8:$V$8,CS$380),IF(ISNUMBER(Standards_Active!$AA37),IF(AND(CS$380&gt;=Standards_Active!$Q37,CS$380&lt;Standards_Active!$R37),(Standards_Active!$AA37-INDEX($CJ409:$DI409,1,MATCH((Standards_Active!$Q37-1),$CJ$380:$DI$380,FALSE)))/(Standards_Active!$R37-(Standards_Active!$Q37-1))+CR409,Standards_Active!$AA37*((1+Standards_Active!$AC37)^(CS$380-Standards_Active!$R37))),TREND(Perform_Active!$U37:$V37,Perform_Active!$U$8:$V$8,CS$380))),)</f>
        <v>0</v>
      </c>
      <c r="CT409" s="271">
        <f>IF(AND(Tech_Specs!$F36="step",Standards_Active!$S37="yes"),IF(CT$380&lt;Standards_Active!$Q37,TREND(Perform_Active!$U37:$V37,Perform_Active!$U$8:$V$8,CT$380),IF(ISNUMBER(Standards_Active!$AA37),IF(AND(CT$380&gt;=Standards_Active!$Q37,CT$380&lt;Standards_Active!$R37),(Standards_Active!$AA37-INDEX($CJ409:$DI409,1,MATCH((Standards_Active!$Q37-1),$CJ$380:$DI$380,FALSE)))/(Standards_Active!$R37-(Standards_Active!$Q37-1))+CS409,Standards_Active!$AA37*((1+Standards_Active!$AC37)^(CT$380-Standards_Active!$R37))),TREND(Perform_Active!$U37:$V37,Perform_Active!$U$8:$V$8,CT$380))),)</f>
        <v>0</v>
      </c>
      <c r="CU409" s="271">
        <f>IF(AND(Tech_Specs!$F36="step",Standards_Active!$S37="yes"),IF(CU$380&lt;Standards_Active!$Q37,TREND(Perform_Active!$U37:$V37,Perform_Active!$U$8:$V$8,CU$380),IF(ISNUMBER(Standards_Active!$AA37),IF(AND(CU$380&gt;=Standards_Active!$Q37,CU$380&lt;Standards_Active!$R37),(Standards_Active!$AA37-INDEX($CJ409:$DI409,1,MATCH((Standards_Active!$Q37-1),$CJ$380:$DI$380,FALSE)))/(Standards_Active!$R37-(Standards_Active!$Q37-1))+CT409,Standards_Active!$AA37*((1+Standards_Active!$AC37)^(CU$380-Standards_Active!$R37))),TREND(Perform_Active!$U37:$V37,Perform_Active!$U$8:$V$8,CU$380))),)</f>
        <v>0</v>
      </c>
      <c r="CV409" s="271">
        <f>IF(AND(Tech_Specs!$F36="step",Standards_Active!$S37="yes"),IF(CV$380&lt;Standards_Active!$Q37,TREND(Perform_Active!$U37:$V37,Perform_Active!$U$8:$V$8,CV$380),IF(ISNUMBER(Standards_Active!$AA37),IF(AND(CV$380&gt;=Standards_Active!$Q37,CV$380&lt;Standards_Active!$R37),(Standards_Active!$AA37-INDEX($CJ409:$DI409,1,MATCH((Standards_Active!$Q37-1),$CJ$380:$DI$380,FALSE)))/(Standards_Active!$R37-(Standards_Active!$Q37-1))+CU409,Standards_Active!$AA37*((1+Standards_Active!$AC37)^(CV$380-Standards_Active!$R37))),TREND(Perform_Active!$U37:$V37,Perform_Active!$U$8:$V$8,CV$380))),)</f>
        <v>0</v>
      </c>
      <c r="CW409" s="271">
        <f>IF(AND(Tech_Specs!$F36="step",Standards_Active!$S37="yes"),IF(CW$380&lt;Standards_Active!$Q37,TREND(Perform_Active!$U37:$V37,Perform_Active!$U$8:$V$8,CW$380),IF(ISNUMBER(Standards_Active!$AA37),IF(AND(CW$380&gt;=Standards_Active!$Q37,CW$380&lt;Standards_Active!$R37),(Standards_Active!$AA37-INDEX($CJ409:$DI409,1,MATCH((Standards_Active!$Q37-1),$CJ$380:$DI$380,FALSE)))/(Standards_Active!$R37-(Standards_Active!$Q37-1))+CV409,Standards_Active!$AA37*((1+Standards_Active!$AC37)^(CW$380-Standards_Active!$R37))),TREND(Perform_Active!$U37:$V37,Perform_Active!$U$8:$V$8,CW$380))),)</f>
        <v>0</v>
      </c>
      <c r="CX409" s="271">
        <f>IF(AND(Tech_Specs!$F36="step",Standards_Active!$S37="yes"),IF(CX$380&lt;Standards_Active!$Q37,TREND(Perform_Active!$U37:$V37,Perform_Active!$U$8:$V$8,CX$380),IF(ISNUMBER(Standards_Active!$AA37),IF(AND(CX$380&gt;=Standards_Active!$Q37,CX$380&lt;Standards_Active!$R37),(Standards_Active!$AA37-INDEX($CJ409:$DI409,1,MATCH((Standards_Active!$Q37-1),$CJ$380:$DI$380,FALSE)))/(Standards_Active!$R37-(Standards_Active!$Q37-1))+CW409,Standards_Active!$AA37*((1+Standards_Active!$AC37)^(CX$380-Standards_Active!$R37))),TREND(Perform_Active!$U37:$V37,Perform_Active!$U$8:$V$8,CX$380))),)</f>
        <v>0</v>
      </c>
      <c r="CY409" s="271">
        <f>IF(AND(Tech_Specs!$F36="step",Standards_Active!$S37="yes"),IF(CY$380&lt;Standards_Active!$Q37,TREND(Perform_Active!$U37:$V37,Perform_Active!$U$8:$V$8,CY$380),IF(ISNUMBER(Standards_Active!$AA37),IF(AND(CY$380&gt;=Standards_Active!$Q37,CY$380&lt;Standards_Active!$R37),(Standards_Active!$AA37-INDEX($CJ409:$DI409,1,MATCH((Standards_Active!$Q37-1),$CJ$380:$DI$380,FALSE)))/(Standards_Active!$R37-(Standards_Active!$Q37-1))+CX409,Standards_Active!$AA37*((1+Standards_Active!$AC37)^(CY$380-Standards_Active!$R37))),TREND(Perform_Active!$U37:$V37,Perform_Active!$U$8:$V$8,CY$380))),)</f>
        <v>0</v>
      </c>
      <c r="CZ409" s="271">
        <f>IF(AND(Tech_Specs!$F36="step",Standards_Active!$S37="yes"),IF(CZ$380&lt;Standards_Active!$Q37,TREND(Perform_Active!$U37:$V37,Perform_Active!$U$8:$V$8,CZ$380),IF(ISNUMBER(Standards_Active!$AA37),IF(AND(CZ$380&gt;=Standards_Active!$Q37,CZ$380&lt;Standards_Active!$R37),(Standards_Active!$AA37-INDEX($CJ409:$DI409,1,MATCH((Standards_Active!$Q37-1),$CJ$380:$DI$380,FALSE)))/(Standards_Active!$R37-(Standards_Active!$Q37-1))+CY409,Standards_Active!$AA37*((1+Standards_Active!$AC37)^(CZ$380-Standards_Active!$R37))),TREND(Perform_Active!$U37:$V37,Perform_Active!$U$8:$V$8,CZ$380))),)</f>
        <v>0</v>
      </c>
      <c r="DA409" s="271">
        <f>IF(AND(Tech_Specs!$F36="step",Standards_Active!$S37="yes"),IF(DA$380&lt;Standards_Active!$Q37,TREND(Perform_Active!$U37:$V37,Perform_Active!$U$8:$V$8,DA$380),IF(ISNUMBER(Standards_Active!$AA37),IF(AND(DA$380&gt;=Standards_Active!$Q37,DA$380&lt;Standards_Active!$R37),(Standards_Active!$AA37-INDEX($CJ409:$DI409,1,MATCH((Standards_Active!$Q37-1),$CJ$380:$DI$380,FALSE)))/(Standards_Active!$R37-(Standards_Active!$Q37-1))+CZ409,Standards_Active!$AA37*((1+Standards_Active!$AC37)^(DA$380-Standards_Active!$R37))),TREND(Perform_Active!$U37:$V37,Perform_Active!$U$8:$V$8,DA$380))),)</f>
        <v>0</v>
      </c>
      <c r="DB409" s="271">
        <f>IF(AND(Tech_Specs!$F36="step",Standards_Active!$S37="yes"),IF(DB$380&lt;Standards_Active!$Q37,TREND(Perform_Active!$U37:$V37,Perform_Active!$U$8:$V$8,DB$380),IF(ISNUMBER(Standards_Active!$AA37),IF(AND(DB$380&gt;=Standards_Active!$Q37,DB$380&lt;Standards_Active!$R37),(Standards_Active!$AA37-INDEX($CJ409:$DI409,1,MATCH((Standards_Active!$Q37-1),$CJ$380:$DI$380,FALSE)))/(Standards_Active!$R37-(Standards_Active!$Q37-1))+DA409,Standards_Active!$AA37*((1+Standards_Active!$AC37)^(DB$380-Standards_Active!$R37))),TREND(Perform_Active!$U37:$V37,Perform_Active!$U$8:$V$8,DB$380))),)</f>
        <v>0</v>
      </c>
      <c r="DC409" s="271">
        <f>IF(AND(Tech_Specs!$F36="step",Standards_Active!$S37="yes"),IF(DC$380&lt;Standards_Active!$Q37,TREND(Perform_Active!$U37:$V37,Perform_Active!$U$8:$V$8,DC$380),IF(ISNUMBER(Standards_Active!$AA37),IF(AND(DC$380&gt;=Standards_Active!$Q37,DC$380&lt;Standards_Active!$R37),(Standards_Active!$AA37-INDEX($CJ409:$DI409,1,MATCH((Standards_Active!$Q37-1),$CJ$380:$DI$380,FALSE)))/(Standards_Active!$R37-(Standards_Active!$Q37-1))+DB409,Standards_Active!$AA37*((1+Standards_Active!$AC37)^(DC$380-Standards_Active!$R37))),TREND(Perform_Active!$U37:$V37,Perform_Active!$U$8:$V$8,DC$380))),)</f>
        <v>0</v>
      </c>
      <c r="DD409" s="271">
        <f>IF(AND(Tech_Specs!$F36="step",Standards_Active!$S37="yes"),IF(DD$380&lt;Standards_Active!$Q37,TREND(Perform_Active!$U37:$V37,Perform_Active!$U$8:$V$8,DD$380),IF(ISNUMBER(Standards_Active!$AA37),IF(AND(DD$380&gt;=Standards_Active!$Q37,DD$380&lt;Standards_Active!$R37),(Standards_Active!$AA37-INDEX($CJ409:$DI409,1,MATCH((Standards_Active!$Q37-1),$CJ$380:$DI$380,FALSE)))/(Standards_Active!$R37-(Standards_Active!$Q37-1))+DC409,Standards_Active!$AA37*((1+Standards_Active!$AC37)^(DD$380-Standards_Active!$R37))),TREND(Perform_Active!$U37:$V37,Perform_Active!$U$8:$V$8,DD$380))),)</f>
        <v>0</v>
      </c>
      <c r="DE409" s="271">
        <f>IF(AND(Tech_Specs!$F36="step",Standards_Active!$S37="yes"),IF(DE$380&lt;Standards_Active!$Q37,TREND(Perform_Active!$U37:$V37,Perform_Active!$U$8:$V$8,DE$380),IF(ISNUMBER(Standards_Active!$AA37),IF(AND(DE$380&gt;=Standards_Active!$Q37,DE$380&lt;Standards_Active!$R37),(Standards_Active!$AA37-INDEX($CJ409:$DI409,1,MATCH((Standards_Active!$Q37-1),$CJ$380:$DI$380,FALSE)))/(Standards_Active!$R37-(Standards_Active!$Q37-1))+DD409,Standards_Active!$AA37*((1+Standards_Active!$AC37)^(DE$380-Standards_Active!$R37))),TREND(Perform_Active!$U37:$V37,Perform_Active!$U$8:$V$8,DE$380))),)</f>
        <v>0</v>
      </c>
      <c r="DF409" s="271">
        <f>IF(AND(Tech_Specs!$F36="step",Standards_Active!$S37="yes"),IF(DF$380&lt;Standards_Active!$Q37,TREND(Perform_Active!$U37:$V37,Perform_Active!$U$8:$V$8,DF$380),IF(ISNUMBER(Standards_Active!$AA37),IF(AND(DF$380&gt;=Standards_Active!$Q37,DF$380&lt;Standards_Active!$R37),(Standards_Active!$AA37-INDEX($CJ409:$DI409,1,MATCH((Standards_Active!$Q37-1),$CJ$380:$DI$380,FALSE)))/(Standards_Active!$R37-(Standards_Active!$Q37-1))+DE409,Standards_Active!$AA37*((1+Standards_Active!$AC37)^(DF$380-Standards_Active!$R37))),TREND(Perform_Active!$U37:$V37,Perform_Active!$U$8:$V$8,DF$380))),)</f>
        <v>0</v>
      </c>
      <c r="DG409" s="271">
        <f>IF(AND(Tech_Specs!$F36="step",Standards_Active!$S37="yes"),IF(DG$380&lt;Standards_Active!$Q37,TREND(Perform_Active!$U37:$V37,Perform_Active!$U$8:$V$8,DG$380),IF(ISNUMBER(Standards_Active!$AA37),IF(AND(DG$380&gt;=Standards_Active!$Q37,DG$380&lt;Standards_Active!$R37),(Standards_Active!$AA37-INDEX($CJ409:$DI409,1,MATCH((Standards_Active!$Q37-1),$CJ$380:$DI$380,FALSE)))/(Standards_Active!$R37-(Standards_Active!$Q37-1))+DF409,Standards_Active!$AA37*((1+Standards_Active!$AC37)^(DG$380-Standards_Active!$R37))),TREND(Perform_Active!$U37:$V37,Perform_Active!$U$8:$V$8,DG$380))),)</f>
        <v>0</v>
      </c>
      <c r="DH409" s="271">
        <f>IF(AND(Tech_Specs!$F36="step",Standards_Active!$S37="yes"),IF(DH$380&lt;Standards_Active!$Q37,TREND(Perform_Active!$U37:$V37,Perform_Active!$U$8:$V$8,DH$380),IF(ISNUMBER(Standards_Active!$AA37),IF(AND(DH$380&gt;=Standards_Active!$Q37,DH$380&lt;Standards_Active!$R37),(Standards_Active!$AA37-INDEX($CJ409:$DI409,1,MATCH((Standards_Active!$Q37-1),$CJ$380:$DI$380,FALSE)))/(Standards_Active!$R37-(Standards_Active!$Q37-1))+DG409,Standards_Active!$AA37*((1+Standards_Active!$AC37)^(DH$380-Standards_Active!$R37))),TREND(Perform_Active!$U37:$V37,Perform_Active!$U$8:$V$8,DH$380))),)</f>
        <v>0</v>
      </c>
      <c r="DI409" s="271">
        <f>IF(AND(Tech_Specs!$F36="step",Standards_Active!$S37="yes"),IF(DI$380&lt;Standards_Active!$Q37,TREND(Perform_Active!$U37:$V37,Perform_Active!$U$8:$V$8,DI$380),IF(ISNUMBER(Standards_Active!$AA37),IF(AND(DI$380&gt;=Standards_Active!$Q37,DI$380&lt;Standards_Active!$R37),(Standards_Active!$AA37-INDEX($CJ409:$DI409,1,MATCH((Standards_Active!$Q37-1),$CJ$380:$DI$380,FALSE)))/(Standards_Active!$R37-(Standards_Active!$Q37-1))+DH409,Standards_Active!$AA37*((1+Standards_Active!$AC37)^(DI$380-Standards_Active!$R37))),TREND(Perform_Active!$U37:$V37,Perform_Active!$U$8:$V$8,DI$380))),)</f>
        <v>0</v>
      </c>
    </row>
    <row r="410" spans="1:113" s="322" customFormat="1" ht="12.75" x14ac:dyDescent="0.2">
      <c r="B410" s="322" t="s">
        <v>52</v>
      </c>
      <c r="D410" s="550"/>
      <c r="E410" s="550"/>
      <c r="F410" s="550"/>
      <c r="G410" s="272">
        <f t="shared" si="78"/>
        <v>15</v>
      </c>
      <c r="H410" s="272">
        <f t="shared" si="78"/>
        <v>14.925000000000011</v>
      </c>
      <c r="I410" s="272">
        <f t="shared" si="78"/>
        <v>14.849999999999994</v>
      </c>
      <c r="J410" s="272">
        <f t="shared" si="78"/>
        <v>14.775000000000006</v>
      </c>
      <c r="K410" s="272">
        <f t="shared" si="78"/>
        <v>14.700000000000017</v>
      </c>
      <c r="L410" s="272">
        <f t="shared" si="78"/>
        <v>14.625</v>
      </c>
      <c r="M410" s="272">
        <f t="shared" si="78"/>
        <v>14.550000000000011</v>
      </c>
      <c r="N410" s="272">
        <f t="shared" si="78"/>
        <v>14.474999999999994</v>
      </c>
      <c r="O410" s="272">
        <f t="shared" si="78"/>
        <v>14.400000000000006</v>
      </c>
      <c r="P410" s="272">
        <f t="shared" si="78"/>
        <v>14.325000000000017</v>
      </c>
      <c r="Q410" s="272">
        <f t="shared" si="79"/>
        <v>14.25</v>
      </c>
      <c r="R410" s="272">
        <f t="shared" si="79"/>
        <v>14.175000000000011</v>
      </c>
      <c r="S410" s="272">
        <f t="shared" si="79"/>
        <v>14.099999999999994</v>
      </c>
      <c r="T410" s="272">
        <f t="shared" si="79"/>
        <v>14.025000000000006</v>
      </c>
      <c r="U410" s="272">
        <f t="shared" si="79"/>
        <v>13.950000000000017</v>
      </c>
      <c r="V410" s="272">
        <f t="shared" si="79"/>
        <v>13.875</v>
      </c>
      <c r="W410" s="272">
        <f t="shared" si="79"/>
        <v>13.800000000000011</v>
      </c>
      <c r="X410" s="272">
        <f t="shared" si="79"/>
        <v>13.724999999999994</v>
      </c>
      <c r="Y410" s="272">
        <f t="shared" si="79"/>
        <v>13.650000000000006</v>
      </c>
      <c r="Z410" s="272">
        <f t="shared" si="79"/>
        <v>13.575000000000017</v>
      </c>
      <c r="AA410" s="272">
        <f t="shared" si="80"/>
        <v>13.5</v>
      </c>
      <c r="AB410" s="272">
        <f t="shared" si="80"/>
        <v>13.425000000000011</v>
      </c>
      <c r="AC410" s="272">
        <f t="shared" si="80"/>
        <v>13.349999999999994</v>
      </c>
      <c r="AD410" s="272">
        <f t="shared" si="80"/>
        <v>13.275000000000006</v>
      </c>
      <c r="AE410" s="272">
        <f t="shared" si="80"/>
        <v>13.200000000000017</v>
      </c>
      <c r="AF410" s="272">
        <f t="shared" si="80"/>
        <v>13.125</v>
      </c>
      <c r="AG410" s="376"/>
      <c r="AH410" s="271">
        <f>IF(Tech_Specs!$F37="linear",TREND(Perform_Active!$U38:$V38,Perform_Active!$U$8:$V$8,AH$380),)</f>
        <v>15</v>
      </c>
      <c r="AI410" s="271">
        <f>IF(Tech_Specs!$F37="linear",TREND(Perform_Active!$U38:$V38,Perform_Active!$U$8:$V$8,AI$380),)</f>
        <v>14.925000000000011</v>
      </c>
      <c r="AJ410" s="271">
        <f>IF(Tech_Specs!$F37="linear",TREND(Perform_Active!$U38:$V38,Perform_Active!$U$8:$V$8,AJ$380),)</f>
        <v>14.849999999999994</v>
      </c>
      <c r="AK410" s="271">
        <f>IF(Tech_Specs!$F37="linear",TREND(Perform_Active!$U38:$V38,Perform_Active!$U$8:$V$8,AK$380),)</f>
        <v>14.775000000000006</v>
      </c>
      <c r="AL410" s="271">
        <f>IF(Tech_Specs!$F37="linear",TREND(Perform_Active!$U38:$V38,Perform_Active!$U$8:$V$8,AL$380),)</f>
        <v>14.700000000000017</v>
      </c>
      <c r="AM410" s="271">
        <f>IF(Tech_Specs!$F37="linear",TREND(Perform_Active!$U38:$V38,Perform_Active!$U$8:$V$8,AM$380),)</f>
        <v>14.625</v>
      </c>
      <c r="AN410" s="271">
        <f>IF(Tech_Specs!$F37="linear",TREND(Perform_Active!$U38:$V38,Perform_Active!$U$8:$V$8,AN$380),)</f>
        <v>14.550000000000011</v>
      </c>
      <c r="AO410" s="271">
        <f>IF(Tech_Specs!$F37="linear",TREND(Perform_Active!$U38:$V38,Perform_Active!$U$8:$V$8,AO$380),)</f>
        <v>14.474999999999994</v>
      </c>
      <c r="AP410" s="271">
        <f>IF(Tech_Specs!$F37="linear",TREND(Perform_Active!$U38:$V38,Perform_Active!$U$8:$V$8,AP$380),)</f>
        <v>14.400000000000006</v>
      </c>
      <c r="AQ410" s="271">
        <f>IF(Tech_Specs!$F37="linear",TREND(Perform_Active!$U38:$V38,Perform_Active!$U$8:$V$8,AQ$380),)</f>
        <v>14.325000000000017</v>
      </c>
      <c r="AR410" s="271">
        <f>IF(Tech_Specs!$F37="linear",TREND(Perform_Active!$U38:$V38,Perform_Active!$U$8:$V$8,AR$380),)</f>
        <v>14.25</v>
      </c>
      <c r="AS410" s="271">
        <f>IF(Tech_Specs!$F37="linear",TREND(Perform_Active!$U38:$V38,Perform_Active!$U$8:$V$8,AS$380),)</f>
        <v>14.175000000000011</v>
      </c>
      <c r="AT410" s="271">
        <f>IF(Tech_Specs!$F37="linear",TREND(Perform_Active!$U38:$V38,Perform_Active!$U$8:$V$8,AT$380),)</f>
        <v>14.099999999999994</v>
      </c>
      <c r="AU410" s="271">
        <f>IF(Tech_Specs!$F37="linear",TREND(Perform_Active!$U38:$V38,Perform_Active!$U$8:$V$8,AU$380),)</f>
        <v>14.025000000000006</v>
      </c>
      <c r="AV410" s="271">
        <f>IF(Tech_Specs!$F37="linear",TREND(Perform_Active!$U38:$V38,Perform_Active!$U$8:$V$8,AV$380),)</f>
        <v>13.950000000000017</v>
      </c>
      <c r="AW410" s="271">
        <f>IF(Tech_Specs!$F37="linear",TREND(Perform_Active!$U38:$V38,Perform_Active!$U$8:$V$8,AW$380),)</f>
        <v>13.875</v>
      </c>
      <c r="AX410" s="271">
        <f>IF(Tech_Specs!$F37="linear",TREND(Perform_Active!$U38:$V38,Perform_Active!$U$8:$V$8,AX$380),)</f>
        <v>13.800000000000011</v>
      </c>
      <c r="AY410" s="271">
        <f>IF(Tech_Specs!$F37="linear",TREND(Perform_Active!$U38:$V38,Perform_Active!$U$8:$V$8,AY$380),)</f>
        <v>13.724999999999994</v>
      </c>
      <c r="AZ410" s="271">
        <f>IF(Tech_Specs!$F37="linear",TREND(Perform_Active!$U38:$V38,Perform_Active!$U$8:$V$8,AZ$380),)</f>
        <v>13.650000000000006</v>
      </c>
      <c r="BA410" s="271">
        <f>IF(Tech_Specs!$F37="linear",TREND(Perform_Active!$U38:$V38,Perform_Active!$U$8:$V$8,BA$380),)</f>
        <v>13.575000000000017</v>
      </c>
      <c r="BB410" s="271">
        <f>IF(Tech_Specs!$F37="linear",TREND(Perform_Active!$U38:$V38,Perform_Active!$U$8:$V$8,BB$380),)</f>
        <v>13.5</v>
      </c>
      <c r="BC410" s="271">
        <f>IF(Tech_Specs!$F37="linear",TREND(Perform_Active!$U38:$V38,Perform_Active!$U$8:$V$8,BC$380),)</f>
        <v>13.425000000000011</v>
      </c>
      <c r="BD410" s="271">
        <f>IF(Tech_Specs!$F37="linear",TREND(Perform_Active!$U38:$V38,Perform_Active!$U$8:$V$8,BD$380),)</f>
        <v>13.349999999999994</v>
      </c>
      <c r="BE410" s="271">
        <f>IF(Tech_Specs!$F37="linear",TREND(Perform_Active!$U38:$V38,Perform_Active!$U$8:$V$8,BE$380),)</f>
        <v>13.275000000000006</v>
      </c>
      <c r="BF410" s="271">
        <f>IF(Tech_Specs!$F37="linear",TREND(Perform_Active!$U38:$V38,Perform_Active!$U$8:$V$8,BF$380),)</f>
        <v>13.200000000000017</v>
      </c>
      <c r="BG410" s="271">
        <f>IF(Tech_Specs!$F37="linear",TREND(Perform_Active!$U38:$V38,Perform_Active!$U$8:$V$8,BG$380),)</f>
        <v>13.125</v>
      </c>
      <c r="BH410" s="376"/>
      <c r="BI410" s="271">
        <f>IF(Tech_Specs!$F37="logistic",0,)</f>
        <v>0</v>
      </c>
      <c r="BJ410" s="271">
        <f>IF(Tech_Specs!$F37="logistic",0,)</f>
        <v>0</v>
      </c>
      <c r="BK410" s="271">
        <f>IF(Tech_Specs!$F37="logistic",0,)</f>
        <v>0</v>
      </c>
      <c r="BL410" s="271">
        <f>IF(Tech_Specs!$F37="logistic",0,)</f>
        <v>0</v>
      </c>
      <c r="BM410" s="271">
        <f>IF(Tech_Specs!$F37="logistic",0,)</f>
        <v>0</v>
      </c>
      <c r="BN410" s="271">
        <f>IF(Tech_Specs!$F37="logistic",0,)</f>
        <v>0</v>
      </c>
      <c r="BO410" s="271">
        <f>IF(Tech_Specs!$F37="logistic",0,)</f>
        <v>0</v>
      </c>
      <c r="BP410" s="271">
        <f>IF(Tech_Specs!$F37="logistic",0,)</f>
        <v>0</v>
      </c>
      <c r="BQ410" s="271">
        <f>IF(Tech_Specs!$F37="logistic",0,)</f>
        <v>0</v>
      </c>
      <c r="BR410" s="271">
        <f>IF(Tech_Specs!$F37="logistic",0,)</f>
        <v>0</v>
      </c>
      <c r="BS410" s="271">
        <f>IF(Tech_Specs!$F37="logistic",0,)</f>
        <v>0</v>
      </c>
      <c r="BT410" s="271">
        <f>IF(Tech_Specs!$F37="logistic",0,)</f>
        <v>0</v>
      </c>
      <c r="BU410" s="271">
        <f>IF(Tech_Specs!$F37="logistic",0,)</f>
        <v>0</v>
      </c>
      <c r="BV410" s="271">
        <f>IF(Tech_Specs!$F37="logistic",0,)</f>
        <v>0</v>
      </c>
      <c r="BW410" s="271">
        <f>IF(Tech_Specs!$F37="logistic",0,)</f>
        <v>0</v>
      </c>
      <c r="BX410" s="271">
        <f>IF(Tech_Specs!$F37="logistic",0,)</f>
        <v>0</v>
      </c>
      <c r="BY410" s="271">
        <f>IF(Tech_Specs!$F37="logistic",0,)</f>
        <v>0</v>
      </c>
      <c r="BZ410" s="271">
        <f>IF(Tech_Specs!$F37="logistic",0,)</f>
        <v>0</v>
      </c>
      <c r="CA410" s="271">
        <f>IF(Tech_Specs!$F37="logistic",0,)</f>
        <v>0</v>
      </c>
      <c r="CB410" s="271">
        <f>IF(Tech_Specs!$F37="logistic",0,)</f>
        <v>0</v>
      </c>
      <c r="CC410" s="271">
        <f>IF(Tech_Specs!$F37="logistic",0,)</f>
        <v>0</v>
      </c>
      <c r="CD410" s="271">
        <f>IF(Tech_Specs!$F37="logistic",0,)</f>
        <v>0</v>
      </c>
      <c r="CE410" s="271">
        <f>IF(Tech_Specs!$F37="logistic",0,)</f>
        <v>0</v>
      </c>
      <c r="CF410" s="271">
        <f>IF(Tech_Specs!$F37="logistic",0,)</f>
        <v>0</v>
      </c>
      <c r="CG410" s="271">
        <f>IF(Tech_Specs!$F37="logistic",0,)</f>
        <v>0</v>
      </c>
      <c r="CH410" s="271">
        <f>IF(Tech_Specs!$F37="logistic",0,)</f>
        <v>0</v>
      </c>
      <c r="CI410" s="376"/>
      <c r="CJ410" s="271">
        <f>IF(AND(Tech_Specs!$F37="step",Standards_Active!$S38="yes"),IF(CJ$380&lt;Standards_Active!$Q38,TREND(Perform_Active!$U38:$V38,Perform_Active!$U$8:$V$8,CJ$380),IF(ISNUMBER(Standards_Active!$AA38),IF(AND(CJ$380&gt;=Standards_Active!$Q38,CJ$380&lt;Standards_Active!$R38),(Standards_Active!$AA38-INDEX($CJ410:$DI410,1,MATCH((Standards_Active!$Q38-1),$CJ$380:$DI$380,FALSE)))/(Standards_Active!$R38-(Standards_Active!$Q38-1))+CI410,Standards_Active!$AA38*((1+Standards_Active!$AC38)^(CJ$380-Standards_Active!$R38))),TREND(Perform_Active!$U38:$V38,Perform_Active!$U$8:$V$8,CJ$380))),)</f>
        <v>0</v>
      </c>
      <c r="CK410" s="271">
        <f>IF(AND(Tech_Specs!$F37="step",Standards_Active!$S38="yes"),IF(CK$380&lt;Standards_Active!$Q38,TREND(Perform_Active!$U38:$V38,Perform_Active!$U$8:$V$8,CK$380),IF(ISNUMBER(Standards_Active!$AA38),IF(AND(CK$380&gt;=Standards_Active!$Q38,CK$380&lt;Standards_Active!$R38),(Standards_Active!$AA38-INDEX($CJ410:$DI410,1,MATCH((Standards_Active!$Q38-1),$CJ$380:$DI$380,FALSE)))/(Standards_Active!$R38-(Standards_Active!$Q38-1))+CJ410,Standards_Active!$AA38*((1+Standards_Active!$AC38)^(CK$380-Standards_Active!$R38))),TREND(Perform_Active!$U38:$V38,Perform_Active!$U$8:$V$8,CK$380))),)</f>
        <v>0</v>
      </c>
      <c r="CL410" s="271">
        <f>IF(AND(Tech_Specs!$F37="step",Standards_Active!$S38="yes"),IF(CL$380&lt;Standards_Active!$Q38,TREND(Perform_Active!$U38:$V38,Perform_Active!$U$8:$V$8,CL$380),IF(ISNUMBER(Standards_Active!$AA38),IF(AND(CL$380&gt;=Standards_Active!$Q38,CL$380&lt;Standards_Active!$R38),(Standards_Active!$AA38-INDEX($CJ410:$DI410,1,MATCH((Standards_Active!$Q38-1),$CJ$380:$DI$380,FALSE)))/(Standards_Active!$R38-(Standards_Active!$Q38-1))+CK410,Standards_Active!$AA38*((1+Standards_Active!$AC38)^(CL$380-Standards_Active!$R38))),TREND(Perform_Active!$U38:$V38,Perform_Active!$U$8:$V$8,CL$380))),)</f>
        <v>0</v>
      </c>
      <c r="CM410" s="271">
        <f>IF(AND(Tech_Specs!$F37="step",Standards_Active!$S38="yes"),IF(CM$380&lt;Standards_Active!$Q38,TREND(Perform_Active!$U38:$V38,Perform_Active!$U$8:$V$8,CM$380),IF(ISNUMBER(Standards_Active!$AA38),IF(AND(CM$380&gt;=Standards_Active!$Q38,CM$380&lt;Standards_Active!$R38),(Standards_Active!$AA38-INDEX($CJ410:$DI410,1,MATCH((Standards_Active!$Q38-1),$CJ$380:$DI$380,FALSE)))/(Standards_Active!$R38-(Standards_Active!$Q38-1))+CL410,Standards_Active!$AA38*((1+Standards_Active!$AC38)^(CM$380-Standards_Active!$R38))),TREND(Perform_Active!$U38:$V38,Perform_Active!$U$8:$V$8,CM$380))),)</f>
        <v>0</v>
      </c>
      <c r="CN410" s="271">
        <f>IF(AND(Tech_Specs!$F37="step",Standards_Active!$S38="yes"),IF(CN$380&lt;Standards_Active!$Q38,TREND(Perform_Active!$U38:$V38,Perform_Active!$U$8:$V$8,CN$380),IF(ISNUMBER(Standards_Active!$AA38),IF(AND(CN$380&gt;=Standards_Active!$Q38,CN$380&lt;Standards_Active!$R38),(Standards_Active!$AA38-INDEX($CJ410:$DI410,1,MATCH((Standards_Active!$Q38-1),$CJ$380:$DI$380,FALSE)))/(Standards_Active!$R38-(Standards_Active!$Q38-1))+CM410,Standards_Active!$AA38*((1+Standards_Active!$AC38)^(CN$380-Standards_Active!$R38))),TREND(Perform_Active!$U38:$V38,Perform_Active!$U$8:$V$8,CN$380))),)</f>
        <v>0</v>
      </c>
      <c r="CO410" s="271">
        <f>IF(AND(Tech_Specs!$F37="step",Standards_Active!$S38="yes"),IF(CO$380&lt;Standards_Active!$Q38,TREND(Perform_Active!$U38:$V38,Perform_Active!$U$8:$V$8,CO$380),IF(ISNUMBER(Standards_Active!$AA38),IF(AND(CO$380&gt;=Standards_Active!$Q38,CO$380&lt;Standards_Active!$R38),(Standards_Active!$AA38-INDEX($CJ410:$DI410,1,MATCH((Standards_Active!$Q38-1),$CJ$380:$DI$380,FALSE)))/(Standards_Active!$R38-(Standards_Active!$Q38-1))+CN410,Standards_Active!$AA38*((1+Standards_Active!$AC38)^(CO$380-Standards_Active!$R38))),TREND(Perform_Active!$U38:$V38,Perform_Active!$U$8:$V$8,CO$380))),)</f>
        <v>0</v>
      </c>
      <c r="CP410" s="271">
        <f>IF(AND(Tech_Specs!$F37="step",Standards_Active!$S38="yes"),IF(CP$380&lt;Standards_Active!$Q38,TREND(Perform_Active!$U38:$V38,Perform_Active!$U$8:$V$8,CP$380),IF(ISNUMBER(Standards_Active!$AA38),IF(AND(CP$380&gt;=Standards_Active!$Q38,CP$380&lt;Standards_Active!$R38),(Standards_Active!$AA38-INDEX($CJ410:$DI410,1,MATCH((Standards_Active!$Q38-1),$CJ$380:$DI$380,FALSE)))/(Standards_Active!$R38-(Standards_Active!$Q38-1))+CO410,Standards_Active!$AA38*((1+Standards_Active!$AC38)^(CP$380-Standards_Active!$R38))),TREND(Perform_Active!$U38:$V38,Perform_Active!$U$8:$V$8,CP$380))),)</f>
        <v>0</v>
      </c>
      <c r="CQ410" s="271">
        <f>IF(AND(Tech_Specs!$F37="step",Standards_Active!$S38="yes"),IF(CQ$380&lt;Standards_Active!$Q38,TREND(Perform_Active!$U38:$V38,Perform_Active!$U$8:$V$8,CQ$380),IF(ISNUMBER(Standards_Active!$AA38),IF(AND(CQ$380&gt;=Standards_Active!$Q38,CQ$380&lt;Standards_Active!$R38),(Standards_Active!$AA38-INDEX($CJ410:$DI410,1,MATCH((Standards_Active!$Q38-1),$CJ$380:$DI$380,FALSE)))/(Standards_Active!$R38-(Standards_Active!$Q38-1))+CP410,Standards_Active!$AA38*((1+Standards_Active!$AC38)^(CQ$380-Standards_Active!$R38))),TREND(Perform_Active!$U38:$V38,Perform_Active!$U$8:$V$8,CQ$380))),)</f>
        <v>0</v>
      </c>
      <c r="CR410" s="271">
        <f>IF(AND(Tech_Specs!$F37="step",Standards_Active!$S38="yes"),IF(CR$380&lt;Standards_Active!$Q38,TREND(Perform_Active!$U38:$V38,Perform_Active!$U$8:$V$8,CR$380),IF(ISNUMBER(Standards_Active!$AA38),IF(AND(CR$380&gt;=Standards_Active!$Q38,CR$380&lt;Standards_Active!$R38),(Standards_Active!$AA38-INDEX($CJ410:$DI410,1,MATCH((Standards_Active!$Q38-1),$CJ$380:$DI$380,FALSE)))/(Standards_Active!$R38-(Standards_Active!$Q38-1))+CQ410,Standards_Active!$AA38*((1+Standards_Active!$AC38)^(CR$380-Standards_Active!$R38))),TREND(Perform_Active!$U38:$V38,Perform_Active!$U$8:$V$8,CR$380))),)</f>
        <v>0</v>
      </c>
      <c r="CS410" s="271">
        <f>IF(AND(Tech_Specs!$F37="step",Standards_Active!$S38="yes"),IF(CS$380&lt;Standards_Active!$Q38,TREND(Perform_Active!$U38:$V38,Perform_Active!$U$8:$V$8,CS$380),IF(ISNUMBER(Standards_Active!$AA38),IF(AND(CS$380&gt;=Standards_Active!$Q38,CS$380&lt;Standards_Active!$R38),(Standards_Active!$AA38-INDEX($CJ410:$DI410,1,MATCH((Standards_Active!$Q38-1),$CJ$380:$DI$380,FALSE)))/(Standards_Active!$R38-(Standards_Active!$Q38-1))+CR410,Standards_Active!$AA38*((1+Standards_Active!$AC38)^(CS$380-Standards_Active!$R38))),TREND(Perform_Active!$U38:$V38,Perform_Active!$U$8:$V$8,CS$380))),)</f>
        <v>0</v>
      </c>
      <c r="CT410" s="271">
        <f>IF(AND(Tech_Specs!$F37="step",Standards_Active!$S38="yes"),IF(CT$380&lt;Standards_Active!$Q38,TREND(Perform_Active!$U38:$V38,Perform_Active!$U$8:$V$8,CT$380),IF(ISNUMBER(Standards_Active!$AA38),IF(AND(CT$380&gt;=Standards_Active!$Q38,CT$380&lt;Standards_Active!$R38),(Standards_Active!$AA38-INDEX($CJ410:$DI410,1,MATCH((Standards_Active!$Q38-1),$CJ$380:$DI$380,FALSE)))/(Standards_Active!$R38-(Standards_Active!$Q38-1))+CS410,Standards_Active!$AA38*((1+Standards_Active!$AC38)^(CT$380-Standards_Active!$R38))),TREND(Perform_Active!$U38:$V38,Perform_Active!$U$8:$V$8,CT$380))),)</f>
        <v>0</v>
      </c>
      <c r="CU410" s="271">
        <f>IF(AND(Tech_Specs!$F37="step",Standards_Active!$S38="yes"),IF(CU$380&lt;Standards_Active!$Q38,TREND(Perform_Active!$U38:$V38,Perform_Active!$U$8:$V$8,CU$380),IF(ISNUMBER(Standards_Active!$AA38),IF(AND(CU$380&gt;=Standards_Active!$Q38,CU$380&lt;Standards_Active!$R38),(Standards_Active!$AA38-INDEX($CJ410:$DI410,1,MATCH((Standards_Active!$Q38-1),$CJ$380:$DI$380,FALSE)))/(Standards_Active!$R38-(Standards_Active!$Q38-1))+CT410,Standards_Active!$AA38*((1+Standards_Active!$AC38)^(CU$380-Standards_Active!$R38))),TREND(Perform_Active!$U38:$V38,Perform_Active!$U$8:$V$8,CU$380))),)</f>
        <v>0</v>
      </c>
      <c r="CV410" s="271">
        <f>IF(AND(Tech_Specs!$F37="step",Standards_Active!$S38="yes"),IF(CV$380&lt;Standards_Active!$Q38,TREND(Perform_Active!$U38:$V38,Perform_Active!$U$8:$V$8,CV$380),IF(ISNUMBER(Standards_Active!$AA38),IF(AND(CV$380&gt;=Standards_Active!$Q38,CV$380&lt;Standards_Active!$R38),(Standards_Active!$AA38-INDEX($CJ410:$DI410,1,MATCH((Standards_Active!$Q38-1),$CJ$380:$DI$380,FALSE)))/(Standards_Active!$R38-(Standards_Active!$Q38-1))+CU410,Standards_Active!$AA38*((1+Standards_Active!$AC38)^(CV$380-Standards_Active!$R38))),TREND(Perform_Active!$U38:$V38,Perform_Active!$U$8:$V$8,CV$380))),)</f>
        <v>0</v>
      </c>
      <c r="CW410" s="271">
        <f>IF(AND(Tech_Specs!$F37="step",Standards_Active!$S38="yes"),IF(CW$380&lt;Standards_Active!$Q38,TREND(Perform_Active!$U38:$V38,Perform_Active!$U$8:$V$8,CW$380),IF(ISNUMBER(Standards_Active!$AA38),IF(AND(CW$380&gt;=Standards_Active!$Q38,CW$380&lt;Standards_Active!$R38),(Standards_Active!$AA38-INDEX($CJ410:$DI410,1,MATCH((Standards_Active!$Q38-1),$CJ$380:$DI$380,FALSE)))/(Standards_Active!$R38-(Standards_Active!$Q38-1))+CV410,Standards_Active!$AA38*((1+Standards_Active!$AC38)^(CW$380-Standards_Active!$R38))),TREND(Perform_Active!$U38:$V38,Perform_Active!$U$8:$V$8,CW$380))),)</f>
        <v>0</v>
      </c>
      <c r="CX410" s="271">
        <f>IF(AND(Tech_Specs!$F37="step",Standards_Active!$S38="yes"),IF(CX$380&lt;Standards_Active!$Q38,TREND(Perform_Active!$U38:$V38,Perform_Active!$U$8:$V$8,CX$380),IF(ISNUMBER(Standards_Active!$AA38),IF(AND(CX$380&gt;=Standards_Active!$Q38,CX$380&lt;Standards_Active!$R38),(Standards_Active!$AA38-INDEX($CJ410:$DI410,1,MATCH((Standards_Active!$Q38-1),$CJ$380:$DI$380,FALSE)))/(Standards_Active!$R38-(Standards_Active!$Q38-1))+CW410,Standards_Active!$AA38*((1+Standards_Active!$AC38)^(CX$380-Standards_Active!$R38))),TREND(Perform_Active!$U38:$V38,Perform_Active!$U$8:$V$8,CX$380))),)</f>
        <v>0</v>
      </c>
      <c r="CY410" s="271">
        <f>IF(AND(Tech_Specs!$F37="step",Standards_Active!$S38="yes"),IF(CY$380&lt;Standards_Active!$Q38,TREND(Perform_Active!$U38:$V38,Perform_Active!$U$8:$V$8,CY$380),IF(ISNUMBER(Standards_Active!$AA38),IF(AND(CY$380&gt;=Standards_Active!$Q38,CY$380&lt;Standards_Active!$R38),(Standards_Active!$AA38-INDEX($CJ410:$DI410,1,MATCH((Standards_Active!$Q38-1),$CJ$380:$DI$380,FALSE)))/(Standards_Active!$R38-(Standards_Active!$Q38-1))+CX410,Standards_Active!$AA38*((1+Standards_Active!$AC38)^(CY$380-Standards_Active!$R38))),TREND(Perform_Active!$U38:$V38,Perform_Active!$U$8:$V$8,CY$380))),)</f>
        <v>0</v>
      </c>
      <c r="CZ410" s="271">
        <f>IF(AND(Tech_Specs!$F37="step",Standards_Active!$S38="yes"),IF(CZ$380&lt;Standards_Active!$Q38,TREND(Perform_Active!$U38:$V38,Perform_Active!$U$8:$V$8,CZ$380),IF(ISNUMBER(Standards_Active!$AA38),IF(AND(CZ$380&gt;=Standards_Active!$Q38,CZ$380&lt;Standards_Active!$R38),(Standards_Active!$AA38-INDEX($CJ410:$DI410,1,MATCH((Standards_Active!$Q38-1),$CJ$380:$DI$380,FALSE)))/(Standards_Active!$R38-(Standards_Active!$Q38-1))+CY410,Standards_Active!$AA38*((1+Standards_Active!$AC38)^(CZ$380-Standards_Active!$R38))),TREND(Perform_Active!$U38:$V38,Perform_Active!$U$8:$V$8,CZ$380))),)</f>
        <v>0</v>
      </c>
      <c r="DA410" s="271">
        <f>IF(AND(Tech_Specs!$F37="step",Standards_Active!$S38="yes"),IF(DA$380&lt;Standards_Active!$Q38,TREND(Perform_Active!$U38:$V38,Perform_Active!$U$8:$V$8,DA$380),IF(ISNUMBER(Standards_Active!$AA38),IF(AND(DA$380&gt;=Standards_Active!$Q38,DA$380&lt;Standards_Active!$R38),(Standards_Active!$AA38-INDEX($CJ410:$DI410,1,MATCH((Standards_Active!$Q38-1),$CJ$380:$DI$380,FALSE)))/(Standards_Active!$R38-(Standards_Active!$Q38-1))+CZ410,Standards_Active!$AA38*((1+Standards_Active!$AC38)^(DA$380-Standards_Active!$R38))),TREND(Perform_Active!$U38:$V38,Perform_Active!$U$8:$V$8,DA$380))),)</f>
        <v>0</v>
      </c>
      <c r="DB410" s="271">
        <f>IF(AND(Tech_Specs!$F37="step",Standards_Active!$S38="yes"),IF(DB$380&lt;Standards_Active!$Q38,TREND(Perform_Active!$U38:$V38,Perform_Active!$U$8:$V$8,DB$380),IF(ISNUMBER(Standards_Active!$AA38),IF(AND(DB$380&gt;=Standards_Active!$Q38,DB$380&lt;Standards_Active!$R38),(Standards_Active!$AA38-INDEX($CJ410:$DI410,1,MATCH((Standards_Active!$Q38-1),$CJ$380:$DI$380,FALSE)))/(Standards_Active!$R38-(Standards_Active!$Q38-1))+DA410,Standards_Active!$AA38*((1+Standards_Active!$AC38)^(DB$380-Standards_Active!$R38))),TREND(Perform_Active!$U38:$V38,Perform_Active!$U$8:$V$8,DB$380))),)</f>
        <v>0</v>
      </c>
      <c r="DC410" s="271">
        <f>IF(AND(Tech_Specs!$F37="step",Standards_Active!$S38="yes"),IF(DC$380&lt;Standards_Active!$Q38,TREND(Perform_Active!$U38:$V38,Perform_Active!$U$8:$V$8,DC$380),IF(ISNUMBER(Standards_Active!$AA38),IF(AND(DC$380&gt;=Standards_Active!$Q38,DC$380&lt;Standards_Active!$R38),(Standards_Active!$AA38-INDEX($CJ410:$DI410,1,MATCH((Standards_Active!$Q38-1),$CJ$380:$DI$380,FALSE)))/(Standards_Active!$R38-(Standards_Active!$Q38-1))+DB410,Standards_Active!$AA38*((1+Standards_Active!$AC38)^(DC$380-Standards_Active!$R38))),TREND(Perform_Active!$U38:$V38,Perform_Active!$U$8:$V$8,DC$380))),)</f>
        <v>0</v>
      </c>
      <c r="DD410" s="271">
        <f>IF(AND(Tech_Specs!$F37="step",Standards_Active!$S38="yes"),IF(DD$380&lt;Standards_Active!$Q38,TREND(Perform_Active!$U38:$V38,Perform_Active!$U$8:$V$8,DD$380),IF(ISNUMBER(Standards_Active!$AA38),IF(AND(DD$380&gt;=Standards_Active!$Q38,DD$380&lt;Standards_Active!$R38),(Standards_Active!$AA38-INDEX($CJ410:$DI410,1,MATCH((Standards_Active!$Q38-1),$CJ$380:$DI$380,FALSE)))/(Standards_Active!$R38-(Standards_Active!$Q38-1))+DC410,Standards_Active!$AA38*((1+Standards_Active!$AC38)^(DD$380-Standards_Active!$R38))),TREND(Perform_Active!$U38:$V38,Perform_Active!$U$8:$V$8,DD$380))),)</f>
        <v>0</v>
      </c>
      <c r="DE410" s="271">
        <f>IF(AND(Tech_Specs!$F37="step",Standards_Active!$S38="yes"),IF(DE$380&lt;Standards_Active!$Q38,TREND(Perform_Active!$U38:$V38,Perform_Active!$U$8:$V$8,DE$380),IF(ISNUMBER(Standards_Active!$AA38),IF(AND(DE$380&gt;=Standards_Active!$Q38,DE$380&lt;Standards_Active!$R38),(Standards_Active!$AA38-INDEX($CJ410:$DI410,1,MATCH((Standards_Active!$Q38-1),$CJ$380:$DI$380,FALSE)))/(Standards_Active!$R38-(Standards_Active!$Q38-1))+DD410,Standards_Active!$AA38*((1+Standards_Active!$AC38)^(DE$380-Standards_Active!$R38))),TREND(Perform_Active!$U38:$V38,Perform_Active!$U$8:$V$8,DE$380))),)</f>
        <v>0</v>
      </c>
      <c r="DF410" s="271">
        <f>IF(AND(Tech_Specs!$F37="step",Standards_Active!$S38="yes"),IF(DF$380&lt;Standards_Active!$Q38,TREND(Perform_Active!$U38:$V38,Perform_Active!$U$8:$V$8,DF$380),IF(ISNUMBER(Standards_Active!$AA38),IF(AND(DF$380&gt;=Standards_Active!$Q38,DF$380&lt;Standards_Active!$R38),(Standards_Active!$AA38-INDEX($CJ410:$DI410,1,MATCH((Standards_Active!$Q38-1),$CJ$380:$DI$380,FALSE)))/(Standards_Active!$R38-(Standards_Active!$Q38-1))+DE410,Standards_Active!$AA38*((1+Standards_Active!$AC38)^(DF$380-Standards_Active!$R38))),TREND(Perform_Active!$U38:$V38,Perform_Active!$U$8:$V$8,DF$380))),)</f>
        <v>0</v>
      </c>
      <c r="DG410" s="271">
        <f>IF(AND(Tech_Specs!$F37="step",Standards_Active!$S38="yes"),IF(DG$380&lt;Standards_Active!$Q38,TREND(Perform_Active!$U38:$V38,Perform_Active!$U$8:$V$8,DG$380),IF(ISNUMBER(Standards_Active!$AA38),IF(AND(DG$380&gt;=Standards_Active!$Q38,DG$380&lt;Standards_Active!$R38),(Standards_Active!$AA38-INDEX($CJ410:$DI410,1,MATCH((Standards_Active!$Q38-1),$CJ$380:$DI$380,FALSE)))/(Standards_Active!$R38-(Standards_Active!$Q38-1))+DF410,Standards_Active!$AA38*((1+Standards_Active!$AC38)^(DG$380-Standards_Active!$R38))),TREND(Perform_Active!$U38:$V38,Perform_Active!$U$8:$V$8,DG$380))),)</f>
        <v>0</v>
      </c>
      <c r="DH410" s="271">
        <f>IF(AND(Tech_Specs!$F37="step",Standards_Active!$S38="yes"),IF(DH$380&lt;Standards_Active!$Q38,TREND(Perform_Active!$U38:$V38,Perform_Active!$U$8:$V$8,DH$380),IF(ISNUMBER(Standards_Active!$AA38),IF(AND(DH$380&gt;=Standards_Active!$Q38,DH$380&lt;Standards_Active!$R38),(Standards_Active!$AA38-INDEX($CJ410:$DI410,1,MATCH((Standards_Active!$Q38-1),$CJ$380:$DI$380,FALSE)))/(Standards_Active!$R38-(Standards_Active!$Q38-1))+DG410,Standards_Active!$AA38*((1+Standards_Active!$AC38)^(DH$380-Standards_Active!$R38))),TREND(Perform_Active!$U38:$V38,Perform_Active!$U$8:$V$8,DH$380))),)</f>
        <v>0</v>
      </c>
      <c r="DI410" s="271">
        <f>IF(AND(Tech_Specs!$F37="step",Standards_Active!$S38="yes"),IF(DI$380&lt;Standards_Active!$Q38,TREND(Perform_Active!$U38:$V38,Perform_Active!$U$8:$V$8,DI$380),IF(ISNUMBER(Standards_Active!$AA38),IF(AND(DI$380&gt;=Standards_Active!$Q38,DI$380&lt;Standards_Active!$R38),(Standards_Active!$AA38-INDEX($CJ410:$DI410,1,MATCH((Standards_Active!$Q38-1),$CJ$380:$DI$380,FALSE)))/(Standards_Active!$R38-(Standards_Active!$Q38-1))+DH410,Standards_Active!$AA38*((1+Standards_Active!$AC38)^(DI$380-Standards_Active!$R38))),TREND(Perform_Active!$U38:$V38,Perform_Active!$U$8:$V$8,DI$380))),)</f>
        <v>0</v>
      </c>
    </row>
    <row r="411" spans="1:113" s="322" customFormat="1" ht="12.75" x14ac:dyDescent="0.2">
      <c r="B411" s="328" t="s">
        <v>29</v>
      </c>
      <c r="D411" s="550"/>
      <c r="E411" s="550"/>
      <c r="F411" s="550"/>
      <c r="G411" s="272">
        <f t="shared" si="78"/>
        <v>0</v>
      </c>
      <c r="H411" s="272">
        <f t="shared" si="78"/>
        <v>0</v>
      </c>
      <c r="I411" s="272">
        <f t="shared" si="78"/>
        <v>0</v>
      </c>
      <c r="J411" s="272">
        <f t="shared" si="78"/>
        <v>0</v>
      </c>
      <c r="K411" s="272">
        <f t="shared" si="78"/>
        <v>0</v>
      </c>
      <c r="L411" s="272">
        <f t="shared" si="78"/>
        <v>0</v>
      </c>
      <c r="M411" s="272">
        <f t="shared" si="78"/>
        <v>0</v>
      </c>
      <c r="N411" s="272">
        <f t="shared" si="78"/>
        <v>0</v>
      </c>
      <c r="O411" s="272">
        <f t="shared" si="78"/>
        <v>0</v>
      </c>
      <c r="P411" s="272">
        <f t="shared" si="78"/>
        <v>0</v>
      </c>
      <c r="Q411" s="272">
        <f t="shared" si="79"/>
        <v>0</v>
      </c>
      <c r="R411" s="272">
        <f t="shared" si="79"/>
        <v>0</v>
      </c>
      <c r="S411" s="272">
        <f t="shared" si="79"/>
        <v>0</v>
      </c>
      <c r="T411" s="272">
        <f t="shared" si="79"/>
        <v>0</v>
      </c>
      <c r="U411" s="272">
        <f t="shared" si="79"/>
        <v>0</v>
      </c>
      <c r="V411" s="272">
        <f t="shared" si="79"/>
        <v>0</v>
      </c>
      <c r="W411" s="272">
        <f t="shared" si="79"/>
        <v>0</v>
      </c>
      <c r="X411" s="272">
        <f t="shared" si="79"/>
        <v>0</v>
      </c>
      <c r="Y411" s="272">
        <f t="shared" si="79"/>
        <v>0</v>
      </c>
      <c r="Z411" s="272">
        <f t="shared" si="79"/>
        <v>0</v>
      </c>
      <c r="AA411" s="272">
        <f t="shared" si="80"/>
        <v>0</v>
      </c>
      <c r="AB411" s="272">
        <f t="shared" si="80"/>
        <v>0</v>
      </c>
      <c r="AC411" s="272">
        <f t="shared" si="80"/>
        <v>0</v>
      </c>
      <c r="AD411" s="272">
        <f t="shared" si="80"/>
        <v>0</v>
      </c>
      <c r="AE411" s="272">
        <f t="shared" si="80"/>
        <v>0</v>
      </c>
      <c r="AF411" s="272">
        <f t="shared" si="80"/>
        <v>0</v>
      </c>
      <c r="AG411" s="376"/>
      <c r="AH411" s="271">
        <f>IF(Tech_Specs!$F38="linear",TREND(Perform_Active!$U39:$V39,Perform_Active!$U$8:$V$8,AH$380),)</f>
        <v>0</v>
      </c>
      <c r="AI411" s="271">
        <f>IF(Tech_Specs!$F38="linear",TREND(Perform_Active!$U39:$V39,Perform_Active!$U$8:$V$8,AI$380),)</f>
        <v>0</v>
      </c>
      <c r="AJ411" s="271">
        <f>IF(Tech_Specs!$F38="linear",TREND(Perform_Active!$U39:$V39,Perform_Active!$U$8:$V$8,AJ$380),)</f>
        <v>0</v>
      </c>
      <c r="AK411" s="271">
        <f>IF(Tech_Specs!$F38="linear",TREND(Perform_Active!$U39:$V39,Perform_Active!$U$8:$V$8,AK$380),)</f>
        <v>0</v>
      </c>
      <c r="AL411" s="271">
        <f>IF(Tech_Specs!$F38="linear",TREND(Perform_Active!$U39:$V39,Perform_Active!$U$8:$V$8,AL$380),)</f>
        <v>0</v>
      </c>
      <c r="AM411" s="271">
        <f>IF(Tech_Specs!$F38="linear",TREND(Perform_Active!$U39:$V39,Perform_Active!$U$8:$V$8,AM$380),)</f>
        <v>0</v>
      </c>
      <c r="AN411" s="271">
        <f>IF(Tech_Specs!$F38="linear",TREND(Perform_Active!$U39:$V39,Perform_Active!$U$8:$V$8,AN$380),)</f>
        <v>0</v>
      </c>
      <c r="AO411" s="271">
        <f>IF(Tech_Specs!$F38="linear",TREND(Perform_Active!$U39:$V39,Perform_Active!$U$8:$V$8,AO$380),)</f>
        <v>0</v>
      </c>
      <c r="AP411" s="271">
        <f>IF(Tech_Specs!$F38="linear",TREND(Perform_Active!$U39:$V39,Perform_Active!$U$8:$V$8,AP$380),)</f>
        <v>0</v>
      </c>
      <c r="AQ411" s="271">
        <f>IF(Tech_Specs!$F38="linear",TREND(Perform_Active!$U39:$V39,Perform_Active!$U$8:$V$8,AQ$380),)</f>
        <v>0</v>
      </c>
      <c r="AR411" s="271">
        <f>IF(Tech_Specs!$F38="linear",TREND(Perform_Active!$U39:$V39,Perform_Active!$U$8:$V$8,AR$380),)</f>
        <v>0</v>
      </c>
      <c r="AS411" s="271">
        <f>IF(Tech_Specs!$F38="linear",TREND(Perform_Active!$U39:$V39,Perform_Active!$U$8:$V$8,AS$380),)</f>
        <v>0</v>
      </c>
      <c r="AT411" s="271">
        <f>IF(Tech_Specs!$F38="linear",TREND(Perform_Active!$U39:$V39,Perform_Active!$U$8:$V$8,AT$380),)</f>
        <v>0</v>
      </c>
      <c r="AU411" s="271">
        <f>IF(Tech_Specs!$F38="linear",TREND(Perform_Active!$U39:$V39,Perform_Active!$U$8:$V$8,AU$380),)</f>
        <v>0</v>
      </c>
      <c r="AV411" s="271">
        <f>IF(Tech_Specs!$F38="linear",TREND(Perform_Active!$U39:$V39,Perform_Active!$U$8:$V$8,AV$380),)</f>
        <v>0</v>
      </c>
      <c r="AW411" s="271">
        <f>IF(Tech_Specs!$F38="linear",TREND(Perform_Active!$U39:$V39,Perform_Active!$U$8:$V$8,AW$380),)</f>
        <v>0</v>
      </c>
      <c r="AX411" s="271">
        <f>IF(Tech_Specs!$F38="linear",TREND(Perform_Active!$U39:$V39,Perform_Active!$U$8:$V$8,AX$380),)</f>
        <v>0</v>
      </c>
      <c r="AY411" s="271">
        <f>IF(Tech_Specs!$F38="linear",TREND(Perform_Active!$U39:$V39,Perform_Active!$U$8:$V$8,AY$380),)</f>
        <v>0</v>
      </c>
      <c r="AZ411" s="271">
        <f>IF(Tech_Specs!$F38="linear",TREND(Perform_Active!$U39:$V39,Perform_Active!$U$8:$V$8,AZ$380),)</f>
        <v>0</v>
      </c>
      <c r="BA411" s="271">
        <f>IF(Tech_Specs!$F38="linear",TREND(Perform_Active!$U39:$V39,Perform_Active!$U$8:$V$8,BA$380),)</f>
        <v>0</v>
      </c>
      <c r="BB411" s="271">
        <f>IF(Tech_Specs!$F38="linear",TREND(Perform_Active!$U39:$V39,Perform_Active!$U$8:$V$8,BB$380),)</f>
        <v>0</v>
      </c>
      <c r="BC411" s="271">
        <f>IF(Tech_Specs!$F38="linear",TREND(Perform_Active!$U39:$V39,Perform_Active!$U$8:$V$8,BC$380),)</f>
        <v>0</v>
      </c>
      <c r="BD411" s="271">
        <f>IF(Tech_Specs!$F38="linear",TREND(Perform_Active!$U39:$V39,Perform_Active!$U$8:$V$8,BD$380),)</f>
        <v>0</v>
      </c>
      <c r="BE411" s="271">
        <f>IF(Tech_Specs!$F38="linear",TREND(Perform_Active!$U39:$V39,Perform_Active!$U$8:$V$8,BE$380),)</f>
        <v>0</v>
      </c>
      <c r="BF411" s="271">
        <f>IF(Tech_Specs!$F38="linear",TREND(Perform_Active!$U39:$V39,Perform_Active!$U$8:$V$8,BF$380),)</f>
        <v>0</v>
      </c>
      <c r="BG411" s="271">
        <f>IF(Tech_Specs!$F38="linear",TREND(Perform_Active!$U39:$V39,Perform_Active!$U$8:$V$8,BG$380),)</f>
        <v>0</v>
      </c>
      <c r="BH411" s="376"/>
      <c r="BI411" s="271">
        <f>IF(Tech_Specs!$F38="logistic",0,)</f>
        <v>0</v>
      </c>
      <c r="BJ411" s="271">
        <f>IF(Tech_Specs!$F38="logistic",0,)</f>
        <v>0</v>
      </c>
      <c r="BK411" s="271">
        <f>IF(Tech_Specs!$F38="logistic",0,)</f>
        <v>0</v>
      </c>
      <c r="BL411" s="271">
        <f>IF(Tech_Specs!$F38="logistic",0,)</f>
        <v>0</v>
      </c>
      <c r="BM411" s="271">
        <f>IF(Tech_Specs!$F38="logistic",0,)</f>
        <v>0</v>
      </c>
      <c r="BN411" s="271">
        <f>IF(Tech_Specs!$F38="logistic",0,)</f>
        <v>0</v>
      </c>
      <c r="BO411" s="271">
        <f>IF(Tech_Specs!$F38="logistic",0,)</f>
        <v>0</v>
      </c>
      <c r="BP411" s="271">
        <f>IF(Tech_Specs!$F38="logistic",0,)</f>
        <v>0</v>
      </c>
      <c r="BQ411" s="271">
        <f>IF(Tech_Specs!$F38="logistic",0,)</f>
        <v>0</v>
      </c>
      <c r="BR411" s="271">
        <f>IF(Tech_Specs!$F38="logistic",0,)</f>
        <v>0</v>
      </c>
      <c r="BS411" s="271">
        <f>IF(Tech_Specs!$F38="logistic",0,)</f>
        <v>0</v>
      </c>
      <c r="BT411" s="271">
        <f>IF(Tech_Specs!$F38="logistic",0,)</f>
        <v>0</v>
      </c>
      <c r="BU411" s="271">
        <f>IF(Tech_Specs!$F38="logistic",0,)</f>
        <v>0</v>
      </c>
      <c r="BV411" s="271">
        <f>IF(Tech_Specs!$F38="logistic",0,)</f>
        <v>0</v>
      </c>
      <c r="BW411" s="271">
        <f>IF(Tech_Specs!$F38="logistic",0,)</f>
        <v>0</v>
      </c>
      <c r="BX411" s="271">
        <f>IF(Tech_Specs!$F38="logistic",0,)</f>
        <v>0</v>
      </c>
      <c r="BY411" s="271">
        <f>IF(Tech_Specs!$F38="logistic",0,)</f>
        <v>0</v>
      </c>
      <c r="BZ411" s="271">
        <f>IF(Tech_Specs!$F38="logistic",0,)</f>
        <v>0</v>
      </c>
      <c r="CA411" s="271">
        <f>IF(Tech_Specs!$F38="logistic",0,)</f>
        <v>0</v>
      </c>
      <c r="CB411" s="271">
        <f>IF(Tech_Specs!$F38="logistic",0,)</f>
        <v>0</v>
      </c>
      <c r="CC411" s="271">
        <f>IF(Tech_Specs!$F38="logistic",0,)</f>
        <v>0</v>
      </c>
      <c r="CD411" s="271">
        <f>IF(Tech_Specs!$F38="logistic",0,)</f>
        <v>0</v>
      </c>
      <c r="CE411" s="271">
        <f>IF(Tech_Specs!$F38="logistic",0,)</f>
        <v>0</v>
      </c>
      <c r="CF411" s="271">
        <f>IF(Tech_Specs!$F38="logistic",0,)</f>
        <v>0</v>
      </c>
      <c r="CG411" s="271">
        <f>IF(Tech_Specs!$F38="logistic",0,)</f>
        <v>0</v>
      </c>
      <c r="CH411" s="271">
        <f>IF(Tech_Specs!$F38="logistic",0,)</f>
        <v>0</v>
      </c>
      <c r="CI411" s="376"/>
      <c r="CJ411" s="271">
        <f>IF(AND(Tech_Specs!$F38="step",Standards_Active!$S39="yes"),IF(CJ$380&lt;Standards_Active!$Q39,TREND(Perform_Active!$U39:$V39,Perform_Active!$U$8:$V$8,CJ$380),IF(ISNUMBER(Standards_Active!$AA39),IF(AND(CJ$380&gt;=Standards_Active!$Q39,CJ$380&lt;Standards_Active!$R39),(Standards_Active!$AA39-INDEX($CJ411:$DI411,1,MATCH((Standards_Active!$Q39-1),$CJ$380:$DI$380,FALSE)))/(Standards_Active!$R39-(Standards_Active!$Q39-1))+CI411,Standards_Active!$AA39*((1+Standards_Active!$AC39)^(CJ$380-Standards_Active!$R39))),TREND(Perform_Active!$U39:$V39,Perform_Active!$U$8:$V$8,CJ$380))),)</f>
        <v>0</v>
      </c>
      <c r="CK411" s="271">
        <f>IF(AND(Tech_Specs!$F38="step",Standards_Active!$S39="yes"),IF(CK$380&lt;Standards_Active!$Q39,TREND(Perform_Active!$U39:$V39,Perform_Active!$U$8:$V$8,CK$380),IF(ISNUMBER(Standards_Active!$AA39),IF(AND(CK$380&gt;=Standards_Active!$Q39,CK$380&lt;Standards_Active!$R39),(Standards_Active!$AA39-INDEX($CJ411:$DI411,1,MATCH((Standards_Active!$Q39-1),$CJ$380:$DI$380,FALSE)))/(Standards_Active!$R39-(Standards_Active!$Q39-1))+CJ411,Standards_Active!$AA39*((1+Standards_Active!$AC39)^(CK$380-Standards_Active!$R39))),TREND(Perform_Active!$U39:$V39,Perform_Active!$U$8:$V$8,CK$380))),)</f>
        <v>0</v>
      </c>
      <c r="CL411" s="271">
        <f>IF(AND(Tech_Specs!$F38="step",Standards_Active!$S39="yes"),IF(CL$380&lt;Standards_Active!$Q39,TREND(Perform_Active!$U39:$V39,Perform_Active!$U$8:$V$8,CL$380),IF(ISNUMBER(Standards_Active!$AA39),IF(AND(CL$380&gt;=Standards_Active!$Q39,CL$380&lt;Standards_Active!$R39),(Standards_Active!$AA39-INDEX($CJ411:$DI411,1,MATCH((Standards_Active!$Q39-1),$CJ$380:$DI$380,FALSE)))/(Standards_Active!$R39-(Standards_Active!$Q39-1))+CK411,Standards_Active!$AA39*((1+Standards_Active!$AC39)^(CL$380-Standards_Active!$R39))),TREND(Perform_Active!$U39:$V39,Perform_Active!$U$8:$V$8,CL$380))),)</f>
        <v>0</v>
      </c>
      <c r="CM411" s="271">
        <f>IF(AND(Tech_Specs!$F38="step",Standards_Active!$S39="yes"),IF(CM$380&lt;Standards_Active!$Q39,TREND(Perform_Active!$U39:$V39,Perform_Active!$U$8:$V$8,CM$380),IF(ISNUMBER(Standards_Active!$AA39),IF(AND(CM$380&gt;=Standards_Active!$Q39,CM$380&lt;Standards_Active!$R39),(Standards_Active!$AA39-INDEX($CJ411:$DI411,1,MATCH((Standards_Active!$Q39-1),$CJ$380:$DI$380,FALSE)))/(Standards_Active!$R39-(Standards_Active!$Q39-1))+CL411,Standards_Active!$AA39*((1+Standards_Active!$AC39)^(CM$380-Standards_Active!$R39))),TREND(Perform_Active!$U39:$V39,Perform_Active!$U$8:$V$8,CM$380))),)</f>
        <v>0</v>
      </c>
      <c r="CN411" s="271">
        <f>IF(AND(Tech_Specs!$F38="step",Standards_Active!$S39="yes"),IF(CN$380&lt;Standards_Active!$Q39,TREND(Perform_Active!$U39:$V39,Perform_Active!$U$8:$V$8,CN$380),IF(ISNUMBER(Standards_Active!$AA39),IF(AND(CN$380&gt;=Standards_Active!$Q39,CN$380&lt;Standards_Active!$R39),(Standards_Active!$AA39-INDEX($CJ411:$DI411,1,MATCH((Standards_Active!$Q39-1),$CJ$380:$DI$380,FALSE)))/(Standards_Active!$R39-(Standards_Active!$Q39-1))+CM411,Standards_Active!$AA39*((1+Standards_Active!$AC39)^(CN$380-Standards_Active!$R39))),TREND(Perform_Active!$U39:$V39,Perform_Active!$U$8:$V$8,CN$380))),)</f>
        <v>0</v>
      </c>
      <c r="CO411" s="271">
        <f>IF(AND(Tech_Specs!$F38="step",Standards_Active!$S39="yes"),IF(CO$380&lt;Standards_Active!$Q39,TREND(Perform_Active!$U39:$V39,Perform_Active!$U$8:$V$8,CO$380),IF(ISNUMBER(Standards_Active!$AA39),IF(AND(CO$380&gt;=Standards_Active!$Q39,CO$380&lt;Standards_Active!$R39),(Standards_Active!$AA39-INDEX($CJ411:$DI411,1,MATCH((Standards_Active!$Q39-1),$CJ$380:$DI$380,FALSE)))/(Standards_Active!$R39-(Standards_Active!$Q39-1))+CN411,Standards_Active!$AA39*((1+Standards_Active!$AC39)^(CO$380-Standards_Active!$R39))),TREND(Perform_Active!$U39:$V39,Perform_Active!$U$8:$V$8,CO$380))),)</f>
        <v>0</v>
      </c>
      <c r="CP411" s="271">
        <f>IF(AND(Tech_Specs!$F38="step",Standards_Active!$S39="yes"),IF(CP$380&lt;Standards_Active!$Q39,TREND(Perform_Active!$U39:$V39,Perform_Active!$U$8:$V$8,CP$380),IF(ISNUMBER(Standards_Active!$AA39),IF(AND(CP$380&gt;=Standards_Active!$Q39,CP$380&lt;Standards_Active!$R39),(Standards_Active!$AA39-INDEX($CJ411:$DI411,1,MATCH((Standards_Active!$Q39-1),$CJ$380:$DI$380,FALSE)))/(Standards_Active!$R39-(Standards_Active!$Q39-1))+CO411,Standards_Active!$AA39*((1+Standards_Active!$AC39)^(CP$380-Standards_Active!$R39))),TREND(Perform_Active!$U39:$V39,Perform_Active!$U$8:$V$8,CP$380))),)</f>
        <v>0</v>
      </c>
      <c r="CQ411" s="271">
        <f>IF(AND(Tech_Specs!$F38="step",Standards_Active!$S39="yes"),IF(CQ$380&lt;Standards_Active!$Q39,TREND(Perform_Active!$U39:$V39,Perform_Active!$U$8:$V$8,CQ$380),IF(ISNUMBER(Standards_Active!$AA39),IF(AND(CQ$380&gt;=Standards_Active!$Q39,CQ$380&lt;Standards_Active!$R39),(Standards_Active!$AA39-INDEX($CJ411:$DI411,1,MATCH((Standards_Active!$Q39-1),$CJ$380:$DI$380,FALSE)))/(Standards_Active!$R39-(Standards_Active!$Q39-1))+CP411,Standards_Active!$AA39*((1+Standards_Active!$AC39)^(CQ$380-Standards_Active!$R39))),TREND(Perform_Active!$U39:$V39,Perform_Active!$U$8:$V$8,CQ$380))),)</f>
        <v>0</v>
      </c>
      <c r="CR411" s="271">
        <f>IF(AND(Tech_Specs!$F38="step",Standards_Active!$S39="yes"),IF(CR$380&lt;Standards_Active!$Q39,TREND(Perform_Active!$U39:$V39,Perform_Active!$U$8:$V$8,CR$380),IF(ISNUMBER(Standards_Active!$AA39),IF(AND(CR$380&gt;=Standards_Active!$Q39,CR$380&lt;Standards_Active!$R39),(Standards_Active!$AA39-INDEX($CJ411:$DI411,1,MATCH((Standards_Active!$Q39-1),$CJ$380:$DI$380,FALSE)))/(Standards_Active!$R39-(Standards_Active!$Q39-1))+CQ411,Standards_Active!$AA39*((1+Standards_Active!$AC39)^(CR$380-Standards_Active!$R39))),TREND(Perform_Active!$U39:$V39,Perform_Active!$U$8:$V$8,CR$380))),)</f>
        <v>0</v>
      </c>
      <c r="CS411" s="271">
        <f>IF(AND(Tech_Specs!$F38="step",Standards_Active!$S39="yes"),IF(CS$380&lt;Standards_Active!$Q39,TREND(Perform_Active!$U39:$V39,Perform_Active!$U$8:$V$8,CS$380),IF(ISNUMBER(Standards_Active!$AA39),IF(AND(CS$380&gt;=Standards_Active!$Q39,CS$380&lt;Standards_Active!$R39),(Standards_Active!$AA39-INDEX($CJ411:$DI411,1,MATCH((Standards_Active!$Q39-1),$CJ$380:$DI$380,FALSE)))/(Standards_Active!$R39-(Standards_Active!$Q39-1))+CR411,Standards_Active!$AA39*((1+Standards_Active!$AC39)^(CS$380-Standards_Active!$R39))),TREND(Perform_Active!$U39:$V39,Perform_Active!$U$8:$V$8,CS$380))),)</f>
        <v>0</v>
      </c>
      <c r="CT411" s="271">
        <f>IF(AND(Tech_Specs!$F38="step",Standards_Active!$S39="yes"),IF(CT$380&lt;Standards_Active!$Q39,TREND(Perform_Active!$U39:$V39,Perform_Active!$U$8:$V$8,CT$380),IF(ISNUMBER(Standards_Active!$AA39),IF(AND(CT$380&gt;=Standards_Active!$Q39,CT$380&lt;Standards_Active!$R39),(Standards_Active!$AA39-INDEX($CJ411:$DI411,1,MATCH((Standards_Active!$Q39-1),$CJ$380:$DI$380,FALSE)))/(Standards_Active!$R39-(Standards_Active!$Q39-1))+CS411,Standards_Active!$AA39*((1+Standards_Active!$AC39)^(CT$380-Standards_Active!$R39))),TREND(Perform_Active!$U39:$V39,Perform_Active!$U$8:$V$8,CT$380))),)</f>
        <v>0</v>
      </c>
      <c r="CU411" s="271">
        <f>IF(AND(Tech_Specs!$F38="step",Standards_Active!$S39="yes"),IF(CU$380&lt;Standards_Active!$Q39,TREND(Perform_Active!$U39:$V39,Perform_Active!$U$8:$V$8,CU$380),IF(ISNUMBER(Standards_Active!$AA39),IF(AND(CU$380&gt;=Standards_Active!$Q39,CU$380&lt;Standards_Active!$R39),(Standards_Active!$AA39-INDEX($CJ411:$DI411,1,MATCH((Standards_Active!$Q39-1),$CJ$380:$DI$380,FALSE)))/(Standards_Active!$R39-(Standards_Active!$Q39-1))+CT411,Standards_Active!$AA39*((1+Standards_Active!$AC39)^(CU$380-Standards_Active!$R39))),TREND(Perform_Active!$U39:$V39,Perform_Active!$U$8:$V$8,CU$380))),)</f>
        <v>0</v>
      </c>
      <c r="CV411" s="271">
        <f>IF(AND(Tech_Specs!$F38="step",Standards_Active!$S39="yes"),IF(CV$380&lt;Standards_Active!$Q39,TREND(Perform_Active!$U39:$V39,Perform_Active!$U$8:$V$8,CV$380),IF(ISNUMBER(Standards_Active!$AA39),IF(AND(CV$380&gt;=Standards_Active!$Q39,CV$380&lt;Standards_Active!$R39),(Standards_Active!$AA39-INDEX($CJ411:$DI411,1,MATCH((Standards_Active!$Q39-1),$CJ$380:$DI$380,FALSE)))/(Standards_Active!$R39-(Standards_Active!$Q39-1))+CU411,Standards_Active!$AA39*((1+Standards_Active!$AC39)^(CV$380-Standards_Active!$R39))),TREND(Perform_Active!$U39:$V39,Perform_Active!$U$8:$V$8,CV$380))),)</f>
        <v>0</v>
      </c>
      <c r="CW411" s="271">
        <f>IF(AND(Tech_Specs!$F38="step",Standards_Active!$S39="yes"),IF(CW$380&lt;Standards_Active!$Q39,TREND(Perform_Active!$U39:$V39,Perform_Active!$U$8:$V$8,CW$380),IF(ISNUMBER(Standards_Active!$AA39),IF(AND(CW$380&gt;=Standards_Active!$Q39,CW$380&lt;Standards_Active!$R39),(Standards_Active!$AA39-INDEX($CJ411:$DI411,1,MATCH((Standards_Active!$Q39-1),$CJ$380:$DI$380,FALSE)))/(Standards_Active!$R39-(Standards_Active!$Q39-1))+CV411,Standards_Active!$AA39*((1+Standards_Active!$AC39)^(CW$380-Standards_Active!$R39))),TREND(Perform_Active!$U39:$V39,Perform_Active!$U$8:$V$8,CW$380))),)</f>
        <v>0</v>
      </c>
      <c r="CX411" s="271">
        <f>IF(AND(Tech_Specs!$F38="step",Standards_Active!$S39="yes"),IF(CX$380&lt;Standards_Active!$Q39,TREND(Perform_Active!$U39:$V39,Perform_Active!$U$8:$V$8,CX$380),IF(ISNUMBER(Standards_Active!$AA39),IF(AND(CX$380&gt;=Standards_Active!$Q39,CX$380&lt;Standards_Active!$R39),(Standards_Active!$AA39-INDEX($CJ411:$DI411,1,MATCH((Standards_Active!$Q39-1),$CJ$380:$DI$380,FALSE)))/(Standards_Active!$R39-(Standards_Active!$Q39-1))+CW411,Standards_Active!$AA39*((1+Standards_Active!$AC39)^(CX$380-Standards_Active!$R39))),TREND(Perform_Active!$U39:$V39,Perform_Active!$U$8:$V$8,CX$380))),)</f>
        <v>0</v>
      </c>
      <c r="CY411" s="271">
        <f>IF(AND(Tech_Specs!$F38="step",Standards_Active!$S39="yes"),IF(CY$380&lt;Standards_Active!$Q39,TREND(Perform_Active!$U39:$V39,Perform_Active!$U$8:$V$8,CY$380),IF(ISNUMBER(Standards_Active!$AA39),IF(AND(CY$380&gt;=Standards_Active!$Q39,CY$380&lt;Standards_Active!$R39),(Standards_Active!$AA39-INDEX($CJ411:$DI411,1,MATCH((Standards_Active!$Q39-1),$CJ$380:$DI$380,FALSE)))/(Standards_Active!$R39-(Standards_Active!$Q39-1))+CX411,Standards_Active!$AA39*((1+Standards_Active!$AC39)^(CY$380-Standards_Active!$R39))),TREND(Perform_Active!$U39:$V39,Perform_Active!$U$8:$V$8,CY$380))),)</f>
        <v>0</v>
      </c>
      <c r="CZ411" s="271">
        <f>IF(AND(Tech_Specs!$F38="step",Standards_Active!$S39="yes"),IF(CZ$380&lt;Standards_Active!$Q39,TREND(Perform_Active!$U39:$V39,Perform_Active!$U$8:$V$8,CZ$380),IF(ISNUMBER(Standards_Active!$AA39),IF(AND(CZ$380&gt;=Standards_Active!$Q39,CZ$380&lt;Standards_Active!$R39),(Standards_Active!$AA39-INDEX($CJ411:$DI411,1,MATCH((Standards_Active!$Q39-1),$CJ$380:$DI$380,FALSE)))/(Standards_Active!$R39-(Standards_Active!$Q39-1))+CY411,Standards_Active!$AA39*((1+Standards_Active!$AC39)^(CZ$380-Standards_Active!$R39))),TREND(Perform_Active!$U39:$V39,Perform_Active!$U$8:$V$8,CZ$380))),)</f>
        <v>0</v>
      </c>
      <c r="DA411" s="271">
        <f>IF(AND(Tech_Specs!$F38="step",Standards_Active!$S39="yes"),IF(DA$380&lt;Standards_Active!$Q39,TREND(Perform_Active!$U39:$V39,Perform_Active!$U$8:$V$8,DA$380),IF(ISNUMBER(Standards_Active!$AA39),IF(AND(DA$380&gt;=Standards_Active!$Q39,DA$380&lt;Standards_Active!$R39),(Standards_Active!$AA39-INDEX($CJ411:$DI411,1,MATCH((Standards_Active!$Q39-1),$CJ$380:$DI$380,FALSE)))/(Standards_Active!$R39-(Standards_Active!$Q39-1))+CZ411,Standards_Active!$AA39*((1+Standards_Active!$AC39)^(DA$380-Standards_Active!$R39))),TREND(Perform_Active!$U39:$V39,Perform_Active!$U$8:$V$8,DA$380))),)</f>
        <v>0</v>
      </c>
      <c r="DB411" s="271">
        <f>IF(AND(Tech_Specs!$F38="step",Standards_Active!$S39="yes"),IF(DB$380&lt;Standards_Active!$Q39,TREND(Perform_Active!$U39:$V39,Perform_Active!$U$8:$V$8,DB$380),IF(ISNUMBER(Standards_Active!$AA39),IF(AND(DB$380&gt;=Standards_Active!$Q39,DB$380&lt;Standards_Active!$R39),(Standards_Active!$AA39-INDEX($CJ411:$DI411,1,MATCH((Standards_Active!$Q39-1),$CJ$380:$DI$380,FALSE)))/(Standards_Active!$R39-(Standards_Active!$Q39-1))+DA411,Standards_Active!$AA39*((1+Standards_Active!$AC39)^(DB$380-Standards_Active!$R39))),TREND(Perform_Active!$U39:$V39,Perform_Active!$U$8:$V$8,DB$380))),)</f>
        <v>0</v>
      </c>
      <c r="DC411" s="271">
        <f>IF(AND(Tech_Specs!$F38="step",Standards_Active!$S39="yes"),IF(DC$380&lt;Standards_Active!$Q39,TREND(Perform_Active!$U39:$V39,Perform_Active!$U$8:$V$8,DC$380),IF(ISNUMBER(Standards_Active!$AA39),IF(AND(DC$380&gt;=Standards_Active!$Q39,DC$380&lt;Standards_Active!$R39),(Standards_Active!$AA39-INDEX($CJ411:$DI411,1,MATCH((Standards_Active!$Q39-1),$CJ$380:$DI$380,FALSE)))/(Standards_Active!$R39-(Standards_Active!$Q39-1))+DB411,Standards_Active!$AA39*((1+Standards_Active!$AC39)^(DC$380-Standards_Active!$R39))),TREND(Perform_Active!$U39:$V39,Perform_Active!$U$8:$V$8,DC$380))),)</f>
        <v>0</v>
      </c>
      <c r="DD411" s="271">
        <f>IF(AND(Tech_Specs!$F38="step",Standards_Active!$S39="yes"),IF(DD$380&lt;Standards_Active!$Q39,TREND(Perform_Active!$U39:$V39,Perform_Active!$U$8:$V$8,DD$380),IF(ISNUMBER(Standards_Active!$AA39),IF(AND(DD$380&gt;=Standards_Active!$Q39,DD$380&lt;Standards_Active!$R39),(Standards_Active!$AA39-INDEX($CJ411:$DI411,1,MATCH((Standards_Active!$Q39-1),$CJ$380:$DI$380,FALSE)))/(Standards_Active!$R39-(Standards_Active!$Q39-1))+DC411,Standards_Active!$AA39*((1+Standards_Active!$AC39)^(DD$380-Standards_Active!$R39))),TREND(Perform_Active!$U39:$V39,Perform_Active!$U$8:$V$8,DD$380))),)</f>
        <v>0</v>
      </c>
      <c r="DE411" s="271">
        <f>IF(AND(Tech_Specs!$F38="step",Standards_Active!$S39="yes"),IF(DE$380&lt;Standards_Active!$Q39,TREND(Perform_Active!$U39:$V39,Perform_Active!$U$8:$V$8,DE$380),IF(ISNUMBER(Standards_Active!$AA39),IF(AND(DE$380&gt;=Standards_Active!$Q39,DE$380&lt;Standards_Active!$R39),(Standards_Active!$AA39-INDEX($CJ411:$DI411,1,MATCH((Standards_Active!$Q39-1),$CJ$380:$DI$380,FALSE)))/(Standards_Active!$R39-(Standards_Active!$Q39-1))+DD411,Standards_Active!$AA39*((1+Standards_Active!$AC39)^(DE$380-Standards_Active!$R39))),TREND(Perform_Active!$U39:$V39,Perform_Active!$U$8:$V$8,DE$380))),)</f>
        <v>0</v>
      </c>
      <c r="DF411" s="271">
        <f>IF(AND(Tech_Specs!$F38="step",Standards_Active!$S39="yes"),IF(DF$380&lt;Standards_Active!$Q39,TREND(Perform_Active!$U39:$V39,Perform_Active!$U$8:$V$8,DF$380),IF(ISNUMBER(Standards_Active!$AA39),IF(AND(DF$380&gt;=Standards_Active!$Q39,DF$380&lt;Standards_Active!$R39),(Standards_Active!$AA39-INDEX($CJ411:$DI411,1,MATCH((Standards_Active!$Q39-1),$CJ$380:$DI$380,FALSE)))/(Standards_Active!$R39-(Standards_Active!$Q39-1))+DE411,Standards_Active!$AA39*((1+Standards_Active!$AC39)^(DF$380-Standards_Active!$R39))),TREND(Perform_Active!$U39:$V39,Perform_Active!$U$8:$V$8,DF$380))),)</f>
        <v>0</v>
      </c>
      <c r="DG411" s="271">
        <f>IF(AND(Tech_Specs!$F38="step",Standards_Active!$S39="yes"),IF(DG$380&lt;Standards_Active!$Q39,TREND(Perform_Active!$U39:$V39,Perform_Active!$U$8:$V$8,DG$380),IF(ISNUMBER(Standards_Active!$AA39),IF(AND(DG$380&gt;=Standards_Active!$Q39,DG$380&lt;Standards_Active!$R39),(Standards_Active!$AA39-INDEX($CJ411:$DI411,1,MATCH((Standards_Active!$Q39-1),$CJ$380:$DI$380,FALSE)))/(Standards_Active!$R39-(Standards_Active!$Q39-1))+DF411,Standards_Active!$AA39*((1+Standards_Active!$AC39)^(DG$380-Standards_Active!$R39))),TREND(Perform_Active!$U39:$V39,Perform_Active!$U$8:$V$8,DG$380))),)</f>
        <v>0</v>
      </c>
      <c r="DH411" s="271">
        <f>IF(AND(Tech_Specs!$F38="step",Standards_Active!$S39="yes"),IF(DH$380&lt;Standards_Active!$Q39,TREND(Perform_Active!$U39:$V39,Perform_Active!$U$8:$V$8,DH$380),IF(ISNUMBER(Standards_Active!$AA39),IF(AND(DH$380&gt;=Standards_Active!$Q39,DH$380&lt;Standards_Active!$R39),(Standards_Active!$AA39-INDEX($CJ411:$DI411,1,MATCH((Standards_Active!$Q39-1),$CJ$380:$DI$380,FALSE)))/(Standards_Active!$R39-(Standards_Active!$Q39-1))+DG411,Standards_Active!$AA39*((1+Standards_Active!$AC39)^(DH$380-Standards_Active!$R39))),TREND(Perform_Active!$U39:$V39,Perform_Active!$U$8:$V$8,DH$380))),)</f>
        <v>0</v>
      </c>
      <c r="DI411" s="271">
        <f>IF(AND(Tech_Specs!$F38="step",Standards_Active!$S39="yes"),IF(DI$380&lt;Standards_Active!$Q39,TREND(Perform_Active!$U39:$V39,Perform_Active!$U$8:$V$8,DI$380),IF(ISNUMBER(Standards_Active!$AA39),IF(AND(DI$380&gt;=Standards_Active!$Q39,DI$380&lt;Standards_Active!$R39),(Standards_Active!$AA39-INDEX($CJ411:$DI411,1,MATCH((Standards_Active!$Q39-1),$CJ$380:$DI$380,FALSE)))/(Standards_Active!$R39-(Standards_Active!$Q39-1))+DH411,Standards_Active!$AA39*((1+Standards_Active!$AC39)^(DI$380-Standards_Active!$R39))),TREND(Perform_Active!$U39:$V39,Perform_Active!$U$8:$V$8,DI$380))),)</f>
        <v>0</v>
      </c>
    </row>
    <row r="412" spans="1:113" s="322" customFormat="1" ht="12.75" x14ac:dyDescent="0.2">
      <c r="B412" s="328" t="s">
        <v>53</v>
      </c>
      <c r="D412" s="550"/>
      <c r="E412" s="550"/>
      <c r="F412" s="550"/>
      <c r="G412" s="272">
        <f t="shared" si="78"/>
        <v>0</v>
      </c>
      <c r="H412" s="272">
        <f t="shared" si="78"/>
        <v>0</v>
      </c>
      <c r="I412" s="272">
        <f t="shared" si="78"/>
        <v>0</v>
      </c>
      <c r="J412" s="272">
        <f t="shared" si="78"/>
        <v>0</v>
      </c>
      <c r="K412" s="272">
        <f t="shared" si="78"/>
        <v>0</v>
      </c>
      <c r="L412" s="272">
        <f t="shared" si="78"/>
        <v>0</v>
      </c>
      <c r="M412" s="272">
        <f t="shared" si="78"/>
        <v>0</v>
      </c>
      <c r="N412" s="272">
        <f t="shared" si="78"/>
        <v>0</v>
      </c>
      <c r="O412" s="272">
        <f t="shared" si="78"/>
        <v>0</v>
      </c>
      <c r="P412" s="272">
        <f t="shared" si="78"/>
        <v>0</v>
      </c>
      <c r="Q412" s="272">
        <f t="shared" si="79"/>
        <v>0</v>
      </c>
      <c r="R412" s="272">
        <f t="shared" si="79"/>
        <v>0</v>
      </c>
      <c r="S412" s="272">
        <f t="shared" si="79"/>
        <v>0</v>
      </c>
      <c r="T412" s="272">
        <f t="shared" si="79"/>
        <v>0</v>
      </c>
      <c r="U412" s="272">
        <f t="shared" si="79"/>
        <v>0</v>
      </c>
      <c r="V412" s="272">
        <f t="shared" si="79"/>
        <v>0</v>
      </c>
      <c r="W412" s="272">
        <f t="shared" si="79"/>
        <v>0</v>
      </c>
      <c r="X412" s="272">
        <f t="shared" si="79"/>
        <v>0</v>
      </c>
      <c r="Y412" s="272">
        <f t="shared" si="79"/>
        <v>0</v>
      </c>
      <c r="Z412" s="272">
        <f t="shared" si="79"/>
        <v>0</v>
      </c>
      <c r="AA412" s="272">
        <f t="shared" si="80"/>
        <v>0</v>
      </c>
      <c r="AB412" s="272">
        <f t="shared" si="80"/>
        <v>0</v>
      </c>
      <c r="AC412" s="272">
        <f t="shared" si="80"/>
        <v>0</v>
      </c>
      <c r="AD412" s="272">
        <f t="shared" si="80"/>
        <v>0</v>
      </c>
      <c r="AE412" s="272">
        <f t="shared" si="80"/>
        <v>0</v>
      </c>
      <c r="AF412" s="272">
        <f t="shared" si="80"/>
        <v>0</v>
      </c>
      <c r="AG412" s="376"/>
      <c r="AH412" s="271">
        <f>IF(Tech_Specs!$F39="linear",TREND(Perform_Active!$U40:$V40,Perform_Active!$U$8:$V$8,AH$380),)</f>
        <v>0</v>
      </c>
      <c r="AI412" s="271">
        <f>IF(Tech_Specs!$F39="linear",TREND(Perform_Active!$U40:$V40,Perform_Active!$U$8:$V$8,AI$380),)</f>
        <v>0</v>
      </c>
      <c r="AJ412" s="271">
        <f>IF(Tech_Specs!$F39="linear",TREND(Perform_Active!$U40:$V40,Perform_Active!$U$8:$V$8,AJ$380),)</f>
        <v>0</v>
      </c>
      <c r="AK412" s="271">
        <f>IF(Tech_Specs!$F39="linear",TREND(Perform_Active!$U40:$V40,Perform_Active!$U$8:$V$8,AK$380),)</f>
        <v>0</v>
      </c>
      <c r="AL412" s="271">
        <f>IF(Tech_Specs!$F39="linear",TREND(Perform_Active!$U40:$V40,Perform_Active!$U$8:$V$8,AL$380),)</f>
        <v>0</v>
      </c>
      <c r="AM412" s="271">
        <f>IF(Tech_Specs!$F39="linear",TREND(Perform_Active!$U40:$V40,Perform_Active!$U$8:$V$8,AM$380),)</f>
        <v>0</v>
      </c>
      <c r="AN412" s="271">
        <f>IF(Tech_Specs!$F39="linear",TREND(Perform_Active!$U40:$V40,Perform_Active!$U$8:$V$8,AN$380),)</f>
        <v>0</v>
      </c>
      <c r="AO412" s="271">
        <f>IF(Tech_Specs!$F39="linear",TREND(Perform_Active!$U40:$V40,Perform_Active!$U$8:$V$8,AO$380),)</f>
        <v>0</v>
      </c>
      <c r="AP412" s="271">
        <f>IF(Tech_Specs!$F39="linear",TREND(Perform_Active!$U40:$V40,Perform_Active!$U$8:$V$8,AP$380),)</f>
        <v>0</v>
      </c>
      <c r="AQ412" s="271">
        <f>IF(Tech_Specs!$F39="linear",TREND(Perform_Active!$U40:$V40,Perform_Active!$U$8:$V$8,AQ$380),)</f>
        <v>0</v>
      </c>
      <c r="AR412" s="271">
        <f>IF(Tech_Specs!$F39="linear",TREND(Perform_Active!$U40:$V40,Perform_Active!$U$8:$V$8,AR$380),)</f>
        <v>0</v>
      </c>
      <c r="AS412" s="271">
        <f>IF(Tech_Specs!$F39="linear",TREND(Perform_Active!$U40:$V40,Perform_Active!$U$8:$V$8,AS$380),)</f>
        <v>0</v>
      </c>
      <c r="AT412" s="271">
        <f>IF(Tech_Specs!$F39="linear",TREND(Perform_Active!$U40:$V40,Perform_Active!$U$8:$V$8,AT$380),)</f>
        <v>0</v>
      </c>
      <c r="AU412" s="271">
        <f>IF(Tech_Specs!$F39="linear",TREND(Perform_Active!$U40:$V40,Perform_Active!$U$8:$V$8,AU$380),)</f>
        <v>0</v>
      </c>
      <c r="AV412" s="271">
        <f>IF(Tech_Specs!$F39="linear",TREND(Perform_Active!$U40:$V40,Perform_Active!$U$8:$V$8,AV$380),)</f>
        <v>0</v>
      </c>
      <c r="AW412" s="271">
        <f>IF(Tech_Specs!$F39="linear",TREND(Perform_Active!$U40:$V40,Perform_Active!$U$8:$V$8,AW$380),)</f>
        <v>0</v>
      </c>
      <c r="AX412" s="271">
        <f>IF(Tech_Specs!$F39="linear",TREND(Perform_Active!$U40:$V40,Perform_Active!$U$8:$V$8,AX$380),)</f>
        <v>0</v>
      </c>
      <c r="AY412" s="271">
        <f>IF(Tech_Specs!$F39="linear",TREND(Perform_Active!$U40:$V40,Perform_Active!$U$8:$V$8,AY$380),)</f>
        <v>0</v>
      </c>
      <c r="AZ412" s="271">
        <f>IF(Tech_Specs!$F39="linear",TREND(Perform_Active!$U40:$V40,Perform_Active!$U$8:$V$8,AZ$380),)</f>
        <v>0</v>
      </c>
      <c r="BA412" s="271">
        <f>IF(Tech_Specs!$F39="linear",TREND(Perform_Active!$U40:$V40,Perform_Active!$U$8:$V$8,BA$380),)</f>
        <v>0</v>
      </c>
      <c r="BB412" s="271">
        <f>IF(Tech_Specs!$F39="linear",TREND(Perform_Active!$U40:$V40,Perform_Active!$U$8:$V$8,BB$380),)</f>
        <v>0</v>
      </c>
      <c r="BC412" s="271">
        <f>IF(Tech_Specs!$F39="linear",TREND(Perform_Active!$U40:$V40,Perform_Active!$U$8:$V$8,BC$380),)</f>
        <v>0</v>
      </c>
      <c r="BD412" s="271">
        <f>IF(Tech_Specs!$F39="linear",TREND(Perform_Active!$U40:$V40,Perform_Active!$U$8:$V$8,BD$380),)</f>
        <v>0</v>
      </c>
      <c r="BE412" s="271">
        <f>IF(Tech_Specs!$F39="linear",TREND(Perform_Active!$U40:$V40,Perform_Active!$U$8:$V$8,BE$380),)</f>
        <v>0</v>
      </c>
      <c r="BF412" s="271">
        <f>IF(Tech_Specs!$F39="linear",TREND(Perform_Active!$U40:$V40,Perform_Active!$U$8:$V$8,BF$380),)</f>
        <v>0</v>
      </c>
      <c r="BG412" s="271">
        <f>IF(Tech_Specs!$F39="linear",TREND(Perform_Active!$U40:$V40,Perform_Active!$U$8:$V$8,BG$380),)</f>
        <v>0</v>
      </c>
      <c r="BH412" s="376"/>
      <c r="BI412" s="271">
        <f>IF(Tech_Specs!$F39="logistic",0,)</f>
        <v>0</v>
      </c>
      <c r="BJ412" s="271">
        <f>IF(Tech_Specs!$F39="logistic",0,)</f>
        <v>0</v>
      </c>
      <c r="BK412" s="271">
        <f>IF(Tech_Specs!$F39="logistic",0,)</f>
        <v>0</v>
      </c>
      <c r="BL412" s="271">
        <f>IF(Tech_Specs!$F39="logistic",0,)</f>
        <v>0</v>
      </c>
      <c r="BM412" s="271">
        <f>IF(Tech_Specs!$F39="logistic",0,)</f>
        <v>0</v>
      </c>
      <c r="BN412" s="271">
        <f>IF(Tech_Specs!$F39="logistic",0,)</f>
        <v>0</v>
      </c>
      <c r="BO412" s="271">
        <f>IF(Tech_Specs!$F39="logistic",0,)</f>
        <v>0</v>
      </c>
      <c r="BP412" s="271">
        <f>IF(Tech_Specs!$F39="logistic",0,)</f>
        <v>0</v>
      </c>
      <c r="BQ412" s="271">
        <f>IF(Tech_Specs!$F39="logistic",0,)</f>
        <v>0</v>
      </c>
      <c r="BR412" s="271">
        <f>IF(Tech_Specs!$F39="logistic",0,)</f>
        <v>0</v>
      </c>
      <c r="BS412" s="271">
        <f>IF(Tech_Specs!$F39="logistic",0,)</f>
        <v>0</v>
      </c>
      <c r="BT412" s="271">
        <f>IF(Tech_Specs!$F39="logistic",0,)</f>
        <v>0</v>
      </c>
      <c r="BU412" s="271">
        <f>IF(Tech_Specs!$F39="logistic",0,)</f>
        <v>0</v>
      </c>
      <c r="BV412" s="271">
        <f>IF(Tech_Specs!$F39="logistic",0,)</f>
        <v>0</v>
      </c>
      <c r="BW412" s="271">
        <f>IF(Tech_Specs!$F39="logistic",0,)</f>
        <v>0</v>
      </c>
      <c r="BX412" s="271">
        <f>IF(Tech_Specs!$F39="logistic",0,)</f>
        <v>0</v>
      </c>
      <c r="BY412" s="271">
        <f>IF(Tech_Specs!$F39="logistic",0,)</f>
        <v>0</v>
      </c>
      <c r="BZ412" s="271">
        <f>IF(Tech_Specs!$F39="logistic",0,)</f>
        <v>0</v>
      </c>
      <c r="CA412" s="271">
        <f>IF(Tech_Specs!$F39="logistic",0,)</f>
        <v>0</v>
      </c>
      <c r="CB412" s="271">
        <f>IF(Tech_Specs!$F39="logistic",0,)</f>
        <v>0</v>
      </c>
      <c r="CC412" s="271">
        <f>IF(Tech_Specs!$F39="logistic",0,)</f>
        <v>0</v>
      </c>
      <c r="CD412" s="271">
        <f>IF(Tech_Specs!$F39="logistic",0,)</f>
        <v>0</v>
      </c>
      <c r="CE412" s="271">
        <f>IF(Tech_Specs!$F39="logistic",0,)</f>
        <v>0</v>
      </c>
      <c r="CF412" s="271">
        <f>IF(Tech_Specs!$F39="logistic",0,)</f>
        <v>0</v>
      </c>
      <c r="CG412" s="271">
        <f>IF(Tech_Specs!$F39="logistic",0,)</f>
        <v>0</v>
      </c>
      <c r="CH412" s="271">
        <f>IF(Tech_Specs!$F39="logistic",0,)</f>
        <v>0</v>
      </c>
      <c r="CI412" s="376"/>
      <c r="CJ412" s="271">
        <f>IF(AND(Tech_Specs!$F39="step",Standards_Active!$S40="yes"),IF(CJ$380&lt;Standards_Active!$Q40,TREND(Perform_Active!$U40:$V40,Perform_Active!$U$8:$V$8,CJ$380),IF(ISNUMBER(Standards_Active!$AA40),IF(AND(CJ$380&gt;=Standards_Active!$Q40,CJ$380&lt;Standards_Active!$R40),(Standards_Active!$AA40-INDEX($CJ412:$DI412,1,MATCH((Standards_Active!$Q40-1),$CJ$380:$DI$380,FALSE)))/(Standards_Active!$R40-(Standards_Active!$Q40-1))+CI412,Standards_Active!$AA40*((1+Standards_Active!$AC40)^(CJ$380-Standards_Active!$R40))),TREND(Perform_Active!$U40:$V40,Perform_Active!$U$8:$V$8,CJ$380))),)</f>
        <v>0</v>
      </c>
      <c r="CK412" s="271">
        <f>IF(AND(Tech_Specs!$F39="step",Standards_Active!$S40="yes"),IF(CK$380&lt;Standards_Active!$Q40,TREND(Perform_Active!$U40:$V40,Perform_Active!$U$8:$V$8,CK$380),IF(ISNUMBER(Standards_Active!$AA40),IF(AND(CK$380&gt;=Standards_Active!$Q40,CK$380&lt;Standards_Active!$R40),(Standards_Active!$AA40-INDEX($CJ412:$DI412,1,MATCH((Standards_Active!$Q40-1),$CJ$380:$DI$380,FALSE)))/(Standards_Active!$R40-(Standards_Active!$Q40-1))+CJ412,Standards_Active!$AA40*((1+Standards_Active!$AC40)^(CK$380-Standards_Active!$R40))),TREND(Perform_Active!$U40:$V40,Perform_Active!$U$8:$V$8,CK$380))),)</f>
        <v>0</v>
      </c>
      <c r="CL412" s="271">
        <f>IF(AND(Tech_Specs!$F39="step",Standards_Active!$S40="yes"),IF(CL$380&lt;Standards_Active!$Q40,TREND(Perform_Active!$U40:$V40,Perform_Active!$U$8:$V$8,CL$380),IF(ISNUMBER(Standards_Active!$AA40),IF(AND(CL$380&gt;=Standards_Active!$Q40,CL$380&lt;Standards_Active!$R40),(Standards_Active!$AA40-INDEX($CJ412:$DI412,1,MATCH((Standards_Active!$Q40-1),$CJ$380:$DI$380,FALSE)))/(Standards_Active!$R40-(Standards_Active!$Q40-1))+CK412,Standards_Active!$AA40*((1+Standards_Active!$AC40)^(CL$380-Standards_Active!$R40))),TREND(Perform_Active!$U40:$V40,Perform_Active!$U$8:$V$8,CL$380))),)</f>
        <v>0</v>
      </c>
      <c r="CM412" s="271">
        <f>IF(AND(Tech_Specs!$F39="step",Standards_Active!$S40="yes"),IF(CM$380&lt;Standards_Active!$Q40,TREND(Perform_Active!$U40:$V40,Perform_Active!$U$8:$V$8,CM$380),IF(ISNUMBER(Standards_Active!$AA40),IF(AND(CM$380&gt;=Standards_Active!$Q40,CM$380&lt;Standards_Active!$R40),(Standards_Active!$AA40-INDEX($CJ412:$DI412,1,MATCH((Standards_Active!$Q40-1),$CJ$380:$DI$380,FALSE)))/(Standards_Active!$R40-(Standards_Active!$Q40-1))+CL412,Standards_Active!$AA40*((1+Standards_Active!$AC40)^(CM$380-Standards_Active!$R40))),TREND(Perform_Active!$U40:$V40,Perform_Active!$U$8:$V$8,CM$380))),)</f>
        <v>0</v>
      </c>
      <c r="CN412" s="271">
        <f>IF(AND(Tech_Specs!$F39="step",Standards_Active!$S40="yes"),IF(CN$380&lt;Standards_Active!$Q40,TREND(Perform_Active!$U40:$V40,Perform_Active!$U$8:$V$8,CN$380),IF(ISNUMBER(Standards_Active!$AA40),IF(AND(CN$380&gt;=Standards_Active!$Q40,CN$380&lt;Standards_Active!$R40),(Standards_Active!$AA40-INDEX($CJ412:$DI412,1,MATCH((Standards_Active!$Q40-1),$CJ$380:$DI$380,FALSE)))/(Standards_Active!$R40-(Standards_Active!$Q40-1))+CM412,Standards_Active!$AA40*((1+Standards_Active!$AC40)^(CN$380-Standards_Active!$R40))),TREND(Perform_Active!$U40:$V40,Perform_Active!$U$8:$V$8,CN$380))),)</f>
        <v>0</v>
      </c>
      <c r="CO412" s="271">
        <f>IF(AND(Tech_Specs!$F39="step",Standards_Active!$S40="yes"),IF(CO$380&lt;Standards_Active!$Q40,TREND(Perform_Active!$U40:$V40,Perform_Active!$U$8:$V$8,CO$380),IF(ISNUMBER(Standards_Active!$AA40),IF(AND(CO$380&gt;=Standards_Active!$Q40,CO$380&lt;Standards_Active!$R40),(Standards_Active!$AA40-INDEX($CJ412:$DI412,1,MATCH((Standards_Active!$Q40-1),$CJ$380:$DI$380,FALSE)))/(Standards_Active!$R40-(Standards_Active!$Q40-1))+CN412,Standards_Active!$AA40*((1+Standards_Active!$AC40)^(CO$380-Standards_Active!$R40))),TREND(Perform_Active!$U40:$V40,Perform_Active!$U$8:$V$8,CO$380))),)</f>
        <v>0</v>
      </c>
      <c r="CP412" s="271">
        <f>IF(AND(Tech_Specs!$F39="step",Standards_Active!$S40="yes"),IF(CP$380&lt;Standards_Active!$Q40,TREND(Perform_Active!$U40:$V40,Perform_Active!$U$8:$V$8,CP$380),IF(ISNUMBER(Standards_Active!$AA40),IF(AND(CP$380&gt;=Standards_Active!$Q40,CP$380&lt;Standards_Active!$R40),(Standards_Active!$AA40-INDEX($CJ412:$DI412,1,MATCH((Standards_Active!$Q40-1),$CJ$380:$DI$380,FALSE)))/(Standards_Active!$R40-(Standards_Active!$Q40-1))+CO412,Standards_Active!$AA40*((1+Standards_Active!$AC40)^(CP$380-Standards_Active!$R40))),TREND(Perform_Active!$U40:$V40,Perform_Active!$U$8:$V$8,CP$380))),)</f>
        <v>0</v>
      </c>
      <c r="CQ412" s="271">
        <f>IF(AND(Tech_Specs!$F39="step",Standards_Active!$S40="yes"),IF(CQ$380&lt;Standards_Active!$Q40,TREND(Perform_Active!$U40:$V40,Perform_Active!$U$8:$V$8,CQ$380),IF(ISNUMBER(Standards_Active!$AA40),IF(AND(CQ$380&gt;=Standards_Active!$Q40,CQ$380&lt;Standards_Active!$R40),(Standards_Active!$AA40-INDEX($CJ412:$DI412,1,MATCH((Standards_Active!$Q40-1),$CJ$380:$DI$380,FALSE)))/(Standards_Active!$R40-(Standards_Active!$Q40-1))+CP412,Standards_Active!$AA40*((1+Standards_Active!$AC40)^(CQ$380-Standards_Active!$R40))),TREND(Perform_Active!$U40:$V40,Perform_Active!$U$8:$V$8,CQ$380))),)</f>
        <v>0</v>
      </c>
      <c r="CR412" s="271">
        <f>IF(AND(Tech_Specs!$F39="step",Standards_Active!$S40="yes"),IF(CR$380&lt;Standards_Active!$Q40,TREND(Perform_Active!$U40:$V40,Perform_Active!$U$8:$V$8,CR$380),IF(ISNUMBER(Standards_Active!$AA40),IF(AND(CR$380&gt;=Standards_Active!$Q40,CR$380&lt;Standards_Active!$R40),(Standards_Active!$AA40-INDEX($CJ412:$DI412,1,MATCH((Standards_Active!$Q40-1),$CJ$380:$DI$380,FALSE)))/(Standards_Active!$R40-(Standards_Active!$Q40-1))+CQ412,Standards_Active!$AA40*((1+Standards_Active!$AC40)^(CR$380-Standards_Active!$R40))),TREND(Perform_Active!$U40:$V40,Perform_Active!$U$8:$V$8,CR$380))),)</f>
        <v>0</v>
      </c>
      <c r="CS412" s="271">
        <f>IF(AND(Tech_Specs!$F39="step",Standards_Active!$S40="yes"),IF(CS$380&lt;Standards_Active!$Q40,TREND(Perform_Active!$U40:$V40,Perform_Active!$U$8:$V$8,CS$380),IF(ISNUMBER(Standards_Active!$AA40),IF(AND(CS$380&gt;=Standards_Active!$Q40,CS$380&lt;Standards_Active!$R40),(Standards_Active!$AA40-INDEX($CJ412:$DI412,1,MATCH((Standards_Active!$Q40-1),$CJ$380:$DI$380,FALSE)))/(Standards_Active!$R40-(Standards_Active!$Q40-1))+CR412,Standards_Active!$AA40*((1+Standards_Active!$AC40)^(CS$380-Standards_Active!$R40))),TREND(Perform_Active!$U40:$V40,Perform_Active!$U$8:$V$8,CS$380))),)</f>
        <v>0</v>
      </c>
      <c r="CT412" s="271">
        <f>IF(AND(Tech_Specs!$F39="step",Standards_Active!$S40="yes"),IF(CT$380&lt;Standards_Active!$Q40,TREND(Perform_Active!$U40:$V40,Perform_Active!$U$8:$V$8,CT$380),IF(ISNUMBER(Standards_Active!$AA40),IF(AND(CT$380&gt;=Standards_Active!$Q40,CT$380&lt;Standards_Active!$R40),(Standards_Active!$AA40-INDEX($CJ412:$DI412,1,MATCH((Standards_Active!$Q40-1),$CJ$380:$DI$380,FALSE)))/(Standards_Active!$R40-(Standards_Active!$Q40-1))+CS412,Standards_Active!$AA40*((1+Standards_Active!$AC40)^(CT$380-Standards_Active!$R40))),TREND(Perform_Active!$U40:$V40,Perform_Active!$U$8:$V$8,CT$380))),)</f>
        <v>0</v>
      </c>
      <c r="CU412" s="271">
        <f>IF(AND(Tech_Specs!$F39="step",Standards_Active!$S40="yes"),IF(CU$380&lt;Standards_Active!$Q40,TREND(Perform_Active!$U40:$V40,Perform_Active!$U$8:$V$8,CU$380),IF(ISNUMBER(Standards_Active!$AA40),IF(AND(CU$380&gt;=Standards_Active!$Q40,CU$380&lt;Standards_Active!$R40),(Standards_Active!$AA40-INDEX($CJ412:$DI412,1,MATCH((Standards_Active!$Q40-1),$CJ$380:$DI$380,FALSE)))/(Standards_Active!$R40-(Standards_Active!$Q40-1))+CT412,Standards_Active!$AA40*((1+Standards_Active!$AC40)^(CU$380-Standards_Active!$R40))),TREND(Perform_Active!$U40:$V40,Perform_Active!$U$8:$V$8,CU$380))),)</f>
        <v>0</v>
      </c>
      <c r="CV412" s="271">
        <f>IF(AND(Tech_Specs!$F39="step",Standards_Active!$S40="yes"),IF(CV$380&lt;Standards_Active!$Q40,TREND(Perform_Active!$U40:$V40,Perform_Active!$U$8:$V$8,CV$380),IF(ISNUMBER(Standards_Active!$AA40),IF(AND(CV$380&gt;=Standards_Active!$Q40,CV$380&lt;Standards_Active!$R40),(Standards_Active!$AA40-INDEX($CJ412:$DI412,1,MATCH((Standards_Active!$Q40-1),$CJ$380:$DI$380,FALSE)))/(Standards_Active!$R40-(Standards_Active!$Q40-1))+CU412,Standards_Active!$AA40*((1+Standards_Active!$AC40)^(CV$380-Standards_Active!$R40))),TREND(Perform_Active!$U40:$V40,Perform_Active!$U$8:$V$8,CV$380))),)</f>
        <v>0</v>
      </c>
      <c r="CW412" s="271">
        <f>IF(AND(Tech_Specs!$F39="step",Standards_Active!$S40="yes"),IF(CW$380&lt;Standards_Active!$Q40,TREND(Perform_Active!$U40:$V40,Perform_Active!$U$8:$V$8,CW$380),IF(ISNUMBER(Standards_Active!$AA40),IF(AND(CW$380&gt;=Standards_Active!$Q40,CW$380&lt;Standards_Active!$R40),(Standards_Active!$AA40-INDEX($CJ412:$DI412,1,MATCH((Standards_Active!$Q40-1),$CJ$380:$DI$380,FALSE)))/(Standards_Active!$R40-(Standards_Active!$Q40-1))+CV412,Standards_Active!$AA40*((1+Standards_Active!$AC40)^(CW$380-Standards_Active!$R40))),TREND(Perform_Active!$U40:$V40,Perform_Active!$U$8:$V$8,CW$380))),)</f>
        <v>0</v>
      </c>
      <c r="CX412" s="271">
        <f>IF(AND(Tech_Specs!$F39="step",Standards_Active!$S40="yes"),IF(CX$380&lt;Standards_Active!$Q40,TREND(Perform_Active!$U40:$V40,Perform_Active!$U$8:$V$8,CX$380),IF(ISNUMBER(Standards_Active!$AA40),IF(AND(CX$380&gt;=Standards_Active!$Q40,CX$380&lt;Standards_Active!$R40),(Standards_Active!$AA40-INDEX($CJ412:$DI412,1,MATCH((Standards_Active!$Q40-1),$CJ$380:$DI$380,FALSE)))/(Standards_Active!$R40-(Standards_Active!$Q40-1))+CW412,Standards_Active!$AA40*((1+Standards_Active!$AC40)^(CX$380-Standards_Active!$R40))),TREND(Perform_Active!$U40:$V40,Perform_Active!$U$8:$V$8,CX$380))),)</f>
        <v>0</v>
      </c>
      <c r="CY412" s="271">
        <f>IF(AND(Tech_Specs!$F39="step",Standards_Active!$S40="yes"),IF(CY$380&lt;Standards_Active!$Q40,TREND(Perform_Active!$U40:$V40,Perform_Active!$U$8:$V$8,CY$380),IF(ISNUMBER(Standards_Active!$AA40),IF(AND(CY$380&gt;=Standards_Active!$Q40,CY$380&lt;Standards_Active!$R40),(Standards_Active!$AA40-INDEX($CJ412:$DI412,1,MATCH((Standards_Active!$Q40-1),$CJ$380:$DI$380,FALSE)))/(Standards_Active!$R40-(Standards_Active!$Q40-1))+CX412,Standards_Active!$AA40*((1+Standards_Active!$AC40)^(CY$380-Standards_Active!$R40))),TREND(Perform_Active!$U40:$V40,Perform_Active!$U$8:$V$8,CY$380))),)</f>
        <v>0</v>
      </c>
      <c r="CZ412" s="271">
        <f>IF(AND(Tech_Specs!$F39="step",Standards_Active!$S40="yes"),IF(CZ$380&lt;Standards_Active!$Q40,TREND(Perform_Active!$U40:$V40,Perform_Active!$U$8:$V$8,CZ$380),IF(ISNUMBER(Standards_Active!$AA40),IF(AND(CZ$380&gt;=Standards_Active!$Q40,CZ$380&lt;Standards_Active!$R40),(Standards_Active!$AA40-INDEX($CJ412:$DI412,1,MATCH((Standards_Active!$Q40-1),$CJ$380:$DI$380,FALSE)))/(Standards_Active!$R40-(Standards_Active!$Q40-1))+CY412,Standards_Active!$AA40*((1+Standards_Active!$AC40)^(CZ$380-Standards_Active!$R40))),TREND(Perform_Active!$U40:$V40,Perform_Active!$U$8:$V$8,CZ$380))),)</f>
        <v>0</v>
      </c>
      <c r="DA412" s="271">
        <f>IF(AND(Tech_Specs!$F39="step",Standards_Active!$S40="yes"),IF(DA$380&lt;Standards_Active!$Q40,TREND(Perform_Active!$U40:$V40,Perform_Active!$U$8:$V$8,DA$380),IF(ISNUMBER(Standards_Active!$AA40),IF(AND(DA$380&gt;=Standards_Active!$Q40,DA$380&lt;Standards_Active!$R40),(Standards_Active!$AA40-INDEX($CJ412:$DI412,1,MATCH((Standards_Active!$Q40-1),$CJ$380:$DI$380,FALSE)))/(Standards_Active!$R40-(Standards_Active!$Q40-1))+CZ412,Standards_Active!$AA40*((1+Standards_Active!$AC40)^(DA$380-Standards_Active!$R40))),TREND(Perform_Active!$U40:$V40,Perform_Active!$U$8:$V$8,DA$380))),)</f>
        <v>0</v>
      </c>
      <c r="DB412" s="271">
        <f>IF(AND(Tech_Specs!$F39="step",Standards_Active!$S40="yes"),IF(DB$380&lt;Standards_Active!$Q40,TREND(Perform_Active!$U40:$V40,Perform_Active!$U$8:$V$8,DB$380),IF(ISNUMBER(Standards_Active!$AA40),IF(AND(DB$380&gt;=Standards_Active!$Q40,DB$380&lt;Standards_Active!$R40),(Standards_Active!$AA40-INDEX($CJ412:$DI412,1,MATCH((Standards_Active!$Q40-1),$CJ$380:$DI$380,FALSE)))/(Standards_Active!$R40-(Standards_Active!$Q40-1))+DA412,Standards_Active!$AA40*((1+Standards_Active!$AC40)^(DB$380-Standards_Active!$R40))),TREND(Perform_Active!$U40:$V40,Perform_Active!$U$8:$V$8,DB$380))),)</f>
        <v>0</v>
      </c>
      <c r="DC412" s="271">
        <f>IF(AND(Tech_Specs!$F39="step",Standards_Active!$S40="yes"),IF(DC$380&lt;Standards_Active!$Q40,TREND(Perform_Active!$U40:$V40,Perform_Active!$U$8:$V$8,DC$380),IF(ISNUMBER(Standards_Active!$AA40),IF(AND(DC$380&gt;=Standards_Active!$Q40,DC$380&lt;Standards_Active!$R40),(Standards_Active!$AA40-INDEX($CJ412:$DI412,1,MATCH((Standards_Active!$Q40-1),$CJ$380:$DI$380,FALSE)))/(Standards_Active!$R40-(Standards_Active!$Q40-1))+DB412,Standards_Active!$AA40*((1+Standards_Active!$AC40)^(DC$380-Standards_Active!$R40))),TREND(Perform_Active!$U40:$V40,Perform_Active!$U$8:$V$8,DC$380))),)</f>
        <v>0</v>
      </c>
      <c r="DD412" s="271">
        <f>IF(AND(Tech_Specs!$F39="step",Standards_Active!$S40="yes"),IF(DD$380&lt;Standards_Active!$Q40,TREND(Perform_Active!$U40:$V40,Perform_Active!$U$8:$V$8,DD$380),IF(ISNUMBER(Standards_Active!$AA40),IF(AND(DD$380&gt;=Standards_Active!$Q40,DD$380&lt;Standards_Active!$R40),(Standards_Active!$AA40-INDEX($CJ412:$DI412,1,MATCH((Standards_Active!$Q40-1),$CJ$380:$DI$380,FALSE)))/(Standards_Active!$R40-(Standards_Active!$Q40-1))+DC412,Standards_Active!$AA40*((1+Standards_Active!$AC40)^(DD$380-Standards_Active!$R40))),TREND(Perform_Active!$U40:$V40,Perform_Active!$U$8:$V$8,DD$380))),)</f>
        <v>0</v>
      </c>
      <c r="DE412" s="271">
        <f>IF(AND(Tech_Specs!$F39="step",Standards_Active!$S40="yes"),IF(DE$380&lt;Standards_Active!$Q40,TREND(Perform_Active!$U40:$V40,Perform_Active!$U$8:$V$8,DE$380),IF(ISNUMBER(Standards_Active!$AA40),IF(AND(DE$380&gt;=Standards_Active!$Q40,DE$380&lt;Standards_Active!$R40),(Standards_Active!$AA40-INDEX($CJ412:$DI412,1,MATCH((Standards_Active!$Q40-1),$CJ$380:$DI$380,FALSE)))/(Standards_Active!$R40-(Standards_Active!$Q40-1))+DD412,Standards_Active!$AA40*((1+Standards_Active!$AC40)^(DE$380-Standards_Active!$R40))),TREND(Perform_Active!$U40:$V40,Perform_Active!$U$8:$V$8,DE$380))),)</f>
        <v>0</v>
      </c>
      <c r="DF412" s="271">
        <f>IF(AND(Tech_Specs!$F39="step",Standards_Active!$S40="yes"),IF(DF$380&lt;Standards_Active!$Q40,TREND(Perform_Active!$U40:$V40,Perform_Active!$U$8:$V$8,DF$380),IF(ISNUMBER(Standards_Active!$AA40),IF(AND(DF$380&gt;=Standards_Active!$Q40,DF$380&lt;Standards_Active!$R40),(Standards_Active!$AA40-INDEX($CJ412:$DI412,1,MATCH((Standards_Active!$Q40-1),$CJ$380:$DI$380,FALSE)))/(Standards_Active!$R40-(Standards_Active!$Q40-1))+DE412,Standards_Active!$AA40*((1+Standards_Active!$AC40)^(DF$380-Standards_Active!$R40))),TREND(Perform_Active!$U40:$V40,Perform_Active!$U$8:$V$8,DF$380))),)</f>
        <v>0</v>
      </c>
      <c r="DG412" s="271">
        <f>IF(AND(Tech_Specs!$F39="step",Standards_Active!$S40="yes"),IF(DG$380&lt;Standards_Active!$Q40,TREND(Perform_Active!$U40:$V40,Perform_Active!$U$8:$V$8,DG$380),IF(ISNUMBER(Standards_Active!$AA40),IF(AND(DG$380&gt;=Standards_Active!$Q40,DG$380&lt;Standards_Active!$R40),(Standards_Active!$AA40-INDEX($CJ412:$DI412,1,MATCH((Standards_Active!$Q40-1),$CJ$380:$DI$380,FALSE)))/(Standards_Active!$R40-(Standards_Active!$Q40-1))+DF412,Standards_Active!$AA40*((1+Standards_Active!$AC40)^(DG$380-Standards_Active!$R40))),TREND(Perform_Active!$U40:$V40,Perform_Active!$U$8:$V$8,DG$380))),)</f>
        <v>0</v>
      </c>
      <c r="DH412" s="271">
        <f>IF(AND(Tech_Specs!$F39="step",Standards_Active!$S40="yes"),IF(DH$380&lt;Standards_Active!$Q40,TREND(Perform_Active!$U40:$V40,Perform_Active!$U$8:$V$8,DH$380),IF(ISNUMBER(Standards_Active!$AA40),IF(AND(DH$380&gt;=Standards_Active!$Q40,DH$380&lt;Standards_Active!$R40),(Standards_Active!$AA40-INDEX($CJ412:$DI412,1,MATCH((Standards_Active!$Q40-1),$CJ$380:$DI$380,FALSE)))/(Standards_Active!$R40-(Standards_Active!$Q40-1))+DG412,Standards_Active!$AA40*((1+Standards_Active!$AC40)^(DH$380-Standards_Active!$R40))),TREND(Perform_Active!$U40:$V40,Perform_Active!$U$8:$V$8,DH$380))),)</f>
        <v>0</v>
      </c>
      <c r="DI412" s="271">
        <f>IF(AND(Tech_Specs!$F39="step",Standards_Active!$S40="yes"),IF(DI$380&lt;Standards_Active!$Q40,TREND(Perform_Active!$U40:$V40,Perform_Active!$U$8:$V$8,DI$380),IF(ISNUMBER(Standards_Active!$AA40),IF(AND(DI$380&gt;=Standards_Active!$Q40,DI$380&lt;Standards_Active!$R40),(Standards_Active!$AA40-INDEX($CJ412:$DI412,1,MATCH((Standards_Active!$Q40-1),$CJ$380:$DI$380,FALSE)))/(Standards_Active!$R40-(Standards_Active!$Q40-1))+DH412,Standards_Active!$AA40*((1+Standards_Active!$AC40)^(DI$380-Standards_Active!$R40))),TREND(Perform_Active!$U40:$V40,Perform_Active!$U$8:$V$8,DI$380))),)</f>
        <v>0</v>
      </c>
    </row>
    <row r="413" spans="1:113" s="322" customFormat="1" ht="12.75" x14ac:dyDescent="0.2">
      <c r="D413" s="550"/>
      <c r="E413" s="550"/>
      <c r="F413" s="550"/>
      <c r="G413" s="332"/>
      <c r="H413" s="332"/>
      <c r="I413" s="332"/>
      <c r="J413" s="332"/>
      <c r="K413" s="332"/>
      <c r="L413" s="332"/>
      <c r="M413" s="332"/>
      <c r="N413" s="332"/>
      <c r="O413" s="332"/>
      <c r="P413" s="332"/>
      <c r="Q413" s="332"/>
      <c r="R413" s="332"/>
      <c r="S413" s="332"/>
      <c r="T413" s="332"/>
      <c r="U413" s="332"/>
      <c r="V413" s="332"/>
      <c r="W413" s="332"/>
      <c r="X413" s="332"/>
      <c r="Y413" s="332"/>
      <c r="Z413" s="332"/>
      <c r="AA413" s="332"/>
      <c r="AB413" s="332"/>
      <c r="AC413" s="332"/>
      <c r="AD413" s="332"/>
      <c r="AE413" s="332"/>
      <c r="AF413" s="332"/>
      <c r="AG413" s="376"/>
      <c r="AH413" s="376"/>
      <c r="AI413" s="376"/>
      <c r="AJ413" s="376"/>
      <c r="AK413" s="376"/>
      <c r="AL413" s="376"/>
      <c r="AM413" s="376"/>
      <c r="AN413" s="376"/>
      <c r="AO413" s="376"/>
      <c r="AP413" s="376"/>
      <c r="AQ413" s="376"/>
      <c r="AR413" s="376"/>
      <c r="AS413" s="376"/>
      <c r="AT413" s="376"/>
      <c r="AU413" s="376"/>
      <c r="AV413" s="376"/>
      <c r="AW413" s="376"/>
      <c r="AX413" s="376"/>
      <c r="AY413" s="376"/>
      <c r="AZ413" s="376"/>
      <c r="BA413" s="376"/>
      <c r="BB413" s="376"/>
      <c r="BC413" s="376"/>
      <c r="BD413" s="376"/>
      <c r="BE413" s="376"/>
      <c r="BF413" s="376"/>
      <c r="BG413" s="376"/>
      <c r="BH413" s="376"/>
      <c r="BI413" s="376"/>
      <c r="BJ413" s="376"/>
      <c r="BK413" s="376"/>
      <c r="BL413" s="376"/>
      <c r="BM413" s="376"/>
      <c r="BN413" s="376"/>
      <c r="BO413" s="376"/>
      <c r="BP413" s="376"/>
      <c r="BQ413" s="376"/>
      <c r="BR413" s="376"/>
      <c r="BS413" s="376"/>
      <c r="BT413" s="376"/>
      <c r="BU413" s="376"/>
      <c r="BV413" s="376"/>
      <c r="BW413" s="376"/>
      <c r="BX413" s="376"/>
      <c r="BY413" s="376"/>
      <c r="BZ413" s="376"/>
      <c r="CA413" s="376"/>
      <c r="CB413" s="376"/>
      <c r="CC413" s="376"/>
      <c r="CD413" s="376"/>
      <c r="CE413" s="376"/>
      <c r="CF413" s="376"/>
      <c r="CG413" s="376"/>
      <c r="CH413" s="376"/>
      <c r="CI413" s="376"/>
      <c r="CJ413" s="376"/>
      <c r="CK413" s="376"/>
      <c r="CL413" s="376"/>
      <c r="CM413" s="376"/>
      <c r="CN413" s="376"/>
      <c r="CO413" s="376"/>
      <c r="CP413" s="376"/>
      <c r="CQ413" s="376"/>
      <c r="CR413" s="376"/>
      <c r="CS413" s="376"/>
      <c r="CT413" s="376"/>
      <c r="CU413" s="376"/>
      <c r="CV413" s="376"/>
      <c r="CW413" s="376"/>
      <c r="CX413" s="376"/>
      <c r="CY413" s="376"/>
      <c r="CZ413" s="376"/>
      <c r="DA413" s="376"/>
      <c r="DB413" s="376"/>
      <c r="DC413" s="376"/>
      <c r="DD413" s="376"/>
      <c r="DE413" s="376"/>
      <c r="DF413" s="376"/>
      <c r="DG413" s="376"/>
      <c r="DH413" s="376"/>
      <c r="DI413" s="376"/>
    </row>
    <row r="414" spans="1:113" s="336" customFormat="1" ht="12.75" x14ac:dyDescent="0.2">
      <c r="A414" s="337" t="s">
        <v>490</v>
      </c>
      <c r="D414" s="403"/>
      <c r="E414" s="403"/>
      <c r="F414" s="403"/>
      <c r="G414" s="336" t="s">
        <v>713</v>
      </c>
      <c r="AG414" s="403"/>
      <c r="AH414" s="403"/>
      <c r="AI414" s="403"/>
      <c r="AJ414" s="403"/>
      <c r="AK414" s="403"/>
      <c r="AL414" s="403"/>
      <c r="AM414" s="403"/>
      <c r="AN414" s="403"/>
      <c r="AO414" s="403"/>
      <c r="AP414" s="403"/>
      <c r="AQ414" s="403"/>
      <c r="AR414" s="403"/>
      <c r="AS414" s="403"/>
      <c r="AT414" s="403"/>
      <c r="AU414" s="403"/>
      <c r="AV414" s="403"/>
      <c r="AW414" s="403"/>
      <c r="AX414" s="403"/>
      <c r="AY414" s="403"/>
      <c r="AZ414" s="403"/>
      <c r="BA414" s="403"/>
      <c r="BB414" s="403"/>
      <c r="BC414" s="403"/>
      <c r="BD414" s="403"/>
      <c r="BE414" s="403"/>
      <c r="BF414" s="403"/>
      <c r="BG414" s="403"/>
      <c r="BH414" s="403"/>
      <c r="BI414" s="403"/>
      <c r="BJ414" s="403"/>
      <c r="BK414" s="403"/>
      <c r="BL414" s="403"/>
      <c r="BM414" s="403"/>
      <c r="BN414" s="403"/>
      <c r="BO414" s="403"/>
      <c r="BP414" s="403"/>
      <c r="BQ414" s="403"/>
      <c r="BR414" s="403"/>
      <c r="BS414" s="403"/>
      <c r="BT414" s="403"/>
      <c r="BU414" s="403"/>
      <c r="BV414" s="403"/>
      <c r="BW414" s="403"/>
      <c r="BX414" s="403"/>
      <c r="BY414" s="403"/>
      <c r="BZ414" s="403"/>
      <c r="CA414" s="403"/>
      <c r="CB414" s="403"/>
      <c r="CC414" s="403"/>
      <c r="CD414" s="403"/>
      <c r="CE414" s="403"/>
      <c r="CF414" s="403"/>
      <c r="CG414" s="403"/>
      <c r="CH414" s="403"/>
      <c r="CI414" s="403"/>
      <c r="CJ414" s="403"/>
      <c r="CK414" s="403"/>
      <c r="CL414" s="403"/>
      <c r="CM414" s="403"/>
      <c r="CN414" s="403"/>
      <c r="CO414" s="403"/>
      <c r="CP414" s="403"/>
      <c r="CQ414" s="403"/>
      <c r="CR414" s="403"/>
      <c r="CS414" s="403"/>
      <c r="CT414" s="403"/>
      <c r="CU414" s="403"/>
      <c r="CV414" s="403"/>
      <c r="CW414" s="403"/>
      <c r="CX414" s="403"/>
      <c r="CY414" s="403"/>
      <c r="CZ414" s="403"/>
      <c r="DA414" s="403"/>
      <c r="DB414" s="403"/>
      <c r="DC414" s="403"/>
      <c r="DD414" s="403"/>
      <c r="DE414" s="403"/>
      <c r="DF414" s="403"/>
      <c r="DG414" s="403"/>
      <c r="DH414" s="403"/>
      <c r="DI414" s="403"/>
    </row>
    <row r="415" spans="1:113" s="322" customFormat="1" ht="12.75" x14ac:dyDescent="0.2">
      <c r="D415" s="550"/>
      <c r="E415" s="550"/>
      <c r="F415" s="550"/>
    </row>
    <row r="416" spans="1:113" s="322" customFormat="1" ht="12.75" x14ac:dyDescent="0.2">
      <c r="A416" s="323" t="s">
        <v>12</v>
      </c>
      <c r="D416" s="550"/>
      <c r="E416" s="550"/>
      <c r="F416" s="550"/>
    </row>
    <row r="417" spans="1:32" s="322" customFormat="1" ht="12.75" x14ac:dyDescent="0.2">
      <c r="B417" s="322" t="s">
        <v>20</v>
      </c>
      <c r="D417" s="550"/>
      <c r="E417" s="550"/>
      <c r="F417" s="550"/>
      <c r="G417" s="322">
        <v>2010</v>
      </c>
      <c r="H417" s="322">
        <v>2011</v>
      </c>
      <c r="I417" s="322">
        <v>2012</v>
      </c>
      <c r="J417" s="322">
        <v>2013</v>
      </c>
      <c r="K417" s="322">
        <v>2014</v>
      </c>
      <c r="L417" s="322">
        <v>2015</v>
      </c>
      <c r="M417" s="322">
        <v>2016</v>
      </c>
      <c r="N417" s="322">
        <v>2017</v>
      </c>
      <c r="O417" s="322">
        <v>2018</v>
      </c>
      <c r="P417" s="322">
        <v>2019</v>
      </c>
      <c r="Q417" s="322">
        <v>2020</v>
      </c>
      <c r="R417" s="322">
        <v>2021</v>
      </c>
      <c r="S417" s="322">
        <v>2022</v>
      </c>
      <c r="T417" s="322">
        <v>2023</v>
      </c>
      <c r="U417" s="322">
        <v>2024</v>
      </c>
      <c r="V417" s="322">
        <v>2025</v>
      </c>
      <c r="W417" s="322">
        <v>2026</v>
      </c>
      <c r="X417" s="322">
        <v>2027</v>
      </c>
      <c r="Y417" s="322">
        <v>2028</v>
      </c>
      <c r="Z417" s="322">
        <v>2029</v>
      </c>
      <c r="AA417" s="322">
        <v>2030</v>
      </c>
      <c r="AB417" s="322">
        <v>2031</v>
      </c>
      <c r="AC417" s="322">
        <v>2032</v>
      </c>
      <c r="AD417" s="322">
        <v>2033</v>
      </c>
      <c r="AE417" s="322">
        <v>2034</v>
      </c>
      <c r="AF417" s="322">
        <v>2035</v>
      </c>
    </row>
    <row r="418" spans="1:32" s="322" customFormat="1" ht="12.75" x14ac:dyDescent="0.2">
      <c r="A418" s="335" t="s">
        <v>21</v>
      </c>
      <c r="B418" s="329"/>
      <c r="C418" s="324"/>
      <c r="D418" s="501"/>
      <c r="E418" s="501"/>
      <c r="F418" s="501"/>
      <c r="G418" s="324"/>
      <c r="H418" s="324"/>
      <c r="I418" s="324"/>
      <c r="J418" s="324"/>
      <c r="K418" s="324"/>
      <c r="L418" s="324"/>
      <c r="M418" s="324"/>
      <c r="N418" s="324"/>
      <c r="O418" s="324"/>
      <c r="P418" s="324"/>
      <c r="Q418" s="324"/>
      <c r="R418" s="324"/>
      <c r="S418" s="324"/>
      <c r="T418" s="324"/>
      <c r="U418" s="324"/>
      <c r="V418" s="324"/>
      <c r="W418" s="324"/>
      <c r="X418" s="324"/>
      <c r="Y418" s="324"/>
      <c r="Z418" s="324"/>
      <c r="AA418" s="324"/>
      <c r="AB418" s="324"/>
      <c r="AC418" s="324"/>
      <c r="AD418" s="324"/>
      <c r="AE418" s="324"/>
      <c r="AF418" s="324"/>
    </row>
    <row r="419" spans="1:32" s="322" customFormat="1" ht="12.75" x14ac:dyDescent="0.2">
      <c r="B419" s="322" t="s">
        <v>22</v>
      </c>
      <c r="D419" s="550"/>
      <c r="E419" s="550"/>
      <c r="F419" s="550"/>
      <c r="G419" s="272">
        <f t="array" ref="G419:AF449">IF(ISNUMBER(G345:AF375),Perform_Active!H10:H40*G345:AF375+G382:AF412,"")</f>
        <v>0.5</v>
      </c>
      <c r="H419" s="272">
        <v>0.4975000000000005</v>
      </c>
      <c r="I419" s="272">
        <v>0.49500000000000011</v>
      </c>
      <c r="J419" s="272">
        <v>0.4925000000000006</v>
      </c>
      <c r="K419" s="272">
        <v>0.49000000000000021</v>
      </c>
      <c r="L419" s="272">
        <v>0.48749999999999982</v>
      </c>
      <c r="M419" s="272">
        <v>0.48500000000000032</v>
      </c>
      <c r="N419" s="272">
        <v>0.48249999999999993</v>
      </c>
      <c r="O419" s="272">
        <v>0.48000000000000043</v>
      </c>
      <c r="P419" s="272">
        <v>0.47750000000000004</v>
      </c>
      <c r="Q419" s="272">
        <v>0.47500000000000053</v>
      </c>
      <c r="R419" s="272">
        <v>0.47250000000000014</v>
      </c>
      <c r="S419" s="272">
        <v>0.47000000000000064</v>
      </c>
      <c r="T419" s="272">
        <v>0.46750000000000025</v>
      </c>
      <c r="U419" s="272">
        <v>0.46499999999999986</v>
      </c>
      <c r="V419" s="272">
        <v>0.46250000000000036</v>
      </c>
      <c r="W419" s="272">
        <v>0.45999999999999996</v>
      </c>
      <c r="X419" s="272">
        <v>0.45750000000000046</v>
      </c>
      <c r="Y419" s="272">
        <v>0.45500000000000007</v>
      </c>
      <c r="Z419" s="272">
        <v>0.45250000000000057</v>
      </c>
      <c r="AA419" s="272">
        <v>0.45000000000000018</v>
      </c>
      <c r="AB419" s="272">
        <v>0.44750000000000068</v>
      </c>
      <c r="AC419" s="272">
        <v>0.44500000000000028</v>
      </c>
      <c r="AD419" s="272">
        <v>0.44249999999999989</v>
      </c>
      <c r="AE419" s="272">
        <v>0.44000000000000039</v>
      </c>
      <c r="AF419" s="272">
        <v>0.4375</v>
      </c>
    </row>
    <row r="420" spans="1:32" s="322" customFormat="1" ht="12.75" x14ac:dyDescent="0.2">
      <c r="B420" s="322" t="s">
        <v>26</v>
      </c>
      <c r="D420" s="550"/>
      <c r="E420" s="550"/>
      <c r="F420" s="550"/>
      <c r="G420" s="272">
        <v>1.9000000000000021</v>
      </c>
      <c r="H420" s="272">
        <v>1.890500000000003</v>
      </c>
      <c r="I420" s="272">
        <v>1.8810000000000002</v>
      </c>
      <c r="J420" s="272">
        <v>1.8715000000000011</v>
      </c>
      <c r="K420" s="272">
        <v>1.8620000000000019</v>
      </c>
      <c r="L420" s="272">
        <v>1.8525000000000027</v>
      </c>
      <c r="M420" s="272">
        <v>1.843</v>
      </c>
      <c r="N420" s="272">
        <v>1.8335000000000008</v>
      </c>
      <c r="O420" s="272">
        <v>1.8240000000000016</v>
      </c>
      <c r="P420" s="272">
        <v>1.8145000000000024</v>
      </c>
      <c r="Q420" s="272">
        <v>1.8050000000000033</v>
      </c>
      <c r="R420" s="272">
        <v>1.7955000000000005</v>
      </c>
      <c r="S420" s="272">
        <v>1.7860000000000014</v>
      </c>
      <c r="T420" s="272">
        <v>1.7765000000000022</v>
      </c>
      <c r="U420" s="272">
        <v>1.767000000000003</v>
      </c>
      <c r="V420" s="272">
        <v>1.7575000000000003</v>
      </c>
      <c r="W420" s="272">
        <v>1.7480000000000011</v>
      </c>
      <c r="X420" s="272">
        <v>1.7385000000000019</v>
      </c>
      <c r="Y420" s="272">
        <v>1.7290000000000028</v>
      </c>
      <c r="Z420" s="272">
        <v>1.7195</v>
      </c>
      <c r="AA420" s="272">
        <v>1.7100000000000009</v>
      </c>
      <c r="AB420" s="272">
        <v>1.7005000000000017</v>
      </c>
      <c r="AC420" s="272">
        <v>1.6910000000000025</v>
      </c>
      <c r="AD420" s="272">
        <v>1.6814999999999998</v>
      </c>
      <c r="AE420" s="272">
        <v>1.6720000000000006</v>
      </c>
      <c r="AF420" s="272">
        <v>1.6625000000000014</v>
      </c>
    </row>
    <row r="421" spans="1:32" s="322" customFormat="1" ht="12.75" x14ac:dyDescent="0.2">
      <c r="B421" s="322" t="s">
        <v>27</v>
      </c>
      <c r="D421" s="550"/>
      <c r="E421" s="550"/>
      <c r="F421" s="550"/>
      <c r="G421" s="272">
        <v>2.9999999999999964</v>
      </c>
      <c r="H421" s="272">
        <v>2.9849999999999959</v>
      </c>
      <c r="I421" s="272">
        <v>2.9699999999999953</v>
      </c>
      <c r="J421" s="272">
        <v>2.9549999999999947</v>
      </c>
      <c r="K421" s="272">
        <v>2.9399999999999977</v>
      </c>
      <c r="L421" s="272">
        <v>2.9249999999999972</v>
      </c>
      <c r="M421" s="272">
        <v>2.9099999999999966</v>
      </c>
      <c r="N421" s="272">
        <v>2.894999999999996</v>
      </c>
      <c r="O421" s="272">
        <v>2.8799999999999955</v>
      </c>
      <c r="P421" s="272">
        <v>2.8649999999999949</v>
      </c>
      <c r="Q421" s="272">
        <v>2.8499999999999979</v>
      </c>
      <c r="R421" s="272">
        <v>2.8349999999999973</v>
      </c>
      <c r="S421" s="272">
        <v>2.8199999999999967</v>
      </c>
      <c r="T421" s="272">
        <v>2.8049999999999962</v>
      </c>
      <c r="U421" s="272">
        <v>2.7899999999999956</v>
      </c>
      <c r="V421" s="272">
        <v>2.774999999999995</v>
      </c>
      <c r="W421" s="272">
        <v>2.7599999999999945</v>
      </c>
      <c r="X421" s="272">
        <v>2.7449999999999974</v>
      </c>
      <c r="Y421" s="272">
        <v>2.7299999999999969</v>
      </c>
      <c r="Z421" s="272">
        <v>2.7149999999999963</v>
      </c>
      <c r="AA421" s="272">
        <v>2.6999999999999957</v>
      </c>
      <c r="AB421" s="272">
        <v>2.6849999999999952</v>
      </c>
      <c r="AC421" s="272">
        <v>2.6699999999999946</v>
      </c>
      <c r="AD421" s="272">
        <v>2.6549999999999976</v>
      </c>
      <c r="AE421" s="272">
        <v>2.639999999999997</v>
      </c>
      <c r="AF421" s="272">
        <v>2.6249999999999964</v>
      </c>
    </row>
    <row r="422" spans="1:32" s="322" customFormat="1" ht="12.75" x14ac:dyDescent="0.2">
      <c r="B422" s="322" t="s">
        <v>29</v>
      </c>
      <c r="D422" s="550"/>
      <c r="E422" s="550"/>
      <c r="F422" s="550"/>
      <c r="G422" s="272">
        <v>47.053712878014316</v>
      </c>
      <c r="H422" s="272">
        <v>26.406946918023518</v>
      </c>
      <c r="I422" s="272">
        <v>18.359127075965677</v>
      </c>
      <c r="J422" s="272">
        <v>14.074134709964342</v>
      </c>
      <c r="K422" s="272">
        <v>11.413002522035525</v>
      </c>
      <c r="L422" s="272">
        <v>9.5996969641339298</v>
      </c>
      <c r="M422" s="272">
        <v>8.2847207627682522</v>
      </c>
      <c r="N422" s="272">
        <v>7.2874661133526413</v>
      </c>
      <c r="O422" s="272">
        <v>6.5051940568378059</v>
      </c>
      <c r="P422" s="272">
        <v>5.8751514569620271</v>
      </c>
      <c r="Q422" s="272">
        <v>5.3568429195544329</v>
      </c>
      <c r="R422" s="272">
        <v>4.9229663770771124</v>
      </c>
      <c r="S422" s="272">
        <v>4.554444800806805</v>
      </c>
      <c r="T422" s="272">
        <v>4.2375457887909107</v>
      </c>
      <c r="U422" s="272">
        <v>3.962132387881407</v>
      </c>
      <c r="V422" s="272">
        <v>3.7205586734357463</v>
      </c>
      <c r="W422" s="272">
        <v>3.506948862920193</v>
      </c>
      <c r="X422" s="272">
        <v>3.316713076168937</v>
      </c>
      <c r="Y422" s="272">
        <v>3.14621381189954</v>
      </c>
      <c r="Z422" s="272">
        <v>2.9925311117934283</v>
      </c>
      <c r="AA422" s="272">
        <v>2.8532939453712358</v>
      </c>
      <c r="AB422" s="272">
        <v>2.7265570079080397</v>
      </c>
      <c r="AC422" s="272">
        <v>2.6107092748208784</v>
      </c>
      <c r="AD422" s="272">
        <v>2.5044051561099376</v>
      </c>
      <c r="AE422" s="272">
        <v>2.4065119923177929</v>
      </c>
      <c r="AF422" s="272">
        <v>2.316069538835412</v>
      </c>
    </row>
    <row r="423" spans="1:32" s="322" customFormat="1" ht="12.75" x14ac:dyDescent="0.2">
      <c r="D423" s="550"/>
      <c r="E423" s="550"/>
      <c r="F423" s="550"/>
      <c r="G423" s="341" t="str">
        <v/>
      </c>
      <c r="H423" s="341" t="str">
        <v/>
      </c>
      <c r="I423" s="341" t="str">
        <v/>
      </c>
      <c r="J423" s="341" t="str">
        <v/>
      </c>
      <c r="K423" s="341" t="str">
        <v/>
      </c>
      <c r="L423" s="341" t="str">
        <v/>
      </c>
      <c r="M423" s="341" t="str">
        <v/>
      </c>
      <c r="N423" s="341" t="str">
        <v/>
      </c>
      <c r="O423" s="341" t="str">
        <v/>
      </c>
      <c r="P423" s="341" t="str">
        <v/>
      </c>
      <c r="Q423" s="341" t="str">
        <v/>
      </c>
      <c r="R423" s="341" t="str">
        <v/>
      </c>
      <c r="S423" s="341" t="str">
        <v/>
      </c>
      <c r="T423" s="341" t="str">
        <v/>
      </c>
      <c r="U423" s="341" t="str">
        <v/>
      </c>
      <c r="V423" s="341" t="str">
        <v/>
      </c>
      <c r="W423" s="341" t="str">
        <v/>
      </c>
      <c r="X423" s="341" t="str">
        <v/>
      </c>
      <c r="Y423" s="341" t="str">
        <v/>
      </c>
      <c r="Z423" s="341" t="str">
        <v/>
      </c>
      <c r="AA423" s="341" t="str">
        <v/>
      </c>
      <c r="AB423" s="341" t="str">
        <v/>
      </c>
      <c r="AC423" s="341" t="str">
        <v/>
      </c>
      <c r="AD423" s="341" t="str">
        <v/>
      </c>
      <c r="AE423" s="341" t="str">
        <v/>
      </c>
      <c r="AF423" s="341" t="str">
        <v/>
      </c>
    </row>
    <row r="424" spans="1:32" s="322" customFormat="1" ht="12.75" x14ac:dyDescent="0.2">
      <c r="A424" s="325" t="s">
        <v>32</v>
      </c>
      <c r="B424" s="324"/>
      <c r="C424" s="324"/>
      <c r="D424" s="501"/>
      <c r="E424" s="501"/>
      <c r="F424" s="501"/>
      <c r="G424" s="320" t="str">
        <v/>
      </c>
      <c r="H424" s="320" t="str">
        <v/>
      </c>
      <c r="I424" s="320" t="str">
        <v/>
      </c>
      <c r="J424" s="320" t="str">
        <v/>
      </c>
      <c r="K424" s="320" t="str">
        <v/>
      </c>
      <c r="L424" s="320" t="str">
        <v/>
      </c>
      <c r="M424" s="320" t="str">
        <v/>
      </c>
      <c r="N424" s="320" t="str">
        <v/>
      </c>
      <c r="O424" s="320" t="str">
        <v/>
      </c>
      <c r="P424" s="320" t="str">
        <v/>
      </c>
      <c r="Q424" s="320" t="str">
        <v/>
      </c>
      <c r="R424" s="320" t="str">
        <v/>
      </c>
      <c r="S424" s="320" t="str">
        <v/>
      </c>
      <c r="T424" s="320" t="str">
        <v/>
      </c>
      <c r="U424" s="320" t="str">
        <v/>
      </c>
      <c r="V424" s="320" t="str">
        <v/>
      </c>
      <c r="W424" s="320" t="str">
        <v/>
      </c>
      <c r="X424" s="320" t="str">
        <v/>
      </c>
      <c r="Y424" s="320" t="str">
        <v/>
      </c>
      <c r="Z424" s="320" t="str">
        <v/>
      </c>
      <c r="AA424" s="320" t="str">
        <v/>
      </c>
      <c r="AB424" s="320" t="str">
        <v/>
      </c>
      <c r="AC424" s="320" t="str">
        <v/>
      </c>
      <c r="AD424" s="320" t="str">
        <v/>
      </c>
      <c r="AE424" s="320" t="str">
        <v/>
      </c>
      <c r="AF424" s="320" t="str">
        <v/>
      </c>
    </row>
    <row r="425" spans="1:32" s="322" customFormat="1" ht="12.75" x14ac:dyDescent="0.2">
      <c r="B425" s="322" t="s">
        <v>33</v>
      </c>
      <c r="D425" s="550"/>
      <c r="E425" s="550"/>
      <c r="F425" s="550"/>
      <c r="G425" s="272">
        <v>3.1000000000000014</v>
      </c>
      <c r="H425" s="272">
        <v>3.0844999999999985</v>
      </c>
      <c r="I425" s="272">
        <v>3.0689999999999991</v>
      </c>
      <c r="J425" s="272">
        <v>3.0534999999999997</v>
      </c>
      <c r="K425" s="272">
        <v>3.0380000000000003</v>
      </c>
      <c r="L425" s="272">
        <v>3.0225000000000009</v>
      </c>
      <c r="M425" s="272">
        <v>3.0069999999999979</v>
      </c>
      <c r="N425" s="272">
        <v>2.9914999999999985</v>
      </c>
      <c r="O425" s="272">
        <v>2.9759999999999991</v>
      </c>
      <c r="P425" s="272">
        <v>2.9604999999999997</v>
      </c>
      <c r="Q425" s="272">
        <v>2.9450000000000003</v>
      </c>
      <c r="R425" s="272">
        <v>2.9295000000000009</v>
      </c>
      <c r="S425" s="272">
        <v>2.9139999999999979</v>
      </c>
      <c r="T425" s="272">
        <v>2.8984999999999985</v>
      </c>
      <c r="U425" s="272">
        <v>2.8829999999999991</v>
      </c>
      <c r="V425" s="272">
        <v>2.8674999999999997</v>
      </c>
      <c r="W425" s="272">
        <v>2.8520000000000003</v>
      </c>
      <c r="X425" s="272">
        <v>2.8365000000000009</v>
      </c>
      <c r="Y425" s="272">
        <v>2.820999999999998</v>
      </c>
      <c r="Z425" s="272">
        <v>2.8054999999999986</v>
      </c>
      <c r="AA425" s="272">
        <v>2.7899999999999991</v>
      </c>
      <c r="AB425" s="272">
        <v>2.7744999999999997</v>
      </c>
      <c r="AC425" s="272">
        <v>2.7590000000000003</v>
      </c>
      <c r="AD425" s="272">
        <v>2.7435000000000009</v>
      </c>
      <c r="AE425" s="272">
        <v>2.727999999999998</v>
      </c>
      <c r="AF425" s="272">
        <v>2.7124999999999986</v>
      </c>
    </row>
    <row r="426" spans="1:32" s="322" customFormat="1" ht="12.75" x14ac:dyDescent="0.2">
      <c r="A426" s="328"/>
      <c r="B426" s="328" t="s">
        <v>34</v>
      </c>
      <c r="D426" s="550"/>
      <c r="E426" s="550"/>
      <c r="F426" s="550"/>
      <c r="G426" s="272">
        <v>4.7000000000000028</v>
      </c>
      <c r="H426" s="272">
        <v>4.6765000000000043</v>
      </c>
      <c r="I426" s="272">
        <v>5.5643333333333365</v>
      </c>
      <c r="J426" s="272">
        <v>6.4521666666666686</v>
      </c>
      <c r="K426" s="272">
        <v>7.34</v>
      </c>
      <c r="L426" s="272">
        <v>7.3033000000000001</v>
      </c>
      <c r="M426" s="272">
        <v>7.2667834999999998</v>
      </c>
      <c r="N426" s="272">
        <v>7.2304495825000004</v>
      </c>
      <c r="O426" s="272">
        <v>7.1942973345875005</v>
      </c>
      <c r="P426" s="272">
        <v>7.1583258479145631</v>
      </c>
      <c r="Q426" s="272">
        <v>7.12253421867499</v>
      </c>
      <c r="R426" s="272">
        <v>7.086921547581615</v>
      </c>
      <c r="S426" s="272">
        <v>7.0514869398437074</v>
      </c>
      <c r="T426" s="272">
        <v>7.0162295051444881</v>
      </c>
      <c r="U426" s="272">
        <v>6.9811483576187658</v>
      </c>
      <c r="V426" s="272">
        <v>6.9462426158306716</v>
      </c>
      <c r="W426" s="272">
        <v>6.9115114027515192</v>
      </c>
      <c r="X426" s="272">
        <v>6.8769538457377619</v>
      </c>
      <c r="Y426" s="272">
        <v>6.8425690765090739</v>
      </c>
      <c r="Z426" s="272">
        <v>6.8083562311265275</v>
      </c>
      <c r="AA426" s="272">
        <v>6.7743144499708947</v>
      </c>
      <c r="AB426" s="272">
        <v>6.7404428777210406</v>
      </c>
      <c r="AC426" s="272">
        <v>6.7067406633324351</v>
      </c>
      <c r="AD426" s="272">
        <v>6.6732069600157731</v>
      </c>
      <c r="AE426" s="272">
        <v>6.6398409252156947</v>
      </c>
      <c r="AF426" s="272">
        <v>6.6066417205896162</v>
      </c>
    </row>
    <row r="427" spans="1:32" s="322" customFormat="1" ht="12.75" x14ac:dyDescent="0.2">
      <c r="B427" s="328" t="s">
        <v>35</v>
      </c>
      <c r="D427" s="550"/>
      <c r="E427" s="550"/>
      <c r="F427" s="550"/>
      <c r="G427" s="272">
        <v>10.299999999999997</v>
      </c>
      <c r="H427" s="272">
        <v>10.248500000000007</v>
      </c>
      <c r="I427" s="272">
        <v>10.197000000000003</v>
      </c>
      <c r="J427" s="272">
        <v>10.145499999999998</v>
      </c>
      <c r="K427" s="272">
        <v>10.094000000000008</v>
      </c>
      <c r="L427" s="272">
        <v>10.042500000000004</v>
      </c>
      <c r="M427" s="272">
        <v>9.9909999999999997</v>
      </c>
      <c r="N427" s="272">
        <v>9.9395000000000095</v>
      </c>
      <c r="O427" s="272">
        <v>9.8880000000000052</v>
      </c>
      <c r="P427" s="272">
        <v>9.8365000000000009</v>
      </c>
      <c r="Q427" s="272">
        <v>9.7849999999999966</v>
      </c>
      <c r="R427" s="272">
        <v>9.7335000000000065</v>
      </c>
      <c r="S427" s="272">
        <v>9.6820000000000022</v>
      </c>
      <c r="T427" s="272">
        <v>9.6304999999999978</v>
      </c>
      <c r="U427" s="272">
        <v>9.5790000000000077</v>
      </c>
      <c r="V427" s="272">
        <v>9.5275000000000034</v>
      </c>
      <c r="W427" s="272">
        <v>9.4759999999999991</v>
      </c>
      <c r="X427" s="272">
        <v>9.424500000000009</v>
      </c>
      <c r="Y427" s="272">
        <v>9.3730000000000047</v>
      </c>
      <c r="Z427" s="272">
        <v>9.3215000000000003</v>
      </c>
      <c r="AA427" s="272">
        <v>9.2700000000000102</v>
      </c>
      <c r="AB427" s="272">
        <v>9.2185000000000059</v>
      </c>
      <c r="AC427" s="272">
        <v>9.1670000000000016</v>
      </c>
      <c r="AD427" s="272">
        <v>9.1154999999999973</v>
      </c>
      <c r="AE427" s="272">
        <v>9.0640000000000072</v>
      </c>
      <c r="AF427" s="272">
        <v>9.0125000000000028</v>
      </c>
    </row>
    <row r="428" spans="1:32" s="322" customFormat="1" ht="12.75" x14ac:dyDescent="0.2">
      <c r="B428" s="328" t="s">
        <v>29</v>
      </c>
      <c r="D428" s="550"/>
      <c r="E428" s="550"/>
      <c r="F428" s="550"/>
      <c r="G428" s="272">
        <v>43.371784418305339</v>
      </c>
      <c r="H428" s="272">
        <v>24.340617112263921</v>
      </c>
      <c r="I428" s="272">
        <v>16.922534970011032</v>
      </c>
      <c r="J428" s="272">
        <v>12.972841018885431</v>
      </c>
      <c r="K428" s="272">
        <v>10.519941034931337</v>
      </c>
      <c r="L428" s="272">
        <v>8.8485256899677704</v>
      </c>
      <c r="M428" s="272">
        <v>7.6364456896351607</v>
      </c>
      <c r="N428" s="272">
        <v>6.7172256957371594</v>
      </c>
      <c r="O428" s="272">
        <v>5.9961660191164263</v>
      </c>
      <c r="P428" s="272">
        <v>5.4154239236519697</v>
      </c>
      <c r="Q428" s="272">
        <v>4.9376727586187643</v>
      </c>
      <c r="R428" s="272">
        <v>4.5377468290057008</v>
      </c>
      <c r="S428" s="272">
        <v>4.1980618736244635</v>
      </c>
      <c r="T428" s="272">
        <v>3.9059600438037316</v>
      </c>
      <c r="U428" s="272">
        <v>3.652097597685465</v>
      </c>
      <c r="V428" s="272">
        <v>3.4294269002374427</v>
      </c>
      <c r="W428" s="272">
        <v>3.2325319458406661</v>
      </c>
      <c r="X428" s="272">
        <v>3.0571820100553144</v>
      </c>
      <c r="Y428" s="272">
        <v>2.9000242241746776</v>
      </c>
      <c r="Z428" s="272">
        <v>2.7583671150937112</v>
      </c>
      <c r="AA428" s="272">
        <v>2.6300251842298299</v>
      </c>
      <c r="AB428" s="272">
        <v>2.5132053459369339</v>
      </c>
      <c r="AC428" s="272">
        <v>2.4064226374643485</v>
      </c>
      <c r="AD428" s="272">
        <v>2.3084367605270337</v>
      </c>
      <c r="AE428" s="272">
        <v>2.218203685678596</v>
      </c>
      <c r="AF428" s="272">
        <v>2.1348383069491894</v>
      </c>
    </row>
    <row r="429" spans="1:32" s="322" customFormat="1" ht="12.75" x14ac:dyDescent="0.2">
      <c r="D429" s="550"/>
      <c r="E429" s="550"/>
      <c r="F429" s="550"/>
      <c r="G429" s="341" t="str">
        <v/>
      </c>
      <c r="H429" s="341" t="str">
        <v/>
      </c>
      <c r="I429" s="341" t="str">
        <v/>
      </c>
      <c r="J429" s="341" t="str">
        <v/>
      </c>
      <c r="K429" s="341" t="str">
        <v/>
      </c>
      <c r="L429" s="341" t="str">
        <v/>
      </c>
      <c r="M429" s="341" t="str">
        <v/>
      </c>
      <c r="N429" s="341" t="str">
        <v/>
      </c>
      <c r="O429" s="341" t="str">
        <v/>
      </c>
      <c r="P429" s="341" t="str">
        <v/>
      </c>
      <c r="Q429" s="341" t="str">
        <v/>
      </c>
      <c r="R429" s="341" t="str">
        <v/>
      </c>
      <c r="S429" s="341" t="str">
        <v/>
      </c>
      <c r="T429" s="341" t="str">
        <v/>
      </c>
      <c r="U429" s="341" t="str">
        <v/>
      </c>
      <c r="V429" s="341" t="str">
        <v/>
      </c>
      <c r="W429" s="341" t="str">
        <v/>
      </c>
      <c r="X429" s="341" t="str">
        <v/>
      </c>
      <c r="Y429" s="341" t="str">
        <v/>
      </c>
      <c r="Z429" s="341" t="str">
        <v/>
      </c>
      <c r="AA429" s="341" t="str">
        <v/>
      </c>
      <c r="AB429" s="341" t="str">
        <v/>
      </c>
      <c r="AC429" s="341" t="str">
        <v/>
      </c>
      <c r="AD429" s="341" t="str">
        <v/>
      </c>
      <c r="AE429" s="341" t="str">
        <v/>
      </c>
      <c r="AF429" s="341" t="str">
        <v/>
      </c>
    </row>
    <row r="430" spans="1:32" s="322" customFormat="1" ht="12.75" x14ac:dyDescent="0.2">
      <c r="A430" s="325" t="s">
        <v>36</v>
      </c>
      <c r="B430" s="324"/>
      <c r="C430" s="324"/>
      <c r="D430" s="501"/>
      <c r="E430" s="501"/>
      <c r="F430" s="501"/>
      <c r="G430" s="320" t="str">
        <v/>
      </c>
      <c r="H430" s="320" t="str">
        <v/>
      </c>
      <c r="I430" s="320" t="str">
        <v/>
      </c>
      <c r="J430" s="320" t="str">
        <v/>
      </c>
      <c r="K430" s="320" t="str">
        <v/>
      </c>
      <c r="L430" s="320" t="str">
        <v/>
      </c>
      <c r="M430" s="320" t="str">
        <v/>
      </c>
      <c r="N430" s="320" t="str">
        <v/>
      </c>
      <c r="O430" s="320" t="str">
        <v/>
      </c>
      <c r="P430" s="320" t="str">
        <v/>
      </c>
      <c r="Q430" s="320" t="str">
        <v/>
      </c>
      <c r="R430" s="320" t="str">
        <v/>
      </c>
      <c r="S430" s="320" t="str">
        <v/>
      </c>
      <c r="T430" s="320" t="str">
        <v/>
      </c>
      <c r="U430" s="320" t="str">
        <v/>
      </c>
      <c r="V430" s="320" t="str">
        <v/>
      </c>
      <c r="W430" s="320" t="str">
        <v/>
      </c>
      <c r="X430" s="320" t="str">
        <v/>
      </c>
      <c r="Y430" s="320" t="str">
        <v/>
      </c>
      <c r="Z430" s="320" t="str">
        <v/>
      </c>
      <c r="AA430" s="320" t="str">
        <v/>
      </c>
      <c r="AB430" s="320" t="str">
        <v/>
      </c>
      <c r="AC430" s="320" t="str">
        <v/>
      </c>
      <c r="AD430" s="320" t="str">
        <v/>
      </c>
      <c r="AE430" s="320" t="str">
        <v/>
      </c>
      <c r="AF430" s="320" t="str">
        <v/>
      </c>
    </row>
    <row r="431" spans="1:32" s="322" customFormat="1" ht="12.75" x14ac:dyDescent="0.2">
      <c r="B431" s="322" t="s">
        <v>37</v>
      </c>
      <c r="C431" s="328"/>
      <c r="D431" s="552"/>
      <c r="E431" s="552"/>
      <c r="F431" s="552"/>
      <c r="G431" s="272">
        <v>22.600000000000009</v>
      </c>
      <c r="H431" s="272">
        <v>22.487000000000023</v>
      </c>
      <c r="I431" s="272">
        <v>22.374000000000009</v>
      </c>
      <c r="J431" s="272">
        <v>22.261000000000024</v>
      </c>
      <c r="K431" s="272">
        <v>22.14800000000001</v>
      </c>
      <c r="L431" s="272">
        <v>22.034999999999997</v>
      </c>
      <c r="M431" s="272">
        <v>21.922000000000011</v>
      </c>
      <c r="N431" s="272">
        <v>21.808999999999997</v>
      </c>
      <c r="O431" s="272">
        <v>21.696000000000012</v>
      </c>
      <c r="P431" s="272">
        <v>21.582999999999998</v>
      </c>
      <c r="Q431" s="272">
        <v>21.470000000000027</v>
      </c>
      <c r="R431" s="272">
        <v>21.357000000000014</v>
      </c>
      <c r="S431" s="272">
        <v>21.244000000000028</v>
      </c>
      <c r="T431" s="272">
        <v>21.131000000000014</v>
      </c>
      <c r="U431" s="272">
        <v>21.018000000000001</v>
      </c>
      <c r="V431" s="272">
        <v>20.905000000000015</v>
      </c>
      <c r="W431" s="272">
        <v>20.792000000000002</v>
      </c>
      <c r="X431" s="272">
        <v>20.679000000000016</v>
      </c>
      <c r="Y431" s="272">
        <v>20.566000000000003</v>
      </c>
      <c r="Z431" s="272">
        <v>20.453000000000017</v>
      </c>
      <c r="AA431" s="272">
        <v>20.340000000000003</v>
      </c>
      <c r="AB431" s="272">
        <v>20.227000000000032</v>
      </c>
      <c r="AC431" s="272">
        <v>20.114000000000019</v>
      </c>
      <c r="AD431" s="272">
        <v>20.001000000000005</v>
      </c>
      <c r="AE431" s="272">
        <v>19.888000000000019</v>
      </c>
      <c r="AF431" s="272">
        <v>19.775000000000006</v>
      </c>
    </row>
    <row r="432" spans="1:32" s="322" customFormat="1" ht="12.75" x14ac:dyDescent="0.2">
      <c r="B432" s="322" t="s">
        <v>39</v>
      </c>
      <c r="D432" s="550"/>
      <c r="E432" s="550"/>
      <c r="F432" s="550"/>
      <c r="G432" s="272">
        <v>24.599999999999994</v>
      </c>
      <c r="H432" s="272">
        <v>24.477000000000004</v>
      </c>
      <c r="I432" s="272">
        <v>24.353999999999999</v>
      </c>
      <c r="J432" s="272">
        <v>24.231000000000009</v>
      </c>
      <c r="K432" s="272">
        <v>24.727333333333334</v>
      </c>
      <c r="L432" s="272">
        <v>25.223666666666656</v>
      </c>
      <c r="M432" s="272">
        <v>25.72000000000001</v>
      </c>
      <c r="N432" s="272">
        <v>25.588999999999999</v>
      </c>
      <c r="O432" s="272">
        <v>25.458255000000015</v>
      </c>
      <c r="P432" s="272">
        <v>25.327763725000001</v>
      </c>
      <c r="Q432" s="272">
        <v>25.197524906375016</v>
      </c>
      <c r="R432" s="272">
        <v>25.06753728184313</v>
      </c>
      <c r="S432" s="272">
        <v>24.93779959543393</v>
      </c>
      <c r="T432" s="272">
        <v>24.808310597456746</v>
      </c>
      <c r="U432" s="272">
        <v>24.67906904446945</v>
      </c>
      <c r="V432" s="272">
        <v>24.550073699247122</v>
      </c>
      <c r="W432" s="272">
        <v>24.421323330750873</v>
      </c>
      <c r="X432" s="272">
        <v>24.292816714097135</v>
      </c>
      <c r="Y432" s="272">
        <v>24.164552630526636</v>
      </c>
      <c r="Z432" s="272">
        <v>24.036529867374021</v>
      </c>
      <c r="AA432" s="272">
        <v>23.908747218037135</v>
      </c>
      <c r="AB432" s="272">
        <v>23.781203481946967</v>
      </c>
      <c r="AC432" s="272">
        <v>23.65389746453722</v>
      </c>
      <c r="AD432" s="272">
        <v>23.526827977214523</v>
      </c>
      <c r="AE432" s="272">
        <v>23.399993837328466</v>
      </c>
      <c r="AF432" s="272">
        <v>23.27339386814181</v>
      </c>
    </row>
    <row r="433" spans="1:32" s="322" customFormat="1" ht="12.75" x14ac:dyDescent="0.2">
      <c r="B433" s="322" t="s">
        <v>40</v>
      </c>
      <c r="D433" s="550"/>
      <c r="E433" s="550"/>
      <c r="F433" s="550"/>
      <c r="G433" s="272">
        <v>28.799999999999997</v>
      </c>
      <c r="H433" s="272">
        <v>28.655999999999977</v>
      </c>
      <c r="I433" s="272">
        <v>28.511999999999986</v>
      </c>
      <c r="J433" s="272">
        <v>28.367999999999995</v>
      </c>
      <c r="K433" s="272">
        <v>28.22399999999999</v>
      </c>
      <c r="L433" s="272">
        <v>28.08</v>
      </c>
      <c r="M433" s="272">
        <v>27.935999999999979</v>
      </c>
      <c r="N433" s="272">
        <v>27.791999999999987</v>
      </c>
      <c r="O433" s="272">
        <v>27.647999999999982</v>
      </c>
      <c r="P433" s="272">
        <v>27.503999999999991</v>
      </c>
      <c r="Q433" s="272">
        <v>27.36</v>
      </c>
      <c r="R433" s="272">
        <v>27.21599999999998</v>
      </c>
      <c r="S433" s="272">
        <v>27.071999999999989</v>
      </c>
      <c r="T433" s="272">
        <v>26.927999999999983</v>
      </c>
      <c r="U433" s="272">
        <v>26.783999999999992</v>
      </c>
      <c r="V433" s="272">
        <v>26.64</v>
      </c>
      <c r="W433" s="272">
        <v>26.495999999999981</v>
      </c>
      <c r="X433" s="272">
        <v>26.35199999999999</v>
      </c>
      <c r="Y433" s="272">
        <v>26.207999999999984</v>
      </c>
      <c r="Z433" s="272">
        <v>26.063999999999993</v>
      </c>
      <c r="AA433" s="272">
        <v>25.92</v>
      </c>
      <c r="AB433" s="272">
        <v>25.775999999999982</v>
      </c>
      <c r="AC433" s="272">
        <v>25.631999999999977</v>
      </c>
      <c r="AD433" s="272">
        <v>25.487999999999985</v>
      </c>
      <c r="AE433" s="272">
        <v>25.343999999999994</v>
      </c>
      <c r="AF433" s="272">
        <v>25.200000000000003</v>
      </c>
    </row>
    <row r="434" spans="1:32" s="322" customFormat="1" ht="12.75" x14ac:dyDescent="0.2">
      <c r="B434" s="322" t="s">
        <v>29</v>
      </c>
      <c r="D434" s="550"/>
      <c r="E434" s="550"/>
      <c r="F434" s="550"/>
      <c r="G434" s="272">
        <v>477.99989405268468</v>
      </c>
      <c r="H434" s="272">
        <v>286.80827844113179</v>
      </c>
      <c r="I434" s="272">
        <v>204.92380845490501</v>
      </c>
      <c r="J434" s="272">
        <v>159.44663097095236</v>
      </c>
      <c r="K434" s="272">
        <v>130.51188594630915</v>
      </c>
      <c r="L434" s="272">
        <v>110.48254315280866</v>
      </c>
      <c r="M434" s="272">
        <v>95.795608198844008</v>
      </c>
      <c r="N434" s="272">
        <v>84.565136096981163</v>
      </c>
      <c r="O434" s="272">
        <v>75.699410640568857</v>
      </c>
      <c r="P434" s="272">
        <v>68.522677016038017</v>
      </c>
      <c r="Q434" s="272">
        <v>62.594261427379536</v>
      </c>
      <c r="R434" s="272">
        <v>57.614525488942313</v>
      </c>
      <c r="S434" s="272">
        <v>53.372624098754699</v>
      </c>
      <c r="T434" s="272">
        <v>49.715883359588069</v>
      </c>
      <c r="U434" s="272">
        <v>46.531033549904741</v>
      </c>
      <c r="V434" s="272">
        <v>43.732267194738561</v>
      </c>
      <c r="W434" s="272">
        <v>41.253391922803289</v>
      </c>
      <c r="X434" s="272">
        <v>39.042528584303078</v>
      </c>
      <c r="Y434" s="272">
        <v>37.058440863900842</v>
      </c>
      <c r="Z434" s="272">
        <v>35.267939245254134</v>
      </c>
      <c r="AA434" s="272">
        <v>33.644009509689184</v>
      </c>
      <c r="AB434" s="272">
        <v>32.16444034081433</v>
      </c>
      <c r="AC434" s="272">
        <v>30.810801354117899</v>
      </c>
      <c r="AD434" s="272">
        <v>29.567671422956121</v>
      </c>
      <c r="AE434" s="272">
        <v>28.42204858739046</v>
      </c>
      <c r="AF434" s="272">
        <v>27.362893577417342</v>
      </c>
    </row>
    <row r="435" spans="1:32" s="322" customFormat="1" ht="12.75" x14ac:dyDescent="0.2">
      <c r="D435" s="550"/>
      <c r="E435" s="550"/>
      <c r="F435" s="550"/>
      <c r="G435" s="341" t="str">
        <v/>
      </c>
      <c r="H435" s="341" t="str">
        <v/>
      </c>
      <c r="I435" s="341" t="str">
        <v/>
      </c>
      <c r="J435" s="341" t="str">
        <v/>
      </c>
      <c r="K435" s="341" t="str">
        <v/>
      </c>
      <c r="L435" s="341" t="str">
        <v/>
      </c>
      <c r="M435" s="341" t="str">
        <v/>
      </c>
      <c r="N435" s="341" t="str">
        <v/>
      </c>
      <c r="O435" s="341" t="str">
        <v/>
      </c>
      <c r="P435" s="341" t="str">
        <v/>
      </c>
      <c r="Q435" s="341" t="str">
        <v/>
      </c>
      <c r="R435" s="341" t="str">
        <v/>
      </c>
      <c r="S435" s="341" t="str">
        <v/>
      </c>
      <c r="T435" s="341" t="str">
        <v/>
      </c>
      <c r="U435" s="341" t="str">
        <v/>
      </c>
      <c r="V435" s="341" t="str">
        <v/>
      </c>
      <c r="W435" s="341" t="str">
        <v/>
      </c>
      <c r="X435" s="341" t="str">
        <v/>
      </c>
      <c r="Y435" s="341" t="str">
        <v/>
      </c>
      <c r="Z435" s="341" t="str">
        <v/>
      </c>
      <c r="AA435" s="341" t="str">
        <v/>
      </c>
      <c r="AB435" s="341" t="str">
        <v/>
      </c>
      <c r="AC435" s="341" t="str">
        <v/>
      </c>
      <c r="AD435" s="341" t="str">
        <v/>
      </c>
      <c r="AE435" s="341" t="str">
        <v/>
      </c>
      <c r="AF435" s="341" t="str">
        <v/>
      </c>
    </row>
    <row r="436" spans="1:32" s="322" customFormat="1" ht="12.75" x14ac:dyDescent="0.2">
      <c r="A436" s="325" t="s">
        <v>42</v>
      </c>
      <c r="B436" s="324"/>
      <c r="C436" s="324"/>
      <c r="D436" s="501"/>
      <c r="E436" s="501"/>
      <c r="F436" s="501"/>
      <c r="G436" s="320" t="str">
        <v/>
      </c>
      <c r="H436" s="320" t="str">
        <v/>
      </c>
      <c r="I436" s="320" t="str">
        <v/>
      </c>
      <c r="J436" s="320" t="str">
        <v/>
      </c>
      <c r="K436" s="320" t="str">
        <v/>
      </c>
      <c r="L436" s="320" t="str">
        <v/>
      </c>
      <c r="M436" s="320" t="str">
        <v/>
      </c>
      <c r="N436" s="320" t="str">
        <v/>
      </c>
      <c r="O436" s="320" t="str">
        <v/>
      </c>
      <c r="P436" s="320" t="str">
        <v/>
      </c>
      <c r="Q436" s="320" t="str">
        <v/>
      </c>
      <c r="R436" s="320" t="str">
        <v/>
      </c>
      <c r="S436" s="320" t="str">
        <v/>
      </c>
      <c r="T436" s="320" t="str">
        <v/>
      </c>
      <c r="U436" s="320" t="str">
        <v/>
      </c>
      <c r="V436" s="320" t="str">
        <v/>
      </c>
      <c r="W436" s="320" t="str">
        <v/>
      </c>
      <c r="X436" s="320" t="str">
        <v/>
      </c>
      <c r="Y436" s="320" t="str">
        <v/>
      </c>
      <c r="Z436" s="320" t="str">
        <v/>
      </c>
      <c r="AA436" s="320" t="str">
        <v/>
      </c>
      <c r="AB436" s="320" t="str">
        <v/>
      </c>
      <c r="AC436" s="320" t="str">
        <v/>
      </c>
      <c r="AD436" s="320" t="str">
        <v/>
      </c>
      <c r="AE436" s="320" t="str">
        <v/>
      </c>
      <c r="AF436" s="320" t="str">
        <v/>
      </c>
    </row>
    <row r="437" spans="1:32" s="322" customFormat="1" ht="12.75" x14ac:dyDescent="0.2">
      <c r="B437" s="328" t="s">
        <v>43</v>
      </c>
      <c r="C437" s="328"/>
      <c r="D437" s="552"/>
      <c r="E437" s="552"/>
      <c r="F437" s="552"/>
      <c r="G437" s="272">
        <v>103.4</v>
      </c>
      <c r="H437" s="272">
        <v>102.88300000000004</v>
      </c>
      <c r="I437" s="272">
        <v>102.36599999999999</v>
      </c>
      <c r="J437" s="272">
        <v>101.84900000000002</v>
      </c>
      <c r="K437" s="272">
        <v>101.33200000000008</v>
      </c>
      <c r="L437" s="272">
        <v>100.815</v>
      </c>
      <c r="M437" s="272">
        <v>100.29800000000003</v>
      </c>
      <c r="N437" s="272">
        <v>99.780999999999977</v>
      </c>
      <c r="O437" s="272">
        <v>99.26400000000001</v>
      </c>
      <c r="P437" s="272">
        <v>98.747000000000071</v>
      </c>
      <c r="Q437" s="272">
        <v>98.22999999999999</v>
      </c>
      <c r="R437" s="272">
        <v>97.713000000000051</v>
      </c>
      <c r="S437" s="272">
        <v>97.19599999999997</v>
      </c>
      <c r="T437" s="272">
        <v>96.67900000000003</v>
      </c>
      <c r="U437" s="272">
        <v>96.162000000000063</v>
      </c>
      <c r="V437" s="272">
        <v>95.64500000000001</v>
      </c>
      <c r="W437" s="272">
        <v>95.128000000000043</v>
      </c>
      <c r="X437" s="272">
        <v>94.610999999999962</v>
      </c>
      <c r="Y437" s="272">
        <v>94.094000000000023</v>
      </c>
      <c r="Z437" s="272">
        <v>93.577000000000055</v>
      </c>
      <c r="AA437" s="272">
        <v>93.06</v>
      </c>
      <c r="AB437" s="272">
        <v>92.543000000000035</v>
      </c>
      <c r="AC437" s="272">
        <v>92.025999999999982</v>
      </c>
      <c r="AD437" s="272">
        <v>91.509000000000015</v>
      </c>
      <c r="AE437" s="272">
        <v>90.992000000000075</v>
      </c>
      <c r="AF437" s="272">
        <v>90.474999999999994</v>
      </c>
    </row>
    <row r="438" spans="1:32" s="322" customFormat="1" ht="12.75" x14ac:dyDescent="0.2">
      <c r="B438" s="328" t="s">
        <v>44</v>
      </c>
      <c r="D438" s="550"/>
      <c r="E438" s="550"/>
      <c r="F438" s="550"/>
      <c r="G438" s="272">
        <v>124</v>
      </c>
      <c r="H438" s="272">
        <v>123.38000000000011</v>
      </c>
      <c r="I438" s="272">
        <v>122.7600000000001</v>
      </c>
      <c r="J438" s="272">
        <v>122.14000000000004</v>
      </c>
      <c r="K438" s="272">
        <v>121.52000000000004</v>
      </c>
      <c r="L438" s="272">
        <v>120.90000000000003</v>
      </c>
      <c r="M438" s="272">
        <v>120.28000000000009</v>
      </c>
      <c r="N438" s="272">
        <v>119.66000000000008</v>
      </c>
      <c r="O438" s="272">
        <v>119.04000000000008</v>
      </c>
      <c r="P438" s="272">
        <v>118.42000000000002</v>
      </c>
      <c r="Q438" s="272">
        <v>117.80000000000001</v>
      </c>
      <c r="R438" s="272">
        <v>117.18000000000012</v>
      </c>
      <c r="S438" s="272">
        <v>116.56000000000006</v>
      </c>
      <c r="T438" s="272">
        <v>115.94000000000005</v>
      </c>
      <c r="U438" s="272">
        <v>115.32000000000005</v>
      </c>
      <c r="V438" s="272">
        <v>114.69999999999999</v>
      </c>
      <c r="W438" s="272">
        <v>114.0800000000001</v>
      </c>
      <c r="X438" s="272">
        <v>113.46000000000009</v>
      </c>
      <c r="Y438" s="272">
        <v>112.84000000000003</v>
      </c>
      <c r="Z438" s="272">
        <v>112.22000000000003</v>
      </c>
      <c r="AA438" s="272">
        <v>111.60000000000002</v>
      </c>
      <c r="AB438" s="272">
        <v>110.98000000000008</v>
      </c>
      <c r="AC438" s="272">
        <v>110.36000000000007</v>
      </c>
      <c r="AD438" s="272">
        <v>109.74000000000007</v>
      </c>
      <c r="AE438" s="272">
        <v>109.12</v>
      </c>
      <c r="AF438" s="272">
        <v>108.5</v>
      </c>
    </row>
    <row r="439" spans="1:32" s="322" customFormat="1" ht="12.75" x14ac:dyDescent="0.2">
      <c r="B439" s="328" t="s">
        <v>45</v>
      </c>
      <c r="D439" s="550"/>
      <c r="E439" s="550"/>
      <c r="F439" s="550"/>
      <c r="G439" s="272">
        <v>106</v>
      </c>
      <c r="H439" s="272">
        <v>105.47000000000003</v>
      </c>
      <c r="I439" s="272">
        <v>104.93999999999997</v>
      </c>
      <c r="J439" s="272">
        <v>104.41000000000003</v>
      </c>
      <c r="K439" s="272">
        <v>103.88000000000005</v>
      </c>
      <c r="L439" s="272">
        <v>103.35</v>
      </c>
      <c r="M439" s="272">
        <v>102.82000000000005</v>
      </c>
      <c r="N439" s="272">
        <v>102.28999999999996</v>
      </c>
      <c r="O439" s="272">
        <v>101.76000000000002</v>
      </c>
      <c r="P439" s="272">
        <v>101.23000000000005</v>
      </c>
      <c r="Q439" s="272">
        <v>100.69999999999999</v>
      </c>
      <c r="R439" s="272">
        <v>100.17000000000004</v>
      </c>
      <c r="S439" s="272">
        <v>99.639999999999958</v>
      </c>
      <c r="T439" s="272">
        <v>99.110000000000014</v>
      </c>
      <c r="U439" s="272">
        <v>98.580000000000069</v>
      </c>
      <c r="V439" s="272">
        <v>98.049999999999983</v>
      </c>
      <c r="W439" s="272">
        <v>97.520000000000039</v>
      </c>
      <c r="X439" s="272">
        <v>96.989999999999981</v>
      </c>
      <c r="Y439" s="272">
        <v>96.460000000000008</v>
      </c>
      <c r="Z439" s="272">
        <v>95.930000000000064</v>
      </c>
      <c r="AA439" s="272">
        <v>95.399999999999977</v>
      </c>
      <c r="AB439" s="272">
        <v>94.870000000000033</v>
      </c>
      <c r="AC439" s="272">
        <v>94.339999999999975</v>
      </c>
      <c r="AD439" s="272">
        <v>93.81</v>
      </c>
      <c r="AE439" s="272">
        <v>93.280000000000058</v>
      </c>
      <c r="AF439" s="272">
        <v>92.75</v>
      </c>
    </row>
    <row r="440" spans="1:32" s="322" customFormat="1" ht="12.75" x14ac:dyDescent="0.2">
      <c r="B440" s="328" t="s">
        <v>46</v>
      </c>
      <c r="D440" s="550"/>
      <c r="E440" s="550"/>
      <c r="F440" s="550"/>
      <c r="G440" s="272">
        <v>193.4</v>
      </c>
      <c r="H440" s="272">
        <v>192.43299999999999</v>
      </c>
      <c r="I440" s="272">
        <v>191.46600000000001</v>
      </c>
      <c r="J440" s="272">
        <v>190.499</v>
      </c>
      <c r="K440" s="272">
        <v>189.53200000000001</v>
      </c>
      <c r="L440" s="272">
        <v>188.565</v>
      </c>
      <c r="M440" s="272">
        <v>187.59799999999998</v>
      </c>
      <c r="N440" s="272">
        <v>186.631</v>
      </c>
      <c r="O440" s="272">
        <v>185.66399999999999</v>
      </c>
      <c r="P440" s="272">
        <v>184.697</v>
      </c>
      <c r="Q440" s="272">
        <v>183.73</v>
      </c>
      <c r="R440" s="272">
        <v>182.76300000000001</v>
      </c>
      <c r="S440" s="272">
        <v>181.79599999999999</v>
      </c>
      <c r="T440" s="272">
        <v>180.82900000000001</v>
      </c>
      <c r="U440" s="272">
        <v>179.86199999999999</v>
      </c>
      <c r="V440" s="272">
        <v>178.89500000000001</v>
      </c>
      <c r="W440" s="272">
        <v>177.928</v>
      </c>
      <c r="X440" s="272">
        <v>176.96099999999998</v>
      </c>
      <c r="Y440" s="272">
        <v>175.994</v>
      </c>
      <c r="Z440" s="272">
        <v>175.02699999999999</v>
      </c>
      <c r="AA440" s="272">
        <v>174.06</v>
      </c>
      <c r="AB440" s="272">
        <v>173.09299999999999</v>
      </c>
      <c r="AC440" s="272">
        <v>172.126</v>
      </c>
      <c r="AD440" s="272">
        <v>171.15899999999999</v>
      </c>
      <c r="AE440" s="272">
        <v>170.19200000000001</v>
      </c>
      <c r="AF440" s="272">
        <v>169.22499999999999</v>
      </c>
    </row>
    <row r="441" spans="1:32" s="322" customFormat="1" ht="12.75" x14ac:dyDescent="0.2">
      <c r="B441" s="322" t="s">
        <v>29</v>
      </c>
      <c r="D441" s="550"/>
      <c r="E441" s="550"/>
      <c r="F441" s="550"/>
      <c r="G441" s="272">
        <v>1203.7062211089469</v>
      </c>
      <c r="H441" s="272">
        <v>722.24473963395099</v>
      </c>
      <c r="I441" s="272">
        <v>516.0420873719271</v>
      </c>
      <c r="J441" s="272">
        <v>401.52080371265487</v>
      </c>
      <c r="K441" s="272">
        <v>328.6569118463413</v>
      </c>
      <c r="L441" s="272">
        <v>278.21873220397742</v>
      </c>
      <c r="M441" s="272">
        <v>241.23388096641386</v>
      </c>
      <c r="N441" s="272">
        <v>212.95314429011489</v>
      </c>
      <c r="O441" s="272">
        <v>190.62734669202749</v>
      </c>
      <c r="P441" s="272">
        <v>172.5547926630984</v>
      </c>
      <c r="Q441" s="272">
        <v>157.62577110017534</v>
      </c>
      <c r="R441" s="272">
        <v>145.08572830276833</v>
      </c>
      <c r="S441" s="272">
        <v>134.40371109684665</v>
      </c>
      <c r="T441" s="272">
        <v>125.19525387440162</v>
      </c>
      <c r="U441" s="272">
        <v>117.17511919045766</v>
      </c>
      <c r="V441" s="272">
        <v>110.1272254250824</v>
      </c>
      <c r="W441" s="272">
        <v>103.88488599508089</v>
      </c>
      <c r="X441" s="272">
        <v>98.31745807786659</v>
      </c>
      <c r="Y441" s="272">
        <v>93.321099789948619</v>
      </c>
      <c r="Z441" s="272">
        <v>88.812232813017587</v>
      </c>
      <c r="AA441" s="272">
        <v>84.722829552338439</v>
      </c>
      <c r="AB441" s="272">
        <v>80.99695715091201</v>
      </c>
      <c r="AC441" s="272">
        <v>77.588203948881983</v>
      </c>
      <c r="AD441" s="272">
        <v>74.457736242917932</v>
      </c>
      <c r="AE441" s="272">
        <v>71.572812310146375</v>
      </c>
      <c r="AF441" s="272">
        <v>68.905632901770119</v>
      </c>
    </row>
    <row r="442" spans="1:32" s="322" customFormat="1" ht="12.75" x14ac:dyDescent="0.2">
      <c r="D442" s="550"/>
      <c r="E442" s="550"/>
      <c r="F442" s="550"/>
      <c r="G442" s="341" t="str">
        <v/>
      </c>
      <c r="H442" s="341" t="str">
        <v/>
      </c>
      <c r="I442" s="341" t="str">
        <v/>
      </c>
      <c r="J442" s="341" t="str">
        <v/>
      </c>
      <c r="K442" s="341" t="str">
        <v/>
      </c>
      <c r="L442" s="341" t="str">
        <v/>
      </c>
      <c r="M442" s="341" t="str">
        <v/>
      </c>
      <c r="N442" s="341" t="str">
        <v/>
      </c>
      <c r="O442" s="341" t="str">
        <v/>
      </c>
      <c r="P442" s="341" t="str">
        <v/>
      </c>
      <c r="Q442" s="341" t="str">
        <v/>
      </c>
      <c r="R442" s="341" t="str">
        <v/>
      </c>
      <c r="S442" s="341" t="str">
        <v/>
      </c>
      <c r="T442" s="341" t="str">
        <v/>
      </c>
      <c r="U442" s="341" t="str">
        <v/>
      </c>
      <c r="V442" s="341" t="str">
        <v/>
      </c>
      <c r="W442" s="341" t="str">
        <v/>
      </c>
      <c r="X442" s="341" t="str">
        <v/>
      </c>
      <c r="Y442" s="341" t="str">
        <v/>
      </c>
      <c r="Z442" s="341" t="str">
        <v/>
      </c>
      <c r="AA442" s="341" t="str">
        <v/>
      </c>
      <c r="AB442" s="341" t="str">
        <v/>
      </c>
      <c r="AC442" s="341" t="str">
        <v/>
      </c>
      <c r="AD442" s="341" t="str">
        <v/>
      </c>
      <c r="AE442" s="341" t="str">
        <v/>
      </c>
      <c r="AF442" s="341" t="str">
        <v/>
      </c>
    </row>
    <row r="443" spans="1:32" s="322" customFormat="1" ht="12.75" x14ac:dyDescent="0.2">
      <c r="A443" s="334" t="s">
        <v>47</v>
      </c>
      <c r="B443" s="333"/>
      <c r="C443" s="324"/>
      <c r="D443" s="501"/>
      <c r="E443" s="501"/>
      <c r="F443" s="501"/>
      <c r="G443" s="320" t="str">
        <v/>
      </c>
      <c r="H443" s="320" t="str">
        <v/>
      </c>
      <c r="I443" s="320" t="str">
        <v/>
      </c>
      <c r="J443" s="320" t="str">
        <v/>
      </c>
      <c r="K443" s="320" t="str">
        <v/>
      </c>
      <c r="L443" s="320" t="str">
        <v/>
      </c>
      <c r="M443" s="320" t="str">
        <v/>
      </c>
      <c r="N443" s="320" t="str">
        <v/>
      </c>
      <c r="O443" s="320" t="str">
        <v/>
      </c>
      <c r="P443" s="320" t="str">
        <v/>
      </c>
      <c r="Q443" s="320" t="str">
        <v/>
      </c>
      <c r="R443" s="320" t="str">
        <v/>
      </c>
      <c r="S443" s="320" t="str">
        <v/>
      </c>
      <c r="T443" s="320" t="str">
        <v/>
      </c>
      <c r="U443" s="320" t="str">
        <v/>
      </c>
      <c r="V443" s="320" t="str">
        <v/>
      </c>
      <c r="W443" s="320" t="str">
        <v/>
      </c>
      <c r="X443" s="320" t="str">
        <v/>
      </c>
      <c r="Y443" s="320" t="str">
        <v/>
      </c>
      <c r="Z443" s="320" t="str">
        <v/>
      </c>
      <c r="AA443" s="320" t="str">
        <v/>
      </c>
      <c r="AB443" s="320" t="str">
        <v/>
      </c>
      <c r="AC443" s="320" t="str">
        <v/>
      </c>
      <c r="AD443" s="320" t="str">
        <v/>
      </c>
      <c r="AE443" s="320" t="str">
        <v/>
      </c>
      <c r="AF443" s="320" t="str">
        <v/>
      </c>
    </row>
    <row r="444" spans="1:32" s="322" customFormat="1" ht="12.75" x14ac:dyDescent="0.2">
      <c r="B444" s="322" t="s">
        <v>48</v>
      </c>
      <c r="C444" s="328"/>
      <c r="D444" s="552"/>
      <c r="E444" s="552"/>
      <c r="F444" s="552"/>
      <c r="G444" s="272">
        <v>0.95823036626248737</v>
      </c>
      <c r="H444" s="272">
        <v>0.9534392144311763</v>
      </c>
      <c r="I444" s="272">
        <v>0.94864806259986345</v>
      </c>
      <c r="J444" s="272">
        <v>0.94385691076855061</v>
      </c>
      <c r="K444" s="272">
        <v>0.93906575893723776</v>
      </c>
      <c r="L444" s="272">
        <v>0.93427460710592669</v>
      </c>
      <c r="M444" s="272">
        <v>0.92948345527461385</v>
      </c>
      <c r="N444" s="272">
        <v>0.924692303443301</v>
      </c>
      <c r="O444" s="272">
        <v>0.91990115161198815</v>
      </c>
      <c r="P444" s="272">
        <v>0.91510999978067531</v>
      </c>
      <c r="Q444" s="272">
        <v>0.91031884794936424</v>
      </c>
      <c r="R444" s="272">
        <v>0.9055276961180514</v>
      </c>
      <c r="S444" s="272">
        <v>0.90073654428673855</v>
      </c>
      <c r="T444" s="272">
        <v>0.8959453924554257</v>
      </c>
      <c r="U444" s="272">
        <v>0.89115424062411464</v>
      </c>
      <c r="V444" s="272">
        <v>0.88636308879280179</v>
      </c>
      <c r="W444" s="272">
        <v>0.88157193696148894</v>
      </c>
      <c r="X444" s="272">
        <v>0.8767807851301761</v>
      </c>
      <c r="Y444" s="272">
        <v>0.87198963329886325</v>
      </c>
      <c r="Z444" s="272">
        <v>0.86719848146755218</v>
      </c>
      <c r="AA444" s="272">
        <v>0.86240732963623934</v>
      </c>
      <c r="AB444" s="272">
        <v>0.85761617780492649</v>
      </c>
      <c r="AC444" s="272">
        <v>0.85282502597361365</v>
      </c>
      <c r="AD444" s="272">
        <v>0.84803387414230258</v>
      </c>
      <c r="AE444" s="272">
        <v>0.84324272231098973</v>
      </c>
      <c r="AF444" s="272">
        <v>0.83845157047967689</v>
      </c>
    </row>
    <row r="445" spans="1:32" s="322" customFormat="1" ht="12.75" x14ac:dyDescent="0.2">
      <c r="B445" s="328" t="s">
        <v>50</v>
      </c>
      <c r="D445" s="550"/>
      <c r="E445" s="550"/>
      <c r="F445" s="550"/>
      <c r="G445" s="272">
        <v>4.3166941802403116</v>
      </c>
      <c r="H445" s="272">
        <v>4.2951107093391059</v>
      </c>
      <c r="I445" s="272">
        <v>4.2735272384379073</v>
      </c>
      <c r="J445" s="272">
        <v>4.2519437675367087</v>
      </c>
      <c r="K445" s="272">
        <v>4.2303602966355029</v>
      </c>
      <c r="L445" s="272">
        <v>4.2087768257343043</v>
      </c>
      <c r="M445" s="272">
        <v>4.1871933548330986</v>
      </c>
      <c r="N445" s="272">
        <v>4.1656098839319</v>
      </c>
      <c r="O445" s="272">
        <v>4.1440264130306943</v>
      </c>
      <c r="P445" s="272">
        <v>4.1224429421294957</v>
      </c>
      <c r="Q445" s="272">
        <v>4.1008594712282971</v>
      </c>
      <c r="R445" s="272">
        <v>4.0792760003270914</v>
      </c>
      <c r="S445" s="272">
        <v>4.0576925294258928</v>
      </c>
      <c r="T445" s="272">
        <v>4.036109058524687</v>
      </c>
      <c r="U445" s="272">
        <v>4.0145255876234884</v>
      </c>
      <c r="V445" s="272">
        <v>3.9929421167222898</v>
      </c>
      <c r="W445" s="272">
        <v>3.9713586458210841</v>
      </c>
      <c r="X445" s="272">
        <v>3.9497751749198855</v>
      </c>
      <c r="Y445" s="272">
        <v>3.9281917040186798</v>
      </c>
      <c r="Z445" s="272">
        <v>3.9066082331174812</v>
      </c>
      <c r="AA445" s="272">
        <v>3.8850247622162755</v>
      </c>
      <c r="AB445" s="272">
        <v>3.8634412913150769</v>
      </c>
      <c r="AC445" s="272">
        <v>3.8418578204138782</v>
      </c>
      <c r="AD445" s="272">
        <v>3.8202743495126725</v>
      </c>
      <c r="AE445" s="272">
        <v>3.7986908786114739</v>
      </c>
      <c r="AF445" s="272">
        <v>3.7771074077102682</v>
      </c>
    </row>
    <row r="446" spans="1:32" s="322" customFormat="1" ht="12.75" x14ac:dyDescent="0.2">
      <c r="B446" s="322" t="s">
        <v>51</v>
      </c>
      <c r="D446" s="550"/>
      <c r="E446" s="550"/>
      <c r="F446" s="550"/>
      <c r="G446" s="272">
        <v>3.6776407187469431</v>
      </c>
      <c r="H446" s="272">
        <v>3.6592525151532129</v>
      </c>
      <c r="I446" s="272">
        <v>3.6408643115594757</v>
      </c>
      <c r="J446" s="272">
        <v>3.6224761079657384</v>
      </c>
      <c r="K446" s="272">
        <v>3.6040879043720082</v>
      </c>
      <c r="L446" s="272">
        <v>3.5856997007782709</v>
      </c>
      <c r="M446" s="272">
        <v>3.5673114971845408</v>
      </c>
      <c r="N446" s="272">
        <v>3.5489232935908035</v>
      </c>
      <c r="O446" s="272">
        <v>3.5305350899970662</v>
      </c>
      <c r="P446" s="272">
        <v>3.5121468864033361</v>
      </c>
      <c r="Q446" s="272">
        <v>3.4937586828095988</v>
      </c>
      <c r="R446" s="272">
        <v>3.4753704792158615</v>
      </c>
      <c r="S446" s="272">
        <v>3.4569822756221313</v>
      </c>
      <c r="T446" s="272">
        <v>3.4385940720283941</v>
      </c>
      <c r="U446" s="272">
        <v>3.4202058684346568</v>
      </c>
      <c r="V446" s="272">
        <v>3.4018176648409266</v>
      </c>
      <c r="W446" s="272">
        <v>3.3834294612471894</v>
      </c>
      <c r="X446" s="272">
        <v>3.3650412576534521</v>
      </c>
      <c r="Y446" s="272">
        <v>3.3466530540597219</v>
      </c>
      <c r="Z446" s="272">
        <v>3.3282648504659846</v>
      </c>
      <c r="AA446" s="272">
        <v>3.3098766468722545</v>
      </c>
      <c r="AB446" s="272">
        <v>3.2914884432785172</v>
      </c>
      <c r="AC446" s="272">
        <v>3.2731002396847799</v>
      </c>
      <c r="AD446" s="272">
        <v>3.2547120360910498</v>
      </c>
      <c r="AE446" s="272">
        <v>3.2363238324973125</v>
      </c>
      <c r="AF446" s="272">
        <v>3.2179356289035752</v>
      </c>
    </row>
    <row r="447" spans="1:32" s="322" customFormat="1" ht="12.75" x14ac:dyDescent="0.2">
      <c r="B447" s="322" t="s">
        <v>52</v>
      </c>
      <c r="D447" s="550"/>
      <c r="E447" s="550"/>
      <c r="F447" s="550"/>
      <c r="G447" s="272">
        <v>21.979786766073033</v>
      </c>
      <c r="H447" s="272">
        <v>21.869887832242682</v>
      </c>
      <c r="I447" s="272">
        <v>21.759988898412303</v>
      </c>
      <c r="J447" s="272">
        <v>21.650089964581952</v>
      </c>
      <c r="K447" s="272">
        <v>21.5401910307516</v>
      </c>
      <c r="L447" s="272">
        <v>21.430292096921207</v>
      </c>
      <c r="M447" s="272">
        <v>21.320393163090856</v>
      </c>
      <c r="N447" s="272">
        <v>21.210494229260476</v>
      </c>
      <c r="O447" s="272">
        <v>21.100595295430125</v>
      </c>
      <c r="P447" s="272">
        <v>20.990696361599774</v>
      </c>
      <c r="Q447" s="272">
        <v>20.88079742776938</v>
      </c>
      <c r="R447" s="272">
        <v>20.770898493939029</v>
      </c>
      <c r="S447" s="272">
        <v>20.66099956010865</v>
      </c>
      <c r="T447" s="272">
        <v>20.551100626278298</v>
      </c>
      <c r="U447" s="272">
        <v>20.441201692447947</v>
      </c>
      <c r="V447" s="272">
        <v>20.331302758617554</v>
      </c>
      <c r="W447" s="272">
        <v>20.221403824787203</v>
      </c>
      <c r="X447" s="272">
        <v>20.111504890956823</v>
      </c>
      <c r="Y447" s="272">
        <v>20.001605957126472</v>
      </c>
      <c r="Z447" s="272">
        <v>19.891707023296121</v>
      </c>
      <c r="AA447" s="272">
        <v>19.781808089465727</v>
      </c>
      <c r="AB447" s="272">
        <v>19.671909155635376</v>
      </c>
      <c r="AC447" s="272">
        <v>19.562010221804996</v>
      </c>
      <c r="AD447" s="272">
        <v>19.452111287974645</v>
      </c>
      <c r="AE447" s="272">
        <v>19.342212354144294</v>
      </c>
      <c r="AF447" s="272">
        <v>19.232313420313915</v>
      </c>
    </row>
    <row r="448" spans="1:32" s="322" customFormat="1" ht="12.75" x14ac:dyDescent="0.2">
      <c r="B448" s="328" t="s">
        <v>29</v>
      </c>
      <c r="D448" s="550"/>
      <c r="E448" s="550"/>
      <c r="F448" s="550"/>
      <c r="G448" s="272">
        <v>65.996942564095988</v>
      </c>
      <c r="H448" s="272">
        <v>37.038049761557417</v>
      </c>
      <c r="I448" s="272">
        <v>25.750279437047006</v>
      </c>
      <c r="J448" s="272">
        <v>19.740203339551304</v>
      </c>
      <c r="K448" s="272">
        <v>16.007732989814752</v>
      </c>
      <c r="L448" s="272">
        <v>13.464413548345039</v>
      </c>
      <c r="M448" s="272">
        <v>11.620044559660339</v>
      </c>
      <c r="N448" s="272">
        <v>10.221307801311729</v>
      </c>
      <c r="O448" s="272">
        <v>9.124102908742465</v>
      </c>
      <c r="P448" s="272">
        <v>8.2404131267111715</v>
      </c>
      <c r="Q448" s="272">
        <v>7.5134401275251168</v>
      </c>
      <c r="R448" s="272">
        <v>6.9048903765624523</v>
      </c>
      <c r="S448" s="272">
        <v>6.3880066746154034</v>
      </c>
      <c r="T448" s="272">
        <v>5.943528128387781</v>
      </c>
      <c r="U448" s="272">
        <v>5.5572367756027452</v>
      </c>
      <c r="V448" s="272">
        <v>5.2184085390595891</v>
      </c>
      <c r="W448" s="272">
        <v>4.9188021204913008</v>
      </c>
      <c r="X448" s="272">
        <v>4.6519798120284861</v>
      </c>
      <c r="Y448" s="272">
        <v>4.4128397003782185</v>
      </c>
      <c r="Z448" s="272">
        <v>4.1972862889334586</v>
      </c>
      <c r="AA448" s="272">
        <v>4.0019940003317958</v>
      </c>
      <c r="AB448" s="272">
        <v>3.8242343747695773</v>
      </c>
      <c r="AC448" s="272">
        <v>3.6617478095424043</v>
      </c>
      <c r="AD448" s="272">
        <v>3.5126469971350831</v>
      </c>
      <c r="AE448" s="272">
        <v>3.3753432837181019</v>
      </c>
      <c r="AF448" s="272">
        <v>3.2484898423476634</v>
      </c>
    </row>
    <row r="449" spans="2:32" s="322" customFormat="1" ht="12.75" x14ac:dyDescent="0.2">
      <c r="B449" s="328" t="s">
        <v>53</v>
      </c>
      <c r="D449" s="550"/>
      <c r="E449" s="550"/>
      <c r="F449" s="550"/>
      <c r="G449" s="272">
        <v>7.1999999999999886</v>
      </c>
      <c r="H449" s="272">
        <v>7.1639999999999873</v>
      </c>
      <c r="I449" s="272">
        <v>7.1280000000000001</v>
      </c>
      <c r="J449" s="272">
        <v>7.0919999999999987</v>
      </c>
      <c r="K449" s="272">
        <v>7.0559999999999974</v>
      </c>
      <c r="L449" s="272">
        <v>7.019999999999996</v>
      </c>
      <c r="M449" s="272">
        <v>6.9839999999999947</v>
      </c>
      <c r="N449" s="272">
        <v>6.9479999999999933</v>
      </c>
      <c r="O449" s="272">
        <v>6.9119999999999919</v>
      </c>
      <c r="P449" s="272">
        <v>6.8759999999999906</v>
      </c>
      <c r="Q449" s="272">
        <v>6.8399999999999892</v>
      </c>
      <c r="R449" s="272">
        <v>6.8039999999999878</v>
      </c>
      <c r="S449" s="272">
        <v>6.7680000000000007</v>
      </c>
      <c r="T449" s="272">
        <v>6.7319999999999993</v>
      </c>
      <c r="U449" s="272">
        <v>6.695999999999998</v>
      </c>
      <c r="V449" s="272">
        <v>6.6599999999999966</v>
      </c>
      <c r="W449" s="272">
        <v>6.6239999999999952</v>
      </c>
      <c r="X449" s="272">
        <v>6.5879999999999939</v>
      </c>
      <c r="Y449" s="272">
        <v>6.5519999999999925</v>
      </c>
      <c r="Z449" s="272">
        <v>6.5159999999999911</v>
      </c>
      <c r="AA449" s="272">
        <v>6.4799999999999898</v>
      </c>
      <c r="AB449" s="272">
        <v>6.4439999999999884</v>
      </c>
      <c r="AC449" s="272">
        <v>6.407999999999987</v>
      </c>
      <c r="AD449" s="272">
        <v>6.3719999999999999</v>
      </c>
      <c r="AE449" s="272">
        <v>6.3359999999999985</v>
      </c>
      <c r="AF449" s="272">
        <v>6.2999999999999972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92D050"/>
  </sheetPr>
  <dimension ref="A1:AF33"/>
  <sheetViews>
    <sheetView topLeftCell="B1" zoomScale="59" zoomScaleNormal="59" workbookViewId="0">
      <selection activeCell="F37" sqref="F37"/>
    </sheetView>
  </sheetViews>
  <sheetFormatPr defaultRowHeight="15" x14ac:dyDescent="0.25"/>
  <cols>
    <col min="1" max="1" width="36.42578125" bestFit="1" customWidth="1"/>
  </cols>
  <sheetData>
    <row r="1" spans="1:29" ht="18" x14ac:dyDescent="0.4">
      <c r="A1" s="45" t="s">
        <v>75</v>
      </c>
      <c r="B1" s="43"/>
      <c r="C1" s="43"/>
      <c r="D1" s="43"/>
      <c r="E1" s="43"/>
      <c r="F1" s="43"/>
      <c r="G1" s="43"/>
      <c r="H1" s="43"/>
      <c r="I1" s="43"/>
      <c r="J1" s="43"/>
      <c r="K1" s="43"/>
      <c r="L1" s="43"/>
      <c r="M1" s="43"/>
      <c r="N1" s="43"/>
      <c r="O1" s="43"/>
      <c r="P1" s="43"/>
      <c r="Q1" s="43"/>
      <c r="R1" s="43"/>
      <c r="S1" s="43"/>
      <c r="T1" s="43"/>
      <c r="U1" s="43"/>
      <c r="V1" s="43"/>
      <c r="W1" s="43"/>
      <c r="X1" s="43"/>
      <c r="Y1" s="43"/>
      <c r="Z1" s="43"/>
      <c r="AA1" s="43"/>
      <c r="AB1" s="43"/>
    </row>
    <row r="2" spans="1:29" s="838" customFormat="1" ht="14.45" x14ac:dyDescent="0.35">
      <c r="A2" s="1040" t="s">
        <v>672</v>
      </c>
      <c r="B2" s="839"/>
      <c r="C2" s="839"/>
      <c r="D2" s="839"/>
      <c r="E2" s="839"/>
      <c r="F2" s="839"/>
      <c r="G2" s="839"/>
      <c r="H2" s="839"/>
      <c r="I2" s="839"/>
      <c r="J2" s="839"/>
      <c r="K2" s="839"/>
      <c r="L2" s="839"/>
      <c r="M2" s="839"/>
      <c r="N2" s="839"/>
      <c r="O2" s="839"/>
      <c r="P2" s="839"/>
      <c r="Q2" s="839"/>
      <c r="R2" s="839"/>
      <c r="S2" s="839"/>
      <c r="T2" s="839"/>
      <c r="U2" s="839"/>
      <c r="V2" s="839"/>
      <c r="W2" s="839"/>
      <c r="X2" s="839"/>
      <c r="Y2" s="839"/>
      <c r="Z2" s="839"/>
      <c r="AA2" s="839"/>
      <c r="AB2" s="839"/>
    </row>
    <row r="3" spans="1:29" s="838" customFormat="1" ht="18" x14ac:dyDescent="0.4">
      <c r="A3" s="845"/>
      <c r="B3" s="839"/>
      <c r="C3" s="839"/>
      <c r="D3" s="839"/>
      <c r="E3" s="839"/>
      <c r="F3" s="839"/>
      <c r="G3" s="839"/>
      <c r="H3" s="839"/>
      <c r="I3" s="839"/>
      <c r="J3" s="839"/>
      <c r="K3" s="839"/>
      <c r="L3" s="839"/>
      <c r="M3" s="839"/>
      <c r="N3" s="839"/>
      <c r="O3" s="839"/>
      <c r="P3" s="839"/>
      <c r="Q3" s="839"/>
      <c r="R3" s="839"/>
      <c r="S3" s="839"/>
      <c r="T3" s="839"/>
      <c r="U3" s="839"/>
      <c r="V3" s="839"/>
      <c r="W3" s="839"/>
      <c r="X3" s="839"/>
      <c r="Y3" s="839"/>
      <c r="Z3" s="839"/>
      <c r="AA3" s="839"/>
      <c r="AB3" s="839"/>
    </row>
    <row r="4" spans="1:29" ht="14.45" x14ac:dyDescent="0.35">
      <c r="B4" s="44">
        <v>2010</v>
      </c>
      <c r="C4" s="44">
        <v>2011</v>
      </c>
      <c r="D4" s="44">
        <v>2012</v>
      </c>
      <c r="E4" s="44">
        <v>2013</v>
      </c>
      <c r="F4" s="44">
        <v>2014</v>
      </c>
      <c r="G4" s="44">
        <v>2015</v>
      </c>
      <c r="H4" s="44">
        <v>2016</v>
      </c>
      <c r="I4" s="44">
        <v>2017</v>
      </c>
      <c r="J4" s="44">
        <v>2018</v>
      </c>
      <c r="K4" s="44">
        <v>2019</v>
      </c>
      <c r="L4" s="44">
        <v>2020</v>
      </c>
      <c r="M4" s="44">
        <v>2021</v>
      </c>
      <c r="N4" s="44">
        <v>2022</v>
      </c>
      <c r="O4" s="44">
        <v>2023</v>
      </c>
      <c r="P4" s="44">
        <v>2024</v>
      </c>
      <c r="Q4" s="44">
        <v>2025</v>
      </c>
      <c r="R4" s="44">
        <v>2026</v>
      </c>
      <c r="S4" s="44">
        <v>2027</v>
      </c>
      <c r="T4" s="44">
        <v>2028</v>
      </c>
      <c r="U4" s="44">
        <v>2029</v>
      </c>
      <c r="V4" s="44">
        <v>2030</v>
      </c>
      <c r="W4" s="44">
        <v>2031</v>
      </c>
      <c r="X4" s="44">
        <v>2032</v>
      </c>
      <c r="Y4" s="44">
        <v>2033</v>
      </c>
      <c r="Z4" s="44">
        <v>2034</v>
      </c>
      <c r="AA4" s="44">
        <v>2035</v>
      </c>
      <c r="AB4" s="43"/>
      <c r="AC4" s="43"/>
    </row>
    <row r="6" spans="1:29" ht="14.45" x14ac:dyDescent="0.35">
      <c r="A6" s="47" t="s">
        <v>77</v>
      </c>
      <c r="B6" s="48"/>
      <c r="C6" s="48"/>
      <c r="D6" s="48"/>
      <c r="E6" s="48"/>
      <c r="F6" s="48"/>
      <c r="G6" s="48"/>
      <c r="H6" s="48"/>
      <c r="I6" s="48"/>
      <c r="J6" s="48"/>
      <c r="K6" s="48"/>
      <c r="L6" s="48"/>
      <c r="M6" s="48"/>
      <c r="N6" s="48"/>
      <c r="O6" s="48"/>
      <c r="P6" s="48"/>
      <c r="Q6" s="48"/>
      <c r="R6" s="48"/>
      <c r="S6" s="48"/>
      <c r="T6" s="48"/>
      <c r="U6" s="48"/>
      <c r="V6" s="48"/>
      <c r="W6" s="48"/>
      <c r="X6" s="48"/>
      <c r="Y6" s="48"/>
      <c r="Z6" s="48"/>
      <c r="AA6" s="48"/>
      <c r="AB6" s="48"/>
      <c r="AC6" s="48"/>
    </row>
    <row r="7" spans="1:29" ht="14.45" x14ac:dyDescent="0.35">
      <c r="A7" s="47" t="s">
        <v>73</v>
      </c>
      <c r="B7" s="49" t="s">
        <v>73</v>
      </c>
      <c r="C7" s="49" t="s">
        <v>73</v>
      </c>
      <c r="D7" s="49" t="s">
        <v>73</v>
      </c>
      <c r="E7" s="49" t="s">
        <v>73</v>
      </c>
      <c r="F7" s="49" t="s">
        <v>73</v>
      </c>
      <c r="G7" s="49" t="s">
        <v>73</v>
      </c>
      <c r="H7" s="49" t="s">
        <v>73</v>
      </c>
      <c r="I7" s="49" t="s">
        <v>73</v>
      </c>
      <c r="J7" s="49" t="s">
        <v>73</v>
      </c>
      <c r="K7" s="49" t="s">
        <v>73</v>
      </c>
      <c r="L7" s="49" t="s">
        <v>73</v>
      </c>
      <c r="M7" s="49" t="s">
        <v>73</v>
      </c>
      <c r="N7" s="49" t="s">
        <v>73</v>
      </c>
      <c r="O7" s="49" t="s">
        <v>73</v>
      </c>
      <c r="P7" s="49" t="s">
        <v>73</v>
      </c>
      <c r="Q7" s="49" t="s">
        <v>73</v>
      </c>
      <c r="R7" s="49" t="s">
        <v>73</v>
      </c>
      <c r="S7" s="49" t="s">
        <v>73</v>
      </c>
      <c r="T7" s="49" t="s">
        <v>73</v>
      </c>
      <c r="U7" s="49" t="s">
        <v>73</v>
      </c>
      <c r="V7" s="49" t="s">
        <v>73</v>
      </c>
      <c r="W7" s="49" t="s">
        <v>73</v>
      </c>
      <c r="X7" s="49" t="s">
        <v>73</v>
      </c>
      <c r="Y7" s="49" t="s">
        <v>73</v>
      </c>
      <c r="Z7" s="49" t="s">
        <v>73</v>
      </c>
      <c r="AA7" s="49" t="s">
        <v>73</v>
      </c>
      <c r="AB7" s="49"/>
      <c r="AC7" s="48"/>
    </row>
    <row r="8" spans="1:29" ht="14.45" x14ac:dyDescent="0.35">
      <c r="A8" s="47" t="s">
        <v>54</v>
      </c>
      <c r="B8" s="1147">
        <v>8.3599999999999994E-2</v>
      </c>
      <c r="C8" s="1147">
        <v>8.4309999999999996E-2</v>
      </c>
      <c r="D8" s="1147">
        <v>8.1519999999999995E-2</v>
      </c>
      <c r="E8" s="1147">
        <v>8.1000000000000003E-2</v>
      </c>
      <c r="F8" s="1147">
        <v>8.2530000000000006E-2</v>
      </c>
      <c r="G8" s="1147">
        <v>8.3260000000000001E-2</v>
      </c>
      <c r="H8" s="1147">
        <v>8.5980000000000001E-2</v>
      </c>
      <c r="I8" s="1147">
        <v>8.7989999999999999E-2</v>
      </c>
      <c r="J8" s="1147">
        <v>8.965999999999999E-2</v>
      </c>
      <c r="K8" s="1147">
        <v>9.0679999999999997E-2</v>
      </c>
      <c r="L8" s="1147">
        <v>9.2089999999999991E-2</v>
      </c>
      <c r="M8" s="1147">
        <v>9.4E-2</v>
      </c>
      <c r="N8" s="1147">
        <v>9.5820000000000002E-2</v>
      </c>
      <c r="O8" s="1147">
        <v>9.7720000000000001E-2</v>
      </c>
      <c r="P8" s="1147">
        <v>9.9809999999999996E-2</v>
      </c>
      <c r="Q8" s="1147">
        <v>0.10170999999999999</v>
      </c>
      <c r="R8" s="1147">
        <v>0.10385</v>
      </c>
      <c r="S8" s="1147">
        <v>0.10618999999999999</v>
      </c>
      <c r="T8" s="1147">
        <v>0.10876</v>
      </c>
      <c r="U8" s="1147">
        <v>0.11135</v>
      </c>
      <c r="V8" s="1147">
        <v>0.11385999999999999</v>
      </c>
      <c r="W8" s="1147">
        <v>0.11666</v>
      </c>
      <c r="X8" s="1147">
        <v>0.11952</v>
      </c>
      <c r="Y8" s="1147">
        <v>0.12249</v>
      </c>
      <c r="Z8" s="1147">
        <v>0.12565999999999999</v>
      </c>
      <c r="AA8" s="1147">
        <v>0.12966</v>
      </c>
      <c r="AB8" s="1148"/>
      <c r="AC8" s="1148"/>
    </row>
    <row r="9" spans="1:29" ht="14.45" x14ac:dyDescent="0.35">
      <c r="A9" s="47" t="s">
        <v>55</v>
      </c>
      <c r="B9" s="1147">
        <v>7.4400000000000008E-2</v>
      </c>
      <c r="C9" s="1147">
        <v>7.4980000000000005E-2</v>
      </c>
      <c r="D9" s="1147">
        <v>7.2499999999999995E-2</v>
      </c>
      <c r="E9" s="1147">
        <v>7.2039999999999993E-2</v>
      </c>
      <c r="F9" s="1147">
        <v>7.3399999999999993E-2</v>
      </c>
      <c r="G9" s="1147">
        <v>7.4050000000000005E-2</v>
      </c>
      <c r="H9" s="1147">
        <v>7.6469999999999996E-2</v>
      </c>
      <c r="I9" s="1147">
        <v>7.8259999999999996E-2</v>
      </c>
      <c r="J9" s="1147">
        <v>7.9740000000000005E-2</v>
      </c>
      <c r="K9" s="1147">
        <v>8.0649999999999999E-2</v>
      </c>
      <c r="L9" s="1147">
        <v>8.1900000000000001E-2</v>
      </c>
      <c r="M9" s="1147">
        <v>8.3599999999999994E-2</v>
      </c>
      <c r="N9" s="1147">
        <v>8.5220000000000004E-2</v>
      </c>
      <c r="O9" s="1147">
        <v>8.6910000000000001E-2</v>
      </c>
      <c r="P9" s="1147">
        <v>8.8770000000000002E-2</v>
      </c>
      <c r="Q9" s="1147">
        <v>9.0459999999999999E-2</v>
      </c>
      <c r="R9" s="1147">
        <v>9.2360000000000012E-2</v>
      </c>
      <c r="S9" s="1147">
        <v>9.444000000000001E-2</v>
      </c>
      <c r="T9" s="1147">
        <v>9.6729999999999997E-2</v>
      </c>
      <c r="U9" s="1147">
        <v>9.9030000000000007E-2</v>
      </c>
      <c r="V9" s="1147">
        <v>0.10125999999999999</v>
      </c>
      <c r="W9" s="1147">
        <v>0.10375</v>
      </c>
      <c r="X9" s="1147">
        <v>0.10629</v>
      </c>
      <c r="Y9" s="1147">
        <v>0.10894</v>
      </c>
      <c r="Z9" s="1147">
        <v>0.11176</v>
      </c>
      <c r="AA9" s="1147">
        <v>0.11532000000000001</v>
      </c>
      <c r="AB9" s="1148"/>
      <c r="AC9" s="1148"/>
    </row>
    <row r="10" spans="1:29" ht="14.45" x14ac:dyDescent="0.35">
      <c r="A10" s="47" t="s">
        <v>56</v>
      </c>
      <c r="B10" s="1147">
        <v>4.7E-2</v>
      </c>
      <c r="C10" s="1147">
        <v>4.7370000000000002E-2</v>
      </c>
      <c r="D10" s="1147">
        <v>4.58E-2</v>
      </c>
      <c r="E10" s="1147">
        <v>4.5510000000000002E-2</v>
      </c>
      <c r="F10" s="1147">
        <v>4.6369999999999995E-2</v>
      </c>
      <c r="G10" s="1147">
        <v>4.6780000000000002E-2</v>
      </c>
      <c r="H10" s="1147">
        <v>4.8310000000000006E-2</v>
      </c>
      <c r="I10" s="1147">
        <v>4.9439999999999998E-2</v>
      </c>
      <c r="J10" s="1147">
        <v>5.0380000000000001E-2</v>
      </c>
      <c r="K10" s="1147">
        <v>5.0949999999999995E-2</v>
      </c>
      <c r="L10" s="1147">
        <v>5.1740000000000001E-2</v>
      </c>
      <c r="M10" s="1147">
        <v>5.2809999999999996E-2</v>
      </c>
      <c r="N10" s="1147">
        <v>5.3840000000000006E-2</v>
      </c>
      <c r="O10" s="1147">
        <v>5.4900000000000004E-2</v>
      </c>
      <c r="P10" s="1147">
        <v>5.6079999999999998E-2</v>
      </c>
      <c r="Q10" s="1147">
        <v>5.7149999999999999E-2</v>
      </c>
      <c r="R10" s="1147">
        <v>5.8349999999999999E-2</v>
      </c>
      <c r="S10" s="1147">
        <v>5.9669999999999994E-2</v>
      </c>
      <c r="T10" s="1147">
        <v>6.1109999999999998E-2</v>
      </c>
      <c r="U10" s="1147">
        <v>6.2560000000000004E-2</v>
      </c>
      <c r="V10" s="1147">
        <v>6.3969999999999999E-2</v>
      </c>
      <c r="W10" s="1147">
        <v>6.5540000000000001E-2</v>
      </c>
      <c r="X10" s="1147">
        <v>6.7150000000000001E-2</v>
      </c>
      <c r="Y10" s="1147">
        <v>6.8819999999999992E-2</v>
      </c>
      <c r="Z10" s="1147">
        <v>7.0599999999999996E-2</v>
      </c>
      <c r="AA10" s="1147">
        <v>7.2849999999999998E-2</v>
      </c>
      <c r="AB10" s="1148"/>
      <c r="AC10" s="1148"/>
    </row>
    <row r="11" spans="1:29" ht="14.45" x14ac:dyDescent="0.35">
      <c r="A11" s="47" t="s">
        <v>76</v>
      </c>
      <c r="B11" s="1147">
        <f>B9</f>
        <v>7.4400000000000008E-2</v>
      </c>
      <c r="C11" s="1147">
        <f t="shared" ref="C11:AA11" si="0">C9</f>
        <v>7.4980000000000005E-2</v>
      </c>
      <c r="D11" s="1147">
        <f t="shared" si="0"/>
        <v>7.2499999999999995E-2</v>
      </c>
      <c r="E11" s="1147">
        <f t="shared" si="0"/>
        <v>7.2039999999999993E-2</v>
      </c>
      <c r="F11" s="1147">
        <f t="shared" si="0"/>
        <v>7.3399999999999993E-2</v>
      </c>
      <c r="G11" s="1147">
        <f t="shared" si="0"/>
        <v>7.4050000000000005E-2</v>
      </c>
      <c r="H11" s="1147">
        <f t="shared" si="0"/>
        <v>7.6469999999999996E-2</v>
      </c>
      <c r="I11" s="1147">
        <f t="shared" si="0"/>
        <v>7.8259999999999996E-2</v>
      </c>
      <c r="J11" s="1147">
        <f t="shared" si="0"/>
        <v>7.9740000000000005E-2</v>
      </c>
      <c r="K11" s="1147">
        <f t="shared" si="0"/>
        <v>8.0649999999999999E-2</v>
      </c>
      <c r="L11" s="1147">
        <f t="shared" si="0"/>
        <v>8.1900000000000001E-2</v>
      </c>
      <c r="M11" s="1147">
        <f t="shared" si="0"/>
        <v>8.3599999999999994E-2</v>
      </c>
      <c r="N11" s="1147">
        <f t="shared" si="0"/>
        <v>8.5220000000000004E-2</v>
      </c>
      <c r="O11" s="1147">
        <f t="shared" si="0"/>
        <v>8.6910000000000001E-2</v>
      </c>
      <c r="P11" s="1147">
        <f t="shared" si="0"/>
        <v>8.8770000000000002E-2</v>
      </c>
      <c r="Q11" s="1147">
        <f t="shared" si="0"/>
        <v>9.0459999999999999E-2</v>
      </c>
      <c r="R11" s="1147">
        <f t="shared" si="0"/>
        <v>9.2360000000000012E-2</v>
      </c>
      <c r="S11" s="1147">
        <f t="shared" si="0"/>
        <v>9.444000000000001E-2</v>
      </c>
      <c r="T11" s="1147">
        <f t="shared" si="0"/>
        <v>9.6729999999999997E-2</v>
      </c>
      <c r="U11" s="1147">
        <f t="shared" si="0"/>
        <v>9.9030000000000007E-2</v>
      </c>
      <c r="V11" s="1147">
        <f t="shared" si="0"/>
        <v>0.10125999999999999</v>
      </c>
      <c r="W11" s="1147">
        <f t="shared" si="0"/>
        <v>0.10375</v>
      </c>
      <c r="X11" s="1147">
        <f t="shared" si="0"/>
        <v>0.10629</v>
      </c>
      <c r="Y11" s="1147">
        <f t="shared" si="0"/>
        <v>0.10894</v>
      </c>
      <c r="Z11" s="1147">
        <f t="shared" si="0"/>
        <v>0.11176</v>
      </c>
      <c r="AA11" s="1147">
        <f t="shared" si="0"/>
        <v>0.11532000000000001</v>
      </c>
      <c r="AB11" s="1148"/>
      <c r="AC11" s="1148"/>
    </row>
    <row r="12" spans="1:29" ht="14.45" x14ac:dyDescent="0.35">
      <c r="A12" s="47" t="s">
        <v>238</v>
      </c>
      <c r="B12" s="1144">
        <f>IF(Active_Case="Res",B8,IF(Active_Case="Com",B9,IF(Active_Case="Ind",B10,IF(Active_Case="Out",B11))))</f>
        <v>8.3599999999999994E-2</v>
      </c>
      <c r="C12" s="1144">
        <f>IF(User_Inputs!$D$4="Frozen Efficiency",$B$12, IF(Active_Case="Res",C8,IF(Active_Case="Com",C9,IF(Active_Case="Ind",C10,IF(Active_Case="Out",C11)))))</f>
        <v>8.4309999999999996E-2</v>
      </c>
      <c r="D12" s="1144">
        <f>IF(User_Inputs!$D$4="Frozen Efficiency",$B$12, IF(Active_Case="Res",D8,IF(Active_Case="Com",D9,IF(Active_Case="Ind",D10,IF(Active_Case="Out",D11)))))</f>
        <v>8.1519999999999995E-2</v>
      </c>
      <c r="E12" s="1144">
        <f>IF(User_Inputs!$D$4="Frozen Efficiency",$B$12, IF(Active_Case="Res",E8,IF(Active_Case="Com",E9,IF(Active_Case="Ind",E10,IF(Active_Case="Out",E11)))))</f>
        <v>8.1000000000000003E-2</v>
      </c>
      <c r="F12" s="1144">
        <f>IF(User_Inputs!$D$4="Frozen Efficiency",$B$12, IF(Active_Case="Res",F8,IF(Active_Case="Com",F9,IF(Active_Case="Ind",F10,IF(Active_Case="Out",F11)))))</f>
        <v>8.2530000000000006E-2</v>
      </c>
      <c r="G12" s="1144">
        <f>IF(User_Inputs!$D$4="Frozen Efficiency",$B$12, IF(Active_Case="Res",G8,IF(Active_Case="Com",G9,IF(Active_Case="Ind",G10,IF(Active_Case="Out",G11)))))</f>
        <v>8.3260000000000001E-2</v>
      </c>
      <c r="H12" s="1144">
        <f>IF(User_Inputs!$D$4="Frozen Efficiency",$B$12, IF(Active_Case="Res",H8,IF(Active_Case="Com",H9,IF(Active_Case="Ind",H10,IF(Active_Case="Out",H11)))))</f>
        <v>8.5980000000000001E-2</v>
      </c>
      <c r="I12" s="1144">
        <f>IF(User_Inputs!$D$4="Frozen Efficiency",$B$12, IF(Active_Case="Res",I8,IF(Active_Case="Com",I9,IF(Active_Case="Ind",I10,IF(Active_Case="Out",I11)))))</f>
        <v>8.7989999999999999E-2</v>
      </c>
      <c r="J12" s="1144">
        <f>IF(User_Inputs!$D$4="Frozen Efficiency",$B$12, IF(Active_Case="Res",J8,IF(Active_Case="Com",J9,IF(Active_Case="Ind",J10,IF(Active_Case="Out",J11)))))</f>
        <v>8.965999999999999E-2</v>
      </c>
      <c r="K12" s="1144">
        <f>IF(User_Inputs!$D$4="Frozen Efficiency",$B$12, IF(Active_Case="Res",K8,IF(Active_Case="Com",K9,IF(Active_Case="Ind",K10,IF(Active_Case="Out",K11)))))</f>
        <v>9.0679999999999997E-2</v>
      </c>
      <c r="L12" s="1144">
        <f>IF(User_Inputs!$D$4="Frozen Efficiency",$B$12, IF(Active_Case="Res",L8,IF(Active_Case="Com",L9,IF(Active_Case="Ind",L10,IF(Active_Case="Out",L11)))))</f>
        <v>9.2089999999999991E-2</v>
      </c>
      <c r="M12" s="1144">
        <f>IF(User_Inputs!$D$4="Frozen Efficiency",$B$12, IF(Active_Case="Res",M8,IF(Active_Case="Com",M9,IF(Active_Case="Ind",M10,IF(Active_Case="Out",M11)))))</f>
        <v>9.4E-2</v>
      </c>
      <c r="N12" s="1144">
        <f>IF(User_Inputs!$D$4="Frozen Efficiency",$B$12, IF(Active_Case="Res",N8,IF(Active_Case="Com",N9,IF(Active_Case="Ind",N10,IF(Active_Case="Out",N11)))))</f>
        <v>9.5820000000000002E-2</v>
      </c>
      <c r="O12" s="1144">
        <f>IF(User_Inputs!$D$4="Frozen Efficiency",$B$12, IF(Active_Case="Res",O8,IF(Active_Case="Com",O9,IF(Active_Case="Ind",O10,IF(Active_Case="Out",O11)))))</f>
        <v>9.7720000000000001E-2</v>
      </c>
      <c r="P12" s="1144">
        <f>IF(User_Inputs!$D$4="Frozen Efficiency",$B$12, IF(Active_Case="Res",P8,IF(Active_Case="Com",P9,IF(Active_Case="Ind",P10,IF(Active_Case="Out",P11)))))</f>
        <v>9.9809999999999996E-2</v>
      </c>
      <c r="Q12" s="1144">
        <f>IF(User_Inputs!$D$4="Frozen Efficiency",$B$12, IF(Active_Case="Res",Q8,IF(Active_Case="Com",Q9,IF(Active_Case="Ind",Q10,IF(Active_Case="Out",Q11)))))</f>
        <v>0.10170999999999999</v>
      </c>
      <c r="R12" s="1144">
        <f>IF(User_Inputs!$D$4="Frozen Efficiency",$B$12, IF(Active_Case="Res",R8,IF(Active_Case="Com",R9,IF(Active_Case="Ind",R10,IF(Active_Case="Out",R11)))))</f>
        <v>0.10385</v>
      </c>
      <c r="S12" s="1144">
        <f>IF(User_Inputs!$D$4="Frozen Efficiency",$B$12, IF(Active_Case="Res",S8,IF(Active_Case="Com",S9,IF(Active_Case="Ind",S10,IF(Active_Case="Out",S11)))))</f>
        <v>0.10618999999999999</v>
      </c>
      <c r="T12" s="1144">
        <f>IF(User_Inputs!$D$4="Frozen Efficiency",$B$12, IF(Active_Case="Res",T8,IF(Active_Case="Com",T9,IF(Active_Case="Ind",T10,IF(Active_Case="Out",T11)))))</f>
        <v>0.10876</v>
      </c>
      <c r="U12" s="1144">
        <f>IF(User_Inputs!$D$4="Frozen Efficiency",$B$12, IF(Active_Case="Res",U8,IF(Active_Case="Com",U9,IF(Active_Case="Ind",U10,IF(Active_Case="Out",U11)))))</f>
        <v>0.11135</v>
      </c>
      <c r="V12" s="1144">
        <f>IF(User_Inputs!$D$4="Frozen Efficiency",$B$12, IF(Active_Case="Res",V8,IF(Active_Case="Com",V9,IF(Active_Case="Ind",V10,IF(Active_Case="Out",V11)))))</f>
        <v>0.11385999999999999</v>
      </c>
      <c r="W12" s="1144">
        <f>IF(User_Inputs!$D$4="Frozen Efficiency",$B$12, IF(Active_Case="Res",W8,IF(Active_Case="Com",W9,IF(Active_Case="Ind",W10,IF(Active_Case="Out",W11)))))</f>
        <v>0.11666</v>
      </c>
      <c r="X12" s="1144">
        <f>IF(User_Inputs!$D$4="Frozen Efficiency",$B$12, IF(Active_Case="Res",X8,IF(Active_Case="Com",X9,IF(Active_Case="Ind",X10,IF(Active_Case="Out",X11)))))</f>
        <v>0.11952</v>
      </c>
      <c r="Y12" s="1144">
        <f>IF(User_Inputs!$D$4="Frozen Efficiency",$B$12, IF(Active_Case="Res",Y8,IF(Active_Case="Com",Y9,IF(Active_Case="Ind",Y10,IF(Active_Case="Out",Y11)))))</f>
        <v>0.12249</v>
      </c>
      <c r="Z12" s="1144">
        <f>IF(User_Inputs!$D$4="Frozen Efficiency",$B$12, IF(Active_Case="Res",Z8,IF(Active_Case="Com",Z9,IF(Active_Case="Ind",Z10,IF(Active_Case="Out",Z11)))))</f>
        <v>0.12565999999999999</v>
      </c>
      <c r="AA12" s="1144">
        <f>IF(User_Inputs!$D$4="Frozen Efficiency",$B$12, IF(Active_Case="Res",AA8,IF(Active_Case="Com",AA9,IF(Active_Case="Ind",AA10,IF(Active_Case="Out",AA11)))))</f>
        <v>0.12966</v>
      </c>
      <c r="AB12" s="50"/>
      <c r="AC12" s="48"/>
    </row>
    <row r="13" spans="1:29" ht="14.45" x14ac:dyDescent="0.35">
      <c r="A13" s="46"/>
      <c r="B13" s="48"/>
      <c r="C13" s="48"/>
      <c r="D13" s="48"/>
      <c r="E13" s="48"/>
      <c r="F13" s="48"/>
      <c r="G13" s="48"/>
      <c r="H13" s="48"/>
      <c r="I13" s="48"/>
      <c r="J13" s="48"/>
      <c r="K13" s="48"/>
      <c r="L13" s="48"/>
      <c r="M13" s="48"/>
      <c r="N13" s="48"/>
      <c r="O13" s="48"/>
      <c r="P13" s="48"/>
      <c r="Q13" s="48"/>
      <c r="R13" s="48"/>
      <c r="S13" s="48"/>
      <c r="T13" s="48"/>
      <c r="U13" s="48"/>
      <c r="V13" s="48"/>
      <c r="W13" s="48"/>
      <c r="X13" s="48"/>
      <c r="Y13" s="48"/>
      <c r="Z13" s="48"/>
      <c r="AA13" s="48"/>
      <c r="AB13" s="48"/>
      <c r="AC13" s="48"/>
    </row>
    <row r="14" spans="1:29" s="539" customFormat="1" ht="14.45" x14ac:dyDescent="0.35">
      <c r="A14" s="419" t="s">
        <v>78</v>
      </c>
      <c r="B14" s="420"/>
      <c r="C14" s="420"/>
      <c r="D14" s="420"/>
      <c r="E14" s="420"/>
      <c r="F14" s="420"/>
      <c r="G14" s="420"/>
      <c r="H14" s="420"/>
      <c r="I14" s="420"/>
      <c r="J14" s="420"/>
      <c r="K14" s="420"/>
      <c r="L14" s="420"/>
      <c r="M14" s="420"/>
      <c r="N14" s="420"/>
      <c r="O14" s="420"/>
      <c r="P14" s="420"/>
      <c r="Q14" s="420"/>
      <c r="R14" s="420"/>
      <c r="S14" s="420"/>
      <c r="T14" s="420"/>
      <c r="U14" s="420"/>
      <c r="V14" s="420"/>
      <c r="W14" s="420"/>
      <c r="X14" s="420"/>
      <c r="Y14" s="420"/>
      <c r="Z14" s="420"/>
      <c r="AA14" s="420"/>
      <c r="AB14" s="420"/>
      <c r="AC14" s="420"/>
    </row>
    <row r="15" spans="1:29" s="221" customFormat="1" ht="14.45" x14ac:dyDescent="0.35">
      <c r="A15" s="104"/>
      <c r="B15" s="534"/>
      <c r="C15" s="534"/>
      <c r="D15" s="534"/>
      <c r="E15" s="534"/>
      <c r="F15" s="534"/>
      <c r="G15" s="534"/>
      <c r="H15" s="534"/>
      <c r="I15" s="534"/>
      <c r="J15" s="534"/>
      <c r="K15" s="534"/>
      <c r="L15" s="534"/>
      <c r="M15" s="534"/>
      <c r="N15" s="534"/>
      <c r="O15" s="534"/>
      <c r="P15" s="534"/>
      <c r="Q15" s="534"/>
      <c r="R15" s="534"/>
      <c r="S15" s="534"/>
      <c r="T15" s="534"/>
      <c r="U15" s="534"/>
      <c r="V15" s="534"/>
      <c r="W15" s="534"/>
      <c r="X15" s="534"/>
      <c r="Y15" s="534"/>
      <c r="Z15" s="534"/>
      <c r="AA15" s="534"/>
      <c r="AB15" s="534"/>
      <c r="AC15" s="534"/>
    </row>
    <row r="16" spans="1:29" s="537" customFormat="1" ht="14.45" x14ac:dyDescent="0.35">
      <c r="A16" s="535"/>
      <c r="B16" s="536"/>
      <c r="C16" s="536"/>
      <c r="D16" s="536"/>
      <c r="E16" s="536"/>
      <c r="F16" s="536"/>
      <c r="G16" s="536"/>
      <c r="H16" s="536"/>
      <c r="I16" s="536"/>
      <c r="J16" s="536"/>
      <c r="K16" s="536"/>
      <c r="L16" s="536"/>
      <c r="M16" s="536"/>
      <c r="N16" s="536"/>
      <c r="O16" s="536"/>
      <c r="P16" s="536"/>
      <c r="Q16" s="536"/>
      <c r="R16" s="536"/>
      <c r="S16" s="536"/>
      <c r="T16" s="536"/>
      <c r="U16" s="536"/>
      <c r="V16" s="536"/>
      <c r="W16" s="536"/>
      <c r="X16" s="536"/>
      <c r="Y16" s="536"/>
      <c r="Z16" s="536"/>
      <c r="AA16" s="536"/>
      <c r="AB16" s="536"/>
      <c r="AC16" s="536"/>
    </row>
    <row r="17" spans="1:32" s="537" customFormat="1" ht="15.6" x14ac:dyDescent="0.35">
      <c r="A17" s="538" t="s">
        <v>253</v>
      </c>
    </row>
    <row r="18" spans="1:32" s="537" customFormat="1" ht="14.45" x14ac:dyDescent="0.35">
      <c r="A18" s="538" t="s">
        <v>235</v>
      </c>
    </row>
    <row r="19" spans="1:32" s="537" customFormat="1" ht="14.45" x14ac:dyDescent="0.35">
      <c r="A19" s="538"/>
    </row>
    <row r="20" spans="1:32" s="537" customFormat="1" ht="14.45" x14ac:dyDescent="0.35">
      <c r="A20" s="538" t="s">
        <v>54</v>
      </c>
      <c r="B20" s="537">
        <v>8.36</v>
      </c>
      <c r="C20" s="537">
        <v>8.4309999999999992</v>
      </c>
      <c r="D20" s="537">
        <v>8.1519999999999992</v>
      </c>
      <c r="E20" s="537">
        <v>8.1</v>
      </c>
      <c r="F20" s="537">
        <v>8.2530000000000001</v>
      </c>
      <c r="G20" s="537">
        <v>8.3260000000000005</v>
      </c>
      <c r="H20" s="537">
        <v>8.5980000000000008</v>
      </c>
      <c r="I20" s="537">
        <v>8.7989999999999995</v>
      </c>
      <c r="J20" s="537">
        <v>8.9659999999999993</v>
      </c>
      <c r="K20" s="537">
        <v>9.0679999999999996</v>
      </c>
      <c r="L20" s="537">
        <v>9.2089999999999996</v>
      </c>
      <c r="M20" s="537">
        <v>9.4</v>
      </c>
      <c r="N20" s="537">
        <v>9.5820000000000007</v>
      </c>
      <c r="O20" s="537">
        <v>9.7720000000000002</v>
      </c>
      <c r="P20" s="537">
        <v>9.9809999999999999</v>
      </c>
      <c r="Q20" s="537">
        <v>10.170999999999999</v>
      </c>
      <c r="R20" s="537">
        <v>10.385</v>
      </c>
      <c r="S20" s="537">
        <v>10.619</v>
      </c>
      <c r="T20" s="537">
        <v>10.875999999999999</v>
      </c>
      <c r="U20" s="537">
        <v>11.135</v>
      </c>
      <c r="V20" s="537">
        <v>11.385999999999999</v>
      </c>
      <c r="W20" s="537">
        <v>11.666</v>
      </c>
      <c r="X20" s="537">
        <v>11.952</v>
      </c>
      <c r="Y20" s="537">
        <v>12.249000000000001</v>
      </c>
      <c r="Z20" s="537">
        <v>12.566000000000001</v>
      </c>
      <c r="AA20" s="537">
        <v>12.965999999999999</v>
      </c>
      <c r="AB20" s="537">
        <v>13.411</v>
      </c>
      <c r="AC20" s="537">
        <v>13.837</v>
      </c>
      <c r="AD20" s="537">
        <v>14.275</v>
      </c>
      <c r="AE20" s="537">
        <v>14.752000000000001</v>
      </c>
      <c r="AF20" s="537">
        <v>15.135</v>
      </c>
    </row>
    <row r="21" spans="1:32" s="537" customFormat="1" ht="14.45" x14ac:dyDescent="0.35">
      <c r="A21" s="538" t="s">
        <v>55</v>
      </c>
      <c r="B21" s="537">
        <v>7.44</v>
      </c>
      <c r="C21" s="537">
        <v>7.4980000000000002</v>
      </c>
      <c r="D21" s="537">
        <v>7.25</v>
      </c>
      <c r="E21" s="537">
        <v>7.2039999999999997</v>
      </c>
      <c r="F21" s="537">
        <v>7.34</v>
      </c>
      <c r="G21" s="537">
        <v>7.4050000000000002</v>
      </c>
      <c r="H21" s="537">
        <v>7.6470000000000002</v>
      </c>
      <c r="I21" s="537">
        <v>7.8259999999999996</v>
      </c>
      <c r="J21" s="537">
        <v>7.9740000000000002</v>
      </c>
      <c r="K21" s="537">
        <v>8.0649999999999995</v>
      </c>
      <c r="L21" s="537">
        <v>8.19</v>
      </c>
      <c r="M21" s="537">
        <v>8.36</v>
      </c>
      <c r="N21" s="537">
        <v>8.5220000000000002</v>
      </c>
      <c r="O21" s="537">
        <v>8.6910000000000007</v>
      </c>
      <c r="P21" s="537">
        <v>8.8770000000000007</v>
      </c>
      <c r="Q21" s="537">
        <v>9.0459999999999994</v>
      </c>
      <c r="R21" s="537">
        <v>9.2360000000000007</v>
      </c>
      <c r="S21" s="537">
        <v>9.4440000000000008</v>
      </c>
      <c r="T21" s="537">
        <v>9.673</v>
      </c>
      <c r="U21" s="537">
        <v>9.9030000000000005</v>
      </c>
      <c r="V21" s="537">
        <v>10.125999999999999</v>
      </c>
      <c r="W21" s="537">
        <v>10.375</v>
      </c>
      <c r="X21" s="537">
        <v>10.629</v>
      </c>
      <c r="Y21" s="537">
        <v>10.894</v>
      </c>
      <c r="Z21" s="537">
        <v>11.176</v>
      </c>
      <c r="AA21" s="537">
        <v>11.532</v>
      </c>
      <c r="AB21" s="537">
        <v>11.927</v>
      </c>
      <c r="AC21" s="537">
        <v>12.305999999999999</v>
      </c>
      <c r="AD21" s="537">
        <v>12.695</v>
      </c>
      <c r="AE21" s="537">
        <v>13.12</v>
      </c>
      <c r="AF21" s="537">
        <v>13.461</v>
      </c>
    </row>
    <row r="22" spans="1:32" s="537" customFormat="1" ht="14.45" x14ac:dyDescent="0.35">
      <c r="A22" s="538" t="s">
        <v>56</v>
      </c>
      <c r="B22" s="537">
        <v>4.7</v>
      </c>
      <c r="C22" s="537">
        <v>4.7370000000000001</v>
      </c>
      <c r="D22" s="537">
        <v>4.58</v>
      </c>
      <c r="E22" s="537">
        <v>4.5510000000000002</v>
      </c>
      <c r="F22" s="537">
        <v>4.6369999999999996</v>
      </c>
      <c r="G22" s="537">
        <v>4.6779999999999999</v>
      </c>
      <c r="H22" s="537">
        <v>4.8310000000000004</v>
      </c>
      <c r="I22" s="537">
        <v>4.944</v>
      </c>
      <c r="J22" s="537">
        <v>5.0380000000000003</v>
      </c>
      <c r="K22" s="537">
        <v>5.0949999999999998</v>
      </c>
      <c r="L22" s="537">
        <v>5.1740000000000004</v>
      </c>
      <c r="M22" s="537">
        <v>5.2809999999999997</v>
      </c>
      <c r="N22" s="537">
        <v>5.3840000000000003</v>
      </c>
      <c r="O22" s="537">
        <v>5.49</v>
      </c>
      <c r="P22" s="537">
        <v>5.6079999999999997</v>
      </c>
      <c r="Q22" s="537">
        <v>5.7149999999999999</v>
      </c>
      <c r="R22" s="537">
        <v>5.835</v>
      </c>
      <c r="S22" s="537">
        <v>5.9669999999999996</v>
      </c>
      <c r="T22" s="537">
        <v>6.1109999999999998</v>
      </c>
      <c r="U22" s="537">
        <v>6.2560000000000002</v>
      </c>
      <c r="V22" s="537">
        <v>6.3970000000000002</v>
      </c>
      <c r="W22" s="537">
        <v>6.5540000000000003</v>
      </c>
      <c r="X22" s="537">
        <v>6.7149999999999999</v>
      </c>
      <c r="Y22" s="537">
        <v>6.8819999999999997</v>
      </c>
      <c r="Z22" s="537">
        <v>7.06</v>
      </c>
      <c r="AA22" s="537">
        <v>7.2850000000000001</v>
      </c>
      <c r="AB22" s="537">
        <v>7.5350000000000001</v>
      </c>
      <c r="AC22" s="537">
        <v>7.7750000000000004</v>
      </c>
      <c r="AD22" s="537">
        <v>8.02</v>
      </c>
      <c r="AE22" s="537">
        <v>8.2889999999999997</v>
      </c>
      <c r="AF22" s="537">
        <v>8.5039999999999996</v>
      </c>
    </row>
    <row r="23" spans="1:32" s="537" customFormat="1" ht="14.45" x14ac:dyDescent="0.35"/>
    <row r="24" spans="1:32" s="221" customFormat="1" ht="14.45" x14ac:dyDescent="0.35"/>
    <row r="26" spans="1:32" s="403" customFormat="1" ht="12.95" x14ac:dyDescent="0.3">
      <c r="A26" s="404" t="s">
        <v>344</v>
      </c>
    </row>
    <row r="27" spans="1:32" s="830" customFormat="1" ht="12.6" x14ac:dyDescent="0.25"/>
    <row r="28" spans="1:32" ht="14.45" x14ac:dyDescent="0.35">
      <c r="A28" s="580" t="s">
        <v>428</v>
      </c>
    </row>
    <row r="29" spans="1:32" ht="14.45" x14ac:dyDescent="0.35">
      <c r="A29" s="830" t="s">
        <v>429</v>
      </c>
    </row>
    <row r="30" spans="1:32" ht="14.45" x14ac:dyDescent="0.35">
      <c r="A30" s="830" t="s">
        <v>430</v>
      </c>
    </row>
    <row r="33" spans="1:1" ht="14.45" x14ac:dyDescent="0.35">
      <c r="A33" s="830"/>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rgb="FF92D050"/>
  </sheetPr>
  <dimension ref="A1:AI62"/>
  <sheetViews>
    <sheetView topLeftCell="B1" zoomScale="59" zoomScaleNormal="59" workbookViewId="0">
      <selection activeCell="F37" sqref="F37"/>
    </sheetView>
  </sheetViews>
  <sheetFormatPr defaultRowHeight="15" x14ac:dyDescent="0.25"/>
  <cols>
    <col min="1" max="1" width="57.85546875" customWidth="1"/>
    <col min="5" max="5" width="9.42578125" customWidth="1"/>
    <col min="6" max="7" width="9.140625" customWidth="1"/>
    <col min="8" max="8" width="11.42578125" bestFit="1" customWidth="1"/>
  </cols>
  <sheetData>
    <row r="1" spans="1:33" ht="18" x14ac:dyDescent="0.4">
      <c r="A1" s="80" t="s">
        <v>81</v>
      </c>
      <c r="B1" s="552"/>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75"/>
      <c r="AE1" s="75"/>
      <c r="AF1" s="75"/>
      <c r="AG1" s="75"/>
    </row>
    <row r="2" spans="1:33" ht="14.45" x14ac:dyDescent="0.35">
      <c r="A2" s="1040" t="s">
        <v>673</v>
      </c>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81"/>
      <c r="AD2" s="81"/>
      <c r="AE2" s="81"/>
      <c r="AF2" s="81"/>
      <c r="AG2" s="81"/>
    </row>
    <row r="3" spans="1:33" ht="18" x14ac:dyDescent="0.4">
      <c r="A3" s="78"/>
      <c r="B3" s="77"/>
      <c r="C3" s="76"/>
      <c r="D3" s="76"/>
      <c r="E3" s="76">
        <v>2008</v>
      </c>
      <c r="F3" s="76">
        <v>2009</v>
      </c>
      <c r="G3" s="76">
        <v>2010</v>
      </c>
      <c r="H3" s="76">
        <v>2011</v>
      </c>
      <c r="I3" s="76">
        <v>2012</v>
      </c>
      <c r="J3" s="76">
        <v>2013</v>
      </c>
      <c r="K3" s="76">
        <v>2014</v>
      </c>
      <c r="L3" s="76">
        <v>2015</v>
      </c>
      <c r="M3" s="76">
        <v>2016</v>
      </c>
      <c r="N3" s="76">
        <v>2017</v>
      </c>
      <c r="O3" s="76">
        <v>2018</v>
      </c>
      <c r="P3" s="76">
        <v>2019</v>
      </c>
      <c r="Q3" s="76">
        <v>2020</v>
      </c>
      <c r="R3" s="76">
        <v>2021</v>
      </c>
      <c r="S3" s="76">
        <v>2022</v>
      </c>
      <c r="T3" s="76">
        <v>2023</v>
      </c>
      <c r="U3" s="76">
        <v>2024</v>
      </c>
      <c r="V3" s="76">
        <v>2025</v>
      </c>
      <c r="W3" s="76">
        <v>2026</v>
      </c>
      <c r="X3" s="76">
        <v>2027</v>
      </c>
      <c r="Y3" s="76">
        <v>2028</v>
      </c>
      <c r="Z3" s="76">
        <v>2029</v>
      </c>
      <c r="AA3" s="76">
        <v>2030</v>
      </c>
      <c r="AB3" s="76">
        <v>2031</v>
      </c>
      <c r="AC3" s="76">
        <v>2032</v>
      </c>
      <c r="AD3" s="76">
        <v>2033</v>
      </c>
      <c r="AE3" s="76">
        <v>2034</v>
      </c>
      <c r="AF3" s="76">
        <v>2035</v>
      </c>
      <c r="AG3" s="75"/>
    </row>
    <row r="5" spans="1:33" ht="15.6" x14ac:dyDescent="0.35">
      <c r="A5" s="109" t="s">
        <v>82</v>
      </c>
      <c r="B5" s="109"/>
      <c r="C5" s="109"/>
      <c r="D5" s="109"/>
      <c r="E5" s="105"/>
      <c r="F5" s="105"/>
      <c r="G5" s="105"/>
      <c r="H5" s="105"/>
      <c r="I5" s="105"/>
      <c r="J5" s="105"/>
      <c r="K5" s="105"/>
      <c r="L5" s="105"/>
      <c r="M5" s="105"/>
      <c r="N5" s="105"/>
      <c r="O5" s="105"/>
      <c r="P5" s="105"/>
      <c r="Q5" s="105"/>
      <c r="R5" s="105"/>
      <c r="S5" s="105"/>
      <c r="T5" s="105"/>
      <c r="U5" s="105"/>
      <c r="V5" s="105"/>
      <c r="W5" s="105"/>
      <c r="X5" s="105"/>
      <c r="Y5" s="105"/>
      <c r="Z5" s="105"/>
      <c r="AA5" s="105"/>
      <c r="AB5" s="105"/>
      <c r="AC5" s="105"/>
      <c r="AD5" s="105"/>
      <c r="AE5" s="105"/>
      <c r="AF5" s="105"/>
      <c r="AG5" s="101"/>
    </row>
    <row r="6" spans="1:33" ht="14.45" x14ac:dyDescent="0.35">
      <c r="A6" s="106"/>
      <c r="B6" s="106"/>
      <c r="C6" s="106"/>
      <c r="D6" s="106"/>
      <c r="E6" s="106"/>
      <c r="F6" s="106"/>
      <c r="G6" s="106"/>
      <c r="H6" s="106"/>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4"/>
    </row>
    <row r="7" spans="1:33" ht="14.45" x14ac:dyDescent="0.35">
      <c r="A7" s="107" t="s">
        <v>54</v>
      </c>
      <c r="B7" s="106"/>
      <c r="C7" s="106"/>
      <c r="D7" s="106"/>
      <c r="E7" s="106"/>
      <c r="F7" s="106"/>
      <c r="G7" s="108"/>
      <c r="H7" s="108">
        <f>H21</f>
        <v>2.4675831072390627E-2</v>
      </c>
      <c r="I7" s="108">
        <f t="shared" ref="I7:AF7" si="0">I21</f>
        <v>2.5069816612333921E-2</v>
      </c>
      <c r="J7" s="108">
        <f t="shared" si="0"/>
        <v>2.5156013124888098E-2</v>
      </c>
      <c r="K7" s="108">
        <f t="shared" si="0"/>
        <v>2.4307771914870345E-2</v>
      </c>
      <c r="L7" s="108">
        <f t="shared" si="0"/>
        <v>2.399890555689041E-2</v>
      </c>
      <c r="M7" s="108">
        <f t="shared" si="0"/>
        <v>2.3557029962092975E-2</v>
      </c>
      <c r="N7" s="108">
        <f t="shared" si="0"/>
        <v>2.2807469919569261E-2</v>
      </c>
      <c r="O7" s="108">
        <f t="shared" si="0"/>
        <v>2.2148328899371926E-2</v>
      </c>
      <c r="P7" s="108">
        <f t="shared" si="0"/>
        <v>2.1578944486421198E-2</v>
      </c>
      <c r="Q7" s="108">
        <f t="shared" si="0"/>
        <v>2.1010751802939851E-2</v>
      </c>
      <c r="R7" s="108">
        <f t="shared" si="0"/>
        <v>2.023762566854586E-2</v>
      </c>
      <c r="S7" s="108">
        <f t="shared" si="0"/>
        <v>1.9795687352169352E-2</v>
      </c>
      <c r="T7" s="108">
        <f t="shared" si="0"/>
        <v>1.9331379651495458E-2</v>
      </c>
      <c r="U7" s="108">
        <f t="shared" si="0"/>
        <v>1.8847855979739783E-2</v>
      </c>
      <c r="V7" s="108">
        <f t="shared" si="0"/>
        <v>1.8506067911791428E-2</v>
      </c>
      <c r="W7" s="108">
        <f t="shared" si="0"/>
        <v>1.8040496455137268E-2</v>
      </c>
      <c r="X7" s="108">
        <f t="shared" si="0"/>
        <v>1.7445459075865487E-2</v>
      </c>
      <c r="Y7" s="108">
        <f t="shared" si="0"/>
        <v>1.6790993377529255E-2</v>
      </c>
      <c r="Z7" s="108">
        <f t="shared" si="0"/>
        <v>1.6272513160062802E-2</v>
      </c>
      <c r="AA7" s="108">
        <f t="shared" si="0"/>
        <v>1.5932753539742817E-2</v>
      </c>
      <c r="AB7" s="108">
        <f t="shared" si="0"/>
        <v>1.5839981931339064E-2</v>
      </c>
      <c r="AC7" s="108">
        <f t="shared" si="0"/>
        <v>1.5390738717058317E-2</v>
      </c>
      <c r="AD7" s="108">
        <f t="shared" si="0"/>
        <v>1.4941495502777458E-2</v>
      </c>
      <c r="AE7" s="108">
        <f t="shared" si="0"/>
        <v>1.449225228849671E-2</v>
      </c>
      <c r="AF7" s="108">
        <f t="shared" si="0"/>
        <v>1.4043009074215962E-2</v>
      </c>
      <c r="AG7" s="104"/>
    </row>
    <row r="8" spans="1:33" ht="14.45" x14ac:dyDescent="0.35">
      <c r="A8" s="107" t="s">
        <v>55</v>
      </c>
      <c r="B8" s="106"/>
      <c r="C8" s="106"/>
      <c r="D8" s="106"/>
      <c r="E8" s="106"/>
      <c r="F8" s="106"/>
      <c r="G8" s="108"/>
      <c r="H8" s="108">
        <f>H29</f>
        <v>1.3270946920049622E-2</v>
      </c>
      <c r="I8" s="108">
        <f t="shared" ref="I8:AF8" si="1">I29</f>
        <v>1.4604855777172699E-2</v>
      </c>
      <c r="J8" s="108">
        <f t="shared" si="1"/>
        <v>1.4601533487673003E-2</v>
      </c>
      <c r="K8" s="108">
        <f t="shared" si="1"/>
        <v>1.3941987077980595E-2</v>
      </c>
      <c r="L8" s="108">
        <f t="shared" si="1"/>
        <v>1.3558688102362782E-2</v>
      </c>
      <c r="M8" s="108">
        <f t="shared" si="1"/>
        <v>1.2182975792333411E-2</v>
      </c>
      <c r="N8" s="108">
        <f t="shared" si="1"/>
        <v>1.2010597170227549E-2</v>
      </c>
      <c r="O8" s="108">
        <f t="shared" si="1"/>
        <v>1.3286293071145218E-2</v>
      </c>
      <c r="P8" s="108">
        <f t="shared" si="1"/>
        <v>1.2989286867724518E-2</v>
      </c>
      <c r="Q8" s="108">
        <f t="shared" si="1"/>
        <v>1.3462822610316238E-2</v>
      </c>
      <c r="R8" s="108">
        <f t="shared" si="1"/>
        <v>1.2763682065109012E-2</v>
      </c>
      <c r="S8" s="108">
        <f t="shared" si="1"/>
        <v>1.2383637468889725E-2</v>
      </c>
      <c r="T8" s="108">
        <f t="shared" si="1"/>
        <v>1.2068730342020105E-2</v>
      </c>
      <c r="U8" s="108">
        <f t="shared" si="1"/>
        <v>1.1883647083902282E-2</v>
      </c>
      <c r="V8" s="108">
        <f t="shared" si="1"/>
        <v>1.1676897177351427E-2</v>
      </c>
      <c r="W8" s="108">
        <f t="shared" si="1"/>
        <v>1.1052328300157729E-2</v>
      </c>
      <c r="X8" s="108">
        <f t="shared" si="1"/>
        <v>1.1313511208631622E-2</v>
      </c>
      <c r="Y8" s="108">
        <f t="shared" si="1"/>
        <v>1.1644202672862824E-2</v>
      </c>
      <c r="Z8" s="108">
        <f t="shared" si="1"/>
        <v>1.1576413006741733E-2</v>
      </c>
      <c r="AA8" s="108">
        <f t="shared" si="1"/>
        <v>1.1184754640064444E-2</v>
      </c>
      <c r="AB8" s="108">
        <f t="shared" si="1"/>
        <v>1.0904979958256011E-2</v>
      </c>
      <c r="AC8" s="108">
        <f t="shared" si="1"/>
        <v>1.0746131426457972E-2</v>
      </c>
      <c r="AD8" s="108">
        <f t="shared" si="1"/>
        <v>1.0587282894659877E-2</v>
      </c>
      <c r="AE8" s="108">
        <f t="shared" si="1"/>
        <v>1.0428434362861783E-2</v>
      </c>
      <c r="AF8" s="108">
        <f t="shared" si="1"/>
        <v>1.0269585831063743E-2</v>
      </c>
      <c r="AG8" s="104"/>
    </row>
    <row r="9" spans="1:33" ht="14.45" x14ac:dyDescent="0.35">
      <c r="A9" s="107" t="s">
        <v>56</v>
      </c>
      <c r="B9" s="106"/>
      <c r="C9" s="106"/>
      <c r="D9" s="106"/>
      <c r="E9" s="106"/>
      <c r="F9" s="106"/>
      <c r="G9" s="108"/>
      <c r="H9" s="108">
        <f>H36</f>
        <v>-0.01</v>
      </c>
      <c r="I9" s="108">
        <f t="shared" ref="I9:AF9" si="2">I36</f>
        <v>-0.01</v>
      </c>
      <c r="J9" s="108">
        <f t="shared" si="2"/>
        <v>-0.01</v>
      </c>
      <c r="K9" s="108">
        <f t="shared" si="2"/>
        <v>-0.01</v>
      </c>
      <c r="L9" s="108">
        <f t="shared" si="2"/>
        <v>-0.01</v>
      </c>
      <c r="M9" s="108">
        <f t="shared" si="2"/>
        <v>-0.01</v>
      </c>
      <c r="N9" s="108">
        <f t="shared" si="2"/>
        <v>-0.01</v>
      </c>
      <c r="O9" s="108">
        <f t="shared" si="2"/>
        <v>-0.01</v>
      </c>
      <c r="P9" s="108">
        <f t="shared" si="2"/>
        <v>-0.01</v>
      </c>
      <c r="Q9" s="108">
        <f t="shared" si="2"/>
        <v>-0.01</v>
      </c>
      <c r="R9" s="108">
        <f t="shared" si="2"/>
        <v>-0.01</v>
      </c>
      <c r="S9" s="108">
        <f t="shared" si="2"/>
        <v>-0.01</v>
      </c>
      <c r="T9" s="108">
        <f t="shared" si="2"/>
        <v>-0.01</v>
      </c>
      <c r="U9" s="108">
        <f t="shared" si="2"/>
        <v>-0.01</v>
      </c>
      <c r="V9" s="108">
        <f t="shared" si="2"/>
        <v>-0.01</v>
      </c>
      <c r="W9" s="108">
        <f t="shared" si="2"/>
        <v>-0.01</v>
      </c>
      <c r="X9" s="108">
        <f t="shared" si="2"/>
        <v>-0.01</v>
      </c>
      <c r="Y9" s="108">
        <f t="shared" si="2"/>
        <v>-0.01</v>
      </c>
      <c r="Z9" s="108">
        <f t="shared" si="2"/>
        <v>-0.01</v>
      </c>
      <c r="AA9" s="108">
        <f t="shared" si="2"/>
        <v>-0.01</v>
      </c>
      <c r="AB9" s="108">
        <f t="shared" si="2"/>
        <v>-0.01</v>
      </c>
      <c r="AC9" s="108">
        <f t="shared" si="2"/>
        <v>-0.01</v>
      </c>
      <c r="AD9" s="108">
        <f t="shared" si="2"/>
        <v>-0.01</v>
      </c>
      <c r="AE9" s="108">
        <f t="shared" si="2"/>
        <v>-0.01</v>
      </c>
      <c r="AF9" s="108">
        <f t="shared" si="2"/>
        <v>-0.01</v>
      </c>
      <c r="AG9" s="104"/>
    </row>
    <row r="10" spans="1:33" ht="14.45" x14ac:dyDescent="0.35">
      <c r="A10" s="107" t="s">
        <v>57</v>
      </c>
      <c r="B10" s="106"/>
      <c r="C10" s="106"/>
      <c r="D10" s="106"/>
      <c r="E10" s="106"/>
      <c r="F10" s="106"/>
      <c r="G10" s="108"/>
      <c r="H10" s="108">
        <f>H42</f>
        <v>1.3270946920049622E-2</v>
      </c>
      <c r="I10" s="108">
        <f t="shared" ref="I10:AF10" si="3">I42</f>
        <v>1.4604855777172699E-2</v>
      </c>
      <c r="J10" s="108">
        <f t="shared" si="3"/>
        <v>1.4601533487673003E-2</v>
      </c>
      <c r="K10" s="108">
        <f t="shared" si="3"/>
        <v>1.3941987077980595E-2</v>
      </c>
      <c r="L10" s="108">
        <f t="shared" si="3"/>
        <v>1.3558688102362782E-2</v>
      </c>
      <c r="M10" s="108">
        <f t="shared" si="3"/>
        <v>1.2182975792333411E-2</v>
      </c>
      <c r="N10" s="108">
        <f t="shared" si="3"/>
        <v>1.2010597170227549E-2</v>
      </c>
      <c r="O10" s="108">
        <f t="shared" si="3"/>
        <v>1.3286293071145218E-2</v>
      </c>
      <c r="P10" s="108">
        <f t="shared" si="3"/>
        <v>1.2989286867724518E-2</v>
      </c>
      <c r="Q10" s="108">
        <f t="shared" si="3"/>
        <v>1.3462822610316238E-2</v>
      </c>
      <c r="R10" s="108">
        <f t="shared" si="3"/>
        <v>1.2763682065109012E-2</v>
      </c>
      <c r="S10" s="108">
        <f t="shared" si="3"/>
        <v>1.2383637468889725E-2</v>
      </c>
      <c r="T10" s="108">
        <f t="shared" si="3"/>
        <v>1.2068730342020105E-2</v>
      </c>
      <c r="U10" s="108">
        <f t="shared" si="3"/>
        <v>1.1883647083902282E-2</v>
      </c>
      <c r="V10" s="108">
        <f t="shared" si="3"/>
        <v>1.1676897177351427E-2</v>
      </c>
      <c r="W10" s="108">
        <f t="shared" si="3"/>
        <v>1.1052328300157729E-2</v>
      </c>
      <c r="X10" s="108">
        <f t="shared" si="3"/>
        <v>1.1313511208631622E-2</v>
      </c>
      <c r="Y10" s="108">
        <f t="shared" si="3"/>
        <v>1.1644202672862824E-2</v>
      </c>
      <c r="Z10" s="108">
        <f t="shared" si="3"/>
        <v>1.1576413006741733E-2</v>
      </c>
      <c r="AA10" s="108">
        <f t="shared" si="3"/>
        <v>1.1184754640064444E-2</v>
      </c>
      <c r="AB10" s="108">
        <f t="shared" si="3"/>
        <v>1.0904979958256011E-2</v>
      </c>
      <c r="AC10" s="108">
        <f t="shared" si="3"/>
        <v>1.0746131426457972E-2</v>
      </c>
      <c r="AD10" s="108">
        <f t="shared" si="3"/>
        <v>1.0587282894659877E-2</v>
      </c>
      <c r="AE10" s="108">
        <f t="shared" si="3"/>
        <v>1.0428434362861783E-2</v>
      </c>
      <c r="AF10" s="108">
        <f t="shared" si="3"/>
        <v>1.0269585831063743E-2</v>
      </c>
      <c r="AG10" s="104"/>
    </row>
    <row r="11" spans="1:33" ht="14.45" x14ac:dyDescent="0.35">
      <c r="A11" s="107" t="s">
        <v>239</v>
      </c>
      <c r="B11" s="106"/>
      <c r="C11" s="106"/>
      <c r="D11" s="106"/>
      <c r="E11" s="106"/>
      <c r="F11" s="106"/>
      <c r="G11" s="108"/>
      <c r="H11" s="108">
        <f t="shared" ref="H11:AF11" si="4">IF(Active_Case="Res",H7,IF(Active_Case="Com",H8,IF(Active_Case="Ind",H9,IF(Active_Case="Out",H10))))</f>
        <v>2.4675831072390627E-2</v>
      </c>
      <c r="I11" s="562">
        <f t="shared" si="4"/>
        <v>2.5069816612333921E-2</v>
      </c>
      <c r="J11" s="562">
        <f t="shared" si="4"/>
        <v>2.5156013124888098E-2</v>
      </c>
      <c r="K11" s="562">
        <f t="shared" si="4"/>
        <v>2.4307771914870345E-2</v>
      </c>
      <c r="L11" s="562">
        <f t="shared" si="4"/>
        <v>2.399890555689041E-2</v>
      </c>
      <c r="M11" s="562">
        <f t="shared" si="4"/>
        <v>2.3557029962092975E-2</v>
      </c>
      <c r="N11" s="562">
        <f t="shared" si="4"/>
        <v>2.2807469919569261E-2</v>
      </c>
      <c r="O11" s="562">
        <f t="shared" si="4"/>
        <v>2.2148328899371926E-2</v>
      </c>
      <c r="P11" s="562">
        <f t="shared" si="4"/>
        <v>2.1578944486421198E-2</v>
      </c>
      <c r="Q11" s="562">
        <f t="shared" si="4"/>
        <v>2.1010751802939851E-2</v>
      </c>
      <c r="R11" s="562">
        <f t="shared" si="4"/>
        <v>2.023762566854586E-2</v>
      </c>
      <c r="S11" s="562">
        <f t="shared" si="4"/>
        <v>1.9795687352169352E-2</v>
      </c>
      <c r="T11" s="562">
        <f t="shared" si="4"/>
        <v>1.9331379651495458E-2</v>
      </c>
      <c r="U11" s="562">
        <f t="shared" si="4"/>
        <v>1.8847855979739783E-2</v>
      </c>
      <c r="V11" s="562">
        <f t="shared" si="4"/>
        <v>1.8506067911791428E-2</v>
      </c>
      <c r="W11" s="562">
        <f t="shared" si="4"/>
        <v>1.8040496455137268E-2</v>
      </c>
      <c r="X11" s="562">
        <f t="shared" si="4"/>
        <v>1.7445459075865487E-2</v>
      </c>
      <c r="Y11" s="562">
        <f t="shared" si="4"/>
        <v>1.6790993377529255E-2</v>
      </c>
      <c r="Z11" s="562">
        <f t="shared" si="4"/>
        <v>1.6272513160062802E-2</v>
      </c>
      <c r="AA11" s="562">
        <f t="shared" si="4"/>
        <v>1.5932753539742817E-2</v>
      </c>
      <c r="AB11" s="562">
        <f t="shared" si="4"/>
        <v>1.5839981931339064E-2</v>
      </c>
      <c r="AC11" s="562">
        <f t="shared" si="4"/>
        <v>1.5390738717058317E-2</v>
      </c>
      <c r="AD11" s="562">
        <f t="shared" si="4"/>
        <v>1.4941495502777458E-2</v>
      </c>
      <c r="AE11" s="562">
        <f t="shared" si="4"/>
        <v>1.449225228849671E-2</v>
      </c>
      <c r="AF11" s="562">
        <f t="shared" si="4"/>
        <v>1.4043009074215962E-2</v>
      </c>
      <c r="AG11" s="104"/>
    </row>
    <row r="12" spans="1:33" s="539" customFormat="1" ht="14.45" x14ac:dyDescent="0.35">
      <c r="A12" s="107" t="s">
        <v>304</v>
      </c>
      <c r="B12" s="106"/>
      <c r="C12" s="106"/>
      <c r="D12" s="106"/>
      <c r="E12" s="106"/>
      <c r="F12" s="106"/>
      <c r="G12" s="719">
        <f t="shared" ref="G12:AF12" si="5">IF(Active_Case="Res",G$20,IF(Active_Case="Com",G$28,IF(Active_Case="Ind",$G$35,IF(Active_Case="Out",""))))</f>
        <v>9767.8113023903607</v>
      </c>
      <c r="H12" s="719">
        <f t="shared" si="5"/>
        <v>10008.840164035133</v>
      </c>
      <c r="I12" s="889">
        <f t="shared" si="5"/>
        <v>10259.759951449656</v>
      </c>
      <c r="J12" s="889">
        <f t="shared" si="5"/>
        <v>10517.854607446525</v>
      </c>
      <c r="K12" s="889">
        <f t="shared" si="5"/>
        <v>10773.520218278103</v>
      </c>
      <c r="L12" s="889">
        <f t="shared" si="5"/>
        <v>11032.072912511809</v>
      </c>
      <c r="M12" s="889">
        <f t="shared" si="5"/>
        <v>11291.955784655844</v>
      </c>
      <c r="N12" s="889">
        <f t="shared" si="5"/>
        <v>11549.496726547488</v>
      </c>
      <c r="O12" s="889">
        <f t="shared" si="5"/>
        <v>11805.298778669281</v>
      </c>
      <c r="P12" s="889">
        <f t="shared" si="5"/>
        <v>12060.044665659801</v>
      </c>
      <c r="Q12" s="889">
        <f t="shared" si="5"/>
        <v>12313.435270862348</v>
      </c>
      <c r="R12" s="889">
        <f t="shared" si="5"/>
        <v>12562.62996456793</v>
      </c>
      <c r="S12" s="889">
        <f t="shared" si="5"/>
        <v>12811.315859667511</v>
      </c>
      <c r="T12" s="889">
        <f t="shared" si="5"/>
        <v>13058.976270385969</v>
      </c>
      <c r="U12" s="889">
        <f t="shared" si="5"/>
        <v>13305.109974373043</v>
      </c>
      <c r="V12" s="889">
        <f t="shared" si="5"/>
        <v>13551.335243132644</v>
      </c>
      <c r="W12" s="889">
        <f t="shared" si="5"/>
        <v>13795.808058548755</v>
      </c>
      <c r="X12" s="889">
        <f t="shared" si="5"/>
        <v>14036.482263452663</v>
      </c>
      <c r="Y12" s="889">
        <f t="shared" si="5"/>
        <v>14272.168744182103</v>
      </c>
      <c r="Z12" s="889">
        <f t="shared" si="5"/>
        <v>14504.412797894443</v>
      </c>
      <c r="AA12" s="889">
        <f t="shared" si="5"/>
        <v>14735.508032241987</v>
      </c>
      <c r="AB12" s="889">
        <f t="shared" si="5"/>
        <v>14968.918213221801</v>
      </c>
      <c r="AC12" s="889">
        <f t="shared" si="5"/>
        <v>15199.300922318511</v>
      </c>
      <c r="AD12" s="889">
        <f t="shared" si="5"/>
        <v>15426.401208694693</v>
      </c>
      <c r="AE12" s="889">
        <f t="shared" si="5"/>
        <v>15649.964506914668</v>
      </c>
      <c r="AF12" s="889">
        <f t="shared" si="5"/>
        <v>15869.73710049643</v>
      </c>
      <c r="AG12" s="104"/>
    </row>
    <row r="13" spans="1:33" ht="14.45" x14ac:dyDescent="0.35">
      <c r="A13" s="81"/>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104"/>
    </row>
    <row r="14" spans="1:33" ht="14.45" x14ac:dyDescent="0.35">
      <c r="A14" s="117" t="s">
        <v>83</v>
      </c>
      <c r="B14" s="117"/>
      <c r="C14" s="117"/>
      <c r="D14" s="117"/>
      <c r="E14" s="118"/>
      <c r="F14" s="118"/>
      <c r="G14" s="118"/>
      <c r="H14" s="118"/>
      <c r="I14" s="118"/>
      <c r="J14" s="118"/>
      <c r="K14" s="118"/>
      <c r="L14" s="118"/>
      <c r="M14" s="118"/>
      <c r="N14" s="118"/>
      <c r="O14" s="118"/>
      <c r="P14" s="118"/>
      <c r="Q14" s="118"/>
      <c r="R14" s="118"/>
      <c r="S14" s="118"/>
      <c r="T14" s="118"/>
      <c r="U14" s="118"/>
      <c r="V14" s="118"/>
      <c r="W14" s="118"/>
      <c r="X14" s="118"/>
      <c r="Y14" s="118"/>
      <c r="Z14" s="118"/>
      <c r="AA14" s="118"/>
      <c r="AB14" s="118"/>
      <c r="AC14" s="118"/>
      <c r="AD14" s="118"/>
      <c r="AE14" s="118"/>
      <c r="AF14" s="118"/>
      <c r="AG14" s="110"/>
    </row>
    <row r="15" spans="1:33" ht="14.45" x14ac:dyDescent="0.35">
      <c r="A15" s="86" t="s">
        <v>241</v>
      </c>
      <c r="B15" s="91"/>
      <c r="C15" s="91"/>
      <c r="D15" s="91"/>
      <c r="E15" s="81"/>
      <c r="F15" s="81"/>
      <c r="G15" s="81"/>
      <c r="H15" s="81"/>
      <c r="I15" s="81"/>
      <c r="J15" s="81"/>
      <c r="K15" s="81"/>
      <c r="L15" s="81"/>
      <c r="M15" s="81"/>
      <c r="N15" s="81"/>
      <c r="O15" s="81"/>
      <c r="P15" s="81"/>
      <c r="Q15" s="81"/>
      <c r="R15" s="81"/>
      <c r="S15" s="81"/>
      <c r="T15" s="81"/>
      <c r="U15" s="81"/>
      <c r="V15" s="81"/>
      <c r="W15" s="81"/>
      <c r="X15" s="81"/>
      <c r="Y15" s="81"/>
      <c r="Z15" s="81"/>
      <c r="AA15" s="81"/>
      <c r="AB15" s="81"/>
      <c r="AC15" s="81"/>
      <c r="AD15" s="81"/>
      <c r="AE15" s="81"/>
      <c r="AF15" s="81"/>
      <c r="AG15" s="101"/>
    </row>
    <row r="16" spans="1:33" ht="14.45" x14ac:dyDescent="0.35">
      <c r="A16" s="380" t="s">
        <v>242</v>
      </c>
      <c r="B16" s="91"/>
      <c r="C16" s="91"/>
      <c r="D16" s="82"/>
      <c r="E16" s="122">
        <v>5691856.7927301209</v>
      </c>
      <c r="F16" s="122">
        <v>5732731.1661900878</v>
      </c>
      <c r="G16" s="122">
        <v>5793583.8971840255</v>
      </c>
      <c r="H16" s="122">
        <v>5874918.9070597151</v>
      </c>
      <c r="I16" s="122">
        <v>5966560.8552108146</v>
      </c>
      <c r="J16" s="122">
        <v>6060418.7989396751</v>
      </c>
      <c r="K16" s="122">
        <v>6154480.0289940573</v>
      </c>
      <c r="L16" s="122">
        <v>6249710.6830005553</v>
      </c>
      <c r="M16" s="122">
        <v>6345976.6037514852</v>
      </c>
      <c r="N16" s="122">
        <v>6441457.2756999955</v>
      </c>
      <c r="O16" s="122">
        <v>6536223.4326450154</v>
      </c>
      <c r="P16" s="122">
        <v>6630422.8200243432</v>
      </c>
      <c r="Q16" s="122">
        <v>6724195.5813419549</v>
      </c>
      <c r="R16" s="122">
        <v>6816156.0866873311</v>
      </c>
      <c r="S16" s="122">
        <v>6907511.5827098358</v>
      </c>
      <c r="T16" s="122">
        <v>6998378.1934509911</v>
      </c>
      <c r="U16" s="122">
        <v>7088374.5034538377</v>
      </c>
      <c r="V16" s="122">
        <v>7177923.5576518178</v>
      </c>
      <c r="W16" s="122">
        <v>7266465.6027335469</v>
      </c>
      <c r="X16" s="122">
        <v>7353492.4369022092</v>
      </c>
      <c r="Y16" s="122">
        <v>7438640.0700697554</v>
      </c>
      <c r="Z16" s="122">
        <v>7522347.4667946473</v>
      </c>
      <c r="AA16" s="122">
        <v>7605303.7076559681</v>
      </c>
      <c r="AB16" s="93"/>
      <c r="AC16" s="93"/>
      <c r="AD16" s="93"/>
      <c r="AE16" s="93"/>
      <c r="AF16" s="93"/>
      <c r="AG16" s="111"/>
    </row>
    <row r="17" spans="1:35" ht="14.45" x14ac:dyDescent="0.35">
      <c r="A17" s="380" t="s">
        <v>243</v>
      </c>
      <c r="B17" s="91"/>
      <c r="C17" s="91"/>
      <c r="D17" s="82"/>
      <c r="E17" s="93">
        <f>E16/10^6</f>
        <v>5.6918567927301211</v>
      </c>
      <c r="F17" s="93">
        <f t="shared" ref="F17:AA17" si="6">F16/10^6</f>
        <v>5.7327311661900877</v>
      </c>
      <c r="G17" s="93">
        <f t="shared" si="6"/>
        <v>5.7935838971840257</v>
      </c>
      <c r="H17" s="93">
        <f t="shared" si="6"/>
        <v>5.8749189070597154</v>
      </c>
      <c r="I17" s="93">
        <f t="shared" si="6"/>
        <v>5.9665608552108145</v>
      </c>
      <c r="J17" s="93">
        <f t="shared" si="6"/>
        <v>6.0604187989396747</v>
      </c>
      <c r="K17" s="93">
        <f t="shared" si="6"/>
        <v>6.1544800289940573</v>
      </c>
      <c r="L17" s="93">
        <f t="shared" si="6"/>
        <v>6.2497106830005551</v>
      </c>
      <c r="M17" s="93">
        <f t="shared" si="6"/>
        <v>6.3459766037514855</v>
      </c>
      <c r="N17" s="93">
        <f t="shared" si="6"/>
        <v>6.441457275699995</v>
      </c>
      <c r="O17" s="93">
        <f t="shared" si="6"/>
        <v>6.5362234326450155</v>
      </c>
      <c r="P17" s="93">
        <f t="shared" si="6"/>
        <v>6.6304228200243429</v>
      </c>
      <c r="Q17" s="93">
        <f t="shared" si="6"/>
        <v>6.7241955813419549</v>
      </c>
      <c r="R17" s="93">
        <f t="shared" si="6"/>
        <v>6.8161560866873314</v>
      </c>
      <c r="S17" s="93">
        <f t="shared" si="6"/>
        <v>6.9075115827098355</v>
      </c>
      <c r="T17" s="93">
        <f t="shared" si="6"/>
        <v>6.998378193450991</v>
      </c>
      <c r="U17" s="93">
        <f t="shared" si="6"/>
        <v>7.0883745034538377</v>
      </c>
      <c r="V17" s="93">
        <f t="shared" si="6"/>
        <v>7.1779235576518179</v>
      </c>
      <c r="W17" s="93">
        <f t="shared" si="6"/>
        <v>7.2664656027335468</v>
      </c>
      <c r="X17" s="93">
        <f t="shared" si="6"/>
        <v>7.3534924369022088</v>
      </c>
      <c r="Y17" s="93">
        <f t="shared" si="6"/>
        <v>7.4386400700697557</v>
      </c>
      <c r="Z17" s="93">
        <f t="shared" si="6"/>
        <v>7.5223474667946473</v>
      </c>
      <c r="AA17" s="93">
        <f t="shared" si="6"/>
        <v>7.6053037076559677</v>
      </c>
      <c r="AB17" s="93"/>
      <c r="AC17" s="93"/>
      <c r="AD17" s="93"/>
      <c r="AE17" s="93"/>
      <c r="AF17" s="93"/>
      <c r="AG17" s="111"/>
    </row>
    <row r="18" spans="1:35" ht="14.45" x14ac:dyDescent="0.35">
      <c r="A18" s="95" t="s">
        <v>84</v>
      </c>
      <c r="B18" s="95"/>
      <c r="C18" s="95"/>
      <c r="D18" s="83"/>
      <c r="E18" s="122">
        <v>1655.9183350000001</v>
      </c>
      <c r="F18" s="122">
        <v>1668.9801030000001</v>
      </c>
      <c r="G18" s="122">
        <v>1685.9704589999999</v>
      </c>
      <c r="H18" s="122">
        <v>1703.655884</v>
      </c>
      <c r="I18" s="122">
        <v>1719.5433350000001</v>
      </c>
      <c r="J18" s="122">
        <v>1735.499634</v>
      </c>
      <c r="K18" s="122">
        <v>1750.5167240000001</v>
      </c>
      <c r="L18" s="122">
        <v>1765.213379</v>
      </c>
      <c r="M18" s="122">
        <v>1779.3881839999999</v>
      </c>
      <c r="N18" s="122">
        <v>1792.994385</v>
      </c>
      <c r="O18" s="122">
        <v>1806.1345209999999</v>
      </c>
      <c r="P18" s="122">
        <v>1818.895264</v>
      </c>
      <c r="Q18" s="122">
        <v>1831.213135</v>
      </c>
      <c r="R18" s="122">
        <v>1843.06665</v>
      </c>
      <c r="S18" s="122">
        <v>1854.6933590000001</v>
      </c>
      <c r="T18" s="122">
        <v>1866.000366</v>
      </c>
      <c r="U18" s="122">
        <v>1877.0325929999999</v>
      </c>
      <c r="V18" s="122">
        <v>1887.9185789999999</v>
      </c>
      <c r="W18" s="122">
        <v>1898.5582280000001</v>
      </c>
      <c r="X18" s="122">
        <v>1908.818481</v>
      </c>
      <c r="Y18" s="122">
        <v>1918.6529539999999</v>
      </c>
      <c r="Z18" s="122">
        <v>1928.1763920000001</v>
      </c>
      <c r="AA18" s="122">
        <v>1937.530518</v>
      </c>
      <c r="AB18" s="122">
        <v>1946.6625979999999</v>
      </c>
      <c r="AC18" s="122">
        <v>1955.450073</v>
      </c>
      <c r="AD18" s="122">
        <v>1964.0225829999999</v>
      </c>
      <c r="AE18" s="122">
        <v>1972.445068</v>
      </c>
      <c r="AF18" s="122">
        <v>1980.737427</v>
      </c>
      <c r="AG18" s="111"/>
    </row>
    <row r="19" spans="1:35" ht="14.45" x14ac:dyDescent="0.35">
      <c r="A19" s="96"/>
      <c r="B19" s="96"/>
      <c r="C19" s="96"/>
      <c r="D19" s="83"/>
      <c r="E19" s="88"/>
      <c r="F19" s="88"/>
      <c r="G19" s="88"/>
      <c r="H19" s="88"/>
      <c r="I19" s="88"/>
      <c r="J19" s="88"/>
      <c r="K19" s="88"/>
      <c r="L19" s="88"/>
      <c r="M19" s="88"/>
      <c r="N19" s="88"/>
      <c r="O19" s="88"/>
      <c r="P19" s="88"/>
      <c r="Q19" s="88"/>
      <c r="R19" s="88"/>
      <c r="S19" s="88"/>
      <c r="T19" s="88"/>
      <c r="U19" s="88"/>
      <c r="V19" s="88"/>
      <c r="W19" s="88"/>
      <c r="X19" s="88"/>
      <c r="Y19" s="88"/>
      <c r="Z19" s="88"/>
      <c r="AA19" s="88"/>
      <c r="AB19" s="88"/>
      <c r="AC19" s="88"/>
      <c r="AD19" s="88"/>
      <c r="AE19" s="88"/>
      <c r="AF19" s="88"/>
      <c r="AG19" s="112"/>
    </row>
    <row r="20" spans="1:35" ht="14.45" x14ac:dyDescent="0.35">
      <c r="A20" s="95" t="s">
        <v>89</v>
      </c>
      <c r="B20" s="95"/>
      <c r="C20" s="95"/>
      <c r="D20" s="99"/>
      <c r="E20" s="92"/>
      <c r="F20" s="308">
        <f>F17*F18</f>
        <v>9567.8142522192429</v>
      </c>
      <c r="G20" s="308">
        <f t="shared" ref="G20:AA20" si="7">G17*G18</f>
        <v>9767.8113023903607</v>
      </c>
      <c r="H20" s="308">
        <f t="shared" si="7"/>
        <v>10008.840164035133</v>
      </c>
      <c r="I20" s="308">
        <f t="shared" si="7"/>
        <v>10259.759951449656</v>
      </c>
      <c r="J20" s="308">
        <f t="shared" si="7"/>
        <v>10517.854607446525</v>
      </c>
      <c r="K20" s="308">
        <f t="shared" si="7"/>
        <v>10773.520218278103</v>
      </c>
      <c r="L20" s="308">
        <f t="shared" si="7"/>
        <v>11032.072912511809</v>
      </c>
      <c r="M20" s="308">
        <f t="shared" si="7"/>
        <v>11291.955784655844</v>
      </c>
      <c r="N20" s="308">
        <f t="shared" si="7"/>
        <v>11549.496726547488</v>
      </c>
      <c r="O20" s="308">
        <f t="shared" si="7"/>
        <v>11805.298778669281</v>
      </c>
      <c r="P20" s="308">
        <f t="shared" si="7"/>
        <v>12060.044665659801</v>
      </c>
      <c r="Q20" s="308">
        <f t="shared" si="7"/>
        <v>12313.435270862348</v>
      </c>
      <c r="R20" s="308">
        <f t="shared" si="7"/>
        <v>12562.62996456793</v>
      </c>
      <c r="S20" s="308">
        <f t="shared" si="7"/>
        <v>12811.315859667511</v>
      </c>
      <c r="T20" s="308">
        <f t="shared" si="7"/>
        <v>13058.976270385969</v>
      </c>
      <c r="U20" s="308">
        <f t="shared" si="7"/>
        <v>13305.109974373043</v>
      </c>
      <c r="V20" s="308">
        <f t="shared" si="7"/>
        <v>13551.335243132644</v>
      </c>
      <c r="W20" s="308">
        <f t="shared" si="7"/>
        <v>13795.808058548755</v>
      </c>
      <c r="X20" s="308">
        <f t="shared" si="7"/>
        <v>14036.482263452663</v>
      </c>
      <c r="Y20" s="308">
        <f t="shared" si="7"/>
        <v>14272.168744182103</v>
      </c>
      <c r="Z20" s="308">
        <f t="shared" si="7"/>
        <v>14504.412797894443</v>
      </c>
      <c r="AA20" s="308">
        <f t="shared" si="7"/>
        <v>14735.508032241987</v>
      </c>
      <c r="AB20" s="308">
        <f>AA20*(1+AB21)</f>
        <v>14968.918213221801</v>
      </c>
      <c r="AC20" s="308">
        <f>AB20*(1+AC21)</f>
        <v>15199.300922318511</v>
      </c>
      <c r="AD20" s="308">
        <f>AC20*(1+AD21)</f>
        <v>15426.401208694693</v>
      </c>
      <c r="AE20" s="308">
        <f>AD20*(1+AE21)</f>
        <v>15649.964506914668</v>
      </c>
      <c r="AF20" s="308">
        <f>AE20*(1+AF21)</f>
        <v>15869.73710049643</v>
      </c>
      <c r="AG20" s="101"/>
    </row>
    <row r="21" spans="1:35" ht="14.45" x14ac:dyDescent="0.35">
      <c r="A21" s="95" t="s">
        <v>85</v>
      </c>
      <c r="B21" s="95"/>
      <c r="C21" s="102"/>
      <c r="D21" s="102"/>
      <c r="E21" s="102"/>
      <c r="F21" s="102"/>
      <c r="G21" s="846">
        <f t="shared" ref="G21:AA21" si="8">(G20-F20)/F20</f>
        <v>2.0903107533126353E-2</v>
      </c>
      <c r="H21" s="846">
        <f t="shared" si="8"/>
        <v>2.4675831072390627E-2</v>
      </c>
      <c r="I21" s="846">
        <f t="shared" si="8"/>
        <v>2.5069816612333921E-2</v>
      </c>
      <c r="J21" s="846">
        <f t="shared" si="8"/>
        <v>2.5156013124888098E-2</v>
      </c>
      <c r="K21" s="846">
        <f t="shared" si="8"/>
        <v>2.4307771914870345E-2</v>
      </c>
      <c r="L21" s="846">
        <f t="shared" si="8"/>
        <v>2.399890555689041E-2</v>
      </c>
      <c r="M21" s="846">
        <f t="shared" si="8"/>
        <v>2.3557029962092975E-2</v>
      </c>
      <c r="N21" s="846">
        <f t="shared" si="8"/>
        <v>2.2807469919569261E-2</v>
      </c>
      <c r="O21" s="846">
        <f t="shared" si="8"/>
        <v>2.2148328899371926E-2</v>
      </c>
      <c r="P21" s="846">
        <f t="shared" si="8"/>
        <v>2.1578944486421198E-2</v>
      </c>
      <c r="Q21" s="846">
        <f t="shared" si="8"/>
        <v>2.1010751802939851E-2</v>
      </c>
      <c r="R21" s="846">
        <f t="shared" si="8"/>
        <v>2.023762566854586E-2</v>
      </c>
      <c r="S21" s="846">
        <f t="shared" si="8"/>
        <v>1.9795687352169352E-2</v>
      </c>
      <c r="T21" s="846">
        <f t="shared" si="8"/>
        <v>1.9331379651495458E-2</v>
      </c>
      <c r="U21" s="846">
        <f t="shared" si="8"/>
        <v>1.8847855979739783E-2</v>
      </c>
      <c r="V21" s="846">
        <f t="shared" si="8"/>
        <v>1.8506067911791428E-2</v>
      </c>
      <c r="W21" s="846">
        <f t="shared" si="8"/>
        <v>1.8040496455137268E-2</v>
      </c>
      <c r="X21" s="846">
        <f t="shared" si="8"/>
        <v>1.7445459075865487E-2</v>
      </c>
      <c r="Y21" s="846">
        <f t="shared" si="8"/>
        <v>1.6790993377529255E-2</v>
      </c>
      <c r="Z21" s="846">
        <f t="shared" si="8"/>
        <v>1.6272513160062802E-2</v>
      </c>
      <c r="AA21" s="846">
        <f t="shared" si="8"/>
        <v>1.5932753539742817E-2</v>
      </c>
      <c r="AB21" s="873">
        <f>TREND($G$21:$AA$21,$G$3:$AA$3,AB3)</f>
        <v>1.5839981931339064E-2</v>
      </c>
      <c r="AC21" s="873">
        <f>TREND($G$21:$AA$21,$G$3:$AA$3,AC3)</f>
        <v>1.5390738717058317E-2</v>
      </c>
      <c r="AD21" s="873">
        <f>TREND($G$21:$AA$21,$G$3:$AA$3,AD3)</f>
        <v>1.4941495502777458E-2</v>
      </c>
      <c r="AE21" s="873">
        <f>TREND($G$21:$AA$21,$G$3:$AA$3,AE3)</f>
        <v>1.449225228849671E-2</v>
      </c>
      <c r="AF21" s="873">
        <f>TREND($G$21:$AA$21,$G$3:$AA$3,AF3)</f>
        <v>1.4043009074215962E-2</v>
      </c>
      <c r="AG21" s="101"/>
    </row>
    <row r="22" spans="1:35" ht="14.45" x14ac:dyDescent="0.35">
      <c r="A22" s="95" t="s">
        <v>86</v>
      </c>
      <c r="B22" s="95"/>
      <c r="C22" s="95"/>
      <c r="D22" s="95"/>
      <c r="E22" s="94"/>
      <c r="F22" s="94"/>
      <c r="G22" s="89">
        <f t="shared" ref="G22:AA22" si="9">(G20-$G$20)/$G$20</f>
        <v>0</v>
      </c>
      <c r="H22" s="89">
        <f t="shared" si="9"/>
        <v>2.4675831072390627E-2</v>
      </c>
      <c r="I22" s="89">
        <f t="shared" si="9"/>
        <v>5.0364266244466313E-2</v>
      </c>
      <c r="J22" s="89">
        <f t="shared" si="9"/>
        <v>7.6787243512025566E-2</v>
      </c>
      <c r="K22" s="89">
        <f t="shared" si="9"/>
        <v>0.10296154222815783</v>
      </c>
      <c r="L22" s="89">
        <f t="shared" si="9"/>
        <v>0.1294314121129736</v>
      </c>
      <c r="M22" s="89">
        <f t="shared" si="9"/>
        <v>0.15603746172824789</v>
      </c>
      <c r="N22" s="89">
        <f t="shared" si="9"/>
        <v>0.18240375136251011</v>
      </c>
      <c r="O22" s="89">
        <f t="shared" si="9"/>
        <v>0.20859201853953815</v>
      </c>
      <c r="P22" s="89">
        <f t="shared" si="9"/>
        <v>0.23467215861433458</v>
      </c>
      <c r="Q22" s="89">
        <f t="shared" si="9"/>
        <v>0.26061354889698035</v>
      </c>
      <c r="R22" s="89">
        <f t="shared" si="9"/>
        <v>0.28612537401225457</v>
      </c>
      <c r="S22" s="89">
        <f t="shared" si="9"/>
        <v>0.31158510981189302</v>
      </c>
      <c r="T22" s="89">
        <f t="shared" si="9"/>
        <v>0.33693985951491512</v>
      </c>
      <c r="U22" s="89">
        <f t="shared" si="9"/>
        <v>0.36213830944062575</v>
      </c>
      <c r="V22" s="89">
        <f t="shared" si="9"/>
        <v>0.38734613350038677</v>
      </c>
      <c r="W22" s="89">
        <f t="shared" si="9"/>
        <v>0.41237454650384886</v>
      </c>
      <c r="X22" s="89">
        <f t="shared" si="9"/>
        <v>0.43701406885467586</v>
      </c>
      <c r="Y22" s="89">
        <f t="shared" si="9"/>
        <v>0.46114296256823106</v>
      </c>
      <c r="Z22" s="89">
        <f t="shared" si="9"/>
        <v>0.48491943065535575</v>
      </c>
      <c r="AA22" s="89">
        <f t="shared" si="9"/>
        <v>0.50857828597036281</v>
      </c>
      <c r="AB22" s="89"/>
      <c r="AC22" s="89"/>
      <c r="AD22" s="89"/>
      <c r="AE22" s="89"/>
      <c r="AF22" s="89"/>
      <c r="AG22" s="101"/>
    </row>
    <row r="23" spans="1:35" ht="14.45" x14ac:dyDescent="0.35">
      <c r="A23" s="95"/>
      <c r="B23" s="95"/>
      <c r="C23" s="95"/>
      <c r="D23" s="95"/>
      <c r="E23" s="94"/>
      <c r="F23" s="94"/>
      <c r="G23" s="89"/>
      <c r="H23" s="89"/>
      <c r="I23" s="89"/>
      <c r="J23" s="89"/>
      <c r="K23" s="89"/>
      <c r="L23" s="89"/>
      <c r="M23" s="89"/>
      <c r="N23" s="89"/>
      <c r="O23" s="89"/>
      <c r="P23" s="89"/>
      <c r="Q23" s="89"/>
      <c r="R23" s="89"/>
      <c r="S23" s="89"/>
      <c r="T23" s="89"/>
      <c r="U23" s="89"/>
      <c r="V23" s="89"/>
      <c r="W23" s="89"/>
      <c r="X23" s="89"/>
      <c r="Y23" s="89"/>
      <c r="Z23" s="89"/>
      <c r="AA23" s="89"/>
      <c r="AB23" s="89"/>
      <c r="AC23" s="89"/>
      <c r="AD23" s="89"/>
      <c r="AE23" s="89"/>
      <c r="AF23" s="89"/>
      <c r="AG23" s="101"/>
    </row>
    <row r="24" spans="1:35" ht="14.45" x14ac:dyDescent="0.35">
      <c r="A24" s="95"/>
      <c r="B24" s="95"/>
      <c r="C24" s="95"/>
      <c r="D24" s="95"/>
      <c r="E24" s="81"/>
      <c r="F24" s="81"/>
      <c r="G24" s="846"/>
      <c r="H24" s="846"/>
      <c r="I24" s="846"/>
      <c r="J24" s="846"/>
      <c r="K24" s="846"/>
      <c r="L24" s="846"/>
      <c r="M24" s="846"/>
      <c r="N24" s="846"/>
      <c r="O24" s="846"/>
      <c r="P24" s="846"/>
      <c r="Q24" s="846"/>
      <c r="R24" s="846"/>
      <c r="S24" s="846"/>
      <c r="T24" s="846"/>
      <c r="U24" s="846"/>
      <c r="V24" s="846"/>
      <c r="W24" s="846"/>
      <c r="X24" s="846"/>
      <c r="Y24" s="846"/>
      <c r="Z24" s="846"/>
      <c r="AA24" s="846"/>
      <c r="AB24" s="873"/>
      <c r="AC24" s="873"/>
      <c r="AD24" s="873"/>
      <c r="AE24" s="873"/>
      <c r="AF24" s="873"/>
      <c r="AG24" s="101"/>
    </row>
    <row r="25" spans="1:35" ht="14.45" x14ac:dyDescent="0.35">
      <c r="A25" s="81"/>
      <c r="B25" s="81"/>
      <c r="C25" s="81"/>
      <c r="D25" s="81"/>
      <c r="E25" s="81"/>
      <c r="F25" s="81"/>
      <c r="G25" s="81"/>
      <c r="H25" s="81"/>
      <c r="I25" s="81"/>
      <c r="J25" s="81"/>
      <c r="K25" s="81"/>
      <c r="L25" s="81"/>
      <c r="M25" s="81"/>
      <c r="N25" s="81"/>
      <c r="O25" s="81"/>
      <c r="P25" s="81"/>
      <c r="Q25" s="81"/>
      <c r="R25" s="81"/>
      <c r="S25" s="81"/>
      <c r="T25" s="81"/>
      <c r="U25" s="81"/>
      <c r="V25" s="81"/>
      <c r="W25" s="81"/>
      <c r="X25" s="81"/>
      <c r="Y25" s="81"/>
      <c r="Z25" s="81"/>
      <c r="AA25" s="81"/>
      <c r="AB25" s="81"/>
      <c r="AC25" s="81"/>
      <c r="AD25" s="81"/>
      <c r="AE25" s="81"/>
      <c r="AF25" s="81"/>
      <c r="AG25" s="101"/>
    </row>
    <row r="26" spans="1:35" ht="14.45" x14ac:dyDescent="0.35">
      <c r="A26" s="119" t="s">
        <v>87</v>
      </c>
      <c r="B26" s="119"/>
      <c r="C26" s="119"/>
      <c r="D26" s="119"/>
      <c r="E26" s="120"/>
      <c r="F26" s="120"/>
      <c r="G26" s="120"/>
      <c r="H26" s="120"/>
      <c r="I26" s="120"/>
      <c r="J26" s="120"/>
      <c r="K26" s="120"/>
      <c r="L26" s="120"/>
      <c r="M26" s="120"/>
      <c r="N26" s="120"/>
      <c r="O26" s="120"/>
      <c r="P26" s="120"/>
      <c r="Q26" s="120"/>
      <c r="R26" s="120"/>
      <c r="S26" s="120"/>
      <c r="T26" s="120"/>
      <c r="U26" s="120"/>
      <c r="V26" s="120"/>
      <c r="W26" s="120"/>
      <c r="X26" s="120"/>
      <c r="Y26" s="120"/>
      <c r="Z26" s="120"/>
      <c r="AA26" s="120"/>
      <c r="AB26" s="120"/>
      <c r="AC26" s="120"/>
      <c r="AD26" s="120"/>
      <c r="AE26" s="120"/>
      <c r="AF26" s="120"/>
      <c r="AG26" s="113"/>
    </row>
    <row r="27" spans="1:35" ht="14.45" x14ac:dyDescent="0.35">
      <c r="A27" s="86" t="s">
        <v>241</v>
      </c>
      <c r="B27" s="86"/>
      <c r="C27" s="86"/>
      <c r="D27" s="87"/>
      <c r="E27" s="81"/>
      <c r="F27" s="87" t="s">
        <v>73</v>
      </c>
      <c r="G27" s="87" t="s">
        <v>73</v>
      </c>
      <c r="H27" s="87" t="s">
        <v>73</v>
      </c>
      <c r="I27" s="87" t="s">
        <v>73</v>
      </c>
      <c r="J27" s="87" t="s">
        <v>73</v>
      </c>
      <c r="K27" s="87" t="s">
        <v>73</v>
      </c>
      <c r="L27" s="87" t="s">
        <v>73</v>
      </c>
      <c r="M27" s="87" t="s">
        <v>73</v>
      </c>
      <c r="N27" s="87" t="s">
        <v>73</v>
      </c>
      <c r="O27" s="87" t="s">
        <v>73</v>
      </c>
      <c r="P27" s="87" t="s">
        <v>73</v>
      </c>
      <c r="Q27" s="87" t="s">
        <v>73</v>
      </c>
      <c r="R27" s="87" t="s">
        <v>73</v>
      </c>
      <c r="S27" s="87" t="s">
        <v>73</v>
      </c>
      <c r="T27" s="87" t="s">
        <v>73</v>
      </c>
      <c r="U27" s="87" t="s">
        <v>73</v>
      </c>
      <c r="V27" s="87" t="s">
        <v>73</v>
      </c>
      <c r="W27" s="87" t="s">
        <v>73</v>
      </c>
      <c r="X27" s="87" t="s">
        <v>73</v>
      </c>
      <c r="Y27" s="87" t="s">
        <v>73</v>
      </c>
      <c r="Z27" s="87" t="s">
        <v>73</v>
      </c>
      <c r="AA27" s="87" t="s">
        <v>73</v>
      </c>
      <c r="AB27" s="87" t="s">
        <v>73</v>
      </c>
      <c r="AC27" s="87" t="s">
        <v>73</v>
      </c>
      <c r="AD27" s="87" t="s">
        <v>73</v>
      </c>
      <c r="AE27" s="87" t="s">
        <v>73</v>
      </c>
      <c r="AF27" s="87" t="s">
        <v>73</v>
      </c>
      <c r="AG27" s="114"/>
    </row>
    <row r="28" spans="1:35" ht="14.45" x14ac:dyDescent="0.35">
      <c r="A28" s="84" t="s">
        <v>89</v>
      </c>
      <c r="B28" s="84"/>
      <c r="C28" s="84"/>
      <c r="D28" s="100"/>
      <c r="E28" s="85"/>
      <c r="F28" s="85"/>
      <c r="G28" s="720">
        <v>2948.090114029822</v>
      </c>
      <c r="H28" s="720">
        <v>2987.2140614486348</v>
      </c>
      <c r="I28" s="720">
        <v>3030.8418919916344</v>
      </c>
      <c r="J28" s="720">
        <v>3075.0968313733924</v>
      </c>
      <c r="K28" s="720">
        <v>3117.9697916599393</v>
      </c>
      <c r="L28" s="720">
        <v>3160.2453715776455</v>
      </c>
      <c r="M28" s="720">
        <v>3198.7465644374097</v>
      </c>
      <c r="N28" s="720">
        <v>3237.1654208725167</v>
      </c>
      <c r="O28" s="720">
        <v>3280.1753493740061</v>
      </c>
      <c r="P28" s="720">
        <v>3322.7824879634636</v>
      </c>
      <c r="Q28" s="720">
        <v>3367.516519171581</v>
      </c>
      <c r="R28" s="720">
        <v>3410.4984293712896</v>
      </c>
      <c r="S28" s="720">
        <v>3452.7328055088415</v>
      </c>
      <c r="T28" s="720">
        <v>3494.4029066815742</v>
      </c>
      <c r="U28" s="720">
        <v>3535.9291575935404</v>
      </c>
      <c r="V28" s="720">
        <v>3577.217838793159</v>
      </c>
      <c r="W28" s="720">
        <v>3616.7544247486817</v>
      </c>
      <c r="X28" s="720">
        <v>3657.6726164719439</v>
      </c>
      <c r="Y28" s="720">
        <v>3700.2632977291237</v>
      </c>
      <c r="Z28" s="720">
        <v>3743.0990738973242</v>
      </c>
      <c r="AA28" s="720">
        <v>3784.9647186323182</v>
      </c>
      <c r="AB28" s="721">
        <f>AA28*(1+AB29)</f>
        <v>3826.2396830317093</v>
      </c>
      <c r="AC28" s="721">
        <f>AB28*(1+AC29)</f>
        <v>3867.3569575346964</v>
      </c>
      <c r="AD28" s="721">
        <f>AC28*(1+AD29)</f>
        <v>3908.301759698747</v>
      </c>
      <c r="AE28" s="721">
        <f>AD28*(1+AE29)</f>
        <v>3949.0592280700225</v>
      </c>
      <c r="AF28" s="721">
        <f>AE28*(1+AF29)</f>
        <v>3989.6144307646418</v>
      </c>
      <c r="AG28" s="111"/>
    </row>
    <row r="29" spans="1:35" ht="14.45" x14ac:dyDescent="0.35">
      <c r="A29" s="84" t="s">
        <v>85</v>
      </c>
      <c r="B29" s="84"/>
      <c r="C29" s="84"/>
      <c r="D29" s="84"/>
      <c r="E29" s="90"/>
      <c r="F29" s="90"/>
      <c r="G29" s="81"/>
      <c r="H29" s="90">
        <f>(H28-G28)/G28</f>
        <v>1.3270946920049622E-2</v>
      </c>
      <c r="I29" s="90">
        <f t="shared" ref="I29:AA29" si="10">(I28-H28)/H28</f>
        <v>1.4604855777172699E-2</v>
      </c>
      <c r="J29" s="90">
        <f t="shared" si="10"/>
        <v>1.4601533487673003E-2</v>
      </c>
      <c r="K29" s="90">
        <f t="shared" si="10"/>
        <v>1.3941987077980595E-2</v>
      </c>
      <c r="L29" s="90">
        <f t="shared" si="10"/>
        <v>1.3558688102362782E-2</v>
      </c>
      <c r="M29" s="90">
        <f t="shared" si="10"/>
        <v>1.2182975792333411E-2</v>
      </c>
      <c r="N29" s="90">
        <f t="shared" si="10"/>
        <v>1.2010597170227549E-2</v>
      </c>
      <c r="O29" s="90">
        <f t="shared" si="10"/>
        <v>1.3286293071145218E-2</v>
      </c>
      <c r="P29" s="90">
        <f t="shared" si="10"/>
        <v>1.2989286867724518E-2</v>
      </c>
      <c r="Q29" s="90">
        <f t="shared" si="10"/>
        <v>1.3462822610316238E-2</v>
      </c>
      <c r="R29" s="90">
        <f t="shared" si="10"/>
        <v>1.2763682065109012E-2</v>
      </c>
      <c r="S29" s="90">
        <f t="shared" si="10"/>
        <v>1.2383637468889725E-2</v>
      </c>
      <c r="T29" s="90">
        <f t="shared" si="10"/>
        <v>1.2068730342020105E-2</v>
      </c>
      <c r="U29" s="90">
        <f t="shared" si="10"/>
        <v>1.1883647083902282E-2</v>
      </c>
      <c r="V29" s="90">
        <f t="shared" si="10"/>
        <v>1.1676897177351427E-2</v>
      </c>
      <c r="W29" s="90">
        <f t="shared" si="10"/>
        <v>1.1052328300157729E-2</v>
      </c>
      <c r="X29" s="90">
        <f t="shared" si="10"/>
        <v>1.1313511208631622E-2</v>
      </c>
      <c r="Y29" s="90">
        <f t="shared" si="10"/>
        <v>1.1644202672862824E-2</v>
      </c>
      <c r="Z29" s="90">
        <f t="shared" si="10"/>
        <v>1.1576413006741733E-2</v>
      </c>
      <c r="AA29" s="90">
        <f t="shared" si="10"/>
        <v>1.1184754640064444E-2</v>
      </c>
      <c r="AB29" s="115">
        <f>TREND($H$29:$AA$29,$H$3:$AA$3,AB3)</f>
        <v>1.0904979958256011E-2</v>
      </c>
      <c r="AC29" s="115">
        <f>TREND($H$29:$AA$29,$H$3:$AA$3,AC3)</f>
        <v>1.0746131426457972E-2</v>
      </c>
      <c r="AD29" s="115">
        <f>TREND($H$29:$AA$29,$H$3:$AA$3,AD3)</f>
        <v>1.0587282894659877E-2</v>
      </c>
      <c r="AE29" s="115">
        <f>TREND($H$29:$AA$29,$H$3:$AA$3,AE3)</f>
        <v>1.0428434362861783E-2</v>
      </c>
      <c r="AF29" s="115">
        <f>TREND($H$29:$AA$29,$H$3:$AA$3,AF3)</f>
        <v>1.0269585831063743E-2</v>
      </c>
      <c r="AG29" s="115"/>
    </row>
    <row r="30" spans="1:35" ht="14.45" x14ac:dyDescent="0.35">
      <c r="A30" s="84" t="s">
        <v>86</v>
      </c>
      <c r="B30" s="84"/>
      <c r="C30" s="84"/>
      <c r="D30" s="84"/>
      <c r="E30" s="89"/>
      <c r="F30" s="89"/>
      <c r="G30" s="89"/>
      <c r="H30" s="89">
        <f>(H28-$G$28)/$G$28</f>
        <v>1.3270946920049622E-2</v>
      </c>
      <c r="I30" s="89">
        <f t="shared" ref="I30:AA30" si="11">(I28-$G$28)/$G$28</f>
        <v>2.8069622963016162E-2</v>
      </c>
      <c r="J30" s="89">
        <f t="shared" si="11"/>
        <v>4.3081015990370002E-2</v>
      </c>
      <c r="K30" s="89">
        <f t="shared" si="11"/>
        <v>5.7623638036594607E-2</v>
      </c>
      <c r="L30" s="89">
        <f t="shared" si="11"/>
        <v>7.1963627074419029E-2</v>
      </c>
      <c r="M30" s="89">
        <f t="shared" si="11"/>
        <v>8.5023333993328593E-2</v>
      </c>
      <c r="N30" s="89">
        <f t="shared" si="11"/>
        <v>9.805511217821973E-2</v>
      </c>
      <c r="O30" s="89">
        <f t="shared" si="11"/>
        <v>0.11264419420688879</v>
      </c>
      <c r="P30" s="89">
        <f t="shared" si="11"/>
        <v>0.12709664882715027</v>
      </c>
      <c r="Q30" s="89">
        <f t="shared" si="11"/>
        <v>0.14227055107499209</v>
      </c>
      <c r="R30" s="89">
        <f t="shared" si="11"/>
        <v>0.15685012922125013</v>
      </c>
      <c r="S30" s="89">
        <f t="shared" si="11"/>
        <v>0.17117614182736435</v>
      </c>
      <c r="T30" s="89">
        <f t="shared" si="11"/>
        <v>0.18531075086608628</v>
      </c>
      <c r="U30" s="89">
        <f t="shared" si="11"/>
        <v>0.19939656551413407</v>
      </c>
      <c r="V30" s="89">
        <f t="shared" si="11"/>
        <v>0.21340179588451108</v>
      </c>
      <c r="W30" s="89">
        <f t="shared" si="11"/>
        <v>0.22681271089262767</v>
      </c>
      <c r="X30" s="89">
        <f t="shared" si="11"/>
        <v>0.24069227024820314</v>
      </c>
      <c r="Y30" s="89">
        <f t="shared" si="11"/>
        <v>0.25513914249762754</v>
      </c>
      <c r="Z30" s="89">
        <f t="shared" si="11"/>
        <v>0.26966915159210775</v>
      </c>
      <c r="AA30" s="89">
        <f t="shared" si="11"/>
        <v>0.28387008952672421</v>
      </c>
      <c r="AB30" s="89"/>
      <c r="AC30" s="89"/>
      <c r="AD30" s="89"/>
      <c r="AE30" s="89"/>
      <c r="AF30" s="89"/>
      <c r="AG30" s="116"/>
    </row>
    <row r="31" spans="1:35" ht="14.45" x14ac:dyDescent="0.35">
      <c r="A31" s="84"/>
      <c r="B31" s="84"/>
      <c r="C31" s="84"/>
      <c r="D31" s="84"/>
      <c r="E31" s="81"/>
      <c r="F31" s="81"/>
      <c r="G31" s="81"/>
      <c r="H31" s="81"/>
      <c r="I31" s="81"/>
      <c r="J31" s="81"/>
      <c r="K31" s="81"/>
      <c r="L31" s="81"/>
      <c r="M31" s="81"/>
      <c r="N31" s="81"/>
      <c r="O31" s="81"/>
      <c r="P31" s="81"/>
      <c r="Q31" s="81"/>
      <c r="R31" s="81"/>
      <c r="S31" s="81"/>
      <c r="T31" s="81"/>
      <c r="U31" s="81"/>
      <c r="V31" s="81"/>
      <c r="W31" s="81"/>
      <c r="X31" s="81"/>
      <c r="Y31" s="81"/>
      <c r="Z31" s="81"/>
      <c r="AA31" s="81"/>
      <c r="AB31" s="81"/>
      <c r="AC31" s="81"/>
      <c r="AD31" s="81"/>
      <c r="AE31" s="81"/>
      <c r="AF31" s="81"/>
      <c r="AG31" s="104"/>
    </row>
    <row r="32" spans="1:35" ht="14.45" x14ac:dyDescent="0.35">
      <c r="A32" s="81"/>
      <c r="B32" s="81"/>
      <c r="C32" s="81"/>
      <c r="D32" s="81"/>
      <c r="E32" s="81"/>
      <c r="F32" s="81"/>
      <c r="G32" s="81"/>
      <c r="H32" s="81"/>
      <c r="I32" s="81"/>
      <c r="J32" s="81"/>
      <c r="K32" s="81"/>
      <c r="L32" s="81"/>
      <c r="M32" s="81"/>
      <c r="N32" s="81"/>
      <c r="O32" s="81"/>
      <c r="P32" s="81"/>
      <c r="Q32" s="81"/>
      <c r="R32" s="81"/>
      <c r="S32" s="81"/>
      <c r="T32" s="81"/>
      <c r="U32" s="81"/>
      <c r="V32" s="81"/>
      <c r="W32" s="81"/>
      <c r="X32" s="81"/>
      <c r="Y32" s="81"/>
      <c r="Z32" s="81"/>
      <c r="AA32" s="81"/>
      <c r="AB32" s="81"/>
      <c r="AC32" s="81"/>
      <c r="AD32" s="81"/>
      <c r="AE32" s="81"/>
      <c r="AF32" s="81"/>
      <c r="AG32" s="104"/>
      <c r="AH32" s="81"/>
      <c r="AI32" s="81"/>
    </row>
    <row r="33" spans="1:35" ht="14.45" x14ac:dyDescent="0.35">
      <c r="A33" s="117" t="s">
        <v>88</v>
      </c>
      <c r="B33" s="117"/>
      <c r="C33" s="117"/>
      <c r="D33" s="117"/>
      <c r="E33" s="118"/>
      <c r="F33" s="118"/>
      <c r="G33" s="118"/>
      <c r="H33" s="118"/>
      <c r="I33" s="118"/>
      <c r="J33" s="118"/>
      <c r="K33" s="118"/>
      <c r="L33" s="118"/>
      <c r="M33" s="118"/>
      <c r="N33" s="118"/>
      <c r="O33" s="118"/>
      <c r="P33" s="118"/>
      <c r="Q33" s="118"/>
      <c r="R33" s="118"/>
      <c r="S33" s="118"/>
      <c r="T33" s="118"/>
      <c r="U33" s="118"/>
      <c r="V33" s="118"/>
      <c r="W33" s="118"/>
      <c r="X33" s="118"/>
      <c r="Y33" s="118"/>
      <c r="Z33" s="118"/>
      <c r="AA33" s="118"/>
      <c r="AB33" s="118"/>
      <c r="AC33" s="118"/>
      <c r="AD33" s="118"/>
      <c r="AE33" s="118"/>
      <c r="AF33" s="118"/>
      <c r="AG33" s="110"/>
      <c r="AH33" s="110"/>
      <c r="AI33" s="110"/>
    </row>
    <row r="34" spans="1:35" ht="14.45" x14ac:dyDescent="0.35">
      <c r="A34" s="500" t="s">
        <v>254</v>
      </c>
      <c r="B34" s="81"/>
      <c r="C34" s="81"/>
      <c r="D34" s="81"/>
      <c r="E34" s="81"/>
      <c r="F34" s="81"/>
      <c r="G34" s="81"/>
      <c r="H34" s="81"/>
      <c r="I34" s="81"/>
      <c r="J34" s="81"/>
      <c r="K34" s="81"/>
      <c r="L34" s="81"/>
      <c r="M34" s="81"/>
      <c r="N34" s="81"/>
      <c r="O34" s="81"/>
      <c r="P34" s="81"/>
      <c r="Q34" s="81"/>
      <c r="R34" s="81"/>
      <c r="S34" s="81"/>
      <c r="T34" s="81"/>
      <c r="U34" s="81"/>
      <c r="V34" s="81"/>
      <c r="W34" s="81"/>
      <c r="X34" s="81"/>
      <c r="Y34" s="81"/>
      <c r="Z34" s="81"/>
      <c r="AA34" s="81"/>
      <c r="AB34" s="81"/>
      <c r="AC34" s="81"/>
      <c r="AD34" s="81"/>
      <c r="AE34" s="81"/>
      <c r="AF34" s="81"/>
      <c r="AG34" s="101"/>
      <c r="AH34" s="101"/>
      <c r="AI34" s="101"/>
    </row>
    <row r="35" spans="1:35" s="539" customFormat="1" ht="14.45" x14ac:dyDescent="0.35">
      <c r="A35" s="84" t="s">
        <v>89</v>
      </c>
      <c r="B35" s="806"/>
      <c r="C35" s="806"/>
      <c r="D35" s="806"/>
      <c r="E35" s="806"/>
      <c r="F35" s="806"/>
      <c r="G35" s="720">
        <v>402.66186699999997</v>
      </c>
      <c r="H35" s="722">
        <f>G35*(1+H36)</f>
        <v>398.63524832999997</v>
      </c>
      <c r="I35" s="722">
        <f t="shared" ref="I35:AF35" si="12">H35*(1+I36)</f>
        <v>394.64889584669999</v>
      </c>
      <c r="J35" s="722">
        <f t="shared" si="12"/>
        <v>390.70240688823299</v>
      </c>
      <c r="K35" s="722">
        <f t="shared" si="12"/>
        <v>386.79538281935066</v>
      </c>
      <c r="L35" s="722">
        <f t="shared" si="12"/>
        <v>382.92742899115717</v>
      </c>
      <c r="M35" s="722">
        <f t="shared" si="12"/>
        <v>379.09815470124562</v>
      </c>
      <c r="N35" s="722">
        <f t="shared" si="12"/>
        <v>375.30717315423317</v>
      </c>
      <c r="O35" s="722">
        <f t="shared" si="12"/>
        <v>371.55410142269085</v>
      </c>
      <c r="P35" s="722">
        <f t="shared" si="12"/>
        <v>367.83856040846393</v>
      </c>
      <c r="Q35" s="722">
        <f t="shared" si="12"/>
        <v>364.16017480437927</v>
      </c>
      <c r="R35" s="722">
        <f t="shared" si="12"/>
        <v>360.51857305633547</v>
      </c>
      <c r="S35" s="722">
        <f t="shared" si="12"/>
        <v>356.91338732577213</v>
      </c>
      <c r="T35" s="722">
        <f t="shared" si="12"/>
        <v>353.34425345251441</v>
      </c>
      <c r="U35" s="722">
        <f t="shared" si="12"/>
        <v>349.81081091798927</v>
      </c>
      <c r="V35" s="722">
        <f t="shared" si="12"/>
        <v>346.31270280880938</v>
      </c>
      <c r="W35" s="722">
        <f t="shared" si="12"/>
        <v>342.8495757807213</v>
      </c>
      <c r="X35" s="722">
        <f t="shared" si="12"/>
        <v>339.42108002291405</v>
      </c>
      <c r="Y35" s="722">
        <f t="shared" si="12"/>
        <v>336.02686922268492</v>
      </c>
      <c r="Z35" s="722">
        <f t="shared" si="12"/>
        <v>332.66660053045808</v>
      </c>
      <c r="AA35" s="722">
        <f t="shared" si="12"/>
        <v>329.33993452515352</v>
      </c>
      <c r="AB35" s="722">
        <f t="shared" si="12"/>
        <v>326.04653517990198</v>
      </c>
      <c r="AC35" s="722">
        <f t="shared" si="12"/>
        <v>322.78606982810294</v>
      </c>
      <c r="AD35" s="722">
        <f t="shared" si="12"/>
        <v>319.55820912982193</v>
      </c>
      <c r="AE35" s="722">
        <f t="shared" si="12"/>
        <v>316.36262703852373</v>
      </c>
      <c r="AF35" s="722">
        <f t="shared" si="12"/>
        <v>313.19900076813849</v>
      </c>
      <c r="AG35" s="808"/>
      <c r="AH35" s="808"/>
      <c r="AI35" s="808"/>
    </row>
    <row r="36" spans="1:35" ht="14.45" x14ac:dyDescent="0.35">
      <c r="A36" s="95" t="s">
        <v>85</v>
      </c>
      <c r="B36" s="91"/>
      <c r="C36" s="91"/>
      <c r="D36" s="91"/>
      <c r="E36" s="97"/>
      <c r="F36" s="97"/>
      <c r="G36" s="101"/>
      <c r="H36" s="121">
        <v>-0.01</v>
      </c>
      <c r="I36" s="121">
        <v>-0.01</v>
      </c>
      <c r="J36" s="121">
        <v>-0.01</v>
      </c>
      <c r="K36" s="121">
        <v>-0.01</v>
      </c>
      <c r="L36" s="121">
        <v>-0.01</v>
      </c>
      <c r="M36" s="121">
        <v>-0.01</v>
      </c>
      <c r="N36" s="121">
        <v>-0.01</v>
      </c>
      <c r="O36" s="121">
        <v>-0.01</v>
      </c>
      <c r="P36" s="121">
        <v>-0.01</v>
      </c>
      <c r="Q36" s="121">
        <v>-0.01</v>
      </c>
      <c r="R36" s="121">
        <v>-0.01</v>
      </c>
      <c r="S36" s="121">
        <v>-0.01</v>
      </c>
      <c r="T36" s="121">
        <v>-0.01</v>
      </c>
      <c r="U36" s="121">
        <v>-0.01</v>
      </c>
      <c r="V36" s="121">
        <v>-0.01</v>
      </c>
      <c r="W36" s="121">
        <v>-0.01</v>
      </c>
      <c r="X36" s="121">
        <v>-0.01</v>
      </c>
      <c r="Y36" s="121">
        <v>-0.01</v>
      </c>
      <c r="Z36" s="121">
        <v>-0.01</v>
      </c>
      <c r="AA36" s="121">
        <v>-0.01</v>
      </c>
      <c r="AB36" s="121">
        <v>-0.01</v>
      </c>
      <c r="AC36" s="121">
        <v>-0.01</v>
      </c>
      <c r="AD36" s="121">
        <v>-0.01</v>
      </c>
      <c r="AE36" s="121">
        <v>-0.01</v>
      </c>
      <c r="AF36" s="97">
        <f>TREND(W36:AE36,W3:AE3,AF3)</f>
        <v>-0.01</v>
      </c>
      <c r="AG36" s="115"/>
      <c r="AH36" s="103"/>
      <c r="AI36" s="103"/>
    </row>
    <row r="37" spans="1:35" x14ac:dyDescent="0.25">
      <c r="A37" s="95"/>
      <c r="B37" s="91"/>
      <c r="C37" s="91"/>
      <c r="D37" s="91"/>
      <c r="E37" s="98"/>
      <c r="F37" s="98"/>
      <c r="G37" s="98"/>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115"/>
      <c r="AH37" s="103"/>
      <c r="AI37" s="103"/>
    </row>
    <row r="38" spans="1:35" x14ac:dyDescent="0.25">
      <c r="A38" s="81"/>
      <c r="B38" s="81"/>
      <c r="C38" s="81"/>
      <c r="D38" s="81"/>
      <c r="E38" s="81"/>
      <c r="F38" s="81"/>
      <c r="G38" s="81"/>
      <c r="H38" s="81"/>
      <c r="I38" s="81"/>
      <c r="J38" s="81"/>
      <c r="K38" s="81"/>
      <c r="L38" s="81"/>
      <c r="M38" s="81"/>
      <c r="N38" s="81"/>
      <c r="O38" s="81"/>
      <c r="P38" s="81"/>
      <c r="Q38" s="81"/>
      <c r="R38" s="81"/>
      <c r="S38" s="81"/>
      <c r="T38" s="81"/>
      <c r="U38" s="81"/>
      <c r="V38" s="81"/>
      <c r="W38" s="81"/>
      <c r="X38" s="81"/>
      <c r="Y38" s="81"/>
      <c r="Z38" s="81"/>
      <c r="AA38" s="81"/>
      <c r="AB38" s="81"/>
      <c r="AC38" s="81"/>
      <c r="AD38" s="81"/>
      <c r="AE38" s="81"/>
      <c r="AF38" s="81"/>
      <c r="AG38" s="101"/>
      <c r="AH38" s="101"/>
      <c r="AI38" s="101"/>
    </row>
    <row r="39" spans="1:35" x14ac:dyDescent="0.25">
      <c r="A39" s="119" t="s">
        <v>90</v>
      </c>
      <c r="B39" s="119"/>
      <c r="C39" s="119"/>
      <c r="D39" s="119"/>
      <c r="E39" s="120"/>
      <c r="F39" s="120"/>
      <c r="G39" s="120"/>
      <c r="H39" s="120"/>
      <c r="I39" s="120"/>
      <c r="J39" s="120"/>
      <c r="K39" s="120"/>
      <c r="L39" s="120"/>
      <c r="M39" s="120"/>
      <c r="N39" s="120"/>
      <c r="O39" s="120"/>
      <c r="P39" s="120"/>
      <c r="Q39" s="120"/>
      <c r="R39" s="120"/>
      <c r="S39" s="120"/>
      <c r="T39" s="120"/>
      <c r="U39" s="120"/>
      <c r="V39" s="120"/>
      <c r="W39" s="120"/>
      <c r="X39" s="120"/>
      <c r="Y39" s="120"/>
      <c r="Z39" s="120"/>
      <c r="AA39" s="120"/>
      <c r="AB39" s="120"/>
      <c r="AC39" s="120"/>
      <c r="AD39" s="120"/>
      <c r="AE39" s="120"/>
      <c r="AF39" s="120"/>
      <c r="AG39" s="113"/>
      <c r="AH39" s="113"/>
      <c r="AI39" s="113"/>
    </row>
    <row r="40" spans="1:35" x14ac:dyDescent="0.25">
      <c r="A40" s="86" t="s">
        <v>241</v>
      </c>
      <c r="B40" s="86"/>
      <c r="C40" s="86"/>
      <c r="D40" s="86"/>
      <c r="E40" s="81"/>
      <c r="F40" s="81"/>
      <c r="G40" s="81"/>
      <c r="H40" s="81"/>
      <c r="I40" s="81"/>
      <c r="J40" s="81"/>
      <c r="K40" s="81"/>
      <c r="L40" s="81"/>
      <c r="M40" s="81"/>
      <c r="N40" s="81"/>
      <c r="O40" s="81"/>
      <c r="P40" s="81"/>
      <c r="Q40" s="81"/>
      <c r="R40" s="81"/>
      <c r="S40" s="81"/>
      <c r="T40" s="81"/>
      <c r="U40" s="81"/>
      <c r="V40" s="81"/>
      <c r="W40" s="81"/>
      <c r="X40" s="81"/>
      <c r="Y40" s="81"/>
      <c r="Z40" s="81"/>
      <c r="AA40" s="81"/>
      <c r="AB40" s="81"/>
      <c r="AC40" s="81"/>
      <c r="AD40" s="81"/>
      <c r="AE40" s="81"/>
      <c r="AF40" s="81"/>
      <c r="AG40" s="104"/>
      <c r="AH40" s="81"/>
      <c r="AI40" s="81"/>
    </row>
    <row r="41" spans="1:35" x14ac:dyDescent="0.25">
      <c r="A41" s="84" t="s">
        <v>89</v>
      </c>
      <c r="B41" s="84"/>
      <c r="C41" s="84"/>
      <c r="D41" s="100"/>
      <c r="E41" s="85"/>
      <c r="F41" s="85"/>
      <c r="G41" s="722">
        <f t="shared" ref="G41:AF41" si="13">G28</f>
        <v>2948.090114029822</v>
      </c>
      <c r="H41" s="722">
        <f t="shared" si="13"/>
        <v>2987.2140614486348</v>
      </c>
      <c r="I41" s="722">
        <f t="shared" si="13"/>
        <v>3030.8418919916344</v>
      </c>
      <c r="J41" s="722">
        <f t="shared" si="13"/>
        <v>3075.0968313733924</v>
      </c>
      <c r="K41" s="722">
        <f t="shared" si="13"/>
        <v>3117.9697916599393</v>
      </c>
      <c r="L41" s="722">
        <f t="shared" si="13"/>
        <v>3160.2453715776455</v>
      </c>
      <c r="M41" s="722">
        <f t="shared" si="13"/>
        <v>3198.7465644374097</v>
      </c>
      <c r="N41" s="722">
        <f t="shared" si="13"/>
        <v>3237.1654208725167</v>
      </c>
      <c r="O41" s="722">
        <f t="shared" si="13"/>
        <v>3280.1753493740061</v>
      </c>
      <c r="P41" s="722">
        <f t="shared" si="13"/>
        <v>3322.7824879634636</v>
      </c>
      <c r="Q41" s="722">
        <f t="shared" si="13"/>
        <v>3367.516519171581</v>
      </c>
      <c r="R41" s="722">
        <f t="shared" si="13"/>
        <v>3410.4984293712896</v>
      </c>
      <c r="S41" s="722">
        <f t="shared" si="13"/>
        <v>3452.7328055088415</v>
      </c>
      <c r="T41" s="722">
        <f t="shared" si="13"/>
        <v>3494.4029066815742</v>
      </c>
      <c r="U41" s="722">
        <f t="shared" si="13"/>
        <v>3535.9291575935404</v>
      </c>
      <c r="V41" s="722">
        <f t="shared" si="13"/>
        <v>3577.217838793159</v>
      </c>
      <c r="W41" s="722">
        <f t="shared" si="13"/>
        <v>3616.7544247486817</v>
      </c>
      <c r="X41" s="722">
        <f t="shared" si="13"/>
        <v>3657.6726164719439</v>
      </c>
      <c r="Y41" s="722">
        <f t="shared" si="13"/>
        <v>3700.2632977291237</v>
      </c>
      <c r="Z41" s="722">
        <f t="shared" si="13"/>
        <v>3743.0990738973242</v>
      </c>
      <c r="AA41" s="722">
        <f t="shared" si="13"/>
        <v>3784.9647186323182</v>
      </c>
      <c r="AB41" s="722">
        <f t="shared" si="13"/>
        <v>3826.2396830317093</v>
      </c>
      <c r="AC41" s="722">
        <f t="shared" si="13"/>
        <v>3867.3569575346964</v>
      </c>
      <c r="AD41" s="722">
        <f t="shared" si="13"/>
        <v>3908.301759698747</v>
      </c>
      <c r="AE41" s="722">
        <f t="shared" si="13"/>
        <v>3949.0592280700225</v>
      </c>
      <c r="AF41" s="722">
        <f t="shared" si="13"/>
        <v>3989.6144307646418</v>
      </c>
      <c r="AG41" s="111"/>
      <c r="AH41" s="81"/>
      <c r="AI41" s="81"/>
    </row>
    <row r="42" spans="1:35" x14ac:dyDescent="0.25">
      <c r="A42" s="84" t="s">
        <v>85</v>
      </c>
      <c r="B42" s="84"/>
      <c r="C42" s="84"/>
      <c r="D42" s="84"/>
      <c r="E42" s="90"/>
      <c r="F42" s="90"/>
      <c r="G42" s="81"/>
      <c r="H42" s="97">
        <f t="shared" ref="H42:AF42" si="14">H29</f>
        <v>1.3270946920049622E-2</v>
      </c>
      <c r="I42" s="97">
        <f t="shared" si="14"/>
        <v>1.4604855777172699E-2</v>
      </c>
      <c r="J42" s="97">
        <f t="shared" si="14"/>
        <v>1.4601533487673003E-2</v>
      </c>
      <c r="K42" s="97">
        <f t="shared" si="14"/>
        <v>1.3941987077980595E-2</v>
      </c>
      <c r="L42" s="97">
        <f t="shared" si="14"/>
        <v>1.3558688102362782E-2</v>
      </c>
      <c r="M42" s="97">
        <f t="shared" si="14"/>
        <v>1.2182975792333411E-2</v>
      </c>
      <c r="N42" s="97">
        <f t="shared" si="14"/>
        <v>1.2010597170227549E-2</v>
      </c>
      <c r="O42" s="97">
        <f t="shared" si="14"/>
        <v>1.3286293071145218E-2</v>
      </c>
      <c r="P42" s="97">
        <f t="shared" si="14"/>
        <v>1.2989286867724518E-2</v>
      </c>
      <c r="Q42" s="97">
        <f t="shared" si="14"/>
        <v>1.3462822610316238E-2</v>
      </c>
      <c r="R42" s="97">
        <f t="shared" si="14"/>
        <v>1.2763682065109012E-2</v>
      </c>
      <c r="S42" s="97">
        <f t="shared" si="14"/>
        <v>1.2383637468889725E-2</v>
      </c>
      <c r="T42" s="97">
        <f t="shared" si="14"/>
        <v>1.2068730342020105E-2</v>
      </c>
      <c r="U42" s="97">
        <f t="shared" si="14"/>
        <v>1.1883647083902282E-2</v>
      </c>
      <c r="V42" s="97">
        <f t="shared" si="14"/>
        <v>1.1676897177351427E-2</v>
      </c>
      <c r="W42" s="97">
        <f t="shared" si="14"/>
        <v>1.1052328300157729E-2</v>
      </c>
      <c r="X42" s="97">
        <f t="shared" si="14"/>
        <v>1.1313511208631622E-2</v>
      </c>
      <c r="Y42" s="97">
        <f t="shared" si="14"/>
        <v>1.1644202672862824E-2</v>
      </c>
      <c r="Z42" s="97">
        <f t="shared" si="14"/>
        <v>1.1576413006741733E-2</v>
      </c>
      <c r="AA42" s="97">
        <f t="shared" si="14"/>
        <v>1.1184754640064444E-2</v>
      </c>
      <c r="AB42" s="97">
        <f t="shared" si="14"/>
        <v>1.0904979958256011E-2</v>
      </c>
      <c r="AC42" s="97">
        <f t="shared" si="14"/>
        <v>1.0746131426457972E-2</v>
      </c>
      <c r="AD42" s="97">
        <f t="shared" si="14"/>
        <v>1.0587282894659877E-2</v>
      </c>
      <c r="AE42" s="97">
        <f t="shared" si="14"/>
        <v>1.0428434362861783E-2</v>
      </c>
      <c r="AF42" s="97">
        <f t="shared" si="14"/>
        <v>1.0269585831063743E-2</v>
      </c>
      <c r="AG42" s="115"/>
      <c r="AH42" s="81"/>
      <c r="AI42" s="81"/>
    </row>
    <row r="43" spans="1:35" x14ac:dyDescent="0.25">
      <c r="A43" s="84" t="s">
        <v>86</v>
      </c>
      <c r="B43" s="84"/>
      <c r="C43" s="84"/>
      <c r="D43" s="84"/>
      <c r="E43" s="89"/>
      <c r="F43" s="89"/>
      <c r="G43" s="89"/>
      <c r="H43" s="89">
        <f>(H41-$G$41)/$G$41</f>
        <v>1.3270946920049622E-2</v>
      </c>
      <c r="I43" s="89">
        <f t="shared" ref="I43:AA43" si="15">(I41-$G$41)/$G$41</f>
        <v>2.8069622963016162E-2</v>
      </c>
      <c r="J43" s="89">
        <f t="shared" si="15"/>
        <v>4.3081015990370002E-2</v>
      </c>
      <c r="K43" s="89">
        <f t="shared" si="15"/>
        <v>5.7623638036594607E-2</v>
      </c>
      <c r="L43" s="89">
        <f t="shared" si="15"/>
        <v>7.1963627074419029E-2</v>
      </c>
      <c r="M43" s="89">
        <f t="shared" si="15"/>
        <v>8.5023333993328593E-2</v>
      </c>
      <c r="N43" s="89">
        <f t="shared" si="15"/>
        <v>9.805511217821973E-2</v>
      </c>
      <c r="O43" s="89">
        <f t="shared" si="15"/>
        <v>0.11264419420688879</v>
      </c>
      <c r="P43" s="89">
        <f t="shared" si="15"/>
        <v>0.12709664882715027</v>
      </c>
      <c r="Q43" s="89">
        <f t="shared" si="15"/>
        <v>0.14227055107499209</v>
      </c>
      <c r="R43" s="89">
        <f t="shared" si="15"/>
        <v>0.15685012922125013</v>
      </c>
      <c r="S43" s="89">
        <f t="shared" si="15"/>
        <v>0.17117614182736435</v>
      </c>
      <c r="T43" s="89">
        <f t="shared" si="15"/>
        <v>0.18531075086608628</v>
      </c>
      <c r="U43" s="89">
        <f t="shared" si="15"/>
        <v>0.19939656551413407</v>
      </c>
      <c r="V43" s="89">
        <f t="shared" si="15"/>
        <v>0.21340179588451108</v>
      </c>
      <c r="W43" s="89">
        <f t="shared" si="15"/>
        <v>0.22681271089262767</v>
      </c>
      <c r="X43" s="89">
        <f t="shared" si="15"/>
        <v>0.24069227024820314</v>
      </c>
      <c r="Y43" s="89">
        <f t="shared" si="15"/>
        <v>0.25513914249762754</v>
      </c>
      <c r="Z43" s="89">
        <f t="shared" si="15"/>
        <v>0.26966915159210775</v>
      </c>
      <c r="AA43" s="89">
        <f t="shared" si="15"/>
        <v>0.28387008952672421</v>
      </c>
      <c r="AB43" s="89"/>
      <c r="AC43" s="89"/>
      <c r="AD43" s="89"/>
      <c r="AE43" s="89"/>
      <c r="AF43" s="89"/>
      <c r="AG43" s="116"/>
      <c r="AH43" s="81"/>
      <c r="AI43" s="81"/>
    </row>
    <row r="44" spans="1:35" x14ac:dyDescent="0.25">
      <c r="A44" s="79"/>
    </row>
    <row r="45" spans="1:35" x14ac:dyDescent="0.25">
      <c r="A45" s="79"/>
    </row>
    <row r="46" spans="1:35" s="403" customFormat="1" ht="12.75" x14ac:dyDescent="0.2">
      <c r="A46" s="404" t="s">
        <v>344</v>
      </c>
    </row>
    <row r="47" spans="1:35" s="830" customFormat="1" ht="12.75" x14ac:dyDescent="0.2"/>
    <row r="48" spans="1:35" s="830" customFormat="1" ht="12.75" x14ac:dyDescent="0.2">
      <c r="A48" s="830" t="s">
        <v>432</v>
      </c>
    </row>
    <row r="49" spans="1:1" s="830" customFormat="1" ht="12.75" x14ac:dyDescent="0.2">
      <c r="A49" s="830" t="s">
        <v>433</v>
      </c>
    </row>
    <row r="50" spans="1:1" s="830" customFormat="1" ht="12.75" x14ac:dyDescent="0.2">
      <c r="A50" s="78" t="s">
        <v>431</v>
      </c>
    </row>
    <row r="51" spans="1:1" x14ac:dyDescent="0.25">
      <c r="A51" s="78"/>
    </row>
    <row r="52" spans="1:1" x14ac:dyDescent="0.25">
      <c r="A52" s="78"/>
    </row>
    <row r="53" spans="1:1" x14ac:dyDescent="0.25">
      <c r="A53" s="78"/>
    </row>
    <row r="55" spans="1:1" x14ac:dyDescent="0.25">
      <c r="A55" s="78"/>
    </row>
    <row r="56" spans="1:1" x14ac:dyDescent="0.25">
      <c r="A56" s="78"/>
    </row>
    <row r="57" spans="1:1" x14ac:dyDescent="0.25">
      <c r="A57" s="78"/>
    </row>
    <row r="58" spans="1:1" x14ac:dyDescent="0.25">
      <c r="A58" s="78"/>
    </row>
    <row r="59" spans="1:1" x14ac:dyDescent="0.25">
      <c r="A59" s="78"/>
    </row>
    <row r="60" spans="1:1" x14ac:dyDescent="0.25">
      <c r="A60" s="78"/>
    </row>
    <row r="61" spans="1:1" x14ac:dyDescent="0.25">
      <c r="A61" s="78"/>
    </row>
    <row r="62" spans="1:1" x14ac:dyDescent="0.25">
      <c r="A62" s="78"/>
    </row>
  </sheetData>
  <pageMargins left="0.7" right="0.7" top="0.75" bottom="0.75" header="0.3" footer="0.3"/>
  <pageSetup orientation="portrait" r:id="rId1"/>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FF00"/>
  </sheetPr>
  <dimension ref="B1:AB169"/>
  <sheetViews>
    <sheetView topLeftCell="C1" zoomScale="59" zoomScaleNormal="59" workbookViewId="0">
      <selection activeCell="F37" sqref="F37"/>
    </sheetView>
  </sheetViews>
  <sheetFormatPr defaultRowHeight="15" x14ac:dyDescent="0.25"/>
  <cols>
    <col min="3" max="3" width="24.140625" bestFit="1" customWidth="1"/>
    <col min="15" max="15" width="24.42578125" customWidth="1"/>
    <col min="16" max="16" width="9.140625" customWidth="1"/>
    <col min="19" max="19" width="9.140625" style="539"/>
    <col min="27" max="27" width="93.42578125" bestFit="1" customWidth="1"/>
  </cols>
  <sheetData>
    <row r="1" spans="2:27" s="539" customFormat="1" ht="18" x14ac:dyDescent="0.4">
      <c r="B1" s="330" t="s">
        <v>282</v>
      </c>
    </row>
    <row r="2" spans="2:27" s="539" customFormat="1" ht="14.45" x14ac:dyDescent="0.35">
      <c r="B2" s="1040" t="s">
        <v>671</v>
      </c>
    </row>
    <row r="3" spans="2:27" s="539" customFormat="1" ht="18" x14ac:dyDescent="0.4">
      <c r="B3" s="330"/>
    </row>
    <row r="4" spans="2:27" s="539" customFormat="1" ht="14.45" x14ac:dyDescent="0.35"/>
    <row r="5" spans="2:27" s="587" customFormat="1" ht="14.45" x14ac:dyDescent="0.35">
      <c r="B5" s="588" t="s">
        <v>54</v>
      </c>
    </row>
    <row r="6" spans="2:27" ht="14.45" x14ac:dyDescent="0.35">
      <c r="C6" s="550"/>
      <c r="D6" s="427" t="s">
        <v>229</v>
      </c>
      <c r="E6" s="381"/>
      <c r="F6" s="428"/>
      <c r="G6" s="428"/>
      <c r="H6" s="428"/>
      <c r="I6" s="428"/>
      <c r="J6" s="428"/>
      <c r="K6" s="428"/>
      <c r="L6" s="428"/>
      <c r="M6" s="428"/>
      <c r="N6" s="428"/>
      <c r="O6" s="429"/>
      <c r="P6" s="427" t="s">
        <v>226</v>
      </c>
      <c r="Q6" s="428"/>
      <c r="R6" s="428"/>
      <c r="S6" s="428"/>
      <c r="T6" s="428"/>
      <c r="U6" s="428"/>
      <c r="V6" s="428"/>
      <c r="W6" s="428"/>
      <c r="X6" s="418"/>
      <c r="Y6" s="418"/>
      <c r="Z6" s="418"/>
      <c r="AA6" s="585"/>
    </row>
    <row r="7" spans="2:27" ht="50.1" x14ac:dyDescent="0.35">
      <c r="B7" s="551"/>
      <c r="C7" s="550"/>
      <c r="D7" s="430" t="s">
        <v>227</v>
      </c>
      <c r="E7" s="431" t="s">
        <v>260</v>
      </c>
      <c r="F7" s="432" t="s">
        <v>238</v>
      </c>
      <c r="G7" s="431" t="s">
        <v>261</v>
      </c>
      <c r="H7" s="432" t="s">
        <v>17</v>
      </c>
      <c r="I7" s="432" t="s">
        <v>91</v>
      </c>
      <c r="J7" s="432" t="s">
        <v>92</v>
      </c>
      <c r="K7" s="432" t="s">
        <v>93</v>
      </c>
      <c r="L7" s="432" t="s">
        <v>94</v>
      </c>
      <c r="M7" s="431" t="s">
        <v>95</v>
      </c>
      <c r="N7" s="431" t="s">
        <v>96</v>
      </c>
      <c r="O7" s="433" t="s">
        <v>258</v>
      </c>
      <c r="P7" s="430" t="s">
        <v>227</v>
      </c>
      <c r="Q7" s="431" t="s">
        <v>260</v>
      </c>
      <c r="R7" s="432" t="s">
        <v>238</v>
      </c>
      <c r="S7" s="431" t="s">
        <v>261</v>
      </c>
      <c r="T7" s="432" t="s">
        <v>262</v>
      </c>
      <c r="U7" s="432" t="s">
        <v>97</v>
      </c>
      <c r="V7" s="432" t="s">
        <v>92</v>
      </c>
      <c r="W7" s="432" t="s">
        <v>93</v>
      </c>
      <c r="X7" s="432" t="s">
        <v>94</v>
      </c>
      <c r="Y7" s="431" t="s">
        <v>95</v>
      </c>
      <c r="Z7" s="431" t="s">
        <v>96</v>
      </c>
      <c r="AA7" s="586" t="s">
        <v>258</v>
      </c>
    </row>
    <row r="8" spans="2:27" ht="14.45" x14ac:dyDescent="0.35">
      <c r="B8" s="551" t="s">
        <v>12</v>
      </c>
      <c r="C8" s="550"/>
      <c r="D8" s="591"/>
      <c r="E8" s="583"/>
      <c r="F8" s="583"/>
      <c r="G8" s="583"/>
      <c r="H8" s="583"/>
      <c r="I8" s="583"/>
      <c r="J8" s="583"/>
      <c r="K8" s="583"/>
      <c r="L8" s="583"/>
      <c r="M8" s="583"/>
      <c r="N8" s="583"/>
      <c r="O8" s="592"/>
      <c r="P8" s="591"/>
      <c r="Q8" s="583"/>
      <c r="R8" s="583"/>
      <c r="S8" s="583"/>
      <c r="T8" s="583"/>
      <c r="U8" s="583"/>
      <c r="V8" s="583"/>
      <c r="W8" s="583"/>
      <c r="X8" s="583"/>
      <c r="Y8" s="583"/>
      <c r="Z8" s="583"/>
      <c r="AA8" s="609"/>
    </row>
    <row r="9" spans="2:27" ht="14.45" x14ac:dyDescent="0.35">
      <c r="B9" s="550"/>
      <c r="C9" s="550" t="s">
        <v>20</v>
      </c>
      <c r="D9" s="511"/>
      <c r="E9" s="382"/>
      <c r="F9" s="382"/>
      <c r="G9" s="382"/>
      <c r="H9" s="382"/>
      <c r="I9" s="382"/>
      <c r="J9" s="382"/>
      <c r="K9" s="382"/>
      <c r="L9" s="382"/>
      <c r="M9" s="382"/>
      <c r="N9" s="382"/>
      <c r="O9" s="410"/>
      <c r="P9" s="511"/>
      <c r="Q9" s="382"/>
      <c r="R9" s="382"/>
      <c r="S9" s="382"/>
      <c r="T9" s="382"/>
      <c r="U9" s="382"/>
      <c r="V9" s="382"/>
      <c r="W9" s="382"/>
      <c r="X9" s="382"/>
      <c r="Y9" s="382"/>
      <c r="Z9" s="382"/>
      <c r="AA9" s="609"/>
    </row>
    <row r="10" spans="2:27" ht="14.45" x14ac:dyDescent="0.35">
      <c r="B10" s="556" t="s">
        <v>21</v>
      </c>
      <c r="C10" s="504"/>
      <c r="D10" s="558"/>
      <c r="E10" s="512"/>
      <c r="F10" s="512"/>
      <c r="G10" s="512"/>
      <c r="H10" s="512"/>
      <c r="I10" s="512"/>
      <c r="J10" s="512"/>
      <c r="K10" s="512"/>
      <c r="L10" s="512"/>
      <c r="M10" s="512"/>
      <c r="N10" s="512"/>
      <c r="O10" s="559"/>
      <c r="P10" s="558"/>
      <c r="Q10" s="512"/>
      <c r="R10" s="512"/>
      <c r="S10" s="512"/>
      <c r="T10" s="512"/>
      <c r="U10" s="512"/>
      <c r="V10" s="512"/>
      <c r="W10" s="512"/>
      <c r="X10" s="512"/>
      <c r="Y10" s="512"/>
      <c r="Z10" s="512"/>
      <c r="AA10" s="559"/>
    </row>
    <row r="11" spans="2:27" ht="14.45" x14ac:dyDescent="0.35">
      <c r="B11" s="550"/>
      <c r="C11" s="550" t="s">
        <v>22</v>
      </c>
      <c r="D11" s="593">
        <v>2012</v>
      </c>
      <c r="E11" s="594">
        <v>2016</v>
      </c>
      <c r="F11" s="595" t="str">
        <f>User_Inputs!$G$13</f>
        <v>Yes</v>
      </c>
      <c r="G11" s="596">
        <v>0.1</v>
      </c>
      <c r="H11" s="73"/>
      <c r="I11" s="382"/>
      <c r="J11" s="597"/>
      <c r="K11" s="382"/>
      <c r="L11" s="598"/>
      <c r="M11" s="599"/>
      <c r="N11" s="599"/>
      <c r="O11" s="600"/>
      <c r="P11" s="511"/>
      <c r="Q11" s="382"/>
      <c r="R11" s="382"/>
      <c r="S11" s="186"/>
      <c r="T11" s="382"/>
      <c r="U11" s="382"/>
      <c r="V11" s="382"/>
      <c r="W11" s="382"/>
      <c r="X11" s="610"/>
      <c r="Y11" s="596"/>
      <c r="Z11" s="596"/>
      <c r="AA11" s="609"/>
    </row>
    <row r="12" spans="2:27" ht="14.45" x14ac:dyDescent="0.35">
      <c r="B12" s="550"/>
      <c r="C12" s="550" t="s">
        <v>26</v>
      </c>
      <c r="D12" s="511"/>
      <c r="E12" s="382"/>
      <c r="F12" s="382"/>
      <c r="G12" s="382"/>
      <c r="H12" s="64"/>
      <c r="I12" s="382"/>
      <c r="J12" s="597"/>
      <c r="K12" s="382"/>
      <c r="L12" s="598"/>
      <c r="M12" s="599"/>
      <c r="N12" s="599"/>
      <c r="O12" s="600"/>
      <c r="P12" s="511"/>
      <c r="Q12" s="382"/>
      <c r="R12" s="382"/>
      <c r="S12" s="382"/>
      <c r="T12" s="382"/>
      <c r="U12" s="382"/>
      <c r="V12" s="382"/>
      <c r="W12" s="382"/>
      <c r="X12" s="611"/>
      <c r="Y12" s="596"/>
      <c r="Z12" s="596"/>
      <c r="AA12" s="609"/>
    </row>
    <row r="13" spans="2:27" ht="14.45" x14ac:dyDescent="0.35">
      <c r="B13" s="550"/>
      <c r="C13" s="550" t="s">
        <v>27</v>
      </c>
      <c r="D13" s="511"/>
      <c r="E13" s="382"/>
      <c r="F13" s="382"/>
      <c r="G13" s="382"/>
      <c r="H13" s="382"/>
      <c r="I13" s="382"/>
      <c r="J13" s="382"/>
      <c r="K13" s="382"/>
      <c r="L13" s="414"/>
      <c r="M13" s="599"/>
      <c r="N13" s="382"/>
      <c r="O13" s="410"/>
      <c r="P13" s="511"/>
      <c r="Q13" s="382"/>
      <c r="R13" s="382"/>
      <c r="S13" s="382"/>
      <c r="T13" s="382"/>
      <c r="U13" s="382"/>
      <c r="V13" s="382"/>
      <c r="W13" s="382"/>
      <c r="X13" s="382"/>
      <c r="Y13" s="382"/>
      <c r="Z13" s="382"/>
      <c r="AA13" s="609"/>
    </row>
    <row r="14" spans="2:27" ht="14.45" x14ac:dyDescent="0.35">
      <c r="B14" s="550"/>
      <c r="C14" s="550" t="s">
        <v>29</v>
      </c>
      <c r="D14" s="511"/>
      <c r="E14" s="382"/>
      <c r="F14" s="382"/>
      <c r="G14" s="382"/>
      <c r="H14" s="382"/>
      <c r="I14" s="382"/>
      <c r="J14" s="382"/>
      <c r="K14" s="382"/>
      <c r="L14" s="414"/>
      <c r="M14" s="382"/>
      <c r="N14" s="382"/>
      <c r="O14" s="410"/>
      <c r="P14" s="511"/>
      <c r="Q14" s="382"/>
      <c r="R14" s="382"/>
      <c r="S14" s="382"/>
      <c r="T14" s="382"/>
      <c r="U14" s="382"/>
      <c r="V14" s="382"/>
      <c r="W14" s="382"/>
      <c r="X14" s="382"/>
      <c r="Y14" s="382"/>
      <c r="Z14" s="382"/>
      <c r="AA14" s="609"/>
    </row>
    <row r="15" spans="2:27" ht="14.45" x14ac:dyDescent="0.35">
      <c r="B15" s="550"/>
      <c r="C15" s="550"/>
      <c r="D15" s="511"/>
      <c r="E15" s="382"/>
      <c r="F15" s="382"/>
      <c r="G15" s="382"/>
      <c r="H15" s="382"/>
      <c r="I15" s="382"/>
      <c r="J15" s="382"/>
      <c r="K15" s="382"/>
      <c r="L15" s="414"/>
      <c r="M15" s="382"/>
      <c r="N15" s="382"/>
      <c r="O15" s="410"/>
      <c r="P15" s="511"/>
      <c r="Q15" s="382"/>
      <c r="R15" s="382"/>
      <c r="S15" s="382"/>
      <c r="T15" s="382"/>
      <c r="U15" s="382"/>
      <c r="V15" s="382"/>
      <c r="W15" s="382"/>
      <c r="X15" s="382"/>
      <c r="Y15" s="382"/>
      <c r="Z15" s="382"/>
      <c r="AA15" s="609"/>
    </row>
    <row r="16" spans="2:27" ht="14.45" x14ac:dyDescent="0.35">
      <c r="B16" s="502" t="s">
        <v>32</v>
      </c>
      <c r="C16" s="501"/>
      <c r="D16" s="558"/>
      <c r="E16" s="512"/>
      <c r="F16" s="512"/>
      <c r="G16" s="512"/>
      <c r="H16" s="512"/>
      <c r="I16" s="512"/>
      <c r="J16" s="512"/>
      <c r="K16" s="512"/>
      <c r="L16" s="512"/>
      <c r="M16" s="512"/>
      <c r="N16" s="512"/>
      <c r="O16" s="559"/>
      <c r="P16" s="558"/>
      <c r="Q16" s="512"/>
      <c r="R16" s="512"/>
      <c r="S16" s="512"/>
      <c r="T16" s="512"/>
      <c r="U16" s="512"/>
      <c r="V16" s="512"/>
      <c r="W16" s="512"/>
      <c r="X16" s="512"/>
      <c r="Y16" s="512"/>
      <c r="Z16" s="512"/>
      <c r="AA16" s="559"/>
    </row>
    <row r="17" spans="2:27" ht="14.45" x14ac:dyDescent="0.35">
      <c r="B17" s="550"/>
      <c r="C17" s="550" t="s">
        <v>33</v>
      </c>
      <c r="D17" s="511"/>
      <c r="E17" s="382"/>
      <c r="F17" s="186"/>
      <c r="G17" s="382"/>
      <c r="H17" s="73"/>
      <c r="I17" s="382"/>
      <c r="J17" s="382"/>
      <c r="K17" s="382"/>
      <c r="L17" s="598"/>
      <c r="M17" s="599"/>
      <c r="N17" s="599"/>
      <c r="O17" s="600"/>
      <c r="P17" s="511"/>
      <c r="Q17" s="382"/>
      <c r="R17" s="382"/>
      <c r="S17" s="186"/>
      <c r="T17" s="382"/>
      <c r="U17" s="382"/>
      <c r="V17" s="382"/>
      <c r="W17" s="382"/>
      <c r="X17" s="611"/>
      <c r="Y17" s="596"/>
      <c r="Z17" s="596"/>
      <c r="AA17" s="609"/>
    </row>
    <row r="18" spans="2:27" ht="14.45" x14ac:dyDescent="0.35">
      <c r="B18" s="552"/>
      <c r="C18" s="552" t="s">
        <v>34</v>
      </c>
      <c r="D18" s="593">
        <v>2012</v>
      </c>
      <c r="E18" s="594">
        <v>2014</v>
      </c>
      <c r="F18" s="595" t="str">
        <f>User_Inputs!$G$14</f>
        <v>Yes</v>
      </c>
      <c r="G18" s="382"/>
      <c r="H18" s="351">
        <f>(5.9*J18^0.27)^(1/1.27)</f>
        <v>17.407840173121894</v>
      </c>
      <c r="I18" s="382"/>
      <c r="J18" s="382">
        <f>Tech_Specs!T16*Tech_Specs!Y16</f>
        <v>957.3900000000001</v>
      </c>
      <c r="K18" s="382"/>
      <c r="L18" s="601">
        <v>7.34</v>
      </c>
      <c r="M18" s="599">
        <f>Tech_Specs!L16/(Misc_Inputs!$D$8-Misc_Inputs!$D$6)</f>
        <v>5.0000000000000001E-3</v>
      </c>
      <c r="N18" s="599">
        <f>Tech_Specs!N16/(Misc_Inputs!$D$8-Misc_Inputs!$D$6)</f>
        <v>-5.0000000000000001E-3</v>
      </c>
      <c r="O18" s="600" t="s">
        <v>259</v>
      </c>
      <c r="P18" s="511"/>
      <c r="Q18" s="382"/>
      <c r="R18" s="382"/>
      <c r="S18" s="382"/>
      <c r="T18" s="382"/>
      <c r="U18" s="382"/>
      <c r="V18" s="382"/>
      <c r="W18" s="382"/>
      <c r="X18" s="610"/>
      <c r="Y18" s="596"/>
      <c r="Z18" s="596"/>
      <c r="AA18" s="609"/>
    </row>
    <row r="19" spans="2:27" ht="14.45" x14ac:dyDescent="0.35">
      <c r="B19" s="550"/>
      <c r="C19" s="552" t="s">
        <v>35</v>
      </c>
      <c r="D19" s="511"/>
      <c r="E19" s="382"/>
      <c r="F19" s="382"/>
      <c r="G19" s="382"/>
      <c r="H19" s="382"/>
      <c r="I19" s="382"/>
      <c r="J19" s="382"/>
      <c r="K19" s="382"/>
      <c r="L19" s="382"/>
      <c r="M19" s="382"/>
      <c r="N19" s="382"/>
      <c r="O19" s="410"/>
      <c r="P19" s="511"/>
      <c r="Q19" s="382"/>
      <c r="R19" s="382"/>
      <c r="S19" s="382"/>
      <c r="T19" s="382"/>
      <c r="U19" s="382"/>
      <c r="V19" s="382"/>
      <c r="W19" s="382"/>
      <c r="X19" s="611"/>
      <c r="Y19" s="596"/>
      <c r="Z19" s="596"/>
      <c r="AA19" s="609"/>
    </row>
    <row r="20" spans="2:27" ht="14.45" x14ac:dyDescent="0.35">
      <c r="B20" s="550"/>
      <c r="C20" s="552" t="s">
        <v>29</v>
      </c>
      <c r="D20" s="511"/>
      <c r="E20" s="382"/>
      <c r="F20" s="382"/>
      <c r="G20" s="382"/>
      <c r="H20" s="382"/>
      <c r="I20" s="382"/>
      <c r="J20" s="382"/>
      <c r="K20" s="382"/>
      <c r="L20" s="598"/>
      <c r="M20" s="599"/>
      <c r="N20" s="382"/>
      <c r="O20" s="410"/>
      <c r="P20" s="511"/>
      <c r="Q20" s="382"/>
      <c r="R20" s="382"/>
      <c r="S20" s="382"/>
      <c r="T20" s="382"/>
      <c r="U20" s="382"/>
      <c r="V20" s="382"/>
      <c r="W20" s="382"/>
      <c r="X20" s="382"/>
      <c r="Y20" s="382"/>
      <c r="Z20" s="382"/>
      <c r="AA20" s="609"/>
    </row>
    <row r="21" spans="2:27" ht="14.45" x14ac:dyDescent="0.35">
      <c r="B21" s="550"/>
      <c r="C21" s="550"/>
      <c r="D21" s="511"/>
      <c r="E21" s="382"/>
      <c r="F21" s="382"/>
      <c r="G21" s="382"/>
      <c r="H21" s="382"/>
      <c r="I21" s="382"/>
      <c r="J21" s="382"/>
      <c r="K21" s="382"/>
      <c r="L21" s="414"/>
      <c r="M21" s="382"/>
      <c r="N21" s="382"/>
      <c r="O21" s="410"/>
      <c r="P21" s="511"/>
      <c r="Q21" s="382"/>
      <c r="R21" s="382"/>
      <c r="S21" s="382"/>
      <c r="T21" s="382"/>
      <c r="U21" s="382"/>
      <c r="V21" s="382"/>
      <c r="W21" s="382"/>
      <c r="X21" s="382"/>
      <c r="Y21" s="382"/>
      <c r="Z21" s="382"/>
      <c r="AA21" s="609"/>
    </row>
    <row r="22" spans="2:27" ht="14.45" x14ac:dyDescent="0.35">
      <c r="B22" s="502" t="s">
        <v>36</v>
      </c>
      <c r="C22" s="501"/>
      <c r="D22" s="558"/>
      <c r="E22" s="512"/>
      <c r="F22" s="512"/>
      <c r="G22" s="512"/>
      <c r="H22" s="512"/>
      <c r="I22" s="512"/>
      <c r="J22" s="512"/>
      <c r="K22" s="512"/>
      <c r="L22" s="512"/>
      <c r="M22" s="512"/>
      <c r="N22" s="512"/>
      <c r="O22" s="559"/>
      <c r="P22" s="558"/>
      <c r="Q22" s="512"/>
      <c r="R22" s="512"/>
      <c r="S22" s="512"/>
      <c r="T22" s="512"/>
      <c r="U22" s="512"/>
      <c r="V22" s="512"/>
      <c r="W22" s="512"/>
      <c r="X22" s="512"/>
      <c r="Y22" s="512"/>
      <c r="Z22" s="512"/>
      <c r="AA22" s="559"/>
    </row>
    <row r="23" spans="2:27" ht="14.45" x14ac:dyDescent="0.35">
      <c r="B23" s="550"/>
      <c r="C23" s="550" t="s">
        <v>37</v>
      </c>
      <c r="D23" s="593">
        <v>2012</v>
      </c>
      <c r="E23" s="594">
        <v>2014</v>
      </c>
      <c r="F23" s="595" t="str">
        <f>User_Inputs!$G$9</f>
        <v>Yes</v>
      </c>
      <c r="G23" s="602">
        <v>0.5</v>
      </c>
      <c r="H23" s="73"/>
      <c r="I23" s="382"/>
      <c r="J23" s="382"/>
      <c r="K23" s="382"/>
      <c r="L23" s="598"/>
      <c r="M23" s="599"/>
      <c r="N23" s="599"/>
      <c r="O23" s="600"/>
      <c r="P23" s="593">
        <v>2015</v>
      </c>
      <c r="Q23" s="594">
        <v>2017</v>
      </c>
      <c r="R23" s="595" t="str">
        <f>User_Inputs!$G$10</f>
        <v>Yes</v>
      </c>
      <c r="S23" s="602">
        <v>0.1</v>
      </c>
      <c r="T23" s="73"/>
      <c r="U23" s="382"/>
      <c r="V23" s="382"/>
      <c r="W23" s="382"/>
      <c r="X23" s="598"/>
      <c r="Y23" s="876"/>
      <c r="Z23" s="599">
        <f>Tech_Specs!N21/(Misc_Inputs!$D$8-Misc_Inputs!$D$6)</f>
        <v>-5.0000000000000001E-3</v>
      </c>
      <c r="AA23" s="609"/>
    </row>
    <row r="24" spans="2:27" ht="14.45" x14ac:dyDescent="0.35">
      <c r="B24" s="550"/>
      <c r="C24" s="550" t="s">
        <v>39</v>
      </c>
      <c r="D24" s="593">
        <v>2014</v>
      </c>
      <c r="E24" s="594">
        <v>2016</v>
      </c>
      <c r="F24" s="595" t="str">
        <f>User_Inputs!$G$9</f>
        <v>Yes</v>
      </c>
      <c r="G24" s="186"/>
      <c r="H24" s="603">
        <v>89</v>
      </c>
      <c r="I24" s="594"/>
      <c r="J24" s="594"/>
      <c r="K24" s="594"/>
      <c r="L24" s="601">
        <v>5.0999999999999996</v>
      </c>
      <c r="M24" s="599">
        <f>Tech_Specs!L22/(Misc_Inputs!$D$8-Misc_Inputs!$D$6)</f>
        <v>5.0000000000000001E-3</v>
      </c>
      <c r="N24" s="599">
        <f>Tech_Specs!N22/(Misc_Inputs!$D$8-Misc_Inputs!$D$6)</f>
        <v>-5.0000000000000001E-3</v>
      </c>
      <c r="O24" s="600"/>
      <c r="P24" s="593"/>
      <c r="Q24" s="594"/>
      <c r="R24" s="186"/>
      <c r="S24" s="186"/>
      <c r="T24" s="613"/>
      <c r="U24" s="382"/>
      <c r="V24" s="382"/>
      <c r="W24" s="382"/>
      <c r="X24" s="598"/>
      <c r="Y24" s="612"/>
      <c r="Z24" s="599"/>
      <c r="AA24" s="609"/>
    </row>
    <row r="25" spans="2:27" ht="14.45" x14ac:dyDescent="0.35">
      <c r="B25" s="550"/>
      <c r="C25" s="550" t="s">
        <v>40</v>
      </c>
      <c r="D25" s="511"/>
      <c r="E25" s="382"/>
      <c r="F25" s="382"/>
      <c r="G25" s="382"/>
      <c r="H25" s="64"/>
      <c r="I25" s="382"/>
      <c r="J25" s="382"/>
      <c r="K25" s="382"/>
      <c r="L25" s="598"/>
      <c r="M25" s="599"/>
      <c r="N25" s="599"/>
      <c r="O25" s="600"/>
      <c r="P25" s="511"/>
      <c r="Q25" s="382"/>
      <c r="R25" s="186"/>
      <c r="S25" s="382"/>
      <c r="T25" s="382"/>
      <c r="U25" s="382"/>
      <c r="V25" s="382"/>
      <c r="W25" s="382"/>
      <c r="X25" s="382"/>
      <c r="Y25" s="382"/>
      <c r="Z25" s="382"/>
      <c r="AA25" s="609"/>
    </row>
    <row r="26" spans="2:27" ht="14.45" x14ac:dyDescent="0.35">
      <c r="B26" s="550"/>
      <c r="C26" s="550" t="s">
        <v>29</v>
      </c>
      <c r="D26" s="511"/>
      <c r="E26" s="382"/>
      <c r="F26" s="382"/>
      <c r="G26" s="382"/>
      <c r="H26" s="64"/>
      <c r="I26" s="382"/>
      <c r="J26" s="382"/>
      <c r="K26" s="382"/>
      <c r="L26" s="598"/>
      <c r="M26" s="599"/>
      <c r="N26" s="599"/>
      <c r="O26" s="600"/>
      <c r="P26" s="511"/>
      <c r="Q26" s="382"/>
      <c r="R26" s="382"/>
      <c r="S26" s="382"/>
      <c r="T26" s="382"/>
      <c r="U26" s="382"/>
      <c r="V26" s="382"/>
      <c r="W26" s="382"/>
      <c r="X26" s="382"/>
      <c r="Y26" s="382"/>
      <c r="Z26" s="382"/>
      <c r="AA26" s="609"/>
    </row>
    <row r="27" spans="2:27" ht="14.45" x14ac:dyDescent="0.35">
      <c r="B27" s="550"/>
      <c r="C27" s="550"/>
      <c r="D27" s="511"/>
      <c r="E27" s="382"/>
      <c r="F27" s="382"/>
      <c r="G27" s="382"/>
      <c r="H27" s="382"/>
      <c r="I27" s="382"/>
      <c r="J27" s="382"/>
      <c r="K27" s="382"/>
      <c r="L27" s="414"/>
      <c r="M27" s="382"/>
      <c r="N27" s="382"/>
      <c r="O27" s="410"/>
      <c r="P27" s="511"/>
      <c r="Q27" s="382"/>
      <c r="R27" s="382"/>
      <c r="S27" s="382"/>
      <c r="T27" s="382"/>
      <c r="U27" s="382"/>
      <c r="V27" s="382"/>
      <c r="W27" s="382"/>
      <c r="X27" s="382"/>
      <c r="Y27" s="382"/>
      <c r="Z27" s="382"/>
      <c r="AA27" s="609"/>
    </row>
    <row r="28" spans="2:27" ht="14.45" x14ac:dyDescent="0.35">
      <c r="B28" s="502" t="s">
        <v>42</v>
      </c>
      <c r="C28" s="501"/>
      <c r="D28" s="558"/>
      <c r="E28" s="512"/>
      <c r="F28" s="512"/>
      <c r="G28" s="512"/>
      <c r="H28" s="512"/>
      <c r="I28" s="512"/>
      <c r="J28" s="512"/>
      <c r="K28" s="512"/>
      <c r="L28" s="512"/>
      <c r="M28" s="512"/>
      <c r="N28" s="512"/>
      <c r="O28" s="559"/>
      <c r="P28" s="558"/>
      <c r="Q28" s="512"/>
      <c r="R28" s="512"/>
      <c r="S28" s="512"/>
      <c r="T28" s="512"/>
      <c r="U28" s="512"/>
      <c r="V28" s="512"/>
      <c r="W28" s="512"/>
      <c r="X28" s="512"/>
      <c r="Y28" s="512"/>
      <c r="Z28" s="512"/>
      <c r="AA28" s="559"/>
    </row>
    <row r="29" spans="2:27" ht="14.45" x14ac:dyDescent="0.35">
      <c r="B29" s="550"/>
      <c r="C29" s="552" t="s">
        <v>43</v>
      </c>
      <c r="D29" s="604"/>
      <c r="E29" s="179"/>
      <c r="F29" s="186"/>
      <c r="G29" s="186"/>
      <c r="H29" s="605"/>
      <c r="I29" s="382"/>
      <c r="J29" s="382"/>
      <c r="K29" s="382"/>
      <c r="L29" s="414"/>
      <c r="M29" s="382"/>
      <c r="N29" s="382"/>
      <c r="O29" s="410"/>
      <c r="P29" s="593">
        <v>2008</v>
      </c>
      <c r="Q29" s="594">
        <v>2010</v>
      </c>
      <c r="R29" s="595" t="str">
        <f>User_Inputs!$G$11</f>
        <v>Yes</v>
      </c>
      <c r="S29" s="602">
        <v>0.05</v>
      </c>
      <c r="T29" s="382"/>
      <c r="U29" s="382"/>
      <c r="V29" s="382"/>
      <c r="W29" s="382"/>
      <c r="X29" s="382"/>
      <c r="Y29" s="876"/>
      <c r="Z29" s="599">
        <f>Tech_Specs!N27/(Misc_Inputs!$D$8-Misc_Inputs!$D$6)</f>
        <v>-5.0000000000000001E-3</v>
      </c>
      <c r="AA29" s="609"/>
    </row>
    <row r="30" spans="2:27" ht="14.45" x14ac:dyDescent="0.35">
      <c r="B30" s="550"/>
      <c r="C30" s="552" t="s">
        <v>44</v>
      </c>
      <c r="D30" s="604"/>
      <c r="E30" s="179"/>
      <c r="F30" s="186"/>
      <c r="G30" s="186"/>
      <c r="H30" s="605"/>
      <c r="I30" s="382"/>
      <c r="J30" s="382"/>
      <c r="K30" s="382"/>
      <c r="L30" s="382"/>
      <c r="M30" s="382"/>
      <c r="N30" s="382"/>
      <c r="O30" s="410"/>
      <c r="P30" s="511"/>
      <c r="Q30" s="382"/>
      <c r="R30" s="382"/>
      <c r="S30" s="186"/>
      <c r="T30" s="382"/>
      <c r="U30" s="382"/>
      <c r="V30" s="382"/>
      <c r="W30" s="382"/>
      <c r="X30" s="382"/>
      <c r="Y30" s="382"/>
      <c r="Z30" s="382"/>
      <c r="AA30" s="609"/>
    </row>
    <row r="31" spans="2:27" ht="14.45" x14ac:dyDescent="0.35">
      <c r="B31" s="550"/>
      <c r="C31" s="552" t="s">
        <v>45</v>
      </c>
      <c r="D31" s="511"/>
      <c r="E31" s="382"/>
      <c r="F31" s="382"/>
      <c r="G31" s="382"/>
      <c r="H31" s="64"/>
      <c r="I31" s="382"/>
      <c r="J31" s="597"/>
      <c r="K31" s="382"/>
      <c r="L31" s="598"/>
      <c r="M31" s="599"/>
      <c r="N31" s="599"/>
      <c r="O31" s="600"/>
      <c r="P31" s="511"/>
      <c r="Q31" s="382"/>
      <c r="R31" s="382"/>
      <c r="S31" s="382"/>
      <c r="T31" s="382"/>
      <c r="U31" s="382"/>
      <c r="V31" s="382"/>
      <c r="W31" s="382"/>
      <c r="X31" s="611"/>
      <c r="Y31" s="596"/>
      <c r="Z31" s="596"/>
      <c r="AA31" s="609"/>
    </row>
    <row r="32" spans="2:27" ht="14.45" x14ac:dyDescent="0.35">
      <c r="B32" s="550"/>
      <c r="C32" s="552" t="s">
        <v>46</v>
      </c>
      <c r="D32" s="606"/>
      <c r="E32" s="186"/>
      <c r="F32" s="186"/>
      <c r="G32" s="186"/>
      <c r="H32" s="186"/>
      <c r="I32" s="186"/>
      <c r="J32" s="186"/>
      <c r="K32" s="186"/>
      <c r="L32" s="186"/>
      <c r="M32" s="186"/>
      <c r="N32" s="186"/>
      <c r="O32" s="607"/>
      <c r="P32" s="606"/>
      <c r="Q32" s="186"/>
      <c r="R32" s="186"/>
      <c r="S32" s="186"/>
      <c r="T32" s="186"/>
      <c r="U32" s="186"/>
      <c r="V32" s="186"/>
      <c r="W32" s="186"/>
      <c r="X32" s="186"/>
      <c r="Y32" s="186"/>
      <c r="Z32" s="186"/>
      <c r="AA32" s="609"/>
    </row>
    <row r="33" spans="2:27" ht="14.45" x14ac:dyDescent="0.35">
      <c r="B33" s="550"/>
      <c r="C33" s="550" t="s">
        <v>29</v>
      </c>
      <c r="D33" s="511"/>
      <c r="E33" s="382"/>
      <c r="F33" s="382"/>
      <c r="G33" s="382"/>
      <c r="H33" s="382"/>
      <c r="I33" s="382"/>
      <c r="J33" s="382"/>
      <c r="K33" s="382"/>
      <c r="L33" s="382"/>
      <c r="M33" s="382"/>
      <c r="N33" s="382"/>
      <c r="O33" s="410"/>
      <c r="P33" s="511"/>
      <c r="Q33" s="382"/>
      <c r="R33" s="382"/>
      <c r="S33" s="382"/>
      <c r="T33" s="382"/>
      <c r="U33" s="382"/>
      <c r="V33" s="382"/>
      <c r="W33" s="382"/>
      <c r="X33" s="382"/>
      <c r="Y33" s="382"/>
      <c r="Z33" s="382"/>
      <c r="AA33" s="609"/>
    </row>
    <row r="34" spans="2:27" ht="14.45" x14ac:dyDescent="0.35">
      <c r="B34" s="550"/>
      <c r="C34" s="550"/>
      <c r="D34" s="511"/>
      <c r="E34" s="382"/>
      <c r="F34" s="382"/>
      <c r="G34" s="382"/>
      <c r="H34" s="382"/>
      <c r="I34" s="382"/>
      <c r="J34" s="382"/>
      <c r="K34" s="382"/>
      <c r="L34" s="382"/>
      <c r="M34" s="382"/>
      <c r="N34" s="382"/>
      <c r="O34" s="410"/>
      <c r="P34" s="511"/>
      <c r="Q34" s="382"/>
      <c r="R34" s="382"/>
      <c r="S34" s="382"/>
      <c r="T34" s="382"/>
      <c r="U34" s="382"/>
      <c r="V34" s="382"/>
      <c r="W34" s="382"/>
      <c r="X34" s="382"/>
      <c r="Y34" s="382"/>
      <c r="Z34" s="382"/>
      <c r="AA34" s="609"/>
    </row>
    <row r="35" spans="2:27" x14ac:dyDescent="0.25">
      <c r="B35" s="506" t="s">
        <v>47</v>
      </c>
      <c r="C35" s="505"/>
      <c r="D35" s="558"/>
      <c r="E35" s="512"/>
      <c r="F35" s="512"/>
      <c r="G35" s="512"/>
      <c r="H35" s="512"/>
      <c r="I35" s="512"/>
      <c r="J35" s="512"/>
      <c r="K35" s="512"/>
      <c r="L35" s="512"/>
      <c r="M35" s="512"/>
      <c r="N35" s="512"/>
      <c r="O35" s="559"/>
      <c r="P35" s="558"/>
      <c r="Q35" s="512"/>
      <c r="R35" s="512"/>
      <c r="S35" s="512"/>
      <c r="T35" s="512"/>
      <c r="U35" s="512"/>
      <c r="V35" s="512"/>
      <c r="W35" s="512"/>
      <c r="X35" s="512"/>
      <c r="Y35" s="512"/>
      <c r="Z35" s="512"/>
      <c r="AA35" s="559"/>
    </row>
    <row r="36" spans="2:27" x14ac:dyDescent="0.25">
      <c r="B36" s="550"/>
      <c r="C36" s="550" t="s">
        <v>48</v>
      </c>
      <c r="D36" s="608">
        <v>2012</v>
      </c>
      <c r="E36" s="594">
        <v>2014</v>
      </c>
      <c r="F36" s="595" t="str">
        <f>User_Inputs!$G$15</f>
        <v>Yes</v>
      </c>
      <c r="G36" s="382"/>
      <c r="H36" s="811">
        <f>Tech_Specs!$T$34*Tech_Specs!$Y$34/Standards_Sectors!I36</f>
        <v>11.525059665871122</v>
      </c>
      <c r="I36" s="382">
        <v>41.9</v>
      </c>
      <c r="J36" s="382"/>
      <c r="K36" s="382"/>
      <c r="L36" s="382"/>
      <c r="M36" s="876">
        <f>Tech_Specs!L34/(Misc_Inputs!$D$8-Misc_Inputs!$D$6)</f>
        <v>2.5000000000000001E-3</v>
      </c>
      <c r="N36" s="876">
        <f>Tech_Specs!N34/(Misc_Inputs!$D$8-Misc_Inputs!$D$6)</f>
        <v>-5.0000000000000001E-3</v>
      </c>
      <c r="O36" s="410"/>
      <c r="P36" s="511"/>
      <c r="Q36" s="382"/>
      <c r="R36" s="382"/>
      <c r="S36" s="186"/>
      <c r="T36" s="382"/>
      <c r="U36" s="382"/>
      <c r="V36" s="382"/>
      <c r="W36" s="382"/>
      <c r="X36" s="382"/>
      <c r="Y36" s="382"/>
      <c r="Z36" s="382"/>
      <c r="AA36" s="609"/>
    </row>
    <row r="37" spans="2:27" x14ac:dyDescent="0.25">
      <c r="B37" s="550"/>
      <c r="C37" s="552" t="s">
        <v>50</v>
      </c>
      <c r="D37" s="511"/>
      <c r="E37" s="382"/>
      <c r="F37" s="382"/>
      <c r="G37" s="382"/>
      <c r="H37" s="382"/>
      <c r="I37" s="382"/>
      <c r="J37" s="382"/>
      <c r="K37" s="382"/>
      <c r="L37" s="382"/>
      <c r="M37" s="382"/>
      <c r="N37" s="382"/>
      <c r="O37" s="410"/>
      <c r="P37" s="511"/>
      <c r="Q37" s="382"/>
      <c r="R37" s="382"/>
      <c r="S37" s="382"/>
      <c r="T37" s="382"/>
      <c r="U37" s="382"/>
      <c r="V37" s="382"/>
      <c r="W37" s="382"/>
      <c r="X37" s="382"/>
      <c r="Y37" s="382"/>
      <c r="Z37" s="382"/>
      <c r="AA37" s="609"/>
    </row>
    <row r="38" spans="2:27" x14ac:dyDescent="0.25">
      <c r="B38" s="550"/>
      <c r="C38" s="550" t="s">
        <v>51</v>
      </c>
      <c r="D38" s="511"/>
      <c r="E38" s="382"/>
      <c r="F38" s="382"/>
      <c r="G38" s="382"/>
      <c r="H38" s="382"/>
      <c r="I38" s="382"/>
      <c r="J38" s="382"/>
      <c r="K38" s="382"/>
      <c r="L38" s="382"/>
      <c r="M38" s="382"/>
      <c r="N38" s="382"/>
      <c r="O38" s="410"/>
      <c r="P38" s="511"/>
      <c r="Q38" s="382"/>
      <c r="R38" s="382"/>
      <c r="S38" s="382"/>
      <c r="T38" s="382"/>
      <c r="U38" s="382"/>
      <c r="V38" s="382"/>
      <c r="W38" s="382"/>
      <c r="X38" s="382"/>
      <c r="Y38" s="382"/>
      <c r="Z38" s="382"/>
      <c r="AA38" s="609"/>
    </row>
    <row r="39" spans="2:27" x14ac:dyDescent="0.25">
      <c r="B39" s="550"/>
      <c r="C39" s="550" t="s">
        <v>52</v>
      </c>
      <c r="D39" s="511"/>
      <c r="E39" s="382"/>
      <c r="F39" s="382"/>
      <c r="G39" s="382"/>
      <c r="H39" s="64"/>
      <c r="I39" s="382"/>
      <c r="J39" s="597"/>
      <c r="K39" s="382"/>
      <c r="L39" s="598"/>
      <c r="M39" s="599"/>
      <c r="N39" s="599"/>
      <c r="O39" s="600"/>
      <c r="P39" s="511"/>
      <c r="Q39" s="382"/>
      <c r="R39" s="382"/>
      <c r="S39" s="382"/>
      <c r="T39" s="382"/>
      <c r="U39" s="382"/>
      <c r="V39" s="382"/>
      <c r="W39" s="382"/>
      <c r="X39" s="611"/>
      <c r="Y39" s="596"/>
      <c r="Z39" s="596"/>
      <c r="AA39" s="609"/>
    </row>
    <row r="40" spans="2:27" x14ac:dyDescent="0.25">
      <c r="B40" s="550"/>
      <c r="C40" s="552" t="s">
        <v>29</v>
      </c>
      <c r="D40" s="606"/>
      <c r="E40" s="186"/>
      <c r="F40" s="186"/>
      <c r="G40" s="186"/>
      <c r="H40" s="186"/>
      <c r="I40" s="186"/>
      <c r="J40" s="186"/>
      <c r="K40" s="186"/>
      <c r="L40" s="186"/>
      <c r="M40" s="186"/>
      <c r="N40" s="186"/>
      <c r="O40" s="607"/>
      <c r="P40" s="606"/>
      <c r="Q40" s="186"/>
      <c r="R40" s="186"/>
      <c r="S40" s="186"/>
      <c r="T40" s="186"/>
      <c r="U40" s="186"/>
      <c r="V40" s="186"/>
      <c r="W40" s="186"/>
      <c r="X40" s="186"/>
      <c r="Y40" s="186"/>
      <c r="Z40" s="186"/>
      <c r="AA40" s="609"/>
    </row>
    <row r="41" spans="2:27" x14ac:dyDescent="0.25">
      <c r="B41" s="550"/>
      <c r="C41" s="552" t="s">
        <v>53</v>
      </c>
      <c r="D41" s="61"/>
      <c r="E41" s="74"/>
      <c r="F41" s="74"/>
      <c r="G41" s="74"/>
      <c r="H41" s="74"/>
      <c r="I41" s="74"/>
      <c r="J41" s="74"/>
      <c r="K41" s="74"/>
      <c r="L41" s="74"/>
      <c r="M41" s="74"/>
      <c r="N41" s="74"/>
      <c r="O41" s="56"/>
      <c r="P41" s="61"/>
      <c r="Q41" s="74"/>
      <c r="R41" s="74"/>
      <c r="S41" s="74"/>
      <c r="T41" s="74"/>
      <c r="U41" s="74"/>
      <c r="V41" s="74"/>
      <c r="W41" s="74"/>
      <c r="X41" s="74"/>
      <c r="Y41" s="74"/>
      <c r="Z41" s="74"/>
      <c r="AA41" s="614"/>
    </row>
    <row r="42" spans="2:27" s="539" customFormat="1" x14ac:dyDescent="0.25">
      <c r="B42" s="550"/>
      <c r="C42" s="552"/>
      <c r="D42" s="550"/>
      <c r="E42" s="550"/>
      <c r="F42" s="550"/>
      <c r="G42" s="550"/>
      <c r="H42" s="550"/>
      <c r="I42" s="550"/>
      <c r="J42" s="550"/>
      <c r="K42" s="550"/>
      <c r="L42" s="550"/>
      <c r="M42" s="550"/>
      <c r="N42" s="550"/>
      <c r="O42" s="550"/>
      <c r="P42" s="550"/>
      <c r="Q42" s="550"/>
      <c r="R42" s="550"/>
      <c r="S42" s="550"/>
      <c r="T42" s="550"/>
      <c r="U42" s="550"/>
      <c r="V42" s="550"/>
      <c r="W42" s="550"/>
      <c r="X42" s="550"/>
      <c r="Y42" s="550"/>
      <c r="Z42" s="550"/>
    </row>
    <row r="43" spans="2:27" s="539" customFormat="1" x14ac:dyDescent="0.25">
      <c r="B43" s="550"/>
      <c r="C43" s="552"/>
      <c r="D43" s="550"/>
      <c r="E43" s="550"/>
      <c r="F43" s="550"/>
      <c r="G43" s="550"/>
      <c r="H43" s="550"/>
      <c r="I43" s="550"/>
      <c r="J43" s="550"/>
      <c r="K43" s="550"/>
      <c r="L43" s="550"/>
      <c r="M43" s="550"/>
      <c r="N43" s="550"/>
      <c r="O43" s="550"/>
      <c r="P43" s="550"/>
      <c r="Q43" s="550"/>
      <c r="R43" s="550"/>
      <c r="S43" s="550"/>
      <c r="T43" s="550"/>
      <c r="U43" s="550"/>
      <c r="V43" s="550"/>
      <c r="W43" s="550"/>
      <c r="X43" s="550"/>
      <c r="Y43" s="550"/>
      <c r="Z43" s="550"/>
    </row>
    <row r="44" spans="2:27" s="587" customFormat="1" x14ac:dyDescent="0.25">
      <c r="B44" s="588" t="s">
        <v>55</v>
      </c>
      <c r="C44" s="589"/>
      <c r="D44" s="589"/>
      <c r="E44" s="589"/>
      <c r="F44" s="589"/>
      <c r="G44" s="589"/>
      <c r="H44" s="589"/>
      <c r="I44" s="589"/>
      <c r="J44" s="589"/>
      <c r="K44" s="589"/>
      <c r="L44" s="589"/>
      <c r="M44" s="589"/>
      <c r="N44" s="589"/>
      <c r="O44" s="589"/>
      <c r="P44" s="589"/>
      <c r="Q44" s="589"/>
      <c r="R44" s="589"/>
      <c r="S44" s="589"/>
      <c r="T44" s="589"/>
      <c r="U44" s="589"/>
      <c r="V44" s="589"/>
      <c r="W44" s="589"/>
      <c r="X44" s="589"/>
      <c r="Y44" s="589"/>
      <c r="Z44" s="589"/>
    </row>
    <row r="45" spans="2:27" x14ac:dyDescent="0.25">
      <c r="C45" s="550"/>
      <c r="D45" s="427" t="s">
        <v>229</v>
      </c>
      <c r="E45" s="381"/>
      <c r="F45" s="428"/>
      <c r="G45" s="428"/>
      <c r="H45" s="428"/>
      <c r="I45" s="428"/>
      <c r="J45" s="428"/>
      <c r="K45" s="428"/>
      <c r="L45" s="428"/>
      <c r="M45" s="428"/>
      <c r="N45" s="428"/>
      <c r="O45" s="429"/>
      <c r="P45" s="427" t="s">
        <v>226</v>
      </c>
      <c r="Q45" s="428"/>
      <c r="R45" s="428"/>
      <c r="S45" s="428"/>
      <c r="T45" s="428"/>
      <c r="U45" s="428"/>
      <c r="V45" s="428"/>
      <c r="W45" s="428"/>
      <c r="X45" s="418"/>
      <c r="Y45" s="418"/>
      <c r="Z45" s="418"/>
      <c r="AA45" s="585"/>
    </row>
    <row r="46" spans="2:27" ht="51" x14ac:dyDescent="0.25">
      <c r="B46" s="551"/>
      <c r="C46" s="550"/>
      <c r="D46" s="430" t="s">
        <v>227</v>
      </c>
      <c r="E46" s="431" t="s">
        <v>260</v>
      </c>
      <c r="F46" s="432" t="s">
        <v>238</v>
      </c>
      <c r="G46" s="431" t="s">
        <v>261</v>
      </c>
      <c r="H46" s="432" t="s">
        <v>17</v>
      </c>
      <c r="I46" s="432" t="s">
        <v>91</v>
      </c>
      <c r="J46" s="432" t="s">
        <v>92</v>
      </c>
      <c r="K46" s="432" t="s">
        <v>93</v>
      </c>
      <c r="L46" s="432" t="s">
        <v>94</v>
      </c>
      <c r="M46" s="431" t="s">
        <v>95</v>
      </c>
      <c r="N46" s="431" t="s">
        <v>96</v>
      </c>
      <c r="O46" s="433" t="s">
        <v>258</v>
      </c>
      <c r="P46" s="430" t="s">
        <v>227</v>
      </c>
      <c r="Q46" s="431" t="s">
        <v>260</v>
      </c>
      <c r="R46" s="432" t="s">
        <v>238</v>
      </c>
      <c r="S46" s="431" t="s">
        <v>228</v>
      </c>
      <c r="T46" s="432" t="s">
        <v>262</v>
      </c>
      <c r="U46" s="432" t="s">
        <v>97</v>
      </c>
      <c r="V46" s="432" t="s">
        <v>92</v>
      </c>
      <c r="W46" s="432" t="s">
        <v>93</v>
      </c>
      <c r="X46" s="432" t="s">
        <v>94</v>
      </c>
      <c r="Y46" s="431" t="s">
        <v>95</v>
      </c>
      <c r="Z46" s="431" t="s">
        <v>96</v>
      </c>
      <c r="AA46" s="586" t="s">
        <v>258</v>
      </c>
    </row>
    <row r="47" spans="2:27" x14ac:dyDescent="0.25">
      <c r="B47" s="551" t="s">
        <v>12</v>
      </c>
      <c r="C47" s="550"/>
      <c r="D47" s="591"/>
      <c r="E47" s="583"/>
      <c r="F47" s="583"/>
      <c r="G47" s="583"/>
      <c r="H47" s="583"/>
      <c r="I47" s="583"/>
      <c r="J47" s="583"/>
      <c r="K47" s="583"/>
      <c r="L47" s="583"/>
      <c r="M47" s="583"/>
      <c r="N47" s="583"/>
      <c r="O47" s="592"/>
      <c r="P47" s="591"/>
      <c r="Q47" s="583"/>
      <c r="R47" s="583"/>
      <c r="S47" s="583"/>
      <c r="T47" s="583"/>
      <c r="U47" s="583"/>
      <c r="V47" s="583"/>
      <c r="W47" s="583"/>
      <c r="X47" s="583"/>
      <c r="Y47" s="583"/>
      <c r="Z47" s="583"/>
      <c r="AA47" s="609"/>
    </row>
    <row r="48" spans="2:27" x14ac:dyDescent="0.25">
      <c r="B48" s="550"/>
      <c r="C48" s="550" t="s">
        <v>20</v>
      </c>
      <c r="D48" s="511"/>
      <c r="E48" s="382"/>
      <c r="F48" s="382"/>
      <c r="G48" s="382"/>
      <c r="H48" s="382"/>
      <c r="I48" s="382"/>
      <c r="J48" s="382"/>
      <c r="K48" s="382"/>
      <c r="L48" s="382"/>
      <c r="M48" s="382"/>
      <c r="N48" s="382"/>
      <c r="O48" s="410"/>
      <c r="P48" s="511"/>
      <c r="Q48" s="382"/>
      <c r="R48" s="382"/>
      <c r="S48" s="382"/>
      <c r="T48" s="382"/>
      <c r="U48" s="382"/>
      <c r="V48" s="382"/>
      <c r="W48" s="382"/>
      <c r="X48" s="382"/>
      <c r="Y48" s="382"/>
      <c r="Z48" s="382"/>
      <c r="AA48" s="609"/>
    </row>
    <row r="49" spans="2:27" x14ac:dyDescent="0.25">
      <c r="B49" s="556" t="s">
        <v>21</v>
      </c>
      <c r="C49" s="504"/>
      <c r="D49" s="558"/>
      <c r="E49" s="512"/>
      <c r="F49" s="512"/>
      <c r="G49" s="512"/>
      <c r="H49" s="512"/>
      <c r="I49" s="512"/>
      <c r="J49" s="512"/>
      <c r="K49" s="512"/>
      <c r="L49" s="512"/>
      <c r="M49" s="512"/>
      <c r="N49" s="512"/>
      <c r="O49" s="559"/>
      <c r="P49" s="558"/>
      <c r="Q49" s="512"/>
      <c r="R49" s="512"/>
      <c r="S49" s="512"/>
      <c r="T49" s="512"/>
      <c r="U49" s="512"/>
      <c r="V49" s="512"/>
      <c r="W49" s="512"/>
      <c r="X49" s="512"/>
      <c r="Y49" s="512"/>
      <c r="Z49" s="512"/>
      <c r="AA49" s="559"/>
    </row>
    <row r="50" spans="2:27" x14ac:dyDescent="0.25">
      <c r="B50" s="550"/>
      <c r="C50" s="550" t="s">
        <v>22</v>
      </c>
      <c r="D50" s="593">
        <v>2012</v>
      </c>
      <c r="E50" s="594">
        <v>2016</v>
      </c>
      <c r="F50" s="595" t="str">
        <f>User_Inputs!$G$13</f>
        <v>Yes</v>
      </c>
      <c r="G50" s="596">
        <v>0.1</v>
      </c>
      <c r="H50" s="73"/>
      <c r="I50" s="382"/>
      <c r="J50" s="597"/>
      <c r="K50" s="382"/>
      <c r="L50" s="598"/>
      <c r="M50" s="599"/>
      <c r="N50" s="599"/>
      <c r="O50" s="600"/>
      <c r="P50" s="511"/>
      <c r="Q50" s="382"/>
      <c r="R50" s="382"/>
      <c r="S50" s="186"/>
      <c r="T50" s="382"/>
      <c r="U50" s="382"/>
      <c r="V50" s="382"/>
      <c r="W50" s="382"/>
      <c r="X50" s="610"/>
      <c r="Y50" s="596"/>
      <c r="Z50" s="596"/>
      <c r="AA50" s="609"/>
    </row>
    <row r="51" spans="2:27" x14ac:dyDescent="0.25">
      <c r="B51" s="550"/>
      <c r="C51" s="550" t="s">
        <v>26</v>
      </c>
      <c r="D51" s="511"/>
      <c r="E51" s="382"/>
      <c r="F51" s="382"/>
      <c r="G51" s="382"/>
      <c r="H51" s="64"/>
      <c r="I51" s="382"/>
      <c r="J51" s="597"/>
      <c r="K51" s="382"/>
      <c r="L51" s="598"/>
      <c r="M51" s="599"/>
      <c r="N51" s="599"/>
      <c r="O51" s="600"/>
      <c r="P51" s="511"/>
      <c r="Q51" s="382"/>
      <c r="R51" s="382"/>
      <c r="S51" s="382"/>
      <c r="T51" s="382"/>
      <c r="U51" s="382"/>
      <c r="V51" s="382"/>
      <c r="W51" s="382"/>
      <c r="X51" s="611"/>
      <c r="Y51" s="596"/>
      <c r="Z51" s="596"/>
      <c r="AA51" s="609"/>
    </row>
    <row r="52" spans="2:27" x14ac:dyDescent="0.25">
      <c r="B52" s="550"/>
      <c r="C52" s="550" t="s">
        <v>27</v>
      </c>
      <c r="D52" s="511"/>
      <c r="E52" s="382"/>
      <c r="F52" s="382"/>
      <c r="G52" s="382"/>
      <c r="H52" s="382"/>
      <c r="I52" s="382"/>
      <c r="J52" s="382"/>
      <c r="K52" s="382"/>
      <c r="L52" s="414"/>
      <c r="M52" s="599"/>
      <c r="N52" s="382"/>
      <c r="O52" s="410"/>
      <c r="P52" s="511"/>
      <c r="Q52" s="382"/>
      <c r="R52" s="382"/>
      <c r="S52" s="382"/>
      <c r="T52" s="382"/>
      <c r="U52" s="382"/>
      <c r="V52" s="382"/>
      <c r="W52" s="382"/>
      <c r="X52" s="382"/>
      <c r="Y52" s="382"/>
      <c r="Z52" s="382"/>
      <c r="AA52" s="609"/>
    </row>
    <row r="53" spans="2:27" x14ac:dyDescent="0.25">
      <c r="B53" s="550"/>
      <c r="C53" s="550" t="s">
        <v>29</v>
      </c>
      <c r="D53" s="511"/>
      <c r="E53" s="382"/>
      <c r="F53" s="382"/>
      <c r="G53" s="382"/>
      <c r="H53" s="382"/>
      <c r="I53" s="382"/>
      <c r="J53" s="382"/>
      <c r="K53" s="382"/>
      <c r="L53" s="414"/>
      <c r="M53" s="382"/>
      <c r="N53" s="382"/>
      <c r="O53" s="410"/>
      <c r="P53" s="511"/>
      <c r="Q53" s="382"/>
      <c r="R53" s="382"/>
      <c r="S53" s="382"/>
      <c r="T53" s="382"/>
      <c r="U53" s="382"/>
      <c r="V53" s="382"/>
      <c r="W53" s="382"/>
      <c r="X53" s="382"/>
      <c r="Y53" s="382"/>
      <c r="Z53" s="382"/>
      <c r="AA53" s="609"/>
    </row>
    <row r="54" spans="2:27" x14ac:dyDescent="0.25">
      <c r="B54" s="550"/>
      <c r="C54" s="550"/>
      <c r="D54" s="511"/>
      <c r="E54" s="382"/>
      <c r="F54" s="382"/>
      <c r="G54" s="382"/>
      <c r="H54" s="382"/>
      <c r="I54" s="382"/>
      <c r="J54" s="382"/>
      <c r="K54" s="382"/>
      <c r="L54" s="414"/>
      <c r="M54" s="382"/>
      <c r="N54" s="382"/>
      <c r="O54" s="410"/>
      <c r="P54" s="511"/>
      <c r="Q54" s="382"/>
      <c r="R54" s="382"/>
      <c r="S54" s="382"/>
      <c r="T54" s="382"/>
      <c r="U54" s="382"/>
      <c r="V54" s="382"/>
      <c r="W54" s="382"/>
      <c r="X54" s="382"/>
      <c r="Y54" s="382"/>
      <c r="Z54" s="382"/>
      <c r="AA54" s="609"/>
    </row>
    <row r="55" spans="2:27" x14ac:dyDescent="0.25">
      <c r="B55" s="502" t="s">
        <v>32</v>
      </c>
      <c r="C55" s="501"/>
      <c r="D55" s="558"/>
      <c r="E55" s="512"/>
      <c r="F55" s="512"/>
      <c r="G55" s="512"/>
      <c r="H55" s="512"/>
      <c r="I55" s="512"/>
      <c r="J55" s="512"/>
      <c r="K55" s="512"/>
      <c r="L55" s="512"/>
      <c r="M55" s="512"/>
      <c r="N55" s="512"/>
      <c r="O55" s="559"/>
      <c r="P55" s="558"/>
      <c r="Q55" s="512"/>
      <c r="R55" s="512"/>
      <c r="S55" s="512"/>
      <c r="T55" s="512"/>
      <c r="U55" s="512"/>
      <c r="V55" s="512"/>
      <c r="W55" s="512"/>
      <c r="X55" s="512"/>
      <c r="Y55" s="512"/>
      <c r="Z55" s="512"/>
      <c r="AA55" s="559"/>
    </row>
    <row r="56" spans="2:27" x14ac:dyDescent="0.25">
      <c r="B56" s="550"/>
      <c r="C56" s="550" t="s">
        <v>33</v>
      </c>
      <c r="D56" s="511"/>
      <c r="E56" s="382"/>
      <c r="F56" s="186"/>
      <c r="G56" s="382"/>
      <c r="H56" s="73"/>
      <c r="I56" s="382"/>
      <c r="J56" s="382"/>
      <c r="K56" s="382"/>
      <c r="L56" s="598"/>
      <c r="M56" s="599"/>
      <c r="N56" s="599"/>
      <c r="O56" s="600"/>
      <c r="P56" s="511"/>
      <c r="Q56" s="382"/>
      <c r="R56" s="382"/>
      <c r="S56" s="186"/>
      <c r="T56" s="382"/>
      <c r="U56" s="382"/>
      <c r="V56" s="382"/>
      <c r="W56" s="382"/>
      <c r="X56" s="611"/>
      <c r="Y56" s="596"/>
      <c r="Z56" s="596"/>
      <c r="AA56" s="609"/>
    </row>
    <row r="57" spans="2:27" x14ac:dyDescent="0.25">
      <c r="B57" s="552"/>
      <c r="C57" s="552" t="s">
        <v>34</v>
      </c>
      <c r="D57" s="593">
        <v>2012</v>
      </c>
      <c r="E57" s="594">
        <v>2014</v>
      </c>
      <c r="F57" s="595" t="str">
        <f>User_Inputs!$G$14</f>
        <v>Yes</v>
      </c>
      <c r="G57" s="382"/>
      <c r="H57" s="351">
        <f>(5.9*J57^0.27)^(1/1.27)</f>
        <v>18.042274964986124</v>
      </c>
      <c r="I57" s="382"/>
      <c r="J57" s="382">
        <f>Tech_Specs!U16*Tech_Specs!Z16</f>
        <v>1132.9599999999998</v>
      </c>
      <c r="K57" s="382"/>
      <c r="L57" s="601">
        <v>7.34</v>
      </c>
      <c r="M57" s="599">
        <f>Tech_Specs!L16/(Misc_Inputs!$D$8-Misc_Inputs!$D$6)</f>
        <v>5.0000000000000001E-3</v>
      </c>
      <c r="N57" s="599">
        <f>Tech_Specs!N16/(Misc_Inputs!$D$8-Misc_Inputs!$D$6)</f>
        <v>-5.0000000000000001E-3</v>
      </c>
      <c r="O57" s="600" t="s">
        <v>259</v>
      </c>
      <c r="P57" s="511"/>
      <c r="Q57" s="382"/>
      <c r="R57" s="382"/>
      <c r="S57" s="382"/>
      <c r="T57" s="382"/>
      <c r="U57" s="382"/>
      <c r="V57" s="382"/>
      <c r="W57" s="382"/>
      <c r="X57" s="610"/>
      <c r="Y57" s="596"/>
      <c r="Z57" s="596"/>
      <c r="AA57" s="609"/>
    </row>
    <row r="58" spans="2:27" x14ac:dyDescent="0.25">
      <c r="B58" s="550"/>
      <c r="C58" s="552" t="s">
        <v>35</v>
      </c>
      <c r="D58" s="511"/>
      <c r="E58" s="382"/>
      <c r="F58" s="382"/>
      <c r="G58" s="382"/>
      <c r="H58" s="382"/>
      <c r="I58" s="382"/>
      <c r="J58" s="382"/>
      <c r="K58" s="382"/>
      <c r="L58" s="382"/>
      <c r="M58" s="382"/>
      <c r="N58" s="382"/>
      <c r="O58" s="410"/>
      <c r="P58" s="511"/>
      <c r="Q58" s="382"/>
      <c r="R58" s="382"/>
      <c r="S58" s="382"/>
      <c r="T58" s="382"/>
      <c r="U58" s="382"/>
      <c r="V58" s="382"/>
      <c r="W58" s="382"/>
      <c r="X58" s="611"/>
      <c r="Y58" s="596"/>
      <c r="Z58" s="596"/>
      <c r="AA58" s="609"/>
    </row>
    <row r="59" spans="2:27" x14ac:dyDescent="0.25">
      <c r="B59" s="550"/>
      <c r="C59" s="552" t="s">
        <v>29</v>
      </c>
      <c r="D59" s="511"/>
      <c r="E59" s="382"/>
      <c r="F59" s="382"/>
      <c r="G59" s="382"/>
      <c r="H59" s="382"/>
      <c r="I59" s="382"/>
      <c r="J59" s="382"/>
      <c r="K59" s="382"/>
      <c r="L59" s="598"/>
      <c r="M59" s="599"/>
      <c r="N59" s="382"/>
      <c r="O59" s="410"/>
      <c r="P59" s="511"/>
      <c r="Q59" s="382"/>
      <c r="R59" s="382"/>
      <c r="S59" s="382"/>
      <c r="T59" s="382"/>
      <c r="U59" s="382"/>
      <c r="V59" s="382"/>
      <c r="W59" s="382"/>
      <c r="X59" s="382"/>
      <c r="Y59" s="382"/>
      <c r="Z59" s="382"/>
      <c r="AA59" s="609"/>
    </row>
    <row r="60" spans="2:27" x14ac:dyDescent="0.25">
      <c r="B60" s="550"/>
      <c r="C60" s="550"/>
      <c r="D60" s="511"/>
      <c r="E60" s="382"/>
      <c r="F60" s="382"/>
      <c r="G60" s="382"/>
      <c r="H60" s="382"/>
      <c r="I60" s="382"/>
      <c r="J60" s="382"/>
      <c r="K60" s="382"/>
      <c r="L60" s="414"/>
      <c r="M60" s="382"/>
      <c r="N60" s="382"/>
      <c r="O60" s="410"/>
      <c r="P60" s="511"/>
      <c r="Q60" s="382"/>
      <c r="R60" s="382"/>
      <c r="S60" s="382"/>
      <c r="T60" s="382"/>
      <c r="U60" s="382"/>
      <c r="V60" s="382"/>
      <c r="W60" s="382"/>
      <c r="X60" s="382"/>
      <c r="Y60" s="382"/>
      <c r="Z60" s="382"/>
      <c r="AA60" s="609"/>
    </row>
    <row r="61" spans="2:27" x14ac:dyDescent="0.25">
      <c r="B61" s="502" t="s">
        <v>36</v>
      </c>
      <c r="C61" s="501"/>
      <c r="D61" s="558"/>
      <c r="E61" s="512"/>
      <c r="F61" s="512"/>
      <c r="G61" s="512"/>
      <c r="H61" s="512"/>
      <c r="I61" s="512"/>
      <c r="J61" s="512"/>
      <c r="K61" s="512"/>
      <c r="L61" s="512"/>
      <c r="M61" s="512"/>
      <c r="N61" s="512"/>
      <c r="O61" s="559"/>
      <c r="P61" s="558"/>
      <c r="Q61" s="512"/>
      <c r="R61" s="512"/>
      <c r="S61" s="512"/>
      <c r="T61" s="512"/>
      <c r="U61" s="512"/>
      <c r="V61" s="512"/>
      <c r="W61" s="512"/>
      <c r="X61" s="512"/>
      <c r="Y61" s="512"/>
      <c r="Z61" s="512"/>
      <c r="AA61" s="559"/>
    </row>
    <row r="62" spans="2:27" x14ac:dyDescent="0.25">
      <c r="B62" s="550"/>
      <c r="C62" s="550" t="s">
        <v>37</v>
      </c>
      <c r="D62" s="593">
        <v>2012</v>
      </c>
      <c r="E62" s="594">
        <v>2014</v>
      </c>
      <c r="F62" s="595" t="str">
        <f>User_Inputs!$G$9</f>
        <v>Yes</v>
      </c>
      <c r="G62" s="602">
        <v>0.1</v>
      </c>
      <c r="H62" s="603"/>
      <c r="I62" s="382"/>
      <c r="J62" s="382"/>
      <c r="K62" s="382"/>
      <c r="L62" s="598"/>
      <c r="M62" s="599"/>
      <c r="N62" s="599"/>
      <c r="O62" s="600"/>
      <c r="P62" s="593">
        <v>2015</v>
      </c>
      <c r="Q62" s="594">
        <v>2017</v>
      </c>
      <c r="R62" s="595" t="str">
        <f>User_Inputs!$G$10</f>
        <v>Yes</v>
      </c>
      <c r="S62" s="615">
        <v>0.1</v>
      </c>
      <c r="T62" s="613"/>
      <c r="U62" s="382"/>
      <c r="V62" s="382"/>
      <c r="W62" s="382"/>
      <c r="X62" s="598"/>
      <c r="Y62" s="876"/>
      <c r="Z62" s="599">
        <f>Tech_Specs!N21/(Misc_Inputs!$D$8-Misc_Inputs!$D$6)</f>
        <v>-5.0000000000000001E-3</v>
      </c>
      <c r="AA62" s="609"/>
    </row>
    <row r="63" spans="2:27" x14ac:dyDescent="0.25">
      <c r="B63" s="550"/>
      <c r="C63" s="550" t="s">
        <v>39</v>
      </c>
      <c r="D63" s="593">
        <v>2014</v>
      </c>
      <c r="E63" s="594">
        <v>2016</v>
      </c>
      <c r="F63" s="595" t="str">
        <f>User_Inputs!$G$9</f>
        <v>Yes</v>
      </c>
      <c r="G63" s="186"/>
      <c r="H63" s="603">
        <v>97.8</v>
      </c>
      <c r="I63" s="382"/>
      <c r="J63" s="382"/>
      <c r="K63" s="382"/>
      <c r="L63" s="601">
        <v>5.0999999999999996</v>
      </c>
      <c r="M63" s="599">
        <f>Tech_Specs!L22/(Misc_Inputs!$D$8-Misc_Inputs!$D$6)</f>
        <v>5.0000000000000001E-3</v>
      </c>
      <c r="N63" s="599">
        <f>Tech_Specs!N22/(Misc_Inputs!$D$8-Misc_Inputs!$D$6)</f>
        <v>-5.0000000000000001E-3</v>
      </c>
      <c r="O63" s="600"/>
      <c r="P63" s="593">
        <v>2015</v>
      </c>
      <c r="Q63" s="594">
        <v>2017</v>
      </c>
      <c r="R63" s="595" t="str">
        <f>User_Inputs!$G$10</f>
        <v>Yes</v>
      </c>
      <c r="S63" s="186"/>
      <c r="T63" s="613">
        <v>0.93300000000000005</v>
      </c>
      <c r="U63" s="382"/>
      <c r="V63" s="382"/>
      <c r="W63" s="382"/>
      <c r="X63" s="616">
        <f>11.63/9.79*Perform_Sectors!AV23</f>
        <v>19.007150153217573</v>
      </c>
      <c r="Y63" s="876"/>
      <c r="Z63" s="599">
        <f>Tech_Specs!N22/(Misc_Inputs!$D$8-Misc_Inputs!$D$6)</f>
        <v>-5.0000000000000001E-3</v>
      </c>
      <c r="AA63" s="609" t="s">
        <v>263</v>
      </c>
    </row>
    <row r="64" spans="2:27" x14ac:dyDescent="0.25">
      <c r="B64" s="550"/>
      <c r="C64" s="550" t="s">
        <v>40</v>
      </c>
      <c r="D64" s="511"/>
      <c r="E64" s="382"/>
      <c r="F64" s="382"/>
      <c r="G64" s="382"/>
      <c r="H64" s="64"/>
      <c r="I64" s="382"/>
      <c r="J64" s="382"/>
      <c r="K64" s="382"/>
      <c r="L64" s="598"/>
      <c r="M64" s="599"/>
      <c r="N64" s="599"/>
      <c r="O64" s="600"/>
      <c r="P64" s="593">
        <v>2015</v>
      </c>
      <c r="Q64" s="594">
        <v>2017</v>
      </c>
      <c r="R64" s="595" t="str">
        <f>User_Inputs!$G$10</f>
        <v>Yes</v>
      </c>
      <c r="S64" s="382"/>
      <c r="T64" s="613">
        <v>0.92</v>
      </c>
      <c r="U64" s="382"/>
      <c r="V64" s="382"/>
      <c r="W64" s="382"/>
      <c r="X64" s="616">
        <f>15.36/10.78*Perform_Sectors!AV24</f>
        <v>28.497217068645639</v>
      </c>
      <c r="Y64" s="876"/>
      <c r="Z64" s="599">
        <f>Tech_Specs!N23/(Misc_Inputs!$D$8-Misc_Inputs!$D$6)</f>
        <v>-5.0000000000000001E-3</v>
      </c>
      <c r="AA64" s="609" t="s">
        <v>263</v>
      </c>
    </row>
    <row r="65" spans="2:27" x14ac:dyDescent="0.25">
      <c r="B65" s="550"/>
      <c r="C65" s="550" t="s">
        <v>29</v>
      </c>
      <c r="D65" s="511"/>
      <c r="E65" s="382"/>
      <c r="F65" s="382"/>
      <c r="G65" s="382"/>
      <c r="H65" s="64"/>
      <c r="I65" s="382"/>
      <c r="J65" s="382"/>
      <c r="K65" s="382"/>
      <c r="L65" s="598"/>
      <c r="M65" s="599"/>
      <c r="N65" s="599"/>
      <c r="O65" s="600"/>
      <c r="P65" s="511"/>
      <c r="Q65" s="382"/>
      <c r="R65" s="382"/>
      <c r="S65" s="382"/>
      <c r="T65" s="382"/>
      <c r="U65" s="382"/>
      <c r="V65" s="382"/>
      <c r="W65" s="382"/>
      <c r="X65" s="382"/>
      <c r="Y65" s="382"/>
      <c r="Z65" s="382"/>
      <c r="AA65" s="609"/>
    </row>
    <row r="66" spans="2:27" x14ac:dyDescent="0.25">
      <c r="B66" s="550"/>
      <c r="C66" s="550"/>
      <c r="D66" s="511"/>
      <c r="E66" s="382"/>
      <c r="F66" s="382"/>
      <c r="G66" s="382"/>
      <c r="H66" s="382"/>
      <c r="I66" s="382"/>
      <c r="J66" s="382"/>
      <c r="K66" s="382"/>
      <c r="L66" s="414"/>
      <c r="M66" s="382"/>
      <c r="N66" s="382"/>
      <c r="O66" s="410"/>
      <c r="P66" s="511"/>
      <c r="Q66" s="382"/>
      <c r="R66" s="382"/>
      <c r="S66" s="382"/>
      <c r="T66" s="382"/>
      <c r="U66" s="382"/>
      <c r="V66" s="382"/>
      <c r="W66" s="382"/>
      <c r="X66" s="382"/>
      <c r="Y66" s="382"/>
      <c r="Z66" s="382"/>
      <c r="AA66" s="609"/>
    </row>
    <row r="67" spans="2:27" x14ac:dyDescent="0.25">
      <c r="B67" s="502" t="s">
        <v>42</v>
      </c>
      <c r="C67" s="501"/>
      <c r="D67" s="558"/>
      <c r="E67" s="512"/>
      <c r="F67" s="512"/>
      <c r="G67" s="512"/>
      <c r="H67" s="512"/>
      <c r="I67" s="512"/>
      <c r="J67" s="512"/>
      <c r="K67" s="512"/>
      <c r="L67" s="512"/>
      <c r="M67" s="512"/>
      <c r="N67" s="512"/>
      <c r="O67" s="559"/>
      <c r="P67" s="558"/>
      <c r="Q67" s="512"/>
      <c r="R67" s="512"/>
      <c r="S67" s="512"/>
      <c r="T67" s="512"/>
      <c r="U67" s="512"/>
      <c r="V67" s="512"/>
      <c r="W67" s="512"/>
      <c r="X67" s="512"/>
      <c r="Y67" s="512"/>
      <c r="Z67" s="512"/>
      <c r="AA67" s="559"/>
    </row>
    <row r="68" spans="2:27" x14ac:dyDescent="0.25">
      <c r="B68" s="550"/>
      <c r="C68" s="552" t="s">
        <v>43</v>
      </c>
      <c r="D68" s="604"/>
      <c r="E68" s="179"/>
      <c r="F68" s="186"/>
      <c r="G68" s="382"/>
      <c r="H68" s="73"/>
      <c r="I68" s="382"/>
      <c r="J68" s="382"/>
      <c r="K68" s="382"/>
      <c r="L68" s="414"/>
      <c r="M68" s="382"/>
      <c r="N68" s="382"/>
      <c r="O68" s="410"/>
      <c r="P68" s="593">
        <v>2008</v>
      </c>
      <c r="Q68" s="594">
        <v>2010</v>
      </c>
      <c r="R68" s="595" t="str">
        <f>User_Inputs!$G$11</f>
        <v>Yes</v>
      </c>
      <c r="S68" s="602">
        <v>0.05</v>
      </c>
      <c r="T68" s="382"/>
      <c r="U68" s="382"/>
      <c r="V68" s="382"/>
      <c r="W68" s="382"/>
      <c r="X68" s="382"/>
      <c r="Y68" s="876"/>
      <c r="Z68" s="599">
        <f>Tech_Specs!N27/(Misc_Inputs!$D$8-Misc_Inputs!$D$6)</f>
        <v>-5.0000000000000001E-3</v>
      </c>
      <c r="AA68" s="609"/>
    </row>
    <row r="69" spans="2:27" x14ac:dyDescent="0.25">
      <c r="B69" s="550"/>
      <c r="C69" s="552" t="s">
        <v>44</v>
      </c>
      <c r="D69" s="604"/>
      <c r="E69" s="179"/>
      <c r="F69" s="186"/>
      <c r="G69" s="186"/>
      <c r="H69" s="605"/>
      <c r="I69" s="382"/>
      <c r="J69" s="382"/>
      <c r="K69" s="382"/>
      <c r="L69" s="382"/>
      <c r="M69" s="382"/>
      <c r="N69" s="382"/>
      <c r="O69" s="410"/>
      <c r="P69" s="832">
        <v>2011</v>
      </c>
      <c r="Q69" s="414">
        <v>2011</v>
      </c>
      <c r="R69" s="595" t="str">
        <f>User_Inputs!$G$12</f>
        <v>Yes</v>
      </c>
      <c r="S69" s="186"/>
      <c r="T69" s="414">
        <v>0.88</v>
      </c>
      <c r="U69" s="382"/>
      <c r="V69" s="382"/>
      <c r="W69" s="382"/>
      <c r="X69" s="382"/>
      <c r="Y69" s="876"/>
      <c r="Z69" s="876">
        <f>Tech_Specs!N71/(Misc_Inputs!$D$8-Misc_Inputs!$D$6)</f>
        <v>0</v>
      </c>
      <c r="AA69" s="609" t="s">
        <v>445</v>
      </c>
    </row>
    <row r="70" spans="2:27" x14ac:dyDescent="0.25">
      <c r="B70" s="550"/>
      <c r="C70" s="552" t="s">
        <v>45</v>
      </c>
      <c r="D70" s="511"/>
      <c r="E70" s="382"/>
      <c r="F70" s="382"/>
      <c r="G70" s="382"/>
      <c r="H70" s="64"/>
      <c r="I70" s="382"/>
      <c r="J70" s="597"/>
      <c r="K70" s="382"/>
      <c r="L70" s="598"/>
      <c r="M70" s="599"/>
      <c r="N70" s="599"/>
      <c r="O70" s="600"/>
      <c r="P70" s="511"/>
      <c r="Q70" s="382"/>
      <c r="R70" s="382"/>
      <c r="S70" s="382"/>
      <c r="T70" s="382"/>
      <c r="U70" s="584"/>
      <c r="V70" s="584"/>
      <c r="W70" s="382"/>
      <c r="X70" s="611"/>
      <c r="Y70" s="596"/>
      <c r="Z70" s="596"/>
      <c r="AA70" s="609"/>
    </row>
    <row r="71" spans="2:27" x14ac:dyDescent="0.25">
      <c r="B71" s="550"/>
      <c r="C71" s="552" t="s">
        <v>46</v>
      </c>
      <c r="D71" s="606"/>
      <c r="E71" s="186"/>
      <c r="F71" s="186"/>
      <c r="G71" s="186"/>
      <c r="H71" s="186"/>
      <c r="I71" s="186"/>
      <c r="J71" s="186"/>
      <c r="K71" s="186"/>
      <c r="L71" s="186"/>
      <c r="M71" s="186"/>
      <c r="N71" s="186"/>
      <c r="O71" s="607"/>
      <c r="P71" s="606"/>
      <c r="Q71" s="186"/>
      <c r="R71" s="186"/>
      <c r="S71" s="186"/>
      <c r="T71" s="186"/>
      <c r="U71" s="186"/>
      <c r="V71" s="186"/>
      <c r="W71" s="186"/>
      <c r="X71" s="186"/>
      <c r="Y71" s="186"/>
      <c r="Z71" s="186"/>
      <c r="AA71" s="609"/>
    </row>
    <row r="72" spans="2:27" x14ac:dyDescent="0.25">
      <c r="B72" s="550"/>
      <c r="C72" s="550" t="s">
        <v>29</v>
      </c>
      <c r="D72" s="511"/>
      <c r="E72" s="382"/>
      <c r="F72" s="382"/>
      <c r="G72" s="382"/>
      <c r="H72" s="382"/>
      <c r="I72" s="382"/>
      <c r="J72" s="382"/>
      <c r="K72" s="382"/>
      <c r="L72" s="382"/>
      <c r="M72" s="382"/>
      <c r="N72" s="382"/>
      <c r="O72" s="410"/>
      <c r="P72" s="511"/>
      <c r="Q72" s="382"/>
      <c r="R72" s="382"/>
      <c r="S72" s="382"/>
      <c r="T72" s="382"/>
      <c r="U72" s="382"/>
      <c r="V72" s="382"/>
      <c r="W72" s="382"/>
      <c r="X72" s="382"/>
      <c r="Y72" s="382"/>
      <c r="Z72" s="382"/>
      <c r="AA72" s="609"/>
    </row>
    <row r="73" spans="2:27" x14ac:dyDescent="0.25">
      <c r="B73" s="550"/>
      <c r="C73" s="550"/>
      <c r="D73" s="511"/>
      <c r="E73" s="382"/>
      <c r="F73" s="382"/>
      <c r="G73" s="382"/>
      <c r="H73" s="382"/>
      <c r="I73" s="382"/>
      <c r="J73" s="382"/>
      <c r="K73" s="382"/>
      <c r="L73" s="382"/>
      <c r="M73" s="382"/>
      <c r="N73" s="382"/>
      <c r="O73" s="410"/>
      <c r="P73" s="511"/>
      <c r="Q73" s="382"/>
      <c r="R73" s="382"/>
      <c r="S73" s="382"/>
      <c r="T73" s="382"/>
      <c r="U73" s="382"/>
      <c r="V73" s="382"/>
      <c r="W73" s="382"/>
      <c r="X73" s="382"/>
      <c r="Y73" s="382"/>
      <c r="Z73" s="382"/>
      <c r="AA73" s="609"/>
    </row>
    <row r="74" spans="2:27" x14ac:dyDescent="0.25">
      <c r="B74" s="506" t="s">
        <v>47</v>
      </c>
      <c r="C74" s="505"/>
      <c r="D74" s="558"/>
      <c r="E74" s="512"/>
      <c r="F74" s="512"/>
      <c r="G74" s="512"/>
      <c r="H74" s="512"/>
      <c r="I74" s="512"/>
      <c r="J74" s="512"/>
      <c r="K74" s="512"/>
      <c r="L74" s="512"/>
      <c r="M74" s="512"/>
      <c r="N74" s="512"/>
      <c r="O74" s="559"/>
      <c r="P74" s="558"/>
      <c r="Q74" s="512"/>
      <c r="R74" s="512"/>
      <c r="S74" s="512"/>
      <c r="T74" s="512"/>
      <c r="U74" s="512"/>
      <c r="V74" s="512"/>
      <c r="W74" s="512"/>
      <c r="X74" s="512"/>
      <c r="Y74" s="512"/>
      <c r="Z74" s="512"/>
      <c r="AA74" s="559"/>
    </row>
    <row r="75" spans="2:27" x14ac:dyDescent="0.25">
      <c r="B75" s="550"/>
      <c r="C75" s="550" t="s">
        <v>48</v>
      </c>
      <c r="D75" s="608">
        <v>2012</v>
      </c>
      <c r="E75" s="594">
        <v>2014</v>
      </c>
      <c r="F75" s="595" t="str">
        <f>User_Inputs!$G$15</f>
        <v>Yes</v>
      </c>
      <c r="G75" s="382"/>
      <c r="H75" s="811">
        <f>Tech_Specs!$T$34*Tech_Specs!$Y$34/Standards_Sectors!I75</f>
        <v>11.525059665871122</v>
      </c>
      <c r="I75" s="382">
        <v>41.9</v>
      </c>
      <c r="J75" s="382"/>
      <c r="K75" s="382"/>
      <c r="L75" s="382"/>
      <c r="M75" s="876">
        <f>Tech_Specs!L34/(Misc_Inputs!$D$8-Misc_Inputs!$D$6)</f>
        <v>2.5000000000000001E-3</v>
      </c>
      <c r="N75" s="876">
        <f>Tech_Specs!N34/(Misc_Inputs!$D$8-Misc_Inputs!$D$6)</f>
        <v>-5.0000000000000001E-3</v>
      </c>
      <c r="O75" s="410"/>
      <c r="P75" s="511"/>
      <c r="Q75" s="382"/>
      <c r="R75" s="382"/>
      <c r="S75" s="186"/>
      <c r="T75" s="382"/>
      <c r="U75" s="382"/>
      <c r="V75" s="382"/>
      <c r="W75" s="382"/>
      <c r="X75" s="382"/>
      <c r="Y75" s="382"/>
      <c r="Z75" s="382"/>
      <c r="AA75" s="609"/>
    </row>
    <row r="76" spans="2:27" x14ac:dyDescent="0.25">
      <c r="B76" s="550"/>
      <c r="C76" s="552" t="s">
        <v>50</v>
      </c>
      <c r="D76" s="511"/>
      <c r="E76" s="382"/>
      <c r="F76" s="382"/>
      <c r="G76" s="382"/>
      <c r="H76" s="382"/>
      <c r="I76" s="382"/>
      <c r="J76" s="382"/>
      <c r="K76" s="382"/>
      <c r="L76" s="382"/>
      <c r="M76" s="382"/>
      <c r="N76" s="382"/>
      <c r="O76" s="410"/>
      <c r="P76" s="511"/>
      <c r="Q76" s="382"/>
      <c r="R76" s="382"/>
      <c r="S76" s="382"/>
      <c r="T76" s="382"/>
      <c r="U76" s="382"/>
      <c r="V76" s="382"/>
      <c r="W76" s="382"/>
      <c r="X76" s="382"/>
      <c r="Y76" s="382"/>
      <c r="Z76" s="382"/>
      <c r="AA76" s="609"/>
    </row>
    <row r="77" spans="2:27" x14ac:dyDescent="0.25">
      <c r="B77" s="550"/>
      <c r="C77" s="550" t="s">
        <v>51</v>
      </c>
      <c r="D77" s="511"/>
      <c r="E77" s="382"/>
      <c r="F77" s="382"/>
      <c r="G77" s="382"/>
      <c r="H77" s="382"/>
      <c r="I77" s="382"/>
      <c r="J77" s="382"/>
      <c r="K77" s="382"/>
      <c r="L77" s="382"/>
      <c r="M77" s="382"/>
      <c r="N77" s="382"/>
      <c r="O77" s="410"/>
      <c r="P77" s="511"/>
      <c r="Q77" s="382"/>
      <c r="R77" s="382"/>
      <c r="S77" s="382"/>
      <c r="T77" s="382"/>
      <c r="U77" s="382"/>
      <c r="V77" s="382"/>
      <c r="W77" s="382"/>
      <c r="X77" s="382"/>
      <c r="Y77" s="382"/>
      <c r="Z77" s="382"/>
      <c r="AA77" s="609"/>
    </row>
    <row r="78" spans="2:27" x14ac:dyDescent="0.25">
      <c r="B78" s="550"/>
      <c r="C78" s="550" t="s">
        <v>52</v>
      </c>
      <c r="D78" s="511"/>
      <c r="E78" s="382"/>
      <c r="F78" s="382"/>
      <c r="G78" s="382"/>
      <c r="H78" s="64"/>
      <c r="I78" s="382"/>
      <c r="J78" s="597"/>
      <c r="K78" s="382"/>
      <c r="L78" s="598"/>
      <c r="M78" s="599"/>
      <c r="N78" s="599"/>
      <c r="O78" s="600"/>
      <c r="P78" s="511"/>
      <c r="Q78" s="382"/>
      <c r="R78" s="382"/>
      <c r="S78" s="382"/>
      <c r="T78" s="382"/>
      <c r="U78" s="382"/>
      <c r="V78" s="382"/>
      <c r="W78" s="382"/>
      <c r="X78" s="611"/>
      <c r="Y78" s="596"/>
      <c r="Z78" s="596"/>
      <c r="AA78" s="609"/>
    </row>
    <row r="79" spans="2:27" x14ac:dyDescent="0.25">
      <c r="B79" s="550"/>
      <c r="C79" s="552" t="s">
        <v>29</v>
      </c>
      <c r="D79" s="606"/>
      <c r="E79" s="186"/>
      <c r="F79" s="186"/>
      <c r="G79" s="186"/>
      <c r="H79" s="186"/>
      <c r="I79" s="186"/>
      <c r="J79" s="186"/>
      <c r="K79" s="186"/>
      <c r="L79" s="186"/>
      <c r="M79" s="186"/>
      <c r="N79" s="186"/>
      <c r="O79" s="607"/>
      <c r="P79" s="606"/>
      <c r="Q79" s="186"/>
      <c r="R79" s="186"/>
      <c r="S79" s="186"/>
      <c r="T79" s="186"/>
      <c r="U79" s="186"/>
      <c r="V79" s="186"/>
      <c r="W79" s="186"/>
      <c r="X79" s="186"/>
      <c r="Y79" s="186"/>
      <c r="Z79" s="186"/>
      <c r="AA79" s="609"/>
    </row>
    <row r="80" spans="2:27" x14ac:dyDescent="0.25">
      <c r="B80" s="550"/>
      <c r="C80" s="552" t="s">
        <v>53</v>
      </c>
      <c r="D80" s="61"/>
      <c r="E80" s="74"/>
      <c r="F80" s="74"/>
      <c r="G80" s="74"/>
      <c r="H80" s="74"/>
      <c r="I80" s="74"/>
      <c r="J80" s="74"/>
      <c r="K80" s="74"/>
      <c r="L80" s="74"/>
      <c r="M80" s="74"/>
      <c r="N80" s="74"/>
      <c r="O80" s="56"/>
      <c r="P80" s="61"/>
      <c r="Q80" s="74"/>
      <c r="R80" s="74"/>
      <c r="S80" s="74"/>
      <c r="T80" s="74"/>
      <c r="U80" s="74"/>
      <c r="V80" s="74"/>
      <c r="W80" s="74"/>
      <c r="X80" s="74"/>
      <c r="Y80" s="74"/>
      <c r="Z80" s="74"/>
      <c r="AA80" s="614"/>
    </row>
    <row r="81" spans="2:27" s="539" customFormat="1" x14ac:dyDescent="0.25">
      <c r="B81" s="550"/>
      <c r="C81" s="552"/>
      <c r="D81" s="550"/>
      <c r="E81" s="550"/>
      <c r="F81" s="550"/>
      <c r="G81" s="550"/>
      <c r="H81" s="550"/>
      <c r="I81" s="550"/>
      <c r="J81" s="550"/>
      <c r="K81" s="550"/>
      <c r="L81" s="550"/>
      <c r="M81" s="550"/>
      <c r="N81" s="550"/>
      <c r="O81" s="550"/>
      <c r="P81" s="550"/>
      <c r="Q81" s="550"/>
      <c r="R81" s="550"/>
      <c r="S81" s="550"/>
      <c r="T81" s="550"/>
      <c r="U81" s="550"/>
      <c r="V81" s="550"/>
      <c r="W81" s="550"/>
      <c r="X81" s="550"/>
      <c r="Y81" s="550"/>
      <c r="Z81" s="550"/>
    </row>
    <row r="82" spans="2:27" s="539" customFormat="1" x14ac:dyDescent="0.25">
      <c r="B82" s="550"/>
      <c r="C82" s="552"/>
      <c r="D82" s="550"/>
      <c r="E82" s="550"/>
      <c r="F82" s="550"/>
      <c r="G82" s="550"/>
      <c r="H82" s="550"/>
      <c r="I82" s="550"/>
      <c r="J82" s="550"/>
      <c r="K82" s="550"/>
      <c r="L82" s="550"/>
      <c r="M82" s="550"/>
      <c r="N82" s="550"/>
      <c r="O82" s="550"/>
      <c r="P82" s="550"/>
      <c r="Q82" s="550"/>
      <c r="R82" s="550"/>
      <c r="S82" s="550"/>
      <c r="T82" s="550"/>
      <c r="U82" s="550"/>
      <c r="V82" s="550"/>
      <c r="W82" s="550"/>
      <c r="X82" s="550"/>
      <c r="Y82" s="550"/>
      <c r="Z82" s="550"/>
    </row>
    <row r="83" spans="2:27" s="587" customFormat="1" x14ac:dyDescent="0.25">
      <c r="B83" s="588" t="s">
        <v>56</v>
      </c>
    </row>
    <row r="84" spans="2:27" x14ac:dyDescent="0.25">
      <c r="C84" s="550"/>
      <c r="D84" s="427" t="s">
        <v>229</v>
      </c>
      <c r="E84" s="381"/>
      <c r="F84" s="428"/>
      <c r="G84" s="428"/>
      <c r="H84" s="428"/>
      <c r="I84" s="428"/>
      <c r="J84" s="428"/>
      <c r="K84" s="428"/>
      <c r="L84" s="428"/>
      <c r="M84" s="428"/>
      <c r="N84" s="428"/>
      <c r="O84" s="429"/>
      <c r="P84" s="427" t="s">
        <v>226</v>
      </c>
      <c r="Q84" s="428"/>
      <c r="R84" s="428"/>
      <c r="S84" s="428"/>
      <c r="T84" s="428"/>
      <c r="U84" s="428"/>
      <c r="V84" s="428"/>
      <c r="W84" s="428"/>
      <c r="X84" s="418"/>
      <c r="Y84" s="418"/>
      <c r="Z84" s="418"/>
      <c r="AA84" s="585"/>
    </row>
    <row r="85" spans="2:27" ht="51" x14ac:dyDescent="0.25">
      <c r="B85" s="551"/>
      <c r="C85" s="550"/>
      <c r="D85" s="430" t="s">
        <v>227</v>
      </c>
      <c r="E85" s="431" t="s">
        <v>260</v>
      </c>
      <c r="F85" s="432" t="s">
        <v>238</v>
      </c>
      <c r="G85" s="431" t="s">
        <v>261</v>
      </c>
      <c r="H85" s="432" t="s">
        <v>17</v>
      </c>
      <c r="I85" s="432" t="s">
        <v>91</v>
      </c>
      <c r="J85" s="432" t="s">
        <v>92</v>
      </c>
      <c r="K85" s="432" t="s">
        <v>93</v>
      </c>
      <c r="L85" s="432" t="s">
        <v>94</v>
      </c>
      <c r="M85" s="431" t="s">
        <v>95</v>
      </c>
      <c r="N85" s="431" t="s">
        <v>96</v>
      </c>
      <c r="O85" s="433" t="s">
        <v>258</v>
      </c>
      <c r="P85" s="430" t="s">
        <v>227</v>
      </c>
      <c r="Q85" s="431" t="s">
        <v>260</v>
      </c>
      <c r="R85" s="432" t="s">
        <v>238</v>
      </c>
      <c r="S85" s="431" t="s">
        <v>228</v>
      </c>
      <c r="T85" s="432" t="s">
        <v>262</v>
      </c>
      <c r="U85" s="432" t="s">
        <v>97</v>
      </c>
      <c r="V85" s="432" t="s">
        <v>92</v>
      </c>
      <c r="W85" s="432" t="s">
        <v>93</v>
      </c>
      <c r="X85" s="432" t="s">
        <v>94</v>
      </c>
      <c r="Y85" s="431" t="s">
        <v>95</v>
      </c>
      <c r="Z85" s="431" t="s">
        <v>96</v>
      </c>
      <c r="AA85" s="586" t="s">
        <v>258</v>
      </c>
    </row>
    <row r="86" spans="2:27" x14ac:dyDescent="0.25">
      <c r="B86" s="551" t="s">
        <v>12</v>
      </c>
      <c r="C86" s="550"/>
      <c r="D86" s="591"/>
      <c r="E86" s="583"/>
      <c r="F86" s="583"/>
      <c r="G86" s="583"/>
      <c r="H86" s="583"/>
      <c r="I86" s="583"/>
      <c r="J86" s="583"/>
      <c r="K86" s="583"/>
      <c r="L86" s="583"/>
      <c r="M86" s="583"/>
      <c r="N86" s="583"/>
      <c r="O86" s="592"/>
      <c r="P86" s="591"/>
      <c r="Q86" s="583"/>
      <c r="R86" s="583"/>
      <c r="S86" s="583"/>
      <c r="T86" s="583"/>
      <c r="U86" s="583"/>
      <c r="V86" s="583"/>
      <c r="W86" s="583"/>
      <c r="X86" s="583"/>
      <c r="Y86" s="583"/>
      <c r="Z86" s="583"/>
      <c r="AA86" s="609"/>
    </row>
    <row r="87" spans="2:27" x14ac:dyDescent="0.25">
      <c r="B87" s="550"/>
      <c r="C87" s="550" t="s">
        <v>20</v>
      </c>
      <c r="D87" s="511"/>
      <c r="E87" s="382"/>
      <c r="F87" s="382"/>
      <c r="G87" s="382"/>
      <c r="H87" s="382"/>
      <c r="I87" s="382"/>
      <c r="J87" s="382"/>
      <c r="K87" s="382"/>
      <c r="L87" s="382"/>
      <c r="M87" s="382"/>
      <c r="N87" s="382"/>
      <c r="O87" s="410"/>
      <c r="P87" s="511"/>
      <c r="Q87" s="382"/>
      <c r="R87" s="382"/>
      <c r="S87" s="382"/>
      <c r="T87" s="382"/>
      <c r="U87" s="382"/>
      <c r="V87" s="382"/>
      <c r="W87" s="382"/>
      <c r="X87" s="382"/>
      <c r="Y87" s="382"/>
      <c r="Z87" s="382"/>
      <c r="AA87" s="609"/>
    </row>
    <row r="88" spans="2:27" x14ac:dyDescent="0.25">
      <c r="B88" s="556" t="s">
        <v>21</v>
      </c>
      <c r="C88" s="504"/>
      <c r="D88" s="558"/>
      <c r="E88" s="512"/>
      <c r="F88" s="512"/>
      <c r="G88" s="512"/>
      <c r="H88" s="512"/>
      <c r="I88" s="512"/>
      <c r="J88" s="512"/>
      <c r="K88" s="512"/>
      <c r="L88" s="512"/>
      <c r="M88" s="512"/>
      <c r="N88" s="512"/>
      <c r="O88" s="559"/>
      <c r="P88" s="558"/>
      <c r="Q88" s="512"/>
      <c r="R88" s="512"/>
      <c r="S88" s="512"/>
      <c r="T88" s="512"/>
      <c r="U88" s="512"/>
      <c r="V88" s="512"/>
      <c r="W88" s="512"/>
      <c r="X88" s="512"/>
      <c r="Y88" s="512"/>
      <c r="Z88" s="512"/>
      <c r="AA88" s="559"/>
    </row>
    <row r="89" spans="2:27" x14ac:dyDescent="0.25">
      <c r="B89" s="550"/>
      <c r="C89" s="550" t="s">
        <v>22</v>
      </c>
      <c r="D89" s="593">
        <v>2012</v>
      </c>
      <c r="E89" s="594">
        <v>2016</v>
      </c>
      <c r="F89" s="595" t="str">
        <f>User_Inputs!$G$13</f>
        <v>Yes</v>
      </c>
      <c r="G89" s="596">
        <v>0.1</v>
      </c>
      <c r="H89" s="73"/>
      <c r="I89" s="382"/>
      <c r="J89" s="597"/>
      <c r="K89" s="382"/>
      <c r="L89" s="598"/>
      <c r="M89" s="599"/>
      <c r="N89" s="599"/>
      <c r="O89" s="600"/>
      <c r="P89" s="511"/>
      <c r="Q89" s="382"/>
      <c r="R89" s="382"/>
      <c r="S89" s="186"/>
      <c r="T89" s="382"/>
      <c r="U89" s="382"/>
      <c r="V89" s="382"/>
      <c r="W89" s="382"/>
      <c r="X89" s="610"/>
      <c r="Y89" s="596"/>
      <c r="Z89" s="596"/>
      <c r="AA89" s="609"/>
    </row>
    <row r="90" spans="2:27" x14ac:dyDescent="0.25">
      <c r="B90" s="550"/>
      <c r="C90" s="550" t="s">
        <v>26</v>
      </c>
      <c r="D90" s="511"/>
      <c r="E90" s="382"/>
      <c r="F90" s="382"/>
      <c r="G90" s="382"/>
      <c r="H90" s="64"/>
      <c r="I90" s="382"/>
      <c r="J90" s="597"/>
      <c r="K90" s="382"/>
      <c r="L90" s="598"/>
      <c r="M90" s="599"/>
      <c r="N90" s="599"/>
      <c r="O90" s="600"/>
      <c r="P90" s="511"/>
      <c r="Q90" s="382"/>
      <c r="R90" s="382"/>
      <c r="S90" s="382"/>
      <c r="T90" s="382"/>
      <c r="U90" s="382"/>
      <c r="V90" s="382"/>
      <c r="W90" s="382"/>
      <c r="X90" s="611"/>
      <c r="Y90" s="596"/>
      <c r="Z90" s="596"/>
      <c r="AA90" s="609"/>
    </row>
    <row r="91" spans="2:27" x14ac:dyDescent="0.25">
      <c r="B91" s="550"/>
      <c r="C91" s="550" t="s">
        <v>27</v>
      </c>
      <c r="D91" s="511"/>
      <c r="E91" s="382"/>
      <c r="F91" s="382"/>
      <c r="G91" s="382"/>
      <c r="H91" s="382"/>
      <c r="I91" s="382"/>
      <c r="J91" s="382"/>
      <c r="K91" s="382"/>
      <c r="L91" s="414"/>
      <c r="M91" s="599"/>
      <c r="N91" s="382"/>
      <c r="O91" s="410"/>
      <c r="P91" s="511"/>
      <c r="Q91" s="382"/>
      <c r="R91" s="382"/>
      <c r="S91" s="584"/>
      <c r="T91" s="584"/>
      <c r="U91" s="382"/>
      <c r="V91" s="382"/>
      <c r="W91" s="382"/>
      <c r="X91" s="382"/>
      <c r="Y91" s="382"/>
      <c r="Z91" s="382"/>
      <c r="AA91" s="609"/>
    </row>
    <row r="92" spans="2:27" x14ac:dyDescent="0.25">
      <c r="B92" s="550"/>
      <c r="C92" s="550" t="s">
        <v>29</v>
      </c>
      <c r="D92" s="511"/>
      <c r="E92" s="382"/>
      <c r="F92" s="382"/>
      <c r="G92" s="382"/>
      <c r="H92" s="382"/>
      <c r="I92" s="382"/>
      <c r="J92" s="382"/>
      <c r="K92" s="382"/>
      <c r="L92" s="414"/>
      <c r="M92" s="382"/>
      <c r="N92" s="382"/>
      <c r="O92" s="410"/>
      <c r="P92" s="511"/>
      <c r="Q92" s="382"/>
      <c r="R92" s="382"/>
      <c r="S92" s="382"/>
      <c r="T92" s="382"/>
      <c r="U92" s="382"/>
      <c r="V92" s="382"/>
      <c r="W92" s="382"/>
      <c r="X92" s="382"/>
      <c r="Y92" s="382"/>
      <c r="Z92" s="382"/>
      <c r="AA92" s="609"/>
    </row>
    <row r="93" spans="2:27" x14ac:dyDescent="0.25">
      <c r="B93" s="550"/>
      <c r="C93" s="550"/>
      <c r="D93" s="511"/>
      <c r="E93" s="382"/>
      <c r="F93" s="382"/>
      <c r="G93" s="382"/>
      <c r="H93" s="382"/>
      <c r="I93" s="382"/>
      <c r="J93" s="382"/>
      <c r="K93" s="382"/>
      <c r="L93" s="414"/>
      <c r="M93" s="382"/>
      <c r="N93" s="382"/>
      <c r="O93" s="410"/>
      <c r="P93" s="511"/>
      <c r="Q93" s="382"/>
      <c r="R93" s="382"/>
      <c r="S93" s="382"/>
      <c r="T93" s="382"/>
      <c r="U93" s="382"/>
      <c r="V93" s="382"/>
      <c r="W93" s="382"/>
      <c r="X93" s="382"/>
      <c r="Y93" s="382"/>
      <c r="Z93" s="382"/>
      <c r="AA93" s="609"/>
    </row>
    <row r="94" spans="2:27" x14ac:dyDescent="0.25">
      <c r="B94" s="502" t="s">
        <v>32</v>
      </c>
      <c r="C94" s="501"/>
      <c r="D94" s="558"/>
      <c r="E94" s="512"/>
      <c r="F94" s="512"/>
      <c r="G94" s="512"/>
      <c r="H94" s="512"/>
      <c r="I94" s="512"/>
      <c r="J94" s="512"/>
      <c r="K94" s="512"/>
      <c r="L94" s="512"/>
      <c r="M94" s="512"/>
      <c r="N94" s="512"/>
      <c r="O94" s="559"/>
      <c r="P94" s="558"/>
      <c r="Q94" s="512"/>
      <c r="R94" s="512"/>
      <c r="S94" s="512"/>
      <c r="T94" s="512"/>
      <c r="U94" s="512"/>
      <c r="V94" s="512"/>
      <c r="W94" s="512"/>
      <c r="X94" s="512"/>
      <c r="Y94" s="512"/>
      <c r="Z94" s="512"/>
      <c r="AA94" s="559"/>
    </row>
    <row r="95" spans="2:27" x14ac:dyDescent="0.25">
      <c r="B95" s="550"/>
      <c r="C95" s="550" t="s">
        <v>33</v>
      </c>
      <c r="D95" s="511"/>
      <c r="E95" s="382"/>
      <c r="F95" s="186"/>
      <c r="G95" s="382"/>
      <c r="H95" s="73"/>
      <c r="I95" s="382"/>
      <c r="J95" s="382"/>
      <c r="K95" s="382"/>
      <c r="L95" s="598"/>
      <c r="M95" s="599"/>
      <c r="N95" s="599"/>
      <c r="O95" s="600"/>
      <c r="P95" s="511"/>
      <c r="Q95" s="382"/>
      <c r="R95" s="382"/>
      <c r="S95" s="186"/>
      <c r="T95" s="382"/>
      <c r="U95" s="382"/>
      <c r="V95" s="382"/>
      <c r="W95" s="382"/>
      <c r="X95" s="611"/>
      <c r="Y95" s="596"/>
      <c r="Z95" s="596"/>
      <c r="AA95" s="609"/>
    </row>
    <row r="96" spans="2:27" x14ac:dyDescent="0.25">
      <c r="B96" s="552"/>
      <c r="C96" s="552" t="s">
        <v>34</v>
      </c>
      <c r="D96" s="593">
        <v>2012</v>
      </c>
      <c r="E96" s="594">
        <v>2014</v>
      </c>
      <c r="F96" s="595" t="str">
        <f>User_Inputs!$G$14</f>
        <v>Yes</v>
      </c>
      <c r="G96" s="382"/>
      <c r="H96" s="351">
        <f>(5.9*J96^0.27)^(1/1.27)</f>
        <v>16.862670367962089</v>
      </c>
      <c r="I96" s="382"/>
      <c r="J96" s="382">
        <f>Tech_Specs!V16*Tech_Specs!AA16</f>
        <v>824.31000000000006</v>
      </c>
      <c r="K96" s="382"/>
      <c r="L96" s="601">
        <v>7.34</v>
      </c>
      <c r="M96" s="599">
        <f>Tech_Specs!L16/(Misc_Inputs!$D$8-Misc_Inputs!$D$6)</f>
        <v>5.0000000000000001E-3</v>
      </c>
      <c r="N96" s="599">
        <f>Tech_Specs!N16/(Misc_Inputs!$D$8-Misc_Inputs!$D$6)</f>
        <v>-5.0000000000000001E-3</v>
      </c>
      <c r="O96" s="600" t="s">
        <v>259</v>
      </c>
      <c r="P96" s="511"/>
      <c r="Q96" s="382"/>
      <c r="R96" s="382"/>
      <c r="S96" s="382"/>
      <c r="T96" s="382"/>
      <c r="U96" s="382"/>
      <c r="V96" s="382"/>
      <c r="W96" s="382"/>
      <c r="X96" s="610"/>
      <c r="Y96" s="596"/>
      <c r="Z96" s="596"/>
      <c r="AA96" s="609"/>
    </row>
    <row r="97" spans="2:28" x14ac:dyDescent="0.25">
      <c r="B97" s="550"/>
      <c r="C97" s="552" t="s">
        <v>35</v>
      </c>
      <c r="D97" s="511"/>
      <c r="E97" s="382"/>
      <c r="F97" s="382"/>
      <c r="G97" s="382"/>
      <c r="H97" s="382"/>
      <c r="I97" s="382"/>
      <c r="J97" s="382"/>
      <c r="K97" s="382"/>
      <c r="L97" s="382"/>
      <c r="M97" s="382"/>
      <c r="N97" s="382"/>
      <c r="O97" s="410"/>
      <c r="P97" s="511"/>
      <c r="Q97" s="382"/>
      <c r="R97" s="382"/>
      <c r="S97" s="382"/>
      <c r="T97" s="382"/>
      <c r="U97" s="382"/>
      <c r="V97" s="382"/>
      <c r="W97" s="382"/>
      <c r="X97" s="611"/>
      <c r="Y97" s="596"/>
      <c r="Z97" s="596"/>
      <c r="AA97" s="609"/>
    </row>
    <row r="98" spans="2:28" x14ac:dyDescent="0.25">
      <c r="B98" s="550"/>
      <c r="C98" s="552" t="s">
        <v>29</v>
      </c>
      <c r="D98" s="511"/>
      <c r="E98" s="382"/>
      <c r="F98" s="382"/>
      <c r="G98" s="382"/>
      <c r="H98" s="382"/>
      <c r="I98" s="382"/>
      <c r="J98" s="382"/>
      <c r="K98" s="382"/>
      <c r="L98" s="598"/>
      <c r="M98" s="599"/>
      <c r="N98" s="382"/>
      <c r="O98" s="410"/>
      <c r="P98" s="511"/>
      <c r="Q98" s="382"/>
      <c r="R98" s="382"/>
      <c r="S98" s="382"/>
      <c r="T98" s="382"/>
      <c r="U98" s="382"/>
      <c r="V98" s="382"/>
      <c r="W98" s="382"/>
      <c r="X98" s="382"/>
      <c r="Y98" s="382"/>
      <c r="Z98" s="382"/>
      <c r="AA98" s="609"/>
    </row>
    <row r="99" spans="2:28" x14ac:dyDescent="0.25">
      <c r="B99" s="550"/>
      <c r="C99" s="550"/>
      <c r="D99" s="511"/>
      <c r="E99" s="382"/>
      <c r="F99" s="382"/>
      <c r="G99" s="382"/>
      <c r="H99" s="382"/>
      <c r="I99" s="382"/>
      <c r="J99" s="382"/>
      <c r="K99" s="382"/>
      <c r="L99" s="414"/>
      <c r="M99" s="382"/>
      <c r="N99" s="382"/>
      <c r="O99" s="410"/>
      <c r="P99" s="511"/>
      <c r="Q99" s="382"/>
      <c r="R99" s="382"/>
      <c r="S99" s="382"/>
      <c r="T99" s="382"/>
      <c r="U99" s="382"/>
      <c r="V99" s="382"/>
      <c r="W99" s="382"/>
      <c r="X99" s="382"/>
      <c r="Y99" s="382"/>
      <c r="Z99" s="382"/>
      <c r="AA99" s="609"/>
    </row>
    <row r="100" spans="2:28" x14ac:dyDescent="0.25">
      <c r="B100" s="502" t="s">
        <v>36</v>
      </c>
      <c r="C100" s="501"/>
      <c r="D100" s="558"/>
      <c r="E100" s="512"/>
      <c r="F100" s="512"/>
      <c r="G100" s="512"/>
      <c r="H100" s="512"/>
      <c r="I100" s="512"/>
      <c r="J100" s="512"/>
      <c r="K100" s="512"/>
      <c r="L100" s="512"/>
      <c r="M100" s="512"/>
      <c r="N100" s="512"/>
      <c r="O100" s="559"/>
      <c r="P100" s="558"/>
      <c r="Q100" s="512"/>
      <c r="R100" s="512"/>
      <c r="S100" s="512"/>
      <c r="T100" s="512"/>
      <c r="U100" s="512"/>
      <c r="V100" s="512"/>
      <c r="W100" s="512"/>
      <c r="X100" s="512"/>
      <c r="Y100" s="512"/>
      <c r="Z100" s="512"/>
      <c r="AA100" s="559"/>
    </row>
    <row r="101" spans="2:28" x14ac:dyDescent="0.25">
      <c r="B101" s="550"/>
      <c r="C101" s="550" t="s">
        <v>37</v>
      </c>
      <c r="D101" s="593">
        <v>2012</v>
      </c>
      <c r="E101" s="594">
        <v>2014</v>
      </c>
      <c r="F101" s="595" t="str">
        <f>User_Inputs!$G$9</f>
        <v>Yes</v>
      </c>
      <c r="G101" s="602">
        <v>0.1</v>
      </c>
      <c r="H101" s="603"/>
      <c r="I101" s="382"/>
      <c r="J101" s="382"/>
      <c r="K101" s="382"/>
      <c r="L101" s="598"/>
      <c r="M101" s="599"/>
      <c r="N101" s="599"/>
      <c r="O101" s="600"/>
      <c r="P101" s="593">
        <v>2015</v>
      </c>
      <c r="Q101" s="594">
        <v>2017</v>
      </c>
      <c r="R101" s="595" t="str">
        <f>User_Inputs!$G$10</f>
        <v>Yes</v>
      </c>
      <c r="S101" s="602">
        <v>0.1</v>
      </c>
      <c r="T101" s="613"/>
      <c r="U101" s="382"/>
      <c r="V101" s="382"/>
      <c r="W101" s="382"/>
      <c r="X101" s="598"/>
      <c r="Y101" s="612"/>
      <c r="Z101" s="599">
        <f>Tech_Specs!N21/(Misc_Inputs!$D$8-Misc_Inputs!$D$6)</f>
        <v>-5.0000000000000001E-3</v>
      </c>
      <c r="AA101" s="609"/>
    </row>
    <row r="102" spans="2:28" x14ac:dyDescent="0.25">
      <c r="B102" s="550"/>
      <c r="C102" s="550" t="s">
        <v>39</v>
      </c>
      <c r="D102" s="593">
        <v>2014</v>
      </c>
      <c r="E102" s="594">
        <v>2016</v>
      </c>
      <c r="F102" s="595" t="str">
        <f>User_Inputs!$G$9</f>
        <v>Yes</v>
      </c>
      <c r="G102" s="186"/>
      <c r="H102" s="603">
        <v>97.8</v>
      </c>
      <c r="I102" s="382"/>
      <c r="J102" s="382"/>
      <c r="K102" s="382"/>
      <c r="L102" s="601">
        <v>5.0999999999999996</v>
      </c>
      <c r="M102" s="599">
        <f>Tech_Specs!L22/(Misc_Inputs!$D$8-Misc_Inputs!$D$6)</f>
        <v>5.0000000000000001E-3</v>
      </c>
      <c r="N102" s="599">
        <f>Tech_Specs!N22/(Misc_Inputs!$D$8-Misc_Inputs!$D$6)</f>
        <v>-5.0000000000000001E-3</v>
      </c>
      <c r="O102" s="600"/>
      <c r="P102" s="593">
        <v>2015</v>
      </c>
      <c r="Q102" s="594">
        <v>2017</v>
      </c>
      <c r="R102" s="595" t="str">
        <f>User_Inputs!$G$10</f>
        <v>Yes</v>
      </c>
      <c r="S102" s="186"/>
      <c r="T102" s="613">
        <v>0.93300000000000005</v>
      </c>
      <c r="U102" s="382"/>
      <c r="V102" s="382"/>
      <c r="W102" s="382"/>
      <c r="X102" s="616">
        <f>11.63/9.79*Perform_Sectors!AW23</f>
        <v>19.007150153217573</v>
      </c>
      <c r="Y102" s="612"/>
      <c r="Z102" s="599">
        <f>Tech_Specs!N22/(Misc_Inputs!$D$8-Misc_Inputs!$D$6)</f>
        <v>-5.0000000000000001E-3</v>
      </c>
      <c r="AA102" s="609" t="s">
        <v>263</v>
      </c>
      <c r="AB102" s="539"/>
    </row>
    <row r="103" spans="2:28" x14ac:dyDescent="0.25">
      <c r="B103" s="550"/>
      <c r="C103" s="550" t="s">
        <v>40</v>
      </c>
      <c r="D103" s="511"/>
      <c r="E103" s="382"/>
      <c r="F103" s="382"/>
      <c r="G103" s="382"/>
      <c r="H103" s="64"/>
      <c r="I103" s="382"/>
      <c r="J103" s="382"/>
      <c r="K103" s="382"/>
      <c r="L103" s="598"/>
      <c r="M103" s="599"/>
      <c r="N103" s="599"/>
      <c r="O103" s="600"/>
      <c r="P103" s="593">
        <v>2015</v>
      </c>
      <c r="Q103" s="594">
        <v>2017</v>
      </c>
      <c r="R103" s="595" t="str">
        <f>User_Inputs!$G$10</f>
        <v>Yes</v>
      </c>
      <c r="S103" s="382"/>
      <c r="T103" s="594">
        <v>0.92300000000000004</v>
      </c>
      <c r="U103" s="382"/>
      <c r="V103" s="382"/>
      <c r="W103" s="382"/>
      <c r="X103" s="617">
        <f>16.76/9.61*Perform_Sectors!AW24</f>
        <v>34.880332986472432</v>
      </c>
      <c r="Y103" s="382"/>
      <c r="Z103" s="599">
        <f>Tech_Specs!N23/(Misc_Inputs!$D$8-Misc_Inputs!$D$6)</f>
        <v>-5.0000000000000001E-3</v>
      </c>
      <c r="AA103" s="609" t="s">
        <v>263</v>
      </c>
      <c r="AB103" s="539"/>
    </row>
    <row r="104" spans="2:28" x14ac:dyDescent="0.25">
      <c r="B104" s="550"/>
      <c r="C104" s="550" t="s">
        <v>29</v>
      </c>
      <c r="D104" s="511"/>
      <c r="E104" s="382"/>
      <c r="F104" s="382"/>
      <c r="G104" s="382"/>
      <c r="H104" s="64"/>
      <c r="I104" s="382"/>
      <c r="J104" s="382"/>
      <c r="K104" s="382"/>
      <c r="L104" s="598"/>
      <c r="M104" s="599"/>
      <c r="N104" s="599"/>
      <c r="O104" s="600"/>
      <c r="P104" s="511"/>
      <c r="Q104" s="382"/>
      <c r="R104" s="382"/>
      <c r="S104" s="382"/>
      <c r="T104" s="382"/>
      <c r="U104" s="382"/>
      <c r="V104" s="382"/>
      <c r="W104" s="382"/>
      <c r="X104" s="382"/>
      <c r="Y104" s="382"/>
      <c r="Z104" s="382"/>
      <c r="AA104" s="609"/>
    </row>
    <row r="105" spans="2:28" x14ac:dyDescent="0.25">
      <c r="B105" s="550"/>
      <c r="C105" s="550"/>
      <c r="D105" s="511"/>
      <c r="E105" s="382"/>
      <c r="F105" s="382"/>
      <c r="G105" s="382"/>
      <c r="H105" s="382"/>
      <c r="I105" s="382"/>
      <c r="J105" s="382"/>
      <c r="K105" s="382"/>
      <c r="L105" s="414"/>
      <c r="M105" s="382"/>
      <c r="N105" s="382"/>
      <c r="O105" s="410"/>
      <c r="P105" s="511"/>
      <c r="Q105" s="382"/>
      <c r="R105" s="382"/>
      <c r="S105" s="382"/>
      <c r="T105" s="382"/>
      <c r="U105" s="382"/>
      <c r="V105" s="382"/>
      <c r="W105" s="382"/>
      <c r="X105" s="382"/>
      <c r="Y105" s="382"/>
      <c r="Z105" s="382"/>
      <c r="AA105" s="609"/>
    </row>
    <row r="106" spans="2:28" x14ac:dyDescent="0.25">
      <c r="B106" s="502" t="s">
        <v>42</v>
      </c>
      <c r="C106" s="501"/>
      <c r="D106" s="558"/>
      <c r="E106" s="512"/>
      <c r="F106" s="512"/>
      <c r="G106" s="512"/>
      <c r="H106" s="512"/>
      <c r="I106" s="512"/>
      <c r="J106" s="512"/>
      <c r="K106" s="512"/>
      <c r="L106" s="512"/>
      <c r="M106" s="512"/>
      <c r="N106" s="512"/>
      <c r="O106" s="559"/>
      <c r="P106" s="558"/>
      <c r="Q106" s="512"/>
      <c r="R106" s="512"/>
      <c r="S106" s="512"/>
      <c r="T106" s="512"/>
      <c r="U106" s="512"/>
      <c r="V106" s="512"/>
      <c r="W106" s="512"/>
      <c r="X106" s="512"/>
      <c r="Y106" s="512"/>
      <c r="Z106" s="512"/>
      <c r="AA106" s="559"/>
    </row>
    <row r="107" spans="2:28" x14ac:dyDescent="0.25">
      <c r="B107" s="550"/>
      <c r="C107" s="552" t="s">
        <v>43</v>
      </c>
      <c r="D107" s="604"/>
      <c r="E107" s="179"/>
      <c r="F107" s="186"/>
      <c r="G107" s="186"/>
      <c r="H107" s="605"/>
      <c r="I107" s="382"/>
      <c r="J107" s="382"/>
      <c r="K107" s="382"/>
      <c r="L107" s="414"/>
      <c r="M107" s="382"/>
      <c r="N107" s="382"/>
      <c r="O107" s="410"/>
      <c r="P107" s="593">
        <v>2008</v>
      </c>
      <c r="Q107" s="594">
        <v>2010</v>
      </c>
      <c r="R107" s="595" t="str">
        <f>User_Inputs!$G$11</f>
        <v>Yes</v>
      </c>
      <c r="S107" s="602">
        <v>0.05</v>
      </c>
      <c r="T107" s="382"/>
      <c r="U107" s="382"/>
      <c r="V107" s="382"/>
      <c r="W107" s="382"/>
      <c r="X107" s="382"/>
      <c r="Y107" s="382"/>
      <c r="Z107" s="599">
        <f>Tech_Specs!N27/(Misc_Inputs!$D$8-Misc_Inputs!$D$6)</f>
        <v>-5.0000000000000001E-3</v>
      </c>
      <c r="AA107" s="609"/>
    </row>
    <row r="108" spans="2:28" x14ac:dyDescent="0.25">
      <c r="B108" s="550"/>
      <c r="C108" s="552" t="s">
        <v>44</v>
      </c>
      <c r="D108" s="606"/>
      <c r="E108" s="186"/>
      <c r="F108" s="605"/>
      <c r="G108" s="382"/>
      <c r="H108" s="73"/>
      <c r="I108" s="382"/>
      <c r="J108" s="382"/>
      <c r="K108" s="382"/>
      <c r="L108" s="382"/>
      <c r="M108" s="382"/>
      <c r="N108" s="382"/>
      <c r="O108" s="410"/>
      <c r="P108" s="832">
        <v>2011</v>
      </c>
      <c r="Q108" s="414">
        <v>2011</v>
      </c>
      <c r="R108" s="595" t="str">
        <f>User_Inputs!$G$12</f>
        <v>Yes</v>
      </c>
      <c r="S108" s="186"/>
      <c r="T108" s="414">
        <v>0.88</v>
      </c>
      <c r="U108" s="382"/>
      <c r="V108" s="382"/>
      <c r="W108" s="382"/>
      <c r="X108" s="382"/>
      <c r="Y108" s="382"/>
      <c r="Z108" s="382"/>
      <c r="AA108" s="609"/>
    </row>
    <row r="109" spans="2:28" x14ac:dyDescent="0.25">
      <c r="B109" s="550"/>
      <c r="C109" s="552" t="s">
        <v>45</v>
      </c>
      <c r="D109" s="511"/>
      <c r="E109" s="382"/>
      <c r="F109" s="382"/>
      <c r="G109" s="382"/>
      <c r="H109" s="64"/>
      <c r="I109" s="382"/>
      <c r="J109" s="597"/>
      <c r="K109" s="382"/>
      <c r="L109" s="598"/>
      <c r="M109" s="599"/>
      <c r="N109" s="599"/>
      <c r="O109" s="600"/>
      <c r="P109" s="511"/>
      <c r="Q109" s="382"/>
      <c r="R109" s="382"/>
      <c r="S109" s="382"/>
      <c r="T109" s="382"/>
      <c r="U109" s="382"/>
      <c r="V109" s="382"/>
      <c r="W109" s="382"/>
      <c r="X109" s="611"/>
      <c r="Y109" s="596"/>
      <c r="Z109" s="596"/>
      <c r="AA109" s="609"/>
    </row>
    <row r="110" spans="2:28" x14ac:dyDescent="0.25">
      <c r="B110" s="550"/>
      <c r="C110" s="552" t="s">
        <v>46</v>
      </c>
      <c r="D110" s="606"/>
      <c r="E110" s="186"/>
      <c r="F110" s="186"/>
      <c r="G110" s="186"/>
      <c r="H110" s="186"/>
      <c r="I110" s="186"/>
      <c r="J110" s="186"/>
      <c r="K110" s="186"/>
      <c r="L110" s="186"/>
      <c r="M110" s="186"/>
      <c r="N110" s="186"/>
      <c r="O110" s="607"/>
      <c r="P110" s="606"/>
      <c r="Q110" s="186"/>
      <c r="R110" s="186"/>
      <c r="S110" s="186"/>
      <c r="T110" s="186"/>
      <c r="U110" s="186"/>
      <c r="V110" s="186"/>
      <c r="W110" s="186"/>
      <c r="X110" s="186"/>
      <c r="Y110" s="186"/>
      <c r="Z110" s="186"/>
      <c r="AA110" s="609"/>
    </row>
    <row r="111" spans="2:28" x14ac:dyDescent="0.25">
      <c r="B111" s="550"/>
      <c r="C111" s="550" t="s">
        <v>29</v>
      </c>
      <c r="D111" s="511"/>
      <c r="E111" s="382"/>
      <c r="F111" s="382"/>
      <c r="G111" s="382"/>
      <c r="H111" s="382"/>
      <c r="I111" s="382"/>
      <c r="J111" s="382"/>
      <c r="K111" s="382"/>
      <c r="L111" s="382"/>
      <c r="M111" s="382"/>
      <c r="N111" s="382"/>
      <c r="O111" s="410"/>
      <c r="P111" s="511"/>
      <c r="Q111" s="382"/>
      <c r="R111" s="382"/>
      <c r="S111" s="382"/>
      <c r="T111" s="382"/>
      <c r="U111" s="382"/>
      <c r="V111" s="382"/>
      <c r="W111" s="382"/>
      <c r="X111" s="382"/>
      <c r="Y111" s="382"/>
      <c r="Z111" s="382"/>
      <c r="AA111" s="609"/>
    </row>
    <row r="112" spans="2:28" x14ac:dyDescent="0.25">
      <c r="B112" s="550"/>
      <c r="C112" s="550"/>
      <c r="D112" s="511"/>
      <c r="E112" s="382"/>
      <c r="F112" s="382"/>
      <c r="G112" s="382"/>
      <c r="H112" s="382"/>
      <c r="I112" s="382"/>
      <c r="J112" s="382"/>
      <c r="K112" s="382"/>
      <c r="L112" s="382"/>
      <c r="M112" s="382"/>
      <c r="N112" s="382"/>
      <c r="O112" s="410"/>
      <c r="P112" s="511"/>
      <c r="Q112" s="382"/>
      <c r="R112" s="382"/>
      <c r="S112" s="382"/>
      <c r="T112" s="382"/>
      <c r="U112" s="382"/>
      <c r="V112" s="382"/>
      <c r="W112" s="382"/>
      <c r="X112" s="382"/>
      <c r="Y112" s="382"/>
      <c r="Z112" s="382"/>
      <c r="AA112" s="609"/>
    </row>
    <row r="113" spans="2:27" x14ac:dyDescent="0.25">
      <c r="B113" s="506" t="s">
        <v>47</v>
      </c>
      <c r="C113" s="505"/>
      <c r="D113" s="558"/>
      <c r="E113" s="512"/>
      <c r="F113" s="512"/>
      <c r="G113" s="512"/>
      <c r="H113" s="512"/>
      <c r="I113" s="512"/>
      <c r="J113" s="512"/>
      <c r="K113" s="512"/>
      <c r="L113" s="512"/>
      <c r="M113" s="512"/>
      <c r="N113" s="512"/>
      <c r="O113" s="559"/>
      <c r="P113" s="558"/>
      <c r="Q113" s="512"/>
      <c r="R113" s="512"/>
      <c r="S113" s="512"/>
      <c r="T113" s="512"/>
      <c r="U113" s="512"/>
      <c r="V113" s="512"/>
      <c r="W113" s="512"/>
      <c r="X113" s="512"/>
      <c r="Y113" s="512"/>
      <c r="Z113" s="512"/>
      <c r="AA113" s="559"/>
    </row>
    <row r="114" spans="2:27" x14ac:dyDescent="0.25">
      <c r="B114" s="550"/>
      <c r="C114" s="550" t="s">
        <v>48</v>
      </c>
      <c r="D114" s="608">
        <v>2012</v>
      </c>
      <c r="E114" s="594">
        <v>2014</v>
      </c>
      <c r="F114" s="595" t="str">
        <f>User_Inputs!$G$15</f>
        <v>Yes</v>
      </c>
      <c r="G114" s="382"/>
      <c r="H114" s="73"/>
      <c r="I114" s="382"/>
      <c r="J114" s="382"/>
      <c r="K114" s="382"/>
      <c r="L114" s="382"/>
      <c r="M114" s="876">
        <f>Tech_Specs!L34/(Misc_Inputs!$D$8-Misc_Inputs!$D$6)</f>
        <v>2.5000000000000001E-3</v>
      </c>
      <c r="N114" s="876">
        <f>Tech_Specs!M34/(Misc_Inputs!$D$8-Misc_Inputs!$D$6)</f>
        <v>5.0000000000000001E-3</v>
      </c>
      <c r="O114" s="410"/>
      <c r="P114" s="511"/>
      <c r="Q114" s="382"/>
      <c r="R114" s="382"/>
      <c r="S114" s="852"/>
      <c r="T114" s="382"/>
      <c r="U114" s="382"/>
      <c r="V114" s="382"/>
      <c r="W114" s="382"/>
      <c r="X114" s="382"/>
      <c r="Y114" s="382"/>
      <c r="Z114" s="382"/>
      <c r="AA114" s="609"/>
    </row>
    <row r="115" spans="2:27" x14ac:dyDescent="0.25">
      <c r="B115" s="550"/>
      <c r="C115" s="552" t="s">
        <v>50</v>
      </c>
      <c r="D115" s="511"/>
      <c r="E115" s="382"/>
      <c r="F115" s="382"/>
      <c r="G115" s="382"/>
      <c r="H115" s="382"/>
      <c r="I115" s="382"/>
      <c r="J115" s="382"/>
      <c r="K115" s="382"/>
      <c r="L115" s="382"/>
      <c r="M115" s="382"/>
      <c r="N115" s="382"/>
      <c r="O115" s="410"/>
      <c r="P115" s="511"/>
      <c r="Q115" s="382"/>
      <c r="R115" s="382"/>
      <c r="S115" s="382"/>
      <c r="T115" s="382"/>
      <c r="U115" s="382"/>
      <c r="V115" s="382"/>
      <c r="W115" s="382"/>
      <c r="X115" s="382"/>
      <c r="Y115" s="382"/>
      <c r="Z115" s="382"/>
      <c r="AA115" s="609"/>
    </row>
    <row r="116" spans="2:27" x14ac:dyDescent="0.25">
      <c r="B116" s="550"/>
      <c r="C116" s="550" t="s">
        <v>51</v>
      </c>
      <c r="D116" s="511"/>
      <c r="E116" s="382"/>
      <c r="F116" s="382"/>
      <c r="G116" s="382"/>
      <c r="H116" s="382"/>
      <c r="I116" s="382"/>
      <c r="J116" s="382"/>
      <c r="K116" s="382"/>
      <c r="L116" s="382"/>
      <c r="M116" s="382"/>
      <c r="N116" s="382"/>
      <c r="O116" s="410"/>
      <c r="P116" s="511"/>
      <c r="Q116" s="382"/>
      <c r="R116" s="382"/>
      <c r="S116" s="382"/>
      <c r="T116" s="382"/>
      <c r="U116" s="382"/>
      <c r="V116" s="382"/>
      <c r="W116" s="382"/>
      <c r="X116" s="382"/>
      <c r="Y116" s="382"/>
      <c r="Z116" s="382"/>
      <c r="AA116" s="609"/>
    </row>
    <row r="117" spans="2:27" x14ac:dyDescent="0.25">
      <c r="B117" s="550"/>
      <c r="C117" s="550" t="s">
        <v>52</v>
      </c>
      <c r="D117" s="511"/>
      <c r="E117" s="382"/>
      <c r="F117" s="382"/>
      <c r="G117" s="382"/>
      <c r="H117" s="64"/>
      <c r="I117" s="382"/>
      <c r="J117" s="597"/>
      <c r="K117" s="382"/>
      <c r="L117" s="598"/>
      <c r="M117" s="876"/>
      <c r="N117" s="876"/>
      <c r="O117" s="600"/>
      <c r="P117" s="593">
        <v>2015</v>
      </c>
      <c r="Q117" s="594">
        <v>2017</v>
      </c>
      <c r="R117" s="595" t="str">
        <f>User_Inputs!$G$10</f>
        <v>Yes</v>
      </c>
      <c r="S117" s="382"/>
      <c r="T117" s="594">
        <v>0.92300000000000004</v>
      </c>
      <c r="U117" s="382"/>
      <c r="V117" s="382"/>
      <c r="W117" s="382"/>
      <c r="X117" s="617">
        <f>16.76/9.61*Perform_Sectors!AW24</f>
        <v>34.880332986472432</v>
      </c>
      <c r="Y117" s="596"/>
      <c r="Z117" s="876">
        <f>Tech_Specs!N37/(Misc_Inputs!$D$8-Misc_Inputs!$D$6)</f>
        <v>-5.0000000000000001E-3</v>
      </c>
      <c r="AA117" s="620" t="s">
        <v>264</v>
      </c>
    </row>
    <row r="118" spans="2:27" x14ac:dyDescent="0.25">
      <c r="B118" s="550"/>
      <c r="C118" s="552" t="s">
        <v>29</v>
      </c>
      <c r="D118" s="606"/>
      <c r="E118" s="186"/>
      <c r="F118" s="186"/>
      <c r="G118" s="186"/>
      <c r="H118" s="186"/>
      <c r="I118" s="186"/>
      <c r="J118" s="186"/>
      <c r="K118" s="186"/>
      <c r="L118" s="186"/>
      <c r="M118" s="186"/>
      <c r="N118" s="186"/>
      <c r="O118" s="607"/>
      <c r="P118" s="606"/>
      <c r="Q118" s="186"/>
      <c r="R118" s="186"/>
      <c r="S118" s="186"/>
      <c r="T118" s="186"/>
      <c r="U118" s="186"/>
      <c r="V118" s="186"/>
      <c r="W118" s="186"/>
      <c r="X118" s="186"/>
      <c r="Y118" s="186"/>
      <c r="Z118" s="186"/>
      <c r="AA118" s="609"/>
    </row>
    <row r="119" spans="2:27" x14ac:dyDescent="0.25">
      <c r="B119" s="550"/>
      <c r="C119" s="552" t="s">
        <v>53</v>
      </c>
      <c r="D119" s="61"/>
      <c r="E119" s="74"/>
      <c r="F119" s="74"/>
      <c r="G119" s="74"/>
      <c r="H119" s="74"/>
      <c r="I119" s="74"/>
      <c r="J119" s="74"/>
      <c r="K119" s="74"/>
      <c r="L119" s="74"/>
      <c r="M119" s="74"/>
      <c r="N119" s="74"/>
      <c r="O119" s="56"/>
      <c r="P119" s="61"/>
      <c r="Q119" s="74"/>
      <c r="R119" s="74"/>
      <c r="S119" s="74"/>
      <c r="T119" s="74"/>
      <c r="U119" s="74"/>
      <c r="V119" s="74"/>
      <c r="W119" s="74"/>
      <c r="X119" s="74"/>
      <c r="Y119" s="74"/>
      <c r="Z119" s="74"/>
      <c r="AA119" s="614"/>
    </row>
    <row r="120" spans="2:27" x14ac:dyDescent="0.25">
      <c r="E120" s="539"/>
      <c r="Q120" s="539"/>
      <c r="S120"/>
    </row>
    <row r="121" spans="2:27" s="539" customFormat="1" x14ac:dyDescent="0.25"/>
    <row r="122" spans="2:27" s="587" customFormat="1" x14ac:dyDescent="0.25">
      <c r="B122" s="588" t="s">
        <v>57</v>
      </c>
    </row>
    <row r="123" spans="2:27" s="539" customFormat="1" x14ac:dyDescent="0.25">
      <c r="C123" s="550"/>
      <c r="D123" s="427" t="s">
        <v>229</v>
      </c>
      <c r="E123" s="381"/>
      <c r="F123" s="428"/>
      <c r="G123" s="428"/>
      <c r="H123" s="428"/>
      <c r="I123" s="428"/>
      <c r="J123" s="428"/>
      <c r="K123" s="428"/>
      <c r="L123" s="428"/>
      <c r="M123" s="428"/>
      <c r="N123" s="428"/>
      <c r="O123" s="429"/>
      <c r="P123" s="427" t="s">
        <v>226</v>
      </c>
      <c r="Q123" s="428"/>
      <c r="R123" s="428"/>
      <c r="S123" s="428"/>
      <c r="T123" s="428"/>
      <c r="U123" s="428"/>
      <c r="V123" s="428"/>
      <c r="W123" s="428"/>
      <c r="X123" s="418"/>
      <c r="Y123" s="418"/>
      <c r="Z123" s="418"/>
      <c r="AA123" s="585"/>
    </row>
    <row r="124" spans="2:27" s="539" customFormat="1" ht="51" x14ac:dyDescent="0.25">
      <c r="B124" s="551"/>
      <c r="C124" s="550"/>
      <c r="D124" s="430" t="s">
        <v>227</v>
      </c>
      <c r="E124" s="431" t="s">
        <v>260</v>
      </c>
      <c r="F124" s="432" t="s">
        <v>238</v>
      </c>
      <c r="G124" s="431" t="s">
        <v>261</v>
      </c>
      <c r="H124" s="432" t="s">
        <v>17</v>
      </c>
      <c r="I124" s="432" t="s">
        <v>91</v>
      </c>
      <c r="J124" s="432" t="s">
        <v>92</v>
      </c>
      <c r="K124" s="432" t="s">
        <v>93</v>
      </c>
      <c r="L124" s="432" t="s">
        <v>94</v>
      </c>
      <c r="M124" s="431" t="s">
        <v>95</v>
      </c>
      <c r="N124" s="431" t="s">
        <v>96</v>
      </c>
      <c r="O124" s="433" t="s">
        <v>258</v>
      </c>
      <c r="P124" s="430" t="s">
        <v>227</v>
      </c>
      <c r="Q124" s="431" t="s">
        <v>260</v>
      </c>
      <c r="R124" s="432" t="s">
        <v>238</v>
      </c>
      <c r="S124" s="431" t="s">
        <v>228</v>
      </c>
      <c r="T124" s="432" t="s">
        <v>262</v>
      </c>
      <c r="U124" s="432" t="s">
        <v>97</v>
      </c>
      <c r="V124" s="432" t="s">
        <v>92</v>
      </c>
      <c r="W124" s="432" t="s">
        <v>93</v>
      </c>
      <c r="X124" s="432" t="s">
        <v>94</v>
      </c>
      <c r="Y124" s="431" t="s">
        <v>95</v>
      </c>
      <c r="Z124" s="431" t="s">
        <v>96</v>
      </c>
      <c r="AA124" s="586" t="s">
        <v>258</v>
      </c>
    </row>
    <row r="125" spans="2:27" s="539" customFormat="1" x14ac:dyDescent="0.25">
      <c r="B125" s="551" t="s">
        <v>12</v>
      </c>
      <c r="C125" s="550"/>
      <c r="D125" s="591"/>
      <c r="E125" s="583"/>
      <c r="F125" s="583"/>
      <c r="G125" s="583"/>
      <c r="H125" s="583"/>
      <c r="I125" s="583"/>
      <c r="J125" s="583"/>
      <c r="K125" s="583"/>
      <c r="L125" s="583"/>
      <c r="M125" s="583"/>
      <c r="N125" s="583"/>
      <c r="O125" s="592"/>
      <c r="P125" s="591"/>
      <c r="Q125" s="583"/>
      <c r="R125" s="583"/>
      <c r="S125" s="583"/>
      <c r="T125" s="583"/>
      <c r="U125" s="583"/>
      <c r="V125" s="583"/>
      <c r="W125" s="583"/>
      <c r="X125" s="583"/>
      <c r="Y125" s="583"/>
      <c r="Z125" s="583"/>
      <c r="AA125" s="609"/>
    </row>
    <row r="126" spans="2:27" s="539" customFormat="1" x14ac:dyDescent="0.25">
      <c r="B126" s="550"/>
      <c r="C126" s="550" t="s">
        <v>20</v>
      </c>
      <c r="D126" s="511"/>
      <c r="E126" s="382"/>
      <c r="F126" s="382"/>
      <c r="G126" s="382"/>
      <c r="H126" s="382"/>
      <c r="I126" s="382"/>
      <c r="J126" s="382"/>
      <c r="K126" s="382"/>
      <c r="L126" s="382"/>
      <c r="M126" s="382"/>
      <c r="N126" s="382"/>
      <c r="O126" s="410"/>
      <c r="P126" s="511"/>
      <c r="Q126" s="382"/>
      <c r="R126" s="382"/>
      <c r="S126" s="382"/>
      <c r="T126" s="382"/>
      <c r="U126" s="382"/>
      <c r="V126" s="382"/>
      <c r="W126" s="382"/>
      <c r="X126" s="382"/>
      <c r="Y126" s="382"/>
      <c r="Z126" s="382"/>
      <c r="AA126" s="609"/>
    </row>
    <row r="127" spans="2:27" s="539" customFormat="1" x14ac:dyDescent="0.25">
      <c r="B127" s="556" t="s">
        <v>21</v>
      </c>
      <c r="C127" s="504"/>
      <c r="D127" s="558"/>
      <c r="E127" s="512"/>
      <c r="F127" s="512"/>
      <c r="G127" s="512"/>
      <c r="H127" s="512"/>
      <c r="I127" s="512"/>
      <c r="J127" s="512"/>
      <c r="K127" s="512"/>
      <c r="L127" s="512"/>
      <c r="M127" s="512"/>
      <c r="N127" s="512"/>
      <c r="O127" s="559"/>
      <c r="P127" s="558"/>
      <c r="Q127" s="512"/>
      <c r="R127" s="512"/>
      <c r="S127" s="512"/>
      <c r="T127" s="512"/>
      <c r="U127" s="512"/>
      <c r="V127" s="512"/>
      <c r="W127" s="512"/>
      <c r="X127" s="512"/>
      <c r="Y127" s="512"/>
      <c r="Z127" s="512"/>
      <c r="AA127" s="559"/>
    </row>
    <row r="128" spans="2:27" s="539" customFormat="1" x14ac:dyDescent="0.25">
      <c r="B128" s="550"/>
      <c r="C128" s="550" t="s">
        <v>22</v>
      </c>
      <c r="D128" s="593">
        <v>2012</v>
      </c>
      <c r="E128" s="594">
        <v>2016</v>
      </c>
      <c r="F128" s="595" t="str">
        <f>User_Inputs!$G$13</f>
        <v>Yes</v>
      </c>
      <c r="G128" s="596">
        <v>0.1</v>
      </c>
      <c r="H128" s="73"/>
      <c r="I128" s="382"/>
      <c r="J128" s="597"/>
      <c r="K128" s="382"/>
      <c r="L128" s="598"/>
      <c r="M128" s="599"/>
      <c r="N128" s="599"/>
      <c r="O128" s="600"/>
      <c r="P128" s="511"/>
      <c r="Q128" s="382"/>
      <c r="R128" s="382"/>
      <c r="S128" s="186"/>
      <c r="T128" s="382"/>
      <c r="U128" s="382"/>
      <c r="V128" s="382"/>
      <c r="W128" s="382"/>
      <c r="X128" s="610"/>
      <c r="Y128" s="596"/>
      <c r="Z128" s="596"/>
      <c r="AA128" s="609"/>
    </row>
    <row r="129" spans="2:27" s="539" customFormat="1" x14ac:dyDescent="0.25">
      <c r="B129" s="550"/>
      <c r="C129" s="550" t="s">
        <v>26</v>
      </c>
      <c r="D129" s="511"/>
      <c r="E129" s="382"/>
      <c r="F129" s="382"/>
      <c r="G129" s="382"/>
      <c r="H129" s="64"/>
      <c r="I129" s="382"/>
      <c r="J129" s="597"/>
      <c r="K129" s="382"/>
      <c r="L129" s="598"/>
      <c r="M129" s="599"/>
      <c r="N129" s="599"/>
      <c r="O129" s="600"/>
      <c r="P129" s="511"/>
      <c r="Q129" s="382"/>
      <c r="R129" s="382"/>
      <c r="S129" s="382"/>
      <c r="T129" s="382"/>
      <c r="U129" s="382"/>
      <c r="V129" s="382"/>
      <c r="W129" s="382"/>
      <c r="X129" s="611"/>
      <c r="Y129" s="596"/>
      <c r="Z129" s="596"/>
      <c r="AA129" s="609"/>
    </row>
    <row r="130" spans="2:27" s="539" customFormat="1" x14ac:dyDescent="0.25">
      <c r="B130" s="550"/>
      <c r="C130" s="550" t="s">
        <v>27</v>
      </c>
      <c r="D130" s="511"/>
      <c r="E130" s="382"/>
      <c r="F130" s="382"/>
      <c r="G130" s="382"/>
      <c r="H130" s="382"/>
      <c r="I130" s="382"/>
      <c r="J130" s="382"/>
      <c r="K130" s="382"/>
      <c r="L130" s="414"/>
      <c r="M130" s="599"/>
      <c r="N130" s="382"/>
      <c r="O130" s="410"/>
      <c r="P130" s="511"/>
      <c r="Q130" s="382"/>
      <c r="R130" s="382"/>
      <c r="S130" s="382"/>
      <c r="T130" s="382"/>
      <c r="U130" s="382"/>
      <c r="V130" s="382"/>
      <c r="W130" s="382"/>
      <c r="X130" s="382"/>
      <c r="Y130" s="382"/>
      <c r="Z130" s="382"/>
      <c r="AA130" s="609"/>
    </row>
    <row r="131" spans="2:27" s="539" customFormat="1" x14ac:dyDescent="0.25">
      <c r="B131" s="550"/>
      <c r="C131" s="550" t="s">
        <v>29</v>
      </c>
      <c r="D131" s="511"/>
      <c r="E131" s="382"/>
      <c r="F131" s="382"/>
      <c r="G131" s="382"/>
      <c r="H131" s="382"/>
      <c r="I131" s="382"/>
      <c r="J131" s="382"/>
      <c r="K131" s="382"/>
      <c r="L131" s="414"/>
      <c r="M131" s="382"/>
      <c r="N131" s="382"/>
      <c r="O131" s="410"/>
      <c r="P131" s="511"/>
      <c r="Q131" s="382"/>
      <c r="R131" s="382"/>
      <c r="S131" s="382"/>
      <c r="T131" s="382"/>
      <c r="U131" s="382"/>
      <c r="V131" s="382"/>
      <c r="W131" s="382"/>
      <c r="X131" s="382"/>
      <c r="Y131" s="382"/>
      <c r="Z131" s="382"/>
      <c r="AA131" s="609"/>
    </row>
    <row r="132" spans="2:27" s="539" customFormat="1" x14ac:dyDescent="0.25">
      <c r="B132" s="550"/>
      <c r="C132" s="550"/>
      <c r="D132" s="511"/>
      <c r="E132" s="382"/>
      <c r="F132" s="382"/>
      <c r="G132" s="382"/>
      <c r="H132" s="382"/>
      <c r="I132" s="382"/>
      <c r="J132" s="382"/>
      <c r="K132" s="382"/>
      <c r="L132" s="414"/>
      <c r="M132" s="382"/>
      <c r="N132" s="382"/>
      <c r="O132" s="410"/>
      <c r="P132" s="511"/>
      <c r="Q132" s="382"/>
      <c r="R132" s="382"/>
      <c r="S132" s="382"/>
      <c r="T132" s="382"/>
      <c r="U132" s="382"/>
      <c r="V132" s="382"/>
      <c r="W132" s="382"/>
      <c r="X132" s="382"/>
      <c r="Y132" s="382"/>
      <c r="Z132" s="382"/>
      <c r="AA132" s="609"/>
    </row>
    <row r="133" spans="2:27" s="539" customFormat="1" x14ac:dyDescent="0.25">
      <c r="B133" s="502" t="s">
        <v>32</v>
      </c>
      <c r="C133" s="501"/>
      <c r="D133" s="558"/>
      <c r="E133" s="512"/>
      <c r="F133" s="512"/>
      <c r="G133" s="512"/>
      <c r="H133" s="512"/>
      <c r="I133" s="512"/>
      <c r="J133" s="512"/>
      <c r="K133" s="512"/>
      <c r="L133" s="512"/>
      <c r="M133" s="512"/>
      <c r="N133" s="512"/>
      <c r="O133" s="559"/>
      <c r="P133" s="558"/>
      <c r="Q133" s="512"/>
      <c r="R133" s="512"/>
      <c r="S133" s="512"/>
      <c r="T133" s="512"/>
      <c r="U133" s="512"/>
      <c r="V133" s="512"/>
      <c r="W133" s="512"/>
      <c r="X133" s="512"/>
      <c r="Y133" s="512"/>
      <c r="Z133" s="512"/>
      <c r="AA133" s="559"/>
    </row>
    <row r="134" spans="2:27" s="539" customFormat="1" x14ac:dyDescent="0.25">
      <c r="B134" s="550"/>
      <c r="C134" s="550" t="s">
        <v>33</v>
      </c>
      <c r="D134" s="511"/>
      <c r="E134" s="382"/>
      <c r="F134" s="186"/>
      <c r="G134" s="382"/>
      <c r="H134" s="73"/>
      <c r="I134" s="382"/>
      <c r="J134" s="382"/>
      <c r="K134" s="382"/>
      <c r="L134" s="598"/>
      <c r="M134" s="599"/>
      <c r="N134" s="599"/>
      <c r="O134" s="600"/>
      <c r="P134" s="511"/>
      <c r="Q134" s="382"/>
      <c r="R134" s="382"/>
      <c r="S134" s="186"/>
      <c r="T134" s="382"/>
      <c r="U134" s="382"/>
      <c r="V134" s="382"/>
      <c r="W134" s="382"/>
      <c r="X134" s="611"/>
      <c r="Y134" s="596"/>
      <c r="Z134" s="596"/>
      <c r="AA134" s="609"/>
    </row>
    <row r="135" spans="2:27" s="539" customFormat="1" x14ac:dyDescent="0.25">
      <c r="B135" s="552"/>
      <c r="C135" s="552" t="s">
        <v>34</v>
      </c>
      <c r="D135" s="593">
        <v>2012</v>
      </c>
      <c r="E135" s="594">
        <v>2014</v>
      </c>
      <c r="F135" s="595" t="str">
        <f>User_Inputs!$G$14</f>
        <v>Yes</v>
      </c>
      <c r="G135" s="382"/>
      <c r="H135" s="811">
        <f>(5.9*J135^0.27)^(1/1.27)</f>
        <v>16.862670367962089</v>
      </c>
      <c r="I135" s="382"/>
      <c r="J135" s="382">
        <f>Tech_Specs!V16*Tech_Specs!AA16</f>
        <v>824.31000000000006</v>
      </c>
      <c r="K135" s="382"/>
      <c r="L135" s="601">
        <v>7.34</v>
      </c>
      <c r="M135" s="876">
        <f>Tech_Specs!L16/(Misc_Inputs!$D$8-Misc_Inputs!$D$6)</f>
        <v>5.0000000000000001E-3</v>
      </c>
      <c r="N135" s="876">
        <f>Tech_Specs!N16/(Misc_Inputs!$D$8-Misc_Inputs!$D$6)</f>
        <v>-5.0000000000000001E-3</v>
      </c>
      <c r="O135" s="600" t="s">
        <v>259</v>
      </c>
      <c r="P135" s="511"/>
      <c r="Q135" s="382"/>
      <c r="R135" s="382"/>
      <c r="S135" s="382"/>
      <c r="T135" s="382"/>
      <c r="U135" s="382"/>
      <c r="V135" s="382"/>
      <c r="W135" s="382"/>
      <c r="X135" s="610"/>
      <c r="Y135" s="596"/>
      <c r="Z135" s="596"/>
      <c r="AA135" s="609"/>
    </row>
    <row r="136" spans="2:27" s="539" customFormat="1" x14ac:dyDescent="0.25">
      <c r="B136" s="550"/>
      <c r="C136" s="552" t="s">
        <v>35</v>
      </c>
      <c r="D136" s="511"/>
      <c r="E136" s="382"/>
      <c r="F136" s="382"/>
      <c r="G136" s="382"/>
      <c r="H136" s="382"/>
      <c r="I136" s="382"/>
      <c r="J136" s="382"/>
      <c r="K136" s="382"/>
      <c r="L136" s="382"/>
      <c r="M136" s="382"/>
      <c r="N136" s="382"/>
      <c r="O136" s="410"/>
      <c r="P136" s="511"/>
      <c r="Q136" s="382"/>
      <c r="R136" s="382"/>
      <c r="S136" s="382"/>
      <c r="T136" s="382"/>
      <c r="U136" s="382"/>
      <c r="V136" s="382"/>
      <c r="W136" s="382"/>
      <c r="X136" s="611"/>
      <c r="Y136" s="596"/>
      <c r="Z136" s="596"/>
      <c r="AA136" s="609"/>
    </row>
    <row r="137" spans="2:27" s="539" customFormat="1" x14ac:dyDescent="0.25">
      <c r="B137" s="550"/>
      <c r="C137" s="552" t="s">
        <v>29</v>
      </c>
      <c r="D137" s="511"/>
      <c r="E137" s="382"/>
      <c r="F137" s="382"/>
      <c r="G137" s="382"/>
      <c r="H137" s="382"/>
      <c r="I137" s="382"/>
      <c r="J137" s="382"/>
      <c r="K137" s="382"/>
      <c r="L137" s="598"/>
      <c r="M137" s="599"/>
      <c r="N137" s="382"/>
      <c r="O137" s="410"/>
      <c r="P137" s="511"/>
      <c r="Q137" s="382"/>
      <c r="R137" s="382"/>
      <c r="S137" s="382"/>
      <c r="T137" s="382"/>
      <c r="U137" s="382"/>
      <c r="V137" s="382"/>
      <c r="W137" s="382"/>
      <c r="X137" s="382"/>
      <c r="Y137" s="382"/>
      <c r="Z137" s="382"/>
      <c r="AA137" s="609"/>
    </row>
    <row r="138" spans="2:27" s="539" customFormat="1" x14ac:dyDescent="0.25">
      <c r="B138" s="550"/>
      <c r="C138" s="550"/>
      <c r="D138" s="511"/>
      <c r="E138" s="382"/>
      <c r="F138" s="382"/>
      <c r="G138" s="382"/>
      <c r="H138" s="382"/>
      <c r="I138" s="382"/>
      <c r="J138" s="382"/>
      <c r="K138" s="382"/>
      <c r="L138" s="414"/>
      <c r="M138" s="382"/>
      <c r="N138" s="382"/>
      <c r="O138" s="410"/>
      <c r="P138" s="511"/>
      <c r="Q138" s="382"/>
      <c r="R138" s="382"/>
      <c r="S138" s="382"/>
      <c r="T138" s="382"/>
      <c r="U138" s="382"/>
      <c r="V138" s="382"/>
      <c r="W138" s="382"/>
      <c r="X138" s="382"/>
      <c r="Y138" s="382"/>
      <c r="Z138" s="382"/>
      <c r="AA138" s="609"/>
    </row>
    <row r="139" spans="2:27" s="539" customFormat="1" x14ac:dyDescent="0.25">
      <c r="B139" s="502" t="s">
        <v>36</v>
      </c>
      <c r="C139" s="501"/>
      <c r="D139" s="558"/>
      <c r="E139" s="512"/>
      <c r="F139" s="512"/>
      <c r="G139" s="512"/>
      <c r="H139" s="512"/>
      <c r="I139" s="512"/>
      <c r="J139" s="512"/>
      <c r="K139" s="512"/>
      <c r="L139" s="512"/>
      <c r="M139" s="512"/>
      <c r="N139" s="512"/>
      <c r="O139" s="559"/>
      <c r="P139" s="558"/>
      <c r="Q139" s="512"/>
      <c r="R139" s="512"/>
      <c r="S139" s="512"/>
      <c r="T139" s="512"/>
      <c r="U139" s="512"/>
      <c r="V139" s="512"/>
      <c r="W139" s="512"/>
      <c r="X139" s="512"/>
      <c r="Y139" s="512"/>
      <c r="Z139" s="512"/>
      <c r="AA139" s="559"/>
    </row>
    <row r="140" spans="2:27" s="539" customFormat="1" x14ac:dyDescent="0.25">
      <c r="B140" s="550"/>
      <c r="C140" s="550" t="s">
        <v>37</v>
      </c>
      <c r="D140" s="593">
        <v>2012</v>
      </c>
      <c r="E140" s="594">
        <v>2014</v>
      </c>
      <c r="F140" s="595" t="str">
        <f>User_Inputs!$G$9</f>
        <v>Yes</v>
      </c>
      <c r="G140" s="602">
        <v>0.1</v>
      </c>
      <c r="H140" s="73"/>
      <c r="I140" s="382"/>
      <c r="J140" s="382"/>
      <c r="K140" s="382"/>
      <c r="L140" s="598"/>
      <c r="M140" s="876"/>
      <c r="N140" s="876"/>
      <c r="O140" s="600"/>
      <c r="P140" s="593">
        <v>2015</v>
      </c>
      <c r="Q140" s="594">
        <v>2017</v>
      </c>
      <c r="R140" s="595" t="str">
        <f>User_Inputs!$G$10</f>
        <v>Yes</v>
      </c>
      <c r="S140" s="602">
        <v>0.1</v>
      </c>
      <c r="T140" s="613"/>
      <c r="U140" s="382"/>
      <c r="V140" s="382"/>
      <c r="W140" s="382"/>
      <c r="X140" s="598"/>
      <c r="Y140" s="612"/>
      <c r="Z140" s="876">
        <f>Tech_Specs!N21/(Misc_Inputs!$D$8-Misc_Inputs!$D$6)</f>
        <v>-5.0000000000000001E-3</v>
      </c>
      <c r="AA140" s="609"/>
    </row>
    <row r="141" spans="2:27" s="539" customFormat="1" x14ac:dyDescent="0.25">
      <c r="B141" s="550"/>
      <c r="C141" s="550" t="s">
        <v>39</v>
      </c>
      <c r="D141" s="593">
        <v>2014</v>
      </c>
      <c r="E141" s="594">
        <v>2016</v>
      </c>
      <c r="F141" s="595" t="str">
        <f>User_Inputs!$G$9</f>
        <v>Yes</v>
      </c>
      <c r="G141" s="852"/>
      <c r="H141" s="603">
        <v>97.8</v>
      </c>
      <c r="I141" s="594"/>
      <c r="J141" s="594"/>
      <c r="K141" s="594"/>
      <c r="L141" s="601">
        <v>5.0999999999999996</v>
      </c>
      <c r="M141" s="876">
        <f>Tech_Specs!L22/(Misc_Inputs!$D$8-Misc_Inputs!$D$6)</f>
        <v>5.0000000000000001E-3</v>
      </c>
      <c r="N141" s="876">
        <f>Tech_Specs!N22/(Misc_Inputs!$D$8-Misc_Inputs!$D$6)</f>
        <v>-5.0000000000000001E-3</v>
      </c>
      <c r="O141" s="600"/>
      <c r="P141" s="593">
        <v>2015</v>
      </c>
      <c r="Q141" s="594">
        <v>2017</v>
      </c>
      <c r="R141" s="595" t="str">
        <f>User_Inputs!$G$10</f>
        <v>Yes</v>
      </c>
      <c r="S141" s="852"/>
      <c r="T141" s="613">
        <v>0.93300000000000005</v>
      </c>
      <c r="U141" s="382"/>
      <c r="V141" s="382"/>
      <c r="W141" s="382"/>
      <c r="X141" s="616">
        <f>11.63/9.79*Perform_Sectors!AX23</f>
        <v>19.007150153217573</v>
      </c>
      <c r="Y141" s="612"/>
      <c r="Z141" s="876">
        <f>Tech_Specs!N22/(Misc_Inputs!$D$8-Misc_Inputs!$D$6)</f>
        <v>-5.0000000000000001E-3</v>
      </c>
      <c r="AA141" s="609" t="s">
        <v>263</v>
      </c>
    </row>
    <row r="142" spans="2:27" s="539" customFormat="1" x14ac:dyDescent="0.25">
      <c r="B142" s="550"/>
      <c r="C142" s="550" t="s">
        <v>40</v>
      </c>
      <c r="D142" s="511"/>
      <c r="E142" s="382"/>
      <c r="F142" s="382"/>
      <c r="G142" s="382"/>
      <c r="H142" s="64"/>
      <c r="I142" s="382"/>
      <c r="J142" s="382"/>
      <c r="K142" s="382"/>
      <c r="L142" s="598"/>
      <c r="M142" s="599"/>
      <c r="N142" s="599"/>
      <c r="O142" s="600"/>
      <c r="P142" s="593">
        <v>2015</v>
      </c>
      <c r="Q142" s="594">
        <v>2017</v>
      </c>
      <c r="R142" s="595" t="str">
        <f>User_Inputs!$G$10</f>
        <v>Yes</v>
      </c>
      <c r="S142" s="382"/>
      <c r="T142" s="594">
        <v>0.92300000000000004</v>
      </c>
      <c r="U142" s="382"/>
      <c r="V142" s="382"/>
      <c r="W142" s="382"/>
      <c r="X142" s="617">
        <f>16.76/9.61*Perform_Sectors!AX24</f>
        <v>34.880332986472432</v>
      </c>
      <c r="Y142" s="382"/>
      <c r="Z142" s="876">
        <f>Tech_Specs!N23/(Misc_Inputs!$D$8-Misc_Inputs!$D$6)</f>
        <v>-5.0000000000000001E-3</v>
      </c>
      <c r="AA142" s="609" t="s">
        <v>263</v>
      </c>
    </row>
    <row r="143" spans="2:27" s="539" customFormat="1" x14ac:dyDescent="0.25">
      <c r="B143" s="550"/>
      <c r="C143" s="550" t="s">
        <v>29</v>
      </c>
      <c r="D143" s="511"/>
      <c r="E143" s="382"/>
      <c r="F143" s="382"/>
      <c r="G143" s="382"/>
      <c r="H143" s="64"/>
      <c r="I143" s="382"/>
      <c r="J143" s="382"/>
      <c r="K143" s="382"/>
      <c r="L143" s="598"/>
      <c r="M143" s="599"/>
      <c r="N143" s="599"/>
      <c r="O143" s="600"/>
      <c r="P143" s="511"/>
      <c r="Q143" s="382"/>
      <c r="R143" s="382"/>
      <c r="S143" s="382"/>
      <c r="T143" s="382"/>
      <c r="U143" s="382"/>
      <c r="V143" s="382"/>
      <c r="W143" s="382"/>
      <c r="X143" s="382"/>
      <c r="Y143" s="382"/>
      <c r="Z143" s="382"/>
      <c r="AA143" s="609"/>
    </row>
    <row r="144" spans="2:27" s="539" customFormat="1" x14ac:dyDescent="0.25">
      <c r="B144" s="550"/>
      <c r="C144" s="550"/>
      <c r="D144" s="511"/>
      <c r="E144" s="382"/>
      <c r="F144" s="382"/>
      <c r="G144" s="382"/>
      <c r="H144" s="382"/>
      <c r="I144" s="382"/>
      <c r="J144" s="382"/>
      <c r="K144" s="382"/>
      <c r="L144" s="414"/>
      <c r="M144" s="382"/>
      <c r="N144" s="382"/>
      <c r="O144" s="410"/>
      <c r="P144" s="511"/>
      <c r="Q144" s="382"/>
      <c r="R144" s="382"/>
      <c r="S144" s="382"/>
      <c r="T144" s="382"/>
      <c r="U144" s="382"/>
      <c r="V144" s="382"/>
      <c r="W144" s="382"/>
      <c r="X144" s="382"/>
      <c r="Y144" s="382"/>
      <c r="Z144" s="382"/>
      <c r="AA144" s="609"/>
    </row>
    <row r="145" spans="2:27" s="539" customFormat="1" x14ac:dyDescent="0.25">
      <c r="B145" s="502" t="s">
        <v>42</v>
      </c>
      <c r="C145" s="501"/>
      <c r="D145" s="558"/>
      <c r="E145" s="512"/>
      <c r="F145" s="512"/>
      <c r="G145" s="512"/>
      <c r="H145" s="512"/>
      <c r="I145" s="512"/>
      <c r="J145" s="512"/>
      <c r="K145" s="512"/>
      <c r="L145" s="512"/>
      <c r="M145" s="512"/>
      <c r="N145" s="512"/>
      <c r="O145" s="559"/>
      <c r="P145" s="558"/>
      <c r="Q145" s="512"/>
      <c r="R145" s="512"/>
      <c r="S145" s="512"/>
      <c r="T145" s="512"/>
      <c r="U145" s="512"/>
      <c r="V145" s="512"/>
      <c r="W145" s="512"/>
      <c r="X145" s="831"/>
      <c r="Y145" s="831"/>
      <c r="Z145" s="831"/>
      <c r="AA145" s="559"/>
    </row>
    <row r="146" spans="2:27" s="539" customFormat="1" x14ac:dyDescent="0.25">
      <c r="B146" s="550"/>
      <c r="C146" s="552" t="s">
        <v>43</v>
      </c>
      <c r="D146" s="604"/>
      <c r="E146" s="179"/>
      <c r="F146" s="186"/>
      <c r="G146" s="382"/>
      <c r="H146" s="73"/>
      <c r="I146" s="382"/>
      <c r="J146" s="382"/>
      <c r="K146" s="382"/>
      <c r="L146" s="414"/>
      <c r="M146" s="382"/>
      <c r="N146" s="382"/>
      <c r="O146" s="410"/>
      <c r="P146" s="593">
        <v>2008</v>
      </c>
      <c r="Q146" s="594">
        <v>2010</v>
      </c>
      <c r="R146" s="595" t="str">
        <f>User_Inputs!$G$11</f>
        <v>Yes</v>
      </c>
      <c r="S146" s="602">
        <v>0.05</v>
      </c>
      <c r="T146" s="382"/>
      <c r="U146" s="382"/>
      <c r="V146" s="382"/>
      <c r="W146" s="382"/>
      <c r="X146" s="382"/>
      <c r="Y146" s="382"/>
      <c r="Z146" s="876">
        <f>Tech_Specs!N27/(Misc_Inputs!$D$8-Misc_Inputs!$D$6)</f>
        <v>-5.0000000000000001E-3</v>
      </c>
      <c r="AA146" s="609"/>
    </row>
    <row r="147" spans="2:27" s="539" customFormat="1" x14ac:dyDescent="0.25">
      <c r="B147" s="550"/>
      <c r="C147" s="552" t="s">
        <v>44</v>
      </c>
      <c r="D147" s="604"/>
      <c r="E147" s="179"/>
      <c r="F147" s="186"/>
      <c r="G147" s="382"/>
      <c r="H147" s="73"/>
      <c r="I147" s="382"/>
      <c r="J147" s="382"/>
      <c r="K147" s="382"/>
      <c r="L147" s="382"/>
      <c r="M147" s="382"/>
      <c r="N147" s="382"/>
      <c r="O147" s="410"/>
      <c r="P147" s="832">
        <v>2011</v>
      </c>
      <c r="Q147" s="414">
        <v>2011</v>
      </c>
      <c r="R147" s="595" t="str">
        <f>User_Inputs!$G$12</f>
        <v>Yes</v>
      </c>
      <c r="S147" s="186"/>
      <c r="T147" s="414">
        <v>0.88</v>
      </c>
      <c r="U147" s="382"/>
      <c r="V147" s="382"/>
      <c r="W147" s="382"/>
      <c r="X147" s="382"/>
      <c r="Y147" s="382"/>
      <c r="Z147" s="382"/>
      <c r="AA147" s="609"/>
    </row>
    <row r="148" spans="2:27" s="539" customFormat="1" x14ac:dyDescent="0.25">
      <c r="B148" s="550"/>
      <c r="C148" s="552" t="s">
        <v>45</v>
      </c>
      <c r="D148" s="511"/>
      <c r="E148" s="382"/>
      <c r="F148" s="382"/>
      <c r="G148" s="382"/>
      <c r="H148" s="64"/>
      <c r="I148" s="382"/>
      <c r="J148" s="597"/>
      <c r="K148" s="382"/>
      <c r="L148" s="598"/>
      <c r="M148" s="599"/>
      <c r="N148" s="599"/>
      <c r="O148" s="600"/>
      <c r="P148" s="511"/>
      <c r="Q148" s="382"/>
      <c r="R148" s="382"/>
      <c r="S148" s="382"/>
      <c r="T148" s="382"/>
      <c r="U148" s="382"/>
      <c r="V148" s="382"/>
      <c r="W148" s="382"/>
      <c r="X148" s="611"/>
      <c r="Y148" s="596"/>
      <c r="Z148" s="596"/>
      <c r="AA148" s="609"/>
    </row>
    <row r="149" spans="2:27" s="539" customFormat="1" x14ac:dyDescent="0.25">
      <c r="B149" s="550"/>
      <c r="C149" s="552" t="s">
        <v>46</v>
      </c>
      <c r="D149" s="606"/>
      <c r="E149" s="186"/>
      <c r="F149" s="186"/>
      <c r="G149" s="186"/>
      <c r="H149" s="186"/>
      <c r="I149" s="186"/>
      <c r="J149" s="186"/>
      <c r="K149" s="186"/>
      <c r="L149" s="186"/>
      <c r="M149" s="186"/>
      <c r="N149" s="186"/>
      <c r="O149" s="607"/>
      <c r="P149" s="606"/>
      <c r="Q149" s="186"/>
      <c r="R149" s="186"/>
      <c r="S149" s="186"/>
      <c r="T149" s="186"/>
      <c r="U149" s="186"/>
      <c r="V149" s="186"/>
      <c r="W149" s="186"/>
      <c r="X149" s="186"/>
      <c r="Y149" s="186"/>
      <c r="Z149" s="186"/>
      <c r="AA149" s="609"/>
    </row>
    <row r="150" spans="2:27" s="539" customFormat="1" x14ac:dyDescent="0.25">
      <c r="B150" s="550"/>
      <c r="C150" s="550" t="s">
        <v>29</v>
      </c>
      <c r="D150" s="511"/>
      <c r="E150" s="382"/>
      <c r="F150" s="382"/>
      <c r="G150" s="382"/>
      <c r="H150" s="382"/>
      <c r="I150" s="382"/>
      <c r="J150" s="382"/>
      <c r="K150" s="382"/>
      <c r="L150" s="382"/>
      <c r="M150" s="382"/>
      <c r="N150" s="382"/>
      <c r="O150" s="410"/>
      <c r="P150" s="511"/>
      <c r="Q150" s="382"/>
      <c r="R150" s="382"/>
      <c r="S150" s="382"/>
      <c r="T150" s="382"/>
      <c r="U150" s="382"/>
      <c r="V150" s="382"/>
      <c r="W150" s="382"/>
      <c r="X150" s="382"/>
      <c r="Y150" s="382"/>
      <c r="Z150" s="382"/>
      <c r="AA150" s="609"/>
    </row>
    <row r="151" spans="2:27" s="539" customFormat="1" x14ac:dyDescent="0.25">
      <c r="B151" s="550"/>
      <c r="C151" s="550"/>
      <c r="D151" s="511"/>
      <c r="E151" s="382"/>
      <c r="F151" s="382"/>
      <c r="G151" s="382"/>
      <c r="H151" s="382"/>
      <c r="I151" s="382"/>
      <c r="J151" s="382"/>
      <c r="K151" s="382"/>
      <c r="L151" s="382"/>
      <c r="M151" s="382"/>
      <c r="N151" s="382"/>
      <c r="O151" s="410"/>
      <c r="P151" s="511"/>
      <c r="Q151" s="382"/>
      <c r="R151" s="382"/>
      <c r="S151" s="382"/>
      <c r="T151" s="382"/>
      <c r="U151" s="382"/>
      <c r="V151" s="382"/>
      <c r="W151" s="382"/>
      <c r="X151" s="382"/>
      <c r="Y151" s="382"/>
      <c r="Z151" s="382"/>
      <c r="AA151" s="609"/>
    </row>
    <row r="152" spans="2:27" s="539" customFormat="1" x14ac:dyDescent="0.25">
      <c r="B152" s="506" t="s">
        <v>47</v>
      </c>
      <c r="C152" s="505"/>
      <c r="D152" s="558"/>
      <c r="E152" s="512"/>
      <c r="F152" s="512"/>
      <c r="G152" s="512"/>
      <c r="H152" s="512"/>
      <c r="I152" s="512"/>
      <c r="J152" s="512"/>
      <c r="K152" s="512"/>
      <c r="L152" s="512"/>
      <c r="M152" s="512"/>
      <c r="N152" s="512"/>
      <c r="O152" s="559"/>
      <c r="P152" s="558"/>
      <c r="Q152" s="512"/>
      <c r="R152" s="512"/>
      <c r="S152" s="512"/>
      <c r="T152" s="512"/>
      <c r="U152" s="512"/>
      <c r="V152" s="512"/>
      <c r="W152" s="512"/>
      <c r="X152" s="512"/>
      <c r="Y152" s="512"/>
      <c r="Z152" s="512"/>
      <c r="AA152" s="559"/>
    </row>
    <row r="153" spans="2:27" s="539" customFormat="1" x14ac:dyDescent="0.25">
      <c r="B153" s="550"/>
      <c r="C153" s="550" t="s">
        <v>48</v>
      </c>
      <c r="D153" s="608">
        <v>2012</v>
      </c>
      <c r="E153" s="594">
        <v>2014</v>
      </c>
      <c r="F153" s="595" t="str">
        <f>User_Inputs!$G$15</f>
        <v>Yes</v>
      </c>
      <c r="G153" s="382"/>
      <c r="H153" s="811">
        <f>Tech_Specs!$T$34*Tech_Specs!$Y$34/Standards_Sectors!I153</f>
        <v>11.525059665871122</v>
      </c>
      <c r="I153" s="382">
        <v>41.9</v>
      </c>
      <c r="J153" s="382"/>
      <c r="K153" s="382"/>
      <c r="L153" s="382"/>
      <c r="M153" s="876">
        <f>Tech_Specs!L34/(Misc_Inputs!$D$8-Misc_Inputs!$D$6)</f>
        <v>2.5000000000000001E-3</v>
      </c>
      <c r="N153" s="876">
        <f>Tech_Specs!N34/(Misc_Inputs!$D$8-Misc_Inputs!$D$6)</f>
        <v>-5.0000000000000001E-3</v>
      </c>
      <c r="O153" s="410"/>
      <c r="P153" s="511"/>
      <c r="Q153" s="382"/>
      <c r="R153" s="382"/>
      <c r="S153" s="186"/>
      <c r="T153" s="382"/>
      <c r="U153" s="382"/>
      <c r="V153" s="382"/>
      <c r="W153" s="382"/>
      <c r="X153" s="382"/>
      <c r="Y153" s="382"/>
      <c r="Z153" s="382"/>
      <c r="AA153" s="609"/>
    </row>
    <row r="154" spans="2:27" s="539" customFormat="1" x14ac:dyDescent="0.25">
      <c r="B154" s="550"/>
      <c r="C154" s="552" t="s">
        <v>50</v>
      </c>
      <c r="D154" s="511"/>
      <c r="E154" s="382"/>
      <c r="F154" s="382"/>
      <c r="G154" s="382"/>
      <c r="H154" s="382"/>
      <c r="I154" s="382"/>
      <c r="J154" s="382"/>
      <c r="K154" s="382"/>
      <c r="L154" s="382"/>
      <c r="M154" s="382"/>
      <c r="N154" s="382"/>
      <c r="O154" s="410"/>
      <c r="P154" s="511"/>
      <c r="Q154" s="382"/>
      <c r="R154" s="382"/>
      <c r="S154" s="382"/>
      <c r="T154" s="382"/>
      <c r="U154" s="382"/>
      <c r="V154" s="382"/>
      <c r="W154" s="382"/>
      <c r="X154" s="382"/>
      <c r="Y154" s="382"/>
      <c r="Z154" s="382"/>
      <c r="AA154" s="609"/>
    </row>
    <row r="155" spans="2:27" s="539" customFormat="1" x14ac:dyDescent="0.25">
      <c r="B155" s="550"/>
      <c r="C155" s="550" t="s">
        <v>51</v>
      </c>
      <c r="D155" s="511"/>
      <c r="E155" s="382"/>
      <c r="F155" s="382"/>
      <c r="G155" s="382"/>
      <c r="H155" s="382"/>
      <c r="I155" s="382"/>
      <c r="J155" s="382"/>
      <c r="K155" s="382"/>
      <c r="L155" s="382"/>
      <c r="M155" s="382"/>
      <c r="N155" s="382"/>
      <c r="O155" s="410"/>
      <c r="P155" s="511"/>
      <c r="Q155" s="382"/>
      <c r="R155" s="382"/>
      <c r="S155" s="382"/>
      <c r="T155" s="382"/>
      <c r="U155" s="382"/>
      <c r="V155" s="382"/>
      <c r="W155" s="382"/>
      <c r="X155" s="382"/>
      <c r="Y155" s="382"/>
      <c r="Z155" s="382"/>
      <c r="AA155" s="609"/>
    </row>
    <row r="156" spans="2:27" s="539" customFormat="1" x14ac:dyDescent="0.25">
      <c r="B156" s="550"/>
      <c r="C156" s="550" t="s">
        <v>52</v>
      </c>
      <c r="D156" s="511"/>
      <c r="E156" s="382"/>
      <c r="F156" s="382"/>
      <c r="G156" s="382"/>
      <c r="H156" s="64"/>
      <c r="I156" s="382"/>
      <c r="J156" s="597"/>
      <c r="K156" s="382"/>
      <c r="L156" s="598"/>
      <c r="M156" s="599"/>
      <c r="N156" s="599"/>
      <c r="O156" s="600"/>
      <c r="P156" s="593">
        <v>2015</v>
      </c>
      <c r="Q156" s="594">
        <v>2017</v>
      </c>
      <c r="R156" s="595" t="str">
        <f>User_Inputs!$G$10</f>
        <v>Yes</v>
      </c>
      <c r="S156" s="382"/>
      <c r="T156" s="618">
        <f>T63*Perform_Sectors!O38/Perform_Sectors!M23</f>
        <v>0.93300000000000005</v>
      </c>
      <c r="U156" s="382"/>
      <c r="V156" s="382"/>
      <c r="W156" s="382"/>
      <c r="X156" s="619">
        <f>11.63/9.79*Perform_Sectors!AX38</f>
        <v>17.819203268641473</v>
      </c>
      <c r="Y156" s="596"/>
      <c r="Z156" s="599">
        <f>Tech_Specs!N37/(Misc_Inputs!$D$8-Misc_Inputs!$D$6)</f>
        <v>-5.0000000000000001E-3</v>
      </c>
      <c r="AA156" s="620" t="s">
        <v>264</v>
      </c>
    </row>
    <row r="157" spans="2:27" s="539" customFormat="1" x14ac:dyDescent="0.25">
      <c r="B157" s="550"/>
      <c r="C157" s="552" t="s">
        <v>29</v>
      </c>
      <c r="D157" s="606"/>
      <c r="E157" s="186"/>
      <c r="F157" s="186"/>
      <c r="G157" s="186"/>
      <c r="H157" s="186"/>
      <c r="I157" s="186"/>
      <c r="J157" s="186"/>
      <c r="K157" s="186"/>
      <c r="L157" s="186"/>
      <c r="M157" s="186"/>
      <c r="N157" s="186"/>
      <c r="O157" s="607"/>
      <c r="P157" s="606"/>
      <c r="Q157" s="186"/>
      <c r="R157" s="186"/>
      <c r="S157" s="186"/>
      <c r="T157" s="186"/>
      <c r="U157" s="186"/>
      <c r="V157" s="186"/>
      <c r="W157" s="186"/>
      <c r="X157" s="186"/>
      <c r="Y157" s="186"/>
      <c r="Z157" s="186"/>
      <c r="AA157" s="609"/>
    </row>
    <row r="158" spans="2:27" s="539" customFormat="1" x14ac:dyDescent="0.25">
      <c r="B158" s="550"/>
      <c r="C158" s="552" t="s">
        <v>53</v>
      </c>
      <c r="D158" s="61"/>
      <c r="E158" s="74"/>
      <c r="F158" s="74"/>
      <c r="G158" s="74"/>
      <c r="H158" s="74"/>
      <c r="I158" s="74"/>
      <c r="J158" s="74"/>
      <c r="K158" s="74"/>
      <c r="L158" s="74"/>
      <c r="M158" s="74"/>
      <c r="N158" s="74"/>
      <c r="O158" s="56"/>
      <c r="P158" s="61"/>
      <c r="Q158" s="74"/>
      <c r="R158" s="621"/>
      <c r="S158" s="74"/>
      <c r="T158" s="74"/>
      <c r="U158" s="74"/>
      <c r="V158" s="74"/>
      <c r="W158" s="74"/>
      <c r="X158" s="74"/>
      <c r="Y158" s="74"/>
      <c r="Z158" s="74"/>
      <c r="AA158" s="614"/>
    </row>
    <row r="159" spans="2:27" x14ac:dyDescent="0.25">
      <c r="Q159" s="539"/>
      <c r="S159"/>
    </row>
    <row r="160" spans="2:27" x14ac:dyDescent="0.25">
      <c r="Q160" s="539"/>
      <c r="S160"/>
    </row>
    <row r="161" spans="17:19" x14ac:dyDescent="0.25">
      <c r="Q161" s="539"/>
      <c r="S161"/>
    </row>
    <row r="162" spans="17:19" x14ac:dyDescent="0.25">
      <c r="Q162" s="539"/>
      <c r="S162"/>
    </row>
    <row r="163" spans="17:19" x14ac:dyDescent="0.25">
      <c r="Q163" s="539"/>
      <c r="S163"/>
    </row>
    <row r="164" spans="17:19" x14ac:dyDescent="0.25">
      <c r="Q164" s="539"/>
      <c r="S164"/>
    </row>
    <row r="165" spans="17:19" x14ac:dyDescent="0.25">
      <c r="Q165" s="539"/>
      <c r="S165"/>
    </row>
    <row r="166" spans="17:19" x14ac:dyDescent="0.25">
      <c r="Q166" s="539"/>
      <c r="S166"/>
    </row>
    <row r="167" spans="17:19" x14ac:dyDescent="0.25">
      <c r="Q167" s="539"/>
      <c r="S167"/>
    </row>
    <row r="168" spans="17:19" x14ac:dyDescent="0.25">
      <c r="R168" s="539"/>
      <c r="S168"/>
    </row>
    <row r="169" spans="17:19" x14ac:dyDescent="0.25">
      <c r="R169" s="539"/>
      <c r="S169"/>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FF00"/>
  </sheetPr>
  <dimension ref="A1:BX176"/>
  <sheetViews>
    <sheetView topLeftCell="B1" zoomScale="59" zoomScaleNormal="59" workbookViewId="0">
      <selection activeCell="F37" sqref="F37"/>
    </sheetView>
  </sheetViews>
  <sheetFormatPr defaultColWidth="9.140625" defaultRowHeight="12.75" x14ac:dyDescent="0.2"/>
  <cols>
    <col min="1" max="1" width="23.5703125" style="81" customWidth="1"/>
    <col min="2" max="2" width="24.140625" style="81" bestFit="1" customWidth="1"/>
    <col min="3" max="12" width="9.140625" style="81"/>
    <col min="13" max="13" width="9.140625" style="81" customWidth="1"/>
    <col min="14" max="14" width="9.140625" style="550" customWidth="1"/>
    <col min="15" max="16384" width="9.140625" style="81"/>
  </cols>
  <sheetData>
    <row r="1" spans="1:76" s="552" customFormat="1" ht="18" x14ac:dyDescent="0.4">
      <c r="A1" s="330" t="s">
        <v>306</v>
      </c>
    </row>
    <row r="2" spans="1:76" s="101" customFormat="1" ht="14.45" x14ac:dyDescent="0.35">
      <c r="A2" s="1040" t="s">
        <v>671</v>
      </c>
      <c r="B2" s="552"/>
      <c r="N2" s="552"/>
    </row>
    <row r="3" spans="1:76" s="101" customFormat="1" ht="12.95" x14ac:dyDescent="0.3">
      <c r="A3" s="60"/>
      <c r="N3" s="552"/>
    </row>
    <row r="4" spans="1:76" s="101" customFormat="1" ht="12.95" x14ac:dyDescent="0.3">
      <c r="A4" s="60"/>
      <c r="N4" s="552"/>
    </row>
    <row r="5" spans="1:76" ht="12.95" x14ac:dyDescent="0.3">
      <c r="A5" s="54"/>
      <c r="C5" s="427" t="s">
        <v>442</v>
      </c>
      <c r="D5" s="428"/>
      <c r="E5" s="428"/>
      <c r="F5" s="428"/>
      <c r="G5" s="428"/>
      <c r="H5" s="428"/>
      <c r="I5" s="428"/>
      <c r="J5" s="428"/>
      <c r="K5" s="428"/>
      <c r="L5" s="428"/>
      <c r="M5" s="428"/>
      <c r="N5" s="428"/>
      <c r="O5" s="428"/>
      <c r="P5" s="429"/>
      <c r="Q5" s="427" t="s">
        <v>226</v>
      </c>
      <c r="R5" s="428"/>
      <c r="S5" s="381"/>
      <c r="T5" s="428"/>
      <c r="U5" s="428"/>
      <c r="V5" s="428"/>
      <c r="W5" s="428"/>
      <c r="X5" s="428"/>
      <c r="Y5" s="428"/>
      <c r="Z5" s="428"/>
      <c r="AA5" s="428"/>
      <c r="AB5" s="418"/>
      <c r="AC5" s="418"/>
      <c r="AD5" s="434"/>
      <c r="AE5" s="123"/>
      <c r="AF5" s="123"/>
      <c r="AG5" s="123"/>
      <c r="AH5" s="123"/>
      <c r="AI5" s="123"/>
      <c r="AJ5" s="124"/>
      <c r="AK5" s="124"/>
      <c r="AL5" s="124"/>
      <c r="AM5" s="125"/>
      <c r="AN5" s="125"/>
      <c r="AO5" s="125"/>
      <c r="AP5" s="125"/>
      <c r="AQ5" s="125"/>
      <c r="AR5" s="125"/>
      <c r="AX5" s="125"/>
      <c r="AY5" s="125"/>
      <c r="AZ5" s="125"/>
      <c r="BA5" s="125"/>
      <c r="BB5" s="125"/>
      <c r="BC5" s="125"/>
      <c r="BD5" s="125"/>
      <c r="BE5" s="125"/>
      <c r="BF5" s="125"/>
      <c r="BG5" s="125"/>
      <c r="BH5" s="125"/>
      <c r="BI5" s="125"/>
      <c r="BJ5" s="125"/>
      <c r="BK5" s="125"/>
      <c r="BL5" s="125"/>
      <c r="BM5" s="125"/>
      <c r="BN5" s="125"/>
      <c r="BO5" s="125"/>
      <c r="BP5" s="125"/>
      <c r="BQ5" s="125"/>
      <c r="BR5" s="125"/>
      <c r="BS5" s="125"/>
      <c r="BT5" s="125"/>
      <c r="BU5" s="125"/>
      <c r="BV5" s="125"/>
      <c r="BW5" s="125"/>
      <c r="BX5" s="125"/>
    </row>
    <row r="6" spans="1:76" ht="50.1" x14ac:dyDescent="0.3">
      <c r="A6" s="54"/>
      <c r="C6" s="430" t="s">
        <v>227</v>
      </c>
      <c r="D6" s="431" t="s">
        <v>260</v>
      </c>
      <c r="E6" s="432" t="s">
        <v>238</v>
      </c>
      <c r="F6" s="431" t="s">
        <v>268</v>
      </c>
      <c r="G6" s="431" t="s">
        <v>269</v>
      </c>
      <c r="H6" s="431" t="s">
        <v>228</v>
      </c>
      <c r="I6" s="432" t="s">
        <v>17</v>
      </c>
      <c r="J6" s="432" t="s">
        <v>91</v>
      </c>
      <c r="K6" s="432" t="s">
        <v>92</v>
      </c>
      <c r="L6" s="432" t="s">
        <v>93</v>
      </c>
      <c r="M6" s="432" t="s">
        <v>94</v>
      </c>
      <c r="N6" s="431" t="s">
        <v>95</v>
      </c>
      <c r="O6" s="431" t="s">
        <v>96</v>
      </c>
      <c r="P6" s="433" t="s">
        <v>258</v>
      </c>
      <c r="Q6" s="430" t="s">
        <v>227</v>
      </c>
      <c r="R6" s="431" t="s">
        <v>260</v>
      </c>
      <c r="S6" s="432" t="s">
        <v>238</v>
      </c>
      <c r="T6" s="431" t="s">
        <v>268</v>
      </c>
      <c r="U6" s="431" t="s">
        <v>269</v>
      </c>
      <c r="V6" s="431" t="s">
        <v>228</v>
      </c>
      <c r="W6" s="432" t="s">
        <v>262</v>
      </c>
      <c r="X6" s="432" t="s">
        <v>97</v>
      </c>
      <c r="Y6" s="432" t="s">
        <v>92</v>
      </c>
      <c r="Z6" s="432" t="s">
        <v>93</v>
      </c>
      <c r="AA6" s="432" t="s">
        <v>94</v>
      </c>
      <c r="AB6" s="431" t="s">
        <v>95</v>
      </c>
      <c r="AC6" s="431" t="s">
        <v>96</v>
      </c>
      <c r="AD6" s="590" t="s">
        <v>258</v>
      </c>
      <c r="AE6" s="126"/>
      <c r="AF6" s="126"/>
      <c r="AG6" s="126"/>
      <c r="AH6" s="126"/>
      <c r="AI6" s="126"/>
      <c r="AJ6" s="126"/>
      <c r="AK6" s="127"/>
      <c r="AL6" s="127"/>
      <c r="AM6" s="125"/>
      <c r="AN6" s="125"/>
      <c r="AO6" s="125"/>
      <c r="AP6" s="125"/>
      <c r="AQ6" s="125"/>
      <c r="AR6" s="125"/>
      <c r="AX6" s="125"/>
      <c r="AY6" s="125"/>
      <c r="AZ6" s="125"/>
      <c r="BA6" s="125"/>
      <c r="BB6" s="125"/>
      <c r="BC6" s="125"/>
      <c r="BD6" s="125"/>
      <c r="BE6" s="125"/>
      <c r="BF6" s="125"/>
      <c r="BG6" s="125"/>
      <c r="BH6" s="125"/>
      <c r="BI6" s="125"/>
      <c r="BJ6" s="125"/>
      <c r="BK6" s="125"/>
      <c r="BL6" s="125"/>
      <c r="BM6" s="125"/>
      <c r="BN6" s="125"/>
      <c r="BO6" s="125"/>
      <c r="BP6" s="125"/>
      <c r="BQ6" s="125"/>
      <c r="BR6" s="125"/>
      <c r="BS6" s="125"/>
      <c r="BT6" s="125"/>
      <c r="BU6" s="125"/>
      <c r="BV6" s="125"/>
      <c r="BW6" s="125"/>
    </row>
    <row r="7" spans="1:76" s="54" customFormat="1" ht="12.95" x14ac:dyDescent="0.3">
      <c r="A7" s="54" t="s">
        <v>12</v>
      </c>
      <c r="B7" s="81"/>
      <c r="C7" s="349"/>
      <c r="D7" s="418"/>
      <c r="E7" s="418"/>
      <c r="F7" s="418"/>
      <c r="G7" s="418"/>
      <c r="H7" s="418"/>
      <c r="I7" s="418"/>
      <c r="J7" s="418"/>
      <c r="K7" s="418"/>
      <c r="L7" s="418"/>
      <c r="M7" s="418"/>
      <c r="N7" s="418"/>
      <c r="O7" s="418"/>
      <c r="P7" s="434"/>
      <c r="Q7" s="349"/>
      <c r="R7" s="418"/>
      <c r="S7" s="418"/>
      <c r="T7" s="418"/>
      <c r="U7" s="418"/>
      <c r="V7" s="418"/>
      <c r="W7" s="418"/>
      <c r="X7" s="418"/>
      <c r="Y7" s="418"/>
      <c r="Z7" s="418"/>
      <c r="AA7" s="418"/>
      <c r="AB7" s="418"/>
      <c r="AC7" s="418"/>
      <c r="AD7" s="434"/>
      <c r="AK7" s="124"/>
      <c r="AL7" s="124"/>
      <c r="AM7" s="124"/>
      <c r="AN7" s="124"/>
      <c r="AO7" s="124"/>
      <c r="AP7" s="124"/>
    </row>
    <row r="8" spans="1:76" ht="12.6" x14ac:dyDescent="0.25">
      <c r="B8" s="81" t="s">
        <v>20</v>
      </c>
      <c r="C8" s="511"/>
      <c r="D8" s="382"/>
      <c r="E8" s="382"/>
      <c r="F8" s="382"/>
      <c r="G8" s="382"/>
      <c r="H8" s="382"/>
      <c r="I8" s="382"/>
      <c r="J8" s="382"/>
      <c r="K8" s="382"/>
      <c r="L8" s="382"/>
      <c r="M8" s="382"/>
      <c r="N8" s="382"/>
      <c r="O8" s="382"/>
      <c r="P8" s="410"/>
      <c r="Q8" s="511"/>
      <c r="R8" s="382"/>
      <c r="S8" s="382"/>
      <c r="T8" s="382"/>
      <c r="U8" s="382"/>
      <c r="V8" s="382"/>
      <c r="W8" s="382"/>
      <c r="X8" s="382"/>
      <c r="Y8" s="382"/>
      <c r="Z8" s="382"/>
      <c r="AA8" s="382"/>
      <c r="AB8" s="382"/>
      <c r="AC8" s="382"/>
      <c r="AD8" s="410"/>
    </row>
    <row r="9" spans="1:76" s="57" customFormat="1" ht="12.95" x14ac:dyDescent="0.3">
      <c r="A9" s="12" t="s">
        <v>21</v>
      </c>
      <c r="B9" s="30"/>
      <c r="C9" s="558"/>
      <c r="D9" s="512"/>
      <c r="E9" s="512"/>
      <c r="F9" s="512"/>
      <c r="G9" s="512"/>
      <c r="H9" s="512"/>
      <c r="I9" s="512"/>
      <c r="J9" s="512"/>
      <c r="K9" s="512"/>
      <c r="L9" s="512"/>
      <c r="M9" s="512"/>
      <c r="N9" s="512"/>
      <c r="O9" s="512"/>
      <c r="P9" s="559"/>
      <c r="Q9" s="558"/>
      <c r="R9" s="512"/>
      <c r="S9" s="512"/>
      <c r="T9" s="512"/>
      <c r="U9" s="512"/>
      <c r="V9" s="512"/>
      <c r="W9" s="512"/>
      <c r="X9" s="512"/>
      <c r="Y9" s="512"/>
      <c r="Z9" s="512"/>
      <c r="AA9" s="512"/>
      <c r="AB9" s="512"/>
      <c r="AC9" s="512"/>
      <c r="AD9" s="559"/>
    </row>
    <row r="10" spans="1:76" ht="12.6" x14ac:dyDescent="0.25">
      <c r="B10" s="81" t="s">
        <v>22</v>
      </c>
      <c r="C10" s="606">
        <f>IF(Active_Case="Res",IF(Standards_Sectors!D11="","",Standards_Sectors!D11),IF(Active_Case="Com",IF(Standards_Sectors!D50="","",Standards_Sectors!D50),IF(Active_Case="Ind",IF(Standards_Sectors!D89="","",Standards_Sectors!D89),IF(Active_Case="Out",IF(Standards_Sectors!D128="","",Standards_Sectors!D128)))))</f>
        <v>2012</v>
      </c>
      <c r="D10" s="186">
        <f>IF(Active_Case="Res",IF(Standards_Sectors!E11="","",Standards_Sectors!E11),IF(Active_Case="Com",IF(Standards_Sectors!E50="","",Standards_Sectors!E50),IF(Active_Case="Ind",IF(Standards_Sectors!E89="","",Standards_Sectors!E89),IF(Active_Case="Out",IF(Standards_Sectors!E128="","",Standards_Sectors!E128)))))</f>
        <v>2016</v>
      </c>
      <c r="E10" s="186" t="str">
        <f>IF(Active_Case="Res",IF(Standards_Sectors!F11="","",Standards_Sectors!F11),IF(Active_Case="Com",IF(Standards_Sectors!F50="","",Standards_Sectors!F50),IF(Active_Case="Ind",IF(Standards_Sectors!F89="","",Standards_Sectors!F89),IF(Active_Case="Out",IF(Standards_Sectors!F128="","",Standards_Sectors!F128)))))</f>
        <v>Yes</v>
      </c>
      <c r="F10" s="186">
        <f>IF(Active_Case="Res",IF(Standards_Sectors!$G11="","",Standards_Sectors!$G11),IF(Active_Case="Com",IF(Standards_Sectors!$G50="","",Standards_Sectors!$G50),IF(Active_Case="Ind",IF(Standards_Sectors!$G89="","",Standards_Sectors!$G89),IF(Active_Case="Out",IF(Standards_Sectors!$G128="","",Standards_Sectors!$G128)))))</f>
        <v>0.1</v>
      </c>
      <c r="G10" s="186">
        <f>IF(ISNUMBER(F10),(1-F10*INDEX(Standards_Acceptance!$AL9:$BP9,1,MATCH(C10-1,Standards_Acceptance!$AL$7:$BP$7,FALSE)))/(D10-C10+1),"")</f>
        <v>0.18</v>
      </c>
      <c r="H10" s="186">
        <f>IF(ISNUMBER(F10),F10*INDEX(Standards_Acceptance!$AL9:$BP9,1,MATCH(C10-1,Standards_Acceptance!$AL$7:$BP$7,FALSE)),"")</f>
        <v>0.1</v>
      </c>
      <c r="I10" s="186" t="str">
        <f>IF(Active_Case="Res",IF(Standards_Sectors!H11="","",Standards_Sectors!H11),IF(Active_Case="Com",IF(Standards_Sectors!H50="","",Standards_Sectors!H50),IF(Active_Case="Ind",IF(Standards_Sectors!H89="","",Standards_Sectors!H89),IF(Active_Case="Out",IF(Standards_Sectors!H128="","",Standards_Sectors!H128)))))</f>
        <v/>
      </c>
      <c r="J10" s="186" t="str">
        <f>IF(Active_Case="Res",IF(Standards_Sectors!I11="","",Standards_Sectors!I11),IF(Active_Case="Com",IF(Standards_Sectors!I50="","",Standards_Sectors!I50),IF(Active_Case="Ind",IF(Standards_Sectors!I89="","",Standards_Sectors!I89),IF(Active_Case="Out",IF(Standards_Sectors!I128="","",Standards_Sectors!I128)))))</f>
        <v/>
      </c>
      <c r="K10" s="186" t="str">
        <f>IF(Active_Case="Res",IF(Standards_Sectors!J11="","",Standards_Sectors!J11),IF(Active_Case="Com",IF(Standards_Sectors!J50="","",Standards_Sectors!J50),IF(Active_Case="Ind",IF(Standards_Sectors!J89="","",Standards_Sectors!J89),IF(Active_Case="Out",IF(Standards_Sectors!J128="","",Standards_Sectors!J128)))))</f>
        <v/>
      </c>
      <c r="L10" s="186" t="str">
        <f>IF(Active_Case="Res",IF(Standards_Sectors!K11="","",Standards_Sectors!K11),IF(Active_Case="Com",IF(Standards_Sectors!K50="","",Standards_Sectors!K50),IF(Active_Case="Ind",IF(Standards_Sectors!K89="","",Standards_Sectors!K89),IF(Active_Case="Out",IF(Standards_Sectors!K128="","",Standards_Sectors!K128)))))</f>
        <v/>
      </c>
      <c r="M10" s="186" t="str">
        <f>IF(Active_Case="Res",IF(Standards_Sectors!L11="","",Standards_Sectors!L11),IF(Active_Case="Com",IF(Standards_Sectors!L50="","",Standards_Sectors!L50),IF(Active_Case="Ind",IF(Standards_Sectors!L89="","",Standards_Sectors!L89),IF(Active_Case="Out",IF(Standards_Sectors!L128="","",Standards_Sectors!L128)))))</f>
        <v/>
      </c>
      <c r="N10" s="186" t="str">
        <f>IF(Active_Case="Res",IF(Standards_Sectors!M11="","",Standards_Sectors!M11),IF(Active_Case="Com",IF(Standards_Sectors!M50="","",Standards_Sectors!M50),IF(Active_Case="Ind",IF(Standards_Sectors!M89="","",Standards_Sectors!M89),IF(Active_Case="Out",IF(Standards_Sectors!M128="","",Standards_Sectors!M128)))))</f>
        <v/>
      </c>
      <c r="O10" s="186" t="str">
        <f>IF(Active_Case="Res",IF(Standards_Sectors!N11="","",Standards_Sectors!N11),IF(Active_Case="Com",IF(Standards_Sectors!N50="","",Standards_Sectors!N50),IF(Active_Case="Ind",IF(Standards_Sectors!N89="","",Standards_Sectors!N89),IF(Active_Case="Out",IF(Standards_Sectors!N128="","",Standards_Sectors!N128)))))</f>
        <v/>
      </c>
      <c r="P10" s="607" t="str">
        <f>IF(Active_Case="Res",IF(Standards_Sectors!O11="","",Standards_Sectors!O11),IF(Active_Case="Com",IF(Standards_Sectors!O50="","",Standards_Sectors!O50),IF(Active_Case="Ind",IF(Standards_Sectors!O89="","",Standards_Sectors!O89),IF(Active_Case="Out",IF(Standards_Sectors!O128="","",Standards_Sectors!O128)))))</f>
        <v/>
      </c>
      <c r="Q10" s="606" t="str">
        <f>IF(Active_Case="Res",IF(Standards_Sectors!P11="","",Standards_Sectors!P11),IF(Active_Case="Com",IF(Standards_Sectors!P50="","",Standards_Sectors!P50),IF(Active_Case="Ind",IF(Standards_Sectors!P89="","",Standards_Sectors!P89),IF(Active_Case="Out",IF(Standards_Sectors!P128="","",Standards_Sectors!P128)))))</f>
        <v/>
      </c>
      <c r="R10" s="186" t="str">
        <f>IF(Active_Case="Res",IF(Standards_Sectors!Q11="","",Standards_Sectors!Q11),IF(Active_Case="Com",IF(Standards_Sectors!Q50="","",Standards_Sectors!Q50),IF(Active_Case="Ind",IF(Standards_Sectors!Q89="","",Standards_Sectors!Q89),IF(Active_Case="Out",IF(Standards_Sectors!Q128="","",Standards_Sectors!Q128)))))</f>
        <v/>
      </c>
      <c r="S10" s="186" t="str">
        <f>IF(Active_Case="Res",IF(Standards_Sectors!R11="","",Standards_Sectors!R11),IF(Active_Case="Com",IF(Standards_Sectors!R50="","",Standards_Sectors!R50),IF(Active_Case="Ind",IF(Standards_Sectors!R89="","",Standards_Sectors!R89),IF(Active_Case="Out",IF(Standards_Sectors!R128="","",Standards_Sectors!R128)))))</f>
        <v/>
      </c>
      <c r="T10" s="186" t="str">
        <f>IF(Active_Case="Res",IF(Standards_Sectors!S11="","",Standards_Sectors!S11),IF(Active_Case="Com",IF(Standards_Sectors!S50="","",Standards_Sectors!S50),IF(Active_Case="Ind",IF(Standards_Sectors!S89="","",Standards_Sectors!S89),IF(Active_Case="Out",IF(Standards_Sectors!S128="","",Standards_Sectors!S128)))))</f>
        <v/>
      </c>
      <c r="U10" s="186" t="str">
        <f>IF(ISNUMBER(T10),(1-T10*INDEX(Standards_Acceptance!$AL46:$BP46,1,MATCH(Q10-1,Standards_Acceptance!$AL$44:$BP$44,FALSE)))/(R10-Q10+1),"")</f>
        <v/>
      </c>
      <c r="V10" s="639" t="str">
        <f>IF(ISNUMBER(T10),IF(Q10&lt;2010,T10*Standards_Acceptance!CA46,T10*INDEX(Standards_Acceptance!$AL46:$BP46,1,MATCH(Q10-1,Standards_Acceptance!$AL$44:$BP$44,FALSE))),"")</f>
        <v/>
      </c>
      <c r="W10" s="186" t="str">
        <f>IF(Active_Case="Res",IF(Standards_Sectors!T11="","",Standards_Sectors!T11),IF(Active_Case="Com",IF(Standards_Sectors!T50="","",Standards_Sectors!T50),IF(Active_Case="Ind",IF(Standards_Sectors!T89="","",Standards_Sectors!T89),IF(Active_Case="Out",IF(Standards_Sectors!T128="","",Standards_Sectors!T128)))))</f>
        <v/>
      </c>
      <c r="X10" s="186" t="str">
        <f>IF(Active_Case="Res",IF(Standards_Sectors!U11="","",Standards_Sectors!U11),IF(Active_Case="Com",IF(Standards_Sectors!U50="","",Standards_Sectors!U50),IF(Active_Case="Ind",IF(Standards_Sectors!U89="","",Standards_Sectors!U89),IF(Active_Case="Out",IF(Standards_Sectors!U128="","",Standards_Sectors!U128)))))</f>
        <v/>
      </c>
      <c r="Y10" s="186" t="str">
        <f>IF(Active_Case="Res",IF(Standards_Sectors!V11="","",Standards_Sectors!V11),IF(Active_Case="Com",IF(Standards_Sectors!V50="","",Standards_Sectors!V50),IF(Active_Case="Ind",IF(Standards_Sectors!V89="","",Standards_Sectors!V89),IF(Active_Case="Out",IF(Standards_Sectors!V128="","",Standards_Sectors!V128)))))</f>
        <v/>
      </c>
      <c r="Z10" s="186" t="str">
        <f>IF(Active_Case="Res",IF(Standards_Sectors!W11="","",Standards_Sectors!W11),IF(Active_Case="Com",IF(Standards_Sectors!W50="","",Standards_Sectors!W50),IF(Active_Case="Ind",IF(Standards_Sectors!W89="","",Standards_Sectors!W89),IF(Active_Case="Out",IF(Standards_Sectors!W128="","",Standards_Sectors!W128)))))</f>
        <v/>
      </c>
      <c r="AA10" s="186" t="str">
        <f>IF(Active_Case="Res",IF(Standards_Sectors!X11="","",Standards_Sectors!X11),IF(Active_Case="Com",IF(Standards_Sectors!X50="","",Standards_Sectors!X50),IF(Active_Case="Ind",IF(Standards_Sectors!X89="","",Standards_Sectors!X89),IF(Active_Case="Out",IF(Standards_Sectors!X128="","",Standards_Sectors!X128)))))</f>
        <v/>
      </c>
      <c r="AB10" s="186" t="str">
        <f>IF(Active_Case="Res",IF(Standards_Sectors!Y11="","",Standards_Sectors!Y11),IF(Active_Case="Com",IF(Standards_Sectors!Y50="","",Standards_Sectors!Y50),IF(Active_Case="Ind",IF(Standards_Sectors!Y89="","",Standards_Sectors!Y89),IF(Active_Case="Out",IF(Standards_Sectors!Y128="","",Standards_Sectors!Y128)))))</f>
        <v/>
      </c>
      <c r="AC10" s="186" t="str">
        <f>IF(Active_Case="Res",IF(Standards_Sectors!Z11="","",Standards_Sectors!Z11),IF(Active_Case="Com",IF(Standards_Sectors!Z50="","",Standards_Sectors!Z50),IF(Active_Case="Ind",IF(Standards_Sectors!Z89="","",Standards_Sectors!Z89),IF(Active_Case="Out",IF(Standards_Sectors!Z128="","",Standards_Sectors!Z128)))))</f>
        <v/>
      </c>
      <c r="AD10" s="607" t="str">
        <f>IF(Active_Case="Res",IF(Standards_Sectors!AA11="","",Standards_Sectors!AA11),IF(Active_Case="Com",IF(Standards_Sectors!AA50="","",Standards_Sectors!AA50),IF(Active_Case="Ind",IF(Standards_Sectors!AA89="","",Standards_Sectors!AA89),IF(Active_Case="Out",IF(Standards_Sectors!AA128="","",Standards_Sectors!AA128)))))</f>
        <v/>
      </c>
    </row>
    <row r="11" spans="1:76" ht="12.6" x14ac:dyDescent="0.25">
      <c r="B11" s="81" t="s">
        <v>26</v>
      </c>
      <c r="C11" s="606" t="str">
        <f>IF(Active_Case="Res",IF(Standards_Sectors!D12="","",Standards_Sectors!D12),IF(Active_Case="Com",IF(Standards_Sectors!D51="","",Standards_Sectors!D51),IF(Active_Case="Ind",IF(Standards_Sectors!D90="","",Standards_Sectors!D90),IF(Active_Case="Out",IF(Standards_Sectors!D129="","",Standards_Sectors!D129)))))</f>
        <v/>
      </c>
      <c r="D11" s="186" t="str">
        <f>IF(Active_Case="Res",IF(Standards_Sectors!E12="","",Standards_Sectors!E12),IF(Active_Case="Com",IF(Standards_Sectors!E51="","",Standards_Sectors!E51),IF(Active_Case="Ind",IF(Standards_Sectors!E90="","",Standards_Sectors!E90),IF(Active_Case="Out",IF(Standards_Sectors!E129="","",Standards_Sectors!E129)))))</f>
        <v/>
      </c>
      <c r="E11" s="186" t="str">
        <f>IF(Active_Case="Res",IF(Standards_Sectors!F12="","",Standards_Sectors!F12),IF(Active_Case="Com",IF(Standards_Sectors!F51="","",Standards_Sectors!F51),IF(Active_Case="Ind",IF(Standards_Sectors!F90="","",Standards_Sectors!F90),IF(Active_Case="Out",IF(Standards_Sectors!F129="","",Standards_Sectors!F129)))))</f>
        <v/>
      </c>
      <c r="F11" s="186" t="str">
        <f>IF(Active_Case="Res",IF(Standards_Sectors!G12="","",Standards_Sectors!G12),IF(Active_Case="Com",IF(Standards_Sectors!G51="","",Standards_Sectors!G51),IF(Active_Case="Ind",IF(Standards_Sectors!G90="","",Standards_Sectors!G90),IF(Active_Case="Out",IF(Standards_Sectors!G129="","",Standards_Sectors!G129)))))</f>
        <v/>
      </c>
      <c r="G11" s="186" t="str">
        <f>IF(ISNUMBER(F11),(1-F11*INDEX(Standards_Acceptance!$AL10:$BP10,1,MATCH(C11-1,Standards_Acceptance!$AL$7:$BP$7,FALSE)))/(D11-C11+1),"")</f>
        <v/>
      </c>
      <c r="H11" s="186" t="str">
        <f>IF(ISNUMBER(F11),F11*INDEX(Standards_Acceptance!$AL10:$BP10,1,MATCH(C11-1,Standards_Acceptance!$AL$7:$BP$7,FALSE)),"")</f>
        <v/>
      </c>
      <c r="I11" s="186" t="str">
        <f>IF(Active_Case="Res",IF(Standards_Sectors!H12="","",Standards_Sectors!H12),IF(Active_Case="Com",IF(Standards_Sectors!H51="","",Standards_Sectors!H51),IF(Active_Case="Ind",IF(Standards_Sectors!H90="","",Standards_Sectors!H90),IF(Active_Case="Out",IF(Standards_Sectors!H129="","",Standards_Sectors!H129)))))</f>
        <v/>
      </c>
      <c r="J11" s="186" t="str">
        <f>IF(Active_Case="Res",IF(Standards_Sectors!I12="","",Standards_Sectors!I12),IF(Active_Case="Com",IF(Standards_Sectors!I51="","",Standards_Sectors!I51),IF(Active_Case="Ind",IF(Standards_Sectors!I90="","",Standards_Sectors!I90),IF(Active_Case="Out",IF(Standards_Sectors!I129="","",Standards_Sectors!I129)))))</f>
        <v/>
      </c>
      <c r="K11" s="186" t="str">
        <f>IF(Active_Case="Res",IF(Standards_Sectors!J12="","",Standards_Sectors!J12),IF(Active_Case="Com",IF(Standards_Sectors!J51="","",Standards_Sectors!J51),IF(Active_Case="Ind",IF(Standards_Sectors!J90="","",Standards_Sectors!J90),IF(Active_Case="Out",IF(Standards_Sectors!J129="","",Standards_Sectors!J129)))))</f>
        <v/>
      </c>
      <c r="L11" s="186" t="str">
        <f>IF(Active_Case="Res",IF(Standards_Sectors!K12="","",Standards_Sectors!K12),IF(Active_Case="Com",IF(Standards_Sectors!K51="","",Standards_Sectors!K51),IF(Active_Case="Ind",IF(Standards_Sectors!K90="","",Standards_Sectors!K90),IF(Active_Case="Out",IF(Standards_Sectors!K129="","",Standards_Sectors!K129)))))</f>
        <v/>
      </c>
      <c r="M11" s="186" t="str">
        <f>IF(Active_Case="Res",IF(Standards_Sectors!L12="","",Standards_Sectors!L12),IF(Active_Case="Com",IF(Standards_Sectors!L51="","",Standards_Sectors!L51),IF(Active_Case="Ind",IF(Standards_Sectors!L90="","",Standards_Sectors!L90),IF(Active_Case="Out",IF(Standards_Sectors!L129="","",Standards_Sectors!L129)))))</f>
        <v/>
      </c>
      <c r="N11" s="186" t="str">
        <f>IF(Active_Case="Res",IF(Standards_Sectors!M12="","",Standards_Sectors!M12),IF(Active_Case="Com",IF(Standards_Sectors!M51="","",Standards_Sectors!M51),IF(Active_Case="Ind",IF(Standards_Sectors!M90="","",Standards_Sectors!M90),IF(Active_Case="Out",IF(Standards_Sectors!M129="","",Standards_Sectors!M129)))))</f>
        <v/>
      </c>
      <c r="O11" s="186" t="str">
        <f>IF(Active_Case="Res",IF(Standards_Sectors!N12="","",Standards_Sectors!N12),IF(Active_Case="Com",IF(Standards_Sectors!N51="","",Standards_Sectors!N51),IF(Active_Case="Ind",IF(Standards_Sectors!N90="","",Standards_Sectors!N90),IF(Active_Case="Out",IF(Standards_Sectors!N129="","",Standards_Sectors!N129)))))</f>
        <v/>
      </c>
      <c r="P11" s="607" t="str">
        <f>IF(Active_Case="Res",IF(Standards_Sectors!O12="","",Standards_Sectors!O12),IF(Active_Case="Com",IF(Standards_Sectors!O51="","",Standards_Sectors!O51),IF(Active_Case="Ind",IF(Standards_Sectors!O90="","",Standards_Sectors!O90),IF(Active_Case="Out",IF(Standards_Sectors!O129="","",Standards_Sectors!O129)))))</f>
        <v/>
      </c>
      <c r="Q11" s="606" t="str">
        <f>IF(Active_Case="Res",IF(Standards_Sectors!P12="","",Standards_Sectors!P12),IF(Active_Case="Com",IF(Standards_Sectors!P51="","",Standards_Sectors!P51),IF(Active_Case="Ind",IF(Standards_Sectors!P90="","",Standards_Sectors!P90),IF(Active_Case="Out",IF(Standards_Sectors!P129="","",Standards_Sectors!P129)))))</f>
        <v/>
      </c>
      <c r="R11" s="186" t="str">
        <f>IF(Active_Case="Res",IF(Standards_Sectors!Q12="","",Standards_Sectors!Q12),IF(Active_Case="Com",IF(Standards_Sectors!Q51="","",Standards_Sectors!Q51),IF(Active_Case="Ind",IF(Standards_Sectors!Q90="","",Standards_Sectors!Q90),IF(Active_Case="Out",IF(Standards_Sectors!Q129="","",Standards_Sectors!Q129)))))</f>
        <v/>
      </c>
      <c r="S11" s="186" t="str">
        <f>IF(Active_Case="Res",IF(Standards_Sectors!R12="","",Standards_Sectors!R12),IF(Active_Case="Com",IF(Standards_Sectors!R51="","",Standards_Sectors!R51),IF(Active_Case="Ind",IF(Standards_Sectors!R90="","",Standards_Sectors!R90),IF(Active_Case="Out",IF(Standards_Sectors!R129="","",Standards_Sectors!R129)))))</f>
        <v/>
      </c>
      <c r="T11" s="186" t="str">
        <f>IF(Active_Case="Res",IF(Standards_Sectors!S12="","",Standards_Sectors!S12),IF(Active_Case="Com",IF(Standards_Sectors!S51="","",Standards_Sectors!S51),IF(Active_Case="Ind",IF(Standards_Sectors!S90="","",Standards_Sectors!S90),IF(Active_Case="Out",IF(Standards_Sectors!S129="","",Standards_Sectors!S129)))))</f>
        <v/>
      </c>
      <c r="U11" s="186" t="str">
        <f>IF(ISNUMBER(T11),(1-T11*INDEX(Standards_Acceptance!$AL47:$BP47,1,MATCH(Q11-1,Standards_Acceptance!$AL$44:$BP$44,FALSE)))/(R11-Q11+1),"")</f>
        <v/>
      </c>
      <c r="V11" s="639" t="str">
        <f>IF(ISNUMBER(T11),IF(Q11&lt;2010,T11*Standards_Acceptance!CA47,T11*INDEX(Standards_Acceptance!$AL47:$BP47,1,MATCH(Q11-1,Standards_Acceptance!$AL$44:$BP$44,FALSE))),"")</f>
        <v/>
      </c>
      <c r="W11" s="186" t="str">
        <f>IF(Active_Case="Res",IF(Standards_Sectors!T12="","",Standards_Sectors!T12),IF(Active_Case="Com",IF(Standards_Sectors!T51="","",Standards_Sectors!T51),IF(Active_Case="Ind",IF(Standards_Sectors!T90="","",Standards_Sectors!T90),IF(Active_Case="Out",IF(Standards_Sectors!T129="","",Standards_Sectors!T129)))))</f>
        <v/>
      </c>
      <c r="X11" s="186" t="str">
        <f>IF(Active_Case="Res",IF(Standards_Sectors!U12="","",Standards_Sectors!U12),IF(Active_Case="Com",IF(Standards_Sectors!U51="","",Standards_Sectors!U51),IF(Active_Case="Ind",IF(Standards_Sectors!U90="","",Standards_Sectors!U90),IF(Active_Case="Out",IF(Standards_Sectors!U129="","",Standards_Sectors!U129)))))</f>
        <v/>
      </c>
      <c r="Y11" s="186" t="str">
        <f>IF(Active_Case="Res",IF(Standards_Sectors!V12="","",Standards_Sectors!V12),IF(Active_Case="Com",IF(Standards_Sectors!V51="","",Standards_Sectors!V51),IF(Active_Case="Ind",IF(Standards_Sectors!V90="","",Standards_Sectors!V90),IF(Active_Case="Out",IF(Standards_Sectors!V129="","",Standards_Sectors!V129)))))</f>
        <v/>
      </c>
      <c r="Z11" s="186" t="str">
        <f>IF(Active_Case="Res",IF(Standards_Sectors!W12="","",Standards_Sectors!W12),IF(Active_Case="Com",IF(Standards_Sectors!W51="","",Standards_Sectors!W51),IF(Active_Case="Ind",IF(Standards_Sectors!W90="","",Standards_Sectors!W90),IF(Active_Case="Out",IF(Standards_Sectors!W129="","",Standards_Sectors!W129)))))</f>
        <v/>
      </c>
      <c r="AA11" s="186" t="str">
        <f>IF(Active_Case="Res",IF(Standards_Sectors!X12="","",Standards_Sectors!X12),IF(Active_Case="Com",IF(Standards_Sectors!X51="","",Standards_Sectors!X51),IF(Active_Case="Ind",IF(Standards_Sectors!X90="","",Standards_Sectors!X90),IF(Active_Case="Out",IF(Standards_Sectors!X129="","",Standards_Sectors!X129)))))</f>
        <v/>
      </c>
      <c r="AB11" s="186" t="str">
        <f>IF(Active_Case="Res",IF(Standards_Sectors!Y12="","",Standards_Sectors!Y12),IF(Active_Case="Com",IF(Standards_Sectors!Y51="","",Standards_Sectors!Y51),IF(Active_Case="Ind",IF(Standards_Sectors!Y90="","",Standards_Sectors!Y90),IF(Active_Case="Out",IF(Standards_Sectors!Y129="","",Standards_Sectors!Y129)))))</f>
        <v/>
      </c>
      <c r="AC11" s="186" t="str">
        <f>IF(Active_Case="Res",IF(Standards_Sectors!Z12="","",Standards_Sectors!Z12),IF(Active_Case="Com",IF(Standards_Sectors!Z51="","",Standards_Sectors!Z51),IF(Active_Case="Ind",IF(Standards_Sectors!Z90="","",Standards_Sectors!Z90),IF(Active_Case="Out",IF(Standards_Sectors!Z129="","",Standards_Sectors!Z129)))))</f>
        <v/>
      </c>
      <c r="AD11" s="607" t="str">
        <f>IF(Active_Case="Res",IF(Standards_Sectors!AA12="","",Standards_Sectors!AA12),IF(Active_Case="Com",IF(Standards_Sectors!AA51="","",Standards_Sectors!AA51),IF(Active_Case="Ind",IF(Standards_Sectors!AA90="","",Standards_Sectors!AA90),IF(Active_Case="Out",IF(Standards_Sectors!AA129="","",Standards_Sectors!AA129)))))</f>
        <v/>
      </c>
    </row>
    <row r="12" spans="1:76" ht="12.6" x14ac:dyDescent="0.25">
      <c r="B12" s="81" t="s">
        <v>27</v>
      </c>
      <c r="C12" s="606" t="str">
        <f>IF(Active_Case="Res",IF(Standards_Sectors!D13="","",Standards_Sectors!D13),IF(Active_Case="Com",IF(Standards_Sectors!D52="","",Standards_Sectors!D52),IF(Active_Case="Ind",IF(Standards_Sectors!D91="","",Standards_Sectors!D91),IF(Active_Case="Out",IF(Standards_Sectors!D130="","",Standards_Sectors!D130)))))</f>
        <v/>
      </c>
      <c r="D12" s="186" t="str">
        <f>IF(Active_Case="Res",IF(Standards_Sectors!E13="","",Standards_Sectors!E13),IF(Active_Case="Com",IF(Standards_Sectors!E52="","",Standards_Sectors!E52),IF(Active_Case="Ind",IF(Standards_Sectors!E91="","",Standards_Sectors!E91),IF(Active_Case="Out",IF(Standards_Sectors!E130="","",Standards_Sectors!E130)))))</f>
        <v/>
      </c>
      <c r="E12" s="186" t="str">
        <f>IF(Active_Case="Res",IF(Standards_Sectors!F13="","",Standards_Sectors!F13),IF(Active_Case="Com",IF(Standards_Sectors!F52="","",Standards_Sectors!F52),IF(Active_Case="Ind",IF(Standards_Sectors!F91="","",Standards_Sectors!F91),IF(Active_Case="Out",IF(Standards_Sectors!F130="","",Standards_Sectors!F130)))))</f>
        <v/>
      </c>
      <c r="F12" s="186" t="str">
        <f>IF(Active_Case="Res",IF(Standards_Sectors!G13="","",Standards_Sectors!G13),IF(Active_Case="Com",IF(Standards_Sectors!G52="","",Standards_Sectors!G52),IF(Active_Case="Ind",IF(Standards_Sectors!G91="","",Standards_Sectors!G91),IF(Active_Case="Out",IF(Standards_Sectors!G130="","",Standards_Sectors!G130)))))</f>
        <v/>
      </c>
      <c r="G12" s="186" t="str">
        <f>IF(ISNUMBER(F12),(1-F12*INDEX(Standards_Acceptance!$AL11:$BP11,1,MATCH(C12-1,Standards_Acceptance!$AL$7:$BP$7,FALSE)))/(D12-C12+1),"")</f>
        <v/>
      </c>
      <c r="H12" s="186" t="str">
        <f>IF(ISNUMBER(F12),F12*INDEX(Standards_Acceptance!$AL11:$BP11,1,MATCH(C12-1,Standards_Acceptance!$AL$7:$BP$7,FALSE)),"")</f>
        <v/>
      </c>
      <c r="I12" s="186" t="str">
        <f>IF(Active_Case="Res",IF(Standards_Sectors!H13="","",Standards_Sectors!H13),IF(Active_Case="Com",IF(Standards_Sectors!H52="","",Standards_Sectors!H52),IF(Active_Case="Ind",IF(Standards_Sectors!H91="","",Standards_Sectors!H91),IF(Active_Case="Out",IF(Standards_Sectors!H130="","",Standards_Sectors!H130)))))</f>
        <v/>
      </c>
      <c r="J12" s="186" t="str">
        <f>IF(Active_Case="Res",IF(Standards_Sectors!I13="","",Standards_Sectors!I13),IF(Active_Case="Com",IF(Standards_Sectors!I52="","",Standards_Sectors!I52),IF(Active_Case="Ind",IF(Standards_Sectors!I91="","",Standards_Sectors!I91),IF(Active_Case="Out",IF(Standards_Sectors!I130="","",Standards_Sectors!I130)))))</f>
        <v/>
      </c>
      <c r="K12" s="186" t="str">
        <f>IF(Active_Case="Res",IF(Standards_Sectors!J13="","",Standards_Sectors!J13),IF(Active_Case="Com",IF(Standards_Sectors!J52="","",Standards_Sectors!J52),IF(Active_Case="Ind",IF(Standards_Sectors!J91="","",Standards_Sectors!J91),IF(Active_Case="Out",IF(Standards_Sectors!J130="","",Standards_Sectors!J130)))))</f>
        <v/>
      </c>
      <c r="L12" s="186" t="str">
        <f>IF(Active_Case="Res",IF(Standards_Sectors!K13="","",Standards_Sectors!K13),IF(Active_Case="Com",IF(Standards_Sectors!K52="","",Standards_Sectors!K52),IF(Active_Case="Ind",IF(Standards_Sectors!K91="","",Standards_Sectors!K91),IF(Active_Case="Out",IF(Standards_Sectors!K130="","",Standards_Sectors!K130)))))</f>
        <v/>
      </c>
      <c r="M12" s="186" t="str">
        <f>IF(Active_Case="Res",IF(Standards_Sectors!L13="","",Standards_Sectors!L13),IF(Active_Case="Com",IF(Standards_Sectors!L52="","",Standards_Sectors!L52),IF(Active_Case="Ind",IF(Standards_Sectors!L91="","",Standards_Sectors!L91),IF(Active_Case="Out",IF(Standards_Sectors!L130="","",Standards_Sectors!L130)))))</f>
        <v/>
      </c>
      <c r="N12" s="186" t="str">
        <f>IF(Active_Case="Res",IF(Standards_Sectors!M13="","",Standards_Sectors!M13),IF(Active_Case="Com",IF(Standards_Sectors!M52="","",Standards_Sectors!M52),IF(Active_Case="Ind",IF(Standards_Sectors!M91="","",Standards_Sectors!M91),IF(Active_Case="Out",IF(Standards_Sectors!M130="","",Standards_Sectors!M130)))))</f>
        <v/>
      </c>
      <c r="O12" s="186" t="str">
        <f>IF(Active_Case="Res",IF(Standards_Sectors!N13="","",Standards_Sectors!N13),IF(Active_Case="Com",IF(Standards_Sectors!N52="","",Standards_Sectors!N52),IF(Active_Case="Ind",IF(Standards_Sectors!N91="","",Standards_Sectors!N91),IF(Active_Case="Out",IF(Standards_Sectors!N130="","",Standards_Sectors!N130)))))</f>
        <v/>
      </c>
      <c r="P12" s="607" t="str">
        <f>IF(Active_Case="Res",IF(Standards_Sectors!O13="","",Standards_Sectors!O13),IF(Active_Case="Com",IF(Standards_Sectors!O52="","",Standards_Sectors!O52),IF(Active_Case="Ind",IF(Standards_Sectors!O91="","",Standards_Sectors!O91),IF(Active_Case="Out",IF(Standards_Sectors!O130="","",Standards_Sectors!O130)))))</f>
        <v/>
      </c>
      <c r="Q12" s="606" t="str">
        <f>IF(Active_Case="Res",IF(Standards_Sectors!P13="","",Standards_Sectors!P13),IF(Active_Case="Com",IF(Standards_Sectors!P52="","",Standards_Sectors!P52),IF(Active_Case="Ind",IF(Standards_Sectors!P91="","",Standards_Sectors!P91),IF(Active_Case="Out",IF(Standards_Sectors!P130="","",Standards_Sectors!P130)))))</f>
        <v/>
      </c>
      <c r="R12" s="186" t="str">
        <f>IF(Active_Case="Res",IF(Standards_Sectors!Q13="","",Standards_Sectors!Q13),IF(Active_Case="Com",IF(Standards_Sectors!Q52="","",Standards_Sectors!Q52),IF(Active_Case="Ind",IF(Standards_Sectors!Q91="","",Standards_Sectors!Q91),IF(Active_Case="Out",IF(Standards_Sectors!Q130="","",Standards_Sectors!Q130)))))</f>
        <v/>
      </c>
      <c r="S12" s="186" t="str">
        <f>IF(Active_Case="Res",IF(Standards_Sectors!R13="","",Standards_Sectors!R13),IF(Active_Case="Com",IF(Standards_Sectors!R52="","",Standards_Sectors!R52),IF(Active_Case="Ind",IF(Standards_Sectors!R91="","",Standards_Sectors!R91),IF(Active_Case="Out",IF(Standards_Sectors!R130="","",Standards_Sectors!R130)))))</f>
        <v/>
      </c>
      <c r="T12" s="186" t="str">
        <f>IF(Active_Case="Res",IF(Standards_Sectors!S13="","",Standards_Sectors!S13),IF(Active_Case="Com",IF(Standards_Sectors!S52="","",Standards_Sectors!S52),IF(Active_Case="Ind",IF(Standards_Sectors!S91="","",Standards_Sectors!S91),IF(Active_Case="Out",IF(Standards_Sectors!S130="","",Standards_Sectors!S130)))))</f>
        <v/>
      </c>
      <c r="U12" s="186" t="str">
        <f>IF(ISNUMBER(T12),(1-T12*INDEX(Standards_Acceptance!$AL48:$BP48,1,MATCH(Q12-1,Standards_Acceptance!$AL$44:$BP$44,FALSE)))/(R12-Q12+1),"")</f>
        <v/>
      </c>
      <c r="V12" s="639" t="str">
        <f>IF(ISNUMBER(T12),IF(Q12&lt;2010,T12*Standards_Acceptance!CA48,T12*INDEX(Standards_Acceptance!$AL48:$BP48,1,MATCH(Q12-1,Standards_Acceptance!$AL$44:$BP$44,FALSE))),"")</f>
        <v/>
      </c>
      <c r="W12" s="186" t="str">
        <f>IF(Active_Case="Res",IF(Standards_Sectors!T13="","",Standards_Sectors!T13),IF(Active_Case="Com",IF(Standards_Sectors!T52="","",Standards_Sectors!T52),IF(Active_Case="Ind",IF(Standards_Sectors!T91="","",Standards_Sectors!T91),IF(Active_Case="Out",IF(Standards_Sectors!T130="","",Standards_Sectors!T130)))))</f>
        <v/>
      </c>
      <c r="X12" s="186" t="str">
        <f>IF(Active_Case="Res",IF(Standards_Sectors!U13="","",Standards_Sectors!U13),IF(Active_Case="Com",IF(Standards_Sectors!U52="","",Standards_Sectors!U52),IF(Active_Case="Ind",IF(Standards_Sectors!U91="","",Standards_Sectors!U91),IF(Active_Case="Out",IF(Standards_Sectors!U130="","",Standards_Sectors!U130)))))</f>
        <v/>
      </c>
      <c r="Y12" s="186" t="str">
        <f>IF(Active_Case="Res",IF(Standards_Sectors!V13="","",Standards_Sectors!V13),IF(Active_Case="Com",IF(Standards_Sectors!V52="","",Standards_Sectors!V52),IF(Active_Case="Ind",IF(Standards_Sectors!V91="","",Standards_Sectors!V91),IF(Active_Case="Out",IF(Standards_Sectors!V130="","",Standards_Sectors!V130)))))</f>
        <v/>
      </c>
      <c r="Z12" s="186" t="str">
        <f>IF(Active_Case="Res",IF(Standards_Sectors!W13="","",Standards_Sectors!W13),IF(Active_Case="Com",IF(Standards_Sectors!W52="","",Standards_Sectors!W52),IF(Active_Case="Ind",IF(Standards_Sectors!W91="","",Standards_Sectors!W91),IF(Active_Case="Out",IF(Standards_Sectors!W130="","",Standards_Sectors!W130)))))</f>
        <v/>
      </c>
      <c r="AA12" s="186" t="str">
        <f>IF(Active_Case="Res",IF(Standards_Sectors!X13="","",Standards_Sectors!X13),IF(Active_Case="Com",IF(Standards_Sectors!X52="","",Standards_Sectors!X52),IF(Active_Case="Ind",IF(Standards_Sectors!X91="","",Standards_Sectors!X91),IF(Active_Case="Out",IF(Standards_Sectors!X130="","",Standards_Sectors!X130)))))</f>
        <v/>
      </c>
      <c r="AB12" s="186" t="str">
        <f>IF(Active_Case="Res",IF(Standards_Sectors!Y13="","",Standards_Sectors!Y13),IF(Active_Case="Com",IF(Standards_Sectors!Y52="","",Standards_Sectors!Y52),IF(Active_Case="Ind",IF(Standards_Sectors!Y91="","",Standards_Sectors!Y91),IF(Active_Case="Out",IF(Standards_Sectors!Y130="","",Standards_Sectors!Y130)))))</f>
        <v/>
      </c>
      <c r="AC12" s="186" t="str">
        <f>IF(Active_Case="Res",IF(Standards_Sectors!Z13="","",Standards_Sectors!Z13),IF(Active_Case="Com",IF(Standards_Sectors!Z52="","",Standards_Sectors!Z52),IF(Active_Case="Ind",IF(Standards_Sectors!Z91="","",Standards_Sectors!Z91),IF(Active_Case="Out",IF(Standards_Sectors!Z130="","",Standards_Sectors!Z130)))))</f>
        <v/>
      </c>
      <c r="AD12" s="607" t="str">
        <f>IF(Active_Case="Res",IF(Standards_Sectors!AA13="","",Standards_Sectors!AA13),IF(Active_Case="Com",IF(Standards_Sectors!AA52="","",Standards_Sectors!AA52),IF(Active_Case="Ind",IF(Standards_Sectors!AA91="","",Standards_Sectors!AA91),IF(Active_Case="Out",IF(Standards_Sectors!AA130="","",Standards_Sectors!AA130)))))</f>
        <v/>
      </c>
    </row>
    <row r="13" spans="1:76" ht="12.6" x14ac:dyDescent="0.25">
      <c r="B13" s="81" t="s">
        <v>29</v>
      </c>
      <c r="C13" s="606" t="str">
        <f>IF(Active_Case="Res",IF(Standards_Sectors!D14="","",Standards_Sectors!D14),IF(Active_Case="Com",IF(Standards_Sectors!D53="","",Standards_Sectors!D53),IF(Active_Case="Ind",IF(Standards_Sectors!D92="","",Standards_Sectors!D92),IF(Active_Case="Out",IF(Standards_Sectors!D131="","",Standards_Sectors!D131)))))</f>
        <v/>
      </c>
      <c r="D13" s="186" t="str">
        <f>IF(Active_Case="Res",IF(Standards_Sectors!E14="","",Standards_Sectors!E14),IF(Active_Case="Com",IF(Standards_Sectors!E53="","",Standards_Sectors!E53),IF(Active_Case="Ind",IF(Standards_Sectors!E92="","",Standards_Sectors!E92),IF(Active_Case="Out",IF(Standards_Sectors!E131="","",Standards_Sectors!E131)))))</f>
        <v/>
      </c>
      <c r="E13" s="186" t="str">
        <f>IF(Active_Case="Res",IF(Standards_Sectors!F14="","",Standards_Sectors!F14),IF(Active_Case="Com",IF(Standards_Sectors!F53="","",Standards_Sectors!F53),IF(Active_Case="Ind",IF(Standards_Sectors!F92="","",Standards_Sectors!F92),IF(Active_Case="Out",IF(Standards_Sectors!F131="","",Standards_Sectors!F131)))))</f>
        <v/>
      </c>
      <c r="F13" s="186" t="str">
        <f>IF(Active_Case="Res",IF(Standards_Sectors!G14="","",Standards_Sectors!G14),IF(Active_Case="Com",IF(Standards_Sectors!G53="","",Standards_Sectors!G53),IF(Active_Case="Ind",IF(Standards_Sectors!G92="","",Standards_Sectors!G92),IF(Active_Case="Out",IF(Standards_Sectors!G131="","",Standards_Sectors!G131)))))</f>
        <v/>
      </c>
      <c r="G13" s="186" t="str">
        <f>IF(ISNUMBER(F13),(1-F13*INDEX(Standards_Acceptance!$AL12:$BP12,1,MATCH(C13-1,Standards_Acceptance!$AL$7:$BP$7,FALSE)))/(D13-C13+1),"")</f>
        <v/>
      </c>
      <c r="H13" s="186" t="str">
        <f>IF(ISNUMBER(F13),F13*INDEX(Standards_Acceptance!$AL12:$BP12,1,MATCH(C13-1,Standards_Acceptance!$AL$7:$BP$7,FALSE)),"")</f>
        <v/>
      </c>
      <c r="I13" s="186" t="str">
        <f>IF(Active_Case="Res",IF(Standards_Sectors!H14="","",Standards_Sectors!H14),IF(Active_Case="Com",IF(Standards_Sectors!H53="","",Standards_Sectors!H53),IF(Active_Case="Ind",IF(Standards_Sectors!H92="","",Standards_Sectors!H92),IF(Active_Case="Out",IF(Standards_Sectors!H131="","",Standards_Sectors!H131)))))</f>
        <v/>
      </c>
      <c r="J13" s="186" t="str">
        <f>IF(Active_Case="Res",IF(Standards_Sectors!I14="","",Standards_Sectors!I14),IF(Active_Case="Com",IF(Standards_Sectors!I53="","",Standards_Sectors!I53),IF(Active_Case="Ind",IF(Standards_Sectors!I92="","",Standards_Sectors!I92),IF(Active_Case="Out",IF(Standards_Sectors!I131="","",Standards_Sectors!I131)))))</f>
        <v/>
      </c>
      <c r="K13" s="186" t="str">
        <f>IF(Active_Case="Res",IF(Standards_Sectors!J14="","",Standards_Sectors!J14),IF(Active_Case="Com",IF(Standards_Sectors!J53="","",Standards_Sectors!J53),IF(Active_Case="Ind",IF(Standards_Sectors!J92="","",Standards_Sectors!J92),IF(Active_Case="Out",IF(Standards_Sectors!J131="","",Standards_Sectors!J131)))))</f>
        <v/>
      </c>
      <c r="L13" s="186" t="str">
        <f>IF(Active_Case="Res",IF(Standards_Sectors!K14="","",Standards_Sectors!K14),IF(Active_Case="Com",IF(Standards_Sectors!K53="","",Standards_Sectors!K53),IF(Active_Case="Ind",IF(Standards_Sectors!K92="","",Standards_Sectors!K92),IF(Active_Case="Out",IF(Standards_Sectors!K131="","",Standards_Sectors!K131)))))</f>
        <v/>
      </c>
      <c r="M13" s="186" t="str">
        <f>IF(Active_Case="Res",IF(Standards_Sectors!L14="","",Standards_Sectors!L14),IF(Active_Case="Com",IF(Standards_Sectors!L53="","",Standards_Sectors!L53),IF(Active_Case="Ind",IF(Standards_Sectors!L92="","",Standards_Sectors!L92),IF(Active_Case="Out",IF(Standards_Sectors!L131="","",Standards_Sectors!L131)))))</f>
        <v/>
      </c>
      <c r="N13" s="186" t="str">
        <f>IF(Active_Case="Res",IF(Standards_Sectors!M14="","",Standards_Sectors!M14),IF(Active_Case="Com",IF(Standards_Sectors!M53="","",Standards_Sectors!M53),IF(Active_Case="Ind",IF(Standards_Sectors!M92="","",Standards_Sectors!M92),IF(Active_Case="Out",IF(Standards_Sectors!M131="","",Standards_Sectors!M131)))))</f>
        <v/>
      </c>
      <c r="O13" s="186" t="str">
        <f>IF(Active_Case="Res",IF(Standards_Sectors!N14="","",Standards_Sectors!N14),IF(Active_Case="Com",IF(Standards_Sectors!N53="","",Standards_Sectors!N53),IF(Active_Case="Ind",IF(Standards_Sectors!N92="","",Standards_Sectors!N92),IF(Active_Case="Out",IF(Standards_Sectors!N131="","",Standards_Sectors!N131)))))</f>
        <v/>
      </c>
      <c r="P13" s="607" t="str">
        <f>IF(Active_Case="Res",IF(Standards_Sectors!O14="","",Standards_Sectors!O14),IF(Active_Case="Com",IF(Standards_Sectors!O53="","",Standards_Sectors!O53),IF(Active_Case="Ind",IF(Standards_Sectors!O92="","",Standards_Sectors!O92),IF(Active_Case="Out",IF(Standards_Sectors!O131="","",Standards_Sectors!O131)))))</f>
        <v/>
      </c>
      <c r="Q13" s="606" t="str">
        <f>IF(Active_Case="Res",IF(Standards_Sectors!P14="","",Standards_Sectors!P14),IF(Active_Case="Com",IF(Standards_Sectors!P53="","",Standards_Sectors!P53),IF(Active_Case="Ind",IF(Standards_Sectors!P92="","",Standards_Sectors!P92),IF(Active_Case="Out",IF(Standards_Sectors!P131="","",Standards_Sectors!P131)))))</f>
        <v/>
      </c>
      <c r="R13" s="186" t="str">
        <f>IF(Active_Case="Res",IF(Standards_Sectors!Q14="","",Standards_Sectors!Q14),IF(Active_Case="Com",IF(Standards_Sectors!Q53="","",Standards_Sectors!Q53),IF(Active_Case="Ind",IF(Standards_Sectors!Q92="","",Standards_Sectors!Q92),IF(Active_Case="Out",IF(Standards_Sectors!Q131="","",Standards_Sectors!Q131)))))</f>
        <v/>
      </c>
      <c r="S13" s="186" t="str">
        <f>IF(Active_Case="Res",IF(Standards_Sectors!R14="","",Standards_Sectors!R14),IF(Active_Case="Com",IF(Standards_Sectors!R53="","",Standards_Sectors!R53),IF(Active_Case="Ind",IF(Standards_Sectors!R92="","",Standards_Sectors!R92),IF(Active_Case="Out",IF(Standards_Sectors!R131="","",Standards_Sectors!R131)))))</f>
        <v/>
      </c>
      <c r="T13" s="186" t="str">
        <f>IF(Active_Case="Res",IF(Standards_Sectors!S14="","",Standards_Sectors!S14),IF(Active_Case="Com",IF(Standards_Sectors!S53="","",Standards_Sectors!S53),IF(Active_Case="Ind",IF(Standards_Sectors!S92="","",Standards_Sectors!S92),IF(Active_Case="Out",IF(Standards_Sectors!S131="","",Standards_Sectors!S131)))))</f>
        <v/>
      </c>
      <c r="U13" s="186" t="str">
        <f>IF(ISNUMBER(T13),(1-T13*INDEX(Standards_Acceptance!$AL49:$BP49,1,MATCH(Q13-1,Standards_Acceptance!$AL$44:$BP$44,FALSE)))/(R13-Q13+1),"")</f>
        <v/>
      </c>
      <c r="V13" s="639" t="str">
        <f>IF(ISNUMBER(T13),IF(Q13&lt;2010,T13*Standards_Acceptance!CA49,T13*INDEX(Standards_Acceptance!$AL49:$BP49,1,MATCH(Q13-1,Standards_Acceptance!$AL$44:$BP$44,FALSE))),"")</f>
        <v/>
      </c>
      <c r="W13" s="186" t="str">
        <f>IF(Active_Case="Res",IF(Standards_Sectors!T14="","",Standards_Sectors!T14),IF(Active_Case="Com",IF(Standards_Sectors!T53="","",Standards_Sectors!T53),IF(Active_Case="Ind",IF(Standards_Sectors!T92="","",Standards_Sectors!T92),IF(Active_Case="Out",IF(Standards_Sectors!T131="","",Standards_Sectors!T131)))))</f>
        <v/>
      </c>
      <c r="X13" s="186" t="str">
        <f>IF(Active_Case="Res",IF(Standards_Sectors!U14="","",Standards_Sectors!U14),IF(Active_Case="Com",IF(Standards_Sectors!U53="","",Standards_Sectors!U53),IF(Active_Case="Ind",IF(Standards_Sectors!U92="","",Standards_Sectors!U92),IF(Active_Case="Out",IF(Standards_Sectors!U131="","",Standards_Sectors!U131)))))</f>
        <v/>
      </c>
      <c r="Y13" s="186" t="str">
        <f>IF(Active_Case="Res",IF(Standards_Sectors!V14="","",Standards_Sectors!V14),IF(Active_Case="Com",IF(Standards_Sectors!V53="","",Standards_Sectors!V53),IF(Active_Case="Ind",IF(Standards_Sectors!V92="","",Standards_Sectors!V92),IF(Active_Case="Out",IF(Standards_Sectors!V131="","",Standards_Sectors!V131)))))</f>
        <v/>
      </c>
      <c r="Z13" s="186" t="str">
        <f>IF(Active_Case="Res",IF(Standards_Sectors!W14="","",Standards_Sectors!W14),IF(Active_Case="Com",IF(Standards_Sectors!W53="","",Standards_Sectors!W53),IF(Active_Case="Ind",IF(Standards_Sectors!W92="","",Standards_Sectors!W92),IF(Active_Case="Out",IF(Standards_Sectors!W131="","",Standards_Sectors!W131)))))</f>
        <v/>
      </c>
      <c r="AA13" s="186" t="str">
        <f>IF(Active_Case="Res",IF(Standards_Sectors!X14="","",Standards_Sectors!X14),IF(Active_Case="Com",IF(Standards_Sectors!X53="","",Standards_Sectors!X53),IF(Active_Case="Ind",IF(Standards_Sectors!X92="","",Standards_Sectors!X92),IF(Active_Case="Out",IF(Standards_Sectors!X131="","",Standards_Sectors!X131)))))</f>
        <v/>
      </c>
      <c r="AB13" s="186" t="str">
        <f>IF(Active_Case="Res",IF(Standards_Sectors!Y14="","",Standards_Sectors!Y14),IF(Active_Case="Com",IF(Standards_Sectors!Y53="","",Standards_Sectors!Y53),IF(Active_Case="Ind",IF(Standards_Sectors!Y92="","",Standards_Sectors!Y92),IF(Active_Case="Out",IF(Standards_Sectors!Y131="","",Standards_Sectors!Y131)))))</f>
        <v/>
      </c>
      <c r="AC13" s="186" t="str">
        <f>IF(Active_Case="Res",IF(Standards_Sectors!Z14="","",Standards_Sectors!Z14),IF(Active_Case="Com",IF(Standards_Sectors!Z53="","",Standards_Sectors!Z53),IF(Active_Case="Ind",IF(Standards_Sectors!Z92="","",Standards_Sectors!Z92),IF(Active_Case="Out",IF(Standards_Sectors!Z131="","",Standards_Sectors!Z131)))))</f>
        <v/>
      </c>
      <c r="AD13" s="607" t="str">
        <f>IF(Active_Case="Res",IF(Standards_Sectors!AA14="","",Standards_Sectors!AA14),IF(Active_Case="Com",IF(Standards_Sectors!AA53="","",Standards_Sectors!AA53),IF(Active_Case="Ind",IF(Standards_Sectors!AA92="","",Standards_Sectors!AA92),IF(Active_Case="Out",IF(Standards_Sectors!AA131="","",Standards_Sectors!AA131)))))</f>
        <v/>
      </c>
    </row>
    <row r="14" spans="1:76" ht="12.6" x14ac:dyDescent="0.25">
      <c r="C14" s="511"/>
      <c r="D14" s="382"/>
      <c r="E14" s="382"/>
      <c r="F14" s="382"/>
      <c r="G14" s="382"/>
      <c r="H14" s="382"/>
      <c r="I14" s="382"/>
      <c r="J14" s="382"/>
      <c r="K14" s="382"/>
      <c r="L14" s="414"/>
      <c r="M14" s="382"/>
      <c r="N14" s="382"/>
      <c r="O14" s="382"/>
      <c r="P14" s="410"/>
      <c r="Q14" s="511"/>
      <c r="R14" s="382"/>
      <c r="S14" s="382"/>
      <c r="T14" s="382"/>
      <c r="U14" s="382"/>
      <c r="V14" s="382"/>
      <c r="W14" s="382"/>
      <c r="X14" s="382"/>
      <c r="Y14" s="382"/>
      <c r="Z14" s="382"/>
      <c r="AA14" s="382"/>
      <c r="AB14" s="382"/>
      <c r="AC14" s="382"/>
      <c r="AD14" s="410"/>
    </row>
    <row r="15" spans="1:76" s="57" customFormat="1" ht="12.95" x14ac:dyDescent="0.3">
      <c r="A15" s="58" t="s">
        <v>32</v>
      </c>
      <c r="C15" s="558"/>
      <c r="D15" s="512"/>
      <c r="E15" s="512"/>
      <c r="F15" s="512"/>
      <c r="G15" s="512"/>
      <c r="H15" s="512"/>
      <c r="I15" s="512"/>
      <c r="J15" s="512"/>
      <c r="K15" s="512"/>
      <c r="L15" s="512"/>
      <c r="M15" s="512"/>
      <c r="N15" s="512"/>
      <c r="O15" s="512"/>
      <c r="P15" s="559"/>
      <c r="Q15" s="558"/>
      <c r="R15" s="512"/>
      <c r="S15" s="512"/>
      <c r="T15" s="512"/>
      <c r="U15" s="512"/>
      <c r="V15" s="512"/>
      <c r="W15" s="512"/>
      <c r="X15" s="512"/>
      <c r="Y15" s="512"/>
      <c r="Z15" s="512"/>
      <c r="AA15" s="512"/>
      <c r="AB15" s="512"/>
      <c r="AC15" s="512"/>
      <c r="AD15" s="559"/>
    </row>
    <row r="16" spans="1:76" ht="12.6" x14ac:dyDescent="0.25">
      <c r="B16" s="81" t="s">
        <v>33</v>
      </c>
      <c r="C16" s="606" t="str">
        <f>IF(Active_Case="Res",IF(Standards_Sectors!D17="","",Standards_Sectors!D17),IF(Active_Case="Com",IF(Standards_Sectors!D56="","",Standards_Sectors!D56),IF(Active_Case="Ind",IF(Standards_Sectors!D95="","",Standards_Sectors!D95),IF(Active_Case="Out",IF(Standards_Sectors!D134="","",Standards_Sectors!D134)))))</f>
        <v/>
      </c>
      <c r="D16" s="186" t="str">
        <f>IF(Active_Case="Res",IF(Standards_Sectors!E17="","",Standards_Sectors!E17),IF(Active_Case="Com",IF(Standards_Sectors!E56="","",Standards_Sectors!E56),IF(Active_Case="Ind",IF(Standards_Sectors!E95="","",Standards_Sectors!E95),IF(Active_Case="Out",IF(Standards_Sectors!E134="","",Standards_Sectors!E134)))))</f>
        <v/>
      </c>
      <c r="E16" s="186" t="str">
        <f>IF(Active_Case="Res",IF(Standards_Sectors!F17="","",Standards_Sectors!F17),IF(Active_Case="Com",IF(Standards_Sectors!F56="","",Standards_Sectors!F56),IF(Active_Case="Ind",IF(Standards_Sectors!F95="","",Standards_Sectors!F95),IF(Active_Case="Out",IF(Standards_Sectors!F134="","",Standards_Sectors!F134)))))</f>
        <v/>
      </c>
      <c r="F16" s="186" t="str">
        <f>IF(Active_Case="Res",IF(Standards_Sectors!G17="","",Standards_Sectors!G17),IF(Active_Case="Com",IF(Standards_Sectors!G56="","",Standards_Sectors!G56),IF(Active_Case="Ind",IF(Standards_Sectors!G95="","",Standards_Sectors!G95),IF(Active_Case="Out",IF(Standards_Sectors!G134="","",Standards_Sectors!G134)))))</f>
        <v/>
      </c>
      <c r="G16" s="186" t="str">
        <f>IF(ISNUMBER(F16),(1-F16*INDEX(Standards_Acceptance!$AL15:$BP15,1,MATCH(C16-1,Standards_Acceptance!$AL$7:$BP$7,FALSE)))/(D16-C16+1),"")</f>
        <v/>
      </c>
      <c r="H16" s="186" t="str">
        <f>IF(ISNUMBER(F16),F16*INDEX(Standards_Acceptance!$AL15:$BP15,1,MATCH(C16-1,Standards_Acceptance!$AL$7:$BP$7,FALSE)),"")</f>
        <v/>
      </c>
      <c r="I16" s="186" t="str">
        <f>IF(Active_Case="Res",IF(Standards_Sectors!H17="","",Standards_Sectors!H17),IF(Active_Case="Com",IF(Standards_Sectors!H56="","",Standards_Sectors!H56),IF(Active_Case="Ind",IF(Standards_Sectors!H95="","",Standards_Sectors!H95),IF(Active_Case="Out",IF(Standards_Sectors!H134="","",Standards_Sectors!H134)))))</f>
        <v/>
      </c>
      <c r="J16" s="186" t="str">
        <f>IF(Active_Case="Res",IF(Standards_Sectors!I17="","",Standards_Sectors!I17),IF(Active_Case="Com",IF(Standards_Sectors!I56="","",Standards_Sectors!I56),IF(Active_Case="Ind",IF(Standards_Sectors!I95="","",Standards_Sectors!I95),IF(Active_Case="Out",IF(Standards_Sectors!I134="","",Standards_Sectors!I134)))))</f>
        <v/>
      </c>
      <c r="K16" s="186" t="str">
        <f>IF(Active_Case="Res",IF(Standards_Sectors!J17="","",Standards_Sectors!J17),IF(Active_Case="Com",IF(Standards_Sectors!J56="","",Standards_Sectors!J56),IF(Active_Case="Ind",IF(Standards_Sectors!J95="","",Standards_Sectors!J95),IF(Active_Case="Out",IF(Standards_Sectors!J134="","",Standards_Sectors!J134)))))</f>
        <v/>
      </c>
      <c r="L16" s="186" t="str">
        <f>IF(Active_Case="Res",IF(Standards_Sectors!K17="","",Standards_Sectors!K17),IF(Active_Case="Com",IF(Standards_Sectors!K56="","",Standards_Sectors!K56),IF(Active_Case="Ind",IF(Standards_Sectors!K95="","",Standards_Sectors!K95),IF(Active_Case="Out",IF(Standards_Sectors!K134="","",Standards_Sectors!K134)))))</f>
        <v/>
      </c>
      <c r="M16" s="186" t="str">
        <f>IF(Active_Case="Res",IF(Standards_Sectors!L17="","",Standards_Sectors!L17),IF(Active_Case="Com",IF(Standards_Sectors!L56="","",Standards_Sectors!L56),IF(Active_Case="Ind",IF(Standards_Sectors!L95="","",Standards_Sectors!L95),IF(Active_Case="Out",IF(Standards_Sectors!L134="","",Standards_Sectors!L134)))))</f>
        <v/>
      </c>
      <c r="N16" s="186" t="str">
        <f>IF(Active_Case="Res",IF(Standards_Sectors!M17="","",Standards_Sectors!M17),IF(Active_Case="Com",IF(Standards_Sectors!M56="","",Standards_Sectors!M56),IF(Active_Case="Ind",IF(Standards_Sectors!M95="","",Standards_Sectors!M95),IF(Active_Case="Out",IF(Standards_Sectors!M134="","",Standards_Sectors!M134)))))</f>
        <v/>
      </c>
      <c r="O16" s="186" t="str">
        <f>IF(Active_Case="Res",IF(Standards_Sectors!N17="","",Standards_Sectors!N17),IF(Active_Case="Com",IF(Standards_Sectors!N56="","",Standards_Sectors!N56),IF(Active_Case="Ind",IF(Standards_Sectors!N95="","",Standards_Sectors!N95),IF(Active_Case="Out",IF(Standards_Sectors!N134="","",Standards_Sectors!N134)))))</f>
        <v/>
      </c>
      <c r="P16" s="607" t="str">
        <f>IF(Active_Case="Res",IF(Standards_Sectors!O17="","",Standards_Sectors!O17),IF(Active_Case="Com",IF(Standards_Sectors!O56="","",Standards_Sectors!O56),IF(Active_Case="Ind",IF(Standards_Sectors!O95="","",Standards_Sectors!O95),IF(Active_Case="Out",IF(Standards_Sectors!O134="","",Standards_Sectors!O134)))))</f>
        <v/>
      </c>
      <c r="Q16" s="606" t="str">
        <f>IF(Active_Case="Res",IF(Standards_Sectors!P17="","",Standards_Sectors!P17),IF(Active_Case="Com",IF(Standards_Sectors!P56="","",Standards_Sectors!P56),IF(Active_Case="Ind",IF(Standards_Sectors!P95="","",Standards_Sectors!P95),IF(Active_Case="Out",IF(Standards_Sectors!P134="","",Standards_Sectors!P134)))))</f>
        <v/>
      </c>
      <c r="R16" s="186" t="str">
        <f>IF(Active_Case="Res",IF(Standards_Sectors!Q17="","",Standards_Sectors!Q17),IF(Active_Case="Com",IF(Standards_Sectors!Q56="","",Standards_Sectors!Q56),IF(Active_Case="Ind",IF(Standards_Sectors!Q95="","",Standards_Sectors!Q95),IF(Active_Case="Out",IF(Standards_Sectors!Q134="","",Standards_Sectors!Q134)))))</f>
        <v/>
      </c>
      <c r="S16" s="186" t="str">
        <f>IF(Active_Case="Res",IF(Standards_Sectors!R17="","",Standards_Sectors!R17),IF(Active_Case="Com",IF(Standards_Sectors!R56="","",Standards_Sectors!R56),IF(Active_Case="Ind",IF(Standards_Sectors!R95="","",Standards_Sectors!R95),IF(Active_Case="Out",IF(Standards_Sectors!R134="","",Standards_Sectors!R134)))))</f>
        <v/>
      </c>
      <c r="T16" s="186" t="str">
        <f>IF(Active_Case="Res",IF(Standards_Sectors!S17="","",Standards_Sectors!S17),IF(Active_Case="Com",IF(Standards_Sectors!S56="","",Standards_Sectors!S56),IF(Active_Case="Ind",IF(Standards_Sectors!S95="","",Standards_Sectors!S95),IF(Active_Case="Out",IF(Standards_Sectors!S134="","",Standards_Sectors!S134)))))</f>
        <v/>
      </c>
      <c r="U16" s="186" t="str">
        <f>IF(ISNUMBER(T16),(1-T16*INDEX(Standards_Acceptance!$AL52:$BP52,1,MATCH(Q16-1,Standards_Acceptance!$AL$44:$BP$44,FALSE)))/(R16-Q16+1),"")</f>
        <v/>
      </c>
      <c r="V16" s="639" t="str">
        <f>IF(ISNUMBER(T16),IF(Q16&lt;2010,T16*Standards_Acceptance!CA52,T16*INDEX(Standards_Acceptance!$AL52:$BP52,1,MATCH(Q16-1,Standards_Acceptance!$AL$44:$BP$44,FALSE))),"")</f>
        <v/>
      </c>
      <c r="W16" s="186" t="str">
        <f>IF(Active_Case="Res",IF(Standards_Sectors!T17="","",Standards_Sectors!T17),IF(Active_Case="Com",IF(Standards_Sectors!T56="","",Standards_Sectors!T56),IF(Active_Case="Ind",IF(Standards_Sectors!T95="","",Standards_Sectors!T95),IF(Active_Case="Out",IF(Standards_Sectors!T134="","",Standards_Sectors!T134)))))</f>
        <v/>
      </c>
      <c r="X16" s="186" t="str">
        <f>IF(Active_Case="Res",IF(Standards_Sectors!U17="","",Standards_Sectors!U17),IF(Active_Case="Com",IF(Standards_Sectors!U56="","",Standards_Sectors!U56),IF(Active_Case="Ind",IF(Standards_Sectors!U95="","",Standards_Sectors!U95),IF(Active_Case="Out",IF(Standards_Sectors!U134="","",Standards_Sectors!U134)))))</f>
        <v/>
      </c>
      <c r="Y16" s="186" t="str">
        <f>IF(Active_Case="Res",IF(Standards_Sectors!V17="","",Standards_Sectors!V17),IF(Active_Case="Com",IF(Standards_Sectors!V56="","",Standards_Sectors!V56),IF(Active_Case="Ind",IF(Standards_Sectors!V95="","",Standards_Sectors!V95),IF(Active_Case="Out",IF(Standards_Sectors!V134="","",Standards_Sectors!V134)))))</f>
        <v/>
      </c>
      <c r="Z16" s="186" t="str">
        <f>IF(Active_Case="Res",IF(Standards_Sectors!W17="","",Standards_Sectors!W17),IF(Active_Case="Com",IF(Standards_Sectors!W56="","",Standards_Sectors!W56),IF(Active_Case="Ind",IF(Standards_Sectors!W95="","",Standards_Sectors!W95),IF(Active_Case="Out",IF(Standards_Sectors!W134="","",Standards_Sectors!W134)))))</f>
        <v/>
      </c>
      <c r="AA16" s="186" t="str">
        <f>IF(Active_Case="Res",IF(Standards_Sectors!X17="","",Standards_Sectors!X17),IF(Active_Case="Com",IF(Standards_Sectors!X56="","",Standards_Sectors!X56),IF(Active_Case="Ind",IF(Standards_Sectors!X95="","",Standards_Sectors!X95),IF(Active_Case="Out",IF(Standards_Sectors!X134="","",Standards_Sectors!X134)))))</f>
        <v/>
      </c>
      <c r="AB16" s="186" t="str">
        <f>IF(Active_Case="Res",IF(Standards_Sectors!Y17="","",Standards_Sectors!Y17),IF(Active_Case="Com",IF(Standards_Sectors!Y56="","",Standards_Sectors!Y56),IF(Active_Case="Ind",IF(Standards_Sectors!Y95="","",Standards_Sectors!Y95),IF(Active_Case="Out",IF(Standards_Sectors!Y134="","",Standards_Sectors!Y134)))))</f>
        <v/>
      </c>
      <c r="AC16" s="186" t="str">
        <f>IF(Active_Case="Res",IF(Standards_Sectors!Z17="","",Standards_Sectors!Z17),IF(Active_Case="Com",IF(Standards_Sectors!Z56="","",Standards_Sectors!Z56),IF(Active_Case="Ind",IF(Standards_Sectors!Z95="","",Standards_Sectors!Z95),IF(Active_Case="Out",IF(Standards_Sectors!Z134="","",Standards_Sectors!Z134)))))</f>
        <v/>
      </c>
      <c r="AD16" s="607" t="str">
        <f>IF(Active_Case="Res",IF(Standards_Sectors!AA17="","",Standards_Sectors!AA17),IF(Active_Case="Com",IF(Standards_Sectors!AA56="","",Standards_Sectors!AA56),IF(Active_Case="Ind",IF(Standards_Sectors!AA95="","",Standards_Sectors!AA95),IF(Active_Case="Out",IF(Standards_Sectors!AA134="","",Standards_Sectors!AA134)))))</f>
        <v/>
      </c>
    </row>
    <row r="17" spans="1:30" ht="12.6" x14ac:dyDescent="0.25">
      <c r="A17" s="101"/>
      <c r="B17" s="101" t="s">
        <v>34</v>
      </c>
      <c r="C17" s="606">
        <f>IF(Active_Case="Res",IF(Standards_Sectors!D18="","",Standards_Sectors!D18),IF(Active_Case="Com",IF(Standards_Sectors!D57="","",Standards_Sectors!D57),IF(Active_Case="Ind",IF(Standards_Sectors!D96="","",Standards_Sectors!D96),IF(Active_Case="Out",IF(Standards_Sectors!D135="","",Standards_Sectors!D135)))))</f>
        <v>2012</v>
      </c>
      <c r="D17" s="186">
        <f>IF(Active_Case="Res",IF(Standards_Sectors!E18="","",Standards_Sectors!E18),IF(Active_Case="Com",IF(Standards_Sectors!E57="","",Standards_Sectors!E57),IF(Active_Case="Ind",IF(Standards_Sectors!E96="","",Standards_Sectors!E96),IF(Active_Case="Out",IF(Standards_Sectors!E135="","",Standards_Sectors!E135)))))</f>
        <v>2014</v>
      </c>
      <c r="E17" s="186" t="str">
        <f>IF(Active_Case="Res",IF(Standards_Sectors!F18="","",Standards_Sectors!F18),IF(Active_Case="Com",IF(Standards_Sectors!F57="","",Standards_Sectors!F57),IF(Active_Case="Ind",IF(Standards_Sectors!F96="","",Standards_Sectors!F96),IF(Active_Case="Out",IF(Standards_Sectors!F135="","",Standards_Sectors!F135)))))</f>
        <v>Yes</v>
      </c>
      <c r="F17" s="186" t="str">
        <f>IF(Active_Case="Res",IF(Standards_Sectors!G18="","",Standards_Sectors!G18),IF(Active_Case="Com",IF(Standards_Sectors!G57="","",Standards_Sectors!G57),IF(Active_Case="Ind",IF(Standards_Sectors!G96="","",Standards_Sectors!G96),IF(Active_Case="Out",IF(Standards_Sectors!G135="","",Standards_Sectors!G135)))))</f>
        <v/>
      </c>
      <c r="G17" s="186" t="str">
        <f>IF(ISNUMBER(F17),(1-F17*INDEX(Standards_Acceptance!$AL16:$BP16,1,MATCH(C17-1,Standards_Acceptance!$AL$7:$BP$7,FALSE)))/(D17-C17+1),"")</f>
        <v/>
      </c>
      <c r="H17" s="186" t="str">
        <f>IF(ISNUMBER(F17),F17*INDEX(Standards_Acceptance!$AL16:$BP16,1,MATCH(C17-1,Standards_Acceptance!$AL$7:$BP$7,FALSE)),"")</f>
        <v/>
      </c>
      <c r="I17" s="186">
        <f>IF(Active_Case="Res",IF(Standards_Sectors!H18="","",Standards_Sectors!H18),IF(Active_Case="Com",IF(Standards_Sectors!H57="","",Standards_Sectors!H57),IF(Active_Case="Ind",IF(Standards_Sectors!H96="","",Standards_Sectors!H96),IF(Active_Case="Out",IF(Standards_Sectors!H135="","",Standards_Sectors!H135)))))</f>
        <v>17.407840173121894</v>
      </c>
      <c r="J17" s="186" t="str">
        <f>IF(Active_Case="Res",IF(Standards_Sectors!I18="","",Standards_Sectors!I18),IF(Active_Case="Com",IF(Standards_Sectors!I57="","",Standards_Sectors!I57),IF(Active_Case="Ind",IF(Standards_Sectors!I96="","",Standards_Sectors!I96),IF(Active_Case="Out",IF(Standards_Sectors!I135="","",Standards_Sectors!I135)))))</f>
        <v/>
      </c>
      <c r="K17" s="186">
        <f>IF(Active_Case="Res",IF(Standards_Sectors!J18="","",Standards_Sectors!J18),IF(Active_Case="Com",IF(Standards_Sectors!J57="","",Standards_Sectors!J57),IF(Active_Case="Ind",IF(Standards_Sectors!J96="","",Standards_Sectors!J96),IF(Active_Case="Out",IF(Standards_Sectors!J135="","",Standards_Sectors!J135)))))</f>
        <v>957.3900000000001</v>
      </c>
      <c r="L17" s="186" t="str">
        <f>IF(Active_Case="Res",IF(Standards_Sectors!K18="","",Standards_Sectors!K18),IF(Active_Case="Com",IF(Standards_Sectors!K57="","",Standards_Sectors!K57),IF(Active_Case="Ind",IF(Standards_Sectors!K96="","",Standards_Sectors!K96),IF(Active_Case="Out",IF(Standards_Sectors!K135="","",Standards_Sectors!K135)))))</f>
        <v/>
      </c>
      <c r="M17" s="186">
        <f>IF(Active_Case="Res",IF(Standards_Sectors!L18="","",Standards_Sectors!L18),IF(Active_Case="Com",IF(Standards_Sectors!L57="","",Standards_Sectors!L57),IF(Active_Case="Ind",IF(Standards_Sectors!L96="","",Standards_Sectors!L96),IF(Active_Case="Out",IF(Standards_Sectors!L135="","",Standards_Sectors!L135)))))</f>
        <v>7.34</v>
      </c>
      <c r="N17" s="186">
        <f>IF(Active_Case="Res",IF(Standards_Sectors!M18="","",Standards_Sectors!M18),IF(Active_Case="Com",IF(Standards_Sectors!M57="","",Standards_Sectors!M57),IF(Active_Case="Ind",IF(Standards_Sectors!M96="","",Standards_Sectors!M96),IF(Active_Case="Out",IF(Standards_Sectors!M135="","",Standards_Sectors!M135)))))</f>
        <v>5.0000000000000001E-3</v>
      </c>
      <c r="O17" s="186">
        <f>IF(Active_Case="Res",IF(Standards_Sectors!N18="","",Standards_Sectors!N18),IF(Active_Case="Com",IF(Standards_Sectors!N57="","",Standards_Sectors!N57),IF(Active_Case="Ind",IF(Standards_Sectors!N96="","",Standards_Sectors!N96),IF(Active_Case="Out",IF(Standards_Sectors!N135="","",Standards_Sectors!N135)))))</f>
        <v>-5.0000000000000001E-3</v>
      </c>
      <c r="P17" s="607" t="str">
        <f>IF(Active_Case="Res",IF(Standards_Sectors!O18="","",Standards_Sectors!O18),IF(Active_Case="Com",IF(Standards_Sectors!O57="","",Standards_Sectors!O57),IF(Active_Case="Ind",IF(Standards_Sectors!O96="","",Standards_Sectors!O96),IF(Active_Case="Out",IF(Standards_Sectors!O135="","",Standards_Sectors!O135)))))</f>
        <v>Eff = 5.9*New Wattage^0.27</v>
      </c>
      <c r="Q17" s="606" t="str">
        <f>IF(Active_Case="Res",IF(Standards_Sectors!P18="","",Standards_Sectors!P18),IF(Active_Case="Com",IF(Standards_Sectors!P57="","",Standards_Sectors!P57),IF(Active_Case="Ind",IF(Standards_Sectors!P96="","",Standards_Sectors!P96),IF(Active_Case="Out",IF(Standards_Sectors!P135="","",Standards_Sectors!P135)))))</f>
        <v/>
      </c>
      <c r="R17" s="186" t="str">
        <f>IF(Active_Case="Res",IF(Standards_Sectors!Q18="","",Standards_Sectors!Q18),IF(Active_Case="Com",IF(Standards_Sectors!Q57="","",Standards_Sectors!Q57),IF(Active_Case="Ind",IF(Standards_Sectors!Q96="","",Standards_Sectors!Q96),IF(Active_Case="Out",IF(Standards_Sectors!Q135="","",Standards_Sectors!Q135)))))</f>
        <v/>
      </c>
      <c r="S17" s="186" t="str">
        <f>IF(Active_Case="Res",IF(Standards_Sectors!R18="","",Standards_Sectors!R18),IF(Active_Case="Com",IF(Standards_Sectors!R57="","",Standards_Sectors!R57),IF(Active_Case="Ind",IF(Standards_Sectors!R96="","",Standards_Sectors!R96),IF(Active_Case="Out",IF(Standards_Sectors!R135="","",Standards_Sectors!R135)))))</f>
        <v/>
      </c>
      <c r="T17" s="186" t="str">
        <f>IF(Active_Case="Res",IF(Standards_Sectors!S18="","",Standards_Sectors!S18),IF(Active_Case="Com",IF(Standards_Sectors!S57="","",Standards_Sectors!S57),IF(Active_Case="Ind",IF(Standards_Sectors!S96="","",Standards_Sectors!S96),IF(Active_Case="Out",IF(Standards_Sectors!S135="","",Standards_Sectors!S135)))))</f>
        <v/>
      </c>
      <c r="U17" s="186" t="str">
        <f>IF(ISNUMBER(T17),(1-T17*INDEX(Standards_Acceptance!$AL53:$BP53,1,MATCH(Q17-1,Standards_Acceptance!$AL$44:$BP$44,FALSE)))/(R17-Q17+1),"")</f>
        <v/>
      </c>
      <c r="V17" s="639" t="str">
        <f>IF(ISNUMBER(T17),IF(Q17&lt;2010,T17*Standards_Acceptance!CA53,T17*INDEX(Standards_Acceptance!$AL53:$BP53,1,MATCH(Q17-1,Standards_Acceptance!$AL$44:$BP$44,FALSE))),"")</f>
        <v/>
      </c>
      <c r="W17" s="186" t="str">
        <f>IF(Active_Case="Res",IF(Standards_Sectors!T18="","",Standards_Sectors!T18),IF(Active_Case="Com",IF(Standards_Sectors!T57="","",Standards_Sectors!T57),IF(Active_Case="Ind",IF(Standards_Sectors!T96="","",Standards_Sectors!T96),IF(Active_Case="Out",IF(Standards_Sectors!T135="","",Standards_Sectors!T135)))))</f>
        <v/>
      </c>
      <c r="X17" s="186" t="str">
        <f>IF(Active_Case="Res",IF(Standards_Sectors!U18="","",Standards_Sectors!U18),IF(Active_Case="Com",IF(Standards_Sectors!U57="","",Standards_Sectors!U57),IF(Active_Case="Ind",IF(Standards_Sectors!U96="","",Standards_Sectors!U96),IF(Active_Case="Out",IF(Standards_Sectors!U135="","",Standards_Sectors!U135)))))</f>
        <v/>
      </c>
      <c r="Y17" s="186" t="str">
        <f>IF(Active_Case="Res",IF(Standards_Sectors!V18="","",Standards_Sectors!V18),IF(Active_Case="Com",IF(Standards_Sectors!V57="","",Standards_Sectors!V57),IF(Active_Case="Ind",IF(Standards_Sectors!V96="","",Standards_Sectors!V96),IF(Active_Case="Out",IF(Standards_Sectors!V135="","",Standards_Sectors!V135)))))</f>
        <v/>
      </c>
      <c r="Z17" s="186" t="str">
        <f>IF(Active_Case="Res",IF(Standards_Sectors!W18="","",Standards_Sectors!W18),IF(Active_Case="Com",IF(Standards_Sectors!W57="","",Standards_Sectors!W57),IF(Active_Case="Ind",IF(Standards_Sectors!W96="","",Standards_Sectors!W96),IF(Active_Case="Out",IF(Standards_Sectors!W135="","",Standards_Sectors!W135)))))</f>
        <v/>
      </c>
      <c r="AA17" s="186" t="str">
        <f>IF(Active_Case="Res",IF(Standards_Sectors!X18="","",Standards_Sectors!X18),IF(Active_Case="Com",IF(Standards_Sectors!X57="","",Standards_Sectors!X57),IF(Active_Case="Ind",IF(Standards_Sectors!X96="","",Standards_Sectors!X96),IF(Active_Case="Out",IF(Standards_Sectors!X135="","",Standards_Sectors!X135)))))</f>
        <v/>
      </c>
      <c r="AB17" s="186" t="str">
        <f>IF(Active_Case="Res",IF(Standards_Sectors!Y18="","",Standards_Sectors!Y18),IF(Active_Case="Com",IF(Standards_Sectors!Y57="","",Standards_Sectors!Y57),IF(Active_Case="Ind",IF(Standards_Sectors!Y96="","",Standards_Sectors!Y96),IF(Active_Case="Out",IF(Standards_Sectors!Y135="","",Standards_Sectors!Y135)))))</f>
        <v/>
      </c>
      <c r="AC17" s="186" t="str">
        <f>IF(Active_Case="Res",IF(Standards_Sectors!Z18="","",Standards_Sectors!Z18),IF(Active_Case="Com",IF(Standards_Sectors!Z57="","",Standards_Sectors!Z57),IF(Active_Case="Ind",IF(Standards_Sectors!Z96="","",Standards_Sectors!Z96),IF(Active_Case="Out",IF(Standards_Sectors!Z135="","",Standards_Sectors!Z135)))))</f>
        <v/>
      </c>
      <c r="AD17" s="607" t="str">
        <f>IF(Active_Case="Res",IF(Standards_Sectors!AA18="","",Standards_Sectors!AA18),IF(Active_Case="Com",IF(Standards_Sectors!AA57="","",Standards_Sectors!AA57),IF(Active_Case="Ind",IF(Standards_Sectors!AA96="","",Standards_Sectors!AA96),IF(Active_Case="Out",IF(Standards_Sectors!AA135="","",Standards_Sectors!AA135)))))</f>
        <v/>
      </c>
    </row>
    <row r="18" spans="1:30" ht="12.6" x14ac:dyDescent="0.25">
      <c r="B18" s="101" t="s">
        <v>35</v>
      </c>
      <c r="C18" s="606" t="str">
        <f>IF(Active_Case="Res",IF(Standards_Sectors!D19="","",Standards_Sectors!D19),IF(Active_Case="Com",IF(Standards_Sectors!D58="","",Standards_Sectors!D58),IF(Active_Case="Ind",IF(Standards_Sectors!D97="","",Standards_Sectors!D97),IF(Active_Case="Out",IF(Standards_Sectors!D136="","",Standards_Sectors!D136)))))</f>
        <v/>
      </c>
      <c r="D18" s="186" t="str">
        <f>IF(Active_Case="Res",IF(Standards_Sectors!E19="","",Standards_Sectors!E19),IF(Active_Case="Com",IF(Standards_Sectors!E58="","",Standards_Sectors!E58),IF(Active_Case="Ind",IF(Standards_Sectors!E97="","",Standards_Sectors!E97),IF(Active_Case="Out",IF(Standards_Sectors!E136="","",Standards_Sectors!E136)))))</f>
        <v/>
      </c>
      <c r="E18" s="186" t="str">
        <f>IF(Active_Case="Res",IF(Standards_Sectors!F19="","",Standards_Sectors!F19),IF(Active_Case="Com",IF(Standards_Sectors!F58="","",Standards_Sectors!F58),IF(Active_Case="Ind",IF(Standards_Sectors!F97="","",Standards_Sectors!F97),IF(Active_Case="Out",IF(Standards_Sectors!F136="","",Standards_Sectors!F136)))))</f>
        <v/>
      </c>
      <c r="F18" s="186" t="str">
        <f>IF(Active_Case="Res",IF(Standards_Sectors!G19="","",Standards_Sectors!G19),IF(Active_Case="Com",IF(Standards_Sectors!G58="","",Standards_Sectors!G58),IF(Active_Case="Ind",IF(Standards_Sectors!G97="","",Standards_Sectors!G97),IF(Active_Case="Out",IF(Standards_Sectors!G136="","",Standards_Sectors!G136)))))</f>
        <v/>
      </c>
      <c r="G18" s="186" t="str">
        <f>IF(ISNUMBER(F18),(1-F18*INDEX(Standards_Acceptance!$AL17:$BP17,1,MATCH(C18-1,Standards_Acceptance!$AL$7:$BP$7,FALSE)))/(D18-C18+1),"")</f>
        <v/>
      </c>
      <c r="H18" s="186" t="str">
        <f>IF(ISNUMBER(F18),F18*INDEX(Standards_Acceptance!$AL17:$BP17,1,MATCH(C18-1,Standards_Acceptance!$AL$7:$BP$7,FALSE)),"")</f>
        <v/>
      </c>
      <c r="I18" s="186" t="str">
        <f>IF(Active_Case="Res",IF(Standards_Sectors!H19="","",Standards_Sectors!H19),IF(Active_Case="Com",IF(Standards_Sectors!H58="","",Standards_Sectors!H58),IF(Active_Case="Ind",IF(Standards_Sectors!H97="","",Standards_Sectors!H97),IF(Active_Case="Out",IF(Standards_Sectors!H136="","",Standards_Sectors!H136)))))</f>
        <v/>
      </c>
      <c r="J18" s="186" t="str">
        <f>IF(Active_Case="Res",IF(Standards_Sectors!I19="","",Standards_Sectors!I19),IF(Active_Case="Com",IF(Standards_Sectors!I58="","",Standards_Sectors!I58),IF(Active_Case="Ind",IF(Standards_Sectors!I97="","",Standards_Sectors!I97),IF(Active_Case="Out",IF(Standards_Sectors!I136="","",Standards_Sectors!I136)))))</f>
        <v/>
      </c>
      <c r="K18" s="186" t="str">
        <f>IF(Active_Case="Res",IF(Standards_Sectors!J19="","",Standards_Sectors!J19),IF(Active_Case="Com",IF(Standards_Sectors!J58="","",Standards_Sectors!J58),IF(Active_Case="Ind",IF(Standards_Sectors!J97="","",Standards_Sectors!J97),IF(Active_Case="Out",IF(Standards_Sectors!J136="","",Standards_Sectors!J136)))))</f>
        <v/>
      </c>
      <c r="L18" s="186" t="str">
        <f>IF(Active_Case="Res",IF(Standards_Sectors!K19="","",Standards_Sectors!K19),IF(Active_Case="Com",IF(Standards_Sectors!K58="","",Standards_Sectors!K58),IF(Active_Case="Ind",IF(Standards_Sectors!K97="","",Standards_Sectors!K97),IF(Active_Case="Out",IF(Standards_Sectors!K136="","",Standards_Sectors!K136)))))</f>
        <v/>
      </c>
      <c r="M18" s="186" t="str">
        <f>IF(Active_Case="Res",IF(Standards_Sectors!L19="","",Standards_Sectors!L19),IF(Active_Case="Com",IF(Standards_Sectors!L58="","",Standards_Sectors!L58),IF(Active_Case="Ind",IF(Standards_Sectors!L97="","",Standards_Sectors!L97),IF(Active_Case="Out",IF(Standards_Sectors!L136="","",Standards_Sectors!L136)))))</f>
        <v/>
      </c>
      <c r="N18" s="186" t="str">
        <f>IF(Active_Case="Res",IF(Standards_Sectors!M19="","",Standards_Sectors!M19),IF(Active_Case="Com",IF(Standards_Sectors!M58="","",Standards_Sectors!M58),IF(Active_Case="Ind",IF(Standards_Sectors!M97="","",Standards_Sectors!M97),IF(Active_Case="Out",IF(Standards_Sectors!M136="","",Standards_Sectors!M136)))))</f>
        <v/>
      </c>
      <c r="O18" s="186" t="str">
        <f>IF(Active_Case="Res",IF(Standards_Sectors!N19="","",Standards_Sectors!N19),IF(Active_Case="Com",IF(Standards_Sectors!N58="","",Standards_Sectors!N58),IF(Active_Case="Ind",IF(Standards_Sectors!N97="","",Standards_Sectors!N97),IF(Active_Case="Out",IF(Standards_Sectors!N136="","",Standards_Sectors!N136)))))</f>
        <v/>
      </c>
      <c r="P18" s="607" t="str">
        <f>IF(Active_Case="Res",IF(Standards_Sectors!O19="","",Standards_Sectors!O19),IF(Active_Case="Com",IF(Standards_Sectors!O58="","",Standards_Sectors!O58),IF(Active_Case="Ind",IF(Standards_Sectors!O97="","",Standards_Sectors!O97),IF(Active_Case="Out",IF(Standards_Sectors!O136="","",Standards_Sectors!O136)))))</f>
        <v/>
      </c>
      <c r="Q18" s="606" t="str">
        <f>IF(Active_Case="Res",IF(Standards_Sectors!P19="","",Standards_Sectors!P19),IF(Active_Case="Com",IF(Standards_Sectors!P58="","",Standards_Sectors!P58),IF(Active_Case="Ind",IF(Standards_Sectors!P97="","",Standards_Sectors!P97),IF(Active_Case="Out",IF(Standards_Sectors!P136="","",Standards_Sectors!P136)))))</f>
        <v/>
      </c>
      <c r="R18" s="186" t="str">
        <f>IF(Active_Case="Res",IF(Standards_Sectors!Q19="","",Standards_Sectors!Q19),IF(Active_Case="Com",IF(Standards_Sectors!Q58="","",Standards_Sectors!Q58),IF(Active_Case="Ind",IF(Standards_Sectors!Q97="","",Standards_Sectors!Q97),IF(Active_Case="Out",IF(Standards_Sectors!Q136="","",Standards_Sectors!Q136)))))</f>
        <v/>
      </c>
      <c r="S18" s="186" t="str">
        <f>IF(Active_Case="Res",IF(Standards_Sectors!R19="","",Standards_Sectors!R19),IF(Active_Case="Com",IF(Standards_Sectors!R58="","",Standards_Sectors!R58),IF(Active_Case="Ind",IF(Standards_Sectors!R97="","",Standards_Sectors!R97),IF(Active_Case="Out",IF(Standards_Sectors!R136="","",Standards_Sectors!R136)))))</f>
        <v/>
      </c>
      <c r="T18" s="186" t="str">
        <f>IF(Active_Case="Res",IF(Standards_Sectors!S19="","",Standards_Sectors!S19),IF(Active_Case="Com",IF(Standards_Sectors!S58="","",Standards_Sectors!S58),IF(Active_Case="Ind",IF(Standards_Sectors!S97="","",Standards_Sectors!S97),IF(Active_Case="Out",IF(Standards_Sectors!S136="","",Standards_Sectors!S136)))))</f>
        <v/>
      </c>
      <c r="U18" s="186" t="str">
        <f>IF(ISNUMBER(T18),(1-T18*INDEX(Standards_Acceptance!$AL54:$BP54,1,MATCH(Q18-1,Standards_Acceptance!$AL$44:$BP$44,FALSE)))/(R18-Q18+1),"")</f>
        <v/>
      </c>
      <c r="V18" s="639" t="str">
        <f>IF(ISNUMBER(T18),IF(Q18&lt;2010,T18*Standards_Acceptance!CA54,T18*INDEX(Standards_Acceptance!$AL54:$BP54,1,MATCH(Q18-1,Standards_Acceptance!$AL$44:$BP$44,FALSE))),"")</f>
        <v/>
      </c>
      <c r="W18" s="186" t="str">
        <f>IF(Active_Case="Res",IF(Standards_Sectors!T19="","",Standards_Sectors!T19),IF(Active_Case="Com",IF(Standards_Sectors!T58="","",Standards_Sectors!T58),IF(Active_Case="Ind",IF(Standards_Sectors!T97="","",Standards_Sectors!T97),IF(Active_Case="Out",IF(Standards_Sectors!T136="","",Standards_Sectors!T136)))))</f>
        <v/>
      </c>
      <c r="X18" s="186" t="str">
        <f>IF(Active_Case="Res",IF(Standards_Sectors!U19="","",Standards_Sectors!U19),IF(Active_Case="Com",IF(Standards_Sectors!U58="","",Standards_Sectors!U58),IF(Active_Case="Ind",IF(Standards_Sectors!U97="","",Standards_Sectors!U97),IF(Active_Case="Out",IF(Standards_Sectors!U136="","",Standards_Sectors!U136)))))</f>
        <v/>
      </c>
      <c r="Y18" s="186" t="str">
        <f>IF(Active_Case="Res",IF(Standards_Sectors!V19="","",Standards_Sectors!V19),IF(Active_Case="Com",IF(Standards_Sectors!V58="","",Standards_Sectors!V58),IF(Active_Case="Ind",IF(Standards_Sectors!V97="","",Standards_Sectors!V97),IF(Active_Case="Out",IF(Standards_Sectors!V136="","",Standards_Sectors!V136)))))</f>
        <v/>
      </c>
      <c r="Z18" s="186" t="str">
        <f>IF(Active_Case="Res",IF(Standards_Sectors!W19="","",Standards_Sectors!W19),IF(Active_Case="Com",IF(Standards_Sectors!W58="","",Standards_Sectors!W58),IF(Active_Case="Ind",IF(Standards_Sectors!W97="","",Standards_Sectors!W97),IF(Active_Case="Out",IF(Standards_Sectors!W136="","",Standards_Sectors!W136)))))</f>
        <v/>
      </c>
      <c r="AA18" s="186" t="str">
        <f>IF(Active_Case="Res",IF(Standards_Sectors!X19="","",Standards_Sectors!X19),IF(Active_Case="Com",IF(Standards_Sectors!X58="","",Standards_Sectors!X58),IF(Active_Case="Ind",IF(Standards_Sectors!X97="","",Standards_Sectors!X97),IF(Active_Case="Out",IF(Standards_Sectors!X136="","",Standards_Sectors!X136)))))</f>
        <v/>
      </c>
      <c r="AB18" s="186" t="str">
        <f>IF(Active_Case="Res",IF(Standards_Sectors!Y19="","",Standards_Sectors!Y19),IF(Active_Case="Com",IF(Standards_Sectors!Y58="","",Standards_Sectors!Y58),IF(Active_Case="Ind",IF(Standards_Sectors!Y97="","",Standards_Sectors!Y97),IF(Active_Case="Out",IF(Standards_Sectors!Y136="","",Standards_Sectors!Y136)))))</f>
        <v/>
      </c>
      <c r="AC18" s="186" t="str">
        <f>IF(Active_Case="Res",IF(Standards_Sectors!Z19="","",Standards_Sectors!Z19),IF(Active_Case="Com",IF(Standards_Sectors!Z58="","",Standards_Sectors!Z58),IF(Active_Case="Ind",IF(Standards_Sectors!Z97="","",Standards_Sectors!Z97),IF(Active_Case="Out",IF(Standards_Sectors!Z136="","",Standards_Sectors!Z136)))))</f>
        <v/>
      </c>
      <c r="AD18" s="607" t="str">
        <f>IF(Active_Case="Res",IF(Standards_Sectors!AA19="","",Standards_Sectors!AA19),IF(Active_Case="Com",IF(Standards_Sectors!AA58="","",Standards_Sectors!AA58),IF(Active_Case="Ind",IF(Standards_Sectors!AA97="","",Standards_Sectors!AA97),IF(Active_Case="Out",IF(Standards_Sectors!AA136="","",Standards_Sectors!AA136)))))</f>
        <v/>
      </c>
    </row>
    <row r="19" spans="1:30" ht="12.6" x14ac:dyDescent="0.25">
      <c r="B19" s="101" t="s">
        <v>29</v>
      </c>
      <c r="C19" s="606" t="str">
        <f>IF(Active_Case="Res",IF(Standards_Sectors!D20="","",Standards_Sectors!D20),IF(Active_Case="Com",IF(Standards_Sectors!D59="","",Standards_Sectors!D59),IF(Active_Case="Ind",IF(Standards_Sectors!D98="","",Standards_Sectors!D98),IF(Active_Case="Out",IF(Standards_Sectors!D137="","",Standards_Sectors!D137)))))</f>
        <v/>
      </c>
      <c r="D19" s="186" t="str">
        <f>IF(Active_Case="Res",IF(Standards_Sectors!E20="","",Standards_Sectors!E20),IF(Active_Case="Com",IF(Standards_Sectors!E59="","",Standards_Sectors!E59),IF(Active_Case="Ind",IF(Standards_Sectors!E98="","",Standards_Sectors!E98),IF(Active_Case="Out",IF(Standards_Sectors!E137="","",Standards_Sectors!E137)))))</f>
        <v/>
      </c>
      <c r="E19" s="186" t="str">
        <f>IF(Active_Case="Res",IF(Standards_Sectors!F20="","",Standards_Sectors!F20),IF(Active_Case="Com",IF(Standards_Sectors!F59="","",Standards_Sectors!F59),IF(Active_Case="Ind",IF(Standards_Sectors!F98="","",Standards_Sectors!F98),IF(Active_Case="Out",IF(Standards_Sectors!F137="","",Standards_Sectors!F137)))))</f>
        <v/>
      </c>
      <c r="F19" s="186" t="str">
        <f>IF(Active_Case="Res",IF(Standards_Sectors!G20="","",Standards_Sectors!G20),IF(Active_Case="Com",IF(Standards_Sectors!G59="","",Standards_Sectors!G59),IF(Active_Case="Ind",IF(Standards_Sectors!G98="","",Standards_Sectors!G98),IF(Active_Case="Out",IF(Standards_Sectors!G137="","",Standards_Sectors!G137)))))</f>
        <v/>
      </c>
      <c r="G19" s="186" t="str">
        <f>IF(ISNUMBER(F19),(1-F19*INDEX(Standards_Acceptance!$AL18:$BP18,1,MATCH(C19-1,Standards_Acceptance!$AL$7:$BP$7,FALSE)))/(D19-C19+1),"")</f>
        <v/>
      </c>
      <c r="H19" s="186" t="str">
        <f>IF(ISNUMBER(F19),F19*INDEX(Standards_Acceptance!$AL18:$BP18,1,MATCH(C19-1,Standards_Acceptance!$AL$7:$BP$7,FALSE)),"")</f>
        <v/>
      </c>
      <c r="I19" s="186" t="str">
        <f>IF(Active_Case="Res",IF(Standards_Sectors!H20="","",Standards_Sectors!H20),IF(Active_Case="Com",IF(Standards_Sectors!H59="","",Standards_Sectors!H59),IF(Active_Case="Ind",IF(Standards_Sectors!H98="","",Standards_Sectors!H98),IF(Active_Case="Out",IF(Standards_Sectors!H137="","",Standards_Sectors!H137)))))</f>
        <v/>
      </c>
      <c r="J19" s="186" t="str">
        <f>IF(Active_Case="Res",IF(Standards_Sectors!I20="","",Standards_Sectors!I20),IF(Active_Case="Com",IF(Standards_Sectors!I59="","",Standards_Sectors!I59),IF(Active_Case="Ind",IF(Standards_Sectors!I98="","",Standards_Sectors!I98),IF(Active_Case="Out",IF(Standards_Sectors!I137="","",Standards_Sectors!I137)))))</f>
        <v/>
      </c>
      <c r="K19" s="186" t="str">
        <f>IF(Active_Case="Res",IF(Standards_Sectors!J20="","",Standards_Sectors!J20),IF(Active_Case="Com",IF(Standards_Sectors!J59="","",Standards_Sectors!J59),IF(Active_Case="Ind",IF(Standards_Sectors!J98="","",Standards_Sectors!J98),IF(Active_Case="Out",IF(Standards_Sectors!J137="","",Standards_Sectors!J137)))))</f>
        <v/>
      </c>
      <c r="L19" s="186" t="str">
        <f>IF(Active_Case="Res",IF(Standards_Sectors!K20="","",Standards_Sectors!K20),IF(Active_Case="Com",IF(Standards_Sectors!K59="","",Standards_Sectors!K59),IF(Active_Case="Ind",IF(Standards_Sectors!K98="","",Standards_Sectors!K98),IF(Active_Case="Out",IF(Standards_Sectors!K137="","",Standards_Sectors!K137)))))</f>
        <v/>
      </c>
      <c r="M19" s="186" t="str">
        <f>IF(Active_Case="Res",IF(Standards_Sectors!L20="","",Standards_Sectors!L20),IF(Active_Case="Com",IF(Standards_Sectors!L59="","",Standards_Sectors!L59),IF(Active_Case="Ind",IF(Standards_Sectors!L98="","",Standards_Sectors!L98),IF(Active_Case="Out",IF(Standards_Sectors!L137="","",Standards_Sectors!L137)))))</f>
        <v/>
      </c>
      <c r="N19" s="186" t="str">
        <f>IF(Active_Case="Res",IF(Standards_Sectors!M20="","",Standards_Sectors!M20),IF(Active_Case="Com",IF(Standards_Sectors!M59="","",Standards_Sectors!M59),IF(Active_Case="Ind",IF(Standards_Sectors!M98="","",Standards_Sectors!M98),IF(Active_Case="Out",IF(Standards_Sectors!M137="","",Standards_Sectors!M137)))))</f>
        <v/>
      </c>
      <c r="O19" s="186" t="str">
        <f>IF(Active_Case="Res",IF(Standards_Sectors!N20="","",Standards_Sectors!N20),IF(Active_Case="Com",IF(Standards_Sectors!N59="","",Standards_Sectors!N59),IF(Active_Case="Ind",IF(Standards_Sectors!N98="","",Standards_Sectors!N98),IF(Active_Case="Out",IF(Standards_Sectors!N137="","",Standards_Sectors!N137)))))</f>
        <v/>
      </c>
      <c r="P19" s="607" t="str">
        <f>IF(Active_Case="Res",IF(Standards_Sectors!O20="","",Standards_Sectors!O20),IF(Active_Case="Com",IF(Standards_Sectors!O59="","",Standards_Sectors!O59),IF(Active_Case="Ind",IF(Standards_Sectors!O98="","",Standards_Sectors!O98),IF(Active_Case="Out",IF(Standards_Sectors!O137="","",Standards_Sectors!O137)))))</f>
        <v/>
      </c>
      <c r="Q19" s="606" t="str">
        <f>IF(Active_Case="Res",IF(Standards_Sectors!P20="","",Standards_Sectors!P20),IF(Active_Case="Com",IF(Standards_Sectors!P59="","",Standards_Sectors!P59),IF(Active_Case="Ind",IF(Standards_Sectors!P98="","",Standards_Sectors!P98),IF(Active_Case="Out",IF(Standards_Sectors!P137="","",Standards_Sectors!P137)))))</f>
        <v/>
      </c>
      <c r="R19" s="186" t="str">
        <f>IF(Active_Case="Res",IF(Standards_Sectors!Q20="","",Standards_Sectors!Q20),IF(Active_Case="Com",IF(Standards_Sectors!Q59="","",Standards_Sectors!Q59),IF(Active_Case="Ind",IF(Standards_Sectors!Q98="","",Standards_Sectors!Q98),IF(Active_Case="Out",IF(Standards_Sectors!Q137="","",Standards_Sectors!Q137)))))</f>
        <v/>
      </c>
      <c r="S19" s="186" t="str">
        <f>IF(Active_Case="Res",IF(Standards_Sectors!R20="","",Standards_Sectors!R20),IF(Active_Case="Com",IF(Standards_Sectors!R59="","",Standards_Sectors!R59),IF(Active_Case="Ind",IF(Standards_Sectors!R98="","",Standards_Sectors!R98),IF(Active_Case="Out",IF(Standards_Sectors!R137="","",Standards_Sectors!R137)))))</f>
        <v/>
      </c>
      <c r="T19" s="186" t="str">
        <f>IF(Active_Case="Res",IF(Standards_Sectors!S20="","",Standards_Sectors!S20),IF(Active_Case="Com",IF(Standards_Sectors!S59="","",Standards_Sectors!S59),IF(Active_Case="Ind",IF(Standards_Sectors!S98="","",Standards_Sectors!S98),IF(Active_Case="Out",IF(Standards_Sectors!S137="","",Standards_Sectors!S137)))))</f>
        <v/>
      </c>
      <c r="U19" s="186" t="str">
        <f>IF(ISNUMBER(T19),(1-T19*INDEX(Standards_Acceptance!$AL55:$BP55,1,MATCH(Q19-1,Standards_Acceptance!$AL$44:$BP$44,FALSE)))/(R19-Q19+1),"")</f>
        <v/>
      </c>
      <c r="V19" s="639" t="str">
        <f>IF(ISNUMBER(T19),IF(Q19&lt;2010,T19*Standards_Acceptance!CA55,T19*INDEX(Standards_Acceptance!$AL55:$BP55,1,MATCH(Q19-1,Standards_Acceptance!$AL$44:$BP$44,FALSE))),"")</f>
        <v/>
      </c>
      <c r="W19" s="186" t="str">
        <f>IF(Active_Case="Res",IF(Standards_Sectors!T20="","",Standards_Sectors!T20),IF(Active_Case="Com",IF(Standards_Sectors!T59="","",Standards_Sectors!T59),IF(Active_Case="Ind",IF(Standards_Sectors!T98="","",Standards_Sectors!T98),IF(Active_Case="Out",IF(Standards_Sectors!T137="","",Standards_Sectors!T137)))))</f>
        <v/>
      </c>
      <c r="X19" s="186" t="str">
        <f>IF(Active_Case="Res",IF(Standards_Sectors!U20="","",Standards_Sectors!U20),IF(Active_Case="Com",IF(Standards_Sectors!U59="","",Standards_Sectors!U59),IF(Active_Case="Ind",IF(Standards_Sectors!U98="","",Standards_Sectors!U98),IF(Active_Case="Out",IF(Standards_Sectors!U137="","",Standards_Sectors!U137)))))</f>
        <v/>
      </c>
      <c r="Y19" s="186" t="str">
        <f>IF(Active_Case="Res",IF(Standards_Sectors!V20="","",Standards_Sectors!V20),IF(Active_Case="Com",IF(Standards_Sectors!V59="","",Standards_Sectors!V59),IF(Active_Case="Ind",IF(Standards_Sectors!V98="","",Standards_Sectors!V98),IF(Active_Case="Out",IF(Standards_Sectors!V137="","",Standards_Sectors!V137)))))</f>
        <v/>
      </c>
      <c r="Z19" s="186" t="str">
        <f>IF(Active_Case="Res",IF(Standards_Sectors!W20="","",Standards_Sectors!W20),IF(Active_Case="Com",IF(Standards_Sectors!W59="","",Standards_Sectors!W59),IF(Active_Case="Ind",IF(Standards_Sectors!W98="","",Standards_Sectors!W98),IF(Active_Case="Out",IF(Standards_Sectors!W137="","",Standards_Sectors!W137)))))</f>
        <v/>
      </c>
      <c r="AA19" s="186" t="str">
        <f>IF(Active_Case="Res",IF(Standards_Sectors!X20="","",Standards_Sectors!X20),IF(Active_Case="Com",IF(Standards_Sectors!X59="","",Standards_Sectors!X59),IF(Active_Case="Ind",IF(Standards_Sectors!X98="","",Standards_Sectors!X98),IF(Active_Case="Out",IF(Standards_Sectors!X137="","",Standards_Sectors!X137)))))</f>
        <v/>
      </c>
      <c r="AB19" s="186" t="str">
        <f>IF(Active_Case="Res",IF(Standards_Sectors!Y20="","",Standards_Sectors!Y20),IF(Active_Case="Com",IF(Standards_Sectors!Y59="","",Standards_Sectors!Y59),IF(Active_Case="Ind",IF(Standards_Sectors!Y98="","",Standards_Sectors!Y98),IF(Active_Case="Out",IF(Standards_Sectors!Y137="","",Standards_Sectors!Y137)))))</f>
        <v/>
      </c>
      <c r="AC19" s="186" t="str">
        <f>IF(Active_Case="Res",IF(Standards_Sectors!Z20="","",Standards_Sectors!Z20),IF(Active_Case="Com",IF(Standards_Sectors!Z59="","",Standards_Sectors!Z59),IF(Active_Case="Ind",IF(Standards_Sectors!Z98="","",Standards_Sectors!Z98),IF(Active_Case="Out",IF(Standards_Sectors!Z137="","",Standards_Sectors!Z137)))))</f>
        <v/>
      </c>
      <c r="AD19" s="607" t="str">
        <f>IF(Active_Case="Res",IF(Standards_Sectors!AA20="","",Standards_Sectors!AA20),IF(Active_Case="Com",IF(Standards_Sectors!AA59="","",Standards_Sectors!AA59),IF(Active_Case="Ind",IF(Standards_Sectors!AA98="","",Standards_Sectors!AA98),IF(Active_Case="Out",IF(Standards_Sectors!AA137="","",Standards_Sectors!AA137)))))</f>
        <v/>
      </c>
    </row>
    <row r="20" spans="1:30" ht="12.6" x14ac:dyDescent="0.25">
      <c r="C20" s="511"/>
      <c r="D20" s="382"/>
      <c r="E20" s="382"/>
      <c r="F20" s="382"/>
      <c r="G20" s="382"/>
      <c r="H20" s="382"/>
      <c r="I20" s="382"/>
      <c r="J20" s="382"/>
      <c r="K20" s="382"/>
      <c r="L20" s="414"/>
      <c r="M20" s="382"/>
      <c r="N20" s="382"/>
      <c r="O20" s="382"/>
      <c r="P20" s="410"/>
      <c r="Q20" s="511"/>
      <c r="R20" s="382"/>
      <c r="S20" s="382"/>
      <c r="T20" s="382"/>
      <c r="U20" s="382"/>
      <c r="V20" s="382"/>
      <c r="W20" s="382"/>
      <c r="X20" s="382"/>
      <c r="Y20" s="382"/>
      <c r="Z20" s="382"/>
      <c r="AA20" s="382"/>
      <c r="AB20" s="382"/>
      <c r="AC20" s="382"/>
      <c r="AD20" s="410"/>
    </row>
    <row r="21" spans="1:30" s="57" customFormat="1" ht="12.95" x14ac:dyDescent="0.3">
      <c r="A21" s="58" t="s">
        <v>36</v>
      </c>
      <c r="C21" s="558"/>
      <c r="D21" s="512"/>
      <c r="E21" s="512"/>
      <c r="F21" s="512"/>
      <c r="G21" s="512"/>
      <c r="H21" s="512"/>
      <c r="I21" s="512"/>
      <c r="J21" s="512"/>
      <c r="K21" s="512"/>
      <c r="L21" s="512"/>
      <c r="M21" s="512"/>
      <c r="N21" s="512"/>
      <c r="O21" s="512"/>
      <c r="P21" s="559"/>
      <c r="Q21" s="558"/>
      <c r="R21" s="512"/>
      <c r="S21" s="512"/>
      <c r="T21" s="512"/>
      <c r="U21" s="512"/>
      <c r="V21" s="512"/>
      <c r="W21" s="512"/>
      <c r="X21" s="512"/>
      <c r="Y21" s="512"/>
      <c r="Z21" s="512"/>
      <c r="AA21" s="512"/>
      <c r="AB21" s="512"/>
      <c r="AC21" s="512"/>
      <c r="AD21" s="559"/>
    </row>
    <row r="22" spans="1:30" ht="12.6" x14ac:dyDescent="0.25">
      <c r="B22" s="81" t="s">
        <v>37</v>
      </c>
      <c r="C22" s="606">
        <f>IF(Active_Case="Res",IF(Standards_Sectors!D23="","",Standards_Sectors!D23),IF(Active_Case="Com",IF(Standards_Sectors!D62="","",Standards_Sectors!D62),IF(Active_Case="Ind",IF(Standards_Sectors!D101="","",Standards_Sectors!D101),IF(Active_Case="Out",IF(Standards_Sectors!D140="","",Standards_Sectors!D140)))))</f>
        <v>2012</v>
      </c>
      <c r="D22" s="186">
        <f>IF(Active_Case="Res",IF(Standards_Sectors!E23="","",Standards_Sectors!E23),IF(Active_Case="Com",IF(Standards_Sectors!E62="","",Standards_Sectors!E62),IF(Active_Case="Ind",IF(Standards_Sectors!E101="","",Standards_Sectors!E101),IF(Active_Case="Out",IF(Standards_Sectors!E140="","",Standards_Sectors!E140)))))</f>
        <v>2014</v>
      </c>
      <c r="E22" s="186" t="str">
        <f>IF(Active_Case="Res",IF(Standards_Sectors!F23="","",Standards_Sectors!F23),IF(Active_Case="Com",IF(Standards_Sectors!F62="","",Standards_Sectors!F62),IF(Active_Case="Ind",IF(Standards_Sectors!F101="","",Standards_Sectors!F101),IF(Active_Case="Out",IF(Standards_Sectors!F140="","",Standards_Sectors!F140)))))</f>
        <v>Yes</v>
      </c>
      <c r="F22" s="186">
        <f>IF(Active_Case="Res",IF(Standards_Sectors!G23="","",Standards_Sectors!G23),IF(Active_Case="Com",IF(Standards_Sectors!G62="","",Standards_Sectors!G62),IF(Active_Case="Ind",IF(Standards_Sectors!G101="","",Standards_Sectors!G101),IF(Active_Case="Out",IF(Standards_Sectors!G140="","",Standards_Sectors!G140)))))</f>
        <v>0.5</v>
      </c>
      <c r="G22" s="186">
        <f>IF(ISNUMBER(F22),(1-F22*INDEX(Standards_Acceptance!$AL21:$BP21,1,MATCH(C22-1,Standards_Acceptance!$AL$7:$BP$7,FALSE)))/(D22-C22+1),"")</f>
        <v>0.16666666666666666</v>
      </c>
      <c r="H22" s="186">
        <f>IF(ISNUMBER(F22),F22*INDEX(Standards_Acceptance!$AL21:$BP21,1,MATCH(C22-1,Standards_Acceptance!$AL$7:$BP$7,FALSE)),"")</f>
        <v>0.5</v>
      </c>
      <c r="I22" s="186" t="str">
        <f>IF(Active_Case="Res",IF(Standards_Sectors!H23="","",Standards_Sectors!H23),IF(Active_Case="Com",IF(Standards_Sectors!H62="","",Standards_Sectors!H62),IF(Active_Case="Ind",IF(Standards_Sectors!H101="","",Standards_Sectors!H101),IF(Active_Case="Out",IF(Standards_Sectors!H140="","",Standards_Sectors!H140)))))</f>
        <v/>
      </c>
      <c r="J22" s="186" t="str">
        <f>IF(Active_Case="Res",IF(Standards_Sectors!I23="","",Standards_Sectors!I23),IF(Active_Case="Com",IF(Standards_Sectors!I62="","",Standards_Sectors!I62),IF(Active_Case="Ind",IF(Standards_Sectors!I101="","",Standards_Sectors!I101),IF(Active_Case="Out",IF(Standards_Sectors!I140="","",Standards_Sectors!I140)))))</f>
        <v/>
      </c>
      <c r="K22" s="186" t="str">
        <f>IF(Active_Case="Res",IF(Standards_Sectors!J23="","",Standards_Sectors!J23),IF(Active_Case="Com",IF(Standards_Sectors!J62="","",Standards_Sectors!J62),IF(Active_Case="Ind",IF(Standards_Sectors!J101="","",Standards_Sectors!J101),IF(Active_Case="Out",IF(Standards_Sectors!J140="","",Standards_Sectors!J140)))))</f>
        <v/>
      </c>
      <c r="L22" s="186" t="str">
        <f>IF(Active_Case="Res",IF(Standards_Sectors!K23="","",Standards_Sectors!K23),IF(Active_Case="Com",IF(Standards_Sectors!K62="","",Standards_Sectors!K62),IF(Active_Case="Ind",IF(Standards_Sectors!K101="","",Standards_Sectors!K101),IF(Active_Case="Out",IF(Standards_Sectors!K140="","",Standards_Sectors!K140)))))</f>
        <v/>
      </c>
      <c r="M22" s="186" t="str">
        <f>IF(Active_Case="Res",IF(Standards_Sectors!L23="","",Standards_Sectors!L23),IF(Active_Case="Com",IF(Standards_Sectors!L62="","",Standards_Sectors!L62),IF(Active_Case="Ind",IF(Standards_Sectors!L101="","",Standards_Sectors!L101),IF(Active_Case="Out",IF(Standards_Sectors!L140="","",Standards_Sectors!L140)))))</f>
        <v/>
      </c>
      <c r="N22" s="186" t="str">
        <f>IF(Active_Case="Res",IF(Standards_Sectors!M23="","",Standards_Sectors!M23),IF(Active_Case="Com",IF(Standards_Sectors!M62="","",Standards_Sectors!M62),IF(Active_Case="Ind",IF(Standards_Sectors!M101="","",Standards_Sectors!M101),IF(Active_Case="Out",IF(Standards_Sectors!M140="","",Standards_Sectors!M140)))))</f>
        <v/>
      </c>
      <c r="O22" s="186" t="str">
        <f>IF(Active_Case="Res",IF(Standards_Sectors!N23="","",Standards_Sectors!N23),IF(Active_Case="Com",IF(Standards_Sectors!N62="","",Standards_Sectors!N62),IF(Active_Case="Ind",IF(Standards_Sectors!N101="","",Standards_Sectors!N101),IF(Active_Case="Out",IF(Standards_Sectors!N140="","",Standards_Sectors!N140)))))</f>
        <v/>
      </c>
      <c r="P22" s="607" t="str">
        <f>IF(Active_Case="Res",IF(Standards_Sectors!O23="","",Standards_Sectors!O23),IF(Active_Case="Com",IF(Standards_Sectors!O62="","",Standards_Sectors!O62),IF(Active_Case="Ind",IF(Standards_Sectors!O101="","",Standards_Sectors!O101),IF(Active_Case="Out",IF(Standards_Sectors!O140="","",Standards_Sectors!O140)))))</f>
        <v/>
      </c>
      <c r="Q22" s="606">
        <f>IF(Active_Case="Res",IF(Standards_Sectors!P23="","",Standards_Sectors!P23),IF(Active_Case="Com",IF(Standards_Sectors!P62="","",Standards_Sectors!P62),IF(Active_Case="Ind",IF(Standards_Sectors!P101="","",Standards_Sectors!P101),IF(Active_Case="Out",IF(Standards_Sectors!P140="","",Standards_Sectors!P140)))))</f>
        <v>2015</v>
      </c>
      <c r="R22" s="186">
        <f>IF(Active_Case="Res",IF(Standards_Sectors!Q23="","",Standards_Sectors!Q23),IF(Active_Case="Com",IF(Standards_Sectors!Q62="","",Standards_Sectors!Q62),IF(Active_Case="Ind",IF(Standards_Sectors!Q101="","",Standards_Sectors!Q101),IF(Active_Case="Out",IF(Standards_Sectors!Q140="","",Standards_Sectors!Q140)))))</f>
        <v>2017</v>
      </c>
      <c r="S22" s="186" t="str">
        <f>IF(Active_Case="Res",IF(Standards_Sectors!R23="","",Standards_Sectors!R23),IF(Active_Case="Com",IF(Standards_Sectors!R62="","",Standards_Sectors!R62),IF(Active_Case="Ind",IF(Standards_Sectors!R101="","",Standards_Sectors!R101),IF(Active_Case="Out",IF(Standards_Sectors!R140="","",Standards_Sectors!R140)))))</f>
        <v>Yes</v>
      </c>
      <c r="T22" s="186">
        <f>IF(Active_Case="Res",IF(Standards_Sectors!S23="","",Standards_Sectors!S23),IF(Active_Case="Com",IF(Standards_Sectors!S62="","",Standards_Sectors!S62),IF(Active_Case="Ind",IF(Standards_Sectors!S101="","",Standards_Sectors!S101),IF(Active_Case="Out",IF(Standards_Sectors!S140="","",Standards_Sectors!S140)))))</f>
        <v>0.1</v>
      </c>
      <c r="U22" s="639">
        <f>IF(ISNUMBER(T22),(1-T22*INDEX(Standards_Acceptance!$AL58:$BP58,1,MATCH(Q22-1,Standards_Acceptance!$AL$44:$BP$44,FALSE)))/(R22-Q22+1),"")</f>
        <v>0.33166666666666667</v>
      </c>
      <c r="V22" s="639">
        <f>IF(ISNUMBER(T22),IF(Q22&lt;2010,T22*Standards_Acceptance!CA58,T22*INDEX(Standards_Acceptance!$AL58:$BP58,1,MATCH(Q22-1,Standards_Acceptance!$AL$44:$BP$44,FALSE))),"")</f>
        <v>5.000000000000001E-3</v>
      </c>
      <c r="W22" s="186" t="str">
        <f>IF(Active_Case="Res",IF(Standards_Sectors!T23="","",Standards_Sectors!T23),IF(Active_Case="Com",IF(Standards_Sectors!T62="","",Standards_Sectors!T62),IF(Active_Case="Ind",IF(Standards_Sectors!T101="","",Standards_Sectors!T101),IF(Active_Case="Out",IF(Standards_Sectors!T140="","",Standards_Sectors!T140)))))</f>
        <v/>
      </c>
      <c r="X22" s="186" t="str">
        <f>IF(Active_Case="Res",IF(Standards_Sectors!U23="","",Standards_Sectors!U23),IF(Active_Case="Com",IF(Standards_Sectors!U62="","",Standards_Sectors!U62),IF(Active_Case="Ind",IF(Standards_Sectors!U101="","",Standards_Sectors!U101),IF(Active_Case="Out",IF(Standards_Sectors!U140="","",Standards_Sectors!U140)))))</f>
        <v/>
      </c>
      <c r="Y22" s="186" t="str">
        <f>IF(Active_Case="Res",IF(Standards_Sectors!V23="","",Standards_Sectors!V23),IF(Active_Case="Com",IF(Standards_Sectors!V62="","",Standards_Sectors!V62),IF(Active_Case="Ind",IF(Standards_Sectors!V101="","",Standards_Sectors!V101),IF(Active_Case="Out",IF(Standards_Sectors!V140="","",Standards_Sectors!V140)))))</f>
        <v/>
      </c>
      <c r="Z22" s="186" t="str">
        <f>IF(Active_Case="Res",IF(Standards_Sectors!W23="","",Standards_Sectors!W23),IF(Active_Case="Com",IF(Standards_Sectors!W62="","",Standards_Sectors!W62),IF(Active_Case="Ind",IF(Standards_Sectors!W101="","",Standards_Sectors!W101),IF(Active_Case="Out",IF(Standards_Sectors!W140="","",Standards_Sectors!W140)))))</f>
        <v/>
      </c>
      <c r="AA22" s="186" t="str">
        <f>IF(Active_Case="Res",IF(Standards_Sectors!X23="","",Standards_Sectors!X23),IF(Active_Case="Com",IF(Standards_Sectors!X62="","",Standards_Sectors!X62),IF(Active_Case="Ind",IF(Standards_Sectors!X101="","",Standards_Sectors!X101),IF(Active_Case="Out",IF(Standards_Sectors!X140="","",Standards_Sectors!X140)))))</f>
        <v/>
      </c>
      <c r="AB22" s="186" t="str">
        <f>IF(Active_Case="Res",IF(Standards_Sectors!Y23="","",Standards_Sectors!Y23),IF(Active_Case="Com",IF(Standards_Sectors!Y62="","",Standards_Sectors!Y62),IF(Active_Case="Ind",IF(Standards_Sectors!Y101="","",Standards_Sectors!Y101),IF(Active_Case="Out",IF(Standards_Sectors!Y140="","",Standards_Sectors!Y140)))))</f>
        <v/>
      </c>
      <c r="AC22" s="186">
        <f>IF(Active_Case="Res",IF(Standards_Sectors!Z23="","",Standards_Sectors!Z23),IF(Active_Case="Com",IF(Standards_Sectors!Z62="","",Standards_Sectors!Z62),IF(Active_Case="Ind",IF(Standards_Sectors!Z101="","",Standards_Sectors!Z101),IF(Active_Case="Out",IF(Standards_Sectors!Z140="","",Standards_Sectors!Z140)))))</f>
        <v>-5.0000000000000001E-3</v>
      </c>
      <c r="AD22" s="607" t="str">
        <f>IF(Active_Case="Res",IF(Standards_Sectors!AA23="","",Standards_Sectors!AA23),IF(Active_Case="Com",IF(Standards_Sectors!AA62="","",Standards_Sectors!AA62),IF(Active_Case="Ind",IF(Standards_Sectors!AA101="","",Standards_Sectors!AA101),IF(Active_Case="Out",IF(Standards_Sectors!AA140="","",Standards_Sectors!AA140)))))</f>
        <v/>
      </c>
    </row>
    <row r="23" spans="1:30" ht="12.6" x14ac:dyDescent="0.25">
      <c r="B23" s="81" t="s">
        <v>39</v>
      </c>
      <c r="C23" s="606">
        <f>IF(Active_Case="Res",IF(Standards_Sectors!D24="","",Standards_Sectors!D24),IF(Active_Case="Com",IF(Standards_Sectors!D63="","",Standards_Sectors!D63),IF(Active_Case="Ind",IF(Standards_Sectors!D102="","",Standards_Sectors!D102),IF(Active_Case="Out",IF(Standards_Sectors!D141="","",Standards_Sectors!D141)))))</f>
        <v>2014</v>
      </c>
      <c r="D23" s="186">
        <f>IF(Active_Case="Res",IF(Standards_Sectors!E24="","",Standards_Sectors!E24),IF(Active_Case="Com",IF(Standards_Sectors!E63="","",Standards_Sectors!E63),IF(Active_Case="Ind",IF(Standards_Sectors!E102="","",Standards_Sectors!E102),IF(Active_Case="Out",IF(Standards_Sectors!E141="","",Standards_Sectors!E141)))))</f>
        <v>2016</v>
      </c>
      <c r="E23" s="186" t="str">
        <f>IF(Active_Case="Res",IF(Standards_Sectors!F24="","",Standards_Sectors!F24),IF(Active_Case="Com",IF(Standards_Sectors!F63="","",Standards_Sectors!F63),IF(Active_Case="Ind",IF(Standards_Sectors!F102="","",Standards_Sectors!F102),IF(Active_Case="Out",IF(Standards_Sectors!F141="","",Standards_Sectors!F141)))))</f>
        <v>Yes</v>
      </c>
      <c r="F23" s="186" t="str">
        <f>IF(Active_Case="Res",IF(Standards_Sectors!G24="","",Standards_Sectors!G24),IF(Active_Case="Com",IF(Standards_Sectors!G63="","",Standards_Sectors!G63),IF(Active_Case="Ind",IF(Standards_Sectors!G102="","",Standards_Sectors!G102),IF(Active_Case="Out",IF(Standards_Sectors!G141="","",Standards_Sectors!G141)))))</f>
        <v/>
      </c>
      <c r="G23" s="186" t="str">
        <f>IF(ISNUMBER(F23),(1-F23*INDEX(Standards_Acceptance!$AL22:$BP22,1,MATCH(C23-1,Standards_Acceptance!$AL$7:$BP$7,FALSE)))/(D23-C23+1),"")</f>
        <v/>
      </c>
      <c r="H23" s="186" t="str">
        <f>IF(ISNUMBER(F23),F23*INDEX(Standards_Acceptance!$AL22:$BP22,1,MATCH(C23-1,Standards_Acceptance!$AL$7:$BP$7,FALSE)),"")</f>
        <v/>
      </c>
      <c r="I23" s="186">
        <f>IF(Active_Case="Res",IF(Standards_Sectors!H24="","",Standards_Sectors!H24),IF(Active_Case="Com",IF(Standards_Sectors!H63="","",Standards_Sectors!H63),IF(Active_Case="Ind",IF(Standards_Sectors!H102="","",Standards_Sectors!H102),IF(Active_Case="Out",IF(Standards_Sectors!H141="","",Standards_Sectors!H141)))))</f>
        <v>89</v>
      </c>
      <c r="J23" s="186" t="str">
        <f>IF(Active_Case="Res",IF(Standards_Sectors!I24="","",Standards_Sectors!I24),IF(Active_Case="Com",IF(Standards_Sectors!I63="","",Standards_Sectors!I63),IF(Active_Case="Ind",IF(Standards_Sectors!I102="","",Standards_Sectors!I102),IF(Active_Case="Out",IF(Standards_Sectors!I141="","",Standards_Sectors!I141)))))</f>
        <v/>
      </c>
      <c r="K23" s="186" t="str">
        <f>IF(Active_Case="Res",IF(Standards_Sectors!J24="","",Standards_Sectors!J24),IF(Active_Case="Com",IF(Standards_Sectors!J63="","",Standards_Sectors!J63),IF(Active_Case="Ind",IF(Standards_Sectors!J102="","",Standards_Sectors!J102),IF(Active_Case="Out",IF(Standards_Sectors!J141="","",Standards_Sectors!J141)))))</f>
        <v/>
      </c>
      <c r="L23" s="186" t="str">
        <f>IF(Active_Case="Res",IF(Standards_Sectors!K24="","",Standards_Sectors!K24),IF(Active_Case="Com",IF(Standards_Sectors!K63="","",Standards_Sectors!K63),IF(Active_Case="Ind",IF(Standards_Sectors!K102="","",Standards_Sectors!K102),IF(Active_Case="Out",IF(Standards_Sectors!K141="","",Standards_Sectors!K141)))))</f>
        <v/>
      </c>
      <c r="M23" s="186">
        <f>IF(Active_Case="Res",IF(Standards_Sectors!L24="","",Standards_Sectors!L24),IF(Active_Case="Com",IF(Standards_Sectors!L63="","",Standards_Sectors!L63),IF(Active_Case="Ind",IF(Standards_Sectors!L102="","",Standards_Sectors!L102),IF(Active_Case="Out",IF(Standards_Sectors!L141="","",Standards_Sectors!L141)))))</f>
        <v>5.0999999999999996</v>
      </c>
      <c r="N23" s="186">
        <f>IF(Active_Case="Res",IF(Standards_Sectors!M24="","",Standards_Sectors!M24),IF(Active_Case="Com",IF(Standards_Sectors!M63="","",Standards_Sectors!M63),IF(Active_Case="Ind",IF(Standards_Sectors!M102="","",Standards_Sectors!M102),IF(Active_Case="Out",IF(Standards_Sectors!M141="","",Standards_Sectors!M141)))))</f>
        <v>5.0000000000000001E-3</v>
      </c>
      <c r="O23" s="186">
        <f>IF(Active_Case="Res",IF(Standards_Sectors!N24="","",Standards_Sectors!N24),IF(Active_Case="Com",IF(Standards_Sectors!N63="","",Standards_Sectors!N63),IF(Active_Case="Ind",IF(Standards_Sectors!N102="","",Standards_Sectors!N102),IF(Active_Case="Out",IF(Standards_Sectors!N141="","",Standards_Sectors!N141)))))</f>
        <v>-5.0000000000000001E-3</v>
      </c>
      <c r="P23" s="607" t="str">
        <f>IF(Active_Case="Res",IF(Standards_Sectors!O24="","",Standards_Sectors!O24),IF(Active_Case="Com",IF(Standards_Sectors!O63="","",Standards_Sectors!O63),IF(Active_Case="Ind",IF(Standards_Sectors!O102="","",Standards_Sectors!O102),IF(Active_Case="Out",IF(Standards_Sectors!O141="","",Standards_Sectors!O141)))))</f>
        <v/>
      </c>
      <c r="Q23" s="606" t="str">
        <f>IF(Active_Case="Res",IF(Standards_Sectors!P24="","",Standards_Sectors!P24),IF(Active_Case="Com",IF(Standards_Sectors!P63="","",Standards_Sectors!P63),IF(Active_Case="Ind",IF(Standards_Sectors!P102="","",Standards_Sectors!P102),IF(Active_Case="Out",IF(Standards_Sectors!P141="","",Standards_Sectors!P141)))))</f>
        <v/>
      </c>
      <c r="R23" s="186" t="str">
        <f>IF(Active_Case="Res",IF(Standards_Sectors!Q24="","",Standards_Sectors!Q24),IF(Active_Case="Com",IF(Standards_Sectors!Q63="","",Standards_Sectors!Q63),IF(Active_Case="Ind",IF(Standards_Sectors!Q102="","",Standards_Sectors!Q102),IF(Active_Case="Out",IF(Standards_Sectors!Q141="","",Standards_Sectors!Q141)))))</f>
        <v/>
      </c>
      <c r="S23" s="186" t="str">
        <f>IF(Active_Case="Res",IF(Standards_Sectors!R24="","",Standards_Sectors!R24),IF(Active_Case="Com",IF(Standards_Sectors!R63="","",Standards_Sectors!R63),IF(Active_Case="Ind",IF(Standards_Sectors!R102="","",Standards_Sectors!R102),IF(Active_Case="Out",IF(Standards_Sectors!R141="","",Standards_Sectors!R141)))))</f>
        <v/>
      </c>
      <c r="T23" s="186" t="str">
        <f>IF(Active_Case="Res",IF(Standards_Sectors!S24="","",Standards_Sectors!S24),IF(Active_Case="Com",IF(Standards_Sectors!S63="","",Standards_Sectors!S63),IF(Active_Case="Ind",IF(Standards_Sectors!S102="","",Standards_Sectors!S102),IF(Active_Case="Out",IF(Standards_Sectors!S141="","",Standards_Sectors!S141)))))</f>
        <v/>
      </c>
      <c r="U23" s="186" t="str">
        <f>IF(ISNUMBER(T23),(1-T23*INDEX(Standards_Acceptance!$AL59:$BP59,1,MATCH(Q23-1,Standards_Acceptance!$AL$44:$BP$44,FALSE)))/(R23-Q23+1),"")</f>
        <v/>
      </c>
      <c r="V23" s="639" t="str">
        <f>IF(ISNUMBER(T23),IF(Q23&lt;2010,T23*Standards_Acceptance!CA59,T23*INDEX(Standards_Acceptance!$AL59:$BP59,1,MATCH(Q23-1,Standards_Acceptance!$AL$44:$BP$44,FALSE))),"")</f>
        <v/>
      </c>
      <c r="W23" s="186" t="str">
        <f>IF(Active_Case="Res",IF(Standards_Sectors!T24="","",Standards_Sectors!T24),IF(Active_Case="Com",IF(Standards_Sectors!T63="","",Standards_Sectors!T63),IF(Active_Case="Ind",IF(Standards_Sectors!T102="","",Standards_Sectors!T102),IF(Active_Case="Out",IF(Standards_Sectors!T141="","",Standards_Sectors!T141)))))</f>
        <v/>
      </c>
      <c r="X23" s="186" t="str">
        <f>IF(Active_Case="Res",IF(Standards_Sectors!U24="","",Standards_Sectors!U24),IF(Active_Case="Com",IF(Standards_Sectors!U63="","",Standards_Sectors!U63),IF(Active_Case="Ind",IF(Standards_Sectors!U102="","",Standards_Sectors!U102),IF(Active_Case="Out",IF(Standards_Sectors!U141="","",Standards_Sectors!U141)))))</f>
        <v/>
      </c>
      <c r="Y23" s="186" t="str">
        <f>IF(Active_Case="Res",IF(Standards_Sectors!V24="","",Standards_Sectors!V24),IF(Active_Case="Com",IF(Standards_Sectors!V63="","",Standards_Sectors!V63),IF(Active_Case="Ind",IF(Standards_Sectors!V102="","",Standards_Sectors!V102),IF(Active_Case="Out",IF(Standards_Sectors!V141="","",Standards_Sectors!V141)))))</f>
        <v/>
      </c>
      <c r="Z23" s="186" t="str">
        <f>IF(Active_Case="Res",IF(Standards_Sectors!W24="","",Standards_Sectors!W24),IF(Active_Case="Com",IF(Standards_Sectors!W63="","",Standards_Sectors!W63),IF(Active_Case="Ind",IF(Standards_Sectors!W102="","",Standards_Sectors!W102),IF(Active_Case="Out",IF(Standards_Sectors!W141="","",Standards_Sectors!W141)))))</f>
        <v/>
      </c>
      <c r="AA23" s="186" t="str">
        <f>IF(Active_Case="Res",IF(Standards_Sectors!X24="","",Standards_Sectors!X24),IF(Active_Case="Com",IF(Standards_Sectors!X63="","",Standards_Sectors!X63),IF(Active_Case="Ind",IF(Standards_Sectors!X102="","",Standards_Sectors!X102),IF(Active_Case="Out",IF(Standards_Sectors!X141="","",Standards_Sectors!X141)))))</f>
        <v/>
      </c>
      <c r="AB23" s="186" t="str">
        <f>IF(Active_Case="Res",IF(Standards_Sectors!Y24="","",Standards_Sectors!Y24),IF(Active_Case="Com",IF(Standards_Sectors!Y63="","",Standards_Sectors!Y63),IF(Active_Case="Ind",IF(Standards_Sectors!Y102="","",Standards_Sectors!Y102),IF(Active_Case="Out",IF(Standards_Sectors!Y141="","",Standards_Sectors!Y141)))))</f>
        <v/>
      </c>
      <c r="AC23" s="186" t="str">
        <f>IF(Active_Case="Res",IF(Standards_Sectors!Z24="","",Standards_Sectors!Z24),IF(Active_Case="Com",IF(Standards_Sectors!Z63="","",Standards_Sectors!Z63),IF(Active_Case="Ind",IF(Standards_Sectors!Z102="","",Standards_Sectors!Z102),IF(Active_Case="Out",IF(Standards_Sectors!Z141="","",Standards_Sectors!Z141)))))</f>
        <v/>
      </c>
      <c r="AD23" s="607" t="str">
        <f>IF(Active_Case="Res",IF(Standards_Sectors!AA24="","",Standards_Sectors!AA24),IF(Active_Case="Com",IF(Standards_Sectors!AA63="","",Standards_Sectors!AA63),IF(Active_Case="Ind",IF(Standards_Sectors!AA102="","",Standards_Sectors!AA102),IF(Active_Case="Out",IF(Standards_Sectors!AA141="","",Standards_Sectors!AA141)))))</f>
        <v/>
      </c>
    </row>
    <row r="24" spans="1:30" ht="12.6" x14ac:dyDescent="0.25">
      <c r="B24" s="81" t="s">
        <v>40</v>
      </c>
      <c r="C24" s="606" t="str">
        <f>IF(Active_Case="Res",IF(Standards_Sectors!D25="","",Standards_Sectors!D25),IF(Active_Case="Com",IF(Standards_Sectors!D64="","",Standards_Sectors!D64),IF(Active_Case="Ind",IF(Standards_Sectors!D103="","",Standards_Sectors!D103),IF(Active_Case="Out",IF(Standards_Sectors!D142="","",Standards_Sectors!D142)))))</f>
        <v/>
      </c>
      <c r="D24" s="186" t="str">
        <f>IF(Active_Case="Res",IF(Standards_Sectors!E25="","",Standards_Sectors!E25),IF(Active_Case="Com",IF(Standards_Sectors!E64="","",Standards_Sectors!E64),IF(Active_Case="Ind",IF(Standards_Sectors!E103="","",Standards_Sectors!E103),IF(Active_Case="Out",IF(Standards_Sectors!E142="","",Standards_Sectors!E142)))))</f>
        <v/>
      </c>
      <c r="E24" s="186" t="str">
        <f>IF(Active_Case="Res",IF(Standards_Sectors!F25="","",Standards_Sectors!F25),IF(Active_Case="Com",IF(Standards_Sectors!F64="","",Standards_Sectors!F64),IF(Active_Case="Ind",IF(Standards_Sectors!F103="","",Standards_Sectors!F103),IF(Active_Case="Out",IF(Standards_Sectors!F142="","",Standards_Sectors!F142)))))</f>
        <v/>
      </c>
      <c r="F24" s="186" t="str">
        <f>IF(Active_Case="Res",IF(Standards_Sectors!G25="","",Standards_Sectors!G25),IF(Active_Case="Com",IF(Standards_Sectors!G64="","",Standards_Sectors!G64),IF(Active_Case="Ind",IF(Standards_Sectors!G103="","",Standards_Sectors!G103),IF(Active_Case="Out",IF(Standards_Sectors!G142="","",Standards_Sectors!G142)))))</f>
        <v/>
      </c>
      <c r="G24" s="186" t="str">
        <f>IF(ISNUMBER(F24),(1-F24*INDEX(Standards_Acceptance!$AL23:$BP23,1,MATCH(C24-1,Standards_Acceptance!$AL$7:$BP$7,FALSE)))/(D24-C24+1),"")</f>
        <v/>
      </c>
      <c r="H24" s="186" t="str">
        <f>IF(ISNUMBER(F24),F24*INDEX(Standards_Acceptance!$AL23:$BP23,1,MATCH(C24-1,Standards_Acceptance!$AL$7:$BP$7,FALSE)),"")</f>
        <v/>
      </c>
      <c r="I24" s="186" t="str">
        <f>IF(Active_Case="Res",IF(Standards_Sectors!H25="","",Standards_Sectors!H25),IF(Active_Case="Com",IF(Standards_Sectors!H64="","",Standards_Sectors!H64),IF(Active_Case="Ind",IF(Standards_Sectors!H103="","",Standards_Sectors!H103),IF(Active_Case="Out",IF(Standards_Sectors!H142="","",Standards_Sectors!H142)))))</f>
        <v/>
      </c>
      <c r="J24" s="186" t="str">
        <f>IF(Active_Case="Res",IF(Standards_Sectors!I25="","",Standards_Sectors!I25),IF(Active_Case="Com",IF(Standards_Sectors!I64="","",Standards_Sectors!I64),IF(Active_Case="Ind",IF(Standards_Sectors!I103="","",Standards_Sectors!I103),IF(Active_Case="Out",IF(Standards_Sectors!I142="","",Standards_Sectors!I142)))))</f>
        <v/>
      </c>
      <c r="K24" s="186" t="str">
        <f>IF(Active_Case="Res",IF(Standards_Sectors!J25="","",Standards_Sectors!J25),IF(Active_Case="Com",IF(Standards_Sectors!J64="","",Standards_Sectors!J64),IF(Active_Case="Ind",IF(Standards_Sectors!J103="","",Standards_Sectors!J103),IF(Active_Case="Out",IF(Standards_Sectors!J142="","",Standards_Sectors!J142)))))</f>
        <v/>
      </c>
      <c r="L24" s="186" t="str">
        <f>IF(Active_Case="Res",IF(Standards_Sectors!K25="","",Standards_Sectors!K25),IF(Active_Case="Com",IF(Standards_Sectors!K64="","",Standards_Sectors!K64),IF(Active_Case="Ind",IF(Standards_Sectors!K103="","",Standards_Sectors!K103),IF(Active_Case="Out",IF(Standards_Sectors!K142="","",Standards_Sectors!K142)))))</f>
        <v/>
      </c>
      <c r="M24" s="186" t="str">
        <f>IF(Active_Case="Res",IF(Standards_Sectors!L25="","",Standards_Sectors!L25),IF(Active_Case="Com",IF(Standards_Sectors!L64="","",Standards_Sectors!L64),IF(Active_Case="Ind",IF(Standards_Sectors!L103="","",Standards_Sectors!L103),IF(Active_Case="Out",IF(Standards_Sectors!L142="","",Standards_Sectors!L142)))))</f>
        <v/>
      </c>
      <c r="N24" s="186" t="str">
        <f>IF(Active_Case="Res",IF(Standards_Sectors!M25="","",Standards_Sectors!M25),IF(Active_Case="Com",IF(Standards_Sectors!M64="","",Standards_Sectors!M64),IF(Active_Case="Ind",IF(Standards_Sectors!M103="","",Standards_Sectors!M103),IF(Active_Case="Out",IF(Standards_Sectors!M142="","",Standards_Sectors!M142)))))</f>
        <v/>
      </c>
      <c r="O24" s="186" t="str">
        <f>IF(Active_Case="Res",IF(Standards_Sectors!N25="","",Standards_Sectors!N25),IF(Active_Case="Com",IF(Standards_Sectors!N64="","",Standards_Sectors!N64),IF(Active_Case="Ind",IF(Standards_Sectors!N103="","",Standards_Sectors!N103),IF(Active_Case="Out",IF(Standards_Sectors!N142="","",Standards_Sectors!N142)))))</f>
        <v/>
      </c>
      <c r="P24" s="607" t="str">
        <f>IF(Active_Case="Res",IF(Standards_Sectors!O25="","",Standards_Sectors!O25),IF(Active_Case="Com",IF(Standards_Sectors!O64="","",Standards_Sectors!O64),IF(Active_Case="Ind",IF(Standards_Sectors!O103="","",Standards_Sectors!O103),IF(Active_Case="Out",IF(Standards_Sectors!O142="","",Standards_Sectors!O142)))))</f>
        <v/>
      </c>
      <c r="Q24" s="606" t="str">
        <f>IF(Active_Case="Res",IF(Standards_Sectors!P25="","",Standards_Sectors!P25),IF(Active_Case="Com",IF(Standards_Sectors!P64="","",Standards_Sectors!P64),IF(Active_Case="Ind",IF(Standards_Sectors!P103="","",Standards_Sectors!P103),IF(Active_Case="Out",IF(Standards_Sectors!P142="","",Standards_Sectors!P142)))))</f>
        <v/>
      </c>
      <c r="R24" s="186" t="str">
        <f>IF(Active_Case="Res",IF(Standards_Sectors!Q25="","",Standards_Sectors!Q25),IF(Active_Case="Com",IF(Standards_Sectors!Q64="","",Standards_Sectors!Q64),IF(Active_Case="Ind",IF(Standards_Sectors!Q103="","",Standards_Sectors!Q103),IF(Active_Case="Out",IF(Standards_Sectors!Q142="","",Standards_Sectors!Q142)))))</f>
        <v/>
      </c>
      <c r="S24" s="186" t="str">
        <f>IF(Active_Case="Res",IF(Standards_Sectors!R25="","",Standards_Sectors!R25),IF(Active_Case="Com",IF(Standards_Sectors!R64="","",Standards_Sectors!R64),IF(Active_Case="Ind",IF(Standards_Sectors!R103="","",Standards_Sectors!R103),IF(Active_Case="Out",IF(Standards_Sectors!R142="","",Standards_Sectors!R142)))))</f>
        <v/>
      </c>
      <c r="T24" s="186" t="str">
        <f>IF(Active_Case="Res",IF(Standards_Sectors!S25="","",Standards_Sectors!S25),IF(Active_Case="Com",IF(Standards_Sectors!S64="","",Standards_Sectors!S64),IF(Active_Case="Ind",IF(Standards_Sectors!S103="","",Standards_Sectors!S103),IF(Active_Case="Out",IF(Standards_Sectors!S142="","",Standards_Sectors!S142)))))</f>
        <v/>
      </c>
      <c r="U24" s="186" t="str">
        <f>IF(ISNUMBER(T24),(1-T24*INDEX(Standards_Acceptance!$AL60:$BP60,1,MATCH(Q24-1,Standards_Acceptance!$AL$44:$BP$44,FALSE)))/(R24-Q24+1),"")</f>
        <v/>
      </c>
      <c r="V24" s="639" t="str">
        <f>IF(ISNUMBER(T24),IF(Q24&lt;2010,T24*Standards_Acceptance!CA60,T24*INDEX(Standards_Acceptance!$AL60:$BP60,1,MATCH(Q24-1,Standards_Acceptance!$AL$44:$BP$44,FALSE))),"")</f>
        <v/>
      </c>
      <c r="W24" s="186" t="str">
        <f>IF(Active_Case="Res",IF(Standards_Sectors!T25="","",Standards_Sectors!T25),IF(Active_Case="Com",IF(Standards_Sectors!T64="","",Standards_Sectors!T64),IF(Active_Case="Ind",IF(Standards_Sectors!T103="","",Standards_Sectors!T103),IF(Active_Case="Out",IF(Standards_Sectors!T142="","",Standards_Sectors!T142)))))</f>
        <v/>
      </c>
      <c r="X24" s="186" t="str">
        <f>IF(Active_Case="Res",IF(Standards_Sectors!U25="","",Standards_Sectors!U25),IF(Active_Case="Com",IF(Standards_Sectors!U64="","",Standards_Sectors!U64),IF(Active_Case="Ind",IF(Standards_Sectors!U103="","",Standards_Sectors!U103),IF(Active_Case="Out",IF(Standards_Sectors!U142="","",Standards_Sectors!U142)))))</f>
        <v/>
      </c>
      <c r="Y24" s="186" t="str">
        <f>IF(Active_Case="Res",IF(Standards_Sectors!V25="","",Standards_Sectors!V25),IF(Active_Case="Com",IF(Standards_Sectors!V64="","",Standards_Sectors!V64),IF(Active_Case="Ind",IF(Standards_Sectors!V103="","",Standards_Sectors!V103),IF(Active_Case="Out",IF(Standards_Sectors!V142="","",Standards_Sectors!V142)))))</f>
        <v/>
      </c>
      <c r="Z24" s="186" t="str">
        <f>IF(Active_Case="Res",IF(Standards_Sectors!W25="","",Standards_Sectors!W25),IF(Active_Case="Com",IF(Standards_Sectors!W64="","",Standards_Sectors!W64),IF(Active_Case="Ind",IF(Standards_Sectors!W103="","",Standards_Sectors!W103),IF(Active_Case="Out",IF(Standards_Sectors!W142="","",Standards_Sectors!W142)))))</f>
        <v/>
      </c>
      <c r="AA24" s="186" t="str">
        <f>IF(Active_Case="Res",IF(Standards_Sectors!X25="","",Standards_Sectors!X25),IF(Active_Case="Com",IF(Standards_Sectors!X64="","",Standards_Sectors!X64),IF(Active_Case="Ind",IF(Standards_Sectors!X103="","",Standards_Sectors!X103),IF(Active_Case="Out",IF(Standards_Sectors!X142="","",Standards_Sectors!X142)))))</f>
        <v/>
      </c>
      <c r="AB24" s="186" t="str">
        <f>IF(Active_Case="Res",IF(Standards_Sectors!Y25="","",Standards_Sectors!Y25),IF(Active_Case="Com",IF(Standards_Sectors!Y64="","",Standards_Sectors!Y64),IF(Active_Case="Ind",IF(Standards_Sectors!Y103="","",Standards_Sectors!Y103),IF(Active_Case="Out",IF(Standards_Sectors!Y142="","",Standards_Sectors!Y142)))))</f>
        <v/>
      </c>
      <c r="AC24" s="186" t="str">
        <f>IF(Active_Case="Res",IF(Standards_Sectors!Z25="","",Standards_Sectors!Z25),IF(Active_Case="Com",IF(Standards_Sectors!Z64="","",Standards_Sectors!Z64),IF(Active_Case="Ind",IF(Standards_Sectors!Z103="","",Standards_Sectors!Z103),IF(Active_Case="Out",IF(Standards_Sectors!Z142="","",Standards_Sectors!Z142)))))</f>
        <v/>
      </c>
      <c r="AD24" s="607" t="str">
        <f>IF(Active_Case="Res",IF(Standards_Sectors!AA25="","",Standards_Sectors!AA25),IF(Active_Case="Com",IF(Standards_Sectors!AA64="","",Standards_Sectors!AA64),IF(Active_Case="Ind",IF(Standards_Sectors!AA103="","",Standards_Sectors!AA103),IF(Active_Case="Out",IF(Standards_Sectors!AA142="","",Standards_Sectors!AA142)))))</f>
        <v/>
      </c>
    </row>
    <row r="25" spans="1:30" ht="12.6" x14ac:dyDescent="0.25">
      <c r="B25" s="81" t="s">
        <v>29</v>
      </c>
      <c r="C25" s="606" t="str">
        <f>IF(Active_Case="Res",IF(Standards_Sectors!D26="","",Standards_Sectors!D26),IF(Active_Case="Com",IF(Standards_Sectors!D65="","",Standards_Sectors!D65),IF(Active_Case="Ind",IF(Standards_Sectors!D104="","",Standards_Sectors!D104),IF(Active_Case="Out",IF(Standards_Sectors!D143="","",Standards_Sectors!D143)))))</f>
        <v/>
      </c>
      <c r="D25" s="186" t="str">
        <f>IF(Active_Case="Res",IF(Standards_Sectors!E26="","",Standards_Sectors!E26),IF(Active_Case="Com",IF(Standards_Sectors!E65="","",Standards_Sectors!E65),IF(Active_Case="Ind",IF(Standards_Sectors!E104="","",Standards_Sectors!E104),IF(Active_Case="Out",IF(Standards_Sectors!E143="","",Standards_Sectors!E143)))))</f>
        <v/>
      </c>
      <c r="E25" s="186" t="str">
        <f>IF(Active_Case="Res",IF(Standards_Sectors!F26="","",Standards_Sectors!F26),IF(Active_Case="Com",IF(Standards_Sectors!F65="","",Standards_Sectors!F65),IF(Active_Case="Ind",IF(Standards_Sectors!F104="","",Standards_Sectors!F104),IF(Active_Case="Out",IF(Standards_Sectors!F143="","",Standards_Sectors!F143)))))</f>
        <v/>
      </c>
      <c r="F25" s="186" t="str">
        <f>IF(Active_Case="Res",IF(Standards_Sectors!G26="","",Standards_Sectors!G26),IF(Active_Case="Com",IF(Standards_Sectors!G65="","",Standards_Sectors!G65),IF(Active_Case="Ind",IF(Standards_Sectors!G104="","",Standards_Sectors!G104),IF(Active_Case="Out",IF(Standards_Sectors!G143="","",Standards_Sectors!G143)))))</f>
        <v/>
      </c>
      <c r="G25" s="186" t="str">
        <f>IF(ISNUMBER(F25),(1-F25*INDEX(Standards_Acceptance!$AL24:$BP24,1,MATCH(C25-1,Standards_Acceptance!$AL$7:$BP$7,FALSE)))/(D25-C25+1),"")</f>
        <v/>
      </c>
      <c r="H25" s="186" t="str">
        <f>IF(ISNUMBER(F25),F25*INDEX(Standards_Acceptance!$AL24:$BP24,1,MATCH(C25-1,Standards_Acceptance!$AL$7:$BP$7,FALSE)),"")</f>
        <v/>
      </c>
      <c r="I25" s="186" t="str">
        <f>IF(Active_Case="Res",IF(Standards_Sectors!H26="","",Standards_Sectors!H26),IF(Active_Case="Com",IF(Standards_Sectors!H65="","",Standards_Sectors!H65),IF(Active_Case="Ind",IF(Standards_Sectors!H104="","",Standards_Sectors!H104),IF(Active_Case="Out",IF(Standards_Sectors!H143="","",Standards_Sectors!H143)))))</f>
        <v/>
      </c>
      <c r="J25" s="186" t="str">
        <f>IF(Active_Case="Res",IF(Standards_Sectors!I26="","",Standards_Sectors!I26),IF(Active_Case="Com",IF(Standards_Sectors!I65="","",Standards_Sectors!I65),IF(Active_Case="Ind",IF(Standards_Sectors!I104="","",Standards_Sectors!I104),IF(Active_Case="Out",IF(Standards_Sectors!I143="","",Standards_Sectors!I143)))))</f>
        <v/>
      </c>
      <c r="K25" s="186" t="str">
        <f>IF(Active_Case="Res",IF(Standards_Sectors!J26="","",Standards_Sectors!J26),IF(Active_Case="Com",IF(Standards_Sectors!J65="","",Standards_Sectors!J65),IF(Active_Case="Ind",IF(Standards_Sectors!J104="","",Standards_Sectors!J104),IF(Active_Case="Out",IF(Standards_Sectors!J143="","",Standards_Sectors!J143)))))</f>
        <v/>
      </c>
      <c r="L25" s="186" t="str">
        <f>IF(Active_Case="Res",IF(Standards_Sectors!K26="","",Standards_Sectors!K26),IF(Active_Case="Com",IF(Standards_Sectors!K65="","",Standards_Sectors!K65),IF(Active_Case="Ind",IF(Standards_Sectors!K104="","",Standards_Sectors!K104),IF(Active_Case="Out",IF(Standards_Sectors!K143="","",Standards_Sectors!K143)))))</f>
        <v/>
      </c>
      <c r="M25" s="186" t="str">
        <f>IF(Active_Case="Res",IF(Standards_Sectors!L26="","",Standards_Sectors!L26),IF(Active_Case="Com",IF(Standards_Sectors!L65="","",Standards_Sectors!L65),IF(Active_Case="Ind",IF(Standards_Sectors!L104="","",Standards_Sectors!L104),IF(Active_Case="Out",IF(Standards_Sectors!L143="","",Standards_Sectors!L143)))))</f>
        <v/>
      </c>
      <c r="N25" s="186" t="str">
        <f>IF(Active_Case="Res",IF(Standards_Sectors!M26="","",Standards_Sectors!M26),IF(Active_Case="Com",IF(Standards_Sectors!M65="","",Standards_Sectors!M65),IF(Active_Case="Ind",IF(Standards_Sectors!M104="","",Standards_Sectors!M104),IF(Active_Case="Out",IF(Standards_Sectors!M143="","",Standards_Sectors!M143)))))</f>
        <v/>
      </c>
      <c r="O25" s="186" t="str">
        <f>IF(Active_Case="Res",IF(Standards_Sectors!N26="","",Standards_Sectors!N26),IF(Active_Case="Com",IF(Standards_Sectors!N65="","",Standards_Sectors!N65),IF(Active_Case="Ind",IF(Standards_Sectors!N104="","",Standards_Sectors!N104),IF(Active_Case="Out",IF(Standards_Sectors!N143="","",Standards_Sectors!N143)))))</f>
        <v/>
      </c>
      <c r="P25" s="607" t="str">
        <f>IF(Active_Case="Res",IF(Standards_Sectors!O26="","",Standards_Sectors!O26),IF(Active_Case="Com",IF(Standards_Sectors!O65="","",Standards_Sectors!O65),IF(Active_Case="Ind",IF(Standards_Sectors!O104="","",Standards_Sectors!O104),IF(Active_Case="Out",IF(Standards_Sectors!O143="","",Standards_Sectors!O143)))))</f>
        <v/>
      </c>
      <c r="Q25" s="606" t="str">
        <f>IF(Active_Case="Res",IF(Standards_Sectors!P26="","",Standards_Sectors!P26),IF(Active_Case="Com",IF(Standards_Sectors!P65="","",Standards_Sectors!P65),IF(Active_Case="Ind",IF(Standards_Sectors!P104="","",Standards_Sectors!P104),IF(Active_Case="Out",IF(Standards_Sectors!P143="","",Standards_Sectors!P143)))))</f>
        <v/>
      </c>
      <c r="R25" s="186" t="str">
        <f>IF(Active_Case="Res",IF(Standards_Sectors!Q26="","",Standards_Sectors!Q26),IF(Active_Case="Com",IF(Standards_Sectors!Q65="","",Standards_Sectors!Q65),IF(Active_Case="Ind",IF(Standards_Sectors!Q104="","",Standards_Sectors!Q104),IF(Active_Case="Out",IF(Standards_Sectors!Q143="","",Standards_Sectors!Q143)))))</f>
        <v/>
      </c>
      <c r="S25" s="186" t="str">
        <f>IF(Active_Case="Res",IF(Standards_Sectors!R26="","",Standards_Sectors!R26),IF(Active_Case="Com",IF(Standards_Sectors!R65="","",Standards_Sectors!R65),IF(Active_Case="Ind",IF(Standards_Sectors!R104="","",Standards_Sectors!R104),IF(Active_Case="Out",IF(Standards_Sectors!R143="","",Standards_Sectors!R143)))))</f>
        <v/>
      </c>
      <c r="T25" s="186" t="str">
        <f>IF(Active_Case="Res",IF(Standards_Sectors!S26="","",Standards_Sectors!S26),IF(Active_Case="Com",IF(Standards_Sectors!S65="","",Standards_Sectors!S65),IF(Active_Case="Ind",IF(Standards_Sectors!S104="","",Standards_Sectors!S104),IF(Active_Case="Out",IF(Standards_Sectors!S143="","",Standards_Sectors!S143)))))</f>
        <v/>
      </c>
      <c r="U25" s="186" t="str">
        <f>IF(ISNUMBER(T25),(1-T25*INDEX(Standards_Acceptance!$AL61:$BP61,1,MATCH(Q25-1,Standards_Acceptance!$AL$44:$BP$44,FALSE)))/(R25-Q25+1),"")</f>
        <v/>
      </c>
      <c r="V25" s="639" t="str">
        <f>IF(ISNUMBER(T25),IF(Q25&lt;2010,T25*Standards_Acceptance!CA61,T25*INDEX(Standards_Acceptance!$AL61:$BP61,1,MATCH(Q25-1,Standards_Acceptance!$AL$44:$BP$44,FALSE))),"")</f>
        <v/>
      </c>
      <c r="W25" s="186" t="str">
        <f>IF(Active_Case="Res",IF(Standards_Sectors!T26="","",Standards_Sectors!T26),IF(Active_Case="Com",IF(Standards_Sectors!T65="","",Standards_Sectors!T65),IF(Active_Case="Ind",IF(Standards_Sectors!T104="","",Standards_Sectors!T104),IF(Active_Case="Out",IF(Standards_Sectors!T143="","",Standards_Sectors!T143)))))</f>
        <v/>
      </c>
      <c r="X25" s="186" t="str">
        <f>IF(Active_Case="Res",IF(Standards_Sectors!U26="","",Standards_Sectors!U26),IF(Active_Case="Com",IF(Standards_Sectors!U65="","",Standards_Sectors!U65),IF(Active_Case="Ind",IF(Standards_Sectors!U104="","",Standards_Sectors!U104),IF(Active_Case="Out",IF(Standards_Sectors!U143="","",Standards_Sectors!U143)))))</f>
        <v/>
      </c>
      <c r="Y25" s="186" t="str">
        <f>IF(Active_Case="Res",IF(Standards_Sectors!V26="","",Standards_Sectors!V26),IF(Active_Case="Com",IF(Standards_Sectors!V65="","",Standards_Sectors!V65),IF(Active_Case="Ind",IF(Standards_Sectors!V104="","",Standards_Sectors!V104),IF(Active_Case="Out",IF(Standards_Sectors!V143="","",Standards_Sectors!V143)))))</f>
        <v/>
      </c>
      <c r="Z25" s="186" t="str">
        <f>IF(Active_Case="Res",IF(Standards_Sectors!W26="","",Standards_Sectors!W26),IF(Active_Case="Com",IF(Standards_Sectors!W65="","",Standards_Sectors!W65),IF(Active_Case="Ind",IF(Standards_Sectors!W104="","",Standards_Sectors!W104),IF(Active_Case="Out",IF(Standards_Sectors!W143="","",Standards_Sectors!W143)))))</f>
        <v/>
      </c>
      <c r="AA25" s="186" t="str">
        <f>IF(Active_Case="Res",IF(Standards_Sectors!X26="","",Standards_Sectors!X26),IF(Active_Case="Com",IF(Standards_Sectors!X65="","",Standards_Sectors!X65),IF(Active_Case="Ind",IF(Standards_Sectors!X104="","",Standards_Sectors!X104),IF(Active_Case="Out",IF(Standards_Sectors!X143="","",Standards_Sectors!X143)))))</f>
        <v/>
      </c>
      <c r="AB25" s="186" t="str">
        <f>IF(Active_Case="Res",IF(Standards_Sectors!Y26="","",Standards_Sectors!Y26),IF(Active_Case="Com",IF(Standards_Sectors!Y65="","",Standards_Sectors!Y65),IF(Active_Case="Ind",IF(Standards_Sectors!Y104="","",Standards_Sectors!Y104),IF(Active_Case="Out",IF(Standards_Sectors!Y143="","",Standards_Sectors!Y143)))))</f>
        <v/>
      </c>
      <c r="AC25" s="186" t="str">
        <f>IF(Active_Case="Res",IF(Standards_Sectors!Z26="","",Standards_Sectors!Z26),IF(Active_Case="Com",IF(Standards_Sectors!Z65="","",Standards_Sectors!Z65),IF(Active_Case="Ind",IF(Standards_Sectors!Z104="","",Standards_Sectors!Z104),IF(Active_Case="Out",IF(Standards_Sectors!Z143="","",Standards_Sectors!Z143)))))</f>
        <v/>
      </c>
      <c r="AD25" s="607" t="str">
        <f>IF(Active_Case="Res",IF(Standards_Sectors!AA26="","",Standards_Sectors!AA26),IF(Active_Case="Com",IF(Standards_Sectors!AA65="","",Standards_Sectors!AA65),IF(Active_Case="Ind",IF(Standards_Sectors!AA104="","",Standards_Sectors!AA104),IF(Active_Case="Out",IF(Standards_Sectors!AA143="","",Standards_Sectors!AA143)))))</f>
        <v/>
      </c>
    </row>
    <row r="26" spans="1:30" ht="12.6" x14ac:dyDescent="0.25">
      <c r="C26" s="511"/>
      <c r="D26" s="382"/>
      <c r="E26" s="382"/>
      <c r="F26" s="382"/>
      <c r="G26" s="382"/>
      <c r="H26" s="382"/>
      <c r="I26" s="382"/>
      <c r="J26" s="382"/>
      <c r="K26" s="382"/>
      <c r="L26" s="414"/>
      <c r="M26" s="382"/>
      <c r="N26" s="382"/>
      <c r="O26" s="382"/>
      <c r="P26" s="410"/>
      <c r="Q26" s="511"/>
      <c r="R26" s="382"/>
      <c r="S26" s="382"/>
      <c r="T26" s="382"/>
      <c r="U26" s="382"/>
      <c r="V26" s="382"/>
      <c r="W26" s="382"/>
      <c r="X26" s="382"/>
      <c r="Y26" s="382"/>
      <c r="Z26" s="382"/>
      <c r="AA26" s="382"/>
      <c r="AB26" s="382"/>
      <c r="AC26" s="382"/>
      <c r="AD26" s="410"/>
    </row>
    <row r="27" spans="1:30" s="57" customFormat="1" ht="12.95" x14ac:dyDescent="0.3">
      <c r="A27" s="58" t="s">
        <v>42</v>
      </c>
      <c r="C27" s="558"/>
      <c r="D27" s="512"/>
      <c r="E27" s="512"/>
      <c r="F27" s="512"/>
      <c r="G27" s="512"/>
      <c r="H27" s="512"/>
      <c r="I27" s="512"/>
      <c r="J27" s="512"/>
      <c r="K27" s="512"/>
      <c r="L27" s="512"/>
      <c r="M27" s="512"/>
      <c r="N27" s="512"/>
      <c r="O27" s="512"/>
      <c r="P27" s="559"/>
      <c r="Q27" s="558"/>
      <c r="R27" s="512"/>
      <c r="S27" s="512"/>
      <c r="T27" s="512"/>
      <c r="U27" s="512"/>
      <c r="V27" s="512"/>
      <c r="W27" s="512"/>
      <c r="X27" s="512"/>
      <c r="Y27" s="512"/>
      <c r="Z27" s="512"/>
      <c r="AA27" s="512"/>
      <c r="AB27" s="512"/>
      <c r="AC27" s="512"/>
      <c r="AD27" s="559"/>
    </row>
    <row r="28" spans="1:30" ht="12.6" x14ac:dyDescent="0.25">
      <c r="B28" s="101" t="s">
        <v>43</v>
      </c>
      <c r="C28" s="606" t="str">
        <f>IF(Active_Case="Res",IF(Standards_Sectors!D29="","",Standards_Sectors!D29),IF(Active_Case="Com",IF(Standards_Sectors!D68="","",Standards_Sectors!D68),IF(Active_Case="Ind",IF(Standards_Sectors!D107="","",Standards_Sectors!D107),IF(Active_Case="Out",IF(Standards_Sectors!D146="","",Standards_Sectors!D146)))))</f>
        <v/>
      </c>
      <c r="D28" s="186" t="str">
        <f>IF(Active_Case="Res",IF(Standards_Sectors!E29="","",Standards_Sectors!E29),IF(Active_Case="Com",IF(Standards_Sectors!E68="","",Standards_Sectors!E68),IF(Active_Case="Ind",IF(Standards_Sectors!E107="","",Standards_Sectors!E107),IF(Active_Case="Out",IF(Standards_Sectors!E146="","",Standards_Sectors!E146)))))</f>
        <v/>
      </c>
      <c r="E28" s="186" t="str">
        <f>IF(Active_Case="Res",IF(Standards_Sectors!F29="","",Standards_Sectors!F29),IF(Active_Case="Com",IF(Standards_Sectors!F68="","",Standards_Sectors!F68),IF(Active_Case="Ind",IF(Standards_Sectors!F107="","",Standards_Sectors!F107),IF(Active_Case="Out",IF(Standards_Sectors!F146="","",Standards_Sectors!F146)))))</f>
        <v/>
      </c>
      <c r="F28" s="186" t="str">
        <f>IF(Active_Case="Res",IF(Standards_Sectors!G29="","",Standards_Sectors!G29),IF(Active_Case="Com",IF(Standards_Sectors!G68="","",Standards_Sectors!G68),IF(Active_Case="Ind",IF(Standards_Sectors!G107="","",Standards_Sectors!G107),IF(Active_Case="Out",IF(Standards_Sectors!G146="","",Standards_Sectors!G146)))))</f>
        <v/>
      </c>
      <c r="G28" s="186" t="str">
        <f>IF(ISNUMBER(F28),(1-F28*INDEX(Standards_Acceptance!$AL27:$BP27,1,MATCH(C28-1,Standards_Acceptance!$AL$7:$BP$7,FALSE)))/(D28-C28+1),"")</f>
        <v/>
      </c>
      <c r="H28" s="186" t="str">
        <f>IF(ISNUMBER(F28),F28*INDEX(Standards_Acceptance!$AL27:$BP27,1,MATCH(C28-1,Standards_Acceptance!$AL$7:$BP$7,FALSE)),"")</f>
        <v/>
      </c>
      <c r="I28" s="186" t="str">
        <f>IF(Active_Case="Res",IF(Standards_Sectors!H29="","",Standards_Sectors!H29),IF(Active_Case="Com",IF(Standards_Sectors!H68="","",Standards_Sectors!H68),IF(Active_Case="Ind",IF(Standards_Sectors!H107="","",Standards_Sectors!H107),IF(Active_Case="Out",IF(Standards_Sectors!H146="","",Standards_Sectors!H146)))))</f>
        <v/>
      </c>
      <c r="J28" s="186" t="str">
        <f>IF(Active_Case="Res",IF(Standards_Sectors!I29="","",Standards_Sectors!I29),IF(Active_Case="Com",IF(Standards_Sectors!I68="","",Standards_Sectors!I68),IF(Active_Case="Ind",IF(Standards_Sectors!I107="","",Standards_Sectors!I107),IF(Active_Case="Out",IF(Standards_Sectors!I146="","",Standards_Sectors!I146)))))</f>
        <v/>
      </c>
      <c r="K28" s="186" t="str">
        <f>IF(Active_Case="Res",IF(Standards_Sectors!J29="","",Standards_Sectors!J29),IF(Active_Case="Com",IF(Standards_Sectors!J68="","",Standards_Sectors!J68),IF(Active_Case="Ind",IF(Standards_Sectors!J107="","",Standards_Sectors!J107),IF(Active_Case="Out",IF(Standards_Sectors!J146="","",Standards_Sectors!J146)))))</f>
        <v/>
      </c>
      <c r="L28" s="186" t="str">
        <f>IF(Active_Case="Res",IF(Standards_Sectors!K29="","",Standards_Sectors!K29),IF(Active_Case="Com",IF(Standards_Sectors!K68="","",Standards_Sectors!K68),IF(Active_Case="Ind",IF(Standards_Sectors!K107="","",Standards_Sectors!K107),IF(Active_Case="Out",IF(Standards_Sectors!K146="","",Standards_Sectors!K146)))))</f>
        <v/>
      </c>
      <c r="M28" s="186" t="str">
        <f>IF(Active_Case="Res",IF(Standards_Sectors!L29="","",Standards_Sectors!L29),IF(Active_Case="Com",IF(Standards_Sectors!L68="","",Standards_Sectors!L68),IF(Active_Case="Ind",IF(Standards_Sectors!L107="","",Standards_Sectors!L107),IF(Active_Case="Out",IF(Standards_Sectors!L146="","",Standards_Sectors!L146)))))</f>
        <v/>
      </c>
      <c r="N28" s="186" t="str">
        <f>IF(Active_Case="Res",IF(Standards_Sectors!M29="","",Standards_Sectors!M29),IF(Active_Case="Com",IF(Standards_Sectors!M68="","",Standards_Sectors!M68),IF(Active_Case="Ind",IF(Standards_Sectors!M107="","",Standards_Sectors!M107),IF(Active_Case="Out",IF(Standards_Sectors!M146="","",Standards_Sectors!M146)))))</f>
        <v/>
      </c>
      <c r="O28" s="186" t="str">
        <f>IF(Active_Case="Res",IF(Standards_Sectors!N29="","",Standards_Sectors!N29),IF(Active_Case="Com",IF(Standards_Sectors!N68="","",Standards_Sectors!N68),IF(Active_Case="Ind",IF(Standards_Sectors!N107="","",Standards_Sectors!N107),IF(Active_Case="Out",IF(Standards_Sectors!N146="","",Standards_Sectors!N146)))))</f>
        <v/>
      </c>
      <c r="P28" s="607" t="str">
        <f>IF(Active_Case="Res",IF(Standards_Sectors!O29="","",Standards_Sectors!O29),IF(Active_Case="Com",IF(Standards_Sectors!O68="","",Standards_Sectors!O68),IF(Active_Case="Ind",IF(Standards_Sectors!O107="","",Standards_Sectors!O107),IF(Active_Case="Out",IF(Standards_Sectors!O146="","",Standards_Sectors!O146)))))</f>
        <v/>
      </c>
      <c r="Q28" s="606">
        <f>IF(Active_Case="Res",IF(Standards_Sectors!P29="","",Standards_Sectors!P29),IF(Active_Case="Com",IF(Standards_Sectors!P68="","",Standards_Sectors!P68),IF(Active_Case="Ind",IF(Standards_Sectors!P107="","",Standards_Sectors!P107),IF(Active_Case="Out",IF(Standards_Sectors!P146="","",Standards_Sectors!P146)))))</f>
        <v>2008</v>
      </c>
      <c r="R28" s="186">
        <f>IF(Active_Case="Res",IF(Standards_Sectors!Q29="","",Standards_Sectors!Q29),IF(Active_Case="Com",IF(Standards_Sectors!Q68="","",Standards_Sectors!Q68),IF(Active_Case="Ind",IF(Standards_Sectors!Q107="","",Standards_Sectors!Q107),IF(Active_Case="Out",IF(Standards_Sectors!Q146="","",Standards_Sectors!Q146)))))</f>
        <v>2010</v>
      </c>
      <c r="S28" s="186" t="str">
        <f>IF(Active_Case="Res",IF(Standards_Sectors!R29="","",Standards_Sectors!R29),IF(Active_Case="Com",IF(Standards_Sectors!R68="","",Standards_Sectors!R68),IF(Active_Case="Ind",IF(Standards_Sectors!R107="","",Standards_Sectors!R107),IF(Active_Case="Out",IF(Standards_Sectors!R146="","",Standards_Sectors!R146)))))</f>
        <v>Yes</v>
      </c>
      <c r="T28" s="186">
        <f>IF(Active_Case="Res",IF(Standards_Sectors!S29="","",Standards_Sectors!S29),IF(Active_Case="Com",IF(Standards_Sectors!S68="","",Standards_Sectors!S68),IF(Active_Case="Ind",IF(Standards_Sectors!S107="","",Standards_Sectors!S107),IF(Active_Case="Out",IF(Standards_Sectors!S146="","",Standards_Sectors!S146)))))</f>
        <v>0.05</v>
      </c>
      <c r="U28" s="639">
        <f>IF(ISNUMBER(T28),(1-T28*INDEX(Standards_Acceptance!$AL64:$BP64,1,MATCH(Q28-1,Standards_Acceptance!$AL$44:$BP$44,FALSE)))/(R28-Q28+1),"")</f>
        <v>0.33333333333333331</v>
      </c>
      <c r="V28" s="639">
        <f>IF(ISNUMBER(T28),IF(Q28&lt;2010,T28*Standards_Acceptance!CA64,T28*INDEX(Standards_Acceptance!$AL64:$BP64,1,MATCH(Q28-1,Standards_Acceptance!$AL$44:$BP$44,FALSE))),"")</f>
        <v>1.0000000000000002E-2</v>
      </c>
      <c r="W28" s="186" t="str">
        <f>IF(Active_Case="Res",IF(Standards_Sectors!T29="","",Standards_Sectors!T29),IF(Active_Case="Com",IF(Standards_Sectors!T68="","",Standards_Sectors!T68),IF(Active_Case="Ind",IF(Standards_Sectors!T107="","",Standards_Sectors!T107),IF(Active_Case="Out",IF(Standards_Sectors!T146="","",Standards_Sectors!T146)))))</f>
        <v/>
      </c>
      <c r="X28" s="186" t="str">
        <f>IF(Active_Case="Res",IF(Standards_Sectors!U29="","",Standards_Sectors!U29),IF(Active_Case="Com",IF(Standards_Sectors!U68="","",Standards_Sectors!U68),IF(Active_Case="Ind",IF(Standards_Sectors!U107="","",Standards_Sectors!U107),IF(Active_Case="Out",IF(Standards_Sectors!U146="","",Standards_Sectors!U146)))))</f>
        <v/>
      </c>
      <c r="Y28" s="186" t="str">
        <f>IF(Active_Case="Res",IF(Standards_Sectors!V29="","",Standards_Sectors!V29),IF(Active_Case="Com",IF(Standards_Sectors!V68="","",Standards_Sectors!V68),IF(Active_Case="Ind",IF(Standards_Sectors!V107="","",Standards_Sectors!V107),IF(Active_Case="Out",IF(Standards_Sectors!V146="","",Standards_Sectors!V146)))))</f>
        <v/>
      </c>
      <c r="Z28" s="186" t="str">
        <f>IF(Active_Case="Res",IF(Standards_Sectors!W29="","",Standards_Sectors!W29),IF(Active_Case="Com",IF(Standards_Sectors!W68="","",Standards_Sectors!W68),IF(Active_Case="Ind",IF(Standards_Sectors!W107="","",Standards_Sectors!W107),IF(Active_Case="Out",IF(Standards_Sectors!W146="","",Standards_Sectors!W146)))))</f>
        <v/>
      </c>
      <c r="AA28" s="186" t="str">
        <f>IF(Active_Case="Res",IF(Standards_Sectors!X29="","",Standards_Sectors!X29),IF(Active_Case="Com",IF(Standards_Sectors!X68="","",Standards_Sectors!X68),IF(Active_Case="Ind",IF(Standards_Sectors!X107="","",Standards_Sectors!X107),IF(Active_Case="Out",IF(Standards_Sectors!X146="","",Standards_Sectors!X146)))))</f>
        <v/>
      </c>
      <c r="AB28" s="186" t="str">
        <f>IF(Active_Case="Res",IF(Standards_Sectors!Y29="","",Standards_Sectors!Y29),IF(Active_Case="Com",IF(Standards_Sectors!Y68="","",Standards_Sectors!Y68),IF(Active_Case="Ind",IF(Standards_Sectors!Y107="","",Standards_Sectors!Y107),IF(Active_Case="Out",IF(Standards_Sectors!Y146="","",Standards_Sectors!Y146)))))</f>
        <v/>
      </c>
      <c r="AC28" s="186">
        <f>IF(Active_Case="Res",IF(Standards_Sectors!Z29="","",Standards_Sectors!Z29),IF(Active_Case="Com",IF(Standards_Sectors!Z68="","",Standards_Sectors!Z68),IF(Active_Case="Ind",IF(Standards_Sectors!Z107="","",Standards_Sectors!Z107),IF(Active_Case="Out",IF(Standards_Sectors!Z146="","",Standards_Sectors!Z146)))))</f>
        <v>-5.0000000000000001E-3</v>
      </c>
      <c r="AD28" s="607" t="str">
        <f>IF(Active_Case="Res",IF(Standards_Sectors!AA29="","",Standards_Sectors!AA29),IF(Active_Case="Com",IF(Standards_Sectors!AA68="","",Standards_Sectors!AA68),IF(Active_Case="Ind",IF(Standards_Sectors!AA107="","",Standards_Sectors!AA107),IF(Active_Case="Out",IF(Standards_Sectors!AA146="","",Standards_Sectors!AA146)))))</f>
        <v/>
      </c>
    </row>
    <row r="29" spans="1:30" ht="12.6" x14ac:dyDescent="0.25">
      <c r="B29" s="101" t="s">
        <v>44</v>
      </c>
      <c r="C29" s="606" t="str">
        <f>IF(Active_Case="Res",IF(Standards_Sectors!D30="","",Standards_Sectors!D30),IF(Active_Case="Com",IF(Standards_Sectors!D69="","",Standards_Sectors!D69),IF(Active_Case="Ind",IF(Standards_Sectors!D108="","",Standards_Sectors!D108),IF(Active_Case="Out",IF(Standards_Sectors!D147="","",Standards_Sectors!D147)))))</f>
        <v/>
      </c>
      <c r="D29" s="186" t="str">
        <f>IF(Active_Case="Res",IF(Standards_Sectors!E30="","",Standards_Sectors!E30),IF(Active_Case="Com",IF(Standards_Sectors!E69="","",Standards_Sectors!E69),IF(Active_Case="Ind",IF(Standards_Sectors!E108="","",Standards_Sectors!E108),IF(Active_Case="Out",IF(Standards_Sectors!E147="","",Standards_Sectors!E147)))))</f>
        <v/>
      </c>
      <c r="E29" s="186" t="str">
        <f>IF(Active_Case="Res",IF(Standards_Sectors!F30="","",Standards_Sectors!F30),IF(Active_Case="Com",IF(Standards_Sectors!F69="","",Standards_Sectors!F69),IF(Active_Case="Ind",IF(Standards_Sectors!F108="","",Standards_Sectors!F108),IF(Active_Case="Out",IF(Standards_Sectors!F147="","",Standards_Sectors!F147)))))</f>
        <v/>
      </c>
      <c r="F29" s="186" t="str">
        <f>IF(Active_Case="Res",IF(Standards_Sectors!G30="","",Standards_Sectors!G30),IF(Active_Case="Com",IF(Standards_Sectors!G69="","",Standards_Sectors!G69),IF(Active_Case="Ind",IF(Standards_Sectors!G108="","",Standards_Sectors!G108),IF(Active_Case="Out",IF(Standards_Sectors!G147="","",Standards_Sectors!G147)))))</f>
        <v/>
      </c>
      <c r="G29" s="186" t="str">
        <f>IF(ISNUMBER(F29),(1-F29*INDEX(Standards_Acceptance!$AL28:$BP28,1,MATCH(C29-1,Standards_Acceptance!$AL$7:$BP$7,FALSE)))/(D29-C29+1),"")</f>
        <v/>
      </c>
      <c r="H29" s="186" t="str">
        <f>IF(ISNUMBER(F29),F29*INDEX(Standards_Acceptance!$AL28:$BP28,1,MATCH(C29-1,Standards_Acceptance!$AL$7:$BP$7,FALSE)),"")</f>
        <v/>
      </c>
      <c r="I29" s="186" t="str">
        <f>IF(Active_Case="Res",IF(Standards_Sectors!H30="","",Standards_Sectors!H30),IF(Active_Case="Com",IF(Standards_Sectors!H69="","",Standards_Sectors!H69),IF(Active_Case="Ind",IF(Standards_Sectors!H108="","",Standards_Sectors!H108),IF(Active_Case="Out",IF(Standards_Sectors!H147="","",Standards_Sectors!H147)))))</f>
        <v/>
      </c>
      <c r="J29" s="186" t="str">
        <f>IF(Active_Case="Res",IF(Standards_Sectors!I30="","",Standards_Sectors!I30),IF(Active_Case="Com",IF(Standards_Sectors!I69="","",Standards_Sectors!I69),IF(Active_Case="Ind",IF(Standards_Sectors!I108="","",Standards_Sectors!I108),IF(Active_Case="Out",IF(Standards_Sectors!I147="","",Standards_Sectors!I147)))))</f>
        <v/>
      </c>
      <c r="K29" s="186" t="str">
        <f>IF(Active_Case="Res",IF(Standards_Sectors!J30="","",Standards_Sectors!J30),IF(Active_Case="Com",IF(Standards_Sectors!J69="","",Standards_Sectors!J69),IF(Active_Case="Ind",IF(Standards_Sectors!J108="","",Standards_Sectors!J108),IF(Active_Case="Out",IF(Standards_Sectors!J147="","",Standards_Sectors!J147)))))</f>
        <v/>
      </c>
      <c r="L29" s="186" t="str">
        <f>IF(Active_Case="Res",IF(Standards_Sectors!K30="","",Standards_Sectors!K30),IF(Active_Case="Com",IF(Standards_Sectors!K69="","",Standards_Sectors!K69),IF(Active_Case="Ind",IF(Standards_Sectors!K108="","",Standards_Sectors!K108),IF(Active_Case="Out",IF(Standards_Sectors!K147="","",Standards_Sectors!K147)))))</f>
        <v/>
      </c>
      <c r="M29" s="186" t="str">
        <f>IF(Active_Case="Res",IF(Standards_Sectors!L30="","",Standards_Sectors!L30),IF(Active_Case="Com",IF(Standards_Sectors!L69="","",Standards_Sectors!L69),IF(Active_Case="Ind",IF(Standards_Sectors!L108="","",Standards_Sectors!L108),IF(Active_Case="Out",IF(Standards_Sectors!L147="","",Standards_Sectors!L147)))))</f>
        <v/>
      </c>
      <c r="N29" s="186" t="str">
        <f>IF(Active_Case="Res",IF(Standards_Sectors!M30="","",Standards_Sectors!M30),IF(Active_Case="Com",IF(Standards_Sectors!M69="","",Standards_Sectors!M69),IF(Active_Case="Ind",IF(Standards_Sectors!M108="","",Standards_Sectors!M108),IF(Active_Case="Out",IF(Standards_Sectors!M147="","",Standards_Sectors!M147)))))</f>
        <v/>
      </c>
      <c r="O29" s="186" t="str">
        <f>IF(Active_Case="Res",IF(Standards_Sectors!N30="","",Standards_Sectors!N30),IF(Active_Case="Com",IF(Standards_Sectors!N69="","",Standards_Sectors!N69),IF(Active_Case="Ind",IF(Standards_Sectors!N108="","",Standards_Sectors!N108),IF(Active_Case="Out",IF(Standards_Sectors!N147="","",Standards_Sectors!N147)))))</f>
        <v/>
      </c>
      <c r="P29" s="607" t="str">
        <f>IF(Active_Case="Res",IF(Standards_Sectors!O30="","",Standards_Sectors!O30),IF(Active_Case="Com",IF(Standards_Sectors!O69="","",Standards_Sectors!O69),IF(Active_Case="Ind",IF(Standards_Sectors!O108="","",Standards_Sectors!O108),IF(Active_Case="Out",IF(Standards_Sectors!O147="","",Standards_Sectors!O147)))))</f>
        <v/>
      </c>
      <c r="Q29" s="606" t="str">
        <f>IF(Active_Case="Res",IF(Standards_Sectors!P30="","",Standards_Sectors!P30),IF(Active_Case="Com",IF(Standards_Sectors!P69="","",Standards_Sectors!P69),IF(Active_Case="Ind",IF(Standards_Sectors!P108="","",Standards_Sectors!P108),IF(Active_Case="Out",IF(Standards_Sectors!P147="","",Standards_Sectors!P147)))))</f>
        <v/>
      </c>
      <c r="R29" s="186" t="str">
        <f>IF(Active_Case="Res",IF(Standards_Sectors!Q30="","",Standards_Sectors!Q30),IF(Active_Case="Com",IF(Standards_Sectors!Q69="","",Standards_Sectors!Q69),IF(Active_Case="Ind",IF(Standards_Sectors!Q108="","",Standards_Sectors!Q108),IF(Active_Case="Out",IF(Standards_Sectors!Q147="","",Standards_Sectors!Q147)))))</f>
        <v/>
      </c>
      <c r="S29" s="186" t="str">
        <f>IF(Active_Case="Res",IF(Standards_Sectors!R30="","",Standards_Sectors!R30),IF(Active_Case="Com",IF(Standards_Sectors!R69="","",Standards_Sectors!R69),IF(Active_Case="Ind",IF(Standards_Sectors!R108="","",Standards_Sectors!R108),IF(Active_Case="Out",IF(Standards_Sectors!R147="","",Standards_Sectors!R147)))))</f>
        <v/>
      </c>
      <c r="T29" s="186" t="str">
        <f>IF(Active_Case="Res",IF(Standards_Sectors!S30="","",Standards_Sectors!S30),IF(Active_Case="Com",IF(Standards_Sectors!S69="","",Standards_Sectors!S69),IF(Active_Case="Ind",IF(Standards_Sectors!S108="","",Standards_Sectors!S108),IF(Active_Case="Out",IF(Standards_Sectors!S147="","",Standards_Sectors!S147)))))</f>
        <v/>
      </c>
      <c r="U29" s="186" t="str">
        <f>IF(ISNUMBER(T29),(1-T29*INDEX(Standards_Acceptance!$AL65:$BP65,1,MATCH(Q29-1,Standards_Acceptance!$AL$44:$BP$44,FALSE)))/(R29-Q29+1),"")</f>
        <v/>
      </c>
      <c r="V29" s="639" t="str">
        <f>IF(ISNUMBER(T29),IF(Q29&lt;2010,T29*Standards_Acceptance!CA65,T29*INDEX(Standards_Acceptance!$AL65:$BP65,1,MATCH(Q29-1,Standards_Acceptance!$AL$44:$BP$44,FALSE))),"")</f>
        <v/>
      </c>
      <c r="W29" s="186" t="str">
        <f>IF(Active_Case="Res",IF(Standards_Sectors!T30="","",Standards_Sectors!T30),IF(Active_Case="Com",IF(Standards_Sectors!T69="","",Standards_Sectors!T69),IF(Active_Case="Ind",IF(Standards_Sectors!T108="","",Standards_Sectors!T108),IF(Active_Case="Out",IF(Standards_Sectors!T147="","",Standards_Sectors!T147)))))</f>
        <v/>
      </c>
      <c r="X29" s="186" t="str">
        <f>IF(Active_Case="Res",IF(Standards_Sectors!U30="","",Standards_Sectors!U30),IF(Active_Case="Com",IF(Standards_Sectors!U69="","",Standards_Sectors!U69),IF(Active_Case="Ind",IF(Standards_Sectors!U108="","",Standards_Sectors!U108),IF(Active_Case="Out",IF(Standards_Sectors!U147="","",Standards_Sectors!U147)))))</f>
        <v/>
      </c>
      <c r="Y29" s="186" t="str">
        <f>IF(Active_Case="Res",IF(Standards_Sectors!V30="","",Standards_Sectors!V30),IF(Active_Case="Com",IF(Standards_Sectors!V69="","",Standards_Sectors!V69),IF(Active_Case="Ind",IF(Standards_Sectors!V108="","",Standards_Sectors!V108),IF(Active_Case="Out",IF(Standards_Sectors!V147="","",Standards_Sectors!V147)))))</f>
        <v/>
      </c>
      <c r="Z29" s="186" t="str">
        <f>IF(Active_Case="Res",IF(Standards_Sectors!W30="","",Standards_Sectors!W30),IF(Active_Case="Com",IF(Standards_Sectors!W69="","",Standards_Sectors!W69),IF(Active_Case="Ind",IF(Standards_Sectors!W108="","",Standards_Sectors!W108),IF(Active_Case="Out",IF(Standards_Sectors!W147="","",Standards_Sectors!W147)))))</f>
        <v/>
      </c>
      <c r="AA29" s="186" t="str">
        <f>IF(Active_Case="Res",IF(Standards_Sectors!X30="","",Standards_Sectors!X30),IF(Active_Case="Com",IF(Standards_Sectors!X69="","",Standards_Sectors!X69),IF(Active_Case="Ind",IF(Standards_Sectors!X108="","",Standards_Sectors!X108),IF(Active_Case="Out",IF(Standards_Sectors!X147="","",Standards_Sectors!X147)))))</f>
        <v/>
      </c>
      <c r="AB29" s="186" t="str">
        <f>IF(Active_Case="Res",IF(Standards_Sectors!Y30="","",Standards_Sectors!Y30),IF(Active_Case="Com",IF(Standards_Sectors!Y69="","",Standards_Sectors!Y69),IF(Active_Case="Ind",IF(Standards_Sectors!Y108="","",Standards_Sectors!Y108),IF(Active_Case="Out",IF(Standards_Sectors!Y147="","",Standards_Sectors!Y147)))))</f>
        <v/>
      </c>
      <c r="AC29" s="186" t="str">
        <f>IF(Active_Case="Res",IF(Standards_Sectors!Z30="","",Standards_Sectors!Z30),IF(Active_Case="Com",IF(Standards_Sectors!Z69="","",Standards_Sectors!Z69),IF(Active_Case="Ind",IF(Standards_Sectors!Z108="","",Standards_Sectors!Z108),IF(Active_Case="Out",IF(Standards_Sectors!Z147="","",Standards_Sectors!Z147)))))</f>
        <v/>
      </c>
      <c r="AD29" s="607" t="str">
        <f>IF(Active_Case="Res",IF(Standards_Sectors!AA30="","",Standards_Sectors!AA30),IF(Active_Case="Com",IF(Standards_Sectors!AA69="","",Standards_Sectors!AA69),IF(Active_Case="Ind",IF(Standards_Sectors!AA108="","",Standards_Sectors!AA108),IF(Active_Case="Out",IF(Standards_Sectors!AA147="","",Standards_Sectors!AA147)))))</f>
        <v/>
      </c>
    </row>
    <row r="30" spans="1:30" ht="12.6" x14ac:dyDescent="0.25">
      <c r="B30" s="101" t="s">
        <v>45</v>
      </c>
      <c r="C30" s="606" t="str">
        <f>IF(Active_Case="Res",IF(Standards_Sectors!D31="","",Standards_Sectors!D31),IF(Active_Case="Com",IF(Standards_Sectors!D70="","",Standards_Sectors!D70),IF(Active_Case="Ind",IF(Standards_Sectors!D109="","",Standards_Sectors!D109),IF(Active_Case="Out",IF(Standards_Sectors!D148="","",Standards_Sectors!D148)))))</f>
        <v/>
      </c>
      <c r="D30" s="186" t="str">
        <f>IF(Active_Case="Res",IF(Standards_Sectors!E31="","",Standards_Sectors!E31),IF(Active_Case="Com",IF(Standards_Sectors!E70="","",Standards_Sectors!E70),IF(Active_Case="Ind",IF(Standards_Sectors!E109="","",Standards_Sectors!E109),IF(Active_Case="Out",IF(Standards_Sectors!E148="","",Standards_Sectors!E148)))))</f>
        <v/>
      </c>
      <c r="E30" s="186" t="str">
        <f>IF(Active_Case="Res",IF(Standards_Sectors!F31="","",Standards_Sectors!F31),IF(Active_Case="Com",IF(Standards_Sectors!F70="","",Standards_Sectors!F70),IF(Active_Case="Ind",IF(Standards_Sectors!F109="","",Standards_Sectors!F109),IF(Active_Case="Out",IF(Standards_Sectors!F148="","",Standards_Sectors!F148)))))</f>
        <v/>
      </c>
      <c r="F30" s="186" t="str">
        <f>IF(Active_Case="Res",IF(Standards_Sectors!G31="","",Standards_Sectors!G31),IF(Active_Case="Com",IF(Standards_Sectors!G70="","",Standards_Sectors!G70),IF(Active_Case="Ind",IF(Standards_Sectors!G109="","",Standards_Sectors!G109),IF(Active_Case="Out",IF(Standards_Sectors!G148="","",Standards_Sectors!G148)))))</f>
        <v/>
      </c>
      <c r="G30" s="186" t="str">
        <f>IF(ISNUMBER(F30),(1-F30*INDEX(Standards_Acceptance!$AL29:$BP29,1,MATCH(C30-1,Standards_Acceptance!$AL$7:$BP$7,FALSE)))/(D30-C30+1),"")</f>
        <v/>
      </c>
      <c r="H30" s="186" t="str">
        <f>IF(ISNUMBER(F30),F30*INDEX(Standards_Acceptance!$AL29:$BP29,1,MATCH(C30-1,Standards_Acceptance!$AL$7:$BP$7,FALSE)),"")</f>
        <v/>
      </c>
      <c r="I30" s="186" t="str">
        <f>IF(Active_Case="Res",IF(Standards_Sectors!H31="","",Standards_Sectors!H31),IF(Active_Case="Com",IF(Standards_Sectors!H70="","",Standards_Sectors!H70),IF(Active_Case="Ind",IF(Standards_Sectors!H109="","",Standards_Sectors!H109),IF(Active_Case="Out",IF(Standards_Sectors!H148="","",Standards_Sectors!H148)))))</f>
        <v/>
      </c>
      <c r="J30" s="186" t="str">
        <f>IF(Active_Case="Res",IF(Standards_Sectors!I31="","",Standards_Sectors!I31),IF(Active_Case="Com",IF(Standards_Sectors!I70="","",Standards_Sectors!I70),IF(Active_Case="Ind",IF(Standards_Sectors!I109="","",Standards_Sectors!I109),IF(Active_Case="Out",IF(Standards_Sectors!I148="","",Standards_Sectors!I148)))))</f>
        <v/>
      </c>
      <c r="K30" s="186" t="str">
        <f>IF(Active_Case="Res",IF(Standards_Sectors!J31="","",Standards_Sectors!J31),IF(Active_Case="Com",IF(Standards_Sectors!J70="","",Standards_Sectors!J70),IF(Active_Case="Ind",IF(Standards_Sectors!J109="","",Standards_Sectors!J109),IF(Active_Case="Out",IF(Standards_Sectors!J148="","",Standards_Sectors!J148)))))</f>
        <v/>
      </c>
      <c r="L30" s="186" t="str">
        <f>IF(Active_Case="Res",IF(Standards_Sectors!K31="","",Standards_Sectors!K31),IF(Active_Case="Com",IF(Standards_Sectors!K70="","",Standards_Sectors!K70),IF(Active_Case="Ind",IF(Standards_Sectors!K109="","",Standards_Sectors!K109),IF(Active_Case="Out",IF(Standards_Sectors!K148="","",Standards_Sectors!K148)))))</f>
        <v/>
      </c>
      <c r="M30" s="186" t="str">
        <f>IF(Active_Case="Res",IF(Standards_Sectors!L31="","",Standards_Sectors!L31),IF(Active_Case="Com",IF(Standards_Sectors!L70="","",Standards_Sectors!L70),IF(Active_Case="Ind",IF(Standards_Sectors!L109="","",Standards_Sectors!L109),IF(Active_Case="Out",IF(Standards_Sectors!L148="","",Standards_Sectors!L148)))))</f>
        <v/>
      </c>
      <c r="N30" s="186" t="str">
        <f>IF(Active_Case="Res",IF(Standards_Sectors!M31="","",Standards_Sectors!M31),IF(Active_Case="Com",IF(Standards_Sectors!M70="","",Standards_Sectors!M70),IF(Active_Case="Ind",IF(Standards_Sectors!M109="","",Standards_Sectors!M109),IF(Active_Case="Out",IF(Standards_Sectors!M148="","",Standards_Sectors!M148)))))</f>
        <v/>
      </c>
      <c r="O30" s="186" t="str">
        <f>IF(Active_Case="Res",IF(Standards_Sectors!N31="","",Standards_Sectors!N31),IF(Active_Case="Com",IF(Standards_Sectors!N70="","",Standards_Sectors!N70),IF(Active_Case="Ind",IF(Standards_Sectors!N109="","",Standards_Sectors!N109),IF(Active_Case="Out",IF(Standards_Sectors!N148="","",Standards_Sectors!N148)))))</f>
        <v/>
      </c>
      <c r="P30" s="607" t="str">
        <f>IF(Active_Case="Res",IF(Standards_Sectors!O31="","",Standards_Sectors!O31),IF(Active_Case="Com",IF(Standards_Sectors!O70="","",Standards_Sectors!O70),IF(Active_Case="Ind",IF(Standards_Sectors!O109="","",Standards_Sectors!O109),IF(Active_Case="Out",IF(Standards_Sectors!O148="","",Standards_Sectors!O148)))))</f>
        <v/>
      </c>
      <c r="Q30" s="606" t="str">
        <f>IF(Active_Case="Res",IF(Standards_Sectors!P31="","",Standards_Sectors!P31),IF(Active_Case="Com",IF(Standards_Sectors!P70="","",Standards_Sectors!P70),IF(Active_Case="Ind",IF(Standards_Sectors!P109="","",Standards_Sectors!P109),IF(Active_Case="Out",IF(Standards_Sectors!P148="","",Standards_Sectors!P148)))))</f>
        <v/>
      </c>
      <c r="R30" s="186" t="str">
        <f>IF(Active_Case="Res",IF(Standards_Sectors!Q31="","",Standards_Sectors!Q31),IF(Active_Case="Com",IF(Standards_Sectors!Q70="","",Standards_Sectors!Q70),IF(Active_Case="Ind",IF(Standards_Sectors!Q109="","",Standards_Sectors!Q109),IF(Active_Case="Out",IF(Standards_Sectors!Q148="","",Standards_Sectors!Q148)))))</f>
        <v/>
      </c>
      <c r="S30" s="186" t="str">
        <f>IF(Active_Case="Res",IF(Standards_Sectors!R31="","",Standards_Sectors!R31),IF(Active_Case="Com",IF(Standards_Sectors!R70="","",Standards_Sectors!R70),IF(Active_Case="Ind",IF(Standards_Sectors!R109="","",Standards_Sectors!R109),IF(Active_Case="Out",IF(Standards_Sectors!R148="","",Standards_Sectors!R148)))))</f>
        <v/>
      </c>
      <c r="T30" s="186" t="str">
        <f>IF(Active_Case="Res",IF(Standards_Sectors!S31="","",Standards_Sectors!S31),IF(Active_Case="Com",IF(Standards_Sectors!S70="","",Standards_Sectors!S70),IF(Active_Case="Ind",IF(Standards_Sectors!S109="","",Standards_Sectors!S109),IF(Active_Case="Out",IF(Standards_Sectors!S148="","",Standards_Sectors!S148)))))</f>
        <v/>
      </c>
      <c r="U30" s="186" t="str">
        <f>IF(ISNUMBER(T30),(1-T30*INDEX(Standards_Acceptance!$AL66:$BP66,1,MATCH(Q30-1,Standards_Acceptance!$AL$44:$BP$44,FALSE)))/(R30-Q30+1),"")</f>
        <v/>
      </c>
      <c r="V30" s="639" t="str">
        <f>IF(ISNUMBER(T30),IF(Q30&lt;2010,T30*Standards_Acceptance!CA66,T30*INDEX(Standards_Acceptance!$AL66:$BP66,1,MATCH(Q30-1,Standards_Acceptance!$AL$44:$BP$44,FALSE))),"")</f>
        <v/>
      </c>
      <c r="W30" s="186" t="str">
        <f>IF(Active_Case="Res",IF(Standards_Sectors!T31="","",Standards_Sectors!T31),IF(Active_Case="Com",IF(Standards_Sectors!T70="","",Standards_Sectors!T70),IF(Active_Case="Ind",IF(Standards_Sectors!T109="","",Standards_Sectors!T109),IF(Active_Case="Out",IF(Standards_Sectors!T148="","",Standards_Sectors!T148)))))</f>
        <v/>
      </c>
      <c r="X30" s="186" t="str">
        <f>IF(Active_Case="Res",IF(Standards_Sectors!U31="","",Standards_Sectors!U31),IF(Active_Case="Com",IF(Standards_Sectors!U70="","",Standards_Sectors!U70),IF(Active_Case="Ind",IF(Standards_Sectors!U109="","",Standards_Sectors!U109),IF(Active_Case="Out",IF(Standards_Sectors!U148="","",Standards_Sectors!U148)))))</f>
        <v/>
      </c>
      <c r="Y30" s="186" t="str">
        <f>IF(Active_Case="Res",IF(Standards_Sectors!V31="","",Standards_Sectors!V31),IF(Active_Case="Com",IF(Standards_Sectors!V70="","",Standards_Sectors!V70),IF(Active_Case="Ind",IF(Standards_Sectors!V109="","",Standards_Sectors!V109),IF(Active_Case="Out",IF(Standards_Sectors!V148="","",Standards_Sectors!V148)))))</f>
        <v/>
      </c>
      <c r="Z30" s="186" t="str">
        <f>IF(Active_Case="Res",IF(Standards_Sectors!W31="","",Standards_Sectors!W31),IF(Active_Case="Com",IF(Standards_Sectors!W70="","",Standards_Sectors!W70),IF(Active_Case="Ind",IF(Standards_Sectors!W109="","",Standards_Sectors!W109),IF(Active_Case="Out",IF(Standards_Sectors!W148="","",Standards_Sectors!W148)))))</f>
        <v/>
      </c>
      <c r="AA30" s="186" t="str">
        <f>IF(Active_Case="Res",IF(Standards_Sectors!X31="","",Standards_Sectors!X31),IF(Active_Case="Com",IF(Standards_Sectors!X70="","",Standards_Sectors!X70),IF(Active_Case="Ind",IF(Standards_Sectors!X109="","",Standards_Sectors!X109),IF(Active_Case="Out",IF(Standards_Sectors!X148="","",Standards_Sectors!X148)))))</f>
        <v/>
      </c>
      <c r="AB30" s="186" t="str">
        <f>IF(Active_Case="Res",IF(Standards_Sectors!Y31="","",Standards_Sectors!Y31),IF(Active_Case="Com",IF(Standards_Sectors!Y70="","",Standards_Sectors!Y70),IF(Active_Case="Ind",IF(Standards_Sectors!Y109="","",Standards_Sectors!Y109),IF(Active_Case="Out",IF(Standards_Sectors!Y148="","",Standards_Sectors!Y148)))))</f>
        <v/>
      </c>
      <c r="AC30" s="186" t="str">
        <f>IF(Active_Case="Res",IF(Standards_Sectors!Z31="","",Standards_Sectors!Z31),IF(Active_Case="Com",IF(Standards_Sectors!Z70="","",Standards_Sectors!Z70),IF(Active_Case="Ind",IF(Standards_Sectors!Z109="","",Standards_Sectors!Z109),IF(Active_Case="Out",IF(Standards_Sectors!Z148="","",Standards_Sectors!Z148)))))</f>
        <v/>
      </c>
      <c r="AD30" s="607" t="str">
        <f>IF(Active_Case="Res",IF(Standards_Sectors!AA31="","",Standards_Sectors!AA31),IF(Active_Case="Com",IF(Standards_Sectors!AA70="","",Standards_Sectors!AA70),IF(Active_Case="Ind",IF(Standards_Sectors!AA109="","",Standards_Sectors!AA109),IF(Active_Case="Out",IF(Standards_Sectors!AA148="","",Standards_Sectors!AA148)))))</f>
        <v/>
      </c>
    </row>
    <row r="31" spans="1:30" s="101" customFormat="1" ht="12.6" x14ac:dyDescent="0.25">
      <c r="A31" s="81"/>
      <c r="B31" s="101" t="s">
        <v>46</v>
      </c>
      <c r="C31" s="606" t="str">
        <f>IF(Active_Case="Res",IF(Standards_Sectors!D32="","",Standards_Sectors!D32),IF(Active_Case="Com",IF(Standards_Sectors!D71="","",Standards_Sectors!D71),IF(Active_Case="Ind",IF(Standards_Sectors!D110="","",Standards_Sectors!D110),IF(Active_Case="Out",IF(Standards_Sectors!D149="","",Standards_Sectors!D149)))))</f>
        <v/>
      </c>
      <c r="D31" s="186" t="str">
        <f>IF(Active_Case="Res",IF(Standards_Sectors!E32="","",Standards_Sectors!E32),IF(Active_Case="Com",IF(Standards_Sectors!E71="","",Standards_Sectors!E71),IF(Active_Case="Ind",IF(Standards_Sectors!E110="","",Standards_Sectors!E110),IF(Active_Case="Out",IF(Standards_Sectors!E149="","",Standards_Sectors!E149)))))</f>
        <v/>
      </c>
      <c r="E31" s="186" t="str">
        <f>IF(Active_Case="Res",IF(Standards_Sectors!F32="","",Standards_Sectors!F32),IF(Active_Case="Com",IF(Standards_Sectors!F71="","",Standards_Sectors!F71),IF(Active_Case="Ind",IF(Standards_Sectors!F110="","",Standards_Sectors!F110),IF(Active_Case="Out",IF(Standards_Sectors!F149="","",Standards_Sectors!F149)))))</f>
        <v/>
      </c>
      <c r="F31" s="186" t="str">
        <f>IF(Active_Case="Res",IF(Standards_Sectors!G32="","",Standards_Sectors!G32),IF(Active_Case="Com",IF(Standards_Sectors!G71="","",Standards_Sectors!G71),IF(Active_Case="Ind",IF(Standards_Sectors!G110="","",Standards_Sectors!G110),IF(Active_Case="Out",IF(Standards_Sectors!G149="","",Standards_Sectors!G149)))))</f>
        <v/>
      </c>
      <c r="G31" s="186" t="str">
        <f>IF(ISNUMBER(F31),(1-F31*INDEX(Standards_Acceptance!$AL30:$BP30,1,MATCH(C31-1,Standards_Acceptance!$AL$7:$BP$7,FALSE)))/(D31-C31+1),"")</f>
        <v/>
      </c>
      <c r="H31" s="186" t="str">
        <f>IF(ISNUMBER(F31),F31*INDEX(Standards_Acceptance!$AL30:$BP30,1,MATCH(C31-1,Standards_Acceptance!$AL$7:$BP$7,FALSE)),"")</f>
        <v/>
      </c>
      <c r="I31" s="186" t="str">
        <f>IF(Active_Case="Res",IF(Standards_Sectors!H32="","",Standards_Sectors!H32),IF(Active_Case="Com",IF(Standards_Sectors!H71="","",Standards_Sectors!H71),IF(Active_Case="Ind",IF(Standards_Sectors!H110="","",Standards_Sectors!H110),IF(Active_Case="Out",IF(Standards_Sectors!H149="","",Standards_Sectors!H149)))))</f>
        <v/>
      </c>
      <c r="J31" s="186" t="str">
        <f>IF(Active_Case="Res",IF(Standards_Sectors!I32="","",Standards_Sectors!I32),IF(Active_Case="Com",IF(Standards_Sectors!I71="","",Standards_Sectors!I71),IF(Active_Case="Ind",IF(Standards_Sectors!I110="","",Standards_Sectors!I110),IF(Active_Case="Out",IF(Standards_Sectors!I149="","",Standards_Sectors!I149)))))</f>
        <v/>
      </c>
      <c r="K31" s="186" t="str">
        <f>IF(Active_Case="Res",IF(Standards_Sectors!J32="","",Standards_Sectors!J32),IF(Active_Case="Com",IF(Standards_Sectors!J71="","",Standards_Sectors!J71),IF(Active_Case="Ind",IF(Standards_Sectors!J110="","",Standards_Sectors!J110),IF(Active_Case="Out",IF(Standards_Sectors!J149="","",Standards_Sectors!J149)))))</f>
        <v/>
      </c>
      <c r="L31" s="186" t="str">
        <f>IF(Active_Case="Res",IF(Standards_Sectors!K32="","",Standards_Sectors!K32),IF(Active_Case="Com",IF(Standards_Sectors!K71="","",Standards_Sectors!K71),IF(Active_Case="Ind",IF(Standards_Sectors!K110="","",Standards_Sectors!K110),IF(Active_Case="Out",IF(Standards_Sectors!K149="","",Standards_Sectors!K149)))))</f>
        <v/>
      </c>
      <c r="M31" s="186" t="str">
        <f>IF(Active_Case="Res",IF(Standards_Sectors!L32="","",Standards_Sectors!L32),IF(Active_Case="Com",IF(Standards_Sectors!L71="","",Standards_Sectors!L71),IF(Active_Case="Ind",IF(Standards_Sectors!L110="","",Standards_Sectors!L110),IF(Active_Case="Out",IF(Standards_Sectors!L149="","",Standards_Sectors!L149)))))</f>
        <v/>
      </c>
      <c r="N31" s="186" t="str">
        <f>IF(Active_Case="Res",IF(Standards_Sectors!M32="","",Standards_Sectors!M32),IF(Active_Case="Com",IF(Standards_Sectors!M71="","",Standards_Sectors!M71),IF(Active_Case="Ind",IF(Standards_Sectors!M110="","",Standards_Sectors!M110),IF(Active_Case="Out",IF(Standards_Sectors!M149="","",Standards_Sectors!M149)))))</f>
        <v/>
      </c>
      <c r="O31" s="186" t="str">
        <f>IF(Active_Case="Res",IF(Standards_Sectors!N32="","",Standards_Sectors!N32),IF(Active_Case="Com",IF(Standards_Sectors!N71="","",Standards_Sectors!N71),IF(Active_Case="Ind",IF(Standards_Sectors!N110="","",Standards_Sectors!N110),IF(Active_Case="Out",IF(Standards_Sectors!N149="","",Standards_Sectors!N149)))))</f>
        <v/>
      </c>
      <c r="P31" s="607" t="str">
        <f>IF(Active_Case="Res",IF(Standards_Sectors!O32="","",Standards_Sectors!O32),IF(Active_Case="Com",IF(Standards_Sectors!O71="","",Standards_Sectors!O71),IF(Active_Case="Ind",IF(Standards_Sectors!O110="","",Standards_Sectors!O110),IF(Active_Case="Out",IF(Standards_Sectors!O149="","",Standards_Sectors!O149)))))</f>
        <v/>
      </c>
      <c r="Q31" s="606" t="str">
        <f>IF(Active_Case="Res",IF(Standards_Sectors!P32="","",Standards_Sectors!P32),IF(Active_Case="Com",IF(Standards_Sectors!P71="","",Standards_Sectors!P71),IF(Active_Case="Ind",IF(Standards_Sectors!P110="","",Standards_Sectors!P110),IF(Active_Case="Out",IF(Standards_Sectors!P149="","",Standards_Sectors!P149)))))</f>
        <v/>
      </c>
      <c r="R31" s="186" t="str">
        <f>IF(Active_Case="Res",IF(Standards_Sectors!Q32="","",Standards_Sectors!Q32),IF(Active_Case="Com",IF(Standards_Sectors!Q71="","",Standards_Sectors!Q71),IF(Active_Case="Ind",IF(Standards_Sectors!Q110="","",Standards_Sectors!Q110),IF(Active_Case="Out",IF(Standards_Sectors!Q149="","",Standards_Sectors!Q149)))))</f>
        <v/>
      </c>
      <c r="S31" s="186" t="str">
        <f>IF(Active_Case="Res",IF(Standards_Sectors!R32="","",Standards_Sectors!R32),IF(Active_Case="Com",IF(Standards_Sectors!R71="","",Standards_Sectors!R71),IF(Active_Case="Ind",IF(Standards_Sectors!R110="","",Standards_Sectors!R110),IF(Active_Case="Out",IF(Standards_Sectors!R149="","",Standards_Sectors!R149)))))</f>
        <v/>
      </c>
      <c r="T31" s="186" t="str">
        <f>IF(Active_Case="Res",IF(Standards_Sectors!S32="","",Standards_Sectors!S32),IF(Active_Case="Com",IF(Standards_Sectors!S71="","",Standards_Sectors!S71),IF(Active_Case="Ind",IF(Standards_Sectors!S110="","",Standards_Sectors!S110),IF(Active_Case="Out",IF(Standards_Sectors!S149="","",Standards_Sectors!S149)))))</f>
        <v/>
      </c>
      <c r="U31" s="186" t="str">
        <f>IF(ISNUMBER(T31),(1-T31*INDEX(Standards_Acceptance!$AL67:$BP67,1,MATCH(Q31-1,Standards_Acceptance!$AL$44:$BP$44,FALSE)))/(R31-Q31+1),"")</f>
        <v/>
      </c>
      <c r="V31" s="639" t="str">
        <f>IF(ISNUMBER(T31),IF(Q31&lt;2010,T31*Standards_Acceptance!CA67,T31*INDEX(Standards_Acceptance!$AL67:$BP67,1,MATCH(Q31-1,Standards_Acceptance!$AL$44:$BP$44,FALSE))),"")</f>
        <v/>
      </c>
      <c r="W31" s="186" t="str">
        <f>IF(Active_Case="Res",IF(Standards_Sectors!T32="","",Standards_Sectors!T32),IF(Active_Case="Com",IF(Standards_Sectors!T71="","",Standards_Sectors!T71),IF(Active_Case="Ind",IF(Standards_Sectors!T110="","",Standards_Sectors!T110),IF(Active_Case="Out",IF(Standards_Sectors!T149="","",Standards_Sectors!T149)))))</f>
        <v/>
      </c>
      <c r="X31" s="186" t="str">
        <f>IF(Active_Case="Res",IF(Standards_Sectors!U32="","",Standards_Sectors!U32),IF(Active_Case="Com",IF(Standards_Sectors!U71="","",Standards_Sectors!U71),IF(Active_Case="Ind",IF(Standards_Sectors!U110="","",Standards_Sectors!U110),IF(Active_Case="Out",IF(Standards_Sectors!U149="","",Standards_Sectors!U149)))))</f>
        <v/>
      </c>
      <c r="Y31" s="186" t="str">
        <f>IF(Active_Case="Res",IF(Standards_Sectors!V32="","",Standards_Sectors!V32),IF(Active_Case="Com",IF(Standards_Sectors!V71="","",Standards_Sectors!V71),IF(Active_Case="Ind",IF(Standards_Sectors!V110="","",Standards_Sectors!V110),IF(Active_Case="Out",IF(Standards_Sectors!V149="","",Standards_Sectors!V149)))))</f>
        <v/>
      </c>
      <c r="Z31" s="186" t="str">
        <f>IF(Active_Case="Res",IF(Standards_Sectors!W32="","",Standards_Sectors!W32),IF(Active_Case="Com",IF(Standards_Sectors!W71="","",Standards_Sectors!W71),IF(Active_Case="Ind",IF(Standards_Sectors!W110="","",Standards_Sectors!W110),IF(Active_Case="Out",IF(Standards_Sectors!W149="","",Standards_Sectors!W149)))))</f>
        <v/>
      </c>
      <c r="AA31" s="186" t="str">
        <f>IF(Active_Case="Res",IF(Standards_Sectors!X32="","",Standards_Sectors!X32),IF(Active_Case="Com",IF(Standards_Sectors!X71="","",Standards_Sectors!X71),IF(Active_Case="Ind",IF(Standards_Sectors!X110="","",Standards_Sectors!X110),IF(Active_Case="Out",IF(Standards_Sectors!X149="","",Standards_Sectors!X149)))))</f>
        <v/>
      </c>
      <c r="AB31" s="186" t="str">
        <f>IF(Active_Case="Res",IF(Standards_Sectors!Y32="","",Standards_Sectors!Y32),IF(Active_Case="Com",IF(Standards_Sectors!Y71="","",Standards_Sectors!Y71),IF(Active_Case="Ind",IF(Standards_Sectors!Y110="","",Standards_Sectors!Y110),IF(Active_Case="Out",IF(Standards_Sectors!Y149="","",Standards_Sectors!Y149)))))</f>
        <v/>
      </c>
      <c r="AC31" s="186" t="str">
        <f>IF(Active_Case="Res",IF(Standards_Sectors!Z32="","",Standards_Sectors!Z32),IF(Active_Case="Com",IF(Standards_Sectors!Z71="","",Standards_Sectors!Z71),IF(Active_Case="Ind",IF(Standards_Sectors!Z110="","",Standards_Sectors!Z110),IF(Active_Case="Out",IF(Standards_Sectors!Z149="","",Standards_Sectors!Z149)))))</f>
        <v/>
      </c>
      <c r="AD31" s="607" t="str">
        <f>IF(Active_Case="Res",IF(Standards_Sectors!AA32="","",Standards_Sectors!AA32),IF(Active_Case="Com",IF(Standards_Sectors!AA71="","",Standards_Sectors!AA71),IF(Active_Case="Ind",IF(Standards_Sectors!AA110="","",Standards_Sectors!AA110),IF(Active_Case="Out",IF(Standards_Sectors!AA149="","",Standards_Sectors!AA149)))))</f>
        <v/>
      </c>
    </row>
    <row r="32" spans="1:30" ht="12.6" x14ac:dyDescent="0.25">
      <c r="B32" s="81" t="s">
        <v>29</v>
      </c>
      <c r="C32" s="606" t="str">
        <f>IF(Active_Case="Res",IF(Standards_Sectors!D33="","",Standards_Sectors!D33),IF(Active_Case="Com",IF(Standards_Sectors!D72="","",Standards_Sectors!D72),IF(Active_Case="Ind",IF(Standards_Sectors!D111="","",Standards_Sectors!D111),IF(Active_Case="Out",IF(Standards_Sectors!D150="","",Standards_Sectors!D150)))))</f>
        <v/>
      </c>
      <c r="D32" s="186" t="str">
        <f>IF(Active_Case="Res",IF(Standards_Sectors!E33="","",Standards_Sectors!E33),IF(Active_Case="Com",IF(Standards_Sectors!E72="","",Standards_Sectors!E72),IF(Active_Case="Ind",IF(Standards_Sectors!E111="","",Standards_Sectors!E111),IF(Active_Case="Out",IF(Standards_Sectors!E150="","",Standards_Sectors!E150)))))</f>
        <v/>
      </c>
      <c r="E32" s="186" t="str">
        <f>IF(Active_Case="Res",IF(Standards_Sectors!F33="","",Standards_Sectors!F33),IF(Active_Case="Com",IF(Standards_Sectors!F72="","",Standards_Sectors!F72),IF(Active_Case="Ind",IF(Standards_Sectors!F111="","",Standards_Sectors!F111),IF(Active_Case="Out",IF(Standards_Sectors!F150="","",Standards_Sectors!F150)))))</f>
        <v/>
      </c>
      <c r="F32" s="186" t="str">
        <f>IF(Active_Case="Res",IF(Standards_Sectors!G33="","",Standards_Sectors!G33),IF(Active_Case="Com",IF(Standards_Sectors!G72="","",Standards_Sectors!G72),IF(Active_Case="Ind",IF(Standards_Sectors!G111="","",Standards_Sectors!G111),IF(Active_Case="Out",IF(Standards_Sectors!G150="","",Standards_Sectors!G150)))))</f>
        <v/>
      </c>
      <c r="G32" s="186" t="str">
        <f>IF(ISNUMBER(F32),(1-F32*INDEX(Standards_Acceptance!$AL31:$BP31,1,MATCH(C32-1,Standards_Acceptance!$AL$7:$BP$7,FALSE)))/(D32-C32+1),"")</f>
        <v/>
      </c>
      <c r="H32" s="186" t="str">
        <f>IF(ISNUMBER(F32),F32*INDEX(Standards_Acceptance!$AL31:$BP31,1,MATCH(C32-1,Standards_Acceptance!$AL$7:$BP$7,FALSE)),"")</f>
        <v/>
      </c>
      <c r="I32" s="186" t="str">
        <f>IF(Active_Case="Res",IF(Standards_Sectors!H33="","",Standards_Sectors!H33),IF(Active_Case="Com",IF(Standards_Sectors!H72="","",Standards_Sectors!H72),IF(Active_Case="Ind",IF(Standards_Sectors!H111="","",Standards_Sectors!H111),IF(Active_Case="Out",IF(Standards_Sectors!H150="","",Standards_Sectors!H150)))))</f>
        <v/>
      </c>
      <c r="J32" s="186" t="str">
        <f>IF(Active_Case="Res",IF(Standards_Sectors!I33="","",Standards_Sectors!I33),IF(Active_Case="Com",IF(Standards_Sectors!I72="","",Standards_Sectors!I72),IF(Active_Case="Ind",IF(Standards_Sectors!I111="","",Standards_Sectors!I111),IF(Active_Case="Out",IF(Standards_Sectors!I150="","",Standards_Sectors!I150)))))</f>
        <v/>
      </c>
      <c r="K32" s="186" t="str">
        <f>IF(Active_Case="Res",IF(Standards_Sectors!J33="","",Standards_Sectors!J33),IF(Active_Case="Com",IF(Standards_Sectors!J72="","",Standards_Sectors!J72),IF(Active_Case="Ind",IF(Standards_Sectors!J111="","",Standards_Sectors!J111),IF(Active_Case="Out",IF(Standards_Sectors!J150="","",Standards_Sectors!J150)))))</f>
        <v/>
      </c>
      <c r="L32" s="186" t="str">
        <f>IF(Active_Case="Res",IF(Standards_Sectors!K33="","",Standards_Sectors!K33),IF(Active_Case="Com",IF(Standards_Sectors!K72="","",Standards_Sectors!K72),IF(Active_Case="Ind",IF(Standards_Sectors!K111="","",Standards_Sectors!K111),IF(Active_Case="Out",IF(Standards_Sectors!K150="","",Standards_Sectors!K150)))))</f>
        <v/>
      </c>
      <c r="M32" s="186" t="str">
        <f>IF(Active_Case="Res",IF(Standards_Sectors!L33="","",Standards_Sectors!L33),IF(Active_Case="Com",IF(Standards_Sectors!L72="","",Standards_Sectors!L72),IF(Active_Case="Ind",IF(Standards_Sectors!L111="","",Standards_Sectors!L111),IF(Active_Case="Out",IF(Standards_Sectors!L150="","",Standards_Sectors!L150)))))</f>
        <v/>
      </c>
      <c r="N32" s="186" t="str">
        <f>IF(Active_Case="Res",IF(Standards_Sectors!M33="","",Standards_Sectors!M33),IF(Active_Case="Com",IF(Standards_Sectors!M72="","",Standards_Sectors!M72),IF(Active_Case="Ind",IF(Standards_Sectors!M111="","",Standards_Sectors!M111),IF(Active_Case="Out",IF(Standards_Sectors!M150="","",Standards_Sectors!M150)))))</f>
        <v/>
      </c>
      <c r="O32" s="186" t="str">
        <f>IF(Active_Case="Res",IF(Standards_Sectors!N33="","",Standards_Sectors!N33),IF(Active_Case="Com",IF(Standards_Sectors!N72="","",Standards_Sectors!N72),IF(Active_Case="Ind",IF(Standards_Sectors!N111="","",Standards_Sectors!N111),IF(Active_Case="Out",IF(Standards_Sectors!N150="","",Standards_Sectors!N150)))))</f>
        <v/>
      </c>
      <c r="P32" s="607" t="str">
        <f>IF(Active_Case="Res",IF(Standards_Sectors!O33="","",Standards_Sectors!O33),IF(Active_Case="Com",IF(Standards_Sectors!O72="","",Standards_Sectors!O72),IF(Active_Case="Ind",IF(Standards_Sectors!O111="","",Standards_Sectors!O111),IF(Active_Case="Out",IF(Standards_Sectors!O150="","",Standards_Sectors!O150)))))</f>
        <v/>
      </c>
      <c r="Q32" s="606" t="str">
        <f>IF(Active_Case="Res",IF(Standards_Sectors!P33="","",Standards_Sectors!P33),IF(Active_Case="Com",IF(Standards_Sectors!P72="","",Standards_Sectors!P72),IF(Active_Case="Ind",IF(Standards_Sectors!P111="","",Standards_Sectors!P111),IF(Active_Case="Out",IF(Standards_Sectors!P150="","",Standards_Sectors!P150)))))</f>
        <v/>
      </c>
      <c r="R32" s="186" t="str">
        <f>IF(Active_Case="Res",IF(Standards_Sectors!Q33="","",Standards_Sectors!Q33),IF(Active_Case="Com",IF(Standards_Sectors!Q72="","",Standards_Sectors!Q72),IF(Active_Case="Ind",IF(Standards_Sectors!Q111="","",Standards_Sectors!Q111),IF(Active_Case="Out",IF(Standards_Sectors!Q150="","",Standards_Sectors!Q150)))))</f>
        <v/>
      </c>
      <c r="S32" s="186" t="str">
        <f>IF(Active_Case="Res",IF(Standards_Sectors!R33="","",Standards_Sectors!R33),IF(Active_Case="Com",IF(Standards_Sectors!R72="","",Standards_Sectors!R72),IF(Active_Case="Ind",IF(Standards_Sectors!R111="","",Standards_Sectors!R111),IF(Active_Case="Out",IF(Standards_Sectors!R150="","",Standards_Sectors!R150)))))</f>
        <v/>
      </c>
      <c r="T32" s="186" t="str">
        <f>IF(Active_Case="Res",IF(Standards_Sectors!S33="","",Standards_Sectors!S33),IF(Active_Case="Com",IF(Standards_Sectors!S72="","",Standards_Sectors!S72),IF(Active_Case="Ind",IF(Standards_Sectors!S111="","",Standards_Sectors!S111),IF(Active_Case="Out",IF(Standards_Sectors!S150="","",Standards_Sectors!S150)))))</f>
        <v/>
      </c>
      <c r="U32" s="639" t="str">
        <f>IF(ISNUMBER(T32),(1-T32*INDEX(Standards_Acceptance!$AL68:$BP68,1,MATCH(Q32-1,Standards_Acceptance!$AL$44:$BP$44,FALSE)))/(R32-Q32+1),"")</f>
        <v/>
      </c>
      <c r="V32" s="639" t="str">
        <f>IF(ISNUMBER(T32),IF(Q32&lt;2010,T32*Standards_Acceptance!CA68,T32*INDEX(Standards_Acceptance!$AL68:$BP68,1,MATCH(Q32-1,Standards_Acceptance!$AL$44:$BP$44,FALSE))),"")</f>
        <v/>
      </c>
      <c r="W32" s="186" t="str">
        <f>IF(Active_Case="Res",IF(Standards_Sectors!T33="","",Standards_Sectors!T33),IF(Active_Case="Com",IF(Standards_Sectors!T72="","",Standards_Sectors!T72),IF(Active_Case="Ind",IF(Standards_Sectors!T111="","",Standards_Sectors!T111),IF(Active_Case="Out",IF(Standards_Sectors!T150="","",Standards_Sectors!T150)))))</f>
        <v/>
      </c>
      <c r="X32" s="186" t="str">
        <f>IF(Active_Case="Res",IF(Standards_Sectors!U33="","",Standards_Sectors!U33),IF(Active_Case="Com",IF(Standards_Sectors!U72="","",Standards_Sectors!U72),IF(Active_Case="Ind",IF(Standards_Sectors!U111="","",Standards_Sectors!U111),IF(Active_Case="Out",IF(Standards_Sectors!U150="","",Standards_Sectors!U150)))))</f>
        <v/>
      </c>
      <c r="Y32" s="186" t="str">
        <f>IF(Active_Case="Res",IF(Standards_Sectors!V33="","",Standards_Sectors!V33),IF(Active_Case="Com",IF(Standards_Sectors!V72="","",Standards_Sectors!V72),IF(Active_Case="Ind",IF(Standards_Sectors!V111="","",Standards_Sectors!V111),IF(Active_Case="Out",IF(Standards_Sectors!V150="","",Standards_Sectors!V150)))))</f>
        <v/>
      </c>
      <c r="Z32" s="186" t="str">
        <f>IF(Active_Case="Res",IF(Standards_Sectors!W33="","",Standards_Sectors!W33),IF(Active_Case="Com",IF(Standards_Sectors!W72="","",Standards_Sectors!W72),IF(Active_Case="Ind",IF(Standards_Sectors!W111="","",Standards_Sectors!W111),IF(Active_Case="Out",IF(Standards_Sectors!W150="","",Standards_Sectors!W150)))))</f>
        <v/>
      </c>
      <c r="AA32" s="186" t="str">
        <f>IF(Active_Case="Res",IF(Standards_Sectors!X33="","",Standards_Sectors!X33),IF(Active_Case="Com",IF(Standards_Sectors!X72="","",Standards_Sectors!X72),IF(Active_Case="Ind",IF(Standards_Sectors!X111="","",Standards_Sectors!X111),IF(Active_Case="Out",IF(Standards_Sectors!X150="","",Standards_Sectors!X150)))))</f>
        <v/>
      </c>
      <c r="AB32" s="186" t="str">
        <f>IF(Active_Case="Res",IF(Standards_Sectors!Y33="","",Standards_Sectors!Y33),IF(Active_Case="Com",IF(Standards_Sectors!Y72="","",Standards_Sectors!Y72),IF(Active_Case="Ind",IF(Standards_Sectors!Y111="","",Standards_Sectors!Y111),IF(Active_Case="Out",IF(Standards_Sectors!Y150="","",Standards_Sectors!Y150)))))</f>
        <v/>
      </c>
      <c r="AC32" s="186" t="str">
        <f>IF(Active_Case="Res",IF(Standards_Sectors!Z33="","",Standards_Sectors!Z33),IF(Active_Case="Com",IF(Standards_Sectors!Z72="","",Standards_Sectors!Z72),IF(Active_Case="Ind",IF(Standards_Sectors!Z111="","",Standards_Sectors!Z111),IF(Active_Case="Out",IF(Standards_Sectors!Z150="","",Standards_Sectors!Z150)))))</f>
        <v/>
      </c>
      <c r="AD32" s="607" t="str">
        <f>IF(Active_Case="Res",IF(Standards_Sectors!AA33="","",Standards_Sectors!AA33),IF(Active_Case="Com",IF(Standards_Sectors!AA72="","",Standards_Sectors!AA72),IF(Active_Case="Ind",IF(Standards_Sectors!AA111="","",Standards_Sectors!AA111),IF(Active_Case="Out",IF(Standards_Sectors!AA150="","",Standards_Sectors!AA150)))))</f>
        <v/>
      </c>
    </row>
    <row r="33" spans="1:30" ht="12.6" x14ac:dyDescent="0.25">
      <c r="C33" s="511"/>
      <c r="D33" s="382"/>
      <c r="E33" s="382"/>
      <c r="F33" s="382"/>
      <c r="G33" s="382"/>
      <c r="H33" s="382"/>
      <c r="I33" s="382"/>
      <c r="J33" s="382"/>
      <c r="K33" s="382"/>
      <c r="L33" s="382"/>
      <c r="M33" s="382"/>
      <c r="N33" s="382"/>
      <c r="O33" s="382"/>
      <c r="P33" s="410"/>
      <c r="Q33" s="511"/>
      <c r="R33" s="382"/>
      <c r="S33" s="382"/>
      <c r="T33" s="382"/>
      <c r="U33" s="382"/>
      <c r="V33" s="382"/>
      <c r="W33" s="382"/>
      <c r="X33" s="382"/>
      <c r="Y33" s="382"/>
      <c r="Z33" s="382"/>
      <c r="AA33" s="382"/>
      <c r="AB33" s="382"/>
      <c r="AC33" s="382"/>
      <c r="AD33" s="410"/>
    </row>
    <row r="34" spans="1:30" s="57" customFormat="1" ht="12.95" x14ac:dyDescent="0.25">
      <c r="A34" s="11" t="s">
        <v>47</v>
      </c>
      <c r="B34" s="10"/>
      <c r="C34" s="558"/>
      <c r="D34" s="512"/>
      <c r="E34" s="512"/>
      <c r="F34" s="512"/>
      <c r="G34" s="512"/>
      <c r="H34" s="512"/>
      <c r="I34" s="512"/>
      <c r="J34" s="512"/>
      <c r="K34" s="512"/>
      <c r="L34" s="512"/>
      <c r="M34" s="512"/>
      <c r="N34" s="512"/>
      <c r="O34" s="512"/>
      <c r="P34" s="559"/>
      <c r="Q34" s="558"/>
      <c r="R34" s="512"/>
      <c r="S34" s="512"/>
      <c r="T34" s="512"/>
      <c r="U34" s="512"/>
      <c r="V34" s="512"/>
      <c r="W34" s="512"/>
      <c r="X34" s="512"/>
      <c r="Y34" s="512"/>
      <c r="Z34" s="512"/>
      <c r="AA34" s="512"/>
      <c r="AB34" s="512"/>
      <c r="AC34" s="512"/>
      <c r="AD34" s="559"/>
    </row>
    <row r="35" spans="1:30" ht="12.6" x14ac:dyDescent="0.25">
      <c r="B35" s="81" t="s">
        <v>48</v>
      </c>
      <c r="C35" s="606">
        <f>IF(Active_Case="Res",IF(Standards_Sectors!D36="","",Standards_Sectors!D36),IF(Active_Case="Com",IF(Standards_Sectors!D75="","",Standards_Sectors!D75),IF(Active_Case="Ind",IF(Standards_Sectors!D114="","",Standards_Sectors!D114),IF(Active_Case="Out",IF(Standards_Sectors!D153="","",Standards_Sectors!D153)))))</f>
        <v>2012</v>
      </c>
      <c r="D35" s="186">
        <f>IF(Active_Case="Res",IF(Standards_Sectors!E36="","",Standards_Sectors!E36),IF(Active_Case="Com",IF(Standards_Sectors!E75="","",Standards_Sectors!E75),IF(Active_Case="Ind",IF(Standards_Sectors!E114="","",Standards_Sectors!E114),IF(Active_Case="Out",IF(Standards_Sectors!E153="","",Standards_Sectors!E153)))))</f>
        <v>2014</v>
      </c>
      <c r="E35" s="186" t="str">
        <f>IF(Active_Case="Res",IF(Standards_Sectors!F36="","",Standards_Sectors!F36),IF(Active_Case="Com",IF(Standards_Sectors!F75="","",Standards_Sectors!F75),IF(Active_Case="Ind",IF(Standards_Sectors!F114="","",Standards_Sectors!F114),IF(Active_Case="Out",IF(Standards_Sectors!F153="","",Standards_Sectors!F153)))))</f>
        <v>Yes</v>
      </c>
      <c r="F35" s="186" t="str">
        <f>IF(Active_Case="Res",IF(Standards_Sectors!G36="","",Standards_Sectors!G36),IF(Active_Case="Com",IF(Standards_Sectors!G75="","",Standards_Sectors!G75),IF(Active_Case="Ind",IF(Standards_Sectors!G114="","",Standards_Sectors!G114),IF(Active_Case="Out",IF(Standards_Sectors!G153="","",Standards_Sectors!G153)))))</f>
        <v/>
      </c>
      <c r="G35" s="186" t="str">
        <f>IF(ISNUMBER(F35),(1-F35*INDEX(Standards_Acceptance!$AL34:$BP34,1,MATCH(C35-1,Standards_Acceptance!$AL$7:$BP$7,FALSE)))/(D35-C35+1),"")</f>
        <v/>
      </c>
      <c r="H35" s="186" t="str">
        <f>IF(ISNUMBER(F35),F35*INDEX(Standards_Acceptance!$AL34:$BP34,1,MATCH(C35-1,Standards_Acceptance!$AL$7:$BP$7,FALSE)),"")</f>
        <v/>
      </c>
      <c r="I35" s="186">
        <f>IF(Active_Case="Res",IF(Standards_Sectors!H36="","",Standards_Sectors!H36),IF(Active_Case="Com",IF(Standards_Sectors!H75="","",Standards_Sectors!H75),IF(Active_Case="Ind",IF(Standards_Sectors!H114="","",Standards_Sectors!H114),IF(Active_Case="Out",IF(Standards_Sectors!H153="","",Standards_Sectors!H153)))))</f>
        <v>11.525059665871122</v>
      </c>
      <c r="J35" s="186">
        <f>IF(Active_Case="Res",IF(Standards_Sectors!I36="","",Standards_Sectors!I36),IF(Active_Case="Com",IF(Standards_Sectors!I75="","",Standards_Sectors!I75),IF(Active_Case="Ind",IF(Standards_Sectors!I114="","",Standards_Sectors!I114),IF(Active_Case="Out",IF(Standards_Sectors!I153="","",Standards_Sectors!I153)))))</f>
        <v>41.9</v>
      </c>
      <c r="K35" s="186" t="str">
        <f>IF(Active_Case="Res",IF(Standards_Sectors!J36="","",Standards_Sectors!J36),IF(Active_Case="Com",IF(Standards_Sectors!J75="","",Standards_Sectors!J75),IF(Active_Case="Ind",IF(Standards_Sectors!J114="","",Standards_Sectors!J114),IF(Active_Case="Out",IF(Standards_Sectors!J153="","",Standards_Sectors!J153)))))</f>
        <v/>
      </c>
      <c r="L35" s="186" t="str">
        <f>IF(Active_Case="Res",IF(Standards_Sectors!K36="","",Standards_Sectors!K36),IF(Active_Case="Com",IF(Standards_Sectors!K75="","",Standards_Sectors!K75),IF(Active_Case="Ind",IF(Standards_Sectors!K114="","",Standards_Sectors!K114),IF(Active_Case="Out",IF(Standards_Sectors!K153="","",Standards_Sectors!K153)))))</f>
        <v/>
      </c>
      <c r="M35" s="186" t="str">
        <f>IF(Active_Case="Res",IF(Standards_Sectors!L36="","",Standards_Sectors!L36),IF(Active_Case="Com",IF(Standards_Sectors!L75="","",Standards_Sectors!L75),IF(Active_Case="Ind",IF(Standards_Sectors!L114="","",Standards_Sectors!L114),IF(Active_Case="Out",IF(Standards_Sectors!L153="","",Standards_Sectors!L153)))))</f>
        <v/>
      </c>
      <c r="N35" s="852">
        <f>IF(Active_Case="Res",IF(Standards_Sectors!M36="","",Standards_Sectors!M36),IF(Active_Case="Com",IF(Standards_Sectors!M75="","",Standards_Sectors!M75),IF(Active_Case="Ind",IF(Standards_Sectors!M114="","",Standards_Sectors!M114),IF(Active_Case="Out",IF(Standards_Sectors!M153="","",Standards_Sectors!M153)))))</f>
        <v>2.5000000000000001E-3</v>
      </c>
      <c r="O35" s="852">
        <f>IF(Active_Case="Res",IF(Standards_Sectors!N36="","",Standards_Sectors!N36),IF(Active_Case="Com",IF(Standards_Sectors!N75="","",Standards_Sectors!N75),IF(Active_Case="Ind",IF(Standards_Sectors!N114="","",Standards_Sectors!N114),IF(Active_Case="Out",IF(Standards_Sectors!N153="","",Standards_Sectors!N153)))))</f>
        <v>-5.0000000000000001E-3</v>
      </c>
      <c r="P35" s="607" t="str">
        <f>IF(Active_Case="Res",IF(Standards_Sectors!O36="","",Standards_Sectors!O36),IF(Active_Case="Com",IF(Standards_Sectors!O75="","",Standards_Sectors!O75),IF(Active_Case="Ind",IF(Standards_Sectors!O114="","",Standards_Sectors!O114),IF(Active_Case="Out",IF(Standards_Sectors!O153="","",Standards_Sectors!O153)))))</f>
        <v/>
      </c>
      <c r="Q35" s="606" t="str">
        <f>IF(Active_Case="Res",IF(Standards_Sectors!P36="","",Standards_Sectors!P36),IF(Active_Case="Com",IF(Standards_Sectors!P75="","",Standards_Sectors!P75),IF(Active_Case="Ind",IF(Standards_Sectors!P114="","",Standards_Sectors!P114),IF(Active_Case="Out",IF(Standards_Sectors!P153="","",Standards_Sectors!P153)))))</f>
        <v/>
      </c>
      <c r="R35" s="186" t="str">
        <f>IF(Active_Case="Res",IF(Standards_Sectors!Q36="","",Standards_Sectors!Q36),IF(Active_Case="Com",IF(Standards_Sectors!Q75="","",Standards_Sectors!Q75),IF(Active_Case="Ind",IF(Standards_Sectors!Q114="","",Standards_Sectors!Q114),IF(Active_Case="Out",IF(Standards_Sectors!Q153="","",Standards_Sectors!Q153)))))</f>
        <v/>
      </c>
      <c r="S35" s="186" t="str">
        <f>IF(Active_Case="Res",IF(Standards_Sectors!R36="","",Standards_Sectors!R36),IF(Active_Case="Com",IF(Standards_Sectors!R75="","",Standards_Sectors!R75),IF(Active_Case="Ind",IF(Standards_Sectors!R114="","",Standards_Sectors!R114),IF(Active_Case="Out",IF(Standards_Sectors!R153="","",Standards_Sectors!R153)))))</f>
        <v/>
      </c>
      <c r="T35" s="186" t="str">
        <f>IF(Active_Case="Res",IF(Standards_Sectors!S36="","",Standards_Sectors!S36),IF(Active_Case="Com",IF(Standards_Sectors!S75="","",Standards_Sectors!S75),IF(Active_Case="Ind",IF(Standards_Sectors!S114="","",Standards_Sectors!S114),IF(Active_Case="Out",IF(Standards_Sectors!S153="","",Standards_Sectors!S153)))))</f>
        <v/>
      </c>
      <c r="U35" s="639" t="str">
        <f>IF(ISNUMBER(T35),(1-T35*INDEX(Standards_Acceptance!$AL71:$BP71,1,MATCH(Q35-1,Standards_Acceptance!$AL$44:$BP$44,FALSE)))/(R35-Q35+1),"")</f>
        <v/>
      </c>
      <c r="V35" s="639" t="str">
        <f>IF(ISNUMBER(T35),IF(Q35&lt;2010,T35*Standards_Acceptance!CA71,T35*INDEX(Standards_Acceptance!$AL71:$BP71,1,MATCH(Q35-1,Standards_Acceptance!$AL$44:$BP$44,FALSE))),"")</f>
        <v/>
      </c>
      <c r="W35" s="186" t="str">
        <f>IF(Active_Case="Res",IF(Standards_Sectors!T36="","",Standards_Sectors!T36),IF(Active_Case="Com",IF(Standards_Sectors!T75="","",Standards_Sectors!T75),IF(Active_Case="Ind",IF(Standards_Sectors!T114="","",Standards_Sectors!T114),IF(Active_Case="Out",IF(Standards_Sectors!T153="","",Standards_Sectors!T153)))))</f>
        <v/>
      </c>
      <c r="X35" s="186" t="str">
        <f>IF(Active_Case="Res",IF(Standards_Sectors!U36="","",Standards_Sectors!U36),IF(Active_Case="Com",IF(Standards_Sectors!U75="","",Standards_Sectors!U75),IF(Active_Case="Ind",IF(Standards_Sectors!U114="","",Standards_Sectors!U114),IF(Active_Case="Out",IF(Standards_Sectors!U153="","",Standards_Sectors!U153)))))</f>
        <v/>
      </c>
      <c r="Y35" s="186" t="str">
        <f>IF(Active_Case="Res",IF(Standards_Sectors!V36="","",Standards_Sectors!V36),IF(Active_Case="Com",IF(Standards_Sectors!V75="","",Standards_Sectors!V75),IF(Active_Case="Ind",IF(Standards_Sectors!V114="","",Standards_Sectors!V114),IF(Active_Case="Out",IF(Standards_Sectors!V153="","",Standards_Sectors!V153)))))</f>
        <v/>
      </c>
      <c r="Z35" s="186" t="str">
        <f>IF(Active_Case="Res",IF(Standards_Sectors!W36="","",Standards_Sectors!W36),IF(Active_Case="Com",IF(Standards_Sectors!W75="","",Standards_Sectors!W75),IF(Active_Case="Ind",IF(Standards_Sectors!W114="","",Standards_Sectors!W114),IF(Active_Case="Out",IF(Standards_Sectors!W153="","",Standards_Sectors!W153)))))</f>
        <v/>
      </c>
      <c r="AA35" s="186" t="str">
        <f>IF(Active_Case="Res",IF(Standards_Sectors!X36="","",Standards_Sectors!X36),IF(Active_Case="Com",IF(Standards_Sectors!X75="","",Standards_Sectors!X75),IF(Active_Case="Ind",IF(Standards_Sectors!X114="","",Standards_Sectors!X114),IF(Active_Case="Out",IF(Standards_Sectors!X153="","",Standards_Sectors!X153)))))</f>
        <v/>
      </c>
      <c r="AB35" s="186" t="str">
        <f>IF(Active_Case="Res",IF(Standards_Sectors!Y36="","",Standards_Sectors!Y36),IF(Active_Case="Com",IF(Standards_Sectors!Y75="","",Standards_Sectors!Y75),IF(Active_Case="Ind",IF(Standards_Sectors!Y114="","",Standards_Sectors!Y114),IF(Active_Case="Out",IF(Standards_Sectors!Y153="","",Standards_Sectors!Y153)))))</f>
        <v/>
      </c>
      <c r="AC35" s="186" t="str">
        <f>IF(Active_Case="Res",IF(Standards_Sectors!Z36="","",Standards_Sectors!Z36),IF(Active_Case="Com",IF(Standards_Sectors!Z75="","",Standards_Sectors!Z75),IF(Active_Case="Ind",IF(Standards_Sectors!Z114="","",Standards_Sectors!Z114),IF(Active_Case="Out",IF(Standards_Sectors!Z153="","",Standards_Sectors!Z153)))))</f>
        <v/>
      </c>
      <c r="AD35" s="607" t="str">
        <f>IF(Active_Case="Res",IF(Standards_Sectors!AA36="","",Standards_Sectors!AA36),IF(Active_Case="Com",IF(Standards_Sectors!AA75="","",Standards_Sectors!AA75),IF(Active_Case="Ind",IF(Standards_Sectors!AA114="","",Standards_Sectors!AA114),IF(Active_Case="Out",IF(Standards_Sectors!AA153="","",Standards_Sectors!AA153)))))</f>
        <v/>
      </c>
    </row>
    <row r="36" spans="1:30" ht="12.6" x14ac:dyDescent="0.25">
      <c r="B36" s="101" t="s">
        <v>50</v>
      </c>
      <c r="C36" s="606" t="str">
        <f>IF(Active_Case="Res",IF(Standards_Sectors!D37="","",Standards_Sectors!D37),IF(Active_Case="Com",IF(Standards_Sectors!D76="","",Standards_Sectors!D76),IF(Active_Case="Ind",IF(Standards_Sectors!D115="","",Standards_Sectors!D115),IF(Active_Case="Out",IF(Standards_Sectors!D154="","",Standards_Sectors!D154)))))</f>
        <v/>
      </c>
      <c r="D36" s="186" t="str">
        <f>IF(Active_Case="Res",IF(Standards_Sectors!E37="","",Standards_Sectors!E37),IF(Active_Case="Com",IF(Standards_Sectors!E76="","",Standards_Sectors!E76),IF(Active_Case="Ind",IF(Standards_Sectors!E115="","",Standards_Sectors!E115),IF(Active_Case="Out",IF(Standards_Sectors!E154="","",Standards_Sectors!E154)))))</f>
        <v/>
      </c>
      <c r="E36" s="186" t="str">
        <f>IF(Active_Case="Res",IF(Standards_Sectors!F37="","",Standards_Sectors!F37),IF(Active_Case="Com",IF(Standards_Sectors!F76="","",Standards_Sectors!F76),IF(Active_Case="Ind",IF(Standards_Sectors!F115="","",Standards_Sectors!F115),IF(Active_Case="Out",IF(Standards_Sectors!F154="","",Standards_Sectors!F154)))))</f>
        <v/>
      </c>
      <c r="F36" s="186" t="str">
        <f>IF(Active_Case="Res",IF(Standards_Sectors!G37="","",Standards_Sectors!G37),IF(Active_Case="Com",IF(Standards_Sectors!G76="","",Standards_Sectors!G76),IF(Active_Case="Ind",IF(Standards_Sectors!G115="","",Standards_Sectors!G115),IF(Active_Case="Out",IF(Standards_Sectors!G154="","",Standards_Sectors!G154)))))</f>
        <v/>
      </c>
      <c r="G36" s="186" t="str">
        <f>IF(ISNUMBER(F36),(1-F36*INDEX(Standards_Acceptance!$AL35:$BP35,1,MATCH(C36-1,Standards_Acceptance!$AL$7:$BP$7,FALSE)))/(D36-C36+1),"")</f>
        <v/>
      </c>
      <c r="H36" s="186" t="str">
        <f>IF(ISNUMBER(F36),F36*INDEX(Standards_Acceptance!$AL35:$BP35,1,MATCH(C36-1,Standards_Acceptance!$AL$7:$BP$7,FALSE)),"")</f>
        <v/>
      </c>
      <c r="I36" s="186" t="str">
        <f>IF(Active_Case="Res",IF(Standards_Sectors!H37="","",Standards_Sectors!H37),IF(Active_Case="Com",IF(Standards_Sectors!H76="","",Standards_Sectors!H76),IF(Active_Case="Ind",IF(Standards_Sectors!H115="","",Standards_Sectors!H115),IF(Active_Case="Out",IF(Standards_Sectors!H154="","",Standards_Sectors!H154)))))</f>
        <v/>
      </c>
      <c r="J36" s="186" t="str">
        <f>IF(Active_Case="Res",IF(Standards_Sectors!I37="","",Standards_Sectors!I37),IF(Active_Case="Com",IF(Standards_Sectors!I76="","",Standards_Sectors!I76),IF(Active_Case="Ind",IF(Standards_Sectors!I115="","",Standards_Sectors!I115),IF(Active_Case="Out",IF(Standards_Sectors!I154="","",Standards_Sectors!I154)))))</f>
        <v/>
      </c>
      <c r="K36" s="186" t="str">
        <f>IF(Active_Case="Res",IF(Standards_Sectors!J37="","",Standards_Sectors!J37),IF(Active_Case="Com",IF(Standards_Sectors!J76="","",Standards_Sectors!J76),IF(Active_Case="Ind",IF(Standards_Sectors!J115="","",Standards_Sectors!J115),IF(Active_Case="Out",IF(Standards_Sectors!J154="","",Standards_Sectors!J154)))))</f>
        <v/>
      </c>
      <c r="L36" s="186" t="str">
        <f>IF(Active_Case="Res",IF(Standards_Sectors!K37="","",Standards_Sectors!K37),IF(Active_Case="Com",IF(Standards_Sectors!K76="","",Standards_Sectors!K76),IF(Active_Case="Ind",IF(Standards_Sectors!K115="","",Standards_Sectors!K115),IF(Active_Case="Out",IF(Standards_Sectors!K154="","",Standards_Sectors!K154)))))</f>
        <v/>
      </c>
      <c r="M36" s="186" t="str">
        <f>IF(Active_Case="Res",IF(Standards_Sectors!L37="","",Standards_Sectors!L37),IF(Active_Case="Com",IF(Standards_Sectors!L76="","",Standards_Sectors!L76),IF(Active_Case="Ind",IF(Standards_Sectors!L115="","",Standards_Sectors!L115),IF(Active_Case="Out",IF(Standards_Sectors!L154="","",Standards_Sectors!L154)))))</f>
        <v/>
      </c>
      <c r="N36" s="186" t="str">
        <f>IF(Active_Case="Res",IF(Standards_Sectors!M37="","",Standards_Sectors!M37),IF(Active_Case="Com",IF(Standards_Sectors!M76="","",Standards_Sectors!M76),IF(Active_Case="Ind",IF(Standards_Sectors!M115="","",Standards_Sectors!M115),IF(Active_Case="Out",IF(Standards_Sectors!M154="","",Standards_Sectors!M154)))))</f>
        <v/>
      </c>
      <c r="O36" s="186" t="str">
        <f>IF(Active_Case="Res",IF(Standards_Sectors!N37="","",Standards_Sectors!N37),IF(Active_Case="Com",IF(Standards_Sectors!N76="","",Standards_Sectors!N76),IF(Active_Case="Ind",IF(Standards_Sectors!N115="","",Standards_Sectors!N115),IF(Active_Case="Out",IF(Standards_Sectors!N154="","",Standards_Sectors!N154)))))</f>
        <v/>
      </c>
      <c r="P36" s="607" t="str">
        <f>IF(Active_Case="Res",IF(Standards_Sectors!O37="","",Standards_Sectors!O37),IF(Active_Case="Com",IF(Standards_Sectors!O76="","",Standards_Sectors!O76),IF(Active_Case="Ind",IF(Standards_Sectors!O115="","",Standards_Sectors!O115),IF(Active_Case="Out",IF(Standards_Sectors!O154="","",Standards_Sectors!O154)))))</f>
        <v/>
      </c>
      <c r="Q36" s="606" t="str">
        <f>IF(Active_Case="Res",IF(Standards_Sectors!P37="","",Standards_Sectors!P37),IF(Active_Case="Com",IF(Standards_Sectors!P76="","",Standards_Sectors!P76),IF(Active_Case="Ind",IF(Standards_Sectors!P115="","",Standards_Sectors!P115),IF(Active_Case="Out",IF(Standards_Sectors!P154="","",Standards_Sectors!P154)))))</f>
        <v/>
      </c>
      <c r="R36" s="186" t="str">
        <f>IF(Active_Case="Res",IF(Standards_Sectors!Q37="","",Standards_Sectors!Q37),IF(Active_Case="Com",IF(Standards_Sectors!Q76="","",Standards_Sectors!Q76),IF(Active_Case="Ind",IF(Standards_Sectors!Q115="","",Standards_Sectors!Q115),IF(Active_Case="Out",IF(Standards_Sectors!Q154="","",Standards_Sectors!Q154)))))</f>
        <v/>
      </c>
      <c r="S36" s="186" t="str">
        <f>IF(Active_Case="Res",IF(Standards_Sectors!R37="","",Standards_Sectors!R37),IF(Active_Case="Com",IF(Standards_Sectors!R76="","",Standards_Sectors!R76),IF(Active_Case="Ind",IF(Standards_Sectors!R115="","",Standards_Sectors!R115),IF(Active_Case="Out",IF(Standards_Sectors!R154="","",Standards_Sectors!R154)))))</f>
        <v/>
      </c>
      <c r="T36" s="186" t="str">
        <f>IF(Active_Case="Res",IF(Standards_Sectors!S37="","",Standards_Sectors!S37),IF(Active_Case="Com",IF(Standards_Sectors!S76="","",Standards_Sectors!S76),IF(Active_Case="Ind",IF(Standards_Sectors!S115="","",Standards_Sectors!S115),IF(Active_Case="Out",IF(Standards_Sectors!S154="","",Standards_Sectors!S154)))))</f>
        <v/>
      </c>
      <c r="U36" s="186" t="str">
        <f>IF(ISNUMBER(T36),(1-T36*INDEX(Standards_Acceptance!$AL72:$BP72,1,MATCH(Q36-1,Standards_Acceptance!$AL$44:$BP$44,FALSE)))/(R36-Q36+1),"")</f>
        <v/>
      </c>
      <c r="V36" s="639" t="str">
        <f>IF(ISNUMBER(T36),IF(Q36&lt;2010,T36*Standards_Acceptance!CA72,T36*INDEX(Standards_Acceptance!$AL72:$BP72,1,MATCH(Q36-1,Standards_Acceptance!$AL$44:$BP$44,FALSE))),"")</f>
        <v/>
      </c>
      <c r="W36" s="186" t="str">
        <f>IF(Active_Case="Res",IF(Standards_Sectors!T37="","",Standards_Sectors!T37),IF(Active_Case="Com",IF(Standards_Sectors!T76="","",Standards_Sectors!T76),IF(Active_Case="Ind",IF(Standards_Sectors!T115="","",Standards_Sectors!T115),IF(Active_Case="Out",IF(Standards_Sectors!T154="","",Standards_Sectors!T154)))))</f>
        <v/>
      </c>
      <c r="X36" s="186" t="str">
        <f>IF(Active_Case="Res",IF(Standards_Sectors!U37="","",Standards_Sectors!U37),IF(Active_Case="Com",IF(Standards_Sectors!U76="","",Standards_Sectors!U76),IF(Active_Case="Ind",IF(Standards_Sectors!U115="","",Standards_Sectors!U115),IF(Active_Case="Out",IF(Standards_Sectors!U154="","",Standards_Sectors!U154)))))</f>
        <v/>
      </c>
      <c r="Y36" s="186" t="str">
        <f>IF(Active_Case="Res",IF(Standards_Sectors!V37="","",Standards_Sectors!V37),IF(Active_Case="Com",IF(Standards_Sectors!V76="","",Standards_Sectors!V76),IF(Active_Case="Ind",IF(Standards_Sectors!V115="","",Standards_Sectors!V115),IF(Active_Case="Out",IF(Standards_Sectors!V154="","",Standards_Sectors!V154)))))</f>
        <v/>
      </c>
      <c r="Z36" s="186" t="str">
        <f>IF(Active_Case="Res",IF(Standards_Sectors!W37="","",Standards_Sectors!W37),IF(Active_Case="Com",IF(Standards_Sectors!W76="","",Standards_Sectors!W76),IF(Active_Case="Ind",IF(Standards_Sectors!W115="","",Standards_Sectors!W115),IF(Active_Case="Out",IF(Standards_Sectors!W154="","",Standards_Sectors!W154)))))</f>
        <v/>
      </c>
      <c r="AA36" s="186" t="str">
        <f>IF(Active_Case="Res",IF(Standards_Sectors!X37="","",Standards_Sectors!X37),IF(Active_Case="Com",IF(Standards_Sectors!X76="","",Standards_Sectors!X76),IF(Active_Case="Ind",IF(Standards_Sectors!X115="","",Standards_Sectors!X115),IF(Active_Case="Out",IF(Standards_Sectors!X154="","",Standards_Sectors!X154)))))</f>
        <v/>
      </c>
      <c r="AB36" s="186" t="str">
        <f>IF(Active_Case="Res",IF(Standards_Sectors!Y37="","",Standards_Sectors!Y37),IF(Active_Case="Com",IF(Standards_Sectors!Y76="","",Standards_Sectors!Y76),IF(Active_Case="Ind",IF(Standards_Sectors!Y115="","",Standards_Sectors!Y115),IF(Active_Case="Out",IF(Standards_Sectors!Y154="","",Standards_Sectors!Y154)))))</f>
        <v/>
      </c>
      <c r="AC36" s="186" t="str">
        <f>IF(Active_Case="Res",IF(Standards_Sectors!Z37="","",Standards_Sectors!Z37),IF(Active_Case="Com",IF(Standards_Sectors!Z76="","",Standards_Sectors!Z76),IF(Active_Case="Ind",IF(Standards_Sectors!Z115="","",Standards_Sectors!Z115),IF(Active_Case="Out",IF(Standards_Sectors!Z154="","",Standards_Sectors!Z154)))))</f>
        <v/>
      </c>
      <c r="AD36" s="607" t="str">
        <f>IF(Active_Case="Res",IF(Standards_Sectors!AA37="","",Standards_Sectors!AA37),IF(Active_Case="Com",IF(Standards_Sectors!AA76="","",Standards_Sectors!AA76),IF(Active_Case="Ind",IF(Standards_Sectors!AA115="","",Standards_Sectors!AA115),IF(Active_Case="Out",IF(Standards_Sectors!AA154="","",Standards_Sectors!AA154)))))</f>
        <v/>
      </c>
    </row>
    <row r="37" spans="1:30" ht="12.6" x14ac:dyDescent="0.25">
      <c r="B37" s="81" t="s">
        <v>51</v>
      </c>
      <c r="C37" s="606" t="str">
        <f>IF(Active_Case="Res",IF(Standards_Sectors!D38="","",Standards_Sectors!D38),IF(Active_Case="Com",IF(Standards_Sectors!D77="","",Standards_Sectors!D77),IF(Active_Case="Ind",IF(Standards_Sectors!D116="","",Standards_Sectors!D116),IF(Active_Case="Out",IF(Standards_Sectors!D155="","",Standards_Sectors!D155)))))</f>
        <v/>
      </c>
      <c r="D37" s="186" t="str">
        <f>IF(Active_Case="Res",IF(Standards_Sectors!E38="","",Standards_Sectors!E38),IF(Active_Case="Com",IF(Standards_Sectors!E77="","",Standards_Sectors!E77),IF(Active_Case="Ind",IF(Standards_Sectors!E116="","",Standards_Sectors!E116),IF(Active_Case="Out",IF(Standards_Sectors!E155="","",Standards_Sectors!E155)))))</f>
        <v/>
      </c>
      <c r="E37" s="186" t="str">
        <f>IF(Active_Case="Res",IF(Standards_Sectors!F38="","",Standards_Sectors!F38),IF(Active_Case="Com",IF(Standards_Sectors!F77="","",Standards_Sectors!F77),IF(Active_Case="Ind",IF(Standards_Sectors!F116="","",Standards_Sectors!F116),IF(Active_Case="Out",IF(Standards_Sectors!F155="","",Standards_Sectors!F155)))))</f>
        <v/>
      </c>
      <c r="F37" s="186" t="str">
        <f>IF(Active_Case="Res",IF(Standards_Sectors!G38="","",Standards_Sectors!G38),IF(Active_Case="Com",IF(Standards_Sectors!G77="","",Standards_Sectors!G77),IF(Active_Case="Ind",IF(Standards_Sectors!G116="","",Standards_Sectors!G116),IF(Active_Case="Out",IF(Standards_Sectors!G155="","",Standards_Sectors!G155)))))</f>
        <v/>
      </c>
      <c r="G37" s="186" t="str">
        <f>IF(ISNUMBER(F37),(1-F37*INDEX(Standards_Acceptance!$AL36:$BP36,1,MATCH(C37-1,Standards_Acceptance!$AL$7:$BP$7,FALSE)))/(D37-C37+1),"")</f>
        <v/>
      </c>
      <c r="H37" s="186" t="str">
        <f>IF(ISNUMBER(F37),F37*INDEX(Standards_Acceptance!$AL36:$BP36,1,MATCH(C37-1,Standards_Acceptance!$AL$7:$BP$7,FALSE)),"")</f>
        <v/>
      </c>
      <c r="I37" s="186" t="str">
        <f>IF(Active_Case="Res",IF(Standards_Sectors!H38="","",Standards_Sectors!H38),IF(Active_Case="Com",IF(Standards_Sectors!H77="","",Standards_Sectors!H77),IF(Active_Case="Ind",IF(Standards_Sectors!H116="","",Standards_Sectors!H116),IF(Active_Case="Out",IF(Standards_Sectors!H155="","",Standards_Sectors!H155)))))</f>
        <v/>
      </c>
      <c r="J37" s="186" t="str">
        <f>IF(Active_Case="Res",IF(Standards_Sectors!I38="","",Standards_Sectors!I38),IF(Active_Case="Com",IF(Standards_Sectors!I77="","",Standards_Sectors!I77),IF(Active_Case="Ind",IF(Standards_Sectors!I116="","",Standards_Sectors!I116),IF(Active_Case="Out",IF(Standards_Sectors!I155="","",Standards_Sectors!I155)))))</f>
        <v/>
      </c>
      <c r="K37" s="186" t="str">
        <f>IF(Active_Case="Res",IF(Standards_Sectors!J38="","",Standards_Sectors!J38),IF(Active_Case="Com",IF(Standards_Sectors!J77="","",Standards_Sectors!J77),IF(Active_Case="Ind",IF(Standards_Sectors!J116="","",Standards_Sectors!J116),IF(Active_Case="Out",IF(Standards_Sectors!J155="","",Standards_Sectors!J155)))))</f>
        <v/>
      </c>
      <c r="L37" s="186" t="str">
        <f>IF(Active_Case="Res",IF(Standards_Sectors!K38="","",Standards_Sectors!K38),IF(Active_Case="Com",IF(Standards_Sectors!K77="","",Standards_Sectors!K77),IF(Active_Case="Ind",IF(Standards_Sectors!K116="","",Standards_Sectors!K116),IF(Active_Case="Out",IF(Standards_Sectors!K155="","",Standards_Sectors!K155)))))</f>
        <v/>
      </c>
      <c r="M37" s="186" t="str">
        <f>IF(Active_Case="Res",IF(Standards_Sectors!L38="","",Standards_Sectors!L38),IF(Active_Case="Com",IF(Standards_Sectors!L77="","",Standards_Sectors!L77),IF(Active_Case="Ind",IF(Standards_Sectors!L116="","",Standards_Sectors!L116),IF(Active_Case="Out",IF(Standards_Sectors!L155="","",Standards_Sectors!L155)))))</f>
        <v/>
      </c>
      <c r="N37" s="186" t="str">
        <f>IF(Active_Case="Res",IF(Standards_Sectors!M38="","",Standards_Sectors!M38),IF(Active_Case="Com",IF(Standards_Sectors!M77="","",Standards_Sectors!M77),IF(Active_Case="Ind",IF(Standards_Sectors!M116="","",Standards_Sectors!M116),IF(Active_Case="Out",IF(Standards_Sectors!M155="","",Standards_Sectors!M155)))))</f>
        <v/>
      </c>
      <c r="O37" s="186" t="str">
        <f>IF(Active_Case="Res",IF(Standards_Sectors!N38="","",Standards_Sectors!N38),IF(Active_Case="Com",IF(Standards_Sectors!N77="","",Standards_Sectors!N77),IF(Active_Case="Ind",IF(Standards_Sectors!N116="","",Standards_Sectors!N116),IF(Active_Case="Out",IF(Standards_Sectors!N155="","",Standards_Sectors!N155)))))</f>
        <v/>
      </c>
      <c r="P37" s="607" t="str">
        <f>IF(Active_Case="Res",IF(Standards_Sectors!O38="","",Standards_Sectors!O38),IF(Active_Case="Com",IF(Standards_Sectors!O77="","",Standards_Sectors!O77),IF(Active_Case="Ind",IF(Standards_Sectors!O116="","",Standards_Sectors!O116),IF(Active_Case="Out",IF(Standards_Sectors!O155="","",Standards_Sectors!O155)))))</f>
        <v/>
      </c>
      <c r="Q37" s="606" t="str">
        <f>IF(Active_Case="Res",IF(Standards_Sectors!P38="","",Standards_Sectors!P38),IF(Active_Case="Com",IF(Standards_Sectors!P77="","",Standards_Sectors!P77),IF(Active_Case="Ind",IF(Standards_Sectors!P116="","",Standards_Sectors!P116),IF(Active_Case="Out",IF(Standards_Sectors!P155="","",Standards_Sectors!P155)))))</f>
        <v/>
      </c>
      <c r="R37" s="186" t="str">
        <f>IF(Active_Case="Res",IF(Standards_Sectors!Q38="","",Standards_Sectors!Q38),IF(Active_Case="Com",IF(Standards_Sectors!Q77="","",Standards_Sectors!Q77),IF(Active_Case="Ind",IF(Standards_Sectors!Q116="","",Standards_Sectors!Q116),IF(Active_Case="Out",IF(Standards_Sectors!Q155="","",Standards_Sectors!Q155)))))</f>
        <v/>
      </c>
      <c r="S37" s="186" t="str">
        <f>IF(Active_Case="Res",IF(Standards_Sectors!R38="","",Standards_Sectors!R38),IF(Active_Case="Com",IF(Standards_Sectors!R77="","",Standards_Sectors!R77),IF(Active_Case="Ind",IF(Standards_Sectors!R116="","",Standards_Sectors!R116),IF(Active_Case="Out",IF(Standards_Sectors!R155="","",Standards_Sectors!R155)))))</f>
        <v/>
      </c>
      <c r="T37" s="186" t="str">
        <f>IF(Active_Case="Res",IF(Standards_Sectors!S38="","",Standards_Sectors!S38),IF(Active_Case="Com",IF(Standards_Sectors!S77="","",Standards_Sectors!S77),IF(Active_Case="Ind",IF(Standards_Sectors!S116="","",Standards_Sectors!S116),IF(Active_Case="Out",IF(Standards_Sectors!S155="","",Standards_Sectors!S155)))))</f>
        <v/>
      </c>
      <c r="U37" s="186" t="str">
        <f>IF(ISNUMBER(T37),(1-T37*INDEX(Standards_Acceptance!$AL73:$BP73,1,MATCH(Q37-1,Standards_Acceptance!$AL$44:$BP$44,FALSE)))/(R37-Q37+1),"")</f>
        <v/>
      </c>
      <c r="V37" s="639" t="str">
        <f>IF(ISNUMBER(T37),IF(Q37&lt;2010,T37*Standards_Acceptance!CA73,T37*INDEX(Standards_Acceptance!$AL73:$BP73,1,MATCH(Q37-1,Standards_Acceptance!$AL$44:$BP$44,FALSE))),"")</f>
        <v/>
      </c>
      <c r="W37" s="186" t="str">
        <f>IF(Active_Case="Res",IF(Standards_Sectors!T38="","",Standards_Sectors!T38),IF(Active_Case="Com",IF(Standards_Sectors!T77="","",Standards_Sectors!T77),IF(Active_Case="Ind",IF(Standards_Sectors!T116="","",Standards_Sectors!T116),IF(Active_Case="Out",IF(Standards_Sectors!T155="","",Standards_Sectors!T155)))))</f>
        <v/>
      </c>
      <c r="X37" s="186" t="str">
        <f>IF(Active_Case="Res",IF(Standards_Sectors!U38="","",Standards_Sectors!U38),IF(Active_Case="Com",IF(Standards_Sectors!U77="","",Standards_Sectors!U77),IF(Active_Case="Ind",IF(Standards_Sectors!U116="","",Standards_Sectors!U116),IF(Active_Case="Out",IF(Standards_Sectors!U155="","",Standards_Sectors!U155)))))</f>
        <v/>
      </c>
      <c r="Y37" s="186" t="str">
        <f>IF(Active_Case="Res",IF(Standards_Sectors!V38="","",Standards_Sectors!V38),IF(Active_Case="Com",IF(Standards_Sectors!V77="","",Standards_Sectors!V77),IF(Active_Case="Ind",IF(Standards_Sectors!V116="","",Standards_Sectors!V116),IF(Active_Case="Out",IF(Standards_Sectors!V155="","",Standards_Sectors!V155)))))</f>
        <v/>
      </c>
      <c r="Z37" s="186" t="str">
        <f>IF(Active_Case="Res",IF(Standards_Sectors!W38="","",Standards_Sectors!W38),IF(Active_Case="Com",IF(Standards_Sectors!W77="","",Standards_Sectors!W77),IF(Active_Case="Ind",IF(Standards_Sectors!W116="","",Standards_Sectors!W116),IF(Active_Case="Out",IF(Standards_Sectors!W155="","",Standards_Sectors!W155)))))</f>
        <v/>
      </c>
      <c r="AA37" s="186" t="str">
        <f>IF(Active_Case="Res",IF(Standards_Sectors!X38="","",Standards_Sectors!X38),IF(Active_Case="Com",IF(Standards_Sectors!X77="","",Standards_Sectors!X77),IF(Active_Case="Ind",IF(Standards_Sectors!X116="","",Standards_Sectors!X116),IF(Active_Case="Out",IF(Standards_Sectors!X155="","",Standards_Sectors!X155)))))</f>
        <v/>
      </c>
      <c r="AB37" s="186" t="str">
        <f>IF(Active_Case="Res",IF(Standards_Sectors!Y38="","",Standards_Sectors!Y38),IF(Active_Case="Com",IF(Standards_Sectors!Y77="","",Standards_Sectors!Y77),IF(Active_Case="Ind",IF(Standards_Sectors!Y116="","",Standards_Sectors!Y116),IF(Active_Case="Out",IF(Standards_Sectors!Y155="","",Standards_Sectors!Y155)))))</f>
        <v/>
      </c>
      <c r="AC37" s="186" t="str">
        <f>IF(Active_Case="Res",IF(Standards_Sectors!Z38="","",Standards_Sectors!Z38),IF(Active_Case="Com",IF(Standards_Sectors!Z77="","",Standards_Sectors!Z77),IF(Active_Case="Ind",IF(Standards_Sectors!Z116="","",Standards_Sectors!Z116),IF(Active_Case="Out",IF(Standards_Sectors!Z155="","",Standards_Sectors!Z155)))))</f>
        <v/>
      </c>
      <c r="AD37" s="607" t="str">
        <f>IF(Active_Case="Res",IF(Standards_Sectors!AA38="","",Standards_Sectors!AA38),IF(Active_Case="Com",IF(Standards_Sectors!AA77="","",Standards_Sectors!AA77),IF(Active_Case="Ind",IF(Standards_Sectors!AA116="","",Standards_Sectors!AA116),IF(Active_Case="Out",IF(Standards_Sectors!AA155="","",Standards_Sectors!AA155)))))</f>
        <v/>
      </c>
    </row>
    <row r="38" spans="1:30" ht="12.6" x14ac:dyDescent="0.25">
      <c r="B38" s="81" t="s">
        <v>52</v>
      </c>
      <c r="C38" s="606" t="str">
        <f>IF(Active_Case="Res",IF(Standards_Sectors!D39="","",Standards_Sectors!D39),IF(Active_Case="Com",IF(Standards_Sectors!D78="","",Standards_Sectors!D78),IF(Active_Case="Ind",IF(Standards_Sectors!D117="","",Standards_Sectors!D117),IF(Active_Case="Out",IF(Standards_Sectors!D156="","",Standards_Sectors!D156)))))</f>
        <v/>
      </c>
      <c r="D38" s="186" t="str">
        <f>IF(Active_Case="Res",IF(Standards_Sectors!E39="","",Standards_Sectors!E39),IF(Active_Case="Com",IF(Standards_Sectors!E78="","",Standards_Sectors!E78),IF(Active_Case="Ind",IF(Standards_Sectors!E117="","",Standards_Sectors!E117),IF(Active_Case="Out",IF(Standards_Sectors!E156="","",Standards_Sectors!E156)))))</f>
        <v/>
      </c>
      <c r="E38" s="186" t="str">
        <f>IF(Active_Case="Res",IF(Standards_Sectors!F39="","",Standards_Sectors!F39),IF(Active_Case="Com",IF(Standards_Sectors!F78="","",Standards_Sectors!F78),IF(Active_Case="Ind",IF(Standards_Sectors!F117="","",Standards_Sectors!F117),IF(Active_Case="Out",IF(Standards_Sectors!F156="","",Standards_Sectors!F156)))))</f>
        <v/>
      </c>
      <c r="F38" s="186" t="str">
        <f>IF(Active_Case="Res",IF(Standards_Sectors!G39="","",Standards_Sectors!G39),IF(Active_Case="Com",IF(Standards_Sectors!G78="","",Standards_Sectors!G78),IF(Active_Case="Ind",IF(Standards_Sectors!G117="","",Standards_Sectors!G117),IF(Active_Case="Out",IF(Standards_Sectors!G156="","",Standards_Sectors!G156)))))</f>
        <v/>
      </c>
      <c r="G38" s="186" t="str">
        <f>IF(ISNUMBER(F38),(1-F38*INDEX(Standards_Acceptance!$AL37:$BP37,1,MATCH(C38-1,Standards_Acceptance!$AL$7:$BP$7,FALSE)))/(D38-C38+1),"")</f>
        <v/>
      </c>
      <c r="H38" s="186" t="str">
        <f>IF(ISNUMBER(F38),F38*INDEX(Standards_Acceptance!$AL37:$BP37,1,MATCH(C38-1,Standards_Acceptance!$AL$7:$BP$7,FALSE)),"")</f>
        <v/>
      </c>
      <c r="I38" s="186" t="str">
        <f>IF(Active_Case="Res",IF(Standards_Sectors!H39="","",Standards_Sectors!H39),IF(Active_Case="Com",IF(Standards_Sectors!H78="","",Standards_Sectors!H78),IF(Active_Case="Ind",IF(Standards_Sectors!H117="","",Standards_Sectors!H117),IF(Active_Case="Out",IF(Standards_Sectors!H156="","",Standards_Sectors!H156)))))</f>
        <v/>
      </c>
      <c r="J38" s="186" t="str">
        <f>IF(Active_Case="Res",IF(Standards_Sectors!I39="","",Standards_Sectors!I39),IF(Active_Case="Com",IF(Standards_Sectors!I78="","",Standards_Sectors!I78),IF(Active_Case="Ind",IF(Standards_Sectors!I117="","",Standards_Sectors!I117),IF(Active_Case="Out",IF(Standards_Sectors!I156="","",Standards_Sectors!I156)))))</f>
        <v/>
      </c>
      <c r="K38" s="186" t="str">
        <f>IF(Active_Case="Res",IF(Standards_Sectors!J39="","",Standards_Sectors!J39),IF(Active_Case="Com",IF(Standards_Sectors!J78="","",Standards_Sectors!J78),IF(Active_Case="Ind",IF(Standards_Sectors!J117="","",Standards_Sectors!J117),IF(Active_Case="Out",IF(Standards_Sectors!J156="","",Standards_Sectors!J156)))))</f>
        <v/>
      </c>
      <c r="L38" s="186" t="str">
        <f>IF(Active_Case="Res",IF(Standards_Sectors!K39="","",Standards_Sectors!K39),IF(Active_Case="Com",IF(Standards_Sectors!K78="","",Standards_Sectors!K78),IF(Active_Case="Ind",IF(Standards_Sectors!K117="","",Standards_Sectors!K117),IF(Active_Case="Out",IF(Standards_Sectors!K156="","",Standards_Sectors!K156)))))</f>
        <v/>
      </c>
      <c r="M38" s="186" t="str">
        <f>IF(Active_Case="Res",IF(Standards_Sectors!L39="","",Standards_Sectors!L39),IF(Active_Case="Com",IF(Standards_Sectors!L78="","",Standards_Sectors!L78),IF(Active_Case="Ind",IF(Standards_Sectors!L117="","",Standards_Sectors!L117),IF(Active_Case="Out",IF(Standards_Sectors!L156="","",Standards_Sectors!L156)))))</f>
        <v/>
      </c>
      <c r="N38" s="186" t="str">
        <f>IF(Active_Case="Res",IF(Standards_Sectors!M39="","",Standards_Sectors!M39),IF(Active_Case="Com",IF(Standards_Sectors!M78="","",Standards_Sectors!M78),IF(Active_Case="Ind",IF(Standards_Sectors!M117="","",Standards_Sectors!M117),IF(Active_Case="Out",IF(Standards_Sectors!M156="","",Standards_Sectors!M156)))))</f>
        <v/>
      </c>
      <c r="O38" s="186" t="str">
        <f>IF(Active_Case="Res",IF(Standards_Sectors!N39="","",Standards_Sectors!N39),IF(Active_Case="Com",IF(Standards_Sectors!N78="","",Standards_Sectors!N78),IF(Active_Case="Ind",IF(Standards_Sectors!N117="","",Standards_Sectors!N117),IF(Active_Case="Out",IF(Standards_Sectors!N156="","",Standards_Sectors!N156)))))</f>
        <v/>
      </c>
      <c r="P38" s="607" t="str">
        <f>IF(Active_Case="Res",IF(Standards_Sectors!O39="","",Standards_Sectors!O39),IF(Active_Case="Com",IF(Standards_Sectors!O78="","",Standards_Sectors!O78),IF(Active_Case="Ind",IF(Standards_Sectors!O117="","",Standards_Sectors!O117),IF(Active_Case="Out",IF(Standards_Sectors!O156="","",Standards_Sectors!O156)))))</f>
        <v/>
      </c>
      <c r="Q38" s="606" t="str">
        <f>IF(Active_Case="Res",IF(Standards_Sectors!P39="","",Standards_Sectors!P39),IF(Active_Case="Com",IF(Standards_Sectors!P78="","",Standards_Sectors!P78),IF(Active_Case="Ind",IF(Standards_Sectors!P117="","",Standards_Sectors!P117),IF(Active_Case="Out",IF(Standards_Sectors!P156="","",Standards_Sectors!P156)))))</f>
        <v/>
      </c>
      <c r="R38" s="186" t="str">
        <f>IF(Active_Case="Res",IF(Standards_Sectors!Q39="","",Standards_Sectors!Q39),IF(Active_Case="Com",IF(Standards_Sectors!Q78="","",Standards_Sectors!Q78),IF(Active_Case="Ind",IF(Standards_Sectors!Q117="","",Standards_Sectors!Q117),IF(Active_Case="Out",IF(Standards_Sectors!Q156="","",Standards_Sectors!Q156)))))</f>
        <v/>
      </c>
      <c r="S38" s="186" t="str">
        <f>IF(Active_Case="Res",IF(Standards_Sectors!R39="","",Standards_Sectors!R39),IF(Active_Case="Com",IF(Standards_Sectors!R78="","",Standards_Sectors!R78),IF(Active_Case="Ind",IF(Standards_Sectors!R117="","",Standards_Sectors!R117),IF(Active_Case="Out",IF(Standards_Sectors!R156="","",Standards_Sectors!R156)))))</f>
        <v/>
      </c>
      <c r="T38" s="186" t="str">
        <f>IF(Active_Case="Res",IF(Standards_Sectors!S39="","",Standards_Sectors!S39),IF(Active_Case="Com",IF(Standards_Sectors!S78="","",Standards_Sectors!S78),IF(Active_Case="Ind",IF(Standards_Sectors!S117="","",Standards_Sectors!S117),IF(Active_Case="Out",IF(Standards_Sectors!S156="","",Standards_Sectors!S156)))))</f>
        <v/>
      </c>
      <c r="U38" s="186" t="str">
        <f>IF(ISNUMBER(T38),(1-T38*INDEX(Standards_Acceptance!$AL74:$BP74,1,MATCH(Q38-1,Standards_Acceptance!$AL$44:$BP$44,FALSE)))/(R38-Q38+1),"")</f>
        <v/>
      </c>
      <c r="V38" s="639" t="str">
        <f>IF(ISNUMBER(T38),IF(Q38&lt;2010,T38*Standards_Acceptance!CA74,T38*INDEX(Standards_Acceptance!$AL74:$BP74,1,MATCH(Q38-1,Standards_Acceptance!$AL$44:$BP$44,FALSE))),"")</f>
        <v/>
      </c>
      <c r="W38" s="186" t="str">
        <f>IF(Active_Case="Res",IF(Standards_Sectors!T39="","",Standards_Sectors!T39),IF(Active_Case="Com",IF(Standards_Sectors!T78="","",Standards_Sectors!T78),IF(Active_Case="Ind",IF(Standards_Sectors!T117="","",Standards_Sectors!T117),IF(Active_Case="Out",IF(Standards_Sectors!T156="","",Standards_Sectors!T156)))))</f>
        <v/>
      </c>
      <c r="X38" s="186" t="str">
        <f>IF(Active_Case="Res",IF(Standards_Sectors!U39="","",Standards_Sectors!U39),IF(Active_Case="Com",IF(Standards_Sectors!U78="","",Standards_Sectors!U78),IF(Active_Case="Ind",IF(Standards_Sectors!U117="","",Standards_Sectors!U117),IF(Active_Case="Out",IF(Standards_Sectors!U156="","",Standards_Sectors!U156)))))</f>
        <v/>
      </c>
      <c r="Y38" s="186" t="str">
        <f>IF(Active_Case="Res",IF(Standards_Sectors!V39="","",Standards_Sectors!V39),IF(Active_Case="Com",IF(Standards_Sectors!V78="","",Standards_Sectors!V78),IF(Active_Case="Ind",IF(Standards_Sectors!V117="","",Standards_Sectors!V117),IF(Active_Case="Out",IF(Standards_Sectors!V156="","",Standards_Sectors!V156)))))</f>
        <v/>
      </c>
      <c r="Z38" s="186" t="str">
        <f>IF(Active_Case="Res",IF(Standards_Sectors!W39="","",Standards_Sectors!W39),IF(Active_Case="Com",IF(Standards_Sectors!W78="","",Standards_Sectors!W78),IF(Active_Case="Ind",IF(Standards_Sectors!W117="","",Standards_Sectors!W117),IF(Active_Case="Out",IF(Standards_Sectors!W156="","",Standards_Sectors!W156)))))</f>
        <v/>
      </c>
      <c r="AA38" s="186" t="str">
        <f>IF(Active_Case="Res",IF(Standards_Sectors!X39="","",Standards_Sectors!X39),IF(Active_Case="Com",IF(Standards_Sectors!X78="","",Standards_Sectors!X78),IF(Active_Case="Ind",IF(Standards_Sectors!X117="","",Standards_Sectors!X117),IF(Active_Case="Out",IF(Standards_Sectors!X156="","",Standards_Sectors!X156)))))</f>
        <v/>
      </c>
      <c r="AB38" s="186" t="str">
        <f>IF(Active_Case="Res",IF(Standards_Sectors!Y39="","",Standards_Sectors!Y39),IF(Active_Case="Com",IF(Standards_Sectors!Y78="","",Standards_Sectors!Y78),IF(Active_Case="Ind",IF(Standards_Sectors!Y117="","",Standards_Sectors!Y117),IF(Active_Case="Out",IF(Standards_Sectors!Y156="","",Standards_Sectors!Y156)))))</f>
        <v/>
      </c>
      <c r="AC38" s="186" t="str">
        <f>IF(Active_Case="Res",IF(Standards_Sectors!Z39="","",Standards_Sectors!Z39),IF(Active_Case="Com",IF(Standards_Sectors!Z78="","",Standards_Sectors!Z78),IF(Active_Case="Ind",IF(Standards_Sectors!Z117="","",Standards_Sectors!Z117),IF(Active_Case="Out",IF(Standards_Sectors!Z156="","",Standards_Sectors!Z156)))))</f>
        <v/>
      </c>
      <c r="AD38" s="607" t="str">
        <f>IF(Active_Case="Res",IF(Standards_Sectors!AA39="","",Standards_Sectors!AA39),IF(Active_Case="Com",IF(Standards_Sectors!AA78="","",Standards_Sectors!AA78),IF(Active_Case="Ind",IF(Standards_Sectors!AA117="","",Standards_Sectors!AA117),IF(Active_Case="Out",IF(Standards_Sectors!AA156="","",Standards_Sectors!AA156)))))</f>
        <v/>
      </c>
    </row>
    <row r="39" spans="1:30" s="101" customFormat="1" ht="12.6" x14ac:dyDescent="0.25">
      <c r="A39" s="81"/>
      <c r="B39" s="101" t="s">
        <v>29</v>
      </c>
      <c r="C39" s="606" t="str">
        <f>IF(Active_Case="Res",IF(Standards_Sectors!D40="","",Standards_Sectors!D40),IF(Active_Case="Com",IF(Standards_Sectors!D79="","",Standards_Sectors!D79),IF(Active_Case="Ind",IF(Standards_Sectors!D118="","",Standards_Sectors!D118),IF(Active_Case="Out",IF(Standards_Sectors!D157="","",Standards_Sectors!D157)))))</f>
        <v/>
      </c>
      <c r="D39" s="186" t="str">
        <f>IF(Active_Case="Res",IF(Standards_Sectors!E40="","",Standards_Sectors!E40),IF(Active_Case="Com",IF(Standards_Sectors!E79="","",Standards_Sectors!E79),IF(Active_Case="Ind",IF(Standards_Sectors!E118="","",Standards_Sectors!E118),IF(Active_Case="Out",IF(Standards_Sectors!E157="","",Standards_Sectors!E157)))))</f>
        <v/>
      </c>
      <c r="E39" s="186" t="str">
        <f>IF(Active_Case="Res",IF(Standards_Sectors!F40="","",Standards_Sectors!F40),IF(Active_Case="Com",IF(Standards_Sectors!F79="","",Standards_Sectors!F79),IF(Active_Case="Ind",IF(Standards_Sectors!F118="","",Standards_Sectors!F118),IF(Active_Case="Out",IF(Standards_Sectors!F157="","",Standards_Sectors!F157)))))</f>
        <v/>
      </c>
      <c r="F39" s="186" t="str">
        <f>IF(Active_Case="Res",IF(Standards_Sectors!G40="","",Standards_Sectors!G40),IF(Active_Case="Com",IF(Standards_Sectors!G79="","",Standards_Sectors!G79),IF(Active_Case="Ind",IF(Standards_Sectors!G118="","",Standards_Sectors!G118),IF(Active_Case="Out",IF(Standards_Sectors!G157="","",Standards_Sectors!G157)))))</f>
        <v/>
      </c>
      <c r="G39" s="186" t="str">
        <f>IF(ISNUMBER(F39),(1-F39*INDEX(Standards_Acceptance!$AL38:$BP38,1,MATCH(C39-1,Standards_Acceptance!$AL$7:$BP$7,FALSE)))/(D39-C39+1),"")</f>
        <v/>
      </c>
      <c r="H39" s="186" t="str">
        <f>IF(ISNUMBER(F39),F39*INDEX(Standards_Acceptance!$AL38:$BP38,1,MATCH(C39-1,Standards_Acceptance!$AL$7:$BP$7,FALSE)),"")</f>
        <v/>
      </c>
      <c r="I39" s="186" t="str">
        <f>IF(Active_Case="Res",IF(Standards_Sectors!H40="","",Standards_Sectors!H40),IF(Active_Case="Com",IF(Standards_Sectors!H79="","",Standards_Sectors!H79),IF(Active_Case="Ind",IF(Standards_Sectors!H118="","",Standards_Sectors!H118),IF(Active_Case="Out",IF(Standards_Sectors!H157="","",Standards_Sectors!H157)))))</f>
        <v/>
      </c>
      <c r="J39" s="186" t="str">
        <f>IF(Active_Case="Res",IF(Standards_Sectors!I40="","",Standards_Sectors!I40),IF(Active_Case="Com",IF(Standards_Sectors!I79="","",Standards_Sectors!I79),IF(Active_Case="Ind",IF(Standards_Sectors!I118="","",Standards_Sectors!I118),IF(Active_Case="Out",IF(Standards_Sectors!I157="","",Standards_Sectors!I157)))))</f>
        <v/>
      </c>
      <c r="K39" s="186" t="str">
        <f>IF(Active_Case="Res",IF(Standards_Sectors!J40="","",Standards_Sectors!J40),IF(Active_Case="Com",IF(Standards_Sectors!J79="","",Standards_Sectors!J79),IF(Active_Case="Ind",IF(Standards_Sectors!J118="","",Standards_Sectors!J118),IF(Active_Case="Out",IF(Standards_Sectors!J157="","",Standards_Sectors!J157)))))</f>
        <v/>
      </c>
      <c r="L39" s="186" t="str">
        <f>IF(Active_Case="Res",IF(Standards_Sectors!K40="","",Standards_Sectors!K40),IF(Active_Case="Com",IF(Standards_Sectors!K79="","",Standards_Sectors!K79),IF(Active_Case="Ind",IF(Standards_Sectors!K118="","",Standards_Sectors!K118),IF(Active_Case="Out",IF(Standards_Sectors!K157="","",Standards_Sectors!K157)))))</f>
        <v/>
      </c>
      <c r="M39" s="186" t="str">
        <f>IF(Active_Case="Res",IF(Standards_Sectors!L40="","",Standards_Sectors!L40),IF(Active_Case="Com",IF(Standards_Sectors!L79="","",Standards_Sectors!L79),IF(Active_Case="Ind",IF(Standards_Sectors!L118="","",Standards_Sectors!L118),IF(Active_Case="Out",IF(Standards_Sectors!L157="","",Standards_Sectors!L157)))))</f>
        <v/>
      </c>
      <c r="N39" s="186" t="str">
        <f>IF(Active_Case="Res",IF(Standards_Sectors!M40="","",Standards_Sectors!M40),IF(Active_Case="Com",IF(Standards_Sectors!M79="","",Standards_Sectors!M79),IF(Active_Case="Ind",IF(Standards_Sectors!M118="","",Standards_Sectors!M118),IF(Active_Case="Out",IF(Standards_Sectors!M157="","",Standards_Sectors!M157)))))</f>
        <v/>
      </c>
      <c r="O39" s="186" t="str">
        <f>IF(Active_Case="Res",IF(Standards_Sectors!N40="","",Standards_Sectors!N40),IF(Active_Case="Com",IF(Standards_Sectors!N79="","",Standards_Sectors!N79),IF(Active_Case="Ind",IF(Standards_Sectors!N118="","",Standards_Sectors!N118),IF(Active_Case="Out",IF(Standards_Sectors!N157="","",Standards_Sectors!N157)))))</f>
        <v/>
      </c>
      <c r="P39" s="607" t="str">
        <f>IF(Active_Case="Res",IF(Standards_Sectors!O40="","",Standards_Sectors!O40),IF(Active_Case="Com",IF(Standards_Sectors!O79="","",Standards_Sectors!O79),IF(Active_Case="Ind",IF(Standards_Sectors!O118="","",Standards_Sectors!O118),IF(Active_Case="Out",IF(Standards_Sectors!O157="","",Standards_Sectors!O157)))))</f>
        <v/>
      </c>
      <c r="Q39" s="606" t="str">
        <f>IF(Active_Case="Res",IF(Standards_Sectors!P40="","",Standards_Sectors!P40),IF(Active_Case="Com",IF(Standards_Sectors!P79="","",Standards_Sectors!P79),IF(Active_Case="Ind",IF(Standards_Sectors!P118="","",Standards_Sectors!P118),IF(Active_Case="Out",IF(Standards_Sectors!P157="","",Standards_Sectors!P157)))))</f>
        <v/>
      </c>
      <c r="R39" s="186" t="str">
        <f>IF(Active_Case="Res",IF(Standards_Sectors!Q40="","",Standards_Sectors!Q40),IF(Active_Case="Com",IF(Standards_Sectors!Q79="","",Standards_Sectors!Q79),IF(Active_Case="Ind",IF(Standards_Sectors!Q118="","",Standards_Sectors!Q118),IF(Active_Case="Out",IF(Standards_Sectors!Q157="","",Standards_Sectors!Q157)))))</f>
        <v/>
      </c>
      <c r="S39" s="186" t="str">
        <f>IF(Active_Case="Res",IF(Standards_Sectors!R40="","",Standards_Sectors!R40),IF(Active_Case="Com",IF(Standards_Sectors!R79="","",Standards_Sectors!R79),IF(Active_Case="Ind",IF(Standards_Sectors!R118="","",Standards_Sectors!R118),IF(Active_Case="Out",IF(Standards_Sectors!R157="","",Standards_Sectors!R157)))))</f>
        <v/>
      </c>
      <c r="T39" s="186" t="str">
        <f>IF(Active_Case="Res",IF(Standards_Sectors!S40="","",Standards_Sectors!S40),IF(Active_Case="Com",IF(Standards_Sectors!S79="","",Standards_Sectors!S79),IF(Active_Case="Ind",IF(Standards_Sectors!S118="","",Standards_Sectors!S118),IF(Active_Case="Out",IF(Standards_Sectors!S157="","",Standards_Sectors!S157)))))</f>
        <v/>
      </c>
      <c r="U39" s="639" t="str">
        <f>IF(ISNUMBER(T39),(1-T39*INDEX(Standards_Acceptance!$AL75:$BP75,1,MATCH(Q39-1,Standards_Acceptance!$AL$44:$BP$44,FALSE)))/(R39-Q39+1),"")</f>
        <v/>
      </c>
      <c r="V39" s="639" t="str">
        <f>IF(ISNUMBER(T39),IF(Q39&lt;2010,T39*Standards_Acceptance!CA75,T39*INDEX(Standards_Acceptance!$AL75:$BP75,1,MATCH(Q39-1,Standards_Acceptance!$AL$44:$BP$44,FALSE))),"")</f>
        <v/>
      </c>
      <c r="W39" s="186" t="str">
        <f>IF(Active_Case="Res",IF(Standards_Sectors!T40="","",Standards_Sectors!T40),IF(Active_Case="Com",IF(Standards_Sectors!T79="","",Standards_Sectors!T79),IF(Active_Case="Ind",IF(Standards_Sectors!T118="","",Standards_Sectors!T118),IF(Active_Case="Out",IF(Standards_Sectors!T157="","",Standards_Sectors!T157)))))</f>
        <v/>
      </c>
      <c r="X39" s="186" t="str">
        <f>IF(Active_Case="Res",IF(Standards_Sectors!U40="","",Standards_Sectors!U40),IF(Active_Case="Com",IF(Standards_Sectors!U79="","",Standards_Sectors!U79),IF(Active_Case="Ind",IF(Standards_Sectors!U118="","",Standards_Sectors!U118),IF(Active_Case="Out",IF(Standards_Sectors!U157="","",Standards_Sectors!U157)))))</f>
        <v/>
      </c>
      <c r="Y39" s="186" t="str">
        <f>IF(Active_Case="Res",IF(Standards_Sectors!V40="","",Standards_Sectors!V40),IF(Active_Case="Com",IF(Standards_Sectors!V79="","",Standards_Sectors!V79),IF(Active_Case="Ind",IF(Standards_Sectors!V118="","",Standards_Sectors!V118),IF(Active_Case="Out",IF(Standards_Sectors!V157="","",Standards_Sectors!V157)))))</f>
        <v/>
      </c>
      <c r="Z39" s="186" t="str">
        <f>IF(Active_Case="Res",IF(Standards_Sectors!W40="","",Standards_Sectors!W40),IF(Active_Case="Com",IF(Standards_Sectors!W79="","",Standards_Sectors!W79),IF(Active_Case="Ind",IF(Standards_Sectors!W118="","",Standards_Sectors!W118),IF(Active_Case="Out",IF(Standards_Sectors!W157="","",Standards_Sectors!W157)))))</f>
        <v/>
      </c>
      <c r="AA39" s="186" t="str">
        <f>IF(Active_Case="Res",IF(Standards_Sectors!X40="","",Standards_Sectors!X40),IF(Active_Case="Com",IF(Standards_Sectors!X79="","",Standards_Sectors!X79),IF(Active_Case="Ind",IF(Standards_Sectors!X118="","",Standards_Sectors!X118),IF(Active_Case="Out",IF(Standards_Sectors!X157="","",Standards_Sectors!X157)))))</f>
        <v/>
      </c>
      <c r="AB39" s="186" t="str">
        <f>IF(Active_Case="Res",IF(Standards_Sectors!Y40="","",Standards_Sectors!Y40),IF(Active_Case="Com",IF(Standards_Sectors!Y79="","",Standards_Sectors!Y79),IF(Active_Case="Ind",IF(Standards_Sectors!Y118="","",Standards_Sectors!Y118),IF(Active_Case="Out",IF(Standards_Sectors!Y157="","",Standards_Sectors!Y157)))))</f>
        <v/>
      </c>
      <c r="AC39" s="186" t="str">
        <f>IF(Active_Case="Res",IF(Standards_Sectors!Z40="","",Standards_Sectors!Z40),IF(Active_Case="Com",IF(Standards_Sectors!Z79="","",Standards_Sectors!Z79),IF(Active_Case="Ind",IF(Standards_Sectors!Z118="","",Standards_Sectors!Z118),IF(Active_Case="Out",IF(Standards_Sectors!Z157="","",Standards_Sectors!Z157)))))</f>
        <v/>
      </c>
      <c r="AD39" s="607" t="str">
        <f>IF(Active_Case="Res",IF(Standards_Sectors!AA40="","",Standards_Sectors!AA40),IF(Active_Case="Com",IF(Standards_Sectors!AA79="","",Standards_Sectors!AA79),IF(Active_Case="Ind",IF(Standards_Sectors!AA118="","",Standards_Sectors!AA118),IF(Active_Case="Out",IF(Standards_Sectors!AA157="","",Standards_Sectors!AA157)))))</f>
        <v/>
      </c>
    </row>
    <row r="40" spans="1:30" ht="12.6" x14ac:dyDescent="0.25">
      <c r="B40" s="101" t="s">
        <v>53</v>
      </c>
      <c r="C40" s="637" t="str">
        <f>IF(Active_Case="Res",IF(Standards_Sectors!D41="","",Standards_Sectors!D41),IF(Active_Case="Com",IF(Standards_Sectors!D80="","",Standards_Sectors!D80),IF(Active_Case="Ind",IF(Standards_Sectors!D119="","",Standards_Sectors!D119),IF(Active_Case="Out",IF(Standards_Sectors!D158="","",Standards_Sectors!D158)))))</f>
        <v/>
      </c>
      <c r="D40" s="621" t="str">
        <f>IF(Active_Case="Res",IF(Standards_Sectors!E41="","",Standards_Sectors!E41),IF(Active_Case="Com",IF(Standards_Sectors!E80="","",Standards_Sectors!E80),IF(Active_Case="Ind",IF(Standards_Sectors!E119="","",Standards_Sectors!E119),IF(Active_Case="Out",IF(Standards_Sectors!E158="","",Standards_Sectors!E158)))))</f>
        <v/>
      </c>
      <c r="E40" s="621" t="str">
        <f>IF(Active_Case="Res",IF(Standards_Sectors!F41="","",Standards_Sectors!F41),IF(Active_Case="Com",IF(Standards_Sectors!F80="","",Standards_Sectors!F80),IF(Active_Case="Ind",IF(Standards_Sectors!F119="","",Standards_Sectors!F119),IF(Active_Case="Out",IF(Standards_Sectors!F158="","",Standards_Sectors!F158)))))</f>
        <v/>
      </c>
      <c r="F40" s="621" t="str">
        <f>IF(Active_Case="Res",IF(Standards_Sectors!G41="","",Standards_Sectors!G41),IF(Active_Case="Com",IF(Standards_Sectors!G80="","",Standards_Sectors!G80),IF(Active_Case="Ind",IF(Standards_Sectors!G119="","",Standards_Sectors!G119),IF(Active_Case="Out",IF(Standards_Sectors!G158="","",Standards_Sectors!G158)))))</f>
        <v/>
      </c>
      <c r="G40" s="621" t="str">
        <f>IF(ISNUMBER(F40),(1-F40*INDEX(Standards_Acceptance!$AL39:$BP39,1,MATCH(C40-1,Standards_Acceptance!$AL$7:$BP$7,FALSE)))/(D40-C40+1),"")</f>
        <v/>
      </c>
      <c r="H40" s="621" t="str">
        <f>IF(ISNUMBER(F40),F40*INDEX(Standards_Acceptance!$AL39:$BP39,1,MATCH(C40-1,Standards_Acceptance!$AL$7:$BP$7,FALSE)),"")</f>
        <v/>
      </c>
      <c r="I40" s="621" t="str">
        <f>IF(Active_Case="Res",IF(Standards_Sectors!H41="","",Standards_Sectors!H41),IF(Active_Case="Com",IF(Standards_Sectors!H80="","",Standards_Sectors!H80),IF(Active_Case="Ind",IF(Standards_Sectors!H119="","",Standards_Sectors!H119),IF(Active_Case="Out",IF(Standards_Sectors!H158="","",Standards_Sectors!H158)))))</f>
        <v/>
      </c>
      <c r="J40" s="621" t="str">
        <f>IF(Active_Case="Res",IF(Standards_Sectors!I41="","",Standards_Sectors!I41),IF(Active_Case="Com",IF(Standards_Sectors!I80="","",Standards_Sectors!I80),IF(Active_Case="Ind",IF(Standards_Sectors!I119="","",Standards_Sectors!I119),IF(Active_Case="Out",IF(Standards_Sectors!I158="","",Standards_Sectors!I158)))))</f>
        <v/>
      </c>
      <c r="K40" s="621" t="str">
        <f>IF(Active_Case="Res",IF(Standards_Sectors!J41="","",Standards_Sectors!J41),IF(Active_Case="Com",IF(Standards_Sectors!J80="","",Standards_Sectors!J80),IF(Active_Case="Ind",IF(Standards_Sectors!J119="","",Standards_Sectors!J119),IF(Active_Case="Out",IF(Standards_Sectors!J158="","",Standards_Sectors!J158)))))</f>
        <v/>
      </c>
      <c r="L40" s="621" t="str">
        <f>IF(Active_Case="Res",IF(Standards_Sectors!K41="","",Standards_Sectors!K41),IF(Active_Case="Com",IF(Standards_Sectors!K80="","",Standards_Sectors!K80),IF(Active_Case="Ind",IF(Standards_Sectors!K119="","",Standards_Sectors!K119),IF(Active_Case="Out",IF(Standards_Sectors!K158="","",Standards_Sectors!K158)))))</f>
        <v/>
      </c>
      <c r="M40" s="621" t="str">
        <f>IF(Active_Case="Res",IF(Standards_Sectors!L41="","",Standards_Sectors!L41),IF(Active_Case="Com",IF(Standards_Sectors!L80="","",Standards_Sectors!L80),IF(Active_Case="Ind",IF(Standards_Sectors!L119="","",Standards_Sectors!L119),IF(Active_Case="Out",IF(Standards_Sectors!L158="","",Standards_Sectors!L158)))))</f>
        <v/>
      </c>
      <c r="N40" s="621" t="str">
        <f>IF(Active_Case="Res",IF(Standards_Sectors!M41="","",Standards_Sectors!M41),IF(Active_Case="Com",IF(Standards_Sectors!M80="","",Standards_Sectors!M80),IF(Active_Case="Ind",IF(Standards_Sectors!M119="","",Standards_Sectors!M119),IF(Active_Case="Out",IF(Standards_Sectors!M158="","",Standards_Sectors!M158)))))</f>
        <v/>
      </c>
      <c r="O40" s="621" t="str">
        <f>IF(Active_Case="Res",IF(Standards_Sectors!N41="","",Standards_Sectors!N41),IF(Active_Case="Com",IF(Standards_Sectors!N80="","",Standards_Sectors!N80),IF(Active_Case="Ind",IF(Standards_Sectors!N119="","",Standards_Sectors!N119),IF(Active_Case="Out",IF(Standards_Sectors!N158="","",Standards_Sectors!N158)))))</f>
        <v/>
      </c>
      <c r="P40" s="638" t="str">
        <f>IF(Active_Case="Res",IF(Standards_Sectors!O41="","",Standards_Sectors!O41),IF(Active_Case="Com",IF(Standards_Sectors!O80="","",Standards_Sectors!O80),IF(Active_Case="Ind",IF(Standards_Sectors!O119="","",Standards_Sectors!O119),IF(Active_Case="Out",IF(Standards_Sectors!O158="","",Standards_Sectors!O158)))))</f>
        <v/>
      </c>
      <c r="Q40" s="637" t="str">
        <f>IF(Active_Case="Res",IF(Standards_Sectors!P41="","",Standards_Sectors!P41),IF(Active_Case="Com",IF(Standards_Sectors!P80="","",Standards_Sectors!P80),IF(Active_Case="Ind",IF(Standards_Sectors!P119="","",Standards_Sectors!P119),IF(Active_Case="Out",IF(Standards_Sectors!P158="","",Standards_Sectors!P158)))))</f>
        <v/>
      </c>
      <c r="R40" s="621" t="str">
        <f>IF(Active_Case="Res",IF(Standards_Sectors!Q41="","",Standards_Sectors!Q41),IF(Active_Case="Com",IF(Standards_Sectors!Q80="","",Standards_Sectors!Q80),IF(Active_Case="Ind",IF(Standards_Sectors!Q119="","",Standards_Sectors!Q119),IF(Active_Case="Out",IF(Standards_Sectors!Q158="","",Standards_Sectors!Q158)))))</f>
        <v/>
      </c>
      <c r="S40" s="621" t="str">
        <f>IF(Active_Case="Res",IF(Standards_Sectors!R41="","",Standards_Sectors!R41),IF(Active_Case="Com",IF(Standards_Sectors!R80="","",Standards_Sectors!R80),IF(Active_Case="Ind",IF(Standards_Sectors!R119="","",Standards_Sectors!R119),IF(Active_Case="Out",IF(Standards_Sectors!R158="","",Standards_Sectors!R158)))))</f>
        <v/>
      </c>
      <c r="T40" s="621" t="str">
        <f>IF(Active_Case="Res",IF(Standards_Sectors!S41="","",Standards_Sectors!S41),IF(Active_Case="Com",IF(Standards_Sectors!S80="","",Standards_Sectors!S80),IF(Active_Case="Ind",IF(Standards_Sectors!S119="","",Standards_Sectors!S119),IF(Active_Case="Out",IF(Standards_Sectors!S158="","",Standards_Sectors!S158)))))</f>
        <v/>
      </c>
      <c r="U40" s="640" t="str">
        <f>IF(ISNUMBER(T40),(1-T40*INDEX(Standards_Acceptance!$AL76:$BP76,1,MATCH(Q40-1,Standards_Acceptance!$AL$44:$BP$44,FALSE)))/(R40-Q40+1),"")</f>
        <v/>
      </c>
      <c r="V40" s="640" t="str">
        <f>IF(ISNUMBER(T40),IF(Q40&lt;2010,T40*Standards_Acceptance!CA76,T40*INDEX(Standards_Acceptance!$AL76:$BP76,1,MATCH(Q40-1,Standards_Acceptance!$AL$44:$BP$44,FALSE))),"")</f>
        <v/>
      </c>
      <c r="W40" s="621" t="str">
        <f>IF(Active_Case="Res",IF(Standards_Sectors!U41="","",Standards_Sectors!U41),IF(Active_Case="Com",IF(Standards_Sectors!U80="","",Standards_Sectors!U80),IF(Active_Case="Ind",IF(Standards_Sectors!U119="","",Standards_Sectors!U119),IF(Active_Case="Out",IF(Standards_Sectors!U158="","",Standards_Sectors!U158)))))</f>
        <v/>
      </c>
      <c r="X40" s="621" t="str">
        <f>IF(Active_Case="Res",IF(Standards_Sectors!V41="","",Standards_Sectors!V41),IF(Active_Case="Com",IF(Standards_Sectors!V80="","",Standards_Sectors!V80),IF(Active_Case="Ind",IF(Standards_Sectors!V119="","",Standards_Sectors!V119),IF(Active_Case="Out",IF(Standards_Sectors!V158="","",Standards_Sectors!V158)))))</f>
        <v/>
      </c>
      <c r="Y40" s="621" t="str">
        <f>IF(Active_Case="Res",IF(Standards_Sectors!W41="","",Standards_Sectors!W41),IF(Active_Case="Com",IF(Standards_Sectors!W80="","",Standards_Sectors!W80),IF(Active_Case="Ind",IF(Standards_Sectors!W119="","",Standards_Sectors!W119),IF(Active_Case="Out",IF(Standards_Sectors!W158="","",Standards_Sectors!W158)))))</f>
        <v/>
      </c>
      <c r="Z40" s="621" t="str">
        <f>IF(Active_Case="Res",IF(Standards_Sectors!X41="","",Standards_Sectors!X41),IF(Active_Case="Com",IF(Standards_Sectors!X80="","",Standards_Sectors!X80),IF(Active_Case="Ind",IF(Standards_Sectors!X119="","",Standards_Sectors!X119),IF(Active_Case="Out",IF(Standards_Sectors!X158="","",Standards_Sectors!X158)))))</f>
        <v/>
      </c>
      <c r="AA40" s="621" t="str">
        <f>IF(Active_Case="Res",IF(Standards_Sectors!Y41="","",Standards_Sectors!Y41),IF(Active_Case="Com",IF(Standards_Sectors!Y80="","",Standards_Sectors!Y80),IF(Active_Case="Ind",IF(Standards_Sectors!Y119="","",Standards_Sectors!Y119),IF(Active_Case="Out",IF(Standards_Sectors!Y158="","",Standards_Sectors!Y158)))))</f>
        <v/>
      </c>
      <c r="AB40" s="621" t="str">
        <f>IF(Active_Case="Res",IF(Standards_Sectors!Z41="","",Standards_Sectors!Z41),IF(Active_Case="Com",IF(Standards_Sectors!Z80="","",Standards_Sectors!Z80),IF(Active_Case="Ind",IF(Standards_Sectors!Z119="","",Standards_Sectors!Z119),IF(Active_Case="Out",IF(Standards_Sectors!Z158="","",Standards_Sectors!Z158)))))</f>
        <v/>
      </c>
      <c r="AC40" s="621" t="str">
        <f>IF(Active_Case="Res",IF(Standards_Sectors!AA41="","",Standards_Sectors!AA41),IF(Active_Case="Com",IF(Standards_Sectors!AA80="","",Standards_Sectors!AA80),IF(Active_Case="Ind",IF(Standards_Sectors!AA119="","",Standards_Sectors!AA119),IF(Active_Case="Out",IF(Standards_Sectors!AA158="","",Standards_Sectors!AA158)))))</f>
        <v/>
      </c>
      <c r="AD40" s="56"/>
    </row>
    <row r="41" spans="1:30" x14ac:dyDescent="0.2">
      <c r="G41" s="552"/>
      <c r="N41" s="81"/>
      <c r="P41" s="376"/>
    </row>
    <row r="42" spans="1:30" x14ac:dyDescent="0.2">
      <c r="N42" s="81"/>
    </row>
    <row r="157" spans="14:14" x14ac:dyDescent="0.2">
      <c r="N157" s="81"/>
    </row>
    <row r="158" spans="14:14" x14ac:dyDescent="0.2">
      <c r="N158" s="81"/>
    </row>
    <row r="159" spans="14:14" x14ac:dyDescent="0.2">
      <c r="N159" s="81"/>
    </row>
    <row r="160" spans="14:14" x14ac:dyDescent="0.2">
      <c r="N160" s="81"/>
    </row>
    <row r="161" spans="14:14" x14ac:dyDescent="0.2">
      <c r="N161" s="81"/>
    </row>
    <row r="162" spans="14:14" x14ac:dyDescent="0.2">
      <c r="N162" s="81"/>
    </row>
    <row r="163" spans="14:14" x14ac:dyDescent="0.2">
      <c r="N163" s="81"/>
    </row>
    <row r="164" spans="14:14" x14ac:dyDescent="0.2">
      <c r="N164" s="81"/>
    </row>
    <row r="165" spans="14:14" x14ac:dyDescent="0.2">
      <c r="N165" s="81"/>
    </row>
    <row r="166" spans="14:14" x14ac:dyDescent="0.2">
      <c r="N166" s="81"/>
    </row>
    <row r="167" spans="14:14" x14ac:dyDescent="0.2">
      <c r="N167" s="81"/>
    </row>
    <row r="168" spans="14:14" x14ac:dyDescent="0.2">
      <c r="N168" s="81"/>
    </row>
    <row r="169" spans="14:14" x14ac:dyDescent="0.2">
      <c r="N169" s="81"/>
    </row>
    <row r="170" spans="14:14" x14ac:dyDescent="0.2">
      <c r="N170" s="81"/>
    </row>
    <row r="171" spans="14:14" x14ac:dyDescent="0.2">
      <c r="N171" s="81"/>
    </row>
    <row r="172" spans="14:14" x14ac:dyDescent="0.2">
      <c r="N172" s="81"/>
    </row>
    <row r="173" spans="14:14" x14ac:dyDescent="0.2">
      <c r="N173" s="81"/>
    </row>
    <row r="174" spans="14:14" x14ac:dyDescent="0.2">
      <c r="N174" s="81"/>
    </row>
    <row r="175" spans="14:14" x14ac:dyDescent="0.2">
      <c r="N175" s="81"/>
    </row>
    <row r="176" spans="14:14" x14ac:dyDescent="0.2">
      <c r="N176" s="81"/>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FF00"/>
  </sheetPr>
  <dimension ref="A1:DA115"/>
  <sheetViews>
    <sheetView topLeftCell="C1" zoomScale="59" zoomScaleNormal="59" workbookViewId="0">
      <selection activeCell="F37" sqref="F37"/>
    </sheetView>
  </sheetViews>
  <sheetFormatPr defaultColWidth="9.140625" defaultRowHeight="15" x14ac:dyDescent="0.25"/>
  <cols>
    <col min="1" max="16384" width="9.140625" style="539"/>
  </cols>
  <sheetData>
    <row r="1" spans="1:104" ht="18" x14ac:dyDescent="0.4">
      <c r="A1" s="330" t="s">
        <v>307</v>
      </c>
    </row>
    <row r="2" spans="1:104" s="81" customFormat="1" ht="14.45" x14ac:dyDescent="0.35">
      <c r="A2" s="1040" t="s">
        <v>671</v>
      </c>
    </row>
    <row r="3" spans="1:104" s="81" customFormat="1" ht="12.6" x14ac:dyDescent="0.25"/>
    <row r="4" spans="1:104" customFormat="1" ht="14.45" x14ac:dyDescent="0.35">
      <c r="A4" s="398" t="s">
        <v>220</v>
      </c>
      <c r="B4" s="399"/>
      <c r="C4" s="398"/>
      <c r="D4" s="399"/>
      <c r="E4" s="399"/>
      <c r="F4" s="399"/>
      <c r="G4" s="399"/>
      <c r="H4" s="399"/>
      <c r="I4" s="399"/>
      <c r="J4" s="399"/>
      <c r="K4" s="399"/>
      <c r="L4" s="399"/>
      <c r="M4" s="399"/>
      <c r="N4" s="399"/>
      <c r="O4" s="399"/>
      <c r="P4" s="399"/>
      <c r="Q4" s="399"/>
      <c r="R4" s="399"/>
      <c r="S4" s="399"/>
      <c r="T4" s="399"/>
      <c r="U4" s="399"/>
      <c r="V4" s="399"/>
      <c r="W4" s="399"/>
      <c r="X4" s="399"/>
      <c r="Y4" s="399"/>
      <c r="Z4" s="399"/>
      <c r="AA4" s="399"/>
      <c r="AB4" s="399"/>
      <c r="AC4" s="399"/>
      <c r="AD4" s="399"/>
      <c r="AE4" s="399"/>
      <c r="AF4" s="399"/>
      <c r="AG4" s="399"/>
      <c r="AH4" s="399"/>
      <c r="AI4" s="399"/>
      <c r="AJ4" s="399"/>
      <c r="AK4" s="399"/>
      <c r="AL4" s="399"/>
      <c r="AM4" s="399"/>
      <c r="AN4" s="399"/>
      <c r="AO4" s="399"/>
      <c r="AP4" s="399"/>
      <c r="AQ4" s="399"/>
      <c r="AR4" s="399"/>
      <c r="AS4" s="399"/>
      <c r="AT4" s="399"/>
      <c r="AU4" s="399"/>
      <c r="AV4" s="399"/>
      <c r="AW4" s="399"/>
      <c r="AX4" s="399"/>
      <c r="AY4" s="399"/>
      <c r="AZ4" s="399"/>
      <c r="BA4" s="399"/>
      <c r="BB4" s="399"/>
      <c r="BC4" s="399"/>
      <c r="BD4" s="399"/>
      <c r="BE4" s="399"/>
      <c r="BF4" s="399"/>
      <c r="BG4" s="399"/>
      <c r="BH4" s="399"/>
      <c r="BI4" s="399"/>
      <c r="BJ4" s="399"/>
      <c r="BK4" s="399"/>
      <c r="BL4" s="399"/>
      <c r="BM4" s="399"/>
      <c r="BN4" s="399"/>
      <c r="BO4" s="399"/>
      <c r="BP4" s="399"/>
      <c r="BQ4" s="399"/>
      <c r="BR4" s="399"/>
      <c r="BS4" s="399"/>
      <c r="BT4" s="399"/>
      <c r="BU4" s="399"/>
      <c r="BV4" s="399"/>
      <c r="BW4" s="399"/>
      <c r="BX4" s="399"/>
      <c r="BY4" s="399"/>
      <c r="BZ4" s="399"/>
      <c r="CA4" s="399"/>
      <c r="CB4" s="399"/>
      <c r="CC4" s="399"/>
      <c r="CD4" s="399"/>
      <c r="CE4" s="399"/>
      <c r="CF4" s="399"/>
      <c r="CG4" s="399"/>
      <c r="CH4" s="399"/>
      <c r="CI4" s="399"/>
      <c r="CJ4" s="399"/>
      <c r="CK4" s="399"/>
      <c r="CL4" s="399"/>
      <c r="CM4" s="399"/>
      <c r="CN4" s="399"/>
      <c r="CO4" s="399"/>
      <c r="CP4" s="399"/>
      <c r="CQ4" s="399"/>
      <c r="CR4" s="399"/>
      <c r="CS4" s="399"/>
      <c r="CT4" s="399"/>
      <c r="CU4" s="399"/>
      <c r="CV4" s="399"/>
      <c r="CW4" s="399"/>
      <c r="CX4" s="399"/>
      <c r="CY4" s="399"/>
      <c r="CZ4" s="399"/>
    </row>
    <row r="5" spans="1:104" s="81" customFormat="1" ht="12.6" x14ac:dyDescent="0.25">
      <c r="AG5" s="252"/>
      <c r="AH5" s="81" t="s">
        <v>224</v>
      </c>
      <c r="BQ5" s="376"/>
      <c r="BR5" s="552" t="s">
        <v>225</v>
      </c>
      <c r="BS5" s="376"/>
      <c r="BT5" s="376"/>
      <c r="BU5" s="376"/>
      <c r="BV5" s="376"/>
      <c r="BW5" s="376"/>
      <c r="BX5" s="376"/>
      <c r="BY5" s="376"/>
      <c r="BZ5" s="376"/>
      <c r="CA5" s="376"/>
      <c r="CB5" s="376"/>
      <c r="CC5" s="376"/>
      <c r="CD5" s="376"/>
      <c r="CE5" s="376"/>
      <c r="CF5" s="376"/>
      <c r="CG5" s="376"/>
      <c r="CH5" s="376"/>
      <c r="CI5" s="376"/>
      <c r="CJ5" s="376"/>
      <c r="CK5" s="376"/>
      <c r="CL5" s="376"/>
      <c r="CM5" s="376"/>
      <c r="CN5" s="376"/>
      <c r="CO5" s="376"/>
      <c r="CP5" s="376"/>
      <c r="CQ5" s="376"/>
      <c r="CR5" s="376"/>
      <c r="CS5" s="376"/>
      <c r="CT5" s="376"/>
      <c r="CU5" s="376"/>
      <c r="CV5" s="376"/>
      <c r="CW5" s="376"/>
      <c r="CX5" s="376"/>
      <c r="CY5" s="376"/>
      <c r="CZ5" s="376"/>
    </row>
    <row r="6" spans="1:104" s="81" customFormat="1" ht="12.95" x14ac:dyDescent="0.3">
      <c r="A6" s="253" t="s">
        <v>12</v>
      </c>
      <c r="B6" s="252"/>
      <c r="D6" s="376"/>
      <c r="E6" s="376"/>
      <c r="F6" s="376"/>
      <c r="AH6" s="376"/>
      <c r="AI6" s="376"/>
      <c r="AJ6" s="376"/>
      <c r="AK6" s="376"/>
      <c r="AL6" s="376"/>
      <c r="AM6" s="376"/>
      <c r="AN6" s="376"/>
      <c r="AO6" s="376"/>
      <c r="AP6" s="376"/>
      <c r="AQ6" s="376"/>
      <c r="AR6" s="376"/>
      <c r="AS6" s="376"/>
      <c r="AT6" s="376"/>
      <c r="AU6" s="376"/>
      <c r="AV6" s="376"/>
      <c r="AW6" s="376"/>
      <c r="AX6" s="376"/>
      <c r="AY6" s="376"/>
      <c r="AZ6" s="376"/>
      <c r="BA6" s="376"/>
      <c r="BB6" s="376"/>
      <c r="BC6" s="376"/>
      <c r="BD6" s="376"/>
      <c r="BE6" s="376"/>
      <c r="BF6" s="376"/>
      <c r="BG6" s="376"/>
      <c r="BH6" s="376"/>
      <c r="BI6" s="376"/>
      <c r="BJ6" s="376"/>
      <c r="BK6" s="376"/>
      <c r="BL6" s="376"/>
      <c r="BM6" s="376"/>
      <c r="BN6" s="376"/>
      <c r="BO6" s="376"/>
      <c r="BP6" s="376"/>
      <c r="BQ6" s="376"/>
      <c r="BR6" s="376"/>
      <c r="BS6" s="376"/>
      <c r="BT6" s="376"/>
      <c r="BU6" s="376"/>
      <c r="BV6" s="376"/>
      <c r="BW6" s="376"/>
      <c r="BX6" s="376"/>
      <c r="BY6" s="376"/>
      <c r="BZ6" s="376"/>
      <c r="CA6" s="376"/>
      <c r="CB6" s="376"/>
      <c r="CC6" s="376"/>
      <c r="CD6" s="376"/>
      <c r="CE6" s="376"/>
      <c r="CF6" s="376"/>
      <c r="CG6" s="376"/>
      <c r="CH6" s="376"/>
      <c r="CI6" s="376"/>
      <c r="CJ6" s="376"/>
      <c r="CK6" s="376"/>
      <c r="CL6" s="376"/>
      <c r="CM6" s="376"/>
      <c r="CN6" s="376"/>
      <c r="CO6" s="376"/>
      <c r="CP6" s="376"/>
      <c r="CQ6" s="376"/>
      <c r="CR6" s="376"/>
      <c r="CS6" s="376"/>
      <c r="CT6" s="376"/>
      <c r="CU6" s="376"/>
      <c r="CV6" s="376"/>
      <c r="CW6" s="376"/>
      <c r="CX6" s="376"/>
      <c r="CY6" s="376"/>
      <c r="CZ6" s="376"/>
    </row>
    <row r="7" spans="1:104" s="81" customFormat="1" ht="12.6" x14ac:dyDescent="0.25">
      <c r="A7" s="252"/>
      <c r="B7" s="252" t="s">
        <v>20</v>
      </c>
      <c r="D7" s="376"/>
      <c r="E7" s="376"/>
      <c r="F7" s="376"/>
      <c r="G7" s="81">
        <v>2010</v>
      </c>
      <c r="H7" s="252">
        <v>2011</v>
      </c>
      <c r="I7" s="252">
        <v>2012</v>
      </c>
      <c r="J7" s="252">
        <v>2013</v>
      </c>
      <c r="K7" s="252">
        <v>2014</v>
      </c>
      <c r="L7" s="252">
        <v>2015</v>
      </c>
      <c r="M7" s="252">
        <v>2016</v>
      </c>
      <c r="N7" s="252">
        <v>2017</v>
      </c>
      <c r="O7" s="252">
        <v>2018</v>
      </c>
      <c r="P7" s="252">
        <v>2019</v>
      </c>
      <c r="Q7" s="252">
        <v>2020</v>
      </c>
      <c r="R7" s="252">
        <v>2021</v>
      </c>
      <c r="S7" s="252">
        <v>2022</v>
      </c>
      <c r="T7" s="252">
        <v>2023</v>
      </c>
      <c r="U7" s="252">
        <v>2024</v>
      </c>
      <c r="V7" s="252">
        <v>2025</v>
      </c>
      <c r="W7" s="252">
        <v>2026</v>
      </c>
      <c r="X7" s="252">
        <v>2027</v>
      </c>
      <c r="Y7" s="252">
        <v>2028</v>
      </c>
      <c r="Z7" s="252">
        <v>2029</v>
      </c>
      <c r="AA7" s="252">
        <v>2030</v>
      </c>
      <c r="AB7" s="252">
        <v>2031</v>
      </c>
      <c r="AC7" s="252">
        <v>2032</v>
      </c>
      <c r="AD7" s="252">
        <v>2033</v>
      </c>
      <c r="AE7" s="252">
        <v>2034</v>
      </c>
      <c r="AF7" s="252">
        <v>2035</v>
      </c>
      <c r="AH7" s="376">
        <v>2001</v>
      </c>
      <c r="AI7" s="376">
        <v>2002</v>
      </c>
      <c r="AJ7" s="376">
        <v>2003</v>
      </c>
      <c r="AK7" s="376">
        <v>2004</v>
      </c>
      <c r="AL7" s="376">
        <v>2005</v>
      </c>
      <c r="AM7" s="376">
        <v>2006</v>
      </c>
      <c r="AN7" s="376">
        <v>2007</v>
      </c>
      <c r="AO7" s="376">
        <v>2008</v>
      </c>
      <c r="AP7" s="376">
        <v>2009</v>
      </c>
      <c r="AQ7" s="376">
        <v>2010</v>
      </c>
      <c r="AR7" s="376">
        <v>2011</v>
      </c>
      <c r="AS7" s="376">
        <v>2012</v>
      </c>
      <c r="AT7" s="376">
        <v>2013</v>
      </c>
      <c r="AU7" s="376">
        <v>2014</v>
      </c>
      <c r="AV7" s="376">
        <v>2015</v>
      </c>
      <c r="AW7" s="376">
        <v>2016</v>
      </c>
      <c r="AX7" s="376">
        <v>2017</v>
      </c>
      <c r="AY7" s="376">
        <v>2018</v>
      </c>
      <c r="AZ7" s="376">
        <v>2019</v>
      </c>
      <c r="BA7" s="376">
        <v>2020</v>
      </c>
      <c r="BB7" s="376">
        <v>2021</v>
      </c>
      <c r="BC7" s="376">
        <v>2022</v>
      </c>
      <c r="BD7" s="376">
        <v>2023</v>
      </c>
      <c r="BE7" s="376">
        <v>2024</v>
      </c>
      <c r="BF7" s="376">
        <v>2025</v>
      </c>
      <c r="BG7" s="376">
        <v>2026</v>
      </c>
      <c r="BH7" s="376">
        <v>2027</v>
      </c>
      <c r="BI7" s="376">
        <v>2028</v>
      </c>
      <c r="BJ7" s="376">
        <v>2029</v>
      </c>
      <c r="BK7" s="376">
        <v>2030</v>
      </c>
      <c r="BL7" s="376">
        <v>2031</v>
      </c>
      <c r="BM7" s="376">
        <v>2032</v>
      </c>
      <c r="BN7" s="376">
        <v>2033</v>
      </c>
      <c r="BO7" s="376">
        <v>2034</v>
      </c>
      <c r="BP7" s="376">
        <v>2035</v>
      </c>
      <c r="BQ7" s="376"/>
      <c r="BR7" s="376">
        <v>2001</v>
      </c>
      <c r="BS7" s="376">
        <v>2002</v>
      </c>
      <c r="BT7" s="376">
        <v>2003</v>
      </c>
      <c r="BU7" s="376">
        <v>2004</v>
      </c>
      <c r="BV7" s="376">
        <v>2005</v>
      </c>
      <c r="BW7" s="376">
        <v>2006</v>
      </c>
      <c r="BX7" s="376">
        <v>2007</v>
      </c>
      <c r="BY7" s="376">
        <v>2008</v>
      </c>
      <c r="BZ7" s="376">
        <v>2009</v>
      </c>
      <c r="CA7" s="376">
        <v>2010</v>
      </c>
      <c r="CB7" s="376">
        <v>2011</v>
      </c>
      <c r="CC7" s="376">
        <v>2012</v>
      </c>
      <c r="CD7" s="376">
        <v>2013</v>
      </c>
      <c r="CE7" s="376">
        <v>2014</v>
      </c>
      <c r="CF7" s="376">
        <v>2015</v>
      </c>
      <c r="CG7" s="376">
        <v>2016</v>
      </c>
      <c r="CH7" s="376">
        <v>2017</v>
      </c>
      <c r="CI7" s="376">
        <v>2018</v>
      </c>
      <c r="CJ7" s="376">
        <v>2019</v>
      </c>
      <c r="CK7" s="376">
        <v>2020</v>
      </c>
      <c r="CL7" s="376">
        <v>2021</v>
      </c>
      <c r="CM7" s="376">
        <v>2022</v>
      </c>
      <c r="CN7" s="376">
        <v>2023</v>
      </c>
      <c r="CO7" s="376">
        <v>2024</v>
      </c>
      <c r="CP7" s="376">
        <v>2025</v>
      </c>
      <c r="CQ7" s="376">
        <v>2026</v>
      </c>
      <c r="CR7" s="376">
        <v>2027</v>
      </c>
      <c r="CS7" s="376">
        <v>2028</v>
      </c>
      <c r="CT7" s="376">
        <v>2029</v>
      </c>
      <c r="CU7" s="376">
        <v>2030</v>
      </c>
      <c r="CV7" s="376">
        <v>2031</v>
      </c>
      <c r="CW7" s="376">
        <v>2032</v>
      </c>
      <c r="CX7" s="376">
        <v>2033</v>
      </c>
      <c r="CY7" s="376">
        <v>2034</v>
      </c>
      <c r="CZ7" s="376">
        <v>2035</v>
      </c>
    </row>
    <row r="8" spans="1:104" s="81" customFormat="1" ht="12.95" x14ac:dyDescent="0.3">
      <c r="A8" s="267" t="s">
        <v>21</v>
      </c>
      <c r="B8" s="258"/>
      <c r="C8" s="258"/>
      <c r="D8" s="389"/>
      <c r="E8" s="389"/>
      <c r="F8" s="389"/>
      <c r="G8" s="258"/>
      <c r="H8" s="258"/>
      <c r="I8" s="258"/>
      <c r="J8" s="258"/>
      <c r="K8" s="258"/>
      <c r="L8" s="258"/>
      <c r="M8" s="258"/>
      <c r="N8" s="258"/>
      <c r="O8" s="258"/>
      <c r="P8" s="258"/>
      <c r="Q8" s="258"/>
      <c r="R8" s="258"/>
      <c r="S8" s="258"/>
      <c r="T8" s="258"/>
      <c r="U8" s="258"/>
      <c r="V8" s="258"/>
      <c r="W8" s="258"/>
      <c r="X8" s="258"/>
      <c r="Y8" s="258"/>
      <c r="Z8" s="258"/>
      <c r="AA8" s="258"/>
      <c r="AB8" s="258"/>
      <c r="AC8" s="258"/>
      <c r="AD8" s="258"/>
      <c r="AE8" s="258"/>
      <c r="AF8" s="258"/>
      <c r="AH8" s="389"/>
      <c r="AI8" s="389"/>
      <c r="AJ8" s="389"/>
      <c r="AK8" s="389"/>
      <c r="AL8" s="389"/>
      <c r="AM8" s="389"/>
      <c r="AN8" s="389"/>
      <c r="AO8" s="389"/>
      <c r="AP8" s="389"/>
      <c r="AQ8" s="389"/>
      <c r="AR8" s="389"/>
      <c r="AS8" s="389"/>
      <c r="AT8" s="389"/>
      <c r="AU8" s="389"/>
      <c r="AV8" s="389"/>
      <c r="AW8" s="389"/>
      <c r="AX8" s="389"/>
      <c r="AY8" s="389"/>
      <c r="AZ8" s="389"/>
      <c r="BA8" s="389"/>
      <c r="BB8" s="389"/>
      <c r="BC8" s="389"/>
      <c r="BD8" s="389"/>
      <c r="BE8" s="389"/>
      <c r="BF8" s="389"/>
      <c r="BG8" s="389"/>
      <c r="BH8" s="389"/>
      <c r="BI8" s="389"/>
      <c r="BJ8" s="389"/>
      <c r="BK8" s="389"/>
      <c r="BL8" s="389"/>
      <c r="BM8" s="389"/>
      <c r="BN8" s="389"/>
      <c r="BO8" s="389"/>
      <c r="BP8" s="389"/>
      <c r="BQ8" s="376"/>
      <c r="BR8" s="389"/>
      <c r="BS8" s="389"/>
      <c r="BT8" s="389"/>
      <c r="BU8" s="389"/>
      <c r="BV8" s="389"/>
      <c r="BW8" s="389"/>
      <c r="BX8" s="389"/>
      <c r="BY8" s="389"/>
      <c r="BZ8" s="389"/>
      <c r="CA8" s="389"/>
      <c r="CB8" s="389"/>
      <c r="CC8" s="389"/>
      <c r="CD8" s="389"/>
      <c r="CE8" s="389"/>
      <c r="CF8" s="389"/>
      <c r="CG8" s="389"/>
      <c r="CH8" s="389"/>
      <c r="CI8" s="389"/>
      <c r="CJ8" s="389"/>
      <c r="CK8" s="389"/>
      <c r="CL8" s="389"/>
      <c r="CM8" s="389"/>
      <c r="CN8" s="389"/>
      <c r="CO8" s="389"/>
      <c r="CP8" s="389"/>
      <c r="CQ8" s="389"/>
      <c r="CR8" s="389"/>
      <c r="CS8" s="389"/>
      <c r="CT8" s="389"/>
      <c r="CU8" s="389"/>
      <c r="CV8" s="389"/>
      <c r="CW8" s="389"/>
      <c r="CX8" s="389"/>
      <c r="CY8" s="389"/>
      <c r="CZ8" s="389"/>
    </row>
    <row r="9" spans="1:104" s="81" customFormat="1" ht="12.6" x14ac:dyDescent="0.25">
      <c r="A9" s="252"/>
      <c r="B9" s="252" t="s">
        <v>22</v>
      </c>
      <c r="D9" s="370"/>
      <c r="E9" s="370"/>
      <c r="F9" s="370"/>
      <c r="G9" s="370">
        <f>IF(Standards_Active!$E10="yes",Standards_Acceptance!AQ9,Standards_Acceptance!CA9)</f>
        <v>1</v>
      </c>
      <c r="H9" s="370">
        <f>IF(Standards_Active!$E10="yes",Standards_Acceptance!AR9,Standards_Acceptance!CB9)</f>
        <v>1</v>
      </c>
      <c r="I9" s="370">
        <f>IF(Standards_Active!$E10="yes",Standards_Acceptance!AS9,Standards_Acceptance!CC9)</f>
        <v>0.82000000000000006</v>
      </c>
      <c r="J9" s="370">
        <f>IF(Standards_Active!$E10="yes",Standards_Acceptance!AT9,Standards_Acceptance!CD9)</f>
        <v>0.64000000000000012</v>
      </c>
      <c r="K9" s="370">
        <f>IF(Standards_Active!$E10="yes",Standards_Acceptance!AU9,Standards_Acceptance!CE9)</f>
        <v>0.46000000000000013</v>
      </c>
      <c r="L9" s="370">
        <f>IF(Standards_Active!$E10="yes",Standards_Acceptance!AV9,Standards_Acceptance!CF9)</f>
        <v>0.28000000000000014</v>
      </c>
      <c r="M9" s="370">
        <f>IF(Standards_Active!$E10="yes",Standards_Acceptance!AW9,Standards_Acceptance!CG9)</f>
        <v>0.1</v>
      </c>
      <c r="N9" s="370">
        <f>IF(Standards_Active!$E10="yes",Standards_Acceptance!AX9,Standards_Acceptance!CH9)</f>
        <v>0.1</v>
      </c>
      <c r="O9" s="370">
        <f>IF(Standards_Active!$E10="yes",Standards_Acceptance!AY9,Standards_Acceptance!CI9)</f>
        <v>0.1</v>
      </c>
      <c r="P9" s="370">
        <f>IF(Standards_Active!$E10="yes",Standards_Acceptance!AZ9,Standards_Acceptance!CJ9)</f>
        <v>0.1</v>
      </c>
      <c r="Q9" s="370">
        <f>IF(Standards_Active!$E10="yes",Standards_Acceptance!BA9,Standards_Acceptance!CK9)</f>
        <v>0.1</v>
      </c>
      <c r="R9" s="370">
        <f>IF(Standards_Active!$E10="yes",Standards_Acceptance!BB9,Standards_Acceptance!CL9)</f>
        <v>0.1</v>
      </c>
      <c r="S9" s="370">
        <f>IF(Standards_Active!$E10="yes",Standards_Acceptance!BC9,Standards_Acceptance!CM9)</f>
        <v>0.1</v>
      </c>
      <c r="T9" s="370">
        <f>IF(Standards_Active!$E10="yes",Standards_Acceptance!BD9,Standards_Acceptance!CN9)</f>
        <v>0.1</v>
      </c>
      <c r="U9" s="370">
        <f>IF(Standards_Active!$E10="yes",Standards_Acceptance!BE9,Standards_Acceptance!CO9)</f>
        <v>0.1</v>
      </c>
      <c r="V9" s="370">
        <f>IF(Standards_Active!$E10="yes",Standards_Acceptance!BF9,Standards_Acceptance!CP9)</f>
        <v>0.1</v>
      </c>
      <c r="W9" s="370">
        <f>IF(Standards_Active!$E10="yes",Standards_Acceptance!BG9,Standards_Acceptance!CQ9)</f>
        <v>0.1</v>
      </c>
      <c r="X9" s="370">
        <f>IF(Standards_Active!$E10="yes",Standards_Acceptance!BH9,Standards_Acceptance!CR9)</f>
        <v>0.1</v>
      </c>
      <c r="Y9" s="370">
        <f>IF(Standards_Active!$E10="yes",Standards_Acceptance!BI9,Standards_Acceptance!CS9)</f>
        <v>0.1</v>
      </c>
      <c r="Z9" s="370">
        <f>IF(Standards_Active!$E10="yes",Standards_Acceptance!BJ9,Standards_Acceptance!CT9)</f>
        <v>0.1</v>
      </c>
      <c r="AA9" s="370">
        <f>IF(Standards_Active!$E10="yes",Standards_Acceptance!BK9,Standards_Acceptance!CU9)</f>
        <v>0.1</v>
      </c>
      <c r="AB9" s="370">
        <f>IF(Standards_Active!$E10="yes",Standards_Acceptance!BL9,Standards_Acceptance!CV9)</f>
        <v>0.1</v>
      </c>
      <c r="AC9" s="370">
        <f>IF(Standards_Active!$E10="yes",Standards_Acceptance!BM9,Standards_Acceptance!CW9)</f>
        <v>0.1</v>
      </c>
      <c r="AD9" s="370">
        <f>IF(Standards_Active!$E10="yes",Standards_Acceptance!BN9,Standards_Acceptance!CX9)</f>
        <v>0.1</v>
      </c>
      <c r="AE9" s="370">
        <f>IF(Standards_Active!$E10="yes",Standards_Acceptance!BO9,Standards_Acceptance!CY9)</f>
        <v>0.1</v>
      </c>
      <c r="AF9" s="370">
        <f>IF(Standards_Active!$E10="yes",Standards_Acceptance!BP9,Standards_Acceptance!CZ9)</f>
        <v>0.1</v>
      </c>
      <c r="AH9" s="622"/>
      <c r="AI9" s="622"/>
      <c r="AJ9" s="622"/>
      <c r="AK9" s="622"/>
      <c r="AL9" s="622"/>
      <c r="AM9" s="622"/>
      <c r="AN9" s="622"/>
      <c r="AO9" s="622"/>
      <c r="AP9" s="622"/>
      <c r="AQ9" s="622">
        <f>IF(ISNUMBER(Standards_Active!$F10),IF(AND(AQ$7&gt;=Standards_Active!$C10,AQ$7&lt;Standards_Active!$D10),AP9-Standards_Active!$G10*INDEX($AQ$9:$BP$9,1,MATCH((Standards_Active!$C10-1),$AQ$7:$BP$7,FALSE)),IF(AQ$7&gt;=Standards_Active!$D10,Standards_Active!$H10,CA9)),CA9)</f>
        <v>1</v>
      </c>
      <c r="AR9" s="622">
        <f>IF(ISNUMBER(Standards_Active!$F10),IF(AND(AR$7&gt;=Standards_Active!$C10,AR$7&lt;Standards_Active!$D10),AQ9-Standards_Active!$G10*INDEX($AQ$9:$BP$9,1,MATCH((Standards_Active!$C10-1),$AQ$7:$BP$7,FALSE)),IF(AR$7&gt;=Standards_Active!$D10,Standards_Active!$H10,CB9)),CB9)</f>
        <v>1</v>
      </c>
      <c r="AS9" s="622">
        <f>IF(ISNUMBER(Standards_Active!$F10),IF(AND(AS$7&gt;=Standards_Active!$C10,AS$7&lt;Standards_Active!$D10),AR9-Standards_Active!$G10*INDEX($AQ$9:$BP$9,1,MATCH((Standards_Active!$C10-1),$AQ$7:$BP$7,FALSE)),IF(AS$7&gt;=Standards_Active!$D10,Standards_Active!$H10,CC9)),CC9)</f>
        <v>0.82000000000000006</v>
      </c>
      <c r="AT9" s="622">
        <f>IF(ISNUMBER(Standards_Active!$F10),IF(AND(AT$7&gt;=Standards_Active!$C10,AT$7&lt;Standards_Active!$D10),AS9-Standards_Active!$G10*INDEX($AQ$9:$BP$9,1,MATCH((Standards_Active!$C10-1),$AQ$7:$BP$7,FALSE)),IF(AT$7&gt;=Standards_Active!$D10,Standards_Active!$H10,CD9)),CD9)</f>
        <v>0.64000000000000012</v>
      </c>
      <c r="AU9" s="622">
        <f>IF(ISNUMBER(Standards_Active!$F10),IF(AND(AU$7&gt;=Standards_Active!$C10,AU$7&lt;Standards_Active!$D10),AT9-Standards_Active!$G10*INDEX($AQ$9:$BP$9,1,MATCH((Standards_Active!$C10-1),$AQ$7:$BP$7,FALSE)),IF(AU$7&gt;=Standards_Active!$D10,Standards_Active!$H10,CE9)),CE9)</f>
        <v>0.46000000000000013</v>
      </c>
      <c r="AV9" s="622">
        <f>IF(ISNUMBER(Standards_Active!$F10),IF(AND(AV$7&gt;=Standards_Active!$C10,AV$7&lt;Standards_Active!$D10),AU9-Standards_Active!$G10*INDEX($AQ$9:$BP$9,1,MATCH((Standards_Active!$C10-1),$AQ$7:$BP$7,FALSE)),IF(AV$7&gt;=Standards_Active!$D10,Standards_Active!$H10,CF9)),CF9)</f>
        <v>0.28000000000000014</v>
      </c>
      <c r="AW9" s="622">
        <f>IF(ISNUMBER(Standards_Active!$F10),IF(AND(AW$7&gt;=Standards_Active!$C10,AW$7&lt;Standards_Active!$D10),AV9-Standards_Active!$G10*INDEX($AQ$9:$BP$9,1,MATCH((Standards_Active!$C10-1),$AQ$7:$BP$7,FALSE)),IF(AW$7&gt;=Standards_Active!$D10,Standards_Active!$H10,CG9)),CG9)</f>
        <v>0.1</v>
      </c>
      <c r="AX9" s="622">
        <f>IF(ISNUMBER(Standards_Active!$F10),IF(AND(AX$7&gt;=Standards_Active!$C10,AX$7&lt;Standards_Active!$D10),AW9-Standards_Active!$G10*INDEX($AQ$9:$BP$9,1,MATCH((Standards_Active!$C10-1),$AQ$7:$BP$7,FALSE)),IF(AX$7&gt;=Standards_Active!$D10,Standards_Active!$H10,CH9)),CH9)</f>
        <v>0.1</v>
      </c>
      <c r="AY9" s="622">
        <f>IF(ISNUMBER(Standards_Active!$F10),IF(AND(AY$7&gt;=Standards_Active!$C10,AY$7&lt;Standards_Active!$D10),AX9-Standards_Active!$G10*INDEX($AQ$9:$BP$9,1,MATCH((Standards_Active!$C10-1),$AQ$7:$BP$7,FALSE)),IF(AY$7&gt;=Standards_Active!$D10,Standards_Active!$H10,CI9)),CI9)</f>
        <v>0.1</v>
      </c>
      <c r="AZ9" s="622">
        <f>IF(ISNUMBER(Standards_Active!$F10),IF(AND(AZ$7&gt;=Standards_Active!$C10,AZ$7&lt;Standards_Active!$D10),AY9-Standards_Active!$G10*INDEX($AQ$9:$BP$9,1,MATCH((Standards_Active!$C10-1),$AQ$7:$BP$7,FALSE)),IF(AZ$7&gt;=Standards_Active!$D10,Standards_Active!$H10,CJ9)),CJ9)</f>
        <v>0.1</v>
      </c>
      <c r="BA9" s="622">
        <f>IF(ISNUMBER(Standards_Active!$F10),IF(AND(BA$7&gt;=Standards_Active!$C10,BA$7&lt;Standards_Active!$D10),AZ9-Standards_Active!$G10*INDEX($AQ$9:$BP$9,1,MATCH((Standards_Active!$C10-1),$AQ$7:$BP$7,FALSE)),IF(BA$7&gt;=Standards_Active!$D10,Standards_Active!$H10,CK9)),CK9)</f>
        <v>0.1</v>
      </c>
      <c r="BB9" s="622">
        <f>IF(ISNUMBER(Standards_Active!$F10),IF(AND(BB$7&gt;=Standards_Active!$C10,BB$7&lt;Standards_Active!$D10),BA9-Standards_Active!$G10*INDEX($AQ$9:$BP$9,1,MATCH((Standards_Active!$C10-1),$AQ$7:$BP$7,FALSE)),IF(BB$7&gt;=Standards_Active!$D10,Standards_Active!$H10,CL9)),CL9)</f>
        <v>0.1</v>
      </c>
      <c r="BC9" s="622">
        <f>IF(ISNUMBER(Standards_Active!$F10),IF(AND(BC$7&gt;=Standards_Active!$C10,BC$7&lt;Standards_Active!$D10),BB9-Standards_Active!$G10*INDEX($AQ$9:$BP$9,1,MATCH((Standards_Active!$C10-1),$AQ$7:$BP$7,FALSE)),IF(BC$7&gt;=Standards_Active!$D10,Standards_Active!$H10,CM9)),CM9)</f>
        <v>0.1</v>
      </c>
      <c r="BD9" s="622">
        <f>IF(ISNUMBER(Standards_Active!$F10),IF(AND(BD$7&gt;=Standards_Active!$C10,BD$7&lt;Standards_Active!$D10),BC9-Standards_Active!$G10*INDEX($AQ$9:$BP$9,1,MATCH((Standards_Active!$C10-1),$AQ$7:$BP$7,FALSE)),IF(BD$7&gt;=Standards_Active!$D10,Standards_Active!$H10,CN9)),CN9)</f>
        <v>0.1</v>
      </c>
      <c r="BE9" s="622">
        <f>IF(ISNUMBER(Standards_Active!$F10),IF(AND(BE$7&gt;=Standards_Active!$C10,BE$7&lt;Standards_Active!$D10),BD9-Standards_Active!$G10*INDEX($AQ$9:$BP$9,1,MATCH((Standards_Active!$C10-1),$AQ$7:$BP$7,FALSE)),IF(BE$7&gt;=Standards_Active!$D10,Standards_Active!$H10,CO9)),CO9)</f>
        <v>0.1</v>
      </c>
      <c r="BF9" s="622">
        <f>IF(ISNUMBER(Standards_Active!$F10),IF(AND(BF$7&gt;=Standards_Active!$C10,BF$7&lt;Standards_Active!$D10),BE9-Standards_Active!$G10*INDEX($AQ$9:$BP$9,1,MATCH((Standards_Active!$C10-1),$AQ$7:$BP$7,FALSE)),IF(BF$7&gt;=Standards_Active!$D10,Standards_Active!$H10,CP9)),CP9)</f>
        <v>0.1</v>
      </c>
      <c r="BG9" s="622">
        <f>IF(ISNUMBER(Standards_Active!$F10),IF(AND(BG$7&gt;=Standards_Active!$C10,BG$7&lt;Standards_Active!$D10),BF9-Standards_Active!$G10*INDEX($AQ$9:$BP$9,1,MATCH((Standards_Active!$C10-1),$AQ$7:$BP$7,FALSE)),IF(BG$7&gt;=Standards_Active!$D10,Standards_Active!$H10,CQ9)),CQ9)</f>
        <v>0.1</v>
      </c>
      <c r="BH9" s="622">
        <f>IF(ISNUMBER(Standards_Active!$F10),IF(AND(BH$7&gt;=Standards_Active!$C10,BH$7&lt;Standards_Active!$D10),BG9-Standards_Active!$G10*INDEX($AQ$9:$BP$9,1,MATCH((Standards_Active!$C10-1),$AQ$7:$BP$7,FALSE)),IF(BH$7&gt;=Standards_Active!$D10,Standards_Active!$H10,CR9)),CR9)</f>
        <v>0.1</v>
      </c>
      <c r="BI9" s="622">
        <f>IF(ISNUMBER(Standards_Active!$F10),IF(AND(BI$7&gt;=Standards_Active!$C10,BI$7&lt;Standards_Active!$D10),BH9-Standards_Active!$G10*INDEX($AQ$9:$BP$9,1,MATCH((Standards_Active!$C10-1),$AQ$7:$BP$7,FALSE)),IF(BI$7&gt;=Standards_Active!$D10,Standards_Active!$H10,CS9)),CS9)</f>
        <v>0.1</v>
      </c>
      <c r="BJ9" s="622">
        <f>IF(ISNUMBER(Standards_Active!$F10),IF(AND(BJ$7&gt;=Standards_Active!$C10,BJ$7&lt;Standards_Active!$D10),BI9-Standards_Active!$G10*INDEX($AQ$9:$BP$9,1,MATCH((Standards_Active!$C10-1),$AQ$7:$BP$7,FALSE)),IF(BJ$7&gt;=Standards_Active!$D10,Standards_Active!$H10,CT9)),CT9)</f>
        <v>0.1</v>
      </c>
      <c r="BK9" s="622">
        <f>IF(ISNUMBER(Standards_Active!$F10),IF(AND(BK$7&gt;=Standards_Active!$C10,BK$7&lt;Standards_Active!$D10),BJ9-Standards_Active!$G10*INDEX($AQ$9:$BP$9,1,MATCH((Standards_Active!$C10-1),$AQ$7:$BP$7,FALSE)),IF(BK$7&gt;=Standards_Active!$D10,Standards_Active!$H10,CU9)),CU9)</f>
        <v>0.1</v>
      </c>
      <c r="BL9" s="622">
        <f>IF(ISNUMBER(Standards_Active!$F10),IF(AND(BL$7&gt;=Standards_Active!$C10,BL$7&lt;Standards_Active!$D10),BK9-Standards_Active!$G10*INDEX($AQ$9:$BP$9,1,MATCH((Standards_Active!$C10-1),$AQ$7:$BP$7,FALSE)),IF(BL$7&gt;=Standards_Active!$D10,Standards_Active!$H10,CV9)),CV9)</f>
        <v>0.1</v>
      </c>
      <c r="BM9" s="622">
        <f>IF(ISNUMBER(Standards_Active!$F10),IF(AND(BM$7&gt;=Standards_Active!$C10,BM$7&lt;Standards_Active!$D10),BL9-Standards_Active!$G10*INDEX($AQ$9:$BP$9,1,MATCH((Standards_Active!$C10-1),$AQ$7:$BP$7,FALSE)),IF(BM$7&gt;=Standards_Active!$D10,Standards_Active!$H10,CW9)),CW9)</f>
        <v>0.1</v>
      </c>
      <c r="BN9" s="622">
        <f>IF(ISNUMBER(Standards_Active!$F10),IF(AND(BN$7&gt;=Standards_Active!$C10,BN$7&lt;Standards_Active!$D10),BM9-Standards_Active!$G10*INDEX($AQ$9:$BP$9,1,MATCH((Standards_Active!$C10-1),$AQ$7:$BP$7,FALSE)),IF(BN$7&gt;=Standards_Active!$D10,Standards_Active!$H10,CX9)),CX9)</f>
        <v>0.1</v>
      </c>
      <c r="BO9" s="622">
        <f>IF(ISNUMBER(Standards_Active!$F10),IF(AND(BO$7&gt;=Standards_Active!$C10,BO$7&lt;Standards_Active!$D10),BN9-Standards_Active!$G10*INDEX($AQ$9:$BP$9,1,MATCH((Standards_Active!$C10-1),$AQ$7:$BP$7,FALSE)),IF(BO$7&gt;=Standards_Active!$D10,Standards_Active!$H10,CY9)),CY9)</f>
        <v>0.1</v>
      </c>
      <c r="BP9" s="622">
        <f>IF(ISNUMBER(Standards_Active!$F10),IF(AND(BP$7&gt;=Standards_Active!$C10,BP$7&lt;Standards_Active!$D10),BO9-Standards_Active!$G10*INDEX($AQ$9:$BP$9,1,MATCH((Standards_Active!$C10-1),$AQ$7:$BP$7,FALSE)),IF(BP$7&gt;=Standards_Active!$D10,Standards_Active!$H10,CZ9)),CZ9)</f>
        <v>0.1</v>
      </c>
      <c r="BQ9" s="380"/>
      <c r="BR9" s="424"/>
      <c r="BS9" s="424"/>
      <c r="BT9" s="424"/>
      <c r="BU9" s="424"/>
      <c r="BV9" s="424"/>
      <c r="BW9" s="424"/>
      <c r="BX9" s="424"/>
      <c r="BY9" s="424"/>
      <c r="BZ9" s="424"/>
      <c r="CA9" s="424">
        <v>1</v>
      </c>
      <c r="CB9" s="424">
        <v>1</v>
      </c>
      <c r="CC9" s="424">
        <v>1</v>
      </c>
      <c r="CD9" s="424">
        <v>1</v>
      </c>
      <c r="CE9" s="424">
        <v>1</v>
      </c>
      <c r="CF9" s="424">
        <v>1</v>
      </c>
      <c r="CG9" s="424">
        <v>1</v>
      </c>
      <c r="CH9" s="424">
        <v>1</v>
      </c>
      <c r="CI9" s="424">
        <v>1</v>
      </c>
      <c r="CJ9" s="424">
        <v>1</v>
      </c>
      <c r="CK9" s="424">
        <v>1</v>
      </c>
      <c r="CL9" s="424">
        <v>1</v>
      </c>
      <c r="CM9" s="424">
        <v>1</v>
      </c>
      <c r="CN9" s="424">
        <v>1</v>
      </c>
      <c r="CO9" s="424">
        <v>1</v>
      </c>
      <c r="CP9" s="424">
        <v>1</v>
      </c>
      <c r="CQ9" s="424">
        <v>1</v>
      </c>
      <c r="CR9" s="424">
        <v>1</v>
      </c>
      <c r="CS9" s="424">
        <v>1</v>
      </c>
      <c r="CT9" s="424">
        <v>1</v>
      </c>
      <c r="CU9" s="424">
        <v>1</v>
      </c>
      <c r="CV9" s="424">
        <v>1</v>
      </c>
      <c r="CW9" s="424">
        <v>1</v>
      </c>
      <c r="CX9" s="424">
        <v>1</v>
      </c>
      <c r="CY9" s="424">
        <v>1</v>
      </c>
      <c r="CZ9" s="424">
        <v>1</v>
      </c>
    </row>
    <row r="10" spans="1:104" s="81" customFormat="1" ht="12.6" x14ac:dyDescent="0.25">
      <c r="A10" s="252"/>
      <c r="B10" s="252" t="s">
        <v>26</v>
      </c>
      <c r="D10" s="370"/>
      <c r="E10" s="370"/>
      <c r="F10" s="370"/>
      <c r="G10" s="370">
        <f>IF(Standards_Active!$E11="yes",Standards_Acceptance!AQ10,Standards_Acceptance!CA10)</f>
        <v>1</v>
      </c>
      <c r="H10" s="370">
        <f>IF(Standards_Active!$E11="yes",Standards_Acceptance!AR10,Standards_Acceptance!CB10)</f>
        <v>1</v>
      </c>
      <c r="I10" s="370">
        <f>IF(Standards_Active!$E11="yes",Standards_Acceptance!AS10,Standards_Acceptance!CC10)</f>
        <v>1</v>
      </c>
      <c r="J10" s="370">
        <f>IF(Standards_Active!$E11="yes",Standards_Acceptance!AT10,Standards_Acceptance!CD10)</f>
        <v>1</v>
      </c>
      <c r="K10" s="370">
        <f>IF(Standards_Active!$E11="yes",Standards_Acceptance!AU10,Standards_Acceptance!CE10)</f>
        <v>1</v>
      </c>
      <c r="L10" s="370">
        <f>IF(Standards_Active!$E11="yes",Standards_Acceptance!AV10,Standards_Acceptance!CF10)</f>
        <v>1</v>
      </c>
      <c r="M10" s="370">
        <f>IF(Standards_Active!$E11="yes",Standards_Acceptance!AW10,Standards_Acceptance!CG10)</f>
        <v>1</v>
      </c>
      <c r="N10" s="370">
        <f>IF(Standards_Active!$E11="yes",Standards_Acceptance!AX10,Standards_Acceptance!CH10)</f>
        <v>1</v>
      </c>
      <c r="O10" s="370">
        <f>IF(Standards_Active!$E11="yes",Standards_Acceptance!AY10,Standards_Acceptance!CI10)</f>
        <v>1</v>
      </c>
      <c r="P10" s="370">
        <f>IF(Standards_Active!$E11="yes",Standards_Acceptance!AZ10,Standards_Acceptance!CJ10)</f>
        <v>1</v>
      </c>
      <c r="Q10" s="370">
        <f>IF(Standards_Active!$E11="yes",Standards_Acceptance!BA10,Standards_Acceptance!CK10)</f>
        <v>1</v>
      </c>
      <c r="R10" s="370">
        <f>IF(Standards_Active!$E11="yes",Standards_Acceptance!BB10,Standards_Acceptance!CL10)</f>
        <v>1</v>
      </c>
      <c r="S10" s="370">
        <f>IF(Standards_Active!$E11="yes",Standards_Acceptance!BC10,Standards_Acceptance!CM10)</f>
        <v>1</v>
      </c>
      <c r="T10" s="370">
        <f>IF(Standards_Active!$E11="yes",Standards_Acceptance!BD10,Standards_Acceptance!CN10)</f>
        <v>1</v>
      </c>
      <c r="U10" s="370">
        <f>IF(Standards_Active!$E11="yes",Standards_Acceptance!BE10,Standards_Acceptance!CO10)</f>
        <v>1</v>
      </c>
      <c r="V10" s="370">
        <f>IF(Standards_Active!$E11="yes",Standards_Acceptance!BF10,Standards_Acceptance!CP10)</f>
        <v>1</v>
      </c>
      <c r="W10" s="370">
        <f>IF(Standards_Active!$E11="yes",Standards_Acceptance!BG10,Standards_Acceptance!CQ10)</f>
        <v>1</v>
      </c>
      <c r="X10" s="370">
        <f>IF(Standards_Active!$E11="yes",Standards_Acceptance!BH10,Standards_Acceptance!CR10)</f>
        <v>1</v>
      </c>
      <c r="Y10" s="370">
        <f>IF(Standards_Active!$E11="yes",Standards_Acceptance!BI10,Standards_Acceptance!CS10)</f>
        <v>1</v>
      </c>
      <c r="Z10" s="370">
        <f>IF(Standards_Active!$E11="yes",Standards_Acceptance!BJ10,Standards_Acceptance!CT10)</f>
        <v>1</v>
      </c>
      <c r="AA10" s="370">
        <f>IF(Standards_Active!$E11="yes",Standards_Acceptance!BK10,Standards_Acceptance!CU10)</f>
        <v>1</v>
      </c>
      <c r="AB10" s="370">
        <f>IF(Standards_Active!$E11="yes",Standards_Acceptance!BL10,Standards_Acceptance!CV10)</f>
        <v>1</v>
      </c>
      <c r="AC10" s="370">
        <f>IF(Standards_Active!$E11="yes",Standards_Acceptance!BM10,Standards_Acceptance!CW10)</f>
        <v>1</v>
      </c>
      <c r="AD10" s="370">
        <f>IF(Standards_Active!$E11="yes",Standards_Acceptance!BN10,Standards_Acceptance!CX10)</f>
        <v>1</v>
      </c>
      <c r="AE10" s="370">
        <f>IF(Standards_Active!$E11="yes",Standards_Acceptance!BO10,Standards_Acceptance!CY10)</f>
        <v>1</v>
      </c>
      <c r="AF10" s="370">
        <f>IF(Standards_Active!$E11="yes",Standards_Acceptance!BP10,Standards_Acceptance!CZ10)</f>
        <v>1</v>
      </c>
      <c r="AH10" s="622"/>
      <c r="AI10" s="622"/>
      <c r="AJ10" s="622"/>
      <c r="AK10" s="622"/>
      <c r="AL10" s="622"/>
      <c r="AM10" s="622"/>
      <c r="AN10" s="622"/>
      <c r="AO10" s="622"/>
      <c r="AP10" s="622"/>
      <c r="AQ10" s="622">
        <f>IF(ISNUMBER(Standards_Active!$F11),IF(AND(AQ$7&gt;=Standards_Active!$C11,AQ$7&lt;Standards_Active!$D11),AP10-Standards_Active!$G11*INDEX($AQ$9:$BP$9,1,MATCH((Standards_Active!$C11-1),$AQ$7:$BP$7,FALSE)),IF(AQ$7&gt;=Standards_Active!$D11,Standards_Active!$H11,CA10)),CA10)</f>
        <v>1</v>
      </c>
      <c r="AR10" s="622">
        <f>IF(ISNUMBER(Standards_Active!$F11),IF(AND(AR$7&gt;=Standards_Active!$C11,AR$7&lt;Standards_Active!$D11),AQ10-Standards_Active!$G11*INDEX($AQ$9:$BP$9,1,MATCH((Standards_Active!$C11-1),$AQ$7:$BP$7,FALSE)),IF(AR$7&gt;=Standards_Active!$D11,Standards_Active!$H11,CB10)),CB10)</f>
        <v>1</v>
      </c>
      <c r="AS10" s="622">
        <f>IF(ISNUMBER(Standards_Active!$F11),IF(AND(AS$7&gt;=Standards_Active!$C11,AS$7&lt;Standards_Active!$D11),AR10-Standards_Active!$G11*INDEX($AQ$9:$BP$9,1,MATCH((Standards_Active!$C11-1),$AQ$7:$BP$7,FALSE)),IF(AS$7&gt;=Standards_Active!$D11,Standards_Active!$H11,CC10)),CC10)</f>
        <v>1</v>
      </c>
      <c r="AT10" s="622">
        <f>IF(ISNUMBER(Standards_Active!$F11),IF(AND(AT$7&gt;=Standards_Active!$C11,AT$7&lt;Standards_Active!$D11),AS10-Standards_Active!$G11*INDEX($AQ$9:$BP$9,1,MATCH((Standards_Active!$C11-1),$AQ$7:$BP$7,FALSE)),IF(AT$7&gt;=Standards_Active!$D11,Standards_Active!$H11,CD10)),CD10)</f>
        <v>1</v>
      </c>
      <c r="AU10" s="622">
        <f>IF(ISNUMBER(Standards_Active!$F11),IF(AND(AU$7&gt;=Standards_Active!$C11,AU$7&lt;Standards_Active!$D11),AT10-Standards_Active!$G11*INDEX($AQ$9:$BP$9,1,MATCH((Standards_Active!$C11-1),$AQ$7:$BP$7,FALSE)),IF(AU$7&gt;=Standards_Active!$D11,Standards_Active!$H11,CE10)),CE10)</f>
        <v>1</v>
      </c>
      <c r="AV10" s="622">
        <f>IF(ISNUMBER(Standards_Active!$F11),IF(AND(AV$7&gt;=Standards_Active!$C11,AV$7&lt;Standards_Active!$D11),AU10-Standards_Active!$G11*INDEX($AQ$9:$BP$9,1,MATCH((Standards_Active!$C11-1),$AQ$7:$BP$7,FALSE)),IF(AV$7&gt;=Standards_Active!$D11,Standards_Active!$H11,CF10)),CF10)</f>
        <v>1</v>
      </c>
      <c r="AW10" s="622">
        <f>IF(ISNUMBER(Standards_Active!$F11),IF(AND(AW$7&gt;=Standards_Active!$C11,AW$7&lt;Standards_Active!$D11),AV10-Standards_Active!$G11*INDEX($AQ$9:$BP$9,1,MATCH((Standards_Active!$C11-1),$AQ$7:$BP$7,FALSE)),IF(AW$7&gt;=Standards_Active!$D11,Standards_Active!$H11,CG10)),CG10)</f>
        <v>1</v>
      </c>
      <c r="AX10" s="622">
        <f>IF(ISNUMBER(Standards_Active!$F11),IF(AND(AX$7&gt;=Standards_Active!$C11,AX$7&lt;Standards_Active!$D11),AW10-Standards_Active!$G11*INDEX($AQ$9:$BP$9,1,MATCH((Standards_Active!$C11-1),$AQ$7:$BP$7,FALSE)),IF(AX$7&gt;=Standards_Active!$D11,Standards_Active!$H11,CH10)),CH10)</f>
        <v>1</v>
      </c>
      <c r="AY10" s="622">
        <f>IF(ISNUMBER(Standards_Active!$F11),IF(AND(AY$7&gt;=Standards_Active!$C11,AY$7&lt;Standards_Active!$D11),AX10-Standards_Active!$G11*INDEX($AQ$9:$BP$9,1,MATCH((Standards_Active!$C11-1),$AQ$7:$BP$7,FALSE)),IF(AY$7&gt;=Standards_Active!$D11,Standards_Active!$H11,CI10)),CI10)</f>
        <v>1</v>
      </c>
      <c r="AZ10" s="622">
        <f>IF(ISNUMBER(Standards_Active!$F11),IF(AND(AZ$7&gt;=Standards_Active!$C11,AZ$7&lt;Standards_Active!$D11),AY10-Standards_Active!$G11*INDEX($AQ$9:$BP$9,1,MATCH((Standards_Active!$C11-1),$AQ$7:$BP$7,FALSE)),IF(AZ$7&gt;=Standards_Active!$D11,Standards_Active!$H11,CJ10)),CJ10)</f>
        <v>1</v>
      </c>
      <c r="BA10" s="622">
        <f>IF(ISNUMBER(Standards_Active!$F11),IF(AND(BA$7&gt;=Standards_Active!$C11,BA$7&lt;Standards_Active!$D11),AZ10-Standards_Active!$G11*INDEX($AQ$9:$BP$9,1,MATCH((Standards_Active!$C11-1),$AQ$7:$BP$7,FALSE)),IF(BA$7&gt;=Standards_Active!$D11,Standards_Active!$H11,CK10)),CK10)</f>
        <v>1</v>
      </c>
      <c r="BB10" s="622">
        <f>IF(ISNUMBER(Standards_Active!$F11),IF(AND(BB$7&gt;=Standards_Active!$C11,BB$7&lt;Standards_Active!$D11),BA10-Standards_Active!$G11*INDEX($AQ$9:$BP$9,1,MATCH((Standards_Active!$C11-1),$AQ$7:$BP$7,FALSE)),IF(BB$7&gt;=Standards_Active!$D11,Standards_Active!$H11,CL10)),CL10)</f>
        <v>1</v>
      </c>
      <c r="BC10" s="622">
        <f>IF(ISNUMBER(Standards_Active!$F11),IF(AND(BC$7&gt;=Standards_Active!$C11,BC$7&lt;Standards_Active!$D11),BB10-Standards_Active!$G11*INDEX($AQ$9:$BP$9,1,MATCH((Standards_Active!$C11-1),$AQ$7:$BP$7,FALSE)),IF(BC$7&gt;=Standards_Active!$D11,Standards_Active!$H11,CM10)),CM10)</f>
        <v>1</v>
      </c>
      <c r="BD10" s="622">
        <f>IF(ISNUMBER(Standards_Active!$F11),IF(AND(BD$7&gt;=Standards_Active!$C11,BD$7&lt;Standards_Active!$D11),BC10-Standards_Active!$G11*INDEX($AQ$9:$BP$9,1,MATCH((Standards_Active!$C11-1),$AQ$7:$BP$7,FALSE)),IF(BD$7&gt;=Standards_Active!$D11,Standards_Active!$H11,CN10)),CN10)</f>
        <v>1</v>
      </c>
      <c r="BE10" s="622">
        <f>IF(ISNUMBER(Standards_Active!$F11),IF(AND(BE$7&gt;=Standards_Active!$C11,BE$7&lt;Standards_Active!$D11),BD10-Standards_Active!$G11*INDEX($AQ$9:$BP$9,1,MATCH((Standards_Active!$C11-1),$AQ$7:$BP$7,FALSE)),IF(BE$7&gt;=Standards_Active!$D11,Standards_Active!$H11,CO10)),CO10)</f>
        <v>1</v>
      </c>
      <c r="BF10" s="622">
        <f>IF(ISNUMBER(Standards_Active!$F11),IF(AND(BF$7&gt;=Standards_Active!$C11,BF$7&lt;Standards_Active!$D11),BE10-Standards_Active!$G11*INDEX($AQ$9:$BP$9,1,MATCH((Standards_Active!$C11-1),$AQ$7:$BP$7,FALSE)),IF(BF$7&gt;=Standards_Active!$D11,Standards_Active!$H11,CP10)),CP10)</f>
        <v>1</v>
      </c>
      <c r="BG10" s="622">
        <f>IF(ISNUMBER(Standards_Active!$F11),IF(AND(BG$7&gt;=Standards_Active!$C11,BG$7&lt;Standards_Active!$D11),BF10-Standards_Active!$G11*INDEX($AQ$9:$BP$9,1,MATCH((Standards_Active!$C11-1),$AQ$7:$BP$7,FALSE)),IF(BG$7&gt;=Standards_Active!$D11,Standards_Active!$H11,CQ10)),CQ10)</f>
        <v>1</v>
      </c>
      <c r="BH10" s="622">
        <f>IF(ISNUMBER(Standards_Active!$F11),IF(AND(BH$7&gt;=Standards_Active!$C11,BH$7&lt;Standards_Active!$D11),BG10-Standards_Active!$G11*INDEX($AQ$9:$BP$9,1,MATCH((Standards_Active!$C11-1),$AQ$7:$BP$7,FALSE)),IF(BH$7&gt;=Standards_Active!$D11,Standards_Active!$H11,CR10)),CR10)</f>
        <v>1</v>
      </c>
      <c r="BI10" s="622">
        <f>IF(ISNUMBER(Standards_Active!$F11),IF(AND(BI$7&gt;=Standards_Active!$C11,BI$7&lt;Standards_Active!$D11),BH10-Standards_Active!$G11*INDEX($AQ$9:$BP$9,1,MATCH((Standards_Active!$C11-1),$AQ$7:$BP$7,FALSE)),IF(BI$7&gt;=Standards_Active!$D11,Standards_Active!$H11,CS10)),CS10)</f>
        <v>1</v>
      </c>
      <c r="BJ10" s="622">
        <f>IF(ISNUMBER(Standards_Active!$F11),IF(AND(BJ$7&gt;=Standards_Active!$C11,BJ$7&lt;Standards_Active!$D11),BI10-Standards_Active!$G11*INDEX($AQ$9:$BP$9,1,MATCH((Standards_Active!$C11-1),$AQ$7:$BP$7,FALSE)),IF(BJ$7&gt;=Standards_Active!$D11,Standards_Active!$H11,CT10)),CT10)</f>
        <v>1</v>
      </c>
      <c r="BK10" s="622">
        <f>IF(ISNUMBER(Standards_Active!$F11),IF(AND(BK$7&gt;=Standards_Active!$C11,BK$7&lt;Standards_Active!$D11),BJ10-Standards_Active!$G11*INDEX($AQ$9:$BP$9,1,MATCH((Standards_Active!$C11-1),$AQ$7:$BP$7,FALSE)),IF(BK$7&gt;=Standards_Active!$D11,Standards_Active!$H11,CU10)),CU10)</f>
        <v>1</v>
      </c>
      <c r="BL10" s="622">
        <f>IF(ISNUMBER(Standards_Active!$F11),IF(AND(BL$7&gt;=Standards_Active!$C11,BL$7&lt;Standards_Active!$D11),BK10-Standards_Active!$G11*INDEX($AQ$9:$BP$9,1,MATCH((Standards_Active!$C11-1),$AQ$7:$BP$7,FALSE)),IF(BL$7&gt;=Standards_Active!$D11,Standards_Active!$H11,CV10)),CV10)</f>
        <v>1</v>
      </c>
      <c r="BM10" s="622">
        <f>IF(ISNUMBER(Standards_Active!$F11),IF(AND(BM$7&gt;=Standards_Active!$C11,BM$7&lt;Standards_Active!$D11),BL10-Standards_Active!$G11*INDEX($AQ$9:$BP$9,1,MATCH((Standards_Active!$C11-1),$AQ$7:$BP$7,FALSE)),IF(BM$7&gt;=Standards_Active!$D11,Standards_Active!$H11,CW10)),CW10)</f>
        <v>1</v>
      </c>
      <c r="BN10" s="622">
        <f>IF(ISNUMBER(Standards_Active!$F11),IF(AND(BN$7&gt;=Standards_Active!$C11,BN$7&lt;Standards_Active!$D11),BM10-Standards_Active!$G11*INDEX($AQ$9:$BP$9,1,MATCH((Standards_Active!$C11-1),$AQ$7:$BP$7,FALSE)),IF(BN$7&gt;=Standards_Active!$D11,Standards_Active!$H11,CX10)),CX10)</f>
        <v>1</v>
      </c>
      <c r="BO10" s="622">
        <f>IF(ISNUMBER(Standards_Active!$F11),IF(AND(BO$7&gt;=Standards_Active!$C11,BO$7&lt;Standards_Active!$D11),BN10-Standards_Active!$G11*INDEX($AQ$9:$BP$9,1,MATCH((Standards_Active!$C11-1),$AQ$7:$BP$7,FALSE)),IF(BO$7&gt;=Standards_Active!$D11,Standards_Active!$H11,CY10)),CY10)</f>
        <v>1</v>
      </c>
      <c r="BP10" s="622">
        <f>IF(ISNUMBER(Standards_Active!$F11),IF(AND(BP$7&gt;=Standards_Active!$C11,BP$7&lt;Standards_Active!$D11),BO10-Standards_Active!$G11*INDEX($AQ$9:$BP$9,1,MATCH((Standards_Active!$C11-1),$AQ$7:$BP$7,FALSE)),IF(BP$7&gt;=Standards_Active!$D11,Standards_Active!$H11,CZ10)),CZ10)</f>
        <v>1</v>
      </c>
      <c r="BQ10" s="380"/>
      <c r="BR10" s="424"/>
      <c r="BS10" s="424"/>
      <c r="BT10" s="424"/>
      <c r="BU10" s="424"/>
      <c r="BV10" s="424"/>
      <c r="BW10" s="424"/>
      <c r="BX10" s="424"/>
      <c r="BY10" s="424"/>
      <c r="BZ10" s="424"/>
      <c r="CA10" s="424">
        <v>1</v>
      </c>
      <c r="CB10" s="424">
        <v>1</v>
      </c>
      <c r="CC10" s="424">
        <v>1</v>
      </c>
      <c r="CD10" s="424">
        <v>1</v>
      </c>
      <c r="CE10" s="424">
        <v>1</v>
      </c>
      <c r="CF10" s="424">
        <v>1</v>
      </c>
      <c r="CG10" s="424">
        <v>1</v>
      </c>
      <c r="CH10" s="424">
        <v>1</v>
      </c>
      <c r="CI10" s="424">
        <v>1</v>
      </c>
      <c r="CJ10" s="424">
        <v>1</v>
      </c>
      <c r="CK10" s="424">
        <v>1</v>
      </c>
      <c r="CL10" s="424">
        <v>1</v>
      </c>
      <c r="CM10" s="424">
        <v>1</v>
      </c>
      <c r="CN10" s="424">
        <v>1</v>
      </c>
      <c r="CO10" s="424">
        <v>1</v>
      </c>
      <c r="CP10" s="424">
        <v>1</v>
      </c>
      <c r="CQ10" s="424">
        <v>1</v>
      </c>
      <c r="CR10" s="424">
        <v>1</v>
      </c>
      <c r="CS10" s="424">
        <v>1</v>
      </c>
      <c r="CT10" s="424">
        <v>1</v>
      </c>
      <c r="CU10" s="424">
        <v>1</v>
      </c>
      <c r="CV10" s="424">
        <v>1</v>
      </c>
      <c r="CW10" s="424">
        <v>1</v>
      </c>
      <c r="CX10" s="424">
        <v>1</v>
      </c>
      <c r="CY10" s="424">
        <v>1</v>
      </c>
      <c r="CZ10" s="424">
        <v>1</v>
      </c>
    </row>
    <row r="11" spans="1:104" s="81" customFormat="1" ht="12.6" x14ac:dyDescent="0.25">
      <c r="A11" s="252"/>
      <c r="B11" s="252" t="s">
        <v>27</v>
      </c>
      <c r="D11" s="370"/>
      <c r="E11" s="370"/>
      <c r="F11" s="370"/>
      <c r="G11" s="370">
        <f>IF(Standards_Active!$E12="yes",Standards_Acceptance!AQ11,Standards_Acceptance!CA11)</f>
        <v>1</v>
      </c>
      <c r="H11" s="370">
        <f>IF(Standards_Active!$E12="yes",Standards_Acceptance!AR11,Standards_Acceptance!CB11)</f>
        <v>1</v>
      </c>
      <c r="I11" s="370">
        <f>IF(Standards_Active!$E12="yes",Standards_Acceptance!AS11,Standards_Acceptance!CC11)</f>
        <v>1</v>
      </c>
      <c r="J11" s="370">
        <f>IF(Standards_Active!$E12="yes",Standards_Acceptance!AT11,Standards_Acceptance!CD11)</f>
        <v>1</v>
      </c>
      <c r="K11" s="370">
        <f>IF(Standards_Active!$E12="yes",Standards_Acceptance!AU11,Standards_Acceptance!CE11)</f>
        <v>1</v>
      </c>
      <c r="L11" s="370">
        <f>IF(Standards_Active!$E12="yes",Standards_Acceptance!AV11,Standards_Acceptance!CF11)</f>
        <v>1</v>
      </c>
      <c r="M11" s="370">
        <f>IF(Standards_Active!$E12="yes",Standards_Acceptance!AW11,Standards_Acceptance!CG11)</f>
        <v>1</v>
      </c>
      <c r="N11" s="370">
        <f>IF(Standards_Active!$E12="yes",Standards_Acceptance!AX11,Standards_Acceptance!CH11)</f>
        <v>1</v>
      </c>
      <c r="O11" s="370">
        <f>IF(Standards_Active!$E12="yes",Standards_Acceptance!AY11,Standards_Acceptance!CI11)</f>
        <v>1</v>
      </c>
      <c r="P11" s="370">
        <f>IF(Standards_Active!$E12="yes",Standards_Acceptance!AZ11,Standards_Acceptance!CJ11)</f>
        <v>1</v>
      </c>
      <c r="Q11" s="370">
        <f>IF(Standards_Active!$E12="yes",Standards_Acceptance!BA11,Standards_Acceptance!CK11)</f>
        <v>1</v>
      </c>
      <c r="R11" s="370">
        <f>IF(Standards_Active!$E12="yes",Standards_Acceptance!BB11,Standards_Acceptance!CL11)</f>
        <v>1</v>
      </c>
      <c r="S11" s="370">
        <f>IF(Standards_Active!$E12="yes",Standards_Acceptance!BC11,Standards_Acceptance!CM11)</f>
        <v>1</v>
      </c>
      <c r="T11" s="370">
        <f>IF(Standards_Active!$E12="yes",Standards_Acceptance!BD11,Standards_Acceptance!CN11)</f>
        <v>1</v>
      </c>
      <c r="U11" s="370">
        <f>IF(Standards_Active!$E12="yes",Standards_Acceptance!BE11,Standards_Acceptance!CO11)</f>
        <v>1</v>
      </c>
      <c r="V11" s="370">
        <f>IF(Standards_Active!$E12="yes",Standards_Acceptance!BF11,Standards_Acceptance!CP11)</f>
        <v>1</v>
      </c>
      <c r="W11" s="370">
        <f>IF(Standards_Active!$E12="yes",Standards_Acceptance!BG11,Standards_Acceptance!CQ11)</f>
        <v>1</v>
      </c>
      <c r="X11" s="370">
        <f>IF(Standards_Active!$E12="yes",Standards_Acceptance!BH11,Standards_Acceptance!CR11)</f>
        <v>1</v>
      </c>
      <c r="Y11" s="370">
        <f>IF(Standards_Active!$E12="yes",Standards_Acceptance!BI11,Standards_Acceptance!CS11)</f>
        <v>1</v>
      </c>
      <c r="Z11" s="370">
        <f>IF(Standards_Active!$E12="yes",Standards_Acceptance!BJ11,Standards_Acceptance!CT11)</f>
        <v>1</v>
      </c>
      <c r="AA11" s="370">
        <f>IF(Standards_Active!$E12="yes",Standards_Acceptance!BK11,Standards_Acceptance!CU11)</f>
        <v>1</v>
      </c>
      <c r="AB11" s="370">
        <f>IF(Standards_Active!$E12="yes",Standards_Acceptance!BL11,Standards_Acceptance!CV11)</f>
        <v>1</v>
      </c>
      <c r="AC11" s="370">
        <f>IF(Standards_Active!$E12="yes",Standards_Acceptance!BM11,Standards_Acceptance!CW11)</f>
        <v>1</v>
      </c>
      <c r="AD11" s="370">
        <f>IF(Standards_Active!$E12="yes",Standards_Acceptance!BN11,Standards_Acceptance!CX11)</f>
        <v>1</v>
      </c>
      <c r="AE11" s="370">
        <f>IF(Standards_Active!$E12="yes",Standards_Acceptance!BO11,Standards_Acceptance!CY11)</f>
        <v>1</v>
      </c>
      <c r="AF11" s="370">
        <f>IF(Standards_Active!$E12="yes",Standards_Acceptance!BP11,Standards_Acceptance!CZ11)</f>
        <v>1</v>
      </c>
      <c r="AH11" s="622"/>
      <c r="AI11" s="622"/>
      <c r="AJ11" s="622"/>
      <c r="AK11" s="622"/>
      <c r="AL11" s="622"/>
      <c r="AM11" s="622"/>
      <c r="AN11" s="622"/>
      <c r="AO11" s="622"/>
      <c r="AP11" s="622"/>
      <c r="AQ11" s="622">
        <f>IF(ISNUMBER(Standards_Active!$F12),IF(AND(AQ$7&gt;=Standards_Active!$C12,AQ$7&lt;Standards_Active!$D12),AP11-Standards_Active!$G12*INDEX($AQ$9:$BP$9,1,MATCH((Standards_Active!$C12-1),$AQ$7:$BP$7,FALSE)),IF(AQ$7&gt;=Standards_Active!$D12,Standards_Active!$H12,CA11)),CA11)</f>
        <v>1</v>
      </c>
      <c r="AR11" s="622">
        <f>IF(ISNUMBER(Standards_Active!$F12),IF(AND(AR$7&gt;=Standards_Active!$C12,AR$7&lt;Standards_Active!$D12),AQ11-Standards_Active!$G12*INDEX($AQ$9:$BP$9,1,MATCH((Standards_Active!$C12-1),$AQ$7:$BP$7,FALSE)),IF(AR$7&gt;=Standards_Active!$D12,Standards_Active!$H12,CB11)),CB11)</f>
        <v>1</v>
      </c>
      <c r="AS11" s="622">
        <f>IF(ISNUMBER(Standards_Active!$F12),IF(AND(AS$7&gt;=Standards_Active!$C12,AS$7&lt;Standards_Active!$D12),AR11-Standards_Active!$G12*INDEX($AQ$9:$BP$9,1,MATCH((Standards_Active!$C12-1),$AQ$7:$BP$7,FALSE)),IF(AS$7&gt;=Standards_Active!$D12,Standards_Active!$H12,CC11)),CC11)</f>
        <v>1</v>
      </c>
      <c r="AT11" s="622">
        <f>IF(ISNUMBER(Standards_Active!$F12),IF(AND(AT$7&gt;=Standards_Active!$C12,AT$7&lt;Standards_Active!$D12),AS11-Standards_Active!$G12*INDEX($AQ$9:$BP$9,1,MATCH((Standards_Active!$C12-1),$AQ$7:$BP$7,FALSE)),IF(AT$7&gt;=Standards_Active!$D12,Standards_Active!$H12,CD11)),CD11)</f>
        <v>1</v>
      </c>
      <c r="AU11" s="622">
        <f>IF(ISNUMBER(Standards_Active!$F12),IF(AND(AU$7&gt;=Standards_Active!$C12,AU$7&lt;Standards_Active!$D12),AT11-Standards_Active!$G12*INDEX($AQ$9:$BP$9,1,MATCH((Standards_Active!$C12-1),$AQ$7:$BP$7,FALSE)),IF(AU$7&gt;=Standards_Active!$D12,Standards_Active!$H12,CE11)),CE11)</f>
        <v>1</v>
      </c>
      <c r="AV11" s="622">
        <f>IF(ISNUMBER(Standards_Active!$F12),IF(AND(AV$7&gt;=Standards_Active!$C12,AV$7&lt;Standards_Active!$D12),AU11-Standards_Active!$G12*INDEX($AQ$9:$BP$9,1,MATCH((Standards_Active!$C12-1),$AQ$7:$BP$7,FALSE)),IF(AV$7&gt;=Standards_Active!$D12,Standards_Active!$H12,CF11)),CF11)</f>
        <v>1</v>
      </c>
      <c r="AW11" s="622">
        <f>IF(ISNUMBER(Standards_Active!$F12),IF(AND(AW$7&gt;=Standards_Active!$C12,AW$7&lt;Standards_Active!$D12),AV11-Standards_Active!$G12*INDEX($AQ$9:$BP$9,1,MATCH((Standards_Active!$C12-1),$AQ$7:$BP$7,FALSE)),IF(AW$7&gt;=Standards_Active!$D12,Standards_Active!$H12,CG11)),CG11)</f>
        <v>1</v>
      </c>
      <c r="AX11" s="622">
        <f>IF(ISNUMBER(Standards_Active!$F12),IF(AND(AX$7&gt;=Standards_Active!$C12,AX$7&lt;Standards_Active!$D12),AW11-Standards_Active!$G12*INDEX($AQ$9:$BP$9,1,MATCH((Standards_Active!$C12-1),$AQ$7:$BP$7,FALSE)),IF(AX$7&gt;=Standards_Active!$D12,Standards_Active!$H12,CH11)),CH11)</f>
        <v>1</v>
      </c>
      <c r="AY11" s="622">
        <f>IF(ISNUMBER(Standards_Active!$F12),IF(AND(AY$7&gt;=Standards_Active!$C12,AY$7&lt;Standards_Active!$D12),AX11-Standards_Active!$G12*INDEX($AQ$9:$BP$9,1,MATCH((Standards_Active!$C12-1),$AQ$7:$BP$7,FALSE)),IF(AY$7&gt;=Standards_Active!$D12,Standards_Active!$H12,CI11)),CI11)</f>
        <v>1</v>
      </c>
      <c r="AZ11" s="622">
        <f>IF(ISNUMBER(Standards_Active!$F12),IF(AND(AZ$7&gt;=Standards_Active!$C12,AZ$7&lt;Standards_Active!$D12),AY11-Standards_Active!$G12*INDEX($AQ$9:$BP$9,1,MATCH((Standards_Active!$C12-1),$AQ$7:$BP$7,FALSE)),IF(AZ$7&gt;=Standards_Active!$D12,Standards_Active!$H12,CJ11)),CJ11)</f>
        <v>1</v>
      </c>
      <c r="BA11" s="622">
        <f>IF(ISNUMBER(Standards_Active!$F12),IF(AND(BA$7&gt;=Standards_Active!$C12,BA$7&lt;Standards_Active!$D12),AZ11-Standards_Active!$G12*INDEX($AQ$9:$BP$9,1,MATCH((Standards_Active!$C12-1),$AQ$7:$BP$7,FALSE)),IF(BA$7&gt;=Standards_Active!$D12,Standards_Active!$H12,CK11)),CK11)</f>
        <v>1</v>
      </c>
      <c r="BB11" s="622">
        <f>IF(ISNUMBER(Standards_Active!$F12),IF(AND(BB$7&gt;=Standards_Active!$C12,BB$7&lt;Standards_Active!$D12),BA11-Standards_Active!$G12*INDEX($AQ$9:$BP$9,1,MATCH((Standards_Active!$C12-1),$AQ$7:$BP$7,FALSE)),IF(BB$7&gt;=Standards_Active!$D12,Standards_Active!$H12,CL11)),CL11)</f>
        <v>1</v>
      </c>
      <c r="BC11" s="622">
        <f>IF(ISNUMBER(Standards_Active!$F12),IF(AND(BC$7&gt;=Standards_Active!$C12,BC$7&lt;Standards_Active!$D12),BB11-Standards_Active!$G12*INDEX($AQ$9:$BP$9,1,MATCH((Standards_Active!$C12-1),$AQ$7:$BP$7,FALSE)),IF(BC$7&gt;=Standards_Active!$D12,Standards_Active!$H12,CM11)),CM11)</f>
        <v>1</v>
      </c>
      <c r="BD11" s="622">
        <f>IF(ISNUMBER(Standards_Active!$F12),IF(AND(BD$7&gt;=Standards_Active!$C12,BD$7&lt;Standards_Active!$D12),BC11-Standards_Active!$G12*INDEX($AQ$9:$BP$9,1,MATCH((Standards_Active!$C12-1),$AQ$7:$BP$7,FALSE)),IF(BD$7&gt;=Standards_Active!$D12,Standards_Active!$H12,CN11)),CN11)</f>
        <v>1</v>
      </c>
      <c r="BE11" s="622">
        <f>IF(ISNUMBER(Standards_Active!$F12),IF(AND(BE$7&gt;=Standards_Active!$C12,BE$7&lt;Standards_Active!$D12),BD11-Standards_Active!$G12*INDEX($AQ$9:$BP$9,1,MATCH((Standards_Active!$C12-1),$AQ$7:$BP$7,FALSE)),IF(BE$7&gt;=Standards_Active!$D12,Standards_Active!$H12,CO11)),CO11)</f>
        <v>1</v>
      </c>
      <c r="BF11" s="622">
        <f>IF(ISNUMBER(Standards_Active!$F12),IF(AND(BF$7&gt;=Standards_Active!$C12,BF$7&lt;Standards_Active!$D12),BE11-Standards_Active!$G12*INDEX($AQ$9:$BP$9,1,MATCH((Standards_Active!$C12-1),$AQ$7:$BP$7,FALSE)),IF(BF$7&gt;=Standards_Active!$D12,Standards_Active!$H12,CP11)),CP11)</f>
        <v>1</v>
      </c>
      <c r="BG11" s="622">
        <f>IF(ISNUMBER(Standards_Active!$F12),IF(AND(BG$7&gt;=Standards_Active!$C12,BG$7&lt;Standards_Active!$D12),BF11-Standards_Active!$G12*INDEX($AQ$9:$BP$9,1,MATCH((Standards_Active!$C12-1),$AQ$7:$BP$7,FALSE)),IF(BG$7&gt;=Standards_Active!$D12,Standards_Active!$H12,CQ11)),CQ11)</f>
        <v>1</v>
      </c>
      <c r="BH11" s="622">
        <f>IF(ISNUMBER(Standards_Active!$F12),IF(AND(BH$7&gt;=Standards_Active!$C12,BH$7&lt;Standards_Active!$D12),BG11-Standards_Active!$G12*INDEX($AQ$9:$BP$9,1,MATCH((Standards_Active!$C12-1),$AQ$7:$BP$7,FALSE)),IF(BH$7&gt;=Standards_Active!$D12,Standards_Active!$H12,CR11)),CR11)</f>
        <v>1</v>
      </c>
      <c r="BI11" s="622">
        <f>IF(ISNUMBER(Standards_Active!$F12),IF(AND(BI$7&gt;=Standards_Active!$C12,BI$7&lt;Standards_Active!$D12),BH11-Standards_Active!$G12*INDEX($AQ$9:$BP$9,1,MATCH((Standards_Active!$C12-1),$AQ$7:$BP$7,FALSE)),IF(BI$7&gt;=Standards_Active!$D12,Standards_Active!$H12,CS11)),CS11)</f>
        <v>1</v>
      </c>
      <c r="BJ11" s="622">
        <f>IF(ISNUMBER(Standards_Active!$F12),IF(AND(BJ$7&gt;=Standards_Active!$C12,BJ$7&lt;Standards_Active!$D12),BI11-Standards_Active!$G12*INDEX($AQ$9:$BP$9,1,MATCH((Standards_Active!$C12-1),$AQ$7:$BP$7,FALSE)),IF(BJ$7&gt;=Standards_Active!$D12,Standards_Active!$H12,CT11)),CT11)</f>
        <v>1</v>
      </c>
      <c r="BK11" s="622">
        <f>IF(ISNUMBER(Standards_Active!$F12),IF(AND(BK$7&gt;=Standards_Active!$C12,BK$7&lt;Standards_Active!$D12),BJ11-Standards_Active!$G12*INDEX($AQ$9:$BP$9,1,MATCH((Standards_Active!$C12-1),$AQ$7:$BP$7,FALSE)),IF(BK$7&gt;=Standards_Active!$D12,Standards_Active!$H12,CU11)),CU11)</f>
        <v>1</v>
      </c>
      <c r="BL11" s="622">
        <f>IF(ISNUMBER(Standards_Active!$F12),IF(AND(BL$7&gt;=Standards_Active!$C12,BL$7&lt;Standards_Active!$D12),BK11-Standards_Active!$G12*INDEX($AQ$9:$BP$9,1,MATCH((Standards_Active!$C12-1),$AQ$7:$BP$7,FALSE)),IF(BL$7&gt;=Standards_Active!$D12,Standards_Active!$H12,CV11)),CV11)</f>
        <v>1</v>
      </c>
      <c r="BM11" s="622">
        <f>IF(ISNUMBER(Standards_Active!$F12),IF(AND(BM$7&gt;=Standards_Active!$C12,BM$7&lt;Standards_Active!$D12),BL11-Standards_Active!$G12*INDEX($AQ$9:$BP$9,1,MATCH((Standards_Active!$C12-1),$AQ$7:$BP$7,FALSE)),IF(BM$7&gt;=Standards_Active!$D12,Standards_Active!$H12,CW11)),CW11)</f>
        <v>1</v>
      </c>
      <c r="BN11" s="622">
        <f>IF(ISNUMBER(Standards_Active!$F12),IF(AND(BN$7&gt;=Standards_Active!$C12,BN$7&lt;Standards_Active!$D12),BM11-Standards_Active!$G12*INDEX($AQ$9:$BP$9,1,MATCH((Standards_Active!$C12-1),$AQ$7:$BP$7,FALSE)),IF(BN$7&gt;=Standards_Active!$D12,Standards_Active!$H12,CX11)),CX11)</f>
        <v>1</v>
      </c>
      <c r="BO11" s="622">
        <f>IF(ISNUMBER(Standards_Active!$F12),IF(AND(BO$7&gt;=Standards_Active!$C12,BO$7&lt;Standards_Active!$D12),BN11-Standards_Active!$G12*INDEX($AQ$9:$BP$9,1,MATCH((Standards_Active!$C12-1),$AQ$7:$BP$7,FALSE)),IF(BO$7&gt;=Standards_Active!$D12,Standards_Active!$H12,CY11)),CY11)</f>
        <v>1</v>
      </c>
      <c r="BP11" s="622">
        <f>IF(ISNUMBER(Standards_Active!$F12),IF(AND(BP$7&gt;=Standards_Active!$C12,BP$7&lt;Standards_Active!$D12),BO11-Standards_Active!$G12*INDEX($AQ$9:$BP$9,1,MATCH((Standards_Active!$C12-1),$AQ$7:$BP$7,FALSE)),IF(BP$7&gt;=Standards_Active!$D12,Standards_Active!$H12,CZ11)),CZ11)</f>
        <v>1</v>
      </c>
      <c r="BQ11" s="380"/>
      <c r="BR11" s="424"/>
      <c r="BS11" s="424"/>
      <c r="BT11" s="424"/>
      <c r="BU11" s="424"/>
      <c r="BV11" s="424"/>
      <c r="BW11" s="424"/>
      <c r="BX11" s="424"/>
      <c r="BY11" s="424"/>
      <c r="BZ11" s="424"/>
      <c r="CA11" s="424">
        <v>1</v>
      </c>
      <c r="CB11" s="424">
        <v>1</v>
      </c>
      <c r="CC11" s="424">
        <v>1</v>
      </c>
      <c r="CD11" s="424">
        <v>1</v>
      </c>
      <c r="CE11" s="424">
        <v>1</v>
      </c>
      <c r="CF11" s="424">
        <v>1</v>
      </c>
      <c r="CG11" s="424">
        <v>1</v>
      </c>
      <c r="CH11" s="424">
        <v>1</v>
      </c>
      <c r="CI11" s="424">
        <v>1</v>
      </c>
      <c r="CJ11" s="424">
        <v>1</v>
      </c>
      <c r="CK11" s="424">
        <v>1</v>
      </c>
      <c r="CL11" s="424">
        <v>1</v>
      </c>
      <c r="CM11" s="424">
        <v>1</v>
      </c>
      <c r="CN11" s="424">
        <v>1</v>
      </c>
      <c r="CO11" s="424">
        <v>1</v>
      </c>
      <c r="CP11" s="424">
        <v>1</v>
      </c>
      <c r="CQ11" s="424">
        <v>1</v>
      </c>
      <c r="CR11" s="424">
        <v>1</v>
      </c>
      <c r="CS11" s="424">
        <v>1</v>
      </c>
      <c r="CT11" s="424">
        <v>1</v>
      </c>
      <c r="CU11" s="424">
        <v>1</v>
      </c>
      <c r="CV11" s="424">
        <v>1</v>
      </c>
      <c r="CW11" s="424">
        <v>1</v>
      </c>
      <c r="CX11" s="424">
        <v>1</v>
      </c>
      <c r="CY11" s="424">
        <v>1</v>
      </c>
      <c r="CZ11" s="424">
        <v>1</v>
      </c>
    </row>
    <row r="12" spans="1:104" s="81" customFormat="1" ht="12.6" x14ac:dyDescent="0.25">
      <c r="A12" s="252"/>
      <c r="B12" s="252" t="s">
        <v>29</v>
      </c>
      <c r="D12" s="370"/>
      <c r="E12" s="370"/>
      <c r="F12" s="370"/>
      <c r="G12" s="370">
        <f>IF(Standards_Active!$E13="yes",Standards_Acceptance!AQ12,Standards_Acceptance!CA12)</f>
        <v>1</v>
      </c>
      <c r="H12" s="370">
        <f>IF(Standards_Active!$E13="yes",Standards_Acceptance!AR12,Standards_Acceptance!CB12)</f>
        <v>1</v>
      </c>
      <c r="I12" s="370">
        <f>IF(Standards_Active!$E13="yes",Standards_Acceptance!AS12,Standards_Acceptance!CC12)</f>
        <v>1</v>
      </c>
      <c r="J12" s="370">
        <f>IF(Standards_Active!$E13="yes",Standards_Acceptance!AT12,Standards_Acceptance!CD12)</f>
        <v>1</v>
      </c>
      <c r="K12" s="370">
        <f>IF(Standards_Active!$E13="yes",Standards_Acceptance!AU12,Standards_Acceptance!CE12)</f>
        <v>1</v>
      </c>
      <c r="L12" s="370">
        <f>IF(Standards_Active!$E13="yes",Standards_Acceptance!AV12,Standards_Acceptance!CF12)</f>
        <v>1</v>
      </c>
      <c r="M12" s="370">
        <f>IF(Standards_Active!$E13="yes",Standards_Acceptance!AW12,Standards_Acceptance!CG12)</f>
        <v>1</v>
      </c>
      <c r="N12" s="370">
        <f>IF(Standards_Active!$E13="yes",Standards_Acceptance!AX12,Standards_Acceptance!CH12)</f>
        <v>1</v>
      </c>
      <c r="O12" s="370">
        <f>IF(Standards_Active!$E13="yes",Standards_Acceptance!AY12,Standards_Acceptance!CI12)</f>
        <v>1</v>
      </c>
      <c r="P12" s="370">
        <f>IF(Standards_Active!$E13="yes",Standards_Acceptance!AZ12,Standards_Acceptance!CJ12)</f>
        <v>1</v>
      </c>
      <c r="Q12" s="370">
        <f>IF(Standards_Active!$E13="yes",Standards_Acceptance!BA12,Standards_Acceptance!CK12)</f>
        <v>1</v>
      </c>
      <c r="R12" s="370">
        <f>IF(Standards_Active!$E13="yes",Standards_Acceptance!BB12,Standards_Acceptance!CL12)</f>
        <v>1</v>
      </c>
      <c r="S12" s="370">
        <f>IF(Standards_Active!$E13="yes",Standards_Acceptance!BC12,Standards_Acceptance!CM12)</f>
        <v>1</v>
      </c>
      <c r="T12" s="370">
        <f>IF(Standards_Active!$E13="yes",Standards_Acceptance!BD12,Standards_Acceptance!CN12)</f>
        <v>1</v>
      </c>
      <c r="U12" s="370">
        <f>IF(Standards_Active!$E13="yes",Standards_Acceptance!BE12,Standards_Acceptance!CO12)</f>
        <v>1</v>
      </c>
      <c r="V12" s="370">
        <f>IF(Standards_Active!$E13="yes",Standards_Acceptance!BF12,Standards_Acceptance!CP12)</f>
        <v>1</v>
      </c>
      <c r="W12" s="370">
        <f>IF(Standards_Active!$E13="yes",Standards_Acceptance!BG12,Standards_Acceptance!CQ12)</f>
        <v>1</v>
      </c>
      <c r="X12" s="370">
        <f>IF(Standards_Active!$E13="yes",Standards_Acceptance!BH12,Standards_Acceptance!CR12)</f>
        <v>1</v>
      </c>
      <c r="Y12" s="370">
        <f>IF(Standards_Active!$E13="yes",Standards_Acceptance!BI12,Standards_Acceptance!CS12)</f>
        <v>1</v>
      </c>
      <c r="Z12" s="370">
        <f>IF(Standards_Active!$E13="yes",Standards_Acceptance!BJ12,Standards_Acceptance!CT12)</f>
        <v>1</v>
      </c>
      <c r="AA12" s="370">
        <f>IF(Standards_Active!$E13="yes",Standards_Acceptance!BK12,Standards_Acceptance!CU12)</f>
        <v>1</v>
      </c>
      <c r="AB12" s="370">
        <f>IF(Standards_Active!$E13="yes",Standards_Acceptance!BL12,Standards_Acceptance!CV12)</f>
        <v>1</v>
      </c>
      <c r="AC12" s="370">
        <f>IF(Standards_Active!$E13="yes",Standards_Acceptance!BM12,Standards_Acceptance!CW12)</f>
        <v>1</v>
      </c>
      <c r="AD12" s="370">
        <f>IF(Standards_Active!$E13="yes",Standards_Acceptance!BN12,Standards_Acceptance!CX12)</f>
        <v>1</v>
      </c>
      <c r="AE12" s="370">
        <f>IF(Standards_Active!$E13="yes",Standards_Acceptance!BO12,Standards_Acceptance!CY12)</f>
        <v>1</v>
      </c>
      <c r="AF12" s="370">
        <f>IF(Standards_Active!$E13="yes",Standards_Acceptance!BP12,Standards_Acceptance!CZ12)</f>
        <v>1</v>
      </c>
      <c r="AH12" s="622"/>
      <c r="AI12" s="622"/>
      <c r="AJ12" s="622"/>
      <c r="AK12" s="622"/>
      <c r="AL12" s="622"/>
      <c r="AM12" s="622"/>
      <c r="AN12" s="622"/>
      <c r="AO12" s="622"/>
      <c r="AP12" s="622"/>
      <c r="AQ12" s="622">
        <f>IF(ISNUMBER(Standards_Active!$F13),IF(AND(AQ$7&gt;=Standards_Active!$C13,AQ$7&lt;Standards_Active!$D13),AP12-Standards_Active!$G13*INDEX($AQ$9:$BP$9,1,MATCH((Standards_Active!$C13-1),$AQ$7:$BP$7,FALSE)),IF(AQ$7&gt;=Standards_Active!$D13,Standards_Active!$H13,CA12)),CA12)</f>
        <v>1</v>
      </c>
      <c r="AR12" s="622">
        <f>IF(ISNUMBER(Standards_Active!$F13),IF(AND(AR$7&gt;=Standards_Active!$C13,AR$7&lt;Standards_Active!$D13),AQ12-Standards_Active!$G13*INDEX($AQ$9:$BP$9,1,MATCH((Standards_Active!$C13-1),$AQ$7:$BP$7,FALSE)),IF(AR$7&gt;=Standards_Active!$D13,Standards_Active!$H13,CB12)),CB12)</f>
        <v>1</v>
      </c>
      <c r="AS12" s="622">
        <f>IF(ISNUMBER(Standards_Active!$F13),IF(AND(AS$7&gt;=Standards_Active!$C13,AS$7&lt;Standards_Active!$D13),AR12-Standards_Active!$G13*INDEX($AQ$9:$BP$9,1,MATCH((Standards_Active!$C13-1),$AQ$7:$BP$7,FALSE)),IF(AS$7&gt;=Standards_Active!$D13,Standards_Active!$H13,CC12)),CC12)</f>
        <v>1</v>
      </c>
      <c r="AT12" s="622">
        <f>IF(ISNUMBER(Standards_Active!$F13),IF(AND(AT$7&gt;=Standards_Active!$C13,AT$7&lt;Standards_Active!$D13),AS12-Standards_Active!$G13*INDEX($AQ$9:$BP$9,1,MATCH((Standards_Active!$C13-1),$AQ$7:$BP$7,FALSE)),IF(AT$7&gt;=Standards_Active!$D13,Standards_Active!$H13,CD12)),CD12)</f>
        <v>1</v>
      </c>
      <c r="AU12" s="622">
        <f>IF(ISNUMBER(Standards_Active!$F13),IF(AND(AU$7&gt;=Standards_Active!$C13,AU$7&lt;Standards_Active!$D13),AT12-Standards_Active!$G13*INDEX($AQ$9:$BP$9,1,MATCH((Standards_Active!$C13-1),$AQ$7:$BP$7,FALSE)),IF(AU$7&gt;=Standards_Active!$D13,Standards_Active!$H13,CE12)),CE12)</f>
        <v>1</v>
      </c>
      <c r="AV12" s="622">
        <f>IF(ISNUMBER(Standards_Active!$F13),IF(AND(AV$7&gt;=Standards_Active!$C13,AV$7&lt;Standards_Active!$D13),AU12-Standards_Active!$G13*INDEX($AQ$9:$BP$9,1,MATCH((Standards_Active!$C13-1),$AQ$7:$BP$7,FALSE)),IF(AV$7&gt;=Standards_Active!$D13,Standards_Active!$H13,CF12)),CF12)</f>
        <v>1</v>
      </c>
      <c r="AW12" s="622">
        <f>IF(ISNUMBER(Standards_Active!$F13),IF(AND(AW$7&gt;=Standards_Active!$C13,AW$7&lt;Standards_Active!$D13),AV12-Standards_Active!$G13*INDEX($AQ$9:$BP$9,1,MATCH((Standards_Active!$C13-1),$AQ$7:$BP$7,FALSE)),IF(AW$7&gt;=Standards_Active!$D13,Standards_Active!$H13,CG12)),CG12)</f>
        <v>1</v>
      </c>
      <c r="AX12" s="622">
        <f>IF(ISNUMBER(Standards_Active!$F13),IF(AND(AX$7&gt;=Standards_Active!$C13,AX$7&lt;Standards_Active!$D13),AW12-Standards_Active!$G13*INDEX($AQ$9:$BP$9,1,MATCH((Standards_Active!$C13-1),$AQ$7:$BP$7,FALSE)),IF(AX$7&gt;=Standards_Active!$D13,Standards_Active!$H13,CH12)),CH12)</f>
        <v>1</v>
      </c>
      <c r="AY12" s="622">
        <f>IF(ISNUMBER(Standards_Active!$F13),IF(AND(AY$7&gt;=Standards_Active!$C13,AY$7&lt;Standards_Active!$D13),AX12-Standards_Active!$G13*INDEX($AQ$9:$BP$9,1,MATCH((Standards_Active!$C13-1),$AQ$7:$BP$7,FALSE)),IF(AY$7&gt;=Standards_Active!$D13,Standards_Active!$H13,CI12)),CI12)</f>
        <v>1</v>
      </c>
      <c r="AZ12" s="622">
        <f>IF(ISNUMBER(Standards_Active!$F13),IF(AND(AZ$7&gt;=Standards_Active!$C13,AZ$7&lt;Standards_Active!$D13),AY12-Standards_Active!$G13*INDEX($AQ$9:$BP$9,1,MATCH((Standards_Active!$C13-1),$AQ$7:$BP$7,FALSE)),IF(AZ$7&gt;=Standards_Active!$D13,Standards_Active!$H13,CJ12)),CJ12)</f>
        <v>1</v>
      </c>
      <c r="BA12" s="622">
        <f>IF(ISNUMBER(Standards_Active!$F13),IF(AND(BA$7&gt;=Standards_Active!$C13,BA$7&lt;Standards_Active!$D13),AZ12-Standards_Active!$G13*INDEX($AQ$9:$BP$9,1,MATCH((Standards_Active!$C13-1),$AQ$7:$BP$7,FALSE)),IF(BA$7&gt;=Standards_Active!$D13,Standards_Active!$H13,CK12)),CK12)</f>
        <v>1</v>
      </c>
      <c r="BB12" s="622">
        <f>IF(ISNUMBER(Standards_Active!$F13),IF(AND(BB$7&gt;=Standards_Active!$C13,BB$7&lt;Standards_Active!$D13),BA12-Standards_Active!$G13*INDEX($AQ$9:$BP$9,1,MATCH((Standards_Active!$C13-1),$AQ$7:$BP$7,FALSE)),IF(BB$7&gt;=Standards_Active!$D13,Standards_Active!$H13,CL12)),CL12)</f>
        <v>1</v>
      </c>
      <c r="BC12" s="622">
        <f>IF(ISNUMBER(Standards_Active!$F13),IF(AND(BC$7&gt;=Standards_Active!$C13,BC$7&lt;Standards_Active!$D13),BB12-Standards_Active!$G13*INDEX($AQ$9:$BP$9,1,MATCH((Standards_Active!$C13-1),$AQ$7:$BP$7,FALSE)),IF(BC$7&gt;=Standards_Active!$D13,Standards_Active!$H13,CM12)),CM12)</f>
        <v>1</v>
      </c>
      <c r="BD12" s="622">
        <f>IF(ISNUMBER(Standards_Active!$F13),IF(AND(BD$7&gt;=Standards_Active!$C13,BD$7&lt;Standards_Active!$D13),BC12-Standards_Active!$G13*INDEX($AQ$9:$BP$9,1,MATCH((Standards_Active!$C13-1),$AQ$7:$BP$7,FALSE)),IF(BD$7&gt;=Standards_Active!$D13,Standards_Active!$H13,CN12)),CN12)</f>
        <v>1</v>
      </c>
      <c r="BE12" s="622">
        <f>IF(ISNUMBER(Standards_Active!$F13),IF(AND(BE$7&gt;=Standards_Active!$C13,BE$7&lt;Standards_Active!$D13),BD12-Standards_Active!$G13*INDEX($AQ$9:$BP$9,1,MATCH((Standards_Active!$C13-1),$AQ$7:$BP$7,FALSE)),IF(BE$7&gt;=Standards_Active!$D13,Standards_Active!$H13,CO12)),CO12)</f>
        <v>1</v>
      </c>
      <c r="BF12" s="622">
        <f>IF(ISNUMBER(Standards_Active!$F13),IF(AND(BF$7&gt;=Standards_Active!$C13,BF$7&lt;Standards_Active!$D13),BE12-Standards_Active!$G13*INDEX($AQ$9:$BP$9,1,MATCH((Standards_Active!$C13-1),$AQ$7:$BP$7,FALSE)),IF(BF$7&gt;=Standards_Active!$D13,Standards_Active!$H13,CP12)),CP12)</f>
        <v>1</v>
      </c>
      <c r="BG12" s="622">
        <f>IF(ISNUMBER(Standards_Active!$F13),IF(AND(BG$7&gt;=Standards_Active!$C13,BG$7&lt;Standards_Active!$D13),BF12-Standards_Active!$G13*INDEX($AQ$9:$BP$9,1,MATCH((Standards_Active!$C13-1),$AQ$7:$BP$7,FALSE)),IF(BG$7&gt;=Standards_Active!$D13,Standards_Active!$H13,CQ12)),CQ12)</f>
        <v>1</v>
      </c>
      <c r="BH12" s="622">
        <f>IF(ISNUMBER(Standards_Active!$F13),IF(AND(BH$7&gt;=Standards_Active!$C13,BH$7&lt;Standards_Active!$D13),BG12-Standards_Active!$G13*INDEX($AQ$9:$BP$9,1,MATCH((Standards_Active!$C13-1),$AQ$7:$BP$7,FALSE)),IF(BH$7&gt;=Standards_Active!$D13,Standards_Active!$H13,CR12)),CR12)</f>
        <v>1</v>
      </c>
      <c r="BI12" s="622">
        <f>IF(ISNUMBER(Standards_Active!$F13),IF(AND(BI$7&gt;=Standards_Active!$C13,BI$7&lt;Standards_Active!$D13),BH12-Standards_Active!$G13*INDEX($AQ$9:$BP$9,1,MATCH((Standards_Active!$C13-1),$AQ$7:$BP$7,FALSE)),IF(BI$7&gt;=Standards_Active!$D13,Standards_Active!$H13,CS12)),CS12)</f>
        <v>1</v>
      </c>
      <c r="BJ12" s="622">
        <f>IF(ISNUMBER(Standards_Active!$F13),IF(AND(BJ$7&gt;=Standards_Active!$C13,BJ$7&lt;Standards_Active!$D13),BI12-Standards_Active!$G13*INDEX($AQ$9:$BP$9,1,MATCH((Standards_Active!$C13-1),$AQ$7:$BP$7,FALSE)),IF(BJ$7&gt;=Standards_Active!$D13,Standards_Active!$H13,CT12)),CT12)</f>
        <v>1</v>
      </c>
      <c r="BK12" s="622">
        <f>IF(ISNUMBER(Standards_Active!$F13),IF(AND(BK$7&gt;=Standards_Active!$C13,BK$7&lt;Standards_Active!$D13),BJ12-Standards_Active!$G13*INDEX($AQ$9:$BP$9,1,MATCH((Standards_Active!$C13-1),$AQ$7:$BP$7,FALSE)),IF(BK$7&gt;=Standards_Active!$D13,Standards_Active!$H13,CU12)),CU12)</f>
        <v>1</v>
      </c>
      <c r="BL12" s="622">
        <f>IF(ISNUMBER(Standards_Active!$F13),IF(AND(BL$7&gt;=Standards_Active!$C13,BL$7&lt;Standards_Active!$D13),BK12-Standards_Active!$G13*INDEX($AQ$9:$BP$9,1,MATCH((Standards_Active!$C13-1),$AQ$7:$BP$7,FALSE)),IF(BL$7&gt;=Standards_Active!$D13,Standards_Active!$H13,CV12)),CV12)</f>
        <v>1</v>
      </c>
      <c r="BM12" s="622">
        <f>IF(ISNUMBER(Standards_Active!$F13),IF(AND(BM$7&gt;=Standards_Active!$C13,BM$7&lt;Standards_Active!$D13),BL12-Standards_Active!$G13*INDEX($AQ$9:$BP$9,1,MATCH((Standards_Active!$C13-1),$AQ$7:$BP$7,FALSE)),IF(BM$7&gt;=Standards_Active!$D13,Standards_Active!$H13,CW12)),CW12)</f>
        <v>1</v>
      </c>
      <c r="BN12" s="622">
        <f>IF(ISNUMBER(Standards_Active!$F13),IF(AND(BN$7&gt;=Standards_Active!$C13,BN$7&lt;Standards_Active!$D13),BM12-Standards_Active!$G13*INDEX($AQ$9:$BP$9,1,MATCH((Standards_Active!$C13-1),$AQ$7:$BP$7,FALSE)),IF(BN$7&gt;=Standards_Active!$D13,Standards_Active!$H13,CX12)),CX12)</f>
        <v>1</v>
      </c>
      <c r="BO12" s="622">
        <f>IF(ISNUMBER(Standards_Active!$F13),IF(AND(BO$7&gt;=Standards_Active!$C13,BO$7&lt;Standards_Active!$D13),BN12-Standards_Active!$G13*INDEX($AQ$9:$BP$9,1,MATCH((Standards_Active!$C13-1),$AQ$7:$BP$7,FALSE)),IF(BO$7&gt;=Standards_Active!$D13,Standards_Active!$H13,CY12)),CY12)</f>
        <v>1</v>
      </c>
      <c r="BP12" s="622">
        <f>IF(ISNUMBER(Standards_Active!$F13),IF(AND(BP$7&gt;=Standards_Active!$C13,BP$7&lt;Standards_Active!$D13),BO12-Standards_Active!$G13*INDEX($AQ$9:$BP$9,1,MATCH((Standards_Active!$C13-1),$AQ$7:$BP$7,FALSE)),IF(BP$7&gt;=Standards_Active!$D13,Standards_Active!$H13,CZ12)),CZ12)</f>
        <v>1</v>
      </c>
      <c r="BQ12" s="380"/>
      <c r="BR12" s="424"/>
      <c r="BS12" s="424"/>
      <c r="BT12" s="424"/>
      <c r="BU12" s="424"/>
      <c r="BV12" s="424"/>
      <c r="BW12" s="424"/>
      <c r="BX12" s="424"/>
      <c r="BY12" s="424"/>
      <c r="BZ12" s="424"/>
      <c r="CA12" s="424">
        <v>1</v>
      </c>
      <c r="CB12" s="424">
        <v>1</v>
      </c>
      <c r="CC12" s="424">
        <v>1</v>
      </c>
      <c r="CD12" s="424">
        <v>1</v>
      </c>
      <c r="CE12" s="424">
        <v>1</v>
      </c>
      <c r="CF12" s="424">
        <v>1</v>
      </c>
      <c r="CG12" s="424">
        <v>1</v>
      </c>
      <c r="CH12" s="424">
        <v>1</v>
      </c>
      <c r="CI12" s="424">
        <v>1</v>
      </c>
      <c r="CJ12" s="424">
        <v>1</v>
      </c>
      <c r="CK12" s="424">
        <v>1</v>
      </c>
      <c r="CL12" s="424">
        <v>1</v>
      </c>
      <c r="CM12" s="424">
        <v>1</v>
      </c>
      <c r="CN12" s="424">
        <v>1</v>
      </c>
      <c r="CO12" s="424">
        <v>1</v>
      </c>
      <c r="CP12" s="424">
        <v>1</v>
      </c>
      <c r="CQ12" s="424">
        <v>1</v>
      </c>
      <c r="CR12" s="424">
        <v>1</v>
      </c>
      <c r="CS12" s="424">
        <v>1</v>
      </c>
      <c r="CT12" s="424">
        <v>1</v>
      </c>
      <c r="CU12" s="424">
        <v>1</v>
      </c>
      <c r="CV12" s="424">
        <v>1</v>
      </c>
      <c r="CW12" s="424">
        <v>1</v>
      </c>
      <c r="CX12" s="424">
        <v>1</v>
      </c>
      <c r="CY12" s="424">
        <v>1</v>
      </c>
      <c r="CZ12" s="424">
        <v>1</v>
      </c>
    </row>
    <row r="13" spans="1:104" s="81" customFormat="1" ht="12.6" x14ac:dyDescent="0.25">
      <c r="A13" s="252"/>
      <c r="B13" s="252"/>
      <c r="D13" s="380"/>
      <c r="E13" s="380"/>
      <c r="F13" s="380"/>
      <c r="G13" s="380"/>
      <c r="H13" s="380"/>
      <c r="I13" s="380"/>
      <c r="J13" s="380"/>
      <c r="K13" s="380"/>
      <c r="L13" s="380"/>
      <c r="M13" s="380"/>
      <c r="N13" s="380"/>
      <c r="O13" s="380"/>
      <c r="P13" s="380"/>
      <c r="Q13" s="380"/>
      <c r="R13" s="380"/>
      <c r="S13" s="380"/>
      <c r="T13" s="380"/>
      <c r="U13" s="380"/>
      <c r="V13" s="380"/>
      <c r="W13" s="380"/>
      <c r="X13" s="380"/>
      <c r="Y13" s="380"/>
      <c r="Z13" s="380"/>
      <c r="AA13" s="380"/>
      <c r="AB13" s="380"/>
      <c r="AC13" s="380"/>
      <c r="AD13" s="380"/>
      <c r="AE13" s="380"/>
      <c r="AF13" s="380"/>
      <c r="AH13" s="376"/>
      <c r="AI13" s="376"/>
      <c r="AJ13" s="376"/>
      <c r="AK13" s="376"/>
      <c r="AL13" s="376"/>
      <c r="AM13" s="376"/>
      <c r="AN13" s="376"/>
      <c r="AO13" s="376"/>
      <c r="AP13" s="376"/>
      <c r="AQ13" s="376"/>
      <c r="AR13" s="376"/>
      <c r="AS13" s="376"/>
      <c r="AT13" s="376"/>
      <c r="AU13" s="376"/>
      <c r="AV13" s="376"/>
      <c r="AW13" s="376"/>
      <c r="AX13" s="376"/>
      <c r="AY13" s="376"/>
      <c r="AZ13" s="376"/>
      <c r="BA13" s="376"/>
      <c r="BB13" s="376"/>
      <c r="BC13" s="376"/>
      <c r="BD13" s="376"/>
      <c r="BE13" s="376"/>
      <c r="BF13" s="376"/>
      <c r="BG13" s="376"/>
      <c r="BH13" s="376"/>
      <c r="BI13" s="376"/>
      <c r="BJ13" s="376"/>
      <c r="BK13" s="376"/>
      <c r="BL13" s="376"/>
      <c r="BM13" s="376"/>
      <c r="BN13" s="376"/>
      <c r="BO13" s="376"/>
      <c r="BP13" s="376"/>
      <c r="BQ13" s="380"/>
      <c r="BR13" s="376"/>
      <c r="BS13" s="376"/>
      <c r="BT13" s="376"/>
      <c r="BU13" s="376"/>
      <c r="BV13" s="376"/>
      <c r="BW13" s="376"/>
      <c r="BX13" s="376"/>
      <c r="BY13" s="376"/>
      <c r="BZ13" s="376"/>
      <c r="CA13" s="376"/>
      <c r="CB13" s="376"/>
      <c r="CC13" s="376"/>
      <c r="CD13" s="376"/>
      <c r="CE13" s="376"/>
      <c r="CF13" s="376"/>
      <c r="CG13" s="376"/>
      <c r="CH13" s="376"/>
      <c r="CI13" s="376"/>
      <c r="CJ13" s="376"/>
      <c r="CK13" s="376"/>
      <c r="CL13" s="376"/>
      <c r="CM13" s="376"/>
      <c r="CN13" s="376"/>
      <c r="CO13" s="376"/>
      <c r="CP13" s="376"/>
      <c r="CQ13" s="376"/>
      <c r="CR13" s="376"/>
      <c r="CS13" s="376"/>
      <c r="CT13" s="376"/>
      <c r="CU13" s="376"/>
      <c r="CV13" s="376"/>
      <c r="CW13" s="376"/>
      <c r="CX13" s="376"/>
      <c r="CY13" s="376"/>
      <c r="CZ13" s="376"/>
    </row>
    <row r="14" spans="1:104" s="81" customFormat="1" ht="12.95" x14ac:dyDescent="0.3">
      <c r="A14" s="254" t="s">
        <v>32</v>
      </c>
      <c r="B14" s="258"/>
      <c r="C14" s="258"/>
      <c r="D14" s="389"/>
      <c r="E14" s="389"/>
      <c r="F14" s="389"/>
      <c r="G14" s="389"/>
      <c r="H14" s="389"/>
      <c r="I14" s="389"/>
      <c r="J14" s="389"/>
      <c r="K14" s="389"/>
      <c r="L14" s="389"/>
      <c r="M14" s="389"/>
      <c r="N14" s="389"/>
      <c r="O14" s="389"/>
      <c r="P14" s="389"/>
      <c r="Q14" s="389"/>
      <c r="R14" s="389"/>
      <c r="S14" s="389"/>
      <c r="T14" s="389"/>
      <c r="U14" s="389"/>
      <c r="V14" s="389"/>
      <c r="W14" s="389"/>
      <c r="X14" s="389"/>
      <c r="Y14" s="389"/>
      <c r="Z14" s="389"/>
      <c r="AA14" s="389"/>
      <c r="AB14" s="389"/>
      <c r="AC14" s="389"/>
      <c r="AD14" s="389"/>
      <c r="AE14" s="389"/>
      <c r="AF14" s="389"/>
      <c r="AH14" s="389"/>
      <c r="AI14" s="389"/>
      <c r="AJ14" s="389"/>
      <c r="AK14" s="389"/>
      <c r="AL14" s="389"/>
      <c r="AM14" s="389"/>
      <c r="AN14" s="389"/>
      <c r="AO14" s="389"/>
      <c r="AP14" s="389"/>
      <c r="AQ14" s="389"/>
      <c r="AR14" s="389"/>
      <c r="AS14" s="389"/>
      <c r="AT14" s="389"/>
      <c r="AU14" s="389"/>
      <c r="AV14" s="389"/>
      <c r="AW14" s="389"/>
      <c r="AX14" s="389"/>
      <c r="AY14" s="389"/>
      <c r="AZ14" s="389"/>
      <c r="BA14" s="389"/>
      <c r="BB14" s="389"/>
      <c r="BC14" s="389"/>
      <c r="BD14" s="389"/>
      <c r="BE14" s="389"/>
      <c r="BF14" s="389"/>
      <c r="BG14" s="389"/>
      <c r="BH14" s="389"/>
      <c r="BI14" s="389"/>
      <c r="BJ14" s="389"/>
      <c r="BK14" s="389"/>
      <c r="BL14" s="389"/>
      <c r="BM14" s="389"/>
      <c r="BN14" s="389"/>
      <c r="BO14" s="389"/>
      <c r="BP14" s="389"/>
      <c r="BQ14" s="380"/>
      <c r="BR14" s="389"/>
      <c r="BS14" s="389"/>
      <c r="BT14" s="389"/>
      <c r="BU14" s="389"/>
      <c r="BV14" s="389"/>
      <c r="BW14" s="389"/>
      <c r="BX14" s="389"/>
      <c r="BY14" s="389"/>
      <c r="BZ14" s="389"/>
      <c r="CA14" s="389"/>
      <c r="CB14" s="389"/>
      <c r="CC14" s="389"/>
      <c r="CD14" s="389"/>
      <c r="CE14" s="389"/>
      <c r="CF14" s="389"/>
      <c r="CG14" s="389"/>
      <c r="CH14" s="389"/>
      <c r="CI14" s="389"/>
      <c r="CJ14" s="389"/>
      <c r="CK14" s="389"/>
      <c r="CL14" s="389"/>
      <c r="CM14" s="389"/>
      <c r="CN14" s="389"/>
      <c r="CO14" s="389"/>
      <c r="CP14" s="389"/>
      <c r="CQ14" s="389"/>
      <c r="CR14" s="389"/>
      <c r="CS14" s="389"/>
      <c r="CT14" s="389"/>
      <c r="CU14" s="389"/>
      <c r="CV14" s="389"/>
      <c r="CW14" s="389"/>
      <c r="CX14" s="389"/>
      <c r="CY14" s="389"/>
      <c r="CZ14" s="389"/>
    </row>
    <row r="15" spans="1:104" s="81" customFormat="1" ht="12.6" x14ac:dyDescent="0.25">
      <c r="A15" s="252"/>
      <c r="B15" s="252" t="s">
        <v>33</v>
      </c>
      <c r="D15" s="380"/>
      <c r="E15" s="380"/>
      <c r="F15" s="380"/>
      <c r="G15" s="370">
        <f>IF(Standards_Active!$E16="yes",Standards_Acceptance!AQ15,Standards_Acceptance!CA15)</f>
        <v>1</v>
      </c>
      <c r="H15" s="370">
        <f>IF(Standards_Active!$E16="yes",Standards_Acceptance!AR15,Standards_Acceptance!CB15)</f>
        <v>1</v>
      </c>
      <c r="I15" s="370">
        <f>IF(Standards_Active!$E16="yes",Standards_Acceptance!AS15,Standards_Acceptance!CC15)</f>
        <v>1</v>
      </c>
      <c r="J15" s="370">
        <f>IF(Standards_Active!$E16="yes",Standards_Acceptance!AT15,Standards_Acceptance!CD15)</f>
        <v>1</v>
      </c>
      <c r="K15" s="370">
        <f>IF(Standards_Active!$E16="yes",Standards_Acceptance!AU15,Standards_Acceptance!CE15)</f>
        <v>1</v>
      </c>
      <c r="L15" s="370">
        <f>IF(Standards_Active!$E16="yes",Standards_Acceptance!AV15,Standards_Acceptance!CF15)</f>
        <v>1</v>
      </c>
      <c r="M15" s="370">
        <f>IF(Standards_Active!$E16="yes",Standards_Acceptance!AW15,Standards_Acceptance!CG15)</f>
        <v>1</v>
      </c>
      <c r="N15" s="370">
        <f>IF(Standards_Active!$E16="yes",Standards_Acceptance!AX15,Standards_Acceptance!CH15)</f>
        <v>1</v>
      </c>
      <c r="O15" s="370">
        <f>IF(Standards_Active!$E16="yes",Standards_Acceptance!AY15,Standards_Acceptance!CI15)</f>
        <v>1</v>
      </c>
      <c r="P15" s="370">
        <f>IF(Standards_Active!$E16="yes",Standards_Acceptance!AZ15,Standards_Acceptance!CJ15)</f>
        <v>1</v>
      </c>
      <c r="Q15" s="370">
        <f>IF(Standards_Active!$E16="yes",Standards_Acceptance!BA15,Standards_Acceptance!CK15)</f>
        <v>1</v>
      </c>
      <c r="R15" s="370">
        <f>IF(Standards_Active!$E16="yes",Standards_Acceptance!BB15,Standards_Acceptance!CL15)</f>
        <v>1</v>
      </c>
      <c r="S15" s="370">
        <f>IF(Standards_Active!$E16="yes",Standards_Acceptance!BC15,Standards_Acceptance!CM15)</f>
        <v>1</v>
      </c>
      <c r="T15" s="370">
        <f>IF(Standards_Active!$E16="yes",Standards_Acceptance!BD15,Standards_Acceptance!CN15)</f>
        <v>1</v>
      </c>
      <c r="U15" s="370">
        <f>IF(Standards_Active!$E16="yes",Standards_Acceptance!BE15,Standards_Acceptance!CO15)</f>
        <v>1</v>
      </c>
      <c r="V15" s="370">
        <f>IF(Standards_Active!$E16="yes",Standards_Acceptance!BF15,Standards_Acceptance!CP15)</f>
        <v>1</v>
      </c>
      <c r="W15" s="370">
        <f>IF(Standards_Active!$E16="yes",Standards_Acceptance!BG15,Standards_Acceptance!CQ15)</f>
        <v>1</v>
      </c>
      <c r="X15" s="370">
        <f>IF(Standards_Active!$E16="yes",Standards_Acceptance!BH15,Standards_Acceptance!CR15)</f>
        <v>1</v>
      </c>
      <c r="Y15" s="370">
        <f>IF(Standards_Active!$E16="yes",Standards_Acceptance!BI15,Standards_Acceptance!CS15)</f>
        <v>1</v>
      </c>
      <c r="Z15" s="370">
        <f>IF(Standards_Active!$E16="yes",Standards_Acceptance!BJ15,Standards_Acceptance!CT15)</f>
        <v>1</v>
      </c>
      <c r="AA15" s="370">
        <f>IF(Standards_Active!$E16="yes",Standards_Acceptance!BK15,Standards_Acceptance!CU15)</f>
        <v>1</v>
      </c>
      <c r="AB15" s="370">
        <f>IF(Standards_Active!$E16="yes",Standards_Acceptance!BL15,Standards_Acceptance!CV15)</f>
        <v>1</v>
      </c>
      <c r="AC15" s="370">
        <f>IF(Standards_Active!$E16="yes",Standards_Acceptance!BM15,Standards_Acceptance!CW15)</f>
        <v>1</v>
      </c>
      <c r="AD15" s="370">
        <f>IF(Standards_Active!$E16="yes",Standards_Acceptance!BN15,Standards_Acceptance!CX15)</f>
        <v>1</v>
      </c>
      <c r="AE15" s="370">
        <f>IF(Standards_Active!$E16="yes",Standards_Acceptance!BO15,Standards_Acceptance!CY15)</f>
        <v>1</v>
      </c>
      <c r="AF15" s="370">
        <f>IF(Standards_Active!$E16="yes",Standards_Acceptance!BP15,Standards_Acceptance!CZ15)</f>
        <v>1</v>
      </c>
      <c r="AH15" s="376"/>
      <c r="AI15" s="376"/>
      <c r="AJ15" s="376"/>
      <c r="AK15" s="376"/>
      <c r="AL15" s="376"/>
      <c r="AM15" s="376"/>
      <c r="AN15" s="376"/>
      <c r="AO15" s="376"/>
      <c r="AP15" s="376"/>
      <c r="AQ15" s="622">
        <f>IF(ISNUMBER(Standards_Active!$F16),IF(AND(AQ$7&gt;=Standards_Active!$C16,AQ$7&lt;Standards_Active!$D16),AP15-Standards_Active!$G16*INDEX($AQ$9:$BP$9,1,MATCH((Standards_Active!$C16-1),$AQ$7:$BP$7,FALSE)),IF(AQ$7&gt;=Standards_Active!$D16,Standards_Active!$H16,CA15)),CA15)</f>
        <v>1</v>
      </c>
      <c r="AR15" s="622">
        <f>IF(ISNUMBER(Standards_Active!$F16),IF(AND(AR$7&gt;=Standards_Active!$C16,AR$7&lt;Standards_Active!$D16),AQ15-Standards_Active!$G16*INDEX($AQ$9:$BP$9,1,MATCH((Standards_Active!$C16-1),$AQ$7:$BP$7,FALSE)),IF(AR$7&gt;=Standards_Active!$D16,Standards_Active!$H16,CB15)),CB15)</f>
        <v>1</v>
      </c>
      <c r="AS15" s="622">
        <f>IF(ISNUMBER(Standards_Active!$F16),IF(AND(AS$7&gt;=Standards_Active!$C16,AS$7&lt;Standards_Active!$D16),AR15-Standards_Active!$G16*INDEX($AQ$9:$BP$9,1,MATCH((Standards_Active!$C16-1),$AQ$7:$BP$7,FALSE)),IF(AS$7&gt;=Standards_Active!$D16,Standards_Active!$H16,CC15)),CC15)</f>
        <v>1</v>
      </c>
      <c r="AT15" s="622">
        <f>IF(ISNUMBER(Standards_Active!$F16),IF(AND(AT$7&gt;=Standards_Active!$C16,AT$7&lt;Standards_Active!$D16),AS15-Standards_Active!$G16*INDEX($AQ$9:$BP$9,1,MATCH((Standards_Active!$C16-1),$AQ$7:$BP$7,FALSE)),IF(AT$7&gt;=Standards_Active!$D16,Standards_Active!$H16,CD15)),CD15)</f>
        <v>1</v>
      </c>
      <c r="AU15" s="622">
        <f>IF(ISNUMBER(Standards_Active!$F16),IF(AND(AU$7&gt;=Standards_Active!$C16,AU$7&lt;Standards_Active!$D16),AT15-Standards_Active!$G16*INDEX($AQ$9:$BP$9,1,MATCH((Standards_Active!$C16-1),$AQ$7:$BP$7,FALSE)),IF(AU$7&gt;=Standards_Active!$D16,Standards_Active!$H16,CE15)),CE15)</f>
        <v>1</v>
      </c>
      <c r="AV15" s="622">
        <f>IF(ISNUMBER(Standards_Active!$F16),IF(AND(AV$7&gt;=Standards_Active!$C16,AV$7&lt;Standards_Active!$D16),AU15-Standards_Active!$G16*INDEX($AQ$9:$BP$9,1,MATCH((Standards_Active!$C16-1),$AQ$7:$BP$7,FALSE)),IF(AV$7&gt;=Standards_Active!$D16,Standards_Active!$H16,CF15)),CF15)</f>
        <v>1</v>
      </c>
      <c r="AW15" s="622">
        <f>IF(ISNUMBER(Standards_Active!$F16),IF(AND(AW$7&gt;=Standards_Active!$C16,AW$7&lt;Standards_Active!$D16),AV15-Standards_Active!$G16*INDEX($AQ$9:$BP$9,1,MATCH((Standards_Active!$C16-1),$AQ$7:$BP$7,FALSE)),IF(AW$7&gt;=Standards_Active!$D16,Standards_Active!$H16,CG15)),CG15)</f>
        <v>1</v>
      </c>
      <c r="AX15" s="622">
        <f>IF(ISNUMBER(Standards_Active!$F16),IF(AND(AX$7&gt;=Standards_Active!$C16,AX$7&lt;Standards_Active!$D16),AW15-Standards_Active!$G16*INDEX($AQ$9:$BP$9,1,MATCH((Standards_Active!$C16-1),$AQ$7:$BP$7,FALSE)),IF(AX$7&gt;=Standards_Active!$D16,Standards_Active!$H16,CH15)),CH15)</f>
        <v>1</v>
      </c>
      <c r="AY15" s="622">
        <f>IF(ISNUMBER(Standards_Active!$F16),IF(AND(AY$7&gt;=Standards_Active!$C16,AY$7&lt;Standards_Active!$D16),AX15-Standards_Active!$G16*INDEX($AQ$9:$BP$9,1,MATCH((Standards_Active!$C16-1),$AQ$7:$BP$7,FALSE)),IF(AY$7&gt;=Standards_Active!$D16,Standards_Active!$H16,CI15)),CI15)</f>
        <v>1</v>
      </c>
      <c r="AZ15" s="622">
        <f>IF(ISNUMBER(Standards_Active!$F16),IF(AND(AZ$7&gt;=Standards_Active!$C16,AZ$7&lt;Standards_Active!$D16),AY15-Standards_Active!$G16*INDEX($AQ$9:$BP$9,1,MATCH((Standards_Active!$C16-1),$AQ$7:$BP$7,FALSE)),IF(AZ$7&gt;=Standards_Active!$D16,Standards_Active!$H16,CJ15)),CJ15)</f>
        <v>1</v>
      </c>
      <c r="BA15" s="622">
        <f>IF(ISNUMBER(Standards_Active!$F16),IF(AND(BA$7&gt;=Standards_Active!$C16,BA$7&lt;Standards_Active!$D16),AZ15-Standards_Active!$G16*INDEX($AQ$9:$BP$9,1,MATCH((Standards_Active!$C16-1),$AQ$7:$BP$7,FALSE)),IF(BA$7&gt;=Standards_Active!$D16,Standards_Active!$H16,CK15)),CK15)</f>
        <v>1</v>
      </c>
      <c r="BB15" s="622">
        <f>IF(ISNUMBER(Standards_Active!$F16),IF(AND(BB$7&gt;=Standards_Active!$C16,BB$7&lt;Standards_Active!$D16),BA15-Standards_Active!$G16*INDEX($AQ$9:$BP$9,1,MATCH((Standards_Active!$C16-1),$AQ$7:$BP$7,FALSE)),IF(BB$7&gt;=Standards_Active!$D16,Standards_Active!$H16,CL15)),CL15)</f>
        <v>1</v>
      </c>
      <c r="BC15" s="622">
        <f>IF(ISNUMBER(Standards_Active!$F16),IF(AND(BC$7&gt;=Standards_Active!$C16,BC$7&lt;Standards_Active!$D16),BB15-Standards_Active!$G16*INDEX($AQ$9:$BP$9,1,MATCH((Standards_Active!$C16-1),$AQ$7:$BP$7,FALSE)),IF(BC$7&gt;=Standards_Active!$D16,Standards_Active!$H16,CM15)),CM15)</f>
        <v>1</v>
      </c>
      <c r="BD15" s="622">
        <f>IF(ISNUMBER(Standards_Active!$F16),IF(AND(BD$7&gt;=Standards_Active!$C16,BD$7&lt;Standards_Active!$D16),BC15-Standards_Active!$G16*INDEX($AQ$9:$BP$9,1,MATCH((Standards_Active!$C16-1),$AQ$7:$BP$7,FALSE)),IF(BD$7&gt;=Standards_Active!$D16,Standards_Active!$H16,CN15)),CN15)</f>
        <v>1</v>
      </c>
      <c r="BE15" s="622">
        <f>IF(ISNUMBER(Standards_Active!$F16),IF(AND(BE$7&gt;=Standards_Active!$C16,BE$7&lt;Standards_Active!$D16),BD15-Standards_Active!$G16*INDEX($AQ$9:$BP$9,1,MATCH((Standards_Active!$C16-1),$AQ$7:$BP$7,FALSE)),IF(BE$7&gt;=Standards_Active!$D16,Standards_Active!$H16,CO15)),CO15)</f>
        <v>1</v>
      </c>
      <c r="BF15" s="622">
        <f>IF(ISNUMBER(Standards_Active!$F16),IF(AND(BF$7&gt;=Standards_Active!$C16,BF$7&lt;Standards_Active!$D16),BE15-Standards_Active!$G16*INDEX($AQ$9:$BP$9,1,MATCH((Standards_Active!$C16-1),$AQ$7:$BP$7,FALSE)),IF(BF$7&gt;=Standards_Active!$D16,Standards_Active!$H16,CP15)),CP15)</f>
        <v>1</v>
      </c>
      <c r="BG15" s="622">
        <f>IF(ISNUMBER(Standards_Active!$F16),IF(AND(BG$7&gt;=Standards_Active!$C16,BG$7&lt;Standards_Active!$D16),BF15-Standards_Active!$G16*INDEX($AQ$9:$BP$9,1,MATCH((Standards_Active!$C16-1),$AQ$7:$BP$7,FALSE)),IF(BG$7&gt;=Standards_Active!$D16,Standards_Active!$H16,CQ15)),CQ15)</f>
        <v>1</v>
      </c>
      <c r="BH15" s="622">
        <f>IF(ISNUMBER(Standards_Active!$F16),IF(AND(BH$7&gt;=Standards_Active!$C16,BH$7&lt;Standards_Active!$D16),BG15-Standards_Active!$G16*INDEX($AQ$9:$BP$9,1,MATCH((Standards_Active!$C16-1),$AQ$7:$BP$7,FALSE)),IF(BH$7&gt;=Standards_Active!$D16,Standards_Active!$H16,CR15)),CR15)</f>
        <v>1</v>
      </c>
      <c r="BI15" s="622">
        <f>IF(ISNUMBER(Standards_Active!$F16),IF(AND(BI$7&gt;=Standards_Active!$C16,BI$7&lt;Standards_Active!$D16),BH15-Standards_Active!$G16*INDEX($AQ$9:$BP$9,1,MATCH((Standards_Active!$C16-1),$AQ$7:$BP$7,FALSE)),IF(BI$7&gt;=Standards_Active!$D16,Standards_Active!$H16,CS15)),CS15)</f>
        <v>1</v>
      </c>
      <c r="BJ15" s="622">
        <f>IF(ISNUMBER(Standards_Active!$F16),IF(AND(BJ$7&gt;=Standards_Active!$C16,BJ$7&lt;Standards_Active!$D16),BI15-Standards_Active!$G16*INDEX($AQ$9:$BP$9,1,MATCH((Standards_Active!$C16-1),$AQ$7:$BP$7,FALSE)),IF(BJ$7&gt;=Standards_Active!$D16,Standards_Active!$H16,CT15)),CT15)</f>
        <v>1</v>
      </c>
      <c r="BK15" s="622">
        <f>IF(ISNUMBER(Standards_Active!$F16),IF(AND(BK$7&gt;=Standards_Active!$C16,BK$7&lt;Standards_Active!$D16),BJ15-Standards_Active!$G16*INDEX($AQ$9:$BP$9,1,MATCH((Standards_Active!$C16-1),$AQ$7:$BP$7,FALSE)),IF(BK$7&gt;=Standards_Active!$D16,Standards_Active!$H16,CU15)),CU15)</f>
        <v>1</v>
      </c>
      <c r="BL15" s="622">
        <f>IF(ISNUMBER(Standards_Active!$F16),IF(AND(BL$7&gt;=Standards_Active!$C16,BL$7&lt;Standards_Active!$D16),BK15-Standards_Active!$G16*INDEX($AQ$9:$BP$9,1,MATCH((Standards_Active!$C16-1),$AQ$7:$BP$7,FALSE)),IF(BL$7&gt;=Standards_Active!$D16,Standards_Active!$H16,CV15)),CV15)</f>
        <v>1</v>
      </c>
      <c r="BM15" s="622">
        <f>IF(ISNUMBER(Standards_Active!$F16),IF(AND(BM$7&gt;=Standards_Active!$C16,BM$7&lt;Standards_Active!$D16),BL15-Standards_Active!$G16*INDEX($AQ$9:$BP$9,1,MATCH((Standards_Active!$C16-1),$AQ$7:$BP$7,FALSE)),IF(BM$7&gt;=Standards_Active!$D16,Standards_Active!$H16,CW15)),CW15)</f>
        <v>1</v>
      </c>
      <c r="BN15" s="622">
        <f>IF(ISNUMBER(Standards_Active!$F16),IF(AND(BN$7&gt;=Standards_Active!$C16,BN$7&lt;Standards_Active!$D16),BM15-Standards_Active!$G16*INDEX($AQ$9:$BP$9,1,MATCH((Standards_Active!$C16-1),$AQ$7:$BP$7,FALSE)),IF(BN$7&gt;=Standards_Active!$D16,Standards_Active!$H16,CX15)),CX15)</f>
        <v>1</v>
      </c>
      <c r="BO15" s="622">
        <f>IF(ISNUMBER(Standards_Active!$F16),IF(AND(BO$7&gt;=Standards_Active!$C16,BO$7&lt;Standards_Active!$D16),BN15-Standards_Active!$G16*INDEX($AQ$9:$BP$9,1,MATCH((Standards_Active!$C16-1),$AQ$7:$BP$7,FALSE)),IF(BO$7&gt;=Standards_Active!$D16,Standards_Active!$H16,CY15)),CY15)</f>
        <v>1</v>
      </c>
      <c r="BP15" s="622">
        <f>IF(ISNUMBER(Standards_Active!$F16),IF(AND(BP$7&gt;=Standards_Active!$C16,BP$7&lt;Standards_Active!$D16),BO15-Standards_Active!$G16*INDEX($AQ$9:$BP$9,1,MATCH((Standards_Active!$C16-1),$AQ$7:$BP$7,FALSE)),IF(BP$7&gt;=Standards_Active!$D16,Standards_Active!$H16,CZ15)),CZ15)</f>
        <v>1</v>
      </c>
      <c r="BQ15" s="380"/>
      <c r="BR15" s="376"/>
      <c r="BS15" s="376"/>
      <c r="BT15" s="376"/>
      <c r="BU15" s="376"/>
      <c r="BV15" s="376"/>
      <c r="BW15" s="376"/>
      <c r="BX15" s="376"/>
      <c r="BY15" s="376"/>
      <c r="BZ15" s="376"/>
      <c r="CA15" s="424">
        <v>1</v>
      </c>
      <c r="CB15" s="424">
        <v>1</v>
      </c>
      <c r="CC15" s="424">
        <v>1</v>
      </c>
      <c r="CD15" s="424">
        <v>1</v>
      </c>
      <c r="CE15" s="424">
        <v>1</v>
      </c>
      <c r="CF15" s="424">
        <v>1</v>
      </c>
      <c r="CG15" s="424">
        <v>1</v>
      </c>
      <c r="CH15" s="424">
        <v>1</v>
      </c>
      <c r="CI15" s="424">
        <v>1</v>
      </c>
      <c r="CJ15" s="424">
        <v>1</v>
      </c>
      <c r="CK15" s="424">
        <v>1</v>
      </c>
      <c r="CL15" s="424">
        <v>1</v>
      </c>
      <c r="CM15" s="424">
        <v>1</v>
      </c>
      <c r="CN15" s="424">
        <v>1</v>
      </c>
      <c r="CO15" s="424">
        <v>1</v>
      </c>
      <c r="CP15" s="424">
        <v>1</v>
      </c>
      <c r="CQ15" s="424">
        <v>1</v>
      </c>
      <c r="CR15" s="424">
        <v>1</v>
      </c>
      <c r="CS15" s="424">
        <v>1</v>
      </c>
      <c r="CT15" s="424">
        <v>1</v>
      </c>
      <c r="CU15" s="424">
        <v>1</v>
      </c>
      <c r="CV15" s="424">
        <v>1</v>
      </c>
      <c r="CW15" s="424">
        <v>1</v>
      </c>
      <c r="CX15" s="424">
        <v>1</v>
      </c>
      <c r="CY15" s="424">
        <v>1</v>
      </c>
      <c r="CZ15" s="424">
        <v>1</v>
      </c>
    </row>
    <row r="16" spans="1:104" s="81" customFormat="1" ht="12.6" x14ac:dyDescent="0.25">
      <c r="A16" s="257"/>
      <c r="B16" s="257" t="s">
        <v>34</v>
      </c>
      <c r="D16" s="380"/>
      <c r="E16" s="380"/>
      <c r="F16" s="380"/>
      <c r="G16" s="370">
        <f>IF(Standards_Active!$E17="yes",Standards_Acceptance!AQ16,Standards_Acceptance!CA16)</f>
        <v>1</v>
      </c>
      <c r="H16" s="370">
        <f>IF(Standards_Active!$E17="yes",Standards_Acceptance!AR16,Standards_Acceptance!CB16)</f>
        <v>1</v>
      </c>
      <c r="I16" s="370">
        <f>IF(Standards_Active!$E17="yes",Standards_Acceptance!AS16,Standards_Acceptance!CC16)</f>
        <v>1</v>
      </c>
      <c r="J16" s="370">
        <f>IF(Standards_Active!$E17="yes",Standards_Acceptance!AT16,Standards_Acceptance!CD16)</f>
        <v>1</v>
      </c>
      <c r="K16" s="370">
        <f>IF(Standards_Active!$E17="yes",Standards_Acceptance!AU16,Standards_Acceptance!CE16)</f>
        <v>1</v>
      </c>
      <c r="L16" s="370">
        <f>IF(Standards_Active!$E17="yes",Standards_Acceptance!AV16,Standards_Acceptance!CF16)</f>
        <v>1</v>
      </c>
      <c r="M16" s="370">
        <f>IF(Standards_Active!$E17="yes",Standards_Acceptance!AW16,Standards_Acceptance!CG16)</f>
        <v>1</v>
      </c>
      <c r="N16" s="370">
        <f>IF(Standards_Active!$E17="yes",Standards_Acceptance!AX16,Standards_Acceptance!CH16)</f>
        <v>1</v>
      </c>
      <c r="O16" s="370">
        <f>IF(Standards_Active!$E17="yes",Standards_Acceptance!AY16,Standards_Acceptance!CI16)</f>
        <v>1</v>
      </c>
      <c r="P16" s="370">
        <f>IF(Standards_Active!$E17="yes",Standards_Acceptance!AZ16,Standards_Acceptance!CJ16)</f>
        <v>1</v>
      </c>
      <c r="Q16" s="370">
        <f>IF(Standards_Active!$E17="yes",Standards_Acceptance!BA16,Standards_Acceptance!CK16)</f>
        <v>1</v>
      </c>
      <c r="R16" s="370">
        <f>IF(Standards_Active!$E17="yes",Standards_Acceptance!BB16,Standards_Acceptance!CL16)</f>
        <v>1</v>
      </c>
      <c r="S16" s="370">
        <f>IF(Standards_Active!$E17="yes",Standards_Acceptance!BC16,Standards_Acceptance!CM16)</f>
        <v>1</v>
      </c>
      <c r="T16" s="370">
        <f>IF(Standards_Active!$E17="yes",Standards_Acceptance!BD16,Standards_Acceptance!CN16)</f>
        <v>1</v>
      </c>
      <c r="U16" s="370">
        <f>IF(Standards_Active!$E17="yes",Standards_Acceptance!BE16,Standards_Acceptance!CO16)</f>
        <v>1</v>
      </c>
      <c r="V16" s="370">
        <f>IF(Standards_Active!$E17="yes",Standards_Acceptance!BF16,Standards_Acceptance!CP16)</f>
        <v>1</v>
      </c>
      <c r="W16" s="370">
        <f>IF(Standards_Active!$E17="yes",Standards_Acceptance!BG16,Standards_Acceptance!CQ16)</f>
        <v>1</v>
      </c>
      <c r="X16" s="370">
        <f>IF(Standards_Active!$E17="yes",Standards_Acceptance!BH16,Standards_Acceptance!CR16)</f>
        <v>1</v>
      </c>
      <c r="Y16" s="370">
        <f>IF(Standards_Active!$E17="yes",Standards_Acceptance!BI16,Standards_Acceptance!CS16)</f>
        <v>1</v>
      </c>
      <c r="Z16" s="370">
        <f>IF(Standards_Active!$E17="yes",Standards_Acceptance!BJ16,Standards_Acceptance!CT16)</f>
        <v>1</v>
      </c>
      <c r="AA16" s="370">
        <f>IF(Standards_Active!$E17="yes",Standards_Acceptance!BK16,Standards_Acceptance!CU16)</f>
        <v>1</v>
      </c>
      <c r="AB16" s="370">
        <f>IF(Standards_Active!$E17="yes",Standards_Acceptance!BL16,Standards_Acceptance!CV16)</f>
        <v>1</v>
      </c>
      <c r="AC16" s="370">
        <f>IF(Standards_Active!$E17="yes",Standards_Acceptance!BM16,Standards_Acceptance!CW16)</f>
        <v>1</v>
      </c>
      <c r="AD16" s="370">
        <f>IF(Standards_Active!$E17="yes",Standards_Acceptance!BN16,Standards_Acceptance!CX16)</f>
        <v>1</v>
      </c>
      <c r="AE16" s="370">
        <f>IF(Standards_Active!$E17="yes",Standards_Acceptance!BO16,Standards_Acceptance!CY16)</f>
        <v>1</v>
      </c>
      <c r="AF16" s="370">
        <f>IF(Standards_Active!$E17="yes",Standards_Acceptance!BP16,Standards_Acceptance!CZ16)</f>
        <v>1</v>
      </c>
      <c r="AH16" s="376"/>
      <c r="AI16" s="376"/>
      <c r="AJ16" s="376"/>
      <c r="AK16" s="376"/>
      <c r="AL16" s="376"/>
      <c r="AM16" s="376"/>
      <c r="AN16" s="376"/>
      <c r="AO16" s="376"/>
      <c r="AP16" s="376"/>
      <c r="AQ16" s="622">
        <f>IF(ISNUMBER(Standards_Active!$F17),IF(AND(AQ$7&gt;=Standards_Active!$C17,AQ$7&lt;Standards_Active!$D17),AP16-Standards_Active!$G17*INDEX($AQ$9:$BP$9,1,MATCH((Standards_Active!$C17-1),$AQ$7:$BP$7,FALSE)),IF(AQ$7&gt;=Standards_Active!$D17,Standards_Active!$H17,CA16)),CA16)</f>
        <v>1</v>
      </c>
      <c r="AR16" s="622">
        <f>IF(ISNUMBER(Standards_Active!$F17),IF(AND(AR$7&gt;=Standards_Active!$C17,AR$7&lt;Standards_Active!$D17),AQ16-Standards_Active!$G17*INDEX($AQ$9:$BP$9,1,MATCH((Standards_Active!$C17-1),$AQ$7:$BP$7,FALSE)),IF(AR$7&gt;=Standards_Active!$D17,Standards_Active!$H17,CB16)),CB16)</f>
        <v>1</v>
      </c>
      <c r="AS16" s="622">
        <f>IF(ISNUMBER(Standards_Active!$F17),IF(AND(AS$7&gt;=Standards_Active!$C17,AS$7&lt;Standards_Active!$D17),AR16-Standards_Active!$G17*INDEX($AQ$9:$BP$9,1,MATCH((Standards_Active!$C17-1),$AQ$7:$BP$7,FALSE)),IF(AS$7&gt;=Standards_Active!$D17,Standards_Active!$H17,CC16)),CC16)</f>
        <v>1</v>
      </c>
      <c r="AT16" s="622">
        <f>IF(ISNUMBER(Standards_Active!$F17),IF(AND(AT$7&gt;=Standards_Active!$C17,AT$7&lt;Standards_Active!$D17),AS16-Standards_Active!$G17*INDEX($AQ$9:$BP$9,1,MATCH((Standards_Active!$C17-1),$AQ$7:$BP$7,FALSE)),IF(AT$7&gt;=Standards_Active!$D17,Standards_Active!$H17,CD16)),CD16)</f>
        <v>1</v>
      </c>
      <c r="AU16" s="622">
        <f>IF(ISNUMBER(Standards_Active!$F17),IF(AND(AU$7&gt;=Standards_Active!$C17,AU$7&lt;Standards_Active!$D17),AT16-Standards_Active!$G17*INDEX($AQ$9:$BP$9,1,MATCH((Standards_Active!$C17-1),$AQ$7:$BP$7,FALSE)),IF(AU$7&gt;=Standards_Active!$D17,Standards_Active!$H17,CE16)),CE16)</f>
        <v>1</v>
      </c>
      <c r="AV16" s="622">
        <f>IF(ISNUMBER(Standards_Active!$F17),IF(AND(AV$7&gt;=Standards_Active!$C17,AV$7&lt;Standards_Active!$D17),AU16-Standards_Active!$G17*INDEX($AQ$9:$BP$9,1,MATCH((Standards_Active!$C17-1),$AQ$7:$BP$7,FALSE)),IF(AV$7&gt;=Standards_Active!$D17,Standards_Active!$H17,CF16)),CF16)</f>
        <v>1</v>
      </c>
      <c r="AW16" s="622">
        <f>IF(ISNUMBER(Standards_Active!$F17),IF(AND(AW$7&gt;=Standards_Active!$C17,AW$7&lt;Standards_Active!$D17),AV16-Standards_Active!$G17*INDEX($AQ$9:$BP$9,1,MATCH((Standards_Active!$C17-1),$AQ$7:$BP$7,FALSE)),IF(AW$7&gt;=Standards_Active!$D17,Standards_Active!$H17,CG16)),CG16)</f>
        <v>1</v>
      </c>
      <c r="AX16" s="622">
        <f>IF(ISNUMBER(Standards_Active!$F17),IF(AND(AX$7&gt;=Standards_Active!$C17,AX$7&lt;Standards_Active!$D17),AW16-Standards_Active!$G17*INDEX($AQ$9:$BP$9,1,MATCH((Standards_Active!$C17-1),$AQ$7:$BP$7,FALSE)),IF(AX$7&gt;=Standards_Active!$D17,Standards_Active!$H17,CH16)),CH16)</f>
        <v>1</v>
      </c>
      <c r="AY16" s="622">
        <f>IF(ISNUMBER(Standards_Active!$F17),IF(AND(AY$7&gt;=Standards_Active!$C17,AY$7&lt;Standards_Active!$D17),AX16-Standards_Active!$G17*INDEX($AQ$9:$BP$9,1,MATCH((Standards_Active!$C17-1),$AQ$7:$BP$7,FALSE)),IF(AY$7&gt;=Standards_Active!$D17,Standards_Active!$H17,CI16)),CI16)</f>
        <v>1</v>
      </c>
      <c r="AZ16" s="622">
        <f>IF(ISNUMBER(Standards_Active!$F17),IF(AND(AZ$7&gt;=Standards_Active!$C17,AZ$7&lt;Standards_Active!$D17),AY16-Standards_Active!$G17*INDEX($AQ$9:$BP$9,1,MATCH((Standards_Active!$C17-1),$AQ$7:$BP$7,FALSE)),IF(AZ$7&gt;=Standards_Active!$D17,Standards_Active!$H17,CJ16)),CJ16)</f>
        <v>1</v>
      </c>
      <c r="BA16" s="622">
        <f>IF(ISNUMBER(Standards_Active!$F17),IF(AND(BA$7&gt;=Standards_Active!$C17,BA$7&lt;Standards_Active!$D17),AZ16-Standards_Active!$G17*INDEX($AQ$9:$BP$9,1,MATCH((Standards_Active!$C17-1),$AQ$7:$BP$7,FALSE)),IF(BA$7&gt;=Standards_Active!$D17,Standards_Active!$H17,CK16)),CK16)</f>
        <v>1</v>
      </c>
      <c r="BB16" s="622">
        <f>IF(ISNUMBER(Standards_Active!$F17),IF(AND(BB$7&gt;=Standards_Active!$C17,BB$7&lt;Standards_Active!$D17),BA16-Standards_Active!$G17*INDEX($AQ$9:$BP$9,1,MATCH((Standards_Active!$C17-1),$AQ$7:$BP$7,FALSE)),IF(BB$7&gt;=Standards_Active!$D17,Standards_Active!$H17,CL16)),CL16)</f>
        <v>1</v>
      </c>
      <c r="BC16" s="622">
        <f>IF(ISNUMBER(Standards_Active!$F17),IF(AND(BC$7&gt;=Standards_Active!$C17,BC$7&lt;Standards_Active!$D17),BB16-Standards_Active!$G17*INDEX($AQ$9:$BP$9,1,MATCH((Standards_Active!$C17-1),$AQ$7:$BP$7,FALSE)),IF(BC$7&gt;=Standards_Active!$D17,Standards_Active!$H17,CM16)),CM16)</f>
        <v>1</v>
      </c>
      <c r="BD16" s="622">
        <f>IF(ISNUMBER(Standards_Active!$F17),IF(AND(BD$7&gt;=Standards_Active!$C17,BD$7&lt;Standards_Active!$D17),BC16-Standards_Active!$G17*INDEX($AQ$9:$BP$9,1,MATCH((Standards_Active!$C17-1),$AQ$7:$BP$7,FALSE)),IF(BD$7&gt;=Standards_Active!$D17,Standards_Active!$H17,CN16)),CN16)</f>
        <v>1</v>
      </c>
      <c r="BE16" s="622">
        <f>IF(ISNUMBER(Standards_Active!$F17),IF(AND(BE$7&gt;=Standards_Active!$C17,BE$7&lt;Standards_Active!$D17),BD16-Standards_Active!$G17*INDEX($AQ$9:$BP$9,1,MATCH((Standards_Active!$C17-1),$AQ$7:$BP$7,FALSE)),IF(BE$7&gt;=Standards_Active!$D17,Standards_Active!$H17,CO16)),CO16)</f>
        <v>1</v>
      </c>
      <c r="BF16" s="622">
        <f>IF(ISNUMBER(Standards_Active!$F17),IF(AND(BF$7&gt;=Standards_Active!$C17,BF$7&lt;Standards_Active!$D17),BE16-Standards_Active!$G17*INDEX($AQ$9:$BP$9,1,MATCH((Standards_Active!$C17-1),$AQ$7:$BP$7,FALSE)),IF(BF$7&gt;=Standards_Active!$D17,Standards_Active!$H17,CP16)),CP16)</f>
        <v>1</v>
      </c>
      <c r="BG16" s="622">
        <f>IF(ISNUMBER(Standards_Active!$F17),IF(AND(BG$7&gt;=Standards_Active!$C17,BG$7&lt;Standards_Active!$D17),BF16-Standards_Active!$G17*INDEX($AQ$9:$BP$9,1,MATCH((Standards_Active!$C17-1),$AQ$7:$BP$7,FALSE)),IF(BG$7&gt;=Standards_Active!$D17,Standards_Active!$H17,CQ16)),CQ16)</f>
        <v>1</v>
      </c>
      <c r="BH16" s="622">
        <f>IF(ISNUMBER(Standards_Active!$F17),IF(AND(BH$7&gt;=Standards_Active!$C17,BH$7&lt;Standards_Active!$D17),BG16-Standards_Active!$G17*INDEX($AQ$9:$BP$9,1,MATCH((Standards_Active!$C17-1),$AQ$7:$BP$7,FALSE)),IF(BH$7&gt;=Standards_Active!$D17,Standards_Active!$H17,CR16)),CR16)</f>
        <v>1</v>
      </c>
      <c r="BI16" s="622">
        <f>IF(ISNUMBER(Standards_Active!$F17),IF(AND(BI$7&gt;=Standards_Active!$C17,BI$7&lt;Standards_Active!$D17),BH16-Standards_Active!$G17*INDEX($AQ$9:$BP$9,1,MATCH((Standards_Active!$C17-1),$AQ$7:$BP$7,FALSE)),IF(BI$7&gt;=Standards_Active!$D17,Standards_Active!$H17,CS16)),CS16)</f>
        <v>1</v>
      </c>
      <c r="BJ16" s="622">
        <f>IF(ISNUMBER(Standards_Active!$F17),IF(AND(BJ$7&gt;=Standards_Active!$C17,BJ$7&lt;Standards_Active!$D17),BI16-Standards_Active!$G17*INDEX($AQ$9:$BP$9,1,MATCH((Standards_Active!$C17-1),$AQ$7:$BP$7,FALSE)),IF(BJ$7&gt;=Standards_Active!$D17,Standards_Active!$H17,CT16)),CT16)</f>
        <v>1</v>
      </c>
      <c r="BK16" s="622">
        <f>IF(ISNUMBER(Standards_Active!$F17),IF(AND(BK$7&gt;=Standards_Active!$C17,BK$7&lt;Standards_Active!$D17),BJ16-Standards_Active!$G17*INDEX($AQ$9:$BP$9,1,MATCH((Standards_Active!$C17-1),$AQ$7:$BP$7,FALSE)),IF(BK$7&gt;=Standards_Active!$D17,Standards_Active!$H17,CU16)),CU16)</f>
        <v>1</v>
      </c>
      <c r="BL16" s="622">
        <f>IF(ISNUMBER(Standards_Active!$F17),IF(AND(BL$7&gt;=Standards_Active!$C17,BL$7&lt;Standards_Active!$D17),BK16-Standards_Active!$G17*INDEX($AQ$9:$BP$9,1,MATCH((Standards_Active!$C17-1),$AQ$7:$BP$7,FALSE)),IF(BL$7&gt;=Standards_Active!$D17,Standards_Active!$H17,CV16)),CV16)</f>
        <v>1</v>
      </c>
      <c r="BM16" s="622">
        <f>IF(ISNUMBER(Standards_Active!$F17),IF(AND(BM$7&gt;=Standards_Active!$C17,BM$7&lt;Standards_Active!$D17),BL16-Standards_Active!$G17*INDEX($AQ$9:$BP$9,1,MATCH((Standards_Active!$C17-1),$AQ$7:$BP$7,FALSE)),IF(BM$7&gt;=Standards_Active!$D17,Standards_Active!$H17,CW16)),CW16)</f>
        <v>1</v>
      </c>
      <c r="BN16" s="622">
        <f>IF(ISNUMBER(Standards_Active!$F17),IF(AND(BN$7&gt;=Standards_Active!$C17,BN$7&lt;Standards_Active!$D17),BM16-Standards_Active!$G17*INDEX($AQ$9:$BP$9,1,MATCH((Standards_Active!$C17-1),$AQ$7:$BP$7,FALSE)),IF(BN$7&gt;=Standards_Active!$D17,Standards_Active!$H17,CX16)),CX16)</f>
        <v>1</v>
      </c>
      <c r="BO16" s="622">
        <f>IF(ISNUMBER(Standards_Active!$F17),IF(AND(BO$7&gt;=Standards_Active!$C17,BO$7&lt;Standards_Active!$D17),BN16-Standards_Active!$G17*INDEX($AQ$9:$BP$9,1,MATCH((Standards_Active!$C17-1),$AQ$7:$BP$7,FALSE)),IF(BO$7&gt;=Standards_Active!$D17,Standards_Active!$H17,CY16)),CY16)</f>
        <v>1</v>
      </c>
      <c r="BP16" s="622">
        <f>IF(ISNUMBER(Standards_Active!$F17),IF(AND(BP$7&gt;=Standards_Active!$C17,BP$7&lt;Standards_Active!$D17),BO16-Standards_Active!$G17*INDEX($AQ$9:$BP$9,1,MATCH((Standards_Active!$C17-1),$AQ$7:$BP$7,FALSE)),IF(BP$7&gt;=Standards_Active!$D17,Standards_Active!$H17,CZ16)),CZ16)</f>
        <v>1</v>
      </c>
      <c r="BQ16" s="380"/>
      <c r="BR16" s="376"/>
      <c r="BS16" s="376"/>
      <c r="BT16" s="376"/>
      <c r="BU16" s="376"/>
      <c r="BV16" s="376"/>
      <c r="BW16" s="376"/>
      <c r="BX16" s="376"/>
      <c r="BY16" s="376"/>
      <c r="BZ16" s="376"/>
      <c r="CA16" s="424">
        <v>1</v>
      </c>
      <c r="CB16" s="424">
        <v>1</v>
      </c>
      <c r="CC16" s="424">
        <v>1</v>
      </c>
      <c r="CD16" s="424">
        <v>1</v>
      </c>
      <c r="CE16" s="424">
        <v>1</v>
      </c>
      <c r="CF16" s="424">
        <v>1</v>
      </c>
      <c r="CG16" s="424">
        <v>1</v>
      </c>
      <c r="CH16" s="424">
        <v>1</v>
      </c>
      <c r="CI16" s="424">
        <v>1</v>
      </c>
      <c r="CJ16" s="424">
        <v>1</v>
      </c>
      <c r="CK16" s="424">
        <v>1</v>
      </c>
      <c r="CL16" s="424">
        <v>1</v>
      </c>
      <c r="CM16" s="424">
        <v>1</v>
      </c>
      <c r="CN16" s="424">
        <v>1</v>
      </c>
      <c r="CO16" s="424">
        <v>1</v>
      </c>
      <c r="CP16" s="424">
        <v>1</v>
      </c>
      <c r="CQ16" s="424">
        <v>1</v>
      </c>
      <c r="CR16" s="424">
        <v>1</v>
      </c>
      <c r="CS16" s="424">
        <v>1</v>
      </c>
      <c r="CT16" s="424">
        <v>1</v>
      </c>
      <c r="CU16" s="424">
        <v>1</v>
      </c>
      <c r="CV16" s="424">
        <v>1</v>
      </c>
      <c r="CW16" s="424">
        <v>1</v>
      </c>
      <c r="CX16" s="424">
        <v>1</v>
      </c>
      <c r="CY16" s="424">
        <v>1</v>
      </c>
      <c r="CZ16" s="424">
        <v>1</v>
      </c>
    </row>
    <row r="17" spans="1:104" s="81" customFormat="1" ht="12.6" x14ac:dyDescent="0.25">
      <c r="A17" s="252"/>
      <c r="B17" s="257" t="s">
        <v>35</v>
      </c>
      <c r="D17" s="380"/>
      <c r="E17" s="380"/>
      <c r="F17" s="380"/>
      <c r="G17" s="370">
        <f>IF(Standards_Active!$E18="yes",Standards_Acceptance!AQ17,Standards_Acceptance!CA17)</f>
        <v>1</v>
      </c>
      <c r="H17" s="370">
        <f>IF(Standards_Active!$E18="yes",Standards_Acceptance!AR17,Standards_Acceptance!CB17)</f>
        <v>1</v>
      </c>
      <c r="I17" s="370">
        <f>IF(Standards_Active!$E18="yes",Standards_Acceptance!AS17,Standards_Acceptance!CC17)</f>
        <v>1</v>
      </c>
      <c r="J17" s="370">
        <f>IF(Standards_Active!$E18="yes",Standards_Acceptance!AT17,Standards_Acceptance!CD17)</f>
        <v>1</v>
      </c>
      <c r="K17" s="370">
        <f>IF(Standards_Active!$E18="yes",Standards_Acceptance!AU17,Standards_Acceptance!CE17)</f>
        <v>1</v>
      </c>
      <c r="L17" s="370">
        <f>IF(Standards_Active!$E18="yes",Standards_Acceptance!AV17,Standards_Acceptance!CF17)</f>
        <v>1</v>
      </c>
      <c r="M17" s="370">
        <f>IF(Standards_Active!$E18="yes",Standards_Acceptance!AW17,Standards_Acceptance!CG17)</f>
        <v>1</v>
      </c>
      <c r="N17" s="370">
        <f>IF(Standards_Active!$E18="yes",Standards_Acceptance!AX17,Standards_Acceptance!CH17)</f>
        <v>1</v>
      </c>
      <c r="O17" s="370">
        <f>IF(Standards_Active!$E18="yes",Standards_Acceptance!AY17,Standards_Acceptance!CI17)</f>
        <v>1</v>
      </c>
      <c r="P17" s="370">
        <f>IF(Standards_Active!$E18="yes",Standards_Acceptance!AZ17,Standards_Acceptance!CJ17)</f>
        <v>1</v>
      </c>
      <c r="Q17" s="370">
        <f>IF(Standards_Active!$E18="yes",Standards_Acceptance!BA17,Standards_Acceptance!CK17)</f>
        <v>1</v>
      </c>
      <c r="R17" s="370">
        <f>IF(Standards_Active!$E18="yes",Standards_Acceptance!BB17,Standards_Acceptance!CL17)</f>
        <v>1</v>
      </c>
      <c r="S17" s="370">
        <f>IF(Standards_Active!$E18="yes",Standards_Acceptance!BC17,Standards_Acceptance!CM17)</f>
        <v>1</v>
      </c>
      <c r="T17" s="370">
        <f>IF(Standards_Active!$E18="yes",Standards_Acceptance!BD17,Standards_Acceptance!CN17)</f>
        <v>1</v>
      </c>
      <c r="U17" s="370">
        <f>IF(Standards_Active!$E18="yes",Standards_Acceptance!BE17,Standards_Acceptance!CO17)</f>
        <v>1</v>
      </c>
      <c r="V17" s="370">
        <f>IF(Standards_Active!$E18="yes",Standards_Acceptance!BF17,Standards_Acceptance!CP17)</f>
        <v>1</v>
      </c>
      <c r="W17" s="370">
        <f>IF(Standards_Active!$E18="yes",Standards_Acceptance!BG17,Standards_Acceptance!CQ17)</f>
        <v>1</v>
      </c>
      <c r="X17" s="370">
        <f>IF(Standards_Active!$E18="yes",Standards_Acceptance!BH17,Standards_Acceptance!CR17)</f>
        <v>1</v>
      </c>
      <c r="Y17" s="370">
        <f>IF(Standards_Active!$E18="yes",Standards_Acceptance!BI17,Standards_Acceptance!CS17)</f>
        <v>1</v>
      </c>
      <c r="Z17" s="370">
        <f>IF(Standards_Active!$E18="yes",Standards_Acceptance!BJ17,Standards_Acceptance!CT17)</f>
        <v>1</v>
      </c>
      <c r="AA17" s="370">
        <f>IF(Standards_Active!$E18="yes",Standards_Acceptance!BK17,Standards_Acceptance!CU17)</f>
        <v>1</v>
      </c>
      <c r="AB17" s="370">
        <f>IF(Standards_Active!$E18="yes",Standards_Acceptance!BL17,Standards_Acceptance!CV17)</f>
        <v>1</v>
      </c>
      <c r="AC17" s="370">
        <f>IF(Standards_Active!$E18="yes",Standards_Acceptance!BM17,Standards_Acceptance!CW17)</f>
        <v>1</v>
      </c>
      <c r="AD17" s="370">
        <f>IF(Standards_Active!$E18="yes",Standards_Acceptance!BN17,Standards_Acceptance!CX17)</f>
        <v>1</v>
      </c>
      <c r="AE17" s="370">
        <f>IF(Standards_Active!$E18="yes",Standards_Acceptance!BO17,Standards_Acceptance!CY17)</f>
        <v>1</v>
      </c>
      <c r="AF17" s="370">
        <f>IF(Standards_Active!$E18="yes",Standards_Acceptance!BP17,Standards_Acceptance!CZ17)</f>
        <v>1</v>
      </c>
      <c r="AH17" s="376"/>
      <c r="AI17" s="376"/>
      <c r="AJ17" s="376"/>
      <c r="AK17" s="376"/>
      <c r="AL17" s="376"/>
      <c r="AM17" s="376"/>
      <c r="AN17" s="376"/>
      <c r="AO17" s="376"/>
      <c r="AP17" s="376"/>
      <c r="AQ17" s="622">
        <f>IF(ISNUMBER(Standards_Active!$F18),IF(AND(AQ$7&gt;=Standards_Active!$C18,AQ$7&lt;Standards_Active!$D18),AP17-Standards_Active!$G18*INDEX($AQ$9:$BP$9,1,MATCH((Standards_Active!$C18-1),$AQ$7:$BP$7,FALSE)),IF(AQ$7&gt;=Standards_Active!$D18,Standards_Active!$H18,CA17)),CA17)</f>
        <v>1</v>
      </c>
      <c r="AR17" s="622">
        <f>IF(ISNUMBER(Standards_Active!$F18),IF(AND(AR$7&gt;=Standards_Active!$C18,AR$7&lt;Standards_Active!$D18),AQ17-Standards_Active!$G18*INDEX($AQ$9:$BP$9,1,MATCH((Standards_Active!$C18-1),$AQ$7:$BP$7,FALSE)),IF(AR$7&gt;=Standards_Active!$D18,Standards_Active!$H18,CB17)),CB17)</f>
        <v>1</v>
      </c>
      <c r="AS17" s="622">
        <f>IF(ISNUMBER(Standards_Active!$F18),IF(AND(AS$7&gt;=Standards_Active!$C18,AS$7&lt;Standards_Active!$D18),AR17-Standards_Active!$G18*INDEX($AQ$9:$BP$9,1,MATCH((Standards_Active!$C18-1),$AQ$7:$BP$7,FALSE)),IF(AS$7&gt;=Standards_Active!$D18,Standards_Active!$H18,CC17)),CC17)</f>
        <v>1</v>
      </c>
      <c r="AT17" s="622">
        <f>IF(ISNUMBER(Standards_Active!$F18),IF(AND(AT$7&gt;=Standards_Active!$C18,AT$7&lt;Standards_Active!$D18),AS17-Standards_Active!$G18*INDEX($AQ$9:$BP$9,1,MATCH((Standards_Active!$C18-1),$AQ$7:$BP$7,FALSE)),IF(AT$7&gt;=Standards_Active!$D18,Standards_Active!$H18,CD17)),CD17)</f>
        <v>1</v>
      </c>
      <c r="AU17" s="622">
        <f>IF(ISNUMBER(Standards_Active!$F18),IF(AND(AU$7&gt;=Standards_Active!$C18,AU$7&lt;Standards_Active!$D18),AT17-Standards_Active!$G18*INDEX($AQ$9:$BP$9,1,MATCH((Standards_Active!$C18-1),$AQ$7:$BP$7,FALSE)),IF(AU$7&gt;=Standards_Active!$D18,Standards_Active!$H18,CE17)),CE17)</f>
        <v>1</v>
      </c>
      <c r="AV17" s="622">
        <f>IF(ISNUMBER(Standards_Active!$F18),IF(AND(AV$7&gt;=Standards_Active!$C18,AV$7&lt;Standards_Active!$D18),AU17-Standards_Active!$G18*INDEX($AQ$9:$BP$9,1,MATCH((Standards_Active!$C18-1),$AQ$7:$BP$7,FALSE)),IF(AV$7&gt;=Standards_Active!$D18,Standards_Active!$H18,CF17)),CF17)</f>
        <v>1</v>
      </c>
      <c r="AW17" s="622">
        <f>IF(ISNUMBER(Standards_Active!$F18),IF(AND(AW$7&gt;=Standards_Active!$C18,AW$7&lt;Standards_Active!$D18),AV17-Standards_Active!$G18*INDEX($AQ$9:$BP$9,1,MATCH((Standards_Active!$C18-1),$AQ$7:$BP$7,FALSE)),IF(AW$7&gt;=Standards_Active!$D18,Standards_Active!$H18,CG17)),CG17)</f>
        <v>1</v>
      </c>
      <c r="AX17" s="622">
        <f>IF(ISNUMBER(Standards_Active!$F18),IF(AND(AX$7&gt;=Standards_Active!$C18,AX$7&lt;Standards_Active!$D18),AW17-Standards_Active!$G18*INDEX($AQ$9:$BP$9,1,MATCH((Standards_Active!$C18-1),$AQ$7:$BP$7,FALSE)),IF(AX$7&gt;=Standards_Active!$D18,Standards_Active!$H18,CH17)),CH17)</f>
        <v>1</v>
      </c>
      <c r="AY17" s="622">
        <f>IF(ISNUMBER(Standards_Active!$F18),IF(AND(AY$7&gt;=Standards_Active!$C18,AY$7&lt;Standards_Active!$D18),AX17-Standards_Active!$G18*INDEX($AQ$9:$BP$9,1,MATCH((Standards_Active!$C18-1),$AQ$7:$BP$7,FALSE)),IF(AY$7&gt;=Standards_Active!$D18,Standards_Active!$H18,CI17)),CI17)</f>
        <v>1</v>
      </c>
      <c r="AZ17" s="622">
        <f>IF(ISNUMBER(Standards_Active!$F18),IF(AND(AZ$7&gt;=Standards_Active!$C18,AZ$7&lt;Standards_Active!$D18),AY17-Standards_Active!$G18*INDEX($AQ$9:$BP$9,1,MATCH((Standards_Active!$C18-1),$AQ$7:$BP$7,FALSE)),IF(AZ$7&gt;=Standards_Active!$D18,Standards_Active!$H18,CJ17)),CJ17)</f>
        <v>1</v>
      </c>
      <c r="BA17" s="622">
        <f>IF(ISNUMBER(Standards_Active!$F18),IF(AND(BA$7&gt;=Standards_Active!$C18,BA$7&lt;Standards_Active!$D18),AZ17-Standards_Active!$G18*INDEX($AQ$9:$BP$9,1,MATCH((Standards_Active!$C18-1),$AQ$7:$BP$7,FALSE)),IF(BA$7&gt;=Standards_Active!$D18,Standards_Active!$H18,CK17)),CK17)</f>
        <v>1</v>
      </c>
      <c r="BB17" s="622">
        <f>IF(ISNUMBER(Standards_Active!$F18),IF(AND(BB$7&gt;=Standards_Active!$C18,BB$7&lt;Standards_Active!$D18),BA17-Standards_Active!$G18*INDEX($AQ$9:$BP$9,1,MATCH((Standards_Active!$C18-1),$AQ$7:$BP$7,FALSE)),IF(BB$7&gt;=Standards_Active!$D18,Standards_Active!$H18,CL17)),CL17)</f>
        <v>1</v>
      </c>
      <c r="BC17" s="622">
        <f>IF(ISNUMBER(Standards_Active!$F18),IF(AND(BC$7&gt;=Standards_Active!$C18,BC$7&lt;Standards_Active!$D18),BB17-Standards_Active!$G18*INDEX($AQ$9:$BP$9,1,MATCH((Standards_Active!$C18-1),$AQ$7:$BP$7,FALSE)),IF(BC$7&gt;=Standards_Active!$D18,Standards_Active!$H18,CM17)),CM17)</f>
        <v>1</v>
      </c>
      <c r="BD17" s="622">
        <f>IF(ISNUMBER(Standards_Active!$F18),IF(AND(BD$7&gt;=Standards_Active!$C18,BD$7&lt;Standards_Active!$D18),BC17-Standards_Active!$G18*INDEX($AQ$9:$BP$9,1,MATCH((Standards_Active!$C18-1),$AQ$7:$BP$7,FALSE)),IF(BD$7&gt;=Standards_Active!$D18,Standards_Active!$H18,CN17)),CN17)</f>
        <v>1</v>
      </c>
      <c r="BE17" s="622">
        <f>IF(ISNUMBER(Standards_Active!$F18),IF(AND(BE$7&gt;=Standards_Active!$C18,BE$7&lt;Standards_Active!$D18),BD17-Standards_Active!$G18*INDEX($AQ$9:$BP$9,1,MATCH((Standards_Active!$C18-1),$AQ$7:$BP$7,FALSE)),IF(BE$7&gt;=Standards_Active!$D18,Standards_Active!$H18,CO17)),CO17)</f>
        <v>1</v>
      </c>
      <c r="BF17" s="622">
        <f>IF(ISNUMBER(Standards_Active!$F18),IF(AND(BF$7&gt;=Standards_Active!$C18,BF$7&lt;Standards_Active!$D18),BE17-Standards_Active!$G18*INDEX($AQ$9:$BP$9,1,MATCH((Standards_Active!$C18-1),$AQ$7:$BP$7,FALSE)),IF(BF$7&gt;=Standards_Active!$D18,Standards_Active!$H18,CP17)),CP17)</f>
        <v>1</v>
      </c>
      <c r="BG17" s="622">
        <f>IF(ISNUMBER(Standards_Active!$F18),IF(AND(BG$7&gt;=Standards_Active!$C18,BG$7&lt;Standards_Active!$D18),BF17-Standards_Active!$G18*INDEX($AQ$9:$BP$9,1,MATCH((Standards_Active!$C18-1),$AQ$7:$BP$7,FALSE)),IF(BG$7&gt;=Standards_Active!$D18,Standards_Active!$H18,CQ17)),CQ17)</f>
        <v>1</v>
      </c>
      <c r="BH17" s="622">
        <f>IF(ISNUMBER(Standards_Active!$F18),IF(AND(BH$7&gt;=Standards_Active!$C18,BH$7&lt;Standards_Active!$D18),BG17-Standards_Active!$G18*INDEX($AQ$9:$BP$9,1,MATCH((Standards_Active!$C18-1),$AQ$7:$BP$7,FALSE)),IF(BH$7&gt;=Standards_Active!$D18,Standards_Active!$H18,CR17)),CR17)</f>
        <v>1</v>
      </c>
      <c r="BI17" s="622">
        <f>IF(ISNUMBER(Standards_Active!$F18),IF(AND(BI$7&gt;=Standards_Active!$C18,BI$7&lt;Standards_Active!$D18),BH17-Standards_Active!$G18*INDEX($AQ$9:$BP$9,1,MATCH((Standards_Active!$C18-1),$AQ$7:$BP$7,FALSE)),IF(BI$7&gt;=Standards_Active!$D18,Standards_Active!$H18,CS17)),CS17)</f>
        <v>1</v>
      </c>
      <c r="BJ17" s="622">
        <f>IF(ISNUMBER(Standards_Active!$F18),IF(AND(BJ$7&gt;=Standards_Active!$C18,BJ$7&lt;Standards_Active!$D18),BI17-Standards_Active!$G18*INDEX($AQ$9:$BP$9,1,MATCH((Standards_Active!$C18-1),$AQ$7:$BP$7,FALSE)),IF(BJ$7&gt;=Standards_Active!$D18,Standards_Active!$H18,CT17)),CT17)</f>
        <v>1</v>
      </c>
      <c r="BK17" s="622">
        <f>IF(ISNUMBER(Standards_Active!$F18),IF(AND(BK$7&gt;=Standards_Active!$C18,BK$7&lt;Standards_Active!$D18),BJ17-Standards_Active!$G18*INDEX($AQ$9:$BP$9,1,MATCH((Standards_Active!$C18-1),$AQ$7:$BP$7,FALSE)),IF(BK$7&gt;=Standards_Active!$D18,Standards_Active!$H18,CU17)),CU17)</f>
        <v>1</v>
      </c>
      <c r="BL17" s="622">
        <f>IF(ISNUMBER(Standards_Active!$F18),IF(AND(BL$7&gt;=Standards_Active!$C18,BL$7&lt;Standards_Active!$D18),BK17-Standards_Active!$G18*INDEX($AQ$9:$BP$9,1,MATCH((Standards_Active!$C18-1),$AQ$7:$BP$7,FALSE)),IF(BL$7&gt;=Standards_Active!$D18,Standards_Active!$H18,CV17)),CV17)</f>
        <v>1</v>
      </c>
      <c r="BM17" s="622">
        <f>IF(ISNUMBER(Standards_Active!$F18),IF(AND(BM$7&gt;=Standards_Active!$C18,BM$7&lt;Standards_Active!$D18),BL17-Standards_Active!$G18*INDEX($AQ$9:$BP$9,1,MATCH((Standards_Active!$C18-1),$AQ$7:$BP$7,FALSE)),IF(BM$7&gt;=Standards_Active!$D18,Standards_Active!$H18,CW17)),CW17)</f>
        <v>1</v>
      </c>
      <c r="BN17" s="622">
        <f>IF(ISNUMBER(Standards_Active!$F18),IF(AND(BN$7&gt;=Standards_Active!$C18,BN$7&lt;Standards_Active!$D18),BM17-Standards_Active!$G18*INDEX($AQ$9:$BP$9,1,MATCH((Standards_Active!$C18-1),$AQ$7:$BP$7,FALSE)),IF(BN$7&gt;=Standards_Active!$D18,Standards_Active!$H18,CX17)),CX17)</f>
        <v>1</v>
      </c>
      <c r="BO17" s="622">
        <f>IF(ISNUMBER(Standards_Active!$F18),IF(AND(BO$7&gt;=Standards_Active!$C18,BO$7&lt;Standards_Active!$D18),BN17-Standards_Active!$G18*INDEX($AQ$9:$BP$9,1,MATCH((Standards_Active!$C18-1),$AQ$7:$BP$7,FALSE)),IF(BO$7&gt;=Standards_Active!$D18,Standards_Active!$H18,CY17)),CY17)</f>
        <v>1</v>
      </c>
      <c r="BP17" s="622">
        <f>IF(ISNUMBER(Standards_Active!$F18),IF(AND(BP$7&gt;=Standards_Active!$C18,BP$7&lt;Standards_Active!$D18),BO17-Standards_Active!$G18*INDEX($AQ$9:$BP$9,1,MATCH((Standards_Active!$C18-1),$AQ$7:$BP$7,FALSE)),IF(BP$7&gt;=Standards_Active!$D18,Standards_Active!$H18,CZ17)),CZ17)</f>
        <v>1</v>
      </c>
      <c r="BQ17" s="380"/>
      <c r="BR17" s="376"/>
      <c r="BS17" s="376"/>
      <c r="BT17" s="376"/>
      <c r="BU17" s="376"/>
      <c r="BV17" s="376"/>
      <c r="BW17" s="376"/>
      <c r="BX17" s="376"/>
      <c r="BY17" s="376"/>
      <c r="BZ17" s="376"/>
      <c r="CA17" s="424">
        <v>1</v>
      </c>
      <c r="CB17" s="424">
        <v>1</v>
      </c>
      <c r="CC17" s="424">
        <v>1</v>
      </c>
      <c r="CD17" s="424">
        <v>1</v>
      </c>
      <c r="CE17" s="424">
        <v>1</v>
      </c>
      <c r="CF17" s="424">
        <v>1</v>
      </c>
      <c r="CG17" s="424">
        <v>1</v>
      </c>
      <c r="CH17" s="424">
        <v>1</v>
      </c>
      <c r="CI17" s="424">
        <v>1</v>
      </c>
      <c r="CJ17" s="424">
        <v>1</v>
      </c>
      <c r="CK17" s="424">
        <v>1</v>
      </c>
      <c r="CL17" s="424">
        <v>1</v>
      </c>
      <c r="CM17" s="424">
        <v>1</v>
      </c>
      <c r="CN17" s="424">
        <v>1</v>
      </c>
      <c r="CO17" s="424">
        <v>1</v>
      </c>
      <c r="CP17" s="424">
        <v>1</v>
      </c>
      <c r="CQ17" s="424">
        <v>1</v>
      </c>
      <c r="CR17" s="424">
        <v>1</v>
      </c>
      <c r="CS17" s="424">
        <v>1</v>
      </c>
      <c r="CT17" s="424">
        <v>1</v>
      </c>
      <c r="CU17" s="424">
        <v>1</v>
      </c>
      <c r="CV17" s="424">
        <v>1</v>
      </c>
      <c r="CW17" s="424">
        <v>1</v>
      </c>
      <c r="CX17" s="424">
        <v>1</v>
      </c>
      <c r="CY17" s="424">
        <v>1</v>
      </c>
      <c r="CZ17" s="424">
        <v>1</v>
      </c>
    </row>
    <row r="18" spans="1:104" s="81" customFormat="1" ht="12.6" x14ac:dyDescent="0.25">
      <c r="A18" s="252"/>
      <c r="B18" s="257" t="s">
        <v>29</v>
      </c>
      <c r="D18" s="380"/>
      <c r="E18" s="380"/>
      <c r="F18" s="380"/>
      <c r="G18" s="370">
        <f>IF(Standards_Active!$E19="yes",Standards_Acceptance!AQ18,Standards_Acceptance!CA18)</f>
        <v>1</v>
      </c>
      <c r="H18" s="370">
        <f>IF(Standards_Active!$E19="yes",Standards_Acceptance!AR18,Standards_Acceptance!CB18)</f>
        <v>1</v>
      </c>
      <c r="I18" s="370">
        <f>IF(Standards_Active!$E19="yes",Standards_Acceptance!AS18,Standards_Acceptance!CC18)</f>
        <v>1</v>
      </c>
      <c r="J18" s="370">
        <f>IF(Standards_Active!$E19="yes",Standards_Acceptance!AT18,Standards_Acceptance!CD18)</f>
        <v>1</v>
      </c>
      <c r="K18" s="370">
        <f>IF(Standards_Active!$E19="yes",Standards_Acceptance!AU18,Standards_Acceptance!CE18)</f>
        <v>1</v>
      </c>
      <c r="L18" s="370">
        <f>IF(Standards_Active!$E19="yes",Standards_Acceptance!AV18,Standards_Acceptance!CF18)</f>
        <v>1</v>
      </c>
      <c r="M18" s="370">
        <f>IF(Standards_Active!$E19="yes",Standards_Acceptance!AW18,Standards_Acceptance!CG18)</f>
        <v>1</v>
      </c>
      <c r="N18" s="370">
        <f>IF(Standards_Active!$E19="yes",Standards_Acceptance!AX18,Standards_Acceptance!CH18)</f>
        <v>1</v>
      </c>
      <c r="O18" s="370">
        <f>IF(Standards_Active!$E19="yes",Standards_Acceptance!AY18,Standards_Acceptance!CI18)</f>
        <v>1</v>
      </c>
      <c r="P18" s="370">
        <f>IF(Standards_Active!$E19="yes",Standards_Acceptance!AZ18,Standards_Acceptance!CJ18)</f>
        <v>1</v>
      </c>
      <c r="Q18" s="370">
        <f>IF(Standards_Active!$E19="yes",Standards_Acceptance!BA18,Standards_Acceptance!CK18)</f>
        <v>1</v>
      </c>
      <c r="R18" s="370">
        <f>IF(Standards_Active!$E19="yes",Standards_Acceptance!BB18,Standards_Acceptance!CL18)</f>
        <v>1</v>
      </c>
      <c r="S18" s="370">
        <f>IF(Standards_Active!$E19="yes",Standards_Acceptance!BC18,Standards_Acceptance!CM18)</f>
        <v>1</v>
      </c>
      <c r="T18" s="370">
        <f>IF(Standards_Active!$E19="yes",Standards_Acceptance!BD18,Standards_Acceptance!CN18)</f>
        <v>1</v>
      </c>
      <c r="U18" s="370">
        <f>IF(Standards_Active!$E19="yes",Standards_Acceptance!BE18,Standards_Acceptance!CO18)</f>
        <v>1</v>
      </c>
      <c r="V18" s="370">
        <f>IF(Standards_Active!$E19="yes",Standards_Acceptance!BF18,Standards_Acceptance!CP18)</f>
        <v>1</v>
      </c>
      <c r="W18" s="370">
        <f>IF(Standards_Active!$E19="yes",Standards_Acceptance!BG18,Standards_Acceptance!CQ18)</f>
        <v>1</v>
      </c>
      <c r="X18" s="370">
        <f>IF(Standards_Active!$E19="yes",Standards_Acceptance!BH18,Standards_Acceptance!CR18)</f>
        <v>1</v>
      </c>
      <c r="Y18" s="370">
        <f>IF(Standards_Active!$E19="yes",Standards_Acceptance!BI18,Standards_Acceptance!CS18)</f>
        <v>1</v>
      </c>
      <c r="Z18" s="370">
        <f>IF(Standards_Active!$E19="yes",Standards_Acceptance!BJ18,Standards_Acceptance!CT18)</f>
        <v>1</v>
      </c>
      <c r="AA18" s="370">
        <f>IF(Standards_Active!$E19="yes",Standards_Acceptance!BK18,Standards_Acceptance!CU18)</f>
        <v>1</v>
      </c>
      <c r="AB18" s="370">
        <f>IF(Standards_Active!$E19="yes",Standards_Acceptance!BL18,Standards_Acceptance!CV18)</f>
        <v>1</v>
      </c>
      <c r="AC18" s="370">
        <f>IF(Standards_Active!$E19="yes",Standards_Acceptance!BM18,Standards_Acceptance!CW18)</f>
        <v>1</v>
      </c>
      <c r="AD18" s="370">
        <f>IF(Standards_Active!$E19="yes",Standards_Acceptance!BN18,Standards_Acceptance!CX18)</f>
        <v>1</v>
      </c>
      <c r="AE18" s="370">
        <f>IF(Standards_Active!$E19="yes",Standards_Acceptance!BO18,Standards_Acceptance!CY18)</f>
        <v>1</v>
      </c>
      <c r="AF18" s="370">
        <f>IF(Standards_Active!$E19="yes",Standards_Acceptance!BP18,Standards_Acceptance!CZ18)</f>
        <v>1</v>
      </c>
      <c r="AH18" s="376"/>
      <c r="AI18" s="376"/>
      <c r="AJ18" s="376"/>
      <c r="AK18" s="376"/>
      <c r="AL18" s="376"/>
      <c r="AM18" s="376"/>
      <c r="AN18" s="376"/>
      <c r="AO18" s="376"/>
      <c r="AP18" s="376"/>
      <c r="AQ18" s="622">
        <f>IF(ISNUMBER(Standards_Active!$F19),IF(AND(AQ$7&gt;=Standards_Active!$C19,AQ$7&lt;Standards_Active!$D19),AP18-Standards_Active!$G19*INDEX($AQ$9:$BP$9,1,MATCH((Standards_Active!$C19-1),$AQ$7:$BP$7,FALSE)),IF(AQ$7&gt;=Standards_Active!$D19,Standards_Active!$H19,CA18)),CA18)</f>
        <v>1</v>
      </c>
      <c r="AR18" s="622">
        <f>IF(ISNUMBER(Standards_Active!$F19),IF(AND(AR$7&gt;=Standards_Active!$C19,AR$7&lt;Standards_Active!$D19),AQ18-Standards_Active!$G19*INDEX($AQ$9:$BP$9,1,MATCH((Standards_Active!$C19-1),$AQ$7:$BP$7,FALSE)),IF(AR$7&gt;=Standards_Active!$D19,Standards_Active!$H19,CB18)),CB18)</f>
        <v>1</v>
      </c>
      <c r="AS18" s="622">
        <f>IF(ISNUMBER(Standards_Active!$F19),IF(AND(AS$7&gt;=Standards_Active!$C19,AS$7&lt;Standards_Active!$D19),AR18-Standards_Active!$G19*INDEX($AQ$9:$BP$9,1,MATCH((Standards_Active!$C19-1),$AQ$7:$BP$7,FALSE)),IF(AS$7&gt;=Standards_Active!$D19,Standards_Active!$H19,CC18)),CC18)</f>
        <v>1</v>
      </c>
      <c r="AT18" s="622">
        <f>IF(ISNUMBER(Standards_Active!$F19),IF(AND(AT$7&gt;=Standards_Active!$C19,AT$7&lt;Standards_Active!$D19),AS18-Standards_Active!$G19*INDEX($AQ$9:$BP$9,1,MATCH((Standards_Active!$C19-1),$AQ$7:$BP$7,FALSE)),IF(AT$7&gt;=Standards_Active!$D19,Standards_Active!$H19,CD18)),CD18)</f>
        <v>1</v>
      </c>
      <c r="AU18" s="622">
        <f>IF(ISNUMBER(Standards_Active!$F19),IF(AND(AU$7&gt;=Standards_Active!$C19,AU$7&lt;Standards_Active!$D19),AT18-Standards_Active!$G19*INDEX($AQ$9:$BP$9,1,MATCH((Standards_Active!$C19-1),$AQ$7:$BP$7,FALSE)),IF(AU$7&gt;=Standards_Active!$D19,Standards_Active!$H19,CE18)),CE18)</f>
        <v>1</v>
      </c>
      <c r="AV18" s="622">
        <f>IF(ISNUMBER(Standards_Active!$F19),IF(AND(AV$7&gt;=Standards_Active!$C19,AV$7&lt;Standards_Active!$D19),AU18-Standards_Active!$G19*INDEX($AQ$9:$BP$9,1,MATCH((Standards_Active!$C19-1),$AQ$7:$BP$7,FALSE)),IF(AV$7&gt;=Standards_Active!$D19,Standards_Active!$H19,CF18)),CF18)</f>
        <v>1</v>
      </c>
      <c r="AW18" s="622">
        <f>IF(ISNUMBER(Standards_Active!$F19),IF(AND(AW$7&gt;=Standards_Active!$C19,AW$7&lt;Standards_Active!$D19),AV18-Standards_Active!$G19*INDEX($AQ$9:$BP$9,1,MATCH((Standards_Active!$C19-1),$AQ$7:$BP$7,FALSE)),IF(AW$7&gt;=Standards_Active!$D19,Standards_Active!$H19,CG18)),CG18)</f>
        <v>1</v>
      </c>
      <c r="AX18" s="622">
        <f>IF(ISNUMBER(Standards_Active!$F19),IF(AND(AX$7&gt;=Standards_Active!$C19,AX$7&lt;Standards_Active!$D19),AW18-Standards_Active!$G19*INDEX($AQ$9:$BP$9,1,MATCH((Standards_Active!$C19-1),$AQ$7:$BP$7,FALSE)),IF(AX$7&gt;=Standards_Active!$D19,Standards_Active!$H19,CH18)),CH18)</f>
        <v>1</v>
      </c>
      <c r="AY18" s="622">
        <f>IF(ISNUMBER(Standards_Active!$F19),IF(AND(AY$7&gt;=Standards_Active!$C19,AY$7&lt;Standards_Active!$D19),AX18-Standards_Active!$G19*INDEX($AQ$9:$BP$9,1,MATCH((Standards_Active!$C19-1),$AQ$7:$BP$7,FALSE)),IF(AY$7&gt;=Standards_Active!$D19,Standards_Active!$H19,CI18)),CI18)</f>
        <v>1</v>
      </c>
      <c r="AZ18" s="622">
        <f>IF(ISNUMBER(Standards_Active!$F19),IF(AND(AZ$7&gt;=Standards_Active!$C19,AZ$7&lt;Standards_Active!$D19),AY18-Standards_Active!$G19*INDEX($AQ$9:$BP$9,1,MATCH((Standards_Active!$C19-1),$AQ$7:$BP$7,FALSE)),IF(AZ$7&gt;=Standards_Active!$D19,Standards_Active!$H19,CJ18)),CJ18)</f>
        <v>1</v>
      </c>
      <c r="BA18" s="622">
        <f>IF(ISNUMBER(Standards_Active!$F19),IF(AND(BA$7&gt;=Standards_Active!$C19,BA$7&lt;Standards_Active!$D19),AZ18-Standards_Active!$G19*INDEX($AQ$9:$BP$9,1,MATCH((Standards_Active!$C19-1),$AQ$7:$BP$7,FALSE)),IF(BA$7&gt;=Standards_Active!$D19,Standards_Active!$H19,CK18)),CK18)</f>
        <v>1</v>
      </c>
      <c r="BB18" s="622">
        <f>IF(ISNUMBER(Standards_Active!$F19),IF(AND(BB$7&gt;=Standards_Active!$C19,BB$7&lt;Standards_Active!$D19),BA18-Standards_Active!$G19*INDEX($AQ$9:$BP$9,1,MATCH((Standards_Active!$C19-1),$AQ$7:$BP$7,FALSE)),IF(BB$7&gt;=Standards_Active!$D19,Standards_Active!$H19,CL18)),CL18)</f>
        <v>1</v>
      </c>
      <c r="BC18" s="622">
        <f>IF(ISNUMBER(Standards_Active!$F19),IF(AND(BC$7&gt;=Standards_Active!$C19,BC$7&lt;Standards_Active!$D19),BB18-Standards_Active!$G19*INDEX($AQ$9:$BP$9,1,MATCH((Standards_Active!$C19-1),$AQ$7:$BP$7,FALSE)),IF(BC$7&gt;=Standards_Active!$D19,Standards_Active!$H19,CM18)),CM18)</f>
        <v>1</v>
      </c>
      <c r="BD18" s="622">
        <f>IF(ISNUMBER(Standards_Active!$F19),IF(AND(BD$7&gt;=Standards_Active!$C19,BD$7&lt;Standards_Active!$D19),BC18-Standards_Active!$G19*INDEX($AQ$9:$BP$9,1,MATCH((Standards_Active!$C19-1),$AQ$7:$BP$7,FALSE)),IF(BD$7&gt;=Standards_Active!$D19,Standards_Active!$H19,CN18)),CN18)</f>
        <v>1</v>
      </c>
      <c r="BE18" s="622">
        <f>IF(ISNUMBER(Standards_Active!$F19),IF(AND(BE$7&gt;=Standards_Active!$C19,BE$7&lt;Standards_Active!$D19),BD18-Standards_Active!$G19*INDEX($AQ$9:$BP$9,1,MATCH((Standards_Active!$C19-1),$AQ$7:$BP$7,FALSE)),IF(BE$7&gt;=Standards_Active!$D19,Standards_Active!$H19,CO18)),CO18)</f>
        <v>1</v>
      </c>
      <c r="BF18" s="622">
        <f>IF(ISNUMBER(Standards_Active!$F19),IF(AND(BF$7&gt;=Standards_Active!$C19,BF$7&lt;Standards_Active!$D19),BE18-Standards_Active!$G19*INDEX($AQ$9:$BP$9,1,MATCH((Standards_Active!$C19-1),$AQ$7:$BP$7,FALSE)),IF(BF$7&gt;=Standards_Active!$D19,Standards_Active!$H19,CP18)),CP18)</f>
        <v>1</v>
      </c>
      <c r="BG18" s="622">
        <f>IF(ISNUMBER(Standards_Active!$F19),IF(AND(BG$7&gt;=Standards_Active!$C19,BG$7&lt;Standards_Active!$D19),BF18-Standards_Active!$G19*INDEX($AQ$9:$BP$9,1,MATCH((Standards_Active!$C19-1),$AQ$7:$BP$7,FALSE)),IF(BG$7&gt;=Standards_Active!$D19,Standards_Active!$H19,CQ18)),CQ18)</f>
        <v>1</v>
      </c>
      <c r="BH18" s="622">
        <f>IF(ISNUMBER(Standards_Active!$F19),IF(AND(BH$7&gt;=Standards_Active!$C19,BH$7&lt;Standards_Active!$D19),BG18-Standards_Active!$G19*INDEX($AQ$9:$BP$9,1,MATCH((Standards_Active!$C19-1),$AQ$7:$BP$7,FALSE)),IF(BH$7&gt;=Standards_Active!$D19,Standards_Active!$H19,CR18)),CR18)</f>
        <v>1</v>
      </c>
      <c r="BI18" s="622">
        <f>IF(ISNUMBER(Standards_Active!$F19),IF(AND(BI$7&gt;=Standards_Active!$C19,BI$7&lt;Standards_Active!$D19),BH18-Standards_Active!$G19*INDEX($AQ$9:$BP$9,1,MATCH((Standards_Active!$C19-1),$AQ$7:$BP$7,FALSE)),IF(BI$7&gt;=Standards_Active!$D19,Standards_Active!$H19,CS18)),CS18)</f>
        <v>1</v>
      </c>
      <c r="BJ18" s="622">
        <f>IF(ISNUMBER(Standards_Active!$F19),IF(AND(BJ$7&gt;=Standards_Active!$C19,BJ$7&lt;Standards_Active!$D19),BI18-Standards_Active!$G19*INDEX($AQ$9:$BP$9,1,MATCH((Standards_Active!$C19-1),$AQ$7:$BP$7,FALSE)),IF(BJ$7&gt;=Standards_Active!$D19,Standards_Active!$H19,CT18)),CT18)</f>
        <v>1</v>
      </c>
      <c r="BK18" s="622">
        <f>IF(ISNUMBER(Standards_Active!$F19),IF(AND(BK$7&gt;=Standards_Active!$C19,BK$7&lt;Standards_Active!$D19),BJ18-Standards_Active!$G19*INDEX($AQ$9:$BP$9,1,MATCH((Standards_Active!$C19-1),$AQ$7:$BP$7,FALSE)),IF(BK$7&gt;=Standards_Active!$D19,Standards_Active!$H19,CU18)),CU18)</f>
        <v>1</v>
      </c>
      <c r="BL18" s="622">
        <f>IF(ISNUMBER(Standards_Active!$F19),IF(AND(BL$7&gt;=Standards_Active!$C19,BL$7&lt;Standards_Active!$D19),BK18-Standards_Active!$G19*INDEX($AQ$9:$BP$9,1,MATCH((Standards_Active!$C19-1),$AQ$7:$BP$7,FALSE)),IF(BL$7&gt;=Standards_Active!$D19,Standards_Active!$H19,CV18)),CV18)</f>
        <v>1</v>
      </c>
      <c r="BM18" s="622">
        <f>IF(ISNUMBER(Standards_Active!$F19),IF(AND(BM$7&gt;=Standards_Active!$C19,BM$7&lt;Standards_Active!$D19),BL18-Standards_Active!$G19*INDEX($AQ$9:$BP$9,1,MATCH((Standards_Active!$C19-1),$AQ$7:$BP$7,FALSE)),IF(BM$7&gt;=Standards_Active!$D19,Standards_Active!$H19,CW18)),CW18)</f>
        <v>1</v>
      </c>
      <c r="BN18" s="622">
        <f>IF(ISNUMBER(Standards_Active!$F19),IF(AND(BN$7&gt;=Standards_Active!$C19,BN$7&lt;Standards_Active!$D19),BM18-Standards_Active!$G19*INDEX($AQ$9:$BP$9,1,MATCH((Standards_Active!$C19-1),$AQ$7:$BP$7,FALSE)),IF(BN$7&gt;=Standards_Active!$D19,Standards_Active!$H19,CX18)),CX18)</f>
        <v>1</v>
      </c>
      <c r="BO18" s="622">
        <f>IF(ISNUMBER(Standards_Active!$F19),IF(AND(BO$7&gt;=Standards_Active!$C19,BO$7&lt;Standards_Active!$D19),BN18-Standards_Active!$G19*INDEX($AQ$9:$BP$9,1,MATCH((Standards_Active!$C19-1),$AQ$7:$BP$7,FALSE)),IF(BO$7&gt;=Standards_Active!$D19,Standards_Active!$H19,CY18)),CY18)</f>
        <v>1</v>
      </c>
      <c r="BP18" s="622">
        <f>IF(ISNUMBER(Standards_Active!$F19),IF(AND(BP$7&gt;=Standards_Active!$C19,BP$7&lt;Standards_Active!$D19),BO18-Standards_Active!$G19*INDEX($AQ$9:$BP$9,1,MATCH((Standards_Active!$C19-1),$AQ$7:$BP$7,FALSE)),IF(BP$7&gt;=Standards_Active!$D19,Standards_Active!$H19,CZ18)),CZ18)</f>
        <v>1</v>
      </c>
      <c r="BQ18" s="380"/>
      <c r="BR18" s="376"/>
      <c r="BS18" s="376"/>
      <c r="BT18" s="376"/>
      <c r="BU18" s="376"/>
      <c r="BV18" s="376"/>
      <c r="BW18" s="376"/>
      <c r="BX18" s="376"/>
      <c r="BY18" s="376"/>
      <c r="BZ18" s="376"/>
      <c r="CA18" s="424">
        <v>1</v>
      </c>
      <c r="CB18" s="424">
        <v>1</v>
      </c>
      <c r="CC18" s="424">
        <v>1</v>
      </c>
      <c r="CD18" s="424">
        <v>1</v>
      </c>
      <c r="CE18" s="424">
        <v>1</v>
      </c>
      <c r="CF18" s="424">
        <v>1</v>
      </c>
      <c r="CG18" s="424">
        <v>1</v>
      </c>
      <c r="CH18" s="424">
        <v>1</v>
      </c>
      <c r="CI18" s="424">
        <v>1</v>
      </c>
      <c r="CJ18" s="424">
        <v>1</v>
      </c>
      <c r="CK18" s="424">
        <v>1</v>
      </c>
      <c r="CL18" s="424">
        <v>1</v>
      </c>
      <c r="CM18" s="424">
        <v>1</v>
      </c>
      <c r="CN18" s="424">
        <v>1</v>
      </c>
      <c r="CO18" s="424">
        <v>1</v>
      </c>
      <c r="CP18" s="424">
        <v>1</v>
      </c>
      <c r="CQ18" s="424">
        <v>1</v>
      </c>
      <c r="CR18" s="424">
        <v>1</v>
      </c>
      <c r="CS18" s="424">
        <v>1</v>
      </c>
      <c r="CT18" s="424">
        <v>1</v>
      </c>
      <c r="CU18" s="424">
        <v>1</v>
      </c>
      <c r="CV18" s="424">
        <v>1</v>
      </c>
      <c r="CW18" s="424">
        <v>1</v>
      </c>
      <c r="CX18" s="424">
        <v>1</v>
      </c>
      <c r="CY18" s="424">
        <v>1</v>
      </c>
      <c r="CZ18" s="424">
        <v>1</v>
      </c>
    </row>
    <row r="19" spans="1:104" s="81" customFormat="1" ht="12.6" x14ac:dyDescent="0.25">
      <c r="A19" s="252"/>
      <c r="B19" s="252"/>
      <c r="D19" s="380"/>
      <c r="E19" s="380"/>
      <c r="F19" s="380"/>
      <c r="G19" s="380"/>
      <c r="H19" s="380"/>
      <c r="I19" s="380"/>
      <c r="J19" s="380"/>
      <c r="K19" s="380"/>
      <c r="L19" s="380"/>
      <c r="M19" s="380"/>
      <c r="N19" s="380"/>
      <c r="O19" s="380"/>
      <c r="P19" s="380"/>
      <c r="Q19" s="380"/>
      <c r="R19" s="380"/>
      <c r="S19" s="380"/>
      <c r="T19" s="380"/>
      <c r="U19" s="380"/>
      <c r="V19" s="380"/>
      <c r="W19" s="380"/>
      <c r="X19" s="380"/>
      <c r="Y19" s="380"/>
      <c r="Z19" s="380"/>
      <c r="AA19" s="380"/>
      <c r="AB19" s="380"/>
      <c r="AC19" s="380"/>
      <c r="AD19" s="380"/>
      <c r="AE19" s="380"/>
      <c r="AF19" s="380"/>
      <c r="AH19" s="376"/>
      <c r="AI19" s="376"/>
      <c r="AJ19" s="376"/>
      <c r="AK19" s="376"/>
      <c r="AL19" s="376"/>
      <c r="AM19" s="376"/>
      <c r="AN19" s="376"/>
      <c r="AO19" s="376"/>
      <c r="AP19" s="376"/>
      <c r="AQ19" s="376"/>
      <c r="AR19" s="376"/>
      <c r="AS19" s="376"/>
      <c r="AT19" s="376"/>
      <c r="AU19" s="376"/>
      <c r="AV19" s="376"/>
      <c r="AW19" s="376"/>
      <c r="AX19" s="376"/>
      <c r="AY19" s="376"/>
      <c r="AZ19" s="376"/>
      <c r="BA19" s="376"/>
      <c r="BB19" s="376"/>
      <c r="BC19" s="376"/>
      <c r="BD19" s="376"/>
      <c r="BE19" s="376"/>
      <c r="BF19" s="376"/>
      <c r="BG19" s="376"/>
      <c r="BH19" s="376"/>
      <c r="BI19" s="376"/>
      <c r="BJ19" s="376"/>
      <c r="BK19" s="376"/>
      <c r="BL19" s="376"/>
      <c r="BM19" s="376"/>
      <c r="BN19" s="376"/>
      <c r="BO19" s="376"/>
      <c r="BP19" s="376"/>
      <c r="BQ19" s="380"/>
      <c r="BR19" s="376"/>
      <c r="BS19" s="376"/>
      <c r="BT19" s="376"/>
      <c r="BU19" s="376"/>
      <c r="BV19" s="376"/>
      <c r="BW19" s="376"/>
      <c r="BX19" s="376"/>
      <c r="BY19" s="376"/>
      <c r="BZ19" s="376"/>
      <c r="CA19" s="376"/>
      <c r="CB19" s="376"/>
      <c r="CC19" s="376"/>
      <c r="CD19" s="376"/>
      <c r="CE19" s="376"/>
      <c r="CF19" s="376"/>
      <c r="CG19" s="376"/>
      <c r="CH19" s="376"/>
      <c r="CI19" s="376"/>
      <c r="CJ19" s="376"/>
      <c r="CK19" s="376"/>
      <c r="CL19" s="376"/>
      <c r="CM19" s="376"/>
      <c r="CN19" s="376"/>
      <c r="CO19" s="376"/>
      <c r="CP19" s="376"/>
      <c r="CQ19" s="376"/>
      <c r="CR19" s="376"/>
      <c r="CS19" s="376"/>
      <c r="CT19" s="376"/>
      <c r="CU19" s="376"/>
      <c r="CV19" s="376"/>
      <c r="CW19" s="376"/>
      <c r="CX19" s="376"/>
      <c r="CY19" s="376"/>
      <c r="CZ19" s="376"/>
    </row>
    <row r="20" spans="1:104" s="81" customFormat="1" ht="12.95" x14ac:dyDescent="0.3">
      <c r="A20" s="254" t="s">
        <v>36</v>
      </c>
      <c r="B20" s="258"/>
      <c r="C20" s="258"/>
      <c r="D20" s="389"/>
      <c r="E20" s="389"/>
      <c r="F20" s="389"/>
      <c r="G20" s="389"/>
      <c r="H20" s="389"/>
      <c r="I20" s="389"/>
      <c r="J20" s="389"/>
      <c r="K20" s="389"/>
      <c r="L20" s="389"/>
      <c r="M20" s="389"/>
      <c r="N20" s="389"/>
      <c r="O20" s="389"/>
      <c r="P20" s="389"/>
      <c r="Q20" s="389"/>
      <c r="R20" s="389"/>
      <c r="S20" s="389"/>
      <c r="T20" s="389"/>
      <c r="U20" s="389"/>
      <c r="V20" s="389"/>
      <c r="W20" s="389"/>
      <c r="X20" s="389"/>
      <c r="Y20" s="389"/>
      <c r="Z20" s="389"/>
      <c r="AA20" s="389"/>
      <c r="AB20" s="389"/>
      <c r="AC20" s="389"/>
      <c r="AD20" s="389"/>
      <c r="AE20" s="389"/>
      <c r="AF20" s="389"/>
      <c r="AH20" s="389"/>
      <c r="AI20" s="389"/>
      <c r="AJ20" s="389"/>
      <c r="AK20" s="389"/>
      <c r="AL20" s="389"/>
      <c r="AM20" s="389"/>
      <c r="AN20" s="389"/>
      <c r="AO20" s="389"/>
      <c r="AP20" s="389"/>
      <c r="AQ20" s="389"/>
      <c r="AR20" s="389"/>
      <c r="AS20" s="389"/>
      <c r="AT20" s="389"/>
      <c r="AU20" s="389"/>
      <c r="AV20" s="389"/>
      <c r="AW20" s="389"/>
      <c r="AX20" s="389"/>
      <c r="AY20" s="389"/>
      <c r="AZ20" s="389"/>
      <c r="BA20" s="389"/>
      <c r="BB20" s="389"/>
      <c r="BC20" s="389"/>
      <c r="BD20" s="389"/>
      <c r="BE20" s="389"/>
      <c r="BF20" s="389"/>
      <c r="BG20" s="389"/>
      <c r="BH20" s="389"/>
      <c r="BI20" s="389"/>
      <c r="BJ20" s="389"/>
      <c r="BK20" s="389"/>
      <c r="BL20" s="389"/>
      <c r="BM20" s="389"/>
      <c r="BN20" s="389"/>
      <c r="BO20" s="389"/>
      <c r="BP20" s="389"/>
      <c r="BQ20" s="380"/>
      <c r="BR20" s="389"/>
      <c r="BS20" s="389"/>
      <c r="BT20" s="389"/>
      <c r="BU20" s="389"/>
      <c r="BV20" s="389"/>
      <c r="BW20" s="389"/>
      <c r="BX20" s="389"/>
      <c r="BY20" s="389"/>
      <c r="BZ20" s="389"/>
      <c r="CA20" s="389"/>
      <c r="CB20" s="389"/>
      <c r="CC20" s="389"/>
      <c r="CD20" s="389"/>
      <c r="CE20" s="389"/>
      <c r="CF20" s="389"/>
      <c r="CG20" s="389"/>
      <c r="CH20" s="389"/>
      <c r="CI20" s="389"/>
      <c r="CJ20" s="389"/>
      <c r="CK20" s="389"/>
      <c r="CL20" s="389"/>
      <c r="CM20" s="389"/>
      <c r="CN20" s="389"/>
      <c r="CO20" s="389"/>
      <c r="CP20" s="389"/>
      <c r="CQ20" s="389"/>
      <c r="CR20" s="389"/>
      <c r="CS20" s="389"/>
      <c r="CT20" s="389"/>
      <c r="CU20" s="389"/>
      <c r="CV20" s="389"/>
      <c r="CW20" s="389"/>
      <c r="CX20" s="389"/>
      <c r="CY20" s="389"/>
      <c r="CZ20" s="389"/>
    </row>
    <row r="21" spans="1:104" s="81" customFormat="1" ht="12.6" x14ac:dyDescent="0.25">
      <c r="A21" s="252"/>
      <c r="B21" s="252" t="s">
        <v>37</v>
      </c>
      <c r="D21" s="380"/>
      <c r="E21" s="380"/>
      <c r="F21" s="380"/>
      <c r="G21" s="370">
        <f>IF(Standards_Active!$E22="yes",Standards_Acceptance!AQ21,Standards_Acceptance!CA21)</f>
        <v>1</v>
      </c>
      <c r="H21" s="370">
        <f>IF(Standards_Active!$E22="yes",Standards_Acceptance!AR21,Standards_Acceptance!CB21)</f>
        <v>1</v>
      </c>
      <c r="I21" s="370">
        <f>IF(Standards_Active!$E22="yes",Standards_Acceptance!AS21,Standards_Acceptance!CC21)</f>
        <v>0.83333333333333337</v>
      </c>
      <c r="J21" s="370">
        <f>IF(Standards_Active!$E22="yes",Standards_Acceptance!AT21,Standards_Acceptance!CD21)</f>
        <v>0.66666666666666674</v>
      </c>
      <c r="K21" s="370">
        <f>IF(Standards_Active!$E22="yes",Standards_Acceptance!AU21,Standards_Acceptance!CE21)</f>
        <v>0.5</v>
      </c>
      <c r="L21" s="370">
        <f>IF(Standards_Active!$E22="yes",Standards_Acceptance!AV21,Standards_Acceptance!CF21)</f>
        <v>0.5</v>
      </c>
      <c r="M21" s="370">
        <f>IF(Standards_Active!$E22="yes",Standards_Acceptance!AW21,Standards_Acceptance!CG21)</f>
        <v>0.5</v>
      </c>
      <c r="N21" s="370">
        <f>IF(Standards_Active!$E22="yes",Standards_Acceptance!AX21,Standards_Acceptance!CH21)</f>
        <v>0.5</v>
      </c>
      <c r="O21" s="370">
        <f>IF(Standards_Active!$E22="yes",Standards_Acceptance!AY21,Standards_Acceptance!CI21)</f>
        <v>0.5</v>
      </c>
      <c r="P21" s="370">
        <f>IF(Standards_Active!$E22="yes",Standards_Acceptance!AZ21,Standards_Acceptance!CJ21)</f>
        <v>0.5</v>
      </c>
      <c r="Q21" s="370">
        <f>IF(Standards_Active!$E22="yes",Standards_Acceptance!BA21,Standards_Acceptance!CK21)</f>
        <v>0.5</v>
      </c>
      <c r="R21" s="370">
        <f>IF(Standards_Active!$E22="yes",Standards_Acceptance!BB21,Standards_Acceptance!CL21)</f>
        <v>0.5</v>
      </c>
      <c r="S21" s="370">
        <f>IF(Standards_Active!$E22="yes",Standards_Acceptance!BC21,Standards_Acceptance!CM21)</f>
        <v>0.5</v>
      </c>
      <c r="T21" s="370">
        <f>IF(Standards_Active!$E22="yes",Standards_Acceptance!BD21,Standards_Acceptance!CN21)</f>
        <v>0.5</v>
      </c>
      <c r="U21" s="370">
        <f>IF(Standards_Active!$E22="yes",Standards_Acceptance!BE21,Standards_Acceptance!CO21)</f>
        <v>0.5</v>
      </c>
      <c r="V21" s="370">
        <f>IF(Standards_Active!$E22="yes",Standards_Acceptance!BF21,Standards_Acceptance!CP21)</f>
        <v>0.5</v>
      </c>
      <c r="W21" s="370">
        <f>IF(Standards_Active!$E22="yes",Standards_Acceptance!BG21,Standards_Acceptance!CQ21)</f>
        <v>0.5</v>
      </c>
      <c r="X21" s="370">
        <f>IF(Standards_Active!$E22="yes",Standards_Acceptance!BH21,Standards_Acceptance!CR21)</f>
        <v>0.5</v>
      </c>
      <c r="Y21" s="370">
        <f>IF(Standards_Active!$E22="yes",Standards_Acceptance!BI21,Standards_Acceptance!CS21)</f>
        <v>0.5</v>
      </c>
      <c r="Z21" s="370">
        <f>IF(Standards_Active!$E22="yes",Standards_Acceptance!BJ21,Standards_Acceptance!CT21)</f>
        <v>0.5</v>
      </c>
      <c r="AA21" s="370">
        <f>IF(Standards_Active!$E22="yes",Standards_Acceptance!BK21,Standards_Acceptance!CU21)</f>
        <v>0.5</v>
      </c>
      <c r="AB21" s="370">
        <f>IF(Standards_Active!$E22="yes",Standards_Acceptance!BL21,Standards_Acceptance!CV21)</f>
        <v>0.5</v>
      </c>
      <c r="AC21" s="370">
        <f>IF(Standards_Active!$E22="yes",Standards_Acceptance!BM21,Standards_Acceptance!CW21)</f>
        <v>0.5</v>
      </c>
      <c r="AD21" s="370">
        <f>IF(Standards_Active!$E22="yes",Standards_Acceptance!BN21,Standards_Acceptance!CX21)</f>
        <v>0.5</v>
      </c>
      <c r="AE21" s="370">
        <f>IF(Standards_Active!$E22="yes",Standards_Acceptance!BO21,Standards_Acceptance!CY21)</f>
        <v>0.5</v>
      </c>
      <c r="AF21" s="370">
        <f>IF(Standards_Active!$E22="yes",Standards_Acceptance!BP21,Standards_Acceptance!CZ21)</f>
        <v>0.5</v>
      </c>
      <c r="AH21" s="376"/>
      <c r="AI21" s="376"/>
      <c r="AJ21" s="376"/>
      <c r="AK21" s="376"/>
      <c r="AL21" s="376"/>
      <c r="AM21" s="376"/>
      <c r="AN21" s="376"/>
      <c r="AO21" s="376"/>
      <c r="AP21" s="376"/>
      <c r="AQ21" s="622">
        <f>IF(ISNUMBER(Standards_Active!$F22),IF(AND(AQ$7&gt;=Standards_Active!$C22,AQ$7&lt;Standards_Active!$D22),AP21-Standards_Active!$G22*INDEX($AQ$9:$BP$9,1,MATCH((Standards_Active!$C22-1),$AQ$7:$BP$7,FALSE)),IF(AQ$7&gt;=Standards_Active!$D22,Standards_Active!$H22,CA21)),CA21)</f>
        <v>1</v>
      </c>
      <c r="AR21" s="622">
        <f>IF(ISNUMBER(Standards_Active!$F22),IF(AND(AR$7&gt;=Standards_Active!$C22,AR$7&lt;Standards_Active!$D22),AQ21-Standards_Active!$G22*INDEX($AQ$9:$BP$9,1,MATCH((Standards_Active!$C22-1),$AQ$7:$BP$7,FALSE)),IF(AR$7&gt;=Standards_Active!$D22,Standards_Active!$H22,CB21)),CB21)</f>
        <v>1</v>
      </c>
      <c r="AS21" s="622">
        <f>IF(ISNUMBER(Standards_Active!$F22),IF(AND(AS$7&gt;=Standards_Active!$C22,AS$7&lt;Standards_Active!$D22),AR21-Standards_Active!$G22*INDEX($AQ$9:$BP$9,1,MATCH((Standards_Active!$C22-1),$AQ$7:$BP$7,FALSE)),IF(AS$7&gt;=Standards_Active!$D22,Standards_Active!$H22,CC21)),CC21)</f>
        <v>0.83333333333333337</v>
      </c>
      <c r="AT21" s="622">
        <f>IF(ISNUMBER(Standards_Active!$F22),IF(AND(AT$7&gt;=Standards_Active!$C22,AT$7&lt;Standards_Active!$D22),AS21-Standards_Active!$G22*INDEX($AQ$9:$BP$9,1,MATCH((Standards_Active!$C22-1),$AQ$7:$BP$7,FALSE)),IF(AT$7&gt;=Standards_Active!$D22,Standards_Active!$H22,CD21)),CD21)</f>
        <v>0.66666666666666674</v>
      </c>
      <c r="AU21" s="622">
        <f>IF(ISNUMBER(Standards_Active!$F22),IF(AND(AU$7&gt;=Standards_Active!$C22,AU$7&lt;Standards_Active!$D22),AT21-Standards_Active!$G22*INDEX($AQ$9:$BP$9,1,MATCH((Standards_Active!$C22-1),$AQ$7:$BP$7,FALSE)),IF(AU$7&gt;=Standards_Active!$D22,Standards_Active!$H22,CE21)),CE21)</f>
        <v>0.5</v>
      </c>
      <c r="AV21" s="622">
        <f>IF(ISNUMBER(Standards_Active!$F22),IF(AND(AV$7&gt;=Standards_Active!$C22,AV$7&lt;Standards_Active!$D22),AU21-Standards_Active!$G22*INDEX($AQ$9:$BP$9,1,MATCH((Standards_Active!$C22-1),$AQ$7:$BP$7,FALSE)),IF(AV$7&gt;=Standards_Active!$D22,Standards_Active!$H22,CF21)),CF21)</f>
        <v>0.5</v>
      </c>
      <c r="AW21" s="622">
        <f>IF(ISNUMBER(Standards_Active!$F22),IF(AND(AW$7&gt;=Standards_Active!$C22,AW$7&lt;Standards_Active!$D22),AV21-Standards_Active!$G22*INDEX($AQ$9:$BP$9,1,MATCH((Standards_Active!$C22-1),$AQ$7:$BP$7,FALSE)),IF(AW$7&gt;=Standards_Active!$D22,Standards_Active!$H22,CG21)),CG21)</f>
        <v>0.5</v>
      </c>
      <c r="AX21" s="622">
        <f>IF(ISNUMBER(Standards_Active!$F22),IF(AND(AX$7&gt;=Standards_Active!$C22,AX$7&lt;Standards_Active!$D22),AW21-Standards_Active!$G22*INDEX($AQ$9:$BP$9,1,MATCH((Standards_Active!$C22-1),$AQ$7:$BP$7,FALSE)),IF(AX$7&gt;=Standards_Active!$D22,Standards_Active!$H22,CH21)),CH21)</f>
        <v>0.5</v>
      </c>
      <c r="AY21" s="622">
        <f>IF(ISNUMBER(Standards_Active!$F22),IF(AND(AY$7&gt;=Standards_Active!$C22,AY$7&lt;Standards_Active!$D22),AX21-Standards_Active!$G22*INDEX($AQ$9:$BP$9,1,MATCH((Standards_Active!$C22-1),$AQ$7:$BP$7,FALSE)),IF(AY$7&gt;=Standards_Active!$D22,Standards_Active!$H22,CI21)),CI21)</f>
        <v>0.5</v>
      </c>
      <c r="AZ21" s="622">
        <f>IF(ISNUMBER(Standards_Active!$F22),IF(AND(AZ$7&gt;=Standards_Active!$C22,AZ$7&lt;Standards_Active!$D22),AY21-Standards_Active!$G22*INDEX($AQ$9:$BP$9,1,MATCH((Standards_Active!$C22-1),$AQ$7:$BP$7,FALSE)),IF(AZ$7&gt;=Standards_Active!$D22,Standards_Active!$H22,CJ21)),CJ21)</f>
        <v>0.5</v>
      </c>
      <c r="BA21" s="622">
        <f>IF(ISNUMBER(Standards_Active!$F22),IF(AND(BA$7&gt;=Standards_Active!$C22,BA$7&lt;Standards_Active!$D22),AZ21-Standards_Active!$G22*INDEX($AQ$9:$BP$9,1,MATCH((Standards_Active!$C22-1),$AQ$7:$BP$7,FALSE)),IF(BA$7&gt;=Standards_Active!$D22,Standards_Active!$H22,CK21)),CK21)</f>
        <v>0.5</v>
      </c>
      <c r="BB21" s="622">
        <f>IF(ISNUMBER(Standards_Active!$F22),IF(AND(BB$7&gt;=Standards_Active!$C22,BB$7&lt;Standards_Active!$D22),BA21-Standards_Active!$G22*INDEX($AQ$9:$BP$9,1,MATCH((Standards_Active!$C22-1),$AQ$7:$BP$7,FALSE)),IF(BB$7&gt;=Standards_Active!$D22,Standards_Active!$H22,CL21)),CL21)</f>
        <v>0.5</v>
      </c>
      <c r="BC21" s="622">
        <f>IF(ISNUMBER(Standards_Active!$F22),IF(AND(BC$7&gt;=Standards_Active!$C22,BC$7&lt;Standards_Active!$D22),BB21-Standards_Active!$G22*INDEX($AQ$9:$BP$9,1,MATCH((Standards_Active!$C22-1),$AQ$7:$BP$7,FALSE)),IF(BC$7&gt;=Standards_Active!$D22,Standards_Active!$H22,CM21)),CM21)</f>
        <v>0.5</v>
      </c>
      <c r="BD21" s="622">
        <f>IF(ISNUMBER(Standards_Active!$F22),IF(AND(BD$7&gt;=Standards_Active!$C22,BD$7&lt;Standards_Active!$D22),BC21-Standards_Active!$G22*INDEX($AQ$9:$BP$9,1,MATCH((Standards_Active!$C22-1),$AQ$7:$BP$7,FALSE)),IF(BD$7&gt;=Standards_Active!$D22,Standards_Active!$H22,CN21)),CN21)</f>
        <v>0.5</v>
      </c>
      <c r="BE21" s="622">
        <f>IF(ISNUMBER(Standards_Active!$F22),IF(AND(BE$7&gt;=Standards_Active!$C22,BE$7&lt;Standards_Active!$D22),BD21-Standards_Active!$G22*INDEX($AQ$9:$BP$9,1,MATCH((Standards_Active!$C22-1),$AQ$7:$BP$7,FALSE)),IF(BE$7&gt;=Standards_Active!$D22,Standards_Active!$H22,CO21)),CO21)</f>
        <v>0.5</v>
      </c>
      <c r="BF21" s="622">
        <f>IF(ISNUMBER(Standards_Active!$F22),IF(AND(BF$7&gt;=Standards_Active!$C22,BF$7&lt;Standards_Active!$D22),BE21-Standards_Active!$G22*INDEX($AQ$9:$BP$9,1,MATCH((Standards_Active!$C22-1),$AQ$7:$BP$7,FALSE)),IF(BF$7&gt;=Standards_Active!$D22,Standards_Active!$H22,CP21)),CP21)</f>
        <v>0.5</v>
      </c>
      <c r="BG21" s="622">
        <f>IF(ISNUMBER(Standards_Active!$F22),IF(AND(BG$7&gt;=Standards_Active!$C22,BG$7&lt;Standards_Active!$D22),BF21-Standards_Active!$G22*INDEX($AQ$9:$BP$9,1,MATCH((Standards_Active!$C22-1),$AQ$7:$BP$7,FALSE)),IF(BG$7&gt;=Standards_Active!$D22,Standards_Active!$H22,CQ21)),CQ21)</f>
        <v>0.5</v>
      </c>
      <c r="BH21" s="622">
        <f>IF(ISNUMBER(Standards_Active!$F22),IF(AND(BH$7&gt;=Standards_Active!$C22,BH$7&lt;Standards_Active!$D22),BG21-Standards_Active!$G22*INDEX($AQ$9:$BP$9,1,MATCH((Standards_Active!$C22-1),$AQ$7:$BP$7,FALSE)),IF(BH$7&gt;=Standards_Active!$D22,Standards_Active!$H22,CR21)),CR21)</f>
        <v>0.5</v>
      </c>
      <c r="BI21" s="622">
        <f>IF(ISNUMBER(Standards_Active!$F22),IF(AND(BI$7&gt;=Standards_Active!$C22,BI$7&lt;Standards_Active!$D22),BH21-Standards_Active!$G22*INDEX($AQ$9:$BP$9,1,MATCH((Standards_Active!$C22-1),$AQ$7:$BP$7,FALSE)),IF(BI$7&gt;=Standards_Active!$D22,Standards_Active!$H22,CS21)),CS21)</f>
        <v>0.5</v>
      </c>
      <c r="BJ21" s="622">
        <f>IF(ISNUMBER(Standards_Active!$F22),IF(AND(BJ$7&gt;=Standards_Active!$C22,BJ$7&lt;Standards_Active!$D22),BI21-Standards_Active!$G22*INDEX($AQ$9:$BP$9,1,MATCH((Standards_Active!$C22-1),$AQ$7:$BP$7,FALSE)),IF(BJ$7&gt;=Standards_Active!$D22,Standards_Active!$H22,CT21)),CT21)</f>
        <v>0.5</v>
      </c>
      <c r="BK21" s="622">
        <f>IF(ISNUMBER(Standards_Active!$F22),IF(AND(BK$7&gt;=Standards_Active!$C22,BK$7&lt;Standards_Active!$D22),BJ21-Standards_Active!$G22*INDEX($AQ$9:$BP$9,1,MATCH((Standards_Active!$C22-1),$AQ$7:$BP$7,FALSE)),IF(BK$7&gt;=Standards_Active!$D22,Standards_Active!$H22,CU21)),CU21)</f>
        <v>0.5</v>
      </c>
      <c r="BL21" s="622">
        <f>IF(ISNUMBER(Standards_Active!$F22),IF(AND(BL$7&gt;=Standards_Active!$C22,BL$7&lt;Standards_Active!$D22),BK21-Standards_Active!$G22*INDEX($AQ$9:$BP$9,1,MATCH((Standards_Active!$C22-1),$AQ$7:$BP$7,FALSE)),IF(BL$7&gt;=Standards_Active!$D22,Standards_Active!$H22,CV21)),CV21)</f>
        <v>0.5</v>
      </c>
      <c r="BM21" s="622">
        <f>IF(ISNUMBER(Standards_Active!$F22),IF(AND(BM$7&gt;=Standards_Active!$C22,BM$7&lt;Standards_Active!$D22),BL21-Standards_Active!$G22*INDEX($AQ$9:$BP$9,1,MATCH((Standards_Active!$C22-1),$AQ$7:$BP$7,FALSE)),IF(BM$7&gt;=Standards_Active!$D22,Standards_Active!$H22,CW21)),CW21)</f>
        <v>0.5</v>
      </c>
      <c r="BN21" s="622">
        <f>IF(ISNUMBER(Standards_Active!$F22),IF(AND(BN$7&gt;=Standards_Active!$C22,BN$7&lt;Standards_Active!$D22),BM21-Standards_Active!$G22*INDEX($AQ$9:$BP$9,1,MATCH((Standards_Active!$C22-1),$AQ$7:$BP$7,FALSE)),IF(BN$7&gt;=Standards_Active!$D22,Standards_Active!$H22,CX21)),CX21)</f>
        <v>0.5</v>
      </c>
      <c r="BO21" s="622">
        <f>IF(ISNUMBER(Standards_Active!$F22),IF(AND(BO$7&gt;=Standards_Active!$C22,BO$7&lt;Standards_Active!$D22),BN21-Standards_Active!$G22*INDEX($AQ$9:$BP$9,1,MATCH((Standards_Active!$C22-1),$AQ$7:$BP$7,FALSE)),IF(BO$7&gt;=Standards_Active!$D22,Standards_Active!$H22,CY21)),CY21)</f>
        <v>0.5</v>
      </c>
      <c r="BP21" s="622">
        <f>IF(ISNUMBER(Standards_Active!$F22),IF(AND(BP$7&gt;=Standards_Active!$C22,BP$7&lt;Standards_Active!$D22),BO21-Standards_Active!$G22*INDEX($AQ$9:$BP$9,1,MATCH((Standards_Active!$C22-1),$AQ$7:$BP$7,FALSE)),IF(BP$7&gt;=Standards_Active!$D22,Standards_Active!$H22,CZ21)),CZ21)</f>
        <v>0.5</v>
      </c>
      <c r="BQ21" s="380"/>
      <c r="BR21" s="376"/>
      <c r="BS21" s="376"/>
      <c r="BT21" s="376"/>
      <c r="BU21" s="376"/>
      <c r="BV21" s="376"/>
      <c r="BW21" s="376"/>
      <c r="BX21" s="376"/>
      <c r="BY21" s="376"/>
      <c r="BZ21" s="376"/>
      <c r="CA21" s="424">
        <v>1</v>
      </c>
      <c r="CB21" s="424">
        <v>1</v>
      </c>
      <c r="CC21" s="424">
        <v>1</v>
      </c>
      <c r="CD21" s="424">
        <v>1</v>
      </c>
      <c r="CE21" s="424">
        <v>1</v>
      </c>
      <c r="CF21" s="424">
        <v>1</v>
      </c>
      <c r="CG21" s="424">
        <v>1</v>
      </c>
      <c r="CH21" s="424">
        <v>1</v>
      </c>
      <c r="CI21" s="424">
        <v>1</v>
      </c>
      <c r="CJ21" s="424">
        <v>1</v>
      </c>
      <c r="CK21" s="424">
        <v>1</v>
      </c>
      <c r="CL21" s="424">
        <v>1</v>
      </c>
      <c r="CM21" s="424">
        <v>1</v>
      </c>
      <c r="CN21" s="424">
        <v>1</v>
      </c>
      <c r="CO21" s="424">
        <v>1</v>
      </c>
      <c r="CP21" s="424">
        <v>1</v>
      </c>
      <c r="CQ21" s="424">
        <v>1</v>
      </c>
      <c r="CR21" s="424">
        <v>1</v>
      </c>
      <c r="CS21" s="424">
        <v>1</v>
      </c>
      <c r="CT21" s="424">
        <v>1</v>
      </c>
      <c r="CU21" s="424">
        <v>1</v>
      </c>
      <c r="CV21" s="424">
        <v>1</v>
      </c>
      <c r="CW21" s="424">
        <v>1</v>
      </c>
      <c r="CX21" s="424">
        <v>1</v>
      </c>
      <c r="CY21" s="424">
        <v>1</v>
      </c>
      <c r="CZ21" s="424">
        <v>1</v>
      </c>
    </row>
    <row r="22" spans="1:104" s="81" customFormat="1" ht="12.6" x14ac:dyDescent="0.25">
      <c r="A22" s="252"/>
      <c r="B22" s="252" t="s">
        <v>39</v>
      </c>
      <c r="D22" s="380"/>
      <c r="E22" s="380"/>
      <c r="F22" s="380"/>
      <c r="G22" s="370">
        <f>IF(Standards_Active!$E23="yes",Standards_Acceptance!AQ22,Standards_Acceptance!CA22)</f>
        <v>1</v>
      </c>
      <c r="H22" s="370">
        <f>IF(Standards_Active!$E23="yes",Standards_Acceptance!AR22,Standards_Acceptance!CB22)</f>
        <v>1</v>
      </c>
      <c r="I22" s="370">
        <f>IF(Standards_Active!$E23="yes",Standards_Acceptance!AS22,Standards_Acceptance!CC22)</f>
        <v>1</v>
      </c>
      <c r="J22" s="370">
        <f>IF(Standards_Active!$E23="yes",Standards_Acceptance!AT22,Standards_Acceptance!CD22)</f>
        <v>1</v>
      </c>
      <c r="K22" s="370">
        <f>IF(Standards_Active!$E23="yes",Standards_Acceptance!AU22,Standards_Acceptance!CE22)</f>
        <v>1</v>
      </c>
      <c r="L22" s="370">
        <f>IF(Standards_Active!$E23="yes",Standards_Acceptance!AV22,Standards_Acceptance!CF22)</f>
        <v>1</v>
      </c>
      <c r="M22" s="370">
        <f>IF(Standards_Active!$E23="yes",Standards_Acceptance!AW22,Standards_Acceptance!CG22)</f>
        <v>1</v>
      </c>
      <c r="N22" s="370">
        <f>IF(Standards_Active!$E23="yes",Standards_Acceptance!AX22,Standards_Acceptance!CH22)</f>
        <v>1</v>
      </c>
      <c r="O22" s="370">
        <f>IF(Standards_Active!$E23="yes",Standards_Acceptance!AY22,Standards_Acceptance!CI22)</f>
        <v>1</v>
      </c>
      <c r="P22" s="370">
        <f>IF(Standards_Active!$E23="yes",Standards_Acceptance!AZ22,Standards_Acceptance!CJ22)</f>
        <v>1</v>
      </c>
      <c r="Q22" s="370">
        <f>IF(Standards_Active!$E23="yes",Standards_Acceptance!BA22,Standards_Acceptance!CK22)</f>
        <v>1</v>
      </c>
      <c r="R22" s="370">
        <f>IF(Standards_Active!$E23="yes",Standards_Acceptance!BB22,Standards_Acceptance!CL22)</f>
        <v>1</v>
      </c>
      <c r="S22" s="370">
        <f>IF(Standards_Active!$E23="yes",Standards_Acceptance!BC22,Standards_Acceptance!CM22)</f>
        <v>1</v>
      </c>
      <c r="T22" s="370">
        <f>IF(Standards_Active!$E23="yes",Standards_Acceptance!BD22,Standards_Acceptance!CN22)</f>
        <v>1</v>
      </c>
      <c r="U22" s="370">
        <f>IF(Standards_Active!$E23="yes",Standards_Acceptance!BE22,Standards_Acceptance!CO22)</f>
        <v>1</v>
      </c>
      <c r="V22" s="370">
        <f>IF(Standards_Active!$E23="yes",Standards_Acceptance!BF22,Standards_Acceptance!CP22)</f>
        <v>1</v>
      </c>
      <c r="W22" s="370">
        <f>IF(Standards_Active!$E23="yes",Standards_Acceptance!BG22,Standards_Acceptance!CQ22)</f>
        <v>1</v>
      </c>
      <c r="X22" s="370">
        <f>IF(Standards_Active!$E23="yes",Standards_Acceptance!BH22,Standards_Acceptance!CR22)</f>
        <v>1</v>
      </c>
      <c r="Y22" s="370">
        <f>IF(Standards_Active!$E23="yes",Standards_Acceptance!BI22,Standards_Acceptance!CS22)</f>
        <v>1</v>
      </c>
      <c r="Z22" s="370">
        <f>IF(Standards_Active!$E23="yes",Standards_Acceptance!BJ22,Standards_Acceptance!CT22)</f>
        <v>1</v>
      </c>
      <c r="AA22" s="370">
        <f>IF(Standards_Active!$E23="yes",Standards_Acceptance!BK22,Standards_Acceptance!CU22)</f>
        <v>1</v>
      </c>
      <c r="AB22" s="370">
        <f>IF(Standards_Active!$E23="yes",Standards_Acceptance!BL22,Standards_Acceptance!CV22)</f>
        <v>1</v>
      </c>
      <c r="AC22" s="370">
        <f>IF(Standards_Active!$E23="yes",Standards_Acceptance!BM22,Standards_Acceptance!CW22)</f>
        <v>1</v>
      </c>
      <c r="AD22" s="370">
        <f>IF(Standards_Active!$E23="yes",Standards_Acceptance!BN22,Standards_Acceptance!CX22)</f>
        <v>1</v>
      </c>
      <c r="AE22" s="370">
        <f>IF(Standards_Active!$E23="yes",Standards_Acceptance!BO22,Standards_Acceptance!CY22)</f>
        <v>1</v>
      </c>
      <c r="AF22" s="370">
        <f>IF(Standards_Active!$E23="yes",Standards_Acceptance!BP22,Standards_Acceptance!CZ22)</f>
        <v>1</v>
      </c>
      <c r="AH22" s="376"/>
      <c r="AI22" s="376"/>
      <c r="AJ22" s="376"/>
      <c r="AK22" s="376"/>
      <c r="AL22" s="376"/>
      <c r="AM22" s="376"/>
      <c r="AN22" s="376"/>
      <c r="AO22" s="376"/>
      <c r="AP22" s="376"/>
      <c r="AQ22" s="622">
        <f>IF(ISNUMBER(Standards_Active!$F23),IF(AND(AQ$7&gt;=Standards_Active!$C23,AQ$7&lt;Standards_Active!$D23),AP22-Standards_Active!$G23*INDEX($AQ$9:$BP$9,1,MATCH((Standards_Active!$C23-1),$AQ$7:$BP$7,FALSE)),IF(AQ$7&gt;=Standards_Active!$D23,Standards_Active!$H23,CA22)),CA22)</f>
        <v>1</v>
      </c>
      <c r="AR22" s="622">
        <f>IF(ISNUMBER(Standards_Active!$F23),IF(AND(AR$7&gt;=Standards_Active!$C23,AR$7&lt;Standards_Active!$D23),AQ22-Standards_Active!$G23*INDEX($AQ$9:$BP$9,1,MATCH((Standards_Active!$C23-1),$AQ$7:$BP$7,FALSE)),IF(AR$7&gt;=Standards_Active!$D23,Standards_Active!$H23,CB22)),CB22)</f>
        <v>1</v>
      </c>
      <c r="AS22" s="622">
        <f>IF(ISNUMBER(Standards_Active!$F23),IF(AND(AS$7&gt;=Standards_Active!$C23,AS$7&lt;Standards_Active!$D23),AR22-Standards_Active!$G23*INDEX($AQ$9:$BP$9,1,MATCH((Standards_Active!$C23-1),$AQ$7:$BP$7,FALSE)),IF(AS$7&gt;=Standards_Active!$D23,Standards_Active!$H23,CC22)),CC22)</f>
        <v>1</v>
      </c>
      <c r="AT22" s="622">
        <f>IF(ISNUMBER(Standards_Active!$F23),IF(AND(AT$7&gt;=Standards_Active!$C23,AT$7&lt;Standards_Active!$D23),AS22-Standards_Active!$G23*INDEX($AQ$9:$BP$9,1,MATCH((Standards_Active!$C23-1),$AQ$7:$BP$7,FALSE)),IF(AT$7&gt;=Standards_Active!$D23,Standards_Active!$H23,CD22)),CD22)</f>
        <v>1</v>
      </c>
      <c r="AU22" s="622">
        <f>IF(ISNUMBER(Standards_Active!$F23),IF(AND(AU$7&gt;=Standards_Active!$C23,AU$7&lt;Standards_Active!$D23),AT22-Standards_Active!$G23*INDEX($AQ$9:$BP$9,1,MATCH((Standards_Active!$C23-1),$AQ$7:$BP$7,FALSE)),IF(AU$7&gt;=Standards_Active!$D23,Standards_Active!$H23,CE22)),CE22)</f>
        <v>1</v>
      </c>
      <c r="AV22" s="622">
        <f>IF(ISNUMBER(Standards_Active!$F23),IF(AND(AV$7&gt;=Standards_Active!$C23,AV$7&lt;Standards_Active!$D23),AU22-Standards_Active!$G23*INDEX($AQ$9:$BP$9,1,MATCH((Standards_Active!$C23-1),$AQ$7:$BP$7,FALSE)),IF(AV$7&gt;=Standards_Active!$D23,Standards_Active!$H23,CF22)),CF22)</f>
        <v>1</v>
      </c>
      <c r="AW22" s="622">
        <f>IF(ISNUMBER(Standards_Active!$F23),IF(AND(AW$7&gt;=Standards_Active!$C23,AW$7&lt;Standards_Active!$D23),AV22-Standards_Active!$G23*INDEX($AQ$9:$BP$9,1,MATCH((Standards_Active!$C23-1),$AQ$7:$BP$7,FALSE)),IF(AW$7&gt;=Standards_Active!$D23,Standards_Active!$H23,CG22)),CG22)</f>
        <v>1</v>
      </c>
      <c r="AX22" s="622">
        <f>IF(ISNUMBER(Standards_Active!$F23),IF(AND(AX$7&gt;=Standards_Active!$C23,AX$7&lt;Standards_Active!$D23),AW22-Standards_Active!$G23*INDEX($AQ$9:$BP$9,1,MATCH((Standards_Active!$C23-1),$AQ$7:$BP$7,FALSE)),IF(AX$7&gt;=Standards_Active!$D23,Standards_Active!$H23,CH22)),CH22)</f>
        <v>1</v>
      </c>
      <c r="AY22" s="622">
        <f>IF(ISNUMBER(Standards_Active!$F23),IF(AND(AY$7&gt;=Standards_Active!$C23,AY$7&lt;Standards_Active!$D23),AX22-Standards_Active!$G23*INDEX($AQ$9:$BP$9,1,MATCH((Standards_Active!$C23-1),$AQ$7:$BP$7,FALSE)),IF(AY$7&gt;=Standards_Active!$D23,Standards_Active!$H23,CI22)),CI22)</f>
        <v>1</v>
      </c>
      <c r="AZ22" s="622">
        <f>IF(ISNUMBER(Standards_Active!$F23),IF(AND(AZ$7&gt;=Standards_Active!$C23,AZ$7&lt;Standards_Active!$D23),AY22-Standards_Active!$G23*INDEX($AQ$9:$BP$9,1,MATCH((Standards_Active!$C23-1),$AQ$7:$BP$7,FALSE)),IF(AZ$7&gt;=Standards_Active!$D23,Standards_Active!$H23,CJ22)),CJ22)</f>
        <v>1</v>
      </c>
      <c r="BA22" s="622">
        <f>IF(ISNUMBER(Standards_Active!$F23),IF(AND(BA$7&gt;=Standards_Active!$C23,BA$7&lt;Standards_Active!$D23),AZ22-Standards_Active!$G23*INDEX($AQ$9:$BP$9,1,MATCH((Standards_Active!$C23-1),$AQ$7:$BP$7,FALSE)),IF(BA$7&gt;=Standards_Active!$D23,Standards_Active!$H23,CK22)),CK22)</f>
        <v>1</v>
      </c>
      <c r="BB22" s="622">
        <f>IF(ISNUMBER(Standards_Active!$F23),IF(AND(BB$7&gt;=Standards_Active!$C23,BB$7&lt;Standards_Active!$D23),BA22-Standards_Active!$G23*INDEX($AQ$9:$BP$9,1,MATCH((Standards_Active!$C23-1),$AQ$7:$BP$7,FALSE)),IF(BB$7&gt;=Standards_Active!$D23,Standards_Active!$H23,CL22)),CL22)</f>
        <v>1</v>
      </c>
      <c r="BC22" s="622">
        <f>IF(ISNUMBER(Standards_Active!$F23),IF(AND(BC$7&gt;=Standards_Active!$C23,BC$7&lt;Standards_Active!$D23),BB22-Standards_Active!$G23*INDEX($AQ$9:$BP$9,1,MATCH((Standards_Active!$C23-1),$AQ$7:$BP$7,FALSE)),IF(BC$7&gt;=Standards_Active!$D23,Standards_Active!$H23,CM22)),CM22)</f>
        <v>1</v>
      </c>
      <c r="BD22" s="622">
        <f>IF(ISNUMBER(Standards_Active!$F23),IF(AND(BD$7&gt;=Standards_Active!$C23,BD$7&lt;Standards_Active!$D23),BC22-Standards_Active!$G23*INDEX($AQ$9:$BP$9,1,MATCH((Standards_Active!$C23-1),$AQ$7:$BP$7,FALSE)),IF(BD$7&gt;=Standards_Active!$D23,Standards_Active!$H23,CN22)),CN22)</f>
        <v>1</v>
      </c>
      <c r="BE22" s="622">
        <f>IF(ISNUMBER(Standards_Active!$F23),IF(AND(BE$7&gt;=Standards_Active!$C23,BE$7&lt;Standards_Active!$D23),BD22-Standards_Active!$G23*INDEX($AQ$9:$BP$9,1,MATCH((Standards_Active!$C23-1),$AQ$7:$BP$7,FALSE)),IF(BE$7&gt;=Standards_Active!$D23,Standards_Active!$H23,CO22)),CO22)</f>
        <v>1</v>
      </c>
      <c r="BF22" s="622">
        <f>IF(ISNUMBER(Standards_Active!$F23),IF(AND(BF$7&gt;=Standards_Active!$C23,BF$7&lt;Standards_Active!$D23),BE22-Standards_Active!$G23*INDEX($AQ$9:$BP$9,1,MATCH((Standards_Active!$C23-1),$AQ$7:$BP$7,FALSE)),IF(BF$7&gt;=Standards_Active!$D23,Standards_Active!$H23,CP22)),CP22)</f>
        <v>1</v>
      </c>
      <c r="BG22" s="622">
        <f>IF(ISNUMBER(Standards_Active!$F23),IF(AND(BG$7&gt;=Standards_Active!$C23,BG$7&lt;Standards_Active!$D23),BF22-Standards_Active!$G23*INDEX($AQ$9:$BP$9,1,MATCH((Standards_Active!$C23-1),$AQ$7:$BP$7,FALSE)),IF(BG$7&gt;=Standards_Active!$D23,Standards_Active!$H23,CQ22)),CQ22)</f>
        <v>1</v>
      </c>
      <c r="BH22" s="622">
        <f>IF(ISNUMBER(Standards_Active!$F23),IF(AND(BH$7&gt;=Standards_Active!$C23,BH$7&lt;Standards_Active!$D23),BG22-Standards_Active!$G23*INDEX($AQ$9:$BP$9,1,MATCH((Standards_Active!$C23-1),$AQ$7:$BP$7,FALSE)),IF(BH$7&gt;=Standards_Active!$D23,Standards_Active!$H23,CR22)),CR22)</f>
        <v>1</v>
      </c>
      <c r="BI22" s="622">
        <f>IF(ISNUMBER(Standards_Active!$F23),IF(AND(BI$7&gt;=Standards_Active!$C23,BI$7&lt;Standards_Active!$D23),BH22-Standards_Active!$G23*INDEX($AQ$9:$BP$9,1,MATCH((Standards_Active!$C23-1),$AQ$7:$BP$7,FALSE)),IF(BI$7&gt;=Standards_Active!$D23,Standards_Active!$H23,CS22)),CS22)</f>
        <v>1</v>
      </c>
      <c r="BJ22" s="622">
        <f>IF(ISNUMBER(Standards_Active!$F23),IF(AND(BJ$7&gt;=Standards_Active!$C23,BJ$7&lt;Standards_Active!$D23),BI22-Standards_Active!$G23*INDEX($AQ$9:$BP$9,1,MATCH((Standards_Active!$C23-1),$AQ$7:$BP$7,FALSE)),IF(BJ$7&gt;=Standards_Active!$D23,Standards_Active!$H23,CT22)),CT22)</f>
        <v>1</v>
      </c>
      <c r="BK22" s="622">
        <f>IF(ISNUMBER(Standards_Active!$F23),IF(AND(BK$7&gt;=Standards_Active!$C23,BK$7&lt;Standards_Active!$D23),BJ22-Standards_Active!$G23*INDEX($AQ$9:$BP$9,1,MATCH((Standards_Active!$C23-1),$AQ$7:$BP$7,FALSE)),IF(BK$7&gt;=Standards_Active!$D23,Standards_Active!$H23,CU22)),CU22)</f>
        <v>1</v>
      </c>
      <c r="BL22" s="622">
        <f>IF(ISNUMBER(Standards_Active!$F23),IF(AND(BL$7&gt;=Standards_Active!$C23,BL$7&lt;Standards_Active!$D23),BK22-Standards_Active!$G23*INDEX($AQ$9:$BP$9,1,MATCH((Standards_Active!$C23-1),$AQ$7:$BP$7,FALSE)),IF(BL$7&gt;=Standards_Active!$D23,Standards_Active!$H23,CV22)),CV22)</f>
        <v>1</v>
      </c>
      <c r="BM22" s="622">
        <f>IF(ISNUMBER(Standards_Active!$F23),IF(AND(BM$7&gt;=Standards_Active!$C23,BM$7&lt;Standards_Active!$D23),BL22-Standards_Active!$G23*INDEX($AQ$9:$BP$9,1,MATCH((Standards_Active!$C23-1),$AQ$7:$BP$7,FALSE)),IF(BM$7&gt;=Standards_Active!$D23,Standards_Active!$H23,CW22)),CW22)</f>
        <v>1</v>
      </c>
      <c r="BN22" s="622">
        <f>IF(ISNUMBER(Standards_Active!$F23),IF(AND(BN$7&gt;=Standards_Active!$C23,BN$7&lt;Standards_Active!$D23),BM22-Standards_Active!$G23*INDEX($AQ$9:$BP$9,1,MATCH((Standards_Active!$C23-1),$AQ$7:$BP$7,FALSE)),IF(BN$7&gt;=Standards_Active!$D23,Standards_Active!$H23,CX22)),CX22)</f>
        <v>1</v>
      </c>
      <c r="BO22" s="622">
        <f>IF(ISNUMBER(Standards_Active!$F23),IF(AND(BO$7&gt;=Standards_Active!$C23,BO$7&lt;Standards_Active!$D23),BN22-Standards_Active!$G23*INDEX($AQ$9:$BP$9,1,MATCH((Standards_Active!$C23-1),$AQ$7:$BP$7,FALSE)),IF(BO$7&gt;=Standards_Active!$D23,Standards_Active!$H23,CY22)),CY22)</f>
        <v>1</v>
      </c>
      <c r="BP22" s="622">
        <f>IF(ISNUMBER(Standards_Active!$F23),IF(AND(BP$7&gt;=Standards_Active!$C23,BP$7&lt;Standards_Active!$D23),BO22-Standards_Active!$G23*INDEX($AQ$9:$BP$9,1,MATCH((Standards_Active!$C23-1),$AQ$7:$BP$7,FALSE)),IF(BP$7&gt;=Standards_Active!$D23,Standards_Active!$H23,CZ22)),CZ22)</f>
        <v>1</v>
      </c>
      <c r="BQ22" s="380"/>
      <c r="BR22" s="376"/>
      <c r="BS22" s="376"/>
      <c r="BT22" s="376"/>
      <c r="BU22" s="376"/>
      <c r="BV22" s="376"/>
      <c r="BW22" s="376"/>
      <c r="BX22" s="376"/>
      <c r="BY22" s="376"/>
      <c r="BZ22" s="376"/>
      <c r="CA22" s="424">
        <v>1</v>
      </c>
      <c r="CB22" s="424">
        <v>1</v>
      </c>
      <c r="CC22" s="424">
        <v>1</v>
      </c>
      <c r="CD22" s="424">
        <v>1</v>
      </c>
      <c r="CE22" s="424">
        <v>1</v>
      </c>
      <c r="CF22" s="424">
        <v>1</v>
      </c>
      <c r="CG22" s="424">
        <v>1</v>
      </c>
      <c r="CH22" s="424">
        <v>1</v>
      </c>
      <c r="CI22" s="424">
        <v>1</v>
      </c>
      <c r="CJ22" s="424">
        <v>1</v>
      </c>
      <c r="CK22" s="424">
        <v>1</v>
      </c>
      <c r="CL22" s="424">
        <v>1</v>
      </c>
      <c r="CM22" s="424">
        <v>1</v>
      </c>
      <c r="CN22" s="424">
        <v>1</v>
      </c>
      <c r="CO22" s="424">
        <v>1</v>
      </c>
      <c r="CP22" s="424">
        <v>1</v>
      </c>
      <c r="CQ22" s="424">
        <v>1</v>
      </c>
      <c r="CR22" s="424">
        <v>1</v>
      </c>
      <c r="CS22" s="424">
        <v>1</v>
      </c>
      <c r="CT22" s="424">
        <v>1</v>
      </c>
      <c r="CU22" s="424">
        <v>1</v>
      </c>
      <c r="CV22" s="424">
        <v>1</v>
      </c>
      <c r="CW22" s="424">
        <v>1</v>
      </c>
      <c r="CX22" s="424">
        <v>1</v>
      </c>
      <c r="CY22" s="424">
        <v>1</v>
      </c>
      <c r="CZ22" s="424">
        <v>1</v>
      </c>
    </row>
    <row r="23" spans="1:104" s="81" customFormat="1" ht="12.6" x14ac:dyDescent="0.25">
      <c r="A23" s="252"/>
      <c r="B23" s="252" t="s">
        <v>40</v>
      </c>
      <c r="D23" s="380"/>
      <c r="E23" s="380"/>
      <c r="F23" s="380"/>
      <c r="G23" s="370">
        <f>IF(Standards_Active!$E24="yes",Standards_Acceptance!AQ23,Standards_Acceptance!CA23)</f>
        <v>1</v>
      </c>
      <c r="H23" s="370">
        <f>IF(Standards_Active!$E24="yes",Standards_Acceptance!AR23,Standards_Acceptance!CB23)</f>
        <v>1</v>
      </c>
      <c r="I23" s="370">
        <f>IF(Standards_Active!$E24="yes",Standards_Acceptance!AS23,Standards_Acceptance!CC23)</f>
        <v>1</v>
      </c>
      <c r="J23" s="370">
        <f>IF(Standards_Active!$E24="yes",Standards_Acceptance!AT23,Standards_Acceptance!CD23)</f>
        <v>1</v>
      </c>
      <c r="K23" s="370">
        <f>IF(Standards_Active!$E24="yes",Standards_Acceptance!AU23,Standards_Acceptance!CE23)</f>
        <v>1</v>
      </c>
      <c r="L23" s="370">
        <f>IF(Standards_Active!$E24="yes",Standards_Acceptance!AV23,Standards_Acceptance!CF23)</f>
        <v>1</v>
      </c>
      <c r="M23" s="370">
        <f>IF(Standards_Active!$E24="yes",Standards_Acceptance!AW23,Standards_Acceptance!CG23)</f>
        <v>1</v>
      </c>
      <c r="N23" s="370">
        <f>IF(Standards_Active!$E24="yes",Standards_Acceptance!AX23,Standards_Acceptance!CH23)</f>
        <v>1</v>
      </c>
      <c r="O23" s="370">
        <f>IF(Standards_Active!$E24="yes",Standards_Acceptance!AY23,Standards_Acceptance!CI23)</f>
        <v>1</v>
      </c>
      <c r="P23" s="370">
        <f>IF(Standards_Active!$E24="yes",Standards_Acceptance!AZ23,Standards_Acceptance!CJ23)</f>
        <v>1</v>
      </c>
      <c r="Q23" s="370">
        <f>IF(Standards_Active!$E24="yes",Standards_Acceptance!BA23,Standards_Acceptance!CK23)</f>
        <v>1</v>
      </c>
      <c r="R23" s="370">
        <f>IF(Standards_Active!$E24="yes",Standards_Acceptance!BB23,Standards_Acceptance!CL23)</f>
        <v>1</v>
      </c>
      <c r="S23" s="370">
        <f>IF(Standards_Active!$E24="yes",Standards_Acceptance!BC23,Standards_Acceptance!CM23)</f>
        <v>1</v>
      </c>
      <c r="T23" s="370">
        <f>IF(Standards_Active!$E24="yes",Standards_Acceptance!BD23,Standards_Acceptance!CN23)</f>
        <v>1</v>
      </c>
      <c r="U23" s="370">
        <f>IF(Standards_Active!$E24="yes",Standards_Acceptance!BE23,Standards_Acceptance!CO23)</f>
        <v>1</v>
      </c>
      <c r="V23" s="370">
        <f>IF(Standards_Active!$E24="yes",Standards_Acceptance!BF23,Standards_Acceptance!CP23)</f>
        <v>1</v>
      </c>
      <c r="W23" s="370">
        <f>IF(Standards_Active!$E24="yes",Standards_Acceptance!BG23,Standards_Acceptance!CQ23)</f>
        <v>1</v>
      </c>
      <c r="X23" s="370">
        <f>IF(Standards_Active!$E24="yes",Standards_Acceptance!BH23,Standards_Acceptance!CR23)</f>
        <v>1</v>
      </c>
      <c r="Y23" s="370">
        <f>IF(Standards_Active!$E24="yes",Standards_Acceptance!BI23,Standards_Acceptance!CS23)</f>
        <v>1</v>
      </c>
      <c r="Z23" s="370">
        <f>IF(Standards_Active!$E24="yes",Standards_Acceptance!BJ23,Standards_Acceptance!CT23)</f>
        <v>1</v>
      </c>
      <c r="AA23" s="370">
        <f>IF(Standards_Active!$E24="yes",Standards_Acceptance!BK23,Standards_Acceptance!CU23)</f>
        <v>1</v>
      </c>
      <c r="AB23" s="370">
        <f>IF(Standards_Active!$E24="yes",Standards_Acceptance!BL23,Standards_Acceptance!CV23)</f>
        <v>1</v>
      </c>
      <c r="AC23" s="370">
        <f>IF(Standards_Active!$E24="yes",Standards_Acceptance!BM23,Standards_Acceptance!CW23)</f>
        <v>1</v>
      </c>
      <c r="AD23" s="370">
        <f>IF(Standards_Active!$E24="yes",Standards_Acceptance!BN23,Standards_Acceptance!CX23)</f>
        <v>1</v>
      </c>
      <c r="AE23" s="370">
        <f>IF(Standards_Active!$E24="yes",Standards_Acceptance!BO23,Standards_Acceptance!CY23)</f>
        <v>1</v>
      </c>
      <c r="AF23" s="370">
        <f>IF(Standards_Active!$E24="yes",Standards_Acceptance!BP23,Standards_Acceptance!CZ23)</f>
        <v>1</v>
      </c>
      <c r="AH23" s="376"/>
      <c r="AI23" s="376"/>
      <c r="AJ23" s="376"/>
      <c r="AK23" s="376"/>
      <c r="AL23" s="376"/>
      <c r="AM23" s="376"/>
      <c r="AN23" s="376"/>
      <c r="AO23" s="376"/>
      <c r="AP23" s="376"/>
      <c r="AQ23" s="622">
        <f>IF(ISNUMBER(Standards_Active!$F24),IF(AND(AQ$7&gt;=Standards_Active!$C24,AQ$7&lt;Standards_Active!$D24),AP23-Standards_Active!$G24*INDEX($AQ$9:$BP$9,1,MATCH((Standards_Active!$C24-1),$AQ$7:$BP$7,FALSE)),IF(AQ$7&gt;=Standards_Active!$D24,Standards_Active!$H24,CA23)),CA23)</f>
        <v>1</v>
      </c>
      <c r="AR23" s="622">
        <f>IF(ISNUMBER(Standards_Active!$F24),IF(AND(AR$7&gt;=Standards_Active!$C24,AR$7&lt;Standards_Active!$D24),AQ23-Standards_Active!$G24*INDEX($AQ$9:$BP$9,1,MATCH((Standards_Active!$C24-1),$AQ$7:$BP$7,FALSE)),IF(AR$7&gt;=Standards_Active!$D24,Standards_Active!$H24,CB23)),CB23)</f>
        <v>1</v>
      </c>
      <c r="AS23" s="622">
        <f>IF(ISNUMBER(Standards_Active!$F24),IF(AND(AS$7&gt;=Standards_Active!$C24,AS$7&lt;Standards_Active!$D24),AR23-Standards_Active!$G24*INDEX($AQ$9:$BP$9,1,MATCH((Standards_Active!$C24-1),$AQ$7:$BP$7,FALSE)),IF(AS$7&gt;=Standards_Active!$D24,Standards_Active!$H24,CC23)),CC23)</f>
        <v>1</v>
      </c>
      <c r="AT23" s="622">
        <f>IF(ISNUMBER(Standards_Active!$F24),IF(AND(AT$7&gt;=Standards_Active!$C24,AT$7&lt;Standards_Active!$D24),AS23-Standards_Active!$G24*INDEX($AQ$9:$BP$9,1,MATCH((Standards_Active!$C24-1),$AQ$7:$BP$7,FALSE)),IF(AT$7&gt;=Standards_Active!$D24,Standards_Active!$H24,CD23)),CD23)</f>
        <v>1</v>
      </c>
      <c r="AU23" s="622">
        <f>IF(ISNUMBER(Standards_Active!$F24),IF(AND(AU$7&gt;=Standards_Active!$C24,AU$7&lt;Standards_Active!$D24),AT23-Standards_Active!$G24*INDEX($AQ$9:$BP$9,1,MATCH((Standards_Active!$C24-1),$AQ$7:$BP$7,FALSE)),IF(AU$7&gt;=Standards_Active!$D24,Standards_Active!$H24,CE23)),CE23)</f>
        <v>1</v>
      </c>
      <c r="AV23" s="622">
        <f>IF(ISNUMBER(Standards_Active!$F24),IF(AND(AV$7&gt;=Standards_Active!$C24,AV$7&lt;Standards_Active!$D24),AU23-Standards_Active!$G24*INDEX($AQ$9:$BP$9,1,MATCH((Standards_Active!$C24-1),$AQ$7:$BP$7,FALSE)),IF(AV$7&gt;=Standards_Active!$D24,Standards_Active!$H24,CF23)),CF23)</f>
        <v>1</v>
      </c>
      <c r="AW23" s="622">
        <f>IF(ISNUMBER(Standards_Active!$F24),IF(AND(AW$7&gt;=Standards_Active!$C24,AW$7&lt;Standards_Active!$D24),AV23-Standards_Active!$G24*INDEX($AQ$9:$BP$9,1,MATCH((Standards_Active!$C24-1),$AQ$7:$BP$7,FALSE)),IF(AW$7&gt;=Standards_Active!$D24,Standards_Active!$H24,CG23)),CG23)</f>
        <v>1</v>
      </c>
      <c r="AX23" s="622">
        <f>IF(ISNUMBER(Standards_Active!$F24),IF(AND(AX$7&gt;=Standards_Active!$C24,AX$7&lt;Standards_Active!$D24),AW23-Standards_Active!$G24*INDEX($AQ$9:$BP$9,1,MATCH((Standards_Active!$C24-1),$AQ$7:$BP$7,FALSE)),IF(AX$7&gt;=Standards_Active!$D24,Standards_Active!$H24,CH23)),CH23)</f>
        <v>1</v>
      </c>
      <c r="AY23" s="622">
        <f>IF(ISNUMBER(Standards_Active!$F24),IF(AND(AY$7&gt;=Standards_Active!$C24,AY$7&lt;Standards_Active!$D24),AX23-Standards_Active!$G24*INDEX($AQ$9:$BP$9,1,MATCH((Standards_Active!$C24-1),$AQ$7:$BP$7,FALSE)),IF(AY$7&gt;=Standards_Active!$D24,Standards_Active!$H24,CI23)),CI23)</f>
        <v>1</v>
      </c>
      <c r="AZ23" s="622">
        <f>IF(ISNUMBER(Standards_Active!$F24),IF(AND(AZ$7&gt;=Standards_Active!$C24,AZ$7&lt;Standards_Active!$D24),AY23-Standards_Active!$G24*INDEX($AQ$9:$BP$9,1,MATCH((Standards_Active!$C24-1),$AQ$7:$BP$7,FALSE)),IF(AZ$7&gt;=Standards_Active!$D24,Standards_Active!$H24,CJ23)),CJ23)</f>
        <v>1</v>
      </c>
      <c r="BA23" s="622">
        <f>IF(ISNUMBER(Standards_Active!$F24),IF(AND(BA$7&gt;=Standards_Active!$C24,BA$7&lt;Standards_Active!$D24),AZ23-Standards_Active!$G24*INDEX($AQ$9:$BP$9,1,MATCH((Standards_Active!$C24-1),$AQ$7:$BP$7,FALSE)),IF(BA$7&gt;=Standards_Active!$D24,Standards_Active!$H24,CK23)),CK23)</f>
        <v>1</v>
      </c>
      <c r="BB23" s="622">
        <f>IF(ISNUMBER(Standards_Active!$F24),IF(AND(BB$7&gt;=Standards_Active!$C24,BB$7&lt;Standards_Active!$D24),BA23-Standards_Active!$G24*INDEX($AQ$9:$BP$9,1,MATCH((Standards_Active!$C24-1),$AQ$7:$BP$7,FALSE)),IF(BB$7&gt;=Standards_Active!$D24,Standards_Active!$H24,CL23)),CL23)</f>
        <v>1</v>
      </c>
      <c r="BC23" s="622">
        <f>IF(ISNUMBER(Standards_Active!$F24),IF(AND(BC$7&gt;=Standards_Active!$C24,BC$7&lt;Standards_Active!$D24),BB23-Standards_Active!$G24*INDEX($AQ$9:$BP$9,1,MATCH((Standards_Active!$C24-1),$AQ$7:$BP$7,FALSE)),IF(BC$7&gt;=Standards_Active!$D24,Standards_Active!$H24,CM23)),CM23)</f>
        <v>1</v>
      </c>
      <c r="BD23" s="622">
        <f>IF(ISNUMBER(Standards_Active!$F24),IF(AND(BD$7&gt;=Standards_Active!$C24,BD$7&lt;Standards_Active!$D24),BC23-Standards_Active!$G24*INDEX($AQ$9:$BP$9,1,MATCH((Standards_Active!$C24-1),$AQ$7:$BP$7,FALSE)),IF(BD$7&gt;=Standards_Active!$D24,Standards_Active!$H24,CN23)),CN23)</f>
        <v>1</v>
      </c>
      <c r="BE23" s="622">
        <f>IF(ISNUMBER(Standards_Active!$F24),IF(AND(BE$7&gt;=Standards_Active!$C24,BE$7&lt;Standards_Active!$D24),BD23-Standards_Active!$G24*INDEX($AQ$9:$BP$9,1,MATCH((Standards_Active!$C24-1),$AQ$7:$BP$7,FALSE)),IF(BE$7&gt;=Standards_Active!$D24,Standards_Active!$H24,CO23)),CO23)</f>
        <v>1</v>
      </c>
      <c r="BF23" s="622">
        <f>IF(ISNUMBER(Standards_Active!$F24),IF(AND(BF$7&gt;=Standards_Active!$C24,BF$7&lt;Standards_Active!$D24),BE23-Standards_Active!$G24*INDEX($AQ$9:$BP$9,1,MATCH((Standards_Active!$C24-1),$AQ$7:$BP$7,FALSE)),IF(BF$7&gt;=Standards_Active!$D24,Standards_Active!$H24,CP23)),CP23)</f>
        <v>1</v>
      </c>
      <c r="BG23" s="622">
        <f>IF(ISNUMBER(Standards_Active!$F24),IF(AND(BG$7&gt;=Standards_Active!$C24,BG$7&lt;Standards_Active!$D24),BF23-Standards_Active!$G24*INDEX($AQ$9:$BP$9,1,MATCH((Standards_Active!$C24-1),$AQ$7:$BP$7,FALSE)),IF(BG$7&gt;=Standards_Active!$D24,Standards_Active!$H24,CQ23)),CQ23)</f>
        <v>1</v>
      </c>
      <c r="BH23" s="622">
        <f>IF(ISNUMBER(Standards_Active!$F24),IF(AND(BH$7&gt;=Standards_Active!$C24,BH$7&lt;Standards_Active!$D24),BG23-Standards_Active!$G24*INDEX($AQ$9:$BP$9,1,MATCH((Standards_Active!$C24-1),$AQ$7:$BP$7,FALSE)),IF(BH$7&gt;=Standards_Active!$D24,Standards_Active!$H24,CR23)),CR23)</f>
        <v>1</v>
      </c>
      <c r="BI23" s="622">
        <f>IF(ISNUMBER(Standards_Active!$F24),IF(AND(BI$7&gt;=Standards_Active!$C24,BI$7&lt;Standards_Active!$D24),BH23-Standards_Active!$G24*INDEX($AQ$9:$BP$9,1,MATCH((Standards_Active!$C24-1),$AQ$7:$BP$7,FALSE)),IF(BI$7&gt;=Standards_Active!$D24,Standards_Active!$H24,CS23)),CS23)</f>
        <v>1</v>
      </c>
      <c r="BJ23" s="622">
        <f>IF(ISNUMBER(Standards_Active!$F24),IF(AND(BJ$7&gt;=Standards_Active!$C24,BJ$7&lt;Standards_Active!$D24),BI23-Standards_Active!$G24*INDEX($AQ$9:$BP$9,1,MATCH((Standards_Active!$C24-1),$AQ$7:$BP$7,FALSE)),IF(BJ$7&gt;=Standards_Active!$D24,Standards_Active!$H24,CT23)),CT23)</f>
        <v>1</v>
      </c>
      <c r="BK23" s="622">
        <f>IF(ISNUMBER(Standards_Active!$F24),IF(AND(BK$7&gt;=Standards_Active!$C24,BK$7&lt;Standards_Active!$D24),BJ23-Standards_Active!$G24*INDEX($AQ$9:$BP$9,1,MATCH((Standards_Active!$C24-1),$AQ$7:$BP$7,FALSE)),IF(BK$7&gt;=Standards_Active!$D24,Standards_Active!$H24,CU23)),CU23)</f>
        <v>1</v>
      </c>
      <c r="BL23" s="622">
        <f>IF(ISNUMBER(Standards_Active!$F24),IF(AND(BL$7&gt;=Standards_Active!$C24,BL$7&lt;Standards_Active!$D24),BK23-Standards_Active!$G24*INDEX($AQ$9:$BP$9,1,MATCH((Standards_Active!$C24-1),$AQ$7:$BP$7,FALSE)),IF(BL$7&gt;=Standards_Active!$D24,Standards_Active!$H24,CV23)),CV23)</f>
        <v>1</v>
      </c>
      <c r="BM23" s="622">
        <f>IF(ISNUMBER(Standards_Active!$F24),IF(AND(BM$7&gt;=Standards_Active!$C24,BM$7&lt;Standards_Active!$D24),BL23-Standards_Active!$G24*INDEX($AQ$9:$BP$9,1,MATCH((Standards_Active!$C24-1),$AQ$7:$BP$7,FALSE)),IF(BM$7&gt;=Standards_Active!$D24,Standards_Active!$H24,CW23)),CW23)</f>
        <v>1</v>
      </c>
      <c r="BN23" s="622">
        <f>IF(ISNUMBER(Standards_Active!$F24),IF(AND(BN$7&gt;=Standards_Active!$C24,BN$7&lt;Standards_Active!$D24),BM23-Standards_Active!$G24*INDEX($AQ$9:$BP$9,1,MATCH((Standards_Active!$C24-1),$AQ$7:$BP$7,FALSE)),IF(BN$7&gt;=Standards_Active!$D24,Standards_Active!$H24,CX23)),CX23)</f>
        <v>1</v>
      </c>
      <c r="BO23" s="622">
        <f>IF(ISNUMBER(Standards_Active!$F24),IF(AND(BO$7&gt;=Standards_Active!$C24,BO$7&lt;Standards_Active!$D24),BN23-Standards_Active!$G24*INDEX($AQ$9:$BP$9,1,MATCH((Standards_Active!$C24-1),$AQ$7:$BP$7,FALSE)),IF(BO$7&gt;=Standards_Active!$D24,Standards_Active!$H24,CY23)),CY23)</f>
        <v>1</v>
      </c>
      <c r="BP23" s="622">
        <f>IF(ISNUMBER(Standards_Active!$F24),IF(AND(BP$7&gt;=Standards_Active!$C24,BP$7&lt;Standards_Active!$D24),BO23-Standards_Active!$G24*INDEX($AQ$9:$BP$9,1,MATCH((Standards_Active!$C24-1),$AQ$7:$BP$7,FALSE)),IF(BP$7&gt;=Standards_Active!$D24,Standards_Active!$H24,CZ23)),CZ23)</f>
        <v>1</v>
      </c>
      <c r="BQ23" s="380"/>
      <c r="BR23" s="376"/>
      <c r="BS23" s="376"/>
      <c r="BT23" s="376"/>
      <c r="BU23" s="376"/>
      <c r="BV23" s="376"/>
      <c r="BW23" s="376"/>
      <c r="BX23" s="376"/>
      <c r="BY23" s="376"/>
      <c r="BZ23" s="376"/>
      <c r="CA23" s="424">
        <v>1</v>
      </c>
      <c r="CB23" s="424">
        <v>1</v>
      </c>
      <c r="CC23" s="424">
        <v>1</v>
      </c>
      <c r="CD23" s="424">
        <v>1</v>
      </c>
      <c r="CE23" s="424">
        <v>1</v>
      </c>
      <c r="CF23" s="424">
        <v>1</v>
      </c>
      <c r="CG23" s="424">
        <v>1</v>
      </c>
      <c r="CH23" s="424">
        <v>1</v>
      </c>
      <c r="CI23" s="424">
        <v>1</v>
      </c>
      <c r="CJ23" s="424">
        <v>1</v>
      </c>
      <c r="CK23" s="424">
        <v>1</v>
      </c>
      <c r="CL23" s="424">
        <v>1</v>
      </c>
      <c r="CM23" s="424">
        <v>1</v>
      </c>
      <c r="CN23" s="424">
        <v>1</v>
      </c>
      <c r="CO23" s="424">
        <v>1</v>
      </c>
      <c r="CP23" s="424">
        <v>1</v>
      </c>
      <c r="CQ23" s="424">
        <v>1</v>
      </c>
      <c r="CR23" s="424">
        <v>1</v>
      </c>
      <c r="CS23" s="424">
        <v>1</v>
      </c>
      <c r="CT23" s="424">
        <v>1</v>
      </c>
      <c r="CU23" s="424">
        <v>1</v>
      </c>
      <c r="CV23" s="424">
        <v>1</v>
      </c>
      <c r="CW23" s="424">
        <v>1</v>
      </c>
      <c r="CX23" s="424">
        <v>1</v>
      </c>
      <c r="CY23" s="424">
        <v>1</v>
      </c>
      <c r="CZ23" s="424">
        <v>1</v>
      </c>
    </row>
    <row r="24" spans="1:104" s="81" customFormat="1" ht="12.6" x14ac:dyDescent="0.25">
      <c r="A24" s="252"/>
      <c r="B24" s="252" t="s">
        <v>29</v>
      </c>
      <c r="D24" s="380"/>
      <c r="E24" s="380"/>
      <c r="F24" s="380"/>
      <c r="G24" s="370">
        <f>IF(Standards_Active!$E25="yes",Standards_Acceptance!AQ24,Standards_Acceptance!CA24)</f>
        <v>1</v>
      </c>
      <c r="H24" s="370">
        <f>IF(Standards_Active!$E25="yes",Standards_Acceptance!AR24,Standards_Acceptance!CB24)</f>
        <v>1</v>
      </c>
      <c r="I24" s="370">
        <f>IF(Standards_Active!$E25="yes",Standards_Acceptance!AS24,Standards_Acceptance!CC24)</f>
        <v>1</v>
      </c>
      <c r="J24" s="370">
        <f>IF(Standards_Active!$E25="yes",Standards_Acceptance!AT24,Standards_Acceptance!CD24)</f>
        <v>1</v>
      </c>
      <c r="K24" s="370">
        <f>IF(Standards_Active!$E25="yes",Standards_Acceptance!AU24,Standards_Acceptance!CE24)</f>
        <v>1</v>
      </c>
      <c r="L24" s="370">
        <f>IF(Standards_Active!$E25="yes",Standards_Acceptance!AV24,Standards_Acceptance!CF24)</f>
        <v>1</v>
      </c>
      <c r="M24" s="370">
        <f>IF(Standards_Active!$E25="yes",Standards_Acceptance!AW24,Standards_Acceptance!CG24)</f>
        <v>1</v>
      </c>
      <c r="N24" s="370">
        <f>IF(Standards_Active!$E25="yes",Standards_Acceptance!AX24,Standards_Acceptance!CH24)</f>
        <v>1</v>
      </c>
      <c r="O24" s="370">
        <f>IF(Standards_Active!$E25="yes",Standards_Acceptance!AY24,Standards_Acceptance!CI24)</f>
        <v>1</v>
      </c>
      <c r="P24" s="370">
        <f>IF(Standards_Active!$E25="yes",Standards_Acceptance!AZ24,Standards_Acceptance!CJ24)</f>
        <v>1</v>
      </c>
      <c r="Q24" s="370">
        <f>IF(Standards_Active!$E25="yes",Standards_Acceptance!BA24,Standards_Acceptance!CK24)</f>
        <v>1</v>
      </c>
      <c r="R24" s="370">
        <f>IF(Standards_Active!$E25="yes",Standards_Acceptance!BB24,Standards_Acceptance!CL24)</f>
        <v>1</v>
      </c>
      <c r="S24" s="370">
        <f>IF(Standards_Active!$E25="yes",Standards_Acceptance!BC24,Standards_Acceptance!CM24)</f>
        <v>1</v>
      </c>
      <c r="T24" s="370">
        <f>IF(Standards_Active!$E25="yes",Standards_Acceptance!BD24,Standards_Acceptance!CN24)</f>
        <v>1</v>
      </c>
      <c r="U24" s="370">
        <f>IF(Standards_Active!$E25="yes",Standards_Acceptance!BE24,Standards_Acceptance!CO24)</f>
        <v>1</v>
      </c>
      <c r="V24" s="370">
        <f>IF(Standards_Active!$E25="yes",Standards_Acceptance!BF24,Standards_Acceptance!CP24)</f>
        <v>1</v>
      </c>
      <c r="W24" s="370">
        <f>IF(Standards_Active!$E25="yes",Standards_Acceptance!BG24,Standards_Acceptance!CQ24)</f>
        <v>1</v>
      </c>
      <c r="X24" s="370">
        <f>IF(Standards_Active!$E25="yes",Standards_Acceptance!BH24,Standards_Acceptance!CR24)</f>
        <v>1</v>
      </c>
      <c r="Y24" s="370">
        <f>IF(Standards_Active!$E25="yes",Standards_Acceptance!BI24,Standards_Acceptance!CS24)</f>
        <v>1</v>
      </c>
      <c r="Z24" s="370">
        <f>IF(Standards_Active!$E25="yes",Standards_Acceptance!BJ24,Standards_Acceptance!CT24)</f>
        <v>1</v>
      </c>
      <c r="AA24" s="370">
        <f>IF(Standards_Active!$E25="yes",Standards_Acceptance!BK24,Standards_Acceptance!CU24)</f>
        <v>1</v>
      </c>
      <c r="AB24" s="370">
        <f>IF(Standards_Active!$E25="yes",Standards_Acceptance!BL24,Standards_Acceptance!CV24)</f>
        <v>1</v>
      </c>
      <c r="AC24" s="370">
        <f>IF(Standards_Active!$E25="yes",Standards_Acceptance!BM24,Standards_Acceptance!CW24)</f>
        <v>1</v>
      </c>
      <c r="AD24" s="370">
        <f>IF(Standards_Active!$E25="yes",Standards_Acceptance!BN24,Standards_Acceptance!CX24)</f>
        <v>1</v>
      </c>
      <c r="AE24" s="370">
        <f>IF(Standards_Active!$E25="yes",Standards_Acceptance!BO24,Standards_Acceptance!CY24)</f>
        <v>1</v>
      </c>
      <c r="AF24" s="370">
        <f>IF(Standards_Active!$E25="yes",Standards_Acceptance!BP24,Standards_Acceptance!CZ24)</f>
        <v>1</v>
      </c>
      <c r="AH24" s="376"/>
      <c r="AI24" s="376"/>
      <c r="AJ24" s="376"/>
      <c r="AK24" s="376"/>
      <c r="AL24" s="376"/>
      <c r="AM24" s="376"/>
      <c r="AN24" s="376"/>
      <c r="AO24" s="376"/>
      <c r="AP24" s="376"/>
      <c r="AQ24" s="622">
        <f>IF(ISNUMBER(Standards_Active!$F25),IF(AND(AQ$7&gt;=Standards_Active!$C25,AQ$7&lt;Standards_Active!$D25),AP24-Standards_Active!$G25*INDEX($AQ$9:$BP$9,1,MATCH((Standards_Active!$C25-1),$AQ$7:$BP$7,FALSE)),IF(AQ$7&gt;=Standards_Active!$D25,Standards_Active!$H25,CA24)),CA24)</f>
        <v>1</v>
      </c>
      <c r="AR24" s="622">
        <f>IF(ISNUMBER(Standards_Active!$F25),IF(AND(AR$7&gt;=Standards_Active!$C25,AR$7&lt;Standards_Active!$D25),AQ24-Standards_Active!$G25*INDEX($AQ$9:$BP$9,1,MATCH((Standards_Active!$C25-1),$AQ$7:$BP$7,FALSE)),IF(AR$7&gt;=Standards_Active!$D25,Standards_Active!$H25,CB24)),CB24)</f>
        <v>1</v>
      </c>
      <c r="AS24" s="622">
        <f>IF(ISNUMBER(Standards_Active!$F25),IF(AND(AS$7&gt;=Standards_Active!$C25,AS$7&lt;Standards_Active!$D25),AR24-Standards_Active!$G25*INDEX($AQ$9:$BP$9,1,MATCH((Standards_Active!$C25-1),$AQ$7:$BP$7,FALSE)),IF(AS$7&gt;=Standards_Active!$D25,Standards_Active!$H25,CC24)),CC24)</f>
        <v>1</v>
      </c>
      <c r="AT24" s="622">
        <f>IF(ISNUMBER(Standards_Active!$F25),IF(AND(AT$7&gt;=Standards_Active!$C25,AT$7&lt;Standards_Active!$D25),AS24-Standards_Active!$G25*INDEX($AQ$9:$BP$9,1,MATCH((Standards_Active!$C25-1),$AQ$7:$BP$7,FALSE)),IF(AT$7&gt;=Standards_Active!$D25,Standards_Active!$H25,CD24)),CD24)</f>
        <v>1</v>
      </c>
      <c r="AU24" s="622">
        <f>IF(ISNUMBER(Standards_Active!$F25),IF(AND(AU$7&gt;=Standards_Active!$C25,AU$7&lt;Standards_Active!$D25),AT24-Standards_Active!$G25*INDEX($AQ$9:$BP$9,1,MATCH((Standards_Active!$C25-1),$AQ$7:$BP$7,FALSE)),IF(AU$7&gt;=Standards_Active!$D25,Standards_Active!$H25,CE24)),CE24)</f>
        <v>1</v>
      </c>
      <c r="AV24" s="622">
        <f>IF(ISNUMBER(Standards_Active!$F25),IF(AND(AV$7&gt;=Standards_Active!$C25,AV$7&lt;Standards_Active!$D25),AU24-Standards_Active!$G25*INDEX($AQ$9:$BP$9,1,MATCH((Standards_Active!$C25-1),$AQ$7:$BP$7,FALSE)),IF(AV$7&gt;=Standards_Active!$D25,Standards_Active!$H25,CF24)),CF24)</f>
        <v>1</v>
      </c>
      <c r="AW24" s="622">
        <f>IF(ISNUMBER(Standards_Active!$F25),IF(AND(AW$7&gt;=Standards_Active!$C25,AW$7&lt;Standards_Active!$D25),AV24-Standards_Active!$G25*INDEX($AQ$9:$BP$9,1,MATCH((Standards_Active!$C25-1),$AQ$7:$BP$7,FALSE)),IF(AW$7&gt;=Standards_Active!$D25,Standards_Active!$H25,CG24)),CG24)</f>
        <v>1</v>
      </c>
      <c r="AX24" s="622">
        <f>IF(ISNUMBER(Standards_Active!$F25),IF(AND(AX$7&gt;=Standards_Active!$C25,AX$7&lt;Standards_Active!$D25),AW24-Standards_Active!$G25*INDEX($AQ$9:$BP$9,1,MATCH((Standards_Active!$C25-1),$AQ$7:$BP$7,FALSE)),IF(AX$7&gt;=Standards_Active!$D25,Standards_Active!$H25,CH24)),CH24)</f>
        <v>1</v>
      </c>
      <c r="AY24" s="622">
        <f>IF(ISNUMBER(Standards_Active!$F25),IF(AND(AY$7&gt;=Standards_Active!$C25,AY$7&lt;Standards_Active!$D25),AX24-Standards_Active!$G25*INDEX($AQ$9:$BP$9,1,MATCH((Standards_Active!$C25-1),$AQ$7:$BP$7,FALSE)),IF(AY$7&gt;=Standards_Active!$D25,Standards_Active!$H25,CI24)),CI24)</f>
        <v>1</v>
      </c>
      <c r="AZ24" s="622">
        <f>IF(ISNUMBER(Standards_Active!$F25),IF(AND(AZ$7&gt;=Standards_Active!$C25,AZ$7&lt;Standards_Active!$D25),AY24-Standards_Active!$G25*INDEX($AQ$9:$BP$9,1,MATCH((Standards_Active!$C25-1),$AQ$7:$BP$7,FALSE)),IF(AZ$7&gt;=Standards_Active!$D25,Standards_Active!$H25,CJ24)),CJ24)</f>
        <v>1</v>
      </c>
      <c r="BA24" s="622">
        <f>IF(ISNUMBER(Standards_Active!$F25),IF(AND(BA$7&gt;=Standards_Active!$C25,BA$7&lt;Standards_Active!$D25),AZ24-Standards_Active!$G25*INDEX($AQ$9:$BP$9,1,MATCH((Standards_Active!$C25-1),$AQ$7:$BP$7,FALSE)),IF(BA$7&gt;=Standards_Active!$D25,Standards_Active!$H25,CK24)),CK24)</f>
        <v>1</v>
      </c>
      <c r="BB24" s="622">
        <f>IF(ISNUMBER(Standards_Active!$F25),IF(AND(BB$7&gt;=Standards_Active!$C25,BB$7&lt;Standards_Active!$D25),BA24-Standards_Active!$G25*INDEX($AQ$9:$BP$9,1,MATCH((Standards_Active!$C25-1),$AQ$7:$BP$7,FALSE)),IF(BB$7&gt;=Standards_Active!$D25,Standards_Active!$H25,CL24)),CL24)</f>
        <v>1</v>
      </c>
      <c r="BC24" s="622">
        <f>IF(ISNUMBER(Standards_Active!$F25),IF(AND(BC$7&gt;=Standards_Active!$C25,BC$7&lt;Standards_Active!$D25),BB24-Standards_Active!$G25*INDEX($AQ$9:$BP$9,1,MATCH((Standards_Active!$C25-1),$AQ$7:$BP$7,FALSE)),IF(BC$7&gt;=Standards_Active!$D25,Standards_Active!$H25,CM24)),CM24)</f>
        <v>1</v>
      </c>
      <c r="BD24" s="622">
        <f>IF(ISNUMBER(Standards_Active!$F25),IF(AND(BD$7&gt;=Standards_Active!$C25,BD$7&lt;Standards_Active!$D25),BC24-Standards_Active!$G25*INDEX($AQ$9:$BP$9,1,MATCH((Standards_Active!$C25-1),$AQ$7:$BP$7,FALSE)),IF(BD$7&gt;=Standards_Active!$D25,Standards_Active!$H25,CN24)),CN24)</f>
        <v>1</v>
      </c>
      <c r="BE24" s="622">
        <f>IF(ISNUMBER(Standards_Active!$F25),IF(AND(BE$7&gt;=Standards_Active!$C25,BE$7&lt;Standards_Active!$D25),BD24-Standards_Active!$G25*INDEX($AQ$9:$BP$9,1,MATCH((Standards_Active!$C25-1),$AQ$7:$BP$7,FALSE)),IF(BE$7&gt;=Standards_Active!$D25,Standards_Active!$H25,CO24)),CO24)</f>
        <v>1</v>
      </c>
      <c r="BF24" s="622">
        <f>IF(ISNUMBER(Standards_Active!$F25),IF(AND(BF$7&gt;=Standards_Active!$C25,BF$7&lt;Standards_Active!$D25),BE24-Standards_Active!$G25*INDEX($AQ$9:$BP$9,1,MATCH((Standards_Active!$C25-1),$AQ$7:$BP$7,FALSE)),IF(BF$7&gt;=Standards_Active!$D25,Standards_Active!$H25,CP24)),CP24)</f>
        <v>1</v>
      </c>
      <c r="BG24" s="622">
        <f>IF(ISNUMBER(Standards_Active!$F25),IF(AND(BG$7&gt;=Standards_Active!$C25,BG$7&lt;Standards_Active!$D25),BF24-Standards_Active!$G25*INDEX($AQ$9:$BP$9,1,MATCH((Standards_Active!$C25-1),$AQ$7:$BP$7,FALSE)),IF(BG$7&gt;=Standards_Active!$D25,Standards_Active!$H25,CQ24)),CQ24)</f>
        <v>1</v>
      </c>
      <c r="BH24" s="622">
        <f>IF(ISNUMBER(Standards_Active!$F25),IF(AND(BH$7&gt;=Standards_Active!$C25,BH$7&lt;Standards_Active!$D25),BG24-Standards_Active!$G25*INDEX($AQ$9:$BP$9,1,MATCH((Standards_Active!$C25-1),$AQ$7:$BP$7,FALSE)),IF(BH$7&gt;=Standards_Active!$D25,Standards_Active!$H25,CR24)),CR24)</f>
        <v>1</v>
      </c>
      <c r="BI24" s="622">
        <f>IF(ISNUMBER(Standards_Active!$F25),IF(AND(BI$7&gt;=Standards_Active!$C25,BI$7&lt;Standards_Active!$D25),BH24-Standards_Active!$G25*INDEX($AQ$9:$BP$9,1,MATCH((Standards_Active!$C25-1),$AQ$7:$BP$7,FALSE)),IF(BI$7&gt;=Standards_Active!$D25,Standards_Active!$H25,CS24)),CS24)</f>
        <v>1</v>
      </c>
      <c r="BJ24" s="622">
        <f>IF(ISNUMBER(Standards_Active!$F25),IF(AND(BJ$7&gt;=Standards_Active!$C25,BJ$7&lt;Standards_Active!$D25),BI24-Standards_Active!$G25*INDEX($AQ$9:$BP$9,1,MATCH((Standards_Active!$C25-1),$AQ$7:$BP$7,FALSE)),IF(BJ$7&gt;=Standards_Active!$D25,Standards_Active!$H25,CT24)),CT24)</f>
        <v>1</v>
      </c>
      <c r="BK24" s="622">
        <f>IF(ISNUMBER(Standards_Active!$F25),IF(AND(BK$7&gt;=Standards_Active!$C25,BK$7&lt;Standards_Active!$D25),BJ24-Standards_Active!$G25*INDEX($AQ$9:$BP$9,1,MATCH((Standards_Active!$C25-1),$AQ$7:$BP$7,FALSE)),IF(BK$7&gt;=Standards_Active!$D25,Standards_Active!$H25,CU24)),CU24)</f>
        <v>1</v>
      </c>
      <c r="BL24" s="622">
        <f>IF(ISNUMBER(Standards_Active!$F25),IF(AND(BL$7&gt;=Standards_Active!$C25,BL$7&lt;Standards_Active!$D25),BK24-Standards_Active!$G25*INDEX($AQ$9:$BP$9,1,MATCH((Standards_Active!$C25-1),$AQ$7:$BP$7,FALSE)),IF(BL$7&gt;=Standards_Active!$D25,Standards_Active!$H25,CV24)),CV24)</f>
        <v>1</v>
      </c>
      <c r="BM24" s="622">
        <f>IF(ISNUMBER(Standards_Active!$F25),IF(AND(BM$7&gt;=Standards_Active!$C25,BM$7&lt;Standards_Active!$D25),BL24-Standards_Active!$G25*INDEX($AQ$9:$BP$9,1,MATCH((Standards_Active!$C25-1),$AQ$7:$BP$7,FALSE)),IF(BM$7&gt;=Standards_Active!$D25,Standards_Active!$H25,CW24)),CW24)</f>
        <v>1</v>
      </c>
      <c r="BN24" s="622">
        <f>IF(ISNUMBER(Standards_Active!$F25),IF(AND(BN$7&gt;=Standards_Active!$C25,BN$7&lt;Standards_Active!$D25),BM24-Standards_Active!$G25*INDEX($AQ$9:$BP$9,1,MATCH((Standards_Active!$C25-1),$AQ$7:$BP$7,FALSE)),IF(BN$7&gt;=Standards_Active!$D25,Standards_Active!$H25,CX24)),CX24)</f>
        <v>1</v>
      </c>
      <c r="BO24" s="622">
        <f>IF(ISNUMBER(Standards_Active!$F25),IF(AND(BO$7&gt;=Standards_Active!$C25,BO$7&lt;Standards_Active!$D25),BN24-Standards_Active!$G25*INDEX($AQ$9:$BP$9,1,MATCH((Standards_Active!$C25-1),$AQ$7:$BP$7,FALSE)),IF(BO$7&gt;=Standards_Active!$D25,Standards_Active!$H25,CY24)),CY24)</f>
        <v>1</v>
      </c>
      <c r="BP24" s="622">
        <f>IF(ISNUMBER(Standards_Active!$F25),IF(AND(BP$7&gt;=Standards_Active!$C25,BP$7&lt;Standards_Active!$D25),BO24-Standards_Active!$G25*INDEX($AQ$9:$BP$9,1,MATCH((Standards_Active!$C25-1),$AQ$7:$BP$7,FALSE)),IF(BP$7&gt;=Standards_Active!$D25,Standards_Active!$H25,CZ24)),CZ24)</f>
        <v>1</v>
      </c>
      <c r="BQ24" s="380"/>
      <c r="BR24" s="376"/>
      <c r="BS24" s="376"/>
      <c r="BT24" s="376"/>
      <c r="BU24" s="376"/>
      <c r="BV24" s="376"/>
      <c r="BW24" s="376"/>
      <c r="BX24" s="376"/>
      <c r="BY24" s="376"/>
      <c r="BZ24" s="376"/>
      <c r="CA24" s="424">
        <v>1</v>
      </c>
      <c r="CB24" s="424">
        <v>1</v>
      </c>
      <c r="CC24" s="424">
        <v>1</v>
      </c>
      <c r="CD24" s="424">
        <v>1</v>
      </c>
      <c r="CE24" s="424">
        <v>1</v>
      </c>
      <c r="CF24" s="424">
        <v>1</v>
      </c>
      <c r="CG24" s="424">
        <v>1</v>
      </c>
      <c r="CH24" s="424">
        <v>1</v>
      </c>
      <c r="CI24" s="424">
        <v>1</v>
      </c>
      <c r="CJ24" s="424">
        <v>1</v>
      </c>
      <c r="CK24" s="424">
        <v>1</v>
      </c>
      <c r="CL24" s="424">
        <v>1</v>
      </c>
      <c r="CM24" s="424">
        <v>1</v>
      </c>
      <c r="CN24" s="424">
        <v>1</v>
      </c>
      <c r="CO24" s="424">
        <v>1</v>
      </c>
      <c r="CP24" s="424">
        <v>1</v>
      </c>
      <c r="CQ24" s="424">
        <v>1</v>
      </c>
      <c r="CR24" s="424">
        <v>1</v>
      </c>
      <c r="CS24" s="424">
        <v>1</v>
      </c>
      <c r="CT24" s="424">
        <v>1</v>
      </c>
      <c r="CU24" s="424">
        <v>1</v>
      </c>
      <c r="CV24" s="424">
        <v>1</v>
      </c>
      <c r="CW24" s="424">
        <v>1</v>
      </c>
      <c r="CX24" s="424">
        <v>1</v>
      </c>
      <c r="CY24" s="424">
        <v>1</v>
      </c>
      <c r="CZ24" s="424">
        <v>1</v>
      </c>
    </row>
    <row r="25" spans="1:104" s="81" customFormat="1" ht="12.6" x14ac:dyDescent="0.25">
      <c r="A25" s="252"/>
      <c r="B25" s="252"/>
      <c r="D25" s="380"/>
      <c r="E25" s="380"/>
      <c r="F25" s="380"/>
      <c r="G25" s="380"/>
      <c r="H25" s="380"/>
      <c r="I25" s="380"/>
      <c r="J25" s="380"/>
      <c r="K25" s="380"/>
      <c r="L25" s="380"/>
      <c r="M25" s="380"/>
      <c r="N25" s="380"/>
      <c r="O25" s="380"/>
      <c r="P25" s="380"/>
      <c r="Q25" s="380"/>
      <c r="R25" s="380"/>
      <c r="S25" s="380"/>
      <c r="T25" s="380"/>
      <c r="U25" s="380"/>
      <c r="V25" s="380"/>
      <c r="W25" s="380"/>
      <c r="X25" s="380"/>
      <c r="Y25" s="380"/>
      <c r="Z25" s="380"/>
      <c r="AA25" s="380"/>
      <c r="AB25" s="380"/>
      <c r="AC25" s="380"/>
      <c r="AD25" s="380"/>
      <c r="AE25" s="380"/>
      <c r="AF25" s="380"/>
      <c r="AH25" s="376"/>
      <c r="AI25" s="376"/>
      <c r="AJ25" s="376"/>
      <c r="AK25" s="376"/>
      <c r="AL25" s="376"/>
      <c r="AM25" s="376"/>
      <c r="AN25" s="376"/>
      <c r="AO25" s="376"/>
      <c r="AP25" s="376"/>
      <c r="AQ25" s="376"/>
      <c r="AR25" s="376"/>
      <c r="AS25" s="376"/>
      <c r="AT25" s="376"/>
      <c r="AU25" s="376"/>
      <c r="AV25" s="376"/>
      <c r="AW25" s="376"/>
      <c r="AX25" s="376"/>
      <c r="AY25" s="376"/>
      <c r="AZ25" s="376"/>
      <c r="BA25" s="376"/>
      <c r="BB25" s="376"/>
      <c r="BC25" s="376"/>
      <c r="BD25" s="376"/>
      <c r="BE25" s="376"/>
      <c r="BF25" s="376"/>
      <c r="BG25" s="376"/>
      <c r="BH25" s="376"/>
      <c r="BI25" s="376"/>
      <c r="BJ25" s="376"/>
      <c r="BK25" s="376"/>
      <c r="BL25" s="376"/>
      <c r="BM25" s="376"/>
      <c r="BN25" s="376"/>
      <c r="BO25" s="376"/>
      <c r="BP25" s="376"/>
      <c r="BQ25" s="380"/>
      <c r="BR25" s="376"/>
      <c r="BS25" s="376"/>
      <c r="BT25" s="376"/>
      <c r="BU25" s="376"/>
      <c r="BV25" s="376"/>
      <c r="BW25" s="376"/>
      <c r="BX25" s="376"/>
      <c r="BY25" s="376"/>
      <c r="BZ25" s="376"/>
      <c r="CA25" s="376"/>
      <c r="CB25" s="376"/>
      <c r="CC25" s="376"/>
      <c r="CD25" s="376"/>
      <c r="CE25" s="376"/>
      <c r="CF25" s="376"/>
      <c r="CG25" s="376"/>
      <c r="CH25" s="376"/>
      <c r="CI25" s="376"/>
      <c r="CJ25" s="376"/>
      <c r="CK25" s="376"/>
      <c r="CL25" s="376"/>
      <c r="CM25" s="376"/>
      <c r="CN25" s="376"/>
      <c r="CO25" s="376"/>
      <c r="CP25" s="376"/>
      <c r="CQ25" s="376"/>
      <c r="CR25" s="376"/>
      <c r="CS25" s="376"/>
      <c r="CT25" s="376"/>
      <c r="CU25" s="376"/>
      <c r="CV25" s="376"/>
      <c r="CW25" s="376"/>
      <c r="CX25" s="376"/>
      <c r="CY25" s="376"/>
      <c r="CZ25" s="376"/>
    </row>
    <row r="26" spans="1:104" s="81" customFormat="1" ht="12.95" x14ac:dyDescent="0.3">
      <c r="A26" s="254" t="s">
        <v>42</v>
      </c>
      <c r="B26" s="258"/>
      <c r="C26" s="258"/>
      <c r="D26" s="389"/>
      <c r="E26" s="389"/>
      <c r="F26" s="389"/>
      <c r="G26" s="389"/>
      <c r="H26" s="389"/>
      <c r="I26" s="389"/>
      <c r="J26" s="389"/>
      <c r="K26" s="389"/>
      <c r="L26" s="389"/>
      <c r="M26" s="389"/>
      <c r="N26" s="389"/>
      <c r="O26" s="389"/>
      <c r="P26" s="389"/>
      <c r="Q26" s="389"/>
      <c r="R26" s="389"/>
      <c r="S26" s="389"/>
      <c r="T26" s="389"/>
      <c r="U26" s="389"/>
      <c r="V26" s="389"/>
      <c r="W26" s="389"/>
      <c r="X26" s="389"/>
      <c r="Y26" s="389"/>
      <c r="Z26" s="389"/>
      <c r="AA26" s="389"/>
      <c r="AB26" s="389"/>
      <c r="AC26" s="389"/>
      <c r="AD26" s="389"/>
      <c r="AE26" s="389"/>
      <c r="AF26" s="389"/>
      <c r="AH26" s="389"/>
      <c r="AI26" s="389"/>
      <c r="AJ26" s="389"/>
      <c r="AK26" s="389"/>
      <c r="AL26" s="389"/>
      <c r="AM26" s="389"/>
      <c r="AN26" s="389"/>
      <c r="AO26" s="389"/>
      <c r="AP26" s="389"/>
      <c r="AQ26" s="389"/>
      <c r="AR26" s="389"/>
      <c r="AS26" s="389"/>
      <c r="AT26" s="389"/>
      <c r="AU26" s="389"/>
      <c r="AV26" s="389"/>
      <c r="AW26" s="389"/>
      <c r="AX26" s="389"/>
      <c r="AY26" s="389"/>
      <c r="AZ26" s="389"/>
      <c r="BA26" s="389"/>
      <c r="BB26" s="389"/>
      <c r="BC26" s="389"/>
      <c r="BD26" s="389"/>
      <c r="BE26" s="389"/>
      <c r="BF26" s="389"/>
      <c r="BG26" s="389"/>
      <c r="BH26" s="389"/>
      <c r="BI26" s="389"/>
      <c r="BJ26" s="389"/>
      <c r="BK26" s="389"/>
      <c r="BL26" s="389"/>
      <c r="BM26" s="389"/>
      <c r="BN26" s="389"/>
      <c r="BO26" s="389"/>
      <c r="BP26" s="389"/>
      <c r="BQ26" s="380"/>
      <c r="BR26" s="389"/>
      <c r="BS26" s="389"/>
      <c r="BT26" s="389"/>
      <c r="BU26" s="389"/>
      <c r="BV26" s="389"/>
      <c r="BW26" s="389"/>
      <c r="BX26" s="389"/>
      <c r="BY26" s="389"/>
      <c r="BZ26" s="389"/>
      <c r="CA26" s="389"/>
      <c r="CB26" s="389"/>
      <c r="CC26" s="389"/>
      <c r="CD26" s="389"/>
      <c r="CE26" s="389"/>
      <c r="CF26" s="389"/>
      <c r="CG26" s="389"/>
      <c r="CH26" s="389"/>
      <c r="CI26" s="389"/>
      <c r="CJ26" s="389"/>
      <c r="CK26" s="389"/>
      <c r="CL26" s="389"/>
      <c r="CM26" s="389"/>
      <c r="CN26" s="389"/>
      <c r="CO26" s="389"/>
      <c r="CP26" s="389"/>
      <c r="CQ26" s="389"/>
      <c r="CR26" s="389"/>
      <c r="CS26" s="389"/>
      <c r="CT26" s="389"/>
      <c r="CU26" s="389"/>
      <c r="CV26" s="389"/>
      <c r="CW26" s="389"/>
      <c r="CX26" s="389"/>
      <c r="CY26" s="389"/>
      <c r="CZ26" s="389"/>
    </row>
    <row r="27" spans="1:104" s="81" customFormat="1" ht="12.6" x14ac:dyDescent="0.25">
      <c r="A27" s="252"/>
      <c r="B27" s="257" t="s">
        <v>43</v>
      </c>
      <c r="D27" s="380"/>
      <c r="E27" s="380"/>
      <c r="F27" s="380"/>
      <c r="G27" s="370">
        <f>IF(Standards_Active!$E28="yes",Standards_Acceptance!AQ27,Standards_Acceptance!CA27)</f>
        <v>1</v>
      </c>
      <c r="H27" s="370">
        <f>IF(Standards_Active!$E28="yes",Standards_Acceptance!AR27,Standards_Acceptance!CB27)</f>
        <v>1</v>
      </c>
      <c r="I27" s="370">
        <f>IF(Standards_Active!$E28="yes",Standards_Acceptance!AS27,Standards_Acceptance!CC27)</f>
        <v>1</v>
      </c>
      <c r="J27" s="370">
        <f>IF(Standards_Active!$E28="yes",Standards_Acceptance!AT27,Standards_Acceptance!CD27)</f>
        <v>1</v>
      </c>
      <c r="K27" s="370">
        <f>IF(Standards_Active!$E28="yes",Standards_Acceptance!AU27,Standards_Acceptance!CE27)</f>
        <v>1</v>
      </c>
      <c r="L27" s="370">
        <f>IF(Standards_Active!$E28="yes",Standards_Acceptance!AV27,Standards_Acceptance!CF27)</f>
        <v>1</v>
      </c>
      <c r="M27" s="370">
        <f>IF(Standards_Active!$E28="yes",Standards_Acceptance!AW27,Standards_Acceptance!CG27)</f>
        <v>1</v>
      </c>
      <c r="N27" s="370">
        <f>IF(Standards_Active!$E28="yes",Standards_Acceptance!AX27,Standards_Acceptance!CH27)</f>
        <v>1</v>
      </c>
      <c r="O27" s="370">
        <f>IF(Standards_Active!$E28="yes",Standards_Acceptance!AY27,Standards_Acceptance!CI27)</f>
        <v>1</v>
      </c>
      <c r="P27" s="370">
        <f>IF(Standards_Active!$E28="yes",Standards_Acceptance!AZ27,Standards_Acceptance!CJ27)</f>
        <v>1</v>
      </c>
      <c r="Q27" s="370">
        <f>IF(Standards_Active!$E28="yes",Standards_Acceptance!BA27,Standards_Acceptance!CK27)</f>
        <v>1</v>
      </c>
      <c r="R27" s="370">
        <f>IF(Standards_Active!$E28="yes",Standards_Acceptance!BB27,Standards_Acceptance!CL27)</f>
        <v>1</v>
      </c>
      <c r="S27" s="370">
        <f>IF(Standards_Active!$E28="yes",Standards_Acceptance!BC27,Standards_Acceptance!CM27)</f>
        <v>1</v>
      </c>
      <c r="T27" s="370">
        <f>IF(Standards_Active!$E28="yes",Standards_Acceptance!BD27,Standards_Acceptance!CN27)</f>
        <v>1</v>
      </c>
      <c r="U27" s="370">
        <f>IF(Standards_Active!$E28="yes",Standards_Acceptance!BE27,Standards_Acceptance!CO27)</f>
        <v>1</v>
      </c>
      <c r="V27" s="370">
        <f>IF(Standards_Active!$E28="yes",Standards_Acceptance!BF27,Standards_Acceptance!CP27)</f>
        <v>1</v>
      </c>
      <c r="W27" s="370">
        <f>IF(Standards_Active!$E28="yes",Standards_Acceptance!BG27,Standards_Acceptance!CQ27)</f>
        <v>1</v>
      </c>
      <c r="X27" s="370">
        <f>IF(Standards_Active!$E28="yes",Standards_Acceptance!BH27,Standards_Acceptance!CR27)</f>
        <v>1</v>
      </c>
      <c r="Y27" s="370">
        <f>IF(Standards_Active!$E28="yes",Standards_Acceptance!BI27,Standards_Acceptance!CS27)</f>
        <v>1</v>
      </c>
      <c r="Z27" s="370">
        <f>IF(Standards_Active!$E28="yes",Standards_Acceptance!BJ27,Standards_Acceptance!CT27)</f>
        <v>1</v>
      </c>
      <c r="AA27" s="370">
        <f>IF(Standards_Active!$E28="yes",Standards_Acceptance!BK27,Standards_Acceptance!CU27)</f>
        <v>1</v>
      </c>
      <c r="AB27" s="370">
        <f>IF(Standards_Active!$E28="yes",Standards_Acceptance!BL27,Standards_Acceptance!CV27)</f>
        <v>1</v>
      </c>
      <c r="AC27" s="370">
        <f>IF(Standards_Active!$E28="yes",Standards_Acceptance!BM27,Standards_Acceptance!CW27)</f>
        <v>1</v>
      </c>
      <c r="AD27" s="370">
        <f>IF(Standards_Active!$E28="yes",Standards_Acceptance!BN27,Standards_Acceptance!CX27)</f>
        <v>1</v>
      </c>
      <c r="AE27" s="370">
        <f>IF(Standards_Active!$E28="yes",Standards_Acceptance!BO27,Standards_Acceptance!CY27)</f>
        <v>1</v>
      </c>
      <c r="AF27" s="370">
        <f>IF(Standards_Active!$E28="yes",Standards_Acceptance!BP27,Standards_Acceptance!CZ27)</f>
        <v>1</v>
      </c>
      <c r="AH27" s="376"/>
      <c r="AI27" s="376"/>
      <c r="AJ27" s="376"/>
      <c r="AK27" s="376"/>
      <c r="AL27" s="376"/>
      <c r="AM27" s="376"/>
      <c r="AN27" s="376"/>
      <c r="AO27" s="376"/>
      <c r="AP27" s="376"/>
      <c r="AQ27" s="622">
        <f>IF(ISNUMBER(Standards_Active!$F28),IF(AND(AQ$7&gt;=Standards_Active!$C28,AQ$7&lt;Standards_Active!$D28),AP27-Standards_Active!$G28*INDEX($AQ$9:$BP$9,1,MATCH((Standards_Active!$C28-1),$AQ$7:$BP$7,FALSE)),IF(AQ$7&gt;=Standards_Active!$D28,Standards_Active!$H28,CA27)),CA27)</f>
        <v>1</v>
      </c>
      <c r="AR27" s="622">
        <f>IF(ISNUMBER(Standards_Active!$F28),IF(AND(AR$7&gt;=Standards_Active!$C28,AR$7&lt;Standards_Active!$D28),AQ27-Standards_Active!$G28*INDEX($AQ$9:$BP$9,1,MATCH((Standards_Active!$C28-1),$AQ$7:$BP$7,FALSE)),IF(AR$7&gt;=Standards_Active!$D28,Standards_Active!$H28,CB27)),CB27)</f>
        <v>1</v>
      </c>
      <c r="AS27" s="622">
        <f>IF(ISNUMBER(Standards_Active!$F28),IF(AND(AS$7&gt;=Standards_Active!$C28,AS$7&lt;Standards_Active!$D28),AR27-Standards_Active!$G28*INDEX($AQ$9:$BP$9,1,MATCH((Standards_Active!$C28-1),$AQ$7:$BP$7,FALSE)),IF(AS$7&gt;=Standards_Active!$D28,Standards_Active!$H28,CC27)),CC27)</f>
        <v>1</v>
      </c>
      <c r="AT27" s="622">
        <f>IF(ISNUMBER(Standards_Active!$F28),IF(AND(AT$7&gt;=Standards_Active!$C28,AT$7&lt;Standards_Active!$D28),AS27-Standards_Active!$G28*INDEX($AQ$9:$BP$9,1,MATCH((Standards_Active!$C28-1),$AQ$7:$BP$7,FALSE)),IF(AT$7&gt;=Standards_Active!$D28,Standards_Active!$H28,CD27)),CD27)</f>
        <v>1</v>
      </c>
      <c r="AU27" s="622">
        <f>IF(ISNUMBER(Standards_Active!$F28),IF(AND(AU$7&gt;=Standards_Active!$C28,AU$7&lt;Standards_Active!$D28),AT27-Standards_Active!$G28*INDEX($AQ$9:$BP$9,1,MATCH((Standards_Active!$C28-1),$AQ$7:$BP$7,FALSE)),IF(AU$7&gt;=Standards_Active!$D28,Standards_Active!$H28,CE27)),CE27)</f>
        <v>1</v>
      </c>
      <c r="AV27" s="622">
        <f>IF(ISNUMBER(Standards_Active!$F28),IF(AND(AV$7&gt;=Standards_Active!$C28,AV$7&lt;Standards_Active!$D28),AU27-Standards_Active!$G28*INDEX($AQ$9:$BP$9,1,MATCH((Standards_Active!$C28-1),$AQ$7:$BP$7,FALSE)),IF(AV$7&gt;=Standards_Active!$D28,Standards_Active!$H28,CF27)),CF27)</f>
        <v>1</v>
      </c>
      <c r="AW27" s="622">
        <f>IF(ISNUMBER(Standards_Active!$F28),IF(AND(AW$7&gt;=Standards_Active!$C28,AW$7&lt;Standards_Active!$D28),AV27-Standards_Active!$G28*INDEX($AQ$9:$BP$9,1,MATCH((Standards_Active!$C28-1),$AQ$7:$BP$7,FALSE)),IF(AW$7&gt;=Standards_Active!$D28,Standards_Active!$H28,CG27)),CG27)</f>
        <v>1</v>
      </c>
      <c r="AX27" s="622">
        <f>IF(ISNUMBER(Standards_Active!$F28),IF(AND(AX$7&gt;=Standards_Active!$C28,AX$7&lt;Standards_Active!$D28),AW27-Standards_Active!$G28*INDEX($AQ$9:$BP$9,1,MATCH((Standards_Active!$C28-1),$AQ$7:$BP$7,FALSE)),IF(AX$7&gt;=Standards_Active!$D28,Standards_Active!$H28,CH27)),CH27)</f>
        <v>1</v>
      </c>
      <c r="AY27" s="622">
        <f>IF(ISNUMBER(Standards_Active!$F28),IF(AND(AY$7&gt;=Standards_Active!$C28,AY$7&lt;Standards_Active!$D28),AX27-Standards_Active!$G28*INDEX($AQ$9:$BP$9,1,MATCH((Standards_Active!$C28-1),$AQ$7:$BP$7,FALSE)),IF(AY$7&gt;=Standards_Active!$D28,Standards_Active!$H28,CI27)),CI27)</f>
        <v>1</v>
      </c>
      <c r="AZ27" s="622">
        <f>IF(ISNUMBER(Standards_Active!$F28),IF(AND(AZ$7&gt;=Standards_Active!$C28,AZ$7&lt;Standards_Active!$D28),AY27-Standards_Active!$G28*INDEX($AQ$9:$BP$9,1,MATCH((Standards_Active!$C28-1),$AQ$7:$BP$7,FALSE)),IF(AZ$7&gt;=Standards_Active!$D28,Standards_Active!$H28,CJ27)),CJ27)</f>
        <v>1</v>
      </c>
      <c r="BA27" s="622">
        <f>IF(ISNUMBER(Standards_Active!$F28),IF(AND(BA$7&gt;=Standards_Active!$C28,BA$7&lt;Standards_Active!$D28),AZ27-Standards_Active!$G28*INDEX($AQ$9:$BP$9,1,MATCH((Standards_Active!$C28-1),$AQ$7:$BP$7,FALSE)),IF(BA$7&gt;=Standards_Active!$D28,Standards_Active!$H28,CK27)),CK27)</f>
        <v>1</v>
      </c>
      <c r="BB27" s="622">
        <f>IF(ISNUMBER(Standards_Active!$F28),IF(AND(BB$7&gt;=Standards_Active!$C28,BB$7&lt;Standards_Active!$D28),BA27-Standards_Active!$G28*INDEX($AQ$9:$BP$9,1,MATCH((Standards_Active!$C28-1),$AQ$7:$BP$7,FALSE)),IF(BB$7&gt;=Standards_Active!$D28,Standards_Active!$H28,CL27)),CL27)</f>
        <v>1</v>
      </c>
      <c r="BC27" s="622">
        <f>IF(ISNUMBER(Standards_Active!$F28),IF(AND(BC$7&gt;=Standards_Active!$C28,BC$7&lt;Standards_Active!$D28),BB27-Standards_Active!$G28*INDEX($AQ$9:$BP$9,1,MATCH((Standards_Active!$C28-1),$AQ$7:$BP$7,FALSE)),IF(BC$7&gt;=Standards_Active!$D28,Standards_Active!$H28,CM27)),CM27)</f>
        <v>1</v>
      </c>
      <c r="BD27" s="622">
        <f>IF(ISNUMBER(Standards_Active!$F28),IF(AND(BD$7&gt;=Standards_Active!$C28,BD$7&lt;Standards_Active!$D28),BC27-Standards_Active!$G28*INDEX($AQ$9:$BP$9,1,MATCH((Standards_Active!$C28-1),$AQ$7:$BP$7,FALSE)),IF(BD$7&gt;=Standards_Active!$D28,Standards_Active!$H28,CN27)),CN27)</f>
        <v>1</v>
      </c>
      <c r="BE27" s="622">
        <f>IF(ISNUMBER(Standards_Active!$F28),IF(AND(BE$7&gt;=Standards_Active!$C28,BE$7&lt;Standards_Active!$D28),BD27-Standards_Active!$G28*INDEX($AQ$9:$BP$9,1,MATCH((Standards_Active!$C28-1),$AQ$7:$BP$7,FALSE)),IF(BE$7&gt;=Standards_Active!$D28,Standards_Active!$H28,CO27)),CO27)</f>
        <v>1</v>
      </c>
      <c r="BF27" s="622">
        <f>IF(ISNUMBER(Standards_Active!$F28),IF(AND(BF$7&gt;=Standards_Active!$C28,BF$7&lt;Standards_Active!$D28),BE27-Standards_Active!$G28*INDEX($AQ$9:$BP$9,1,MATCH((Standards_Active!$C28-1),$AQ$7:$BP$7,FALSE)),IF(BF$7&gt;=Standards_Active!$D28,Standards_Active!$H28,CP27)),CP27)</f>
        <v>1</v>
      </c>
      <c r="BG27" s="622">
        <f>IF(ISNUMBER(Standards_Active!$F28),IF(AND(BG$7&gt;=Standards_Active!$C28,BG$7&lt;Standards_Active!$D28),BF27-Standards_Active!$G28*INDEX($AQ$9:$BP$9,1,MATCH((Standards_Active!$C28-1),$AQ$7:$BP$7,FALSE)),IF(BG$7&gt;=Standards_Active!$D28,Standards_Active!$H28,CQ27)),CQ27)</f>
        <v>1</v>
      </c>
      <c r="BH27" s="622">
        <f>IF(ISNUMBER(Standards_Active!$F28),IF(AND(BH$7&gt;=Standards_Active!$C28,BH$7&lt;Standards_Active!$D28),BG27-Standards_Active!$G28*INDEX($AQ$9:$BP$9,1,MATCH((Standards_Active!$C28-1),$AQ$7:$BP$7,FALSE)),IF(BH$7&gt;=Standards_Active!$D28,Standards_Active!$H28,CR27)),CR27)</f>
        <v>1</v>
      </c>
      <c r="BI27" s="622">
        <f>IF(ISNUMBER(Standards_Active!$F28),IF(AND(BI$7&gt;=Standards_Active!$C28,BI$7&lt;Standards_Active!$D28),BH27-Standards_Active!$G28*INDEX($AQ$9:$BP$9,1,MATCH((Standards_Active!$C28-1),$AQ$7:$BP$7,FALSE)),IF(BI$7&gt;=Standards_Active!$D28,Standards_Active!$H28,CS27)),CS27)</f>
        <v>1</v>
      </c>
      <c r="BJ27" s="622">
        <f>IF(ISNUMBER(Standards_Active!$F28),IF(AND(BJ$7&gt;=Standards_Active!$C28,BJ$7&lt;Standards_Active!$D28),BI27-Standards_Active!$G28*INDEX($AQ$9:$BP$9,1,MATCH((Standards_Active!$C28-1),$AQ$7:$BP$7,FALSE)),IF(BJ$7&gt;=Standards_Active!$D28,Standards_Active!$H28,CT27)),CT27)</f>
        <v>1</v>
      </c>
      <c r="BK27" s="622">
        <f>IF(ISNUMBER(Standards_Active!$F28),IF(AND(BK$7&gt;=Standards_Active!$C28,BK$7&lt;Standards_Active!$D28),BJ27-Standards_Active!$G28*INDEX($AQ$9:$BP$9,1,MATCH((Standards_Active!$C28-1),$AQ$7:$BP$7,FALSE)),IF(BK$7&gt;=Standards_Active!$D28,Standards_Active!$H28,CU27)),CU27)</f>
        <v>1</v>
      </c>
      <c r="BL27" s="622">
        <f>IF(ISNUMBER(Standards_Active!$F28),IF(AND(BL$7&gt;=Standards_Active!$C28,BL$7&lt;Standards_Active!$D28),BK27-Standards_Active!$G28*INDEX($AQ$9:$BP$9,1,MATCH((Standards_Active!$C28-1),$AQ$7:$BP$7,FALSE)),IF(BL$7&gt;=Standards_Active!$D28,Standards_Active!$H28,CV27)),CV27)</f>
        <v>1</v>
      </c>
      <c r="BM27" s="622">
        <f>IF(ISNUMBER(Standards_Active!$F28),IF(AND(BM$7&gt;=Standards_Active!$C28,BM$7&lt;Standards_Active!$D28),BL27-Standards_Active!$G28*INDEX($AQ$9:$BP$9,1,MATCH((Standards_Active!$C28-1),$AQ$7:$BP$7,FALSE)),IF(BM$7&gt;=Standards_Active!$D28,Standards_Active!$H28,CW27)),CW27)</f>
        <v>1</v>
      </c>
      <c r="BN27" s="622">
        <f>IF(ISNUMBER(Standards_Active!$F28),IF(AND(BN$7&gt;=Standards_Active!$C28,BN$7&lt;Standards_Active!$D28),BM27-Standards_Active!$G28*INDEX($AQ$9:$BP$9,1,MATCH((Standards_Active!$C28-1),$AQ$7:$BP$7,FALSE)),IF(BN$7&gt;=Standards_Active!$D28,Standards_Active!$H28,CX27)),CX27)</f>
        <v>1</v>
      </c>
      <c r="BO27" s="622">
        <f>IF(ISNUMBER(Standards_Active!$F28),IF(AND(BO$7&gt;=Standards_Active!$C28,BO$7&lt;Standards_Active!$D28),BN27-Standards_Active!$G28*INDEX($AQ$9:$BP$9,1,MATCH((Standards_Active!$C28-1),$AQ$7:$BP$7,FALSE)),IF(BO$7&gt;=Standards_Active!$D28,Standards_Active!$H28,CY27)),CY27)</f>
        <v>1</v>
      </c>
      <c r="BP27" s="622">
        <f>IF(ISNUMBER(Standards_Active!$F28),IF(AND(BP$7&gt;=Standards_Active!$C28,BP$7&lt;Standards_Active!$D28),BO27-Standards_Active!$G28*INDEX($AQ$9:$BP$9,1,MATCH((Standards_Active!$C28-1),$AQ$7:$BP$7,FALSE)),IF(BP$7&gt;=Standards_Active!$D28,Standards_Active!$H28,CZ27)),CZ27)</f>
        <v>1</v>
      </c>
      <c r="BQ27" s="380"/>
      <c r="BR27" s="376"/>
      <c r="BS27" s="376"/>
      <c r="BT27" s="376"/>
      <c r="BU27" s="376"/>
      <c r="BV27" s="376"/>
      <c r="BW27" s="376"/>
      <c r="BX27" s="376"/>
      <c r="BY27" s="376"/>
      <c r="BZ27" s="376"/>
      <c r="CA27" s="424">
        <v>1</v>
      </c>
      <c r="CB27" s="424">
        <v>1</v>
      </c>
      <c r="CC27" s="424">
        <v>1</v>
      </c>
      <c r="CD27" s="424">
        <v>1</v>
      </c>
      <c r="CE27" s="424">
        <v>1</v>
      </c>
      <c r="CF27" s="424">
        <v>1</v>
      </c>
      <c r="CG27" s="424">
        <v>1</v>
      </c>
      <c r="CH27" s="424">
        <v>1</v>
      </c>
      <c r="CI27" s="424">
        <v>1</v>
      </c>
      <c r="CJ27" s="424">
        <v>1</v>
      </c>
      <c r="CK27" s="424">
        <v>1</v>
      </c>
      <c r="CL27" s="424">
        <v>1</v>
      </c>
      <c r="CM27" s="424">
        <v>1</v>
      </c>
      <c r="CN27" s="424">
        <v>1</v>
      </c>
      <c r="CO27" s="424">
        <v>1</v>
      </c>
      <c r="CP27" s="424">
        <v>1</v>
      </c>
      <c r="CQ27" s="424">
        <v>1</v>
      </c>
      <c r="CR27" s="424">
        <v>1</v>
      </c>
      <c r="CS27" s="424">
        <v>1</v>
      </c>
      <c r="CT27" s="424">
        <v>1</v>
      </c>
      <c r="CU27" s="424">
        <v>1</v>
      </c>
      <c r="CV27" s="424">
        <v>1</v>
      </c>
      <c r="CW27" s="424">
        <v>1</v>
      </c>
      <c r="CX27" s="424">
        <v>1</v>
      </c>
      <c r="CY27" s="424">
        <v>1</v>
      </c>
      <c r="CZ27" s="424">
        <v>1</v>
      </c>
    </row>
    <row r="28" spans="1:104" s="81" customFormat="1" ht="12.6" x14ac:dyDescent="0.25">
      <c r="A28" s="252"/>
      <c r="B28" s="257" t="s">
        <v>44</v>
      </c>
      <c r="D28" s="380"/>
      <c r="E28" s="380"/>
      <c r="F28" s="380"/>
      <c r="G28" s="370">
        <f>IF(Standards_Active!$E29="yes",Standards_Acceptance!AQ28,Standards_Acceptance!CA28)</f>
        <v>1</v>
      </c>
      <c r="H28" s="370">
        <f>IF(Standards_Active!$E29="yes",Standards_Acceptance!AR28,Standards_Acceptance!CB28)</f>
        <v>1</v>
      </c>
      <c r="I28" s="370">
        <f>IF(Standards_Active!$E29="yes",Standards_Acceptance!AS28,Standards_Acceptance!CC28)</f>
        <v>1</v>
      </c>
      <c r="J28" s="370">
        <f>IF(Standards_Active!$E29="yes",Standards_Acceptance!AT28,Standards_Acceptance!CD28)</f>
        <v>1</v>
      </c>
      <c r="K28" s="370">
        <f>IF(Standards_Active!$E29="yes",Standards_Acceptance!AU28,Standards_Acceptance!CE28)</f>
        <v>1</v>
      </c>
      <c r="L28" s="370">
        <f>IF(Standards_Active!$E29="yes",Standards_Acceptance!AV28,Standards_Acceptance!CF28)</f>
        <v>1</v>
      </c>
      <c r="M28" s="370">
        <f>IF(Standards_Active!$E29="yes",Standards_Acceptance!AW28,Standards_Acceptance!CG28)</f>
        <v>1</v>
      </c>
      <c r="N28" s="370">
        <f>IF(Standards_Active!$E29="yes",Standards_Acceptance!AX28,Standards_Acceptance!CH28)</f>
        <v>1</v>
      </c>
      <c r="O28" s="370">
        <f>IF(Standards_Active!$E29="yes",Standards_Acceptance!AY28,Standards_Acceptance!CI28)</f>
        <v>1</v>
      </c>
      <c r="P28" s="370">
        <f>IF(Standards_Active!$E29="yes",Standards_Acceptance!AZ28,Standards_Acceptance!CJ28)</f>
        <v>1</v>
      </c>
      <c r="Q28" s="370">
        <f>IF(Standards_Active!$E29="yes",Standards_Acceptance!BA28,Standards_Acceptance!CK28)</f>
        <v>1</v>
      </c>
      <c r="R28" s="370">
        <f>IF(Standards_Active!$E29="yes",Standards_Acceptance!BB28,Standards_Acceptance!CL28)</f>
        <v>1</v>
      </c>
      <c r="S28" s="370">
        <f>IF(Standards_Active!$E29="yes",Standards_Acceptance!BC28,Standards_Acceptance!CM28)</f>
        <v>1</v>
      </c>
      <c r="T28" s="370">
        <f>IF(Standards_Active!$E29="yes",Standards_Acceptance!BD28,Standards_Acceptance!CN28)</f>
        <v>1</v>
      </c>
      <c r="U28" s="370">
        <f>IF(Standards_Active!$E29="yes",Standards_Acceptance!BE28,Standards_Acceptance!CO28)</f>
        <v>1</v>
      </c>
      <c r="V28" s="370">
        <f>IF(Standards_Active!$E29="yes",Standards_Acceptance!BF28,Standards_Acceptance!CP28)</f>
        <v>1</v>
      </c>
      <c r="W28" s="370">
        <f>IF(Standards_Active!$E29="yes",Standards_Acceptance!BG28,Standards_Acceptance!CQ28)</f>
        <v>1</v>
      </c>
      <c r="X28" s="370">
        <f>IF(Standards_Active!$E29="yes",Standards_Acceptance!BH28,Standards_Acceptance!CR28)</f>
        <v>1</v>
      </c>
      <c r="Y28" s="370">
        <f>IF(Standards_Active!$E29="yes",Standards_Acceptance!BI28,Standards_Acceptance!CS28)</f>
        <v>1</v>
      </c>
      <c r="Z28" s="370">
        <f>IF(Standards_Active!$E29="yes",Standards_Acceptance!BJ28,Standards_Acceptance!CT28)</f>
        <v>1</v>
      </c>
      <c r="AA28" s="370">
        <f>IF(Standards_Active!$E29="yes",Standards_Acceptance!BK28,Standards_Acceptance!CU28)</f>
        <v>1</v>
      </c>
      <c r="AB28" s="370">
        <f>IF(Standards_Active!$E29="yes",Standards_Acceptance!BL28,Standards_Acceptance!CV28)</f>
        <v>1</v>
      </c>
      <c r="AC28" s="370">
        <f>IF(Standards_Active!$E29="yes",Standards_Acceptance!BM28,Standards_Acceptance!CW28)</f>
        <v>1</v>
      </c>
      <c r="AD28" s="370">
        <f>IF(Standards_Active!$E29="yes",Standards_Acceptance!BN28,Standards_Acceptance!CX28)</f>
        <v>1</v>
      </c>
      <c r="AE28" s="370">
        <f>IF(Standards_Active!$E29="yes",Standards_Acceptance!BO28,Standards_Acceptance!CY28)</f>
        <v>1</v>
      </c>
      <c r="AF28" s="370">
        <f>IF(Standards_Active!$E29="yes",Standards_Acceptance!BP28,Standards_Acceptance!CZ28)</f>
        <v>1</v>
      </c>
      <c r="AH28" s="376"/>
      <c r="AI28" s="376"/>
      <c r="AJ28" s="376"/>
      <c r="AK28" s="376"/>
      <c r="AL28" s="376"/>
      <c r="AM28" s="376"/>
      <c r="AN28" s="376"/>
      <c r="AO28" s="376"/>
      <c r="AP28" s="376"/>
      <c r="AQ28" s="622">
        <f>IF(ISNUMBER(Standards_Active!$F29),IF(AND(AQ$7&gt;=Standards_Active!$C29,AQ$7&lt;Standards_Active!$D29),AP28-Standards_Active!$G29*INDEX($AQ$9:$BP$9,1,MATCH((Standards_Active!$C29-1),$AQ$7:$BP$7,FALSE)),IF(AQ$7&gt;=Standards_Active!$D29,Standards_Active!$H29,CA28)),CA28)</f>
        <v>1</v>
      </c>
      <c r="AR28" s="622">
        <f>IF(ISNUMBER(Standards_Active!$F29),IF(AND(AR$7&gt;=Standards_Active!$C29,AR$7&lt;Standards_Active!$D29),AQ28-Standards_Active!$G29*INDEX($AQ$9:$BP$9,1,MATCH((Standards_Active!$C29-1),$AQ$7:$BP$7,FALSE)),IF(AR$7&gt;=Standards_Active!$D29,Standards_Active!$H29,CB28)),CB28)</f>
        <v>1</v>
      </c>
      <c r="AS28" s="622">
        <f>IF(ISNUMBER(Standards_Active!$F29),IF(AND(AS$7&gt;=Standards_Active!$C29,AS$7&lt;Standards_Active!$D29),AR28-Standards_Active!$G29*INDEX($AQ$9:$BP$9,1,MATCH((Standards_Active!$C29-1),$AQ$7:$BP$7,FALSE)),IF(AS$7&gt;=Standards_Active!$D29,Standards_Active!$H29,CC28)),CC28)</f>
        <v>1</v>
      </c>
      <c r="AT28" s="622">
        <f>IF(ISNUMBER(Standards_Active!$F29),IF(AND(AT$7&gt;=Standards_Active!$C29,AT$7&lt;Standards_Active!$D29),AS28-Standards_Active!$G29*INDEX($AQ$9:$BP$9,1,MATCH((Standards_Active!$C29-1),$AQ$7:$BP$7,FALSE)),IF(AT$7&gt;=Standards_Active!$D29,Standards_Active!$H29,CD28)),CD28)</f>
        <v>1</v>
      </c>
      <c r="AU28" s="622">
        <f>IF(ISNUMBER(Standards_Active!$F29),IF(AND(AU$7&gt;=Standards_Active!$C29,AU$7&lt;Standards_Active!$D29),AT28-Standards_Active!$G29*INDEX($AQ$9:$BP$9,1,MATCH((Standards_Active!$C29-1),$AQ$7:$BP$7,FALSE)),IF(AU$7&gt;=Standards_Active!$D29,Standards_Active!$H29,CE28)),CE28)</f>
        <v>1</v>
      </c>
      <c r="AV28" s="622">
        <f>IF(ISNUMBER(Standards_Active!$F29),IF(AND(AV$7&gt;=Standards_Active!$C29,AV$7&lt;Standards_Active!$D29),AU28-Standards_Active!$G29*INDEX($AQ$9:$BP$9,1,MATCH((Standards_Active!$C29-1),$AQ$7:$BP$7,FALSE)),IF(AV$7&gt;=Standards_Active!$D29,Standards_Active!$H29,CF28)),CF28)</f>
        <v>1</v>
      </c>
      <c r="AW28" s="622">
        <f>IF(ISNUMBER(Standards_Active!$F29),IF(AND(AW$7&gt;=Standards_Active!$C29,AW$7&lt;Standards_Active!$D29),AV28-Standards_Active!$G29*INDEX($AQ$9:$BP$9,1,MATCH((Standards_Active!$C29-1),$AQ$7:$BP$7,FALSE)),IF(AW$7&gt;=Standards_Active!$D29,Standards_Active!$H29,CG28)),CG28)</f>
        <v>1</v>
      </c>
      <c r="AX28" s="622">
        <f>IF(ISNUMBER(Standards_Active!$F29),IF(AND(AX$7&gt;=Standards_Active!$C29,AX$7&lt;Standards_Active!$D29),AW28-Standards_Active!$G29*INDEX($AQ$9:$BP$9,1,MATCH((Standards_Active!$C29-1),$AQ$7:$BP$7,FALSE)),IF(AX$7&gt;=Standards_Active!$D29,Standards_Active!$H29,CH28)),CH28)</f>
        <v>1</v>
      </c>
      <c r="AY28" s="622">
        <f>IF(ISNUMBER(Standards_Active!$F29),IF(AND(AY$7&gt;=Standards_Active!$C29,AY$7&lt;Standards_Active!$D29),AX28-Standards_Active!$G29*INDEX($AQ$9:$BP$9,1,MATCH((Standards_Active!$C29-1),$AQ$7:$BP$7,FALSE)),IF(AY$7&gt;=Standards_Active!$D29,Standards_Active!$H29,CI28)),CI28)</f>
        <v>1</v>
      </c>
      <c r="AZ28" s="622">
        <f>IF(ISNUMBER(Standards_Active!$F29),IF(AND(AZ$7&gt;=Standards_Active!$C29,AZ$7&lt;Standards_Active!$D29),AY28-Standards_Active!$G29*INDEX($AQ$9:$BP$9,1,MATCH((Standards_Active!$C29-1),$AQ$7:$BP$7,FALSE)),IF(AZ$7&gt;=Standards_Active!$D29,Standards_Active!$H29,CJ28)),CJ28)</f>
        <v>1</v>
      </c>
      <c r="BA28" s="622">
        <f>IF(ISNUMBER(Standards_Active!$F29),IF(AND(BA$7&gt;=Standards_Active!$C29,BA$7&lt;Standards_Active!$D29),AZ28-Standards_Active!$G29*INDEX($AQ$9:$BP$9,1,MATCH((Standards_Active!$C29-1),$AQ$7:$BP$7,FALSE)),IF(BA$7&gt;=Standards_Active!$D29,Standards_Active!$H29,CK28)),CK28)</f>
        <v>1</v>
      </c>
      <c r="BB28" s="622">
        <f>IF(ISNUMBER(Standards_Active!$F29),IF(AND(BB$7&gt;=Standards_Active!$C29,BB$7&lt;Standards_Active!$D29),BA28-Standards_Active!$G29*INDEX($AQ$9:$BP$9,1,MATCH((Standards_Active!$C29-1),$AQ$7:$BP$7,FALSE)),IF(BB$7&gt;=Standards_Active!$D29,Standards_Active!$H29,CL28)),CL28)</f>
        <v>1</v>
      </c>
      <c r="BC28" s="622">
        <f>IF(ISNUMBER(Standards_Active!$F29),IF(AND(BC$7&gt;=Standards_Active!$C29,BC$7&lt;Standards_Active!$D29),BB28-Standards_Active!$G29*INDEX($AQ$9:$BP$9,1,MATCH((Standards_Active!$C29-1),$AQ$7:$BP$7,FALSE)),IF(BC$7&gt;=Standards_Active!$D29,Standards_Active!$H29,CM28)),CM28)</f>
        <v>1</v>
      </c>
      <c r="BD28" s="622">
        <f>IF(ISNUMBER(Standards_Active!$F29),IF(AND(BD$7&gt;=Standards_Active!$C29,BD$7&lt;Standards_Active!$D29),BC28-Standards_Active!$G29*INDEX($AQ$9:$BP$9,1,MATCH((Standards_Active!$C29-1),$AQ$7:$BP$7,FALSE)),IF(BD$7&gt;=Standards_Active!$D29,Standards_Active!$H29,CN28)),CN28)</f>
        <v>1</v>
      </c>
      <c r="BE28" s="622">
        <f>IF(ISNUMBER(Standards_Active!$F29),IF(AND(BE$7&gt;=Standards_Active!$C29,BE$7&lt;Standards_Active!$D29),BD28-Standards_Active!$G29*INDEX($AQ$9:$BP$9,1,MATCH((Standards_Active!$C29-1),$AQ$7:$BP$7,FALSE)),IF(BE$7&gt;=Standards_Active!$D29,Standards_Active!$H29,CO28)),CO28)</f>
        <v>1</v>
      </c>
      <c r="BF28" s="622">
        <f>IF(ISNUMBER(Standards_Active!$F29),IF(AND(BF$7&gt;=Standards_Active!$C29,BF$7&lt;Standards_Active!$D29),BE28-Standards_Active!$G29*INDEX($AQ$9:$BP$9,1,MATCH((Standards_Active!$C29-1),$AQ$7:$BP$7,FALSE)),IF(BF$7&gt;=Standards_Active!$D29,Standards_Active!$H29,CP28)),CP28)</f>
        <v>1</v>
      </c>
      <c r="BG28" s="622">
        <f>IF(ISNUMBER(Standards_Active!$F29),IF(AND(BG$7&gt;=Standards_Active!$C29,BG$7&lt;Standards_Active!$D29),BF28-Standards_Active!$G29*INDEX($AQ$9:$BP$9,1,MATCH((Standards_Active!$C29-1),$AQ$7:$BP$7,FALSE)),IF(BG$7&gt;=Standards_Active!$D29,Standards_Active!$H29,CQ28)),CQ28)</f>
        <v>1</v>
      </c>
      <c r="BH28" s="622">
        <f>IF(ISNUMBER(Standards_Active!$F29),IF(AND(BH$7&gt;=Standards_Active!$C29,BH$7&lt;Standards_Active!$D29),BG28-Standards_Active!$G29*INDEX($AQ$9:$BP$9,1,MATCH((Standards_Active!$C29-1),$AQ$7:$BP$7,FALSE)),IF(BH$7&gt;=Standards_Active!$D29,Standards_Active!$H29,CR28)),CR28)</f>
        <v>1</v>
      </c>
      <c r="BI28" s="622">
        <f>IF(ISNUMBER(Standards_Active!$F29),IF(AND(BI$7&gt;=Standards_Active!$C29,BI$7&lt;Standards_Active!$D29),BH28-Standards_Active!$G29*INDEX($AQ$9:$BP$9,1,MATCH((Standards_Active!$C29-1),$AQ$7:$BP$7,FALSE)),IF(BI$7&gt;=Standards_Active!$D29,Standards_Active!$H29,CS28)),CS28)</f>
        <v>1</v>
      </c>
      <c r="BJ28" s="622">
        <f>IF(ISNUMBER(Standards_Active!$F29),IF(AND(BJ$7&gt;=Standards_Active!$C29,BJ$7&lt;Standards_Active!$D29),BI28-Standards_Active!$G29*INDEX($AQ$9:$BP$9,1,MATCH((Standards_Active!$C29-1),$AQ$7:$BP$7,FALSE)),IF(BJ$7&gt;=Standards_Active!$D29,Standards_Active!$H29,CT28)),CT28)</f>
        <v>1</v>
      </c>
      <c r="BK28" s="622">
        <f>IF(ISNUMBER(Standards_Active!$F29),IF(AND(BK$7&gt;=Standards_Active!$C29,BK$7&lt;Standards_Active!$D29),BJ28-Standards_Active!$G29*INDEX($AQ$9:$BP$9,1,MATCH((Standards_Active!$C29-1),$AQ$7:$BP$7,FALSE)),IF(BK$7&gt;=Standards_Active!$D29,Standards_Active!$H29,CU28)),CU28)</f>
        <v>1</v>
      </c>
      <c r="BL28" s="622">
        <f>IF(ISNUMBER(Standards_Active!$F29),IF(AND(BL$7&gt;=Standards_Active!$C29,BL$7&lt;Standards_Active!$D29),BK28-Standards_Active!$G29*INDEX($AQ$9:$BP$9,1,MATCH((Standards_Active!$C29-1),$AQ$7:$BP$7,FALSE)),IF(BL$7&gt;=Standards_Active!$D29,Standards_Active!$H29,CV28)),CV28)</f>
        <v>1</v>
      </c>
      <c r="BM28" s="622">
        <f>IF(ISNUMBER(Standards_Active!$F29),IF(AND(BM$7&gt;=Standards_Active!$C29,BM$7&lt;Standards_Active!$D29),BL28-Standards_Active!$G29*INDEX($AQ$9:$BP$9,1,MATCH((Standards_Active!$C29-1),$AQ$7:$BP$7,FALSE)),IF(BM$7&gt;=Standards_Active!$D29,Standards_Active!$H29,CW28)),CW28)</f>
        <v>1</v>
      </c>
      <c r="BN28" s="622">
        <f>IF(ISNUMBER(Standards_Active!$F29),IF(AND(BN$7&gt;=Standards_Active!$C29,BN$7&lt;Standards_Active!$D29),BM28-Standards_Active!$G29*INDEX($AQ$9:$BP$9,1,MATCH((Standards_Active!$C29-1),$AQ$7:$BP$7,FALSE)),IF(BN$7&gt;=Standards_Active!$D29,Standards_Active!$H29,CX28)),CX28)</f>
        <v>1</v>
      </c>
      <c r="BO28" s="622">
        <f>IF(ISNUMBER(Standards_Active!$F29),IF(AND(BO$7&gt;=Standards_Active!$C29,BO$7&lt;Standards_Active!$D29),BN28-Standards_Active!$G29*INDEX($AQ$9:$BP$9,1,MATCH((Standards_Active!$C29-1),$AQ$7:$BP$7,FALSE)),IF(BO$7&gt;=Standards_Active!$D29,Standards_Active!$H29,CY28)),CY28)</f>
        <v>1</v>
      </c>
      <c r="BP28" s="622">
        <f>IF(ISNUMBER(Standards_Active!$F29),IF(AND(BP$7&gt;=Standards_Active!$C29,BP$7&lt;Standards_Active!$D29),BO28-Standards_Active!$G29*INDEX($AQ$9:$BP$9,1,MATCH((Standards_Active!$C29-1),$AQ$7:$BP$7,FALSE)),IF(BP$7&gt;=Standards_Active!$D29,Standards_Active!$H29,CZ28)),CZ28)</f>
        <v>1</v>
      </c>
      <c r="BQ28" s="380"/>
      <c r="BR28" s="376"/>
      <c r="BS28" s="376"/>
      <c r="BT28" s="376"/>
      <c r="BU28" s="376"/>
      <c r="BV28" s="376"/>
      <c r="BW28" s="376"/>
      <c r="BX28" s="376"/>
      <c r="BY28" s="376"/>
      <c r="BZ28" s="376"/>
      <c r="CA28" s="424">
        <v>1</v>
      </c>
      <c r="CB28" s="424">
        <v>1</v>
      </c>
      <c r="CC28" s="424">
        <v>1</v>
      </c>
      <c r="CD28" s="424">
        <v>1</v>
      </c>
      <c r="CE28" s="424">
        <v>1</v>
      </c>
      <c r="CF28" s="424">
        <v>1</v>
      </c>
      <c r="CG28" s="424">
        <v>1</v>
      </c>
      <c r="CH28" s="424">
        <v>1</v>
      </c>
      <c r="CI28" s="424">
        <v>1</v>
      </c>
      <c r="CJ28" s="424">
        <v>1</v>
      </c>
      <c r="CK28" s="424">
        <v>1</v>
      </c>
      <c r="CL28" s="424">
        <v>1</v>
      </c>
      <c r="CM28" s="424">
        <v>1</v>
      </c>
      <c r="CN28" s="424">
        <v>1</v>
      </c>
      <c r="CO28" s="424">
        <v>1</v>
      </c>
      <c r="CP28" s="424">
        <v>1</v>
      </c>
      <c r="CQ28" s="424">
        <v>1</v>
      </c>
      <c r="CR28" s="424">
        <v>1</v>
      </c>
      <c r="CS28" s="424">
        <v>1</v>
      </c>
      <c r="CT28" s="424">
        <v>1</v>
      </c>
      <c r="CU28" s="424">
        <v>1</v>
      </c>
      <c r="CV28" s="424">
        <v>1</v>
      </c>
      <c r="CW28" s="424">
        <v>1</v>
      </c>
      <c r="CX28" s="424">
        <v>1</v>
      </c>
      <c r="CY28" s="424">
        <v>1</v>
      </c>
      <c r="CZ28" s="424">
        <v>1</v>
      </c>
    </row>
    <row r="29" spans="1:104" s="81" customFormat="1" ht="12.6" x14ac:dyDescent="0.25">
      <c r="A29" s="252"/>
      <c r="B29" s="257" t="s">
        <v>45</v>
      </c>
      <c r="D29" s="380"/>
      <c r="E29" s="380"/>
      <c r="F29" s="380"/>
      <c r="G29" s="370">
        <f>IF(Standards_Active!$E30="yes",Standards_Acceptance!AQ29,Standards_Acceptance!CA29)</f>
        <v>1</v>
      </c>
      <c r="H29" s="370">
        <f>IF(Standards_Active!$E30="yes",Standards_Acceptance!AR29,Standards_Acceptance!CB29)</f>
        <v>1</v>
      </c>
      <c r="I29" s="370">
        <f>IF(Standards_Active!$E30="yes",Standards_Acceptance!AS29,Standards_Acceptance!CC29)</f>
        <v>1</v>
      </c>
      <c r="J29" s="370">
        <f>IF(Standards_Active!$E30="yes",Standards_Acceptance!AT29,Standards_Acceptance!CD29)</f>
        <v>1</v>
      </c>
      <c r="K29" s="370">
        <f>IF(Standards_Active!$E30="yes",Standards_Acceptance!AU29,Standards_Acceptance!CE29)</f>
        <v>1</v>
      </c>
      <c r="L29" s="370">
        <f>IF(Standards_Active!$E30="yes",Standards_Acceptance!AV29,Standards_Acceptance!CF29)</f>
        <v>1</v>
      </c>
      <c r="M29" s="370">
        <f>IF(Standards_Active!$E30="yes",Standards_Acceptance!AW29,Standards_Acceptance!CG29)</f>
        <v>1</v>
      </c>
      <c r="N29" s="370">
        <f>IF(Standards_Active!$E30="yes",Standards_Acceptance!AX29,Standards_Acceptance!CH29)</f>
        <v>1</v>
      </c>
      <c r="O29" s="370">
        <f>IF(Standards_Active!$E30="yes",Standards_Acceptance!AY29,Standards_Acceptance!CI29)</f>
        <v>1</v>
      </c>
      <c r="P29" s="370">
        <f>IF(Standards_Active!$E30="yes",Standards_Acceptance!AZ29,Standards_Acceptance!CJ29)</f>
        <v>1</v>
      </c>
      <c r="Q29" s="370">
        <f>IF(Standards_Active!$E30="yes",Standards_Acceptance!BA29,Standards_Acceptance!CK29)</f>
        <v>1</v>
      </c>
      <c r="R29" s="370">
        <f>IF(Standards_Active!$E30="yes",Standards_Acceptance!BB29,Standards_Acceptance!CL29)</f>
        <v>1</v>
      </c>
      <c r="S29" s="370">
        <f>IF(Standards_Active!$E30="yes",Standards_Acceptance!BC29,Standards_Acceptance!CM29)</f>
        <v>1</v>
      </c>
      <c r="T29" s="370">
        <f>IF(Standards_Active!$E30="yes",Standards_Acceptance!BD29,Standards_Acceptance!CN29)</f>
        <v>1</v>
      </c>
      <c r="U29" s="370">
        <f>IF(Standards_Active!$E30="yes",Standards_Acceptance!BE29,Standards_Acceptance!CO29)</f>
        <v>1</v>
      </c>
      <c r="V29" s="370">
        <f>IF(Standards_Active!$E30="yes",Standards_Acceptance!BF29,Standards_Acceptance!CP29)</f>
        <v>1</v>
      </c>
      <c r="W29" s="370">
        <f>IF(Standards_Active!$E30="yes",Standards_Acceptance!BG29,Standards_Acceptance!CQ29)</f>
        <v>1</v>
      </c>
      <c r="X29" s="370">
        <f>IF(Standards_Active!$E30="yes",Standards_Acceptance!BH29,Standards_Acceptance!CR29)</f>
        <v>1</v>
      </c>
      <c r="Y29" s="370">
        <f>IF(Standards_Active!$E30="yes",Standards_Acceptance!BI29,Standards_Acceptance!CS29)</f>
        <v>1</v>
      </c>
      <c r="Z29" s="370">
        <f>IF(Standards_Active!$E30="yes",Standards_Acceptance!BJ29,Standards_Acceptance!CT29)</f>
        <v>1</v>
      </c>
      <c r="AA29" s="370">
        <f>IF(Standards_Active!$E30="yes",Standards_Acceptance!BK29,Standards_Acceptance!CU29)</f>
        <v>1</v>
      </c>
      <c r="AB29" s="370">
        <f>IF(Standards_Active!$E30="yes",Standards_Acceptance!BL29,Standards_Acceptance!CV29)</f>
        <v>1</v>
      </c>
      <c r="AC29" s="370">
        <f>IF(Standards_Active!$E30="yes",Standards_Acceptance!BM29,Standards_Acceptance!CW29)</f>
        <v>1</v>
      </c>
      <c r="AD29" s="370">
        <f>IF(Standards_Active!$E30="yes",Standards_Acceptance!BN29,Standards_Acceptance!CX29)</f>
        <v>1</v>
      </c>
      <c r="AE29" s="370">
        <f>IF(Standards_Active!$E30="yes",Standards_Acceptance!BO29,Standards_Acceptance!CY29)</f>
        <v>1</v>
      </c>
      <c r="AF29" s="370">
        <f>IF(Standards_Active!$E30="yes",Standards_Acceptance!BP29,Standards_Acceptance!CZ29)</f>
        <v>1</v>
      </c>
      <c r="AH29" s="376"/>
      <c r="AI29" s="376"/>
      <c r="AJ29" s="376"/>
      <c r="AK29" s="376"/>
      <c r="AL29" s="376"/>
      <c r="AM29" s="376"/>
      <c r="AN29" s="376"/>
      <c r="AO29" s="376"/>
      <c r="AP29" s="376"/>
      <c r="AQ29" s="622">
        <f>IF(ISNUMBER(Standards_Active!$F30),IF(AND(AQ$7&gt;=Standards_Active!$C30,AQ$7&lt;Standards_Active!$D30),AP29-Standards_Active!$G30*INDEX($AQ$9:$BP$9,1,MATCH((Standards_Active!$C30-1),$AQ$7:$BP$7,FALSE)),IF(AQ$7&gt;=Standards_Active!$D30,Standards_Active!$H30,CA29)),CA29)</f>
        <v>1</v>
      </c>
      <c r="AR29" s="622">
        <f>IF(ISNUMBER(Standards_Active!$F30),IF(AND(AR$7&gt;=Standards_Active!$C30,AR$7&lt;Standards_Active!$D30),AQ29-Standards_Active!$G30*INDEX($AQ$9:$BP$9,1,MATCH((Standards_Active!$C30-1),$AQ$7:$BP$7,FALSE)),IF(AR$7&gt;=Standards_Active!$D30,Standards_Active!$H30,CB29)),CB29)</f>
        <v>1</v>
      </c>
      <c r="AS29" s="622">
        <f>IF(ISNUMBER(Standards_Active!$F30),IF(AND(AS$7&gt;=Standards_Active!$C30,AS$7&lt;Standards_Active!$D30),AR29-Standards_Active!$G30*INDEX($AQ$9:$BP$9,1,MATCH((Standards_Active!$C30-1),$AQ$7:$BP$7,FALSE)),IF(AS$7&gt;=Standards_Active!$D30,Standards_Active!$H30,CC29)),CC29)</f>
        <v>1</v>
      </c>
      <c r="AT29" s="622">
        <f>IF(ISNUMBER(Standards_Active!$F30),IF(AND(AT$7&gt;=Standards_Active!$C30,AT$7&lt;Standards_Active!$D30),AS29-Standards_Active!$G30*INDEX($AQ$9:$BP$9,1,MATCH((Standards_Active!$C30-1),$AQ$7:$BP$7,FALSE)),IF(AT$7&gt;=Standards_Active!$D30,Standards_Active!$H30,CD29)),CD29)</f>
        <v>1</v>
      </c>
      <c r="AU29" s="622">
        <f>IF(ISNUMBER(Standards_Active!$F30),IF(AND(AU$7&gt;=Standards_Active!$C30,AU$7&lt;Standards_Active!$D30),AT29-Standards_Active!$G30*INDEX($AQ$9:$BP$9,1,MATCH((Standards_Active!$C30-1),$AQ$7:$BP$7,FALSE)),IF(AU$7&gt;=Standards_Active!$D30,Standards_Active!$H30,CE29)),CE29)</f>
        <v>1</v>
      </c>
      <c r="AV29" s="622">
        <f>IF(ISNUMBER(Standards_Active!$F30),IF(AND(AV$7&gt;=Standards_Active!$C30,AV$7&lt;Standards_Active!$D30),AU29-Standards_Active!$G30*INDEX($AQ$9:$BP$9,1,MATCH((Standards_Active!$C30-1),$AQ$7:$BP$7,FALSE)),IF(AV$7&gt;=Standards_Active!$D30,Standards_Active!$H30,CF29)),CF29)</f>
        <v>1</v>
      </c>
      <c r="AW29" s="622">
        <f>IF(ISNUMBER(Standards_Active!$F30),IF(AND(AW$7&gt;=Standards_Active!$C30,AW$7&lt;Standards_Active!$D30),AV29-Standards_Active!$G30*INDEX($AQ$9:$BP$9,1,MATCH((Standards_Active!$C30-1),$AQ$7:$BP$7,FALSE)),IF(AW$7&gt;=Standards_Active!$D30,Standards_Active!$H30,CG29)),CG29)</f>
        <v>1</v>
      </c>
      <c r="AX29" s="622">
        <f>IF(ISNUMBER(Standards_Active!$F30),IF(AND(AX$7&gt;=Standards_Active!$C30,AX$7&lt;Standards_Active!$D30),AW29-Standards_Active!$G30*INDEX($AQ$9:$BP$9,1,MATCH((Standards_Active!$C30-1),$AQ$7:$BP$7,FALSE)),IF(AX$7&gt;=Standards_Active!$D30,Standards_Active!$H30,CH29)),CH29)</f>
        <v>1</v>
      </c>
      <c r="AY29" s="622">
        <f>IF(ISNUMBER(Standards_Active!$F30),IF(AND(AY$7&gt;=Standards_Active!$C30,AY$7&lt;Standards_Active!$D30),AX29-Standards_Active!$G30*INDEX($AQ$9:$BP$9,1,MATCH((Standards_Active!$C30-1),$AQ$7:$BP$7,FALSE)),IF(AY$7&gt;=Standards_Active!$D30,Standards_Active!$H30,CI29)),CI29)</f>
        <v>1</v>
      </c>
      <c r="AZ29" s="622">
        <f>IF(ISNUMBER(Standards_Active!$F30),IF(AND(AZ$7&gt;=Standards_Active!$C30,AZ$7&lt;Standards_Active!$D30),AY29-Standards_Active!$G30*INDEX($AQ$9:$BP$9,1,MATCH((Standards_Active!$C30-1),$AQ$7:$BP$7,FALSE)),IF(AZ$7&gt;=Standards_Active!$D30,Standards_Active!$H30,CJ29)),CJ29)</f>
        <v>1</v>
      </c>
      <c r="BA29" s="622">
        <f>IF(ISNUMBER(Standards_Active!$F30),IF(AND(BA$7&gt;=Standards_Active!$C30,BA$7&lt;Standards_Active!$D30),AZ29-Standards_Active!$G30*INDEX($AQ$9:$BP$9,1,MATCH((Standards_Active!$C30-1),$AQ$7:$BP$7,FALSE)),IF(BA$7&gt;=Standards_Active!$D30,Standards_Active!$H30,CK29)),CK29)</f>
        <v>1</v>
      </c>
      <c r="BB29" s="622">
        <f>IF(ISNUMBER(Standards_Active!$F30),IF(AND(BB$7&gt;=Standards_Active!$C30,BB$7&lt;Standards_Active!$D30),BA29-Standards_Active!$G30*INDEX($AQ$9:$BP$9,1,MATCH((Standards_Active!$C30-1),$AQ$7:$BP$7,FALSE)),IF(BB$7&gt;=Standards_Active!$D30,Standards_Active!$H30,CL29)),CL29)</f>
        <v>1</v>
      </c>
      <c r="BC29" s="622">
        <f>IF(ISNUMBER(Standards_Active!$F30),IF(AND(BC$7&gt;=Standards_Active!$C30,BC$7&lt;Standards_Active!$D30),BB29-Standards_Active!$G30*INDEX($AQ$9:$BP$9,1,MATCH((Standards_Active!$C30-1),$AQ$7:$BP$7,FALSE)),IF(BC$7&gt;=Standards_Active!$D30,Standards_Active!$H30,CM29)),CM29)</f>
        <v>1</v>
      </c>
      <c r="BD29" s="622">
        <f>IF(ISNUMBER(Standards_Active!$F30),IF(AND(BD$7&gt;=Standards_Active!$C30,BD$7&lt;Standards_Active!$D30),BC29-Standards_Active!$G30*INDEX($AQ$9:$BP$9,1,MATCH((Standards_Active!$C30-1),$AQ$7:$BP$7,FALSE)),IF(BD$7&gt;=Standards_Active!$D30,Standards_Active!$H30,CN29)),CN29)</f>
        <v>1</v>
      </c>
      <c r="BE29" s="622">
        <f>IF(ISNUMBER(Standards_Active!$F30),IF(AND(BE$7&gt;=Standards_Active!$C30,BE$7&lt;Standards_Active!$D30),BD29-Standards_Active!$G30*INDEX($AQ$9:$BP$9,1,MATCH((Standards_Active!$C30-1),$AQ$7:$BP$7,FALSE)),IF(BE$7&gt;=Standards_Active!$D30,Standards_Active!$H30,CO29)),CO29)</f>
        <v>1</v>
      </c>
      <c r="BF29" s="622">
        <f>IF(ISNUMBER(Standards_Active!$F30),IF(AND(BF$7&gt;=Standards_Active!$C30,BF$7&lt;Standards_Active!$D30),BE29-Standards_Active!$G30*INDEX($AQ$9:$BP$9,1,MATCH((Standards_Active!$C30-1),$AQ$7:$BP$7,FALSE)),IF(BF$7&gt;=Standards_Active!$D30,Standards_Active!$H30,CP29)),CP29)</f>
        <v>1</v>
      </c>
      <c r="BG29" s="622">
        <f>IF(ISNUMBER(Standards_Active!$F30),IF(AND(BG$7&gt;=Standards_Active!$C30,BG$7&lt;Standards_Active!$D30),BF29-Standards_Active!$G30*INDEX($AQ$9:$BP$9,1,MATCH((Standards_Active!$C30-1),$AQ$7:$BP$7,FALSE)),IF(BG$7&gt;=Standards_Active!$D30,Standards_Active!$H30,CQ29)),CQ29)</f>
        <v>1</v>
      </c>
      <c r="BH29" s="622">
        <f>IF(ISNUMBER(Standards_Active!$F30),IF(AND(BH$7&gt;=Standards_Active!$C30,BH$7&lt;Standards_Active!$D30),BG29-Standards_Active!$G30*INDEX($AQ$9:$BP$9,1,MATCH((Standards_Active!$C30-1),$AQ$7:$BP$7,FALSE)),IF(BH$7&gt;=Standards_Active!$D30,Standards_Active!$H30,CR29)),CR29)</f>
        <v>1</v>
      </c>
      <c r="BI29" s="622">
        <f>IF(ISNUMBER(Standards_Active!$F30),IF(AND(BI$7&gt;=Standards_Active!$C30,BI$7&lt;Standards_Active!$D30),BH29-Standards_Active!$G30*INDEX($AQ$9:$BP$9,1,MATCH((Standards_Active!$C30-1),$AQ$7:$BP$7,FALSE)),IF(BI$7&gt;=Standards_Active!$D30,Standards_Active!$H30,CS29)),CS29)</f>
        <v>1</v>
      </c>
      <c r="BJ29" s="622">
        <f>IF(ISNUMBER(Standards_Active!$F30),IF(AND(BJ$7&gt;=Standards_Active!$C30,BJ$7&lt;Standards_Active!$D30),BI29-Standards_Active!$G30*INDEX($AQ$9:$BP$9,1,MATCH((Standards_Active!$C30-1),$AQ$7:$BP$7,FALSE)),IF(BJ$7&gt;=Standards_Active!$D30,Standards_Active!$H30,CT29)),CT29)</f>
        <v>1</v>
      </c>
      <c r="BK29" s="622">
        <f>IF(ISNUMBER(Standards_Active!$F30),IF(AND(BK$7&gt;=Standards_Active!$C30,BK$7&lt;Standards_Active!$D30),BJ29-Standards_Active!$G30*INDEX($AQ$9:$BP$9,1,MATCH((Standards_Active!$C30-1),$AQ$7:$BP$7,FALSE)),IF(BK$7&gt;=Standards_Active!$D30,Standards_Active!$H30,CU29)),CU29)</f>
        <v>1</v>
      </c>
      <c r="BL29" s="622">
        <f>IF(ISNUMBER(Standards_Active!$F30),IF(AND(BL$7&gt;=Standards_Active!$C30,BL$7&lt;Standards_Active!$D30),BK29-Standards_Active!$G30*INDEX($AQ$9:$BP$9,1,MATCH((Standards_Active!$C30-1),$AQ$7:$BP$7,FALSE)),IF(BL$7&gt;=Standards_Active!$D30,Standards_Active!$H30,CV29)),CV29)</f>
        <v>1</v>
      </c>
      <c r="BM29" s="622">
        <f>IF(ISNUMBER(Standards_Active!$F30),IF(AND(BM$7&gt;=Standards_Active!$C30,BM$7&lt;Standards_Active!$D30),BL29-Standards_Active!$G30*INDEX($AQ$9:$BP$9,1,MATCH((Standards_Active!$C30-1),$AQ$7:$BP$7,FALSE)),IF(BM$7&gt;=Standards_Active!$D30,Standards_Active!$H30,CW29)),CW29)</f>
        <v>1</v>
      </c>
      <c r="BN29" s="622">
        <f>IF(ISNUMBER(Standards_Active!$F30),IF(AND(BN$7&gt;=Standards_Active!$C30,BN$7&lt;Standards_Active!$D30),BM29-Standards_Active!$G30*INDEX($AQ$9:$BP$9,1,MATCH((Standards_Active!$C30-1),$AQ$7:$BP$7,FALSE)),IF(BN$7&gt;=Standards_Active!$D30,Standards_Active!$H30,CX29)),CX29)</f>
        <v>1</v>
      </c>
      <c r="BO29" s="622">
        <f>IF(ISNUMBER(Standards_Active!$F30),IF(AND(BO$7&gt;=Standards_Active!$C30,BO$7&lt;Standards_Active!$D30),BN29-Standards_Active!$G30*INDEX($AQ$9:$BP$9,1,MATCH((Standards_Active!$C30-1),$AQ$7:$BP$7,FALSE)),IF(BO$7&gt;=Standards_Active!$D30,Standards_Active!$H30,CY29)),CY29)</f>
        <v>1</v>
      </c>
      <c r="BP29" s="622">
        <f>IF(ISNUMBER(Standards_Active!$F30),IF(AND(BP$7&gt;=Standards_Active!$C30,BP$7&lt;Standards_Active!$D30),BO29-Standards_Active!$G30*INDEX($AQ$9:$BP$9,1,MATCH((Standards_Active!$C30-1),$AQ$7:$BP$7,FALSE)),IF(BP$7&gt;=Standards_Active!$D30,Standards_Active!$H30,CZ29)),CZ29)</f>
        <v>1</v>
      </c>
      <c r="BQ29" s="380"/>
      <c r="BR29" s="376"/>
      <c r="BS29" s="376"/>
      <c r="BT29" s="376"/>
      <c r="BU29" s="376"/>
      <c r="BV29" s="376"/>
      <c r="BW29" s="376"/>
      <c r="BX29" s="376"/>
      <c r="BY29" s="376"/>
      <c r="BZ29" s="376"/>
      <c r="CA29" s="424">
        <v>1</v>
      </c>
      <c r="CB29" s="424">
        <v>1</v>
      </c>
      <c r="CC29" s="424">
        <v>1</v>
      </c>
      <c r="CD29" s="424">
        <v>1</v>
      </c>
      <c r="CE29" s="424">
        <v>1</v>
      </c>
      <c r="CF29" s="424">
        <v>1</v>
      </c>
      <c r="CG29" s="424">
        <v>1</v>
      </c>
      <c r="CH29" s="424">
        <v>1</v>
      </c>
      <c r="CI29" s="424">
        <v>1</v>
      </c>
      <c r="CJ29" s="424">
        <v>1</v>
      </c>
      <c r="CK29" s="424">
        <v>1</v>
      </c>
      <c r="CL29" s="424">
        <v>1</v>
      </c>
      <c r="CM29" s="424">
        <v>1</v>
      </c>
      <c r="CN29" s="424">
        <v>1</v>
      </c>
      <c r="CO29" s="424">
        <v>1</v>
      </c>
      <c r="CP29" s="424">
        <v>1</v>
      </c>
      <c r="CQ29" s="424">
        <v>1</v>
      </c>
      <c r="CR29" s="424">
        <v>1</v>
      </c>
      <c r="CS29" s="424">
        <v>1</v>
      </c>
      <c r="CT29" s="424">
        <v>1</v>
      </c>
      <c r="CU29" s="424">
        <v>1</v>
      </c>
      <c r="CV29" s="424">
        <v>1</v>
      </c>
      <c r="CW29" s="424">
        <v>1</v>
      </c>
      <c r="CX29" s="424">
        <v>1</v>
      </c>
      <c r="CY29" s="424">
        <v>1</v>
      </c>
      <c r="CZ29" s="424">
        <v>1</v>
      </c>
    </row>
    <row r="30" spans="1:104" s="81" customFormat="1" ht="12.6" x14ac:dyDescent="0.25">
      <c r="A30" s="252"/>
      <c r="B30" s="257" t="s">
        <v>46</v>
      </c>
      <c r="D30" s="380"/>
      <c r="E30" s="380"/>
      <c r="F30" s="380"/>
      <c r="G30" s="370">
        <f>IF(Standards_Active!$E31="yes",Standards_Acceptance!AQ30,Standards_Acceptance!CA30)</f>
        <v>1</v>
      </c>
      <c r="H30" s="370">
        <f>IF(Standards_Active!$E31="yes",Standards_Acceptance!AR30,Standards_Acceptance!CB30)</f>
        <v>1</v>
      </c>
      <c r="I30" s="370">
        <f>IF(Standards_Active!$E31="yes",Standards_Acceptance!AS30,Standards_Acceptance!CC30)</f>
        <v>1</v>
      </c>
      <c r="J30" s="370">
        <f>IF(Standards_Active!$E31="yes",Standards_Acceptance!AT30,Standards_Acceptance!CD30)</f>
        <v>1</v>
      </c>
      <c r="K30" s="370">
        <f>IF(Standards_Active!$E31="yes",Standards_Acceptance!AU30,Standards_Acceptance!CE30)</f>
        <v>1</v>
      </c>
      <c r="L30" s="370">
        <f>IF(Standards_Active!$E31="yes",Standards_Acceptance!AV30,Standards_Acceptance!CF30)</f>
        <v>1</v>
      </c>
      <c r="M30" s="370">
        <f>IF(Standards_Active!$E31="yes",Standards_Acceptance!AW30,Standards_Acceptance!CG30)</f>
        <v>1</v>
      </c>
      <c r="N30" s="370">
        <f>IF(Standards_Active!$E31="yes",Standards_Acceptance!AX30,Standards_Acceptance!CH30)</f>
        <v>1</v>
      </c>
      <c r="O30" s="370">
        <f>IF(Standards_Active!$E31="yes",Standards_Acceptance!AY30,Standards_Acceptance!CI30)</f>
        <v>1</v>
      </c>
      <c r="P30" s="370">
        <f>IF(Standards_Active!$E31="yes",Standards_Acceptance!AZ30,Standards_Acceptance!CJ30)</f>
        <v>1</v>
      </c>
      <c r="Q30" s="370">
        <f>IF(Standards_Active!$E31="yes",Standards_Acceptance!BA30,Standards_Acceptance!CK30)</f>
        <v>1</v>
      </c>
      <c r="R30" s="370">
        <f>IF(Standards_Active!$E31="yes",Standards_Acceptance!BB30,Standards_Acceptance!CL30)</f>
        <v>1</v>
      </c>
      <c r="S30" s="370">
        <f>IF(Standards_Active!$E31="yes",Standards_Acceptance!BC30,Standards_Acceptance!CM30)</f>
        <v>1</v>
      </c>
      <c r="T30" s="370">
        <f>IF(Standards_Active!$E31="yes",Standards_Acceptance!BD30,Standards_Acceptance!CN30)</f>
        <v>1</v>
      </c>
      <c r="U30" s="370">
        <f>IF(Standards_Active!$E31="yes",Standards_Acceptance!BE30,Standards_Acceptance!CO30)</f>
        <v>1</v>
      </c>
      <c r="V30" s="370">
        <f>IF(Standards_Active!$E31="yes",Standards_Acceptance!BF30,Standards_Acceptance!CP30)</f>
        <v>1</v>
      </c>
      <c r="W30" s="370">
        <f>IF(Standards_Active!$E31="yes",Standards_Acceptance!BG30,Standards_Acceptance!CQ30)</f>
        <v>1</v>
      </c>
      <c r="X30" s="370">
        <f>IF(Standards_Active!$E31="yes",Standards_Acceptance!BH30,Standards_Acceptance!CR30)</f>
        <v>1</v>
      </c>
      <c r="Y30" s="370">
        <f>IF(Standards_Active!$E31="yes",Standards_Acceptance!BI30,Standards_Acceptance!CS30)</f>
        <v>1</v>
      </c>
      <c r="Z30" s="370">
        <f>IF(Standards_Active!$E31="yes",Standards_Acceptance!BJ30,Standards_Acceptance!CT30)</f>
        <v>1</v>
      </c>
      <c r="AA30" s="370">
        <f>IF(Standards_Active!$E31="yes",Standards_Acceptance!BK30,Standards_Acceptance!CU30)</f>
        <v>1</v>
      </c>
      <c r="AB30" s="370">
        <f>IF(Standards_Active!$E31="yes",Standards_Acceptance!BL30,Standards_Acceptance!CV30)</f>
        <v>1</v>
      </c>
      <c r="AC30" s="370">
        <f>IF(Standards_Active!$E31="yes",Standards_Acceptance!BM30,Standards_Acceptance!CW30)</f>
        <v>1</v>
      </c>
      <c r="AD30" s="370">
        <f>IF(Standards_Active!$E31="yes",Standards_Acceptance!BN30,Standards_Acceptance!CX30)</f>
        <v>1</v>
      </c>
      <c r="AE30" s="370">
        <f>IF(Standards_Active!$E31="yes",Standards_Acceptance!BO30,Standards_Acceptance!CY30)</f>
        <v>1</v>
      </c>
      <c r="AF30" s="370">
        <f>IF(Standards_Active!$E31="yes",Standards_Acceptance!BP30,Standards_Acceptance!CZ30)</f>
        <v>1</v>
      </c>
      <c r="AH30" s="376"/>
      <c r="AI30" s="376"/>
      <c r="AJ30" s="376"/>
      <c r="AK30" s="376"/>
      <c r="AL30" s="376"/>
      <c r="AM30" s="376"/>
      <c r="AN30" s="376"/>
      <c r="AO30" s="376"/>
      <c r="AP30" s="376"/>
      <c r="AQ30" s="622">
        <f>IF(ISNUMBER(Standards_Active!$F31),IF(AND(AQ$7&gt;=Standards_Active!$C31,AQ$7&lt;Standards_Active!$D31),AP30-Standards_Active!$G31*INDEX($AQ$9:$BP$9,1,MATCH((Standards_Active!$C31-1),$AQ$7:$BP$7,FALSE)),IF(AQ$7&gt;=Standards_Active!$D31,Standards_Active!$H31,CA30)),CA30)</f>
        <v>1</v>
      </c>
      <c r="AR30" s="622">
        <f>IF(ISNUMBER(Standards_Active!$F31),IF(AND(AR$7&gt;=Standards_Active!$C31,AR$7&lt;Standards_Active!$D31),AQ30-Standards_Active!$G31*INDEX($AQ$9:$BP$9,1,MATCH((Standards_Active!$C31-1),$AQ$7:$BP$7,FALSE)),IF(AR$7&gt;=Standards_Active!$D31,Standards_Active!$H31,CB30)),CB30)</f>
        <v>1</v>
      </c>
      <c r="AS30" s="622">
        <f>IF(ISNUMBER(Standards_Active!$F31),IF(AND(AS$7&gt;=Standards_Active!$C31,AS$7&lt;Standards_Active!$D31),AR30-Standards_Active!$G31*INDEX($AQ$9:$BP$9,1,MATCH((Standards_Active!$C31-1),$AQ$7:$BP$7,FALSE)),IF(AS$7&gt;=Standards_Active!$D31,Standards_Active!$H31,CC30)),CC30)</f>
        <v>1</v>
      </c>
      <c r="AT30" s="622">
        <f>IF(ISNUMBER(Standards_Active!$F31),IF(AND(AT$7&gt;=Standards_Active!$C31,AT$7&lt;Standards_Active!$D31),AS30-Standards_Active!$G31*INDEX($AQ$9:$BP$9,1,MATCH((Standards_Active!$C31-1),$AQ$7:$BP$7,FALSE)),IF(AT$7&gt;=Standards_Active!$D31,Standards_Active!$H31,CD30)),CD30)</f>
        <v>1</v>
      </c>
      <c r="AU30" s="622">
        <f>IF(ISNUMBER(Standards_Active!$F31),IF(AND(AU$7&gt;=Standards_Active!$C31,AU$7&lt;Standards_Active!$D31),AT30-Standards_Active!$G31*INDEX($AQ$9:$BP$9,1,MATCH((Standards_Active!$C31-1),$AQ$7:$BP$7,FALSE)),IF(AU$7&gt;=Standards_Active!$D31,Standards_Active!$H31,CE30)),CE30)</f>
        <v>1</v>
      </c>
      <c r="AV30" s="622">
        <f>IF(ISNUMBER(Standards_Active!$F31),IF(AND(AV$7&gt;=Standards_Active!$C31,AV$7&lt;Standards_Active!$D31),AU30-Standards_Active!$G31*INDEX($AQ$9:$BP$9,1,MATCH((Standards_Active!$C31-1),$AQ$7:$BP$7,FALSE)),IF(AV$7&gt;=Standards_Active!$D31,Standards_Active!$H31,CF30)),CF30)</f>
        <v>1</v>
      </c>
      <c r="AW30" s="622">
        <f>IF(ISNUMBER(Standards_Active!$F31),IF(AND(AW$7&gt;=Standards_Active!$C31,AW$7&lt;Standards_Active!$D31),AV30-Standards_Active!$G31*INDEX($AQ$9:$BP$9,1,MATCH((Standards_Active!$C31-1),$AQ$7:$BP$7,FALSE)),IF(AW$7&gt;=Standards_Active!$D31,Standards_Active!$H31,CG30)),CG30)</f>
        <v>1</v>
      </c>
      <c r="AX30" s="622">
        <f>IF(ISNUMBER(Standards_Active!$F31),IF(AND(AX$7&gt;=Standards_Active!$C31,AX$7&lt;Standards_Active!$D31),AW30-Standards_Active!$G31*INDEX($AQ$9:$BP$9,1,MATCH((Standards_Active!$C31-1),$AQ$7:$BP$7,FALSE)),IF(AX$7&gt;=Standards_Active!$D31,Standards_Active!$H31,CH30)),CH30)</f>
        <v>1</v>
      </c>
      <c r="AY30" s="622">
        <f>IF(ISNUMBER(Standards_Active!$F31),IF(AND(AY$7&gt;=Standards_Active!$C31,AY$7&lt;Standards_Active!$D31),AX30-Standards_Active!$G31*INDEX($AQ$9:$BP$9,1,MATCH((Standards_Active!$C31-1),$AQ$7:$BP$7,FALSE)),IF(AY$7&gt;=Standards_Active!$D31,Standards_Active!$H31,CI30)),CI30)</f>
        <v>1</v>
      </c>
      <c r="AZ30" s="622">
        <f>IF(ISNUMBER(Standards_Active!$F31),IF(AND(AZ$7&gt;=Standards_Active!$C31,AZ$7&lt;Standards_Active!$D31),AY30-Standards_Active!$G31*INDEX($AQ$9:$BP$9,1,MATCH((Standards_Active!$C31-1),$AQ$7:$BP$7,FALSE)),IF(AZ$7&gt;=Standards_Active!$D31,Standards_Active!$H31,CJ30)),CJ30)</f>
        <v>1</v>
      </c>
      <c r="BA30" s="622">
        <f>IF(ISNUMBER(Standards_Active!$F31),IF(AND(BA$7&gt;=Standards_Active!$C31,BA$7&lt;Standards_Active!$D31),AZ30-Standards_Active!$G31*INDEX($AQ$9:$BP$9,1,MATCH((Standards_Active!$C31-1),$AQ$7:$BP$7,FALSE)),IF(BA$7&gt;=Standards_Active!$D31,Standards_Active!$H31,CK30)),CK30)</f>
        <v>1</v>
      </c>
      <c r="BB30" s="622">
        <f>IF(ISNUMBER(Standards_Active!$F31),IF(AND(BB$7&gt;=Standards_Active!$C31,BB$7&lt;Standards_Active!$D31),BA30-Standards_Active!$G31*INDEX($AQ$9:$BP$9,1,MATCH((Standards_Active!$C31-1),$AQ$7:$BP$7,FALSE)),IF(BB$7&gt;=Standards_Active!$D31,Standards_Active!$H31,CL30)),CL30)</f>
        <v>1</v>
      </c>
      <c r="BC30" s="622">
        <f>IF(ISNUMBER(Standards_Active!$F31),IF(AND(BC$7&gt;=Standards_Active!$C31,BC$7&lt;Standards_Active!$D31),BB30-Standards_Active!$G31*INDEX($AQ$9:$BP$9,1,MATCH((Standards_Active!$C31-1),$AQ$7:$BP$7,FALSE)),IF(BC$7&gt;=Standards_Active!$D31,Standards_Active!$H31,CM30)),CM30)</f>
        <v>1</v>
      </c>
      <c r="BD30" s="622">
        <f>IF(ISNUMBER(Standards_Active!$F31),IF(AND(BD$7&gt;=Standards_Active!$C31,BD$7&lt;Standards_Active!$D31),BC30-Standards_Active!$G31*INDEX($AQ$9:$BP$9,1,MATCH((Standards_Active!$C31-1),$AQ$7:$BP$7,FALSE)),IF(BD$7&gt;=Standards_Active!$D31,Standards_Active!$H31,CN30)),CN30)</f>
        <v>1</v>
      </c>
      <c r="BE30" s="622">
        <f>IF(ISNUMBER(Standards_Active!$F31),IF(AND(BE$7&gt;=Standards_Active!$C31,BE$7&lt;Standards_Active!$D31),BD30-Standards_Active!$G31*INDEX($AQ$9:$BP$9,1,MATCH((Standards_Active!$C31-1),$AQ$7:$BP$7,FALSE)),IF(BE$7&gt;=Standards_Active!$D31,Standards_Active!$H31,CO30)),CO30)</f>
        <v>1</v>
      </c>
      <c r="BF30" s="622">
        <f>IF(ISNUMBER(Standards_Active!$F31),IF(AND(BF$7&gt;=Standards_Active!$C31,BF$7&lt;Standards_Active!$D31),BE30-Standards_Active!$G31*INDEX($AQ$9:$BP$9,1,MATCH((Standards_Active!$C31-1),$AQ$7:$BP$7,FALSE)),IF(BF$7&gt;=Standards_Active!$D31,Standards_Active!$H31,CP30)),CP30)</f>
        <v>1</v>
      </c>
      <c r="BG30" s="622">
        <f>IF(ISNUMBER(Standards_Active!$F31),IF(AND(BG$7&gt;=Standards_Active!$C31,BG$7&lt;Standards_Active!$D31),BF30-Standards_Active!$G31*INDEX($AQ$9:$BP$9,1,MATCH((Standards_Active!$C31-1),$AQ$7:$BP$7,FALSE)),IF(BG$7&gt;=Standards_Active!$D31,Standards_Active!$H31,CQ30)),CQ30)</f>
        <v>1</v>
      </c>
      <c r="BH30" s="622">
        <f>IF(ISNUMBER(Standards_Active!$F31),IF(AND(BH$7&gt;=Standards_Active!$C31,BH$7&lt;Standards_Active!$D31),BG30-Standards_Active!$G31*INDEX($AQ$9:$BP$9,1,MATCH((Standards_Active!$C31-1),$AQ$7:$BP$7,FALSE)),IF(BH$7&gt;=Standards_Active!$D31,Standards_Active!$H31,CR30)),CR30)</f>
        <v>1</v>
      </c>
      <c r="BI30" s="622">
        <f>IF(ISNUMBER(Standards_Active!$F31),IF(AND(BI$7&gt;=Standards_Active!$C31,BI$7&lt;Standards_Active!$D31),BH30-Standards_Active!$G31*INDEX($AQ$9:$BP$9,1,MATCH((Standards_Active!$C31-1),$AQ$7:$BP$7,FALSE)),IF(BI$7&gt;=Standards_Active!$D31,Standards_Active!$H31,CS30)),CS30)</f>
        <v>1</v>
      </c>
      <c r="BJ30" s="622">
        <f>IF(ISNUMBER(Standards_Active!$F31),IF(AND(BJ$7&gt;=Standards_Active!$C31,BJ$7&lt;Standards_Active!$D31),BI30-Standards_Active!$G31*INDEX($AQ$9:$BP$9,1,MATCH((Standards_Active!$C31-1),$AQ$7:$BP$7,FALSE)),IF(BJ$7&gt;=Standards_Active!$D31,Standards_Active!$H31,CT30)),CT30)</f>
        <v>1</v>
      </c>
      <c r="BK30" s="622">
        <f>IF(ISNUMBER(Standards_Active!$F31),IF(AND(BK$7&gt;=Standards_Active!$C31,BK$7&lt;Standards_Active!$D31),BJ30-Standards_Active!$G31*INDEX($AQ$9:$BP$9,1,MATCH((Standards_Active!$C31-1),$AQ$7:$BP$7,FALSE)),IF(BK$7&gt;=Standards_Active!$D31,Standards_Active!$H31,CU30)),CU30)</f>
        <v>1</v>
      </c>
      <c r="BL30" s="622">
        <f>IF(ISNUMBER(Standards_Active!$F31),IF(AND(BL$7&gt;=Standards_Active!$C31,BL$7&lt;Standards_Active!$D31),BK30-Standards_Active!$G31*INDEX($AQ$9:$BP$9,1,MATCH((Standards_Active!$C31-1),$AQ$7:$BP$7,FALSE)),IF(BL$7&gt;=Standards_Active!$D31,Standards_Active!$H31,CV30)),CV30)</f>
        <v>1</v>
      </c>
      <c r="BM30" s="622">
        <f>IF(ISNUMBER(Standards_Active!$F31),IF(AND(BM$7&gt;=Standards_Active!$C31,BM$7&lt;Standards_Active!$D31),BL30-Standards_Active!$G31*INDEX($AQ$9:$BP$9,1,MATCH((Standards_Active!$C31-1),$AQ$7:$BP$7,FALSE)),IF(BM$7&gt;=Standards_Active!$D31,Standards_Active!$H31,CW30)),CW30)</f>
        <v>1</v>
      </c>
      <c r="BN30" s="622">
        <f>IF(ISNUMBER(Standards_Active!$F31),IF(AND(BN$7&gt;=Standards_Active!$C31,BN$7&lt;Standards_Active!$D31),BM30-Standards_Active!$G31*INDEX($AQ$9:$BP$9,1,MATCH((Standards_Active!$C31-1),$AQ$7:$BP$7,FALSE)),IF(BN$7&gt;=Standards_Active!$D31,Standards_Active!$H31,CX30)),CX30)</f>
        <v>1</v>
      </c>
      <c r="BO30" s="622">
        <f>IF(ISNUMBER(Standards_Active!$F31),IF(AND(BO$7&gt;=Standards_Active!$C31,BO$7&lt;Standards_Active!$D31),BN30-Standards_Active!$G31*INDEX($AQ$9:$BP$9,1,MATCH((Standards_Active!$C31-1),$AQ$7:$BP$7,FALSE)),IF(BO$7&gt;=Standards_Active!$D31,Standards_Active!$H31,CY30)),CY30)</f>
        <v>1</v>
      </c>
      <c r="BP30" s="622">
        <f>IF(ISNUMBER(Standards_Active!$F31),IF(AND(BP$7&gt;=Standards_Active!$C31,BP$7&lt;Standards_Active!$D31),BO30-Standards_Active!$G31*INDEX($AQ$9:$BP$9,1,MATCH((Standards_Active!$C31-1),$AQ$7:$BP$7,FALSE)),IF(BP$7&gt;=Standards_Active!$D31,Standards_Active!$H31,CZ30)),CZ30)</f>
        <v>1</v>
      </c>
      <c r="BQ30" s="380"/>
      <c r="BR30" s="376"/>
      <c r="BS30" s="376"/>
      <c r="BT30" s="376"/>
      <c r="BU30" s="376"/>
      <c r="BV30" s="376"/>
      <c r="BW30" s="376"/>
      <c r="BX30" s="376"/>
      <c r="BY30" s="376"/>
      <c r="BZ30" s="376"/>
      <c r="CA30" s="424">
        <v>1</v>
      </c>
      <c r="CB30" s="424">
        <v>1</v>
      </c>
      <c r="CC30" s="424">
        <v>1</v>
      </c>
      <c r="CD30" s="424">
        <v>1</v>
      </c>
      <c r="CE30" s="424">
        <v>1</v>
      </c>
      <c r="CF30" s="424">
        <v>1</v>
      </c>
      <c r="CG30" s="424">
        <v>1</v>
      </c>
      <c r="CH30" s="424">
        <v>1</v>
      </c>
      <c r="CI30" s="424">
        <v>1</v>
      </c>
      <c r="CJ30" s="424">
        <v>1</v>
      </c>
      <c r="CK30" s="424">
        <v>1</v>
      </c>
      <c r="CL30" s="424">
        <v>1</v>
      </c>
      <c r="CM30" s="424">
        <v>1</v>
      </c>
      <c r="CN30" s="424">
        <v>1</v>
      </c>
      <c r="CO30" s="424">
        <v>1</v>
      </c>
      <c r="CP30" s="424">
        <v>1</v>
      </c>
      <c r="CQ30" s="424">
        <v>1</v>
      </c>
      <c r="CR30" s="424">
        <v>1</v>
      </c>
      <c r="CS30" s="424">
        <v>1</v>
      </c>
      <c r="CT30" s="424">
        <v>1</v>
      </c>
      <c r="CU30" s="424">
        <v>1</v>
      </c>
      <c r="CV30" s="424">
        <v>1</v>
      </c>
      <c r="CW30" s="424">
        <v>1</v>
      </c>
      <c r="CX30" s="424">
        <v>1</v>
      </c>
      <c r="CY30" s="424">
        <v>1</v>
      </c>
      <c r="CZ30" s="424">
        <v>1</v>
      </c>
    </row>
    <row r="31" spans="1:104" s="81" customFormat="1" ht="12.6" x14ac:dyDescent="0.25">
      <c r="A31" s="252"/>
      <c r="B31" s="252" t="s">
        <v>29</v>
      </c>
      <c r="D31" s="380"/>
      <c r="E31" s="380"/>
      <c r="F31" s="380"/>
      <c r="G31" s="370">
        <f>IF(Standards_Active!$E32="yes",Standards_Acceptance!AQ31,Standards_Acceptance!CA31)</f>
        <v>1</v>
      </c>
      <c r="H31" s="370">
        <f>IF(Standards_Active!$E32="yes",Standards_Acceptance!AR31,Standards_Acceptance!CB31)</f>
        <v>1</v>
      </c>
      <c r="I31" s="370">
        <f>IF(Standards_Active!$E32="yes",Standards_Acceptance!AS31,Standards_Acceptance!CC31)</f>
        <v>1</v>
      </c>
      <c r="J31" s="370">
        <f>IF(Standards_Active!$E32="yes",Standards_Acceptance!AT31,Standards_Acceptance!CD31)</f>
        <v>1</v>
      </c>
      <c r="K31" s="370">
        <f>IF(Standards_Active!$E32="yes",Standards_Acceptance!AU31,Standards_Acceptance!CE31)</f>
        <v>1</v>
      </c>
      <c r="L31" s="370">
        <f>IF(Standards_Active!$E32="yes",Standards_Acceptance!AV31,Standards_Acceptance!CF31)</f>
        <v>1</v>
      </c>
      <c r="M31" s="370">
        <f>IF(Standards_Active!$E32="yes",Standards_Acceptance!AW31,Standards_Acceptance!CG31)</f>
        <v>1</v>
      </c>
      <c r="N31" s="370">
        <f>IF(Standards_Active!$E32="yes",Standards_Acceptance!AX31,Standards_Acceptance!CH31)</f>
        <v>1</v>
      </c>
      <c r="O31" s="370">
        <f>IF(Standards_Active!$E32="yes",Standards_Acceptance!AY31,Standards_Acceptance!CI31)</f>
        <v>1</v>
      </c>
      <c r="P31" s="370">
        <f>IF(Standards_Active!$E32="yes",Standards_Acceptance!AZ31,Standards_Acceptance!CJ31)</f>
        <v>1</v>
      </c>
      <c r="Q31" s="370">
        <f>IF(Standards_Active!$E32="yes",Standards_Acceptance!BA31,Standards_Acceptance!CK31)</f>
        <v>1</v>
      </c>
      <c r="R31" s="370">
        <f>IF(Standards_Active!$E32="yes",Standards_Acceptance!BB31,Standards_Acceptance!CL31)</f>
        <v>1</v>
      </c>
      <c r="S31" s="370">
        <f>IF(Standards_Active!$E32="yes",Standards_Acceptance!BC31,Standards_Acceptance!CM31)</f>
        <v>1</v>
      </c>
      <c r="T31" s="370">
        <f>IF(Standards_Active!$E32="yes",Standards_Acceptance!BD31,Standards_Acceptance!CN31)</f>
        <v>1</v>
      </c>
      <c r="U31" s="370">
        <f>IF(Standards_Active!$E32="yes",Standards_Acceptance!BE31,Standards_Acceptance!CO31)</f>
        <v>1</v>
      </c>
      <c r="V31" s="370">
        <f>IF(Standards_Active!$E32="yes",Standards_Acceptance!BF31,Standards_Acceptance!CP31)</f>
        <v>1</v>
      </c>
      <c r="W31" s="370">
        <f>IF(Standards_Active!$E32="yes",Standards_Acceptance!BG31,Standards_Acceptance!CQ31)</f>
        <v>1</v>
      </c>
      <c r="X31" s="370">
        <f>IF(Standards_Active!$E32="yes",Standards_Acceptance!BH31,Standards_Acceptance!CR31)</f>
        <v>1</v>
      </c>
      <c r="Y31" s="370">
        <f>IF(Standards_Active!$E32="yes",Standards_Acceptance!BI31,Standards_Acceptance!CS31)</f>
        <v>1</v>
      </c>
      <c r="Z31" s="370">
        <f>IF(Standards_Active!$E32="yes",Standards_Acceptance!BJ31,Standards_Acceptance!CT31)</f>
        <v>1</v>
      </c>
      <c r="AA31" s="370">
        <f>IF(Standards_Active!$E32="yes",Standards_Acceptance!BK31,Standards_Acceptance!CU31)</f>
        <v>1</v>
      </c>
      <c r="AB31" s="370">
        <f>IF(Standards_Active!$E32="yes",Standards_Acceptance!BL31,Standards_Acceptance!CV31)</f>
        <v>1</v>
      </c>
      <c r="AC31" s="370">
        <f>IF(Standards_Active!$E32="yes",Standards_Acceptance!BM31,Standards_Acceptance!CW31)</f>
        <v>1</v>
      </c>
      <c r="AD31" s="370">
        <f>IF(Standards_Active!$E32="yes",Standards_Acceptance!BN31,Standards_Acceptance!CX31)</f>
        <v>1</v>
      </c>
      <c r="AE31" s="370">
        <f>IF(Standards_Active!$E32="yes",Standards_Acceptance!BO31,Standards_Acceptance!CY31)</f>
        <v>1</v>
      </c>
      <c r="AF31" s="370">
        <f>IF(Standards_Active!$E32="yes",Standards_Acceptance!BP31,Standards_Acceptance!CZ31)</f>
        <v>1</v>
      </c>
      <c r="AH31" s="376"/>
      <c r="AI31" s="376"/>
      <c r="AJ31" s="376"/>
      <c r="AK31" s="376"/>
      <c r="AL31" s="376"/>
      <c r="AM31" s="376"/>
      <c r="AN31" s="376"/>
      <c r="AO31" s="376"/>
      <c r="AP31" s="376"/>
      <c r="AQ31" s="622">
        <f>IF(ISNUMBER(Standards_Active!$F32),IF(AND(AQ$7&gt;=Standards_Active!$C32,AQ$7&lt;Standards_Active!$D32),AP31-Standards_Active!$G32*INDEX($AQ$9:$BP$9,1,MATCH((Standards_Active!$C32-1),$AQ$7:$BP$7,FALSE)),IF(AQ$7&gt;=Standards_Active!$D32,Standards_Active!$H32,CA31)),CA31)</f>
        <v>1</v>
      </c>
      <c r="AR31" s="622">
        <f>IF(ISNUMBER(Standards_Active!$F32),IF(AND(AR$7&gt;=Standards_Active!$C32,AR$7&lt;Standards_Active!$D32),AQ31-Standards_Active!$G32*INDEX($AQ$9:$BP$9,1,MATCH((Standards_Active!$C32-1),$AQ$7:$BP$7,FALSE)),IF(AR$7&gt;=Standards_Active!$D32,Standards_Active!$H32,CB31)),CB31)</f>
        <v>1</v>
      </c>
      <c r="AS31" s="622">
        <f>IF(ISNUMBER(Standards_Active!$F32),IF(AND(AS$7&gt;=Standards_Active!$C32,AS$7&lt;Standards_Active!$D32),AR31-Standards_Active!$G32*INDEX($AQ$9:$BP$9,1,MATCH((Standards_Active!$C32-1),$AQ$7:$BP$7,FALSE)),IF(AS$7&gt;=Standards_Active!$D32,Standards_Active!$H32,CC31)),CC31)</f>
        <v>1</v>
      </c>
      <c r="AT31" s="622">
        <f>IF(ISNUMBER(Standards_Active!$F32),IF(AND(AT$7&gt;=Standards_Active!$C32,AT$7&lt;Standards_Active!$D32),AS31-Standards_Active!$G32*INDEX($AQ$9:$BP$9,1,MATCH((Standards_Active!$C32-1),$AQ$7:$BP$7,FALSE)),IF(AT$7&gt;=Standards_Active!$D32,Standards_Active!$H32,CD31)),CD31)</f>
        <v>1</v>
      </c>
      <c r="AU31" s="622">
        <f>IF(ISNUMBER(Standards_Active!$F32),IF(AND(AU$7&gt;=Standards_Active!$C32,AU$7&lt;Standards_Active!$D32),AT31-Standards_Active!$G32*INDEX($AQ$9:$BP$9,1,MATCH((Standards_Active!$C32-1),$AQ$7:$BP$7,FALSE)),IF(AU$7&gt;=Standards_Active!$D32,Standards_Active!$H32,CE31)),CE31)</f>
        <v>1</v>
      </c>
      <c r="AV31" s="622">
        <f>IF(ISNUMBER(Standards_Active!$F32),IF(AND(AV$7&gt;=Standards_Active!$C32,AV$7&lt;Standards_Active!$D32),AU31-Standards_Active!$G32*INDEX($AQ$9:$BP$9,1,MATCH((Standards_Active!$C32-1),$AQ$7:$BP$7,FALSE)),IF(AV$7&gt;=Standards_Active!$D32,Standards_Active!$H32,CF31)),CF31)</f>
        <v>1</v>
      </c>
      <c r="AW31" s="622">
        <f>IF(ISNUMBER(Standards_Active!$F32),IF(AND(AW$7&gt;=Standards_Active!$C32,AW$7&lt;Standards_Active!$D32),AV31-Standards_Active!$G32*INDEX($AQ$9:$BP$9,1,MATCH((Standards_Active!$C32-1),$AQ$7:$BP$7,FALSE)),IF(AW$7&gt;=Standards_Active!$D32,Standards_Active!$H32,CG31)),CG31)</f>
        <v>1</v>
      </c>
      <c r="AX31" s="622">
        <f>IF(ISNUMBER(Standards_Active!$F32),IF(AND(AX$7&gt;=Standards_Active!$C32,AX$7&lt;Standards_Active!$D32),AW31-Standards_Active!$G32*INDEX($AQ$9:$BP$9,1,MATCH((Standards_Active!$C32-1),$AQ$7:$BP$7,FALSE)),IF(AX$7&gt;=Standards_Active!$D32,Standards_Active!$H32,CH31)),CH31)</f>
        <v>1</v>
      </c>
      <c r="AY31" s="622">
        <f>IF(ISNUMBER(Standards_Active!$F32),IF(AND(AY$7&gt;=Standards_Active!$C32,AY$7&lt;Standards_Active!$D32),AX31-Standards_Active!$G32*INDEX($AQ$9:$BP$9,1,MATCH((Standards_Active!$C32-1),$AQ$7:$BP$7,FALSE)),IF(AY$7&gt;=Standards_Active!$D32,Standards_Active!$H32,CI31)),CI31)</f>
        <v>1</v>
      </c>
      <c r="AZ31" s="622">
        <f>IF(ISNUMBER(Standards_Active!$F32),IF(AND(AZ$7&gt;=Standards_Active!$C32,AZ$7&lt;Standards_Active!$D32),AY31-Standards_Active!$G32*INDEX($AQ$9:$BP$9,1,MATCH((Standards_Active!$C32-1),$AQ$7:$BP$7,FALSE)),IF(AZ$7&gt;=Standards_Active!$D32,Standards_Active!$H32,CJ31)),CJ31)</f>
        <v>1</v>
      </c>
      <c r="BA31" s="622">
        <f>IF(ISNUMBER(Standards_Active!$F32),IF(AND(BA$7&gt;=Standards_Active!$C32,BA$7&lt;Standards_Active!$D32),AZ31-Standards_Active!$G32*INDEX($AQ$9:$BP$9,1,MATCH((Standards_Active!$C32-1),$AQ$7:$BP$7,FALSE)),IF(BA$7&gt;=Standards_Active!$D32,Standards_Active!$H32,CK31)),CK31)</f>
        <v>1</v>
      </c>
      <c r="BB31" s="622">
        <f>IF(ISNUMBER(Standards_Active!$F32),IF(AND(BB$7&gt;=Standards_Active!$C32,BB$7&lt;Standards_Active!$D32),BA31-Standards_Active!$G32*INDEX($AQ$9:$BP$9,1,MATCH((Standards_Active!$C32-1),$AQ$7:$BP$7,FALSE)),IF(BB$7&gt;=Standards_Active!$D32,Standards_Active!$H32,CL31)),CL31)</f>
        <v>1</v>
      </c>
      <c r="BC31" s="622">
        <f>IF(ISNUMBER(Standards_Active!$F32),IF(AND(BC$7&gt;=Standards_Active!$C32,BC$7&lt;Standards_Active!$D32),BB31-Standards_Active!$G32*INDEX($AQ$9:$BP$9,1,MATCH((Standards_Active!$C32-1),$AQ$7:$BP$7,FALSE)),IF(BC$7&gt;=Standards_Active!$D32,Standards_Active!$H32,CM31)),CM31)</f>
        <v>1</v>
      </c>
      <c r="BD31" s="622">
        <f>IF(ISNUMBER(Standards_Active!$F32),IF(AND(BD$7&gt;=Standards_Active!$C32,BD$7&lt;Standards_Active!$D32),BC31-Standards_Active!$G32*INDEX($AQ$9:$BP$9,1,MATCH((Standards_Active!$C32-1),$AQ$7:$BP$7,FALSE)),IF(BD$7&gt;=Standards_Active!$D32,Standards_Active!$H32,CN31)),CN31)</f>
        <v>1</v>
      </c>
      <c r="BE31" s="622">
        <f>IF(ISNUMBER(Standards_Active!$F32),IF(AND(BE$7&gt;=Standards_Active!$C32,BE$7&lt;Standards_Active!$D32),BD31-Standards_Active!$G32*INDEX($AQ$9:$BP$9,1,MATCH((Standards_Active!$C32-1),$AQ$7:$BP$7,FALSE)),IF(BE$7&gt;=Standards_Active!$D32,Standards_Active!$H32,CO31)),CO31)</f>
        <v>1</v>
      </c>
      <c r="BF31" s="622">
        <f>IF(ISNUMBER(Standards_Active!$F32),IF(AND(BF$7&gt;=Standards_Active!$C32,BF$7&lt;Standards_Active!$D32),BE31-Standards_Active!$G32*INDEX($AQ$9:$BP$9,1,MATCH((Standards_Active!$C32-1),$AQ$7:$BP$7,FALSE)),IF(BF$7&gt;=Standards_Active!$D32,Standards_Active!$H32,CP31)),CP31)</f>
        <v>1</v>
      </c>
      <c r="BG31" s="622">
        <f>IF(ISNUMBER(Standards_Active!$F32),IF(AND(BG$7&gt;=Standards_Active!$C32,BG$7&lt;Standards_Active!$D32),BF31-Standards_Active!$G32*INDEX($AQ$9:$BP$9,1,MATCH((Standards_Active!$C32-1),$AQ$7:$BP$7,FALSE)),IF(BG$7&gt;=Standards_Active!$D32,Standards_Active!$H32,CQ31)),CQ31)</f>
        <v>1</v>
      </c>
      <c r="BH31" s="622">
        <f>IF(ISNUMBER(Standards_Active!$F32),IF(AND(BH$7&gt;=Standards_Active!$C32,BH$7&lt;Standards_Active!$D32),BG31-Standards_Active!$G32*INDEX($AQ$9:$BP$9,1,MATCH((Standards_Active!$C32-1),$AQ$7:$BP$7,FALSE)),IF(BH$7&gt;=Standards_Active!$D32,Standards_Active!$H32,CR31)),CR31)</f>
        <v>1</v>
      </c>
      <c r="BI31" s="622">
        <f>IF(ISNUMBER(Standards_Active!$F32),IF(AND(BI$7&gt;=Standards_Active!$C32,BI$7&lt;Standards_Active!$D32),BH31-Standards_Active!$G32*INDEX($AQ$9:$BP$9,1,MATCH((Standards_Active!$C32-1),$AQ$7:$BP$7,FALSE)),IF(BI$7&gt;=Standards_Active!$D32,Standards_Active!$H32,CS31)),CS31)</f>
        <v>1</v>
      </c>
      <c r="BJ31" s="622">
        <f>IF(ISNUMBER(Standards_Active!$F32),IF(AND(BJ$7&gt;=Standards_Active!$C32,BJ$7&lt;Standards_Active!$D32),BI31-Standards_Active!$G32*INDEX($AQ$9:$BP$9,1,MATCH((Standards_Active!$C32-1),$AQ$7:$BP$7,FALSE)),IF(BJ$7&gt;=Standards_Active!$D32,Standards_Active!$H32,CT31)),CT31)</f>
        <v>1</v>
      </c>
      <c r="BK31" s="622">
        <f>IF(ISNUMBER(Standards_Active!$F32),IF(AND(BK$7&gt;=Standards_Active!$C32,BK$7&lt;Standards_Active!$D32),BJ31-Standards_Active!$G32*INDEX($AQ$9:$BP$9,1,MATCH((Standards_Active!$C32-1),$AQ$7:$BP$7,FALSE)),IF(BK$7&gt;=Standards_Active!$D32,Standards_Active!$H32,CU31)),CU31)</f>
        <v>1</v>
      </c>
      <c r="BL31" s="622">
        <f>IF(ISNUMBER(Standards_Active!$F32),IF(AND(BL$7&gt;=Standards_Active!$C32,BL$7&lt;Standards_Active!$D32),BK31-Standards_Active!$G32*INDEX($AQ$9:$BP$9,1,MATCH((Standards_Active!$C32-1),$AQ$7:$BP$7,FALSE)),IF(BL$7&gt;=Standards_Active!$D32,Standards_Active!$H32,CV31)),CV31)</f>
        <v>1</v>
      </c>
      <c r="BM31" s="622">
        <f>IF(ISNUMBER(Standards_Active!$F32),IF(AND(BM$7&gt;=Standards_Active!$C32,BM$7&lt;Standards_Active!$D32),BL31-Standards_Active!$G32*INDEX($AQ$9:$BP$9,1,MATCH((Standards_Active!$C32-1),$AQ$7:$BP$7,FALSE)),IF(BM$7&gt;=Standards_Active!$D32,Standards_Active!$H32,CW31)),CW31)</f>
        <v>1</v>
      </c>
      <c r="BN31" s="622">
        <f>IF(ISNUMBER(Standards_Active!$F32),IF(AND(BN$7&gt;=Standards_Active!$C32,BN$7&lt;Standards_Active!$D32),BM31-Standards_Active!$G32*INDEX($AQ$9:$BP$9,1,MATCH((Standards_Active!$C32-1),$AQ$7:$BP$7,FALSE)),IF(BN$7&gt;=Standards_Active!$D32,Standards_Active!$H32,CX31)),CX31)</f>
        <v>1</v>
      </c>
      <c r="BO31" s="622">
        <f>IF(ISNUMBER(Standards_Active!$F32),IF(AND(BO$7&gt;=Standards_Active!$C32,BO$7&lt;Standards_Active!$D32),BN31-Standards_Active!$G32*INDEX($AQ$9:$BP$9,1,MATCH((Standards_Active!$C32-1),$AQ$7:$BP$7,FALSE)),IF(BO$7&gt;=Standards_Active!$D32,Standards_Active!$H32,CY31)),CY31)</f>
        <v>1</v>
      </c>
      <c r="BP31" s="622">
        <f>IF(ISNUMBER(Standards_Active!$F32),IF(AND(BP$7&gt;=Standards_Active!$C32,BP$7&lt;Standards_Active!$D32),BO31-Standards_Active!$G32*INDEX($AQ$9:$BP$9,1,MATCH((Standards_Active!$C32-1),$AQ$7:$BP$7,FALSE)),IF(BP$7&gt;=Standards_Active!$D32,Standards_Active!$H32,CZ31)),CZ31)</f>
        <v>1</v>
      </c>
      <c r="BQ31" s="380"/>
      <c r="BR31" s="376"/>
      <c r="BS31" s="376"/>
      <c r="BT31" s="376"/>
      <c r="BU31" s="376"/>
      <c r="BV31" s="376"/>
      <c r="BW31" s="376"/>
      <c r="BX31" s="376"/>
      <c r="BY31" s="376"/>
      <c r="BZ31" s="376"/>
      <c r="CA31" s="424">
        <v>1</v>
      </c>
      <c r="CB31" s="424">
        <v>1</v>
      </c>
      <c r="CC31" s="424">
        <v>1</v>
      </c>
      <c r="CD31" s="424">
        <v>1</v>
      </c>
      <c r="CE31" s="424">
        <v>1</v>
      </c>
      <c r="CF31" s="424">
        <v>1</v>
      </c>
      <c r="CG31" s="424">
        <v>1</v>
      </c>
      <c r="CH31" s="424">
        <v>1</v>
      </c>
      <c r="CI31" s="424">
        <v>1</v>
      </c>
      <c r="CJ31" s="424">
        <v>1</v>
      </c>
      <c r="CK31" s="424">
        <v>1</v>
      </c>
      <c r="CL31" s="424">
        <v>1</v>
      </c>
      <c r="CM31" s="424">
        <v>1</v>
      </c>
      <c r="CN31" s="424">
        <v>1</v>
      </c>
      <c r="CO31" s="424">
        <v>1</v>
      </c>
      <c r="CP31" s="424">
        <v>1</v>
      </c>
      <c r="CQ31" s="424">
        <v>1</v>
      </c>
      <c r="CR31" s="424">
        <v>1</v>
      </c>
      <c r="CS31" s="424">
        <v>1</v>
      </c>
      <c r="CT31" s="424">
        <v>1</v>
      </c>
      <c r="CU31" s="424">
        <v>1</v>
      </c>
      <c r="CV31" s="424">
        <v>1</v>
      </c>
      <c r="CW31" s="424">
        <v>1</v>
      </c>
      <c r="CX31" s="424">
        <v>1</v>
      </c>
      <c r="CY31" s="424">
        <v>1</v>
      </c>
      <c r="CZ31" s="424">
        <v>1</v>
      </c>
    </row>
    <row r="32" spans="1:104" s="81" customFormat="1" ht="12.6" x14ac:dyDescent="0.25">
      <c r="A32" s="252"/>
      <c r="B32" s="252"/>
      <c r="D32" s="380"/>
      <c r="E32" s="380"/>
      <c r="F32" s="380"/>
      <c r="G32" s="380"/>
      <c r="H32" s="380"/>
      <c r="I32" s="380"/>
      <c r="J32" s="380"/>
      <c r="K32" s="380"/>
      <c r="L32" s="380"/>
      <c r="M32" s="380"/>
      <c r="N32" s="380"/>
      <c r="O32" s="380"/>
      <c r="P32" s="380"/>
      <c r="Q32" s="380"/>
      <c r="R32" s="380"/>
      <c r="S32" s="380"/>
      <c r="T32" s="380"/>
      <c r="U32" s="380"/>
      <c r="V32" s="380"/>
      <c r="W32" s="380"/>
      <c r="X32" s="380"/>
      <c r="Y32" s="380"/>
      <c r="Z32" s="380"/>
      <c r="AA32" s="380"/>
      <c r="AB32" s="380"/>
      <c r="AC32" s="380"/>
      <c r="AD32" s="380"/>
      <c r="AE32" s="380"/>
      <c r="AF32" s="380"/>
      <c r="AH32" s="376"/>
      <c r="AI32" s="376"/>
      <c r="AJ32" s="376"/>
      <c r="AK32" s="376"/>
      <c r="AL32" s="376"/>
      <c r="AM32" s="376"/>
      <c r="AN32" s="376"/>
      <c r="AO32" s="376"/>
      <c r="AP32" s="376"/>
      <c r="AQ32" s="376"/>
      <c r="AR32" s="376"/>
      <c r="AS32" s="376"/>
      <c r="AT32" s="376"/>
      <c r="AU32" s="376"/>
      <c r="AV32" s="376"/>
      <c r="AW32" s="376"/>
      <c r="AX32" s="376"/>
      <c r="AY32" s="376"/>
      <c r="AZ32" s="376"/>
      <c r="BA32" s="376"/>
      <c r="BB32" s="376"/>
      <c r="BC32" s="376"/>
      <c r="BD32" s="376"/>
      <c r="BE32" s="376"/>
      <c r="BF32" s="376"/>
      <c r="BG32" s="376"/>
      <c r="BH32" s="376"/>
      <c r="BI32" s="376"/>
      <c r="BJ32" s="376"/>
      <c r="BK32" s="376"/>
      <c r="BL32" s="376"/>
      <c r="BM32" s="376"/>
      <c r="BN32" s="376"/>
      <c r="BO32" s="376"/>
      <c r="BP32" s="376"/>
      <c r="BQ32" s="380"/>
      <c r="BR32" s="376"/>
      <c r="BS32" s="376"/>
      <c r="BT32" s="376"/>
      <c r="BU32" s="376"/>
      <c r="BV32" s="376"/>
      <c r="BW32" s="376"/>
      <c r="BX32" s="376"/>
      <c r="BY32" s="376"/>
      <c r="BZ32" s="376"/>
      <c r="CA32" s="376"/>
      <c r="CB32" s="376"/>
      <c r="CC32" s="376"/>
      <c r="CD32" s="376"/>
      <c r="CE32" s="376"/>
      <c r="CF32" s="376"/>
      <c r="CG32" s="376"/>
      <c r="CH32" s="376"/>
      <c r="CI32" s="376"/>
      <c r="CJ32" s="376"/>
      <c r="CK32" s="376"/>
      <c r="CL32" s="376"/>
      <c r="CM32" s="376"/>
      <c r="CN32" s="376"/>
      <c r="CO32" s="376"/>
      <c r="CP32" s="376"/>
      <c r="CQ32" s="376"/>
      <c r="CR32" s="376"/>
      <c r="CS32" s="376"/>
      <c r="CT32" s="376"/>
      <c r="CU32" s="376"/>
      <c r="CV32" s="376"/>
      <c r="CW32" s="376"/>
      <c r="CX32" s="376"/>
      <c r="CY32" s="376"/>
      <c r="CZ32" s="376"/>
    </row>
    <row r="33" spans="1:104" s="81" customFormat="1" ht="12.95" x14ac:dyDescent="0.25">
      <c r="A33" s="266" t="s">
        <v>47</v>
      </c>
      <c r="B33" s="258"/>
      <c r="C33" s="258"/>
      <c r="D33" s="389"/>
      <c r="E33" s="389"/>
      <c r="F33" s="389"/>
      <c r="G33" s="389"/>
      <c r="H33" s="389"/>
      <c r="I33" s="389"/>
      <c r="J33" s="389"/>
      <c r="K33" s="389"/>
      <c r="L33" s="389"/>
      <c r="M33" s="389"/>
      <c r="N33" s="389"/>
      <c r="O33" s="389"/>
      <c r="P33" s="389"/>
      <c r="Q33" s="389"/>
      <c r="R33" s="389"/>
      <c r="S33" s="389"/>
      <c r="T33" s="389"/>
      <c r="U33" s="389"/>
      <c r="V33" s="389"/>
      <c r="W33" s="389"/>
      <c r="X33" s="389"/>
      <c r="Y33" s="389"/>
      <c r="Z33" s="389"/>
      <c r="AA33" s="389"/>
      <c r="AB33" s="389"/>
      <c r="AC33" s="389"/>
      <c r="AD33" s="389"/>
      <c r="AE33" s="389"/>
      <c r="AF33" s="389"/>
      <c r="AH33" s="389"/>
      <c r="AI33" s="389"/>
      <c r="AJ33" s="389"/>
      <c r="AK33" s="389"/>
      <c r="AL33" s="389"/>
      <c r="AM33" s="389"/>
      <c r="AN33" s="389"/>
      <c r="AO33" s="389"/>
      <c r="AP33" s="389"/>
      <c r="AQ33" s="389"/>
      <c r="AR33" s="389"/>
      <c r="AS33" s="389"/>
      <c r="AT33" s="389"/>
      <c r="AU33" s="389"/>
      <c r="AV33" s="389"/>
      <c r="AW33" s="389"/>
      <c r="AX33" s="389"/>
      <c r="AY33" s="389"/>
      <c r="AZ33" s="389"/>
      <c r="BA33" s="389"/>
      <c r="BB33" s="389"/>
      <c r="BC33" s="389"/>
      <c r="BD33" s="389"/>
      <c r="BE33" s="389"/>
      <c r="BF33" s="389"/>
      <c r="BG33" s="389"/>
      <c r="BH33" s="389"/>
      <c r="BI33" s="389"/>
      <c r="BJ33" s="389"/>
      <c r="BK33" s="389"/>
      <c r="BL33" s="389"/>
      <c r="BM33" s="389"/>
      <c r="BN33" s="389"/>
      <c r="BO33" s="389"/>
      <c r="BP33" s="389"/>
      <c r="BQ33" s="380"/>
      <c r="BR33" s="389"/>
      <c r="BS33" s="389"/>
      <c r="BT33" s="389"/>
      <c r="BU33" s="389"/>
      <c r="BV33" s="389"/>
      <c r="BW33" s="389"/>
      <c r="BX33" s="389"/>
      <c r="BY33" s="389"/>
      <c r="BZ33" s="389"/>
      <c r="CA33" s="389"/>
      <c r="CB33" s="389"/>
      <c r="CC33" s="389"/>
      <c r="CD33" s="389"/>
      <c r="CE33" s="389"/>
      <c r="CF33" s="389"/>
      <c r="CG33" s="389"/>
      <c r="CH33" s="389"/>
      <c r="CI33" s="389"/>
      <c r="CJ33" s="389"/>
      <c r="CK33" s="389"/>
      <c r="CL33" s="389"/>
      <c r="CM33" s="389"/>
      <c r="CN33" s="389"/>
      <c r="CO33" s="389"/>
      <c r="CP33" s="389"/>
      <c r="CQ33" s="389"/>
      <c r="CR33" s="389"/>
      <c r="CS33" s="389"/>
      <c r="CT33" s="389"/>
      <c r="CU33" s="389"/>
      <c r="CV33" s="389"/>
      <c r="CW33" s="389"/>
      <c r="CX33" s="389"/>
      <c r="CY33" s="389"/>
      <c r="CZ33" s="389"/>
    </row>
    <row r="34" spans="1:104" s="81" customFormat="1" ht="12.6" x14ac:dyDescent="0.25">
      <c r="A34" s="252"/>
      <c r="B34" s="252" t="s">
        <v>48</v>
      </c>
      <c r="D34" s="380"/>
      <c r="E34" s="380"/>
      <c r="F34" s="380"/>
      <c r="G34" s="370">
        <f>IF(Standards_Active!$E35="yes",Standards_Acceptance!AQ34,Standards_Acceptance!CA34)</f>
        <v>1</v>
      </c>
      <c r="H34" s="370">
        <f>IF(Standards_Active!$E35="yes",Standards_Acceptance!AR34,Standards_Acceptance!CB34)</f>
        <v>1</v>
      </c>
      <c r="I34" s="370">
        <f>IF(Standards_Active!$E35="yes",Standards_Acceptance!AS34,Standards_Acceptance!CC34)</f>
        <v>1</v>
      </c>
      <c r="J34" s="370">
        <f>IF(Standards_Active!$E35="yes",Standards_Acceptance!AT34,Standards_Acceptance!CD34)</f>
        <v>1</v>
      </c>
      <c r="K34" s="370">
        <f>IF(Standards_Active!$E35="yes",Standards_Acceptance!AU34,Standards_Acceptance!CE34)</f>
        <v>1</v>
      </c>
      <c r="L34" s="370">
        <f>IF(Standards_Active!$E35="yes",Standards_Acceptance!AV34,Standards_Acceptance!CF34)</f>
        <v>1</v>
      </c>
      <c r="M34" s="370">
        <f>IF(Standards_Active!$E35="yes",Standards_Acceptance!AW34,Standards_Acceptance!CG34)</f>
        <v>1</v>
      </c>
      <c r="N34" s="370">
        <f>IF(Standards_Active!$E35="yes",Standards_Acceptance!AX34,Standards_Acceptance!CH34)</f>
        <v>1</v>
      </c>
      <c r="O34" s="370">
        <f>IF(Standards_Active!$E35="yes",Standards_Acceptance!AY34,Standards_Acceptance!CI34)</f>
        <v>1</v>
      </c>
      <c r="P34" s="370">
        <f>IF(Standards_Active!$E35="yes",Standards_Acceptance!AZ34,Standards_Acceptance!CJ34)</f>
        <v>1</v>
      </c>
      <c r="Q34" s="370">
        <f>IF(Standards_Active!$E35="yes",Standards_Acceptance!BA34,Standards_Acceptance!CK34)</f>
        <v>1</v>
      </c>
      <c r="R34" s="370">
        <f>IF(Standards_Active!$E35="yes",Standards_Acceptance!BB34,Standards_Acceptance!CL34)</f>
        <v>1</v>
      </c>
      <c r="S34" s="370">
        <f>IF(Standards_Active!$E35="yes",Standards_Acceptance!BC34,Standards_Acceptance!CM34)</f>
        <v>1</v>
      </c>
      <c r="T34" s="370">
        <f>IF(Standards_Active!$E35="yes",Standards_Acceptance!BD34,Standards_Acceptance!CN34)</f>
        <v>1</v>
      </c>
      <c r="U34" s="370">
        <f>IF(Standards_Active!$E35="yes",Standards_Acceptance!BE34,Standards_Acceptance!CO34)</f>
        <v>1</v>
      </c>
      <c r="V34" s="370">
        <f>IF(Standards_Active!$E35="yes",Standards_Acceptance!BF34,Standards_Acceptance!CP34)</f>
        <v>1</v>
      </c>
      <c r="W34" s="370">
        <f>IF(Standards_Active!$E35="yes",Standards_Acceptance!BG34,Standards_Acceptance!CQ34)</f>
        <v>1</v>
      </c>
      <c r="X34" s="370">
        <f>IF(Standards_Active!$E35="yes",Standards_Acceptance!BH34,Standards_Acceptance!CR34)</f>
        <v>1</v>
      </c>
      <c r="Y34" s="370">
        <f>IF(Standards_Active!$E35="yes",Standards_Acceptance!BI34,Standards_Acceptance!CS34)</f>
        <v>1</v>
      </c>
      <c r="Z34" s="370">
        <f>IF(Standards_Active!$E35="yes",Standards_Acceptance!BJ34,Standards_Acceptance!CT34)</f>
        <v>1</v>
      </c>
      <c r="AA34" s="370">
        <f>IF(Standards_Active!$E35="yes",Standards_Acceptance!BK34,Standards_Acceptance!CU34)</f>
        <v>1</v>
      </c>
      <c r="AB34" s="370">
        <f>IF(Standards_Active!$E35="yes",Standards_Acceptance!BL34,Standards_Acceptance!CV34)</f>
        <v>1</v>
      </c>
      <c r="AC34" s="370">
        <f>IF(Standards_Active!$E35="yes",Standards_Acceptance!BM34,Standards_Acceptance!CW34)</f>
        <v>1</v>
      </c>
      <c r="AD34" s="370">
        <f>IF(Standards_Active!$E35="yes",Standards_Acceptance!BN34,Standards_Acceptance!CX34)</f>
        <v>1</v>
      </c>
      <c r="AE34" s="370">
        <f>IF(Standards_Active!$E35="yes",Standards_Acceptance!BO34,Standards_Acceptance!CY34)</f>
        <v>1</v>
      </c>
      <c r="AF34" s="370">
        <f>IF(Standards_Active!$E35="yes",Standards_Acceptance!BP34,Standards_Acceptance!CZ34)</f>
        <v>1</v>
      </c>
      <c r="AH34" s="376"/>
      <c r="AI34" s="376"/>
      <c r="AJ34" s="376"/>
      <c r="AK34" s="376"/>
      <c r="AL34" s="376"/>
      <c r="AM34" s="376"/>
      <c r="AN34" s="376"/>
      <c r="AO34" s="376"/>
      <c r="AP34" s="376"/>
      <c r="AQ34" s="622">
        <f>IF(ISNUMBER(Standards_Active!$F35),IF(AND(AQ$7&gt;=Standards_Active!$C35,AQ$7&lt;Standards_Active!$D35),AP34-Standards_Active!$G35*INDEX($AQ$9:$BP$9,1,MATCH((Standards_Active!$C35-1),$AQ$7:$BP$7,FALSE)),IF(AQ$7&gt;=Standards_Active!$D35,Standards_Active!$H35,CA34)),CA34)</f>
        <v>1</v>
      </c>
      <c r="AR34" s="622">
        <f>IF(ISNUMBER(Standards_Active!$F35),IF(AND(AR$7&gt;=Standards_Active!$C35,AR$7&lt;Standards_Active!$D35),AQ34-Standards_Active!$G35*INDEX($AQ$9:$BP$9,1,MATCH((Standards_Active!$C35-1),$AQ$7:$BP$7,FALSE)),IF(AR$7&gt;=Standards_Active!$D35,Standards_Active!$H35,CB34)),CB34)</f>
        <v>1</v>
      </c>
      <c r="AS34" s="622">
        <f>IF(ISNUMBER(Standards_Active!$F35),IF(AND(AS$7&gt;=Standards_Active!$C35,AS$7&lt;Standards_Active!$D35),AR34-Standards_Active!$G35*INDEX($AQ$9:$BP$9,1,MATCH((Standards_Active!$C35-1),$AQ$7:$BP$7,FALSE)),IF(AS$7&gt;=Standards_Active!$D35,Standards_Active!$H35,CC34)),CC34)</f>
        <v>1</v>
      </c>
      <c r="AT34" s="622">
        <f>IF(ISNUMBER(Standards_Active!$F35),IF(AND(AT$7&gt;=Standards_Active!$C35,AT$7&lt;Standards_Active!$D35),AS34-Standards_Active!$G35*INDEX($AQ$9:$BP$9,1,MATCH((Standards_Active!$C35-1),$AQ$7:$BP$7,FALSE)),IF(AT$7&gt;=Standards_Active!$D35,Standards_Active!$H35,CD34)),CD34)</f>
        <v>1</v>
      </c>
      <c r="AU34" s="622">
        <f>IF(ISNUMBER(Standards_Active!$F35),IF(AND(AU$7&gt;=Standards_Active!$C35,AU$7&lt;Standards_Active!$D35),AT34-Standards_Active!$G35*INDEX($AQ$9:$BP$9,1,MATCH((Standards_Active!$C35-1),$AQ$7:$BP$7,FALSE)),IF(AU$7&gt;=Standards_Active!$D35,Standards_Active!$H35,CE34)),CE34)</f>
        <v>1</v>
      </c>
      <c r="AV34" s="622">
        <f>IF(ISNUMBER(Standards_Active!$F35),IF(AND(AV$7&gt;=Standards_Active!$C35,AV$7&lt;Standards_Active!$D35),AU34-Standards_Active!$G35*INDEX($AQ$9:$BP$9,1,MATCH((Standards_Active!$C35-1),$AQ$7:$BP$7,FALSE)),IF(AV$7&gt;=Standards_Active!$D35,Standards_Active!$H35,CF34)),CF34)</f>
        <v>1</v>
      </c>
      <c r="AW34" s="622">
        <f>IF(ISNUMBER(Standards_Active!$F35),IF(AND(AW$7&gt;=Standards_Active!$C35,AW$7&lt;Standards_Active!$D35),AV34-Standards_Active!$G35*INDEX($AQ$9:$BP$9,1,MATCH((Standards_Active!$C35-1),$AQ$7:$BP$7,FALSE)),IF(AW$7&gt;=Standards_Active!$D35,Standards_Active!$H35,CG34)),CG34)</f>
        <v>1</v>
      </c>
      <c r="AX34" s="622">
        <f>IF(ISNUMBER(Standards_Active!$F35),IF(AND(AX$7&gt;=Standards_Active!$C35,AX$7&lt;Standards_Active!$D35),AW34-Standards_Active!$G35*INDEX($AQ$9:$BP$9,1,MATCH((Standards_Active!$C35-1),$AQ$7:$BP$7,FALSE)),IF(AX$7&gt;=Standards_Active!$D35,Standards_Active!$H35,CH34)),CH34)</f>
        <v>1</v>
      </c>
      <c r="AY34" s="622">
        <f>IF(ISNUMBER(Standards_Active!$F35),IF(AND(AY$7&gt;=Standards_Active!$C35,AY$7&lt;Standards_Active!$D35),AX34-Standards_Active!$G35*INDEX($AQ$9:$BP$9,1,MATCH((Standards_Active!$C35-1),$AQ$7:$BP$7,FALSE)),IF(AY$7&gt;=Standards_Active!$D35,Standards_Active!$H35,CI34)),CI34)</f>
        <v>1</v>
      </c>
      <c r="AZ34" s="622">
        <f>IF(ISNUMBER(Standards_Active!$F35),IF(AND(AZ$7&gt;=Standards_Active!$C35,AZ$7&lt;Standards_Active!$D35),AY34-Standards_Active!$G35*INDEX($AQ$9:$BP$9,1,MATCH((Standards_Active!$C35-1),$AQ$7:$BP$7,FALSE)),IF(AZ$7&gt;=Standards_Active!$D35,Standards_Active!$H35,CJ34)),CJ34)</f>
        <v>1</v>
      </c>
      <c r="BA34" s="622">
        <f>IF(ISNUMBER(Standards_Active!$F35),IF(AND(BA$7&gt;=Standards_Active!$C35,BA$7&lt;Standards_Active!$D35),AZ34-Standards_Active!$G35*INDEX($AQ$9:$BP$9,1,MATCH((Standards_Active!$C35-1),$AQ$7:$BP$7,FALSE)),IF(BA$7&gt;=Standards_Active!$D35,Standards_Active!$H35,CK34)),CK34)</f>
        <v>1</v>
      </c>
      <c r="BB34" s="622">
        <f>IF(ISNUMBER(Standards_Active!$F35),IF(AND(BB$7&gt;=Standards_Active!$C35,BB$7&lt;Standards_Active!$D35),BA34-Standards_Active!$G35*INDEX($AQ$9:$BP$9,1,MATCH((Standards_Active!$C35-1),$AQ$7:$BP$7,FALSE)),IF(BB$7&gt;=Standards_Active!$D35,Standards_Active!$H35,CL34)),CL34)</f>
        <v>1</v>
      </c>
      <c r="BC34" s="622">
        <f>IF(ISNUMBER(Standards_Active!$F35),IF(AND(BC$7&gt;=Standards_Active!$C35,BC$7&lt;Standards_Active!$D35),BB34-Standards_Active!$G35*INDEX($AQ$9:$BP$9,1,MATCH((Standards_Active!$C35-1),$AQ$7:$BP$7,FALSE)),IF(BC$7&gt;=Standards_Active!$D35,Standards_Active!$H35,CM34)),CM34)</f>
        <v>1</v>
      </c>
      <c r="BD34" s="622">
        <f>IF(ISNUMBER(Standards_Active!$F35),IF(AND(BD$7&gt;=Standards_Active!$C35,BD$7&lt;Standards_Active!$D35),BC34-Standards_Active!$G35*INDEX($AQ$9:$BP$9,1,MATCH((Standards_Active!$C35-1),$AQ$7:$BP$7,FALSE)),IF(BD$7&gt;=Standards_Active!$D35,Standards_Active!$H35,CN34)),CN34)</f>
        <v>1</v>
      </c>
      <c r="BE34" s="622">
        <f>IF(ISNUMBER(Standards_Active!$F35),IF(AND(BE$7&gt;=Standards_Active!$C35,BE$7&lt;Standards_Active!$D35),BD34-Standards_Active!$G35*INDEX($AQ$9:$BP$9,1,MATCH((Standards_Active!$C35-1),$AQ$7:$BP$7,FALSE)),IF(BE$7&gt;=Standards_Active!$D35,Standards_Active!$H35,CO34)),CO34)</f>
        <v>1</v>
      </c>
      <c r="BF34" s="622">
        <f>IF(ISNUMBER(Standards_Active!$F35),IF(AND(BF$7&gt;=Standards_Active!$C35,BF$7&lt;Standards_Active!$D35),BE34-Standards_Active!$G35*INDEX($AQ$9:$BP$9,1,MATCH((Standards_Active!$C35-1),$AQ$7:$BP$7,FALSE)),IF(BF$7&gt;=Standards_Active!$D35,Standards_Active!$H35,CP34)),CP34)</f>
        <v>1</v>
      </c>
      <c r="BG34" s="622">
        <f>IF(ISNUMBER(Standards_Active!$F35),IF(AND(BG$7&gt;=Standards_Active!$C35,BG$7&lt;Standards_Active!$D35),BF34-Standards_Active!$G35*INDEX($AQ$9:$BP$9,1,MATCH((Standards_Active!$C35-1),$AQ$7:$BP$7,FALSE)),IF(BG$7&gt;=Standards_Active!$D35,Standards_Active!$H35,CQ34)),CQ34)</f>
        <v>1</v>
      </c>
      <c r="BH34" s="622">
        <f>IF(ISNUMBER(Standards_Active!$F35),IF(AND(BH$7&gt;=Standards_Active!$C35,BH$7&lt;Standards_Active!$D35),BG34-Standards_Active!$G35*INDEX($AQ$9:$BP$9,1,MATCH((Standards_Active!$C35-1),$AQ$7:$BP$7,FALSE)),IF(BH$7&gt;=Standards_Active!$D35,Standards_Active!$H35,CR34)),CR34)</f>
        <v>1</v>
      </c>
      <c r="BI34" s="622">
        <f>IF(ISNUMBER(Standards_Active!$F35),IF(AND(BI$7&gt;=Standards_Active!$C35,BI$7&lt;Standards_Active!$D35),BH34-Standards_Active!$G35*INDEX($AQ$9:$BP$9,1,MATCH((Standards_Active!$C35-1),$AQ$7:$BP$7,FALSE)),IF(BI$7&gt;=Standards_Active!$D35,Standards_Active!$H35,CS34)),CS34)</f>
        <v>1</v>
      </c>
      <c r="BJ34" s="622">
        <f>IF(ISNUMBER(Standards_Active!$F35),IF(AND(BJ$7&gt;=Standards_Active!$C35,BJ$7&lt;Standards_Active!$D35),BI34-Standards_Active!$G35*INDEX($AQ$9:$BP$9,1,MATCH((Standards_Active!$C35-1),$AQ$7:$BP$7,FALSE)),IF(BJ$7&gt;=Standards_Active!$D35,Standards_Active!$H35,CT34)),CT34)</f>
        <v>1</v>
      </c>
      <c r="BK34" s="622">
        <f>IF(ISNUMBER(Standards_Active!$F35),IF(AND(BK$7&gt;=Standards_Active!$C35,BK$7&lt;Standards_Active!$D35),BJ34-Standards_Active!$G35*INDEX($AQ$9:$BP$9,1,MATCH((Standards_Active!$C35-1),$AQ$7:$BP$7,FALSE)),IF(BK$7&gt;=Standards_Active!$D35,Standards_Active!$H35,CU34)),CU34)</f>
        <v>1</v>
      </c>
      <c r="BL34" s="622">
        <f>IF(ISNUMBER(Standards_Active!$F35),IF(AND(BL$7&gt;=Standards_Active!$C35,BL$7&lt;Standards_Active!$D35),BK34-Standards_Active!$G35*INDEX($AQ$9:$BP$9,1,MATCH((Standards_Active!$C35-1),$AQ$7:$BP$7,FALSE)),IF(BL$7&gt;=Standards_Active!$D35,Standards_Active!$H35,CV34)),CV34)</f>
        <v>1</v>
      </c>
      <c r="BM34" s="622">
        <f>IF(ISNUMBER(Standards_Active!$F35),IF(AND(BM$7&gt;=Standards_Active!$C35,BM$7&lt;Standards_Active!$D35),BL34-Standards_Active!$G35*INDEX($AQ$9:$BP$9,1,MATCH((Standards_Active!$C35-1),$AQ$7:$BP$7,FALSE)),IF(BM$7&gt;=Standards_Active!$D35,Standards_Active!$H35,CW34)),CW34)</f>
        <v>1</v>
      </c>
      <c r="BN34" s="622">
        <f>IF(ISNUMBER(Standards_Active!$F35),IF(AND(BN$7&gt;=Standards_Active!$C35,BN$7&lt;Standards_Active!$D35),BM34-Standards_Active!$G35*INDEX($AQ$9:$BP$9,1,MATCH((Standards_Active!$C35-1),$AQ$7:$BP$7,FALSE)),IF(BN$7&gt;=Standards_Active!$D35,Standards_Active!$H35,CX34)),CX34)</f>
        <v>1</v>
      </c>
      <c r="BO34" s="622">
        <f>IF(ISNUMBER(Standards_Active!$F35),IF(AND(BO$7&gt;=Standards_Active!$C35,BO$7&lt;Standards_Active!$D35),BN34-Standards_Active!$G35*INDEX($AQ$9:$BP$9,1,MATCH((Standards_Active!$C35-1),$AQ$7:$BP$7,FALSE)),IF(BO$7&gt;=Standards_Active!$D35,Standards_Active!$H35,CY34)),CY34)</f>
        <v>1</v>
      </c>
      <c r="BP34" s="622">
        <f>IF(ISNUMBER(Standards_Active!$F35),IF(AND(BP$7&gt;=Standards_Active!$C35,BP$7&lt;Standards_Active!$D35),BO34-Standards_Active!$G35*INDEX($AQ$9:$BP$9,1,MATCH((Standards_Active!$C35-1),$AQ$7:$BP$7,FALSE)),IF(BP$7&gt;=Standards_Active!$D35,Standards_Active!$H35,CZ34)),CZ34)</f>
        <v>1</v>
      </c>
      <c r="BQ34" s="380"/>
      <c r="BR34" s="376"/>
      <c r="BS34" s="376"/>
      <c r="BT34" s="376"/>
      <c r="BU34" s="376"/>
      <c r="BV34" s="376"/>
      <c r="BW34" s="376"/>
      <c r="BX34" s="376"/>
      <c r="BY34" s="376"/>
      <c r="BZ34" s="376"/>
      <c r="CA34" s="424">
        <v>1</v>
      </c>
      <c r="CB34" s="424">
        <v>1</v>
      </c>
      <c r="CC34" s="424">
        <v>1</v>
      </c>
      <c r="CD34" s="424">
        <v>1</v>
      </c>
      <c r="CE34" s="424">
        <v>1</v>
      </c>
      <c r="CF34" s="424">
        <v>1</v>
      </c>
      <c r="CG34" s="424">
        <v>1</v>
      </c>
      <c r="CH34" s="424">
        <v>1</v>
      </c>
      <c r="CI34" s="424">
        <v>1</v>
      </c>
      <c r="CJ34" s="424">
        <v>1</v>
      </c>
      <c r="CK34" s="424">
        <v>1</v>
      </c>
      <c r="CL34" s="424">
        <v>1</v>
      </c>
      <c r="CM34" s="424">
        <v>1</v>
      </c>
      <c r="CN34" s="424">
        <v>1</v>
      </c>
      <c r="CO34" s="424">
        <v>1</v>
      </c>
      <c r="CP34" s="424">
        <v>1</v>
      </c>
      <c r="CQ34" s="424">
        <v>1</v>
      </c>
      <c r="CR34" s="424">
        <v>1</v>
      </c>
      <c r="CS34" s="424">
        <v>1</v>
      </c>
      <c r="CT34" s="424">
        <v>1</v>
      </c>
      <c r="CU34" s="424">
        <v>1</v>
      </c>
      <c r="CV34" s="424">
        <v>1</v>
      </c>
      <c r="CW34" s="424">
        <v>1</v>
      </c>
      <c r="CX34" s="424">
        <v>1</v>
      </c>
      <c r="CY34" s="424">
        <v>1</v>
      </c>
      <c r="CZ34" s="424">
        <v>1</v>
      </c>
    </row>
    <row r="35" spans="1:104" s="81" customFormat="1" ht="12.6" x14ac:dyDescent="0.25">
      <c r="A35" s="252"/>
      <c r="B35" s="257" t="s">
        <v>50</v>
      </c>
      <c r="D35" s="380"/>
      <c r="E35" s="380"/>
      <c r="F35" s="380"/>
      <c r="G35" s="370">
        <f>IF(Standards_Active!$E36="yes",Standards_Acceptance!AQ35,Standards_Acceptance!CA35)</f>
        <v>1</v>
      </c>
      <c r="H35" s="370">
        <f>IF(Standards_Active!$E36="yes",Standards_Acceptance!AR35,Standards_Acceptance!CB35)</f>
        <v>1</v>
      </c>
      <c r="I35" s="370">
        <f>IF(Standards_Active!$E36="yes",Standards_Acceptance!AS35,Standards_Acceptance!CC35)</f>
        <v>1</v>
      </c>
      <c r="J35" s="370">
        <f>IF(Standards_Active!$E36="yes",Standards_Acceptance!AT35,Standards_Acceptance!CD35)</f>
        <v>1</v>
      </c>
      <c r="K35" s="370">
        <f>IF(Standards_Active!$E36="yes",Standards_Acceptance!AU35,Standards_Acceptance!CE35)</f>
        <v>1</v>
      </c>
      <c r="L35" s="370">
        <f>IF(Standards_Active!$E36="yes",Standards_Acceptance!AV35,Standards_Acceptance!CF35)</f>
        <v>1</v>
      </c>
      <c r="M35" s="370">
        <f>IF(Standards_Active!$E36="yes",Standards_Acceptance!AW35,Standards_Acceptance!CG35)</f>
        <v>1</v>
      </c>
      <c r="N35" s="370">
        <f>IF(Standards_Active!$E36="yes",Standards_Acceptance!AX35,Standards_Acceptance!CH35)</f>
        <v>1</v>
      </c>
      <c r="O35" s="370">
        <f>IF(Standards_Active!$E36="yes",Standards_Acceptance!AY35,Standards_Acceptance!CI35)</f>
        <v>1</v>
      </c>
      <c r="P35" s="370">
        <f>IF(Standards_Active!$E36="yes",Standards_Acceptance!AZ35,Standards_Acceptance!CJ35)</f>
        <v>1</v>
      </c>
      <c r="Q35" s="370">
        <f>IF(Standards_Active!$E36="yes",Standards_Acceptance!BA35,Standards_Acceptance!CK35)</f>
        <v>1</v>
      </c>
      <c r="R35" s="370">
        <f>IF(Standards_Active!$E36="yes",Standards_Acceptance!BB35,Standards_Acceptance!CL35)</f>
        <v>1</v>
      </c>
      <c r="S35" s="370">
        <f>IF(Standards_Active!$E36="yes",Standards_Acceptance!BC35,Standards_Acceptance!CM35)</f>
        <v>1</v>
      </c>
      <c r="T35" s="370">
        <f>IF(Standards_Active!$E36="yes",Standards_Acceptance!BD35,Standards_Acceptance!CN35)</f>
        <v>1</v>
      </c>
      <c r="U35" s="370">
        <f>IF(Standards_Active!$E36="yes",Standards_Acceptance!BE35,Standards_Acceptance!CO35)</f>
        <v>1</v>
      </c>
      <c r="V35" s="370">
        <f>IF(Standards_Active!$E36="yes",Standards_Acceptance!BF35,Standards_Acceptance!CP35)</f>
        <v>1</v>
      </c>
      <c r="W35" s="370">
        <f>IF(Standards_Active!$E36="yes",Standards_Acceptance!BG35,Standards_Acceptance!CQ35)</f>
        <v>1</v>
      </c>
      <c r="X35" s="370">
        <f>IF(Standards_Active!$E36="yes",Standards_Acceptance!BH35,Standards_Acceptance!CR35)</f>
        <v>1</v>
      </c>
      <c r="Y35" s="370">
        <f>IF(Standards_Active!$E36="yes",Standards_Acceptance!BI35,Standards_Acceptance!CS35)</f>
        <v>1</v>
      </c>
      <c r="Z35" s="370">
        <f>IF(Standards_Active!$E36="yes",Standards_Acceptance!BJ35,Standards_Acceptance!CT35)</f>
        <v>1</v>
      </c>
      <c r="AA35" s="370">
        <f>IF(Standards_Active!$E36="yes",Standards_Acceptance!BK35,Standards_Acceptance!CU35)</f>
        <v>1</v>
      </c>
      <c r="AB35" s="370">
        <f>IF(Standards_Active!$E36="yes",Standards_Acceptance!BL35,Standards_Acceptance!CV35)</f>
        <v>1</v>
      </c>
      <c r="AC35" s="370">
        <f>IF(Standards_Active!$E36="yes",Standards_Acceptance!BM35,Standards_Acceptance!CW35)</f>
        <v>1</v>
      </c>
      <c r="AD35" s="370">
        <f>IF(Standards_Active!$E36="yes",Standards_Acceptance!BN35,Standards_Acceptance!CX35)</f>
        <v>1</v>
      </c>
      <c r="AE35" s="370">
        <f>IF(Standards_Active!$E36="yes",Standards_Acceptance!BO35,Standards_Acceptance!CY35)</f>
        <v>1</v>
      </c>
      <c r="AF35" s="370">
        <f>IF(Standards_Active!$E36="yes",Standards_Acceptance!BP35,Standards_Acceptance!CZ35)</f>
        <v>1</v>
      </c>
      <c r="AH35" s="376"/>
      <c r="AI35" s="376"/>
      <c r="AJ35" s="376"/>
      <c r="AK35" s="376"/>
      <c r="AL35" s="376"/>
      <c r="AM35" s="376"/>
      <c r="AN35" s="376"/>
      <c r="AO35" s="376"/>
      <c r="AP35" s="376"/>
      <c r="AQ35" s="622">
        <f>IF(ISNUMBER(Standards_Active!$F36),IF(AND(AQ$7&gt;=Standards_Active!$C36,AQ$7&lt;Standards_Active!$D36),AP35-Standards_Active!$G36*INDEX($AQ$9:$BP$9,1,MATCH((Standards_Active!$C36-1),$AQ$7:$BP$7,FALSE)),IF(AQ$7&gt;=Standards_Active!$D36,Standards_Active!$H36,CA35)),CA35)</f>
        <v>1</v>
      </c>
      <c r="AR35" s="622">
        <f>IF(ISNUMBER(Standards_Active!$F36),IF(AND(AR$7&gt;=Standards_Active!$C36,AR$7&lt;Standards_Active!$D36),AQ35-Standards_Active!$G36*INDEX($AQ$9:$BP$9,1,MATCH((Standards_Active!$C36-1),$AQ$7:$BP$7,FALSE)),IF(AR$7&gt;=Standards_Active!$D36,Standards_Active!$H36,CB35)),CB35)</f>
        <v>1</v>
      </c>
      <c r="AS35" s="622">
        <f>IF(ISNUMBER(Standards_Active!$F36),IF(AND(AS$7&gt;=Standards_Active!$C36,AS$7&lt;Standards_Active!$D36),AR35-Standards_Active!$G36*INDEX($AQ$9:$BP$9,1,MATCH((Standards_Active!$C36-1),$AQ$7:$BP$7,FALSE)),IF(AS$7&gt;=Standards_Active!$D36,Standards_Active!$H36,CC35)),CC35)</f>
        <v>1</v>
      </c>
      <c r="AT35" s="622">
        <f>IF(ISNUMBER(Standards_Active!$F36),IF(AND(AT$7&gt;=Standards_Active!$C36,AT$7&lt;Standards_Active!$D36),AS35-Standards_Active!$G36*INDEX($AQ$9:$BP$9,1,MATCH((Standards_Active!$C36-1),$AQ$7:$BP$7,FALSE)),IF(AT$7&gt;=Standards_Active!$D36,Standards_Active!$H36,CD35)),CD35)</f>
        <v>1</v>
      </c>
      <c r="AU35" s="622">
        <f>IF(ISNUMBER(Standards_Active!$F36),IF(AND(AU$7&gt;=Standards_Active!$C36,AU$7&lt;Standards_Active!$D36),AT35-Standards_Active!$G36*INDEX($AQ$9:$BP$9,1,MATCH((Standards_Active!$C36-1),$AQ$7:$BP$7,FALSE)),IF(AU$7&gt;=Standards_Active!$D36,Standards_Active!$H36,CE35)),CE35)</f>
        <v>1</v>
      </c>
      <c r="AV35" s="622">
        <f>IF(ISNUMBER(Standards_Active!$F36),IF(AND(AV$7&gt;=Standards_Active!$C36,AV$7&lt;Standards_Active!$D36),AU35-Standards_Active!$G36*INDEX($AQ$9:$BP$9,1,MATCH((Standards_Active!$C36-1),$AQ$7:$BP$7,FALSE)),IF(AV$7&gt;=Standards_Active!$D36,Standards_Active!$H36,CF35)),CF35)</f>
        <v>1</v>
      </c>
      <c r="AW35" s="622">
        <f>IF(ISNUMBER(Standards_Active!$F36),IF(AND(AW$7&gt;=Standards_Active!$C36,AW$7&lt;Standards_Active!$D36),AV35-Standards_Active!$G36*INDEX($AQ$9:$BP$9,1,MATCH((Standards_Active!$C36-1),$AQ$7:$BP$7,FALSE)),IF(AW$7&gt;=Standards_Active!$D36,Standards_Active!$H36,CG35)),CG35)</f>
        <v>1</v>
      </c>
      <c r="AX35" s="622">
        <f>IF(ISNUMBER(Standards_Active!$F36),IF(AND(AX$7&gt;=Standards_Active!$C36,AX$7&lt;Standards_Active!$D36),AW35-Standards_Active!$G36*INDEX($AQ$9:$BP$9,1,MATCH((Standards_Active!$C36-1),$AQ$7:$BP$7,FALSE)),IF(AX$7&gt;=Standards_Active!$D36,Standards_Active!$H36,CH35)),CH35)</f>
        <v>1</v>
      </c>
      <c r="AY35" s="622">
        <f>IF(ISNUMBER(Standards_Active!$F36),IF(AND(AY$7&gt;=Standards_Active!$C36,AY$7&lt;Standards_Active!$D36),AX35-Standards_Active!$G36*INDEX($AQ$9:$BP$9,1,MATCH((Standards_Active!$C36-1),$AQ$7:$BP$7,FALSE)),IF(AY$7&gt;=Standards_Active!$D36,Standards_Active!$H36,CI35)),CI35)</f>
        <v>1</v>
      </c>
      <c r="AZ35" s="622">
        <f>IF(ISNUMBER(Standards_Active!$F36),IF(AND(AZ$7&gt;=Standards_Active!$C36,AZ$7&lt;Standards_Active!$D36),AY35-Standards_Active!$G36*INDEX($AQ$9:$BP$9,1,MATCH((Standards_Active!$C36-1),$AQ$7:$BP$7,FALSE)),IF(AZ$7&gt;=Standards_Active!$D36,Standards_Active!$H36,CJ35)),CJ35)</f>
        <v>1</v>
      </c>
      <c r="BA35" s="622">
        <f>IF(ISNUMBER(Standards_Active!$F36),IF(AND(BA$7&gt;=Standards_Active!$C36,BA$7&lt;Standards_Active!$D36),AZ35-Standards_Active!$G36*INDEX($AQ$9:$BP$9,1,MATCH((Standards_Active!$C36-1),$AQ$7:$BP$7,FALSE)),IF(BA$7&gt;=Standards_Active!$D36,Standards_Active!$H36,CK35)),CK35)</f>
        <v>1</v>
      </c>
      <c r="BB35" s="622">
        <f>IF(ISNUMBER(Standards_Active!$F36),IF(AND(BB$7&gt;=Standards_Active!$C36,BB$7&lt;Standards_Active!$D36),BA35-Standards_Active!$G36*INDEX($AQ$9:$BP$9,1,MATCH((Standards_Active!$C36-1),$AQ$7:$BP$7,FALSE)),IF(BB$7&gt;=Standards_Active!$D36,Standards_Active!$H36,CL35)),CL35)</f>
        <v>1</v>
      </c>
      <c r="BC35" s="622">
        <f>IF(ISNUMBER(Standards_Active!$F36),IF(AND(BC$7&gt;=Standards_Active!$C36,BC$7&lt;Standards_Active!$D36),BB35-Standards_Active!$G36*INDEX($AQ$9:$BP$9,1,MATCH((Standards_Active!$C36-1),$AQ$7:$BP$7,FALSE)),IF(BC$7&gt;=Standards_Active!$D36,Standards_Active!$H36,CM35)),CM35)</f>
        <v>1</v>
      </c>
      <c r="BD35" s="622">
        <f>IF(ISNUMBER(Standards_Active!$F36),IF(AND(BD$7&gt;=Standards_Active!$C36,BD$7&lt;Standards_Active!$D36),BC35-Standards_Active!$G36*INDEX($AQ$9:$BP$9,1,MATCH((Standards_Active!$C36-1),$AQ$7:$BP$7,FALSE)),IF(BD$7&gt;=Standards_Active!$D36,Standards_Active!$H36,CN35)),CN35)</f>
        <v>1</v>
      </c>
      <c r="BE35" s="622">
        <f>IF(ISNUMBER(Standards_Active!$F36),IF(AND(BE$7&gt;=Standards_Active!$C36,BE$7&lt;Standards_Active!$D36),BD35-Standards_Active!$G36*INDEX($AQ$9:$BP$9,1,MATCH((Standards_Active!$C36-1),$AQ$7:$BP$7,FALSE)),IF(BE$7&gt;=Standards_Active!$D36,Standards_Active!$H36,CO35)),CO35)</f>
        <v>1</v>
      </c>
      <c r="BF35" s="622">
        <f>IF(ISNUMBER(Standards_Active!$F36),IF(AND(BF$7&gt;=Standards_Active!$C36,BF$7&lt;Standards_Active!$D36),BE35-Standards_Active!$G36*INDEX($AQ$9:$BP$9,1,MATCH((Standards_Active!$C36-1),$AQ$7:$BP$7,FALSE)),IF(BF$7&gt;=Standards_Active!$D36,Standards_Active!$H36,CP35)),CP35)</f>
        <v>1</v>
      </c>
      <c r="BG35" s="622">
        <f>IF(ISNUMBER(Standards_Active!$F36),IF(AND(BG$7&gt;=Standards_Active!$C36,BG$7&lt;Standards_Active!$D36),BF35-Standards_Active!$G36*INDEX($AQ$9:$BP$9,1,MATCH((Standards_Active!$C36-1),$AQ$7:$BP$7,FALSE)),IF(BG$7&gt;=Standards_Active!$D36,Standards_Active!$H36,CQ35)),CQ35)</f>
        <v>1</v>
      </c>
      <c r="BH35" s="622">
        <f>IF(ISNUMBER(Standards_Active!$F36),IF(AND(BH$7&gt;=Standards_Active!$C36,BH$7&lt;Standards_Active!$D36),BG35-Standards_Active!$G36*INDEX($AQ$9:$BP$9,1,MATCH((Standards_Active!$C36-1),$AQ$7:$BP$7,FALSE)),IF(BH$7&gt;=Standards_Active!$D36,Standards_Active!$H36,CR35)),CR35)</f>
        <v>1</v>
      </c>
      <c r="BI35" s="622">
        <f>IF(ISNUMBER(Standards_Active!$F36),IF(AND(BI$7&gt;=Standards_Active!$C36,BI$7&lt;Standards_Active!$D36),BH35-Standards_Active!$G36*INDEX($AQ$9:$BP$9,1,MATCH((Standards_Active!$C36-1),$AQ$7:$BP$7,FALSE)),IF(BI$7&gt;=Standards_Active!$D36,Standards_Active!$H36,CS35)),CS35)</f>
        <v>1</v>
      </c>
      <c r="BJ35" s="622">
        <f>IF(ISNUMBER(Standards_Active!$F36),IF(AND(BJ$7&gt;=Standards_Active!$C36,BJ$7&lt;Standards_Active!$D36),BI35-Standards_Active!$G36*INDEX($AQ$9:$BP$9,1,MATCH((Standards_Active!$C36-1),$AQ$7:$BP$7,FALSE)),IF(BJ$7&gt;=Standards_Active!$D36,Standards_Active!$H36,CT35)),CT35)</f>
        <v>1</v>
      </c>
      <c r="BK35" s="622">
        <f>IF(ISNUMBER(Standards_Active!$F36),IF(AND(BK$7&gt;=Standards_Active!$C36,BK$7&lt;Standards_Active!$D36),BJ35-Standards_Active!$G36*INDEX($AQ$9:$BP$9,1,MATCH((Standards_Active!$C36-1),$AQ$7:$BP$7,FALSE)),IF(BK$7&gt;=Standards_Active!$D36,Standards_Active!$H36,CU35)),CU35)</f>
        <v>1</v>
      </c>
      <c r="BL35" s="622">
        <f>IF(ISNUMBER(Standards_Active!$F36),IF(AND(BL$7&gt;=Standards_Active!$C36,BL$7&lt;Standards_Active!$D36),BK35-Standards_Active!$G36*INDEX($AQ$9:$BP$9,1,MATCH((Standards_Active!$C36-1),$AQ$7:$BP$7,FALSE)),IF(BL$7&gt;=Standards_Active!$D36,Standards_Active!$H36,CV35)),CV35)</f>
        <v>1</v>
      </c>
      <c r="BM35" s="622">
        <f>IF(ISNUMBER(Standards_Active!$F36),IF(AND(BM$7&gt;=Standards_Active!$C36,BM$7&lt;Standards_Active!$D36),BL35-Standards_Active!$G36*INDEX($AQ$9:$BP$9,1,MATCH((Standards_Active!$C36-1),$AQ$7:$BP$7,FALSE)),IF(BM$7&gt;=Standards_Active!$D36,Standards_Active!$H36,CW35)),CW35)</f>
        <v>1</v>
      </c>
      <c r="BN35" s="622">
        <f>IF(ISNUMBER(Standards_Active!$F36),IF(AND(BN$7&gt;=Standards_Active!$C36,BN$7&lt;Standards_Active!$D36),BM35-Standards_Active!$G36*INDEX($AQ$9:$BP$9,1,MATCH((Standards_Active!$C36-1),$AQ$7:$BP$7,FALSE)),IF(BN$7&gt;=Standards_Active!$D36,Standards_Active!$H36,CX35)),CX35)</f>
        <v>1</v>
      </c>
      <c r="BO35" s="622">
        <f>IF(ISNUMBER(Standards_Active!$F36),IF(AND(BO$7&gt;=Standards_Active!$C36,BO$7&lt;Standards_Active!$D36),BN35-Standards_Active!$G36*INDEX($AQ$9:$BP$9,1,MATCH((Standards_Active!$C36-1),$AQ$7:$BP$7,FALSE)),IF(BO$7&gt;=Standards_Active!$D36,Standards_Active!$H36,CY35)),CY35)</f>
        <v>1</v>
      </c>
      <c r="BP35" s="622">
        <f>IF(ISNUMBER(Standards_Active!$F36),IF(AND(BP$7&gt;=Standards_Active!$C36,BP$7&lt;Standards_Active!$D36),BO35-Standards_Active!$G36*INDEX($AQ$9:$BP$9,1,MATCH((Standards_Active!$C36-1),$AQ$7:$BP$7,FALSE)),IF(BP$7&gt;=Standards_Active!$D36,Standards_Active!$H36,CZ35)),CZ35)</f>
        <v>1</v>
      </c>
      <c r="BQ35" s="380"/>
      <c r="BR35" s="376"/>
      <c r="BS35" s="376"/>
      <c r="BT35" s="376"/>
      <c r="BU35" s="376"/>
      <c r="BV35" s="376"/>
      <c r="BW35" s="376"/>
      <c r="BX35" s="376"/>
      <c r="BY35" s="376"/>
      <c r="BZ35" s="376"/>
      <c r="CA35" s="424">
        <v>1</v>
      </c>
      <c r="CB35" s="424">
        <v>1</v>
      </c>
      <c r="CC35" s="424">
        <v>1</v>
      </c>
      <c r="CD35" s="424">
        <v>1</v>
      </c>
      <c r="CE35" s="424">
        <v>1</v>
      </c>
      <c r="CF35" s="424">
        <v>1</v>
      </c>
      <c r="CG35" s="424">
        <v>1</v>
      </c>
      <c r="CH35" s="424">
        <v>1</v>
      </c>
      <c r="CI35" s="424">
        <v>1</v>
      </c>
      <c r="CJ35" s="424">
        <v>1</v>
      </c>
      <c r="CK35" s="424">
        <v>1</v>
      </c>
      <c r="CL35" s="424">
        <v>1</v>
      </c>
      <c r="CM35" s="424">
        <v>1</v>
      </c>
      <c r="CN35" s="424">
        <v>1</v>
      </c>
      <c r="CO35" s="424">
        <v>1</v>
      </c>
      <c r="CP35" s="424">
        <v>1</v>
      </c>
      <c r="CQ35" s="424">
        <v>1</v>
      </c>
      <c r="CR35" s="424">
        <v>1</v>
      </c>
      <c r="CS35" s="424">
        <v>1</v>
      </c>
      <c r="CT35" s="424">
        <v>1</v>
      </c>
      <c r="CU35" s="424">
        <v>1</v>
      </c>
      <c r="CV35" s="424">
        <v>1</v>
      </c>
      <c r="CW35" s="424">
        <v>1</v>
      </c>
      <c r="CX35" s="424">
        <v>1</v>
      </c>
      <c r="CY35" s="424">
        <v>1</v>
      </c>
      <c r="CZ35" s="424">
        <v>1</v>
      </c>
    </row>
    <row r="36" spans="1:104" s="81" customFormat="1" ht="12.6" x14ac:dyDescent="0.25">
      <c r="A36" s="252"/>
      <c r="B36" s="252" t="s">
        <v>51</v>
      </c>
      <c r="D36" s="380"/>
      <c r="E36" s="380"/>
      <c r="F36" s="380"/>
      <c r="G36" s="370">
        <f>IF(Standards_Active!$E37="yes",Standards_Acceptance!AQ36,Standards_Acceptance!CA36)</f>
        <v>1</v>
      </c>
      <c r="H36" s="370">
        <f>IF(Standards_Active!$E37="yes",Standards_Acceptance!AR36,Standards_Acceptance!CB36)</f>
        <v>1</v>
      </c>
      <c r="I36" s="370">
        <f>IF(Standards_Active!$E37="yes",Standards_Acceptance!AS36,Standards_Acceptance!CC36)</f>
        <v>1</v>
      </c>
      <c r="J36" s="370">
        <f>IF(Standards_Active!$E37="yes",Standards_Acceptance!AT36,Standards_Acceptance!CD36)</f>
        <v>1</v>
      </c>
      <c r="K36" s="370">
        <f>IF(Standards_Active!$E37="yes",Standards_Acceptance!AU36,Standards_Acceptance!CE36)</f>
        <v>1</v>
      </c>
      <c r="L36" s="370">
        <f>IF(Standards_Active!$E37="yes",Standards_Acceptance!AV36,Standards_Acceptance!CF36)</f>
        <v>1</v>
      </c>
      <c r="M36" s="370">
        <f>IF(Standards_Active!$E37="yes",Standards_Acceptance!AW36,Standards_Acceptance!CG36)</f>
        <v>1</v>
      </c>
      <c r="N36" s="370">
        <f>IF(Standards_Active!$E37="yes",Standards_Acceptance!AX36,Standards_Acceptance!CH36)</f>
        <v>1</v>
      </c>
      <c r="O36" s="370">
        <f>IF(Standards_Active!$E37="yes",Standards_Acceptance!AY36,Standards_Acceptance!CI36)</f>
        <v>1</v>
      </c>
      <c r="P36" s="370">
        <f>IF(Standards_Active!$E37="yes",Standards_Acceptance!AZ36,Standards_Acceptance!CJ36)</f>
        <v>1</v>
      </c>
      <c r="Q36" s="370">
        <f>IF(Standards_Active!$E37="yes",Standards_Acceptance!BA36,Standards_Acceptance!CK36)</f>
        <v>1</v>
      </c>
      <c r="R36" s="370">
        <f>IF(Standards_Active!$E37="yes",Standards_Acceptance!BB36,Standards_Acceptance!CL36)</f>
        <v>1</v>
      </c>
      <c r="S36" s="370">
        <f>IF(Standards_Active!$E37="yes",Standards_Acceptance!BC36,Standards_Acceptance!CM36)</f>
        <v>1</v>
      </c>
      <c r="T36" s="370">
        <f>IF(Standards_Active!$E37="yes",Standards_Acceptance!BD36,Standards_Acceptance!CN36)</f>
        <v>1</v>
      </c>
      <c r="U36" s="370">
        <f>IF(Standards_Active!$E37="yes",Standards_Acceptance!BE36,Standards_Acceptance!CO36)</f>
        <v>1</v>
      </c>
      <c r="V36" s="370">
        <f>IF(Standards_Active!$E37="yes",Standards_Acceptance!BF36,Standards_Acceptance!CP36)</f>
        <v>1</v>
      </c>
      <c r="W36" s="370">
        <f>IF(Standards_Active!$E37="yes",Standards_Acceptance!BG36,Standards_Acceptance!CQ36)</f>
        <v>1</v>
      </c>
      <c r="X36" s="370">
        <f>IF(Standards_Active!$E37="yes",Standards_Acceptance!BH36,Standards_Acceptance!CR36)</f>
        <v>1</v>
      </c>
      <c r="Y36" s="370">
        <f>IF(Standards_Active!$E37="yes",Standards_Acceptance!BI36,Standards_Acceptance!CS36)</f>
        <v>1</v>
      </c>
      <c r="Z36" s="370">
        <f>IF(Standards_Active!$E37="yes",Standards_Acceptance!BJ36,Standards_Acceptance!CT36)</f>
        <v>1</v>
      </c>
      <c r="AA36" s="370">
        <f>IF(Standards_Active!$E37="yes",Standards_Acceptance!BK36,Standards_Acceptance!CU36)</f>
        <v>1</v>
      </c>
      <c r="AB36" s="370">
        <f>IF(Standards_Active!$E37="yes",Standards_Acceptance!BL36,Standards_Acceptance!CV36)</f>
        <v>1</v>
      </c>
      <c r="AC36" s="370">
        <f>IF(Standards_Active!$E37="yes",Standards_Acceptance!BM36,Standards_Acceptance!CW36)</f>
        <v>1</v>
      </c>
      <c r="AD36" s="370">
        <f>IF(Standards_Active!$E37="yes",Standards_Acceptance!BN36,Standards_Acceptance!CX36)</f>
        <v>1</v>
      </c>
      <c r="AE36" s="370">
        <f>IF(Standards_Active!$E37="yes",Standards_Acceptance!BO36,Standards_Acceptance!CY36)</f>
        <v>1</v>
      </c>
      <c r="AF36" s="370">
        <f>IF(Standards_Active!$E37="yes",Standards_Acceptance!BP36,Standards_Acceptance!CZ36)</f>
        <v>1</v>
      </c>
      <c r="AH36" s="376"/>
      <c r="AI36" s="376"/>
      <c r="AJ36" s="376"/>
      <c r="AK36" s="376"/>
      <c r="AL36" s="376"/>
      <c r="AM36" s="376"/>
      <c r="AN36" s="376"/>
      <c r="AO36" s="376"/>
      <c r="AP36" s="376"/>
      <c r="AQ36" s="622">
        <f>IF(ISNUMBER(Standards_Active!$F37),IF(AND(AQ$7&gt;=Standards_Active!$C37,AQ$7&lt;Standards_Active!$D37),AP36-Standards_Active!$G37*INDEX($AQ$9:$BP$9,1,MATCH((Standards_Active!$C37-1),$AQ$7:$BP$7,FALSE)),IF(AQ$7&gt;=Standards_Active!$D37,Standards_Active!$H37,CA36)),CA36)</f>
        <v>1</v>
      </c>
      <c r="AR36" s="622">
        <f>IF(ISNUMBER(Standards_Active!$F37),IF(AND(AR$7&gt;=Standards_Active!$C37,AR$7&lt;Standards_Active!$D37),AQ36-Standards_Active!$G37*INDEX($AQ$9:$BP$9,1,MATCH((Standards_Active!$C37-1),$AQ$7:$BP$7,FALSE)),IF(AR$7&gt;=Standards_Active!$D37,Standards_Active!$H37,CB36)),CB36)</f>
        <v>1</v>
      </c>
      <c r="AS36" s="622">
        <f>IF(ISNUMBER(Standards_Active!$F37),IF(AND(AS$7&gt;=Standards_Active!$C37,AS$7&lt;Standards_Active!$D37),AR36-Standards_Active!$G37*INDEX($AQ$9:$BP$9,1,MATCH((Standards_Active!$C37-1),$AQ$7:$BP$7,FALSE)),IF(AS$7&gt;=Standards_Active!$D37,Standards_Active!$H37,CC36)),CC36)</f>
        <v>1</v>
      </c>
      <c r="AT36" s="622">
        <f>IF(ISNUMBER(Standards_Active!$F37),IF(AND(AT$7&gt;=Standards_Active!$C37,AT$7&lt;Standards_Active!$D37),AS36-Standards_Active!$G37*INDEX($AQ$9:$BP$9,1,MATCH((Standards_Active!$C37-1),$AQ$7:$BP$7,FALSE)),IF(AT$7&gt;=Standards_Active!$D37,Standards_Active!$H37,CD36)),CD36)</f>
        <v>1</v>
      </c>
      <c r="AU36" s="622">
        <f>IF(ISNUMBER(Standards_Active!$F37),IF(AND(AU$7&gt;=Standards_Active!$C37,AU$7&lt;Standards_Active!$D37),AT36-Standards_Active!$G37*INDEX($AQ$9:$BP$9,1,MATCH((Standards_Active!$C37-1),$AQ$7:$BP$7,FALSE)),IF(AU$7&gt;=Standards_Active!$D37,Standards_Active!$H37,CE36)),CE36)</f>
        <v>1</v>
      </c>
      <c r="AV36" s="622">
        <f>IF(ISNUMBER(Standards_Active!$F37),IF(AND(AV$7&gt;=Standards_Active!$C37,AV$7&lt;Standards_Active!$D37),AU36-Standards_Active!$G37*INDEX($AQ$9:$BP$9,1,MATCH((Standards_Active!$C37-1),$AQ$7:$BP$7,FALSE)),IF(AV$7&gt;=Standards_Active!$D37,Standards_Active!$H37,CF36)),CF36)</f>
        <v>1</v>
      </c>
      <c r="AW36" s="622">
        <f>IF(ISNUMBER(Standards_Active!$F37),IF(AND(AW$7&gt;=Standards_Active!$C37,AW$7&lt;Standards_Active!$D37),AV36-Standards_Active!$G37*INDEX($AQ$9:$BP$9,1,MATCH((Standards_Active!$C37-1),$AQ$7:$BP$7,FALSE)),IF(AW$7&gt;=Standards_Active!$D37,Standards_Active!$H37,CG36)),CG36)</f>
        <v>1</v>
      </c>
      <c r="AX36" s="622">
        <f>IF(ISNUMBER(Standards_Active!$F37),IF(AND(AX$7&gt;=Standards_Active!$C37,AX$7&lt;Standards_Active!$D37),AW36-Standards_Active!$G37*INDEX($AQ$9:$BP$9,1,MATCH((Standards_Active!$C37-1),$AQ$7:$BP$7,FALSE)),IF(AX$7&gt;=Standards_Active!$D37,Standards_Active!$H37,CH36)),CH36)</f>
        <v>1</v>
      </c>
      <c r="AY36" s="622">
        <f>IF(ISNUMBER(Standards_Active!$F37),IF(AND(AY$7&gt;=Standards_Active!$C37,AY$7&lt;Standards_Active!$D37),AX36-Standards_Active!$G37*INDEX($AQ$9:$BP$9,1,MATCH((Standards_Active!$C37-1),$AQ$7:$BP$7,FALSE)),IF(AY$7&gt;=Standards_Active!$D37,Standards_Active!$H37,CI36)),CI36)</f>
        <v>1</v>
      </c>
      <c r="AZ36" s="622">
        <f>IF(ISNUMBER(Standards_Active!$F37),IF(AND(AZ$7&gt;=Standards_Active!$C37,AZ$7&lt;Standards_Active!$D37),AY36-Standards_Active!$G37*INDEX($AQ$9:$BP$9,1,MATCH((Standards_Active!$C37-1),$AQ$7:$BP$7,FALSE)),IF(AZ$7&gt;=Standards_Active!$D37,Standards_Active!$H37,CJ36)),CJ36)</f>
        <v>1</v>
      </c>
      <c r="BA36" s="622">
        <f>IF(ISNUMBER(Standards_Active!$F37),IF(AND(BA$7&gt;=Standards_Active!$C37,BA$7&lt;Standards_Active!$D37),AZ36-Standards_Active!$G37*INDEX($AQ$9:$BP$9,1,MATCH((Standards_Active!$C37-1),$AQ$7:$BP$7,FALSE)),IF(BA$7&gt;=Standards_Active!$D37,Standards_Active!$H37,CK36)),CK36)</f>
        <v>1</v>
      </c>
      <c r="BB36" s="622">
        <f>IF(ISNUMBER(Standards_Active!$F37),IF(AND(BB$7&gt;=Standards_Active!$C37,BB$7&lt;Standards_Active!$D37),BA36-Standards_Active!$G37*INDEX($AQ$9:$BP$9,1,MATCH((Standards_Active!$C37-1),$AQ$7:$BP$7,FALSE)),IF(BB$7&gt;=Standards_Active!$D37,Standards_Active!$H37,CL36)),CL36)</f>
        <v>1</v>
      </c>
      <c r="BC36" s="622">
        <f>IF(ISNUMBER(Standards_Active!$F37),IF(AND(BC$7&gt;=Standards_Active!$C37,BC$7&lt;Standards_Active!$D37),BB36-Standards_Active!$G37*INDEX($AQ$9:$BP$9,1,MATCH((Standards_Active!$C37-1),$AQ$7:$BP$7,FALSE)),IF(BC$7&gt;=Standards_Active!$D37,Standards_Active!$H37,CM36)),CM36)</f>
        <v>1</v>
      </c>
      <c r="BD36" s="622">
        <f>IF(ISNUMBER(Standards_Active!$F37),IF(AND(BD$7&gt;=Standards_Active!$C37,BD$7&lt;Standards_Active!$D37),BC36-Standards_Active!$G37*INDEX($AQ$9:$BP$9,1,MATCH((Standards_Active!$C37-1),$AQ$7:$BP$7,FALSE)),IF(BD$7&gt;=Standards_Active!$D37,Standards_Active!$H37,CN36)),CN36)</f>
        <v>1</v>
      </c>
      <c r="BE36" s="622">
        <f>IF(ISNUMBER(Standards_Active!$F37),IF(AND(BE$7&gt;=Standards_Active!$C37,BE$7&lt;Standards_Active!$D37),BD36-Standards_Active!$G37*INDEX($AQ$9:$BP$9,1,MATCH((Standards_Active!$C37-1),$AQ$7:$BP$7,FALSE)),IF(BE$7&gt;=Standards_Active!$D37,Standards_Active!$H37,CO36)),CO36)</f>
        <v>1</v>
      </c>
      <c r="BF36" s="622">
        <f>IF(ISNUMBER(Standards_Active!$F37),IF(AND(BF$7&gt;=Standards_Active!$C37,BF$7&lt;Standards_Active!$D37),BE36-Standards_Active!$G37*INDEX($AQ$9:$BP$9,1,MATCH((Standards_Active!$C37-1),$AQ$7:$BP$7,FALSE)),IF(BF$7&gt;=Standards_Active!$D37,Standards_Active!$H37,CP36)),CP36)</f>
        <v>1</v>
      </c>
      <c r="BG36" s="622">
        <f>IF(ISNUMBER(Standards_Active!$F37),IF(AND(BG$7&gt;=Standards_Active!$C37,BG$7&lt;Standards_Active!$D37),BF36-Standards_Active!$G37*INDEX($AQ$9:$BP$9,1,MATCH((Standards_Active!$C37-1),$AQ$7:$BP$7,FALSE)),IF(BG$7&gt;=Standards_Active!$D37,Standards_Active!$H37,CQ36)),CQ36)</f>
        <v>1</v>
      </c>
      <c r="BH36" s="622">
        <f>IF(ISNUMBER(Standards_Active!$F37),IF(AND(BH$7&gt;=Standards_Active!$C37,BH$7&lt;Standards_Active!$D37),BG36-Standards_Active!$G37*INDEX($AQ$9:$BP$9,1,MATCH((Standards_Active!$C37-1),$AQ$7:$BP$7,FALSE)),IF(BH$7&gt;=Standards_Active!$D37,Standards_Active!$H37,CR36)),CR36)</f>
        <v>1</v>
      </c>
      <c r="BI36" s="622">
        <f>IF(ISNUMBER(Standards_Active!$F37),IF(AND(BI$7&gt;=Standards_Active!$C37,BI$7&lt;Standards_Active!$D37),BH36-Standards_Active!$G37*INDEX($AQ$9:$BP$9,1,MATCH((Standards_Active!$C37-1),$AQ$7:$BP$7,FALSE)),IF(BI$7&gt;=Standards_Active!$D37,Standards_Active!$H37,CS36)),CS36)</f>
        <v>1</v>
      </c>
      <c r="BJ36" s="622">
        <f>IF(ISNUMBER(Standards_Active!$F37),IF(AND(BJ$7&gt;=Standards_Active!$C37,BJ$7&lt;Standards_Active!$D37),BI36-Standards_Active!$G37*INDEX($AQ$9:$BP$9,1,MATCH((Standards_Active!$C37-1),$AQ$7:$BP$7,FALSE)),IF(BJ$7&gt;=Standards_Active!$D37,Standards_Active!$H37,CT36)),CT36)</f>
        <v>1</v>
      </c>
      <c r="BK36" s="622">
        <f>IF(ISNUMBER(Standards_Active!$F37),IF(AND(BK$7&gt;=Standards_Active!$C37,BK$7&lt;Standards_Active!$D37),BJ36-Standards_Active!$G37*INDEX($AQ$9:$BP$9,1,MATCH((Standards_Active!$C37-1),$AQ$7:$BP$7,FALSE)),IF(BK$7&gt;=Standards_Active!$D37,Standards_Active!$H37,CU36)),CU36)</f>
        <v>1</v>
      </c>
      <c r="BL36" s="622">
        <f>IF(ISNUMBER(Standards_Active!$F37),IF(AND(BL$7&gt;=Standards_Active!$C37,BL$7&lt;Standards_Active!$D37),BK36-Standards_Active!$G37*INDEX($AQ$9:$BP$9,1,MATCH((Standards_Active!$C37-1),$AQ$7:$BP$7,FALSE)),IF(BL$7&gt;=Standards_Active!$D37,Standards_Active!$H37,CV36)),CV36)</f>
        <v>1</v>
      </c>
      <c r="BM36" s="622">
        <f>IF(ISNUMBER(Standards_Active!$F37),IF(AND(BM$7&gt;=Standards_Active!$C37,BM$7&lt;Standards_Active!$D37),BL36-Standards_Active!$G37*INDEX($AQ$9:$BP$9,1,MATCH((Standards_Active!$C37-1),$AQ$7:$BP$7,FALSE)),IF(BM$7&gt;=Standards_Active!$D37,Standards_Active!$H37,CW36)),CW36)</f>
        <v>1</v>
      </c>
      <c r="BN36" s="622">
        <f>IF(ISNUMBER(Standards_Active!$F37),IF(AND(BN$7&gt;=Standards_Active!$C37,BN$7&lt;Standards_Active!$D37),BM36-Standards_Active!$G37*INDEX($AQ$9:$BP$9,1,MATCH((Standards_Active!$C37-1),$AQ$7:$BP$7,FALSE)),IF(BN$7&gt;=Standards_Active!$D37,Standards_Active!$H37,CX36)),CX36)</f>
        <v>1</v>
      </c>
      <c r="BO36" s="622">
        <f>IF(ISNUMBER(Standards_Active!$F37),IF(AND(BO$7&gt;=Standards_Active!$C37,BO$7&lt;Standards_Active!$D37),BN36-Standards_Active!$G37*INDEX($AQ$9:$BP$9,1,MATCH((Standards_Active!$C37-1),$AQ$7:$BP$7,FALSE)),IF(BO$7&gt;=Standards_Active!$D37,Standards_Active!$H37,CY36)),CY36)</f>
        <v>1</v>
      </c>
      <c r="BP36" s="622">
        <f>IF(ISNUMBER(Standards_Active!$F37),IF(AND(BP$7&gt;=Standards_Active!$C37,BP$7&lt;Standards_Active!$D37),BO36-Standards_Active!$G37*INDEX($AQ$9:$BP$9,1,MATCH((Standards_Active!$C37-1),$AQ$7:$BP$7,FALSE)),IF(BP$7&gt;=Standards_Active!$D37,Standards_Active!$H37,CZ36)),CZ36)</f>
        <v>1</v>
      </c>
      <c r="BQ36" s="380"/>
      <c r="BR36" s="376"/>
      <c r="BS36" s="376"/>
      <c r="BT36" s="376"/>
      <c r="BU36" s="376"/>
      <c r="BV36" s="376"/>
      <c r="BW36" s="376"/>
      <c r="BX36" s="376"/>
      <c r="BY36" s="376"/>
      <c r="BZ36" s="376"/>
      <c r="CA36" s="424">
        <v>1</v>
      </c>
      <c r="CB36" s="424">
        <v>1</v>
      </c>
      <c r="CC36" s="424">
        <v>1</v>
      </c>
      <c r="CD36" s="424">
        <v>1</v>
      </c>
      <c r="CE36" s="424">
        <v>1</v>
      </c>
      <c r="CF36" s="424">
        <v>1</v>
      </c>
      <c r="CG36" s="424">
        <v>1</v>
      </c>
      <c r="CH36" s="424">
        <v>1</v>
      </c>
      <c r="CI36" s="424">
        <v>1</v>
      </c>
      <c r="CJ36" s="424">
        <v>1</v>
      </c>
      <c r="CK36" s="424">
        <v>1</v>
      </c>
      <c r="CL36" s="424">
        <v>1</v>
      </c>
      <c r="CM36" s="424">
        <v>1</v>
      </c>
      <c r="CN36" s="424">
        <v>1</v>
      </c>
      <c r="CO36" s="424">
        <v>1</v>
      </c>
      <c r="CP36" s="424">
        <v>1</v>
      </c>
      <c r="CQ36" s="424">
        <v>1</v>
      </c>
      <c r="CR36" s="424">
        <v>1</v>
      </c>
      <c r="CS36" s="424">
        <v>1</v>
      </c>
      <c r="CT36" s="424">
        <v>1</v>
      </c>
      <c r="CU36" s="424">
        <v>1</v>
      </c>
      <c r="CV36" s="424">
        <v>1</v>
      </c>
      <c r="CW36" s="424">
        <v>1</v>
      </c>
      <c r="CX36" s="424">
        <v>1</v>
      </c>
      <c r="CY36" s="424">
        <v>1</v>
      </c>
      <c r="CZ36" s="424">
        <v>1</v>
      </c>
    </row>
    <row r="37" spans="1:104" s="81" customFormat="1" ht="12.6" x14ac:dyDescent="0.25">
      <c r="A37" s="252"/>
      <c r="B37" s="252" t="s">
        <v>52</v>
      </c>
      <c r="D37" s="380"/>
      <c r="E37" s="380"/>
      <c r="F37" s="380"/>
      <c r="G37" s="370">
        <f>IF(Standards_Active!$E38="yes",Standards_Acceptance!AQ37,Standards_Acceptance!CA37)</f>
        <v>1</v>
      </c>
      <c r="H37" s="370">
        <f>IF(Standards_Active!$E38="yes",Standards_Acceptance!AR37,Standards_Acceptance!CB37)</f>
        <v>1</v>
      </c>
      <c r="I37" s="370">
        <f>IF(Standards_Active!$E38="yes",Standards_Acceptance!AS37,Standards_Acceptance!CC37)</f>
        <v>1</v>
      </c>
      <c r="J37" s="370">
        <f>IF(Standards_Active!$E38="yes",Standards_Acceptance!AT37,Standards_Acceptance!CD37)</f>
        <v>1</v>
      </c>
      <c r="K37" s="370">
        <f>IF(Standards_Active!$E38="yes",Standards_Acceptance!AU37,Standards_Acceptance!CE37)</f>
        <v>1</v>
      </c>
      <c r="L37" s="370">
        <f>IF(Standards_Active!$E38="yes",Standards_Acceptance!AV37,Standards_Acceptance!CF37)</f>
        <v>1</v>
      </c>
      <c r="M37" s="370">
        <f>IF(Standards_Active!$E38="yes",Standards_Acceptance!AW37,Standards_Acceptance!CG37)</f>
        <v>1</v>
      </c>
      <c r="N37" s="370">
        <f>IF(Standards_Active!$E38="yes",Standards_Acceptance!AX37,Standards_Acceptance!CH37)</f>
        <v>1</v>
      </c>
      <c r="O37" s="370">
        <f>IF(Standards_Active!$E38="yes",Standards_Acceptance!AY37,Standards_Acceptance!CI37)</f>
        <v>1</v>
      </c>
      <c r="P37" s="370">
        <f>IF(Standards_Active!$E38="yes",Standards_Acceptance!AZ37,Standards_Acceptance!CJ37)</f>
        <v>1</v>
      </c>
      <c r="Q37" s="370">
        <f>IF(Standards_Active!$E38="yes",Standards_Acceptance!BA37,Standards_Acceptance!CK37)</f>
        <v>1</v>
      </c>
      <c r="R37" s="370">
        <f>IF(Standards_Active!$E38="yes",Standards_Acceptance!BB37,Standards_Acceptance!CL37)</f>
        <v>1</v>
      </c>
      <c r="S37" s="370">
        <f>IF(Standards_Active!$E38="yes",Standards_Acceptance!BC37,Standards_Acceptance!CM37)</f>
        <v>1</v>
      </c>
      <c r="T37" s="370">
        <f>IF(Standards_Active!$E38="yes",Standards_Acceptance!BD37,Standards_Acceptance!CN37)</f>
        <v>1</v>
      </c>
      <c r="U37" s="370">
        <f>IF(Standards_Active!$E38="yes",Standards_Acceptance!BE37,Standards_Acceptance!CO37)</f>
        <v>1</v>
      </c>
      <c r="V37" s="370">
        <f>IF(Standards_Active!$E38="yes",Standards_Acceptance!BF37,Standards_Acceptance!CP37)</f>
        <v>1</v>
      </c>
      <c r="W37" s="370">
        <f>IF(Standards_Active!$E38="yes",Standards_Acceptance!BG37,Standards_Acceptance!CQ37)</f>
        <v>1</v>
      </c>
      <c r="X37" s="370">
        <f>IF(Standards_Active!$E38="yes",Standards_Acceptance!BH37,Standards_Acceptance!CR37)</f>
        <v>1</v>
      </c>
      <c r="Y37" s="370">
        <f>IF(Standards_Active!$E38="yes",Standards_Acceptance!BI37,Standards_Acceptance!CS37)</f>
        <v>1</v>
      </c>
      <c r="Z37" s="370">
        <f>IF(Standards_Active!$E38="yes",Standards_Acceptance!BJ37,Standards_Acceptance!CT37)</f>
        <v>1</v>
      </c>
      <c r="AA37" s="370">
        <f>IF(Standards_Active!$E38="yes",Standards_Acceptance!BK37,Standards_Acceptance!CU37)</f>
        <v>1</v>
      </c>
      <c r="AB37" s="370">
        <f>IF(Standards_Active!$E38="yes",Standards_Acceptance!BL37,Standards_Acceptance!CV37)</f>
        <v>1</v>
      </c>
      <c r="AC37" s="370">
        <f>IF(Standards_Active!$E38="yes",Standards_Acceptance!BM37,Standards_Acceptance!CW37)</f>
        <v>1</v>
      </c>
      <c r="AD37" s="370">
        <f>IF(Standards_Active!$E38="yes",Standards_Acceptance!BN37,Standards_Acceptance!CX37)</f>
        <v>1</v>
      </c>
      <c r="AE37" s="370">
        <f>IF(Standards_Active!$E38="yes",Standards_Acceptance!BO37,Standards_Acceptance!CY37)</f>
        <v>1</v>
      </c>
      <c r="AF37" s="370">
        <f>IF(Standards_Active!$E38="yes",Standards_Acceptance!BP37,Standards_Acceptance!CZ37)</f>
        <v>1</v>
      </c>
      <c r="AH37" s="376"/>
      <c r="AI37" s="376"/>
      <c r="AJ37" s="376"/>
      <c r="AK37" s="376"/>
      <c r="AL37" s="376"/>
      <c r="AM37" s="376"/>
      <c r="AN37" s="376"/>
      <c r="AO37" s="376"/>
      <c r="AP37" s="376"/>
      <c r="AQ37" s="622">
        <f>IF(ISNUMBER(Standards_Active!$F38),IF(AND(AQ$7&gt;=Standards_Active!$C38,AQ$7&lt;Standards_Active!$D38),AP37-Standards_Active!$G38*INDEX($AQ$9:$BP$9,1,MATCH((Standards_Active!$C38-1),$AQ$7:$BP$7,FALSE)),IF(AQ$7&gt;=Standards_Active!$D38,Standards_Active!$H38,CA37)),CA37)</f>
        <v>1</v>
      </c>
      <c r="AR37" s="622">
        <f>IF(ISNUMBER(Standards_Active!$F38),IF(AND(AR$7&gt;=Standards_Active!$C38,AR$7&lt;Standards_Active!$D38),AQ37-Standards_Active!$G38*INDEX($AQ$9:$BP$9,1,MATCH((Standards_Active!$C38-1),$AQ$7:$BP$7,FALSE)),IF(AR$7&gt;=Standards_Active!$D38,Standards_Active!$H38,CB37)),CB37)</f>
        <v>1</v>
      </c>
      <c r="AS37" s="622">
        <f>IF(ISNUMBER(Standards_Active!$F38),IF(AND(AS$7&gt;=Standards_Active!$C38,AS$7&lt;Standards_Active!$D38),AR37-Standards_Active!$G38*INDEX($AQ$9:$BP$9,1,MATCH((Standards_Active!$C38-1),$AQ$7:$BP$7,FALSE)),IF(AS$7&gt;=Standards_Active!$D38,Standards_Active!$H38,CC37)),CC37)</f>
        <v>1</v>
      </c>
      <c r="AT37" s="622">
        <f>IF(ISNUMBER(Standards_Active!$F38),IF(AND(AT$7&gt;=Standards_Active!$C38,AT$7&lt;Standards_Active!$D38),AS37-Standards_Active!$G38*INDEX($AQ$9:$BP$9,1,MATCH((Standards_Active!$C38-1),$AQ$7:$BP$7,FALSE)),IF(AT$7&gt;=Standards_Active!$D38,Standards_Active!$H38,CD37)),CD37)</f>
        <v>1</v>
      </c>
      <c r="AU37" s="622">
        <f>IF(ISNUMBER(Standards_Active!$F38),IF(AND(AU$7&gt;=Standards_Active!$C38,AU$7&lt;Standards_Active!$D38),AT37-Standards_Active!$G38*INDEX($AQ$9:$BP$9,1,MATCH((Standards_Active!$C38-1),$AQ$7:$BP$7,FALSE)),IF(AU$7&gt;=Standards_Active!$D38,Standards_Active!$H38,CE37)),CE37)</f>
        <v>1</v>
      </c>
      <c r="AV37" s="622">
        <f>IF(ISNUMBER(Standards_Active!$F38),IF(AND(AV$7&gt;=Standards_Active!$C38,AV$7&lt;Standards_Active!$D38),AU37-Standards_Active!$G38*INDEX($AQ$9:$BP$9,1,MATCH((Standards_Active!$C38-1),$AQ$7:$BP$7,FALSE)),IF(AV$7&gt;=Standards_Active!$D38,Standards_Active!$H38,CF37)),CF37)</f>
        <v>1</v>
      </c>
      <c r="AW37" s="622">
        <f>IF(ISNUMBER(Standards_Active!$F38),IF(AND(AW$7&gt;=Standards_Active!$C38,AW$7&lt;Standards_Active!$D38),AV37-Standards_Active!$G38*INDEX($AQ$9:$BP$9,1,MATCH((Standards_Active!$C38-1),$AQ$7:$BP$7,FALSE)),IF(AW$7&gt;=Standards_Active!$D38,Standards_Active!$H38,CG37)),CG37)</f>
        <v>1</v>
      </c>
      <c r="AX37" s="622">
        <f>IF(ISNUMBER(Standards_Active!$F38),IF(AND(AX$7&gt;=Standards_Active!$C38,AX$7&lt;Standards_Active!$D38),AW37-Standards_Active!$G38*INDEX($AQ$9:$BP$9,1,MATCH((Standards_Active!$C38-1),$AQ$7:$BP$7,FALSE)),IF(AX$7&gt;=Standards_Active!$D38,Standards_Active!$H38,CH37)),CH37)</f>
        <v>1</v>
      </c>
      <c r="AY37" s="622">
        <f>IF(ISNUMBER(Standards_Active!$F38),IF(AND(AY$7&gt;=Standards_Active!$C38,AY$7&lt;Standards_Active!$D38),AX37-Standards_Active!$G38*INDEX($AQ$9:$BP$9,1,MATCH((Standards_Active!$C38-1),$AQ$7:$BP$7,FALSE)),IF(AY$7&gt;=Standards_Active!$D38,Standards_Active!$H38,CI37)),CI37)</f>
        <v>1</v>
      </c>
      <c r="AZ37" s="622">
        <f>IF(ISNUMBER(Standards_Active!$F38),IF(AND(AZ$7&gt;=Standards_Active!$C38,AZ$7&lt;Standards_Active!$D38),AY37-Standards_Active!$G38*INDEX($AQ$9:$BP$9,1,MATCH((Standards_Active!$C38-1),$AQ$7:$BP$7,FALSE)),IF(AZ$7&gt;=Standards_Active!$D38,Standards_Active!$H38,CJ37)),CJ37)</f>
        <v>1</v>
      </c>
      <c r="BA37" s="622">
        <f>IF(ISNUMBER(Standards_Active!$F38),IF(AND(BA$7&gt;=Standards_Active!$C38,BA$7&lt;Standards_Active!$D38),AZ37-Standards_Active!$G38*INDEX($AQ$9:$BP$9,1,MATCH((Standards_Active!$C38-1),$AQ$7:$BP$7,FALSE)),IF(BA$7&gt;=Standards_Active!$D38,Standards_Active!$H38,CK37)),CK37)</f>
        <v>1</v>
      </c>
      <c r="BB37" s="622">
        <f>IF(ISNUMBER(Standards_Active!$F38),IF(AND(BB$7&gt;=Standards_Active!$C38,BB$7&lt;Standards_Active!$D38),BA37-Standards_Active!$G38*INDEX($AQ$9:$BP$9,1,MATCH((Standards_Active!$C38-1),$AQ$7:$BP$7,FALSE)),IF(BB$7&gt;=Standards_Active!$D38,Standards_Active!$H38,CL37)),CL37)</f>
        <v>1</v>
      </c>
      <c r="BC37" s="622">
        <f>IF(ISNUMBER(Standards_Active!$F38),IF(AND(BC$7&gt;=Standards_Active!$C38,BC$7&lt;Standards_Active!$D38),BB37-Standards_Active!$G38*INDEX($AQ$9:$BP$9,1,MATCH((Standards_Active!$C38-1),$AQ$7:$BP$7,FALSE)),IF(BC$7&gt;=Standards_Active!$D38,Standards_Active!$H38,CM37)),CM37)</f>
        <v>1</v>
      </c>
      <c r="BD37" s="622">
        <f>IF(ISNUMBER(Standards_Active!$F38),IF(AND(BD$7&gt;=Standards_Active!$C38,BD$7&lt;Standards_Active!$D38),BC37-Standards_Active!$G38*INDEX($AQ$9:$BP$9,1,MATCH((Standards_Active!$C38-1),$AQ$7:$BP$7,FALSE)),IF(BD$7&gt;=Standards_Active!$D38,Standards_Active!$H38,CN37)),CN37)</f>
        <v>1</v>
      </c>
      <c r="BE37" s="622">
        <f>IF(ISNUMBER(Standards_Active!$F38),IF(AND(BE$7&gt;=Standards_Active!$C38,BE$7&lt;Standards_Active!$D38),BD37-Standards_Active!$G38*INDEX($AQ$9:$BP$9,1,MATCH((Standards_Active!$C38-1),$AQ$7:$BP$7,FALSE)),IF(BE$7&gt;=Standards_Active!$D38,Standards_Active!$H38,CO37)),CO37)</f>
        <v>1</v>
      </c>
      <c r="BF37" s="622">
        <f>IF(ISNUMBER(Standards_Active!$F38),IF(AND(BF$7&gt;=Standards_Active!$C38,BF$7&lt;Standards_Active!$D38),BE37-Standards_Active!$G38*INDEX($AQ$9:$BP$9,1,MATCH((Standards_Active!$C38-1),$AQ$7:$BP$7,FALSE)),IF(BF$7&gt;=Standards_Active!$D38,Standards_Active!$H38,CP37)),CP37)</f>
        <v>1</v>
      </c>
      <c r="BG37" s="622">
        <f>IF(ISNUMBER(Standards_Active!$F38),IF(AND(BG$7&gt;=Standards_Active!$C38,BG$7&lt;Standards_Active!$D38),BF37-Standards_Active!$G38*INDEX($AQ$9:$BP$9,1,MATCH((Standards_Active!$C38-1),$AQ$7:$BP$7,FALSE)),IF(BG$7&gt;=Standards_Active!$D38,Standards_Active!$H38,CQ37)),CQ37)</f>
        <v>1</v>
      </c>
      <c r="BH37" s="622">
        <f>IF(ISNUMBER(Standards_Active!$F38),IF(AND(BH$7&gt;=Standards_Active!$C38,BH$7&lt;Standards_Active!$D38),BG37-Standards_Active!$G38*INDEX($AQ$9:$BP$9,1,MATCH((Standards_Active!$C38-1),$AQ$7:$BP$7,FALSE)),IF(BH$7&gt;=Standards_Active!$D38,Standards_Active!$H38,CR37)),CR37)</f>
        <v>1</v>
      </c>
      <c r="BI37" s="622">
        <f>IF(ISNUMBER(Standards_Active!$F38),IF(AND(BI$7&gt;=Standards_Active!$C38,BI$7&lt;Standards_Active!$D38),BH37-Standards_Active!$G38*INDEX($AQ$9:$BP$9,1,MATCH((Standards_Active!$C38-1),$AQ$7:$BP$7,FALSE)),IF(BI$7&gt;=Standards_Active!$D38,Standards_Active!$H38,CS37)),CS37)</f>
        <v>1</v>
      </c>
      <c r="BJ37" s="622">
        <f>IF(ISNUMBER(Standards_Active!$F38),IF(AND(BJ$7&gt;=Standards_Active!$C38,BJ$7&lt;Standards_Active!$D38),BI37-Standards_Active!$G38*INDEX($AQ$9:$BP$9,1,MATCH((Standards_Active!$C38-1),$AQ$7:$BP$7,FALSE)),IF(BJ$7&gt;=Standards_Active!$D38,Standards_Active!$H38,CT37)),CT37)</f>
        <v>1</v>
      </c>
      <c r="BK37" s="622">
        <f>IF(ISNUMBER(Standards_Active!$F38),IF(AND(BK$7&gt;=Standards_Active!$C38,BK$7&lt;Standards_Active!$D38),BJ37-Standards_Active!$G38*INDEX($AQ$9:$BP$9,1,MATCH((Standards_Active!$C38-1),$AQ$7:$BP$7,FALSE)),IF(BK$7&gt;=Standards_Active!$D38,Standards_Active!$H38,CU37)),CU37)</f>
        <v>1</v>
      </c>
      <c r="BL37" s="622">
        <f>IF(ISNUMBER(Standards_Active!$F38),IF(AND(BL$7&gt;=Standards_Active!$C38,BL$7&lt;Standards_Active!$D38),BK37-Standards_Active!$G38*INDEX($AQ$9:$BP$9,1,MATCH((Standards_Active!$C38-1),$AQ$7:$BP$7,FALSE)),IF(BL$7&gt;=Standards_Active!$D38,Standards_Active!$H38,CV37)),CV37)</f>
        <v>1</v>
      </c>
      <c r="BM37" s="622">
        <f>IF(ISNUMBER(Standards_Active!$F38),IF(AND(BM$7&gt;=Standards_Active!$C38,BM$7&lt;Standards_Active!$D38),BL37-Standards_Active!$G38*INDEX($AQ$9:$BP$9,1,MATCH((Standards_Active!$C38-1),$AQ$7:$BP$7,FALSE)),IF(BM$7&gt;=Standards_Active!$D38,Standards_Active!$H38,CW37)),CW37)</f>
        <v>1</v>
      </c>
      <c r="BN37" s="622">
        <f>IF(ISNUMBER(Standards_Active!$F38),IF(AND(BN$7&gt;=Standards_Active!$C38,BN$7&lt;Standards_Active!$D38),BM37-Standards_Active!$G38*INDEX($AQ$9:$BP$9,1,MATCH((Standards_Active!$C38-1),$AQ$7:$BP$7,FALSE)),IF(BN$7&gt;=Standards_Active!$D38,Standards_Active!$H38,CX37)),CX37)</f>
        <v>1</v>
      </c>
      <c r="BO37" s="622">
        <f>IF(ISNUMBER(Standards_Active!$F38),IF(AND(BO$7&gt;=Standards_Active!$C38,BO$7&lt;Standards_Active!$D38),BN37-Standards_Active!$G38*INDEX($AQ$9:$BP$9,1,MATCH((Standards_Active!$C38-1),$AQ$7:$BP$7,FALSE)),IF(BO$7&gt;=Standards_Active!$D38,Standards_Active!$H38,CY37)),CY37)</f>
        <v>1</v>
      </c>
      <c r="BP37" s="622">
        <f>IF(ISNUMBER(Standards_Active!$F38),IF(AND(BP$7&gt;=Standards_Active!$C38,BP$7&lt;Standards_Active!$D38),BO37-Standards_Active!$G38*INDEX($AQ$9:$BP$9,1,MATCH((Standards_Active!$C38-1),$AQ$7:$BP$7,FALSE)),IF(BP$7&gt;=Standards_Active!$D38,Standards_Active!$H38,CZ37)),CZ37)</f>
        <v>1</v>
      </c>
      <c r="BQ37" s="380"/>
      <c r="BR37" s="376"/>
      <c r="BS37" s="376"/>
      <c r="BT37" s="376"/>
      <c r="BU37" s="376"/>
      <c r="BV37" s="376"/>
      <c r="BW37" s="376"/>
      <c r="BX37" s="376"/>
      <c r="BY37" s="376"/>
      <c r="BZ37" s="376"/>
      <c r="CA37" s="424">
        <v>1</v>
      </c>
      <c r="CB37" s="424">
        <v>1</v>
      </c>
      <c r="CC37" s="424">
        <v>1</v>
      </c>
      <c r="CD37" s="424">
        <v>1</v>
      </c>
      <c r="CE37" s="424">
        <v>1</v>
      </c>
      <c r="CF37" s="424">
        <v>1</v>
      </c>
      <c r="CG37" s="424">
        <v>1</v>
      </c>
      <c r="CH37" s="424">
        <v>1</v>
      </c>
      <c r="CI37" s="424">
        <v>1</v>
      </c>
      <c r="CJ37" s="424">
        <v>1</v>
      </c>
      <c r="CK37" s="424">
        <v>1</v>
      </c>
      <c r="CL37" s="424">
        <v>1</v>
      </c>
      <c r="CM37" s="424">
        <v>1</v>
      </c>
      <c r="CN37" s="424">
        <v>1</v>
      </c>
      <c r="CO37" s="424">
        <v>1</v>
      </c>
      <c r="CP37" s="424">
        <v>1</v>
      </c>
      <c r="CQ37" s="424">
        <v>1</v>
      </c>
      <c r="CR37" s="424">
        <v>1</v>
      </c>
      <c r="CS37" s="424">
        <v>1</v>
      </c>
      <c r="CT37" s="424">
        <v>1</v>
      </c>
      <c r="CU37" s="424">
        <v>1</v>
      </c>
      <c r="CV37" s="424">
        <v>1</v>
      </c>
      <c r="CW37" s="424">
        <v>1</v>
      </c>
      <c r="CX37" s="424">
        <v>1</v>
      </c>
      <c r="CY37" s="424">
        <v>1</v>
      </c>
      <c r="CZ37" s="424">
        <v>1</v>
      </c>
    </row>
    <row r="38" spans="1:104" s="81" customFormat="1" ht="12.6" x14ac:dyDescent="0.25">
      <c r="A38" s="252"/>
      <c r="B38" s="257" t="s">
        <v>29</v>
      </c>
      <c r="D38" s="380"/>
      <c r="E38" s="380"/>
      <c r="F38" s="380"/>
      <c r="G38" s="370">
        <f>IF(Standards_Active!$E39="yes",Standards_Acceptance!AQ38,Standards_Acceptance!CA38)</f>
        <v>1</v>
      </c>
      <c r="H38" s="370">
        <f>IF(Standards_Active!$E39="yes",Standards_Acceptance!AR38,Standards_Acceptance!CB38)</f>
        <v>1</v>
      </c>
      <c r="I38" s="370">
        <f>IF(Standards_Active!$E39="yes",Standards_Acceptance!AS38,Standards_Acceptance!CC38)</f>
        <v>1</v>
      </c>
      <c r="J38" s="370">
        <f>IF(Standards_Active!$E39="yes",Standards_Acceptance!AT38,Standards_Acceptance!CD38)</f>
        <v>1</v>
      </c>
      <c r="K38" s="370">
        <f>IF(Standards_Active!$E39="yes",Standards_Acceptance!AU38,Standards_Acceptance!CE38)</f>
        <v>1</v>
      </c>
      <c r="L38" s="370">
        <f>IF(Standards_Active!$E39="yes",Standards_Acceptance!AV38,Standards_Acceptance!CF38)</f>
        <v>1</v>
      </c>
      <c r="M38" s="370">
        <f>IF(Standards_Active!$E39="yes",Standards_Acceptance!AW38,Standards_Acceptance!CG38)</f>
        <v>1</v>
      </c>
      <c r="N38" s="370">
        <f>IF(Standards_Active!$E39="yes",Standards_Acceptance!AX38,Standards_Acceptance!CH38)</f>
        <v>1</v>
      </c>
      <c r="O38" s="370">
        <f>IF(Standards_Active!$E39="yes",Standards_Acceptance!AY38,Standards_Acceptance!CI38)</f>
        <v>1</v>
      </c>
      <c r="P38" s="370">
        <f>IF(Standards_Active!$E39="yes",Standards_Acceptance!AZ38,Standards_Acceptance!CJ38)</f>
        <v>1</v>
      </c>
      <c r="Q38" s="370">
        <f>IF(Standards_Active!$E39="yes",Standards_Acceptance!BA38,Standards_Acceptance!CK38)</f>
        <v>1</v>
      </c>
      <c r="R38" s="370">
        <f>IF(Standards_Active!$E39="yes",Standards_Acceptance!BB38,Standards_Acceptance!CL38)</f>
        <v>1</v>
      </c>
      <c r="S38" s="370">
        <f>IF(Standards_Active!$E39="yes",Standards_Acceptance!BC38,Standards_Acceptance!CM38)</f>
        <v>1</v>
      </c>
      <c r="T38" s="370">
        <f>IF(Standards_Active!$E39="yes",Standards_Acceptance!BD38,Standards_Acceptance!CN38)</f>
        <v>1</v>
      </c>
      <c r="U38" s="370">
        <f>IF(Standards_Active!$E39="yes",Standards_Acceptance!BE38,Standards_Acceptance!CO38)</f>
        <v>1</v>
      </c>
      <c r="V38" s="370">
        <f>IF(Standards_Active!$E39="yes",Standards_Acceptance!BF38,Standards_Acceptance!CP38)</f>
        <v>1</v>
      </c>
      <c r="W38" s="370">
        <f>IF(Standards_Active!$E39="yes",Standards_Acceptance!BG38,Standards_Acceptance!CQ38)</f>
        <v>1</v>
      </c>
      <c r="X38" s="370">
        <f>IF(Standards_Active!$E39="yes",Standards_Acceptance!BH38,Standards_Acceptance!CR38)</f>
        <v>1</v>
      </c>
      <c r="Y38" s="370">
        <f>IF(Standards_Active!$E39="yes",Standards_Acceptance!BI38,Standards_Acceptance!CS38)</f>
        <v>1</v>
      </c>
      <c r="Z38" s="370">
        <f>IF(Standards_Active!$E39="yes",Standards_Acceptance!BJ38,Standards_Acceptance!CT38)</f>
        <v>1</v>
      </c>
      <c r="AA38" s="370">
        <f>IF(Standards_Active!$E39="yes",Standards_Acceptance!BK38,Standards_Acceptance!CU38)</f>
        <v>1</v>
      </c>
      <c r="AB38" s="370">
        <f>IF(Standards_Active!$E39="yes",Standards_Acceptance!BL38,Standards_Acceptance!CV38)</f>
        <v>1</v>
      </c>
      <c r="AC38" s="370">
        <f>IF(Standards_Active!$E39="yes",Standards_Acceptance!BM38,Standards_Acceptance!CW38)</f>
        <v>1</v>
      </c>
      <c r="AD38" s="370">
        <f>IF(Standards_Active!$E39="yes",Standards_Acceptance!BN38,Standards_Acceptance!CX38)</f>
        <v>1</v>
      </c>
      <c r="AE38" s="370">
        <f>IF(Standards_Active!$E39="yes",Standards_Acceptance!BO38,Standards_Acceptance!CY38)</f>
        <v>1</v>
      </c>
      <c r="AF38" s="370">
        <f>IF(Standards_Active!$E39="yes",Standards_Acceptance!BP38,Standards_Acceptance!CZ38)</f>
        <v>1</v>
      </c>
      <c r="AH38" s="376"/>
      <c r="AI38" s="376"/>
      <c r="AJ38" s="376"/>
      <c r="AK38" s="376"/>
      <c r="AL38" s="376"/>
      <c r="AM38" s="376"/>
      <c r="AN38" s="376"/>
      <c r="AO38" s="376"/>
      <c r="AP38" s="376"/>
      <c r="AQ38" s="622">
        <f>IF(ISNUMBER(Standards_Active!$F39),IF(AND(AQ$7&gt;=Standards_Active!$C39,AQ$7&lt;Standards_Active!$D39),AP38-Standards_Active!$G39*INDEX($AQ$9:$BP$9,1,MATCH((Standards_Active!$C39-1),$AQ$7:$BP$7,FALSE)),IF(AQ$7&gt;=Standards_Active!$D39,Standards_Active!$H39,CA38)),CA38)</f>
        <v>1</v>
      </c>
      <c r="AR38" s="622">
        <f>IF(ISNUMBER(Standards_Active!$F39),IF(AND(AR$7&gt;=Standards_Active!$C39,AR$7&lt;Standards_Active!$D39),AQ38-Standards_Active!$G39*INDEX($AQ$9:$BP$9,1,MATCH((Standards_Active!$C39-1),$AQ$7:$BP$7,FALSE)),IF(AR$7&gt;=Standards_Active!$D39,Standards_Active!$H39,CB38)),CB38)</f>
        <v>1</v>
      </c>
      <c r="AS38" s="622">
        <f>IF(ISNUMBER(Standards_Active!$F39),IF(AND(AS$7&gt;=Standards_Active!$C39,AS$7&lt;Standards_Active!$D39),AR38-Standards_Active!$G39*INDEX($AQ$9:$BP$9,1,MATCH((Standards_Active!$C39-1),$AQ$7:$BP$7,FALSE)),IF(AS$7&gt;=Standards_Active!$D39,Standards_Active!$H39,CC38)),CC38)</f>
        <v>1</v>
      </c>
      <c r="AT38" s="622">
        <f>IF(ISNUMBER(Standards_Active!$F39),IF(AND(AT$7&gt;=Standards_Active!$C39,AT$7&lt;Standards_Active!$D39),AS38-Standards_Active!$G39*INDEX($AQ$9:$BP$9,1,MATCH((Standards_Active!$C39-1),$AQ$7:$BP$7,FALSE)),IF(AT$7&gt;=Standards_Active!$D39,Standards_Active!$H39,CD38)),CD38)</f>
        <v>1</v>
      </c>
      <c r="AU38" s="622">
        <f>IF(ISNUMBER(Standards_Active!$F39),IF(AND(AU$7&gt;=Standards_Active!$C39,AU$7&lt;Standards_Active!$D39),AT38-Standards_Active!$G39*INDEX($AQ$9:$BP$9,1,MATCH((Standards_Active!$C39-1),$AQ$7:$BP$7,FALSE)),IF(AU$7&gt;=Standards_Active!$D39,Standards_Active!$H39,CE38)),CE38)</f>
        <v>1</v>
      </c>
      <c r="AV38" s="622">
        <f>IF(ISNUMBER(Standards_Active!$F39),IF(AND(AV$7&gt;=Standards_Active!$C39,AV$7&lt;Standards_Active!$D39),AU38-Standards_Active!$G39*INDEX($AQ$9:$BP$9,1,MATCH((Standards_Active!$C39-1),$AQ$7:$BP$7,FALSE)),IF(AV$7&gt;=Standards_Active!$D39,Standards_Active!$H39,CF38)),CF38)</f>
        <v>1</v>
      </c>
      <c r="AW38" s="622">
        <f>IF(ISNUMBER(Standards_Active!$F39),IF(AND(AW$7&gt;=Standards_Active!$C39,AW$7&lt;Standards_Active!$D39),AV38-Standards_Active!$G39*INDEX($AQ$9:$BP$9,1,MATCH((Standards_Active!$C39-1),$AQ$7:$BP$7,FALSE)),IF(AW$7&gt;=Standards_Active!$D39,Standards_Active!$H39,CG38)),CG38)</f>
        <v>1</v>
      </c>
      <c r="AX38" s="622">
        <f>IF(ISNUMBER(Standards_Active!$F39),IF(AND(AX$7&gt;=Standards_Active!$C39,AX$7&lt;Standards_Active!$D39),AW38-Standards_Active!$G39*INDEX($AQ$9:$BP$9,1,MATCH((Standards_Active!$C39-1),$AQ$7:$BP$7,FALSE)),IF(AX$7&gt;=Standards_Active!$D39,Standards_Active!$H39,CH38)),CH38)</f>
        <v>1</v>
      </c>
      <c r="AY38" s="622">
        <f>IF(ISNUMBER(Standards_Active!$F39),IF(AND(AY$7&gt;=Standards_Active!$C39,AY$7&lt;Standards_Active!$D39),AX38-Standards_Active!$G39*INDEX($AQ$9:$BP$9,1,MATCH((Standards_Active!$C39-1),$AQ$7:$BP$7,FALSE)),IF(AY$7&gt;=Standards_Active!$D39,Standards_Active!$H39,CI38)),CI38)</f>
        <v>1</v>
      </c>
      <c r="AZ38" s="622">
        <f>IF(ISNUMBER(Standards_Active!$F39),IF(AND(AZ$7&gt;=Standards_Active!$C39,AZ$7&lt;Standards_Active!$D39),AY38-Standards_Active!$G39*INDEX($AQ$9:$BP$9,1,MATCH((Standards_Active!$C39-1),$AQ$7:$BP$7,FALSE)),IF(AZ$7&gt;=Standards_Active!$D39,Standards_Active!$H39,CJ38)),CJ38)</f>
        <v>1</v>
      </c>
      <c r="BA38" s="622">
        <f>IF(ISNUMBER(Standards_Active!$F39),IF(AND(BA$7&gt;=Standards_Active!$C39,BA$7&lt;Standards_Active!$D39),AZ38-Standards_Active!$G39*INDEX($AQ$9:$BP$9,1,MATCH((Standards_Active!$C39-1),$AQ$7:$BP$7,FALSE)),IF(BA$7&gt;=Standards_Active!$D39,Standards_Active!$H39,CK38)),CK38)</f>
        <v>1</v>
      </c>
      <c r="BB38" s="622">
        <f>IF(ISNUMBER(Standards_Active!$F39),IF(AND(BB$7&gt;=Standards_Active!$C39,BB$7&lt;Standards_Active!$D39),BA38-Standards_Active!$G39*INDEX($AQ$9:$BP$9,1,MATCH((Standards_Active!$C39-1),$AQ$7:$BP$7,FALSE)),IF(BB$7&gt;=Standards_Active!$D39,Standards_Active!$H39,CL38)),CL38)</f>
        <v>1</v>
      </c>
      <c r="BC38" s="622">
        <f>IF(ISNUMBER(Standards_Active!$F39),IF(AND(BC$7&gt;=Standards_Active!$C39,BC$7&lt;Standards_Active!$D39),BB38-Standards_Active!$G39*INDEX($AQ$9:$BP$9,1,MATCH((Standards_Active!$C39-1),$AQ$7:$BP$7,FALSE)),IF(BC$7&gt;=Standards_Active!$D39,Standards_Active!$H39,CM38)),CM38)</f>
        <v>1</v>
      </c>
      <c r="BD38" s="622">
        <f>IF(ISNUMBER(Standards_Active!$F39),IF(AND(BD$7&gt;=Standards_Active!$C39,BD$7&lt;Standards_Active!$D39),BC38-Standards_Active!$G39*INDEX($AQ$9:$BP$9,1,MATCH((Standards_Active!$C39-1),$AQ$7:$BP$7,FALSE)),IF(BD$7&gt;=Standards_Active!$D39,Standards_Active!$H39,CN38)),CN38)</f>
        <v>1</v>
      </c>
      <c r="BE38" s="622">
        <f>IF(ISNUMBER(Standards_Active!$F39),IF(AND(BE$7&gt;=Standards_Active!$C39,BE$7&lt;Standards_Active!$D39),BD38-Standards_Active!$G39*INDEX($AQ$9:$BP$9,1,MATCH((Standards_Active!$C39-1),$AQ$7:$BP$7,FALSE)),IF(BE$7&gt;=Standards_Active!$D39,Standards_Active!$H39,CO38)),CO38)</f>
        <v>1</v>
      </c>
      <c r="BF38" s="622">
        <f>IF(ISNUMBER(Standards_Active!$F39),IF(AND(BF$7&gt;=Standards_Active!$C39,BF$7&lt;Standards_Active!$D39),BE38-Standards_Active!$G39*INDEX($AQ$9:$BP$9,1,MATCH((Standards_Active!$C39-1),$AQ$7:$BP$7,FALSE)),IF(BF$7&gt;=Standards_Active!$D39,Standards_Active!$H39,CP38)),CP38)</f>
        <v>1</v>
      </c>
      <c r="BG38" s="622">
        <f>IF(ISNUMBER(Standards_Active!$F39),IF(AND(BG$7&gt;=Standards_Active!$C39,BG$7&lt;Standards_Active!$D39),BF38-Standards_Active!$G39*INDEX($AQ$9:$BP$9,1,MATCH((Standards_Active!$C39-1),$AQ$7:$BP$7,FALSE)),IF(BG$7&gt;=Standards_Active!$D39,Standards_Active!$H39,CQ38)),CQ38)</f>
        <v>1</v>
      </c>
      <c r="BH38" s="622">
        <f>IF(ISNUMBER(Standards_Active!$F39),IF(AND(BH$7&gt;=Standards_Active!$C39,BH$7&lt;Standards_Active!$D39),BG38-Standards_Active!$G39*INDEX($AQ$9:$BP$9,1,MATCH((Standards_Active!$C39-1),$AQ$7:$BP$7,FALSE)),IF(BH$7&gt;=Standards_Active!$D39,Standards_Active!$H39,CR38)),CR38)</f>
        <v>1</v>
      </c>
      <c r="BI38" s="622">
        <f>IF(ISNUMBER(Standards_Active!$F39),IF(AND(BI$7&gt;=Standards_Active!$C39,BI$7&lt;Standards_Active!$D39),BH38-Standards_Active!$G39*INDEX($AQ$9:$BP$9,1,MATCH((Standards_Active!$C39-1),$AQ$7:$BP$7,FALSE)),IF(BI$7&gt;=Standards_Active!$D39,Standards_Active!$H39,CS38)),CS38)</f>
        <v>1</v>
      </c>
      <c r="BJ38" s="622">
        <f>IF(ISNUMBER(Standards_Active!$F39),IF(AND(BJ$7&gt;=Standards_Active!$C39,BJ$7&lt;Standards_Active!$D39),BI38-Standards_Active!$G39*INDEX($AQ$9:$BP$9,1,MATCH((Standards_Active!$C39-1),$AQ$7:$BP$7,FALSE)),IF(BJ$7&gt;=Standards_Active!$D39,Standards_Active!$H39,CT38)),CT38)</f>
        <v>1</v>
      </c>
      <c r="BK38" s="622">
        <f>IF(ISNUMBER(Standards_Active!$F39),IF(AND(BK$7&gt;=Standards_Active!$C39,BK$7&lt;Standards_Active!$D39),BJ38-Standards_Active!$G39*INDEX($AQ$9:$BP$9,1,MATCH((Standards_Active!$C39-1),$AQ$7:$BP$7,FALSE)),IF(BK$7&gt;=Standards_Active!$D39,Standards_Active!$H39,CU38)),CU38)</f>
        <v>1</v>
      </c>
      <c r="BL38" s="622">
        <f>IF(ISNUMBER(Standards_Active!$F39),IF(AND(BL$7&gt;=Standards_Active!$C39,BL$7&lt;Standards_Active!$D39),BK38-Standards_Active!$G39*INDEX($AQ$9:$BP$9,1,MATCH((Standards_Active!$C39-1),$AQ$7:$BP$7,FALSE)),IF(BL$7&gt;=Standards_Active!$D39,Standards_Active!$H39,CV38)),CV38)</f>
        <v>1</v>
      </c>
      <c r="BM38" s="622">
        <f>IF(ISNUMBER(Standards_Active!$F39),IF(AND(BM$7&gt;=Standards_Active!$C39,BM$7&lt;Standards_Active!$D39),BL38-Standards_Active!$G39*INDEX($AQ$9:$BP$9,1,MATCH((Standards_Active!$C39-1),$AQ$7:$BP$7,FALSE)),IF(BM$7&gt;=Standards_Active!$D39,Standards_Active!$H39,CW38)),CW38)</f>
        <v>1</v>
      </c>
      <c r="BN38" s="622">
        <f>IF(ISNUMBER(Standards_Active!$F39),IF(AND(BN$7&gt;=Standards_Active!$C39,BN$7&lt;Standards_Active!$D39),BM38-Standards_Active!$G39*INDEX($AQ$9:$BP$9,1,MATCH((Standards_Active!$C39-1),$AQ$7:$BP$7,FALSE)),IF(BN$7&gt;=Standards_Active!$D39,Standards_Active!$H39,CX38)),CX38)</f>
        <v>1</v>
      </c>
      <c r="BO38" s="622">
        <f>IF(ISNUMBER(Standards_Active!$F39),IF(AND(BO$7&gt;=Standards_Active!$C39,BO$7&lt;Standards_Active!$D39),BN38-Standards_Active!$G39*INDEX($AQ$9:$BP$9,1,MATCH((Standards_Active!$C39-1),$AQ$7:$BP$7,FALSE)),IF(BO$7&gt;=Standards_Active!$D39,Standards_Active!$H39,CY38)),CY38)</f>
        <v>1</v>
      </c>
      <c r="BP38" s="622">
        <f>IF(ISNUMBER(Standards_Active!$F39),IF(AND(BP$7&gt;=Standards_Active!$C39,BP$7&lt;Standards_Active!$D39),BO38-Standards_Active!$G39*INDEX($AQ$9:$BP$9,1,MATCH((Standards_Active!$C39-1),$AQ$7:$BP$7,FALSE)),IF(BP$7&gt;=Standards_Active!$D39,Standards_Active!$H39,CZ38)),CZ38)</f>
        <v>1</v>
      </c>
      <c r="BQ38" s="380"/>
      <c r="BR38" s="376"/>
      <c r="BS38" s="376"/>
      <c r="BT38" s="376"/>
      <c r="BU38" s="376"/>
      <c r="BV38" s="376"/>
      <c r="BW38" s="376"/>
      <c r="BX38" s="376"/>
      <c r="BY38" s="376"/>
      <c r="BZ38" s="376"/>
      <c r="CA38" s="424">
        <v>1</v>
      </c>
      <c r="CB38" s="424">
        <v>1</v>
      </c>
      <c r="CC38" s="424">
        <v>1</v>
      </c>
      <c r="CD38" s="424">
        <v>1</v>
      </c>
      <c r="CE38" s="424">
        <v>1</v>
      </c>
      <c r="CF38" s="424">
        <v>1</v>
      </c>
      <c r="CG38" s="424">
        <v>1</v>
      </c>
      <c r="CH38" s="424">
        <v>1</v>
      </c>
      <c r="CI38" s="424">
        <v>1</v>
      </c>
      <c r="CJ38" s="424">
        <v>1</v>
      </c>
      <c r="CK38" s="424">
        <v>1</v>
      </c>
      <c r="CL38" s="424">
        <v>1</v>
      </c>
      <c r="CM38" s="424">
        <v>1</v>
      </c>
      <c r="CN38" s="424">
        <v>1</v>
      </c>
      <c r="CO38" s="424">
        <v>1</v>
      </c>
      <c r="CP38" s="424">
        <v>1</v>
      </c>
      <c r="CQ38" s="424">
        <v>1</v>
      </c>
      <c r="CR38" s="424">
        <v>1</v>
      </c>
      <c r="CS38" s="424">
        <v>1</v>
      </c>
      <c r="CT38" s="424">
        <v>1</v>
      </c>
      <c r="CU38" s="424">
        <v>1</v>
      </c>
      <c r="CV38" s="424">
        <v>1</v>
      </c>
      <c r="CW38" s="424">
        <v>1</v>
      </c>
      <c r="CX38" s="424">
        <v>1</v>
      </c>
      <c r="CY38" s="424">
        <v>1</v>
      </c>
      <c r="CZ38" s="424">
        <v>1</v>
      </c>
    </row>
    <row r="39" spans="1:104" s="81" customFormat="1" ht="12.6" x14ac:dyDescent="0.25">
      <c r="A39" s="252"/>
      <c r="B39" s="257" t="s">
        <v>53</v>
      </c>
      <c r="D39" s="380"/>
      <c r="E39" s="380"/>
      <c r="F39" s="380"/>
      <c r="G39" s="370">
        <f>IF(Standards_Active!$E40="yes",Standards_Acceptance!AQ39,Standards_Acceptance!CA39)</f>
        <v>1</v>
      </c>
      <c r="H39" s="370">
        <f>IF(Standards_Active!$E40="yes",Standards_Acceptance!AR39,Standards_Acceptance!CB39)</f>
        <v>1</v>
      </c>
      <c r="I39" s="370">
        <f>IF(Standards_Active!$E40="yes",Standards_Acceptance!AS39,Standards_Acceptance!CC39)</f>
        <v>1</v>
      </c>
      <c r="J39" s="370">
        <f>IF(Standards_Active!$E40="yes",Standards_Acceptance!AT39,Standards_Acceptance!CD39)</f>
        <v>1</v>
      </c>
      <c r="K39" s="370">
        <f>IF(Standards_Active!$E40="yes",Standards_Acceptance!AU39,Standards_Acceptance!CE39)</f>
        <v>1</v>
      </c>
      <c r="L39" s="370">
        <f>IF(Standards_Active!$E40="yes",Standards_Acceptance!AV39,Standards_Acceptance!CF39)</f>
        <v>1</v>
      </c>
      <c r="M39" s="370">
        <f>IF(Standards_Active!$E40="yes",Standards_Acceptance!AW39,Standards_Acceptance!CG39)</f>
        <v>1</v>
      </c>
      <c r="N39" s="370">
        <f>IF(Standards_Active!$E40="yes",Standards_Acceptance!AX39,Standards_Acceptance!CH39)</f>
        <v>1</v>
      </c>
      <c r="O39" s="370">
        <f>IF(Standards_Active!$E40="yes",Standards_Acceptance!AY39,Standards_Acceptance!CI39)</f>
        <v>1</v>
      </c>
      <c r="P39" s="370">
        <f>IF(Standards_Active!$E40="yes",Standards_Acceptance!AZ39,Standards_Acceptance!CJ39)</f>
        <v>1</v>
      </c>
      <c r="Q39" s="370">
        <f>IF(Standards_Active!$E40="yes",Standards_Acceptance!BA39,Standards_Acceptance!CK39)</f>
        <v>1</v>
      </c>
      <c r="R39" s="370">
        <f>IF(Standards_Active!$E40="yes",Standards_Acceptance!BB39,Standards_Acceptance!CL39)</f>
        <v>1</v>
      </c>
      <c r="S39" s="370">
        <f>IF(Standards_Active!$E40="yes",Standards_Acceptance!BC39,Standards_Acceptance!CM39)</f>
        <v>1</v>
      </c>
      <c r="T39" s="370">
        <f>IF(Standards_Active!$E40="yes",Standards_Acceptance!BD39,Standards_Acceptance!CN39)</f>
        <v>1</v>
      </c>
      <c r="U39" s="370">
        <f>IF(Standards_Active!$E40="yes",Standards_Acceptance!BE39,Standards_Acceptance!CO39)</f>
        <v>1</v>
      </c>
      <c r="V39" s="370">
        <f>IF(Standards_Active!$E40="yes",Standards_Acceptance!BF39,Standards_Acceptance!CP39)</f>
        <v>1</v>
      </c>
      <c r="W39" s="370">
        <f>IF(Standards_Active!$E40="yes",Standards_Acceptance!BG39,Standards_Acceptance!CQ39)</f>
        <v>1</v>
      </c>
      <c r="X39" s="370">
        <f>IF(Standards_Active!$E40="yes",Standards_Acceptance!BH39,Standards_Acceptance!CR39)</f>
        <v>1</v>
      </c>
      <c r="Y39" s="370">
        <f>IF(Standards_Active!$E40="yes",Standards_Acceptance!BI39,Standards_Acceptance!CS39)</f>
        <v>1</v>
      </c>
      <c r="Z39" s="370">
        <f>IF(Standards_Active!$E40="yes",Standards_Acceptance!BJ39,Standards_Acceptance!CT39)</f>
        <v>1</v>
      </c>
      <c r="AA39" s="370">
        <f>IF(Standards_Active!$E40="yes",Standards_Acceptance!BK39,Standards_Acceptance!CU39)</f>
        <v>1</v>
      </c>
      <c r="AB39" s="370">
        <f>IF(Standards_Active!$E40="yes",Standards_Acceptance!BL39,Standards_Acceptance!CV39)</f>
        <v>1</v>
      </c>
      <c r="AC39" s="370">
        <f>IF(Standards_Active!$E40="yes",Standards_Acceptance!BM39,Standards_Acceptance!CW39)</f>
        <v>1</v>
      </c>
      <c r="AD39" s="370">
        <f>IF(Standards_Active!$E40="yes",Standards_Acceptance!BN39,Standards_Acceptance!CX39)</f>
        <v>1</v>
      </c>
      <c r="AE39" s="370">
        <f>IF(Standards_Active!$E40="yes",Standards_Acceptance!BO39,Standards_Acceptance!CY39)</f>
        <v>1</v>
      </c>
      <c r="AF39" s="370">
        <f>IF(Standards_Active!$E40="yes",Standards_Acceptance!BP39,Standards_Acceptance!CZ39)</f>
        <v>1</v>
      </c>
      <c r="AH39" s="376"/>
      <c r="AI39" s="376"/>
      <c r="AJ39" s="376"/>
      <c r="AK39" s="376"/>
      <c r="AL39" s="376"/>
      <c r="AM39" s="376"/>
      <c r="AN39" s="376"/>
      <c r="AO39" s="376"/>
      <c r="AP39" s="376"/>
      <c r="AQ39" s="622">
        <f>IF(ISNUMBER(Standards_Active!$F40),IF(AND(AQ$7&gt;=Standards_Active!$C40,AQ$7&lt;Standards_Active!$D40),AP39-Standards_Active!$G40*INDEX($AQ$9:$BP$9,1,MATCH((Standards_Active!$C40-1),$AQ$7:$BP$7,FALSE)),IF(AQ$7&gt;=Standards_Active!$D40,Standards_Active!$H40,CA39)),CA39)</f>
        <v>1</v>
      </c>
      <c r="AR39" s="622">
        <f>IF(ISNUMBER(Standards_Active!$F40),IF(AND(AR$7&gt;=Standards_Active!$C40,AR$7&lt;Standards_Active!$D40),AQ39-Standards_Active!$G40*INDEX($AQ$9:$BP$9,1,MATCH((Standards_Active!$C40-1),$AQ$7:$BP$7,FALSE)),IF(AR$7&gt;=Standards_Active!$D40,Standards_Active!$H40,CB39)),CB39)</f>
        <v>1</v>
      </c>
      <c r="AS39" s="622">
        <f>IF(ISNUMBER(Standards_Active!$F40),IF(AND(AS$7&gt;=Standards_Active!$C40,AS$7&lt;Standards_Active!$D40),AR39-Standards_Active!$G40*INDEX($AQ$9:$BP$9,1,MATCH((Standards_Active!$C40-1),$AQ$7:$BP$7,FALSE)),IF(AS$7&gt;=Standards_Active!$D40,Standards_Active!$H40,CC39)),CC39)</f>
        <v>1</v>
      </c>
      <c r="AT39" s="622">
        <f>IF(ISNUMBER(Standards_Active!$F40),IF(AND(AT$7&gt;=Standards_Active!$C40,AT$7&lt;Standards_Active!$D40),AS39-Standards_Active!$G40*INDEX($AQ$9:$BP$9,1,MATCH((Standards_Active!$C40-1),$AQ$7:$BP$7,FALSE)),IF(AT$7&gt;=Standards_Active!$D40,Standards_Active!$H40,CD39)),CD39)</f>
        <v>1</v>
      </c>
      <c r="AU39" s="622">
        <f>IF(ISNUMBER(Standards_Active!$F40),IF(AND(AU$7&gt;=Standards_Active!$C40,AU$7&lt;Standards_Active!$D40),AT39-Standards_Active!$G40*INDEX($AQ$9:$BP$9,1,MATCH((Standards_Active!$C40-1),$AQ$7:$BP$7,FALSE)),IF(AU$7&gt;=Standards_Active!$D40,Standards_Active!$H40,CE39)),CE39)</f>
        <v>1</v>
      </c>
      <c r="AV39" s="622">
        <f>IF(ISNUMBER(Standards_Active!$F40),IF(AND(AV$7&gt;=Standards_Active!$C40,AV$7&lt;Standards_Active!$D40),AU39-Standards_Active!$G40*INDEX($AQ$9:$BP$9,1,MATCH((Standards_Active!$C40-1),$AQ$7:$BP$7,FALSE)),IF(AV$7&gt;=Standards_Active!$D40,Standards_Active!$H40,CF39)),CF39)</f>
        <v>1</v>
      </c>
      <c r="AW39" s="622">
        <f>IF(ISNUMBER(Standards_Active!$F40),IF(AND(AW$7&gt;=Standards_Active!$C40,AW$7&lt;Standards_Active!$D40),AV39-Standards_Active!$G40*INDEX($AQ$9:$BP$9,1,MATCH((Standards_Active!$C40-1),$AQ$7:$BP$7,FALSE)),IF(AW$7&gt;=Standards_Active!$D40,Standards_Active!$H40,CG39)),CG39)</f>
        <v>1</v>
      </c>
      <c r="AX39" s="622">
        <f>IF(ISNUMBER(Standards_Active!$F40),IF(AND(AX$7&gt;=Standards_Active!$C40,AX$7&lt;Standards_Active!$D40),AW39-Standards_Active!$G40*INDEX($AQ$9:$BP$9,1,MATCH((Standards_Active!$C40-1),$AQ$7:$BP$7,FALSE)),IF(AX$7&gt;=Standards_Active!$D40,Standards_Active!$H40,CH39)),CH39)</f>
        <v>1</v>
      </c>
      <c r="AY39" s="622">
        <f>IF(ISNUMBER(Standards_Active!$F40),IF(AND(AY$7&gt;=Standards_Active!$C40,AY$7&lt;Standards_Active!$D40),AX39-Standards_Active!$G40*INDEX($AQ$9:$BP$9,1,MATCH((Standards_Active!$C40-1),$AQ$7:$BP$7,FALSE)),IF(AY$7&gt;=Standards_Active!$D40,Standards_Active!$H40,CI39)),CI39)</f>
        <v>1</v>
      </c>
      <c r="AZ39" s="622">
        <f>IF(ISNUMBER(Standards_Active!$F40),IF(AND(AZ$7&gt;=Standards_Active!$C40,AZ$7&lt;Standards_Active!$D40),AY39-Standards_Active!$G40*INDEX($AQ$9:$BP$9,1,MATCH((Standards_Active!$C40-1),$AQ$7:$BP$7,FALSE)),IF(AZ$7&gt;=Standards_Active!$D40,Standards_Active!$H40,CJ39)),CJ39)</f>
        <v>1</v>
      </c>
      <c r="BA39" s="622">
        <f>IF(ISNUMBER(Standards_Active!$F40),IF(AND(BA$7&gt;=Standards_Active!$C40,BA$7&lt;Standards_Active!$D40),AZ39-Standards_Active!$G40*INDEX($AQ$9:$BP$9,1,MATCH((Standards_Active!$C40-1),$AQ$7:$BP$7,FALSE)),IF(BA$7&gt;=Standards_Active!$D40,Standards_Active!$H40,CK39)),CK39)</f>
        <v>1</v>
      </c>
      <c r="BB39" s="622">
        <f>IF(ISNUMBER(Standards_Active!$F40),IF(AND(BB$7&gt;=Standards_Active!$C40,BB$7&lt;Standards_Active!$D40),BA39-Standards_Active!$G40*INDEX($AQ$9:$BP$9,1,MATCH((Standards_Active!$C40-1),$AQ$7:$BP$7,FALSE)),IF(BB$7&gt;=Standards_Active!$D40,Standards_Active!$H40,CL39)),CL39)</f>
        <v>1</v>
      </c>
      <c r="BC39" s="622">
        <f>IF(ISNUMBER(Standards_Active!$F40),IF(AND(BC$7&gt;=Standards_Active!$C40,BC$7&lt;Standards_Active!$D40),BB39-Standards_Active!$G40*INDEX($AQ$9:$BP$9,1,MATCH((Standards_Active!$C40-1),$AQ$7:$BP$7,FALSE)),IF(BC$7&gt;=Standards_Active!$D40,Standards_Active!$H40,CM39)),CM39)</f>
        <v>1</v>
      </c>
      <c r="BD39" s="622">
        <f>IF(ISNUMBER(Standards_Active!$F40),IF(AND(BD$7&gt;=Standards_Active!$C40,BD$7&lt;Standards_Active!$D40),BC39-Standards_Active!$G40*INDEX($AQ$9:$BP$9,1,MATCH((Standards_Active!$C40-1),$AQ$7:$BP$7,FALSE)),IF(BD$7&gt;=Standards_Active!$D40,Standards_Active!$H40,CN39)),CN39)</f>
        <v>1</v>
      </c>
      <c r="BE39" s="622">
        <f>IF(ISNUMBER(Standards_Active!$F40),IF(AND(BE$7&gt;=Standards_Active!$C40,BE$7&lt;Standards_Active!$D40),BD39-Standards_Active!$G40*INDEX($AQ$9:$BP$9,1,MATCH((Standards_Active!$C40-1),$AQ$7:$BP$7,FALSE)),IF(BE$7&gt;=Standards_Active!$D40,Standards_Active!$H40,CO39)),CO39)</f>
        <v>1</v>
      </c>
      <c r="BF39" s="622">
        <f>IF(ISNUMBER(Standards_Active!$F40),IF(AND(BF$7&gt;=Standards_Active!$C40,BF$7&lt;Standards_Active!$D40),BE39-Standards_Active!$G40*INDEX($AQ$9:$BP$9,1,MATCH((Standards_Active!$C40-1),$AQ$7:$BP$7,FALSE)),IF(BF$7&gt;=Standards_Active!$D40,Standards_Active!$H40,CP39)),CP39)</f>
        <v>1</v>
      </c>
      <c r="BG39" s="622">
        <f>IF(ISNUMBER(Standards_Active!$F40),IF(AND(BG$7&gt;=Standards_Active!$C40,BG$7&lt;Standards_Active!$D40),BF39-Standards_Active!$G40*INDEX($AQ$9:$BP$9,1,MATCH((Standards_Active!$C40-1),$AQ$7:$BP$7,FALSE)),IF(BG$7&gt;=Standards_Active!$D40,Standards_Active!$H40,CQ39)),CQ39)</f>
        <v>1</v>
      </c>
      <c r="BH39" s="622">
        <f>IF(ISNUMBER(Standards_Active!$F40),IF(AND(BH$7&gt;=Standards_Active!$C40,BH$7&lt;Standards_Active!$D40),BG39-Standards_Active!$G40*INDEX($AQ$9:$BP$9,1,MATCH((Standards_Active!$C40-1),$AQ$7:$BP$7,FALSE)),IF(BH$7&gt;=Standards_Active!$D40,Standards_Active!$H40,CR39)),CR39)</f>
        <v>1</v>
      </c>
      <c r="BI39" s="622">
        <f>IF(ISNUMBER(Standards_Active!$F40),IF(AND(BI$7&gt;=Standards_Active!$C40,BI$7&lt;Standards_Active!$D40),BH39-Standards_Active!$G40*INDEX($AQ$9:$BP$9,1,MATCH((Standards_Active!$C40-1),$AQ$7:$BP$7,FALSE)),IF(BI$7&gt;=Standards_Active!$D40,Standards_Active!$H40,CS39)),CS39)</f>
        <v>1</v>
      </c>
      <c r="BJ39" s="622">
        <f>IF(ISNUMBER(Standards_Active!$F40),IF(AND(BJ$7&gt;=Standards_Active!$C40,BJ$7&lt;Standards_Active!$D40),BI39-Standards_Active!$G40*INDEX($AQ$9:$BP$9,1,MATCH((Standards_Active!$C40-1),$AQ$7:$BP$7,FALSE)),IF(BJ$7&gt;=Standards_Active!$D40,Standards_Active!$H40,CT39)),CT39)</f>
        <v>1</v>
      </c>
      <c r="BK39" s="622">
        <f>IF(ISNUMBER(Standards_Active!$F40),IF(AND(BK$7&gt;=Standards_Active!$C40,BK$7&lt;Standards_Active!$D40),BJ39-Standards_Active!$G40*INDEX($AQ$9:$BP$9,1,MATCH((Standards_Active!$C40-1),$AQ$7:$BP$7,FALSE)),IF(BK$7&gt;=Standards_Active!$D40,Standards_Active!$H40,CU39)),CU39)</f>
        <v>1</v>
      </c>
      <c r="BL39" s="622">
        <f>IF(ISNUMBER(Standards_Active!$F40),IF(AND(BL$7&gt;=Standards_Active!$C40,BL$7&lt;Standards_Active!$D40),BK39-Standards_Active!$G40*INDEX($AQ$9:$BP$9,1,MATCH((Standards_Active!$C40-1),$AQ$7:$BP$7,FALSE)),IF(BL$7&gt;=Standards_Active!$D40,Standards_Active!$H40,CV39)),CV39)</f>
        <v>1</v>
      </c>
      <c r="BM39" s="622">
        <f>IF(ISNUMBER(Standards_Active!$F40),IF(AND(BM$7&gt;=Standards_Active!$C40,BM$7&lt;Standards_Active!$D40),BL39-Standards_Active!$G40*INDEX($AQ$9:$BP$9,1,MATCH((Standards_Active!$C40-1),$AQ$7:$BP$7,FALSE)),IF(BM$7&gt;=Standards_Active!$D40,Standards_Active!$H40,CW39)),CW39)</f>
        <v>1</v>
      </c>
      <c r="BN39" s="622">
        <f>IF(ISNUMBER(Standards_Active!$F40),IF(AND(BN$7&gt;=Standards_Active!$C40,BN$7&lt;Standards_Active!$D40),BM39-Standards_Active!$G40*INDEX($AQ$9:$BP$9,1,MATCH((Standards_Active!$C40-1),$AQ$7:$BP$7,FALSE)),IF(BN$7&gt;=Standards_Active!$D40,Standards_Active!$H40,CX39)),CX39)</f>
        <v>1</v>
      </c>
      <c r="BO39" s="622">
        <f>IF(ISNUMBER(Standards_Active!$F40),IF(AND(BO$7&gt;=Standards_Active!$C40,BO$7&lt;Standards_Active!$D40),BN39-Standards_Active!$G40*INDEX($AQ$9:$BP$9,1,MATCH((Standards_Active!$C40-1),$AQ$7:$BP$7,FALSE)),IF(BO$7&gt;=Standards_Active!$D40,Standards_Active!$H40,CY39)),CY39)</f>
        <v>1</v>
      </c>
      <c r="BP39" s="622">
        <f>IF(ISNUMBER(Standards_Active!$F40),IF(AND(BP$7&gt;=Standards_Active!$C40,BP$7&lt;Standards_Active!$D40),BO39-Standards_Active!$G40*INDEX($AQ$9:$BP$9,1,MATCH((Standards_Active!$C40-1),$AQ$7:$BP$7,FALSE)),IF(BP$7&gt;=Standards_Active!$D40,Standards_Active!$H40,CZ39)),CZ39)</f>
        <v>1</v>
      </c>
      <c r="BQ39" s="380"/>
      <c r="BR39" s="376"/>
      <c r="BS39" s="376"/>
      <c r="BT39" s="376"/>
      <c r="BU39" s="376"/>
      <c r="BV39" s="376"/>
      <c r="BW39" s="376"/>
      <c r="BX39" s="376"/>
      <c r="BY39" s="376"/>
      <c r="BZ39" s="376"/>
      <c r="CA39" s="424">
        <v>1</v>
      </c>
      <c r="CB39" s="424">
        <v>1</v>
      </c>
      <c r="CC39" s="424">
        <v>1</v>
      </c>
      <c r="CD39" s="424">
        <v>1</v>
      </c>
      <c r="CE39" s="424">
        <v>1</v>
      </c>
      <c r="CF39" s="424">
        <v>1</v>
      </c>
      <c r="CG39" s="424">
        <v>1</v>
      </c>
      <c r="CH39" s="424">
        <v>1</v>
      </c>
      <c r="CI39" s="424">
        <v>1</v>
      </c>
      <c r="CJ39" s="424">
        <v>1</v>
      </c>
      <c r="CK39" s="424">
        <v>1</v>
      </c>
      <c r="CL39" s="424">
        <v>1</v>
      </c>
      <c r="CM39" s="424">
        <v>1</v>
      </c>
      <c r="CN39" s="424">
        <v>1</v>
      </c>
      <c r="CO39" s="424">
        <v>1</v>
      </c>
      <c r="CP39" s="424">
        <v>1</v>
      </c>
      <c r="CQ39" s="424">
        <v>1</v>
      </c>
      <c r="CR39" s="424">
        <v>1</v>
      </c>
      <c r="CS39" s="424">
        <v>1</v>
      </c>
      <c r="CT39" s="424">
        <v>1</v>
      </c>
      <c r="CU39" s="424">
        <v>1</v>
      </c>
      <c r="CV39" s="424">
        <v>1</v>
      </c>
      <c r="CW39" s="424">
        <v>1</v>
      </c>
      <c r="CX39" s="424">
        <v>1</v>
      </c>
      <c r="CY39" s="424">
        <v>1</v>
      </c>
      <c r="CZ39" s="424">
        <v>1</v>
      </c>
    </row>
    <row r="40" spans="1:104" s="81" customFormat="1" ht="12.6" x14ac:dyDescent="0.25">
      <c r="D40" s="380"/>
      <c r="E40" s="380"/>
      <c r="F40" s="380"/>
      <c r="G40" s="370"/>
      <c r="H40" s="370"/>
      <c r="I40" s="370"/>
      <c r="J40" s="370"/>
      <c r="K40" s="370"/>
      <c r="L40" s="370"/>
      <c r="M40" s="370"/>
      <c r="N40" s="370"/>
      <c r="O40" s="370"/>
      <c r="P40" s="370"/>
      <c r="Q40" s="370"/>
      <c r="R40" s="370"/>
      <c r="S40" s="370"/>
      <c r="T40" s="370"/>
      <c r="U40" s="370"/>
      <c r="V40" s="370"/>
      <c r="W40" s="370"/>
      <c r="X40" s="370"/>
      <c r="Y40" s="370"/>
      <c r="Z40" s="370"/>
      <c r="AA40" s="370"/>
      <c r="AB40" s="370"/>
      <c r="AC40" s="370"/>
      <c r="AD40" s="370"/>
      <c r="AE40" s="370"/>
      <c r="AF40" s="370"/>
    </row>
    <row r="41" spans="1:104" customFormat="1" ht="14.45" x14ac:dyDescent="0.35">
      <c r="A41" s="398" t="s">
        <v>222</v>
      </c>
      <c r="B41" s="399"/>
      <c r="C41" s="398"/>
      <c r="D41" s="369"/>
      <c r="E41" s="369"/>
      <c r="F41" s="369"/>
      <c r="G41" s="371"/>
      <c r="H41" s="371"/>
      <c r="I41" s="371"/>
      <c r="J41" s="371"/>
      <c r="K41" s="371"/>
      <c r="L41" s="371"/>
      <c r="M41" s="371"/>
      <c r="N41" s="371"/>
      <c r="O41" s="371"/>
      <c r="P41" s="371"/>
      <c r="Q41" s="371"/>
      <c r="R41" s="371"/>
      <c r="S41" s="371"/>
      <c r="T41" s="371"/>
      <c r="U41" s="371"/>
      <c r="V41" s="371"/>
      <c r="W41" s="371"/>
      <c r="X41" s="371"/>
      <c r="Y41" s="371"/>
      <c r="Z41" s="371"/>
      <c r="AA41" s="371"/>
      <c r="AB41" s="371"/>
      <c r="AC41" s="371"/>
      <c r="AD41" s="371"/>
      <c r="AE41" s="371"/>
      <c r="AF41" s="371"/>
      <c r="AG41" s="399"/>
      <c r="AH41" s="399"/>
      <c r="AI41" s="399"/>
      <c r="AJ41" s="399"/>
      <c r="AK41" s="399"/>
      <c r="AL41" s="399"/>
      <c r="AM41" s="399"/>
      <c r="AN41" s="399"/>
      <c r="AO41" s="399"/>
      <c r="AP41" s="399"/>
      <c r="AQ41" s="399"/>
      <c r="AR41" s="399"/>
      <c r="AS41" s="399"/>
      <c r="AT41" s="399"/>
      <c r="AU41" s="399"/>
      <c r="AV41" s="399"/>
      <c r="AW41" s="399"/>
      <c r="AX41" s="399"/>
      <c r="AY41" s="399"/>
      <c r="AZ41" s="399"/>
      <c r="BA41" s="399"/>
      <c r="BB41" s="399"/>
      <c r="BC41" s="399"/>
      <c r="BD41" s="399"/>
      <c r="BE41" s="399"/>
      <c r="BF41" s="399"/>
      <c r="BG41" s="399"/>
      <c r="BH41" s="399"/>
      <c r="BI41" s="399"/>
      <c r="BJ41" s="399"/>
      <c r="BK41" s="399"/>
      <c r="BL41" s="399"/>
      <c r="BM41" s="399"/>
      <c r="BN41" s="399"/>
      <c r="BO41" s="399"/>
      <c r="BP41" s="399"/>
      <c r="BQ41" s="399"/>
      <c r="BR41" s="399"/>
      <c r="BS41" s="399"/>
      <c r="BT41" s="399"/>
      <c r="BU41" s="399"/>
      <c r="BV41" s="399"/>
      <c r="BW41" s="399"/>
      <c r="BX41" s="399"/>
      <c r="BY41" s="399"/>
      <c r="BZ41" s="399"/>
      <c r="CA41" s="399"/>
      <c r="CB41" s="399"/>
      <c r="CC41" s="399"/>
      <c r="CD41" s="399"/>
      <c r="CE41" s="399"/>
      <c r="CF41" s="399"/>
      <c r="CG41" s="399"/>
      <c r="CH41" s="399"/>
      <c r="CI41" s="399"/>
      <c r="CJ41" s="399"/>
      <c r="CK41" s="399"/>
      <c r="CL41" s="399"/>
      <c r="CM41" s="399"/>
      <c r="CN41" s="399"/>
      <c r="CO41" s="399"/>
      <c r="CP41" s="399"/>
      <c r="CQ41" s="399"/>
      <c r="CR41" s="399"/>
      <c r="CS41" s="399"/>
      <c r="CT41" s="399"/>
      <c r="CU41" s="399"/>
      <c r="CV41" s="399"/>
      <c r="CW41" s="399"/>
      <c r="CX41" s="399"/>
      <c r="CY41" s="399"/>
      <c r="CZ41" s="399"/>
    </row>
    <row r="42" spans="1:104" s="376" customFormat="1" ht="12.6" x14ac:dyDescent="0.25">
      <c r="AH42" s="552" t="s">
        <v>224</v>
      </c>
      <c r="BR42" s="552" t="s">
        <v>225</v>
      </c>
    </row>
    <row r="43" spans="1:104" s="376" customFormat="1" ht="12.95" x14ac:dyDescent="0.3">
      <c r="A43" s="378" t="s">
        <v>12</v>
      </c>
    </row>
    <row r="44" spans="1:104" s="376" customFormat="1" ht="12.75" x14ac:dyDescent="0.2">
      <c r="B44" s="376" t="s">
        <v>20</v>
      </c>
      <c r="D44" s="380"/>
      <c r="E44" s="380"/>
      <c r="F44" s="380"/>
      <c r="G44" s="380">
        <v>2010</v>
      </c>
      <c r="H44" s="380">
        <v>2011</v>
      </c>
      <c r="I44" s="380">
        <v>2012</v>
      </c>
      <c r="J44" s="380">
        <v>2013</v>
      </c>
      <c r="K44" s="380">
        <v>2014</v>
      </c>
      <c r="L44" s="380">
        <v>2015</v>
      </c>
      <c r="M44" s="380">
        <v>2016</v>
      </c>
      <c r="N44" s="380">
        <v>2017</v>
      </c>
      <c r="O44" s="380">
        <v>2018</v>
      </c>
      <c r="P44" s="380">
        <v>2019</v>
      </c>
      <c r="Q44" s="380">
        <v>2020</v>
      </c>
      <c r="R44" s="380">
        <v>2021</v>
      </c>
      <c r="S44" s="380">
        <v>2022</v>
      </c>
      <c r="T44" s="380">
        <v>2023</v>
      </c>
      <c r="U44" s="380">
        <v>2024</v>
      </c>
      <c r="V44" s="380">
        <v>2025</v>
      </c>
      <c r="W44" s="380">
        <v>2026</v>
      </c>
      <c r="X44" s="380">
        <v>2027</v>
      </c>
      <c r="Y44" s="380">
        <v>2028</v>
      </c>
      <c r="Z44" s="380">
        <v>2029</v>
      </c>
      <c r="AA44" s="380">
        <v>2030</v>
      </c>
      <c r="AB44" s="380">
        <v>2031</v>
      </c>
      <c r="AC44" s="380">
        <v>2032</v>
      </c>
      <c r="AD44" s="380">
        <v>2033</v>
      </c>
      <c r="AE44" s="380">
        <v>2034</v>
      </c>
      <c r="AF44" s="380">
        <v>2035</v>
      </c>
      <c r="AH44" s="376">
        <v>2001</v>
      </c>
      <c r="AI44" s="376">
        <v>2002</v>
      </c>
      <c r="AJ44" s="376">
        <v>2003</v>
      </c>
      <c r="AK44" s="376">
        <v>2004</v>
      </c>
      <c r="AL44" s="376">
        <v>2005</v>
      </c>
      <c r="AM44" s="376">
        <v>2006</v>
      </c>
      <c r="AN44" s="376">
        <v>2007</v>
      </c>
      <c r="AO44" s="376">
        <v>2008</v>
      </c>
      <c r="AP44" s="376">
        <v>2009</v>
      </c>
      <c r="AQ44" s="376">
        <v>2010</v>
      </c>
      <c r="AR44" s="376">
        <v>2011</v>
      </c>
      <c r="AS44" s="376">
        <v>2012</v>
      </c>
      <c r="AT44" s="376">
        <v>2013</v>
      </c>
      <c r="AU44" s="376">
        <v>2014</v>
      </c>
      <c r="AV44" s="376">
        <v>2015</v>
      </c>
      <c r="AW44" s="376">
        <v>2016</v>
      </c>
      <c r="AX44" s="376">
        <v>2017</v>
      </c>
      <c r="AY44" s="376">
        <v>2018</v>
      </c>
      <c r="AZ44" s="376">
        <v>2019</v>
      </c>
      <c r="BA44" s="376">
        <v>2020</v>
      </c>
      <c r="BB44" s="376">
        <v>2021</v>
      </c>
      <c r="BC44" s="376">
        <v>2022</v>
      </c>
      <c r="BD44" s="376">
        <v>2023</v>
      </c>
      <c r="BE44" s="376">
        <v>2024</v>
      </c>
      <c r="BF44" s="376">
        <v>2025</v>
      </c>
      <c r="BG44" s="376">
        <v>2026</v>
      </c>
      <c r="BH44" s="376">
        <v>2027</v>
      </c>
      <c r="BI44" s="376">
        <v>2028</v>
      </c>
      <c r="BJ44" s="376">
        <v>2029</v>
      </c>
      <c r="BK44" s="376">
        <v>2030</v>
      </c>
      <c r="BL44" s="376">
        <v>2031</v>
      </c>
      <c r="BM44" s="376">
        <v>2032</v>
      </c>
      <c r="BN44" s="376">
        <v>2033</v>
      </c>
      <c r="BO44" s="376">
        <v>2034</v>
      </c>
      <c r="BP44" s="376">
        <v>2035</v>
      </c>
      <c r="BR44" s="376">
        <v>2001</v>
      </c>
      <c r="BS44" s="376">
        <v>2002</v>
      </c>
      <c r="BT44" s="376">
        <v>2003</v>
      </c>
      <c r="BU44" s="376">
        <v>2004</v>
      </c>
      <c r="BV44" s="376">
        <v>2005</v>
      </c>
      <c r="BW44" s="376">
        <v>2006</v>
      </c>
      <c r="BX44" s="376">
        <v>2007</v>
      </c>
      <c r="BY44" s="376">
        <v>2008</v>
      </c>
      <c r="BZ44" s="376">
        <v>2009</v>
      </c>
      <c r="CA44" s="376">
        <v>2010</v>
      </c>
      <c r="CB44" s="376">
        <v>2011</v>
      </c>
      <c r="CC44" s="376">
        <v>2012</v>
      </c>
      <c r="CD44" s="376">
        <v>2013</v>
      </c>
      <c r="CE44" s="376">
        <v>2014</v>
      </c>
      <c r="CF44" s="376">
        <v>2015</v>
      </c>
      <c r="CG44" s="376">
        <v>2016</v>
      </c>
      <c r="CH44" s="376">
        <v>2017</v>
      </c>
      <c r="CI44" s="376">
        <v>2018</v>
      </c>
      <c r="CJ44" s="376">
        <v>2019</v>
      </c>
      <c r="CK44" s="376">
        <v>2020</v>
      </c>
      <c r="CL44" s="376">
        <v>2021</v>
      </c>
      <c r="CM44" s="376">
        <v>2022</v>
      </c>
      <c r="CN44" s="376">
        <v>2023</v>
      </c>
      <c r="CO44" s="376">
        <v>2024</v>
      </c>
      <c r="CP44" s="376">
        <v>2025</v>
      </c>
      <c r="CQ44" s="376">
        <v>2026</v>
      </c>
      <c r="CR44" s="376">
        <v>2027</v>
      </c>
      <c r="CS44" s="376">
        <v>2028</v>
      </c>
      <c r="CT44" s="376">
        <v>2029</v>
      </c>
      <c r="CU44" s="376">
        <v>2030</v>
      </c>
      <c r="CV44" s="376">
        <v>2031</v>
      </c>
      <c r="CW44" s="376">
        <v>2032</v>
      </c>
      <c r="CX44" s="376">
        <v>2033</v>
      </c>
      <c r="CY44" s="376">
        <v>2034</v>
      </c>
      <c r="CZ44" s="376">
        <v>2035</v>
      </c>
    </row>
    <row r="45" spans="1:104" s="376" customFormat="1" ht="12.75" x14ac:dyDescent="0.2">
      <c r="A45" s="402" t="s">
        <v>21</v>
      </c>
      <c r="B45" s="389"/>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89"/>
      <c r="AC45" s="389"/>
      <c r="AD45" s="389"/>
      <c r="AE45" s="389"/>
      <c r="AF45" s="389"/>
      <c r="AH45" s="389"/>
      <c r="AI45" s="389"/>
      <c r="AJ45" s="389"/>
      <c r="AK45" s="389"/>
      <c r="AL45" s="389"/>
      <c r="AM45" s="389"/>
      <c r="AN45" s="389"/>
      <c r="AO45" s="389"/>
      <c r="AP45" s="389"/>
      <c r="AQ45" s="389"/>
      <c r="AR45" s="389"/>
      <c r="AS45" s="389"/>
      <c r="AT45" s="389"/>
      <c r="AU45" s="389"/>
      <c r="AV45" s="389"/>
      <c r="AW45" s="389"/>
      <c r="AX45" s="389"/>
      <c r="AY45" s="389"/>
      <c r="AZ45" s="389"/>
      <c r="BA45" s="389"/>
      <c r="BB45" s="389"/>
      <c r="BC45" s="389"/>
      <c r="BD45" s="389"/>
      <c r="BE45" s="389"/>
      <c r="BF45" s="389"/>
      <c r="BG45" s="389"/>
      <c r="BH45" s="389"/>
      <c r="BI45" s="389"/>
      <c r="BJ45" s="389"/>
      <c r="BK45" s="389"/>
      <c r="BL45" s="389"/>
      <c r="BM45" s="389"/>
      <c r="BN45" s="389"/>
      <c r="BO45" s="389"/>
      <c r="BP45" s="389"/>
      <c r="BR45" s="389"/>
      <c r="BS45" s="389"/>
      <c r="BT45" s="389"/>
      <c r="BU45" s="389"/>
      <c r="BV45" s="389"/>
      <c r="BW45" s="389"/>
      <c r="BX45" s="389"/>
      <c r="BY45" s="389"/>
      <c r="BZ45" s="389"/>
      <c r="CA45" s="389"/>
      <c r="CB45" s="389"/>
      <c r="CC45" s="389"/>
      <c r="CD45" s="389"/>
      <c r="CE45" s="389"/>
      <c r="CF45" s="389"/>
      <c r="CG45" s="389"/>
      <c r="CH45" s="389"/>
      <c r="CI45" s="389"/>
      <c r="CJ45" s="389"/>
      <c r="CK45" s="389"/>
      <c r="CL45" s="389"/>
      <c r="CM45" s="389"/>
      <c r="CN45" s="389"/>
      <c r="CO45" s="389"/>
      <c r="CP45" s="389"/>
      <c r="CQ45" s="389"/>
      <c r="CR45" s="389"/>
      <c r="CS45" s="389"/>
      <c r="CT45" s="389"/>
      <c r="CU45" s="389"/>
      <c r="CV45" s="389"/>
      <c r="CW45" s="389"/>
      <c r="CX45" s="389"/>
      <c r="CY45" s="389"/>
      <c r="CZ45" s="389"/>
    </row>
    <row r="46" spans="1:104" s="376" customFormat="1" ht="12.75" x14ac:dyDescent="0.2">
      <c r="B46" s="376" t="s">
        <v>22</v>
      </c>
      <c r="D46" s="370"/>
      <c r="E46" s="370"/>
      <c r="F46" s="370"/>
      <c r="G46" s="370">
        <f>IF(Standards_Active!$S10="yes",AQ46,CA46)</f>
        <v>1</v>
      </c>
      <c r="H46" s="370">
        <f>IF(Standards_Active!$S10="yes",AR46,CB46)</f>
        <v>1</v>
      </c>
      <c r="I46" s="370">
        <f>IF(Standards_Active!$S10="yes",AS46,CC46)</f>
        <v>1</v>
      </c>
      <c r="J46" s="370">
        <f>IF(Standards_Active!$S10="yes",AT46,CD46)</f>
        <v>1</v>
      </c>
      <c r="K46" s="370">
        <f>IF(Standards_Active!$S10="yes",AU46,CE46)</f>
        <v>1</v>
      </c>
      <c r="L46" s="370">
        <f>IF(Standards_Active!$S10="yes",AV46,CF46)</f>
        <v>1</v>
      </c>
      <c r="M46" s="370">
        <f>IF(Standards_Active!$S10="yes",AW46,CG46)</f>
        <v>1</v>
      </c>
      <c r="N46" s="370">
        <f>IF(Standards_Active!$S10="yes",AX46,CH46)</f>
        <v>1</v>
      </c>
      <c r="O46" s="370">
        <f>IF(Standards_Active!$S10="yes",AY46,CI46)</f>
        <v>1</v>
      </c>
      <c r="P46" s="370">
        <f>IF(Standards_Active!$S10="yes",AZ46,CJ46)</f>
        <v>1</v>
      </c>
      <c r="Q46" s="370">
        <f>IF(Standards_Active!$S10="yes",BA46,CK46)</f>
        <v>1</v>
      </c>
      <c r="R46" s="370">
        <f>IF(Standards_Active!$S10="yes",BB46,CL46)</f>
        <v>1</v>
      </c>
      <c r="S46" s="370">
        <f>IF(Standards_Active!$S10="yes",BC46,CM46)</f>
        <v>1</v>
      </c>
      <c r="T46" s="370">
        <f>IF(Standards_Active!$S10="yes",BD46,CN46)</f>
        <v>1</v>
      </c>
      <c r="U46" s="370">
        <f>IF(Standards_Active!$S10="yes",BE46,CO46)</f>
        <v>1</v>
      </c>
      <c r="V46" s="370">
        <f>IF(Standards_Active!$S10="yes",BF46,CP46)</f>
        <v>1</v>
      </c>
      <c r="W46" s="370">
        <f>IF(Standards_Active!$S10="yes",BG46,CQ46)</f>
        <v>1</v>
      </c>
      <c r="X46" s="370">
        <f>IF(Standards_Active!$S10="yes",BH46,CR46)</f>
        <v>1</v>
      </c>
      <c r="Y46" s="370">
        <f>IF(Standards_Active!$S10="yes",BI46,CS46)</f>
        <v>1</v>
      </c>
      <c r="Z46" s="370">
        <f>IF(Standards_Active!$S10="yes",BJ46,CT46)</f>
        <v>1</v>
      </c>
      <c r="AA46" s="370">
        <f>IF(Standards_Active!$S10="yes",BK46,CU46)</f>
        <v>1</v>
      </c>
      <c r="AB46" s="370">
        <f>IF(Standards_Active!$S10="yes",BL46,CV46)</f>
        <v>1</v>
      </c>
      <c r="AC46" s="370">
        <f>IF(Standards_Active!$S10="yes",BM46,CW46)</f>
        <v>1</v>
      </c>
      <c r="AD46" s="370">
        <f>IF(Standards_Active!$S10="yes",BN46,CX46)</f>
        <v>1</v>
      </c>
      <c r="AE46" s="370">
        <f>IF(Standards_Active!$S10="yes",BO46,CY46)</f>
        <v>1</v>
      </c>
      <c r="AF46" s="370">
        <f>IF(Standards_Active!$S10="yes",BP46,CZ46)</f>
        <v>1</v>
      </c>
      <c r="AH46" s="622"/>
      <c r="AI46" s="622"/>
      <c r="AJ46" s="622"/>
      <c r="AK46" s="622"/>
      <c r="AL46" s="622"/>
      <c r="AM46" s="622"/>
      <c r="AN46" s="622"/>
      <c r="AO46" s="622"/>
      <c r="AP46" s="622"/>
      <c r="AQ46" s="622">
        <f>IF(ISNUMBER(Standards_Active!$T10),IF(AND(AQ$44&gt;=Standards_Active!$Q10,AQ$44&lt;Standards_Active!$R10),AP46-Standards_Active!$U10*INDEX($AQ$58:$BP$58,1,MATCH((Standards_Active!$Q10-1),$AQ$44:$BP$44,FALSE)),IF(AQ$44&gt;=Standards_Active!$R10,Standards_Active!$V10,CA46)),CA46)</f>
        <v>1</v>
      </c>
      <c r="AR46" s="622">
        <f>IF(ISNUMBER(Standards_Active!$T10),IF(AND(AR$44&gt;=Standards_Active!$Q10,AR$44&lt;Standards_Active!$R10),AQ46-Standards_Active!$U10*INDEX($AQ$58:$BP$58,1,MATCH((Standards_Active!$Q10-1),$AQ$44:$BP$44,FALSE)),IF(AR$44&gt;=Standards_Active!$R10,Standards_Active!$V10,CB46)),CB46)</f>
        <v>1</v>
      </c>
      <c r="AS46" s="622">
        <f>IF(ISNUMBER(Standards_Active!$T10),IF(AND(AS$44&gt;=Standards_Active!$Q10,AS$44&lt;Standards_Active!$R10),AR46-Standards_Active!$U10*INDEX($AQ$58:$BP$58,1,MATCH((Standards_Active!$Q10-1),$AQ$44:$BP$44,FALSE)),IF(AS$44&gt;=Standards_Active!$R10,Standards_Active!$V10,CC46)),CC46)</f>
        <v>1</v>
      </c>
      <c r="AT46" s="622">
        <f>IF(ISNUMBER(Standards_Active!$T10),IF(AND(AT$44&gt;=Standards_Active!$Q10,AT$44&lt;Standards_Active!$R10),AS46-Standards_Active!$U10*INDEX($AQ$58:$BP$58,1,MATCH((Standards_Active!$Q10-1),$AQ$44:$BP$44,FALSE)),IF(AT$44&gt;=Standards_Active!$R10,Standards_Active!$V10,CD46)),CD46)</f>
        <v>1</v>
      </c>
      <c r="AU46" s="622">
        <f>IF(ISNUMBER(Standards_Active!$T10),IF(AND(AU$44&gt;=Standards_Active!$Q10,AU$44&lt;Standards_Active!$R10),AT46-Standards_Active!$U10*INDEX($AQ$58:$BP$58,1,MATCH((Standards_Active!$Q10-1),$AQ$44:$BP$44,FALSE)),IF(AU$44&gt;=Standards_Active!$R10,Standards_Active!$V10,CE46)),CE46)</f>
        <v>1</v>
      </c>
      <c r="AV46" s="622">
        <f>IF(ISNUMBER(Standards_Active!$T10),IF(AND(AV$44&gt;=Standards_Active!$Q10,AV$44&lt;Standards_Active!$R10),AU46-Standards_Active!$U10*INDEX($AQ$58:$BP$58,1,MATCH((Standards_Active!$Q10-1),$AQ$44:$BP$44,FALSE)),IF(AV$44&gt;=Standards_Active!$R10,Standards_Active!$V10,CF46)),CF46)</f>
        <v>1</v>
      </c>
      <c r="AW46" s="622">
        <f>IF(ISNUMBER(Standards_Active!$T10),IF(AND(AW$44&gt;=Standards_Active!$Q10,AW$44&lt;Standards_Active!$R10),AV46-Standards_Active!$U10*INDEX($AQ$58:$BP$58,1,MATCH((Standards_Active!$Q10-1),$AQ$44:$BP$44,FALSE)),IF(AW$44&gt;=Standards_Active!$R10,Standards_Active!$V10,CG46)),CG46)</f>
        <v>1</v>
      </c>
      <c r="AX46" s="622">
        <f>IF(ISNUMBER(Standards_Active!$T10),IF(AND(AX$44&gt;=Standards_Active!$Q10,AX$44&lt;Standards_Active!$R10),AW46-Standards_Active!$U10*INDEX($AQ$58:$BP$58,1,MATCH((Standards_Active!$Q10-1),$AQ$44:$BP$44,FALSE)),IF(AX$44&gt;=Standards_Active!$R10,Standards_Active!$V10,CH46)),CH46)</f>
        <v>1</v>
      </c>
      <c r="AY46" s="622">
        <f>IF(ISNUMBER(Standards_Active!$T10),IF(AND(AY$44&gt;=Standards_Active!$Q10,AY$44&lt;Standards_Active!$R10),AX46-Standards_Active!$U10*INDEX($AQ$58:$BP$58,1,MATCH((Standards_Active!$Q10-1),$AQ$44:$BP$44,FALSE)),IF(AY$44&gt;=Standards_Active!$R10,Standards_Active!$V10,CI46)),CI46)</f>
        <v>1</v>
      </c>
      <c r="AZ46" s="622">
        <f>IF(ISNUMBER(Standards_Active!$T10),IF(AND(AZ$44&gt;=Standards_Active!$Q10,AZ$44&lt;Standards_Active!$R10),AY46-Standards_Active!$U10*INDEX($AQ$58:$BP$58,1,MATCH((Standards_Active!$Q10-1),$AQ$44:$BP$44,FALSE)),IF(AZ$44&gt;=Standards_Active!$R10,Standards_Active!$V10,CJ46)),CJ46)</f>
        <v>1</v>
      </c>
      <c r="BA46" s="622">
        <f>IF(ISNUMBER(Standards_Active!$T10),IF(AND(BA$44&gt;=Standards_Active!$Q10,BA$44&lt;Standards_Active!$R10),AZ46-Standards_Active!$U10*INDEX($AQ$58:$BP$58,1,MATCH((Standards_Active!$Q10-1),$AQ$44:$BP$44,FALSE)),IF(BA$44&gt;=Standards_Active!$R10,Standards_Active!$V10,CK46)),CK46)</f>
        <v>1</v>
      </c>
      <c r="BB46" s="622">
        <f>IF(ISNUMBER(Standards_Active!$T10),IF(AND(BB$44&gt;=Standards_Active!$Q10,BB$44&lt;Standards_Active!$R10),BA46-Standards_Active!$U10*INDEX($AQ$58:$BP$58,1,MATCH((Standards_Active!$Q10-1),$AQ$44:$BP$44,FALSE)),IF(BB$44&gt;=Standards_Active!$R10,Standards_Active!$V10,CL46)),CL46)</f>
        <v>1</v>
      </c>
      <c r="BC46" s="622">
        <f>IF(ISNUMBER(Standards_Active!$T10),IF(AND(BC$44&gt;=Standards_Active!$Q10,BC$44&lt;Standards_Active!$R10),BB46-Standards_Active!$U10*INDEX($AQ$58:$BP$58,1,MATCH((Standards_Active!$Q10-1),$AQ$44:$BP$44,FALSE)),IF(BC$44&gt;=Standards_Active!$R10,Standards_Active!$V10,CM46)),CM46)</f>
        <v>1</v>
      </c>
      <c r="BD46" s="622">
        <f>IF(ISNUMBER(Standards_Active!$T10),IF(AND(BD$44&gt;=Standards_Active!$Q10,BD$44&lt;Standards_Active!$R10),BC46-Standards_Active!$U10*INDEX($AQ$58:$BP$58,1,MATCH((Standards_Active!$Q10-1),$AQ$44:$BP$44,FALSE)),IF(BD$44&gt;=Standards_Active!$R10,Standards_Active!$V10,CN46)),CN46)</f>
        <v>1</v>
      </c>
      <c r="BE46" s="622">
        <f>IF(ISNUMBER(Standards_Active!$T10),IF(AND(BE$44&gt;=Standards_Active!$Q10,BE$44&lt;Standards_Active!$R10),BD46-Standards_Active!$U10*INDEX($AQ$58:$BP$58,1,MATCH((Standards_Active!$Q10-1),$AQ$44:$BP$44,FALSE)),IF(BE$44&gt;=Standards_Active!$R10,Standards_Active!$V10,CO46)),CO46)</f>
        <v>1</v>
      </c>
      <c r="BF46" s="622">
        <f>IF(ISNUMBER(Standards_Active!$T10),IF(AND(BF$44&gt;=Standards_Active!$Q10,BF$44&lt;Standards_Active!$R10),BE46-Standards_Active!$U10*INDEX($AQ$58:$BP$58,1,MATCH((Standards_Active!$Q10-1),$AQ$44:$BP$44,FALSE)),IF(BF$44&gt;=Standards_Active!$R10,Standards_Active!$V10,CP46)),CP46)</f>
        <v>1</v>
      </c>
      <c r="BG46" s="622">
        <f>IF(ISNUMBER(Standards_Active!$T10),IF(AND(BG$44&gt;=Standards_Active!$Q10,BG$44&lt;Standards_Active!$R10),BF46-Standards_Active!$U10*INDEX($AQ$58:$BP$58,1,MATCH((Standards_Active!$Q10-1),$AQ$44:$BP$44,FALSE)),IF(BG$44&gt;=Standards_Active!$R10,Standards_Active!$V10,CQ46)),CQ46)</f>
        <v>1</v>
      </c>
      <c r="BH46" s="622">
        <f>IF(ISNUMBER(Standards_Active!$T10),IF(AND(BH$44&gt;=Standards_Active!$Q10,BH$44&lt;Standards_Active!$R10),BG46-Standards_Active!$U10*INDEX($AQ$58:$BP$58,1,MATCH((Standards_Active!$Q10-1),$AQ$44:$BP$44,FALSE)),IF(BH$44&gt;=Standards_Active!$R10,Standards_Active!$V10,CR46)),CR46)</f>
        <v>1</v>
      </c>
      <c r="BI46" s="622">
        <f>IF(ISNUMBER(Standards_Active!$T10),IF(AND(BI$44&gt;=Standards_Active!$Q10,BI$44&lt;Standards_Active!$R10),BH46-Standards_Active!$U10*INDEX($AQ$58:$BP$58,1,MATCH((Standards_Active!$Q10-1),$AQ$44:$BP$44,FALSE)),IF(BI$44&gt;=Standards_Active!$R10,Standards_Active!$V10,CS46)),CS46)</f>
        <v>1</v>
      </c>
      <c r="BJ46" s="622">
        <f>IF(ISNUMBER(Standards_Active!$T10),IF(AND(BJ$44&gt;=Standards_Active!$Q10,BJ$44&lt;Standards_Active!$R10),BI46-Standards_Active!$U10*INDEX($AQ$58:$BP$58,1,MATCH((Standards_Active!$Q10-1),$AQ$44:$BP$44,FALSE)),IF(BJ$44&gt;=Standards_Active!$R10,Standards_Active!$V10,CT46)),CT46)</f>
        <v>1</v>
      </c>
      <c r="BK46" s="622">
        <f>IF(ISNUMBER(Standards_Active!$T10),IF(AND(BK$44&gt;=Standards_Active!$Q10,BK$44&lt;Standards_Active!$R10),BJ46-Standards_Active!$U10*INDEX($AQ$58:$BP$58,1,MATCH((Standards_Active!$Q10-1),$AQ$44:$BP$44,FALSE)),IF(BK$44&gt;=Standards_Active!$R10,Standards_Active!$V10,CU46)),CU46)</f>
        <v>1</v>
      </c>
      <c r="BL46" s="622">
        <f>IF(ISNUMBER(Standards_Active!$T10),IF(AND(BL$44&gt;=Standards_Active!$Q10,BL$44&lt;Standards_Active!$R10),BK46-Standards_Active!$U10*INDEX($AQ$58:$BP$58,1,MATCH((Standards_Active!$Q10-1),$AQ$44:$BP$44,FALSE)),IF(BL$44&gt;=Standards_Active!$R10,Standards_Active!$V10,CV46)),CV46)</f>
        <v>1</v>
      </c>
      <c r="BM46" s="622">
        <f>IF(ISNUMBER(Standards_Active!$T10),IF(AND(BM$44&gt;=Standards_Active!$Q10,BM$44&lt;Standards_Active!$R10),BL46-Standards_Active!$U10*INDEX($AQ$58:$BP$58,1,MATCH((Standards_Active!$Q10-1),$AQ$44:$BP$44,FALSE)),IF(BM$44&gt;=Standards_Active!$R10,Standards_Active!$V10,CW46)),CW46)</f>
        <v>1</v>
      </c>
      <c r="BN46" s="622">
        <f>IF(ISNUMBER(Standards_Active!$T10),IF(AND(BN$44&gt;=Standards_Active!$Q10,BN$44&lt;Standards_Active!$R10),BM46-Standards_Active!$U10*INDEX($AQ$58:$BP$58,1,MATCH((Standards_Active!$Q10-1),$AQ$44:$BP$44,FALSE)),IF(BN$44&gt;=Standards_Active!$R10,Standards_Active!$V10,CX46)),CX46)</f>
        <v>1</v>
      </c>
      <c r="BO46" s="622">
        <f>IF(ISNUMBER(Standards_Active!$T10),IF(AND(BO$44&gt;=Standards_Active!$Q10,BO$44&lt;Standards_Active!$R10),BN46-Standards_Active!$U10*INDEX($AQ$58:$BP$58,1,MATCH((Standards_Active!$Q10-1),$AQ$44:$BP$44,FALSE)),IF(BO$44&gt;=Standards_Active!$R10,Standards_Active!$V10,CY46)),CY46)</f>
        <v>1</v>
      </c>
      <c r="BP46" s="622">
        <f>IF(ISNUMBER(Standards_Active!$T10),IF(AND(BP$44&gt;=Standards_Active!$Q10,BP$44&lt;Standards_Active!$R10),BO46-Standards_Active!$U10*INDEX($AQ$58:$BP$58,1,MATCH((Standards_Active!$Q10-1),$AQ$44:$BP$44,FALSE)),IF(BP$44&gt;=Standards_Active!$R10,Standards_Active!$V10,CZ46)),CZ46)</f>
        <v>1</v>
      </c>
      <c r="BQ46" s="380"/>
      <c r="BR46" s="372"/>
      <c r="BS46" s="372"/>
      <c r="BT46" s="372"/>
      <c r="BU46" s="372"/>
      <c r="BV46" s="372"/>
      <c r="BW46" s="372"/>
      <c r="BX46" s="372"/>
      <c r="BY46" s="372"/>
      <c r="BZ46" s="372"/>
      <c r="CA46" s="372">
        <v>1</v>
      </c>
      <c r="CB46" s="372">
        <v>1</v>
      </c>
      <c r="CC46" s="372">
        <v>1</v>
      </c>
      <c r="CD46" s="372">
        <v>1</v>
      </c>
      <c r="CE46" s="372">
        <v>1</v>
      </c>
      <c r="CF46" s="372">
        <v>1</v>
      </c>
      <c r="CG46" s="372">
        <v>1</v>
      </c>
      <c r="CH46" s="372">
        <v>1</v>
      </c>
      <c r="CI46" s="372">
        <v>1</v>
      </c>
      <c r="CJ46" s="372">
        <v>1</v>
      </c>
      <c r="CK46" s="372">
        <v>1</v>
      </c>
      <c r="CL46" s="372">
        <v>1</v>
      </c>
      <c r="CM46" s="372">
        <v>1</v>
      </c>
      <c r="CN46" s="372">
        <v>1</v>
      </c>
      <c r="CO46" s="372">
        <v>1</v>
      </c>
      <c r="CP46" s="372">
        <v>1</v>
      </c>
      <c r="CQ46" s="372">
        <v>1</v>
      </c>
      <c r="CR46" s="372">
        <v>1</v>
      </c>
      <c r="CS46" s="372">
        <v>1</v>
      </c>
      <c r="CT46" s="372">
        <v>1</v>
      </c>
      <c r="CU46" s="372">
        <v>1</v>
      </c>
      <c r="CV46" s="372">
        <v>1</v>
      </c>
      <c r="CW46" s="372">
        <v>1</v>
      </c>
      <c r="CX46" s="372">
        <v>1</v>
      </c>
      <c r="CY46" s="372">
        <v>1</v>
      </c>
      <c r="CZ46" s="372">
        <v>1</v>
      </c>
    </row>
    <row r="47" spans="1:104" s="376" customFormat="1" ht="12.75" x14ac:dyDescent="0.2">
      <c r="B47" s="376" t="s">
        <v>26</v>
      </c>
      <c r="D47" s="370"/>
      <c r="E47" s="370"/>
      <c r="F47" s="370"/>
      <c r="G47" s="370">
        <f>IF(Standards_Active!$S11="yes",AQ47,CA47)</f>
        <v>0.05</v>
      </c>
      <c r="H47" s="370">
        <f>IF(Standards_Active!$S11="yes",AR47,CB47)</f>
        <v>0.05</v>
      </c>
      <c r="I47" s="370">
        <f>IF(Standards_Active!$S11="yes",AS47,CC47)</f>
        <v>0.2</v>
      </c>
      <c r="J47" s="370">
        <f>IF(Standards_Active!$S11="yes",AT47,CD47)</f>
        <v>0.7</v>
      </c>
      <c r="K47" s="370">
        <f>IF(Standards_Active!$S11="yes",AU47,CE47)</f>
        <v>1</v>
      </c>
      <c r="L47" s="370">
        <f>IF(Standards_Active!$S11="yes",AV47,CF47)</f>
        <v>1</v>
      </c>
      <c r="M47" s="370">
        <f>IF(Standards_Active!$S11="yes",AW47,CG47)</f>
        <v>1</v>
      </c>
      <c r="N47" s="370">
        <f>IF(Standards_Active!$S11="yes",AX47,CH47)</f>
        <v>1</v>
      </c>
      <c r="O47" s="370">
        <f>IF(Standards_Active!$S11="yes",AY47,CI47)</f>
        <v>1</v>
      </c>
      <c r="P47" s="370">
        <f>IF(Standards_Active!$S11="yes",AZ47,CJ47)</f>
        <v>1</v>
      </c>
      <c r="Q47" s="370">
        <f>IF(Standards_Active!$S11="yes",BA47,CK47)</f>
        <v>1</v>
      </c>
      <c r="R47" s="370">
        <f>IF(Standards_Active!$S11="yes",BB47,CL47)</f>
        <v>1</v>
      </c>
      <c r="S47" s="370">
        <f>IF(Standards_Active!$S11="yes",BC47,CM47)</f>
        <v>1</v>
      </c>
      <c r="T47" s="370">
        <f>IF(Standards_Active!$S11="yes",BD47,CN47)</f>
        <v>1</v>
      </c>
      <c r="U47" s="370">
        <f>IF(Standards_Active!$S11="yes",BE47,CO47)</f>
        <v>1</v>
      </c>
      <c r="V47" s="370">
        <f>IF(Standards_Active!$S11="yes",BF47,CP47)</f>
        <v>1</v>
      </c>
      <c r="W47" s="370">
        <f>IF(Standards_Active!$S11="yes",BG47,CQ47)</f>
        <v>1</v>
      </c>
      <c r="X47" s="370">
        <f>IF(Standards_Active!$S11="yes",BH47,CR47)</f>
        <v>1</v>
      </c>
      <c r="Y47" s="370">
        <f>IF(Standards_Active!$S11="yes",BI47,CS47)</f>
        <v>1</v>
      </c>
      <c r="Z47" s="370">
        <f>IF(Standards_Active!$S11="yes",BJ47,CT47)</f>
        <v>1</v>
      </c>
      <c r="AA47" s="370">
        <f>IF(Standards_Active!$S11="yes",BK47,CU47)</f>
        <v>1</v>
      </c>
      <c r="AB47" s="370">
        <f>IF(Standards_Active!$S11="yes",BL47,CV47)</f>
        <v>1</v>
      </c>
      <c r="AC47" s="370">
        <f>IF(Standards_Active!$S11="yes",BM47,CW47)</f>
        <v>1</v>
      </c>
      <c r="AD47" s="370">
        <f>IF(Standards_Active!$S11="yes",BN47,CX47)</f>
        <v>1</v>
      </c>
      <c r="AE47" s="370">
        <f>IF(Standards_Active!$S11="yes",BO47,CY47)</f>
        <v>1</v>
      </c>
      <c r="AF47" s="370">
        <f>IF(Standards_Active!$S11="yes",BP47,CZ47)</f>
        <v>1</v>
      </c>
      <c r="AH47" s="622"/>
      <c r="AI47" s="622"/>
      <c r="AJ47" s="622"/>
      <c r="AK47" s="622"/>
      <c r="AL47" s="622"/>
      <c r="AM47" s="622"/>
      <c r="AN47" s="622"/>
      <c r="AO47" s="622"/>
      <c r="AP47" s="622"/>
      <c r="AQ47" s="622">
        <f>IF(ISNUMBER(Standards_Active!$T11),IF(AND(AQ$44&gt;=Standards_Active!$Q11,AQ$44&lt;Standards_Active!$R11),AP47-Standards_Active!$U11*INDEX($AQ$58:$BP$58,1,MATCH((Standards_Active!$Q11-1),$AQ$44:$BP$44,FALSE)),IF(AQ$44&gt;=Standards_Active!$R11,Standards_Active!$V11,CA47)),CA47)</f>
        <v>0.05</v>
      </c>
      <c r="AR47" s="622">
        <f>IF(ISNUMBER(Standards_Active!$T11),IF(AND(AR$44&gt;=Standards_Active!$Q11,AR$44&lt;Standards_Active!$R11),AQ47-Standards_Active!$U11*INDEX($AQ$58:$BP$58,1,MATCH((Standards_Active!$Q11-1),$AQ$44:$BP$44,FALSE)),IF(AR$44&gt;=Standards_Active!$R11,Standards_Active!$V11,CB47)),CB47)</f>
        <v>0.05</v>
      </c>
      <c r="AS47" s="622">
        <f>IF(ISNUMBER(Standards_Active!$T11),IF(AND(AS$44&gt;=Standards_Active!$Q11,AS$44&lt;Standards_Active!$R11),AR47-Standards_Active!$U11*INDEX($AQ$58:$BP$58,1,MATCH((Standards_Active!$Q11-1),$AQ$44:$BP$44,FALSE)),IF(AS$44&gt;=Standards_Active!$R11,Standards_Active!$V11,CC47)),CC47)</f>
        <v>0.2</v>
      </c>
      <c r="AT47" s="622">
        <f>IF(ISNUMBER(Standards_Active!$T11),IF(AND(AT$44&gt;=Standards_Active!$Q11,AT$44&lt;Standards_Active!$R11),AS47-Standards_Active!$U11*INDEX($AQ$58:$BP$58,1,MATCH((Standards_Active!$Q11-1),$AQ$44:$BP$44,FALSE)),IF(AT$44&gt;=Standards_Active!$R11,Standards_Active!$V11,CD47)),CD47)</f>
        <v>0.7</v>
      </c>
      <c r="AU47" s="622">
        <f>IF(ISNUMBER(Standards_Active!$T11),IF(AND(AU$44&gt;=Standards_Active!$Q11,AU$44&lt;Standards_Active!$R11),AT47-Standards_Active!$U11*INDEX($AQ$58:$BP$58,1,MATCH((Standards_Active!$Q11-1),$AQ$44:$BP$44,FALSE)),IF(AU$44&gt;=Standards_Active!$R11,Standards_Active!$V11,CE47)),CE47)</f>
        <v>1</v>
      </c>
      <c r="AV47" s="622">
        <f>IF(ISNUMBER(Standards_Active!$T11),IF(AND(AV$44&gt;=Standards_Active!$Q11,AV$44&lt;Standards_Active!$R11),AU47-Standards_Active!$U11*INDEX($AQ$58:$BP$58,1,MATCH((Standards_Active!$Q11-1),$AQ$44:$BP$44,FALSE)),IF(AV$44&gt;=Standards_Active!$R11,Standards_Active!$V11,CF47)),CF47)</f>
        <v>1</v>
      </c>
      <c r="AW47" s="622">
        <f>IF(ISNUMBER(Standards_Active!$T11),IF(AND(AW$44&gt;=Standards_Active!$Q11,AW$44&lt;Standards_Active!$R11),AV47-Standards_Active!$U11*INDEX($AQ$58:$BP$58,1,MATCH((Standards_Active!$Q11-1),$AQ$44:$BP$44,FALSE)),IF(AW$44&gt;=Standards_Active!$R11,Standards_Active!$V11,CG47)),CG47)</f>
        <v>1</v>
      </c>
      <c r="AX47" s="622">
        <f>IF(ISNUMBER(Standards_Active!$T11),IF(AND(AX$44&gt;=Standards_Active!$Q11,AX$44&lt;Standards_Active!$R11),AW47-Standards_Active!$U11*INDEX($AQ$58:$BP$58,1,MATCH((Standards_Active!$Q11-1),$AQ$44:$BP$44,FALSE)),IF(AX$44&gt;=Standards_Active!$R11,Standards_Active!$V11,CH47)),CH47)</f>
        <v>1</v>
      </c>
      <c r="AY47" s="622">
        <f>IF(ISNUMBER(Standards_Active!$T11),IF(AND(AY$44&gt;=Standards_Active!$Q11,AY$44&lt;Standards_Active!$R11),AX47-Standards_Active!$U11*INDEX($AQ$58:$BP$58,1,MATCH((Standards_Active!$Q11-1),$AQ$44:$BP$44,FALSE)),IF(AY$44&gt;=Standards_Active!$R11,Standards_Active!$V11,CI47)),CI47)</f>
        <v>1</v>
      </c>
      <c r="AZ47" s="622">
        <f>IF(ISNUMBER(Standards_Active!$T11),IF(AND(AZ$44&gt;=Standards_Active!$Q11,AZ$44&lt;Standards_Active!$R11),AY47-Standards_Active!$U11*INDEX($AQ$58:$BP$58,1,MATCH((Standards_Active!$Q11-1),$AQ$44:$BP$44,FALSE)),IF(AZ$44&gt;=Standards_Active!$R11,Standards_Active!$V11,CJ47)),CJ47)</f>
        <v>1</v>
      </c>
      <c r="BA47" s="622">
        <f>IF(ISNUMBER(Standards_Active!$T11),IF(AND(BA$44&gt;=Standards_Active!$Q11,BA$44&lt;Standards_Active!$R11),AZ47-Standards_Active!$U11*INDEX($AQ$58:$BP$58,1,MATCH((Standards_Active!$Q11-1),$AQ$44:$BP$44,FALSE)),IF(BA$44&gt;=Standards_Active!$R11,Standards_Active!$V11,CK47)),CK47)</f>
        <v>1</v>
      </c>
      <c r="BB47" s="622">
        <f>IF(ISNUMBER(Standards_Active!$T11),IF(AND(BB$44&gt;=Standards_Active!$Q11,BB$44&lt;Standards_Active!$R11),BA47-Standards_Active!$U11*INDEX($AQ$58:$BP$58,1,MATCH((Standards_Active!$Q11-1),$AQ$44:$BP$44,FALSE)),IF(BB$44&gt;=Standards_Active!$R11,Standards_Active!$V11,CL47)),CL47)</f>
        <v>1</v>
      </c>
      <c r="BC47" s="622">
        <f>IF(ISNUMBER(Standards_Active!$T11),IF(AND(BC$44&gt;=Standards_Active!$Q11,BC$44&lt;Standards_Active!$R11),BB47-Standards_Active!$U11*INDEX($AQ$58:$BP$58,1,MATCH((Standards_Active!$Q11-1),$AQ$44:$BP$44,FALSE)),IF(BC$44&gt;=Standards_Active!$R11,Standards_Active!$V11,CM47)),CM47)</f>
        <v>1</v>
      </c>
      <c r="BD47" s="622">
        <f>IF(ISNUMBER(Standards_Active!$T11),IF(AND(BD$44&gt;=Standards_Active!$Q11,BD$44&lt;Standards_Active!$R11),BC47-Standards_Active!$U11*INDEX($AQ$58:$BP$58,1,MATCH((Standards_Active!$Q11-1),$AQ$44:$BP$44,FALSE)),IF(BD$44&gt;=Standards_Active!$R11,Standards_Active!$V11,CN47)),CN47)</f>
        <v>1</v>
      </c>
      <c r="BE47" s="622">
        <f>IF(ISNUMBER(Standards_Active!$T11),IF(AND(BE$44&gt;=Standards_Active!$Q11,BE$44&lt;Standards_Active!$R11),BD47-Standards_Active!$U11*INDEX($AQ$58:$BP$58,1,MATCH((Standards_Active!$Q11-1),$AQ$44:$BP$44,FALSE)),IF(BE$44&gt;=Standards_Active!$R11,Standards_Active!$V11,CO47)),CO47)</f>
        <v>1</v>
      </c>
      <c r="BF47" s="622">
        <f>IF(ISNUMBER(Standards_Active!$T11),IF(AND(BF$44&gt;=Standards_Active!$Q11,BF$44&lt;Standards_Active!$R11),BE47-Standards_Active!$U11*INDEX($AQ$58:$BP$58,1,MATCH((Standards_Active!$Q11-1),$AQ$44:$BP$44,FALSE)),IF(BF$44&gt;=Standards_Active!$R11,Standards_Active!$V11,CP47)),CP47)</f>
        <v>1</v>
      </c>
      <c r="BG47" s="622">
        <f>IF(ISNUMBER(Standards_Active!$T11),IF(AND(BG$44&gt;=Standards_Active!$Q11,BG$44&lt;Standards_Active!$R11),BF47-Standards_Active!$U11*INDEX($AQ$58:$BP$58,1,MATCH((Standards_Active!$Q11-1),$AQ$44:$BP$44,FALSE)),IF(BG$44&gt;=Standards_Active!$R11,Standards_Active!$V11,CQ47)),CQ47)</f>
        <v>1</v>
      </c>
      <c r="BH47" s="622">
        <f>IF(ISNUMBER(Standards_Active!$T11),IF(AND(BH$44&gt;=Standards_Active!$Q11,BH$44&lt;Standards_Active!$R11),BG47-Standards_Active!$U11*INDEX($AQ$58:$BP$58,1,MATCH((Standards_Active!$Q11-1),$AQ$44:$BP$44,FALSE)),IF(BH$44&gt;=Standards_Active!$R11,Standards_Active!$V11,CR47)),CR47)</f>
        <v>1</v>
      </c>
      <c r="BI47" s="622">
        <f>IF(ISNUMBER(Standards_Active!$T11),IF(AND(BI$44&gt;=Standards_Active!$Q11,BI$44&lt;Standards_Active!$R11),BH47-Standards_Active!$U11*INDEX($AQ$58:$BP$58,1,MATCH((Standards_Active!$Q11-1),$AQ$44:$BP$44,FALSE)),IF(BI$44&gt;=Standards_Active!$R11,Standards_Active!$V11,CS47)),CS47)</f>
        <v>1</v>
      </c>
      <c r="BJ47" s="622">
        <f>IF(ISNUMBER(Standards_Active!$T11),IF(AND(BJ$44&gt;=Standards_Active!$Q11,BJ$44&lt;Standards_Active!$R11),BI47-Standards_Active!$U11*INDEX($AQ$58:$BP$58,1,MATCH((Standards_Active!$Q11-1),$AQ$44:$BP$44,FALSE)),IF(BJ$44&gt;=Standards_Active!$R11,Standards_Active!$V11,CT47)),CT47)</f>
        <v>1</v>
      </c>
      <c r="BK47" s="622">
        <f>IF(ISNUMBER(Standards_Active!$T11),IF(AND(BK$44&gt;=Standards_Active!$Q11,BK$44&lt;Standards_Active!$R11),BJ47-Standards_Active!$U11*INDEX($AQ$58:$BP$58,1,MATCH((Standards_Active!$Q11-1),$AQ$44:$BP$44,FALSE)),IF(BK$44&gt;=Standards_Active!$R11,Standards_Active!$V11,CU47)),CU47)</f>
        <v>1</v>
      </c>
      <c r="BL47" s="622">
        <f>IF(ISNUMBER(Standards_Active!$T11),IF(AND(BL$44&gt;=Standards_Active!$Q11,BL$44&lt;Standards_Active!$R11),BK47-Standards_Active!$U11*INDEX($AQ$58:$BP$58,1,MATCH((Standards_Active!$Q11-1),$AQ$44:$BP$44,FALSE)),IF(BL$44&gt;=Standards_Active!$R11,Standards_Active!$V11,CV47)),CV47)</f>
        <v>1</v>
      </c>
      <c r="BM47" s="622">
        <f>IF(ISNUMBER(Standards_Active!$T11),IF(AND(BM$44&gt;=Standards_Active!$Q11,BM$44&lt;Standards_Active!$R11),BL47-Standards_Active!$U11*INDEX($AQ$58:$BP$58,1,MATCH((Standards_Active!$Q11-1),$AQ$44:$BP$44,FALSE)),IF(BM$44&gt;=Standards_Active!$R11,Standards_Active!$V11,CW47)),CW47)</f>
        <v>1</v>
      </c>
      <c r="BN47" s="622">
        <f>IF(ISNUMBER(Standards_Active!$T11),IF(AND(BN$44&gt;=Standards_Active!$Q11,BN$44&lt;Standards_Active!$R11),BM47-Standards_Active!$U11*INDEX($AQ$58:$BP$58,1,MATCH((Standards_Active!$Q11-1),$AQ$44:$BP$44,FALSE)),IF(BN$44&gt;=Standards_Active!$R11,Standards_Active!$V11,CX47)),CX47)</f>
        <v>1</v>
      </c>
      <c r="BO47" s="622">
        <f>IF(ISNUMBER(Standards_Active!$T11),IF(AND(BO$44&gt;=Standards_Active!$Q11,BO$44&lt;Standards_Active!$R11),BN47-Standards_Active!$U11*INDEX($AQ$58:$BP$58,1,MATCH((Standards_Active!$Q11-1),$AQ$44:$BP$44,FALSE)),IF(BO$44&gt;=Standards_Active!$R11,Standards_Active!$V11,CY47)),CY47)</f>
        <v>1</v>
      </c>
      <c r="BP47" s="622">
        <f>IF(ISNUMBER(Standards_Active!$T11),IF(AND(BP$44&gt;=Standards_Active!$Q11,BP$44&lt;Standards_Active!$R11),BO47-Standards_Active!$U11*INDEX($AQ$58:$BP$58,1,MATCH((Standards_Active!$Q11-1),$AQ$44:$BP$44,FALSE)),IF(BP$44&gt;=Standards_Active!$R11,Standards_Active!$V11,CZ47)),CZ47)</f>
        <v>1</v>
      </c>
      <c r="BQ47" s="380"/>
      <c r="BR47" s="372"/>
      <c r="BS47" s="372"/>
      <c r="BT47" s="372"/>
      <c r="BU47" s="372"/>
      <c r="BV47" s="372"/>
      <c r="BW47" s="372"/>
      <c r="BX47" s="372"/>
      <c r="BY47" s="372"/>
      <c r="BZ47" s="372"/>
      <c r="CA47" s="372">
        <v>0.05</v>
      </c>
      <c r="CB47" s="372">
        <v>0.05</v>
      </c>
      <c r="CC47" s="372">
        <v>0.2</v>
      </c>
      <c r="CD47" s="372">
        <v>0.7</v>
      </c>
      <c r="CE47" s="372">
        <v>1</v>
      </c>
      <c r="CF47" s="372">
        <v>1</v>
      </c>
      <c r="CG47" s="372">
        <v>1</v>
      </c>
      <c r="CH47" s="372">
        <v>1</v>
      </c>
      <c r="CI47" s="372">
        <v>1</v>
      </c>
      <c r="CJ47" s="372">
        <v>1</v>
      </c>
      <c r="CK47" s="372">
        <v>1</v>
      </c>
      <c r="CL47" s="372">
        <v>1</v>
      </c>
      <c r="CM47" s="372">
        <v>1</v>
      </c>
      <c r="CN47" s="372">
        <v>1</v>
      </c>
      <c r="CO47" s="372">
        <v>1</v>
      </c>
      <c r="CP47" s="372">
        <v>1</v>
      </c>
      <c r="CQ47" s="372">
        <v>1</v>
      </c>
      <c r="CR47" s="372">
        <v>1</v>
      </c>
      <c r="CS47" s="372">
        <v>1</v>
      </c>
      <c r="CT47" s="372">
        <v>1</v>
      </c>
      <c r="CU47" s="372">
        <v>1</v>
      </c>
      <c r="CV47" s="372">
        <v>1</v>
      </c>
      <c r="CW47" s="372">
        <v>1</v>
      </c>
      <c r="CX47" s="372">
        <v>1</v>
      </c>
      <c r="CY47" s="372">
        <v>1</v>
      </c>
      <c r="CZ47" s="372">
        <v>1</v>
      </c>
    </row>
    <row r="48" spans="1:104" s="376" customFormat="1" ht="12.75" x14ac:dyDescent="0.2">
      <c r="B48" s="376" t="s">
        <v>27</v>
      </c>
      <c r="D48" s="370"/>
      <c r="E48" s="370"/>
      <c r="F48" s="370"/>
      <c r="G48" s="370">
        <f>IF(Standards_Active!$S12="yes",AQ48,CA48)</f>
        <v>0.25</v>
      </c>
      <c r="H48" s="370">
        <f>IF(Standards_Active!$S12="yes",AR48,CB48)</f>
        <v>0.25</v>
      </c>
      <c r="I48" s="370">
        <f>IF(Standards_Active!$S12="yes",AS48,CC48)</f>
        <v>0.25</v>
      </c>
      <c r="J48" s="370">
        <f>IF(Standards_Active!$S12="yes",AT48,CD48)</f>
        <v>0.35</v>
      </c>
      <c r="K48" s="370">
        <f>IF(Standards_Active!$S12="yes",AU48,CE48)</f>
        <v>0.35</v>
      </c>
      <c r="L48" s="370">
        <f>IF(Standards_Active!$S12="yes",AV48,CF48)</f>
        <v>0.35</v>
      </c>
      <c r="M48" s="370">
        <f>IF(Standards_Active!$S12="yes",AW48,CG48)</f>
        <v>0.35</v>
      </c>
      <c r="N48" s="370">
        <f>IF(Standards_Active!$S12="yes",AX48,CH48)</f>
        <v>0.35</v>
      </c>
      <c r="O48" s="370">
        <f>IF(Standards_Active!$S12="yes",AY48,CI48)</f>
        <v>0.35</v>
      </c>
      <c r="P48" s="370">
        <f>IF(Standards_Active!$S12="yes",AZ48,CJ48)</f>
        <v>0.35</v>
      </c>
      <c r="Q48" s="370">
        <f>IF(Standards_Active!$S12="yes",BA48,CK48)</f>
        <v>0.35</v>
      </c>
      <c r="R48" s="370">
        <f>IF(Standards_Active!$S12="yes",BB48,CL48)</f>
        <v>0.35</v>
      </c>
      <c r="S48" s="370">
        <f>IF(Standards_Active!$S12="yes",BC48,CM48)</f>
        <v>0.35</v>
      </c>
      <c r="T48" s="370">
        <f>IF(Standards_Active!$S12="yes",BD48,CN48)</f>
        <v>0.35</v>
      </c>
      <c r="U48" s="370">
        <f>IF(Standards_Active!$S12="yes",BE48,CO48)</f>
        <v>0.35</v>
      </c>
      <c r="V48" s="370">
        <f>IF(Standards_Active!$S12="yes",BF48,CP48)</f>
        <v>0.35</v>
      </c>
      <c r="W48" s="370">
        <f>IF(Standards_Active!$S12="yes",BG48,CQ48)</f>
        <v>0.35</v>
      </c>
      <c r="X48" s="370">
        <f>IF(Standards_Active!$S12="yes",BH48,CR48)</f>
        <v>0.35</v>
      </c>
      <c r="Y48" s="370">
        <f>IF(Standards_Active!$S12="yes",BI48,CS48)</f>
        <v>0.35</v>
      </c>
      <c r="Z48" s="370">
        <f>IF(Standards_Active!$S12="yes",BJ48,CT48)</f>
        <v>0.35</v>
      </c>
      <c r="AA48" s="370">
        <f>IF(Standards_Active!$S12="yes",BK48,CU48)</f>
        <v>0.35</v>
      </c>
      <c r="AB48" s="370">
        <f>IF(Standards_Active!$S12="yes",BL48,CV48)</f>
        <v>0.35</v>
      </c>
      <c r="AC48" s="370">
        <f>IF(Standards_Active!$S12="yes",BM48,CW48)</f>
        <v>0.35</v>
      </c>
      <c r="AD48" s="370">
        <f>IF(Standards_Active!$S12="yes",BN48,CX48)</f>
        <v>0.35</v>
      </c>
      <c r="AE48" s="370">
        <f>IF(Standards_Active!$S12="yes",BO48,CY48)</f>
        <v>0.35</v>
      </c>
      <c r="AF48" s="370">
        <f>IF(Standards_Active!$S12="yes",BP48,CZ48)</f>
        <v>0.35</v>
      </c>
      <c r="AH48" s="622"/>
      <c r="AI48" s="622"/>
      <c r="AJ48" s="622"/>
      <c r="AK48" s="622"/>
      <c r="AL48" s="622"/>
      <c r="AM48" s="622"/>
      <c r="AN48" s="622"/>
      <c r="AO48" s="622"/>
      <c r="AP48" s="622"/>
      <c r="AQ48" s="622">
        <f>IF(ISNUMBER(Standards_Active!$T12),IF(AND(AQ$44&gt;=Standards_Active!$Q12,AQ$44&lt;Standards_Active!$R12),AP48-Standards_Active!$U12*INDEX($AQ$58:$BP$58,1,MATCH((Standards_Active!$Q12-1),$AQ$44:$BP$44,FALSE)),IF(AQ$44&gt;=Standards_Active!$R12,Standards_Active!$V12,CA48)),CA48)</f>
        <v>0.25</v>
      </c>
      <c r="AR48" s="622">
        <f>IF(ISNUMBER(Standards_Active!$T12),IF(AND(AR$44&gt;=Standards_Active!$Q12,AR$44&lt;Standards_Active!$R12),AQ48-Standards_Active!$U12*INDEX($AQ$58:$BP$58,1,MATCH((Standards_Active!$Q12-1),$AQ$44:$BP$44,FALSE)),IF(AR$44&gt;=Standards_Active!$R12,Standards_Active!$V12,CB48)),CB48)</f>
        <v>0.25</v>
      </c>
      <c r="AS48" s="622">
        <f>IF(ISNUMBER(Standards_Active!$T12),IF(AND(AS$44&gt;=Standards_Active!$Q12,AS$44&lt;Standards_Active!$R12),AR48-Standards_Active!$U12*INDEX($AQ$58:$BP$58,1,MATCH((Standards_Active!$Q12-1),$AQ$44:$BP$44,FALSE)),IF(AS$44&gt;=Standards_Active!$R12,Standards_Active!$V12,CC48)),CC48)</f>
        <v>0.25</v>
      </c>
      <c r="AT48" s="622">
        <f>IF(ISNUMBER(Standards_Active!$T12),IF(AND(AT$44&gt;=Standards_Active!$Q12,AT$44&lt;Standards_Active!$R12),AS48-Standards_Active!$U12*INDEX($AQ$58:$BP$58,1,MATCH((Standards_Active!$Q12-1),$AQ$44:$BP$44,FALSE)),IF(AT$44&gt;=Standards_Active!$R12,Standards_Active!$V12,CD48)),CD48)</f>
        <v>0.35</v>
      </c>
      <c r="AU48" s="622">
        <f>IF(ISNUMBER(Standards_Active!$T12),IF(AND(AU$44&gt;=Standards_Active!$Q12,AU$44&lt;Standards_Active!$R12),AT48-Standards_Active!$U12*INDEX($AQ$58:$BP$58,1,MATCH((Standards_Active!$Q12-1),$AQ$44:$BP$44,FALSE)),IF(AU$44&gt;=Standards_Active!$R12,Standards_Active!$V12,CE48)),CE48)</f>
        <v>0.35</v>
      </c>
      <c r="AV48" s="622">
        <f>IF(ISNUMBER(Standards_Active!$T12),IF(AND(AV$44&gt;=Standards_Active!$Q12,AV$44&lt;Standards_Active!$R12),AU48-Standards_Active!$U12*INDEX($AQ$58:$BP$58,1,MATCH((Standards_Active!$Q12-1),$AQ$44:$BP$44,FALSE)),IF(AV$44&gt;=Standards_Active!$R12,Standards_Active!$V12,CF48)),CF48)</f>
        <v>0.35</v>
      </c>
      <c r="AW48" s="622">
        <f>IF(ISNUMBER(Standards_Active!$T12),IF(AND(AW$44&gt;=Standards_Active!$Q12,AW$44&lt;Standards_Active!$R12),AV48-Standards_Active!$U12*INDEX($AQ$58:$BP$58,1,MATCH((Standards_Active!$Q12-1),$AQ$44:$BP$44,FALSE)),IF(AW$44&gt;=Standards_Active!$R12,Standards_Active!$V12,CG48)),CG48)</f>
        <v>0.35</v>
      </c>
      <c r="AX48" s="622">
        <f>IF(ISNUMBER(Standards_Active!$T12),IF(AND(AX$44&gt;=Standards_Active!$Q12,AX$44&lt;Standards_Active!$R12),AW48-Standards_Active!$U12*INDEX($AQ$58:$BP$58,1,MATCH((Standards_Active!$Q12-1),$AQ$44:$BP$44,FALSE)),IF(AX$44&gt;=Standards_Active!$R12,Standards_Active!$V12,CH48)),CH48)</f>
        <v>0.35</v>
      </c>
      <c r="AY48" s="622">
        <f>IF(ISNUMBER(Standards_Active!$T12),IF(AND(AY$44&gt;=Standards_Active!$Q12,AY$44&lt;Standards_Active!$R12),AX48-Standards_Active!$U12*INDEX($AQ$58:$BP$58,1,MATCH((Standards_Active!$Q12-1),$AQ$44:$BP$44,FALSE)),IF(AY$44&gt;=Standards_Active!$R12,Standards_Active!$V12,CI48)),CI48)</f>
        <v>0.35</v>
      </c>
      <c r="AZ48" s="622">
        <f>IF(ISNUMBER(Standards_Active!$T12),IF(AND(AZ$44&gt;=Standards_Active!$Q12,AZ$44&lt;Standards_Active!$R12),AY48-Standards_Active!$U12*INDEX($AQ$58:$BP$58,1,MATCH((Standards_Active!$Q12-1),$AQ$44:$BP$44,FALSE)),IF(AZ$44&gt;=Standards_Active!$R12,Standards_Active!$V12,CJ48)),CJ48)</f>
        <v>0.35</v>
      </c>
      <c r="BA48" s="622">
        <f>IF(ISNUMBER(Standards_Active!$T12),IF(AND(BA$44&gt;=Standards_Active!$Q12,BA$44&lt;Standards_Active!$R12),AZ48-Standards_Active!$U12*INDEX($AQ$58:$BP$58,1,MATCH((Standards_Active!$Q12-1),$AQ$44:$BP$44,FALSE)),IF(BA$44&gt;=Standards_Active!$R12,Standards_Active!$V12,CK48)),CK48)</f>
        <v>0.35</v>
      </c>
      <c r="BB48" s="622">
        <f>IF(ISNUMBER(Standards_Active!$T12),IF(AND(BB$44&gt;=Standards_Active!$Q12,BB$44&lt;Standards_Active!$R12),BA48-Standards_Active!$U12*INDEX($AQ$58:$BP$58,1,MATCH((Standards_Active!$Q12-1),$AQ$44:$BP$44,FALSE)),IF(BB$44&gt;=Standards_Active!$R12,Standards_Active!$V12,CL48)),CL48)</f>
        <v>0.35</v>
      </c>
      <c r="BC48" s="622">
        <f>IF(ISNUMBER(Standards_Active!$T12),IF(AND(BC$44&gt;=Standards_Active!$Q12,BC$44&lt;Standards_Active!$R12),BB48-Standards_Active!$U12*INDEX($AQ$58:$BP$58,1,MATCH((Standards_Active!$Q12-1),$AQ$44:$BP$44,FALSE)),IF(BC$44&gt;=Standards_Active!$R12,Standards_Active!$V12,CM48)),CM48)</f>
        <v>0.35</v>
      </c>
      <c r="BD48" s="622">
        <f>IF(ISNUMBER(Standards_Active!$T12),IF(AND(BD$44&gt;=Standards_Active!$Q12,BD$44&lt;Standards_Active!$R12),BC48-Standards_Active!$U12*INDEX($AQ$58:$BP$58,1,MATCH((Standards_Active!$Q12-1),$AQ$44:$BP$44,FALSE)),IF(BD$44&gt;=Standards_Active!$R12,Standards_Active!$V12,CN48)),CN48)</f>
        <v>0.35</v>
      </c>
      <c r="BE48" s="622">
        <f>IF(ISNUMBER(Standards_Active!$T12),IF(AND(BE$44&gt;=Standards_Active!$Q12,BE$44&lt;Standards_Active!$R12),BD48-Standards_Active!$U12*INDEX($AQ$58:$BP$58,1,MATCH((Standards_Active!$Q12-1),$AQ$44:$BP$44,FALSE)),IF(BE$44&gt;=Standards_Active!$R12,Standards_Active!$V12,CO48)),CO48)</f>
        <v>0.35</v>
      </c>
      <c r="BF48" s="622">
        <f>IF(ISNUMBER(Standards_Active!$T12),IF(AND(BF$44&gt;=Standards_Active!$Q12,BF$44&lt;Standards_Active!$R12),BE48-Standards_Active!$U12*INDEX($AQ$58:$BP$58,1,MATCH((Standards_Active!$Q12-1),$AQ$44:$BP$44,FALSE)),IF(BF$44&gt;=Standards_Active!$R12,Standards_Active!$V12,CP48)),CP48)</f>
        <v>0.35</v>
      </c>
      <c r="BG48" s="622">
        <f>IF(ISNUMBER(Standards_Active!$T12),IF(AND(BG$44&gt;=Standards_Active!$Q12,BG$44&lt;Standards_Active!$R12),BF48-Standards_Active!$U12*INDEX($AQ$58:$BP$58,1,MATCH((Standards_Active!$Q12-1),$AQ$44:$BP$44,FALSE)),IF(BG$44&gt;=Standards_Active!$R12,Standards_Active!$V12,CQ48)),CQ48)</f>
        <v>0.35</v>
      </c>
      <c r="BH48" s="622">
        <f>IF(ISNUMBER(Standards_Active!$T12),IF(AND(BH$44&gt;=Standards_Active!$Q12,BH$44&lt;Standards_Active!$R12),BG48-Standards_Active!$U12*INDEX($AQ$58:$BP$58,1,MATCH((Standards_Active!$Q12-1),$AQ$44:$BP$44,FALSE)),IF(BH$44&gt;=Standards_Active!$R12,Standards_Active!$V12,CR48)),CR48)</f>
        <v>0.35</v>
      </c>
      <c r="BI48" s="622">
        <f>IF(ISNUMBER(Standards_Active!$T12),IF(AND(BI$44&gt;=Standards_Active!$Q12,BI$44&lt;Standards_Active!$R12),BH48-Standards_Active!$U12*INDEX($AQ$58:$BP$58,1,MATCH((Standards_Active!$Q12-1),$AQ$44:$BP$44,FALSE)),IF(BI$44&gt;=Standards_Active!$R12,Standards_Active!$V12,CS48)),CS48)</f>
        <v>0.35</v>
      </c>
      <c r="BJ48" s="622">
        <f>IF(ISNUMBER(Standards_Active!$T12),IF(AND(BJ$44&gt;=Standards_Active!$Q12,BJ$44&lt;Standards_Active!$R12),BI48-Standards_Active!$U12*INDEX($AQ$58:$BP$58,1,MATCH((Standards_Active!$Q12-1),$AQ$44:$BP$44,FALSE)),IF(BJ$44&gt;=Standards_Active!$R12,Standards_Active!$V12,CT48)),CT48)</f>
        <v>0.35</v>
      </c>
      <c r="BK48" s="622">
        <f>IF(ISNUMBER(Standards_Active!$T12),IF(AND(BK$44&gt;=Standards_Active!$Q12,BK$44&lt;Standards_Active!$R12),BJ48-Standards_Active!$U12*INDEX($AQ$58:$BP$58,1,MATCH((Standards_Active!$Q12-1),$AQ$44:$BP$44,FALSE)),IF(BK$44&gt;=Standards_Active!$R12,Standards_Active!$V12,CU48)),CU48)</f>
        <v>0.35</v>
      </c>
      <c r="BL48" s="622">
        <f>IF(ISNUMBER(Standards_Active!$T12),IF(AND(BL$44&gt;=Standards_Active!$Q12,BL$44&lt;Standards_Active!$R12),BK48-Standards_Active!$U12*INDEX($AQ$58:$BP$58,1,MATCH((Standards_Active!$Q12-1),$AQ$44:$BP$44,FALSE)),IF(BL$44&gt;=Standards_Active!$R12,Standards_Active!$V12,CV48)),CV48)</f>
        <v>0.35</v>
      </c>
      <c r="BM48" s="622">
        <f>IF(ISNUMBER(Standards_Active!$T12),IF(AND(BM$44&gt;=Standards_Active!$Q12,BM$44&lt;Standards_Active!$R12),BL48-Standards_Active!$U12*INDEX($AQ$58:$BP$58,1,MATCH((Standards_Active!$Q12-1),$AQ$44:$BP$44,FALSE)),IF(BM$44&gt;=Standards_Active!$R12,Standards_Active!$V12,CW48)),CW48)</f>
        <v>0.35</v>
      </c>
      <c r="BN48" s="622">
        <f>IF(ISNUMBER(Standards_Active!$T12),IF(AND(BN$44&gt;=Standards_Active!$Q12,BN$44&lt;Standards_Active!$R12),BM48-Standards_Active!$U12*INDEX($AQ$58:$BP$58,1,MATCH((Standards_Active!$Q12-1),$AQ$44:$BP$44,FALSE)),IF(BN$44&gt;=Standards_Active!$R12,Standards_Active!$V12,CX48)),CX48)</f>
        <v>0.35</v>
      </c>
      <c r="BO48" s="622">
        <f>IF(ISNUMBER(Standards_Active!$T12),IF(AND(BO$44&gt;=Standards_Active!$Q12,BO$44&lt;Standards_Active!$R12),BN48-Standards_Active!$U12*INDEX($AQ$58:$BP$58,1,MATCH((Standards_Active!$Q12-1),$AQ$44:$BP$44,FALSE)),IF(BO$44&gt;=Standards_Active!$R12,Standards_Active!$V12,CY48)),CY48)</f>
        <v>0.35</v>
      </c>
      <c r="BP48" s="622">
        <f>IF(ISNUMBER(Standards_Active!$T12),IF(AND(BP$44&gt;=Standards_Active!$Q12,BP$44&lt;Standards_Active!$R12),BO48-Standards_Active!$U12*INDEX($AQ$58:$BP$58,1,MATCH((Standards_Active!$Q12-1),$AQ$44:$BP$44,FALSE)),IF(BP$44&gt;=Standards_Active!$R12,Standards_Active!$V12,CZ48)),CZ48)</f>
        <v>0.35</v>
      </c>
      <c r="BQ48" s="380"/>
      <c r="BR48" s="372"/>
      <c r="BS48" s="372"/>
      <c r="BT48" s="372"/>
      <c r="BU48" s="372"/>
      <c r="BV48" s="372"/>
      <c r="BW48" s="372"/>
      <c r="BX48" s="372"/>
      <c r="BY48" s="372"/>
      <c r="BZ48" s="372"/>
      <c r="CA48" s="372">
        <v>0.25</v>
      </c>
      <c r="CB48" s="372">
        <v>0.25</v>
      </c>
      <c r="CC48" s="372">
        <v>0.25</v>
      </c>
      <c r="CD48" s="372">
        <v>0.35</v>
      </c>
      <c r="CE48" s="372">
        <v>0.35</v>
      </c>
      <c r="CF48" s="372">
        <v>0.35</v>
      </c>
      <c r="CG48" s="372">
        <v>0.35</v>
      </c>
      <c r="CH48" s="372">
        <v>0.35</v>
      </c>
      <c r="CI48" s="372">
        <v>0.35</v>
      </c>
      <c r="CJ48" s="372">
        <v>0.35</v>
      </c>
      <c r="CK48" s="372">
        <v>0.35</v>
      </c>
      <c r="CL48" s="372">
        <v>0.35</v>
      </c>
      <c r="CM48" s="372">
        <v>0.35</v>
      </c>
      <c r="CN48" s="372">
        <v>0.35</v>
      </c>
      <c r="CO48" s="372">
        <v>0.35</v>
      </c>
      <c r="CP48" s="372">
        <v>0.35</v>
      </c>
      <c r="CQ48" s="372">
        <v>0.35</v>
      </c>
      <c r="CR48" s="372">
        <v>0.35</v>
      </c>
      <c r="CS48" s="372">
        <v>0.35</v>
      </c>
      <c r="CT48" s="372">
        <v>0.35</v>
      </c>
      <c r="CU48" s="372">
        <v>0.35</v>
      </c>
      <c r="CV48" s="372">
        <v>0.35</v>
      </c>
      <c r="CW48" s="372">
        <v>0.35</v>
      </c>
      <c r="CX48" s="372">
        <v>0.35</v>
      </c>
      <c r="CY48" s="372">
        <v>0.35</v>
      </c>
      <c r="CZ48" s="372">
        <v>0.35</v>
      </c>
    </row>
    <row r="49" spans="1:105" s="376" customFormat="1" ht="12.75" x14ac:dyDescent="0.2">
      <c r="B49" s="376" t="s">
        <v>29</v>
      </c>
      <c r="D49" s="370"/>
      <c r="E49" s="370"/>
      <c r="F49" s="370"/>
      <c r="G49" s="370">
        <f>IF(Standards_Active!$S13="yes",AQ49,CA49)</f>
        <v>1</v>
      </c>
      <c r="H49" s="370">
        <f>IF(Standards_Active!$S13="yes",AR49,CB49)</f>
        <v>1</v>
      </c>
      <c r="I49" s="370">
        <f>IF(Standards_Active!$S13="yes",AS49,CC49)</f>
        <v>1</v>
      </c>
      <c r="J49" s="370">
        <f>IF(Standards_Active!$S13="yes",AT49,CD49)</f>
        <v>1</v>
      </c>
      <c r="K49" s="370">
        <f>IF(Standards_Active!$S13="yes",AU49,CE49)</f>
        <v>1</v>
      </c>
      <c r="L49" s="370">
        <f>IF(Standards_Active!$S13="yes",AV49,CF49)</f>
        <v>1</v>
      </c>
      <c r="M49" s="370">
        <f>IF(Standards_Active!$S13="yes",AW49,CG49)</f>
        <v>1</v>
      </c>
      <c r="N49" s="370">
        <f>IF(Standards_Active!$S13="yes",AX49,CH49)</f>
        <v>1</v>
      </c>
      <c r="O49" s="370">
        <f>IF(Standards_Active!$S13="yes",AY49,CI49)</f>
        <v>1</v>
      </c>
      <c r="P49" s="370">
        <f>IF(Standards_Active!$S13="yes",AZ49,CJ49)</f>
        <v>1</v>
      </c>
      <c r="Q49" s="370">
        <f>IF(Standards_Active!$S13="yes",BA49,CK49)</f>
        <v>1</v>
      </c>
      <c r="R49" s="370">
        <f>IF(Standards_Active!$S13="yes",BB49,CL49)</f>
        <v>1</v>
      </c>
      <c r="S49" s="370">
        <f>IF(Standards_Active!$S13="yes",BC49,CM49)</f>
        <v>1</v>
      </c>
      <c r="T49" s="370">
        <f>IF(Standards_Active!$S13="yes",BD49,CN49)</f>
        <v>1</v>
      </c>
      <c r="U49" s="370">
        <f>IF(Standards_Active!$S13="yes",BE49,CO49)</f>
        <v>1</v>
      </c>
      <c r="V49" s="370">
        <f>IF(Standards_Active!$S13="yes",BF49,CP49)</f>
        <v>1</v>
      </c>
      <c r="W49" s="370">
        <f>IF(Standards_Active!$S13="yes",BG49,CQ49)</f>
        <v>1</v>
      </c>
      <c r="X49" s="370">
        <f>IF(Standards_Active!$S13="yes",BH49,CR49)</f>
        <v>1</v>
      </c>
      <c r="Y49" s="370">
        <f>IF(Standards_Active!$S13="yes",BI49,CS49)</f>
        <v>1</v>
      </c>
      <c r="Z49" s="370">
        <f>IF(Standards_Active!$S13="yes",BJ49,CT49)</f>
        <v>1</v>
      </c>
      <c r="AA49" s="370">
        <f>IF(Standards_Active!$S13="yes",BK49,CU49)</f>
        <v>1</v>
      </c>
      <c r="AB49" s="370">
        <f>IF(Standards_Active!$S13="yes",BL49,CV49)</f>
        <v>1</v>
      </c>
      <c r="AC49" s="370">
        <f>IF(Standards_Active!$S13="yes",BM49,CW49)</f>
        <v>1</v>
      </c>
      <c r="AD49" s="370">
        <f>IF(Standards_Active!$S13="yes",BN49,CX49)</f>
        <v>1</v>
      </c>
      <c r="AE49" s="370">
        <f>IF(Standards_Active!$S13="yes",BO49,CY49)</f>
        <v>1</v>
      </c>
      <c r="AF49" s="370">
        <f>IF(Standards_Active!$S13="yes",BP49,CZ49)</f>
        <v>1</v>
      </c>
      <c r="AH49" s="622"/>
      <c r="AI49" s="622"/>
      <c r="AJ49" s="622"/>
      <c r="AK49" s="622"/>
      <c r="AL49" s="622"/>
      <c r="AM49" s="622"/>
      <c r="AN49" s="622"/>
      <c r="AO49" s="622"/>
      <c r="AP49" s="622"/>
      <c r="AQ49" s="622">
        <f>IF(ISNUMBER(Standards_Active!$T13),IF(AND(AQ$44&gt;=Standards_Active!$Q13,AQ$44&lt;Standards_Active!$R13),AP49-Standards_Active!$U13*INDEX($AQ$58:$BP$58,1,MATCH((Standards_Active!$Q13-1),$AQ$44:$BP$44,FALSE)),IF(AQ$44&gt;=Standards_Active!$R13,Standards_Active!$V13,CA49)),CA49)</f>
        <v>1</v>
      </c>
      <c r="AR49" s="622">
        <f>IF(ISNUMBER(Standards_Active!$T13),IF(AND(AR$44&gt;=Standards_Active!$Q13,AR$44&lt;Standards_Active!$R13),AQ49-Standards_Active!$U13*INDEX($AQ$58:$BP$58,1,MATCH((Standards_Active!$Q13-1),$AQ$44:$BP$44,FALSE)),IF(AR$44&gt;=Standards_Active!$R13,Standards_Active!$V13,CB49)),CB49)</f>
        <v>1</v>
      </c>
      <c r="AS49" s="622">
        <f>IF(ISNUMBER(Standards_Active!$T13),IF(AND(AS$44&gt;=Standards_Active!$Q13,AS$44&lt;Standards_Active!$R13),AR49-Standards_Active!$U13*INDEX($AQ$58:$BP$58,1,MATCH((Standards_Active!$Q13-1),$AQ$44:$BP$44,FALSE)),IF(AS$44&gt;=Standards_Active!$R13,Standards_Active!$V13,CC49)),CC49)</f>
        <v>1</v>
      </c>
      <c r="AT49" s="622">
        <f>IF(ISNUMBER(Standards_Active!$T13),IF(AND(AT$44&gt;=Standards_Active!$Q13,AT$44&lt;Standards_Active!$R13),AS49-Standards_Active!$U13*INDEX($AQ$58:$BP$58,1,MATCH((Standards_Active!$Q13-1),$AQ$44:$BP$44,FALSE)),IF(AT$44&gt;=Standards_Active!$R13,Standards_Active!$V13,CD49)),CD49)</f>
        <v>1</v>
      </c>
      <c r="AU49" s="622">
        <f>IF(ISNUMBER(Standards_Active!$T13),IF(AND(AU$44&gt;=Standards_Active!$Q13,AU$44&lt;Standards_Active!$R13),AT49-Standards_Active!$U13*INDEX($AQ$58:$BP$58,1,MATCH((Standards_Active!$Q13-1),$AQ$44:$BP$44,FALSE)),IF(AU$44&gt;=Standards_Active!$R13,Standards_Active!$V13,CE49)),CE49)</f>
        <v>1</v>
      </c>
      <c r="AV49" s="622">
        <f>IF(ISNUMBER(Standards_Active!$T13),IF(AND(AV$44&gt;=Standards_Active!$Q13,AV$44&lt;Standards_Active!$R13),AU49-Standards_Active!$U13*INDEX($AQ$58:$BP$58,1,MATCH((Standards_Active!$Q13-1),$AQ$44:$BP$44,FALSE)),IF(AV$44&gt;=Standards_Active!$R13,Standards_Active!$V13,CF49)),CF49)</f>
        <v>1</v>
      </c>
      <c r="AW49" s="622">
        <f>IF(ISNUMBER(Standards_Active!$T13),IF(AND(AW$44&gt;=Standards_Active!$Q13,AW$44&lt;Standards_Active!$R13),AV49-Standards_Active!$U13*INDEX($AQ$58:$BP$58,1,MATCH((Standards_Active!$Q13-1),$AQ$44:$BP$44,FALSE)),IF(AW$44&gt;=Standards_Active!$R13,Standards_Active!$V13,CG49)),CG49)</f>
        <v>1</v>
      </c>
      <c r="AX49" s="622">
        <f>IF(ISNUMBER(Standards_Active!$T13),IF(AND(AX$44&gt;=Standards_Active!$Q13,AX$44&lt;Standards_Active!$R13),AW49-Standards_Active!$U13*INDEX($AQ$58:$BP$58,1,MATCH((Standards_Active!$Q13-1),$AQ$44:$BP$44,FALSE)),IF(AX$44&gt;=Standards_Active!$R13,Standards_Active!$V13,CH49)),CH49)</f>
        <v>1</v>
      </c>
      <c r="AY49" s="622">
        <f>IF(ISNUMBER(Standards_Active!$T13),IF(AND(AY$44&gt;=Standards_Active!$Q13,AY$44&lt;Standards_Active!$R13),AX49-Standards_Active!$U13*INDEX($AQ$58:$BP$58,1,MATCH((Standards_Active!$Q13-1),$AQ$44:$BP$44,FALSE)),IF(AY$44&gt;=Standards_Active!$R13,Standards_Active!$V13,CI49)),CI49)</f>
        <v>1</v>
      </c>
      <c r="AZ49" s="622">
        <f>IF(ISNUMBER(Standards_Active!$T13),IF(AND(AZ$44&gt;=Standards_Active!$Q13,AZ$44&lt;Standards_Active!$R13),AY49-Standards_Active!$U13*INDEX($AQ$58:$BP$58,1,MATCH((Standards_Active!$Q13-1),$AQ$44:$BP$44,FALSE)),IF(AZ$44&gt;=Standards_Active!$R13,Standards_Active!$V13,CJ49)),CJ49)</f>
        <v>1</v>
      </c>
      <c r="BA49" s="622">
        <f>IF(ISNUMBER(Standards_Active!$T13),IF(AND(BA$44&gt;=Standards_Active!$Q13,BA$44&lt;Standards_Active!$R13),AZ49-Standards_Active!$U13*INDEX($AQ$58:$BP$58,1,MATCH((Standards_Active!$Q13-1),$AQ$44:$BP$44,FALSE)),IF(BA$44&gt;=Standards_Active!$R13,Standards_Active!$V13,CK49)),CK49)</f>
        <v>1</v>
      </c>
      <c r="BB49" s="622">
        <f>IF(ISNUMBER(Standards_Active!$T13),IF(AND(BB$44&gt;=Standards_Active!$Q13,BB$44&lt;Standards_Active!$R13),BA49-Standards_Active!$U13*INDEX($AQ$58:$BP$58,1,MATCH((Standards_Active!$Q13-1),$AQ$44:$BP$44,FALSE)),IF(BB$44&gt;=Standards_Active!$R13,Standards_Active!$V13,CL49)),CL49)</f>
        <v>1</v>
      </c>
      <c r="BC49" s="622">
        <f>IF(ISNUMBER(Standards_Active!$T13),IF(AND(BC$44&gt;=Standards_Active!$Q13,BC$44&lt;Standards_Active!$R13),BB49-Standards_Active!$U13*INDEX($AQ$58:$BP$58,1,MATCH((Standards_Active!$Q13-1),$AQ$44:$BP$44,FALSE)),IF(BC$44&gt;=Standards_Active!$R13,Standards_Active!$V13,CM49)),CM49)</f>
        <v>1</v>
      </c>
      <c r="BD49" s="622">
        <f>IF(ISNUMBER(Standards_Active!$T13),IF(AND(BD$44&gt;=Standards_Active!$Q13,BD$44&lt;Standards_Active!$R13),BC49-Standards_Active!$U13*INDEX($AQ$58:$BP$58,1,MATCH((Standards_Active!$Q13-1),$AQ$44:$BP$44,FALSE)),IF(BD$44&gt;=Standards_Active!$R13,Standards_Active!$V13,CN49)),CN49)</f>
        <v>1</v>
      </c>
      <c r="BE49" s="622">
        <f>IF(ISNUMBER(Standards_Active!$T13),IF(AND(BE$44&gt;=Standards_Active!$Q13,BE$44&lt;Standards_Active!$R13),BD49-Standards_Active!$U13*INDEX($AQ$58:$BP$58,1,MATCH((Standards_Active!$Q13-1),$AQ$44:$BP$44,FALSE)),IF(BE$44&gt;=Standards_Active!$R13,Standards_Active!$V13,CO49)),CO49)</f>
        <v>1</v>
      </c>
      <c r="BF49" s="622">
        <f>IF(ISNUMBER(Standards_Active!$T13),IF(AND(BF$44&gt;=Standards_Active!$Q13,BF$44&lt;Standards_Active!$R13),BE49-Standards_Active!$U13*INDEX($AQ$58:$BP$58,1,MATCH((Standards_Active!$Q13-1),$AQ$44:$BP$44,FALSE)),IF(BF$44&gt;=Standards_Active!$R13,Standards_Active!$V13,CP49)),CP49)</f>
        <v>1</v>
      </c>
      <c r="BG49" s="622">
        <f>IF(ISNUMBER(Standards_Active!$T13),IF(AND(BG$44&gt;=Standards_Active!$Q13,BG$44&lt;Standards_Active!$R13),BF49-Standards_Active!$U13*INDEX($AQ$58:$BP$58,1,MATCH((Standards_Active!$Q13-1),$AQ$44:$BP$44,FALSE)),IF(BG$44&gt;=Standards_Active!$R13,Standards_Active!$V13,CQ49)),CQ49)</f>
        <v>1</v>
      </c>
      <c r="BH49" s="622">
        <f>IF(ISNUMBER(Standards_Active!$T13),IF(AND(BH$44&gt;=Standards_Active!$Q13,BH$44&lt;Standards_Active!$R13),BG49-Standards_Active!$U13*INDEX($AQ$58:$BP$58,1,MATCH((Standards_Active!$Q13-1),$AQ$44:$BP$44,FALSE)),IF(BH$44&gt;=Standards_Active!$R13,Standards_Active!$V13,CR49)),CR49)</f>
        <v>1</v>
      </c>
      <c r="BI49" s="622">
        <f>IF(ISNUMBER(Standards_Active!$T13),IF(AND(BI$44&gt;=Standards_Active!$Q13,BI$44&lt;Standards_Active!$R13),BH49-Standards_Active!$U13*INDEX($AQ$58:$BP$58,1,MATCH((Standards_Active!$Q13-1),$AQ$44:$BP$44,FALSE)),IF(BI$44&gt;=Standards_Active!$R13,Standards_Active!$V13,CS49)),CS49)</f>
        <v>1</v>
      </c>
      <c r="BJ49" s="622">
        <f>IF(ISNUMBER(Standards_Active!$T13),IF(AND(BJ$44&gt;=Standards_Active!$Q13,BJ$44&lt;Standards_Active!$R13),BI49-Standards_Active!$U13*INDEX($AQ$58:$BP$58,1,MATCH((Standards_Active!$Q13-1),$AQ$44:$BP$44,FALSE)),IF(BJ$44&gt;=Standards_Active!$R13,Standards_Active!$V13,CT49)),CT49)</f>
        <v>1</v>
      </c>
      <c r="BK49" s="622">
        <f>IF(ISNUMBER(Standards_Active!$T13),IF(AND(BK$44&gt;=Standards_Active!$Q13,BK$44&lt;Standards_Active!$R13),BJ49-Standards_Active!$U13*INDEX($AQ$58:$BP$58,1,MATCH((Standards_Active!$Q13-1),$AQ$44:$BP$44,FALSE)),IF(BK$44&gt;=Standards_Active!$R13,Standards_Active!$V13,CU49)),CU49)</f>
        <v>1</v>
      </c>
      <c r="BL49" s="622">
        <f>IF(ISNUMBER(Standards_Active!$T13),IF(AND(BL$44&gt;=Standards_Active!$Q13,BL$44&lt;Standards_Active!$R13),BK49-Standards_Active!$U13*INDEX($AQ$58:$BP$58,1,MATCH((Standards_Active!$Q13-1),$AQ$44:$BP$44,FALSE)),IF(BL$44&gt;=Standards_Active!$R13,Standards_Active!$V13,CV49)),CV49)</f>
        <v>1</v>
      </c>
      <c r="BM49" s="622">
        <f>IF(ISNUMBER(Standards_Active!$T13),IF(AND(BM$44&gt;=Standards_Active!$Q13,BM$44&lt;Standards_Active!$R13),BL49-Standards_Active!$U13*INDEX($AQ$58:$BP$58,1,MATCH((Standards_Active!$Q13-1),$AQ$44:$BP$44,FALSE)),IF(BM$44&gt;=Standards_Active!$R13,Standards_Active!$V13,CW49)),CW49)</f>
        <v>1</v>
      </c>
      <c r="BN49" s="622">
        <f>IF(ISNUMBER(Standards_Active!$T13),IF(AND(BN$44&gt;=Standards_Active!$Q13,BN$44&lt;Standards_Active!$R13),BM49-Standards_Active!$U13*INDEX($AQ$58:$BP$58,1,MATCH((Standards_Active!$Q13-1),$AQ$44:$BP$44,FALSE)),IF(BN$44&gt;=Standards_Active!$R13,Standards_Active!$V13,CX49)),CX49)</f>
        <v>1</v>
      </c>
      <c r="BO49" s="622">
        <f>IF(ISNUMBER(Standards_Active!$T13),IF(AND(BO$44&gt;=Standards_Active!$Q13,BO$44&lt;Standards_Active!$R13),BN49-Standards_Active!$U13*INDEX($AQ$58:$BP$58,1,MATCH((Standards_Active!$Q13-1),$AQ$44:$BP$44,FALSE)),IF(BO$44&gt;=Standards_Active!$R13,Standards_Active!$V13,CY49)),CY49)</f>
        <v>1</v>
      </c>
      <c r="BP49" s="622">
        <f>IF(ISNUMBER(Standards_Active!$T13),IF(AND(BP$44&gt;=Standards_Active!$Q13,BP$44&lt;Standards_Active!$R13),BO49-Standards_Active!$U13*INDEX($AQ$58:$BP$58,1,MATCH((Standards_Active!$Q13-1),$AQ$44:$BP$44,FALSE)),IF(BP$44&gt;=Standards_Active!$R13,Standards_Active!$V13,CZ49)),CZ49)</f>
        <v>1</v>
      </c>
      <c r="BQ49" s="380"/>
      <c r="BR49" s="372"/>
      <c r="BS49" s="372"/>
      <c r="BT49" s="372"/>
      <c r="BU49" s="372"/>
      <c r="BV49" s="372"/>
      <c r="BW49" s="372"/>
      <c r="BX49" s="372"/>
      <c r="BY49" s="372"/>
      <c r="BZ49" s="372"/>
      <c r="CA49" s="372">
        <v>1</v>
      </c>
      <c r="CB49" s="372">
        <v>1</v>
      </c>
      <c r="CC49" s="372">
        <v>1</v>
      </c>
      <c r="CD49" s="372">
        <v>1</v>
      </c>
      <c r="CE49" s="372">
        <v>1</v>
      </c>
      <c r="CF49" s="372">
        <v>1</v>
      </c>
      <c r="CG49" s="372">
        <v>1</v>
      </c>
      <c r="CH49" s="372">
        <v>1</v>
      </c>
      <c r="CI49" s="372">
        <v>1</v>
      </c>
      <c r="CJ49" s="372">
        <v>1</v>
      </c>
      <c r="CK49" s="372">
        <v>1</v>
      </c>
      <c r="CL49" s="372">
        <v>1</v>
      </c>
      <c r="CM49" s="372">
        <v>1</v>
      </c>
      <c r="CN49" s="372">
        <v>1</v>
      </c>
      <c r="CO49" s="372">
        <v>1</v>
      </c>
      <c r="CP49" s="372">
        <v>1</v>
      </c>
      <c r="CQ49" s="372">
        <v>1</v>
      </c>
      <c r="CR49" s="372">
        <v>1</v>
      </c>
      <c r="CS49" s="372">
        <v>1</v>
      </c>
      <c r="CT49" s="372">
        <v>1</v>
      </c>
      <c r="CU49" s="372">
        <v>1</v>
      </c>
      <c r="CV49" s="372">
        <v>1</v>
      </c>
      <c r="CW49" s="372">
        <v>1</v>
      </c>
      <c r="CX49" s="372">
        <v>1</v>
      </c>
      <c r="CY49" s="372">
        <v>1</v>
      </c>
      <c r="CZ49" s="372">
        <v>1</v>
      </c>
    </row>
    <row r="50" spans="1:105" s="376" customFormat="1" x14ac:dyDescent="0.25">
      <c r="D50" s="380"/>
      <c r="E50" s="380"/>
      <c r="F50" s="380"/>
      <c r="G50" s="380"/>
      <c r="H50" s="380"/>
      <c r="I50" s="380"/>
      <c r="J50" s="380"/>
      <c r="K50" s="380"/>
      <c r="L50" s="380"/>
      <c r="M50" s="380"/>
      <c r="N50" s="380"/>
      <c r="O50" s="380"/>
      <c r="P50" s="380"/>
      <c r="Q50" s="380"/>
      <c r="R50" s="380"/>
      <c r="S50" s="380"/>
      <c r="T50" s="380"/>
      <c r="U50" s="380"/>
      <c r="V50" s="380"/>
      <c r="W50" s="380"/>
      <c r="X50" s="380"/>
      <c r="Y50" s="380"/>
      <c r="Z50" s="380"/>
      <c r="AA50" s="380"/>
      <c r="AB50" s="380"/>
      <c r="AC50" s="380"/>
      <c r="AD50" s="380"/>
      <c r="AE50" s="380"/>
      <c r="AF50" s="380"/>
      <c r="AH50" s="201"/>
      <c r="AI50" s="201"/>
      <c r="AJ50" s="201"/>
      <c r="AK50" s="201"/>
      <c r="AL50" s="201"/>
      <c r="AM50" s="201"/>
      <c r="AN50" s="201"/>
      <c r="AO50" s="201"/>
      <c r="AP50" s="201"/>
      <c r="AQ50" s="201"/>
      <c r="AR50" s="201"/>
      <c r="AS50" s="201"/>
      <c r="AT50" s="201"/>
      <c r="AU50" s="201"/>
      <c r="AV50" s="201"/>
      <c r="AW50" s="201"/>
      <c r="AX50" s="201"/>
      <c r="AY50" s="201"/>
      <c r="AZ50" s="201"/>
      <c r="BA50" s="201"/>
      <c r="BB50" s="201"/>
      <c r="BC50" s="201"/>
      <c r="BD50" s="201"/>
      <c r="BE50" s="201"/>
      <c r="BF50" s="201"/>
      <c r="BG50" s="201"/>
      <c r="BH50" s="201"/>
      <c r="BI50" s="201"/>
      <c r="BJ50" s="201"/>
      <c r="BK50" s="201"/>
      <c r="BL50" s="201"/>
      <c r="BM50" s="201"/>
      <c r="BN50" s="201"/>
      <c r="BO50" s="201"/>
      <c r="BP50" s="201"/>
      <c r="BQ50" s="380"/>
      <c r="BR50" s="201"/>
      <c r="BS50" s="201"/>
      <c r="BT50" s="201"/>
      <c r="BU50" s="201"/>
      <c r="BV50" s="201"/>
      <c r="BW50" s="201"/>
      <c r="BX50" s="201"/>
      <c r="BY50" s="201"/>
      <c r="BZ50" s="201"/>
      <c r="CA50" s="201"/>
      <c r="CB50" s="201"/>
      <c r="CC50" s="201"/>
      <c r="CD50" s="201"/>
      <c r="CE50" s="201"/>
      <c r="CF50" s="201"/>
      <c r="CG50" s="201"/>
      <c r="CH50" s="201"/>
      <c r="CI50" s="201"/>
      <c r="CJ50" s="201"/>
      <c r="CK50" s="201"/>
      <c r="CL50" s="201"/>
      <c r="CM50" s="201"/>
      <c r="CN50" s="201"/>
      <c r="CO50" s="201"/>
      <c r="CP50" s="201"/>
      <c r="CQ50" s="201"/>
      <c r="CR50" s="201"/>
      <c r="CS50" s="201"/>
      <c r="CT50" s="201"/>
      <c r="CU50" s="201"/>
      <c r="CV50" s="201"/>
      <c r="CW50" s="201"/>
      <c r="CX50" s="201"/>
      <c r="CY50" s="201"/>
      <c r="CZ50" s="201"/>
    </row>
    <row r="51" spans="1:105" s="376" customFormat="1" ht="12.75" x14ac:dyDescent="0.2">
      <c r="A51" s="384" t="s">
        <v>32</v>
      </c>
      <c r="B51" s="389"/>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89"/>
      <c r="AC51" s="389"/>
      <c r="AD51" s="389"/>
      <c r="AE51" s="389"/>
      <c r="AF51" s="389"/>
      <c r="AH51" s="402"/>
      <c r="AI51" s="402"/>
      <c r="AJ51" s="402"/>
      <c r="AK51" s="402"/>
      <c r="AL51" s="402"/>
      <c r="AM51" s="402"/>
      <c r="AN51" s="402"/>
      <c r="AO51" s="402"/>
      <c r="AP51" s="402"/>
      <c r="AQ51" s="402"/>
      <c r="AR51" s="402"/>
      <c r="AS51" s="402"/>
      <c r="AT51" s="402"/>
      <c r="AU51" s="402"/>
      <c r="AV51" s="402"/>
      <c r="AW51" s="402"/>
      <c r="AX51" s="402"/>
      <c r="AY51" s="402"/>
      <c r="AZ51" s="402"/>
      <c r="BA51" s="402"/>
      <c r="BB51" s="402"/>
      <c r="BC51" s="402"/>
      <c r="BD51" s="402"/>
      <c r="BE51" s="402"/>
      <c r="BF51" s="402"/>
      <c r="BG51" s="402"/>
      <c r="BH51" s="402"/>
      <c r="BI51" s="402"/>
      <c r="BJ51" s="402"/>
      <c r="BK51" s="402"/>
      <c r="BL51" s="402"/>
      <c r="BM51" s="402"/>
      <c r="BN51" s="402"/>
      <c r="BO51" s="402"/>
      <c r="BP51" s="402"/>
      <c r="BQ51" s="380"/>
      <c r="BR51" s="402"/>
      <c r="BS51" s="402"/>
      <c r="BT51" s="402"/>
      <c r="BU51" s="402"/>
      <c r="BV51" s="402"/>
      <c r="BW51" s="402"/>
      <c r="BX51" s="402"/>
      <c r="BY51" s="402"/>
      <c r="BZ51" s="402"/>
      <c r="CA51" s="402"/>
      <c r="CB51" s="402"/>
      <c r="CC51" s="402"/>
      <c r="CD51" s="402"/>
      <c r="CE51" s="402"/>
      <c r="CF51" s="402"/>
      <c r="CG51" s="402"/>
      <c r="CH51" s="402"/>
      <c r="CI51" s="402"/>
      <c r="CJ51" s="402"/>
      <c r="CK51" s="402"/>
      <c r="CL51" s="402"/>
      <c r="CM51" s="402"/>
      <c r="CN51" s="402"/>
      <c r="CO51" s="402"/>
      <c r="CP51" s="402"/>
      <c r="CQ51" s="402"/>
      <c r="CR51" s="402"/>
      <c r="CS51" s="402"/>
      <c r="CT51" s="402"/>
      <c r="CU51" s="402"/>
      <c r="CV51" s="402"/>
      <c r="CW51" s="402"/>
      <c r="CX51" s="402"/>
      <c r="CY51" s="402"/>
      <c r="CZ51" s="402"/>
    </row>
    <row r="52" spans="1:105" s="376" customFormat="1" x14ac:dyDescent="0.25">
      <c r="B52" s="376" t="s">
        <v>33</v>
      </c>
      <c r="D52" s="380"/>
      <c r="E52" s="380"/>
      <c r="F52" s="380"/>
      <c r="G52" s="370">
        <f>IF(Standards_Active!$S16="yes",AQ52,CA52)</f>
        <v>1</v>
      </c>
      <c r="H52" s="370">
        <f>IF(Standards_Active!$S16="yes",AR52,CB52)</f>
        <v>1</v>
      </c>
      <c r="I52" s="370">
        <f>IF(Standards_Active!$S16="yes",AS52,CC52)</f>
        <v>1</v>
      </c>
      <c r="J52" s="370">
        <f>IF(Standards_Active!$S16="yes",AT52,CD52)</f>
        <v>1</v>
      </c>
      <c r="K52" s="370">
        <f>IF(Standards_Active!$S16="yes",AU52,CE52)</f>
        <v>1</v>
      </c>
      <c r="L52" s="370">
        <f>IF(Standards_Active!$S16="yes",AV52,CF52)</f>
        <v>1</v>
      </c>
      <c r="M52" s="370">
        <f>IF(Standards_Active!$S16="yes",AW52,CG52)</f>
        <v>1</v>
      </c>
      <c r="N52" s="370">
        <f>IF(Standards_Active!$S16="yes",AX52,CH52)</f>
        <v>1</v>
      </c>
      <c r="O52" s="370">
        <f>IF(Standards_Active!$S16="yes",AY52,CI52)</f>
        <v>1</v>
      </c>
      <c r="P52" s="370">
        <f>IF(Standards_Active!$S16="yes",AZ52,CJ52)</f>
        <v>1</v>
      </c>
      <c r="Q52" s="370">
        <f>IF(Standards_Active!$S16="yes",BA52,CK52)</f>
        <v>1</v>
      </c>
      <c r="R52" s="370">
        <f>IF(Standards_Active!$S16="yes",BB52,CL52)</f>
        <v>1</v>
      </c>
      <c r="S52" s="370">
        <f>IF(Standards_Active!$S16="yes",BC52,CM52)</f>
        <v>1</v>
      </c>
      <c r="T52" s="370">
        <f>IF(Standards_Active!$S16="yes",BD52,CN52)</f>
        <v>1</v>
      </c>
      <c r="U52" s="370">
        <f>IF(Standards_Active!$S16="yes",BE52,CO52)</f>
        <v>1</v>
      </c>
      <c r="V52" s="370">
        <f>IF(Standards_Active!$S16="yes",BF52,CP52)</f>
        <v>1</v>
      </c>
      <c r="W52" s="370">
        <f>IF(Standards_Active!$S16="yes",BG52,CQ52)</f>
        <v>1</v>
      </c>
      <c r="X52" s="370">
        <f>IF(Standards_Active!$S16="yes",BH52,CR52)</f>
        <v>1</v>
      </c>
      <c r="Y52" s="370">
        <f>IF(Standards_Active!$S16="yes",BI52,CS52)</f>
        <v>1</v>
      </c>
      <c r="Z52" s="370">
        <f>IF(Standards_Active!$S16="yes",BJ52,CT52)</f>
        <v>1</v>
      </c>
      <c r="AA52" s="370">
        <f>IF(Standards_Active!$S16="yes",BK52,CU52)</f>
        <v>1</v>
      </c>
      <c r="AB52" s="370">
        <f>IF(Standards_Active!$S16="yes",BL52,CV52)</f>
        <v>1</v>
      </c>
      <c r="AC52" s="370">
        <f>IF(Standards_Active!$S16="yes",BM52,CW52)</f>
        <v>1</v>
      </c>
      <c r="AD52" s="370">
        <f>IF(Standards_Active!$S16="yes",BN52,CX52)</f>
        <v>1</v>
      </c>
      <c r="AE52" s="370">
        <f>IF(Standards_Active!$S16="yes",BO52,CY52)</f>
        <v>1</v>
      </c>
      <c r="AF52" s="370">
        <f>IF(Standards_Active!$S16="yes",BP52,CZ52)</f>
        <v>1</v>
      </c>
      <c r="AH52"/>
      <c r="AI52"/>
      <c r="AJ52"/>
      <c r="AK52"/>
      <c r="AL52"/>
      <c r="AM52"/>
      <c r="AN52"/>
      <c r="AO52"/>
      <c r="AP52"/>
      <c r="AQ52" s="622">
        <f>IF(ISNUMBER(Standards_Active!$T16),IF(AND(AQ$44&gt;=Standards_Active!$Q16,AQ$44&lt;Standards_Active!$R16),AP52-Standards_Active!$U16*INDEX($AQ$58:$BP$58,1,MATCH((Standards_Active!$Q16-1),$AQ$44:$BP$44,FALSE)),IF(AQ$44&gt;=Standards_Active!$R16,Standards_Active!$V16,CA52)),CA52)</f>
        <v>1</v>
      </c>
      <c r="AR52" s="622">
        <f>IF(ISNUMBER(Standards_Active!$T16),IF(AND(AR$44&gt;=Standards_Active!$Q16,AR$44&lt;Standards_Active!$R16),AQ52-Standards_Active!$U16*INDEX($AQ$58:$BP$58,1,MATCH((Standards_Active!$Q16-1),$AQ$44:$BP$44,FALSE)),IF(AR$44&gt;=Standards_Active!$R16,Standards_Active!$V16,CB52)),CB52)</f>
        <v>1</v>
      </c>
      <c r="AS52" s="622">
        <f>IF(ISNUMBER(Standards_Active!$T16),IF(AND(AS$44&gt;=Standards_Active!$Q16,AS$44&lt;Standards_Active!$R16),AR52-Standards_Active!$U16*INDEX($AQ$58:$BP$58,1,MATCH((Standards_Active!$Q16-1),$AQ$44:$BP$44,FALSE)),IF(AS$44&gt;=Standards_Active!$R16,Standards_Active!$V16,CC52)),CC52)</f>
        <v>1</v>
      </c>
      <c r="AT52" s="622">
        <f>IF(ISNUMBER(Standards_Active!$T16),IF(AND(AT$44&gt;=Standards_Active!$Q16,AT$44&lt;Standards_Active!$R16),AS52-Standards_Active!$U16*INDEX($AQ$58:$BP$58,1,MATCH((Standards_Active!$Q16-1),$AQ$44:$BP$44,FALSE)),IF(AT$44&gt;=Standards_Active!$R16,Standards_Active!$V16,CD52)),CD52)</f>
        <v>1</v>
      </c>
      <c r="AU52" s="622">
        <f>IF(ISNUMBER(Standards_Active!$T16),IF(AND(AU$44&gt;=Standards_Active!$Q16,AU$44&lt;Standards_Active!$R16),AT52-Standards_Active!$U16*INDEX($AQ$58:$BP$58,1,MATCH((Standards_Active!$Q16-1),$AQ$44:$BP$44,FALSE)),IF(AU$44&gt;=Standards_Active!$R16,Standards_Active!$V16,CE52)),CE52)</f>
        <v>1</v>
      </c>
      <c r="AV52" s="622">
        <f>IF(ISNUMBER(Standards_Active!$T16),IF(AND(AV$44&gt;=Standards_Active!$Q16,AV$44&lt;Standards_Active!$R16),AU52-Standards_Active!$U16*INDEX($AQ$58:$BP$58,1,MATCH((Standards_Active!$Q16-1),$AQ$44:$BP$44,FALSE)),IF(AV$44&gt;=Standards_Active!$R16,Standards_Active!$V16,CF52)),CF52)</f>
        <v>1</v>
      </c>
      <c r="AW52" s="622">
        <f>IF(ISNUMBER(Standards_Active!$T16),IF(AND(AW$44&gt;=Standards_Active!$Q16,AW$44&lt;Standards_Active!$R16),AV52-Standards_Active!$U16*INDEX($AQ$58:$BP$58,1,MATCH((Standards_Active!$Q16-1),$AQ$44:$BP$44,FALSE)),IF(AW$44&gt;=Standards_Active!$R16,Standards_Active!$V16,CG52)),CG52)</f>
        <v>1</v>
      </c>
      <c r="AX52" s="622">
        <f>IF(ISNUMBER(Standards_Active!$T16),IF(AND(AX$44&gt;=Standards_Active!$Q16,AX$44&lt;Standards_Active!$R16),AW52-Standards_Active!$U16*INDEX($AQ$58:$BP$58,1,MATCH((Standards_Active!$Q16-1),$AQ$44:$BP$44,FALSE)),IF(AX$44&gt;=Standards_Active!$R16,Standards_Active!$V16,CH52)),CH52)</f>
        <v>1</v>
      </c>
      <c r="AY52" s="622">
        <f>IF(ISNUMBER(Standards_Active!$T16),IF(AND(AY$44&gt;=Standards_Active!$Q16,AY$44&lt;Standards_Active!$R16),AX52-Standards_Active!$U16*INDEX($AQ$58:$BP$58,1,MATCH((Standards_Active!$Q16-1),$AQ$44:$BP$44,FALSE)),IF(AY$44&gt;=Standards_Active!$R16,Standards_Active!$V16,CI52)),CI52)</f>
        <v>1</v>
      </c>
      <c r="AZ52" s="622">
        <f>IF(ISNUMBER(Standards_Active!$T16),IF(AND(AZ$44&gt;=Standards_Active!$Q16,AZ$44&lt;Standards_Active!$R16),AY52-Standards_Active!$U16*INDEX($AQ$58:$BP$58,1,MATCH((Standards_Active!$Q16-1),$AQ$44:$BP$44,FALSE)),IF(AZ$44&gt;=Standards_Active!$R16,Standards_Active!$V16,CJ52)),CJ52)</f>
        <v>1</v>
      </c>
      <c r="BA52" s="622">
        <f>IF(ISNUMBER(Standards_Active!$T16),IF(AND(BA$44&gt;=Standards_Active!$Q16,BA$44&lt;Standards_Active!$R16),AZ52-Standards_Active!$U16*INDEX($AQ$58:$BP$58,1,MATCH((Standards_Active!$Q16-1),$AQ$44:$BP$44,FALSE)),IF(BA$44&gt;=Standards_Active!$R16,Standards_Active!$V16,CK52)),CK52)</f>
        <v>1</v>
      </c>
      <c r="BB52" s="622">
        <f>IF(ISNUMBER(Standards_Active!$T16),IF(AND(BB$44&gt;=Standards_Active!$Q16,BB$44&lt;Standards_Active!$R16),BA52-Standards_Active!$U16*INDEX($AQ$58:$BP$58,1,MATCH((Standards_Active!$Q16-1),$AQ$44:$BP$44,FALSE)),IF(BB$44&gt;=Standards_Active!$R16,Standards_Active!$V16,CL52)),CL52)</f>
        <v>1</v>
      </c>
      <c r="BC52" s="622">
        <f>IF(ISNUMBER(Standards_Active!$T16),IF(AND(BC$44&gt;=Standards_Active!$Q16,BC$44&lt;Standards_Active!$R16),BB52-Standards_Active!$U16*INDEX($AQ$58:$BP$58,1,MATCH((Standards_Active!$Q16-1),$AQ$44:$BP$44,FALSE)),IF(BC$44&gt;=Standards_Active!$R16,Standards_Active!$V16,CM52)),CM52)</f>
        <v>1</v>
      </c>
      <c r="BD52" s="622">
        <f>IF(ISNUMBER(Standards_Active!$T16),IF(AND(BD$44&gt;=Standards_Active!$Q16,BD$44&lt;Standards_Active!$R16),BC52-Standards_Active!$U16*INDEX($AQ$58:$BP$58,1,MATCH((Standards_Active!$Q16-1),$AQ$44:$BP$44,FALSE)),IF(BD$44&gt;=Standards_Active!$R16,Standards_Active!$V16,CN52)),CN52)</f>
        <v>1</v>
      </c>
      <c r="BE52" s="622">
        <f>IF(ISNUMBER(Standards_Active!$T16),IF(AND(BE$44&gt;=Standards_Active!$Q16,BE$44&lt;Standards_Active!$R16),BD52-Standards_Active!$U16*INDEX($AQ$58:$BP$58,1,MATCH((Standards_Active!$Q16-1),$AQ$44:$BP$44,FALSE)),IF(BE$44&gt;=Standards_Active!$R16,Standards_Active!$V16,CO52)),CO52)</f>
        <v>1</v>
      </c>
      <c r="BF52" s="622">
        <f>IF(ISNUMBER(Standards_Active!$T16),IF(AND(BF$44&gt;=Standards_Active!$Q16,BF$44&lt;Standards_Active!$R16),BE52-Standards_Active!$U16*INDEX($AQ$58:$BP$58,1,MATCH((Standards_Active!$Q16-1),$AQ$44:$BP$44,FALSE)),IF(BF$44&gt;=Standards_Active!$R16,Standards_Active!$V16,CP52)),CP52)</f>
        <v>1</v>
      </c>
      <c r="BG52" s="622">
        <f>IF(ISNUMBER(Standards_Active!$T16),IF(AND(BG$44&gt;=Standards_Active!$Q16,BG$44&lt;Standards_Active!$R16),BF52-Standards_Active!$U16*INDEX($AQ$58:$BP$58,1,MATCH((Standards_Active!$Q16-1),$AQ$44:$BP$44,FALSE)),IF(BG$44&gt;=Standards_Active!$R16,Standards_Active!$V16,CQ52)),CQ52)</f>
        <v>1</v>
      </c>
      <c r="BH52" s="622">
        <f>IF(ISNUMBER(Standards_Active!$T16),IF(AND(BH$44&gt;=Standards_Active!$Q16,BH$44&lt;Standards_Active!$R16),BG52-Standards_Active!$U16*INDEX($AQ$58:$BP$58,1,MATCH((Standards_Active!$Q16-1),$AQ$44:$BP$44,FALSE)),IF(BH$44&gt;=Standards_Active!$R16,Standards_Active!$V16,CR52)),CR52)</f>
        <v>1</v>
      </c>
      <c r="BI52" s="622">
        <f>IF(ISNUMBER(Standards_Active!$T16),IF(AND(BI$44&gt;=Standards_Active!$Q16,BI$44&lt;Standards_Active!$R16),BH52-Standards_Active!$U16*INDEX($AQ$58:$BP$58,1,MATCH((Standards_Active!$Q16-1),$AQ$44:$BP$44,FALSE)),IF(BI$44&gt;=Standards_Active!$R16,Standards_Active!$V16,CS52)),CS52)</f>
        <v>1</v>
      </c>
      <c r="BJ52" s="622">
        <f>IF(ISNUMBER(Standards_Active!$T16),IF(AND(BJ$44&gt;=Standards_Active!$Q16,BJ$44&lt;Standards_Active!$R16),BI52-Standards_Active!$U16*INDEX($AQ$58:$BP$58,1,MATCH((Standards_Active!$Q16-1),$AQ$44:$BP$44,FALSE)),IF(BJ$44&gt;=Standards_Active!$R16,Standards_Active!$V16,CT52)),CT52)</f>
        <v>1</v>
      </c>
      <c r="BK52" s="622">
        <f>IF(ISNUMBER(Standards_Active!$T16),IF(AND(BK$44&gt;=Standards_Active!$Q16,BK$44&lt;Standards_Active!$R16),BJ52-Standards_Active!$U16*INDEX($AQ$58:$BP$58,1,MATCH((Standards_Active!$Q16-1),$AQ$44:$BP$44,FALSE)),IF(BK$44&gt;=Standards_Active!$R16,Standards_Active!$V16,CU52)),CU52)</f>
        <v>1</v>
      </c>
      <c r="BL52" s="622">
        <f>IF(ISNUMBER(Standards_Active!$T16),IF(AND(BL$44&gt;=Standards_Active!$Q16,BL$44&lt;Standards_Active!$R16),BK52-Standards_Active!$U16*INDEX($AQ$58:$BP$58,1,MATCH((Standards_Active!$Q16-1),$AQ$44:$BP$44,FALSE)),IF(BL$44&gt;=Standards_Active!$R16,Standards_Active!$V16,CV52)),CV52)</f>
        <v>1</v>
      </c>
      <c r="BM52" s="622">
        <f>IF(ISNUMBER(Standards_Active!$T16),IF(AND(BM$44&gt;=Standards_Active!$Q16,BM$44&lt;Standards_Active!$R16),BL52-Standards_Active!$U16*INDEX($AQ$58:$BP$58,1,MATCH((Standards_Active!$Q16-1),$AQ$44:$BP$44,FALSE)),IF(BM$44&gt;=Standards_Active!$R16,Standards_Active!$V16,CW52)),CW52)</f>
        <v>1</v>
      </c>
      <c r="BN52" s="622">
        <f>IF(ISNUMBER(Standards_Active!$T16),IF(AND(BN$44&gt;=Standards_Active!$Q16,BN$44&lt;Standards_Active!$R16),BM52-Standards_Active!$U16*INDEX($AQ$58:$BP$58,1,MATCH((Standards_Active!$Q16-1),$AQ$44:$BP$44,FALSE)),IF(BN$44&gt;=Standards_Active!$R16,Standards_Active!$V16,CX52)),CX52)</f>
        <v>1</v>
      </c>
      <c r="BO52" s="622">
        <f>IF(ISNUMBER(Standards_Active!$T16),IF(AND(BO$44&gt;=Standards_Active!$Q16,BO$44&lt;Standards_Active!$R16),BN52-Standards_Active!$U16*INDEX($AQ$58:$BP$58,1,MATCH((Standards_Active!$Q16-1),$AQ$44:$BP$44,FALSE)),IF(BO$44&gt;=Standards_Active!$R16,Standards_Active!$V16,CY52)),CY52)</f>
        <v>1</v>
      </c>
      <c r="BP52" s="622">
        <f>IF(ISNUMBER(Standards_Active!$T16),IF(AND(BP$44&gt;=Standards_Active!$Q16,BP$44&lt;Standards_Active!$R16),BO52-Standards_Active!$U16*INDEX($AQ$58:$BP$58,1,MATCH((Standards_Active!$Q16-1),$AQ$44:$BP$44,FALSE)),IF(BP$44&gt;=Standards_Active!$R16,Standards_Active!$V16,CZ52)),CZ52)</f>
        <v>1</v>
      </c>
      <c r="BQ52" s="380"/>
      <c r="BR52"/>
      <c r="BS52"/>
      <c r="BT52"/>
      <c r="BU52"/>
      <c r="BV52"/>
      <c r="BW52"/>
      <c r="BX52"/>
      <c r="BY52"/>
      <c r="BZ52"/>
      <c r="CA52" s="372">
        <v>1</v>
      </c>
      <c r="CB52" s="372">
        <v>1</v>
      </c>
      <c r="CC52" s="372">
        <v>1</v>
      </c>
      <c r="CD52" s="372">
        <v>1</v>
      </c>
      <c r="CE52" s="372">
        <v>1</v>
      </c>
      <c r="CF52" s="372">
        <v>1</v>
      </c>
      <c r="CG52" s="372">
        <v>1</v>
      </c>
      <c r="CH52" s="372">
        <v>1</v>
      </c>
      <c r="CI52" s="372">
        <v>1</v>
      </c>
      <c r="CJ52" s="372">
        <v>1</v>
      </c>
      <c r="CK52" s="372">
        <v>1</v>
      </c>
      <c r="CL52" s="372">
        <v>1</v>
      </c>
      <c r="CM52" s="372">
        <v>1</v>
      </c>
      <c r="CN52" s="372">
        <v>1</v>
      </c>
      <c r="CO52" s="372">
        <v>1</v>
      </c>
      <c r="CP52" s="372">
        <v>1</v>
      </c>
      <c r="CQ52" s="372">
        <v>1</v>
      </c>
      <c r="CR52" s="372">
        <v>1</v>
      </c>
      <c r="CS52" s="372">
        <v>1</v>
      </c>
      <c r="CT52" s="372">
        <v>1</v>
      </c>
      <c r="CU52" s="372">
        <v>1</v>
      </c>
      <c r="CV52" s="372">
        <v>1</v>
      </c>
      <c r="CW52" s="372">
        <v>1</v>
      </c>
      <c r="CX52" s="372">
        <v>1</v>
      </c>
      <c r="CY52" s="372">
        <v>1</v>
      </c>
      <c r="CZ52" s="372">
        <v>1</v>
      </c>
    </row>
    <row r="53" spans="1:105" s="376" customFormat="1" x14ac:dyDescent="0.25">
      <c r="A53" s="388"/>
      <c r="B53" s="388" t="s">
        <v>34</v>
      </c>
      <c r="D53" s="380"/>
      <c r="E53" s="380"/>
      <c r="F53" s="380"/>
      <c r="G53" s="370">
        <f>IF(Standards_Active!$S17="yes",AQ53,CA53)</f>
        <v>1</v>
      </c>
      <c r="H53" s="370">
        <f>IF(Standards_Active!$S17="yes",AR53,CB53)</f>
        <v>1</v>
      </c>
      <c r="I53" s="370">
        <f>IF(Standards_Active!$S17="yes",AS53,CC53)</f>
        <v>1</v>
      </c>
      <c r="J53" s="370">
        <f>IF(Standards_Active!$S17="yes",AT53,CD53)</f>
        <v>1</v>
      </c>
      <c r="K53" s="370">
        <f>IF(Standards_Active!$S17="yes",AU53,CE53)</f>
        <v>1</v>
      </c>
      <c r="L53" s="370">
        <f>IF(Standards_Active!$S17="yes",AV53,CF53)</f>
        <v>1</v>
      </c>
      <c r="M53" s="370">
        <f>IF(Standards_Active!$S17="yes",AW53,CG53)</f>
        <v>1</v>
      </c>
      <c r="N53" s="370">
        <f>IF(Standards_Active!$S17="yes",AX53,CH53)</f>
        <v>1</v>
      </c>
      <c r="O53" s="370">
        <f>IF(Standards_Active!$S17="yes",AY53,CI53)</f>
        <v>1</v>
      </c>
      <c r="P53" s="370">
        <f>IF(Standards_Active!$S17="yes",AZ53,CJ53)</f>
        <v>1</v>
      </c>
      <c r="Q53" s="370">
        <f>IF(Standards_Active!$S17="yes",BA53,CK53)</f>
        <v>1</v>
      </c>
      <c r="R53" s="370">
        <f>IF(Standards_Active!$S17="yes",BB53,CL53)</f>
        <v>1</v>
      </c>
      <c r="S53" s="370">
        <f>IF(Standards_Active!$S17="yes",BC53,CM53)</f>
        <v>1</v>
      </c>
      <c r="T53" s="370">
        <f>IF(Standards_Active!$S17="yes",BD53,CN53)</f>
        <v>1</v>
      </c>
      <c r="U53" s="370">
        <f>IF(Standards_Active!$S17="yes",BE53,CO53)</f>
        <v>1</v>
      </c>
      <c r="V53" s="370">
        <f>IF(Standards_Active!$S17="yes",BF53,CP53)</f>
        <v>1</v>
      </c>
      <c r="W53" s="370">
        <f>IF(Standards_Active!$S17="yes",BG53,CQ53)</f>
        <v>1</v>
      </c>
      <c r="X53" s="370">
        <f>IF(Standards_Active!$S17="yes",BH53,CR53)</f>
        <v>1</v>
      </c>
      <c r="Y53" s="370">
        <f>IF(Standards_Active!$S17="yes",BI53,CS53)</f>
        <v>1</v>
      </c>
      <c r="Z53" s="370">
        <f>IF(Standards_Active!$S17="yes",BJ53,CT53)</f>
        <v>1</v>
      </c>
      <c r="AA53" s="370">
        <f>IF(Standards_Active!$S17="yes",BK53,CU53)</f>
        <v>1</v>
      </c>
      <c r="AB53" s="370">
        <f>IF(Standards_Active!$S17="yes",BL53,CV53)</f>
        <v>1</v>
      </c>
      <c r="AC53" s="370">
        <f>IF(Standards_Active!$S17="yes",BM53,CW53)</f>
        <v>1</v>
      </c>
      <c r="AD53" s="370">
        <f>IF(Standards_Active!$S17="yes",BN53,CX53)</f>
        <v>1</v>
      </c>
      <c r="AE53" s="370">
        <f>IF(Standards_Active!$S17="yes",BO53,CY53)</f>
        <v>1</v>
      </c>
      <c r="AF53" s="370">
        <f>IF(Standards_Active!$S17="yes",BP53,CZ53)</f>
        <v>1</v>
      </c>
      <c r="AH53"/>
      <c r="AI53"/>
      <c r="AJ53"/>
      <c r="AK53"/>
      <c r="AL53"/>
      <c r="AM53"/>
      <c r="AN53"/>
      <c r="AO53"/>
      <c r="AP53"/>
      <c r="AQ53" s="622">
        <f>IF(ISNUMBER(Standards_Active!$T17),IF(AND(AQ$44&gt;=Standards_Active!$Q17,AQ$44&lt;Standards_Active!$R17),AP53-Standards_Active!$U17*INDEX($AQ$58:$BP$58,1,MATCH((Standards_Active!$Q17-1),$AQ$44:$BP$44,FALSE)),IF(AQ$44&gt;=Standards_Active!$R17,Standards_Active!$V17,CA53)),CA53)</f>
        <v>1</v>
      </c>
      <c r="AR53" s="622">
        <f>IF(ISNUMBER(Standards_Active!$T17),IF(AND(AR$44&gt;=Standards_Active!$Q17,AR$44&lt;Standards_Active!$R17),AQ53-Standards_Active!$U17*INDEX($AQ$58:$BP$58,1,MATCH((Standards_Active!$Q17-1),$AQ$44:$BP$44,FALSE)),IF(AR$44&gt;=Standards_Active!$R17,Standards_Active!$V17,CB53)),CB53)</f>
        <v>1</v>
      </c>
      <c r="AS53" s="622">
        <f>IF(ISNUMBER(Standards_Active!$T17),IF(AND(AS$44&gt;=Standards_Active!$Q17,AS$44&lt;Standards_Active!$R17),AR53-Standards_Active!$U17*INDEX($AQ$58:$BP$58,1,MATCH((Standards_Active!$Q17-1),$AQ$44:$BP$44,FALSE)),IF(AS$44&gt;=Standards_Active!$R17,Standards_Active!$V17,CC53)),CC53)</f>
        <v>1</v>
      </c>
      <c r="AT53" s="622">
        <f>IF(ISNUMBER(Standards_Active!$T17),IF(AND(AT$44&gt;=Standards_Active!$Q17,AT$44&lt;Standards_Active!$R17),AS53-Standards_Active!$U17*INDEX($AQ$58:$BP$58,1,MATCH((Standards_Active!$Q17-1),$AQ$44:$BP$44,FALSE)),IF(AT$44&gt;=Standards_Active!$R17,Standards_Active!$V17,CD53)),CD53)</f>
        <v>1</v>
      </c>
      <c r="AU53" s="622">
        <f>IF(ISNUMBER(Standards_Active!$T17),IF(AND(AU$44&gt;=Standards_Active!$Q17,AU$44&lt;Standards_Active!$R17),AT53-Standards_Active!$U17*INDEX($AQ$58:$BP$58,1,MATCH((Standards_Active!$Q17-1),$AQ$44:$BP$44,FALSE)),IF(AU$44&gt;=Standards_Active!$R17,Standards_Active!$V17,CE53)),CE53)</f>
        <v>1</v>
      </c>
      <c r="AV53" s="622">
        <f>IF(ISNUMBER(Standards_Active!$T17),IF(AND(AV$44&gt;=Standards_Active!$Q17,AV$44&lt;Standards_Active!$R17),AU53-Standards_Active!$U17*INDEX($AQ$58:$BP$58,1,MATCH((Standards_Active!$Q17-1),$AQ$44:$BP$44,FALSE)),IF(AV$44&gt;=Standards_Active!$R17,Standards_Active!$V17,CF53)),CF53)</f>
        <v>1</v>
      </c>
      <c r="AW53" s="622">
        <f>IF(ISNUMBER(Standards_Active!$T17),IF(AND(AW$44&gt;=Standards_Active!$Q17,AW$44&lt;Standards_Active!$R17),AV53-Standards_Active!$U17*INDEX($AQ$58:$BP$58,1,MATCH((Standards_Active!$Q17-1),$AQ$44:$BP$44,FALSE)),IF(AW$44&gt;=Standards_Active!$R17,Standards_Active!$V17,CG53)),CG53)</f>
        <v>1</v>
      </c>
      <c r="AX53" s="622">
        <f>IF(ISNUMBER(Standards_Active!$T17),IF(AND(AX$44&gt;=Standards_Active!$Q17,AX$44&lt;Standards_Active!$R17),AW53-Standards_Active!$U17*INDEX($AQ$58:$BP$58,1,MATCH((Standards_Active!$Q17-1),$AQ$44:$BP$44,FALSE)),IF(AX$44&gt;=Standards_Active!$R17,Standards_Active!$V17,CH53)),CH53)</f>
        <v>1</v>
      </c>
      <c r="AY53" s="622">
        <f>IF(ISNUMBER(Standards_Active!$T17),IF(AND(AY$44&gt;=Standards_Active!$Q17,AY$44&lt;Standards_Active!$R17),AX53-Standards_Active!$U17*INDEX($AQ$58:$BP$58,1,MATCH((Standards_Active!$Q17-1),$AQ$44:$BP$44,FALSE)),IF(AY$44&gt;=Standards_Active!$R17,Standards_Active!$V17,CI53)),CI53)</f>
        <v>1</v>
      </c>
      <c r="AZ53" s="622">
        <f>IF(ISNUMBER(Standards_Active!$T17),IF(AND(AZ$44&gt;=Standards_Active!$Q17,AZ$44&lt;Standards_Active!$R17),AY53-Standards_Active!$U17*INDEX($AQ$58:$BP$58,1,MATCH((Standards_Active!$Q17-1),$AQ$44:$BP$44,FALSE)),IF(AZ$44&gt;=Standards_Active!$R17,Standards_Active!$V17,CJ53)),CJ53)</f>
        <v>1</v>
      </c>
      <c r="BA53" s="622">
        <f>IF(ISNUMBER(Standards_Active!$T17),IF(AND(BA$44&gt;=Standards_Active!$Q17,BA$44&lt;Standards_Active!$R17),AZ53-Standards_Active!$U17*INDEX($AQ$58:$BP$58,1,MATCH((Standards_Active!$Q17-1),$AQ$44:$BP$44,FALSE)),IF(BA$44&gt;=Standards_Active!$R17,Standards_Active!$V17,CK53)),CK53)</f>
        <v>1</v>
      </c>
      <c r="BB53" s="622">
        <f>IF(ISNUMBER(Standards_Active!$T17),IF(AND(BB$44&gt;=Standards_Active!$Q17,BB$44&lt;Standards_Active!$R17),BA53-Standards_Active!$U17*INDEX($AQ$58:$BP$58,1,MATCH((Standards_Active!$Q17-1),$AQ$44:$BP$44,FALSE)),IF(BB$44&gt;=Standards_Active!$R17,Standards_Active!$V17,CL53)),CL53)</f>
        <v>1</v>
      </c>
      <c r="BC53" s="622">
        <f>IF(ISNUMBER(Standards_Active!$T17),IF(AND(BC$44&gt;=Standards_Active!$Q17,BC$44&lt;Standards_Active!$R17),BB53-Standards_Active!$U17*INDEX($AQ$58:$BP$58,1,MATCH((Standards_Active!$Q17-1),$AQ$44:$BP$44,FALSE)),IF(BC$44&gt;=Standards_Active!$R17,Standards_Active!$V17,CM53)),CM53)</f>
        <v>1</v>
      </c>
      <c r="BD53" s="622">
        <f>IF(ISNUMBER(Standards_Active!$T17),IF(AND(BD$44&gt;=Standards_Active!$Q17,BD$44&lt;Standards_Active!$R17),BC53-Standards_Active!$U17*INDEX($AQ$58:$BP$58,1,MATCH((Standards_Active!$Q17-1),$AQ$44:$BP$44,FALSE)),IF(BD$44&gt;=Standards_Active!$R17,Standards_Active!$V17,CN53)),CN53)</f>
        <v>1</v>
      </c>
      <c r="BE53" s="622">
        <f>IF(ISNUMBER(Standards_Active!$T17),IF(AND(BE$44&gt;=Standards_Active!$Q17,BE$44&lt;Standards_Active!$R17),BD53-Standards_Active!$U17*INDEX($AQ$58:$BP$58,1,MATCH((Standards_Active!$Q17-1),$AQ$44:$BP$44,FALSE)),IF(BE$44&gt;=Standards_Active!$R17,Standards_Active!$V17,CO53)),CO53)</f>
        <v>1</v>
      </c>
      <c r="BF53" s="622">
        <f>IF(ISNUMBER(Standards_Active!$T17),IF(AND(BF$44&gt;=Standards_Active!$Q17,BF$44&lt;Standards_Active!$R17),BE53-Standards_Active!$U17*INDEX($AQ$58:$BP$58,1,MATCH((Standards_Active!$Q17-1),$AQ$44:$BP$44,FALSE)),IF(BF$44&gt;=Standards_Active!$R17,Standards_Active!$V17,CP53)),CP53)</f>
        <v>1</v>
      </c>
      <c r="BG53" s="622">
        <f>IF(ISNUMBER(Standards_Active!$T17),IF(AND(BG$44&gt;=Standards_Active!$Q17,BG$44&lt;Standards_Active!$R17),BF53-Standards_Active!$U17*INDEX($AQ$58:$BP$58,1,MATCH((Standards_Active!$Q17-1),$AQ$44:$BP$44,FALSE)),IF(BG$44&gt;=Standards_Active!$R17,Standards_Active!$V17,CQ53)),CQ53)</f>
        <v>1</v>
      </c>
      <c r="BH53" s="622">
        <f>IF(ISNUMBER(Standards_Active!$T17),IF(AND(BH$44&gt;=Standards_Active!$Q17,BH$44&lt;Standards_Active!$R17),BG53-Standards_Active!$U17*INDEX($AQ$58:$BP$58,1,MATCH((Standards_Active!$Q17-1),$AQ$44:$BP$44,FALSE)),IF(BH$44&gt;=Standards_Active!$R17,Standards_Active!$V17,CR53)),CR53)</f>
        <v>1</v>
      </c>
      <c r="BI53" s="622">
        <f>IF(ISNUMBER(Standards_Active!$T17),IF(AND(BI$44&gt;=Standards_Active!$Q17,BI$44&lt;Standards_Active!$R17),BH53-Standards_Active!$U17*INDEX($AQ$58:$BP$58,1,MATCH((Standards_Active!$Q17-1),$AQ$44:$BP$44,FALSE)),IF(BI$44&gt;=Standards_Active!$R17,Standards_Active!$V17,CS53)),CS53)</f>
        <v>1</v>
      </c>
      <c r="BJ53" s="622">
        <f>IF(ISNUMBER(Standards_Active!$T17),IF(AND(BJ$44&gt;=Standards_Active!$Q17,BJ$44&lt;Standards_Active!$R17),BI53-Standards_Active!$U17*INDEX($AQ$58:$BP$58,1,MATCH((Standards_Active!$Q17-1),$AQ$44:$BP$44,FALSE)),IF(BJ$44&gt;=Standards_Active!$R17,Standards_Active!$V17,CT53)),CT53)</f>
        <v>1</v>
      </c>
      <c r="BK53" s="622">
        <f>IF(ISNUMBER(Standards_Active!$T17),IF(AND(BK$44&gt;=Standards_Active!$Q17,BK$44&lt;Standards_Active!$R17),BJ53-Standards_Active!$U17*INDEX($AQ$58:$BP$58,1,MATCH((Standards_Active!$Q17-1),$AQ$44:$BP$44,FALSE)),IF(BK$44&gt;=Standards_Active!$R17,Standards_Active!$V17,CU53)),CU53)</f>
        <v>1</v>
      </c>
      <c r="BL53" s="622">
        <f>IF(ISNUMBER(Standards_Active!$T17),IF(AND(BL$44&gt;=Standards_Active!$Q17,BL$44&lt;Standards_Active!$R17),BK53-Standards_Active!$U17*INDEX($AQ$58:$BP$58,1,MATCH((Standards_Active!$Q17-1),$AQ$44:$BP$44,FALSE)),IF(BL$44&gt;=Standards_Active!$R17,Standards_Active!$V17,CV53)),CV53)</f>
        <v>1</v>
      </c>
      <c r="BM53" s="622">
        <f>IF(ISNUMBER(Standards_Active!$T17),IF(AND(BM$44&gt;=Standards_Active!$Q17,BM$44&lt;Standards_Active!$R17),BL53-Standards_Active!$U17*INDEX($AQ$58:$BP$58,1,MATCH((Standards_Active!$Q17-1),$AQ$44:$BP$44,FALSE)),IF(BM$44&gt;=Standards_Active!$R17,Standards_Active!$V17,CW53)),CW53)</f>
        <v>1</v>
      </c>
      <c r="BN53" s="622">
        <f>IF(ISNUMBER(Standards_Active!$T17),IF(AND(BN$44&gt;=Standards_Active!$Q17,BN$44&lt;Standards_Active!$R17),BM53-Standards_Active!$U17*INDEX($AQ$58:$BP$58,1,MATCH((Standards_Active!$Q17-1),$AQ$44:$BP$44,FALSE)),IF(BN$44&gt;=Standards_Active!$R17,Standards_Active!$V17,CX53)),CX53)</f>
        <v>1</v>
      </c>
      <c r="BO53" s="622">
        <f>IF(ISNUMBER(Standards_Active!$T17),IF(AND(BO$44&gt;=Standards_Active!$Q17,BO$44&lt;Standards_Active!$R17),BN53-Standards_Active!$U17*INDEX($AQ$58:$BP$58,1,MATCH((Standards_Active!$Q17-1),$AQ$44:$BP$44,FALSE)),IF(BO$44&gt;=Standards_Active!$R17,Standards_Active!$V17,CY53)),CY53)</f>
        <v>1</v>
      </c>
      <c r="BP53" s="622">
        <f>IF(ISNUMBER(Standards_Active!$T17),IF(AND(BP$44&gt;=Standards_Active!$Q17,BP$44&lt;Standards_Active!$R17),BO53-Standards_Active!$U17*INDEX($AQ$58:$BP$58,1,MATCH((Standards_Active!$Q17-1),$AQ$44:$BP$44,FALSE)),IF(BP$44&gt;=Standards_Active!$R17,Standards_Active!$V17,CZ53)),CZ53)</f>
        <v>1</v>
      </c>
      <c r="BQ53" s="380"/>
      <c r="BR53"/>
      <c r="BS53"/>
      <c r="BT53"/>
      <c r="BU53"/>
      <c r="BV53"/>
      <c r="BW53"/>
      <c r="BX53"/>
      <c r="BY53"/>
      <c r="BZ53"/>
      <c r="CA53" s="372">
        <v>1</v>
      </c>
      <c r="CB53" s="372">
        <v>1</v>
      </c>
      <c r="CC53" s="372">
        <v>1</v>
      </c>
      <c r="CD53" s="372">
        <v>1</v>
      </c>
      <c r="CE53" s="372">
        <v>1</v>
      </c>
      <c r="CF53" s="372">
        <v>1</v>
      </c>
      <c r="CG53" s="372">
        <v>1</v>
      </c>
      <c r="CH53" s="372">
        <v>1</v>
      </c>
      <c r="CI53" s="372">
        <v>1</v>
      </c>
      <c r="CJ53" s="372">
        <v>1</v>
      </c>
      <c r="CK53" s="372">
        <v>1</v>
      </c>
      <c r="CL53" s="372">
        <v>1</v>
      </c>
      <c r="CM53" s="372">
        <v>1</v>
      </c>
      <c r="CN53" s="372">
        <v>1</v>
      </c>
      <c r="CO53" s="372">
        <v>1</v>
      </c>
      <c r="CP53" s="372">
        <v>1</v>
      </c>
      <c r="CQ53" s="372">
        <v>1</v>
      </c>
      <c r="CR53" s="372">
        <v>1</v>
      </c>
      <c r="CS53" s="372">
        <v>1</v>
      </c>
      <c r="CT53" s="372">
        <v>1</v>
      </c>
      <c r="CU53" s="372">
        <v>1</v>
      </c>
      <c r="CV53" s="372">
        <v>1</v>
      </c>
      <c r="CW53" s="372">
        <v>1</v>
      </c>
      <c r="CX53" s="372">
        <v>1</v>
      </c>
      <c r="CY53" s="372">
        <v>1</v>
      </c>
      <c r="CZ53" s="372">
        <v>1</v>
      </c>
    </row>
    <row r="54" spans="1:105" s="376" customFormat="1" x14ac:dyDescent="0.25">
      <c r="B54" s="388" t="s">
        <v>35</v>
      </c>
      <c r="D54" s="380"/>
      <c r="E54" s="380"/>
      <c r="F54" s="380"/>
      <c r="G54" s="370">
        <f>IF(Standards_Active!$S18="yes",AQ54,CA54)</f>
        <v>0.15</v>
      </c>
      <c r="H54" s="370">
        <f>IF(Standards_Active!$S18="yes",AR54,CB54)</f>
        <v>0.15</v>
      </c>
      <c r="I54" s="370">
        <f>IF(Standards_Active!$S18="yes",AS54,CC54)</f>
        <v>0.15</v>
      </c>
      <c r="J54" s="370">
        <f>IF(Standards_Active!$S18="yes",AT54,CD54)</f>
        <v>0.15</v>
      </c>
      <c r="K54" s="370">
        <f>IF(Standards_Active!$S18="yes",AU54,CE54)</f>
        <v>0.15</v>
      </c>
      <c r="L54" s="370">
        <f>IF(Standards_Active!$S18="yes",AV54,CF54)</f>
        <v>0.15</v>
      </c>
      <c r="M54" s="370">
        <f>IF(Standards_Active!$S18="yes",AW54,CG54)</f>
        <v>0.15</v>
      </c>
      <c r="N54" s="370">
        <f>IF(Standards_Active!$S18="yes",AX54,CH54)</f>
        <v>0.15</v>
      </c>
      <c r="O54" s="370">
        <f>IF(Standards_Active!$S18="yes",AY54,CI54)</f>
        <v>0.15</v>
      </c>
      <c r="P54" s="370">
        <f>IF(Standards_Active!$S18="yes",AZ54,CJ54)</f>
        <v>0.15</v>
      </c>
      <c r="Q54" s="370">
        <f>IF(Standards_Active!$S18="yes",BA54,CK54)</f>
        <v>0.15</v>
      </c>
      <c r="R54" s="370">
        <f>IF(Standards_Active!$S18="yes",BB54,CL54)</f>
        <v>0.15</v>
      </c>
      <c r="S54" s="370">
        <f>IF(Standards_Active!$S18="yes",BC54,CM54)</f>
        <v>0.15</v>
      </c>
      <c r="T54" s="370">
        <f>IF(Standards_Active!$S18="yes",BD54,CN54)</f>
        <v>0.15</v>
      </c>
      <c r="U54" s="370">
        <f>IF(Standards_Active!$S18="yes",BE54,CO54)</f>
        <v>0.15</v>
      </c>
      <c r="V54" s="370">
        <f>IF(Standards_Active!$S18="yes",BF54,CP54)</f>
        <v>0.15</v>
      </c>
      <c r="W54" s="370">
        <f>IF(Standards_Active!$S18="yes",BG54,CQ54)</f>
        <v>0.15</v>
      </c>
      <c r="X54" s="370">
        <f>IF(Standards_Active!$S18="yes",BH54,CR54)</f>
        <v>0.15</v>
      </c>
      <c r="Y54" s="370">
        <f>IF(Standards_Active!$S18="yes",BI54,CS54)</f>
        <v>0.15</v>
      </c>
      <c r="Z54" s="370">
        <f>IF(Standards_Active!$S18="yes",BJ54,CT54)</f>
        <v>0.15</v>
      </c>
      <c r="AA54" s="370">
        <f>IF(Standards_Active!$S18="yes",BK54,CU54)</f>
        <v>0.15</v>
      </c>
      <c r="AB54" s="370">
        <f>IF(Standards_Active!$S18="yes",BL54,CV54)</f>
        <v>0.15</v>
      </c>
      <c r="AC54" s="370">
        <f>IF(Standards_Active!$S18="yes",BM54,CW54)</f>
        <v>0.15</v>
      </c>
      <c r="AD54" s="370">
        <f>IF(Standards_Active!$S18="yes",BN54,CX54)</f>
        <v>0.15</v>
      </c>
      <c r="AE54" s="370">
        <f>IF(Standards_Active!$S18="yes",BO54,CY54)</f>
        <v>0.15</v>
      </c>
      <c r="AF54" s="370">
        <f>IF(Standards_Active!$S18="yes",BP54,CZ54)</f>
        <v>0.15</v>
      </c>
      <c r="AH54"/>
      <c r="AI54"/>
      <c r="AJ54"/>
      <c r="AK54"/>
      <c r="AL54"/>
      <c r="AM54"/>
      <c r="AN54"/>
      <c r="AO54"/>
      <c r="AP54"/>
      <c r="AQ54" s="622">
        <f>IF(ISNUMBER(Standards_Active!$T18),IF(AND(AQ$44&gt;=Standards_Active!$Q18,AQ$44&lt;Standards_Active!$R18),AP54-Standards_Active!$U18*INDEX($AQ$58:$BP$58,1,MATCH((Standards_Active!$Q18-1),$AQ$44:$BP$44,FALSE)),IF(AQ$44&gt;=Standards_Active!$R18,Standards_Active!$V18,CA54)),CA54)</f>
        <v>0.15</v>
      </c>
      <c r="AR54" s="622">
        <f>IF(ISNUMBER(Standards_Active!$T18),IF(AND(AR$44&gt;=Standards_Active!$Q18,AR$44&lt;Standards_Active!$R18),AQ54-Standards_Active!$U18*INDEX($AQ$58:$BP$58,1,MATCH((Standards_Active!$Q18-1),$AQ$44:$BP$44,FALSE)),IF(AR$44&gt;=Standards_Active!$R18,Standards_Active!$V18,CB54)),CB54)</f>
        <v>0.15</v>
      </c>
      <c r="AS54" s="622">
        <f>IF(ISNUMBER(Standards_Active!$T18),IF(AND(AS$44&gt;=Standards_Active!$Q18,AS$44&lt;Standards_Active!$R18),AR54-Standards_Active!$U18*INDEX($AQ$58:$BP$58,1,MATCH((Standards_Active!$Q18-1),$AQ$44:$BP$44,FALSE)),IF(AS$44&gt;=Standards_Active!$R18,Standards_Active!$V18,CC54)),CC54)</f>
        <v>0.15</v>
      </c>
      <c r="AT54" s="622">
        <f>IF(ISNUMBER(Standards_Active!$T18),IF(AND(AT$44&gt;=Standards_Active!$Q18,AT$44&lt;Standards_Active!$R18),AS54-Standards_Active!$U18*INDEX($AQ$58:$BP$58,1,MATCH((Standards_Active!$Q18-1),$AQ$44:$BP$44,FALSE)),IF(AT$44&gt;=Standards_Active!$R18,Standards_Active!$V18,CD54)),CD54)</f>
        <v>0.15</v>
      </c>
      <c r="AU54" s="622">
        <f>IF(ISNUMBER(Standards_Active!$T18),IF(AND(AU$44&gt;=Standards_Active!$Q18,AU$44&lt;Standards_Active!$R18),AT54-Standards_Active!$U18*INDEX($AQ$58:$BP$58,1,MATCH((Standards_Active!$Q18-1),$AQ$44:$BP$44,FALSE)),IF(AU$44&gt;=Standards_Active!$R18,Standards_Active!$V18,CE54)),CE54)</f>
        <v>0.15</v>
      </c>
      <c r="AV54" s="622">
        <f>IF(ISNUMBER(Standards_Active!$T18),IF(AND(AV$44&gt;=Standards_Active!$Q18,AV$44&lt;Standards_Active!$R18),AU54-Standards_Active!$U18*INDEX($AQ$58:$BP$58,1,MATCH((Standards_Active!$Q18-1),$AQ$44:$BP$44,FALSE)),IF(AV$44&gt;=Standards_Active!$R18,Standards_Active!$V18,CF54)),CF54)</f>
        <v>0.15</v>
      </c>
      <c r="AW54" s="622">
        <f>IF(ISNUMBER(Standards_Active!$T18),IF(AND(AW$44&gt;=Standards_Active!$Q18,AW$44&lt;Standards_Active!$R18),AV54-Standards_Active!$U18*INDEX($AQ$58:$BP$58,1,MATCH((Standards_Active!$Q18-1),$AQ$44:$BP$44,FALSE)),IF(AW$44&gt;=Standards_Active!$R18,Standards_Active!$V18,CG54)),CG54)</f>
        <v>0.15</v>
      </c>
      <c r="AX54" s="622">
        <f>IF(ISNUMBER(Standards_Active!$T18),IF(AND(AX$44&gt;=Standards_Active!$Q18,AX$44&lt;Standards_Active!$R18),AW54-Standards_Active!$U18*INDEX($AQ$58:$BP$58,1,MATCH((Standards_Active!$Q18-1),$AQ$44:$BP$44,FALSE)),IF(AX$44&gt;=Standards_Active!$R18,Standards_Active!$V18,CH54)),CH54)</f>
        <v>0.15</v>
      </c>
      <c r="AY54" s="622">
        <f>IF(ISNUMBER(Standards_Active!$T18),IF(AND(AY$44&gt;=Standards_Active!$Q18,AY$44&lt;Standards_Active!$R18),AX54-Standards_Active!$U18*INDEX($AQ$58:$BP$58,1,MATCH((Standards_Active!$Q18-1),$AQ$44:$BP$44,FALSE)),IF(AY$44&gt;=Standards_Active!$R18,Standards_Active!$V18,CI54)),CI54)</f>
        <v>0.15</v>
      </c>
      <c r="AZ54" s="622">
        <f>IF(ISNUMBER(Standards_Active!$T18),IF(AND(AZ$44&gt;=Standards_Active!$Q18,AZ$44&lt;Standards_Active!$R18),AY54-Standards_Active!$U18*INDEX($AQ$58:$BP$58,1,MATCH((Standards_Active!$Q18-1),$AQ$44:$BP$44,FALSE)),IF(AZ$44&gt;=Standards_Active!$R18,Standards_Active!$V18,CJ54)),CJ54)</f>
        <v>0.15</v>
      </c>
      <c r="BA54" s="622">
        <f>IF(ISNUMBER(Standards_Active!$T18),IF(AND(BA$44&gt;=Standards_Active!$Q18,BA$44&lt;Standards_Active!$R18),AZ54-Standards_Active!$U18*INDEX($AQ$58:$BP$58,1,MATCH((Standards_Active!$Q18-1),$AQ$44:$BP$44,FALSE)),IF(BA$44&gt;=Standards_Active!$R18,Standards_Active!$V18,CK54)),CK54)</f>
        <v>0.15</v>
      </c>
      <c r="BB54" s="622">
        <f>IF(ISNUMBER(Standards_Active!$T18),IF(AND(BB$44&gt;=Standards_Active!$Q18,BB$44&lt;Standards_Active!$R18),BA54-Standards_Active!$U18*INDEX($AQ$58:$BP$58,1,MATCH((Standards_Active!$Q18-1),$AQ$44:$BP$44,FALSE)),IF(BB$44&gt;=Standards_Active!$R18,Standards_Active!$V18,CL54)),CL54)</f>
        <v>0.15</v>
      </c>
      <c r="BC54" s="622">
        <f>IF(ISNUMBER(Standards_Active!$T18),IF(AND(BC$44&gt;=Standards_Active!$Q18,BC$44&lt;Standards_Active!$R18),BB54-Standards_Active!$U18*INDEX($AQ$58:$BP$58,1,MATCH((Standards_Active!$Q18-1),$AQ$44:$BP$44,FALSE)),IF(BC$44&gt;=Standards_Active!$R18,Standards_Active!$V18,CM54)),CM54)</f>
        <v>0.15</v>
      </c>
      <c r="BD54" s="622">
        <f>IF(ISNUMBER(Standards_Active!$T18),IF(AND(BD$44&gt;=Standards_Active!$Q18,BD$44&lt;Standards_Active!$R18),BC54-Standards_Active!$U18*INDEX($AQ$58:$BP$58,1,MATCH((Standards_Active!$Q18-1),$AQ$44:$BP$44,FALSE)),IF(BD$44&gt;=Standards_Active!$R18,Standards_Active!$V18,CN54)),CN54)</f>
        <v>0.15</v>
      </c>
      <c r="BE54" s="622">
        <f>IF(ISNUMBER(Standards_Active!$T18),IF(AND(BE$44&gt;=Standards_Active!$Q18,BE$44&lt;Standards_Active!$R18),BD54-Standards_Active!$U18*INDEX($AQ$58:$BP$58,1,MATCH((Standards_Active!$Q18-1),$AQ$44:$BP$44,FALSE)),IF(BE$44&gt;=Standards_Active!$R18,Standards_Active!$V18,CO54)),CO54)</f>
        <v>0.15</v>
      </c>
      <c r="BF54" s="622">
        <f>IF(ISNUMBER(Standards_Active!$T18),IF(AND(BF$44&gt;=Standards_Active!$Q18,BF$44&lt;Standards_Active!$R18),BE54-Standards_Active!$U18*INDEX($AQ$58:$BP$58,1,MATCH((Standards_Active!$Q18-1),$AQ$44:$BP$44,FALSE)),IF(BF$44&gt;=Standards_Active!$R18,Standards_Active!$V18,CP54)),CP54)</f>
        <v>0.15</v>
      </c>
      <c r="BG54" s="622">
        <f>IF(ISNUMBER(Standards_Active!$T18),IF(AND(BG$44&gt;=Standards_Active!$Q18,BG$44&lt;Standards_Active!$R18),BF54-Standards_Active!$U18*INDEX($AQ$58:$BP$58,1,MATCH((Standards_Active!$Q18-1),$AQ$44:$BP$44,FALSE)),IF(BG$44&gt;=Standards_Active!$R18,Standards_Active!$V18,CQ54)),CQ54)</f>
        <v>0.15</v>
      </c>
      <c r="BH54" s="622">
        <f>IF(ISNUMBER(Standards_Active!$T18),IF(AND(BH$44&gt;=Standards_Active!$Q18,BH$44&lt;Standards_Active!$R18),BG54-Standards_Active!$U18*INDEX($AQ$58:$BP$58,1,MATCH((Standards_Active!$Q18-1),$AQ$44:$BP$44,FALSE)),IF(BH$44&gt;=Standards_Active!$R18,Standards_Active!$V18,CR54)),CR54)</f>
        <v>0.15</v>
      </c>
      <c r="BI54" s="622">
        <f>IF(ISNUMBER(Standards_Active!$T18),IF(AND(BI$44&gt;=Standards_Active!$Q18,BI$44&lt;Standards_Active!$R18),BH54-Standards_Active!$U18*INDEX($AQ$58:$BP$58,1,MATCH((Standards_Active!$Q18-1),$AQ$44:$BP$44,FALSE)),IF(BI$44&gt;=Standards_Active!$R18,Standards_Active!$V18,CS54)),CS54)</f>
        <v>0.15</v>
      </c>
      <c r="BJ54" s="622">
        <f>IF(ISNUMBER(Standards_Active!$T18),IF(AND(BJ$44&gt;=Standards_Active!$Q18,BJ$44&lt;Standards_Active!$R18),BI54-Standards_Active!$U18*INDEX($AQ$58:$BP$58,1,MATCH((Standards_Active!$Q18-1),$AQ$44:$BP$44,FALSE)),IF(BJ$44&gt;=Standards_Active!$R18,Standards_Active!$V18,CT54)),CT54)</f>
        <v>0.15</v>
      </c>
      <c r="BK54" s="622">
        <f>IF(ISNUMBER(Standards_Active!$T18),IF(AND(BK$44&gt;=Standards_Active!$Q18,BK$44&lt;Standards_Active!$R18),BJ54-Standards_Active!$U18*INDEX($AQ$58:$BP$58,1,MATCH((Standards_Active!$Q18-1),$AQ$44:$BP$44,FALSE)),IF(BK$44&gt;=Standards_Active!$R18,Standards_Active!$V18,CU54)),CU54)</f>
        <v>0.15</v>
      </c>
      <c r="BL54" s="622">
        <f>IF(ISNUMBER(Standards_Active!$T18),IF(AND(BL$44&gt;=Standards_Active!$Q18,BL$44&lt;Standards_Active!$R18),BK54-Standards_Active!$U18*INDEX($AQ$58:$BP$58,1,MATCH((Standards_Active!$Q18-1),$AQ$44:$BP$44,FALSE)),IF(BL$44&gt;=Standards_Active!$R18,Standards_Active!$V18,CV54)),CV54)</f>
        <v>0.15</v>
      </c>
      <c r="BM54" s="622">
        <f>IF(ISNUMBER(Standards_Active!$T18),IF(AND(BM$44&gt;=Standards_Active!$Q18,BM$44&lt;Standards_Active!$R18),BL54-Standards_Active!$U18*INDEX($AQ$58:$BP$58,1,MATCH((Standards_Active!$Q18-1),$AQ$44:$BP$44,FALSE)),IF(BM$44&gt;=Standards_Active!$R18,Standards_Active!$V18,CW54)),CW54)</f>
        <v>0.15</v>
      </c>
      <c r="BN54" s="622">
        <f>IF(ISNUMBER(Standards_Active!$T18),IF(AND(BN$44&gt;=Standards_Active!$Q18,BN$44&lt;Standards_Active!$R18),BM54-Standards_Active!$U18*INDEX($AQ$58:$BP$58,1,MATCH((Standards_Active!$Q18-1),$AQ$44:$BP$44,FALSE)),IF(BN$44&gt;=Standards_Active!$R18,Standards_Active!$V18,CX54)),CX54)</f>
        <v>0.15</v>
      </c>
      <c r="BO54" s="622">
        <f>IF(ISNUMBER(Standards_Active!$T18),IF(AND(BO$44&gt;=Standards_Active!$Q18,BO$44&lt;Standards_Active!$R18),BN54-Standards_Active!$U18*INDEX($AQ$58:$BP$58,1,MATCH((Standards_Active!$Q18-1),$AQ$44:$BP$44,FALSE)),IF(BO$44&gt;=Standards_Active!$R18,Standards_Active!$V18,CY54)),CY54)</f>
        <v>0.15</v>
      </c>
      <c r="BP54" s="622">
        <f>IF(ISNUMBER(Standards_Active!$T18),IF(AND(BP$44&gt;=Standards_Active!$Q18,BP$44&lt;Standards_Active!$R18),BO54-Standards_Active!$U18*INDEX($AQ$58:$BP$58,1,MATCH((Standards_Active!$Q18-1),$AQ$44:$BP$44,FALSE)),IF(BP$44&gt;=Standards_Active!$R18,Standards_Active!$V18,CZ54)),CZ54)</f>
        <v>0.15</v>
      </c>
      <c r="BQ54" s="380"/>
      <c r="BR54"/>
      <c r="BS54"/>
      <c r="BT54"/>
      <c r="BU54"/>
      <c r="BV54"/>
      <c r="BW54"/>
      <c r="BX54"/>
      <c r="BY54"/>
      <c r="BZ54"/>
      <c r="CA54" s="372">
        <v>0.15</v>
      </c>
      <c r="CB54" s="372">
        <v>0.15</v>
      </c>
      <c r="CC54" s="372">
        <v>0.15</v>
      </c>
      <c r="CD54" s="372">
        <v>0.15</v>
      </c>
      <c r="CE54" s="372">
        <v>0.15</v>
      </c>
      <c r="CF54" s="372">
        <v>0.15</v>
      </c>
      <c r="CG54" s="372">
        <v>0.15</v>
      </c>
      <c r="CH54" s="372">
        <v>0.15</v>
      </c>
      <c r="CI54" s="372">
        <v>0.15</v>
      </c>
      <c r="CJ54" s="372">
        <v>0.15</v>
      </c>
      <c r="CK54" s="372">
        <v>0.15</v>
      </c>
      <c r="CL54" s="372">
        <v>0.15</v>
      </c>
      <c r="CM54" s="372">
        <v>0.15</v>
      </c>
      <c r="CN54" s="372">
        <v>0.15</v>
      </c>
      <c r="CO54" s="372">
        <v>0.15</v>
      </c>
      <c r="CP54" s="372">
        <v>0.15</v>
      </c>
      <c r="CQ54" s="372">
        <v>0.15</v>
      </c>
      <c r="CR54" s="372">
        <v>0.15</v>
      </c>
      <c r="CS54" s="372">
        <v>0.15</v>
      </c>
      <c r="CT54" s="372">
        <v>0.15</v>
      </c>
      <c r="CU54" s="372">
        <v>0.15</v>
      </c>
      <c r="CV54" s="372">
        <v>0.15</v>
      </c>
      <c r="CW54" s="372">
        <v>0.15</v>
      </c>
      <c r="CX54" s="372">
        <v>0.15</v>
      </c>
      <c r="CY54" s="372">
        <v>0.15</v>
      </c>
      <c r="CZ54" s="372">
        <v>0.15</v>
      </c>
    </row>
    <row r="55" spans="1:105" s="376" customFormat="1" x14ac:dyDescent="0.25">
      <c r="B55" s="388" t="s">
        <v>29</v>
      </c>
      <c r="D55" s="380"/>
      <c r="E55" s="380"/>
      <c r="F55" s="380"/>
      <c r="G55" s="370">
        <f>IF(Standards_Active!$S19="yes",AQ55,CA55)</f>
        <v>1</v>
      </c>
      <c r="H55" s="370">
        <f>IF(Standards_Active!$S19="yes",AR55,CB55)</f>
        <v>1</v>
      </c>
      <c r="I55" s="370">
        <f>IF(Standards_Active!$S19="yes",AS55,CC55)</f>
        <v>1</v>
      </c>
      <c r="J55" s="370">
        <f>IF(Standards_Active!$S19="yes",AT55,CD55)</f>
        <v>1</v>
      </c>
      <c r="K55" s="370">
        <f>IF(Standards_Active!$S19="yes",AU55,CE55)</f>
        <v>1</v>
      </c>
      <c r="L55" s="370">
        <f>IF(Standards_Active!$S19="yes",AV55,CF55)</f>
        <v>1</v>
      </c>
      <c r="M55" s="370">
        <f>IF(Standards_Active!$S19="yes",AW55,CG55)</f>
        <v>1</v>
      </c>
      <c r="N55" s="370">
        <f>IF(Standards_Active!$S19="yes",AX55,CH55)</f>
        <v>1</v>
      </c>
      <c r="O55" s="370">
        <f>IF(Standards_Active!$S19="yes",AY55,CI55)</f>
        <v>1</v>
      </c>
      <c r="P55" s="370">
        <f>IF(Standards_Active!$S19="yes",AZ55,CJ55)</f>
        <v>1</v>
      </c>
      <c r="Q55" s="370">
        <f>IF(Standards_Active!$S19="yes",BA55,CK55)</f>
        <v>1</v>
      </c>
      <c r="R55" s="370">
        <f>IF(Standards_Active!$S19="yes",BB55,CL55)</f>
        <v>1</v>
      </c>
      <c r="S55" s="370">
        <f>IF(Standards_Active!$S19="yes",BC55,CM55)</f>
        <v>1</v>
      </c>
      <c r="T55" s="370">
        <f>IF(Standards_Active!$S19="yes",BD55,CN55)</f>
        <v>1</v>
      </c>
      <c r="U55" s="370">
        <f>IF(Standards_Active!$S19="yes",BE55,CO55)</f>
        <v>1</v>
      </c>
      <c r="V55" s="370">
        <f>IF(Standards_Active!$S19="yes",BF55,CP55)</f>
        <v>1</v>
      </c>
      <c r="W55" s="370">
        <f>IF(Standards_Active!$S19="yes",BG55,CQ55)</f>
        <v>1</v>
      </c>
      <c r="X55" s="370">
        <f>IF(Standards_Active!$S19="yes",BH55,CR55)</f>
        <v>1</v>
      </c>
      <c r="Y55" s="370">
        <f>IF(Standards_Active!$S19="yes",BI55,CS55)</f>
        <v>1</v>
      </c>
      <c r="Z55" s="370">
        <f>IF(Standards_Active!$S19="yes",BJ55,CT55)</f>
        <v>1</v>
      </c>
      <c r="AA55" s="370">
        <f>IF(Standards_Active!$S19="yes",BK55,CU55)</f>
        <v>1</v>
      </c>
      <c r="AB55" s="370">
        <f>IF(Standards_Active!$S19="yes",BL55,CV55)</f>
        <v>1</v>
      </c>
      <c r="AC55" s="370">
        <f>IF(Standards_Active!$S19="yes",BM55,CW55)</f>
        <v>1</v>
      </c>
      <c r="AD55" s="370">
        <f>IF(Standards_Active!$S19="yes",BN55,CX55)</f>
        <v>1</v>
      </c>
      <c r="AE55" s="370">
        <f>IF(Standards_Active!$S19="yes",BO55,CY55)</f>
        <v>1</v>
      </c>
      <c r="AF55" s="370">
        <f>IF(Standards_Active!$S19="yes",BP55,CZ55)</f>
        <v>1</v>
      </c>
      <c r="AH55"/>
      <c r="AI55"/>
      <c r="AJ55"/>
      <c r="AK55"/>
      <c r="AL55"/>
      <c r="AM55"/>
      <c r="AN55"/>
      <c r="AO55"/>
      <c r="AP55"/>
      <c r="AQ55" s="622">
        <f>IF(ISNUMBER(Standards_Active!$T19),IF(AND(AQ$44&gt;=Standards_Active!$Q19,AQ$44&lt;Standards_Active!$R19),AP55-Standards_Active!$U19*INDEX($AQ$58:$BP$58,1,MATCH((Standards_Active!$Q19-1),$AQ$44:$BP$44,FALSE)),IF(AQ$44&gt;=Standards_Active!$R19,Standards_Active!$V19,CA55)),CA55)</f>
        <v>1</v>
      </c>
      <c r="AR55" s="622">
        <f>IF(ISNUMBER(Standards_Active!$T19),IF(AND(AR$44&gt;=Standards_Active!$Q19,AR$44&lt;Standards_Active!$R19),AQ55-Standards_Active!$U19*INDEX($AQ$58:$BP$58,1,MATCH((Standards_Active!$Q19-1),$AQ$44:$BP$44,FALSE)),IF(AR$44&gt;=Standards_Active!$R19,Standards_Active!$V19,CB55)),CB55)</f>
        <v>1</v>
      </c>
      <c r="AS55" s="622">
        <f>IF(ISNUMBER(Standards_Active!$T19),IF(AND(AS$44&gt;=Standards_Active!$Q19,AS$44&lt;Standards_Active!$R19),AR55-Standards_Active!$U19*INDEX($AQ$58:$BP$58,1,MATCH((Standards_Active!$Q19-1),$AQ$44:$BP$44,FALSE)),IF(AS$44&gt;=Standards_Active!$R19,Standards_Active!$V19,CC55)),CC55)</f>
        <v>1</v>
      </c>
      <c r="AT55" s="622">
        <f>IF(ISNUMBER(Standards_Active!$T19),IF(AND(AT$44&gt;=Standards_Active!$Q19,AT$44&lt;Standards_Active!$R19),AS55-Standards_Active!$U19*INDEX($AQ$58:$BP$58,1,MATCH((Standards_Active!$Q19-1),$AQ$44:$BP$44,FALSE)),IF(AT$44&gt;=Standards_Active!$R19,Standards_Active!$V19,CD55)),CD55)</f>
        <v>1</v>
      </c>
      <c r="AU55" s="622">
        <f>IF(ISNUMBER(Standards_Active!$T19),IF(AND(AU$44&gt;=Standards_Active!$Q19,AU$44&lt;Standards_Active!$R19),AT55-Standards_Active!$U19*INDEX($AQ$58:$BP$58,1,MATCH((Standards_Active!$Q19-1),$AQ$44:$BP$44,FALSE)),IF(AU$44&gt;=Standards_Active!$R19,Standards_Active!$V19,CE55)),CE55)</f>
        <v>1</v>
      </c>
      <c r="AV55" s="622">
        <f>IF(ISNUMBER(Standards_Active!$T19),IF(AND(AV$44&gt;=Standards_Active!$Q19,AV$44&lt;Standards_Active!$R19),AU55-Standards_Active!$U19*INDEX($AQ$58:$BP$58,1,MATCH((Standards_Active!$Q19-1),$AQ$44:$BP$44,FALSE)),IF(AV$44&gt;=Standards_Active!$R19,Standards_Active!$V19,CF55)),CF55)</f>
        <v>1</v>
      </c>
      <c r="AW55" s="622">
        <f>IF(ISNUMBER(Standards_Active!$T19),IF(AND(AW$44&gt;=Standards_Active!$Q19,AW$44&lt;Standards_Active!$R19),AV55-Standards_Active!$U19*INDEX($AQ$58:$BP$58,1,MATCH((Standards_Active!$Q19-1),$AQ$44:$BP$44,FALSE)),IF(AW$44&gt;=Standards_Active!$R19,Standards_Active!$V19,CG55)),CG55)</f>
        <v>1</v>
      </c>
      <c r="AX55" s="622">
        <f>IF(ISNUMBER(Standards_Active!$T19),IF(AND(AX$44&gt;=Standards_Active!$Q19,AX$44&lt;Standards_Active!$R19),AW55-Standards_Active!$U19*INDEX($AQ$58:$BP$58,1,MATCH((Standards_Active!$Q19-1),$AQ$44:$BP$44,FALSE)),IF(AX$44&gt;=Standards_Active!$R19,Standards_Active!$V19,CH55)),CH55)</f>
        <v>1</v>
      </c>
      <c r="AY55" s="622">
        <f>IF(ISNUMBER(Standards_Active!$T19),IF(AND(AY$44&gt;=Standards_Active!$Q19,AY$44&lt;Standards_Active!$R19),AX55-Standards_Active!$U19*INDEX($AQ$58:$BP$58,1,MATCH((Standards_Active!$Q19-1),$AQ$44:$BP$44,FALSE)),IF(AY$44&gt;=Standards_Active!$R19,Standards_Active!$V19,CI55)),CI55)</f>
        <v>1</v>
      </c>
      <c r="AZ55" s="622">
        <f>IF(ISNUMBER(Standards_Active!$T19),IF(AND(AZ$44&gt;=Standards_Active!$Q19,AZ$44&lt;Standards_Active!$R19),AY55-Standards_Active!$U19*INDEX($AQ$58:$BP$58,1,MATCH((Standards_Active!$Q19-1),$AQ$44:$BP$44,FALSE)),IF(AZ$44&gt;=Standards_Active!$R19,Standards_Active!$V19,CJ55)),CJ55)</f>
        <v>1</v>
      </c>
      <c r="BA55" s="622">
        <f>IF(ISNUMBER(Standards_Active!$T19),IF(AND(BA$44&gt;=Standards_Active!$Q19,BA$44&lt;Standards_Active!$R19),AZ55-Standards_Active!$U19*INDEX($AQ$58:$BP$58,1,MATCH((Standards_Active!$Q19-1),$AQ$44:$BP$44,FALSE)),IF(BA$44&gt;=Standards_Active!$R19,Standards_Active!$V19,CK55)),CK55)</f>
        <v>1</v>
      </c>
      <c r="BB55" s="622">
        <f>IF(ISNUMBER(Standards_Active!$T19),IF(AND(BB$44&gt;=Standards_Active!$Q19,BB$44&lt;Standards_Active!$R19),BA55-Standards_Active!$U19*INDEX($AQ$58:$BP$58,1,MATCH((Standards_Active!$Q19-1),$AQ$44:$BP$44,FALSE)),IF(BB$44&gt;=Standards_Active!$R19,Standards_Active!$V19,CL55)),CL55)</f>
        <v>1</v>
      </c>
      <c r="BC55" s="622">
        <f>IF(ISNUMBER(Standards_Active!$T19),IF(AND(BC$44&gt;=Standards_Active!$Q19,BC$44&lt;Standards_Active!$R19),BB55-Standards_Active!$U19*INDEX($AQ$58:$BP$58,1,MATCH((Standards_Active!$Q19-1),$AQ$44:$BP$44,FALSE)),IF(BC$44&gt;=Standards_Active!$R19,Standards_Active!$V19,CM55)),CM55)</f>
        <v>1</v>
      </c>
      <c r="BD55" s="622">
        <f>IF(ISNUMBER(Standards_Active!$T19),IF(AND(BD$44&gt;=Standards_Active!$Q19,BD$44&lt;Standards_Active!$R19),BC55-Standards_Active!$U19*INDEX($AQ$58:$BP$58,1,MATCH((Standards_Active!$Q19-1),$AQ$44:$BP$44,FALSE)),IF(BD$44&gt;=Standards_Active!$R19,Standards_Active!$V19,CN55)),CN55)</f>
        <v>1</v>
      </c>
      <c r="BE55" s="622">
        <f>IF(ISNUMBER(Standards_Active!$T19),IF(AND(BE$44&gt;=Standards_Active!$Q19,BE$44&lt;Standards_Active!$R19),BD55-Standards_Active!$U19*INDEX($AQ$58:$BP$58,1,MATCH((Standards_Active!$Q19-1),$AQ$44:$BP$44,FALSE)),IF(BE$44&gt;=Standards_Active!$R19,Standards_Active!$V19,CO55)),CO55)</f>
        <v>1</v>
      </c>
      <c r="BF55" s="622">
        <f>IF(ISNUMBER(Standards_Active!$T19),IF(AND(BF$44&gt;=Standards_Active!$Q19,BF$44&lt;Standards_Active!$R19),BE55-Standards_Active!$U19*INDEX($AQ$58:$BP$58,1,MATCH((Standards_Active!$Q19-1),$AQ$44:$BP$44,FALSE)),IF(BF$44&gt;=Standards_Active!$R19,Standards_Active!$V19,CP55)),CP55)</f>
        <v>1</v>
      </c>
      <c r="BG55" s="622">
        <f>IF(ISNUMBER(Standards_Active!$T19),IF(AND(BG$44&gt;=Standards_Active!$Q19,BG$44&lt;Standards_Active!$R19),BF55-Standards_Active!$U19*INDEX($AQ$58:$BP$58,1,MATCH((Standards_Active!$Q19-1),$AQ$44:$BP$44,FALSE)),IF(BG$44&gt;=Standards_Active!$R19,Standards_Active!$V19,CQ55)),CQ55)</f>
        <v>1</v>
      </c>
      <c r="BH55" s="622">
        <f>IF(ISNUMBER(Standards_Active!$T19),IF(AND(BH$44&gt;=Standards_Active!$Q19,BH$44&lt;Standards_Active!$R19),BG55-Standards_Active!$U19*INDEX($AQ$58:$BP$58,1,MATCH((Standards_Active!$Q19-1),$AQ$44:$BP$44,FALSE)),IF(BH$44&gt;=Standards_Active!$R19,Standards_Active!$V19,CR55)),CR55)</f>
        <v>1</v>
      </c>
      <c r="BI55" s="622">
        <f>IF(ISNUMBER(Standards_Active!$T19),IF(AND(BI$44&gt;=Standards_Active!$Q19,BI$44&lt;Standards_Active!$R19),BH55-Standards_Active!$U19*INDEX($AQ$58:$BP$58,1,MATCH((Standards_Active!$Q19-1),$AQ$44:$BP$44,FALSE)),IF(BI$44&gt;=Standards_Active!$R19,Standards_Active!$V19,CS55)),CS55)</f>
        <v>1</v>
      </c>
      <c r="BJ55" s="622">
        <f>IF(ISNUMBER(Standards_Active!$T19),IF(AND(BJ$44&gt;=Standards_Active!$Q19,BJ$44&lt;Standards_Active!$R19),BI55-Standards_Active!$U19*INDEX($AQ$58:$BP$58,1,MATCH((Standards_Active!$Q19-1),$AQ$44:$BP$44,FALSE)),IF(BJ$44&gt;=Standards_Active!$R19,Standards_Active!$V19,CT55)),CT55)</f>
        <v>1</v>
      </c>
      <c r="BK55" s="622">
        <f>IF(ISNUMBER(Standards_Active!$T19),IF(AND(BK$44&gt;=Standards_Active!$Q19,BK$44&lt;Standards_Active!$R19),BJ55-Standards_Active!$U19*INDEX($AQ$58:$BP$58,1,MATCH((Standards_Active!$Q19-1),$AQ$44:$BP$44,FALSE)),IF(BK$44&gt;=Standards_Active!$R19,Standards_Active!$V19,CU55)),CU55)</f>
        <v>1</v>
      </c>
      <c r="BL55" s="622">
        <f>IF(ISNUMBER(Standards_Active!$T19),IF(AND(BL$44&gt;=Standards_Active!$Q19,BL$44&lt;Standards_Active!$R19),BK55-Standards_Active!$U19*INDEX($AQ$58:$BP$58,1,MATCH((Standards_Active!$Q19-1),$AQ$44:$BP$44,FALSE)),IF(BL$44&gt;=Standards_Active!$R19,Standards_Active!$V19,CV55)),CV55)</f>
        <v>1</v>
      </c>
      <c r="BM55" s="622">
        <f>IF(ISNUMBER(Standards_Active!$T19),IF(AND(BM$44&gt;=Standards_Active!$Q19,BM$44&lt;Standards_Active!$R19),BL55-Standards_Active!$U19*INDEX($AQ$58:$BP$58,1,MATCH((Standards_Active!$Q19-1),$AQ$44:$BP$44,FALSE)),IF(BM$44&gt;=Standards_Active!$R19,Standards_Active!$V19,CW55)),CW55)</f>
        <v>1</v>
      </c>
      <c r="BN55" s="622">
        <f>IF(ISNUMBER(Standards_Active!$T19),IF(AND(BN$44&gt;=Standards_Active!$Q19,BN$44&lt;Standards_Active!$R19),BM55-Standards_Active!$U19*INDEX($AQ$58:$BP$58,1,MATCH((Standards_Active!$Q19-1),$AQ$44:$BP$44,FALSE)),IF(BN$44&gt;=Standards_Active!$R19,Standards_Active!$V19,CX55)),CX55)</f>
        <v>1</v>
      </c>
      <c r="BO55" s="622">
        <f>IF(ISNUMBER(Standards_Active!$T19),IF(AND(BO$44&gt;=Standards_Active!$Q19,BO$44&lt;Standards_Active!$R19),BN55-Standards_Active!$U19*INDEX($AQ$58:$BP$58,1,MATCH((Standards_Active!$Q19-1),$AQ$44:$BP$44,FALSE)),IF(BO$44&gt;=Standards_Active!$R19,Standards_Active!$V19,CY55)),CY55)</f>
        <v>1</v>
      </c>
      <c r="BP55" s="622">
        <f>IF(ISNUMBER(Standards_Active!$T19),IF(AND(BP$44&gt;=Standards_Active!$Q19,BP$44&lt;Standards_Active!$R19),BO55-Standards_Active!$U19*INDEX($AQ$58:$BP$58,1,MATCH((Standards_Active!$Q19-1),$AQ$44:$BP$44,FALSE)),IF(BP$44&gt;=Standards_Active!$R19,Standards_Active!$V19,CZ55)),CZ55)</f>
        <v>1</v>
      </c>
      <c r="BQ55" s="380"/>
      <c r="BR55"/>
      <c r="BS55"/>
      <c r="BT55"/>
      <c r="BU55"/>
      <c r="BV55"/>
      <c r="BW55"/>
      <c r="BX55"/>
      <c r="BY55"/>
      <c r="BZ55"/>
      <c r="CA55" s="372">
        <v>1</v>
      </c>
      <c r="CB55" s="372">
        <v>1</v>
      </c>
      <c r="CC55" s="372">
        <v>1</v>
      </c>
      <c r="CD55" s="372">
        <v>1</v>
      </c>
      <c r="CE55" s="372">
        <v>1</v>
      </c>
      <c r="CF55" s="372">
        <v>1</v>
      </c>
      <c r="CG55" s="372">
        <v>1</v>
      </c>
      <c r="CH55" s="372">
        <v>1</v>
      </c>
      <c r="CI55" s="372">
        <v>1</v>
      </c>
      <c r="CJ55" s="372">
        <v>1</v>
      </c>
      <c r="CK55" s="372">
        <v>1</v>
      </c>
      <c r="CL55" s="372">
        <v>1</v>
      </c>
      <c r="CM55" s="372">
        <v>1</v>
      </c>
      <c r="CN55" s="372">
        <v>1</v>
      </c>
      <c r="CO55" s="372">
        <v>1</v>
      </c>
      <c r="CP55" s="372">
        <v>1</v>
      </c>
      <c r="CQ55" s="372">
        <v>1</v>
      </c>
      <c r="CR55" s="372">
        <v>1</v>
      </c>
      <c r="CS55" s="372">
        <v>1</v>
      </c>
      <c r="CT55" s="372">
        <v>1</v>
      </c>
      <c r="CU55" s="372">
        <v>1</v>
      </c>
      <c r="CV55" s="372">
        <v>1</v>
      </c>
      <c r="CW55" s="372">
        <v>1</v>
      </c>
      <c r="CX55" s="372">
        <v>1</v>
      </c>
      <c r="CY55" s="372">
        <v>1</v>
      </c>
      <c r="CZ55" s="372">
        <v>1</v>
      </c>
    </row>
    <row r="56" spans="1:105" s="376" customFormat="1" x14ac:dyDescent="0.25">
      <c r="D56" s="380"/>
      <c r="E56" s="380"/>
      <c r="F56" s="380"/>
      <c r="G56" s="380"/>
      <c r="H56" s="380"/>
      <c r="I56" s="380"/>
      <c r="J56" s="380"/>
      <c r="K56" s="380"/>
      <c r="L56" s="380"/>
      <c r="M56" s="380"/>
      <c r="N56" s="380"/>
      <c r="O56" s="380"/>
      <c r="P56" s="380"/>
      <c r="Q56" s="380"/>
      <c r="R56" s="380"/>
      <c r="S56" s="380"/>
      <c r="T56" s="380"/>
      <c r="U56" s="380"/>
      <c r="V56" s="380"/>
      <c r="W56" s="380"/>
      <c r="X56" s="380"/>
      <c r="Y56" s="380"/>
      <c r="Z56" s="380"/>
      <c r="AA56" s="380"/>
      <c r="AB56" s="380"/>
      <c r="AC56" s="380"/>
      <c r="AD56" s="380"/>
      <c r="AE56" s="380"/>
      <c r="AF56" s="380"/>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s="380"/>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row>
    <row r="57" spans="1:105" s="376" customFormat="1" ht="12.75" x14ac:dyDescent="0.2">
      <c r="A57" s="384" t="s">
        <v>36</v>
      </c>
      <c r="B57" s="389"/>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89"/>
      <c r="AE57" s="389"/>
      <c r="AF57" s="389"/>
      <c r="AH57" s="402"/>
      <c r="AI57" s="402"/>
      <c r="AJ57" s="402"/>
      <c r="AK57" s="402"/>
      <c r="AL57" s="402"/>
      <c r="AM57" s="402"/>
      <c r="AN57" s="402"/>
      <c r="AO57" s="402"/>
      <c r="AP57" s="402"/>
      <c r="AQ57" s="402"/>
      <c r="AR57" s="402"/>
      <c r="AS57" s="402"/>
      <c r="AT57" s="402"/>
      <c r="AU57" s="402"/>
      <c r="AV57" s="402"/>
      <c r="AW57" s="402"/>
      <c r="AX57" s="402"/>
      <c r="AY57" s="402"/>
      <c r="AZ57" s="402"/>
      <c r="BA57" s="402"/>
      <c r="BB57" s="402"/>
      <c r="BC57" s="402"/>
      <c r="BD57" s="402"/>
      <c r="BE57" s="402"/>
      <c r="BF57" s="402"/>
      <c r="BG57" s="402"/>
      <c r="BH57" s="402"/>
      <c r="BI57" s="402"/>
      <c r="BJ57" s="402"/>
      <c r="BK57" s="402"/>
      <c r="BL57" s="402"/>
      <c r="BM57" s="402"/>
      <c r="BN57" s="402"/>
      <c r="BO57" s="402"/>
      <c r="BP57" s="402"/>
      <c r="BQ57" s="380"/>
      <c r="BR57" s="402"/>
      <c r="BS57" s="402"/>
      <c r="BT57" s="402"/>
      <c r="BU57" s="402"/>
      <c r="BV57" s="402"/>
      <c r="BW57" s="402"/>
      <c r="BX57" s="402"/>
      <c r="BY57" s="402"/>
      <c r="BZ57" s="402"/>
      <c r="CA57" s="402"/>
      <c r="CB57" s="402"/>
      <c r="CC57" s="402"/>
      <c r="CD57" s="402"/>
      <c r="CE57" s="402"/>
      <c r="CF57" s="402"/>
      <c r="CG57" s="402"/>
      <c r="CH57" s="402"/>
      <c r="CI57" s="402"/>
      <c r="CJ57" s="402"/>
      <c r="CK57" s="402"/>
      <c r="CL57" s="402"/>
      <c r="CM57" s="402"/>
      <c r="CN57" s="402"/>
      <c r="CO57" s="402"/>
      <c r="CP57" s="402"/>
      <c r="CQ57" s="402"/>
      <c r="CR57" s="402"/>
      <c r="CS57" s="402"/>
      <c r="CT57" s="402"/>
      <c r="CU57" s="402"/>
      <c r="CV57" s="402"/>
      <c r="CW57" s="402"/>
      <c r="CX57" s="402"/>
      <c r="CY57" s="402"/>
      <c r="CZ57" s="402"/>
    </row>
    <row r="58" spans="1:105" s="376" customFormat="1" x14ac:dyDescent="0.25">
      <c r="B58" s="376" t="s">
        <v>37</v>
      </c>
      <c r="D58" s="380"/>
      <c r="E58" s="380"/>
      <c r="F58" s="380"/>
      <c r="G58" s="370">
        <f>IF(Standards_Active!$S22="yes",AQ58,CA58)</f>
        <v>0.05</v>
      </c>
      <c r="H58" s="370">
        <f>IF(Standards_Active!$S22="yes",AR58,CB58)</f>
        <v>0.05</v>
      </c>
      <c r="I58" s="370">
        <f>IF(Standards_Active!$S22="yes",AS58,CC58)</f>
        <v>0.05</v>
      </c>
      <c r="J58" s="370">
        <f>IF(Standards_Active!$S22="yes",AT58,CD58)</f>
        <v>0.05</v>
      </c>
      <c r="K58" s="370">
        <f>IF(Standards_Active!$S22="yes",AU58,CE58)</f>
        <v>0.05</v>
      </c>
      <c r="L58" s="370">
        <f>IF(Standards_Active!$S22="yes",AV58,CF58)</f>
        <v>3.3416666666666664E-2</v>
      </c>
      <c r="M58" s="370">
        <f>IF(Standards_Active!$S22="yes",AW58,CG58)</f>
        <v>1.6833333333333329E-2</v>
      </c>
      <c r="N58" s="370">
        <f>IF(Standards_Active!$S22="yes",AX58,CH58)</f>
        <v>5.000000000000001E-3</v>
      </c>
      <c r="O58" s="370">
        <f>IF(Standards_Active!$S22="yes",AY58,CI58)</f>
        <v>5.000000000000001E-3</v>
      </c>
      <c r="P58" s="370">
        <f>IF(Standards_Active!$S22="yes",AZ58,CJ58)</f>
        <v>5.000000000000001E-3</v>
      </c>
      <c r="Q58" s="370">
        <f>IF(Standards_Active!$S22="yes",BA58,CK58)</f>
        <v>5.000000000000001E-3</v>
      </c>
      <c r="R58" s="370">
        <f>IF(Standards_Active!$S22="yes",BB58,CL58)</f>
        <v>5.000000000000001E-3</v>
      </c>
      <c r="S58" s="370">
        <f>IF(Standards_Active!$S22="yes",BC58,CM58)</f>
        <v>5.000000000000001E-3</v>
      </c>
      <c r="T58" s="370">
        <f>IF(Standards_Active!$S22="yes",BD58,CN58)</f>
        <v>5.000000000000001E-3</v>
      </c>
      <c r="U58" s="370">
        <f>IF(Standards_Active!$S22="yes",BE58,CO58)</f>
        <v>5.000000000000001E-3</v>
      </c>
      <c r="V58" s="370">
        <f>IF(Standards_Active!$S22="yes",BF58,CP58)</f>
        <v>5.000000000000001E-3</v>
      </c>
      <c r="W58" s="370">
        <f>IF(Standards_Active!$S22="yes",BG58,CQ58)</f>
        <v>5.000000000000001E-3</v>
      </c>
      <c r="X58" s="370">
        <f>IF(Standards_Active!$S22="yes",BH58,CR58)</f>
        <v>5.000000000000001E-3</v>
      </c>
      <c r="Y58" s="370">
        <f>IF(Standards_Active!$S22="yes",BI58,CS58)</f>
        <v>5.000000000000001E-3</v>
      </c>
      <c r="Z58" s="370">
        <f>IF(Standards_Active!$S22="yes",BJ58,CT58)</f>
        <v>5.000000000000001E-3</v>
      </c>
      <c r="AA58" s="370">
        <f>IF(Standards_Active!$S22="yes",BK58,CU58)</f>
        <v>5.000000000000001E-3</v>
      </c>
      <c r="AB58" s="370">
        <f>IF(Standards_Active!$S22="yes",BL58,CV58)</f>
        <v>5.000000000000001E-3</v>
      </c>
      <c r="AC58" s="370">
        <f>IF(Standards_Active!$S22="yes",BM58,CW58)</f>
        <v>5.000000000000001E-3</v>
      </c>
      <c r="AD58" s="370">
        <f>IF(Standards_Active!$S22="yes",BN58,CX58)</f>
        <v>5.000000000000001E-3</v>
      </c>
      <c r="AE58" s="370">
        <f>IF(Standards_Active!$S22="yes",BO58,CY58)</f>
        <v>5.000000000000001E-3</v>
      </c>
      <c r="AF58" s="370">
        <f>IF(Standards_Active!$S22="yes",BP58,CZ58)</f>
        <v>5.000000000000001E-3</v>
      </c>
      <c r="AH58"/>
      <c r="AI58"/>
      <c r="AJ58"/>
      <c r="AK58"/>
      <c r="AL58"/>
      <c r="AM58"/>
      <c r="AN58"/>
      <c r="AO58"/>
      <c r="AP58"/>
      <c r="AQ58" s="622">
        <f>IF(ISNUMBER(Standards_Active!$T22),IF(AND(AQ$44&gt;=Standards_Active!$Q22,AQ$44&lt;Standards_Active!$R22),AP58-Standards_Active!$U22*INDEX($AQ$58:$BP$58,1,MATCH((Standards_Active!$Q22-1),$AQ$44:$BP$44,FALSE)),IF(AQ$44&gt;=Standards_Active!$R22,Standards_Active!$V22,CA58)),CA58)</f>
        <v>0.05</v>
      </c>
      <c r="AR58" s="622">
        <f>IF(ISNUMBER(Standards_Active!$T22),IF(AND(AR$44&gt;=Standards_Active!$Q22,AR$44&lt;Standards_Active!$R22),AQ58-Standards_Active!$U22*INDEX($AQ$58:$BP$58,1,MATCH((Standards_Active!$Q22-1),$AQ$44:$BP$44,FALSE)),IF(AR$44&gt;=Standards_Active!$R22,Standards_Active!$V22,CB58)),CB58)</f>
        <v>0.05</v>
      </c>
      <c r="AS58" s="622">
        <f>IF(ISNUMBER(Standards_Active!$T22),IF(AND(AS$44&gt;=Standards_Active!$Q22,AS$44&lt;Standards_Active!$R22),AR58-Standards_Active!$U22*INDEX($AQ$58:$BP$58,1,MATCH((Standards_Active!$Q22-1),$AQ$44:$BP$44,FALSE)),IF(AS$44&gt;=Standards_Active!$R22,Standards_Active!$V22,CC58)),CC58)</f>
        <v>0.05</v>
      </c>
      <c r="AT58" s="622">
        <f>IF(ISNUMBER(Standards_Active!$T22),IF(AND(AT$44&gt;=Standards_Active!$Q22,AT$44&lt;Standards_Active!$R22),AS58-Standards_Active!$U22*INDEX($AQ$58:$BP$58,1,MATCH((Standards_Active!$Q22-1),$AQ$44:$BP$44,FALSE)),IF(AT$44&gt;=Standards_Active!$R22,Standards_Active!$V22,CD58)),CD58)</f>
        <v>0.05</v>
      </c>
      <c r="AU58" s="622">
        <f>IF(ISNUMBER(Standards_Active!$T22),IF(AND(AU$44&gt;=Standards_Active!$Q22,AU$44&lt;Standards_Active!$R22),AT58-Standards_Active!$U22*INDEX($AQ$58:$BP$58,1,MATCH((Standards_Active!$Q22-1),$AQ$44:$BP$44,FALSE)),IF(AU$44&gt;=Standards_Active!$R22,Standards_Active!$V22,CE58)),CE58)</f>
        <v>0.05</v>
      </c>
      <c r="AV58" s="622">
        <f>IF(ISNUMBER(Standards_Active!$T22),IF(AND(AV$44&gt;=Standards_Active!$Q22,AV$44&lt;Standards_Active!$R22),AU58-Standards_Active!$U22*INDEX($AQ$58:$BP$58,1,MATCH((Standards_Active!$Q22-1),$AQ$44:$BP$44,FALSE)),IF(AV$44&gt;=Standards_Active!$R22,Standards_Active!$V22,CF58)),CF58)</f>
        <v>3.3416666666666664E-2</v>
      </c>
      <c r="AW58" s="622">
        <f>IF(ISNUMBER(Standards_Active!$T22),IF(AND(AW$44&gt;=Standards_Active!$Q22,AW$44&lt;Standards_Active!$R22),AV58-Standards_Active!$U22*INDEX($AQ$58:$BP$58,1,MATCH((Standards_Active!$Q22-1),$AQ$44:$BP$44,FALSE)),IF(AW$44&gt;=Standards_Active!$R22,Standards_Active!$V22,CG58)),CG58)</f>
        <v>1.6833333333333329E-2</v>
      </c>
      <c r="AX58" s="622">
        <f>IF(ISNUMBER(Standards_Active!$T22),IF(AND(AX$44&gt;=Standards_Active!$Q22,AX$44&lt;Standards_Active!$R22),AW58-Standards_Active!$U22*INDEX($AQ$58:$BP$58,1,MATCH((Standards_Active!$Q22-1),$AQ$44:$BP$44,FALSE)),IF(AX$44&gt;=Standards_Active!$R22,Standards_Active!$V22,CH58)),CH58)</f>
        <v>5.000000000000001E-3</v>
      </c>
      <c r="AY58" s="622">
        <f>IF(ISNUMBER(Standards_Active!$T22),IF(AND(AY$44&gt;=Standards_Active!$Q22,AY$44&lt;Standards_Active!$R22),AX58-Standards_Active!$U22*INDEX($AQ$58:$BP$58,1,MATCH((Standards_Active!$Q22-1),$AQ$44:$BP$44,FALSE)),IF(AY$44&gt;=Standards_Active!$R22,Standards_Active!$V22,CI58)),CI58)</f>
        <v>5.000000000000001E-3</v>
      </c>
      <c r="AZ58" s="622">
        <f>IF(ISNUMBER(Standards_Active!$T22),IF(AND(AZ$44&gt;=Standards_Active!$Q22,AZ$44&lt;Standards_Active!$R22),AY58-Standards_Active!$U22*INDEX($AQ$58:$BP$58,1,MATCH((Standards_Active!$Q22-1),$AQ$44:$BP$44,FALSE)),IF(AZ$44&gt;=Standards_Active!$R22,Standards_Active!$V22,CJ58)),CJ58)</f>
        <v>5.000000000000001E-3</v>
      </c>
      <c r="BA58" s="622">
        <f>IF(ISNUMBER(Standards_Active!$T22),IF(AND(BA$44&gt;=Standards_Active!$Q22,BA$44&lt;Standards_Active!$R22),AZ58-Standards_Active!$U22*INDEX($AQ$58:$BP$58,1,MATCH((Standards_Active!$Q22-1),$AQ$44:$BP$44,FALSE)),IF(BA$44&gt;=Standards_Active!$R22,Standards_Active!$V22,CK58)),CK58)</f>
        <v>5.000000000000001E-3</v>
      </c>
      <c r="BB58" s="622">
        <f>IF(ISNUMBER(Standards_Active!$T22),IF(AND(BB$44&gt;=Standards_Active!$Q22,BB$44&lt;Standards_Active!$R22),BA58-Standards_Active!$U22*INDEX($AQ$58:$BP$58,1,MATCH((Standards_Active!$Q22-1),$AQ$44:$BP$44,FALSE)),IF(BB$44&gt;=Standards_Active!$R22,Standards_Active!$V22,CL58)),CL58)</f>
        <v>5.000000000000001E-3</v>
      </c>
      <c r="BC58" s="622">
        <f>IF(ISNUMBER(Standards_Active!$T22),IF(AND(BC$44&gt;=Standards_Active!$Q22,BC$44&lt;Standards_Active!$R22),BB58-Standards_Active!$U22*INDEX($AQ$58:$BP$58,1,MATCH((Standards_Active!$Q22-1),$AQ$44:$BP$44,FALSE)),IF(BC$44&gt;=Standards_Active!$R22,Standards_Active!$V22,CM58)),CM58)</f>
        <v>5.000000000000001E-3</v>
      </c>
      <c r="BD58" s="622">
        <f>IF(ISNUMBER(Standards_Active!$T22),IF(AND(BD$44&gt;=Standards_Active!$Q22,BD$44&lt;Standards_Active!$R22),BC58-Standards_Active!$U22*INDEX($AQ$58:$BP$58,1,MATCH((Standards_Active!$Q22-1),$AQ$44:$BP$44,FALSE)),IF(BD$44&gt;=Standards_Active!$R22,Standards_Active!$V22,CN58)),CN58)</f>
        <v>5.000000000000001E-3</v>
      </c>
      <c r="BE58" s="622">
        <f>IF(ISNUMBER(Standards_Active!$T22),IF(AND(BE$44&gt;=Standards_Active!$Q22,BE$44&lt;Standards_Active!$R22),BD58-Standards_Active!$U22*INDEX($AQ$58:$BP$58,1,MATCH((Standards_Active!$Q22-1),$AQ$44:$BP$44,FALSE)),IF(BE$44&gt;=Standards_Active!$R22,Standards_Active!$V22,CO58)),CO58)</f>
        <v>5.000000000000001E-3</v>
      </c>
      <c r="BF58" s="622">
        <f>IF(ISNUMBER(Standards_Active!$T22),IF(AND(BF$44&gt;=Standards_Active!$Q22,BF$44&lt;Standards_Active!$R22),BE58-Standards_Active!$U22*INDEX($AQ$58:$BP$58,1,MATCH((Standards_Active!$Q22-1),$AQ$44:$BP$44,FALSE)),IF(BF$44&gt;=Standards_Active!$R22,Standards_Active!$V22,CP58)),CP58)</f>
        <v>5.000000000000001E-3</v>
      </c>
      <c r="BG58" s="622">
        <f>IF(ISNUMBER(Standards_Active!$T22),IF(AND(BG$44&gt;=Standards_Active!$Q22,BG$44&lt;Standards_Active!$R22),BF58-Standards_Active!$U22*INDEX($AQ$58:$BP$58,1,MATCH((Standards_Active!$Q22-1),$AQ$44:$BP$44,FALSE)),IF(BG$44&gt;=Standards_Active!$R22,Standards_Active!$V22,CQ58)),CQ58)</f>
        <v>5.000000000000001E-3</v>
      </c>
      <c r="BH58" s="622">
        <f>IF(ISNUMBER(Standards_Active!$T22),IF(AND(BH$44&gt;=Standards_Active!$Q22,BH$44&lt;Standards_Active!$R22),BG58-Standards_Active!$U22*INDEX($AQ$58:$BP$58,1,MATCH((Standards_Active!$Q22-1),$AQ$44:$BP$44,FALSE)),IF(BH$44&gt;=Standards_Active!$R22,Standards_Active!$V22,CR58)),CR58)</f>
        <v>5.000000000000001E-3</v>
      </c>
      <c r="BI58" s="622">
        <f>IF(ISNUMBER(Standards_Active!$T22),IF(AND(BI$44&gt;=Standards_Active!$Q22,BI$44&lt;Standards_Active!$R22),BH58-Standards_Active!$U22*INDEX($AQ$58:$BP$58,1,MATCH((Standards_Active!$Q22-1),$AQ$44:$BP$44,FALSE)),IF(BI$44&gt;=Standards_Active!$R22,Standards_Active!$V22,CS58)),CS58)</f>
        <v>5.000000000000001E-3</v>
      </c>
      <c r="BJ58" s="622">
        <f>IF(ISNUMBER(Standards_Active!$T22),IF(AND(BJ$44&gt;=Standards_Active!$Q22,BJ$44&lt;Standards_Active!$R22),BI58-Standards_Active!$U22*INDEX($AQ$58:$BP$58,1,MATCH((Standards_Active!$Q22-1),$AQ$44:$BP$44,FALSE)),IF(BJ$44&gt;=Standards_Active!$R22,Standards_Active!$V22,CT58)),CT58)</f>
        <v>5.000000000000001E-3</v>
      </c>
      <c r="BK58" s="622">
        <f>IF(ISNUMBER(Standards_Active!$T22),IF(AND(BK$44&gt;=Standards_Active!$Q22,BK$44&lt;Standards_Active!$R22),BJ58-Standards_Active!$U22*INDEX($AQ$58:$BP$58,1,MATCH((Standards_Active!$Q22-1),$AQ$44:$BP$44,FALSE)),IF(BK$44&gt;=Standards_Active!$R22,Standards_Active!$V22,CU58)),CU58)</f>
        <v>5.000000000000001E-3</v>
      </c>
      <c r="BL58" s="622">
        <f>IF(ISNUMBER(Standards_Active!$T22),IF(AND(BL$44&gt;=Standards_Active!$Q22,BL$44&lt;Standards_Active!$R22),BK58-Standards_Active!$U22*INDEX($AQ$58:$BP$58,1,MATCH((Standards_Active!$Q22-1),$AQ$44:$BP$44,FALSE)),IF(BL$44&gt;=Standards_Active!$R22,Standards_Active!$V22,CV58)),CV58)</f>
        <v>5.000000000000001E-3</v>
      </c>
      <c r="BM58" s="622">
        <f>IF(ISNUMBER(Standards_Active!$T22),IF(AND(BM$44&gt;=Standards_Active!$Q22,BM$44&lt;Standards_Active!$R22),BL58-Standards_Active!$U22*INDEX($AQ$58:$BP$58,1,MATCH((Standards_Active!$Q22-1),$AQ$44:$BP$44,FALSE)),IF(BM$44&gt;=Standards_Active!$R22,Standards_Active!$V22,CW58)),CW58)</f>
        <v>5.000000000000001E-3</v>
      </c>
      <c r="BN58" s="622">
        <f>IF(ISNUMBER(Standards_Active!$T22),IF(AND(BN$44&gt;=Standards_Active!$Q22,BN$44&lt;Standards_Active!$R22),BM58-Standards_Active!$U22*INDEX($AQ$58:$BP$58,1,MATCH((Standards_Active!$Q22-1),$AQ$44:$BP$44,FALSE)),IF(BN$44&gt;=Standards_Active!$R22,Standards_Active!$V22,CX58)),CX58)</f>
        <v>5.000000000000001E-3</v>
      </c>
      <c r="BO58" s="622">
        <f>IF(ISNUMBER(Standards_Active!$T22),IF(AND(BO$44&gt;=Standards_Active!$Q22,BO$44&lt;Standards_Active!$R22),BN58-Standards_Active!$U22*INDEX($AQ$58:$BP$58,1,MATCH((Standards_Active!$Q22-1),$AQ$44:$BP$44,FALSE)),IF(BO$44&gt;=Standards_Active!$R22,Standards_Active!$V22,CY58)),CY58)</f>
        <v>5.000000000000001E-3</v>
      </c>
      <c r="BP58" s="622">
        <f>IF(ISNUMBER(Standards_Active!$T22),IF(AND(BP$44&gt;=Standards_Active!$Q22,BP$44&lt;Standards_Active!$R22),BO58-Standards_Active!$U22*INDEX($AQ$58:$BP$58,1,MATCH((Standards_Active!$Q22-1),$AQ$44:$BP$44,FALSE)),IF(BP$44&gt;=Standards_Active!$R22,Standards_Active!$V22,CZ58)),CZ58)</f>
        <v>5.000000000000001E-3</v>
      </c>
      <c r="BQ58" s="380"/>
      <c r="BR58"/>
      <c r="BS58"/>
      <c r="BT58"/>
      <c r="BU58"/>
      <c r="BV58"/>
      <c r="BW58"/>
      <c r="BX58"/>
      <c r="BY58"/>
      <c r="BZ58"/>
      <c r="CA58" s="372">
        <v>0.05</v>
      </c>
      <c r="CB58" s="372">
        <v>0.05</v>
      </c>
      <c r="CC58" s="372">
        <v>0.05</v>
      </c>
      <c r="CD58" s="372">
        <v>0.05</v>
      </c>
      <c r="CE58" s="372">
        <v>0.05</v>
      </c>
      <c r="CF58" s="372">
        <v>0.05</v>
      </c>
      <c r="CG58" s="372">
        <v>0.05</v>
      </c>
      <c r="CH58" s="372">
        <v>0.05</v>
      </c>
      <c r="CI58" s="372">
        <v>0.05</v>
      </c>
      <c r="CJ58" s="372">
        <v>0.05</v>
      </c>
      <c r="CK58" s="372">
        <v>0.05</v>
      </c>
      <c r="CL58" s="372">
        <v>0.05</v>
      </c>
      <c r="CM58" s="372">
        <v>0.05</v>
      </c>
      <c r="CN58" s="372">
        <v>0.05</v>
      </c>
      <c r="CO58" s="372">
        <v>0.05</v>
      </c>
      <c r="CP58" s="372">
        <v>0.05</v>
      </c>
      <c r="CQ58" s="372">
        <v>0.05</v>
      </c>
      <c r="CR58" s="372">
        <v>0.05</v>
      </c>
      <c r="CS58" s="372">
        <v>0.05</v>
      </c>
      <c r="CT58" s="372">
        <v>0.05</v>
      </c>
      <c r="CU58" s="372">
        <v>0.05</v>
      </c>
      <c r="CV58" s="372">
        <v>0.05</v>
      </c>
      <c r="CW58" s="372">
        <v>0.05</v>
      </c>
      <c r="CX58" s="372">
        <v>0.05</v>
      </c>
      <c r="CY58" s="372">
        <v>0.05</v>
      </c>
      <c r="CZ58" s="372">
        <v>0.05</v>
      </c>
    </row>
    <row r="59" spans="1:105" s="376" customFormat="1" x14ac:dyDescent="0.25">
      <c r="B59" s="376" t="s">
        <v>39</v>
      </c>
      <c r="D59" s="380"/>
      <c r="E59" s="380"/>
      <c r="F59" s="380"/>
      <c r="G59" s="370">
        <f>IF(Standards_Active!$S23="yes",AQ59,CA59)</f>
        <v>1</v>
      </c>
      <c r="H59" s="370">
        <f>IF(Standards_Active!$S23="yes",AR59,CB59)</f>
        <v>1</v>
      </c>
      <c r="I59" s="370">
        <f>IF(Standards_Active!$S23="yes",AS59,CC59)</f>
        <v>1</v>
      </c>
      <c r="J59" s="370">
        <f>IF(Standards_Active!$S23="yes",AT59,CD59)</f>
        <v>1</v>
      </c>
      <c r="K59" s="370">
        <f>IF(Standards_Active!$S23="yes",AU59,CE59)</f>
        <v>1</v>
      </c>
      <c r="L59" s="370">
        <f>IF(Standards_Active!$S23="yes",AV59,CF59)</f>
        <v>1</v>
      </c>
      <c r="M59" s="370">
        <f>IF(Standards_Active!$S23="yes",AW59,CG59)</f>
        <v>1</v>
      </c>
      <c r="N59" s="370">
        <f>IF(Standards_Active!$S23="yes",AX59,CH59)</f>
        <v>1</v>
      </c>
      <c r="O59" s="370">
        <f>IF(Standards_Active!$S23="yes",AY59,CI59)</f>
        <v>1</v>
      </c>
      <c r="P59" s="370">
        <f>IF(Standards_Active!$S23="yes",AZ59,CJ59)</f>
        <v>1</v>
      </c>
      <c r="Q59" s="370">
        <f>IF(Standards_Active!$S23="yes",BA59,CK59)</f>
        <v>1</v>
      </c>
      <c r="R59" s="370">
        <f>IF(Standards_Active!$S23="yes",BB59,CL59)</f>
        <v>1</v>
      </c>
      <c r="S59" s="370">
        <f>IF(Standards_Active!$S23="yes",BC59,CM59)</f>
        <v>1</v>
      </c>
      <c r="T59" s="370">
        <f>IF(Standards_Active!$S23="yes",BD59,CN59)</f>
        <v>1</v>
      </c>
      <c r="U59" s="370">
        <f>IF(Standards_Active!$S23="yes",BE59,CO59)</f>
        <v>1</v>
      </c>
      <c r="V59" s="370">
        <f>IF(Standards_Active!$S23="yes",BF59,CP59)</f>
        <v>1</v>
      </c>
      <c r="W59" s="370">
        <f>IF(Standards_Active!$S23="yes",BG59,CQ59)</f>
        <v>1</v>
      </c>
      <c r="X59" s="370">
        <f>IF(Standards_Active!$S23="yes",BH59,CR59)</f>
        <v>1</v>
      </c>
      <c r="Y59" s="370">
        <f>IF(Standards_Active!$S23="yes",BI59,CS59)</f>
        <v>1</v>
      </c>
      <c r="Z59" s="370">
        <f>IF(Standards_Active!$S23="yes",BJ59,CT59)</f>
        <v>1</v>
      </c>
      <c r="AA59" s="370">
        <f>IF(Standards_Active!$S23="yes",BK59,CU59)</f>
        <v>1</v>
      </c>
      <c r="AB59" s="370">
        <f>IF(Standards_Active!$S23="yes",BL59,CV59)</f>
        <v>1</v>
      </c>
      <c r="AC59" s="370">
        <f>IF(Standards_Active!$S23="yes",BM59,CW59)</f>
        <v>1</v>
      </c>
      <c r="AD59" s="370">
        <f>IF(Standards_Active!$S23="yes",BN59,CX59)</f>
        <v>1</v>
      </c>
      <c r="AE59" s="370">
        <f>IF(Standards_Active!$S23="yes",BO59,CY59)</f>
        <v>1</v>
      </c>
      <c r="AF59" s="370">
        <f>IF(Standards_Active!$S23="yes",BP59,CZ59)</f>
        <v>1</v>
      </c>
      <c r="AH59"/>
      <c r="AI59"/>
      <c r="AJ59"/>
      <c r="AK59"/>
      <c r="AL59"/>
      <c r="AM59"/>
      <c r="AN59"/>
      <c r="AO59"/>
      <c r="AP59"/>
      <c r="AQ59" s="622">
        <f>IF(ISNUMBER(Standards_Active!$T23),IF(AND(AQ$44&gt;=Standards_Active!$Q23,AQ$44&lt;Standards_Active!$R23),AP59-Standards_Active!$U23*INDEX($AQ$58:$BP$58,1,MATCH((Standards_Active!$Q23-1),$AQ$44:$BP$44,FALSE)),IF(AQ$44&gt;=Standards_Active!$R23,Standards_Active!$V23,CA59)),CA59)</f>
        <v>1</v>
      </c>
      <c r="AR59" s="622">
        <f>IF(ISNUMBER(Standards_Active!$T23),IF(AND(AR$44&gt;=Standards_Active!$Q23,AR$44&lt;Standards_Active!$R23),AQ59-Standards_Active!$U23*INDEX($AQ$58:$BP$58,1,MATCH((Standards_Active!$Q23-1),$AQ$44:$BP$44,FALSE)),IF(AR$44&gt;=Standards_Active!$R23,Standards_Active!$V23,CB59)),CB59)</f>
        <v>1</v>
      </c>
      <c r="AS59" s="622">
        <f>IF(ISNUMBER(Standards_Active!$T23),IF(AND(AS$44&gt;=Standards_Active!$Q23,AS$44&lt;Standards_Active!$R23),AR59-Standards_Active!$U23*INDEX($AQ$58:$BP$58,1,MATCH((Standards_Active!$Q23-1),$AQ$44:$BP$44,FALSE)),IF(AS$44&gt;=Standards_Active!$R23,Standards_Active!$V23,CC59)),CC59)</f>
        <v>1</v>
      </c>
      <c r="AT59" s="622">
        <f>IF(ISNUMBER(Standards_Active!$T23),IF(AND(AT$44&gt;=Standards_Active!$Q23,AT$44&lt;Standards_Active!$R23),AS59-Standards_Active!$U23*INDEX($AQ$58:$BP$58,1,MATCH((Standards_Active!$Q23-1),$AQ$44:$BP$44,FALSE)),IF(AT$44&gt;=Standards_Active!$R23,Standards_Active!$V23,CD59)),CD59)</f>
        <v>1</v>
      </c>
      <c r="AU59" s="622">
        <f>IF(ISNUMBER(Standards_Active!$T23),IF(AND(AU$44&gt;=Standards_Active!$Q23,AU$44&lt;Standards_Active!$R23),AT59-Standards_Active!$U23*INDEX($AQ$58:$BP$58,1,MATCH((Standards_Active!$Q23-1),$AQ$44:$BP$44,FALSE)),IF(AU$44&gt;=Standards_Active!$R23,Standards_Active!$V23,CE59)),CE59)</f>
        <v>1</v>
      </c>
      <c r="AV59" s="622">
        <f>IF(ISNUMBER(Standards_Active!$T23),IF(AND(AV$44&gt;=Standards_Active!$Q23,AV$44&lt;Standards_Active!$R23),AU59-Standards_Active!$U23*INDEX($AQ$58:$BP$58,1,MATCH((Standards_Active!$Q23-1),$AQ$44:$BP$44,FALSE)),IF(AV$44&gt;=Standards_Active!$R23,Standards_Active!$V23,CF59)),CF59)</f>
        <v>1</v>
      </c>
      <c r="AW59" s="622">
        <f>IF(ISNUMBER(Standards_Active!$T23),IF(AND(AW$44&gt;=Standards_Active!$Q23,AW$44&lt;Standards_Active!$R23),AV59-Standards_Active!$U23*INDEX($AQ$58:$BP$58,1,MATCH((Standards_Active!$Q23-1),$AQ$44:$BP$44,FALSE)),IF(AW$44&gt;=Standards_Active!$R23,Standards_Active!$V23,CG59)),CG59)</f>
        <v>1</v>
      </c>
      <c r="AX59" s="622">
        <f>IF(ISNUMBER(Standards_Active!$T23),IF(AND(AX$44&gt;=Standards_Active!$Q23,AX$44&lt;Standards_Active!$R23),AW59-Standards_Active!$U23*INDEX($AQ$58:$BP$58,1,MATCH((Standards_Active!$Q23-1),$AQ$44:$BP$44,FALSE)),IF(AX$44&gt;=Standards_Active!$R23,Standards_Active!$V23,CH59)),CH59)</f>
        <v>1</v>
      </c>
      <c r="AY59" s="622">
        <f>IF(ISNUMBER(Standards_Active!$T23),IF(AND(AY$44&gt;=Standards_Active!$Q23,AY$44&lt;Standards_Active!$R23),AX59-Standards_Active!$U23*INDEX($AQ$58:$BP$58,1,MATCH((Standards_Active!$Q23-1),$AQ$44:$BP$44,FALSE)),IF(AY$44&gt;=Standards_Active!$R23,Standards_Active!$V23,CI59)),CI59)</f>
        <v>1</v>
      </c>
      <c r="AZ59" s="622">
        <f>IF(ISNUMBER(Standards_Active!$T23),IF(AND(AZ$44&gt;=Standards_Active!$Q23,AZ$44&lt;Standards_Active!$R23),AY59-Standards_Active!$U23*INDEX($AQ$58:$BP$58,1,MATCH((Standards_Active!$Q23-1),$AQ$44:$BP$44,FALSE)),IF(AZ$44&gt;=Standards_Active!$R23,Standards_Active!$V23,CJ59)),CJ59)</f>
        <v>1</v>
      </c>
      <c r="BA59" s="622">
        <f>IF(ISNUMBER(Standards_Active!$T23),IF(AND(BA$44&gt;=Standards_Active!$Q23,BA$44&lt;Standards_Active!$R23),AZ59-Standards_Active!$U23*INDEX($AQ$58:$BP$58,1,MATCH((Standards_Active!$Q23-1),$AQ$44:$BP$44,FALSE)),IF(BA$44&gt;=Standards_Active!$R23,Standards_Active!$V23,CK59)),CK59)</f>
        <v>1</v>
      </c>
      <c r="BB59" s="622">
        <f>IF(ISNUMBER(Standards_Active!$T23),IF(AND(BB$44&gt;=Standards_Active!$Q23,BB$44&lt;Standards_Active!$R23),BA59-Standards_Active!$U23*INDEX($AQ$58:$BP$58,1,MATCH((Standards_Active!$Q23-1),$AQ$44:$BP$44,FALSE)),IF(BB$44&gt;=Standards_Active!$R23,Standards_Active!$V23,CL59)),CL59)</f>
        <v>1</v>
      </c>
      <c r="BC59" s="622">
        <f>IF(ISNUMBER(Standards_Active!$T23),IF(AND(BC$44&gt;=Standards_Active!$Q23,BC$44&lt;Standards_Active!$R23),BB59-Standards_Active!$U23*INDEX($AQ$58:$BP$58,1,MATCH((Standards_Active!$Q23-1),$AQ$44:$BP$44,FALSE)),IF(BC$44&gt;=Standards_Active!$R23,Standards_Active!$V23,CM59)),CM59)</f>
        <v>1</v>
      </c>
      <c r="BD59" s="622">
        <f>IF(ISNUMBER(Standards_Active!$T23),IF(AND(BD$44&gt;=Standards_Active!$Q23,BD$44&lt;Standards_Active!$R23),BC59-Standards_Active!$U23*INDEX($AQ$58:$BP$58,1,MATCH((Standards_Active!$Q23-1),$AQ$44:$BP$44,FALSE)),IF(BD$44&gt;=Standards_Active!$R23,Standards_Active!$V23,CN59)),CN59)</f>
        <v>1</v>
      </c>
      <c r="BE59" s="622">
        <f>IF(ISNUMBER(Standards_Active!$T23),IF(AND(BE$44&gt;=Standards_Active!$Q23,BE$44&lt;Standards_Active!$R23),BD59-Standards_Active!$U23*INDEX($AQ$58:$BP$58,1,MATCH((Standards_Active!$Q23-1),$AQ$44:$BP$44,FALSE)),IF(BE$44&gt;=Standards_Active!$R23,Standards_Active!$V23,CO59)),CO59)</f>
        <v>1</v>
      </c>
      <c r="BF59" s="622">
        <f>IF(ISNUMBER(Standards_Active!$T23),IF(AND(BF$44&gt;=Standards_Active!$Q23,BF$44&lt;Standards_Active!$R23),BE59-Standards_Active!$U23*INDEX($AQ$58:$BP$58,1,MATCH((Standards_Active!$Q23-1),$AQ$44:$BP$44,FALSE)),IF(BF$44&gt;=Standards_Active!$R23,Standards_Active!$V23,CP59)),CP59)</f>
        <v>1</v>
      </c>
      <c r="BG59" s="622">
        <f>IF(ISNUMBER(Standards_Active!$T23),IF(AND(BG$44&gt;=Standards_Active!$Q23,BG$44&lt;Standards_Active!$R23),BF59-Standards_Active!$U23*INDEX($AQ$58:$BP$58,1,MATCH((Standards_Active!$Q23-1),$AQ$44:$BP$44,FALSE)),IF(BG$44&gt;=Standards_Active!$R23,Standards_Active!$V23,CQ59)),CQ59)</f>
        <v>1</v>
      </c>
      <c r="BH59" s="622">
        <f>IF(ISNUMBER(Standards_Active!$T23),IF(AND(BH$44&gt;=Standards_Active!$Q23,BH$44&lt;Standards_Active!$R23),BG59-Standards_Active!$U23*INDEX($AQ$58:$BP$58,1,MATCH((Standards_Active!$Q23-1),$AQ$44:$BP$44,FALSE)),IF(BH$44&gt;=Standards_Active!$R23,Standards_Active!$V23,CR59)),CR59)</f>
        <v>1</v>
      </c>
      <c r="BI59" s="622">
        <f>IF(ISNUMBER(Standards_Active!$T23),IF(AND(BI$44&gt;=Standards_Active!$Q23,BI$44&lt;Standards_Active!$R23),BH59-Standards_Active!$U23*INDEX($AQ$58:$BP$58,1,MATCH((Standards_Active!$Q23-1),$AQ$44:$BP$44,FALSE)),IF(BI$44&gt;=Standards_Active!$R23,Standards_Active!$V23,CS59)),CS59)</f>
        <v>1</v>
      </c>
      <c r="BJ59" s="622">
        <f>IF(ISNUMBER(Standards_Active!$T23),IF(AND(BJ$44&gt;=Standards_Active!$Q23,BJ$44&lt;Standards_Active!$R23),BI59-Standards_Active!$U23*INDEX($AQ$58:$BP$58,1,MATCH((Standards_Active!$Q23-1),$AQ$44:$BP$44,FALSE)),IF(BJ$44&gt;=Standards_Active!$R23,Standards_Active!$V23,CT59)),CT59)</f>
        <v>1</v>
      </c>
      <c r="BK59" s="622">
        <f>IF(ISNUMBER(Standards_Active!$T23),IF(AND(BK$44&gt;=Standards_Active!$Q23,BK$44&lt;Standards_Active!$R23),BJ59-Standards_Active!$U23*INDEX($AQ$58:$BP$58,1,MATCH((Standards_Active!$Q23-1),$AQ$44:$BP$44,FALSE)),IF(BK$44&gt;=Standards_Active!$R23,Standards_Active!$V23,CU59)),CU59)</f>
        <v>1</v>
      </c>
      <c r="BL59" s="622">
        <f>IF(ISNUMBER(Standards_Active!$T23),IF(AND(BL$44&gt;=Standards_Active!$Q23,BL$44&lt;Standards_Active!$R23),BK59-Standards_Active!$U23*INDEX($AQ$58:$BP$58,1,MATCH((Standards_Active!$Q23-1),$AQ$44:$BP$44,FALSE)),IF(BL$44&gt;=Standards_Active!$R23,Standards_Active!$V23,CV59)),CV59)</f>
        <v>1</v>
      </c>
      <c r="BM59" s="622">
        <f>IF(ISNUMBER(Standards_Active!$T23),IF(AND(BM$44&gt;=Standards_Active!$Q23,BM$44&lt;Standards_Active!$R23),BL59-Standards_Active!$U23*INDEX($AQ$58:$BP$58,1,MATCH((Standards_Active!$Q23-1),$AQ$44:$BP$44,FALSE)),IF(BM$44&gt;=Standards_Active!$R23,Standards_Active!$V23,CW59)),CW59)</f>
        <v>1</v>
      </c>
      <c r="BN59" s="622">
        <f>IF(ISNUMBER(Standards_Active!$T23),IF(AND(BN$44&gt;=Standards_Active!$Q23,BN$44&lt;Standards_Active!$R23),BM59-Standards_Active!$U23*INDEX($AQ$58:$BP$58,1,MATCH((Standards_Active!$Q23-1),$AQ$44:$BP$44,FALSE)),IF(BN$44&gt;=Standards_Active!$R23,Standards_Active!$V23,CX59)),CX59)</f>
        <v>1</v>
      </c>
      <c r="BO59" s="622">
        <f>IF(ISNUMBER(Standards_Active!$T23),IF(AND(BO$44&gt;=Standards_Active!$Q23,BO$44&lt;Standards_Active!$R23),BN59-Standards_Active!$U23*INDEX($AQ$58:$BP$58,1,MATCH((Standards_Active!$Q23-1),$AQ$44:$BP$44,FALSE)),IF(BO$44&gt;=Standards_Active!$R23,Standards_Active!$V23,CY59)),CY59)</f>
        <v>1</v>
      </c>
      <c r="BP59" s="622">
        <f>IF(ISNUMBER(Standards_Active!$T23),IF(AND(BP$44&gt;=Standards_Active!$Q23,BP$44&lt;Standards_Active!$R23),BO59-Standards_Active!$U23*INDEX($AQ$58:$BP$58,1,MATCH((Standards_Active!$Q23-1),$AQ$44:$BP$44,FALSE)),IF(BP$44&gt;=Standards_Active!$R23,Standards_Active!$V23,CZ59)),CZ59)</f>
        <v>1</v>
      </c>
      <c r="BQ59" s="380"/>
      <c r="BR59"/>
      <c r="BS59"/>
      <c r="BT59"/>
      <c r="BU59"/>
      <c r="BV59"/>
      <c r="BW59"/>
      <c r="BX59"/>
      <c r="BY59"/>
      <c r="BZ59"/>
      <c r="CA59" s="372">
        <v>1</v>
      </c>
      <c r="CB59" s="372">
        <v>1</v>
      </c>
      <c r="CC59" s="372">
        <v>1</v>
      </c>
      <c r="CD59" s="372">
        <v>1</v>
      </c>
      <c r="CE59" s="372">
        <v>1</v>
      </c>
      <c r="CF59" s="372">
        <v>1</v>
      </c>
      <c r="CG59" s="372">
        <v>1</v>
      </c>
      <c r="CH59" s="372">
        <v>1</v>
      </c>
      <c r="CI59" s="372">
        <v>1</v>
      </c>
      <c r="CJ59" s="372">
        <v>1</v>
      </c>
      <c r="CK59" s="372">
        <v>1</v>
      </c>
      <c r="CL59" s="372">
        <v>1</v>
      </c>
      <c r="CM59" s="372">
        <v>1</v>
      </c>
      <c r="CN59" s="372">
        <v>1</v>
      </c>
      <c r="CO59" s="372">
        <v>1</v>
      </c>
      <c r="CP59" s="372">
        <v>1</v>
      </c>
      <c r="CQ59" s="372">
        <v>1</v>
      </c>
      <c r="CR59" s="372">
        <v>1</v>
      </c>
      <c r="CS59" s="372">
        <v>1</v>
      </c>
      <c r="CT59" s="372">
        <v>1</v>
      </c>
      <c r="CU59" s="372">
        <v>1</v>
      </c>
      <c r="CV59" s="372">
        <v>1</v>
      </c>
      <c r="CW59" s="372">
        <v>1</v>
      </c>
      <c r="CX59" s="372">
        <v>1</v>
      </c>
      <c r="CY59" s="372">
        <v>1</v>
      </c>
      <c r="CZ59" s="372">
        <v>1</v>
      </c>
    </row>
    <row r="60" spans="1:105" s="376" customFormat="1" x14ac:dyDescent="0.25">
      <c r="B60" s="376" t="s">
        <v>40</v>
      </c>
      <c r="D60" s="380"/>
      <c r="E60" s="380"/>
      <c r="F60" s="380"/>
      <c r="G60" s="370">
        <f>IF(Standards_Active!$S24="yes",AQ60,CA60)</f>
        <v>0.8</v>
      </c>
      <c r="H60" s="370">
        <f>IF(Standards_Active!$S24="yes",AR60,CB60)</f>
        <v>0.8</v>
      </c>
      <c r="I60" s="370">
        <f>IF(Standards_Active!$S24="yes",AS60,CC60)</f>
        <v>0.8</v>
      </c>
      <c r="J60" s="370">
        <f>IF(Standards_Active!$S24="yes",AT60,CD60)</f>
        <v>0.8</v>
      </c>
      <c r="K60" s="370">
        <f>IF(Standards_Active!$S24="yes",AU60,CE60)</f>
        <v>0.8</v>
      </c>
      <c r="L60" s="370">
        <f>IF(Standards_Active!$S24="yes",AV60,CF60)</f>
        <v>0.8</v>
      </c>
      <c r="M60" s="370">
        <f>IF(Standards_Active!$S24="yes",AW60,CG60)</f>
        <v>0.8</v>
      </c>
      <c r="N60" s="370">
        <f>IF(Standards_Active!$S24="yes",AX60,CH60)</f>
        <v>0.8</v>
      </c>
      <c r="O60" s="370">
        <f>IF(Standards_Active!$S24="yes",AY60,CI60)</f>
        <v>0.8</v>
      </c>
      <c r="P60" s="370">
        <f>IF(Standards_Active!$S24="yes",AZ60,CJ60)</f>
        <v>0.8</v>
      </c>
      <c r="Q60" s="370">
        <f>IF(Standards_Active!$S24="yes",BA60,CK60)</f>
        <v>0.8</v>
      </c>
      <c r="R60" s="370">
        <f>IF(Standards_Active!$S24="yes",BB60,CL60)</f>
        <v>0.8</v>
      </c>
      <c r="S60" s="370">
        <f>IF(Standards_Active!$S24="yes",BC60,CM60)</f>
        <v>0.8</v>
      </c>
      <c r="T60" s="370">
        <f>IF(Standards_Active!$S24="yes",BD60,CN60)</f>
        <v>0.8</v>
      </c>
      <c r="U60" s="370">
        <f>IF(Standards_Active!$S24="yes",BE60,CO60)</f>
        <v>0.8</v>
      </c>
      <c r="V60" s="370">
        <f>IF(Standards_Active!$S24="yes",BF60,CP60)</f>
        <v>0.8</v>
      </c>
      <c r="W60" s="370">
        <f>IF(Standards_Active!$S24="yes",BG60,CQ60)</f>
        <v>0.8</v>
      </c>
      <c r="X60" s="370">
        <f>IF(Standards_Active!$S24="yes",BH60,CR60)</f>
        <v>0.8</v>
      </c>
      <c r="Y60" s="370">
        <f>IF(Standards_Active!$S24="yes",BI60,CS60)</f>
        <v>0.8</v>
      </c>
      <c r="Z60" s="370">
        <f>IF(Standards_Active!$S24="yes",BJ60,CT60)</f>
        <v>0.8</v>
      </c>
      <c r="AA60" s="370">
        <f>IF(Standards_Active!$S24="yes",BK60,CU60)</f>
        <v>0.8</v>
      </c>
      <c r="AB60" s="370">
        <f>IF(Standards_Active!$S24="yes",BL60,CV60)</f>
        <v>0.8</v>
      </c>
      <c r="AC60" s="370">
        <f>IF(Standards_Active!$S24="yes",BM60,CW60)</f>
        <v>0.8</v>
      </c>
      <c r="AD60" s="370">
        <f>IF(Standards_Active!$S24="yes",BN60,CX60)</f>
        <v>0.8</v>
      </c>
      <c r="AE60" s="370">
        <f>IF(Standards_Active!$S24="yes",BO60,CY60)</f>
        <v>0.8</v>
      </c>
      <c r="AF60" s="370">
        <f>IF(Standards_Active!$S24="yes",BP60,CZ60)</f>
        <v>0.8</v>
      </c>
      <c r="AH60"/>
      <c r="AI60"/>
      <c r="AJ60"/>
      <c r="AK60"/>
      <c r="AL60"/>
      <c r="AM60"/>
      <c r="AN60"/>
      <c r="AO60"/>
      <c r="AP60"/>
      <c r="AQ60" s="622">
        <f>IF(ISNUMBER(Standards_Active!$T24),IF(AND(AQ$44&gt;=Standards_Active!$Q24,AQ$44&lt;Standards_Active!$R24),AP60-Standards_Active!$U24*INDEX($AQ$58:$BP$58,1,MATCH((Standards_Active!$Q24-1),$AQ$44:$BP$44,FALSE)),IF(AQ$44&gt;=Standards_Active!$R24,Standards_Active!$V24,CA60)),CA60)</f>
        <v>0.8</v>
      </c>
      <c r="AR60" s="622">
        <f>IF(ISNUMBER(Standards_Active!$T24),IF(AND(AR$44&gt;=Standards_Active!$Q24,AR$44&lt;Standards_Active!$R24),AQ60-Standards_Active!$U24*INDEX($AQ$58:$BP$58,1,MATCH((Standards_Active!$Q24-1),$AQ$44:$BP$44,FALSE)),IF(AR$44&gt;=Standards_Active!$R24,Standards_Active!$V24,CB60)),CB60)</f>
        <v>0.8</v>
      </c>
      <c r="AS60" s="622">
        <f>IF(ISNUMBER(Standards_Active!$T24),IF(AND(AS$44&gt;=Standards_Active!$Q24,AS$44&lt;Standards_Active!$R24),AR60-Standards_Active!$U24*INDEX($AQ$58:$BP$58,1,MATCH((Standards_Active!$Q24-1),$AQ$44:$BP$44,FALSE)),IF(AS$44&gt;=Standards_Active!$R24,Standards_Active!$V24,CC60)),CC60)</f>
        <v>0.8</v>
      </c>
      <c r="AT60" s="622">
        <f>IF(ISNUMBER(Standards_Active!$T24),IF(AND(AT$44&gt;=Standards_Active!$Q24,AT$44&lt;Standards_Active!$R24),AS60-Standards_Active!$U24*INDEX($AQ$58:$BP$58,1,MATCH((Standards_Active!$Q24-1),$AQ$44:$BP$44,FALSE)),IF(AT$44&gt;=Standards_Active!$R24,Standards_Active!$V24,CD60)),CD60)</f>
        <v>0.8</v>
      </c>
      <c r="AU60" s="622">
        <f>IF(ISNUMBER(Standards_Active!$T24),IF(AND(AU$44&gt;=Standards_Active!$Q24,AU$44&lt;Standards_Active!$R24),AT60-Standards_Active!$U24*INDEX($AQ$58:$BP$58,1,MATCH((Standards_Active!$Q24-1),$AQ$44:$BP$44,FALSE)),IF(AU$44&gt;=Standards_Active!$R24,Standards_Active!$V24,CE60)),CE60)</f>
        <v>0.8</v>
      </c>
      <c r="AV60" s="622">
        <f>IF(ISNUMBER(Standards_Active!$T24),IF(AND(AV$44&gt;=Standards_Active!$Q24,AV$44&lt;Standards_Active!$R24),AU60-Standards_Active!$U24*INDEX($AQ$58:$BP$58,1,MATCH((Standards_Active!$Q24-1),$AQ$44:$BP$44,FALSE)),IF(AV$44&gt;=Standards_Active!$R24,Standards_Active!$V24,CF60)),CF60)</f>
        <v>0.8</v>
      </c>
      <c r="AW60" s="622">
        <f>IF(ISNUMBER(Standards_Active!$T24),IF(AND(AW$44&gt;=Standards_Active!$Q24,AW$44&lt;Standards_Active!$R24),AV60-Standards_Active!$U24*INDEX($AQ$58:$BP$58,1,MATCH((Standards_Active!$Q24-1),$AQ$44:$BP$44,FALSE)),IF(AW$44&gt;=Standards_Active!$R24,Standards_Active!$V24,CG60)),CG60)</f>
        <v>0.8</v>
      </c>
      <c r="AX60" s="622">
        <f>IF(ISNUMBER(Standards_Active!$T24),IF(AND(AX$44&gt;=Standards_Active!$Q24,AX$44&lt;Standards_Active!$R24),AW60-Standards_Active!$U24*INDEX($AQ$58:$BP$58,1,MATCH((Standards_Active!$Q24-1),$AQ$44:$BP$44,FALSE)),IF(AX$44&gt;=Standards_Active!$R24,Standards_Active!$V24,CH60)),CH60)</f>
        <v>0.8</v>
      </c>
      <c r="AY60" s="622">
        <f>IF(ISNUMBER(Standards_Active!$T24),IF(AND(AY$44&gt;=Standards_Active!$Q24,AY$44&lt;Standards_Active!$R24),AX60-Standards_Active!$U24*INDEX($AQ$58:$BP$58,1,MATCH((Standards_Active!$Q24-1),$AQ$44:$BP$44,FALSE)),IF(AY$44&gt;=Standards_Active!$R24,Standards_Active!$V24,CI60)),CI60)</f>
        <v>0.8</v>
      </c>
      <c r="AZ60" s="622">
        <f>IF(ISNUMBER(Standards_Active!$T24),IF(AND(AZ$44&gt;=Standards_Active!$Q24,AZ$44&lt;Standards_Active!$R24),AY60-Standards_Active!$U24*INDEX($AQ$58:$BP$58,1,MATCH((Standards_Active!$Q24-1),$AQ$44:$BP$44,FALSE)),IF(AZ$44&gt;=Standards_Active!$R24,Standards_Active!$V24,CJ60)),CJ60)</f>
        <v>0.8</v>
      </c>
      <c r="BA60" s="622">
        <f>IF(ISNUMBER(Standards_Active!$T24),IF(AND(BA$44&gt;=Standards_Active!$Q24,BA$44&lt;Standards_Active!$R24),AZ60-Standards_Active!$U24*INDEX($AQ$58:$BP$58,1,MATCH((Standards_Active!$Q24-1),$AQ$44:$BP$44,FALSE)),IF(BA$44&gt;=Standards_Active!$R24,Standards_Active!$V24,CK60)),CK60)</f>
        <v>0.8</v>
      </c>
      <c r="BB60" s="622">
        <f>IF(ISNUMBER(Standards_Active!$T24),IF(AND(BB$44&gt;=Standards_Active!$Q24,BB$44&lt;Standards_Active!$R24),BA60-Standards_Active!$U24*INDEX($AQ$58:$BP$58,1,MATCH((Standards_Active!$Q24-1),$AQ$44:$BP$44,FALSE)),IF(BB$44&gt;=Standards_Active!$R24,Standards_Active!$V24,CL60)),CL60)</f>
        <v>0.8</v>
      </c>
      <c r="BC60" s="622">
        <f>IF(ISNUMBER(Standards_Active!$T24),IF(AND(BC$44&gt;=Standards_Active!$Q24,BC$44&lt;Standards_Active!$R24),BB60-Standards_Active!$U24*INDEX($AQ$58:$BP$58,1,MATCH((Standards_Active!$Q24-1),$AQ$44:$BP$44,FALSE)),IF(BC$44&gt;=Standards_Active!$R24,Standards_Active!$V24,CM60)),CM60)</f>
        <v>0.8</v>
      </c>
      <c r="BD60" s="622">
        <f>IF(ISNUMBER(Standards_Active!$T24),IF(AND(BD$44&gt;=Standards_Active!$Q24,BD$44&lt;Standards_Active!$R24),BC60-Standards_Active!$U24*INDEX($AQ$58:$BP$58,1,MATCH((Standards_Active!$Q24-1),$AQ$44:$BP$44,FALSE)),IF(BD$44&gt;=Standards_Active!$R24,Standards_Active!$V24,CN60)),CN60)</f>
        <v>0.8</v>
      </c>
      <c r="BE60" s="622">
        <f>IF(ISNUMBER(Standards_Active!$T24),IF(AND(BE$44&gt;=Standards_Active!$Q24,BE$44&lt;Standards_Active!$R24),BD60-Standards_Active!$U24*INDEX($AQ$58:$BP$58,1,MATCH((Standards_Active!$Q24-1),$AQ$44:$BP$44,FALSE)),IF(BE$44&gt;=Standards_Active!$R24,Standards_Active!$V24,CO60)),CO60)</f>
        <v>0.8</v>
      </c>
      <c r="BF60" s="622">
        <f>IF(ISNUMBER(Standards_Active!$T24),IF(AND(BF$44&gt;=Standards_Active!$Q24,BF$44&lt;Standards_Active!$R24),BE60-Standards_Active!$U24*INDEX($AQ$58:$BP$58,1,MATCH((Standards_Active!$Q24-1),$AQ$44:$BP$44,FALSE)),IF(BF$44&gt;=Standards_Active!$R24,Standards_Active!$V24,CP60)),CP60)</f>
        <v>0.8</v>
      </c>
      <c r="BG60" s="622">
        <f>IF(ISNUMBER(Standards_Active!$T24),IF(AND(BG$44&gt;=Standards_Active!$Q24,BG$44&lt;Standards_Active!$R24),BF60-Standards_Active!$U24*INDEX($AQ$58:$BP$58,1,MATCH((Standards_Active!$Q24-1),$AQ$44:$BP$44,FALSE)),IF(BG$44&gt;=Standards_Active!$R24,Standards_Active!$V24,CQ60)),CQ60)</f>
        <v>0.8</v>
      </c>
      <c r="BH60" s="622">
        <f>IF(ISNUMBER(Standards_Active!$T24),IF(AND(BH$44&gt;=Standards_Active!$Q24,BH$44&lt;Standards_Active!$R24),BG60-Standards_Active!$U24*INDEX($AQ$58:$BP$58,1,MATCH((Standards_Active!$Q24-1),$AQ$44:$BP$44,FALSE)),IF(BH$44&gt;=Standards_Active!$R24,Standards_Active!$V24,CR60)),CR60)</f>
        <v>0.8</v>
      </c>
      <c r="BI60" s="622">
        <f>IF(ISNUMBER(Standards_Active!$T24),IF(AND(BI$44&gt;=Standards_Active!$Q24,BI$44&lt;Standards_Active!$R24),BH60-Standards_Active!$U24*INDEX($AQ$58:$BP$58,1,MATCH((Standards_Active!$Q24-1),$AQ$44:$BP$44,FALSE)),IF(BI$44&gt;=Standards_Active!$R24,Standards_Active!$V24,CS60)),CS60)</f>
        <v>0.8</v>
      </c>
      <c r="BJ60" s="622">
        <f>IF(ISNUMBER(Standards_Active!$T24),IF(AND(BJ$44&gt;=Standards_Active!$Q24,BJ$44&lt;Standards_Active!$R24),BI60-Standards_Active!$U24*INDEX($AQ$58:$BP$58,1,MATCH((Standards_Active!$Q24-1),$AQ$44:$BP$44,FALSE)),IF(BJ$44&gt;=Standards_Active!$R24,Standards_Active!$V24,CT60)),CT60)</f>
        <v>0.8</v>
      </c>
      <c r="BK60" s="622">
        <f>IF(ISNUMBER(Standards_Active!$T24),IF(AND(BK$44&gt;=Standards_Active!$Q24,BK$44&lt;Standards_Active!$R24),BJ60-Standards_Active!$U24*INDEX($AQ$58:$BP$58,1,MATCH((Standards_Active!$Q24-1),$AQ$44:$BP$44,FALSE)),IF(BK$44&gt;=Standards_Active!$R24,Standards_Active!$V24,CU60)),CU60)</f>
        <v>0.8</v>
      </c>
      <c r="BL60" s="622">
        <f>IF(ISNUMBER(Standards_Active!$T24),IF(AND(BL$44&gt;=Standards_Active!$Q24,BL$44&lt;Standards_Active!$R24),BK60-Standards_Active!$U24*INDEX($AQ$58:$BP$58,1,MATCH((Standards_Active!$Q24-1),$AQ$44:$BP$44,FALSE)),IF(BL$44&gt;=Standards_Active!$R24,Standards_Active!$V24,CV60)),CV60)</f>
        <v>0.8</v>
      </c>
      <c r="BM60" s="622">
        <f>IF(ISNUMBER(Standards_Active!$T24),IF(AND(BM$44&gt;=Standards_Active!$Q24,BM$44&lt;Standards_Active!$R24),BL60-Standards_Active!$U24*INDEX($AQ$58:$BP$58,1,MATCH((Standards_Active!$Q24-1),$AQ$44:$BP$44,FALSE)),IF(BM$44&gt;=Standards_Active!$R24,Standards_Active!$V24,CW60)),CW60)</f>
        <v>0.8</v>
      </c>
      <c r="BN60" s="622">
        <f>IF(ISNUMBER(Standards_Active!$T24),IF(AND(BN$44&gt;=Standards_Active!$Q24,BN$44&lt;Standards_Active!$R24),BM60-Standards_Active!$U24*INDEX($AQ$58:$BP$58,1,MATCH((Standards_Active!$Q24-1),$AQ$44:$BP$44,FALSE)),IF(BN$44&gt;=Standards_Active!$R24,Standards_Active!$V24,CX60)),CX60)</f>
        <v>0.8</v>
      </c>
      <c r="BO60" s="622">
        <f>IF(ISNUMBER(Standards_Active!$T24),IF(AND(BO$44&gt;=Standards_Active!$Q24,BO$44&lt;Standards_Active!$R24),BN60-Standards_Active!$U24*INDEX($AQ$58:$BP$58,1,MATCH((Standards_Active!$Q24-1),$AQ$44:$BP$44,FALSE)),IF(BO$44&gt;=Standards_Active!$R24,Standards_Active!$V24,CY60)),CY60)</f>
        <v>0.8</v>
      </c>
      <c r="BP60" s="622">
        <f>IF(ISNUMBER(Standards_Active!$T24),IF(AND(BP$44&gt;=Standards_Active!$Q24,BP$44&lt;Standards_Active!$R24),BO60-Standards_Active!$U24*INDEX($AQ$58:$BP$58,1,MATCH((Standards_Active!$Q24-1),$AQ$44:$BP$44,FALSE)),IF(BP$44&gt;=Standards_Active!$R24,Standards_Active!$V24,CZ60)),CZ60)</f>
        <v>0.8</v>
      </c>
      <c r="BQ60" s="380"/>
      <c r="BR60"/>
      <c r="BS60"/>
      <c r="BT60"/>
      <c r="BU60"/>
      <c r="BV60"/>
      <c r="BW60"/>
      <c r="BX60"/>
      <c r="BY60"/>
      <c r="BZ60"/>
      <c r="CA60" s="372">
        <v>0.8</v>
      </c>
      <c r="CB60" s="372">
        <v>0.8</v>
      </c>
      <c r="CC60" s="372">
        <v>0.8</v>
      </c>
      <c r="CD60" s="372">
        <v>0.8</v>
      </c>
      <c r="CE60" s="372">
        <v>0.8</v>
      </c>
      <c r="CF60" s="372">
        <v>0.8</v>
      </c>
      <c r="CG60" s="372">
        <v>0.8</v>
      </c>
      <c r="CH60" s="372">
        <v>0.8</v>
      </c>
      <c r="CI60" s="372">
        <v>0.8</v>
      </c>
      <c r="CJ60" s="372">
        <v>0.8</v>
      </c>
      <c r="CK60" s="372">
        <v>0.8</v>
      </c>
      <c r="CL60" s="372">
        <v>0.8</v>
      </c>
      <c r="CM60" s="372">
        <v>0.8</v>
      </c>
      <c r="CN60" s="372">
        <v>0.8</v>
      </c>
      <c r="CO60" s="372">
        <v>0.8</v>
      </c>
      <c r="CP60" s="372">
        <v>0.8</v>
      </c>
      <c r="CQ60" s="372">
        <v>0.8</v>
      </c>
      <c r="CR60" s="372">
        <v>0.8</v>
      </c>
      <c r="CS60" s="372">
        <v>0.8</v>
      </c>
      <c r="CT60" s="372">
        <v>0.8</v>
      </c>
      <c r="CU60" s="372">
        <v>0.8</v>
      </c>
      <c r="CV60" s="372">
        <v>0.8</v>
      </c>
      <c r="CW60" s="372">
        <v>0.8</v>
      </c>
      <c r="CX60" s="372">
        <v>0.8</v>
      </c>
      <c r="CY60" s="372">
        <v>0.8</v>
      </c>
      <c r="CZ60" s="372">
        <v>0.8</v>
      </c>
    </row>
    <row r="61" spans="1:105" s="376" customFormat="1" x14ac:dyDescent="0.25">
      <c r="B61" s="376" t="s">
        <v>29</v>
      </c>
      <c r="D61" s="380"/>
      <c r="E61" s="380"/>
      <c r="F61" s="380"/>
      <c r="G61" s="370">
        <f>IF(Standards_Active!$S25="yes",AQ61,CA61)</f>
        <v>1</v>
      </c>
      <c r="H61" s="370">
        <f>IF(Standards_Active!$S25="yes",AR61,CB61)</f>
        <v>1</v>
      </c>
      <c r="I61" s="370">
        <f>IF(Standards_Active!$S25="yes",AS61,CC61)</f>
        <v>1</v>
      </c>
      <c r="J61" s="370">
        <f>IF(Standards_Active!$S25="yes",AT61,CD61)</f>
        <v>1</v>
      </c>
      <c r="K61" s="370">
        <f>IF(Standards_Active!$S25="yes",AU61,CE61)</f>
        <v>1</v>
      </c>
      <c r="L61" s="370">
        <f>IF(Standards_Active!$S25="yes",AV61,CF61)</f>
        <v>1</v>
      </c>
      <c r="M61" s="370">
        <f>IF(Standards_Active!$S25="yes",AW61,CG61)</f>
        <v>1</v>
      </c>
      <c r="N61" s="370">
        <f>IF(Standards_Active!$S25="yes",AX61,CH61)</f>
        <v>1</v>
      </c>
      <c r="O61" s="370">
        <f>IF(Standards_Active!$S25="yes",AY61,CI61)</f>
        <v>1</v>
      </c>
      <c r="P61" s="370">
        <f>IF(Standards_Active!$S25="yes",AZ61,CJ61)</f>
        <v>1</v>
      </c>
      <c r="Q61" s="370">
        <f>IF(Standards_Active!$S25="yes",BA61,CK61)</f>
        <v>1</v>
      </c>
      <c r="R61" s="370">
        <f>IF(Standards_Active!$S25="yes",BB61,CL61)</f>
        <v>1</v>
      </c>
      <c r="S61" s="370">
        <f>IF(Standards_Active!$S25="yes",BC61,CM61)</f>
        <v>1</v>
      </c>
      <c r="T61" s="370">
        <f>IF(Standards_Active!$S25="yes",BD61,CN61)</f>
        <v>1</v>
      </c>
      <c r="U61" s="370">
        <f>IF(Standards_Active!$S25="yes",BE61,CO61)</f>
        <v>1</v>
      </c>
      <c r="V61" s="370">
        <f>IF(Standards_Active!$S25="yes",BF61,CP61)</f>
        <v>1</v>
      </c>
      <c r="W61" s="370">
        <f>IF(Standards_Active!$S25="yes",BG61,CQ61)</f>
        <v>1</v>
      </c>
      <c r="X61" s="370">
        <f>IF(Standards_Active!$S25="yes",BH61,CR61)</f>
        <v>1</v>
      </c>
      <c r="Y61" s="370">
        <f>IF(Standards_Active!$S25="yes",BI61,CS61)</f>
        <v>1</v>
      </c>
      <c r="Z61" s="370">
        <f>IF(Standards_Active!$S25="yes",BJ61,CT61)</f>
        <v>1</v>
      </c>
      <c r="AA61" s="370">
        <f>IF(Standards_Active!$S25="yes",BK61,CU61)</f>
        <v>1</v>
      </c>
      <c r="AB61" s="370">
        <f>IF(Standards_Active!$S25="yes",BL61,CV61)</f>
        <v>1</v>
      </c>
      <c r="AC61" s="370">
        <f>IF(Standards_Active!$S25="yes",BM61,CW61)</f>
        <v>1</v>
      </c>
      <c r="AD61" s="370">
        <f>IF(Standards_Active!$S25="yes",BN61,CX61)</f>
        <v>1</v>
      </c>
      <c r="AE61" s="370">
        <f>IF(Standards_Active!$S25="yes",BO61,CY61)</f>
        <v>1</v>
      </c>
      <c r="AF61" s="370">
        <f>IF(Standards_Active!$S25="yes",BP61,CZ61)</f>
        <v>1</v>
      </c>
      <c r="AH61"/>
      <c r="AI61"/>
      <c r="AJ61"/>
      <c r="AK61"/>
      <c r="AL61"/>
      <c r="AM61"/>
      <c r="AN61"/>
      <c r="AO61"/>
      <c r="AP61"/>
      <c r="AQ61" s="622">
        <f>IF(ISNUMBER(Standards_Active!$T25),IF(AND(AQ$44&gt;=Standards_Active!$Q25,AQ$44&lt;Standards_Active!$R25),AP61-Standards_Active!$U25*INDEX($AQ$58:$BP$58,1,MATCH((Standards_Active!$Q25-1),$AQ$44:$BP$44,FALSE)),IF(AQ$44&gt;=Standards_Active!$R25,Standards_Active!$V25,CA61)),CA61)</f>
        <v>1</v>
      </c>
      <c r="AR61" s="622">
        <f>IF(ISNUMBER(Standards_Active!$T25),IF(AND(AR$44&gt;=Standards_Active!$Q25,AR$44&lt;Standards_Active!$R25),AQ61-Standards_Active!$U25*INDEX($AQ$58:$BP$58,1,MATCH((Standards_Active!$Q25-1),$AQ$44:$BP$44,FALSE)),IF(AR$44&gt;=Standards_Active!$R25,Standards_Active!$V25,CB61)),CB61)</f>
        <v>1</v>
      </c>
      <c r="AS61" s="622">
        <f>IF(ISNUMBER(Standards_Active!$T25),IF(AND(AS$44&gt;=Standards_Active!$Q25,AS$44&lt;Standards_Active!$R25),AR61-Standards_Active!$U25*INDEX($AQ$58:$BP$58,1,MATCH((Standards_Active!$Q25-1),$AQ$44:$BP$44,FALSE)),IF(AS$44&gt;=Standards_Active!$R25,Standards_Active!$V25,CC61)),CC61)</f>
        <v>1</v>
      </c>
      <c r="AT61" s="622">
        <f>IF(ISNUMBER(Standards_Active!$T25),IF(AND(AT$44&gt;=Standards_Active!$Q25,AT$44&lt;Standards_Active!$R25),AS61-Standards_Active!$U25*INDEX($AQ$58:$BP$58,1,MATCH((Standards_Active!$Q25-1),$AQ$44:$BP$44,FALSE)),IF(AT$44&gt;=Standards_Active!$R25,Standards_Active!$V25,CD61)),CD61)</f>
        <v>1</v>
      </c>
      <c r="AU61" s="622">
        <f>IF(ISNUMBER(Standards_Active!$T25),IF(AND(AU$44&gt;=Standards_Active!$Q25,AU$44&lt;Standards_Active!$R25),AT61-Standards_Active!$U25*INDEX($AQ$58:$BP$58,1,MATCH((Standards_Active!$Q25-1),$AQ$44:$BP$44,FALSE)),IF(AU$44&gt;=Standards_Active!$R25,Standards_Active!$V25,CE61)),CE61)</f>
        <v>1</v>
      </c>
      <c r="AV61" s="622">
        <f>IF(ISNUMBER(Standards_Active!$T25),IF(AND(AV$44&gt;=Standards_Active!$Q25,AV$44&lt;Standards_Active!$R25),AU61-Standards_Active!$U25*INDEX($AQ$58:$BP$58,1,MATCH((Standards_Active!$Q25-1),$AQ$44:$BP$44,FALSE)),IF(AV$44&gt;=Standards_Active!$R25,Standards_Active!$V25,CF61)),CF61)</f>
        <v>1</v>
      </c>
      <c r="AW61" s="622">
        <f>IF(ISNUMBER(Standards_Active!$T25),IF(AND(AW$44&gt;=Standards_Active!$Q25,AW$44&lt;Standards_Active!$R25),AV61-Standards_Active!$U25*INDEX($AQ$58:$BP$58,1,MATCH((Standards_Active!$Q25-1),$AQ$44:$BP$44,FALSE)),IF(AW$44&gt;=Standards_Active!$R25,Standards_Active!$V25,CG61)),CG61)</f>
        <v>1</v>
      </c>
      <c r="AX61" s="622">
        <f>IF(ISNUMBER(Standards_Active!$T25),IF(AND(AX$44&gt;=Standards_Active!$Q25,AX$44&lt;Standards_Active!$R25),AW61-Standards_Active!$U25*INDEX($AQ$58:$BP$58,1,MATCH((Standards_Active!$Q25-1),$AQ$44:$BP$44,FALSE)),IF(AX$44&gt;=Standards_Active!$R25,Standards_Active!$V25,CH61)),CH61)</f>
        <v>1</v>
      </c>
      <c r="AY61" s="622">
        <f>IF(ISNUMBER(Standards_Active!$T25),IF(AND(AY$44&gt;=Standards_Active!$Q25,AY$44&lt;Standards_Active!$R25),AX61-Standards_Active!$U25*INDEX($AQ$58:$BP$58,1,MATCH((Standards_Active!$Q25-1),$AQ$44:$BP$44,FALSE)),IF(AY$44&gt;=Standards_Active!$R25,Standards_Active!$V25,CI61)),CI61)</f>
        <v>1</v>
      </c>
      <c r="AZ61" s="622">
        <f>IF(ISNUMBER(Standards_Active!$T25),IF(AND(AZ$44&gt;=Standards_Active!$Q25,AZ$44&lt;Standards_Active!$R25),AY61-Standards_Active!$U25*INDEX($AQ$58:$BP$58,1,MATCH((Standards_Active!$Q25-1),$AQ$44:$BP$44,FALSE)),IF(AZ$44&gt;=Standards_Active!$R25,Standards_Active!$V25,CJ61)),CJ61)</f>
        <v>1</v>
      </c>
      <c r="BA61" s="622">
        <f>IF(ISNUMBER(Standards_Active!$T25),IF(AND(BA$44&gt;=Standards_Active!$Q25,BA$44&lt;Standards_Active!$R25),AZ61-Standards_Active!$U25*INDEX($AQ$58:$BP$58,1,MATCH((Standards_Active!$Q25-1),$AQ$44:$BP$44,FALSE)),IF(BA$44&gt;=Standards_Active!$R25,Standards_Active!$V25,CK61)),CK61)</f>
        <v>1</v>
      </c>
      <c r="BB61" s="622">
        <f>IF(ISNUMBER(Standards_Active!$T25),IF(AND(BB$44&gt;=Standards_Active!$Q25,BB$44&lt;Standards_Active!$R25),BA61-Standards_Active!$U25*INDEX($AQ$58:$BP$58,1,MATCH((Standards_Active!$Q25-1),$AQ$44:$BP$44,FALSE)),IF(BB$44&gt;=Standards_Active!$R25,Standards_Active!$V25,CL61)),CL61)</f>
        <v>1</v>
      </c>
      <c r="BC61" s="622">
        <f>IF(ISNUMBER(Standards_Active!$T25),IF(AND(BC$44&gt;=Standards_Active!$Q25,BC$44&lt;Standards_Active!$R25),BB61-Standards_Active!$U25*INDEX($AQ$58:$BP$58,1,MATCH((Standards_Active!$Q25-1),$AQ$44:$BP$44,FALSE)),IF(BC$44&gt;=Standards_Active!$R25,Standards_Active!$V25,CM61)),CM61)</f>
        <v>1</v>
      </c>
      <c r="BD61" s="622">
        <f>IF(ISNUMBER(Standards_Active!$T25),IF(AND(BD$44&gt;=Standards_Active!$Q25,BD$44&lt;Standards_Active!$R25),BC61-Standards_Active!$U25*INDEX($AQ$58:$BP$58,1,MATCH((Standards_Active!$Q25-1),$AQ$44:$BP$44,FALSE)),IF(BD$44&gt;=Standards_Active!$R25,Standards_Active!$V25,CN61)),CN61)</f>
        <v>1</v>
      </c>
      <c r="BE61" s="622">
        <f>IF(ISNUMBER(Standards_Active!$T25),IF(AND(BE$44&gt;=Standards_Active!$Q25,BE$44&lt;Standards_Active!$R25),BD61-Standards_Active!$U25*INDEX($AQ$58:$BP$58,1,MATCH((Standards_Active!$Q25-1),$AQ$44:$BP$44,FALSE)),IF(BE$44&gt;=Standards_Active!$R25,Standards_Active!$V25,CO61)),CO61)</f>
        <v>1</v>
      </c>
      <c r="BF61" s="622">
        <f>IF(ISNUMBER(Standards_Active!$T25),IF(AND(BF$44&gt;=Standards_Active!$Q25,BF$44&lt;Standards_Active!$R25),BE61-Standards_Active!$U25*INDEX($AQ$58:$BP$58,1,MATCH((Standards_Active!$Q25-1),$AQ$44:$BP$44,FALSE)),IF(BF$44&gt;=Standards_Active!$R25,Standards_Active!$V25,CP61)),CP61)</f>
        <v>1</v>
      </c>
      <c r="BG61" s="622">
        <f>IF(ISNUMBER(Standards_Active!$T25),IF(AND(BG$44&gt;=Standards_Active!$Q25,BG$44&lt;Standards_Active!$R25),BF61-Standards_Active!$U25*INDEX($AQ$58:$BP$58,1,MATCH((Standards_Active!$Q25-1),$AQ$44:$BP$44,FALSE)),IF(BG$44&gt;=Standards_Active!$R25,Standards_Active!$V25,CQ61)),CQ61)</f>
        <v>1</v>
      </c>
      <c r="BH61" s="622">
        <f>IF(ISNUMBER(Standards_Active!$T25),IF(AND(BH$44&gt;=Standards_Active!$Q25,BH$44&lt;Standards_Active!$R25),BG61-Standards_Active!$U25*INDEX($AQ$58:$BP$58,1,MATCH((Standards_Active!$Q25-1),$AQ$44:$BP$44,FALSE)),IF(BH$44&gt;=Standards_Active!$R25,Standards_Active!$V25,CR61)),CR61)</f>
        <v>1</v>
      </c>
      <c r="BI61" s="622">
        <f>IF(ISNUMBER(Standards_Active!$T25),IF(AND(BI$44&gt;=Standards_Active!$Q25,BI$44&lt;Standards_Active!$R25),BH61-Standards_Active!$U25*INDEX($AQ$58:$BP$58,1,MATCH((Standards_Active!$Q25-1),$AQ$44:$BP$44,FALSE)),IF(BI$44&gt;=Standards_Active!$R25,Standards_Active!$V25,CS61)),CS61)</f>
        <v>1</v>
      </c>
      <c r="BJ61" s="622">
        <f>IF(ISNUMBER(Standards_Active!$T25),IF(AND(BJ$44&gt;=Standards_Active!$Q25,BJ$44&lt;Standards_Active!$R25),BI61-Standards_Active!$U25*INDEX($AQ$58:$BP$58,1,MATCH((Standards_Active!$Q25-1),$AQ$44:$BP$44,FALSE)),IF(BJ$44&gt;=Standards_Active!$R25,Standards_Active!$V25,CT61)),CT61)</f>
        <v>1</v>
      </c>
      <c r="BK61" s="622">
        <f>IF(ISNUMBER(Standards_Active!$T25),IF(AND(BK$44&gt;=Standards_Active!$Q25,BK$44&lt;Standards_Active!$R25),BJ61-Standards_Active!$U25*INDEX($AQ$58:$BP$58,1,MATCH((Standards_Active!$Q25-1),$AQ$44:$BP$44,FALSE)),IF(BK$44&gt;=Standards_Active!$R25,Standards_Active!$V25,CU61)),CU61)</f>
        <v>1</v>
      </c>
      <c r="BL61" s="622">
        <f>IF(ISNUMBER(Standards_Active!$T25),IF(AND(BL$44&gt;=Standards_Active!$Q25,BL$44&lt;Standards_Active!$R25),BK61-Standards_Active!$U25*INDEX($AQ$58:$BP$58,1,MATCH((Standards_Active!$Q25-1),$AQ$44:$BP$44,FALSE)),IF(BL$44&gt;=Standards_Active!$R25,Standards_Active!$V25,CV61)),CV61)</f>
        <v>1</v>
      </c>
      <c r="BM61" s="622">
        <f>IF(ISNUMBER(Standards_Active!$T25),IF(AND(BM$44&gt;=Standards_Active!$Q25,BM$44&lt;Standards_Active!$R25),BL61-Standards_Active!$U25*INDEX($AQ$58:$BP$58,1,MATCH((Standards_Active!$Q25-1),$AQ$44:$BP$44,FALSE)),IF(BM$44&gt;=Standards_Active!$R25,Standards_Active!$V25,CW61)),CW61)</f>
        <v>1</v>
      </c>
      <c r="BN61" s="622">
        <f>IF(ISNUMBER(Standards_Active!$T25),IF(AND(BN$44&gt;=Standards_Active!$Q25,BN$44&lt;Standards_Active!$R25),BM61-Standards_Active!$U25*INDEX($AQ$58:$BP$58,1,MATCH((Standards_Active!$Q25-1),$AQ$44:$BP$44,FALSE)),IF(BN$44&gt;=Standards_Active!$R25,Standards_Active!$V25,CX61)),CX61)</f>
        <v>1</v>
      </c>
      <c r="BO61" s="622">
        <f>IF(ISNUMBER(Standards_Active!$T25),IF(AND(BO$44&gt;=Standards_Active!$Q25,BO$44&lt;Standards_Active!$R25),BN61-Standards_Active!$U25*INDEX($AQ$58:$BP$58,1,MATCH((Standards_Active!$Q25-1),$AQ$44:$BP$44,FALSE)),IF(BO$44&gt;=Standards_Active!$R25,Standards_Active!$V25,CY61)),CY61)</f>
        <v>1</v>
      </c>
      <c r="BP61" s="622">
        <f>IF(ISNUMBER(Standards_Active!$T25),IF(AND(BP$44&gt;=Standards_Active!$Q25,BP$44&lt;Standards_Active!$R25),BO61-Standards_Active!$U25*INDEX($AQ$58:$BP$58,1,MATCH((Standards_Active!$Q25-1),$AQ$44:$BP$44,FALSE)),IF(BP$44&gt;=Standards_Active!$R25,Standards_Active!$V25,CZ61)),CZ61)</f>
        <v>1</v>
      </c>
      <c r="BQ61" s="380"/>
      <c r="BR61"/>
      <c r="BS61"/>
      <c r="BT61"/>
      <c r="BU61"/>
      <c r="BV61"/>
      <c r="BW61"/>
      <c r="BX61"/>
      <c r="BY61"/>
      <c r="BZ61"/>
      <c r="CA61" s="372">
        <v>1</v>
      </c>
      <c r="CB61" s="372">
        <v>1</v>
      </c>
      <c r="CC61" s="372">
        <v>1</v>
      </c>
      <c r="CD61" s="372">
        <v>1</v>
      </c>
      <c r="CE61" s="372">
        <v>1</v>
      </c>
      <c r="CF61" s="372">
        <v>1</v>
      </c>
      <c r="CG61" s="372">
        <v>1</v>
      </c>
      <c r="CH61" s="372">
        <v>1</v>
      </c>
      <c r="CI61" s="372">
        <v>1</v>
      </c>
      <c r="CJ61" s="372">
        <v>1</v>
      </c>
      <c r="CK61" s="372">
        <v>1</v>
      </c>
      <c r="CL61" s="372">
        <v>1</v>
      </c>
      <c r="CM61" s="372">
        <v>1</v>
      </c>
      <c r="CN61" s="372">
        <v>1</v>
      </c>
      <c r="CO61" s="372">
        <v>1</v>
      </c>
      <c r="CP61" s="372">
        <v>1</v>
      </c>
      <c r="CQ61" s="372">
        <v>1</v>
      </c>
      <c r="CR61" s="372">
        <v>1</v>
      </c>
      <c r="CS61" s="372">
        <v>1</v>
      </c>
      <c r="CT61" s="372">
        <v>1</v>
      </c>
      <c r="CU61" s="372">
        <v>1</v>
      </c>
      <c r="CV61" s="372">
        <v>1</v>
      </c>
      <c r="CW61" s="372">
        <v>1</v>
      </c>
      <c r="CX61" s="372">
        <v>1</v>
      </c>
      <c r="CY61" s="372">
        <v>1</v>
      </c>
      <c r="CZ61" s="372">
        <v>1</v>
      </c>
    </row>
    <row r="62" spans="1:105" s="376" customFormat="1" x14ac:dyDescent="0.25">
      <c r="D62" s="380"/>
      <c r="E62" s="380"/>
      <c r="F62" s="380"/>
      <c r="G62" s="380"/>
      <c r="H62" s="380"/>
      <c r="I62" s="380"/>
      <c r="J62" s="380"/>
      <c r="K62" s="380"/>
      <c r="L62" s="380"/>
      <c r="M62" s="380"/>
      <c r="N62" s="380"/>
      <c r="O62" s="380"/>
      <c r="P62" s="380"/>
      <c r="Q62" s="380"/>
      <c r="R62" s="380"/>
      <c r="S62" s="380"/>
      <c r="T62" s="380"/>
      <c r="U62" s="380"/>
      <c r="V62" s="380"/>
      <c r="W62" s="380"/>
      <c r="X62" s="380"/>
      <c r="Y62" s="380"/>
      <c r="Z62" s="380"/>
      <c r="AA62" s="380"/>
      <c r="AB62" s="380"/>
      <c r="AC62" s="380"/>
      <c r="AD62" s="380"/>
      <c r="AE62" s="380"/>
      <c r="AF62" s="380"/>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s="380"/>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row>
    <row r="63" spans="1:105" s="376" customFormat="1" ht="12.75" x14ac:dyDescent="0.2">
      <c r="A63" s="384" t="s">
        <v>42</v>
      </c>
      <c r="B63" s="389"/>
      <c r="C63" s="389"/>
      <c r="D63" s="389"/>
      <c r="E63" s="389"/>
      <c r="F63" s="389"/>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c r="AD63" s="389"/>
      <c r="AE63" s="389"/>
      <c r="AF63" s="389"/>
      <c r="AH63" s="402"/>
      <c r="AI63" s="402"/>
      <c r="AJ63" s="402"/>
      <c r="AK63" s="402"/>
      <c r="AL63" s="402"/>
      <c r="AM63" s="402"/>
      <c r="AN63" s="402"/>
      <c r="AO63" s="402"/>
      <c r="AP63" s="402"/>
      <c r="AQ63" s="402"/>
      <c r="AR63" s="402"/>
      <c r="AS63" s="402"/>
      <c r="AT63" s="402"/>
      <c r="AU63" s="402"/>
      <c r="AV63" s="402"/>
      <c r="AW63" s="402"/>
      <c r="AX63" s="402"/>
      <c r="AY63" s="402"/>
      <c r="AZ63" s="402"/>
      <c r="BA63" s="402"/>
      <c r="BB63" s="402"/>
      <c r="BC63" s="402"/>
      <c r="BD63" s="402"/>
      <c r="BE63" s="402"/>
      <c r="BF63" s="402"/>
      <c r="BG63" s="402"/>
      <c r="BH63" s="402"/>
      <c r="BI63" s="402"/>
      <c r="BJ63" s="402"/>
      <c r="BK63" s="402"/>
      <c r="BL63" s="402"/>
      <c r="BM63" s="402"/>
      <c r="BN63" s="402"/>
      <c r="BO63" s="402"/>
      <c r="BP63" s="402"/>
      <c r="BQ63" s="380"/>
      <c r="BR63" s="402"/>
      <c r="BS63" s="402"/>
      <c r="BT63" s="402"/>
      <c r="BU63" s="402"/>
      <c r="BV63" s="402"/>
      <c r="BW63" s="402"/>
      <c r="BX63" s="402"/>
      <c r="BY63" s="402"/>
      <c r="BZ63" s="402"/>
      <c r="CA63" s="402"/>
      <c r="CB63" s="402"/>
      <c r="CC63" s="402"/>
      <c r="CD63" s="402"/>
      <c r="CE63" s="402"/>
      <c r="CF63" s="402"/>
      <c r="CG63" s="402"/>
      <c r="CH63" s="402"/>
      <c r="CI63" s="402"/>
      <c r="CJ63" s="402"/>
      <c r="CK63" s="402"/>
      <c r="CL63" s="402"/>
      <c r="CM63" s="402"/>
      <c r="CN63" s="402"/>
      <c r="CO63" s="402"/>
      <c r="CP63" s="402"/>
      <c r="CQ63" s="402"/>
      <c r="CR63" s="402"/>
      <c r="CS63" s="402"/>
      <c r="CT63" s="402"/>
      <c r="CU63" s="402"/>
      <c r="CV63" s="402"/>
      <c r="CW63" s="402"/>
      <c r="CX63" s="402"/>
      <c r="CY63" s="402"/>
      <c r="CZ63" s="402"/>
    </row>
    <row r="64" spans="1:105" s="376" customFormat="1" x14ac:dyDescent="0.25">
      <c r="B64" s="388" t="s">
        <v>43</v>
      </c>
      <c r="D64" s="380"/>
      <c r="E64" s="380"/>
      <c r="F64" s="380"/>
      <c r="G64" s="370">
        <f>IF(Standards_Active!$S28="yes",AQ64,CA64)</f>
        <v>1.0000000000000002E-2</v>
      </c>
      <c r="H64" s="370">
        <f>IF(Standards_Active!$S28="yes",AR64,CB64)</f>
        <v>1.0000000000000002E-2</v>
      </c>
      <c r="I64" s="370">
        <f>IF(Standards_Active!$S28="yes",AS64,CC64)</f>
        <v>1.0000000000000002E-2</v>
      </c>
      <c r="J64" s="370">
        <f>IF(Standards_Active!$S28="yes",AT64,CD64)</f>
        <v>1.0000000000000002E-2</v>
      </c>
      <c r="K64" s="370">
        <f>IF(Standards_Active!$S28="yes",AU64,CE64)</f>
        <v>1.0000000000000002E-2</v>
      </c>
      <c r="L64" s="370">
        <f>IF(Standards_Active!$S28="yes",AV64,CF64)</f>
        <v>1.0000000000000002E-2</v>
      </c>
      <c r="M64" s="370">
        <f>IF(Standards_Active!$S28="yes",AW64,CG64)</f>
        <v>1.0000000000000002E-2</v>
      </c>
      <c r="N64" s="370">
        <f>IF(Standards_Active!$S28="yes",AX64,CH64)</f>
        <v>1.0000000000000002E-2</v>
      </c>
      <c r="O64" s="370">
        <f>IF(Standards_Active!$S28="yes",AY64,CI64)</f>
        <v>1.0000000000000002E-2</v>
      </c>
      <c r="P64" s="370">
        <f>IF(Standards_Active!$S28="yes",AZ64,CJ64)</f>
        <v>1.0000000000000002E-2</v>
      </c>
      <c r="Q64" s="370">
        <f>IF(Standards_Active!$S28="yes",BA64,CK64)</f>
        <v>1.0000000000000002E-2</v>
      </c>
      <c r="R64" s="370">
        <f>IF(Standards_Active!$S28="yes",BB64,CL64)</f>
        <v>1.0000000000000002E-2</v>
      </c>
      <c r="S64" s="370">
        <f>IF(Standards_Active!$S28="yes",BC64,CM64)</f>
        <v>1.0000000000000002E-2</v>
      </c>
      <c r="T64" s="370">
        <f>IF(Standards_Active!$S28="yes",BD64,CN64)</f>
        <v>1.0000000000000002E-2</v>
      </c>
      <c r="U64" s="370">
        <f>IF(Standards_Active!$S28="yes",BE64,CO64)</f>
        <v>1.0000000000000002E-2</v>
      </c>
      <c r="V64" s="370">
        <f>IF(Standards_Active!$S28="yes",BF64,CP64)</f>
        <v>1.0000000000000002E-2</v>
      </c>
      <c r="W64" s="370">
        <f>IF(Standards_Active!$S28="yes",BG64,CQ64)</f>
        <v>1.0000000000000002E-2</v>
      </c>
      <c r="X64" s="370">
        <f>IF(Standards_Active!$S28="yes",BH64,CR64)</f>
        <v>1.0000000000000002E-2</v>
      </c>
      <c r="Y64" s="370">
        <f>IF(Standards_Active!$S28="yes",BI64,CS64)</f>
        <v>1.0000000000000002E-2</v>
      </c>
      <c r="Z64" s="370">
        <f>IF(Standards_Active!$S28="yes",BJ64,CT64)</f>
        <v>1.0000000000000002E-2</v>
      </c>
      <c r="AA64" s="370">
        <f>IF(Standards_Active!$S28="yes",BK64,CU64)</f>
        <v>1.0000000000000002E-2</v>
      </c>
      <c r="AB64" s="370">
        <f>IF(Standards_Active!$S28="yes",BL64,CV64)</f>
        <v>1.0000000000000002E-2</v>
      </c>
      <c r="AC64" s="370">
        <f>IF(Standards_Active!$S28="yes",BM64,CW64)</f>
        <v>1.0000000000000002E-2</v>
      </c>
      <c r="AD64" s="370">
        <f>IF(Standards_Active!$S28="yes",BN64,CX64)</f>
        <v>1.0000000000000002E-2</v>
      </c>
      <c r="AE64" s="370">
        <f>IF(Standards_Active!$S28="yes",BO64,CY64)</f>
        <v>1.0000000000000002E-2</v>
      </c>
      <c r="AF64" s="370">
        <f>IF(Standards_Active!$S28="yes",BP64,CZ64)</f>
        <v>1.0000000000000002E-2</v>
      </c>
      <c r="AH64"/>
      <c r="AI64"/>
      <c r="AJ64"/>
      <c r="AK64"/>
      <c r="AL64"/>
      <c r="AM64"/>
      <c r="AN64"/>
      <c r="AO64"/>
      <c r="AP64"/>
      <c r="AQ64" s="622">
        <f>IF(ISNUMBER(Standards_Active!$T28),IF(AND(AQ$44&gt;=Standards_Active!$Q28,AQ$44&lt;Standards_Active!$R28),AP64-Standards_Active!$U28*INDEX($AQ$58:$BP$58,1,MATCH((Standards_Active!$Q28-1),$AQ$44:$BP$44,FALSE)),IF(AQ$44&gt;=Standards_Active!$R28,Standards_Active!$V28,CA64)),CA64)</f>
        <v>1.0000000000000002E-2</v>
      </c>
      <c r="AR64" s="622">
        <f>IF(ISNUMBER(Standards_Active!$T28),IF(AND(AR$44&gt;=Standards_Active!$Q28,AR$44&lt;Standards_Active!$R28),AQ64-Standards_Active!$U28*INDEX($AQ$58:$BP$58,1,MATCH((Standards_Active!$Q28-1),$AQ$44:$BP$44,FALSE)),IF(AR$44&gt;=Standards_Active!$R28,Standards_Active!$V28,CB64)),CB64)</f>
        <v>1.0000000000000002E-2</v>
      </c>
      <c r="AS64" s="622">
        <f>IF(ISNUMBER(Standards_Active!$T28),IF(AND(AS$44&gt;=Standards_Active!$Q28,AS$44&lt;Standards_Active!$R28),AR64-Standards_Active!$U28*INDEX($AQ$58:$BP$58,1,MATCH((Standards_Active!$Q28-1),$AQ$44:$BP$44,FALSE)),IF(AS$44&gt;=Standards_Active!$R28,Standards_Active!$V28,CC64)),CC64)</f>
        <v>1.0000000000000002E-2</v>
      </c>
      <c r="AT64" s="622">
        <f>IF(ISNUMBER(Standards_Active!$T28),IF(AND(AT$44&gt;=Standards_Active!$Q28,AT$44&lt;Standards_Active!$R28),AS64-Standards_Active!$U28*INDEX($AQ$58:$BP$58,1,MATCH((Standards_Active!$Q28-1),$AQ$44:$BP$44,FALSE)),IF(AT$44&gt;=Standards_Active!$R28,Standards_Active!$V28,CD64)),CD64)</f>
        <v>1.0000000000000002E-2</v>
      </c>
      <c r="AU64" s="622">
        <f>IF(ISNUMBER(Standards_Active!$T28),IF(AND(AU$44&gt;=Standards_Active!$Q28,AU$44&lt;Standards_Active!$R28),AT64-Standards_Active!$U28*INDEX($AQ$58:$BP$58,1,MATCH((Standards_Active!$Q28-1),$AQ$44:$BP$44,FALSE)),IF(AU$44&gt;=Standards_Active!$R28,Standards_Active!$V28,CE64)),CE64)</f>
        <v>1.0000000000000002E-2</v>
      </c>
      <c r="AV64" s="622">
        <f>IF(ISNUMBER(Standards_Active!$T28),IF(AND(AV$44&gt;=Standards_Active!$Q28,AV$44&lt;Standards_Active!$R28),AU64-Standards_Active!$U28*INDEX($AQ$58:$BP$58,1,MATCH((Standards_Active!$Q28-1),$AQ$44:$BP$44,FALSE)),IF(AV$44&gt;=Standards_Active!$R28,Standards_Active!$V28,CF64)),CF64)</f>
        <v>1.0000000000000002E-2</v>
      </c>
      <c r="AW64" s="622">
        <f>IF(ISNUMBER(Standards_Active!$T28),IF(AND(AW$44&gt;=Standards_Active!$Q28,AW$44&lt;Standards_Active!$R28),AV64-Standards_Active!$U28*INDEX($AQ$58:$BP$58,1,MATCH((Standards_Active!$Q28-1),$AQ$44:$BP$44,FALSE)),IF(AW$44&gt;=Standards_Active!$R28,Standards_Active!$V28,CG64)),CG64)</f>
        <v>1.0000000000000002E-2</v>
      </c>
      <c r="AX64" s="622">
        <f>IF(ISNUMBER(Standards_Active!$T28),IF(AND(AX$44&gt;=Standards_Active!$Q28,AX$44&lt;Standards_Active!$R28),AW64-Standards_Active!$U28*INDEX($AQ$58:$BP$58,1,MATCH((Standards_Active!$Q28-1),$AQ$44:$BP$44,FALSE)),IF(AX$44&gt;=Standards_Active!$R28,Standards_Active!$V28,CH64)),CH64)</f>
        <v>1.0000000000000002E-2</v>
      </c>
      <c r="AY64" s="622">
        <f>IF(ISNUMBER(Standards_Active!$T28),IF(AND(AY$44&gt;=Standards_Active!$Q28,AY$44&lt;Standards_Active!$R28),AX64-Standards_Active!$U28*INDEX($AQ$58:$BP$58,1,MATCH((Standards_Active!$Q28-1),$AQ$44:$BP$44,FALSE)),IF(AY$44&gt;=Standards_Active!$R28,Standards_Active!$V28,CI64)),CI64)</f>
        <v>1.0000000000000002E-2</v>
      </c>
      <c r="AZ64" s="622">
        <f>IF(ISNUMBER(Standards_Active!$T28),IF(AND(AZ$44&gt;=Standards_Active!$Q28,AZ$44&lt;Standards_Active!$R28),AY64-Standards_Active!$U28*INDEX($AQ$58:$BP$58,1,MATCH((Standards_Active!$Q28-1),$AQ$44:$BP$44,FALSE)),IF(AZ$44&gt;=Standards_Active!$R28,Standards_Active!$V28,CJ64)),CJ64)</f>
        <v>1.0000000000000002E-2</v>
      </c>
      <c r="BA64" s="622">
        <f>IF(ISNUMBER(Standards_Active!$T28),IF(AND(BA$44&gt;=Standards_Active!$Q28,BA$44&lt;Standards_Active!$R28),AZ64-Standards_Active!$U28*INDEX($AQ$58:$BP$58,1,MATCH((Standards_Active!$Q28-1),$AQ$44:$BP$44,FALSE)),IF(BA$44&gt;=Standards_Active!$R28,Standards_Active!$V28,CK64)),CK64)</f>
        <v>1.0000000000000002E-2</v>
      </c>
      <c r="BB64" s="622">
        <f>IF(ISNUMBER(Standards_Active!$T28),IF(AND(BB$44&gt;=Standards_Active!$Q28,BB$44&lt;Standards_Active!$R28),BA64-Standards_Active!$U28*INDEX($AQ$58:$BP$58,1,MATCH((Standards_Active!$Q28-1),$AQ$44:$BP$44,FALSE)),IF(BB$44&gt;=Standards_Active!$R28,Standards_Active!$V28,CL64)),CL64)</f>
        <v>1.0000000000000002E-2</v>
      </c>
      <c r="BC64" s="622">
        <f>IF(ISNUMBER(Standards_Active!$T28),IF(AND(BC$44&gt;=Standards_Active!$Q28,BC$44&lt;Standards_Active!$R28),BB64-Standards_Active!$U28*INDEX($AQ$58:$BP$58,1,MATCH((Standards_Active!$Q28-1),$AQ$44:$BP$44,FALSE)),IF(BC$44&gt;=Standards_Active!$R28,Standards_Active!$V28,CM64)),CM64)</f>
        <v>1.0000000000000002E-2</v>
      </c>
      <c r="BD64" s="622">
        <f>IF(ISNUMBER(Standards_Active!$T28),IF(AND(BD$44&gt;=Standards_Active!$Q28,BD$44&lt;Standards_Active!$R28),BC64-Standards_Active!$U28*INDEX($AQ$58:$BP$58,1,MATCH((Standards_Active!$Q28-1),$AQ$44:$BP$44,FALSE)),IF(BD$44&gt;=Standards_Active!$R28,Standards_Active!$V28,CN64)),CN64)</f>
        <v>1.0000000000000002E-2</v>
      </c>
      <c r="BE64" s="622">
        <f>IF(ISNUMBER(Standards_Active!$T28),IF(AND(BE$44&gt;=Standards_Active!$Q28,BE$44&lt;Standards_Active!$R28),BD64-Standards_Active!$U28*INDEX($AQ$58:$BP$58,1,MATCH((Standards_Active!$Q28-1),$AQ$44:$BP$44,FALSE)),IF(BE$44&gt;=Standards_Active!$R28,Standards_Active!$V28,CO64)),CO64)</f>
        <v>1.0000000000000002E-2</v>
      </c>
      <c r="BF64" s="622">
        <f>IF(ISNUMBER(Standards_Active!$T28),IF(AND(BF$44&gt;=Standards_Active!$Q28,BF$44&lt;Standards_Active!$R28),BE64-Standards_Active!$U28*INDEX($AQ$58:$BP$58,1,MATCH((Standards_Active!$Q28-1),$AQ$44:$BP$44,FALSE)),IF(BF$44&gt;=Standards_Active!$R28,Standards_Active!$V28,CP64)),CP64)</f>
        <v>1.0000000000000002E-2</v>
      </c>
      <c r="BG64" s="622">
        <f>IF(ISNUMBER(Standards_Active!$T28),IF(AND(BG$44&gt;=Standards_Active!$Q28,BG$44&lt;Standards_Active!$R28),BF64-Standards_Active!$U28*INDEX($AQ$58:$BP$58,1,MATCH((Standards_Active!$Q28-1),$AQ$44:$BP$44,FALSE)),IF(BG$44&gt;=Standards_Active!$R28,Standards_Active!$V28,CQ64)),CQ64)</f>
        <v>1.0000000000000002E-2</v>
      </c>
      <c r="BH64" s="622">
        <f>IF(ISNUMBER(Standards_Active!$T28),IF(AND(BH$44&gt;=Standards_Active!$Q28,BH$44&lt;Standards_Active!$R28),BG64-Standards_Active!$U28*INDEX($AQ$58:$BP$58,1,MATCH((Standards_Active!$Q28-1),$AQ$44:$BP$44,FALSE)),IF(BH$44&gt;=Standards_Active!$R28,Standards_Active!$V28,CR64)),CR64)</f>
        <v>1.0000000000000002E-2</v>
      </c>
      <c r="BI64" s="622">
        <f>IF(ISNUMBER(Standards_Active!$T28),IF(AND(BI$44&gt;=Standards_Active!$Q28,BI$44&lt;Standards_Active!$R28),BH64-Standards_Active!$U28*INDEX($AQ$58:$BP$58,1,MATCH((Standards_Active!$Q28-1),$AQ$44:$BP$44,FALSE)),IF(BI$44&gt;=Standards_Active!$R28,Standards_Active!$V28,CS64)),CS64)</f>
        <v>1.0000000000000002E-2</v>
      </c>
      <c r="BJ64" s="622">
        <f>IF(ISNUMBER(Standards_Active!$T28),IF(AND(BJ$44&gt;=Standards_Active!$Q28,BJ$44&lt;Standards_Active!$R28),BI64-Standards_Active!$U28*INDEX($AQ$58:$BP$58,1,MATCH((Standards_Active!$Q28-1),$AQ$44:$BP$44,FALSE)),IF(BJ$44&gt;=Standards_Active!$R28,Standards_Active!$V28,CT64)),CT64)</f>
        <v>1.0000000000000002E-2</v>
      </c>
      <c r="BK64" s="622">
        <f>IF(ISNUMBER(Standards_Active!$T28),IF(AND(BK$44&gt;=Standards_Active!$Q28,BK$44&lt;Standards_Active!$R28),BJ64-Standards_Active!$U28*INDEX($AQ$58:$BP$58,1,MATCH((Standards_Active!$Q28-1),$AQ$44:$BP$44,FALSE)),IF(BK$44&gt;=Standards_Active!$R28,Standards_Active!$V28,CU64)),CU64)</f>
        <v>1.0000000000000002E-2</v>
      </c>
      <c r="BL64" s="622">
        <f>IF(ISNUMBER(Standards_Active!$T28),IF(AND(BL$44&gt;=Standards_Active!$Q28,BL$44&lt;Standards_Active!$R28),BK64-Standards_Active!$U28*INDEX($AQ$58:$BP$58,1,MATCH((Standards_Active!$Q28-1),$AQ$44:$BP$44,FALSE)),IF(BL$44&gt;=Standards_Active!$R28,Standards_Active!$V28,CV64)),CV64)</f>
        <v>1.0000000000000002E-2</v>
      </c>
      <c r="BM64" s="622">
        <f>IF(ISNUMBER(Standards_Active!$T28),IF(AND(BM$44&gt;=Standards_Active!$Q28,BM$44&lt;Standards_Active!$R28),BL64-Standards_Active!$U28*INDEX($AQ$58:$BP$58,1,MATCH((Standards_Active!$Q28-1),$AQ$44:$BP$44,FALSE)),IF(BM$44&gt;=Standards_Active!$R28,Standards_Active!$V28,CW64)),CW64)</f>
        <v>1.0000000000000002E-2</v>
      </c>
      <c r="BN64" s="622">
        <f>IF(ISNUMBER(Standards_Active!$T28),IF(AND(BN$44&gt;=Standards_Active!$Q28,BN$44&lt;Standards_Active!$R28),BM64-Standards_Active!$U28*INDEX($AQ$58:$BP$58,1,MATCH((Standards_Active!$Q28-1),$AQ$44:$BP$44,FALSE)),IF(BN$44&gt;=Standards_Active!$R28,Standards_Active!$V28,CX64)),CX64)</f>
        <v>1.0000000000000002E-2</v>
      </c>
      <c r="BO64" s="622">
        <f>IF(ISNUMBER(Standards_Active!$T28),IF(AND(BO$44&gt;=Standards_Active!$Q28,BO$44&lt;Standards_Active!$R28),BN64-Standards_Active!$U28*INDEX($AQ$58:$BP$58,1,MATCH((Standards_Active!$Q28-1),$AQ$44:$BP$44,FALSE)),IF(BO$44&gt;=Standards_Active!$R28,Standards_Active!$V28,CY64)),CY64)</f>
        <v>1.0000000000000002E-2</v>
      </c>
      <c r="BP64" s="622">
        <f>IF(ISNUMBER(Standards_Active!$T28),IF(AND(BP$44&gt;=Standards_Active!$Q28,BP$44&lt;Standards_Active!$R28),BO64-Standards_Active!$U28*INDEX($AQ$58:$BP$58,1,MATCH((Standards_Active!$Q28-1),$AQ$44:$BP$44,FALSE)),IF(BP$44&gt;=Standards_Active!$R28,Standards_Active!$V28,CZ64)),CZ64)</f>
        <v>1.0000000000000002E-2</v>
      </c>
      <c r="BQ64" s="380"/>
      <c r="BR64"/>
      <c r="BS64"/>
      <c r="BT64"/>
      <c r="BU64"/>
      <c r="BV64"/>
      <c r="BW64"/>
      <c r="BX64"/>
      <c r="BY64"/>
      <c r="BZ64"/>
      <c r="CA64" s="372">
        <v>0.2</v>
      </c>
      <c r="CB64" s="372">
        <v>0.2</v>
      </c>
      <c r="CC64" s="372">
        <v>0.2</v>
      </c>
      <c r="CD64" s="372">
        <v>0.2</v>
      </c>
      <c r="CE64" s="372">
        <v>0.2</v>
      </c>
      <c r="CF64" s="372">
        <v>0.2</v>
      </c>
      <c r="CG64" s="372">
        <v>0.2</v>
      </c>
      <c r="CH64" s="372">
        <v>0.2</v>
      </c>
      <c r="CI64" s="372">
        <v>0.2</v>
      </c>
      <c r="CJ64" s="372">
        <v>0.2</v>
      </c>
      <c r="CK64" s="372">
        <v>0.2</v>
      </c>
      <c r="CL64" s="372">
        <v>0.2</v>
      </c>
      <c r="CM64" s="372">
        <v>0.2</v>
      </c>
      <c r="CN64" s="372">
        <v>0.2</v>
      </c>
      <c r="CO64" s="372">
        <v>0.2</v>
      </c>
      <c r="CP64" s="372">
        <v>0.2</v>
      </c>
      <c r="CQ64" s="372">
        <v>0.2</v>
      </c>
      <c r="CR64" s="372">
        <v>0.2</v>
      </c>
      <c r="CS64" s="372">
        <v>0.2</v>
      </c>
      <c r="CT64" s="372">
        <v>0.2</v>
      </c>
      <c r="CU64" s="372">
        <v>0.2</v>
      </c>
      <c r="CV64" s="372">
        <v>0.2</v>
      </c>
      <c r="CW64" s="372">
        <v>0.2</v>
      </c>
      <c r="CX64" s="372">
        <v>0.2</v>
      </c>
      <c r="CY64" s="372">
        <v>0.2</v>
      </c>
      <c r="CZ64" s="372">
        <v>0.2</v>
      </c>
      <c r="DA64" s="372"/>
    </row>
    <row r="65" spans="1:104" s="376" customFormat="1" x14ac:dyDescent="0.25">
      <c r="B65" s="388" t="s">
        <v>44</v>
      </c>
      <c r="D65" s="380"/>
      <c r="E65" s="380"/>
      <c r="F65" s="380"/>
      <c r="G65" s="370">
        <f>IF(Standards_Active!$S29="yes",AQ65,CA65)</f>
        <v>1</v>
      </c>
      <c r="H65" s="370">
        <f>IF(Standards_Active!$S29="yes",AR65,CB65)</f>
        <v>1</v>
      </c>
      <c r="I65" s="370">
        <f>IF(Standards_Active!$S29="yes",AS65,CC65)</f>
        <v>1</v>
      </c>
      <c r="J65" s="370">
        <f>IF(Standards_Active!$S29="yes",AT65,CD65)</f>
        <v>1</v>
      </c>
      <c r="K65" s="370">
        <f>IF(Standards_Active!$S29="yes",AU65,CE65)</f>
        <v>1</v>
      </c>
      <c r="L65" s="370">
        <f>IF(Standards_Active!$S29="yes",AV65,CF65)</f>
        <v>1</v>
      </c>
      <c r="M65" s="370">
        <f>IF(Standards_Active!$S29="yes",AW65,CG65)</f>
        <v>1</v>
      </c>
      <c r="N65" s="370">
        <f>IF(Standards_Active!$S29="yes",AX65,CH65)</f>
        <v>1</v>
      </c>
      <c r="O65" s="370">
        <f>IF(Standards_Active!$S29="yes",AY65,CI65)</f>
        <v>1</v>
      </c>
      <c r="P65" s="370">
        <f>IF(Standards_Active!$S29="yes",AZ65,CJ65)</f>
        <v>1</v>
      </c>
      <c r="Q65" s="370">
        <f>IF(Standards_Active!$S29="yes",BA65,CK65)</f>
        <v>1</v>
      </c>
      <c r="R65" s="370">
        <f>IF(Standards_Active!$S29="yes",BB65,CL65)</f>
        <v>1</v>
      </c>
      <c r="S65" s="370">
        <f>IF(Standards_Active!$S29="yes",BC65,CM65)</f>
        <v>1</v>
      </c>
      <c r="T65" s="370">
        <f>IF(Standards_Active!$S29="yes",BD65,CN65)</f>
        <v>1</v>
      </c>
      <c r="U65" s="370">
        <f>IF(Standards_Active!$S29="yes",BE65,CO65)</f>
        <v>1</v>
      </c>
      <c r="V65" s="370">
        <f>IF(Standards_Active!$S29="yes",BF65,CP65)</f>
        <v>1</v>
      </c>
      <c r="W65" s="370">
        <f>IF(Standards_Active!$S29="yes",BG65,CQ65)</f>
        <v>1</v>
      </c>
      <c r="X65" s="370">
        <f>IF(Standards_Active!$S29="yes",BH65,CR65)</f>
        <v>1</v>
      </c>
      <c r="Y65" s="370">
        <f>IF(Standards_Active!$S29="yes",BI65,CS65)</f>
        <v>1</v>
      </c>
      <c r="Z65" s="370">
        <f>IF(Standards_Active!$S29="yes",BJ65,CT65)</f>
        <v>1</v>
      </c>
      <c r="AA65" s="370">
        <f>IF(Standards_Active!$S29="yes",BK65,CU65)</f>
        <v>1</v>
      </c>
      <c r="AB65" s="370">
        <f>IF(Standards_Active!$S29="yes",BL65,CV65)</f>
        <v>1</v>
      </c>
      <c r="AC65" s="370">
        <f>IF(Standards_Active!$S29="yes",BM65,CW65)</f>
        <v>1</v>
      </c>
      <c r="AD65" s="370">
        <f>IF(Standards_Active!$S29="yes",BN65,CX65)</f>
        <v>1</v>
      </c>
      <c r="AE65" s="370">
        <f>IF(Standards_Active!$S29="yes",BO65,CY65)</f>
        <v>1</v>
      </c>
      <c r="AF65" s="370">
        <f>IF(Standards_Active!$S29="yes",BP65,CZ65)</f>
        <v>1</v>
      </c>
      <c r="AH65"/>
      <c r="AI65"/>
      <c r="AJ65"/>
      <c r="AK65"/>
      <c r="AL65"/>
      <c r="AM65"/>
      <c r="AN65"/>
      <c r="AO65"/>
      <c r="AP65"/>
      <c r="AQ65" s="622">
        <f>IF(ISNUMBER(Standards_Active!$T29),IF(AND(AQ$44&gt;=Standards_Active!$Q29,AQ$44&lt;Standards_Active!$R29),AP65-Standards_Active!$U29*INDEX($AQ$58:$BP$58,1,MATCH((Standards_Active!$Q29-1),$AQ$44:$BP$44,FALSE)),IF(AQ$44&gt;=Standards_Active!$R29,Standards_Active!$V29,CA65)),CA65)</f>
        <v>1</v>
      </c>
      <c r="AR65" s="622">
        <f>IF(ISNUMBER(Standards_Active!$T29),IF(AND(AR$44&gt;=Standards_Active!$Q29,AR$44&lt;Standards_Active!$R29),AQ65-Standards_Active!$U29*INDEX($AQ$58:$BP$58,1,MATCH((Standards_Active!$Q29-1),$AQ$44:$BP$44,FALSE)),IF(AR$44&gt;=Standards_Active!$R29,Standards_Active!$V29,CB65)),CB65)</f>
        <v>1</v>
      </c>
      <c r="AS65" s="622">
        <f>IF(ISNUMBER(Standards_Active!$T29),IF(AND(AS$44&gt;=Standards_Active!$Q29,AS$44&lt;Standards_Active!$R29),AR65-Standards_Active!$U29*INDEX($AQ$58:$BP$58,1,MATCH((Standards_Active!$Q29-1),$AQ$44:$BP$44,FALSE)),IF(AS$44&gt;=Standards_Active!$R29,Standards_Active!$V29,CC65)),CC65)</f>
        <v>1</v>
      </c>
      <c r="AT65" s="622">
        <f>IF(ISNUMBER(Standards_Active!$T29),IF(AND(AT$44&gt;=Standards_Active!$Q29,AT$44&lt;Standards_Active!$R29),AS65-Standards_Active!$U29*INDEX($AQ$58:$BP$58,1,MATCH((Standards_Active!$Q29-1),$AQ$44:$BP$44,FALSE)),IF(AT$44&gt;=Standards_Active!$R29,Standards_Active!$V29,CD65)),CD65)</f>
        <v>1</v>
      </c>
      <c r="AU65" s="622">
        <f>IF(ISNUMBER(Standards_Active!$T29),IF(AND(AU$44&gt;=Standards_Active!$Q29,AU$44&lt;Standards_Active!$R29),AT65-Standards_Active!$U29*INDEX($AQ$58:$BP$58,1,MATCH((Standards_Active!$Q29-1),$AQ$44:$BP$44,FALSE)),IF(AU$44&gt;=Standards_Active!$R29,Standards_Active!$V29,CE65)),CE65)</f>
        <v>1</v>
      </c>
      <c r="AV65" s="622">
        <f>IF(ISNUMBER(Standards_Active!$T29),IF(AND(AV$44&gt;=Standards_Active!$Q29,AV$44&lt;Standards_Active!$R29),AU65-Standards_Active!$U29*INDEX($AQ$58:$BP$58,1,MATCH((Standards_Active!$Q29-1),$AQ$44:$BP$44,FALSE)),IF(AV$44&gt;=Standards_Active!$R29,Standards_Active!$V29,CF65)),CF65)</f>
        <v>1</v>
      </c>
      <c r="AW65" s="622">
        <f>IF(ISNUMBER(Standards_Active!$T29),IF(AND(AW$44&gt;=Standards_Active!$Q29,AW$44&lt;Standards_Active!$R29),AV65-Standards_Active!$U29*INDEX($AQ$58:$BP$58,1,MATCH((Standards_Active!$Q29-1),$AQ$44:$BP$44,FALSE)),IF(AW$44&gt;=Standards_Active!$R29,Standards_Active!$V29,CG65)),CG65)</f>
        <v>1</v>
      </c>
      <c r="AX65" s="622">
        <f>IF(ISNUMBER(Standards_Active!$T29),IF(AND(AX$44&gt;=Standards_Active!$Q29,AX$44&lt;Standards_Active!$R29),AW65-Standards_Active!$U29*INDEX($AQ$58:$BP$58,1,MATCH((Standards_Active!$Q29-1),$AQ$44:$BP$44,FALSE)),IF(AX$44&gt;=Standards_Active!$R29,Standards_Active!$V29,CH65)),CH65)</f>
        <v>1</v>
      </c>
      <c r="AY65" s="622">
        <f>IF(ISNUMBER(Standards_Active!$T29),IF(AND(AY$44&gt;=Standards_Active!$Q29,AY$44&lt;Standards_Active!$R29),AX65-Standards_Active!$U29*INDEX($AQ$58:$BP$58,1,MATCH((Standards_Active!$Q29-1),$AQ$44:$BP$44,FALSE)),IF(AY$44&gt;=Standards_Active!$R29,Standards_Active!$V29,CI65)),CI65)</f>
        <v>1</v>
      </c>
      <c r="AZ65" s="622">
        <f>IF(ISNUMBER(Standards_Active!$T29),IF(AND(AZ$44&gt;=Standards_Active!$Q29,AZ$44&lt;Standards_Active!$R29),AY65-Standards_Active!$U29*INDEX($AQ$58:$BP$58,1,MATCH((Standards_Active!$Q29-1),$AQ$44:$BP$44,FALSE)),IF(AZ$44&gt;=Standards_Active!$R29,Standards_Active!$V29,CJ65)),CJ65)</f>
        <v>1</v>
      </c>
      <c r="BA65" s="622">
        <f>IF(ISNUMBER(Standards_Active!$T29),IF(AND(BA$44&gt;=Standards_Active!$Q29,BA$44&lt;Standards_Active!$R29),AZ65-Standards_Active!$U29*INDEX($AQ$58:$BP$58,1,MATCH((Standards_Active!$Q29-1),$AQ$44:$BP$44,FALSE)),IF(BA$44&gt;=Standards_Active!$R29,Standards_Active!$V29,CK65)),CK65)</f>
        <v>1</v>
      </c>
      <c r="BB65" s="622">
        <f>IF(ISNUMBER(Standards_Active!$T29),IF(AND(BB$44&gt;=Standards_Active!$Q29,BB$44&lt;Standards_Active!$R29),BA65-Standards_Active!$U29*INDEX($AQ$58:$BP$58,1,MATCH((Standards_Active!$Q29-1),$AQ$44:$BP$44,FALSE)),IF(BB$44&gt;=Standards_Active!$R29,Standards_Active!$V29,CL65)),CL65)</f>
        <v>1</v>
      </c>
      <c r="BC65" s="622">
        <f>IF(ISNUMBER(Standards_Active!$T29),IF(AND(BC$44&gt;=Standards_Active!$Q29,BC$44&lt;Standards_Active!$R29),BB65-Standards_Active!$U29*INDEX($AQ$58:$BP$58,1,MATCH((Standards_Active!$Q29-1),$AQ$44:$BP$44,FALSE)),IF(BC$44&gt;=Standards_Active!$R29,Standards_Active!$V29,CM65)),CM65)</f>
        <v>1</v>
      </c>
      <c r="BD65" s="622">
        <f>IF(ISNUMBER(Standards_Active!$T29),IF(AND(BD$44&gt;=Standards_Active!$Q29,BD$44&lt;Standards_Active!$R29),BC65-Standards_Active!$U29*INDEX($AQ$58:$BP$58,1,MATCH((Standards_Active!$Q29-1),$AQ$44:$BP$44,FALSE)),IF(BD$44&gt;=Standards_Active!$R29,Standards_Active!$V29,CN65)),CN65)</f>
        <v>1</v>
      </c>
      <c r="BE65" s="622">
        <f>IF(ISNUMBER(Standards_Active!$T29),IF(AND(BE$44&gt;=Standards_Active!$Q29,BE$44&lt;Standards_Active!$R29),BD65-Standards_Active!$U29*INDEX($AQ$58:$BP$58,1,MATCH((Standards_Active!$Q29-1),$AQ$44:$BP$44,FALSE)),IF(BE$44&gt;=Standards_Active!$R29,Standards_Active!$V29,CO65)),CO65)</f>
        <v>1</v>
      </c>
      <c r="BF65" s="622">
        <f>IF(ISNUMBER(Standards_Active!$T29),IF(AND(BF$44&gt;=Standards_Active!$Q29,BF$44&lt;Standards_Active!$R29),BE65-Standards_Active!$U29*INDEX($AQ$58:$BP$58,1,MATCH((Standards_Active!$Q29-1),$AQ$44:$BP$44,FALSE)),IF(BF$44&gt;=Standards_Active!$R29,Standards_Active!$V29,CP65)),CP65)</f>
        <v>1</v>
      </c>
      <c r="BG65" s="622">
        <f>IF(ISNUMBER(Standards_Active!$T29),IF(AND(BG$44&gt;=Standards_Active!$Q29,BG$44&lt;Standards_Active!$R29),BF65-Standards_Active!$U29*INDEX($AQ$58:$BP$58,1,MATCH((Standards_Active!$Q29-1),$AQ$44:$BP$44,FALSE)),IF(BG$44&gt;=Standards_Active!$R29,Standards_Active!$V29,CQ65)),CQ65)</f>
        <v>1</v>
      </c>
      <c r="BH65" s="622">
        <f>IF(ISNUMBER(Standards_Active!$T29),IF(AND(BH$44&gt;=Standards_Active!$Q29,BH$44&lt;Standards_Active!$R29),BG65-Standards_Active!$U29*INDEX($AQ$58:$BP$58,1,MATCH((Standards_Active!$Q29-1),$AQ$44:$BP$44,FALSE)),IF(BH$44&gt;=Standards_Active!$R29,Standards_Active!$V29,CR65)),CR65)</f>
        <v>1</v>
      </c>
      <c r="BI65" s="622">
        <f>IF(ISNUMBER(Standards_Active!$T29),IF(AND(BI$44&gt;=Standards_Active!$Q29,BI$44&lt;Standards_Active!$R29),BH65-Standards_Active!$U29*INDEX($AQ$58:$BP$58,1,MATCH((Standards_Active!$Q29-1),$AQ$44:$BP$44,FALSE)),IF(BI$44&gt;=Standards_Active!$R29,Standards_Active!$V29,CS65)),CS65)</f>
        <v>1</v>
      </c>
      <c r="BJ65" s="622">
        <f>IF(ISNUMBER(Standards_Active!$T29),IF(AND(BJ$44&gt;=Standards_Active!$Q29,BJ$44&lt;Standards_Active!$R29),BI65-Standards_Active!$U29*INDEX($AQ$58:$BP$58,1,MATCH((Standards_Active!$Q29-1),$AQ$44:$BP$44,FALSE)),IF(BJ$44&gt;=Standards_Active!$R29,Standards_Active!$V29,CT65)),CT65)</f>
        <v>1</v>
      </c>
      <c r="BK65" s="622">
        <f>IF(ISNUMBER(Standards_Active!$T29),IF(AND(BK$44&gt;=Standards_Active!$Q29,BK$44&lt;Standards_Active!$R29),BJ65-Standards_Active!$U29*INDEX($AQ$58:$BP$58,1,MATCH((Standards_Active!$Q29-1),$AQ$44:$BP$44,FALSE)),IF(BK$44&gt;=Standards_Active!$R29,Standards_Active!$V29,CU65)),CU65)</f>
        <v>1</v>
      </c>
      <c r="BL65" s="622">
        <f>IF(ISNUMBER(Standards_Active!$T29),IF(AND(BL$44&gt;=Standards_Active!$Q29,BL$44&lt;Standards_Active!$R29),BK65-Standards_Active!$U29*INDEX($AQ$58:$BP$58,1,MATCH((Standards_Active!$Q29-1),$AQ$44:$BP$44,FALSE)),IF(BL$44&gt;=Standards_Active!$R29,Standards_Active!$V29,CV65)),CV65)</f>
        <v>1</v>
      </c>
      <c r="BM65" s="622">
        <f>IF(ISNUMBER(Standards_Active!$T29),IF(AND(BM$44&gt;=Standards_Active!$Q29,BM$44&lt;Standards_Active!$R29),BL65-Standards_Active!$U29*INDEX($AQ$58:$BP$58,1,MATCH((Standards_Active!$Q29-1),$AQ$44:$BP$44,FALSE)),IF(BM$44&gt;=Standards_Active!$R29,Standards_Active!$V29,CW65)),CW65)</f>
        <v>1</v>
      </c>
      <c r="BN65" s="622">
        <f>IF(ISNUMBER(Standards_Active!$T29),IF(AND(BN$44&gt;=Standards_Active!$Q29,BN$44&lt;Standards_Active!$R29),BM65-Standards_Active!$U29*INDEX($AQ$58:$BP$58,1,MATCH((Standards_Active!$Q29-1),$AQ$44:$BP$44,FALSE)),IF(BN$44&gt;=Standards_Active!$R29,Standards_Active!$V29,CX65)),CX65)</f>
        <v>1</v>
      </c>
      <c r="BO65" s="622">
        <f>IF(ISNUMBER(Standards_Active!$T29),IF(AND(BO$44&gt;=Standards_Active!$Q29,BO$44&lt;Standards_Active!$R29),BN65-Standards_Active!$U29*INDEX($AQ$58:$BP$58,1,MATCH((Standards_Active!$Q29-1),$AQ$44:$BP$44,FALSE)),IF(BO$44&gt;=Standards_Active!$R29,Standards_Active!$V29,CY65)),CY65)</f>
        <v>1</v>
      </c>
      <c r="BP65" s="622">
        <f>IF(ISNUMBER(Standards_Active!$T29),IF(AND(BP$44&gt;=Standards_Active!$Q29,BP$44&lt;Standards_Active!$R29),BO65-Standards_Active!$U29*INDEX($AQ$58:$BP$58,1,MATCH((Standards_Active!$Q29-1),$AQ$44:$BP$44,FALSE)),IF(BP$44&gt;=Standards_Active!$R29,Standards_Active!$V29,CZ65)),CZ65)</f>
        <v>1</v>
      </c>
      <c r="BQ65" s="380"/>
      <c r="BR65"/>
      <c r="BS65"/>
      <c r="BT65"/>
      <c r="BU65"/>
      <c r="BV65"/>
      <c r="BW65"/>
      <c r="BX65"/>
      <c r="BY65"/>
      <c r="BZ65"/>
      <c r="CA65" s="372">
        <v>1</v>
      </c>
      <c r="CB65" s="372">
        <v>1</v>
      </c>
      <c r="CC65" s="372">
        <v>1</v>
      </c>
      <c r="CD65" s="372">
        <v>1</v>
      </c>
      <c r="CE65" s="372">
        <v>1</v>
      </c>
      <c r="CF65" s="372">
        <v>1</v>
      </c>
      <c r="CG65" s="372">
        <v>1</v>
      </c>
      <c r="CH65" s="372">
        <v>1</v>
      </c>
      <c r="CI65" s="372">
        <v>1</v>
      </c>
      <c r="CJ65" s="372">
        <v>1</v>
      </c>
      <c r="CK65" s="372">
        <v>1</v>
      </c>
      <c r="CL65" s="372">
        <v>1</v>
      </c>
      <c r="CM65" s="372">
        <v>1</v>
      </c>
      <c r="CN65" s="372">
        <v>1</v>
      </c>
      <c r="CO65" s="372">
        <v>1</v>
      </c>
      <c r="CP65" s="372">
        <v>1</v>
      </c>
      <c r="CQ65" s="372">
        <v>1</v>
      </c>
      <c r="CR65" s="372">
        <v>1</v>
      </c>
      <c r="CS65" s="372">
        <v>1</v>
      </c>
      <c r="CT65" s="372">
        <v>1</v>
      </c>
      <c r="CU65" s="372">
        <v>1</v>
      </c>
      <c r="CV65" s="372">
        <v>1</v>
      </c>
      <c r="CW65" s="372">
        <v>1</v>
      </c>
      <c r="CX65" s="372">
        <v>1</v>
      </c>
      <c r="CY65" s="372">
        <v>1</v>
      </c>
      <c r="CZ65" s="372">
        <v>1</v>
      </c>
    </row>
    <row r="66" spans="1:104" s="376" customFormat="1" x14ac:dyDescent="0.25">
      <c r="B66" s="388" t="s">
        <v>45</v>
      </c>
      <c r="D66" s="380"/>
      <c r="E66" s="380"/>
      <c r="F66" s="380"/>
      <c r="G66" s="370">
        <f>IF(Standards_Active!$S30="yes",AQ66,CA66)</f>
        <v>5.0000000000000001E-3</v>
      </c>
      <c r="H66" s="370">
        <f>IF(Standards_Active!$S30="yes",AR66,CB66)</f>
        <v>5.0000000000000001E-3</v>
      </c>
      <c r="I66" s="370">
        <f>IF(Standards_Active!$S30="yes",AS66,CC66)</f>
        <v>5.0000000000000001E-3</v>
      </c>
      <c r="J66" s="370">
        <f>IF(Standards_Active!$S30="yes",AT66,CD66)</f>
        <v>5.0000000000000001E-3</v>
      </c>
      <c r="K66" s="370">
        <f>IF(Standards_Active!$S30="yes",AU66,CE66)</f>
        <v>5.0000000000000001E-3</v>
      </c>
      <c r="L66" s="370">
        <f>IF(Standards_Active!$S30="yes",AV66,CF66)</f>
        <v>5.0000000000000001E-3</v>
      </c>
      <c r="M66" s="370">
        <f>IF(Standards_Active!$S30="yes",AW66,CG66)</f>
        <v>5.0000000000000001E-3</v>
      </c>
      <c r="N66" s="370">
        <f>IF(Standards_Active!$S30="yes",AX66,CH66)</f>
        <v>5.0000000000000001E-3</v>
      </c>
      <c r="O66" s="370">
        <f>IF(Standards_Active!$S30="yes",AY66,CI66)</f>
        <v>5.0000000000000001E-3</v>
      </c>
      <c r="P66" s="370">
        <f>IF(Standards_Active!$S30="yes",AZ66,CJ66)</f>
        <v>5.0000000000000001E-3</v>
      </c>
      <c r="Q66" s="370">
        <f>IF(Standards_Active!$S30="yes",BA66,CK66)</f>
        <v>5.0000000000000001E-3</v>
      </c>
      <c r="R66" s="370">
        <f>IF(Standards_Active!$S30="yes",BB66,CL66)</f>
        <v>5.0000000000000001E-3</v>
      </c>
      <c r="S66" s="370">
        <f>IF(Standards_Active!$S30="yes",BC66,CM66)</f>
        <v>5.0000000000000001E-3</v>
      </c>
      <c r="T66" s="370">
        <f>IF(Standards_Active!$S30="yes",BD66,CN66)</f>
        <v>5.0000000000000001E-3</v>
      </c>
      <c r="U66" s="370">
        <f>IF(Standards_Active!$S30="yes",BE66,CO66)</f>
        <v>5.0000000000000001E-3</v>
      </c>
      <c r="V66" s="370">
        <f>IF(Standards_Active!$S30="yes",BF66,CP66)</f>
        <v>5.0000000000000001E-3</v>
      </c>
      <c r="W66" s="370">
        <f>IF(Standards_Active!$S30="yes",BG66,CQ66)</f>
        <v>5.0000000000000001E-3</v>
      </c>
      <c r="X66" s="370">
        <f>IF(Standards_Active!$S30="yes",BH66,CR66)</f>
        <v>5.0000000000000001E-3</v>
      </c>
      <c r="Y66" s="370">
        <f>IF(Standards_Active!$S30="yes",BI66,CS66)</f>
        <v>5.0000000000000001E-3</v>
      </c>
      <c r="Z66" s="370">
        <f>IF(Standards_Active!$S30="yes",BJ66,CT66)</f>
        <v>5.0000000000000001E-3</v>
      </c>
      <c r="AA66" s="370">
        <f>IF(Standards_Active!$S30="yes",BK66,CU66)</f>
        <v>5.0000000000000001E-3</v>
      </c>
      <c r="AB66" s="370">
        <f>IF(Standards_Active!$S30="yes",BL66,CV66)</f>
        <v>5.0000000000000001E-3</v>
      </c>
      <c r="AC66" s="370">
        <f>IF(Standards_Active!$S30="yes",BM66,CW66)</f>
        <v>5.0000000000000001E-3</v>
      </c>
      <c r="AD66" s="370">
        <f>IF(Standards_Active!$S30="yes",BN66,CX66)</f>
        <v>5.0000000000000001E-3</v>
      </c>
      <c r="AE66" s="370">
        <f>IF(Standards_Active!$S30="yes",BO66,CY66)</f>
        <v>5.0000000000000001E-3</v>
      </c>
      <c r="AF66" s="370">
        <f>IF(Standards_Active!$S30="yes",BP66,CZ66)</f>
        <v>5.0000000000000001E-3</v>
      </c>
      <c r="AH66"/>
      <c r="AI66"/>
      <c r="AJ66"/>
      <c r="AK66"/>
      <c r="AL66"/>
      <c r="AM66"/>
      <c r="AN66"/>
      <c r="AO66"/>
      <c r="AP66"/>
      <c r="AQ66" s="622">
        <f>IF(ISNUMBER(Standards_Active!$T30),IF(AND(AQ$44&gt;=Standards_Active!$Q30,AQ$44&lt;Standards_Active!$R30),AP66-Standards_Active!$U30*INDEX($AQ$58:$BP$58,1,MATCH((Standards_Active!$Q30-1),$AQ$44:$BP$44,FALSE)),IF(AQ$44&gt;=Standards_Active!$R30,Standards_Active!$V30,CA66)),CA66)</f>
        <v>5.0000000000000001E-3</v>
      </c>
      <c r="AR66" s="622">
        <f>IF(ISNUMBER(Standards_Active!$T30),IF(AND(AR$44&gt;=Standards_Active!$Q30,AR$44&lt;Standards_Active!$R30),AQ66-Standards_Active!$U30*INDEX($AQ$58:$BP$58,1,MATCH((Standards_Active!$Q30-1),$AQ$44:$BP$44,FALSE)),IF(AR$44&gt;=Standards_Active!$R30,Standards_Active!$V30,CB66)),CB66)</f>
        <v>5.0000000000000001E-3</v>
      </c>
      <c r="AS66" s="622">
        <f>IF(ISNUMBER(Standards_Active!$T30),IF(AND(AS$44&gt;=Standards_Active!$Q30,AS$44&lt;Standards_Active!$R30),AR66-Standards_Active!$U30*INDEX($AQ$58:$BP$58,1,MATCH((Standards_Active!$Q30-1),$AQ$44:$BP$44,FALSE)),IF(AS$44&gt;=Standards_Active!$R30,Standards_Active!$V30,CC66)),CC66)</f>
        <v>5.0000000000000001E-3</v>
      </c>
      <c r="AT66" s="622">
        <f>IF(ISNUMBER(Standards_Active!$T30),IF(AND(AT$44&gt;=Standards_Active!$Q30,AT$44&lt;Standards_Active!$R30),AS66-Standards_Active!$U30*INDEX($AQ$58:$BP$58,1,MATCH((Standards_Active!$Q30-1),$AQ$44:$BP$44,FALSE)),IF(AT$44&gt;=Standards_Active!$R30,Standards_Active!$V30,CD66)),CD66)</f>
        <v>5.0000000000000001E-3</v>
      </c>
      <c r="AU66" s="622">
        <f>IF(ISNUMBER(Standards_Active!$T30),IF(AND(AU$44&gt;=Standards_Active!$Q30,AU$44&lt;Standards_Active!$R30),AT66-Standards_Active!$U30*INDEX($AQ$58:$BP$58,1,MATCH((Standards_Active!$Q30-1),$AQ$44:$BP$44,FALSE)),IF(AU$44&gt;=Standards_Active!$R30,Standards_Active!$V30,CE66)),CE66)</f>
        <v>5.0000000000000001E-3</v>
      </c>
      <c r="AV66" s="622">
        <f>IF(ISNUMBER(Standards_Active!$T30),IF(AND(AV$44&gt;=Standards_Active!$Q30,AV$44&lt;Standards_Active!$R30),AU66-Standards_Active!$U30*INDEX($AQ$58:$BP$58,1,MATCH((Standards_Active!$Q30-1),$AQ$44:$BP$44,FALSE)),IF(AV$44&gt;=Standards_Active!$R30,Standards_Active!$V30,CF66)),CF66)</f>
        <v>5.0000000000000001E-3</v>
      </c>
      <c r="AW66" s="622">
        <f>IF(ISNUMBER(Standards_Active!$T30),IF(AND(AW$44&gt;=Standards_Active!$Q30,AW$44&lt;Standards_Active!$R30),AV66-Standards_Active!$U30*INDEX($AQ$58:$BP$58,1,MATCH((Standards_Active!$Q30-1),$AQ$44:$BP$44,FALSE)),IF(AW$44&gt;=Standards_Active!$R30,Standards_Active!$V30,CG66)),CG66)</f>
        <v>5.0000000000000001E-3</v>
      </c>
      <c r="AX66" s="622">
        <f>IF(ISNUMBER(Standards_Active!$T30),IF(AND(AX$44&gt;=Standards_Active!$Q30,AX$44&lt;Standards_Active!$R30),AW66-Standards_Active!$U30*INDEX($AQ$58:$BP$58,1,MATCH((Standards_Active!$Q30-1),$AQ$44:$BP$44,FALSE)),IF(AX$44&gt;=Standards_Active!$R30,Standards_Active!$V30,CH66)),CH66)</f>
        <v>5.0000000000000001E-3</v>
      </c>
      <c r="AY66" s="622">
        <f>IF(ISNUMBER(Standards_Active!$T30),IF(AND(AY$44&gt;=Standards_Active!$Q30,AY$44&lt;Standards_Active!$R30),AX66-Standards_Active!$U30*INDEX($AQ$58:$BP$58,1,MATCH((Standards_Active!$Q30-1),$AQ$44:$BP$44,FALSE)),IF(AY$44&gt;=Standards_Active!$R30,Standards_Active!$V30,CI66)),CI66)</f>
        <v>5.0000000000000001E-3</v>
      </c>
      <c r="AZ66" s="622">
        <f>IF(ISNUMBER(Standards_Active!$T30),IF(AND(AZ$44&gt;=Standards_Active!$Q30,AZ$44&lt;Standards_Active!$R30),AY66-Standards_Active!$U30*INDEX($AQ$58:$BP$58,1,MATCH((Standards_Active!$Q30-1),$AQ$44:$BP$44,FALSE)),IF(AZ$44&gt;=Standards_Active!$R30,Standards_Active!$V30,CJ66)),CJ66)</f>
        <v>5.0000000000000001E-3</v>
      </c>
      <c r="BA66" s="622">
        <f>IF(ISNUMBER(Standards_Active!$T30),IF(AND(BA$44&gt;=Standards_Active!$Q30,BA$44&lt;Standards_Active!$R30),AZ66-Standards_Active!$U30*INDEX($AQ$58:$BP$58,1,MATCH((Standards_Active!$Q30-1),$AQ$44:$BP$44,FALSE)),IF(BA$44&gt;=Standards_Active!$R30,Standards_Active!$V30,CK66)),CK66)</f>
        <v>5.0000000000000001E-3</v>
      </c>
      <c r="BB66" s="622">
        <f>IF(ISNUMBER(Standards_Active!$T30),IF(AND(BB$44&gt;=Standards_Active!$Q30,BB$44&lt;Standards_Active!$R30),BA66-Standards_Active!$U30*INDEX($AQ$58:$BP$58,1,MATCH((Standards_Active!$Q30-1),$AQ$44:$BP$44,FALSE)),IF(BB$44&gt;=Standards_Active!$R30,Standards_Active!$V30,CL66)),CL66)</f>
        <v>5.0000000000000001E-3</v>
      </c>
      <c r="BC66" s="622">
        <f>IF(ISNUMBER(Standards_Active!$T30),IF(AND(BC$44&gt;=Standards_Active!$Q30,BC$44&lt;Standards_Active!$R30),BB66-Standards_Active!$U30*INDEX($AQ$58:$BP$58,1,MATCH((Standards_Active!$Q30-1),$AQ$44:$BP$44,FALSE)),IF(BC$44&gt;=Standards_Active!$R30,Standards_Active!$V30,CM66)),CM66)</f>
        <v>5.0000000000000001E-3</v>
      </c>
      <c r="BD66" s="622">
        <f>IF(ISNUMBER(Standards_Active!$T30),IF(AND(BD$44&gt;=Standards_Active!$Q30,BD$44&lt;Standards_Active!$R30),BC66-Standards_Active!$U30*INDEX($AQ$58:$BP$58,1,MATCH((Standards_Active!$Q30-1),$AQ$44:$BP$44,FALSE)),IF(BD$44&gt;=Standards_Active!$R30,Standards_Active!$V30,CN66)),CN66)</f>
        <v>5.0000000000000001E-3</v>
      </c>
      <c r="BE66" s="622">
        <f>IF(ISNUMBER(Standards_Active!$T30),IF(AND(BE$44&gt;=Standards_Active!$Q30,BE$44&lt;Standards_Active!$R30),BD66-Standards_Active!$U30*INDEX($AQ$58:$BP$58,1,MATCH((Standards_Active!$Q30-1),$AQ$44:$BP$44,FALSE)),IF(BE$44&gt;=Standards_Active!$R30,Standards_Active!$V30,CO66)),CO66)</f>
        <v>5.0000000000000001E-3</v>
      </c>
      <c r="BF66" s="622">
        <f>IF(ISNUMBER(Standards_Active!$T30),IF(AND(BF$44&gt;=Standards_Active!$Q30,BF$44&lt;Standards_Active!$R30),BE66-Standards_Active!$U30*INDEX($AQ$58:$BP$58,1,MATCH((Standards_Active!$Q30-1),$AQ$44:$BP$44,FALSE)),IF(BF$44&gt;=Standards_Active!$R30,Standards_Active!$V30,CP66)),CP66)</f>
        <v>5.0000000000000001E-3</v>
      </c>
      <c r="BG66" s="622">
        <f>IF(ISNUMBER(Standards_Active!$T30),IF(AND(BG$44&gt;=Standards_Active!$Q30,BG$44&lt;Standards_Active!$R30),BF66-Standards_Active!$U30*INDEX($AQ$58:$BP$58,1,MATCH((Standards_Active!$Q30-1),$AQ$44:$BP$44,FALSE)),IF(BG$44&gt;=Standards_Active!$R30,Standards_Active!$V30,CQ66)),CQ66)</f>
        <v>5.0000000000000001E-3</v>
      </c>
      <c r="BH66" s="622">
        <f>IF(ISNUMBER(Standards_Active!$T30),IF(AND(BH$44&gt;=Standards_Active!$Q30,BH$44&lt;Standards_Active!$R30),BG66-Standards_Active!$U30*INDEX($AQ$58:$BP$58,1,MATCH((Standards_Active!$Q30-1),$AQ$44:$BP$44,FALSE)),IF(BH$44&gt;=Standards_Active!$R30,Standards_Active!$V30,CR66)),CR66)</f>
        <v>5.0000000000000001E-3</v>
      </c>
      <c r="BI66" s="622">
        <f>IF(ISNUMBER(Standards_Active!$T30),IF(AND(BI$44&gt;=Standards_Active!$Q30,BI$44&lt;Standards_Active!$R30),BH66-Standards_Active!$U30*INDEX($AQ$58:$BP$58,1,MATCH((Standards_Active!$Q30-1),$AQ$44:$BP$44,FALSE)),IF(BI$44&gt;=Standards_Active!$R30,Standards_Active!$V30,CS66)),CS66)</f>
        <v>5.0000000000000001E-3</v>
      </c>
      <c r="BJ66" s="622">
        <f>IF(ISNUMBER(Standards_Active!$T30),IF(AND(BJ$44&gt;=Standards_Active!$Q30,BJ$44&lt;Standards_Active!$R30),BI66-Standards_Active!$U30*INDEX($AQ$58:$BP$58,1,MATCH((Standards_Active!$Q30-1),$AQ$44:$BP$44,FALSE)),IF(BJ$44&gt;=Standards_Active!$R30,Standards_Active!$V30,CT66)),CT66)</f>
        <v>5.0000000000000001E-3</v>
      </c>
      <c r="BK66" s="622">
        <f>IF(ISNUMBER(Standards_Active!$T30),IF(AND(BK$44&gt;=Standards_Active!$Q30,BK$44&lt;Standards_Active!$R30),BJ66-Standards_Active!$U30*INDEX($AQ$58:$BP$58,1,MATCH((Standards_Active!$Q30-1),$AQ$44:$BP$44,FALSE)),IF(BK$44&gt;=Standards_Active!$R30,Standards_Active!$V30,CU66)),CU66)</f>
        <v>5.0000000000000001E-3</v>
      </c>
      <c r="BL66" s="622">
        <f>IF(ISNUMBER(Standards_Active!$T30),IF(AND(BL$44&gt;=Standards_Active!$Q30,BL$44&lt;Standards_Active!$R30),BK66-Standards_Active!$U30*INDEX($AQ$58:$BP$58,1,MATCH((Standards_Active!$Q30-1),$AQ$44:$BP$44,FALSE)),IF(BL$44&gt;=Standards_Active!$R30,Standards_Active!$V30,CV66)),CV66)</f>
        <v>5.0000000000000001E-3</v>
      </c>
      <c r="BM66" s="622">
        <f>IF(ISNUMBER(Standards_Active!$T30),IF(AND(BM$44&gt;=Standards_Active!$Q30,BM$44&lt;Standards_Active!$R30),BL66-Standards_Active!$U30*INDEX($AQ$58:$BP$58,1,MATCH((Standards_Active!$Q30-1),$AQ$44:$BP$44,FALSE)),IF(BM$44&gt;=Standards_Active!$R30,Standards_Active!$V30,CW66)),CW66)</f>
        <v>5.0000000000000001E-3</v>
      </c>
      <c r="BN66" s="622">
        <f>IF(ISNUMBER(Standards_Active!$T30),IF(AND(BN$44&gt;=Standards_Active!$Q30,BN$44&lt;Standards_Active!$R30),BM66-Standards_Active!$U30*INDEX($AQ$58:$BP$58,1,MATCH((Standards_Active!$Q30-1),$AQ$44:$BP$44,FALSE)),IF(BN$44&gt;=Standards_Active!$R30,Standards_Active!$V30,CX66)),CX66)</f>
        <v>5.0000000000000001E-3</v>
      </c>
      <c r="BO66" s="622">
        <f>IF(ISNUMBER(Standards_Active!$T30),IF(AND(BO$44&gt;=Standards_Active!$Q30,BO$44&lt;Standards_Active!$R30),BN66-Standards_Active!$U30*INDEX($AQ$58:$BP$58,1,MATCH((Standards_Active!$Q30-1),$AQ$44:$BP$44,FALSE)),IF(BO$44&gt;=Standards_Active!$R30,Standards_Active!$V30,CY66)),CY66)</f>
        <v>5.0000000000000001E-3</v>
      </c>
      <c r="BP66" s="622">
        <f>IF(ISNUMBER(Standards_Active!$T30),IF(AND(BP$44&gt;=Standards_Active!$Q30,BP$44&lt;Standards_Active!$R30),BO66-Standards_Active!$U30*INDEX($AQ$58:$BP$58,1,MATCH((Standards_Active!$Q30-1),$AQ$44:$BP$44,FALSE)),IF(BP$44&gt;=Standards_Active!$R30,Standards_Active!$V30,CZ66)),CZ66)</f>
        <v>5.0000000000000001E-3</v>
      </c>
      <c r="BQ66" s="380"/>
      <c r="BR66"/>
      <c r="BS66"/>
      <c r="BT66"/>
      <c r="BU66"/>
      <c r="BV66"/>
      <c r="BW66"/>
      <c r="BX66"/>
      <c r="BY66"/>
      <c r="BZ66"/>
      <c r="CA66" s="372">
        <v>5.0000000000000001E-3</v>
      </c>
      <c r="CB66" s="372">
        <v>5.0000000000000001E-3</v>
      </c>
      <c r="CC66" s="372">
        <v>5.0000000000000001E-3</v>
      </c>
      <c r="CD66" s="372">
        <v>5.0000000000000001E-3</v>
      </c>
      <c r="CE66" s="372">
        <v>5.0000000000000001E-3</v>
      </c>
      <c r="CF66" s="372">
        <v>5.0000000000000001E-3</v>
      </c>
      <c r="CG66" s="372">
        <v>5.0000000000000001E-3</v>
      </c>
      <c r="CH66" s="372">
        <v>5.0000000000000001E-3</v>
      </c>
      <c r="CI66" s="372">
        <v>5.0000000000000001E-3</v>
      </c>
      <c r="CJ66" s="372">
        <v>5.0000000000000001E-3</v>
      </c>
      <c r="CK66" s="372">
        <v>5.0000000000000001E-3</v>
      </c>
      <c r="CL66" s="372">
        <v>5.0000000000000001E-3</v>
      </c>
      <c r="CM66" s="372">
        <v>5.0000000000000001E-3</v>
      </c>
      <c r="CN66" s="372">
        <v>5.0000000000000001E-3</v>
      </c>
      <c r="CO66" s="372">
        <v>5.0000000000000001E-3</v>
      </c>
      <c r="CP66" s="372">
        <v>5.0000000000000001E-3</v>
      </c>
      <c r="CQ66" s="372">
        <v>5.0000000000000001E-3</v>
      </c>
      <c r="CR66" s="372">
        <v>5.0000000000000001E-3</v>
      </c>
      <c r="CS66" s="372">
        <v>5.0000000000000001E-3</v>
      </c>
      <c r="CT66" s="372">
        <v>5.0000000000000001E-3</v>
      </c>
      <c r="CU66" s="372">
        <v>5.0000000000000001E-3</v>
      </c>
      <c r="CV66" s="372">
        <v>5.0000000000000001E-3</v>
      </c>
      <c r="CW66" s="372">
        <v>5.0000000000000001E-3</v>
      </c>
      <c r="CX66" s="372">
        <v>5.0000000000000001E-3</v>
      </c>
      <c r="CY66" s="372">
        <v>5.0000000000000001E-3</v>
      </c>
      <c r="CZ66" s="372">
        <v>5.0000000000000001E-3</v>
      </c>
    </row>
    <row r="67" spans="1:104" s="376" customFormat="1" x14ac:dyDescent="0.25">
      <c r="B67" s="388" t="s">
        <v>46</v>
      </c>
      <c r="D67" s="380"/>
      <c r="E67" s="380"/>
      <c r="F67" s="380"/>
      <c r="G67" s="370">
        <f>IF(Standards_Active!$S31="yes",AQ67,CA67)</f>
        <v>0</v>
      </c>
      <c r="H67" s="370">
        <f>IF(Standards_Active!$S31="yes",AR67,CB67)</f>
        <v>0</v>
      </c>
      <c r="I67" s="370">
        <f>IF(Standards_Active!$S31="yes",AS67,CC67)</f>
        <v>0</v>
      </c>
      <c r="J67" s="370">
        <f>IF(Standards_Active!$S31="yes",AT67,CD67)</f>
        <v>0</v>
      </c>
      <c r="K67" s="370">
        <f>IF(Standards_Active!$S31="yes",AU67,CE67)</f>
        <v>0</v>
      </c>
      <c r="L67" s="370">
        <f>IF(Standards_Active!$S31="yes",AV67,CF67)</f>
        <v>0</v>
      </c>
      <c r="M67" s="370">
        <f>IF(Standards_Active!$S31="yes",AW67,CG67)</f>
        <v>0</v>
      </c>
      <c r="N67" s="370">
        <f>IF(Standards_Active!$S31="yes",AX67,CH67)</f>
        <v>0</v>
      </c>
      <c r="O67" s="370">
        <f>IF(Standards_Active!$S31="yes",AY67,CI67)</f>
        <v>0</v>
      </c>
      <c r="P67" s="370">
        <f>IF(Standards_Active!$S31="yes",AZ67,CJ67)</f>
        <v>0</v>
      </c>
      <c r="Q67" s="370">
        <f>IF(Standards_Active!$S31="yes",BA67,CK67)</f>
        <v>0</v>
      </c>
      <c r="R67" s="370">
        <f>IF(Standards_Active!$S31="yes",BB67,CL67)</f>
        <v>0</v>
      </c>
      <c r="S67" s="370">
        <f>IF(Standards_Active!$S31="yes",BC67,CM67)</f>
        <v>0</v>
      </c>
      <c r="T67" s="370">
        <f>IF(Standards_Active!$S31="yes",BD67,CN67)</f>
        <v>0</v>
      </c>
      <c r="U67" s="370">
        <f>IF(Standards_Active!$S31="yes",BE67,CO67)</f>
        <v>0</v>
      </c>
      <c r="V67" s="370">
        <f>IF(Standards_Active!$S31="yes",BF67,CP67)</f>
        <v>0</v>
      </c>
      <c r="W67" s="370">
        <f>IF(Standards_Active!$S31="yes",BG67,CQ67)</f>
        <v>0</v>
      </c>
      <c r="X67" s="370">
        <f>IF(Standards_Active!$S31="yes",BH67,CR67)</f>
        <v>0</v>
      </c>
      <c r="Y67" s="370">
        <f>IF(Standards_Active!$S31="yes",BI67,CS67)</f>
        <v>0</v>
      </c>
      <c r="Z67" s="370">
        <f>IF(Standards_Active!$S31="yes",BJ67,CT67)</f>
        <v>0</v>
      </c>
      <c r="AA67" s="370">
        <f>IF(Standards_Active!$S31="yes",BK67,CU67)</f>
        <v>0</v>
      </c>
      <c r="AB67" s="370">
        <f>IF(Standards_Active!$S31="yes",BL67,CV67)</f>
        <v>0</v>
      </c>
      <c r="AC67" s="370">
        <f>IF(Standards_Active!$S31="yes",BM67,CW67)</f>
        <v>0</v>
      </c>
      <c r="AD67" s="370">
        <f>IF(Standards_Active!$S31="yes",BN67,CX67)</f>
        <v>0</v>
      </c>
      <c r="AE67" s="370">
        <f>IF(Standards_Active!$S31="yes",BO67,CY67)</f>
        <v>0</v>
      </c>
      <c r="AF67" s="370">
        <f>IF(Standards_Active!$S31="yes",BP67,CZ67)</f>
        <v>0</v>
      </c>
      <c r="AH67"/>
      <c r="AI67"/>
      <c r="AJ67"/>
      <c r="AK67"/>
      <c r="AL67"/>
      <c r="AM67"/>
      <c r="AN67"/>
      <c r="AO67"/>
      <c r="AP67"/>
      <c r="AQ67" s="622">
        <f>IF(ISNUMBER(Standards_Active!$T31),IF(AND(AQ$44&gt;=Standards_Active!$Q31,AQ$44&lt;Standards_Active!$R31),AP67-Standards_Active!$U31*INDEX($AQ$58:$BP$58,1,MATCH((Standards_Active!$Q31-1),$AQ$44:$BP$44,FALSE)),IF(AQ$44&gt;=Standards_Active!$R31,Standards_Active!$V31,CA67)),CA67)</f>
        <v>0</v>
      </c>
      <c r="AR67" s="622">
        <f>IF(ISNUMBER(Standards_Active!$T31),IF(AND(AR$44&gt;=Standards_Active!$Q31,AR$44&lt;Standards_Active!$R31),AQ67-Standards_Active!$U31*INDEX($AQ$58:$BP$58,1,MATCH((Standards_Active!$Q31-1),$AQ$44:$BP$44,FALSE)),IF(AR$44&gt;=Standards_Active!$R31,Standards_Active!$V31,CB67)),CB67)</f>
        <v>0</v>
      </c>
      <c r="AS67" s="622">
        <f>IF(ISNUMBER(Standards_Active!$T31),IF(AND(AS$44&gt;=Standards_Active!$Q31,AS$44&lt;Standards_Active!$R31),AR67-Standards_Active!$U31*INDEX($AQ$58:$BP$58,1,MATCH((Standards_Active!$Q31-1),$AQ$44:$BP$44,FALSE)),IF(AS$44&gt;=Standards_Active!$R31,Standards_Active!$V31,CC67)),CC67)</f>
        <v>0</v>
      </c>
      <c r="AT67" s="622">
        <f>IF(ISNUMBER(Standards_Active!$T31),IF(AND(AT$44&gt;=Standards_Active!$Q31,AT$44&lt;Standards_Active!$R31),AS67-Standards_Active!$U31*INDEX($AQ$58:$BP$58,1,MATCH((Standards_Active!$Q31-1),$AQ$44:$BP$44,FALSE)),IF(AT$44&gt;=Standards_Active!$R31,Standards_Active!$V31,CD67)),CD67)</f>
        <v>0</v>
      </c>
      <c r="AU67" s="622">
        <f>IF(ISNUMBER(Standards_Active!$T31),IF(AND(AU$44&gt;=Standards_Active!$Q31,AU$44&lt;Standards_Active!$R31),AT67-Standards_Active!$U31*INDEX($AQ$58:$BP$58,1,MATCH((Standards_Active!$Q31-1),$AQ$44:$BP$44,FALSE)),IF(AU$44&gt;=Standards_Active!$R31,Standards_Active!$V31,CE67)),CE67)</f>
        <v>0</v>
      </c>
      <c r="AV67" s="622">
        <f>IF(ISNUMBER(Standards_Active!$T31),IF(AND(AV$44&gt;=Standards_Active!$Q31,AV$44&lt;Standards_Active!$R31),AU67-Standards_Active!$U31*INDEX($AQ$58:$BP$58,1,MATCH((Standards_Active!$Q31-1),$AQ$44:$BP$44,FALSE)),IF(AV$44&gt;=Standards_Active!$R31,Standards_Active!$V31,CF67)),CF67)</f>
        <v>0</v>
      </c>
      <c r="AW67" s="622">
        <f>IF(ISNUMBER(Standards_Active!$T31),IF(AND(AW$44&gt;=Standards_Active!$Q31,AW$44&lt;Standards_Active!$R31),AV67-Standards_Active!$U31*INDEX($AQ$58:$BP$58,1,MATCH((Standards_Active!$Q31-1),$AQ$44:$BP$44,FALSE)),IF(AW$44&gt;=Standards_Active!$R31,Standards_Active!$V31,CG67)),CG67)</f>
        <v>0</v>
      </c>
      <c r="AX67" s="622">
        <f>IF(ISNUMBER(Standards_Active!$T31),IF(AND(AX$44&gt;=Standards_Active!$Q31,AX$44&lt;Standards_Active!$R31),AW67-Standards_Active!$U31*INDEX($AQ$58:$BP$58,1,MATCH((Standards_Active!$Q31-1),$AQ$44:$BP$44,FALSE)),IF(AX$44&gt;=Standards_Active!$R31,Standards_Active!$V31,CH67)),CH67)</f>
        <v>0</v>
      </c>
      <c r="AY67" s="622">
        <f>IF(ISNUMBER(Standards_Active!$T31),IF(AND(AY$44&gt;=Standards_Active!$Q31,AY$44&lt;Standards_Active!$R31),AX67-Standards_Active!$U31*INDEX($AQ$58:$BP$58,1,MATCH((Standards_Active!$Q31-1),$AQ$44:$BP$44,FALSE)),IF(AY$44&gt;=Standards_Active!$R31,Standards_Active!$V31,CI67)),CI67)</f>
        <v>0</v>
      </c>
      <c r="AZ67" s="622">
        <f>IF(ISNUMBER(Standards_Active!$T31),IF(AND(AZ$44&gt;=Standards_Active!$Q31,AZ$44&lt;Standards_Active!$R31),AY67-Standards_Active!$U31*INDEX($AQ$58:$BP$58,1,MATCH((Standards_Active!$Q31-1),$AQ$44:$BP$44,FALSE)),IF(AZ$44&gt;=Standards_Active!$R31,Standards_Active!$V31,CJ67)),CJ67)</f>
        <v>0</v>
      </c>
      <c r="BA67" s="622">
        <f>IF(ISNUMBER(Standards_Active!$T31),IF(AND(BA$44&gt;=Standards_Active!$Q31,BA$44&lt;Standards_Active!$R31),AZ67-Standards_Active!$U31*INDEX($AQ$58:$BP$58,1,MATCH((Standards_Active!$Q31-1),$AQ$44:$BP$44,FALSE)),IF(BA$44&gt;=Standards_Active!$R31,Standards_Active!$V31,CK67)),CK67)</f>
        <v>0</v>
      </c>
      <c r="BB67" s="622">
        <f>IF(ISNUMBER(Standards_Active!$T31),IF(AND(BB$44&gt;=Standards_Active!$Q31,BB$44&lt;Standards_Active!$R31),BA67-Standards_Active!$U31*INDEX($AQ$58:$BP$58,1,MATCH((Standards_Active!$Q31-1),$AQ$44:$BP$44,FALSE)),IF(BB$44&gt;=Standards_Active!$R31,Standards_Active!$V31,CL67)),CL67)</f>
        <v>0</v>
      </c>
      <c r="BC67" s="622">
        <f>IF(ISNUMBER(Standards_Active!$T31),IF(AND(BC$44&gt;=Standards_Active!$Q31,BC$44&lt;Standards_Active!$R31),BB67-Standards_Active!$U31*INDEX($AQ$58:$BP$58,1,MATCH((Standards_Active!$Q31-1),$AQ$44:$BP$44,FALSE)),IF(BC$44&gt;=Standards_Active!$R31,Standards_Active!$V31,CM67)),CM67)</f>
        <v>0</v>
      </c>
      <c r="BD67" s="622">
        <f>IF(ISNUMBER(Standards_Active!$T31),IF(AND(BD$44&gt;=Standards_Active!$Q31,BD$44&lt;Standards_Active!$R31),BC67-Standards_Active!$U31*INDEX($AQ$58:$BP$58,1,MATCH((Standards_Active!$Q31-1),$AQ$44:$BP$44,FALSE)),IF(BD$44&gt;=Standards_Active!$R31,Standards_Active!$V31,CN67)),CN67)</f>
        <v>0</v>
      </c>
      <c r="BE67" s="622">
        <f>IF(ISNUMBER(Standards_Active!$T31),IF(AND(BE$44&gt;=Standards_Active!$Q31,BE$44&lt;Standards_Active!$R31),BD67-Standards_Active!$U31*INDEX($AQ$58:$BP$58,1,MATCH((Standards_Active!$Q31-1),$AQ$44:$BP$44,FALSE)),IF(BE$44&gt;=Standards_Active!$R31,Standards_Active!$V31,CO67)),CO67)</f>
        <v>0</v>
      </c>
      <c r="BF67" s="622">
        <f>IF(ISNUMBER(Standards_Active!$T31),IF(AND(BF$44&gt;=Standards_Active!$Q31,BF$44&lt;Standards_Active!$R31),BE67-Standards_Active!$U31*INDEX($AQ$58:$BP$58,1,MATCH((Standards_Active!$Q31-1),$AQ$44:$BP$44,FALSE)),IF(BF$44&gt;=Standards_Active!$R31,Standards_Active!$V31,CP67)),CP67)</f>
        <v>0</v>
      </c>
      <c r="BG67" s="622">
        <f>IF(ISNUMBER(Standards_Active!$T31),IF(AND(BG$44&gt;=Standards_Active!$Q31,BG$44&lt;Standards_Active!$R31),BF67-Standards_Active!$U31*INDEX($AQ$58:$BP$58,1,MATCH((Standards_Active!$Q31-1),$AQ$44:$BP$44,FALSE)),IF(BG$44&gt;=Standards_Active!$R31,Standards_Active!$V31,CQ67)),CQ67)</f>
        <v>0</v>
      </c>
      <c r="BH67" s="622">
        <f>IF(ISNUMBER(Standards_Active!$T31),IF(AND(BH$44&gt;=Standards_Active!$Q31,BH$44&lt;Standards_Active!$R31),BG67-Standards_Active!$U31*INDEX($AQ$58:$BP$58,1,MATCH((Standards_Active!$Q31-1),$AQ$44:$BP$44,FALSE)),IF(BH$44&gt;=Standards_Active!$R31,Standards_Active!$V31,CR67)),CR67)</f>
        <v>0</v>
      </c>
      <c r="BI67" s="622">
        <f>IF(ISNUMBER(Standards_Active!$T31),IF(AND(BI$44&gt;=Standards_Active!$Q31,BI$44&lt;Standards_Active!$R31),BH67-Standards_Active!$U31*INDEX($AQ$58:$BP$58,1,MATCH((Standards_Active!$Q31-1),$AQ$44:$BP$44,FALSE)),IF(BI$44&gt;=Standards_Active!$R31,Standards_Active!$V31,CS67)),CS67)</f>
        <v>0</v>
      </c>
      <c r="BJ67" s="622">
        <f>IF(ISNUMBER(Standards_Active!$T31),IF(AND(BJ$44&gt;=Standards_Active!$Q31,BJ$44&lt;Standards_Active!$R31),BI67-Standards_Active!$U31*INDEX($AQ$58:$BP$58,1,MATCH((Standards_Active!$Q31-1),$AQ$44:$BP$44,FALSE)),IF(BJ$44&gt;=Standards_Active!$R31,Standards_Active!$V31,CT67)),CT67)</f>
        <v>0</v>
      </c>
      <c r="BK67" s="622">
        <f>IF(ISNUMBER(Standards_Active!$T31),IF(AND(BK$44&gt;=Standards_Active!$Q31,BK$44&lt;Standards_Active!$R31),BJ67-Standards_Active!$U31*INDEX($AQ$58:$BP$58,1,MATCH((Standards_Active!$Q31-1),$AQ$44:$BP$44,FALSE)),IF(BK$44&gt;=Standards_Active!$R31,Standards_Active!$V31,CU67)),CU67)</f>
        <v>0</v>
      </c>
      <c r="BL67" s="622">
        <f>IF(ISNUMBER(Standards_Active!$T31),IF(AND(BL$44&gt;=Standards_Active!$Q31,BL$44&lt;Standards_Active!$R31),BK67-Standards_Active!$U31*INDEX($AQ$58:$BP$58,1,MATCH((Standards_Active!$Q31-1),$AQ$44:$BP$44,FALSE)),IF(BL$44&gt;=Standards_Active!$R31,Standards_Active!$V31,CV67)),CV67)</f>
        <v>0</v>
      </c>
      <c r="BM67" s="622">
        <f>IF(ISNUMBER(Standards_Active!$T31),IF(AND(BM$44&gt;=Standards_Active!$Q31,BM$44&lt;Standards_Active!$R31),BL67-Standards_Active!$U31*INDEX($AQ$58:$BP$58,1,MATCH((Standards_Active!$Q31-1),$AQ$44:$BP$44,FALSE)),IF(BM$44&gt;=Standards_Active!$R31,Standards_Active!$V31,CW67)),CW67)</f>
        <v>0</v>
      </c>
      <c r="BN67" s="622">
        <f>IF(ISNUMBER(Standards_Active!$T31),IF(AND(BN$44&gt;=Standards_Active!$Q31,BN$44&lt;Standards_Active!$R31),BM67-Standards_Active!$U31*INDEX($AQ$58:$BP$58,1,MATCH((Standards_Active!$Q31-1),$AQ$44:$BP$44,FALSE)),IF(BN$44&gt;=Standards_Active!$R31,Standards_Active!$V31,CX67)),CX67)</f>
        <v>0</v>
      </c>
      <c r="BO67" s="622">
        <f>IF(ISNUMBER(Standards_Active!$T31),IF(AND(BO$44&gt;=Standards_Active!$Q31,BO$44&lt;Standards_Active!$R31),BN67-Standards_Active!$U31*INDEX($AQ$58:$BP$58,1,MATCH((Standards_Active!$Q31-1),$AQ$44:$BP$44,FALSE)),IF(BO$44&gt;=Standards_Active!$R31,Standards_Active!$V31,CY67)),CY67)</f>
        <v>0</v>
      </c>
      <c r="BP67" s="622">
        <f>IF(ISNUMBER(Standards_Active!$T31),IF(AND(BP$44&gt;=Standards_Active!$Q31,BP$44&lt;Standards_Active!$R31),BO67-Standards_Active!$U31*INDEX($AQ$58:$BP$58,1,MATCH((Standards_Active!$Q31-1),$AQ$44:$BP$44,FALSE)),IF(BP$44&gt;=Standards_Active!$R31,Standards_Active!$V31,CZ67)),CZ67)</f>
        <v>0</v>
      </c>
      <c r="BQ67" s="380"/>
      <c r="BR67"/>
      <c r="BS67"/>
      <c r="BT67"/>
      <c r="BU67"/>
      <c r="BV67"/>
      <c r="BW67"/>
      <c r="BX67"/>
      <c r="BY67"/>
      <c r="BZ67"/>
      <c r="CA67" s="372">
        <v>0</v>
      </c>
      <c r="CB67" s="372">
        <v>0</v>
      </c>
      <c r="CC67" s="372">
        <v>0</v>
      </c>
      <c r="CD67" s="372">
        <v>0</v>
      </c>
      <c r="CE67" s="372">
        <v>0</v>
      </c>
      <c r="CF67" s="372">
        <v>0</v>
      </c>
      <c r="CG67" s="372">
        <v>0</v>
      </c>
      <c r="CH67" s="372">
        <v>0</v>
      </c>
      <c r="CI67" s="372">
        <v>0</v>
      </c>
      <c r="CJ67" s="372">
        <v>0</v>
      </c>
      <c r="CK67" s="372">
        <v>0</v>
      </c>
      <c r="CL67" s="372">
        <v>0</v>
      </c>
      <c r="CM67" s="372">
        <v>0</v>
      </c>
      <c r="CN67" s="372">
        <v>0</v>
      </c>
      <c r="CO67" s="372">
        <v>0</v>
      </c>
      <c r="CP67" s="372">
        <v>0</v>
      </c>
      <c r="CQ67" s="372">
        <v>0</v>
      </c>
      <c r="CR67" s="372">
        <v>0</v>
      </c>
      <c r="CS67" s="372">
        <v>0</v>
      </c>
      <c r="CT67" s="372">
        <v>0</v>
      </c>
      <c r="CU67" s="372">
        <v>0</v>
      </c>
      <c r="CV67" s="372">
        <v>0</v>
      </c>
      <c r="CW67" s="372">
        <v>0</v>
      </c>
      <c r="CX67" s="372">
        <v>0</v>
      </c>
      <c r="CY67" s="372">
        <v>0</v>
      </c>
      <c r="CZ67" s="372">
        <v>0</v>
      </c>
    </row>
    <row r="68" spans="1:104" s="376" customFormat="1" x14ac:dyDescent="0.25">
      <c r="B68" s="376" t="s">
        <v>29</v>
      </c>
      <c r="D68" s="380"/>
      <c r="E68" s="380"/>
      <c r="F68" s="380"/>
      <c r="G68" s="370">
        <f>IF(Standards_Active!$S32="yes",AQ68,CA68)</f>
        <v>1</v>
      </c>
      <c r="H68" s="370">
        <f>IF(Standards_Active!$S32="yes",AR68,CB68)</f>
        <v>1</v>
      </c>
      <c r="I68" s="370">
        <f>IF(Standards_Active!$S32="yes",AS68,CC68)</f>
        <v>1</v>
      </c>
      <c r="J68" s="370">
        <f>IF(Standards_Active!$S32="yes",AT68,CD68)</f>
        <v>1</v>
      </c>
      <c r="K68" s="370">
        <f>IF(Standards_Active!$S32="yes",AU68,CE68)</f>
        <v>1</v>
      </c>
      <c r="L68" s="370">
        <f>IF(Standards_Active!$S32="yes",AV68,CF68)</f>
        <v>1</v>
      </c>
      <c r="M68" s="370">
        <f>IF(Standards_Active!$S32="yes",AW68,CG68)</f>
        <v>1</v>
      </c>
      <c r="N68" s="370">
        <f>IF(Standards_Active!$S32="yes",AX68,CH68)</f>
        <v>1</v>
      </c>
      <c r="O68" s="370">
        <f>IF(Standards_Active!$S32="yes",AY68,CI68)</f>
        <v>1</v>
      </c>
      <c r="P68" s="370">
        <f>IF(Standards_Active!$S32="yes",AZ68,CJ68)</f>
        <v>1</v>
      </c>
      <c r="Q68" s="370">
        <f>IF(Standards_Active!$S32="yes",BA68,CK68)</f>
        <v>1</v>
      </c>
      <c r="R68" s="370">
        <f>IF(Standards_Active!$S32="yes",BB68,CL68)</f>
        <v>1</v>
      </c>
      <c r="S68" s="370">
        <f>IF(Standards_Active!$S32="yes",BC68,CM68)</f>
        <v>1</v>
      </c>
      <c r="T68" s="370">
        <f>IF(Standards_Active!$S32="yes",BD68,CN68)</f>
        <v>1</v>
      </c>
      <c r="U68" s="370">
        <f>IF(Standards_Active!$S32="yes",BE68,CO68)</f>
        <v>1</v>
      </c>
      <c r="V68" s="370">
        <f>IF(Standards_Active!$S32="yes",BF68,CP68)</f>
        <v>1</v>
      </c>
      <c r="W68" s="370">
        <f>IF(Standards_Active!$S32="yes",BG68,CQ68)</f>
        <v>1</v>
      </c>
      <c r="X68" s="370">
        <f>IF(Standards_Active!$S32="yes",BH68,CR68)</f>
        <v>1</v>
      </c>
      <c r="Y68" s="370">
        <f>IF(Standards_Active!$S32="yes",BI68,CS68)</f>
        <v>1</v>
      </c>
      <c r="Z68" s="370">
        <f>IF(Standards_Active!$S32="yes",BJ68,CT68)</f>
        <v>1</v>
      </c>
      <c r="AA68" s="370">
        <f>IF(Standards_Active!$S32="yes",BK68,CU68)</f>
        <v>1</v>
      </c>
      <c r="AB68" s="370">
        <f>IF(Standards_Active!$S32="yes",BL68,CV68)</f>
        <v>1</v>
      </c>
      <c r="AC68" s="370">
        <f>IF(Standards_Active!$S32="yes",BM68,CW68)</f>
        <v>1</v>
      </c>
      <c r="AD68" s="370">
        <f>IF(Standards_Active!$S32="yes",BN68,CX68)</f>
        <v>1</v>
      </c>
      <c r="AE68" s="370">
        <f>IF(Standards_Active!$S32="yes",BO68,CY68)</f>
        <v>1</v>
      </c>
      <c r="AF68" s="370">
        <f>IF(Standards_Active!$S32="yes",BP68,CZ68)</f>
        <v>1</v>
      </c>
      <c r="AH68"/>
      <c r="AI68"/>
      <c r="AJ68"/>
      <c r="AK68"/>
      <c r="AL68"/>
      <c r="AM68"/>
      <c r="AN68"/>
      <c r="AO68"/>
      <c r="AP68"/>
      <c r="AQ68" s="622">
        <f>IF(ISNUMBER(Standards_Active!$T32),IF(AND(AQ$44&gt;=Standards_Active!$Q32,AQ$44&lt;Standards_Active!$R32),AP68-Standards_Active!$U32*INDEX($AQ$58:$BP$58,1,MATCH((Standards_Active!$Q32-1),$AQ$44:$BP$44,FALSE)),IF(AQ$44&gt;=Standards_Active!$R32,Standards_Active!$V32,CA68)),CA68)</f>
        <v>1</v>
      </c>
      <c r="AR68" s="622">
        <f>IF(ISNUMBER(Standards_Active!$T32),IF(AND(AR$44&gt;=Standards_Active!$Q32,AR$44&lt;Standards_Active!$R32),AQ68-Standards_Active!$U32*INDEX($AQ$58:$BP$58,1,MATCH((Standards_Active!$Q32-1),$AQ$44:$BP$44,FALSE)),IF(AR$44&gt;=Standards_Active!$R32,Standards_Active!$V32,CB68)),CB68)</f>
        <v>1</v>
      </c>
      <c r="AS68" s="622">
        <f>IF(ISNUMBER(Standards_Active!$T32),IF(AND(AS$44&gt;=Standards_Active!$Q32,AS$44&lt;Standards_Active!$R32),AR68-Standards_Active!$U32*INDEX($AQ$58:$BP$58,1,MATCH((Standards_Active!$Q32-1),$AQ$44:$BP$44,FALSE)),IF(AS$44&gt;=Standards_Active!$R32,Standards_Active!$V32,CC68)),CC68)</f>
        <v>1</v>
      </c>
      <c r="AT68" s="622">
        <f>IF(ISNUMBER(Standards_Active!$T32),IF(AND(AT$44&gt;=Standards_Active!$Q32,AT$44&lt;Standards_Active!$R32),AS68-Standards_Active!$U32*INDEX($AQ$58:$BP$58,1,MATCH((Standards_Active!$Q32-1),$AQ$44:$BP$44,FALSE)),IF(AT$44&gt;=Standards_Active!$R32,Standards_Active!$V32,CD68)),CD68)</f>
        <v>1</v>
      </c>
      <c r="AU68" s="622">
        <f>IF(ISNUMBER(Standards_Active!$T32),IF(AND(AU$44&gt;=Standards_Active!$Q32,AU$44&lt;Standards_Active!$R32),AT68-Standards_Active!$U32*INDEX($AQ$58:$BP$58,1,MATCH((Standards_Active!$Q32-1),$AQ$44:$BP$44,FALSE)),IF(AU$44&gt;=Standards_Active!$R32,Standards_Active!$V32,CE68)),CE68)</f>
        <v>1</v>
      </c>
      <c r="AV68" s="622">
        <f>IF(ISNUMBER(Standards_Active!$T32),IF(AND(AV$44&gt;=Standards_Active!$Q32,AV$44&lt;Standards_Active!$R32),AU68-Standards_Active!$U32*INDEX($AQ$58:$BP$58,1,MATCH((Standards_Active!$Q32-1),$AQ$44:$BP$44,FALSE)),IF(AV$44&gt;=Standards_Active!$R32,Standards_Active!$V32,CF68)),CF68)</f>
        <v>1</v>
      </c>
      <c r="AW68" s="622">
        <f>IF(ISNUMBER(Standards_Active!$T32),IF(AND(AW$44&gt;=Standards_Active!$Q32,AW$44&lt;Standards_Active!$R32),AV68-Standards_Active!$U32*INDEX($AQ$58:$BP$58,1,MATCH((Standards_Active!$Q32-1),$AQ$44:$BP$44,FALSE)),IF(AW$44&gt;=Standards_Active!$R32,Standards_Active!$V32,CG68)),CG68)</f>
        <v>1</v>
      </c>
      <c r="AX68" s="622">
        <f>IF(ISNUMBER(Standards_Active!$T32),IF(AND(AX$44&gt;=Standards_Active!$Q32,AX$44&lt;Standards_Active!$R32),AW68-Standards_Active!$U32*INDEX($AQ$58:$BP$58,1,MATCH((Standards_Active!$Q32-1),$AQ$44:$BP$44,FALSE)),IF(AX$44&gt;=Standards_Active!$R32,Standards_Active!$V32,CH68)),CH68)</f>
        <v>1</v>
      </c>
      <c r="AY68" s="622">
        <f>IF(ISNUMBER(Standards_Active!$T32),IF(AND(AY$44&gt;=Standards_Active!$Q32,AY$44&lt;Standards_Active!$R32),AX68-Standards_Active!$U32*INDEX($AQ$58:$BP$58,1,MATCH((Standards_Active!$Q32-1),$AQ$44:$BP$44,FALSE)),IF(AY$44&gt;=Standards_Active!$R32,Standards_Active!$V32,CI68)),CI68)</f>
        <v>1</v>
      </c>
      <c r="AZ68" s="622">
        <f>IF(ISNUMBER(Standards_Active!$T32),IF(AND(AZ$44&gt;=Standards_Active!$Q32,AZ$44&lt;Standards_Active!$R32),AY68-Standards_Active!$U32*INDEX($AQ$58:$BP$58,1,MATCH((Standards_Active!$Q32-1),$AQ$44:$BP$44,FALSE)),IF(AZ$44&gt;=Standards_Active!$R32,Standards_Active!$V32,CJ68)),CJ68)</f>
        <v>1</v>
      </c>
      <c r="BA68" s="622">
        <f>IF(ISNUMBER(Standards_Active!$T32),IF(AND(BA$44&gt;=Standards_Active!$Q32,BA$44&lt;Standards_Active!$R32),AZ68-Standards_Active!$U32*INDEX($AQ$58:$BP$58,1,MATCH((Standards_Active!$Q32-1),$AQ$44:$BP$44,FALSE)),IF(BA$44&gt;=Standards_Active!$R32,Standards_Active!$V32,CK68)),CK68)</f>
        <v>1</v>
      </c>
      <c r="BB68" s="622">
        <f>IF(ISNUMBER(Standards_Active!$T32),IF(AND(BB$44&gt;=Standards_Active!$Q32,BB$44&lt;Standards_Active!$R32),BA68-Standards_Active!$U32*INDEX($AQ$58:$BP$58,1,MATCH((Standards_Active!$Q32-1),$AQ$44:$BP$44,FALSE)),IF(BB$44&gt;=Standards_Active!$R32,Standards_Active!$V32,CL68)),CL68)</f>
        <v>1</v>
      </c>
      <c r="BC68" s="622">
        <f>IF(ISNUMBER(Standards_Active!$T32),IF(AND(BC$44&gt;=Standards_Active!$Q32,BC$44&lt;Standards_Active!$R32),BB68-Standards_Active!$U32*INDEX($AQ$58:$BP$58,1,MATCH((Standards_Active!$Q32-1),$AQ$44:$BP$44,FALSE)),IF(BC$44&gt;=Standards_Active!$R32,Standards_Active!$V32,CM68)),CM68)</f>
        <v>1</v>
      </c>
      <c r="BD68" s="622">
        <f>IF(ISNUMBER(Standards_Active!$T32),IF(AND(BD$44&gt;=Standards_Active!$Q32,BD$44&lt;Standards_Active!$R32),BC68-Standards_Active!$U32*INDEX($AQ$58:$BP$58,1,MATCH((Standards_Active!$Q32-1),$AQ$44:$BP$44,FALSE)),IF(BD$44&gt;=Standards_Active!$R32,Standards_Active!$V32,CN68)),CN68)</f>
        <v>1</v>
      </c>
      <c r="BE68" s="622">
        <f>IF(ISNUMBER(Standards_Active!$T32),IF(AND(BE$44&gt;=Standards_Active!$Q32,BE$44&lt;Standards_Active!$R32),BD68-Standards_Active!$U32*INDEX($AQ$58:$BP$58,1,MATCH((Standards_Active!$Q32-1),$AQ$44:$BP$44,FALSE)),IF(BE$44&gt;=Standards_Active!$R32,Standards_Active!$V32,CO68)),CO68)</f>
        <v>1</v>
      </c>
      <c r="BF68" s="622">
        <f>IF(ISNUMBER(Standards_Active!$T32),IF(AND(BF$44&gt;=Standards_Active!$Q32,BF$44&lt;Standards_Active!$R32),BE68-Standards_Active!$U32*INDEX($AQ$58:$BP$58,1,MATCH((Standards_Active!$Q32-1),$AQ$44:$BP$44,FALSE)),IF(BF$44&gt;=Standards_Active!$R32,Standards_Active!$V32,CP68)),CP68)</f>
        <v>1</v>
      </c>
      <c r="BG68" s="622">
        <f>IF(ISNUMBER(Standards_Active!$T32),IF(AND(BG$44&gt;=Standards_Active!$Q32,BG$44&lt;Standards_Active!$R32),BF68-Standards_Active!$U32*INDEX($AQ$58:$BP$58,1,MATCH((Standards_Active!$Q32-1),$AQ$44:$BP$44,FALSE)),IF(BG$44&gt;=Standards_Active!$R32,Standards_Active!$V32,CQ68)),CQ68)</f>
        <v>1</v>
      </c>
      <c r="BH68" s="622">
        <f>IF(ISNUMBER(Standards_Active!$T32),IF(AND(BH$44&gt;=Standards_Active!$Q32,BH$44&lt;Standards_Active!$R32),BG68-Standards_Active!$U32*INDEX($AQ$58:$BP$58,1,MATCH((Standards_Active!$Q32-1),$AQ$44:$BP$44,FALSE)),IF(BH$44&gt;=Standards_Active!$R32,Standards_Active!$V32,CR68)),CR68)</f>
        <v>1</v>
      </c>
      <c r="BI68" s="622">
        <f>IF(ISNUMBER(Standards_Active!$T32),IF(AND(BI$44&gt;=Standards_Active!$Q32,BI$44&lt;Standards_Active!$R32),BH68-Standards_Active!$U32*INDEX($AQ$58:$BP$58,1,MATCH((Standards_Active!$Q32-1),$AQ$44:$BP$44,FALSE)),IF(BI$44&gt;=Standards_Active!$R32,Standards_Active!$V32,CS68)),CS68)</f>
        <v>1</v>
      </c>
      <c r="BJ68" s="622">
        <f>IF(ISNUMBER(Standards_Active!$T32),IF(AND(BJ$44&gt;=Standards_Active!$Q32,BJ$44&lt;Standards_Active!$R32),BI68-Standards_Active!$U32*INDEX($AQ$58:$BP$58,1,MATCH((Standards_Active!$Q32-1),$AQ$44:$BP$44,FALSE)),IF(BJ$44&gt;=Standards_Active!$R32,Standards_Active!$V32,CT68)),CT68)</f>
        <v>1</v>
      </c>
      <c r="BK68" s="622">
        <f>IF(ISNUMBER(Standards_Active!$T32),IF(AND(BK$44&gt;=Standards_Active!$Q32,BK$44&lt;Standards_Active!$R32),BJ68-Standards_Active!$U32*INDEX($AQ$58:$BP$58,1,MATCH((Standards_Active!$Q32-1),$AQ$44:$BP$44,FALSE)),IF(BK$44&gt;=Standards_Active!$R32,Standards_Active!$V32,CU68)),CU68)</f>
        <v>1</v>
      </c>
      <c r="BL68" s="622">
        <f>IF(ISNUMBER(Standards_Active!$T32),IF(AND(BL$44&gt;=Standards_Active!$Q32,BL$44&lt;Standards_Active!$R32),BK68-Standards_Active!$U32*INDEX($AQ$58:$BP$58,1,MATCH((Standards_Active!$Q32-1),$AQ$44:$BP$44,FALSE)),IF(BL$44&gt;=Standards_Active!$R32,Standards_Active!$V32,CV68)),CV68)</f>
        <v>1</v>
      </c>
      <c r="BM68" s="622">
        <f>IF(ISNUMBER(Standards_Active!$T32),IF(AND(BM$44&gt;=Standards_Active!$Q32,BM$44&lt;Standards_Active!$R32),BL68-Standards_Active!$U32*INDEX($AQ$58:$BP$58,1,MATCH((Standards_Active!$Q32-1),$AQ$44:$BP$44,FALSE)),IF(BM$44&gt;=Standards_Active!$R32,Standards_Active!$V32,CW68)),CW68)</f>
        <v>1</v>
      </c>
      <c r="BN68" s="622">
        <f>IF(ISNUMBER(Standards_Active!$T32),IF(AND(BN$44&gt;=Standards_Active!$Q32,BN$44&lt;Standards_Active!$R32),BM68-Standards_Active!$U32*INDEX($AQ$58:$BP$58,1,MATCH((Standards_Active!$Q32-1),$AQ$44:$BP$44,FALSE)),IF(BN$44&gt;=Standards_Active!$R32,Standards_Active!$V32,CX68)),CX68)</f>
        <v>1</v>
      </c>
      <c r="BO68" s="622">
        <f>IF(ISNUMBER(Standards_Active!$T32),IF(AND(BO$44&gt;=Standards_Active!$Q32,BO$44&lt;Standards_Active!$R32),BN68-Standards_Active!$U32*INDEX($AQ$58:$BP$58,1,MATCH((Standards_Active!$Q32-1),$AQ$44:$BP$44,FALSE)),IF(BO$44&gt;=Standards_Active!$R32,Standards_Active!$V32,CY68)),CY68)</f>
        <v>1</v>
      </c>
      <c r="BP68" s="622">
        <f>IF(ISNUMBER(Standards_Active!$T32),IF(AND(BP$44&gt;=Standards_Active!$Q32,BP$44&lt;Standards_Active!$R32),BO68-Standards_Active!$U32*INDEX($AQ$58:$BP$58,1,MATCH((Standards_Active!$Q32-1),$AQ$44:$BP$44,FALSE)),IF(BP$44&gt;=Standards_Active!$R32,Standards_Active!$V32,CZ68)),CZ68)</f>
        <v>1</v>
      </c>
      <c r="BQ68" s="380"/>
      <c r="BR68"/>
      <c r="BS68"/>
      <c r="BT68"/>
      <c r="BU68"/>
      <c r="BV68"/>
      <c r="BW68"/>
      <c r="BX68"/>
      <c r="BY68"/>
      <c r="BZ68"/>
      <c r="CA68" s="372">
        <v>1</v>
      </c>
      <c r="CB68" s="372">
        <v>1</v>
      </c>
      <c r="CC68" s="372">
        <v>1</v>
      </c>
      <c r="CD68" s="372">
        <v>1</v>
      </c>
      <c r="CE68" s="372">
        <v>1</v>
      </c>
      <c r="CF68" s="372">
        <v>1</v>
      </c>
      <c r="CG68" s="372">
        <v>1</v>
      </c>
      <c r="CH68" s="372">
        <v>1</v>
      </c>
      <c r="CI68" s="372">
        <v>1</v>
      </c>
      <c r="CJ68" s="372">
        <v>1</v>
      </c>
      <c r="CK68" s="372">
        <v>1</v>
      </c>
      <c r="CL68" s="372">
        <v>1</v>
      </c>
      <c r="CM68" s="372">
        <v>1</v>
      </c>
      <c r="CN68" s="372">
        <v>1</v>
      </c>
      <c r="CO68" s="372">
        <v>1</v>
      </c>
      <c r="CP68" s="372">
        <v>1</v>
      </c>
      <c r="CQ68" s="372">
        <v>1</v>
      </c>
      <c r="CR68" s="372">
        <v>1</v>
      </c>
      <c r="CS68" s="372">
        <v>1</v>
      </c>
      <c r="CT68" s="372">
        <v>1</v>
      </c>
      <c r="CU68" s="372">
        <v>1</v>
      </c>
      <c r="CV68" s="372">
        <v>1</v>
      </c>
      <c r="CW68" s="372">
        <v>1</v>
      </c>
      <c r="CX68" s="372">
        <v>1</v>
      </c>
      <c r="CY68" s="372">
        <v>1</v>
      </c>
      <c r="CZ68" s="372">
        <v>1</v>
      </c>
    </row>
    <row r="69" spans="1:104" s="376" customFormat="1" x14ac:dyDescent="0.25">
      <c r="D69" s="380"/>
      <c r="E69" s="380"/>
      <c r="F69" s="380"/>
      <c r="G69" s="380"/>
      <c r="H69" s="380"/>
      <c r="I69" s="380"/>
      <c r="J69" s="380"/>
      <c r="K69" s="380"/>
      <c r="L69" s="380"/>
      <c r="M69" s="380"/>
      <c r="N69" s="380"/>
      <c r="O69" s="380"/>
      <c r="P69" s="380"/>
      <c r="Q69" s="380"/>
      <c r="R69" s="380"/>
      <c r="S69" s="380"/>
      <c r="T69" s="380"/>
      <c r="U69" s="380"/>
      <c r="V69" s="380"/>
      <c r="W69" s="380"/>
      <c r="X69" s="380"/>
      <c r="Y69" s="380"/>
      <c r="Z69" s="380"/>
      <c r="AA69" s="380"/>
      <c r="AB69" s="380"/>
      <c r="AC69" s="380"/>
      <c r="AD69" s="380"/>
      <c r="AE69" s="380"/>
      <c r="AF69" s="380"/>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s="380"/>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row>
    <row r="70" spans="1:104" s="376" customFormat="1" ht="12.75" x14ac:dyDescent="0.2">
      <c r="A70" s="401" t="s">
        <v>47</v>
      </c>
      <c r="B70" s="389"/>
      <c r="C70" s="389"/>
      <c r="D70" s="389"/>
      <c r="E70" s="389"/>
      <c r="F70" s="389"/>
      <c r="G70" s="389"/>
      <c r="H70" s="389"/>
      <c r="I70" s="389"/>
      <c r="J70" s="389"/>
      <c r="K70" s="389"/>
      <c r="L70" s="389"/>
      <c r="M70" s="389"/>
      <c r="N70" s="389"/>
      <c r="O70" s="389"/>
      <c r="P70" s="389"/>
      <c r="Q70" s="389"/>
      <c r="R70" s="389"/>
      <c r="S70" s="389"/>
      <c r="T70" s="389"/>
      <c r="U70" s="389"/>
      <c r="V70" s="389"/>
      <c r="W70" s="389"/>
      <c r="X70" s="389"/>
      <c r="Y70" s="389"/>
      <c r="Z70" s="389"/>
      <c r="AA70" s="389"/>
      <c r="AB70" s="389"/>
      <c r="AC70" s="389"/>
      <c r="AD70" s="389"/>
      <c r="AE70" s="389"/>
      <c r="AF70" s="389"/>
      <c r="AH70" s="402"/>
      <c r="AI70" s="402"/>
      <c r="AJ70" s="402"/>
      <c r="AK70" s="402"/>
      <c r="AL70" s="402"/>
      <c r="AM70" s="402"/>
      <c r="AN70" s="402"/>
      <c r="AO70" s="402"/>
      <c r="AP70" s="402"/>
      <c r="AQ70" s="402"/>
      <c r="AR70" s="402"/>
      <c r="AS70" s="402"/>
      <c r="AT70" s="402"/>
      <c r="AU70" s="402"/>
      <c r="AV70" s="402"/>
      <c r="AW70" s="402"/>
      <c r="AX70" s="402"/>
      <c r="AY70" s="402"/>
      <c r="AZ70" s="402"/>
      <c r="BA70" s="402"/>
      <c r="BB70" s="402"/>
      <c r="BC70" s="402"/>
      <c r="BD70" s="402"/>
      <c r="BE70" s="402"/>
      <c r="BF70" s="402"/>
      <c r="BG70" s="402"/>
      <c r="BH70" s="402"/>
      <c r="BI70" s="402"/>
      <c r="BJ70" s="402"/>
      <c r="BK70" s="402"/>
      <c r="BL70" s="402"/>
      <c r="BM70" s="402"/>
      <c r="BN70" s="402"/>
      <c r="BO70" s="402"/>
      <c r="BP70" s="402"/>
      <c r="BQ70" s="380"/>
      <c r="BR70" s="402"/>
      <c r="BS70" s="402"/>
      <c r="BT70" s="402"/>
      <c r="BU70" s="402"/>
      <c r="BV70" s="402"/>
      <c r="BW70" s="402"/>
      <c r="BX70" s="402"/>
      <c r="BY70" s="402"/>
      <c r="BZ70" s="402"/>
      <c r="CA70" s="402"/>
      <c r="CB70" s="402"/>
      <c r="CC70" s="402"/>
      <c r="CD70" s="402"/>
      <c r="CE70" s="402"/>
      <c r="CF70" s="402"/>
      <c r="CG70" s="402"/>
      <c r="CH70" s="402"/>
      <c r="CI70" s="402"/>
      <c r="CJ70" s="402"/>
      <c r="CK70" s="402"/>
      <c r="CL70" s="402"/>
      <c r="CM70" s="402"/>
      <c r="CN70" s="402"/>
      <c r="CO70" s="402"/>
      <c r="CP70" s="402"/>
      <c r="CQ70" s="402"/>
      <c r="CR70" s="402"/>
      <c r="CS70" s="402"/>
      <c r="CT70" s="402"/>
      <c r="CU70" s="402"/>
      <c r="CV70" s="402"/>
      <c r="CW70" s="402"/>
      <c r="CX70" s="402"/>
      <c r="CY70" s="402"/>
      <c r="CZ70" s="402"/>
    </row>
    <row r="71" spans="1:104" s="376" customFormat="1" x14ac:dyDescent="0.25">
      <c r="B71" s="376" t="s">
        <v>48</v>
      </c>
      <c r="D71" s="380"/>
      <c r="E71" s="380"/>
      <c r="F71" s="380"/>
      <c r="G71" s="370">
        <f>IF(Standards_Active!$S35="yes",AQ71,CA71)</f>
        <v>0</v>
      </c>
      <c r="H71" s="370">
        <f>IF(Standards_Active!$S35="yes",AR71,CB71)</f>
        <v>0</v>
      </c>
      <c r="I71" s="370">
        <f>IF(Standards_Active!$S35="yes",AS71,CC71)</f>
        <v>0</v>
      </c>
      <c r="J71" s="370">
        <f>IF(Standards_Active!$S35="yes",AT71,CD71)</f>
        <v>0</v>
      </c>
      <c r="K71" s="370">
        <f>IF(Standards_Active!$S35="yes",AU71,CE71)</f>
        <v>0</v>
      </c>
      <c r="L71" s="370">
        <f>IF(Standards_Active!$S35="yes",AV71,CF71)</f>
        <v>0</v>
      </c>
      <c r="M71" s="370">
        <f>IF(Standards_Active!$S35="yes",AW71,CG71)</f>
        <v>0</v>
      </c>
      <c r="N71" s="370">
        <f>IF(Standards_Active!$S35="yes",AX71,CH71)</f>
        <v>0</v>
      </c>
      <c r="O71" s="370">
        <f>IF(Standards_Active!$S35="yes",AY71,CI71)</f>
        <v>0</v>
      </c>
      <c r="P71" s="370">
        <f>IF(Standards_Active!$S35="yes",AZ71,CJ71)</f>
        <v>0</v>
      </c>
      <c r="Q71" s="370">
        <f>IF(Standards_Active!$S35="yes",BA71,CK71)</f>
        <v>0</v>
      </c>
      <c r="R71" s="370">
        <f>IF(Standards_Active!$S35="yes",BB71,CL71)</f>
        <v>0</v>
      </c>
      <c r="S71" s="370">
        <f>IF(Standards_Active!$S35="yes",BC71,CM71)</f>
        <v>0</v>
      </c>
      <c r="T71" s="370">
        <f>IF(Standards_Active!$S35="yes",BD71,CN71)</f>
        <v>0</v>
      </c>
      <c r="U71" s="370">
        <f>IF(Standards_Active!$S35="yes",BE71,CO71)</f>
        <v>0</v>
      </c>
      <c r="V71" s="370">
        <f>IF(Standards_Active!$S35="yes",BF71,CP71)</f>
        <v>0</v>
      </c>
      <c r="W71" s="370">
        <f>IF(Standards_Active!$S35="yes",BG71,CQ71)</f>
        <v>0</v>
      </c>
      <c r="X71" s="370">
        <f>IF(Standards_Active!$S35="yes",BH71,CR71)</f>
        <v>0</v>
      </c>
      <c r="Y71" s="370">
        <f>IF(Standards_Active!$S35="yes",BI71,CS71)</f>
        <v>0</v>
      </c>
      <c r="Z71" s="370">
        <f>IF(Standards_Active!$S35="yes",BJ71,CT71)</f>
        <v>0</v>
      </c>
      <c r="AA71" s="370">
        <f>IF(Standards_Active!$S35="yes",BK71,CU71)</f>
        <v>0</v>
      </c>
      <c r="AB71" s="370">
        <f>IF(Standards_Active!$S35="yes",BL71,CV71)</f>
        <v>0</v>
      </c>
      <c r="AC71" s="370">
        <f>IF(Standards_Active!$S35="yes",BM71,CW71)</f>
        <v>0</v>
      </c>
      <c r="AD71" s="370">
        <f>IF(Standards_Active!$S35="yes",BN71,CX71)</f>
        <v>0</v>
      </c>
      <c r="AE71" s="370">
        <f>IF(Standards_Active!$S35="yes",BO71,CY71)</f>
        <v>0</v>
      </c>
      <c r="AF71" s="370">
        <f>IF(Standards_Active!$S35="yes",BP71,CZ71)</f>
        <v>0</v>
      </c>
      <c r="AH71"/>
      <c r="AI71"/>
      <c r="AJ71"/>
      <c r="AK71"/>
      <c r="AL71"/>
      <c r="AM71"/>
      <c r="AN71"/>
      <c r="AO71"/>
      <c r="AP71"/>
      <c r="AQ71" s="622">
        <f>IF(ISNUMBER(Standards_Active!$T35),IF(AND(AQ$44&gt;=Standards_Active!$Q35,AQ$44&lt;Standards_Active!$R35),AP71-Standards_Active!$U35*INDEX($AQ$58:$BP$58,1,MATCH((Standards_Active!$Q35-1),$AQ$44:$BP$44,FALSE)),IF(AQ$44&gt;=Standards_Active!$R35,Standards_Active!$V35,CA71)),CA71)</f>
        <v>0</v>
      </c>
      <c r="AR71" s="622">
        <f>IF(ISNUMBER(Standards_Active!$T35),IF(AND(AR$44&gt;=Standards_Active!$Q35,AR$44&lt;Standards_Active!$R35),AQ71-Standards_Active!$U35*INDEX($AQ$58:$BP$58,1,MATCH((Standards_Active!$Q35-1),$AQ$44:$BP$44,FALSE)),IF(AR$44&gt;=Standards_Active!$R35,Standards_Active!$V35,CB71)),CB71)</f>
        <v>0</v>
      </c>
      <c r="AS71" s="622">
        <f>IF(ISNUMBER(Standards_Active!$T35),IF(AND(AS$44&gt;=Standards_Active!$Q35,AS$44&lt;Standards_Active!$R35),AR71-Standards_Active!$U35*INDEX($AQ$58:$BP$58,1,MATCH((Standards_Active!$Q35-1),$AQ$44:$BP$44,FALSE)),IF(AS$44&gt;=Standards_Active!$R35,Standards_Active!$V35,CC71)),CC71)</f>
        <v>0</v>
      </c>
      <c r="AT71" s="622">
        <f>IF(ISNUMBER(Standards_Active!$T35),IF(AND(AT$44&gt;=Standards_Active!$Q35,AT$44&lt;Standards_Active!$R35),AS71-Standards_Active!$U35*INDEX($AQ$58:$BP$58,1,MATCH((Standards_Active!$Q35-1),$AQ$44:$BP$44,FALSE)),IF(AT$44&gt;=Standards_Active!$R35,Standards_Active!$V35,CD71)),CD71)</f>
        <v>0</v>
      </c>
      <c r="AU71" s="622">
        <f>IF(ISNUMBER(Standards_Active!$T35),IF(AND(AU$44&gt;=Standards_Active!$Q35,AU$44&lt;Standards_Active!$R35),AT71-Standards_Active!$U35*INDEX($AQ$58:$BP$58,1,MATCH((Standards_Active!$Q35-1),$AQ$44:$BP$44,FALSE)),IF(AU$44&gt;=Standards_Active!$R35,Standards_Active!$V35,CE71)),CE71)</f>
        <v>0</v>
      </c>
      <c r="AV71" s="622">
        <f>IF(ISNUMBER(Standards_Active!$T35),IF(AND(AV$44&gt;=Standards_Active!$Q35,AV$44&lt;Standards_Active!$R35),AU71-Standards_Active!$U35*INDEX($AQ$58:$BP$58,1,MATCH((Standards_Active!$Q35-1),$AQ$44:$BP$44,FALSE)),IF(AV$44&gt;=Standards_Active!$R35,Standards_Active!$V35,CF71)),CF71)</f>
        <v>0</v>
      </c>
      <c r="AW71" s="622">
        <f>IF(ISNUMBER(Standards_Active!$T35),IF(AND(AW$44&gt;=Standards_Active!$Q35,AW$44&lt;Standards_Active!$R35),AV71-Standards_Active!$U35*INDEX($AQ$58:$BP$58,1,MATCH((Standards_Active!$Q35-1),$AQ$44:$BP$44,FALSE)),IF(AW$44&gt;=Standards_Active!$R35,Standards_Active!$V35,CG71)),CG71)</f>
        <v>0</v>
      </c>
      <c r="AX71" s="622">
        <f>IF(ISNUMBER(Standards_Active!$T35),IF(AND(AX$44&gt;=Standards_Active!$Q35,AX$44&lt;Standards_Active!$R35),AW71-Standards_Active!$U35*INDEX($AQ$58:$BP$58,1,MATCH((Standards_Active!$Q35-1),$AQ$44:$BP$44,FALSE)),IF(AX$44&gt;=Standards_Active!$R35,Standards_Active!$V35,CH71)),CH71)</f>
        <v>0</v>
      </c>
      <c r="AY71" s="622">
        <f>IF(ISNUMBER(Standards_Active!$T35),IF(AND(AY$44&gt;=Standards_Active!$Q35,AY$44&lt;Standards_Active!$R35),AX71-Standards_Active!$U35*INDEX($AQ$58:$BP$58,1,MATCH((Standards_Active!$Q35-1),$AQ$44:$BP$44,FALSE)),IF(AY$44&gt;=Standards_Active!$R35,Standards_Active!$V35,CI71)),CI71)</f>
        <v>0</v>
      </c>
      <c r="AZ71" s="622">
        <f>IF(ISNUMBER(Standards_Active!$T35),IF(AND(AZ$44&gt;=Standards_Active!$Q35,AZ$44&lt;Standards_Active!$R35),AY71-Standards_Active!$U35*INDEX($AQ$58:$BP$58,1,MATCH((Standards_Active!$Q35-1),$AQ$44:$BP$44,FALSE)),IF(AZ$44&gt;=Standards_Active!$R35,Standards_Active!$V35,CJ71)),CJ71)</f>
        <v>0</v>
      </c>
      <c r="BA71" s="622">
        <f>IF(ISNUMBER(Standards_Active!$T35),IF(AND(BA$44&gt;=Standards_Active!$Q35,BA$44&lt;Standards_Active!$R35),AZ71-Standards_Active!$U35*INDEX($AQ$58:$BP$58,1,MATCH((Standards_Active!$Q35-1),$AQ$44:$BP$44,FALSE)),IF(BA$44&gt;=Standards_Active!$R35,Standards_Active!$V35,CK71)),CK71)</f>
        <v>0</v>
      </c>
      <c r="BB71" s="622">
        <f>IF(ISNUMBER(Standards_Active!$T35),IF(AND(BB$44&gt;=Standards_Active!$Q35,BB$44&lt;Standards_Active!$R35),BA71-Standards_Active!$U35*INDEX($AQ$58:$BP$58,1,MATCH((Standards_Active!$Q35-1),$AQ$44:$BP$44,FALSE)),IF(BB$44&gt;=Standards_Active!$R35,Standards_Active!$V35,CL71)),CL71)</f>
        <v>0</v>
      </c>
      <c r="BC71" s="622">
        <f>IF(ISNUMBER(Standards_Active!$T35),IF(AND(BC$44&gt;=Standards_Active!$Q35,BC$44&lt;Standards_Active!$R35),BB71-Standards_Active!$U35*INDEX($AQ$58:$BP$58,1,MATCH((Standards_Active!$Q35-1),$AQ$44:$BP$44,FALSE)),IF(BC$44&gt;=Standards_Active!$R35,Standards_Active!$V35,CM71)),CM71)</f>
        <v>0</v>
      </c>
      <c r="BD71" s="622">
        <f>IF(ISNUMBER(Standards_Active!$T35),IF(AND(BD$44&gt;=Standards_Active!$Q35,BD$44&lt;Standards_Active!$R35),BC71-Standards_Active!$U35*INDEX($AQ$58:$BP$58,1,MATCH((Standards_Active!$Q35-1),$AQ$44:$BP$44,FALSE)),IF(BD$44&gt;=Standards_Active!$R35,Standards_Active!$V35,CN71)),CN71)</f>
        <v>0</v>
      </c>
      <c r="BE71" s="622">
        <f>IF(ISNUMBER(Standards_Active!$T35),IF(AND(BE$44&gt;=Standards_Active!$Q35,BE$44&lt;Standards_Active!$R35),BD71-Standards_Active!$U35*INDEX($AQ$58:$BP$58,1,MATCH((Standards_Active!$Q35-1),$AQ$44:$BP$44,FALSE)),IF(BE$44&gt;=Standards_Active!$R35,Standards_Active!$V35,CO71)),CO71)</f>
        <v>0</v>
      </c>
      <c r="BF71" s="622">
        <f>IF(ISNUMBER(Standards_Active!$T35),IF(AND(BF$44&gt;=Standards_Active!$Q35,BF$44&lt;Standards_Active!$R35),BE71-Standards_Active!$U35*INDEX($AQ$58:$BP$58,1,MATCH((Standards_Active!$Q35-1),$AQ$44:$BP$44,FALSE)),IF(BF$44&gt;=Standards_Active!$R35,Standards_Active!$V35,CP71)),CP71)</f>
        <v>0</v>
      </c>
      <c r="BG71" s="622">
        <f>IF(ISNUMBER(Standards_Active!$T35),IF(AND(BG$44&gt;=Standards_Active!$Q35,BG$44&lt;Standards_Active!$R35),BF71-Standards_Active!$U35*INDEX($AQ$58:$BP$58,1,MATCH((Standards_Active!$Q35-1),$AQ$44:$BP$44,FALSE)),IF(BG$44&gt;=Standards_Active!$R35,Standards_Active!$V35,CQ71)),CQ71)</f>
        <v>0</v>
      </c>
      <c r="BH71" s="622">
        <f>IF(ISNUMBER(Standards_Active!$T35),IF(AND(BH$44&gt;=Standards_Active!$Q35,BH$44&lt;Standards_Active!$R35),BG71-Standards_Active!$U35*INDEX($AQ$58:$BP$58,1,MATCH((Standards_Active!$Q35-1),$AQ$44:$BP$44,FALSE)),IF(BH$44&gt;=Standards_Active!$R35,Standards_Active!$V35,CR71)),CR71)</f>
        <v>0</v>
      </c>
      <c r="BI71" s="622">
        <f>IF(ISNUMBER(Standards_Active!$T35),IF(AND(BI$44&gt;=Standards_Active!$Q35,BI$44&lt;Standards_Active!$R35),BH71-Standards_Active!$U35*INDEX($AQ$58:$BP$58,1,MATCH((Standards_Active!$Q35-1),$AQ$44:$BP$44,FALSE)),IF(BI$44&gt;=Standards_Active!$R35,Standards_Active!$V35,CS71)),CS71)</f>
        <v>0</v>
      </c>
      <c r="BJ71" s="622">
        <f>IF(ISNUMBER(Standards_Active!$T35),IF(AND(BJ$44&gt;=Standards_Active!$Q35,BJ$44&lt;Standards_Active!$R35),BI71-Standards_Active!$U35*INDEX($AQ$58:$BP$58,1,MATCH((Standards_Active!$Q35-1),$AQ$44:$BP$44,FALSE)),IF(BJ$44&gt;=Standards_Active!$R35,Standards_Active!$V35,CT71)),CT71)</f>
        <v>0</v>
      </c>
      <c r="BK71" s="622">
        <f>IF(ISNUMBER(Standards_Active!$T35),IF(AND(BK$44&gt;=Standards_Active!$Q35,BK$44&lt;Standards_Active!$R35),BJ71-Standards_Active!$U35*INDEX($AQ$58:$BP$58,1,MATCH((Standards_Active!$Q35-1),$AQ$44:$BP$44,FALSE)),IF(BK$44&gt;=Standards_Active!$R35,Standards_Active!$V35,CU71)),CU71)</f>
        <v>0</v>
      </c>
      <c r="BL71" s="622">
        <f>IF(ISNUMBER(Standards_Active!$T35),IF(AND(BL$44&gt;=Standards_Active!$Q35,BL$44&lt;Standards_Active!$R35),BK71-Standards_Active!$U35*INDEX($AQ$58:$BP$58,1,MATCH((Standards_Active!$Q35-1),$AQ$44:$BP$44,FALSE)),IF(BL$44&gt;=Standards_Active!$R35,Standards_Active!$V35,CV71)),CV71)</f>
        <v>0</v>
      </c>
      <c r="BM71" s="622">
        <f>IF(ISNUMBER(Standards_Active!$T35),IF(AND(BM$44&gt;=Standards_Active!$Q35,BM$44&lt;Standards_Active!$R35),BL71-Standards_Active!$U35*INDEX($AQ$58:$BP$58,1,MATCH((Standards_Active!$Q35-1),$AQ$44:$BP$44,FALSE)),IF(BM$44&gt;=Standards_Active!$R35,Standards_Active!$V35,CW71)),CW71)</f>
        <v>0</v>
      </c>
      <c r="BN71" s="622">
        <f>IF(ISNUMBER(Standards_Active!$T35),IF(AND(BN$44&gt;=Standards_Active!$Q35,BN$44&lt;Standards_Active!$R35),BM71-Standards_Active!$U35*INDEX($AQ$58:$BP$58,1,MATCH((Standards_Active!$Q35-1),$AQ$44:$BP$44,FALSE)),IF(BN$44&gt;=Standards_Active!$R35,Standards_Active!$V35,CX71)),CX71)</f>
        <v>0</v>
      </c>
      <c r="BO71" s="622">
        <f>IF(ISNUMBER(Standards_Active!$T35),IF(AND(BO$44&gt;=Standards_Active!$Q35,BO$44&lt;Standards_Active!$R35),BN71-Standards_Active!$U35*INDEX($AQ$58:$BP$58,1,MATCH((Standards_Active!$Q35-1),$AQ$44:$BP$44,FALSE)),IF(BO$44&gt;=Standards_Active!$R35,Standards_Active!$V35,CY71)),CY71)</f>
        <v>0</v>
      </c>
      <c r="BP71" s="622">
        <f>IF(ISNUMBER(Standards_Active!$T35),IF(AND(BP$44&gt;=Standards_Active!$Q35,BP$44&lt;Standards_Active!$R35),BO71-Standards_Active!$U35*INDEX($AQ$58:$BP$58,1,MATCH((Standards_Active!$Q35-1),$AQ$44:$BP$44,FALSE)),IF(BP$44&gt;=Standards_Active!$R35,Standards_Active!$V35,CZ71)),CZ71)</f>
        <v>0</v>
      </c>
      <c r="BQ71" s="380"/>
      <c r="BR71"/>
      <c r="BS71"/>
      <c r="BT71"/>
      <c r="BU71"/>
      <c r="BV71"/>
      <c r="BW71"/>
      <c r="BX71"/>
      <c r="BY71"/>
      <c r="BZ71"/>
      <c r="CA71" s="372">
        <v>0</v>
      </c>
      <c r="CB71" s="372">
        <v>0</v>
      </c>
      <c r="CC71" s="372">
        <v>0</v>
      </c>
      <c r="CD71" s="372">
        <v>0</v>
      </c>
      <c r="CE71" s="372">
        <v>0</v>
      </c>
      <c r="CF71" s="372">
        <v>0</v>
      </c>
      <c r="CG71" s="372">
        <v>0</v>
      </c>
      <c r="CH71" s="372">
        <v>0</v>
      </c>
      <c r="CI71" s="372">
        <v>0</v>
      </c>
      <c r="CJ71" s="372">
        <v>0</v>
      </c>
      <c r="CK71" s="372">
        <v>0</v>
      </c>
      <c r="CL71" s="372">
        <v>0</v>
      </c>
      <c r="CM71" s="372">
        <v>0</v>
      </c>
      <c r="CN71" s="372">
        <v>0</v>
      </c>
      <c r="CO71" s="372">
        <v>0</v>
      </c>
      <c r="CP71" s="372">
        <v>0</v>
      </c>
      <c r="CQ71" s="372">
        <v>0</v>
      </c>
      <c r="CR71" s="372">
        <v>0</v>
      </c>
      <c r="CS71" s="372">
        <v>0</v>
      </c>
      <c r="CT71" s="372">
        <v>0</v>
      </c>
      <c r="CU71" s="372">
        <v>0</v>
      </c>
      <c r="CV71" s="372">
        <v>0</v>
      </c>
      <c r="CW71" s="372">
        <v>0</v>
      </c>
      <c r="CX71" s="372">
        <v>0</v>
      </c>
      <c r="CY71" s="372">
        <v>0</v>
      </c>
      <c r="CZ71" s="372">
        <v>0</v>
      </c>
    </row>
    <row r="72" spans="1:104" s="376" customFormat="1" x14ac:dyDescent="0.25">
      <c r="B72" s="388" t="s">
        <v>50</v>
      </c>
      <c r="D72" s="380"/>
      <c r="E72" s="380"/>
      <c r="F72" s="380"/>
      <c r="G72" s="370">
        <f>IF(Standards_Active!$S36="yes",AQ72,CA72)</f>
        <v>1</v>
      </c>
      <c r="H72" s="370">
        <f>IF(Standards_Active!$S36="yes",AR72,CB72)</f>
        <v>1</v>
      </c>
      <c r="I72" s="370">
        <f>IF(Standards_Active!$S36="yes",AS72,CC72)</f>
        <v>1</v>
      </c>
      <c r="J72" s="370">
        <f>IF(Standards_Active!$S36="yes",AT72,CD72)</f>
        <v>1</v>
      </c>
      <c r="K72" s="370">
        <f>IF(Standards_Active!$S36="yes",AU72,CE72)</f>
        <v>1</v>
      </c>
      <c r="L72" s="370">
        <f>IF(Standards_Active!$S36="yes",AV72,CF72)</f>
        <v>1</v>
      </c>
      <c r="M72" s="370">
        <f>IF(Standards_Active!$S36="yes",AW72,CG72)</f>
        <v>1</v>
      </c>
      <c r="N72" s="370">
        <f>IF(Standards_Active!$S36="yes",AX72,CH72)</f>
        <v>1</v>
      </c>
      <c r="O72" s="370">
        <f>IF(Standards_Active!$S36="yes",AY72,CI72)</f>
        <v>1</v>
      </c>
      <c r="P72" s="370">
        <f>IF(Standards_Active!$S36="yes",AZ72,CJ72)</f>
        <v>1</v>
      </c>
      <c r="Q72" s="370">
        <f>IF(Standards_Active!$S36="yes",BA72,CK72)</f>
        <v>1</v>
      </c>
      <c r="R72" s="370">
        <f>IF(Standards_Active!$S36="yes",BB72,CL72)</f>
        <v>1</v>
      </c>
      <c r="S72" s="370">
        <f>IF(Standards_Active!$S36="yes",BC72,CM72)</f>
        <v>1</v>
      </c>
      <c r="T72" s="370">
        <f>IF(Standards_Active!$S36="yes",BD72,CN72)</f>
        <v>1</v>
      </c>
      <c r="U72" s="370">
        <f>IF(Standards_Active!$S36="yes",BE72,CO72)</f>
        <v>1</v>
      </c>
      <c r="V72" s="370">
        <f>IF(Standards_Active!$S36="yes",BF72,CP72)</f>
        <v>1</v>
      </c>
      <c r="W72" s="370">
        <f>IF(Standards_Active!$S36="yes",BG72,CQ72)</f>
        <v>1</v>
      </c>
      <c r="X72" s="370">
        <f>IF(Standards_Active!$S36="yes",BH72,CR72)</f>
        <v>1</v>
      </c>
      <c r="Y72" s="370">
        <f>IF(Standards_Active!$S36="yes",BI72,CS72)</f>
        <v>1</v>
      </c>
      <c r="Z72" s="370">
        <f>IF(Standards_Active!$S36="yes",BJ72,CT72)</f>
        <v>1</v>
      </c>
      <c r="AA72" s="370">
        <f>IF(Standards_Active!$S36="yes",BK72,CU72)</f>
        <v>1</v>
      </c>
      <c r="AB72" s="370">
        <f>IF(Standards_Active!$S36="yes",BL72,CV72)</f>
        <v>1</v>
      </c>
      <c r="AC72" s="370">
        <f>IF(Standards_Active!$S36="yes",BM72,CW72)</f>
        <v>1</v>
      </c>
      <c r="AD72" s="370">
        <f>IF(Standards_Active!$S36="yes",BN72,CX72)</f>
        <v>1</v>
      </c>
      <c r="AE72" s="370">
        <f>IF(Standards_Active!$S36="yes",BO72,CY72)</f>
        <v>1</v>
      </c>
      <c r="AF72" s="370">
        <f>IF(Standards_Active!$S36="yes",BP72,CZ72)</f>
        <v>1</v>
      </c>
      <c r="AH72"/>
      <c r="AI72"/>
      <c r="AJ72"/>
      <c r="AK72"/>
      <c r="AL72"/>
      <c r="AM72"/>
      <c r="AN72"/>
      <c r="AO72"/>
      <c r="AP72"/>
      <c r="AQ72" s="622">
        <f>IF(ISNUMBER(Standards_Active!$T36),IF(AND(AQ$44&gt;=Standards_Active!$Q36,AQ$44&lt;Standards_Active!$R36),AP72-Standards_Active!$U36*INDEX($AQ$58:$BP$58,1,MATCH((Standards_Active!$Q36-1),$AQ$44:$BP$44,FALSE)),IF(AQ$44&gt;=Standards_Active!$R36,Standards_Active!$V36,CA72)),CA72)</f>
        <v>1</v>
      </c>
      <c r="AR72" s="622">
        <f>IF(ISNUMBER(Standards_Active!$T36),IF(AND(AR$44&gt;=Standards_Active!$Q36,AR$44&lt;Standards_Active!$R36),AQ72-Standards_Active!$U36*INDEX($AQ$58:$BP$58,1,MATCH((Standards_Active!$Q36-1),$AQ$44:$BP$44,FALSE)),IF(AR$44&gt;=Standards_Active!$R36,Standards_Active!$V36,CB72)),CB72)</f>
        <v>1</v>
      </c>
      <c r="AS72" s="622">
        <f>IF(ISNUMBER(Standards_Active!$T36),IF(AND(AS$44&gt;=Standards_Active!$Q36,AS$44&lt;Standards_Active!$R36),AR72-Standards_Active!$U36*INDEX($AQ$58:$BP$58,1,MATCH((Standards_Active!$Q36-1),$AQ$44:$BP$44,FALSE)),IF(AS$44&gt;=Standards_Active!$R36,Standards_Active!$V36,CC72)),CC72)</f>
        <v>1</v>
      </c>
      <c r="AT72" s="622">
        <f>IF(ISNUMBER(Standards_Active!$T36),IF(AND(AT$44&gt;=Standards_Active!$Q36,AT$44&lt;Standards_Active!$R36),AS72-Standards_Active!$U36*INDEX($AQ$58:$BP$58,1,MATCH((Standards_Active!$Q36-1),$AQ$44:$BP$44,FALSE)),IF(AT$44&gt;=Standards_Active!$R36,Standards_Active!$V36,CD72)),CD72)</f>
        <v>1</v>
      </c>
      <c r="AU72" s="622">
        <f>IF(ISNUMBER(Standards_Active!$T36),IF(AND(AU$44&gt;=Standards_Active!$Q36,AU$44&lt;Standards_Active!$R36),AT72-Standards_Active!$U36*INDEX($AQ$58:$BP$58,1,MATCH((Standards_Active!$Q36-1),$AQ$44:$BP$44,FALSE)),IF(AU$44&gt;=Standards_Active!$R36,Standards_Active!$V36,CE72)),CE72)</f>
        <v>1</v>
      </c>
      <c r="AV72" s="622">
        <f>IF(ISNUMBER(Standards_Active!$T36),IF(AND(AV$44&gt;=Standards_Active!$Q36,AV$44&lt;Standards_Active!$R36),AU72-Standards_Active!$U36*INDEX($AQ$58:$BP$58,1,MATCH((Standards_Active!$Q36-1),$AQ$44:$BP$44,FALSE)),IF(AV$44&gt;=Standards_Active!$R36,Standards_Active!$V36,CF72)),CF72)</f>
        <v>1</v>
      </c>
      <c r="AW72" s="622">
        <f>IF(ISNUMBER(Standards_Active!$T36),IF(AND(AW$44&gt;=Standards_Active!$Q36,AW$44&lt;Standards_Active!$R36),AV72-Standards_Active!$U36*INDEX($AQ$58:$BP$58,1,MATCH((Standards_Active!$Q36-1),$AQ$44:$BP$44,FALSE)),IF(AW$44&gt;=Standards_Active!$R36,Standards_Active!$V36,CG72)),CG72)</f>
        <v>1</v>
      </c>
      <c r="AX72" s="622">
        <f>IF(ISNUMBER(Standards_Active!$T36),IF(AND(AX$44&gt;=Standards_Active!$Q36,AX$44&lt;Standards_Active!$R36),AW72-Standards_Active!$U36*INDEX($AQ$58:$BP$58,1,MATCH((Standards_Active!$Q36-1),$AQ$44:$BP$44,FALSE)),IF(AX$44&gt;=Standards_Active!$R36,Standards_Active!$V36,CH72)),CH72)</f>
        <v>1</v>
      </c>
      <c r="AY72" s="622">
        <f>IF(ISNUMBER(Standards_Active!$T36),IF(AND(AY$44&gt;=Standards_Active!$Q36,AY$44&lt;Standards_Active!$R36),AX72-Standards_Active!$U36*INDEX($AQ$58:$BP$58,1,MATCH((Standards_Active!$Q36-1),$AQ$44:$BP$44,FALSE)),IF(AY$44&gt;=Standards_Active!$R36,Standards_Active!$V36,CI72)),CI72)</f>
        <v>1</v>
      </c>
      <c r="AZ72" s="622">
        <f>IF(ISNUMBER(Standards_Active!$T36),IF(AND(AZ$44&gt;=Standards_Active!$Q36,AZ$44&lt;Standards_Active!$R36),AY72-Standards_Active!$U36*INDEX($AQ$58:$BP$58,1,MATCH((Standards_Active!$Q36-1),$AQ$44:$BP$44,FALSE)),IF(AZ$44&gt;=Standards_Active!$R36,Standards_Active!$V36,CJ72)),CJ72)</f>
        <v>1</v>
      </c>
      <c r="BA72" s="622">
        <f>IF(ISNUMBER(Standards_Active!$T36),IF(AND(BA$44&gt;=Standards_Active!$Q36,BA$44&lt;Standards_Active!$R36),AZ72-Standards_Active!$U36*INDEX($AQ$58:$BP$58,1,MATCH((Standards_Active!$Q36-1),$AQ$44:$BP$44,FALSE)),IF(BA$44&gt;=Standards_Active!$R36,Standards_Active!$V36,CK72)),CK72)</f>
        <v>1</v>
      </c>
      <c r="BB72" s="622">
        <f>IF(ISNUMBER(Standards_Active!$T36),IF(AND(BB$44&gt;=Standards_Active!$Q36,BB$44&lt;Standards_Active!$R36),BA72-Standards_Active!$U36*INDEX($AQ$58:$BP$58,1,MATCH((Standards_Active!$Q36-1),$AQ$44:$BP$44,FALSE)),IF(BB$44&gt;=Standards_Active!$R36,Standards_Active!$V36,CL72)),CL72)</f>
        <v>1</v>
      </c>
      <c r="BC72" s="622">
        <f>IF(ISNUMBER(Standards_Active!$T36),IF(AND(BC$44&gt;=Standards_Active!$Q36,BC$44&lt;Standards_Active!$R36),BB72-Standards_Active!$U36*INDEX($AQ$58:$BP$58,1,MATCH((Standards_Active!$Q36-1),$AQ$44:$BP$44,FALSE)),IF(BC$44&gt;=Standards_Active!$R36,Standards_Active!$V36,CM72)),CM72)</f>
        <v>1</v>
      </c>
      <c r="BD72" s="622">
        <f>IF(ISNUMBER(Standards_Active!$T36),IF(AND(BD$44&gt;=Standards_Active!$Q36,BD$44&lt;Standards_Active!$R36),BC72-Standards_Active!$U36*INDEX($AQ$58:$BP$58,1,MATCH((Standards_Active!$Q36-1),$AQ$44:$BP$44,FALSE)),IF(BD$44&gt;=Standards_Active!$R36,Standards_Active!$V36,CN72)),CN72)</f>
        <v>1</v>
      </c>
      <c r="BE72" s="622">
        <f>IF(ISNUMBER(Standards_Active!$T36),IF(AND(BE$44&gt;=Standards_Active!$Q36,BE$44&lt;Standards_Active!$R36),BD72-Standards_Active!$U36*INDEX($AQ$58:$BP$58,1,MATCH((Standards_Active!$Q36-1),$AQ$44:$BP$44,FALSE)),IF(BE$44&gt;=Standards_Active!$R36,Standards_Active!$V36,CO72)),CO72)</f>
        <v>1</v>
      </c>
      <c r="BF72" s="622">
        <f>IF(ISNUMBER(Standards_Active!$T36),IF(AND(BF$44&gt;=Standards_Active!$Q36,BF$44&lt;Standards_Active!$R36),BE72-Standards_Active!$U36*INDEX($AQ$58:$BP$58,1,MATCH((Standards_Active!$Q36-1),$AQ$44:$BP$44,FALSE)),IF(BF$44&gt;=Standards_Active!$R36,Standards_Active!$V36,CP72)),CP72)</f>
        <v>1</v>
      </c>
      <c r="BG72" s="622">
        <f>IF(ISNUMBER(Standards_Active!$T36),IF(AND(BG$44&gt;=Standards_Active!$Q36,BG$44&lt;Standards_Active!$R36),BF72-Standards_Active!$U36*INDEX($AQ$58:$BP$58,1,MATCH((Standards_Active!$Q36-1),$AQ$44:$BP$44,FALSE)),IF(BG$44&gt;=Standards_Active!$R36,Standards_Active!$V36,CQ72)),CQ72)</f>
        <v>1</v>
      </c>
      <c r="BH72" s="622">
        <f>IF(ISNUMBER(Standards_Active!$T36),IF(AND(BH$44&gt;=Standards_Active!$Q36,BH$44&lt;Standards_Active!$R36),BG72-Standards_Active!$U36*INDEX($AQ$58:$BP$58,1,MATCH((Standards_Active!$Q36-1),$AQ$44:$BP$44,FALSE)),IF(BH$44&gt;=Standards_Active!$R36,Standards_Active!$V36,CR72)),CR72)</f>
        <v>1</v>
      </c>
      <c r="BI72" s="622">
        <f>IF(ISNUMBER(Standards_Active!$T36),IF(AND(BI$44&gt;=Standards_Active!$Q36,BI$44&lt;Standards_Active!$R36),BH72-Standards_Active!$U36*INDEX($AQ$58:$BP$58,1,MATCH((Standards_Active!$Q36-1),$AQ$44:$BP$44,FALSE)),IF(BI$44&gt;=Standards_Active!$R36,Standards_Active!$V36,CS72)),CS72)</f>
        <v>1</v>
      </c>
      <c r="BJ72" s="622">
        <f>IF(ISNUMBER(Standards_Active!$T36),IF(AND(BJ$44&gt;=Standards_Active!$Q36,BJ$44&lt;Standards_Active!$R36),BI72-Standards_Active!$U36*INDEX($AQ$58:$BP$58,1,MATCH((Standards_Active!$Q36-1),$AQ$44:$BP$44,FALSE)),IF(BJ$44&gt;=Standards_Active!$R36,Standards_Active!$V36,CT72)),CT72)</f>
        <v>1</v>
      </c>
      <c r="BK72" s="622">
        <f>IF(ISNUMBER(Standards_Active!$T36),IF(AND(BK$44&gt;=Standards_Active!$Q36,BK$44&lt;Standards_Active!$R36),BJ72-Standards_Active!$U36*INDEX($AQ$58:$BP$58,1,MATCH((Standards_Active!$Q36-1),$AQ$44:$BP$44,FALSE)),IF(BK$44&gt;=Standards_Active!$R36,Standards_Active!$V36,CU72)),CU72)</f>
        <v>1</v>
      </c>
      <c r="BL72" s="622">
        <f>IF(ISNUMBER(Standards_Active!$T36),IF(AND(BL$44&gt;=Standards_Active!$Q36,BL$44&lt;Standards_Active!$R36),BK72-Standards_Active!$U36*INDEX($AQ$58:$BP$58,1,MATCH((Standards_Active!$Q36-1),$AQ$44:$BP$44,FALSE)),IF(BL$44&gt;=Standards_Active!$R36,Standards_Active!$V36,CV72)),CV72)</f>
        <v>1</v>
      </c>
      <c r="BM72" s="622">
        <f>IF(ISNUMBER(Standards_Active!$T36),IF(AND(BM$44&gt;=Standards_Active!$Q36,BM$44&lt;Standards_Active!$R36),BL72-Standards_Active!$U36*INDEX($AQ$58:$BP$58,1,MATCH((Standards_Active!$Q36-1),$AQ$44:$BP$44,FALSE)),IF(BM$44&gt;=Standards_Active!$R36,Standards_Active!$V36,CW72)),CW72)</f>
        <v>1</v>
      </c>
      <c r="BN72" s="622">
        <f>IF(ISNUMBER(Standards_Active!$T36),IF(AND(BN$44&gt;=Standards_Active!$Q36,BN$44&lt;Standards_Active!$R36),BM72-Standards_Active!$U36*INDEX($AQ$58:$BP$58,1,MATCH((Standards_Active!$Q36-1),$AQ$44:$BP$44,FALSE)),IF(BN$44&gt;=Standards_Active!$R36,Standards_Active!$V36,CX72)),CX72)</f>
        <v>1</v>
      </c>
      <c r="BO72" s="622">
        <f>IF(ISNUMBER(Standards_Active!$T36),IF(AND(BO$44&gt;=Standards_Active!$Q36,BO$44&lt;Standards_Active!$R36),BN72-Standards_Active!$U36*INDEX($AQ$58:$BP$58,1,MATCH((Standards_Active!$Q36-1),$AQ$44:$BP$44,FALSE)),IF(BO$44&gt;=Standards_Active!$R36,Standards_Active!$V36,CY72)),CY72)</f>
        <v>1</v>
      </c>
      <c r="BP72" s="622">
        <f>IF(ISNUMBER(Standards_Active!$T36),IF(AND(BP$44&gt;=Standards_Active!$Q36,BP$44&lt;Standards_Active!$R36),BO72-Standards_Active!$U36*INDEX($AQ$58:$BP$58,1,MATCH((Standards_Active!$Q36-1),$AQ$44:$BP$44,FALSE)),IF(BP$44&gt;=Standards_Active!$R36,Standards_Active!$V36,CZ72)),CZ72)</f>
        <v>1</v>
      </c>
      <c r="BQ72" s="380"/>
      <c r="BR72"/>
      <c r="BS72"/>
      <c r="BT72"/>
      <c r="BU72"/>
      <c r="BV72"/>
      <c r="BW72"/>
      <c r="BX72"/>
      <c r="BY72"/>
      <c r="BZ72"/>
      <c r="CA72" s="372">
        <v>1</v>
      </c>
      <c r="CB72" s="372">
        <v>1</v>
      </c>
      <c r="CC72" s="372">
        <v>1</v>
      </c>
      <c r="CD72" s="372">
        <v>1</v>
      </c>
      <c r="CE72" s="372">
        <v>1</v>
      </c>
      <c r="CF72" s="372">
        <v>1</v>
      </c>
      <c r="CG72" s="372">
        <v>1</v>
      </c>
      <c r="CH72" s="372">
        <v>1</v>
      </c>
      <c r="CI72" s="372">
        <v>1</v>
      </c>
      <c r="CJ72" s="372">
        <v>1</v>
      </c>
      <c r="CK72" s="372">
        <v>1</v>
      </c>
      <c r="CL72" s="372">
        <v>1</v>
      </c>
      <c r="CM72" s="372">
        <v>1</v>
      </c>
      <c r="CN72" s="372">
        <v>1</v>
      </c>
      <c r="CO72" s="372">
        <v>1</v>
      </c>
      <c r="CP72" s="372">
        <v>1</v>
      </c>
      <c r="CQ72" s="372">
        <v>1</v>
      </c>
      <c r="CR72" s="372">
        <v>1</v>
      </c>
      <c r="CS72" s="372">
        <v>1</v>
      </c>
      <c r="CT72" s="372">
        <v>1</v>
      </c>
      <c r="CU72" s="372">
        <v>1</v>
      </c>
      <c r="CV72" s="372">
        <v>1</v>
      </c>
      <c r="CW72" s="372">
        <v>1</v>
      </c>
      <c r="CX72" s="372">
        <v>1</v>
      </c>
      <c r="CY72" s="372">
        <v>1</v>
      </c>
      <c r="CZ72" s="372">
        <v>1</v>
      </c>
    </row>
    <row r="73" spans="1:104" s="376" customFormat="1" x14ac:dyDescent="0.25">
      <c r="B73" s="376" t="s">
        <v>51</v>
      </c>
      <c r="D73" s="380"/>
      <c r="E73" s="380"/>
      <c r="F73" s="380"/>
      <c r="G73" s="370">
        <f>IF(Standards_Active!$S37="yes",AQ73,CA73)</f>
        <v>1</v>
      </c>
      <c r="H73" s="370">
        <f>IF(Standards_Active!$S37="yes",AR73,CB73)</f>
        <v>1</v>
      </c>
      <c r="I73" s="370">
        <f>IF(Standards_Active!$S37="yes",AS73,CC73)</f>
        <v>1</v>
      </c>
      <c r="J73" s="370">
        <f>IF(Standards_Active!$S37="yes",AT73,CD73)</f>
        <v>1</v>
      </c>
      <c r="K73" s="370">
        <f>IF(Standards_Active!$S37="yes",AU73,CE73)</f>
        <v>1</v>
      </c>
      <c r="L73" s="370">
        <f>IF(Standards_Active!$S37="yes",AV73,CF73)</f>
        <v>1</v>
      </c>
      <c r="M73" s="370">
        <f>IF(Standards_Active!$S37="yes",AW73,CG73)</f>
        <v>1</v>
      </c>
      <c r="N73" s="370">
        <f>IF(Standards_Active!$S37="yes",AX73,CH73)</f>
        <v>1</v>
      </c>
      <c r="O73" s="370">
        <f>IF(Standards_Active!$S37="yes",AY73,CI73)</f>
        <v>1</v>
      </c>
      <c r="P73" s="370">
        <f>IF(Standards_Active!$S37="yes",AZ73,CJ73)</f>
        <v>1</v>
      </c>
      <c r="Q73" s="370">
        <f>IF(Standards_Active!$S37="yes",BA73,CK73)</f>
        <v>1</v>
      </c>
      <c r="R73" s="370">
        <f>IF(Standards_Active!$S37="yes",BB73,CL73)</f>
        <v>1</v>
      </c>
      <c r="S73" s="370">
        <f>IF(Standards_Active!$S37="yes",BC73,CM73)</f>
        <v>1</v>
      </c>
      <c r="T73" s="370">
        <f>IF(Standards_Active!$S37="yes",BD73,CN73)</f>
        <v>1</v>
      </c>
      <c r="U73" s="370">
        <f>IF(Standards_Active!$S37="yes",BE73,CO73)</f>
        <v>1</v>
      </c>
      <c r="V73" s="370">
        <f>IF(Standards_Active!$S37="yes",BF73,CP73)</f>
        <v>1</v>
      </c>
      <c r="W73" s="370">
        <f>IF(Standards_Active!$S37="yes",BG73,CQ73)</f>
        <v>1</v>
      </c>
      <c r="X73" s="370">
        <f>IF(Standards_Active!$S37="yes",BH73,CR73)</f>
        <v>1</v>
      </c>
      <c r="Y73" s="370">
        <f>IF(Standards_Active!$S37="yes",BI73,CS73)</f>
        <v>1</v>
      </c>
      <c r="Z73" s="370">
        <f>IF(Standards_Active!$S37="yes",BJ73,CT73)</f>
        <v>1</v>
      </c>
      <c r="AA73" s="370">
        <f>IF(Standards_Active!$S37="yes",BK73,CU73)</f>
        <v>1</v>
      </c>
      <c r="AB73" s="370">
        <f>IF(Standards_Active!$S37="yes",BL73,CV73)</f>
        <v>1</v>
      </c>
      <c r="AC73" s="370">
        <f>IF(Standards_Active!$S37="yes",BM73,CW73)</f>
        <v>1</v>
      </c>
      <c r="AD73" s="370">
        <f>IF(Standards_Active!$S37="yes",BN73,CX73)</f>
        <v>1</v>
      </c>
      <c r="AE73" s="370">
        <f>IF(Standards_Active!$S37="yes",BO73,CY73)</f>
        <v>1</v>
      </c>
      <c r="AF73" s="370">
        <f>IF(Standards_Active!$S37="yes",BP73,CZ73)</f>
        <v>1</v>
      </c>
      <c r="AH73"/>
      <c r="AI73"/>
      <c r="AJ73"/>
      <c r="AK73"/>
      <c r="AL73"/>
      <c r="AM73"/>
      <c r="AN73"/>
      <c r="AO73"/>
      <c r="AP73"/>
      <c r="AQ73" s="622">
        <f>IF(ISNUMBER(Standards_Active!$T37),IF(AND(AQ$44&gt;=Standards_Active!$Q37,AQ$44&lt;Standards_Active!$R37),AP73-Standards_Active!$U37*INDEX($AQ$58:$BP$58,1,MATCH((Standards_Active!$Q37-1),$AQ$44:$BP$44,FALSE)),IF(AQ$44&gt;=Standards_Active!$R37,Standards_Active!$V37,CA73)),CA73)</f>
        <v>1</v>
      </c>
      <c r="AR73" s="622">
        <f>IF(ISNUMBER(Standards_Active!$T37),IF(AND(AR$44&gt;=Standards_Active!$Q37,AR$44&lt;Standards_Active!$R37),AQ73-Standards_Active!$U37*INDEX($AQ$58:$BP$58,1,MATCH((Standards_Active!$Q37-1),$AQ$44:$BP$44,FALSE)),IF(AR$44&gt;=Standards_Active!$R37,Standards_Active!$V37,CB73)),CB73)</f>
        <v>1</v>
      </c>
      <c r="AS73" s="622">
        <f>IF(ISNUMBER(Standards_Active!$T37),IF(AND(AS$44&gt;=Standards_Active!$Q37,AS$44&lt;Standards_Active!$R37),AR73-Standards_Active!$U37*INDEX($AQ$58:$BP$58,1,MATCH((Standards_Active!$Q37-1),$AQ$44:$BP$44,FALSE)),IF(AS$44&gt;=Standards_Active!$R37,Standards_Active!$V37,CC73)),CC73)</f>
        <v>1</v>
      </c>
      <c r="AT73" s="622">
        <f>IF(ISNUMBER(Standards_Active!$T37),IF(AND(AT$44&gt;=Standards_Active!$Q37,AT$44&lt;Standards_Active!$R37),AS73-Standards_Active!$U37*INDEX($AQ$58:$BP$58,1,MATCH((Standards_Active!$Q37-1),$AQ$44:$BP$44,FALSE)),IF(AT$44&gt;=Standards_Active!$R37,Standards_Active!$V37,CD73)),CD73)</f>
        <v>1</v>
      </c>
      <c r="AU73" s="622">
        <f>IF(ISNUMBER(Standards_Active!$T37),IF(AND(AU$44&gt;=Standards_Active!$Q37,AU$44&lt;Standards_Active!$R37),AT73-Standards_Active!$U37*INDEX($AQ$58:$BP$58,1,MATCH((Standards_Active!$Q37-1),$AQ$44:$BP$44,FALSE)),IF(AU$44&gt;=Standards_Active!$R37,Standards_Active!$V37,CE73)),CE73)</f>
        <v>1</v>
      </c>
      <c r="AV73" s="622">
        <f>IF(ISNUMBER(Standards_Active!$T37),IF(AND(AV$44&gt;=Standards_Active!$Q37,AV$44&lt;Standards_Active!$R37),AU73-Standards_Active!$U37*INDEX($AQ$58:$BP$58,1,MATCH((Standards_Active!$Q37-1),$AQ$44:$BP$44,FALSE)),IF(AV$44&gt;=Standards_Active!$R37,Standards_Active!$V37,CF73)),CF73)</f>
        <v>1</v>
      </c>
      <c r="AW73" s="622">
        <f>IF(ISNUMBER(Standards_Active!$T37),IF(AND(AW$44&gt;=Standards_Active!$Q37,AW$44&lt;Standards_Active!$R37),AV73-Standards_Active!$U37*INDEX($AQ$58:$BP$58,1,MATCH((Standards_Active!$Q37-1),$AQ$44:$BP$44,FALSE)),IF(AW$44&gt;=Standards_Active!$R37,Standards_Active!$V37,CG73)),CG73)</f>
        <v>1</v>
      </c>
      <c r="AX73" s="622">
        <f>IF(ISNUMBER(Standards_Active!$T37),IF(AND(AX$44&gt;=Standards_Active!$Q37,AX$44&lt;Standards_Active!$R37),AW73-Standards_Active!$U37*INDEX($AQ$58:$BP$58,1,MATCH((Standards_Active!$Q37-1),$AQ$44:$BP$44,FALSE)),IF(AX$44&gt;=Standards_Active!$R37,Standards_Active!$V37,CH73)),CH73)</f>
        <v>1</v>
      </c>
      <c r="AY73" s="622">
        <f>IF(ISNUMBER(Standards_Active!$T37),IF(AND(AY$44&gt;=Standards_Active!$Q37,AY$44&lt;Standards_Active!$R37),AX73-Standards_Active!$U37*INDEX($AQ$58:$BP$58,1,MATCH((Standards_Active!$Q37-1),$AQ$44:$BP$44,FALSE)),IF(AY$44&gt;=Standards_Active!$R37,Standards_Active!$V37,CI73)),CI73)</f>
        <v>1</v>
      </c>
      <c r="AZ73" s="622">
        <f>IF(ISNUMBER(Standards_Active!$T37),IF(AND(AZ$44&gt;=Standards_Active!$Q37,AZ$44&lt;Standards_Active!$R37),AY73-Standards_Active!$U37*INDEX($AQ$58:$BP$58,1,MATCH((Standards_Active!$Q37-1),$AQ$44:$BP$44,FALSE)),IF(AZ$44&gt;=Standards_Active!$R37,Standards_Active!$V37,CJ73)),CJ73)</f>
        <v>1</v>
      </c>
      <c r="BA73" s="622">
        <f>IF(ISNUMBER(Standards_Active!$T37),IF(AND(BA$44&gt;=Standards_Active!$Q37,BA$44&lt;Standards_Active!$R37),AZ73-Standards_Active!$U37*INDEX($AQ$58:$BP$58,1,MATCH((Standards_Active!$Q37-1),$AQ$44:$BP$44,FALSE)),IF(BA$44&gt;=Standards_Active!$R37,Standards_Active!$V37,CK73)),CK73)</f>
        <v>1</v>
      </c>
      <c r="BB73" s="622">
        <f>IF(ISNUMBER(Standards_Active!$T37),IF(AND(BB$44&gt;=Standards_Active!$Q37,BB$44&lt;Standards_Active!$R37),BA73-Standards_Active!$U37*INDEX($AQ$58:$BP$58,1,MATCH((Standards_Active!$Q37-1),$AQ$44:$BP$44,FALSE)),IF(BB$44&gt;=Standards_Active!$R37,Standards_Active!$V37,CL73)),CL73)</f>
        <v>1</v>
      </c>
      <c r="BC73" s="622">
        <f>IF(ISNUMBER(Standards_Active!$T37),IF(AND(BC$44&gt;=Standards_Active!$Q37,BC$44&lt;Standards_Active!$R37),BB73-Standards_Active!$U37*INDEX($AQ$58:$BP$58,1,MATCH((Standards_Active!$Q37-1),$AQ$44:$BP$44,FALSE)),IF(BC$44&gt;=Standards_Active!$R37,Standards_Active!$V37,CM73)),CM73)</f>
        <v>1</v>
      </c>
      <c r="BD73" s="622">
        <f>IF(ISNUMBER(Standards_Active!$T37),IF(AND(BD$44&gt;=Standards_Active!$Q37,BD$44&lt;Standards_Active!$R37),BC73-Standards_Active!$U37*INDEX($AQ$58:$BP$58,1,MATCH((Standards_Active!$Q37-1),$AQ$44:$BP$44,FALSE)),IF(BD$44&gt;=Standards_Active!$R37,Standards_Active!$V37,CN73)),CN73)</f>
        <v>1</v>
      </c>
      <c r="BE73" s="622">
        <f>IF(ISNUMBER(Standards_Active!$T37),IF(AND(BE$44&gt;=Standards_Active!$Q37,BE$44&lt;Standards_Active!$R37),BD73-Standards_Active!$U37*INDEX($AQ$58:$BP$58,1,MATCH((Standards_Active!$Q37-1),$AQ$44:$BP$44,FALSE)),IF(BE$44&gt;=Standards_Active!$R37,Standards_Active!$V37,CO73)),CO73)</f>
        <v>1</v>
      </c>
      <c r="BF73" s="622">
        <f>IF(ISNUMBER(Standards_Active!$T37),IF(AND(BF$44&gt;=Standards_Active!$Q37,BF$44&lt;Standards_Active!$R37),BE73-Standards_Active!$U37*INDEX($AQ$58:$BP$58,1,MATCH((Standards_Active!$Q37-1),$AQ$44:$BP$44,FALSE)),IF(BF$44&gt;=Standards_Active!$R37,Standards_Active!$V37,CP73)),CP73)</f>
        <v>1</v>
      </c>
      <c r="BG73" s="622">
        <f>IF(ISNUMBER(Standards_Active!$T37),IF(AND(BG$44&gt;=Standards_Active!$Q37,BG$44&lt;Standards_Active!$R37),BF73-Standards_Active!$U37*INDEX($AQ$58:$BP$58,1,MATCH((Standards_Active!$Q37-1),$AQ$44:$BP$44,FALSE)),IF(BG$44&gt;=Standards_Active!$R37,Standards_Active!$V37,CQ73)),CQ73)</f>
        <v>1</v>
      </c>
      <c r="BH73" s="622">
        <f>IF(ISNUMBER(Standards_Active!$T37),IF(AND(BH$44&gt;=Standards_Active!$Q37,BH$44&lt;Standards_Active!$R37),BG73-Standards_Active!$U37*INDEX($AQ$58:$BP$58,1,MATCH((Standards_Active!$Q37-1),$AQ$44:$BP$44,FALSE)),IF(BH$44&gt;=Standards_Active!$R37,Standards_Active!$V37,CR73)),CR73)</f>
        <v>1</v>
      </c>
      <c r="BI73" s="622">
        <f>IF(ISNUMBER(Standards_Active!$T37),IF(AND(BI$44&gt;=Standards_Active!$Q37,BI$44&lt;Standards_Active!$R37),BH73-Standards_Active!$U37*INDEX($AQ$58:$BP$58,1,MATCH((Standards_Active!$Q37-1),$AQ$44:$BP$44,FALSE)),IF(BI$44&gt;=Standards_Active!$R37,Standards_Active!$V37,CS73)),CS73)</f>
        <v>1</v>
      </c>
      <c r="BJ73" s="622">
        <f>IF(ISNUMBER(Standards_Active!$T37),IF(AND(BJ$44&gt;=Standards_Active!$Q37,BJ$44&lt;Standards_Active!$R37),BI73-Standards_Active!$U37*INDEX($AQ$58:$BP$58,1,MATCH((Standards_Active!$Q37-1),$AQ$44:$BP$44,FALSE)),IF(BJ$44&gt;=Standards_Active!$R37,Standards_Active!$V37,CT73)),CT73)</f>
        <v>1</v>
      </c>
      <c r="BK73" s="622">
        <f>IF(ISNUMBER(Standards_Active!$T37),IF(AND(BK$44&gt;=Standards_Active!$Q37,BK$44&lt;Standards_Active!$R37),BJ73-Standards_Active!$U37*INDEX($AQ$58:$BP$58,1,MATCH((Standards_Active!$Q37-1),$AQ$44:$BP$44,FALSE)),IF(BK$44&gt;=Standards_Active!$R37,Standards_Active!$V37,CU73)),CU73)</f>
        <v>1</v>
      </c>
      <c r="BL73" s="622">
        <f>IF(ISNUMBER(Standards_Active!$T37),IF(AND(BL$44&gt;=Standards_Active!$Q37,BL$44&lt;Standards_Active!$R37),BK73-Standards_Active!$U37*INDEX($AQ$58:$BP$58,1,MATCH((Standards_Active!$Q37-1),$AQ$44:$BP$44,FALSE)),IF(BL$44&gt;=Standards_Active!$R37,Standards_Active!$V37,CV73)),CV73)</f>
        <v>1</v>
      </c>
      <c r="BM73" s="622">
        <f>IF(ISNUMBER(Standards_Active!$T37),IF(AND(BM$44&gt;=Standards_Active!$Q37,BM$44&lt;Standards_Active!$R37),BL73-Standards_Active!$U37*INDEX($AQ$58:$BP$58,1,MATCH((Standards_Active!$Q37-1),$AQ$44:$BP$44,FALSE)),IF(BM$44&gt;=Standards_Active!$R37,Standards_Active!$V37,CW73)),CW73)</f>
        <v>1</v>
      </c>
      <c r="BN73" s="622">
        <f>IF(ISNUMBER(Standards_Active!$T37),IF(AND(BN$44&gt;=Standards_Active!$Q37,BN$44&lt;Standards_Active!$R37),BM73-Standards_Active!$U37*INDEX($AQ$58:$BP$58,1,MATCH((Standards_Active!$Q37-1),$AQ$44:$BP$44,FALSE)),IF(BN$44&gt;=Standards_Active!$R37,Standards_Active!$V37,CX73)),CX73)</f>
        <v>1</v>
      </c>
      <c r="BO73" s="622">
        <f>IF(ISNUMBER(Standards_Active!$T37),IF(AND(BO$44&gt;=Standards_Active!$Q37,BO$44&lt;Standards_Active!$R37),BN73-Standards_Active!$U37*INDEX($AQ$58:$BP$58,1,MATCH((Standards_Active!$Q37-1),$AQ$44:$BP$44,FALSE)),IF(BO$44&gt;=Standards_Active!$R37,Standards_Active!$V37,CY73)),CY73)</f>
        <v>1</v>
      </c>
      <c r="BP73" s="622">
        <f>IF(ISNUMBER(Standards_Active!$T37),IF(AND(BP$44&gt;=Standards_Active!$Q37,BP$44&lt;Standards_Active!$R37),BO73-Standards_Active!$U37*INDEX($AQ$58:$BP$58,1,MATCH((Standards_Active!$Q37-1),$AQ$44:$BP$44,FALSE)),IF(BP$44&gt;=Standards_Active!$R37,Standards_Active!$V37,CZ73)),CZ73)</f>
        <v>1</v>
      </c>
      <c r="BQ73" s="380"/>
      <c r="BR73"/>
      <c r="BS73"/>
      <c r="BT73"/>
      <c r="BU73"/>
      <c r="BV73"/>
      <c r="BW73"/>
      <c r="BX73"/>
      <c r="BY73"/>
      <c r="BZ73"/>
      <c r="CA73" s="372">
        <v>1</v>
      </c>
      <c r="CB73" s="372">
        <v>1</v>
      </c>
      <c r="CC73" s="372">
        <v>1</v>
      </c>
      <c r="CD73" s="372">
        <v>1</v>
      </c>
      <c r="CE73" s="372">
        <v>1</v>
      </c>
      <c r="CF73" s="372">
        <v>1</v>
      </c>
      <c r="CG73" s="372">
        <v>1</v>
      </c>
      <c r="CH73" s="372">
        <v>1</v>
      </c>
      <c r="CI73" s="372">
        <v>1</v>
      </c>
      <c r="CJ73" s="372">
        <v>1</v>
      </c>
      <c r="CK73" s="372">
        <v>1</v>
      </c>
      <c r="CL73" s="372">
        <v>1</v>
      </c>
      <c r="CM73" s="372">
        <v>1</v>
      </c>
      <c r="CN73" s="372">
        <v>1</v>
      </c>
      <c r="CO73" s="372">
        <v>1</v>
      </c>
      <c r="CP73" s="372">
        <v>1</v>
      </c>
      <c r="CQ73" s="372">
        <v>1</v>
      </c>
      <c r="CR73" s="372">
        <v>1</v>
      </c>
      <c r="CS73" s="372">
        <v>1</v>
      </c>
      <c r="CT73" s="372">
        <v>1</v>
      </c>
      <c r="CU73" s="372">
        <v>1</v>
      </c>
      <c r="CV73" s="372">
        <v>1</v>
      </c>
      <c r="CW73" s="372">
        <v>1</v>
      </c>
      <c r="CX73" s="372">
        <v>1</v>
      </c>
      <c r="CY73" s="372">
        <v>1</v>
      </c>
      <c r="CZ73" s="372">
        <v>1</v>
      </c>
    </row>
    <row r="74" spans="1:104" s="376" customFormat="1" x14ac:dyDescent="0.25">
      <c r="B74" s="376" t="s">
        <v>52</v>
      </c>
      <c r="D74" s="380"/>
      <c r="E74" s="380"/>
      <c r="F74" s="380"/>
      <c r="G74" s="370">
        <f>IF(Standards_Active!$S38="yes",AQ74,CA74)</f>
        <v>1</v>
      </c>
      <c r="H74" s="370">
        <f>IF(Standards_Active!$S38="yes",AR74,CB74)</f>
        <v>1</v>
      </c>
      <c r="I74" s="370">
        <f>IF(Standards_Active!$S38="yes",AS74,CC74)</f>
        <v>1</v>
      </c>
      <c r="J74" s="370">
        <f>IF(Standards_Active!$S38="yes",AT74,CD74)</f>
        <v>1</v>
      </c>
      <c r="K74" s="370">
        <f>IF(Standards_Active!$S38="yes",AU74,CE74)</f>
        <v>1</v>
      </c>
      <c r="L74" s="370">
        <f>IF(Standards_Active!$S38="yes",AV74,CF74)</f>
        <v>1</v>
      </c>
      <c r="M74" s="370">
        <f>IF(Standards_Active!$S38="yes",AW74,CG74)</f>
        <v>1</v>
      </c>
      <c r="N74" s="370">
        <f>IF(Standards_Active!$S38="yes",AX74,CH74)</f>
        <v>1</v>
      </c>
      <c r="O74" s="370">
        <f>IF(Standards_Active!$S38="yes",AY74,CI74)</f>
        <v>1</v>
      </c>
      <c r="P74" s="370">
        <f>IF(Standards_Active!$S38="yes",AZ74,CJ74)</f>
        <v>1</v>
      </c>
      <c r="Q74" s="370">
        <f>IF(Standards_Active!$S38="yes",BA74,CK74)</f>
        <v>1</v>
      </c>
      <c r="R74" s="370">
        <f>IF(Standards_Active!$S38="yes",BB74,CL74)</f>
        <v>1</v>
      </c>
      <c r="S74" s="370">
        <f>IF(Standards_Active!$S38="yes",BC74,CM74)</f>
        <v>1</v>
      </c>
      <c r="T74" s="370">
        <f>IF(Standards_Active!$S38="yes",BD74,CN74)</f>
        <v>1</v>
      </c>
      <c r="U74" s="370">
        <f>IF(Standards_Active!$S38="yes",BE74,CO74)</f>
        <v>1</v>
      </c>
      <c r="V74" s="370">
        <f>IF(Standards_Active!$S38="yes",BF74,CP74)</f>
        <v>1</v>
      </c>
      <c r="W74" s="370">
        <f>IF(Standards_Active!$S38="yes",BG74,CQ74)</f>
        <v>1</v>
      </c>
      <c r="X74" s="370">
        <f>IF(Standards_Active!$S38="yes",BH74,CR74)</f>
        <v>1</v>
      </c>
      <c r="Y74" s="370">
        <f>IF(Standards_Active!$S38="yes",BI74,CS74)</f>
        <v>1</v>
      </c>
      <c r="Z74" s="370">
        <f>IF(Standards_Active!$S38="yes",BJ74,CT74)</f>
        <v>1</v>
      </c>
      <c r="AA74" s="370">
        <f>IF(Standards_Active!$S38="yes",BK74,CU74)</f>
        <v>1</v>
      </c>
      <c r="AB74" s="370">
        <f>IF(Standards_Active!$S38="yes",BL74,CV74)</f>
        <v>1</v>
      </c>
      <c r="AC74" s="370">
        <f>IF(Standards_Active!$S38="yes",BM74,CW74)</f>
        <v>1</v>
      </c>
      <c r="AD74" s="370">
        <f>IF(Standards_Active!$S38="yes",BN74,CX74)</f>
        <v>1</v>
      </c>
      <c r="AE74" s="370">
        <f>IF(Standards_Active!$S38="yes",BO74,CY74)</f>
        <v>1</v>
      </c>
      <c r="AF74" s="370">
        <f>IF(Standards_Active!$S38="yes",BP74,CZ74)</f>
        <v>1</v>
      </c>
      <c r="AH74"/>
      <c r="AI74"/>
      <c r="AJ74"/>
      <c r="AK74"/>
      <c r="AL74"/>
      <c r="AM74"/>
      <c r="AN74"/>
      <c r="AO74"/>
      <c r="AP74"/>
      <c r="AQ74" s="622">
        <f>IF(ISNUMBER(Standards_Active!$T38),IF(AND(AQ$44&gt;=Standards_Active!$Q38,AQ$44&lt;Standards_Active!$R38),AP74-Standards_Active!$U38*INDEX($AQ$58:$BP$58,1,MATCH((Standards_Active!$Q38-1),$AQ$44:$BP$44,FALSE)),IF(AQ$44&gt;=Standards_Active!$R38,Standards_Active!$V38,CA74)),CA74)</f>
        <v>1</v>
      </c>
      <c r="AR74" s="622">
        <f>IF(ISNUMBER(Standards_Active!$T38),IF(AND(AR$44&gt;=Standards_Active!$Q38,AR$44&lt;Standards_Active!$R38),AQ74-Standards_Active!$U38*INDEX($AQ$58:$BP$58,1,MATCH((Standards_Active!$Q38-1),$AQ$44:$BP$44,FALSE)),IF(AR$44&gt;=Standards_Active!$R38,Standards_Active!$V38,CB74)),CB74)</f>
        <v>1</v>
      </c>
      <c r="AS74" s="622">
        <f>IF(ISNUMBER(Standards_Active!$T38),IF(AND(AS$44&gt;=Standards_Active!$Q38,AS$44&lt;Standards_Active!$R38),AR74-Standards_Active!$U38*INDEX($AQ$58:$BP$58,1,MATCH((Standards_Active!$Q38-1),$AQ$44:$BP$44,FALSE)),IF(AS$44&gt;=Standards_Active!$R38,Standards_Active!$V38,CC74)),CC74)</f>
        <v>1</v>
      </c>
      <c r="AT74" s="622">
        <f>IF(ISNUMBER(Standards_Active!$T38),IF(AND(AT$44&gt;=Standards_Active!$Q38,AT$44&lt;Standards_Active!$R38),AS74-Standards_Active!$U38*INDEX($AQ$58:$BP$58,1,MATCH((Standards_Active!$Q38-1),$AQ$44:$BP$44,FALSE)),IF(AT$44&gt;=Standards_Active!$R38,Standards_Active!$V38,CD74)),CD74)</f>
        <v>1</v>
      </c>
      <c r="AU74" s="622">
        <f>IF(ISNUMBER(Standards_Active!$T38),IF(AND(AU$44&gt;=Standards_Active!$Q38,AU$44&lt;Standards_Active!$R38),AT74-Standards_Active!$U38*INDEX($AQ$58:$BP$58,1,MATCH((Standards_Active!$Q38-1),$AQ$44:$BP$44,FALSE)),IF(AU$44&gt;=Standards_Active!$R38,Standards_Active!$V38,CE74)),CE74)</f>
        <v>1</v>
      </c>
      <c r="AV74" s="622">
        <f>IF(ISNUMBER(Standards_Active!$T38),IF(AND(AV$44&gt;=Standards_Active!$Q38,AV$44&lt;Standards_Active!$R38),AU74-Standards_Active!$U38*INDEX($AQ$58:$BP$58,1,MATCH((Standards_Active!$Q38-1),$AQ$44:$BP$44,FALSE)),IF(AV$44&gt;=Standards_Active!$R38,Standards_Active!$V38,CF74)),CF74)</f>
        <v>1</v>
      </c>
      <c r="AW74" s="622">
        <f>IF(ISNUMBER(Standards_Active!$T38),IF(AND(AW$44&gt;=Standards_Active!$Q38,AW$44&lt;Standards_Active!$R38),AV74-Standards_Active!$U38*INDEX($AQ$58:$BP$58,1,MATCH((Standards_Active!$Q38-1),$AQ$44:$BP$44,FALSE)),IF(AW$44&gt;=Standards_Active!$R38,Standards_Active!$V38,CG74)),CG74)</f>
        <v>1</v>
      </c>
      <c r="AX74" s="622">
        <f>IF(ISNUMBER(Standards_Active!$T38),IF(AND(AX$44&gt;=Standards_Active!$Q38,AX$44&lt;Standards_Active!$R38),AW74-Standards_Active!$U38*INDEX($AQ$58:$BP$58,1,MATCH((Standards_Active!$Q38-1),$AQ$44:$BP$44,FALSE)),IF(AX$44&gt;=Standards_Active!$R38,Standards_Active!$V38,CH74)),CH74)</f>
        <v>1</v>
      </c>
      <c r="AY74" s="622">
        <f>IF(ISNUMBER(Standards_Active!$T38),IF(AND(AY$44&gt;=Standards_Active!$Q38,AY$44&lt;Standards_Active!$R38),AX74-Standards_Active!$U38*INDEX($AQ$58:$BP$58,1,MATCH((Standards_Active!$Q38-1),$AQ$44:$BP$44,FALSE)),IF(AY$44&gt;=Standards_Active!$R38,Standards_Active!$V38,CI74)),CI74)</f>
        <v>1</v>
      </c>
      <c r="AZ74" s="622">
        <f>IF(ISNUMBER(Standards_Active!$T38),IF(AND(AZ$44&gt;=Standards_Active!$Q38,AZ$44&lt;Standards_Active!$R38),AY74-Standards_Active!$U38*INDEX($AQ$58:$BP$58,1,MATCH((Standards_Active!$Q38-1),$AQ$44:$BP$44,FALSE)),IF(AZ$44&gt;=Standards_Active!$R38,Standards_Active!$V38,CJ74)),CJ74)</f>
        <v>1</v>
      </c>
      <c r="BA74" s="622">
        <f>IF(ISNUMBER(Standards_Active!$T38),IF(AND(BA$44&gt;=Standards_Active!$Q38,BA$44&lt;Standards_Active!$R38),AZ74-Standards_Active!$U38*INDEX($AQ$58:$BP$58,1,MATCH((Standards_Active!$Q38-1),$AQ$44:$BP$44,FALSE)),IF(BA$44&gt;=Standards_Active!$R38,Standards_Active!$V38,CK74)),CK74)</f>
        <v>1</v>
      </c>
      <c r="BB74" s="622">
        <f>IF(ISNUMBER(Standards_Active!$T38),IF(AND(BB$44&gt;=Standards_Active!$Q38,BB$44&lt;Standards_Active!$R38),BA74-Standards_Active!$U38*INDEX($AQ$58:$BP$58,1,MATCH((Standards_Active!$Q38-1),$AQ$44:$BP$44,FALSE)),IF(BB$44&gt;=Standards_Active!$R38,Standards_Active!$V38,CL74)),CL74)</f>
        <v>1</v>
      </c>
      <c r="BC74" s="622">
        <f>IF(ISNUMBER(Standards_Active!$T38),IF(AND(BC$44&gt;=Standards_Active!$Q38,BC$44&lt;Standards_Active!$R38),BB74-Standards_Active!$U38*INDEX($AQ$58:$BP$58,1,MATCH((Standards_Active!$Q38-1),$AQ$44:$BP$44,FALSE)),IF(BC$44&gt;=Standards_Active!$R38,Standards_Active!$V38,CM74)),CM74)</f>
        <v>1</v>
      </c>
      <c r="BD74" s="622">
        <f>IF(ISNUMBER(Standards_Active!$T38),IF(AND(BD$44&gt;=Standards_Active!$Q38,BD$44&lt;Standards_Active!$R38),BC74-Standards_Active!$U38*INDEX($AQ$58:$BP$58,1,MATCH((Standards_Active!$Q38-1),$AQ$44:$BP$44,FALSE)),IF(BD$44&gt;=Standards_Active!$R38,Standards_Active!$V38,CN74)),CN74)</f>
        <v>1</v>
      </c>
      <c r="BE74" s="622">
        <f>IF(ISNUMBER(Standards_Active!$T38),IF(AND(BE$44&gt;=Standards_Active!$Q38,BE$44&lt;Standards_Active!$R38),BD74-Standards_Active!$U38*INDEX($AQ$58:$BP$58,1,MATCH((Standards_Active!$Q38-1),$AQ$44:$BP$44,FALSE)),IF(BE$44&gt;=Standards_Active!$R38,Standards_Active!$V38,CO74)),CO74)</f>
        <v>1</v>
      </c>
      <c r="BF74" s="622">
        <f>IF(ISNUMBER(Standards_Active!$T38),IF(AND(BF$44&gt;=Standards_Active!$Q38,BF$44&lt;Standards_Active!$R38),BE74-Standards_Active!$U38*INDEX($AQ$58:$BP$58,1,MATCH((Standards_Active!$Q38-1),$AQ$44:$BP$44,FALSE)),IF(BF$44&gt;=Standards_Active!$R38,Standards_Active!$V38,CP74)),CP74)</f>
        <v>1</v>
      </c>
      <c r="BG74" s="622">
        <f>IF(ISNUMBER(Standards_Active!$T38),IF(AND(BG$44&gt;=Standards_Active!$Q38,BG$44&lt;Standards_Active!$R38),BF74-Standards_Active!$U38*INDEX($AQ$58:$BP$58,1,MATCH((Standards_Active!$Q38-1),$AQ$44:$BP$44,FALSE)),IF(BG$44&gt;=Standards_Active!$R38,Standards_Active!$V38,CQ74)),CQ74)</f>
        <v>1</v>
      </c>
      <c r="BH74" s="622">
        <f>IF(ISNUMBER(Standards_Active!$T38),IF(AND(BH$44&gt;=Standards_Active!$Q38,BH$44&lt;Standards_Active!$R38),BG74-Standards_Active!$U38*INDEX($AQ$58:$BP$58,1,MATCH((Standards_Active!$Q38-1),$AQ$44:$BP$44,FALSE)),IF(BH$44&gt;=Standards_Active!$R38,Standards_Active!$V38,CR74)),CR74)</f>
        <v>1</v>
      </c>
      <c r="BI74" s="622">
        <f>IF(ISNUMBER(Standards_Active!$T38),IF(AND(BI$44&gt;=Standards_Active!$Q38,BI$44&lt;Standards_Active!$R38),BH74-Standards_Active!$U38*INDEX($AQ$58:$BP$58,1,MATCH((Standards_Active!$Q38-1),$AQ$44:$BP$44,FALSE)),IF(BI$44&gt;=Standards_Active!$R38,Standards_Active!$V38,CS74)),CS74)</f>
        <v>1</v>
      </c>
      <c r="BJ74" s="622">
        <f>IF(ISNUMBER(Standards_Active!$T38),IF(AND(BJ$44&gt;=Standards_Active!$Q38,BJ$44&lt;Standards_Active!$R38),BI74-Standards_Active!$U38*INDEX($AQ$58:$BP$58,1,MATCH((Standards_Active!$Q38-1),$AQ$44:$BP$44,FALSE)),IF(BJ$44&gt;=Standards_Active!$R38,Standards_Active!$V38,CT74)),CT74)</f>
        <v>1</v>
      </c>
      <c r="BK74" s="622">
        <f>IF(ISNUMBER(Standards_Active!$T38),IF(AND(BK$44&gt;=Standards_Active!$Q38,BK$44&lt;Standards_Active!$R38),BJ74-Standards_Active!$U38*INDEX($AQ$58:$BP$58,1,MATCH((Standards_Active!$Q38-1),$AQ$44:$BP$44,FALSE)),IF(BK$44&gt;=Standards_Active!$R38,Standards_Active!$V38,CU74)),CU74)</f>
        <v>1</v>
      </c>
      <c r="BL74" s="622">
        <f>IF(ISNUMBER(Standards_Active!$T38),IF(AND(BL$44&gt;=Standards_Active!$Q38,BL$44&lt;Standards_Active!$R38),BK74-Standards_Active!$U38*INDEX($AQ$58:$BP$58,1,MATCH((Standards_Active!$Q38-1),$AQ$44:$BP$44,FALSE)),IF(BL$44&gt;=Standards_Active!$R38,Standards_Active!$V38,CV74)),CV74)</f>
        <v>1</v>
      </c>
      <c r="BM74" s="622">
        <f>IF(ISNUMBER(Standards_Active!$T38),IF(AND(BM$44&gt;=Standards_Active!$Q38,BM$44&lt;Standards_Active!$R38),BL74-Standards_Active!$U38*INDEX($AQ$58:$BP$58,1,MATCH((Standards_Active!$Q38-1),$AQ$44:$BP$44,FALSE)),IF(BM$44&gt;=Standards_Active!$R38,Standards_Active!$V38,CW74)),CW74)</f>
        <v>1</v>
      </c>
      <c r="BN74" s="622">
        <f>IF(ISNUMBER(Standards_Active!$T38),IF(AND(BN$44&gt;=Standards_Active!$Q38,BN$44&lt;Standards_Active!$R38),BM74-Standards_Active!$U38*INDEX($AQ$58:$BP$58,1,MATCH((Standards_Active!$Q38-1),$AQ$44:$BP$44,FALSE)),IF(BN$44&gt;=Standards_Active!$R38,Standards_Active!$V38,CX74)),CX74)</f>
        <v>1</v>
      </c>
      <c r="BO74" s="622">
        <f>IF(ISNUMBER(Standards_Active!$T38),IF(AND(BO$44&gt;=Standards_Active!$Q38,BO$44&lt;Standards_Active!$R38),BN74-Standards_Active!$U38*INDEX($AQ$58:$BP$58,1,MATCH((Standards_Active!$Q38-1),$AQ$44:$BP$44,FALSE)),IF(BO$44&gt;=Standards_Active!$R38,Standards_Active!$V38,CY74)),CY74)</f>
        <v>1</v>
      </c>
      <c r="BP74" s="622">
        <f>IF(ISNUMBER(Standards_Active!$T38),IF(AND(BP$44&gt;=Standards_Active!$Q38,BP$44&lt;Standards_Active!$R38),BO74-Standards_Active!$U38*INDEX($AQ$58:$BP$58,1,MATCH((Standards_Active!$Q38-1),$AQ$44:$BP$44,FALSE)),IF(BP$44&gt;=Standards_Active!$R38,Standards_Active!$V38,CZ74)),CZ74)</f>
        <v>1</v>
      </c>
      <c r="BQ74" s="380"/>
      <c r="BR74"/>
      <c r="BS74"/>
      <c r="BT74"/>
      <c r="BU74"/>
      <c r="BV74"/>
      <c r="BW74"/>
      <c r="BX74"/>
      <c r="BY74"/>
      <c r="BZ74"/>
      <c r="CA74" s="372">
        <v>1</v>
      </c>
      <c r="CB74" s="372">
        <v>1</v>
      </c>
      <c r="CC74" s="372">
        <v>1</v>
      </c>
      <c r="CD74" s="372">
        <v>1</v>
      </c>
      <c r="CE74" s="372">
        <v>1</v>
      </c>
      <c r="CF74" s="372">
        <v>1</v>
      </c>
      <c r="CG74" s="372">
        <v>1</v>
      </c>
      <c r="CH74" s="372">
        <v>1</v>
      </c>
      <c r="CI74" s="372">
        <v>1</v>
      </c>
      <c r="CJ74" s="372">
        <v>1</v>
      </c>
      <c r="CK74" s="372">
        <v>1</v>
      </c>
      <c r="CL74" s="372">
        <v>1</v>
      </c>
      <c r="CM74" s="372">
        <v>1</v>
      </c>
      <c r="CN74" s="372">
        <v>1</v>
      </c>
      <c r="CO74" s="372">
        <v>1</v>
      </c>
      <c r="CP74" s="372">
        <v>1</v>
      </c>
      <c r="CQ74" s="372">
        <v>1</v>
      </c>
      <c r="CR74" s="372">
        <v>1</v>
      </c>
      <c r="CS74" s="372">
        <v>1</v>
      </c>
      <c r="CT74" s="372">
        <v>1</v>
      </c>
      <c r="CU74" s="372">
        <v>1</v>
      </c>
      <c r="CV74" s="372">
        <v>1</v>
      </c>
      <c r="CW74" s="372">
        <v>1</v>
      </c>
      <c r="CX74" s="372">
        <v>1</v>
      </c>
      <c r="CY74" s="372">
        <v>1</v>
      </c>
      <c r="CZ74" s="372">
        <v>1</v>
      </c>
    </row>
    <row r="75" spans="1:104" s="376" customFormat="1" x14ac:dyDescent="0.25">
      <c r="B75" s="388" t="s">
        <v>29</v>
      </c>
      <c r="D75" s="380"/>
      <c r="E75" s="380"/>
      <c r="F75" s="380"/>
      <c r="G75" s="370">
        <f>IF(Standards_Active!$S39="yes",AQ75,CA75)</f>
        <v>1</v>
      </c>
      <c r="H75" s="370">
        <f>IF(Standards_Active!$S39="yes",AR75,CB75)</f>
        <v>1</v>
      </c>
      <c r="I75" s="370">
        <f>IF(Standards_Active!$S39="yes",AS75,CC75)</f>
        <v>1</v>
      </c>
      <c r="J75" s="370">
        <f>IF(Standards_Active!$S39="yes",AT75,CD75)</f>
        <v>1</v>
      </c>
      <c r="K75" s="370">
        <f>IF(Standards_Active!$S39="yes",AU75,CE75)</f>
        <v>1</v>
      </c>
      <c r="L75" s="370">
        <f>IF(Standards_Active!$S39="yes",AV75,CF75)</f>
        <v>1</v>
      </c>
      <c r="M75" s="370">
        <f>IF(Standards_Active!$S39="yes",AW75,CG75)</f>
        <v>1</v>
      </c>
      <c r="N75" s="370">
        <f>IF(Standards_Active!$S39="yes",AX75,CH75)</f>
        <v>1</v>
      </c>
      <c r="O75" s="370">
        <f>IF(Standards_Active!$S39="yes",AY75,CI75)</f>
        <v>1</v>
      </c>
      <c r="P75" s="370">
        <f>IF(Standards_Active!$S39="yes",AZ75,CJ75)</f>
        <v>1</v>
      </c>
      <c r="Q75" s="370">
        <f>IF(Standards_Active!$S39="yes",BA75,CK75)</f>
        <v>1</v>
      </c>
      <c r="R75" s="370">
        <f>IF(Standards_Active!$S39="yes",BB75,CL75)</f>
        <v>1</v>
      </c>
      <c r="S75" s="370">
        <f>IF(Standards_Active!$S39="yes",BC75,CM75)</f>
        <v>1</v>
      </c>
      <c r="T75" s="370">
        <f>IF(Standards_Active!$S39="yes",BD75,CN75)</f>
        <v>1</v>
      </c>
      <c r="U75" s="370">
        <f>IF(Standards_Active!$S39="yes",BE75,CO75)</f>
        <v>1</v>
      </c>
      <c r="V75" s="370">
        <f>IF(Standards_Active!$S39="yes",BF75,CP75)</f>
        <v>1</v>
      </c>
      <c r="W75" s="370">
        <f>IF(Standards_Active!$S39="yes",BG75,CQ75)</f>
        <v>1</v>
      </c>
      <c r="X75" s="370">
        <f>IF(Standards_Active!$S39="yes",BH75,CR75)</f>
        <v>1</v>
      </c>
      <c r="Y75" s="370">
        <f>IF(Standards_Active!$S39="yes",BI75,CS75)</f>
        <v>1</v>
      </c>
      <c r="Z75" s="370">
        <f>IF(Standards_Active!$S39="yes",BJ75,CT75)</f>
        <v>1</v>
      </c>
      <c r="AA75" s="370">
        <f>IF(Standards_Active!$S39="yes",BK75,CU75)</f>
        <v>1</v>
      </c>
      <c r="AB75" s="370">
        <f>IF(Standards_Active!$S39="yes",BL75,CV75)</f>
        <v>1</v>
      </c>
      <c r="AC75" s="370">
        <f>IF(Standards_Active!$S39="yes",BM75,CW75)</f>
        <v>1</v>
      </c>
      <c r="AD75" s="370">
        <f>IF(Standards_Active!$S39="yes",BN75,CX75)</f>
        <v>1</v>
      </c>
      <c r="AE75" s="370">
        <f>IF(Standards_Active!$S39="yes",BO75,CY75)</f>
        <v>1</v>
      </c>
      <c r="AF75" s="370">
        <f>IF(Standards_Active!$S39="yes",BP75,CZ75)</f>
        <v>1</v>
      </c>
      <c r="AH75"/>
      <c r="AI75"/>
      <c r="AJ75"/>
      <c r="AK75"/>
      <c r="AL75"/>
      <c r="AM75"/>
      <c r="AN75"/>
      <c r="AO75"/>
      <c r="AP75"/>
      <c r="AQ75" s="622">
        <f>IF(ISNUMBER(Standards_Active!$T39),IF(AND(AQ$44&gt;=Standards_Active!$Q39,AQ$44&lt;Standards_Active!$R39),AP75-Standards_Active!$U39*INDEX($AQ$58:$BP$58,1,MATCH((Standards_Active!$Q39-1),$AQ$44:$BP$44,FALSE)),IF(AQ$44&gt;=Standards_Active!$R39,Standards_Active!$V39,CA75)),CA75)</f>
        <v>1</v>
      </c>
      <c r="AR75" s="622">
        <f>IF(ISNUMBER(Standards_Active!$T39),IF(AND(AR$44&gt;=Standards_Active!$Q39,AR$44&lt;Standards_Active!$R39),AQ75-Standards_Active!$U39*INDEX($AQ$58:$BP$58,1,MATCH((Standards_Active!$Q39-1),$AQ$44:$BP$44,FALSE)),IF(AR$44&gt;=Standards_Active!$R39,Standards_Active!$V39,CB75)),CB75)</f>
        <v>1</v>
      </c>
      <c r="AS75" s="622">
        <f>IF(ISNUMBER(Standards_Active!$T39),IF(AND(AS$44&gt;=Standards_Active!$Q39,AS$44&lt;Standards_Active!$R39),AR75-Standards_Active!$U39*INDEX($AQ$58:$BP$58,1,MATCH((Standards_Active!$Q39-1),$AQ$44:$BP$44,FALSE)),IF(AS$44&gt;=Standards_Active!$R39,Standards_Active!$V39,CC75)),CC75)</f>
        <v>1</v>
      </c>
      <c r="AT75" s="622">
        <f>IF(ISNUMBER(Standards_Active!$T39),IF(AND(AT$44&gt;=Standards_Active!$Q39,AT$44&lt;Standards_Active!$R39),AS75-Standards_Active!$U39*INDEX($AQ$58:$BP$58,1,MATCH((Standards_Active!$Q39-1),$AQ$44:$BP$44,FALSE)),IF(AT$44&gt;=Standards_Active!$R39,Standards_Active!$V39,CD75)),CD75)</f>
        <v>1</v>
      </c>
      <c r="AU75" s="622">
        <f>IF(ISNUMBER(Standards_Active!$T39),IF(AND(AU$44&gt;=Standards_Active!$Q39,AU$44&lt;Standards_Active!$R39),AT75-Standards_Active!$U39*INDEX($AQ$58:$BP$58,1,MATCH((Standards_Active!$Q39-1),$AQ$44:$BP$44,FALSE)),IF(AU$44&gt;=Standards_Active!$R39,Standards_Active!$V39,CE75)),CE75)</f>
        <v>1</v>
      </c>
      <c r="AV75" s="622">
        <f>IF(ISNUMBER(Standards_Active!$T39),IF(AND(AV$44&gt;=Standards_Active!$Q39,AV$44&lt;Standards_Active!$R39),AU75-Standards_Active!$U39*INDEX($AQ$58:$BP$58,1,MATCH((Standards_Active!$Q39-1),$AQ$44:$BP$44,FALSE)),IF(AV$44&gt;=Standards_Active!$R39,Standards_Active!$V39,CF75)),CF75)</f>
        <v>1</v>
      </c>
      <c r="AW75" s="622">
        <f>IF(ISNUMBER(Standards_Active!$T39),IF(AND(AW$44&gt;=Standards_Active!$Q39,AW$44&lt;Standards_Active!$R39),AV75-Standards_Active!$U39*INDEX($AQ$58:$BP$58,1,MATCH((Standards_Active!$Q39-1),$AQ$44:$BP$44,FALSE)),IF(AW$44&gt;=Standards_Active!$R39,Standards_Active!$V39,CG75)),CG75)</f>
        <v>1</v>
      </c>
      <c r="AX75" s="622">
        <f>IF(ISNUMBER(Standards_Active!$T39),IF(AND(AX$44&gt;=Standards_Active!$Q39,AX$44&lt;Standards_Active!$R39),AW75-Standards_Active!$U39*INDEX($AQ$58:$BP$58,1,MATCH((Standards_Active!$Q39-1),$AQ$44:$BP$44,FALSE)),IF(AX$44&gt;=Standards_Active!$R39,Standards_Active!$V39,CH75)),CH75)</f>
        <v>1</v>
      </c>
      <c r="AY75" s="622">
        <f>IF(ISNUMBER(Standards_Active!$T39),IF(AND(AY$44&gt;=Standards_Active!$Q39,AY$44&lt;Standards_Active!$R39),AX75-Standards_Active!$U39*INDEX($AQ$58:$BP$58,1,MATCH((Standards_Active!$Q39-1),$AQ$44:$BP$44,FALSE)),IF(AY$44&gt;=Standards_Active!$R39,Standards_Active!$V39,CI75)),CI75)</f>
        <v>1</v>
      </c>
      <c r="AZ75" s="622">
        <f>IF(ISNUMBER(Standards_Active!$T39),IF(AND(AZ$44&gt;=Standards_Active!$Q39,AZ$44&lt;Standards_Active!$R39),AY75-Standards_Active!$U39*INDEX($AQ$58:$BP$58,1,MATCH((Standards_Active!$Q39-1),$AQ$44:$BP$44,FALSE)),IF(AZ$44&gt;=Standards_Active!$R39,Standards_Active!$V39,CJ75)),CJ75)</f>
        <v>1</v>
      </c>
      <c r="BA75" s="622">
        <f>IF(ISNUMBER(Standards_Active!$T39),IF(AND(BA$44&gt;=Standards_Active!$Q39,BA$44&lt;Standards_Active!$R39),AZ75-Standards_Active!$U39*INDEX($AQ$58:$BP$58,1,MATCH((Standards_Active!$Q39-1),$AQ$44:$BP$44,FALSE)),IF(BA$44&gt;=Standards_Active!$R39,Standards_Active!$V39,CK75)),CK75)</f>
        <v>1</v>
      </c>
      <c r="BB75" s="622">
        <f>IF(ISNUMBER(Standards_Active!$T39),IF(AND(BB$44&gt;=Standards_Active!$Q39,BB$44&lt;Standards_Active!$R39),BA75-Standards_Active!$U39*INDEX($AQ$58:$BP$58,1,MATCH((Standards_Active!$Q39-1),$AQ$44:$BP$44,FALSE)),IF(BB$44&gt;=Standards_Active!$R39,Standards_Active!$V39,CL75)),CL75)</f>
        <v>1</v>
      </c>
      <c r="BC75" s="622">
        <f>IF(ISNUMBER(Standards_Active!$T39),IF(AND(BC$44&gt;=Standards_Active!$Q39,BC$44&lt;Standards_Active!$R39),BB75-Standards_Active!$U39*INDEX($AQ$58:$BP$58,1,MATCH((Standards_Active!$Q39-1),$AQ$44:$BP$44,FALSE)),IF(BC$44&gt;=Standards_Active!$R39,Standards_Active!$V39,CM75)),CM75)</f>
        <v>1</v>
      </c>
      <c r="BD75" s="622">
        <f>IF(ISNUMBER(Standards_Active!$T39),IF(AND(BD$44&gt;=Standards_Active!$Q39,BD$44&lt;Standards_Active!$R39),BC75-Standards_Active!$U39*INDEX($AQ$58:$BP$58,1,MATCH((Standards_Active!$Q39-1),$AQ$44:$BP$44,FALSE)),IF(BD$44&gt;=Standards_Active!$R39,Standards_Active!$V39,CN75)),CN75)</f>
        <v>1</v>
      </c>
      <c r="BE75" s="622">
        <f>IF(ISNUMBER(Standards_Active!$T39),IF(AND(BE$44&gt;=Standards_Active!$Q39,BE$44&lt;Standards_Active!$R39),BD75-Standards_Active!$U39*INDEX($AQ$58:$BP$58,1,MATCH((Standards_Active!$Q39-1),$AQ$44:$BP$44,FALSE)),IF(BE$44&gt;=Standards_Active!$R39,Standards_Active!$V39,CO75)),CO75)</f>
        <v>1</v>
      </c>
      <c r="BF75" s="622">
        <f>IF(ISNUMBER(Standards_Active!$T39),IF(AND(BF$44&gt;=Standards_Active!$Q39,BF$44&lt;Standards_Active!$R39),BE75-Standards_Active!$U39*INDEX($AQ$58:$BP$58,1,MATCH((Standards_Active!$Q39-1),$AQ$44:$BP$44,FALSE)),IF(BF$44&gt;=Standards_Active!$R39,Standards_Active!$V39,CP75)),CP75)</f>
        <v>1</v>
      </c>
      <c r="BG75" s="622">
        <f>IF(ISNUMBER(Standards_Active!$T39),IF(AND(BG$44&gt;=Standards_Active!$Q39,BG$44&lt;Standards_Active!$R39),BF75-Standards_Active!$U39*INDEX($AQ$58:$BP$58,1,MATCH((Standards_Active!$Q39-1),$AQ$44:$BP$44,FALSE)),IF(BG$44&gt;=Standards_Active!$R39,Standards_Active!$V39,CQ75)),CQ75)</f>
        <v>1</v>
      </c>
      <c r="BH75" s="622">
        <f>IF(ISNUMBER(Standards_Active!$T39),IF(AND(BH$44&gt;=Standards_Active!$Q39,BH$44&lt;Standards_Active!$R39),BG75-Standards_Active!$U39*INDEX($AQ$58:$BP$58,1,MATCH((Standards_Active!$Q39-1),$AQ$44:$BP$44,FALSE)),IF(BH$44&gt;=Standards_Active!$R39,Standards_Active!$V39,CR75)),CR75)</f>
        <v>1</v>
      </c>
      <c r="BI75" s="622">
        <f>IF(ISNUMBER(Standards_Active!$T39),IF(AND(BI$44&gt;=Standards_Active!$Q39,BI$44&lt;Standards_Active!$R39),BH75-Standards_Active!$U39*INDEX($AQ$58:$BP$58,1,MATCH((Standards_Active!$Q39-1),$AQ$44:$BP$44,FALSE)),IF(BI$44&gt;=Standards_Active!$R39,Standards_Active!$V39,CS75)),CS75)</f>
        <v>1</v>
      </c>
      <c r="BJ75" s="622">
        <f>IF(ISNUMBER(Standards_Active!$T39),IF(AND(BJ$44&gt;=Standards_Active!$Q39,BJ$44&lt;Standards_Active!$R39),BI75-Standards_Active!$U39*INDEX($AQ$58:$BP$58,1,MATCH((Standards_Active!$Q39-1),$AQ$44:$BP$44,FALSE)),IF(BJ$44&gt;=Standards_Active!$R39,Standards_Active!$V39,CT75)),CT75)</f>
        <v>1</v>
      </c>
      <c r="BK75" s="622">
        <f>IF(ISNUMBER(Standards_Active!$T39),IF(AND(BK$44&gt;=Standards_Active!$Q39,BK$44&lt;Standards_Active!$R39),BJ75-Standards_Active!$U39*INDEX($AQ$58:$BP$58,1,MATCH((Standards_Active!$Q39-1),$AQ$44:$BP$44,FALSE)),IF(BK$44&gt;=Standards_Active!$R39,Standards_Active!$V39,CU75)),CU75)</f>
        <v>1</v>
      </c>
      <c r="BL75" s="622">
        <f>IF(ISNUMBER(Standards_Active!$T39),IF(AND(BL$44&gt;=Standards_Active!$Q39,BL$44&lt;Standards_Active!$R39),BK75-Standards_Active!$U39*INDEX($AQ$58:$BP$58,1,MATCH((Standards_Active!$Q39-1),$AQ$44:$BP$44,FALSE)),IF(BL$44&gt;=Standards_Active!$R39,Standards_Active!$V39,CV75)),CV75)</f>
        <v>1</v>
      </c>
      <c r="BM75" s="622">
        <f>IF(ISNUMBER(Standards_Active!$T39),IF(AND(BM$44&gt;=Standards_Active!$Q39,BM$44&lt;Standards_Active!$R39),BL75-Standards_Active!$U39*INDEX($AQ$58:$BP$58,1,MATCH((Standards_Active!$Q39-1),$AQ$44:$BP$44,FALSE)),IF(BM$44&gt;=Standards_Active!$R39,Standards_Active!$V39,CW75)),CW75)</f>
        <v>1</v>
      </c>
      <c r="BN75" s="622">
        <f>IF(ISNUMBER(Standards_Active!$T39),IF(AND(BN$44&gt;=Standards_Active!$Q39,BN$44&lt;Standards_Active!$R39),BM75-Standards_Active!$U39*INDEX($AQ$58:$BP$58,1,MATCH((Standards_Active!$Q39-1),$AQ$44:$BP$44,FALSE)),IF(BN$44&gt;=Standards_Active!$R39,Standards_Active!$V39,CX75)),CX75)</f>
        <v>1</v>
      </c>
      <c r="BO75" s="622">
        <f>IF(ISNUMBER(Standards_Active!$T39),IF(AND(BO$44&gt;=Standards_Active!$Q39,BO$44&lt;Standards_Active!$R39),BN75-Standards_Active!$U39*INDEX($AQ$58:$BP$58,1,MATCH((Standards_Active!$Q39-1),$AQ$44:$BP$44,FALSE)),IF(BO$44&gt;=Standards_Active!$R39,Standards_Active!$V39,CY75)),CY75)</f>
        <v>1</v>
      </c>
      <c r="BP75" s="622">
        <f>IF(ISNUMBER(Standards_Active!$T39),IF(AND(BP$44&gt;=Standards_Active!$Q39,BP$44&lt;Standards_Active!$R39),BO75-Standards_Active!$U39*INDEX($AQ$58:$BP$58,1,MATCH((Standards_Active!$Q39-1),$AQ$44:$BP$44,FALSE)),IF(BP$44&gt;=Standards_Active!$R39,Standards_Active!$V39,CZ75)),CZ75)</f>
        <v>1</v>
      </c>
      <c r="BQ75" s="380"/>
      <c r="BR75"/>
      <c r="BS75"/>
      <c r="BT75"/>
      <c r="BU75"/>
      <c r="BV75"/>
      <c r="BW75"/>
      <c r="BX75"/>
      <c r="BY75"/>
      <c r="BZ75"/>
      <c r="CA75" s="372">
        <v>1</v>
      </c>
      <c r="CB75" s="372">
        <v>1</v>
      </c>
      <c r="CC75" s="372">
        <v>1</v>
      </c>
      <c r="CD75" s="372">
        <v>1</v>
      </c>
      <c r="CE75" s="372">
        <v>1</v>
      </c>
      <c r="CF75" s="372">
        <v>1</v>
      </c>
      <c r="CG75" s="372">
        <v>1</v>
      </c>
      <c r="CH75" s="372">
        <v>1</v>
      </c>
      <c r="CI75" s="372">
        <v>1</v>
      </c>
      <c r="CJ75" s="372">
        <v>1</v>
      </c>
      <c r="CK75" s="372">
        <v>1</v>
      </c>
      <c r="CL75" s="372">
        <v>1</v>
      </c>
      <c r="CM75" s="372">
        <v>1</v>
      </c>
      <c r="CN75" s="372">
        <v>1</v>
      </c>
      <c r="CO75" s="372">
        <v>1</v>
      </c>
      <c r="CP75" s="372">
        <v>1</v>
      </c>
      <c r="CQ75" s="372">
        <v>1</v>
      </c>
      <c r="CR75" s="372">
        <v>1</v>
      </c>
      <c r="CS75" s="372">
        <v>1</v>
      </c>
      <c r="CT75" s="372">
        <v>1</v>
      </c>
      <c r="CU75" s="372">
        <v>1</v>
      </c>
      <c r="CV75" s="372">
        <v>1</v>
      </c>
      <c r="CW75" s="372">
        <v>1</v>
      </c>
      <c r="CX75" s="372">
        <v>1</v>
      </c>
      <c r="CY75" s="372">
        <v>1</v>
      </c>
      <c r="CZ75" s="372">
        <v>1</v>
      </c>
    </row>
    <row r="76" spans="1:104" s="376" customFormat="1" x14ac:dyDescent="0.25">
      <c r="B76" s="388" t="s">
        <v>53</v>
      </c>
      <c r="D76" s="380"/>
      <c r="E76" s="380"/>
      <c r="F76" s="380"/>
      <c r="G76" s="370">
        <f>IF(Standards_Active!$S40="yes",AQ76,CA76)</f>
        <v>1</v>
      </c>
      <c r="H76" s="370">
        <f>IF(Standards_Active!$S40="yes",AR76,CB76)</f>
        <v>1</v>
      </c>
      <c r="I76" s="370">
        <f>IF(Standards_Active!$S40="yes",AS76,CC76)</f>
        <v>1</v>
      </c>
      <c r="J76" s="370">
        <f>IF(Standards_Active!$S40="yes",AT76,CD76)</f>
        <v>1</v>
      </c>
      <c r="K76" s="370">
        <f>IF(Standards_Active!$S40="yes",AU76,CE76)</f>
        <v>1</v>
      </c>
      <c r="L76" s="370">
        <f>IF(Standards_Active!$S40="yes",AV76,CF76)</f>
        <v>1</v>
      </c>
      <c r="M76" s="370">
        <f>IF(Standards_Active!$S40="yes",AW76,CG76)</f>
        <v>1</v>
      </c>
      <c r="N76" s="370">
        <f>IF(Standards_Active!$S40="yes",AX76,CH76)</f>
        <v>1</v>
      </c>
      <c r="O76" s="370">
        <f>IF(Standards_Active!$S40="yes",AY76,CI76)</f>
        <v>1</v>
      </c>
      <c r="P76" s="370">
        <f>IF(Standards_Active!$S40="yes",AZ76,CJ76)</f>
        <v>1</v>
      </c>
      <c r="Q76" s="370">
        <f>IF(Standards_Active!$S40="yes",BA76,CK76)</f>
        <v>1</v>
      </c>
      <c r="R76" s="370">
        <f>IF(Standards_Active!$S40="yes",BB76,CL76)</f>
        <v>1</v>
      </c>
      <c r="S76" s="370">
        <f>IF(Standards_Active!$S40="yes",BC76,CM76)</f>
        <v>1</v>
      </c>
      <c r="T76" s="370">
        <f>IF(Standards_Active!$S40="yes",BD76,CN76)</f>
        <v>1</v>
      </c>
      <c r="U76" s="370">
        <f>IF(Standards_Active!$S40="yes",BE76,CO76)</f>
        <v>1</v>
      </c>
      <c r="V76" s="370">
        <f>IF(Standards_Active!$S40="yes",BF76,CP76)</f>
        <v>1</v>
      </c>
      <c r="W76" s="370">
        <f>IF(Standards_Active!$S40="yes",BG76,CQ76)</f>
        <v>1</v>
      </c>
      <c r="X76" s="370">
        <f>IF(Standards_Active!$S40="yes",BH76,CR76)</f>
        <v>1</v>
      </c>
      <c r="Y76" s="370">
        <f>IF(Standards_Active!$S40="yes",BI76,CS76)</f>
        <v>1</v>
      </c>
      <c r="Z76" s="370">
        <f>IF(Standards_Active!$S40="yes",BJ76,CT76)</f>
        <v>1</v>
      </c>
      <c r="AA76" s="370">
        <f>IF(Standards_Active!$S40="yes",BK76,CU76)</f>
        <v>1</v>
      </c>
      <c r="AB76" s="370">
        <f>IF(Standards_Active!$S40="yes",BL76,CV76)</f>
        <v>1</v>
      </c>
      <c r="AC76" s="370">
        <f>IF(Standards_Active!$S40="yes",BM76,CW76)</f>
        <v>1</v>
      </c>
      <c r="AD76" s="370">
        <f>IF(Standards_Active!$S40="yes",BN76,CX76)</f>
        <v>1</v>
      </c>
      <c r="AE76" s="370">
        <f>IF(Standards_Active!$S40="yes",BO76,CY76)</f>
        <v>1</v>
      </c>
      <c r="AF76" s="370">
        <f>IF(Standards_Active!$S40="yes",BP76,CZ76)</f>
        <v>1</v>
      </c>
      <c r="AH76"/>
      <c r="AI76"/>
      <c r="AJ76"/>
      <c r="AK76"/>
      <c r="AL76"/>
      <c r="AM76"/>
      <c r="AN76"/>
      <c r="AO76"/>
      <c r="AP76"/>
      <c r="AQ76" s="622">
        <f>IF(ISNUMBER(Standards_Active!$T40),IF(AND(AQ$44&gt;=Standards_Active!$Q40,AQ$44&lt;Standards_Active!$R40),AP76-Standards_Active!$U40*INDEX($AQ$58:$BP$58,1,MATCH((Standards_Active!$Q40-1),$AQ$44:$BP$44,FALSE)),IF(AQ$44&gt;=Standards_Active!$R40,Standards_Active!$V40,CA76)),CA76)</f>
        <v>1</v>
      </c>
      <c r="AR76" s="622">
        <f>IF(ISNUMBER(Standards_Active!$T40),IF(AND(AR$44&gt;=Standards_Active!$Q40,AR$44&lt;Standards_Active!$R40),AQ76-Standards_Active!$U40*INDEX($AQ$58:$BP$58,1,MATCH((Standards_Active!$Q40-1),$AQ$44:$BP$44,FALSE)),IF(AR$44&gt;=Standards_Active!$R40,Standards_Active!$V40,CB76)),CB76)</f>
        <v>1</v>
      </c>
      <c r="AS76" s="622">
        <f>IF(ISNUMBER(Standards_Active!$T40),IF(AND(AS$44&gt;=Standards_Active!$Q40,AS$44&lt;Standards_Active!$R40),AR76-Standards_Active!$U40*INDEX($AQ$58:$BP$58,1,MATCH((Standards_Active!$Q40-1),$AQ$44:$BP$44,FALSE)),IF(AS$44&gt;=Standards_Active!$R40,Standards_Active!$V40,CC76)),CC76)</f>
        <v>1</v>
      </c>
      <c r="AT76" s="622">
        <f>IF(ISNUMBER(Standards_Active!$T40),IF(AND(AT$44&gt;=Standards_Active!$Q40,AT$44&lt;Standards_Active!$R40),AS76-Standards_Active!$U40*INDEX($AQ$58:$BP$58,1,MATCH((Standards_Active!$Q40-1),$AQ$44:$BP$44,FALSE)),IF(AT$44&gt;=Standards_Active!$R40,Standards_Active!$V40,CD76)),CD76)</f>
        <v>1</v>
      </c>
      <c r="AU76" s="622">
        <f>IF(ISNUMBER(Standards_Active!$T40),IF(AND(AU$44&gt;=Standards_Active!$Q40,AU$44&lt;Standards_Active!$R40),AT76-Standards_Active!$U40*INDEX($AQ$58:$BP$58,1,MATCH((Standards_Active!$Q40-1),$AQ$44:$BP$44,FALSE)),IF(AU$44&gt;=Standards_Active!$R40,Standards_Active!$V40,CE76)),CE76)</f>
        <v>1</v>
      </c>
      <c r="AV76" s="622">
        <f>IF(ISNUMBER(Standards_Active!$T40),IF(AND(AV$44&gt;=Standards_Active!$Q40,AV$44&lt;Standards_Active!$R40),AU76-Standards_Active!$U40*INDEX($AQ$58:$BP$58,1,MATCH((Standards_Active!$Q40-1),$AQ$44:$BP$44,FALSE)),IF(AV$44&gt;=Standards_Active!$R40,Standards_Active!$V40,CF76)),CF76)</f>
        <v>1</v>
      </c>
      <c r="AW76" s="622">
        <f>IF(ISNUMBER(Standards_Active!$T40),IF(AND(AW$44&gt;=Standards_Active!$Q40,AW$44&lt;Standards_Active!$R40),AV76-Standards_Active!$U40*INDEX($AQ$58:$BP$58,1,MATCH((Standards_Active!$Q40-1),$AQ$44:$BP$44,FALSE)),IF(AW$44&gt;=Standards_Active!$R40,Standards_Active!$V40,CG76)),CG76)</f>
        <v>1</v>
      </c>
      <c r="AX76" s="622">
        <f>IF(ISNUMBER(Standards_Active!$T40),IF(AND(AX$44&gt;=Standards_Active!$Q40,AX$44&lt;Standards_Active!$R40),AW76-Standards_Active!$U40*INDEX($AQ$58:$BP$58,1,MATCH((Standards_Active!$Q40-1),$AQ$44:$BP$44,FALSE)),IF(AX$44&gt;=Standards_Active!$R40,Standards_Active!$V40,CH76)),CH76)</f>
        <v>1</v>
      </c>
      <c r="AY76" s="622">
        <f>IF(ISNUMBER(Standards_Active!$T40),IF(AND(AY$44&gt;=Standards_Active!$Q40,AY$44&lt;Standards_Active!$R40),AX76-Standards_Active!$U40*INDEX($AQ$58:$BP$58,1,MATCH((Standards_Active!$Q40-1),$AQ$44:$BP$44,FALSE)),IF(AY$44&gt;=Standards_Active!$R40,Standards_Active!$V40,CI76)),CI76)</f>
        <v>1</v>
      </c>
      <c r="AZ76" s="622">
        <f>IF(ISNUMBER(Standards_Active!$T40),IF(AND(AZ$44&gt;=Standards_Active!$Q40,AZ$44&lt;Standards_Active!$R40),AY76-Standards_Active!$U40*INDEX($AQ$58:$BP$58,1,MATCH((Standards_Active!$Q40-1),$AQ$44:$BP$44,FALSE)),IF(AZ$44&gt;=Standards_Active!$R40,Standards_Active!$V40,CJ76)),CJ76)</f>
        <v>1</v>
      </c>
      <c r="BA76" s="622">
        <f>IF(ISNUMBER(Standards_Active!$T40),IF(AND(BA$44&gt;=Standards_Active!$Q40,BA$44&lt;Standards_Active!$R40),AZ76-Standards_Active!$U40*INDEX($AQ$58:$BP$58,1,MATCH((Standards_Active!$Q40-1),$AQ$44:$BP$44,FALSE)),IF(BA$44&gt;=Standards_Active!$R40,Standards_Active!$V40,CK76)),CK76)</f>
        <v>1</v>
      </c>
      <c r="BB76" s="622">
        <f>IF(ISNUMBER(Standards_Active!$T40),IF(AND(BB$44&gt;=Standards_Active!$Q40,BB$44&lt;Standards_Active!$R40),BA76-Standards_Active!$U40*INDEX($AQ$58:$BP$58,1,MATCH((Standards_Active!$Q40-1),$AQ$44:$BP$44,FALSE)),IF(BB$44&gt;=Standards_Active!$R40,Standards_Active!$V40,CL76)),CL76)</f>
        <v>1</v>
      </c>
      <c r="BC76" s="622">
        <f>IF(ISNUMBER(Standards_Active!$T40),IF(AND(BC$44&gt;=Standards_Active!$Q40,BC$44&lt;Standards_Active!$R40),BB76-Standards_Active!$U40*INDEX($AQ$58:$BP$58,1,MATCH((Standards_Active!$Q40-1),$AQ$44:$BP$44,FALSE)),IF(BC$44&gt;=Standards_Active!$R40,Standards_Active!$V40,CM76)),CM76)</f>
        <v>1</v>
      </c>
      <c r="BD76" s="622">
        <f>IF(ISNUMBER(Standards_Active!$T40),IF(AND(BD$44&gt;=Standards_Active!$Q40,BD$44&lt;Standards_Active!$R40),BC76-Standards_Active!$U40*INDEX($AQ$58:$BP$58,1,MATCH((Standards_Active!$Q40-1),$AQ$44:$BP$44,FALSE)),IF(BD$44&gt;=Standards_Active!$R40,Standards_Active!$V40,CN76)),CN76)</f>
        <v>1</v>
      </c>
      <c r="BE76" s="622">
        <f>IF(ISNUMBER(Standards_Active!$T40),IF(AND(BE$44&gt;=Standards_Active!$Q40,BE$44&lt;Standards_Active!$R40),BD76-Standards_Active!$U40*INDEX($AQ$58:$BP$58,1,MATCH((Standards_Active!$Q40-1),$AQ$44:$BP$44,FALSE)),IF(BE$44&gt;=Standards_Active!$R40,Standards_Active!$V40,CO76)),CO76)</f>
        <v>1</v>
      </c>
      <c r="BF76" s="622">
        <f>IF(ISNUMBER(Standards_Active!$T40),IF(AND(BF$44&gt;=Standards_Active!$Q40,BF$44&lt;Standards_Active!$R40),BE76-Standards_Active!$U40*INDEX($AQ$58:$BP$58,1,MATCH((Standards_Active!$Q40-1),$AQ$44:$BP$44,FALSE)),IF(BF$44&gt;=Standards_Active!$R40,Standards_Active!$V40,CP76)),CP76)</f>
        <v>1</v>
      </c>
      <c r="BG76" s="622">
        <f>IF(ISNUMBER(Standards_Active!$T40),IF(AND(BG$44&gt;=Standards_Active!$Q40,BG$44&lt;Standards_Active!$R40),BF76-Standards_Active!$U40*INDEX($AQ$58:$BP$58,1,MATCH((Standards_Active!$Q40-1),$AQ$44:$BP$44,FALSE)),IF(BG$44&gt;=Standards_Active!$R40,Standards_Active!$V40,CQ76)),CQ76)</f>
        <v>1</v>
      </c>
      <c r="BH76" s="622">
        <f>IF(ISNUMBER(Standards_Active!$T40),IF(AND(BH$44&gt;=Standards_Active!$Q40,BH$44&lt;Standards_Active!$R40),BG76-Standards_Active!$U40*INDEX($AQ$58:$BP$58,1,MATCH((Standards_Active!$Q40-1),$AQ$44:$BP$44,FALSE)),IF(BH$44&gt;=Standards_Active!$R40,Standards_Active!$V40,CR76)),CR76)</f>
        <v>1</v>
      </c>
      <c r="BI76" s="622">
        <f>IF(ISNUMBER(Standards_Active!$T40),IF(AND(BI$44&gt;=Standards_Active!$Q40,BI$44&lt;Standards_Active!$R40),BH76-Standards_Active!$U40*INDEX($AQ$58:$BP$58,1,MATCH((Standards_Active!$Q40-1),$AQ$44:$BP$44,FALSE)),IF(BI$44&gt;=Standards_Active!$R40,Standards_Active!$V40,CS76)),CS76)</f>
        <v>1</v>
      </c>
      <c r="BJ76" s="622">
        <f>IF(ISNUMBER(Standards_Active!$T40),IF(AND(BJ$44&gt;=Standards_Active!$Q40,BJ$44&lt;Standards_Active!$R40),BI76-Standards_Active!$U40*INDEX($AQ$58:$BP$58,1,MATCH((Standards_Active!$Q40-1),$AQ$44:$BP$44,FALSE)),IF(BJ$44&gt;=Standards_Active!$R40,Standards_Active!$V40,CT76)),CT76)</f>
        <v>1</v>
      </c>
      <c r="BK76" s="622">
        <f>IF(ISNUMBER(Standards_Active!$T40),IF(AND(BK$44&gt;=Standards_Active!$Q40,BK$44&lt;Standards_Active!$R40),BJ76-Standards_Active!$U40*INDEX($AQ$58:$BP$58,1,MATCH((Standards_Active!$Q40-1),$AQ$44:$BP$44,FALSE)),IF(BK$44&gt;=Standards_Active!$R40,Standards_Active!$V40,CU76)),CU76)</f>
        <v>1</v>
      </c>
      <c r="BL76" s="622">
        <f>IF(ISNUMBER(Standards_Active!$T40),IF(AND(BL$44&gt;=Standards_Active!$Q40,BL$44&lt;Standards_Active!$R40),BK76-Standards_Active!$U40*INDEX($AQ$58:$BP$58,1,MATCH((Standards_Active!$Q40-1),$AQ$44:$BP$44,FALSE)),IF(BL$44&gt;=Standards_Active!$R40,Standards_Active!$V40,CV76)),CV76)</f>
        <v>1</v>
      </c>
      <c r="BM76" s="622">
        <f>IF(ISNUMBER(Standards_Active!$T40),IF(AND(BM$44&gt;=Standards_Active!$Q40,BM$44&lt;Standards_Active!$R40),BL76-Standards_Active!$U40*INDEX($AQ$58:$BP$58,1,MATCH((Standards_Active!$Q40-1),$AQ$44:$BP$44,FALSE)),IF(BM$44&gt;=Standards_Active!$R40,Standards_Active!$V40,CW76)),CW76)</f>
        <v>1</v>
      </c>
      <c r="BN76" s="622">
        <f>IF(ISNUMBER(Standards_Active!$T40),IF(AND(BN$44&gt;=Standards_Active!$Q40,BN$44&lt;Standards_Active!$R40),BM76-Standards_Active!$U40*INDEX($AQ$58:$BP$58,1,MATCH((Standards_Active!$Q40-1),$AQ$44:$BP$44,FALSE)),IF(BN$44&gt;=Standards_Active!$R40,Standards_Active!$V40,CX76)),CX76)</f>
        <v>1</v>
      </c>
      <c r="BO76" s="622">
        <f>IF(ISNUMBER(Standards_Active!$T40),IF(AND(BO$44&gt;=Standards_Active!$Q40,BO$44&lt;Standards_Active!$R40),BN76-Standards_Active!$U40*INDEX($AQ$58:$BP$58,1,MATCH((Standards_Active!$Q40-1),$AQ$44:$BP$44,FALSE)),IF(BO$44&gt;=Standards_Active!$R40,Standards_Active!$V40,CY76)),CY76)</f>
        <v>1</v>
      </c>
      <c r="BP76" s="622">
        <f>IF(ISNUMBER(Standards_Active!$T40),IF(AND(BP$44&gt;=Standards_Active!$Q40,BP$44&lt;Standards_Active!$R40),BO76-Standards_Active!$U40*INDEX($AQ$58:$BP$58,1,MATCH((Standards_Active!$Q40-1),$AQ$44:$BP$44,FALSE)),IF(BP$44&gt;=Standards_Active!$R40,Standards_Active!$V40,CZ76)),CZ76)</f>
        <v>1</v>
      </c>
      <c r="BQ76" s="380"/>
      <c r="BR76"/>
      <c r="BS76"/>
      <c r="BT76"/>
      <c r="BU76"/>
      <c r="BV76"/>
      <c r="BW76"/>
      <c r="BX76"/>
      <c r="BY76"/>
      <c r="BZ76"/>
      <c r="CA76" s="372">
        <v>1</v>
      </c>
      <c r="CB76" s="372">
        <v>1</v>
      </c>
      <c r="CC76" s="372">
        <v>1</v>
      </c>
      <c r="CD76" s="372">
        <v>1</v>
      </c>
      <c r="CE76" s="372">
        <v>1</v>
      </c>
      <c r="CF76" s="372">
        <v>1</v>
      </c>
      <c r="CG76" s="372">
        <v>1</v>
      </c>
      <c r="CH76" s="372">
        <v>1</v>
      </c>
      <c r="CI76" s="372">
        <v>1</v>
      </c>
      <c r="CJ76" s="372">
        <v>1</v>
      </c>
      <c r="CK76" s="372">
        <v>1</v>
      </c>
      <c r="CL76" s="372">
        <v>1</v>
      </c>
      <c r="CM76" s="372">
        <v>1</v>
      </c>
      <c r="CN76" s="372">
        <v>1</v>
      </c>
      <c r="CO76" s="372">
        <v>1</v>
      </c>
      <c r="CP76" s="372">
        <v>1</v>
      </c>
      <c r="CQ76" s="372">
        <v>1</v>
      </c>
      <c r="CR76" s="372">
        <v>1</v>
      </c>
      <c r="CS76" s="372">
        <v>1</v>
      </c>
      <c r="CT76" s="372">
        <v>1</v>
      </c>
      <c r="CU76" s="372">
        <v>1</v>
      </c>
      <c r="CV76" s="372">
        <v>1</v>
      </c>
      <c r="CW76" s="372">
        <v>1</v>
      </c>
      <c r="CX76" s="372">
        <v>1</v>
      </c>
      <c r="CY76" s="372">
        <v>1</v>
      </c>
      <c r="CZ76" s="372">
        <v>1</v>
      </c>
    </row>
    <row r="77" spans="1:104" s="376" customFormat="1" ht="12.75" x14ac:dyDescent="0.2">
      <c r="D77" s="377"/>
      <c r="E77" s="377"/>
      <c r="F77" s="377"/>
      <c r="G77" s="377"/>
      <c r="H77" s="377"/>
      <c r="I77" s="377"/>
      <c r="J77" s="377"/>
      <c r="K77" s="377"/>
      <c r="L77" s="377"/>
      <c r="M77" s="377"/>
      <c r="N77" s="377"/>
      <c r="O77" s="377"/>
      <c r="P77" s="377"/>
      <c r="Q77" s="377"/>
      <c r="R77" s="377"/>
      <c r="S77" s="377"/>
      <c r="T77" s="377"/>
      <c r="U77" s="377"/>
      <c r="V77" s="377"/>
      <c r="W77" s="377"/>
    </row>
    <row r="78" spans="1:104" s="81" customFormat="1" ht="12.75" x14ac:dyDescent="0.2"/>
    <row r="79" spans="1:104" customFormat="1" x14ac:dyDescent="0.25">
      <c r="A79" s="398" t="s">
        <v>221</v>
      </c>
      <c r="B79" s="399"/>
      <c r="C79" s="398"/>
      <c r="D79" s="398"/>
      <c r="E79" s="398"/>
      <c r="F79" s="398"/>
      <c r="G79" s="399"/>
      <c r="H79" s="399"/>
      <c r="I79" s="399"/>
      <c r="J79" s="399"/>
      <c r="K79" s="399"/>
      <c r="L79" s="399"/>
      <c r="M79" s="399"/>
      <c r="N79" s="399"/>
      <c r="O79" s="399"/>
      <c r="P79" s="399"/>
      <c r="Q79" s="399"/>
      <c r="R79" s="399"/>
      <c r="S79" s="399"/>
      <c r="T79" s="399"/>
      <c r="U79" s="399"/>
      <c r="V79" s="399"/>
      <c r="W79" s="399"/>
      <c r="X79" s="399"/>
      <c r="Y79" s="399"/>
      <c r="Z79" s="399"/>
      <c r="AA79" s="399"/>
      <c r="AB79" s="399"/>
      <c r="AC79" s="399"/>
      <c r="AD79" s="399"/>
      <c r="AE79" s="399"/>
      <c r="AF79" s="399"/>
      <c r="AG79" s="399"/>
      <c r="AH79" s="399"/>
      <c r="AI79" s="399"/>
      <c r="AJ79" s="399"/>
      <c r="AK79" s="399"/>
      <c r="AL79" s="399"/>
      <c r="AM79" s="399"/>
      <c r="AN79" s="399"/>
      <c r="AO79" s="399"/>
      <c r="AP79" s="376"/>
      <c r="AQ79" s="376"/>
      <c r="AR79" s="376"/>
      <c r="AS79" s="376"/>
      <c r="AT79" s="376"/>
      <c r="AU79" s="376"/>
      <c r="AV79" s="376"/>
      <c r="AW79" s="376"/>
      <c r="AX79" s="376"/>
      <c r="AY79" s="376"/>
      <c r="AZ79" s="376"/>
      <c r="BA79" s="376"/>
      <c r="BB79" s="376"/>
      <c r="BC79" s="376"/>
      <c r="BD79" s="376"/>
      <c r="BE79" s="376"/>
      <c r="BF79" s="376"/>
      <c r="BG79" s="376"/>
      <c r="BH79" s="376"/>
      <c r="BI79" s="376"/>
      <c r="BJ79" s="376"/>
      <c r="BK79" s="376"/>
      <c r="BL79" s="376"/>
      <c r="BM79" s="376"/>
      <c r="BN79" s="376"/>
    </row>
    <row r="80" spans="1:104" s="376" customFormat="1" ht="12.75" x14ac:dyDescent="0.2">
      <c r="B80" s="408" t="s">
        <v>223</v>
      </c>
    </row>
    <row r="81" spans="1:32" s="376" customFormat="1" ht="12.75" x14ac:dyDescent="0.2">
      <c r="A81" s="378" t="s">
        <v>12</v>
      </c>
    </row>
    <row r="82" spans="1:32" s="376" customFormat="1" ht="12.75" x14ac:dyDescent="0.2">
      <c r="B82" s="376" t="s">
        <v>20</v>
      </c>
      <c r="G82" s="376">
        <v>2010</v>
      </c>
      <c r="H82" s="376">
        <v>2011</v>
      </c>
      <c r="I82" s="376">
        <v>2012</v>
      </c>
      <c r="J82" s="376">
        <v>2013</v>
      </c>
      <c r="K82" s="376">
        <v>2014</v>
      </c>
      <c r="L82" s="376">
        <v>2015</v>
      </c>
      <c r="M82" s="376">
        <v>2016</v>
      </c>
      <c r="N82" s="376">
        <v>2017</v>
      </c>
      <c r="O82" s="376">
        <v>2018</v>
      </c>
      <c r="P82" s="376">
        <v>2019</v>
      </c>
      <c r="Q82" s="376">
        <v>2020</v>
      </c>
      <c r="R82" s="376">
        <v>2021</v>
      </c>
      <c r="S82" s="376">
        <v>2022</v>
      </c>
      <c r="T82" s="376">
        <v>2023</v>
      </c>
      <c r="U82" s="376">
        <v>2024</v>
      </c>
      <c r="V82" s="376">
        <v>2025</v>
      </c>
      <c r="W82" s="376">
        <v>2026</v>
      </c>
      <c r="X82" s="376">
        <v>2027</v>
      </c>
      <c r="Y82" s="376">
        <v>2028</v>
      </c>
      <c r="Z82" s="376">
        <v>2029</v>
      </c>
      <c r="AA82" s="376">
        <v>2030</v>
      </c>
      <c r="AB82" s="376">
        <v>2031</v>
      </c>
      <c r="AC82" s="376">
        <v>2032</v>
      </c>
      <c r="AD82" s="376">
        <v>2033</v>
      </c>
      <c r="AE82" s="376">
        <v>2034</v>
      </c>
      <c r="AF82" s="376">
        <v>2035</v>
      </c>
    </row>
    <row r="83" spans="1:32" s="376" customFormat="1" ht="12.75" x14ac:dyDescent="0.2">
      <c r="A83" s="402" t="s">
        <v>21</v>
      </c>
      <c r="B83" s="389"/>
      <c r="C83" s="389"/>
      <c r="D83" s="389"/>
      <c r="E83" s="389"/>
      <c r="F83" s="389"/>
      <c r="G83" s="389"/>
      <c r="H83" s="389"/>
      <c r="I83" s="389"/>
      <c r="J83" s="389"/>
      <c r="K83" s="389"/>
      <c r="L83" s="389"/>
      <c r="M83" s="389"/>
      <c r="N83" s="389"/>
      <c r="O83" s="389"/>
      <c r="P83" s="389"/>
      <c r="Q83" s="389"/>
      <c r="R83" s="389"/>
      <c r="S83" s="389"/>
      <c r="T83" s="389"/>
      <c r="U83" s="389"/>
      <c r="V83" s="389"/>
      <c r="W83" s="389"/>
      <c r="X83" s="389"/>
      <c r="Y83" s="389"/>
      <c r="Z83" s="389"/>
      <c r="AA83" s="389"/>
      <c r="AB83" s="389"/>
      <c r="AC83" s="389"/>
      <c r="AD83" s="389"/>
      <c r="AE83" s="389"/>
      <c r="AF83" s="389"/>
    </row>
    <row r="84" spans="1:32" s="376" customFormat="1" ht="12.75" x14ac:dyDescent="0.2">
      <c r="B84" s="376" t="s">
        <v>22</v>
      </c>
      <c r="D84" s="375"/>
      <c r="E84" s="375"/>
      <c r="F84" s="375"/>
      <c r="G84" s="375">
        <f t="shared" ref="G84:AF84" si="0">G9*G46</f>
        <v>1</v>
      </c>
      <c r="H84" s="375">
        <f t="shared" si="0"/>
        <v>1</v>
      </c>
      <c r="I84" s="375">
        <f t="shared" si="0"/>
        <v>0.82000000000000006</v>
      </c>
      <c r="J84" s="375">
        <f t="shared" si="0"/>
        <v>0.64000000000000012</v>
      </c>
      <c r="K84" s="375">
        <f t="shared" si="0"/>
        <v>0.46000000000000013</v>
      </c>
      <c r="L84" s="375">
        <f t="shared" si="0"/>
        <v>0.28000000000000014</v>
      </c>
      <c r="M84" s="375">
        <f t="shared" si="0"/>
        <v>0.1</v>
      </c>
      <c r="N84" s="375">
        <f t="shared" si="0"/>
        <v>0.1</v>
      </c>
      <c r="O84" s="375">
        <f t="shared" si="0"/>
        <v>0.1</v>
      </c>
      <c r="P84" s="375">
        <f t="shared" si="0"/>
        <v>0.1</v>
      </c>
      <c r="Q84" s="375">
        <f t="shared" si="0"/>
        <v>0.1</v>
      </c>
      <c r="R84" s="375">
        <f t="shared" si="0"/>
        <v>0.1</v>
      </c>
      <c r="S84" s="375">
        <f t="shared" si="0"/>
        <v>0.1</v>
      </c>
      <c r="T84" s="375">
        <f t="shared" si="0"/>
        <v>0.1</v>
      </c>
      <c r="U84" s="375">
        <f t="shared" si="0"/>
        <v>0.1</v>
      </c>
      <c r="V84" s="375">
        <f t="shared" si="0"/>
        <v>0.1</v>
      </c>
      <c r="W84" s="375">
        <f t="shared" si="0"/>
        <v>0.1</v>
      </c>
      <c r="X84" s="375">
        <f t="shared" si="0"/>
        <v>0.1</v>
      </c>
      <c r="Y84" s="375">
        <f t="shared" si="0"/>
        <v>0.1</v>
      </c>
      <c r="Z84" s="375">
        <f t="shared" si="0"/>
        <v>0.1</v>
      </c>
      <c r="AA84" s="375">
        <f t="shared" si="0"/>
        <v>0.1</v>
      </c>
      <c r="AB84" s="375">
        <f t="shared" si="0"/>
        <v>0.1</v>
      </c>
      <c r="AC84" s="375">
        <f t="shared" si="0"/>
        <v>0.1</v>
      </c>
      <c r="AD84" s="375">
        <f t="shared" si="0"/>
        <v>0.1</v>
      </c>
      <c r="AE84" s="375">
        <f t="shared" si="0"/>
        <v>0.1</v>
      </c>
      <c r="AF84" s="375">
        <f t="shared" si="0"/>
        <v>0.1</v>
      </c>
    </row>
    <row r="85" spans="1:32" s="376" customFormat="1" ht="12.75" x14ac:dyDescent="0.2">
      <c r="B85" s="376" t="s">
        <v>26</v>
      </c>
      <c r="D85" s="375"/>
      <c r="E85" s="375"/>
      <c r="F85" s="375"/>
      <c r="G85" s="375">
        <f t="shared" ref="G85:AF85" si="1">G10*G47</f>
        <v>0.05</v>
      </c>
      <c r="H85" s="375">
        <f t="shared" si="1"/>
        <v>0.05</v>
      </c>
      <c r="I85" s="375">
        <f t="shared" si="1"/>
        <v>0.2</v>
      </c>
      <c r="J85" s="375">
        <f t="shared" si="1"/>
        <v>0.7</v>
      </c>
      <c r="K85" s="375">
        <f t="shared" si="1"/>
        <v>1</v>
      </c>
      <c r="L85" s="375">
        <f t="shared" si="1"/>
        <v>1</v>
      </c>
      <c r="M85" s="375">
        <f t="shared" si="1"/>
        <v>1</v>
      </c>
      <c r="N85" s="375">
        <f t="shared" si="1"/>
        <v>1</v>
      </c>
      <c r="O85" s="375">
        <f t="shared" si="1"/>
        <v>1</v>
      </c>
      <c r="P85" s="375">
        <f t="shared" si="1"/>
        <v>1</v>
      </c>
      <c r="Q85" s="375">
        <f t="shared" si="1"/>
        <v>1</v>
      </c>
      <c r="R85" s="375">
        <f t="shared" si="1"/>
        <v>1</v>
      </c>
      <c r="S85" s="375">
        <f t="shared" si="1"/>
        <v>1</v>
      </c>
      <c r="T85" s="375">
        <f t="shared" si="1"/>
        <v>1</v>
      </c>
      <c r="U85" s="375">
        <f t="shared" si="1"/>
        <v>1</v>
      </c>
      <c r="V85" s="375">
        <f t="shared" si="1"/>
        <v>1</v>
      </c>
      <c r="W85" s="375">
        <f t="shared" si="1"/>
        <v>1</v>
      </c>
      <c r="X85" s="375">
        <f t="shared" si="1"/>
        <v>1</v>
      </c>
      <c r="Y85" s="375">
        <f t="shared" si="1"/>
        <v>1</v>
      </c>
      <c r="Z85" s="375">
        <f t="shared" si="1"/>
        <v>1</v>
      </c>
      <c r="AA85" s="375">
        <f t="shared" si="1"/>
        <v>1</v>
      </c>
      <c r="AB85" s="375">
        <f t="shared" si="1"/>
        <v>1</v>
      </c>
      <c r="AC85" s="375">
        <f t="shared" si="1"/>
        <v>1</v>
      </c>
      <c r="AD85" s="375">
        <f t="shared" si="1"/>
        <v>1</v>
      </c>
      <c r="AE85" s="375">
        <f t="shared" si="1"/>
        <v>1</v>
      </c>
      <c r="AF85" s="375">
        <f t="shared" si="1"/>
        <v>1</v>
      </c>
    </row>
    <row r="86" spans="1:32" s="376" customFormat="1" ht="12.75" x14ac:dyDescent="0.2">
      <c r="B86" s="376" t="s">
        <v>27</v>
      </c>
      <c r="D86" s="375"/>
      <c r="E86" s="375"/>
      <c r="F86" s="375"/>
      <c r="G86" s="375">
        <f t="shared" ref="G86:AF86" si="2">G11*G48</f>
        <v>0.25</v>
      </c>
      <c r="H86" s="375">
        <f t="shared" si="2"/>
        <v>0.25</v>
      </c>
      <c r="I86" s="375">
        <f t="shared" si="2"/>
        <v>0.25</v>
      </c>
      <c r="J86" s="375">
        <f t="shared" si="2"/>
        <v>0.35</v>
      </c>
      <c r="K86" s="375">
        <f t="shared" si="2"/>
        <v>0.35</v>
      </c>
      <c r="L86" s="375">
        <f t="shared" si="2"/>
        <v>0.35</v>
      </c>
      <c r="M86" s="375">
        <f t="shared" si="2"/>
        <v>0.35</v>
      </c>
      <c r="N86" s="375">
        <f t="shared" si="2"/>
        <v>0.35</v>
      </c>
      <c r="O86" s="375">
        <f t="shared" si="2"/>
        <v>0.35</v>
      </c>
      <c r="P86" s="375">
        <f t="shared" si="2"/>
        <v>0.35</v>
      </c>
      <c r="Q86" s="375">
        <f t="shared" si="2"/>
        <v>0.35</v>
      </c>
      <c r="R86" s="375">
        <f t="shared" si="2"/>
        <v>0.35</v>
      </c>
      <c r="S86" s="375">
        <f t="shared" si="2"/>
        <v>0.35</v>
      </c>
      <c r="T86" s="375">
        <f t="shared" si="2"/>
        <v>0.35</v>
      </c>
      <c r="U86" s="375">
        <f t="shared" si="2"/>
        <v>0.35</v>
      </c>
      <c r="V86" s="375">
        <f t="shared" si="2"/>
        <v>0.35</v>
      </c>
      <c r="W86" s="375">
        <f t="shared" si="2"/>
        <v>0.35</v>
      </c>
      <c r="X86" s="375">
        <f t="shared" si="2"/>
        <v>0.35</v>
      </c>
      <c r="Y86" s="375">
        <f t="shared" si="2"/>
        <v>0.35</v>
      </c>
      <c r="Z86" s="375">
        <f t="shared" si="2"/>
        <v>0.35</v>
      </c>
      <c r="AA86" s="375">
        <f t="shared" si="2"/>
        <v>0.35</v>
      </c>
      <c r="AB86" s="375">
        <f t="shared" si="2"/>
        <v>0.35</v>
      </c>
      <c r="AC86" s="375">
        <f t="shared" si="2"/>
        <v>0.35</v>
      </c>
      <c r="AD86" s="375">
        <f t="shared" si="2"/>
        <v>0.35</v>
      </c>
      <c r="AE86" s="375">
        <f t="shared" si="2"/>
        <v>0.35</v>
      </c>
      <c r="AF86" s="375">
        <f t="shared" si="2"/>
        <v>0.35</v>
      </c>
    </row>
    <row r="87" spans="1:32" s="376" customFormat="1" ht="12.75" x14ac:dyDescent="0.2">
      <c r="B87" s="376" t="s">
        <v>29</v>
      </c>
      <c r="D87" s="375"/>
      <c r="E87" s="375"/>
      <c r="F87" s="375"/>
      <c r="G87" s="375">
        <f t="shared" ref="G87:AF87" si="3">G12*G49</f>
        <v>1</v>
      </c>
      <c r="H87" s="375">
        <f t="shared" si="3"/>
        <v>1</v>
      </c>
      <c r="I87" s="375">
        <f t="shared" si="3"/>
        <v>1</v>
      </c>
      <c r="J87" s="375">
        <f t="shared" si="3"/>
        <v>1</v>
      </c>
      <c r="K87" s="375">
        <f t="shared" si="3"/>
        <v>1</v>
      </c>
      <c r="L87" s="375">
        <f t="shared" si="3"/>
        <v>1</v>
      </c>
      <c r="M87" s="375">
        <f t="shared" si="3"/>
        <v>1</v>
      </c>
      <c r="N87" s="375">
        <f t="shared" si="3"/>
        <v>1</v>
      </c>
      <c r="O87" s="375">
        <f t="shared" si="3"/>
        <v>1</v>
      </c>
      <c r="P87" s="375">
        <f t="shared" si="3"/>
        <v>1</v>
      </c>
      <c r="Q87" s="375">
        <f t="shared" si="3"/>
        <v>1</v>
      </c>
      <c r="R87" s="375">
        <f t="shared" si="3"/>
        <v>1</v>
      </c>
      <c r="S87" s="375">
        <f t="shared" si="3"/>
        <v>1</v>
      </c>
      <c r="T87" s="375">
        <f t="shared" si="3"/>
        <v>1</v>
      </c>
      <c r="U87" s="375">
        <f t="shared" si="3"/>
        <v>1</v>
      </c>
      <c r="V87" s="375">
        <f t="shared" si="3"/>
        <v>1</v>
      </c>
      <c r="W87" s="375">
        <f t="shared" si="3"/>
        <v>1</v>
      </c>
      <c r="X87" s="375">
        <f t="shared" si="3"/>
        <v>1</v>
      </c>
      <c r="Y87" s="375">
        <f t="shared" si="3"/>
        <v>1</v>
      </c>
      <c r="Z87" s="375">
        <f t="shared" si="3"/>
        <v>1</v>
      </c>
      <c r="AA87" s="375">
        <f t="shared" si="3"/>
        <v>1</v>
      </c>
      <c r="AB87" s="375">
        <f t="shared" si="3"/>
        <v>1</v>
      </c>
      <c r="AC87" s="375">
        <f t="shared" si="3"/>
        <v>1</v>
      </c>
      <c r="AD87" s="375">
        <f t="shared" si="3"/>
        <v>1</v>
      </c>
      <c r="AE87" s="375">
        <f t="shared" si="3"/>
        <v>1</v>
      </c>
      <c r="AF87" s="375">
        <f t="shared" si="3"/>
        <v>1</v>
      </c>
    </row>
    <row r="88" spans="1:32" s="376" customFormat="1" x14ac:dyDescent="0.25">
      <c r="D88" s="368"/>
      <c r="E88" s="368"/>
      <c r="F88" s="368"/>
      <c r="G88" s="368"/>
      <c r="H88" s="368"/>
      <c r="I88" s="368"/>
      <c r="J88" s="368"/>
      <c r="K88" s="368"/>
      <c r="L88" s="368"/>
      <c r="M88" s="368"/>
      <c r="N88" s="368"/>
      <c r="O88" s="368"/>
      <c r="P88" s="368"/>
      <c r="Q88" s="368"/>
      <c r="R88" s="368"/>
      <c r="S88" s="368"/>
      <c r="T88" s="368"/>
      <c r="U88" s="368"/>
      <c r="V88" s="368"/>
      <c r="W88" s="368"/>
      <c r="X88" s="368"/>
      <c r="Y88" s="368"/>
      <c r="Z88" s="368"/>
      <c r="AA88" s="368"/>
      <c r="AB88" s="368"/>
      <c r="AC88" s="368"/>
      <c r="AD88" s="368"/>
      <c r="AE88" s="368"/>
      <c r="AF88" s="368"/>
    </row>
    <row r="89" spans="1:32" s="376" customFormat="1" ht="12.75" x14ac:dyDescent="0.2">
      <c r="A89" s="384" t="s">
        <v>32</v>
      </c>
      <c r="B89" s="389"/>
      <c r="C89" s="389"/>
      <c r="D89" s="402"/>
      <c r="E89" s="402"/>
      <c r="F89" s="402"/>
      <c r="G89" s="402"/>
      <c r="H89" s="402"/>
      <c r="I89" s="402"/>
      <c r="J89" s="402"/>
      <c r="K89" s="402"/>
      <c r="L89" s="402"/>
      <c r="M89" s="402"/>
      <c r="N89" s="402"/>
      <c r="O89" s="402"/>
      <c r="P89" s="402"/>
      <c r="Q89" s="402"/>
      <c r="R89" s="402"/>
      <c r="S89" s="402"/>
      <c r="T89" s="402"/>
      <c r="U89" s="402"/>
      <c r="V89" s="402"/>
      <c r="W89" s="402"/>
      <c r="X89" s="402"/>
      <c r="Y89" s="402"/>
      <c r="Z89" s="402"/>
      <c r="AA89" s="402"/>
      <c r="AB89" s="402"/>
      <c r="AC89" s="402"/>
      <c r="AD89" s="402"/>
      <c r="AE89" s="402"/>
      <c r="AF89" s="402"/>
    </row>
    <row r="90" spans="1:32" s="376" customFormat="1" x14ac:dyDescent="0.25">
      <c r="B90" s="376" t="s">
        <v>33</v>
      </c>
      <c r="D90" s="367"/>
      <c r="E90" s="367"/>
      <c r="F90" s="367"/>
      <c r="G90" s="375">
        <f t="shared" ref="G90:AF90" si="4">G15*G52</f>
        <v>1</v>
      </c>
      <c r="H90" s="375">
        <f t="shared" si="4"/>
        <v>1</v>
      </c>
      <c r="I90" s="375">
        <f t="shared" si="4"/>
        <v>1</v>
      </c>
      <c r="J90" s="375">
        <f t="shared" si="4"/>
        <v>1</v>
      </c>
      <c r="K90" s="375">
        <f t="shared" si="4"/>
        <v>1</v>
      </c>
      <c r="L90" s="375">
        <f t="shared" si="4"/>
        <v>1</v>
      </c>
      <c r="M90" s="375">
        <f t="shared" si="4"/>
        <v>1</v>
      </c>
      <c r="N90" s="375">
        <f t="shared" si="4"/>
        <v>1</v>
      </c>
      <c r="O90" s="375">
        <f t="shared" si="4"/>
        <v>1</v>
      </c>
      <c r="P90" s="375">
        <f t="shared" si="4"/>
        <v>1</v>
      </c>
      <c r="Q90" s="375">
        <f t="shared" si="4"/>
        <v>1</v>
      </c>
      <c r="R90" s="375">
        <f t="shared" si="4"/>
        <v>1</v>
      </c>
      <c r="S90" s="375">
        <f t="shared" si="4"/>
        <v>1</v>
      </c>
      <c r="T90" s="375">
        <f t="shared" si="4"/>
        <v>1</v>
      </c>
      <c r="U90" s="375">
        <f t="shared" si="4"/>
        <v>1</v>
      </c>
      <c r="V90" s="375">
        <f t="shared" si="4"/>
        <v>1</v>
      </c>
      <c r="W90" s="375">
        <f t="shared" si="4"/>
        <v>1</v>
      </c>
      <c r="X90" s="375">
        <f t="shared" si="4"/>
        <v>1</v>
      </c>
      <c r="Y90" s="375">
        <f t="shared" si="4"/>
        <v>1</v>
      </c>
      <c r="Z90" s="375">
        <f t="shared" si="4"/>
        <v>1</v>
      </c>
      <c r="AA90" s="375">
        <f t="shared" si="4"/>
        <v>1</v>
      </c>
      <c r="AB90" s="375">
        <f t="shared" si="4"/>
        <v>1</v>
      </c>
      <c r="AC90" s="375">
        <f t="shared" si="4"/>
        <v>1</v>
      </c>
      <c r="AD90" s="375">
        <f t="shared" si="4"/>
        <v>1</v>
      </c>
      <c r="AE90" s="375">
        <f t="shared" si="4"/>
        <v>1</v>
      </c>
      <c r="AF90" s="375">
        <f t="shared" si="4"/>
        <v>1</v>
      </c>
    </row>
    <row r="91" spans="1:32" s="376" customFormat="1" x14ac:dyDescent="0.25">
      <c r="A91" s="388"/>
      <c r="B91" s="388" t="s">
        <v>34</v>
      </c>
      <c r="D91" s="367"/>
      <c r="E91" s="367"/>
      <c r="F91" s="367"/>
      <c r="G91" s="375">
        <f t="shared" ref="G91:AF91" si="5">G16*G53</f>
        <v>1</v>
      </c>
      <c r="H91" s="375">
        <f t="shared" si="5"/>
        <v>1</v>
      </c>
      <c r="I91" s="375">
        <f t="shared" si="5"/>
        <v>1</v>
      </c>
      <c r="J91" s="375">
        <f t="shared" si="5"/>
        <v>1</v>
      </c>
      <c r="K91" s="375">
        <f t="shared" si="5"/>
        <v>1</v>
      </c>
      <c r="L91" s="375">
        <f t="shared" si="5"/>
        <v>1</v>
      </c>
      <c r="M91" s="375">
        <f t="shared" si="5"/>
        <v>1</v>
      </c>
      <c r="N91" s="375">
        <f t="shared" si="5"/>
        <v>1</v>
      </c>
      <c r="O91" s="375">
        <f t="shared" si="5"/>
        <v>1</v>
      </c>
      <c r="P91" s="375">
        <f t="shared" si="5"/>
        <v>1</v>
      </c>
      <c r="Q91" s="375">
        <f t="shared" si="5"/>
        <v>1</v>
      </c>
      <c r="R91" s="375">
        <f t="shared" si="5"/>
        <v>1</v>
      </c>
      <c r="S91" s="375">
        <f t="shared" si="5"/>
        <v>1</v>
      </c>
      <c r="T91" s="375">
        <f t="shared" si="5"/>
        <v>1</v>
      </c>
      <c r="U91" s="375">
        <f t="shared" si="5"/>
        <v>1</v>
      </c>
      <c r="V91" s="375">
        <f t="shared" si="5"/>
        <v>1</v>
      </c>
      <c r="W91" s="375">
        <f t="shared" si="5"/>
        <v>1</v>
      </c>
      <c r="X91" s="375">
        <f t="shared" si="5"/>
        <v>1</v>
      </c>
      <c r="Y91" s="375">
        <f t="shared" si="5"/>
        <v>1</v>
      </c>
      <c r="Z91" s="375">
        <f t="shared" si="5"/>
        <v>1</v>
      </c>
      <c r="AA91" s="375">
        <f t="shared" si="5"/>
        <v>1</v>
      </c>
      <c r="AB91" s="375">
        <f t="shared" si="5"/>
        <v>1</v>
      </c>
      <c r="AC91" s="375">
        <f t="shared" si="5"/>
        <v>1</v>
      </c>
      <c r="AD91" s="375">
        <f t="shared" si="5"/>
        <v>1</v>
      </c>
      <c r="AE91" s="375">
        <f t="shared" si="5"/>
        <v>1</v>
      </c>
      <c r="AF91" s="375">
        <f t="shared" si="5"/>
        <v>1</v>
      </c>
    </row>
    <row r="92" spans="1:32" s="376" customFormat="1" x14ac:dyDescent="0.25">
      <c r="B92" s="388" t="s">
        <v>35</v>
      </c>
      <c r="D92" s="367"/>
      <c r="E92" s="367"/>
      <c r="F92" s="367"/>
      <c r="G92" s="375">
        <f t="shared" ref="G92:AF92" si="6">G17*G54</f>
        <v>0.15</v>
      </c>
      <c r="H92" s="375">
        <f t="shared" si="6"/>
        <v>0.15</v>
      </c>
      <c r="I92" s="375">
        <f t="shared" si="6"/>
        <v>0.15</v>
      </c>
      <c r="J92" s="375">
        <f t="shared" si="6"/>
        <v>0.15</v>
      </c>
      <c r="K92" s="375">
        <f t="shared" si="6"/>
        <v>0.15</v>
      </c>
      <c r="L92" s="375">
        <f t="shared" si="6"/>
        <v>0.15</v>
      </c>
      <c r="M92" s="375">
        <f t="shared" si="6"/>
        <v>0.15</v>
      </c>
      <c r="N92" s="375">
        <f t="shared" si="6"/>
        <v>0.15</v>
      </c>
      <c r="O92" s="375">
        <f t="shared" si="6"/>
        <v>0.15</v>
      </c>
      <c r="P92" s="375">
        <f t="shared" si="6"/>
        <v>0.15</v>
      </c>
      <c r="Q92" s="375">
        <f t="shared" si="6"/>
        <v>0.15</v>
      </c>
      <c r="R92" s="375">
        <f t="shared" si="6"/>
        <v>0.15</v>
      </c>
      <c r="S92" s="375">
        <f t="shared" si="6"/>
        <v>0.15</v>
      </c>
      <c r="T92" s="375">
        <f t="shared" si="6"/>
        <v>0.15</v>
      </c>
      <c r="U92" s="375">
        <f t="shared" si="6"/>
        <v>0.15</v>
      </c>
      <c r="V92" s="375">
        <f t="shared" si="6"/>
        <v>0.15</v>
      </c>
      <c r="W92" s="375">
        <f t="shared" si="6"/>
        <v>0.15</v>
      </c>
      <c r="X92" s="375">
        <f t="shared" si="6"/>
        <v>0.15</v>
      </c>
      <c r="Y92" s="375">
        <f t="shared" si="6"/>
        <v>0.15</v>
      </c>
      <c r="Z92" s="375">
        <f t="shared" si="6"/>
        <v>0.15</v>
      </c>
      <c r="AA92" s="375">
        <f t="shared" si="6"/>
        <v>0.15</v>
      </c>
      <c r="AB92" s="375">
        <f t="shared" si="6"/>
        <v>0.15</v>
      </c>
      <c r="AC92" s="375">
        <f t="shared" si="6"/>
        <v>0.15</v>
      </c>
      <c r="AD92" s="375">
        <f t="shared" si="6"/>
        <v>0.15</v>
      </c>
      <c r="AE92" s="375">
        <f t="shared" si="6"/>
        <v>0.15</v>
      </c>
      <c r="AF92" s="375">
        <f t="shared" si="6"/>
        <v>0.15</v>
      </c>
    </row>
    <row r="93" spans="1:32" s="376" customFormat="1" x14ac:dyDescent="0.25">
      <c r="B93" s="388" t="s">
        <v>29</v>
      </c>
      <c r="D93" s="367"/>
      <c r="E93" s="367"/>
      <c r="F93" s="367"/>
      <c r="G93" s="375">
        <f t="shared" ref="G93:AF93" si="7">G18*G55</f>
        <v>1</v>
      </c>
      <c r="H93" s="375">
        <f t="shared" si="7"/>
        <v>1</v>
      </c>
      <c r="I93" s="375">
        <f t="shared" si="7"/>
        <v>1</v>
      </c>
      <c r="J93" s="375">
        <f t="shared" si="7"/>
        <v>1</v>
      </c>
      <c r="K93" s="375">
        <f t="shared" si="7"/>
        <v>1</v>
      </c>
      <c r="L93" s="375">
        <f t="shared" si="7"/>
        <v>1</v>
      </c>
      <c r="M93" s="375">
        <f t="shared" si="7"/>
        <v>1</v>
      </c>
      <c r="N93" s="375">
        <f t="shared" si="7"/>
        <v>1</v>
      </c>
      <c r="O93" s="375">
        <f t="shared" si="7"/>
        <v>1</v>
      </c>
      <c r="P93" s="375">
        <f t="shared" si="7"/>
        <v>1</v>
      </c>
      <c r="Q93" s="375">
        <f t="shared" si="7"/>
        <v>1</v>
      </c>
      <c r="R93" s="375">
        <f t="shared" si="7"/>
        <v>1</v>
      </c>
      <c r="S93" s="375">
        <f t="shared" si="7"/>
        <v>1</v>
      </c>
      <c r="T93" s="375">
        <f t="shared" si="7"/>
        <v>1</v>
      </c>
      <c r="U93" s="375">
        <f t="shared" si="7"/>
        <v>1</v>
      </c>
      <c r="V93" s="375">
        <f t="shared" si="7"/>
        <v>1</v>
      </c>
      <c r="W93" s="375">
        <f t="shared" si="7"/>
        <v>1</v>
      </c>
      <c r="X93" s="375">
        <f t="shared" si="7"/>
        <v>1</v>
      </c>
      <c r="Y93" s="375">
        <f t="shared" si="7"/>
        <v>1</v>
      </c>
      <c r="Z93" s="375">
        <f t="shared" si="7"/>
        <v>1</v>
      </c>
      <c r="AA93" s="375">
        <f t="shared" si="7"/>
        <v>1</v>
      </c>
      <c r="AB93" s="375">
        <f t="shared" si="7"/>
        <v>1</v>
      </c>
      <c r="AC93" s="375">
        <f t="shared" si="7"/>
        <v>1</v>
      </c>
      <c r="AD93" s="375">
        <f t="shared" si="7"/>
        <v>1</v>
      </c>
      <c r="AE93" s="375">
        <f t="shared" si="7"/>
        <v>1</v>
      </c>
      <c r="AF93" s="375">
        <f t="shared" si="7"/>
        <v>1</v>
      </c>
    </row>
    <row r="94" spans="1:32" s="376" customFormat="1" x14ac:dyDescent="0.25">
      <c r="D94" s="367"/>
      <c r="E94" s="367"/>
      <c r="F94" s="367"/>
      <c r="G94" s="367"/>
      <c r="H94" s="367"/>
      <c r="I94" s="367"/>
      <c r="J94" s="367"/>
      <c r="K94" s="367"/>
      <c r="L94" s="367"/>
      <c r="M94" s="367"/>
      <c r="N94" s="367"/>
      <c r="O94" s="367"/>
      <c r="P94" s="367"/>
      <c r="Q94" s="367"/>
      <c r="R94" s="367"/>
      <c r="S94" s="367"/>
      <c r="T94" s="367"/>
      <c r="U94" s="367"/>
      <c r="V94" s="367"/>
      <c r="W94" s="367"/>
      <c r="X94" s="367"/>
      <c r="Y94" s="367"/>
      <c r="Z94" s="367"/>
      <c r="AA94" s="367"/>
      <c r="AB94" s="367"/>
      <c r="AC94" s="367"/>
      <c r="AD94" s="367"/>
      <c r="AE94" s="367"/>
      <c r="AF94" s="367"/>
    </row>
    <row r="95" spans="1:32" s="376" customFormat="1" ht="12.75" x14ac:dyDescent="0.2">
      <c r="A95" s="384" t="s">
        <v>36</v>
      </c>
      <c r="B95" s="389"/>
      <c r="C95" s="389"/>
      <c r="D95" s="402"/>
      <c r="E95" s="402"/>
      <c r="F95" s="402"/>
      <c r="G95" s="402"/>
      <c r="H95" s="402"/>
      <c r="I95" s="402"/>
      <c r="J95" s="402"/>
      <c r="K95" s="402"/>
      <c r="L95" s="402"/>
      <c r="M95" s="402"/>
      <c r="N95" s="402"/>
      <c r="O95" s="402"/>
      <c r="P95" s="402"/>
      <c r="Q95" s="402"/>
      <c r="R95" s="402"/>
      <c r="S95" s="402"/>
      <c r="T95" s="402"/>
      <c r="U95" s="402"/>
      <c r="V95" s="402"/>
      <c r="W95" s="402"/>
      <c r="X95" s="402"/>
      <c r="Y95" s="402"/>
      <c r="Z95" s="402"/>
      <c r="AA95" s="402"/>
      <c r="AB95" s="402"/>
      <c r="AC95" s="402"/>
      <c r="AD95" s="402"/>
      <c r="AE95" s="402"/>
      <c r="AF95" s="402"/>
    </row>
    <row r="96" spans="1:32" s="376" customFormat="1" x14ac:dyDescent="0.25">
      <c r="B96" s="376" t="s">
        <v>37</v>
      </c>
      <c r="D96" s="367"/>
      <c r="E96" s="367"/>
      <c r="F96" s="367"/>
      <c r="G96" s="1113">
        <f t="shared" ref="G96:AF96" si="8">G21*G58</f>
        <v>0.05</v>
      </c>
      <c r="H96" s="1113">
        <f t="shared" si="8"/>
        <v>0.05</v>
      </c>
      <c r="I96" s="1113">
        <f t="shared" si="8"/>
        <v>4.1666666666666671E-2</v>
      </c>
      <c r="J96" s="1113">
        <f t="shared" si="8"/>
        <v>3.333333333333334E-2</v>
      </c>
      <c r="K96" s="1113">
        <f t="shared" si="8"/>
        <v>2.5000000000000001E-2</v>
      </c>
      <c r="L96" s="1113">
        <f t="shared" si="8"/>
        <v>1.6708333333333332E-2</v>
      </c>
      <c r="M96" s="375">
        <f t="shared" si="8"/>
        <v>8.4166666666666643E-3</v>
      </c>
      <c r="N96" s="375">
        <f t="shared" si="8"/>
        <v>2.5000000000000005E-3</v>
      </c>
      <c r="O96" s="375">
        <f t="shared" si="8"/>
        <v>2.5000000000000005E-3</v>
      </c>
      <c r="P96" s="375">
        <f t="shared" si="8"/>
        <v>2.5000000000000005E-3</v>
      </c>
      <c r="Q96" s="375">
        <f t="shared" si="8"/>
        <v>2.5000000000000005E-3</v>
      </c>
      <c r="R96" s="375">
        <f t="shared" si="8"/>
        <v>2.5000000000000005E-3</v>
      </c>
      <c r="S96" s="375">
        <f t="shared" si="8"/>
        <v>2.5000000000000005E-3</v>
      </c>
      <c r="T96" s="375">
        <f t="shared" si="8"/>
        <v>2.5000000000000005E-3</v>
      </c>
      <c r="U96" s="375">
        <f t="shared" si="8"/>
        <v>2.5000000000000005E-3</v>
      </c>
      <c r="V96" s="375">
        <f t="shared" si="8"/>
        <v>2.5000000000000005E-3</v>
      </c>
      <c r="W96" s="375">
        <f t="shared" si="8"/>
        <v>2.5000000000000005E-3</v>
      </c>
      <c r="X96" s="375">
        <f t="shared" si="8"/>
        <v>2.5000000000000005E-3</v>
      </c>
      <c r="Y96" s="375">
        <f t="shared" si="8"/>
        <v>2.5000000000000005E-3</v>
      </c>
      <c r="Z96" s="375">
        <f t="shared" si="8"/>
        <v>2.5000000000000005E-3</v>
      </c>
      <c r="AA96" s="375">
        <f t="shared" si="8"/>
        <v>2.5000000000000005E-3</v>
      </c>
      <c r="AB96" s="375">
        <f t="shared" si="8"/>
        <v>2.5000000000000005E-3</v>
      </c>
      <c r="AC96" s="375">
        <f t="shared" si="8"/>
        <v>2.5000000000000005E-3</v>
      </c>
      <c r="AD96" s="375">
        <f t="shared" si="8"/>
        <v>2.5000000000000005E-3</v>
      </c>
      <c r="AE96" s="375">
        <f t="shared" si="8"/>
        <v>2.5000000000000005E-3</v>
      </c>
      <c r="AF96" s="375">
        <f t="shared" si="8"/>
        <v>2.5000000000000005E-3</v>
      </c>
    </row>
    <row r="97" spans="1:32" s="376" customFormat="1" x14ac:dyDescent="0.25">
      <c r="B97" s="376" t="s">
        <v>39</v>
      </c>
      <c r="D97" s="367"/>
      <c r="E97" s="367"/>
      <c r="F97" s="367"/>
      <c r="G97" s="375">
        <f t="shared" ref="G97:AF97" si="9">G22*G59</f>
        <v>1</v>
      </c>
      <c r="H97" s="375">
        <f t="shared" si="9"/>
        <v>1</v>
      </c>
      <c r="I97" s="375">
        <f t="shared" si="9"/>
        <v>1</v>
      </c>
      <c r="J97" s="375">
        <f t="shared" si="9"/>
        <v>1</v>
      </c>
      <c r="K97" s="375">
        <f t="shared" si="9"/>
        <v>1</v>
      </c>
      <c r="L97" s="375">
        <f t="shared" si="9"/>
        <v>1</v>
      </c>
      <c r="M97" s="375">
        <f t="shared" si="9"/>
        <v>1</v>
      </c>
      <c r="N97" s="375">
        <f t="shared" si="9"/>
        <v>1</v>
      </c>
      <c r="O97" s="375">
        <f t="shared" si="9"/>
        <v>1</v>
      </c>
      <c r="P97" s="375">
        <f t="shared" si="9"/>
        <v>1</v>
      </c>
      <c r="Q97" s="375">
        <f t="shared" si="9"/>
        <v>1</v>
      </c>
      <c r="R97" s="375">
        <f t="shared" si="9"/>
        <v>1</v>
      </c>
      <c r="S97" s="375">
        <f t="shared" si="9"/>
        <v>1</v>
      </c>
      <c r="T97" s="375">
        <f t="shared" si="9"/>
        <v>1</v>
      </c>
      <c r="U97" s="375">
        <f t="shared" si="9"/>
        <v>1</v>
      </c>
      <c r="V97" s="375">
        <f t="shared" si="9"/>
        <v>1</v>
      </c>
      <c r="W97" s="375">
        <f t="shared" si="9"/>
        <v>1</v>
      </c>
      <c r="X97" s="375">
        <f t="shared" si="9"/>
        <v>1</v>
      </c>
      <c r="Y97" s="375">
        <f t="shared" si="9"/>
        <v>1</v>
      </c>
      <c r="Z97" s="375">
        <f t="shared" si="9"/>
        <v>1</v>
      </c>
      <c r="AA97" s="375">
        <f t="shared" si="9"/>
        <v>1</v>
      </c>
      <c r="AB97" s="375">
        <f t="shared" si="9"/>
        <v>1</v>
      </c>
      <c r="AC97" s="375">
        <f t="shared" si="9"/>
        <v>1</v>
      </c>
      <c r="AD97" s="375">
        <f t="shared" si="9"/>
        <v>1</v>
      </c>
      <c r="AE97" s="375">
        <f t="shared" si="9"/>
        <v>1</v>
      </c>
      <c r="AF97" s="375">
        <f t="shared" si="9"/>
        <v>1</v>
      </c>
    </row>
    <row r="98" spans="1:32" s="376" customFormat="1" x14ac:dyDescent="0.25">
      <c r="B98" s="376" t="s">
        <v>40</v>
      </c>
      <c r="D98" s="367"/>
      <c r="E98" s="367"/>
      <c r="F98" s="367"/>
      <c r="G98" s="375">
        <f t="shared" ref="G98:AF98" si="10">G23*G60</f>
        <v>0.8</v>
      </c>
      <c r="H98" s="375">
        <f t="shared" si="10"/>
        <v>0.8</v>
      </c>
      <c r="I98" s="375">
        <f t="shared" si="10"/>
        <v>0.8</v>
      </c>
      <c r="J98" s="375">
        <f t="shared" si="10"/>
        <v>0.8</v>
      </c>
      <c r="K98" s="375">
        <f t="shared" si="10"/>
        <v>0.8</v>
      </c>
      <c r="L98" s="375">
        <f t="shared" si="10"/>
        <v>0.8</v>
      </c>
      <c r="M98" s="375">
        <f t="shared" si="10"/>
        <v>0.8</v>
      </c>
      <c r="N98" s="375">
        <f t="shared" si="10"/>
        <v>0.8</v>
      </c>
      <c r="O98" s="375">
        <f t="shared" si="10"/>
        <v>0.8</v>
      </c>
      <c r="P98" s="375">
        <f t="shared" si="10"/>
        <v>0.8</v>
      </c>
      <c r="Q98" s="375">
        <f t="shared" si="10"/>
        <v>0.8</v>
      </c>
      <c r="R98" s="375">
        <f t="shared" si="10"/>
        <v>0.8</v>
      </c>
      <c r="S98" s="375">
        <f t="shared" si="10"/>
        <v>0.8</v>
      </c>
      <c r="T98" s="375">
        <f t="shared" si="10"/>
        <v>0.8</v>
      </c>
      <c r="U98" s="375">
        <f t="shared" si="10"/>
        <v>0.8</v>
      </c>
      <c r="V98" s="375">
        <f t="shared" si="10"/>
        <v>0.8</v>
      </c>
      <c r="W98" s="375">
        <f t="shared" si="10"/>
        <v>0.8</v>
      </c>
      <c r="X98" s="375">
        <f t="shared" si="10"/>
        <v>0.8</v>
      </c>
      <c r="Y98" s="375">
        <f t="shared" si="10"/>
        <v>0.8</v>
      </c>
      <c r="Z98" s="375">
        <f t="shared" si="10"/>
        <v>0.8</v>
      </c>
      <c r="AA98" s="375">
        <f t="shared" si="10"/>
        <v>0.8</v>
      </c>
      <c r="AB98" s="375">
        <f t="shared" si="10"/>
        <v>0.8</v>
      </c>
      <c r="AC98" s="375">
        <f t="shared" si="10"/>
        <v>0.8</v>
      </c>
      <c r="AD98" s="375">
        <f t="shared" si="10"/>
        <v>0.8</v>
      </c>
      <c r="AE98" s="375">
        <f t="shared" si="10"/>
        <v>0.8</v>
      </c>
      <c r="AF98" s="375">
        <f t="shared" si="10"/>
        <v>0.8</v>
      </c>
    </row>
    <row r="99" spans="1:32" s="376" customFormat="1" x14ac:dyDescent="0.25">
      <c r="B99" s="376" t="s">
        <v>29</v>
      </c>
      <c r="D99" s="367"/>
      <c r="E99" s="367"/>
      <c r="F99" s="367"/>
      <c r="G99" s="375">
        <f t="shared" ref="G99:AF99" si="11">G24*G61</f>
        <v>1</v>
      </c>
      <c r="H99" s="375">
        <f t="shared" si="11"/>
        <v>1</v>
      </c>
      <c r="I99" s="375">
        <f t="shared" si="11"/>
        <v>1</v>
      </c>
      <c r="J99" s="375">
        <f t="shared" si="11"/>
        <v>1</v>
      </c>
      <c r="K99" s="375">
        <f t="shared" si="11"/>
        <v>1</v>
      </c>
      <c r="L99" s="375">
        <f t="shared" si="11"/>
        <v>1</v>
      </c>
      <c r="M99" s="375">
        <f t="shared" si="11"/>
        <v>1</v>
      </c>
      <c r="N99" s="375">
        <f t="shared" si="11"/>
        <v>1</v>
      </c>
      <c r="O99" s="375">
        <f t="shared" si="11"/>
        <v>1</v>
      </c>
      <c r="P99" s="375">
        <f t="shared" si="11"/>
        <v>1</v>
      </c>
      <c r="Q99" s="375">
        <f t="shared" si="11"/>
        <v>1</v>
      </c>
      <c r="R99" s="375">
        <f t="shared" si="11"/>
        <v>1</v>
      </c>
      <c r="S99" s="375">
        <f t="shared" si="11"/>
        <v>1</v>
      </c>
      <c r="T99" s="375">
        <f t="shared" si="11"/>
        <v>1</v>
      </c>
      <c r="U99" s="375">
        <f t="shared" si="11"/>
        <v>1</v>
      </c>
      <c r="V99" s="375">
        <f t="shared" si="11"/>
        <v>1</v>
      </c>
      <c r="W99" s="375">
        <f t="shared" si="11"/>
        <v>1</v>
      </c>
      <c r="X99" s="375">
        <f t="shared" si="11"/>
        <v>1</v>
      </c>
      <c r="Y99" s="375">
        <f t="shared" si="11"/>
        <v>1</v>
      </c>
      <c r="Z99" s="375">
        <f t="shared" si="11"/>
        <v>1</v>
      </c>
      <c r="AA99" s="375">
        <f t="shared" si="11"/>
        <v>1</v>
      </c>
      <c r="AB99" s="375">
        <f t="shared" si="11"/>
        <v>1</v>
      </c>
      <c r="AC99" s="375">
        <f t="shared" si="11"/>
        <v>1</v>
      </c>
      <c r="AD99" s="375">
        <f t="shared" si="11"/>
        <v>1</v>
      </c>
      <c r="AE99" s="375">
        <f t="shared" si="11"/>
        <v>1</v>
      </c>
      <c r="AF99" s="375">
        <f t="shared" si="11"/>
        <v>1</v>
      </c>
    </row>
    <row r="100" spans="1:32" s="376" customFormat="1" x14ac:dyDescent="0.25">
      <c r="D100" s="367"/>
      <c r="E100" s="367"/>
      <c r="F100" s="367"/>
      <c r="G100" s="367"/>
      <c r="H100" s="367"/>
      <c r="I100" s="367"/>
      <c r="J100" s="367"/>
      <c r="K100" s="367"/>
      <c r="L100" s="367"/>
      <c r="M100" s="367"/>
      <c r="N100" s="367"/>
      <c r="O100" s="367"/>
      <c r="P100" s="367"/>
      <c r="Q100" s="367"/>
      <c r="R100" s="367"/>
      <c r="S100" s="367"/>
      <c r="T100" s="367"/>
      <c r="U100" s="367"/>
      <c r="V100" s="367"/>
      <c r="W100" s="367"/>
      <c r="X100" s="367"/>
      <c r="Y100" s="367"/>
      <c r="Z100" s="367"/>
      <c r="AA100" s="367"/>
      <c r="AB100" s="367"/>
      <c r="AC100" s="367"/>
      <c r="AD100" s="367"/>
      <c r="AE100" s="367"/>
      <c r="AF100" s="367"/>
    </row>
    <row r="101" spans="1:32" s="376" customFormat="1" ht="12.75" x14ac:dyDescent="0.2">
      <c r="A101" s="384" t="s">
        <v>42</v>
      </c>
      <c r="B101" s="389"/>
      <c r="C101" s="389"/>
      <c r="D101" s="402"/>
      <c r="E101" s="402"/>
      <c r="F101" s="402"/>
      <c r="G101" s="402"/>
      <c r="H101" s="402"/>
      <c r="I101" s="402"/>
      <c r="J101" s="402"/>
      <c r="K101" s="402"/>
      <c r="L101" s="402"/>
      <c r="M101" s="402"/>
      <c r="N101" s="402"/>
      <c r="O101" s="402"/>
      <c r="P101" s="402"/>
      <c r="Q101" s="402"/>
      <c r="R101" s="402"/>
      <c r="S101" s="402"/>
      <c r="T101" s="402"/>
      <c r="U101" s="402"/>
      <c r="V101" s="402"/>
      <c r="W101" s="402"/>
      <c r="X101" s="402"/>
      <c r="Y101" s="402"/>
      <c r="Z101" s="402"/>
      <c r="AA101" s="402"/>
      <c r="AB101" s="402"/>
      <c r="AC101" s="402"/>
      <c r="AD101" s="402"/>
      <c r="AE101" s="402"/>
      <c r="AF101" s="402"/>
    </row>
    <row r="102" spans="1:32" s="376" customFormat="1" x14ac:dyDescent="0.25">
      <c r="B102" s="388" t="s">
        <v>43</v>
      </c>
      <c r="D102" s="367"/>
      <c r="E102" s="367"/>
      <c r="F102" s="367"/>
      <c r="G102" s="375">
        <f t="shared" ref="G102:AF102" si="12">G27*G64</f>
        <v>1.0000000000000002E-2</v>
      </c>
      <c r="H102" s="375">
        <f t="shared" si="12"/>
        <v>1.0000000000000002E-2</v>
      </c>
      <c r="I102" s="375">
        <f t="shared" si="12"/>
        <v>1.0000000000000002E-2</v>
      </c>
      <c r="J102" s="375">
        <f t="shared" si="12"/>
        <v>1.0000000000000002E-2</v>
      </c>
      <c r="K102" s="375">
        <f t="shared" si="12"/>
        <v>1.0000000000000002E-2</v>
      </c>
      <c r="L102" s="375">
        <f t="shared" si="12"/>
        <v>1.0000000000000002E-2</v>
      </c>
      <c r="M102" s="375">
        <f t="shared" si="12"/>
        <v>1.0000000000000002E-2</v>
      </c>
      <c r="N102" s="375">
        <f t="shared" si="12"/>
        <v>1.0000000000000002E-2</v>
      </c>
      <c r="O102" s="375">
        <f t="shared" si="12"/>
        <v>1.0000000000000002E-2</v>
      </c>
      <c r="P102" s="375">
        <f t="shared" si="12"/>
        <v>1.0000000000000002E-2</v>
      </c>
      <c r="Q102" s="375">
        <f t="shared" si="12"/>
        <v>1.0000000000000002E-2</v>
      </c>
      <c r="R102" s="375">
        <f t="shared" si="12"/>
        <v>1.0000000000000002E-2</v>
      </c>
      <c r="S102" s="375">
        <f t="shared" si="12"/>
        <v>1.0000000000000002E-2</v>
      </c>
      <c r="T102" s="375">
        <f t="shared" si="12"/>
        <v>1.0000000000000002E-2</v>
      </c>
      <c r="U102" s="375">
        <f t="shared" si="12"/>
        <v>1.0000000000000002E-2</v>
      </c>
      <c r="V102" s="375">
        <f t="shared" si="12"/>
        <v>1.0000000000000002E-2</v>
      </c>
      <c r="W102" s="375">
        <f t="shared" si="12"/>
        <v>1.0000000000000002E-2</v>
      </c>
      <c r="X102" s="375">
        <f t="shared" si="12"/>
        <v>1.0000000000000002E-2</v>
      </c>
      <c r="Y102" s="375">
        <f t="shared" si="12"/>
        <v>1.0000000000000002E-2</v>
      </c>
      <c r="Z102" s="375">
        <f t="shared" si="12"/>
        <v>1.0000000000000002E-2</v>
      </c>
      <c r="AA102" s="375">
        <f t="shared" si="12"/>
        <v>1.0000000000000002E-2</v>
      </c>
      <c r="AB102" s="375">
        <f t="shared" si="12"/>
        <v>1.0000000000000002E-2</v>
      </c>
      <c r="AC102" s="375">
        <f t="shared" si="12"/>
        <v>1.0000000000000002E-2</v>
      </c>
      <c r="AD102" s="375">
        <f t="shared" si="12"/>
        <v>1.0000000000000002E-2</v>
      </c>
      <c r="AE102" s="375">
        <f t="shared" si="12"/>
        <v>1.0000000000000002E-2</v>
      </c>
      <c r="AF102" s="375">
        <f t="shared" si="12"/>
        <v>1.0000000000000002E-2</v>
      </c>
    </row>
    <row r="103" spans="1:32" s="376" customFormat="1" x14ac:dyDescent="0.25">
      <c r="B103" s="388" t="s">
        <v>44</v>
      </c>
      <c r="D103" s="367"/>
      <c r="E103" s="367"/>
      <c r="F103" s="367"/>
      <c r="G103" s="375">
        <f t="shared" ref="G103:AF103" si="13">G28*G65</f>
        <v>1</v>
      </c>
      <c r="H103" s="375">
        <f t="shared" si="13"/>
        <v>1</v>
      </c>
      <c r="I103" s="375">
        <f t="shared" si="13"/>
        <v>1</v>
      </c>
      <c r="J103" s="375">
        <f t="shared" si="13"/>
        <v>1</v>
      </c>
      <c r="K103" s="375">
        <f t="shared" si="13"/>
        <v>1</v>
      </c>
      <c r="L103" s="375">
        <f t="shared" si="13"/>
        <v>1</v>
      </c>
      <c r="M103" s="375">
        <f t="shared" si="13"/>
        <v>1</v>
      </c>
      <c r="N103" s="375">
        <f t="shared" si="13"/>
        <v>1</v>
      </c>
      <c r="O103" s="375">
        <f t="shared" si="13"/>
        <v>1</v>
      </c>
      <c r="P103" s="375">
        <f t="shared" si="13"/>
        <v>1</v>
      </c>
      <c r="Q103" s="375">
        <f t="shared" si="13"/>
        <v>1</v>
      </c>
      <c r="R103" s="375">
        <f t="shared" si="13"/>
        <v>1</v>
      </c>
      <c r="S103" s="375">
        <f t="shared" si="13"/>
        <v>1</v>
      </c>
      <c r="T103" s="375">
        <f t="shared" si="13"/>
        <v>1</v>
      </c>
      <c r="U103" s="375">
        <f t="shared" si="13"/>
        <v>1</v>
      </c>
      <c r="V103" s="375">
        <f t="shared" si="13"/>
        <v>1</v>
      </c>
      <c r="W103" s="375">
        <f t="shared" si="13"/>
        <v>1</v>
      </c>
      <c r="X103" s="375">
        <f t="shared" si="13"/>
        <v>1</v>
      </c>
      <c r="Y103" s="375">
        <f t="shared" si="13"/>
        <v>1</v>
      </c>
      <c r="Z103" s="375">
        <f t="shared" si="13"/>
        <v>1</v>
      </c>
      <c r="AA103" s="375">
        <f t="shared" si="13"/>
        <v>1</v>
      </c>
      <c r="AB103" s="375">
        <f t="shared" si="13"/>
        <v>1</v>
      </c>
      <c r="AC103" s="375">
        <f t="shared" si="13"/>
        <v>1</v>
      </c>
      <c r="AD103" s="375">
        <f t="shared" si="13"/>
        <v>1</v>
      </c>
      <c r="AE103" s="375">
        <f t="shared" si="13"/>
        <v>1</v>
      </c>
      <c r="AF103" s="375">
        <f t="shared" si="13"/>
        <v>1</v>
      </c>
    </row>
    <row r="104" spans="1:32" s="376" customFormat="1" x14ac:dyDescent="0.25">
      <c r="B104" s="388" t="s">
        <v>45</v>
      </c>
      <c r="D104" s="367"/>
      <c r="E104" s="367"/>
      <c r="F104" s="367"/>
      <c r="G104" s="375">
        <f t="shared" ref="G104:AF104" si="14">G29*G66</f>
        <v>5.0000000000000001E-3</v>
      </c>
      <c r="H104" s="375">
        <f t="shared" si="14"/>
        <v>5.0000000000000001E-3</v>
      </c>
      <c r="I104" s="375">
        <f t="shared" si="14"/>
        <v>5.0000000000000001E-3</v>
      </c>
      <c r="J104" s="375">
        <f t="shared" si="14"/>
        <v>5.0000000000000001E-3</v>
      </c>
      <c r="K104" s="375">
        <f t="shared" si="14"/>
        <v>5.0000000000000001E-3</v>
      </c>
      <c r="L104" s="375">
        <f t="shared" si="14"/>
        <v>5.0000000000000001E-3</v>
      </c>
      <c r="M104" s="375">
        <f t="shared" si="14"/>
        <v>5.0000000000000001E-3</v>
      </c>
      <c r="N104" s="375">
        <f t="shared" si="14"/>
        <v>5.0000000000000001E-3</v>
      </c>
      <c r="O104" s="375">
        <f t="shared" si="14"/>
        <v>5.0000000000000001E-3</v>
      </c>
      <c r="P104" s="375">
        <f t="shared" si="14"/>
        <v>5.0000000000000001E-3</v>
      </c>
      <c r="Q104" s="375">
        <f t="shared" si="14"/>
        <v>5.0000000000000001E-3</v>
      </c>
      <c r="R104" s="375">
        <f t="shared" si="14"/>
        <v>5.0000000000000001E-3</v>
      </c>
      <c r="S104" s="375">
        <f t="shared" si="14"/>
        <v>5.0000000000000001E-3</v>
      </c>
      <c r="T104" s="375">
        <f t="shared" si="14"/>
        <v>5.0000000000000001E-3</v>
      </c>
      <c r="U104" s="375">
        <f t="shared" si="14"/>
        <v>5.0000000000000001E-3</v>
      </c>
      <c r="V104" s="375">
        <f t="shared" si="14"/>
        <v>5.0000000000000001E-3</v>
      </c>
      <c r="W104" s="375">
        <f t="shared" si="14"/>
        <v>5.0000000000000001E-3</v>
      </c>
      <c r="X104" s="375">
        <f t="shared" si="14"/>
        <v>5.0000000000000001E-3</v>
      </c>
      <c r="Y104" s="375">
        <f t="shared" si="14"/>
        <v>5.0000000000000001E-3</v>
      </c>
      <c r="Z104" s="375">
        <f t="shared" si="14"/>
        <v>5.0000000000000001E-3</v>
      </c>
      <c r="AA104" s="375">
        <f t="shared" si="14"/>
        <v>5.0000000000000001E-3</v>
      </c>
      <c r="AB104" s="375">
        <f t="shared" si="14"/>
        <v>5.0000000000000001E-3</v>
      </c>
      <c r="AC104" s="375">
        <f t="shared" si="14"/>
        <v>5.0000000000000001E-3</v>
      </c>
      <c r="AD104" s="375">
        <f t="shared" si="14"/>
        <v>5.0000000000000001E-3</v>
      </c>
      <c r="AE104" s="375">
        <f t="shared" si="14"/>
        <v>5.0000000000000001E-3</v>
      </c>
      <c r="AF104" s="375">
        <f t="shared" si="14"/>
        <v>5.0000000000000001E-3</v>
      </c>
    </row>
    <row r="105" spans="1:32" s="376" customFormat="1" x14ac:dyDescent="0.25">
      <c r="B105" s="388" t="s">
        <v>46</v>
      </c>
      <c r="D105" s="367"/>
      <c r="E105" s="367"/>
      <c r="F105" s="367"/>
      <c r="G105" s="375">
        <f t="shared" ref="G105:AF105" si="15">G30*G67</f>
        <v>0</v>
      </c>
      <c r="H105" s="375">
        <f t="shared" si="15"/>
        <v>0</v>
      </c>
      <c r="I105" s="375">
        <f t="shared" si="15"/>
        <v>0</v>
      </c>
      <c r="J105" s="375">
        <f t="shared" si="15"/>
        <v>0</v>
      </c>
      <c r="K105" s="375">
        <f t="shared" si="15"/>
        <v>0</v>
      </c>
      <c r="L105" s="375">
        <f t="shared" si="15"/>
        <v>0</v>
      </c>
      <c r="M105" s="375">
        <f t="shared" si="15"/>
        <v>0</v>
      </c>
      <c r="N105" s="375">
        <f t="shared" si="15"/>
        <v>0</v>
      </c>
      <c r="O105" s="375">
        <f t="shared" si="15"/>
        <v>0</v>
      </c>
      <c r="P105" s="375">
        <f t="shared" si="15"/>
        <v>0</v>
      </c>
      <c r="Q105" s="375">
        <f t="shared" si="15"/>
        <v>0</v>
      </c>
      <c r="R105" s="375">
        <f t="shared" si="15"/>
        <v>0</v>
      </c>
      <c r="S105" s="375">
        <f t="shared" si="15"/>
        <v>0</v>
      </c>
      <c r="T105" s="375">
        <f t="shared" si="15"/>
        <v>0</v>
      </c>
      <c r="U105" s="375">
        <f t="shared" si="15"/>
        <v>0</v>
      </c>
      <c r="V105" s="375">
        <f t="shared" si="15"/>
        <v>0</v>
      </c>
      <c r="W105" s="375">
        <f t="shared" si="15"/>
        <v>0</v>
      </c>
      <c r="X105" s="375">
        <f t="shared" si="15"/>
        <v>0</v>
      </c>
      <c r="Y105" s="375">
        <f t="shared" si="15"/>
        <v>0</v>
      </c>
      <c r="Z105" s="375">
        <f t="shared" si="15"/>
        <v>0</v>
      </c>
      <c r="AA105" s="375">
        <f t="shared" si="15"/>
        <v>0</v>
      </c>
      <c r="AB105" s="375">
        <f t="shared" si="15"/>
        <v>0</v>
      </c>
      <c r="AC105" s="375">
        <f t="shared" si="15"/>
        <v>0</v>
      </c>
      <c r="AD105" s="375">
        <f t="shared" si="15"/>
        <v>0</v>
      </c>
      <c r="AE105" s="375">
        <f t="shared" si="15"/>
        <v>0</v>
      </c>
      <c r="AF105" s="375">
        <f t="shared" si="15"/>
        <v>0</v>
      </c>
    </row>
    <row r="106" spans="1:32" s="376" customFormat="1" x14ac:dyDescent="0.25">
      <c r="B106" s="376" t="s">
        <v>29</v>
      </c>
      <c r="D106" s="367"/>
      <c r="E106" s="367"/>
      <c r="F106" s="367"/>
      <c r="G106" s="375">
        <f t="shared" ref="G106:AF106" si="16">G31*G68</f>
        <v>1</v>
      </c>
      <c r="H106" s="375">
        <f t="shared" si="16"/>
        <v>1</v>
      </c>
      <c r="I106" s="375">
        <f t="shared" si="16"/>
        <v>1</v>
      </c>
      <c r="J106" s="375">
        <f t="shared" si="16"/>
        <v>1</v>
      </c>
      <c r="K106" s="375">
        <f t="shared" si="16"/>
        <v>1</v>
      </c>
      <c r="L106" s="375">
        <f t="shared" si="16"/>
        <v>1</v>
      </c>
      <c r="M106" s="375">
        <f t="shared" si="16"/>
        <v>1</v>
      </c>
      <c r="N106" s="375">
        <f t="shared" si="16"/>
        <v>1</v>
      </c>
      <c r="O106" s="375">
        <f t="shared" si="16"/>
        <v>1</v>
      </c>
      <c r="P106" s="375">
        <f t="shared" si="16"/>
        <v>1</v>
      </c>
      <c r="Q106" s="375">
        <f t="shared" si="16"/>
        <v>1</v>
      </c>
      <c r="R106" s="375">
        <f t="shared" si="16"/>
        <v>1</v>
      </c>
      <c r="S106" s="375">
        <f t="shared" si="16"/>
        <v>1</v>
      </c>
      <c r="T106" s="375">
        <f t="shared" si="16"/>
        <v>1</v>
      </c>
      <c r="U106" s="375">
        <f t="shared" si="16"/>
        <v>1</v>
      </c>
      <c r="V106" s="375">
        <f t="shared" si="16"/>
        <v>1</v>
      </c>
      <c r="W106" s="375">
        <f t="shared" si="16"/>
        <v>1</v>
      </c>
      <c r="X106" s="375">
        <f t="shared" si="16"/>
        <v>1</v>
      </c>
      <c r="Y106" s="375">
        <f t="shared" si="16"/>
        <v>1</v>
      </c>
      <c r="Z106" s="375">
        <f t="shared" si="16"/>
        <v>1</v>
      </c>
      <c r="AA106" s="375">
        <f t="shared" si="16"/>
        <v>1</v>
      </c>
      <c r="AB106" s="375">
        <f t="shared" si="16"/>
        <v>1</v>
      </c>
      <c r="AC106" s="375">
        <f t="shared" si="16"/>
        <v>1</v>
      </c>
      <c r="AD106" s="375">
        <f t="shared" si="16"/>
        <v>1</v>
      </c>
      <c r="AE106" s="375">
        <f t="shared" si="16"/>
        <v>1</v>
      </c>
      <c r="AF106" s="375">
        <f t="shared" si="16"/>
        <v>1</v>
      </c>
    </row>
    <row r="107" spans="1:32" s="376" customFormat="1" x14ac:dyDescent="0.25">
      <c r="D107" s="367"/>
      <c r="E107" s="367"/>
      <c r="F107" s="367"/>
      <c r="G107" s="367"/>
      <c r="H107" s="367"/>
      <c r="I107" s="367"/>
      <c r="J107" s="367"/>
      <c r="K107" s="367"/>
      <c r="L107" s="367"/>
      <c r="M107" s="367"/>
      <c r="N107" s="367"/>
      <c r="O107" s="367"/>
      <c r="P107" s="367"/>
      <c r="Q107" s="367"/>
      <c r="R107" s="367"/>
      <c r="S107" s="367"/>
      <c r="T107" s="367"/>
      <c r="U107" s="367"/>
      <c r="V107" s="367"/>
      <c r="W107" s="367"/>
      <c r="X107" s="367"/>
      <c r="Y107" s="367"/>
      <c r="Z107" s="367"/>
      <c r="AA107" s="367"/>
      <c r="AB107" s="367"/>
      <c r="AC107" s="367"/>
      <c r="AD107" s="367"/>
      <c r="AE107" s="367"/>
      <c r="AF107" s="367"/>
    </row>
    <row r="108" spans="1:32" s="376" customFormat="1" ht="12.75" x14ac:dyDescent="0.2">
      <c r="A108" s="401" t="s">
        <v>47</v>
      </c>
      <c r="B108" s="389"/>
      <c r="C108" s="389"/>
      <c r="D108" s="402"/>
      <c r="E108" s="402"/>
      <c r="F108" s="402"/>
      <c r="G108" s="402"/>
      <c r="H108" s="402"/>
      <c r="I108" s="402"/>
      <c r="J108" s="402"/>
      <c r="K108" s="402"/>
      <c r="L108" s="402"/>
      <c r="M108" s="402"/>
      <c r="N108" s="402"/>
      <c r="O108" s="402"/>
      <c r="P108" s="402"/>
      <c r="Q108" s="402"/>
      <c r="R108" s="402"/>
      <c r="S108" s="402"/>
      <c r="T108" s="402"/>
      <c r="U108" s="402"/>
      <c r="V108" s="402"/>
      <c r="W108" s="402"/>
      <c r="X108" s="402"/>
      <c r="Y108" s="402"/>
      <c r="Z108" s="402"/>
      <c r="AA108" s="402"/>
      <c r="AB108" s="402"/>
      <c r="AC108" s="402"/>
      <c r="AD108" s="402"/>
      <c r="AE108" s="402"/>
      <c r="AF108" s="402"/>
    </row>
    <row r="109" spans="1:32" s="376" customFormat="1" x14ac:dyDescent="0.25">
      <c r="B109" s="376" t="s">
        <v>48</v>
      </c>
      <c r="D109" s="367"/>
      <c r="E109" s="367"/>
      <c r="F109" s="367"/>
      <c r="G109" s="375">
        <f>G34*G71</f>
        <v>0</v>
      </c>
      <c r="H109" s="375">
        <f t="shared" ref="H109:AF109" si="17">H34*H71</f>
        <v>0</v>
      </c>
      <c r="I109" s="375">
        <f t="shared" si="17"/>
        <v>0</v>
      </c>
      <c r="J109" s="375">
        <f t="shared" si="17"/>
        <v>0</v>
      </c>
      <c r="K109" s="375">
        <f t="shared" si="17"/>
        <v>0</v>
      </c>
      <c r="L109" s="375">
        <f t="shared" si="17"/>
        <v>0</v>
      </c>
      <c r="M109" s="375">
        <f t="shared" si="17"/>
        <v>0</v>
      </c>
      <c r="N109" s="375">
        <f t="shared" si="17"/>
        <v>0</v>
      </c>
      <c r="O109" s="375">
        <f t="shared" si="17"/>
        <v>0</v>
      </c>
      <c r="P109" s="375">
        <f t="shared" si="17"/>
        <v>0</v>
      </c>
      <c r="Q109" s="375">
        <f t="shared" si="17"/>
        <v>0</v>
      </c>
      <c r="R109" s="375">
        <f t="shared" si="17"/>
        <v>0</v>
      </c>
      <c r="S109" s="375">
        <f t="shared" si="17"/>
        <v>0</v>
      </c>
      <c r="T109" s="375">
        <f t="shared" si="17"/>
        <v>0</v>
      </c>
      <c r="U109" s="375">
        <f t="shared" si="17"/>
        <v>0</v>
      </c>
      <c r="V109" s="375">
        <f t="shared" si="17"/>
        <v>0</v>
      </c>
      <c r="W109" s="375">
        <f t="shared" si="17"/>
        <v>0</v>
      </c>
      <c r="X109" s="375">
        <f t="shared" si="17"/>
        <v>0</v>
      </c>
      <c r="Y109" s="375">
        <f t="shared" si="17"/>
        <v>0</v>
      </c>
      <c r="Z109" s="375">
        <f t="shared" si="17"/>
        <v>0</v>
      </c>
      <c r="AA109" s="375">
        <f t="shared" si="17"/>
        <v>0</v>
      </c>
      <c r="AB109" s="375">
        <f t="shared" si="17"/>
        <v>0</v>
      </c>
      <c r="AC109" s="375">
        <f t="shared" si="17"/>
        <v>0</v>
      </c>
      <c r="AD109" s="375">
        <f t="shared" si="17"/>
        <v>0</v>
      </c>
      <c r="AE109" s="375">
        <f t="shared" si="17"/>
        <v>0</v>
      </c>
      <c r="AF109" s="375">
        <f t="shared" si="17"/>
        <v>0</v>
      </c>
    </row>
    <row r="110" spans="1:32" s="376" customFormat="1" x14ac:dyDescent="0.25">
      <c r="B110" s="388" t="s">
        <v>50</v>
      </c>
      <c r="D110" s="367"/>
      <c r="E110" s="367"/>
      <c r="F110" s="367"/>
      <c r="G110" s="375">
        <f t="shared" ref="G110:AF110" si="18">G35*G72</f>
        <v>1</v>
      </c>
      <c r="H110" s="375">
        <f t="shared" si="18"/>
        <v>1</v>
      </c>
      <c r="I110" s="375">
        <f t="shared" si="18"/>
        <v>1</v>
      </c>
      <c r="J110" s="375">
        <f t="shared" si="18"/>
        <v>1</v>
      </c>
      <c r="K110" s="375">
        <f t="shared" si="18"/>
        <v>1</v>
      </c>
      <c r="L110" s="375">
        <f t="shared" si="18"/>
        <v>1</v>
      </c>
      <c r="M110" s="375">
        <f t="shared" si="18"/>
        <v>1</v>
      </c>
      <c r="N110" s="375">
        <f t="shared" si="18"/>
        <v>1</v>
      </c>
      <c r="O110" s="375">
        <f t="shared" si="18"/>
        <v>1</v>
      </c>
      <c r="P110" s="375">
        <f t="shared" si="18"/>
        <v>1</v>
      </c>
      <c r="Q110" s="375">
        <f t="shared" si="18"/>
        <v>1</v>
      </c>
      <c r="R110" s="375">
        <f t="shared" si="18"/>
        <v>1</v>
      </c>
      <c r="S110" s="375">
        <f t="shared" si="18"/>
        <v>1</v>
      </c>
      <c r="T110" s="375">
        <f t="shared" si="18"/>
        <v>1</v>
      </c>
      <c r="U110" s="375">
        <f t="shared" si="18"/>
        <v>1</v>
      </c>
      <c r="V110" s="375">
        <f t="shared" si="18"/>
        <v>1</v>
      </c>
      <c r="W110" s="375">
        <f t="shared" si="18"/>
        <v>1</v>
      </c>
      <c r="X110" s="375">
        <f t="shared" si="18"/>
        <v>1</v>
      </c>
      <c r="Y110" s="375">
        <f t="shared" si="18"/>
        <v>1</v>
      </c>
      <c r="Z110" s="375">
        <f t="shared" si="18"/>
        <v>1</v>
      </c>
      <c r="AA110" s="375">
        <f t="shared" si="18"/>
        <v>1</v>
      </c>
      <c r="AB110" s="375">
        <f t="shared" si="18"/>
        <v>1</v>
      </c>
      <c r="AC110" s="375">
        <f t="shared" si="18"/>
        <v>1</v>
      </c>
      <c r="AD110" s="375">
        <f t="shared" si="18"/>
        <v>1</v>
      </c>
      <c r="AE110" s="375">
        <f t="shared" si="18"/>
        <v>1</v>
      </c>
      <c r="AF110" s="375">
        <f t="shared" si="18"/>
        <v>1</v>
      </c>
    </row>
    <row r="111" spans="1:32" s="376" customFormat="1" x14ac:dyDescent="0.25">
      <c r="B111" s="376" t="s">
        <v>51</v>
      </c>
      <c r="D111" s="367"/>
      <c r="E111" s="367"/>
      <c r="F111" s="367"/>
      <c r="G111" s="375">
        <f t="shared" ref="G111:AF111" si="19">G36*G73</f>
        <v>1</v>
      </c>
      <c r="H111" s="375">
        <f t="shared" si="19"/>
        <v>1</v>
      </c>
      <c r="I111" s="375">
        <f t="shared" si="19"/>
        <v>1</v>
      </c>
      <c r="J111" s="375">
        <f t="shared" si="19"/>
        <v>1</v>
      </c>
      <c r="K111" s="375">
        <f t="shared" si="19"/>
        <v>1</v>
      </c>
      <c r="L111" s="375">
        <f t="shared" si="19"/>
        <v>1</v>
      </c>
      <c r="M111" s="375">
        <f t="shared" si="19"/>
        <v>1</v>
      </c>
      <c r="N111" s="375">
        <f t="shared" si="19"/>
        <v>1</v>
      </c>
      <c r="O111" s="375">
        <f t="shared" si="19"/>
        <v>1</v>
      </c>
      <c r="P111" s="375">
        <f t="shared" si="19"/>
        <v>1</v>
      </c>
      <c r="Q111" s="375">
        <f t="shared" si="19"/>
        <v>1</v>
      </c>
      <c r="R111" s="375">
        <f t="shared" si="19"/>
        <v>1</v>
      </c>
      <c r="S111" s="375">
        <f t="shared" si="19"/>
        <v>1</v>
      </c>
      <c r="T111" s="375">
        <f t="shared" si="19"/>
        <v>1</v>
      </c>
      <c r="U111" s="375">
        <f t="shared" si="19"/>
        <v>1</v>
      </c>
      <c r="V111" s="375">
        <f t="shared" si="19"/>
        <v>1</v>
      </c>
      <c r="W111" s="375">
        <f t="shared" si="19"/>
        <v>1</v>
      </c>
      <c r="X111" s="375">
        <f t="shared" si="19"/>
        <v>1</v>
      </c>
      <c r="Y111" s="375">
        <f t="shared" si="19"/>
        <v>1</v>
      </c>
      <c r="Z111" s="375">
        <f t="shared" si="19"/>
        <v>1</v>
      </c>
      <c r="AA111" s="375">
        <f t="shared" si="19"/>
        <v>1</v>
      </c>
      <c r="AB111" s="375">
        <f t="shared" si="19"/>
        <v>1</v>
      </c>
      <c r="AC111" s="375">
        <f t="shared" si="19"/>
        <v>1</v>
      </c>
      <c r="AD111" s="375">
        <f t="shared" si="19"/>
        <v>1</v>
      </c>
      <c r="AE111" s="375">
        <f t="shared" si="19"/>
        <v>1</v>
      </c>
      <c r="AF111" s="375">
        <f t="shared" si="19"/>
        <v>1</v>
      </c>
    </row>
    <row r="112" spans="1:32" s="376" customFormat="1" x14ac:dyDescent="0.25">
      <c r="B112" s="376" t="s">
        <v>52</v>
      </c>
      <c r="D112" s="367"/>
      <c r="E112" s="367"/>
      <c r="F112" s="367"/>
      <c r="G112" s="375">
        <f t="shared" ref="G112:AF112" si="20">G37*G74</f>
        <v>1</v>
      </c>
      <c r="H112" s="375">
        <f t="shared" si="20"/>
        <v>1</v>
      </c>
      <c r="I112" s="375">
        <f t="shared" si="20"/>
        <v>1</v>
      </c>
      <c r="J112" s="375">
        <f t="shared" si="20"/>
        <v>1</v>
      </c>
      <c r="K112" s="375">
        <f t="shared" si="20"/>
        <v>1</v>
      </c>
      <c r="L112" s="375">
        <f t="shared" si="20"/>
        <v>1</v>
      </c>
      <c r="M112" s="375">
        <f t="shared" si="20"/>
        <v>1</v>
      </c>
      <c r="N112" s="375">
        <f t="shared" si="20"/>
        <v>1</v>
      </c>
      <c r="O112" s="375">
        <f t="shared" si="20"/>
        <v>1</v>
      </c>
      <c r="P112" s="375">
        <f t="shared" si="20"/>
        <v>1</v>
      </c>
      <c r="Q112" s="375">
        <f t="shared" si="20"/>
        <v>1</v>
      </c>
      <c r="R112" s="375">
        <f t="shared" si="20"/>
        <v>1</v>
      </c>
      <c r="S112" s="375">
        <f t="shared" si="20"/>
        <v>1</v>
      </c>
      <c r="T112" s="375">
        <f t="shared" si="20"/>
        <v>1</v>
      </c>
      <c r="U112" s="375">
        <f t="shared" si="20"/>
        <v>1</v>
      </c>
      <c r="V112" s="375">
        <f t="shared" si="20"/>
        <v>1</v>
      </c>
      <c r="W112" s="375">
        <f t="shared" si="20"/>
        <v>1</v>
      </c>
      <c r="X112" s="375">
        <f t="shared" si="20"/>
        <v>1</v>
      </c>
      <c r="Y112" s="375">
        <f t="shared" si="20"/>
        <v>1</v>
      </c>
      <c r="Z112" s="375">
        <f t="shared" si="20"/>
        <v>1</v>
      </c>
      <c r="AA112" s="375">
        <f t="shared" si="20"/>
        <v>1</v>
      </c>
      <c r="AB112" s="375">
        <f t="shared" si="20"/>
        <v>1</v>
      </c>
      <c r="AC112" s="375">
        <f t="shared" si="20"/>
        <v>1</v>
      </c>
      <c r="AD112" s="375">
        <f t="shared" si="20"/>
        <v>1</v>
      </c>
      <c r="AE112" s="375">
        <f t="shared" si="20"/>
        <v>1</v>
      </c>
      <c r="AF112" s="375">
        <f t="shared" si="20"/>
        <v>1</v>
      </c>
    </row>
    <row r="113" spans="2:32" s="376" customFormat="1" x14ac:dyDescent="0.25">
      <c r="B113" s="388" t="s">
        <v>29</v>
      </c>
      <c r="D113" s="367"/>
      <c r="E113" s="367"/>
      <c r="F113" s="367"/>
      <c r="G113" s="375">
        <f t="shared" ref="G113:AF113" si="21">G38*G75</f>
        <v>1</v>
      </c>
      <c r="H113" s="375">
        <f t="shared" si="21"/>
        <v>1</v>
      </c>
      <c r="I113" s="375">
        <f t="shared" si="21"/>
        <v>1</v>
      </c>
      <c r="J113" s="375">
        <f t="shared" si="21"/>
        <v>1</v>
      </c>
      <c r="K113" s="375">
        <f t="shared" si="21"/>
        <v>1</v>
      </c>
      <c r="L113" s="375">
        <f t="shared" si="21"/>
        <v>1</v>
      </c>
      <c r="M113" s="375">
        <f t="shared" si="21"/>
        <v>1</v>
      </c>
      <c r="N113" s="375">
        <f t="shared" si="21"/>
        <v>1</v>
      </c>
      <c r="O113" s="375">
        <f t="shared" si="21"/>
        <v>1</v>
      </c>
      <c r="P113" s="375">
        <f t="shared" si="21"/>
        <v>1</v>
      </c>
      <c r="Q113" s="375">
        <f t="shared" si="21"/>
        <v>1</v>
      </c>
      <c r="R113" s="375">
        <f t="shared" si="21"/>
        <v>1</v>
      </c>
      <c r="S113" s="375">
        <f t="shared" si="21"/>
        <v>1</v>
      </c>
      <c r="T113" s="375">
        <f t="shared" si="21"/>
        <v>1</v>
      </c>
      <c r="U113" s="375">
        <f t="shared" si="21"/>
        <v>1</v>
      </c>
      <c r="V113" s="375">
        <f t="shared" si="21"/>
        <v>1</v>
      </c>
      <c r="W113" s="375">
        <f t="shared" si="21"/>
        <v>1</v>
      </c>
      <c r="X113" s="375">
        <f t="shared" si="21"/>
        <v>1</v>
      </c>
      <c r="Y113" s="375">
        <f t="shared" si="21"/>
        <v>1</v>
      </c>
      <c r="Z113" s="375">
        <f t="shared" si="21"/>
        <v>1</v>
      </c>
      <c r="AA113" s="375">
        <f t="shared" si="21"/>
        <v>1</v>
      </c>
      <c r="AB113" s="375">
        <f t="shared" si="21"/>
        <v>1</v>
      </c>
      <c r="AC113" s="375">
        <f t="shared" si="21"/>
        <v>1</v>
      </c>
      <c r="AD113" s="375">
        <f t="shared" si="21"/>
        <v>1</v>
      </c>
      <c r="AE113" s="375">
        <f t="shared" si="21"/>
        <v>1</v>
      </c>
      <c r="AF113" s="375">
        <f t="shared" si="21"/>
        <v>1</v>
      </c>
    </row>
    <row r="114" spans="2:32" s="376" customFormat="1" x14ac:dyDescent="0.25">
      <c r="B114" s="388" t="s">
        <v>53</v>
      </c>
      <c r="D114" s="367"/>
      <c r="E114" s="367"/>
      <c r="F114" s="367"/>
      <c r="G114" s="375">
        <f t="shared" ref="G114:AF114" si="22">G39*G76</f>
        <v>1</v>
      </c>
      <c r="H114" s="375">
        <f t="shared" si="22"/>
        <v>1</v>
      </c>
      <c r="I114" s="375">
        <f t="shared" si="22"/>
        <v>1</v>
      </c>
      <c r="J114" s="375">
        <f t="shared" si="22"/>
        <v>1</v>
      </c>
      <c r="K114" s="375">
        <f t="shared" si="22"/>
        <v>1</v>
      </c>
      <c r="L114" s="375">
        <f t="shared" si="22"/>
        <v>1</v>
      </c>
      <c r="M114" s="375">
        <f t="shared" si="22"/>
        <v>1</v>
      </c>
      <c r="N114" s="375">
        <f t="shared" si="22"/>
        <v>1</v>
      </c>
      <c r="O114" s="375">
        <f t="shared" si="22"/>
        <v>1</v>
      </c>
      <c r="P114" s="375">
        <f t="shared" si="22"/>
        <v>1</v>
      </c>
      <c r="Q114" s="375">
        <f t="shared" si="22"/>
        <v>1</v>
      </c>
      <c r="R114" s="375">
        <f t="shared" si="22"/>
        <v>1</v>
      </c>
      <c r="S114" s="375">
        <f t="shared" si="22"/>
        <v>1</v>
      </c>
      <c r="T114" s="375">
        <f t="shared" si="22"/>
        <v>1</v>
      </c>
      <c r="U114" s="375">
        <f t="shared" si="22"/>
        <v>1</v>
      </c>
      <c r="V114" s="375">
        <f t="shared" si="22"/>
        <v>1</v>
      </c>
      <c r="W114" s="375">
        <f t="shared" si="22"/>
        <v>1</v>
      </c>
      <c r="X114" s="375">
        <f t="shared" si="22"/>
        <v>1</v>
      </c>
      <c r="Y114" s="375">
        <f t="shared" si="22"/>
        <v>1</v>
      </c>
      <c r="Z114" s="375">
        <f t="shared" si="22"/>
        <v>1</v>
      </c>
      <c r="AA114" s="375">
        <f t="shared" si="22"/>
        <v>1</v>
      </c>
      <c r="AB114" s="375">
        <f t="shared" si="22"/>
        <v>1</v>
      </c>
      <c r="AC114" s="375">
        <f t="shared" si="22"/>
        <v>1</v>
      </c>
      <c r="AD114" s="375">
        <f t="shared" si="22"/>
        <v>1</v>
      </c>
      <c r="AE114" s="375">
        <f t="shared" si="22"/>
        <v>1</v>
      </c>
      <c r="AF114" s="375">
        <f t="shared" si="22"/>
        <v>1</v>
      </c>
    </row>
    <row r="115" spans="2:32" s="376" customFormat="1" ht="12.75" x14ac:dyDescent="0.2">
      <c r="D115" s="377"/>
      <c r="E115" s="377"/>
      <c r="F115" s="377"/>
      <c r="G115" s="377"/>
      <c r="H115" s="377"/>
      <c r="I115" s="377"/>
      <c r="J115" s="377"/>
      <c r="K115" s="377"/>
      <c r="L115" s="377"/>
      <c r="M115" s="377"/>
      <c r="N115" s="377"/>
      <c r="O115" s="377"/>
      <c r="P115" s="377"/>
      <c r="Q115" s="377"/>
      <c r="R115" s="377"/>
      <c r="S115" s="377"/>
      <c r="T115" s="377"/>
      <c r="U115" s="377"/>
      <c r="V115" s="377"/>
      <c r="W115" s="377"/>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B050"/>
  </sheetPr>
  <dimension ref="A1:AF112"/>
  <sheetViews>
    <sheetView topLeftCell="C1" zoomScale="59" zoomScaleNormal="59" workbookViewId="0">
      <selection activeCell="F37" sqref="F37"/>
    </sheetView>
  </sheetViews>
  <sheetFormatPr defaultRowHeight="15" x14ac:dyDescent="0.25"/>
  <sheetData>
    <row r="1" spans="1:32" ht="18" x14ac:dyDescent="0.4">
      <c r="A1" s="259" t="s">
        <v>187</v>
      </c>
      <c r="B1" s="252"/>
      <c r="C1" s="252"/>
      <c r="D1" s="252"/>
      <c r="E1" s="252"/>
      <c r="F1" s="252"/>
      <c r="G1" s="252"/>
      <c r="H1" s="252"/>
      <c r="I1" s="252"/>
      <c r="J1" s="252"/>
      <c r="K1" s="252"/>
      <c r="L1" s="252"/>
      <c r="M1" s="252"/>
      <c r="N1" s="252"/>
      <c r="O1" s="252"/>
      <c r="P1" s="252"/>
      <c r="Q1" s="252"/>
      <c r="R1" s="252"/>
      <c r="S1" s="252"/>
      <c r="T1" s="252"/>
      <c r="U1" s="252"/>
      <c r="V1" s="252"/>
      <c r="W1" s="252"/>
      <c r="X1" s="252"/>
      <c r="Y1" s="252"/>
      <c r="Z1" s="252"/>
      <c r="AA1" s="252"/>
      <c r="AB1" s="252"/>
      <c r="AC1" s="252"/>
      <c r="AD1" s="252"/>
      <c r="AE1" s="252"/>
      <c r="AF1" s="252"/>
    </row>
    <row r="2" spans="1:32" ht="15.6" x14ac:dyDescent="0.35">
      <c r="A2" s="260" t="s">
        <v>524</v>
      </c>
      <c r="B2" s="252"/>
      <c r="C2" s="252"/>
      <c r="D2" s="252"/>
      <c r="E2" s="252"/>
      <c r="F2" s="252"/>
      <c r="G2" s="252"/>
      <c r="H2" s="252"/>
      <c r="I2" s="252"/>
      <c r="J2" s="252"/>
      <c r="K2" s="252"/>
      <c r="L2" s="252"/>
      <c r="M2" s="252"/>
      <c r="N2" s="252"/>
      <c r="O2" s="252"/>
      <c r="P2" s="252"/>
      <c r="Q2" s="252"/>
      <c r="R2" s="252"/>
      <c r="S2" s="252"/>
      <c r="T2" s="252"/>
      <c r="U2" s="252"/>
      <c r="V2" s="252"/>
      <c r="W2" s="252"/>
      <c r="X2" s="252"/>
      <c r="Y2" s="252"/>
      <c r="Z2" s="252"/>
      <c r="AA2" s="252"/>
      <c r="AB2" s="252"/>
      <c r="AC2" s="252"/>
      <c r="AD2" s="252"/>
      <c r="AE2" s="252"/>
      <c r="AF2" s="252"/>
    </row>
    <row r="3" spans="1:32" s="1040" customFormat="1" ht="14.45" x14ac:dyDescent="0.35">
      <c r="A3" s="1040" t="s">
        <v>674</v>
      </c>
      <c r="B3" s="1041"/>
      <c r="C3" s="1041"/>
      <c r="D3" s="1041"/>
      <c r="E3" s="1041"/>
      <c r="F3" s="1041"/>
      <c r="G3" s="1041"/>
      <c r="H3" s="1041"/>
      <c r="I3" s="1041"/>
      <c r="J3" s="1041"/>
      <c r="K3" s="1041"/>
      <c r="L3" s="1041"/>
      <c r="M3" s="1041"/>
      <c r="N3" s="1041"/>
      <c r="O3" s="1041"/>
      <c r="P3" s="1041"/>
      <c r="Q3" s="1041"/>
      <c r="R3" s="1041"/>
      <c r="S3" s="1041"/>
      <c r="T3" s="1041"/>
      <c r="U3" s="1041"/>
      <c r="V3" s="1041"/>
      <c r="W3" s="1041"/>
      <c r="X3" s="1041"/>
      <c r="Y3" s="1041"/>
      <c r="Z3" s="1041"/>
      <c r="AA3" s="1041"/>
      <c r="AB3" s="1041"/>
      <c r="AC3" s="1041"/>
      <c r="AD3" s="1041"/>
      <c r="AE3" s="1041"/>
      <c r="AF3" s="1041"/>
    </row>
    <row r="4" spans="1:32" ht="14.45" x14ac:dyDescent="0.35">
      <c r="A4" s="252"/>
      <c r="B4" s="252"/>
      <c r="C4" s="252"/>
      <c r="D4" s="252"/>
      <c r="E4" s="253"/>
      <c r="F4" s="253"/>
      <c r="G4" s="253">
        <v>2010</v>
      </c>
      <c r="H4" s="253">
        <v>2011</v>
      </c>
      <c r="I4" s="253">
        <v>2012</v>
      </c>
      <c r="J4" s="253">
        <v>2013</v>
      </c>
      <c r="K4" s="253">
        <v>2014</v>
      </c>
      <c r="L4" s="253">
        <v>2015</v>
      </c>
      <c r="M4" s="253">
        <v>2016</v>
      </c>
      <c r="N4" s="253">
        <v>2017</v>
      </c>
      <c r="O4" s="253">
        <v>2018</v>
      </c>
      <c r="P4" s="253">
        <v>2019</v>
      </c>
      <c r="Q4" s="253">
        <v>2020</v>
      </c>
      <c r="R4" s="253">
        <v>2021</v>
      </c>
      <c r="S4" s="253">
        <v>2022</v>
      </c>
      <c r="T4" s="253">
        <v>2023</v>
      </c>
      <c r="U4" s="253">
        <v>2024</v>
      </c>
      <c r="V4" s="253">
        <v>2025</v>
      </c>
      <c r="W4" s="253">
        <v>2026</v>
      </c>
      <c r="X4" s="253">
        <v>2027</v>
      </c>
      <c r="Y4" s="253">
        <v>2028</v>
      </c>
      <c r="Z4" s="253">
        <v>2029</v>
      </c>
      <c r="AA4" s="253">
        <v>2030</v>
      </c>
      <c r="AB4" s="253">
        <v>2031</v>
      </c>
      <c r="AC4" s="253">
        <v>2032</v>
      </c>
      <c r="AD4" s="253">
        <v>2033</v>
      </c>
      <c r="AE4" s="253">
        <v>2034</v>
      </c>
      <c r="AF4" s="253">
        <v>2035</v>
      </c>
    </row>
    <row r="6" spans="1:32" ht="14.45" x14ac:dyDescent="0.35">
      <c r="A6" s="255" t="s">
        <v>186</v>
      </c>
      <c r="B6" s="256"/>
      <c r="C6" s="256"/>
      <c r="D6" s="256"/>
      <c r="E6" s="256"/>
      <c r="F6" s="256"/>
      <c r="G6" s="866" t="s">
        <v>525</v>
      </c>
      <c r="H6" s="256"/>
      <c r="I6" s="256"/>
      <c r="J6" s="256"/>
      <c r="K6" s="256"/>
      <c r="L6" s="256"/>
      <c r="M6" s="256"/>
      <c r="N6" s="256"/>
      <c r="O6" s="256"/>
      <c r="P6" s="256"/>
      <c r="Q6" s="256"/>
      <c r="R6" s="256"/>
      <c r="S6" s="256"/>
      <c r="T6" s="256"/>
      <c r="U6" s="256"/>
      <c r="V6" s="256"/>
      <c r="W6" s="256"/>
      <c r="X6" s="256"/>
      <c r="Y6" s="256"/>
      <c r="Z6" s="256"/>
      <c r="AA6" s="256"/>
      <c r="AB6" s="256"/>
      <c r="AC6" s="256"/>
      <c r="AD6" s="256"/>
      <c r="AE6" s="256"/>
      <c r="AF6" s="256"/>
    </row>
    <row r="7" spans="1:32" ht="14.45" x14ac:dyDescent="0.35">
      <c r="A7" s="253" t="s">
        <v>12</v>
      </c>
      <c r="B7" s="252"/>
    </row>
    <row r="8" spans="1:32" ht="14.45" x14ac:dyDescent="0.35">
      <c r="A8" s="252"/>
      <c r="B8" s="252" t="s">
        <v>20</v>
      </c>
    </row>
    <row r="9" spans="1:32" s="202" customFormat="1" ht="12.95" x14ac:dyDescent="0.3">
      <c r="A9" s="267" t="s">
        <v>21</v>
      </c>
      <c r="B9" s="267"/>
      <c r="C9" s="267"/>
      <c r="D9" s="267"/>
      <c r="E9" s="267"/>
      <c r="F9" s="267"/>
      <c r="G9" s="267"/>
      <c r="H9" s="267"/>
      <c r="I9" s="267"/>
      <c r="J9" s="267"/>
      <c r="K9" s="267"/>
      <c r="L9" s="267"/>
      <c r="M9" s="267"/>
      <c r="N9" s="267"/>
      <c r="O9" s="267"/>
      <c r="P9" s="267"/>
      <c r="Q9" s="267"/>
      <c r="R9" s="267"/>
      <c r="S9" s="267"/>
      <c r="T9" s="267"/>
      <c r="U9" s="267"/>
      <c r="V9" s="267"/>
      <c r="W9" s="267"/>
      <c r="X9" s="267"/>
      <c r="Y9" s="267"/>
      <c r="Z9" s="267"/>
      <c r="AA9" s="267"/>
      <c r="AB9" s="267"/>
      <c r="AC9" s="267"/>
      <c r="AD9" s="267"/>
      <c r="AE9" s="267"/>
      <c r="AF9" s="267"/>
    </row>
    <row r="10" spans="1:32" ht="14.45" x14ac:dyDescent="0.35">
      <c r="A10" s="252"/>
      <c r="B10" s="252" t="s">
        <v>22</v>
      </c>
      <c r="G10" s="201" t="str">
        <f t="array" ref="G10:AF40">IF(Tech_Specs!$K9:$K39="lamp+ballast",IF(ISNUMBER(G46:AF76),IF(G46:AF76&lt;&gt;0,1/G46:AF76,),""),"")</f>
        <v/>
      </c>
      <c r="H10" s="201" t="str">
        <v/>
      </c>
      <c r="I10" s="201" t="str">
        <v/>
      </c>
      <c r="J10" s="201" t="str">
        <v/>
      </c>
      <c r="K10" s="201" t="str">
        <v/>
      </c>
      <c r="L10" s="201" t="str">
        <v/>
      </c>
      <c r="M10" s="201" t="str">
        <v/>
      </c>
      <c r="N10" s="201" t="str">
        <v/>
      </c>
      <c r="O10" s="201" t="str">
        <v/>
      </c>
      <c r="P10" s="201" t="str">
        <v/>
      </c>
      <c r="Q10" s="201" t="str">
        <v/>
      </c>
      <c r="R10" s="201" t="str">
        <v/>
      </c>
      <c r="S10" s="201" t="str">
        <v/>
      </c>
      <c r="T10" s="201" t="str">
        <v/>
      </c>
      <c r="U10" s="201" t="str">
        <v/>
      </c>
      <c r="V10" s="201" t="str">
        <v/>
      </c>
      <c r="W10" s="201" t="str">
        <v/>
      </c>
      <c r="X10" s="201" t="str">
        <v/>
      </c>
      <c r="Y10" s="201" t="str">
        <v/>
      </c>
      <c r="Z10" s="201" t="str">
        <v/>
      </c>
      <c r="AA10" s="201" t="str">
        <v/>
      </c>
      <c r="AB10" s="201" t="str">
        <v/>
      </c>
      <c r="AC10" s="201" t="str">
        <v/>
      </c>
      <c r="AD10" s="201" t="str">
        <v/>
      </c>
      <c r="AE10" s="201" t="str">
        <v/>
      </c>
      <c r="AF10" s="201" t="str">
        <v/>
      </c>
    </row>
    <row r="11" spans="1:32" ht="14.45" x14ac:dyDescent="0.35">
      <c r="A11" s="252"/>
      <c r="B11" s="252" t="s">
        <v>26</v>
      </c>
      <c r="G11" s="201" t="str">
        <v/>
      </c>
      <c r="H11" s="201" t="str">
        <v/>
      </c>
      <c r="I11" s="201" t="str">
        <v/>
      </c>
      <c r="J11" s="201" t="str">
        <v/>
      </c>
      <c r="K11" s="201" t="str">
        <v/>
      </c>
      <c r="L11" s="201" t="str">
        <v/>
      </c>
      <c r="M11" s="201" t="str">
        <v/>
      </c>
      <c r="N11" s="201" t="str">
        <v/>
      </c>
      <c r="O11" s="201" t="str">
        <v/>
      </c>
      <c r="P11" s="201" t="str">
        <v/>
      </c>
      <c r="Q11" s="201" t="str">
        <v/>
      </c>
      <c r="R11" s="201" t="str">
        <v/>
      </c>
      <c r="S11" s="201" t="str">
        <v/>
      </c>
      <c r="T11" s="201" t="str">
        <v/>
      </c>
      <c r="U11" s="201" t="str">
        <v/>
      </c>
      <c r="V11" s="201" t="str">
        <v/>
      </c>
      <c r="W11" s="201" t="str">
        <v/>
      </c>
      <c r="X11" s="201" t="str">
        <v/>
      </c>
      <c r="Y11" s="201" t="str">
        <v/>
      </c>
      <c r="Z11" s="201" t="str">
        <v/>
      </c>
      <c r="AA11" s="201" t="str">
        <v/>
      </c>
      <c r="AB11" s="201" t="str">
        <v/>
      </c>
      <c r="AC11" s="201" t="str">
        <v/>
      </c>
      <c r="AD11" s="201" t="str">
        <v/>
      </c>
      <c r="AE11" s="201" t="str">
        <v/>
      </c>
      <c r="AF11" s="201" t="str">
        <v/>
      </c>
    </row>
    <row r="12" spans="1:32" ht="14.45" x14ac:dyDescent="0.35">
      <c r="A12" s="252"/>
      <c r="B12" s="252" t="s">
        <v>27</v>
      </c>
      <c r="G12" s="201" t="str">
        <v/>
      </c>
      <c r="H12" s="201" t="str">
        <v/>
      </c>
      <c r="I12" s="201" t="str">
        <v/>
      </c>
      <c r="J12" s="201" t="str">
        <v/>
      </c>
      <c r="K12" s="201" t="str">
        <v/>
      </c>
      <c r="L12" s="201" t="str">
        <v/>
      </c>
      <c r="M12" s="201" t="str">
        <v/>
      </c>
      <c r="N12" s="201" t="str">
        <v/>
      </c>
      <c r="O12" s="201" t="str">
        <v/>
      </c>
      <c r="P12" s="201" t="str">
        <v/>
      </c>
      <c r="Q12" s="201" t="str">
        <v/>
      </c>
      <c r="R12" s="201" t="str">
        <v/>
      </c>
      <c r="S12" s="201" t="str">
        <v/>
      </c>
      <c r="T12" s="201" t="str">
        <v/>
      </c>
      <c r="U12" s="201" t="str">
        <v/>
      </c>
      <c r="V12" s="201" t="str">
        <v/>
      </c>
      <c r="W12" s="201" t="str">
        <v/>
      </c>
      <c r="X12" s="201" t="str">
        <v/>
      </c>
      <c r="Y12" s="201" t="str">
        <v/>
      </c>
      <c r="Z12" s="201" t="str">
        <v/>
      </c>
      <c r="AA12" s="201" t="str">
        <v/>
      </c>
      <c r="AB12" s="201" t="str">
        <v/>
      </c>
      <c r="AC12" s="201" t="str">
        <v/>
      </c>
      <c r="AD12" s="201" t="str">
        <v/>
      </c>
      <c r="AE12" s="201" t="str">
        <v/>
      </c>
      <c r="AF12" s="201" t="str">
        <v/>
      </c>
    </row>
    <row r="13" spans="1:32" ht="14.45" x14ac:dyDescent="0.35">
      <c r="A13" s="252"/>
      <c r="B13" s="252" t="s">
        <v>29</v>
      </c>
      <c r="G13" s="201" t="str">
        <v/>
      </c>
      <c r="H13" s="201" t="str">
        <v/>
      </c>
      <c r="I13" s="201" t="str">
        <v/>
      </c>
      <c r="J13" s="201" t="str">
        <v/>
      </c>
      <c r="K13" s="201" t="str">
        <v/>
      </c>
      <c r="L13" s="201" t="str">
        <v/>
      </c>
      <c r="M13" s="201" t="str">
        <v/>
      </c>
      <c r="N13" s="201" t="str">
        <v/>
      </c>
      <c r="O13" s="201" t="str">
        <v/>
      </c>
      <c r="P13" s="201" t="str">
        <v/>
      </c>
      <c r="Q13" s="201" t="str">
        <v/>
      </c>
      <c r="R13" s="201" t="str">
        <v/>
      </c>
      <c r="S13" s="201" t="str">
        <v/>
      </c>
      <c r="T13" s="201" t="str">
        <v/>
      </c>
      <c r="U13" s="201" t="str">
        <v/>
      </c>
      <c r="V13" s="201" t="str">
        <v/>
      </c>
      <c r="W13" s="201" t="str">
        <v/>
      </c>
      <c r="X13" s="201" t="str">
        <v/>
      </c>
      <c r="Y13" s="201" t="str">
        <v/>
      </c>
      <c r="Z13" s="201" t="str">
        <v/>
      </c>
      <c r="AA13" s="201" t="str">
        <v/>
      </c>
      <c r="AB13" s="201" t="str">
        <v/>
      </c>
      <c r="AC13" s="201" t="str">
        <v/>
      </c>
      <c r="AD13" s="201" t="str">
        <v/>
      </c>
      <c r="AE13" s="201" t="str">
        <v/>
      </c>
      <c r="AF13" s="201" t="str">
        <v/>
      </c>
    </row>
    <row r="14" spans="1:32" ht="14.45" x14ac:dyDescent="0.35">
      <c r="A14" s="252"/>
      <c r="B14" s="252"/>
      <c r="G14" s="201" t="str">
        <v/>
      </c>
      <c r="H14" s="201" t="str">
        <v/>
      </c>
      <c r="I14" s="201" t="str">
        <v/>
      </c>
      <c r="J14" s="201" t="str">
        <v/>
      </c>
      <c r="K14" s="201" t="str">
        <v/>
      </c>
      <c r="L14" s="201" t="str">
        <v/>
      </c>
      <c r="M14" s="201" t="str">
        <v/>
      </c>
      <c r="N14" s="201" t="str">
        <v/>
      </c>
      <c r="O14" s="201" t="str">
        <v/>
      </c>
      <c r="P14" s="201" t="str">
        <v/>
      </c>
      <c r="Q14" s="201" t="str">
        <v/>
      </c>
      <c r="R14" s="201" t="str">
        <v/>
      </c>
      <c r="S14" s="201" t="str">
        <v/>
      </c>
      <c r="T14" s="201" t="str">
        <v/>
      </c>
      <c r="U14" s="201" t="str">
        <v/>
      </c>
      <c r="V14" s="201" t="str">
        <v/>
      </c>
      <c r="W14" s="201" t="str">
        <v/>
      </c>
      <c r="X14" s="201" t="str">
        <v/>
      </c>
      <c r="Y14" s="201" t="str">
        <v/>
      </c>
      <c r="Z14" s="201" t="str">
        <v/>
      </c>
      <c r="AA14" s="201" t="str">
        <v/>
      </c>
      <c r="AB14" s="201" t="str">
        <v/>
      </c>
      <c r="AC14" s="201" t="str">
        <v/>
      </c>
      <c r="AD14" s="201" t="str">
        <v/>
      </c>
      <c r="AE14" s="201" t="str">
        <v/>
      </c>
      <c r="AF14" s="201" t="str">
        <v/>
      </c>
    </row>
    <row r="15" spans="1:32" s="202" customFormat="1" ht="12.95" x14ac:dyDescent="0.3">
      <c r="A15" s="267" t="s">
        <v>32</v>
      </c>
      <c r="B15" s="267"/>
      <c r="C15" s="267"/>
      <c r="D15" s="267"/>
      <c r="E15" s="267"/>
      <c r="F15" s="267"/>
      <c r="G15" s="643" t="str">
        <v/>
      </c>
      <c r="H15" s="643" t="str">
        <v/>
      </c>
      <c r="I15" s="643" t="str">
        <v/>
      </c>
      <c r="J15" s="643" t="str">
        <v/>
      </c>
      <c r="K15" s="643" t="str">
        <v/>
      </c>
      <c r="L15" s="643" t="str">
        <v/>
      </c>
      <c r="M15" s="643" t="str">
        <v/>
      </c>
      <c r="N15" s="643" t="str">
        <v/>
      </c>
      <c r="O15" s="643" t="str">
        <v/>
      </c>
      <c r="P15" s="643" t="str">
        <v/>
      </c>
      <c r="Q15" s="643" t="str">
        <v/>
      </c>
      <c r="R15" s="643" t="str">
        <v/>
      </c>
      <c r="S15" s="643" t="str">
        <v/>
      </c>
      <c r="T15" s="643" t="str">
        <v/>
      </c>
      <c r="U15" s="643" t="str">
        <v/>
      </c>
      <c r="V15" s="643" t="str">
        <v/>
      </c>
      <c r="W15" s="643" t="str">
        <v/>
      </c>
      <c r="X15" s="643" t="str">
        <v/>
      </c>
      <c r="Y15" s="643" t="str">
        <v/>
      </c>
      <c r="Z15" s="643" t="str">
        <v/>
      </c>
      <c r="AA15" s="643" t="str">
        <v/>
      </c>
      <c r="AB15" s="643" t="str">
        <v/>
      </c>
      <c r="AC15" s="643" t="str">
        <v/>
      </c>
      <c r="AD15" s="643" t="str">
        <v/>
      </c>
      <c r="AE15" s="643" t="str">
        <v/>
      </c>
      <c r="AF15" s="643" t="str">
        <v/>
      </c>
    </row>
    <row r="16" spans="1:32" ht="14.45" x14ac:dyDescent="0.35">
      <c r="A16" s="252"/>
      <c r="B16" s="252" t="s">
        <v>33</v>
      </c>
      <c r="G16" s="201" t="str">
        <v/>
      </c>
      <c r="H16" s="201" t="str">
        <v/>
      </c>
      <c r="I16" s="201" t="str">
        <v/>
      </c>
      <c r="J16" s="201" t="str">
        <v/>
      </c>
      <c r="K16" s="201" t="str">
        <v/>
      </c>
      <c r="L16" s="201" t="str">
        <v/>
      </c>
      <c r="M16" s="201" t="str">
        <v/>
      </c>
      <c r="N16" s="201" t="str">
        <v/>
      </c>
      <c r="O16" s="201" t="str">
        <v/>
      </c>
      <c r="P16" s="201" t="str">
        <v/>
      </c>
      <c r="Q16" s="201" t="str">
        <v/>
      </c>
      <c r="R16" s="201" t="str">
        <v/>
      </c>
      <c r="S16" s="201" t="str">
        <v/>
      </c>
      <c r="T16" s="201" t="str">
        <v/>
      </c>
      <c r="U16" s="201" t="str">
        <v/>
      </c>
      <c r="V16" s="201" t="str">
        <v/>
      </c>
      <c r="W16" s="201" t="str">
        <v/>
      </c>
      <c r="X16" s="201" t="str">
        <v/>
      </c>
      <c r="Y16" s="201" t="str">
        <v/>
      </c>
      <c r="Z16" s="201" t="str">
        <v/>
      </c>
      <c r="AA16" s="201" t="str">
        <v/>
      </c>
      <c r="AB16" s="201" t="str">
        <v/>
      </c>
      <c r="AC16" s="201" t="str">
        <v/>
      </c>
      <c r="AD16" s="201" t="str">
        <v/>
      </c>
      <c r="AE16" s="201" t="str">
        <v/>
      </c>
      <c r="AF16" s="201" t="str">
        <v/>
      </c>
    </row>
    <row r="17" spans="1:32" ht="14.45" x14ac:dyDescent="0.35">
      <c r="A17" s="257"/>
      <c r="B17" s="257" t="s">
        <v>34</v>
      </c>
      <c r="G17" s="201" t="str">
        <v/>
      </c>
      <c r="H17" s="201" t="str">
        <v/>
      </c>
      <c r="I17" s="201" t="str">
        <v/>
      </c>
      <c r="J17" s="201" t="str">
        <v/>
      </c>
      <c r="K17" s="201" t="str">
        <v/>
      </c>
      <c r="L17" s="201" t="str">
        <v/>
      </c>
      <c r="M17" s="201" t="str">
        <v/>
      </c>
      <c r="N17" s="201" t="str">
        <v/>
      </c>
      <c r="O17" s="201" t="str">
        <v/>
      </c>
      <c r="P17" s="201" t="str">
        <v/>
      </c>
      <c r="Q17" s="201" t="str">
        <v/>
      </c>
      <c r="R17" s="201" t="str">
        <v/>
      </c>
      <c r="S17" s="201" t="str">
        <v/>
      </c>
      <c r="T17" s="201" t="str">
        <v/>
      </c>
      <c r="U17" s="201" t="str">
        <v/>
      </c>
      <c r="V17" s="201" t="str">
        <v/>
      </c>
      <c r="W17" s="201" t="str">
        <v/>
      </c>
      <c r="X17" s="201" t="str">
        <v/>
      </c>
      <c r="Y17" s="201" t="str">
        <v/>
      </c>
      <c r="Z17" s="201" t="str">
        <v/>
      </c>
      <c r="AA17" s="201" t="str">
        <v/>
      </c>
      <c r="AB17" s="201" t="str">
        <v/>
      </c>
      <c r="AC17" s="201" t="str">
        <v/>
      </c>
      <c r="AD17" s="201" t="str">
        <v/>
      </c>
      <c r="AE17" s="201" t="str">
        <v/>
      </c>
      <c r="AF17" s="201" t="str">
        <v/>
      </c>
    </row>
    <row r="18" spans="1:32" ht="14.45" x14ac:dyDescent="0.35">
      <c r="A18" s="252"/>
      <c r="B18" s="257" t="s">
        <v>35</v>
      </c>
      <c r="G18" s="201" t="str">
        <v/>
      </c>
      <c r="H18" s="201" t="str">
        <v/>
      </c>
      <c r="I18" s="201" t="str">
        <v/>
      </c>
      <c r="J18" s="201" t="str">
        <v/>
      </c>
      <c r="K18" s="201" t="str">
        <v/>
      </c>
      <c r="L18" s="201" t="str">
        <v/>
      </c>
      <c r="M18" s="201" t="str">
        <v/>
      </c>
      <c r="N18" s="201" t="str">
        <v/>
      </c>
      <c r="O18" s="201" t="str">
        <v/>
      </c>
      <c r="P18" s="201" t="str">
        <v/>
      </c>
      <c r="Q18" s="201" t="str">
        <v/>
      </c>
      <c r="R18" s="201" t="str">
        <v/>
      </c>
      <c r="S18" s="201" t="str">
        <v/>
      </c>
      <c r="T18" s="201" t="str">
        <v/>
      </c>
      <c r="U18" s="201" t="str">
        <v/>
      </c>
      <c r="V18" s="201" t="str">
        <v/>
      </c>
      <c r="W18" s="201" t="str">
        <v/>
      </c>
      <c r="X18" s="201" t="str">
        <v/>
      </c>
      <c r="Y18" s="201" t="str">
        <v/>
      </c>
      <c r="Z18" s="201" t="str">
        <v/>
      </c>
      <c r="AA18" s="201" t="str">
        <v/>
      </c>
      <c r="AB18" s="201" t="str">
        <v/>
      </c>
      <c r="AC18" s="201" t="str">
        <v/>
      </c>
      <c r="AD18" s="201" t="str">
        <v/>
      </c>
      <c r="AE18" s="201" t="str">
        <v/>
      </c>
      <c r="AF18" s="201" t="str">
        <v/>
      </c>
    </row>
    <row r="19" spans="1:32" ht="14.45" x14ac:dyDescent="0.35">
      <c r="A19" s="252"/>
      <c r="B19" s="257" t="s">
        <v>29</v>
      </c>
      <c r="G19" s="201" t="str">
        <v/>
      </c>
      <c r="H19" s="201" t="str">
        <v/>
      </c>
      <c r="I19" s="201" t="str">
        <v/>
      </c>
      <c r="J19" s="201" t="str">
        <v/>
      </c>
      <c r="K19" s="201" t="str">
        <v/>
      </c>
      <c r="L19" s="201" t="str">
        <v/>
      </c>
      <c r="M19" s="201" t="str">
        <v/>
      </c>
      <c r="N19" s="201" t="str">
        <v/>
      </c>
      <c r="O19" s="201" t="str">
        <v/>
      </c>
      <c r="P19" s="201" t="str">
        <v/>
      </c>
      <c r="Q19" s="201" t="str">
        <v/>
      </c>
      <c r="R19" s="201" t="str">
        <v/>
      </c>
      <c r="S19" s="201" t="str">
        <v/>
      </c>
      <c r="T19" s="201" t="str">
        <v/>
      </c>
      <c r="U19" s="201" t="str">
        <v/>
      </c>
      <c r="V19" s="201" t="str">
        <v/>
      </c>
      <c r="W19" s="201" t="str">
        <v/>
      </c>
      <c r="X19" s="201" t="str">
        <v/>
      </c>
      <c r="Y19" s="201" t="str">
        <v/>
      </c>
      <c r="Z19" s="201" t="str">
        <v/>
      </c>
      <c r="AA19" s="201" t="str">
        <v/>
      </c>
      <c r="AB19" s="201" t="str">
        <v/>
      </c>
      <c r="AC19" s="201" t="str">
        <v/>
      </c>
      <c r="AD19" s="201" t="str">
        <v/>
      </c>
      <c r="AE19" s="201" t="str">
        <v/>
      </c>
      <c r="AF19" s="201" t="str">
        <v/>
      </c>
    </row>
    <row r="20" spans="1:32" ht="14.45" x14ac:dyDescent="0.35">
      <c r="A20" s="252"/>
      <c r="B20" s="252"/>
      <c r="G20" s="201" t="str">
        <v/>
      </c>
      <c r="H20" s="201" t="str">
        <v/>
      </c>
      <c r="I20" s="201" t="str">
        <v/>
      </c>
      <c r="J20" s="201" t="str">
        <v/>
      </c>
      <c r="K20" s="201" t="str">
        <v/>
      </c>
      <c r="L20" s="201" t="str">
        <v/>
      </c>
      <c r="M20" s="201" t="str">
        <v/>
      </c>
      <c r="N20" s="201" t="str">
        <v/>
      </c>
      <c r="O20" s="201" t="str">
        <v/>
      </c>
      <c r="P20" s="201" t="str">
        <v/>
      </c>
      <c r="Q20" s="201" t="str">
        <v/>
      </c>
      <c r="R20" s="201" t="str">
        <v/>
      </c>
      <c r="S20" s="201" t="str">
        <v/>
      </c>
      <c r="T20" s="201" t="str">
        <v/>
      </c>
      <c r="U20" s="201" t="str">
        <v/>
      </c>
      <c r="V20" s="201" t="str">
        <v/>
      </c>
      <c r="W20" s="201" t="str">
        <v/>
      </c>
      <c r="X20" s="201" t="str">
        <v/>
      </c>
      <c r="Y20" s="201" t="str">
        <v/>
      </c>
      <c r="Z20" s="201" t="str">
        <v/>
      </c>
      <c r="AA20" s="201" t="str">
        <v/>
      </c>
      <c r="AB20" s="201" t="str">
        <v/>
      </c>
      <c r="AC20" s="201" t="str">
        <v/>
      </c>
      <c r="AD20" s="201" t="str">
        <v/>
      </c>
      <c r="AE20" s="201" t="str">
        <v/>
      </c>
      <c r="AF20" s="201" t="str">
        <v/>
      </c>
    </row>
    <row r="21" spans="1:32" s="202" customFormat="1" ht="12.95" x14ac:dyDescent="0.3">
      <c r="A21" s="267" t="s">
        <v>36</v>
      </c>
      <c r="B21" s="267"/>
      <c r="C21" s="267"/>
      <c r="D21" s="267"/>
      <c r="E21" s="267"/>
      <c r="F21" s="267"/>
      <c r="G21" s="643" t="str">
        <v/>
      </c>
      <c r="H21" s="643" t="str">
        <v/>
      </c>
      <c r="I21" s="643" t="str">
        <v/>
      </c>
      <c r="J21" s="643" t="str">
        <v/>
      </c>
      <c r="K21" s="643" t="str">
        <v/>
      </c>
      <c r="L21" s="643" t="str">
        <v/>
      </c>
      <c r="M21" s="643" t="str">
        <v/>
      </c>
      <c r="N21" s="643" t="str">
        <v/>
      </c>
      <c r="O21" s="643" t="str">
        <v/>
      </c>
      <c r="P21" s="643" t="str">
        <v/>
      </c>
      <c r="Q21" s="643" t="str">
        <v/>
      </c>
      <c r="R21" s="643" t="str">
        <v/>
      </c>
      <c r="S21" s="643" t="str">
        <v/>
      </c>
      <c r="T21" s="643" t="str">
        <v/>
      </c>
      <c r="U21" s="643" t="str">
        <v/>
      </c>
      <c r="V21" s="643" t="str">
        <v/>
      </c>
      <c r="W21" s="643" t="str">
        <v/>
      </c>
      <c r="X21" s="643" t="str">
        <v/>
      </c>
      <c r="Y21" s="643" t="str">
        <v/>
      </c>
      <c r="Z21" s="643" t="str">
        <v/>
      </c>
      <c r="AA21" s="643" t="str">
        <v/>
      </c>
      <c r="AB21" s="643" t="str">
        <v/>
      </c>
      <c r="AC21" s="643" t="str">
        <v/>
      </c>
      <c r="AD21" s="643" t="str">
        <v/>
      </c>
      <c r="AE21" s="643" t="str">
        <v/>
      </c>
      <c r="AF21" s="643" t="str">
        <v/>
      </c>
    </row>
    <row r="22" spans="1:32" ht="14.45" x14ac:dyDescent="0.35">
      <c r="A22" s="252"/>
      <c r="B22" s="252" t="s">
        <v>37</v>
      </c>
      <c r="G22" s="201">
        <v>3.469875E-2</v>
      </c>
      <c r="H22" s="201">
        <v>3.469875E-2</v>
      </c>
      <c r="I22" s="201">
        <v>3.469875E-2</v>
      </c>
      <c r="J22" s="201">
        <v>3.469875E-2</v>
      </c>
      <c r="K22" s="201">
        <v>3.469875E-2</v>
      </c>
      <c r="L22" s="201">
        <v>3.469875E-2</v>
      </c>
      <c r="M22" s="201">
        <v>3.469875E-2</v>
      </c>
      <c r="N22" s="201">
        <v>3.469875E-2</v>
      </c>
      <c r="O22" s="201">
        <v>3.469875E-2</v>
      </c>
      <c r="P22" s="201">
        <v>3.469875E-2</v>
      </c>
      <c r="Q22" s="201">
        <v>3.469875E-2</v>
      </c>
      <c r="R22" s="201">
        <v>3.469875E-2</v>
      </c>
      <c r="S22" s="201">
        <v>3.469875E-2</v>
      </c>
      <c r="T22" s="201">
        <v>3.469875E-2</v>
      </c>
      <c r="U22" s="201">
        <v>3.469875E-2</v>
      </c>
      <c r="V22" s="201">
        <v>3.469875E-2</v>
      </c>
      <c r="W22" s="201">
        <v>3.469875E-2</v>
      </c>
      <c r="X22" s="201">
        <v>3.469875E-2</v>
      </c>
      <c r="Y22" s="201">
        <v>3.469875E-2</v>
      </c>
      <c r="Z22" s="201">
        <v>3.469875E-2</v>
      </c>
      <c r="AA22" s="201">
        <v>3.469875E-2</v>
      </c>
      <c r="AB22" s="201">
        <v>3.469875E-2</v>
      </c>
      <c r="AC22" s="201">
        <v>3.469875E-2</v>
      </c>
      <c r="AD22" s="201">
        <v>3.469875E-2</v>
      </c>
      <c r="AE22" s="201">
        <v>3.469875E-2</v>
      </c>
      <c r="AF22" s="201">
        <v>3.469875E-2</v>
      </c>
    </row>
    <row r="23" spans="1:32" ht="14.45" x14ac:dyDescent="0.35">
      <c r="A23" s="252"/>
      <c r="B23" s="252" t="s">
        <v>39</v>
      </c>
      <c r="G23" s="201">
        <v>3.469875E-2</v>
      </c>
      <c r="H23" s="201">
        <v>3.4612219451371551E-2</v>
      </c>
      <c r="I23" s="201">
        <v>3.4526119402985049E-2</v>
      </c>
      <c r="J23" s="201">
        <v>3.4440446650124044E-2</v>
      </c>
      <c r="K23" s="201">
        <v>3.4355198019801962E-2</v>
      </c>
      <c r="L23" s="201">
        <v>3.4270370370370354E-2</v>
      </c>
      <c r="M23" s="201">
        <v>3.4185960591132991E-2</v>
      </c>
      <c r="N23" s="201">
        <v>3.4101965601965586E-2</v>
      </c>
      <c r="O23" s="201">
        <v>3.4018382352941155E-2</v>
      </c>
      <c r="P23" s="201">
        <v>3.3935207823960867E-2</v>
      </c>
      <c r="Q23" s="201">
        <v>3.3852439024390224E-2</v>
      </c>
      <c r="R23" s="201">
        <v>3.3770072992700712E-2</v>
      </c>
      <c r="S23" s="201">
        <v>3.3688106796116481E-2</v>
      </c>
      <c r="T23" s="201">
        <v>3.3606537530266323E-2</v>
      </c>
      <c r="U23" s="201">
        <v>3.3525362318840561E-2</v>
      </c>
      <c r="V23" s="201">
        <v>3.3444578313252996E-2</v>
      </c>
      <c r="W23" s="201">
        <v>3.3364182692307676E-2</v>
      </c>
      <c r="X23" s="201">
        <v>3.328417266187049E-2</v>
      </c>
      <c r="Y23" s="201">
        <v>3.3204545454545438E-2</v>
      </c>
      <c r="Z23" s="201">
        <v>3.3125298329355596E-2</v>
      </c>
      <c r="AA23" s="201">
        <v>3.304642857142856E-2</v>
      </c>
      <c r="AB23" s="201">
        <v>3.2967933491686446E-2</v>
      </c>
      <c r="AC23" s="201">
        <v>3.2889810426540274E-2</v>
      </c>
      <c r="AD23" s="201">
        <v>3.2812056737588635E-2</v>
      </c>
      <c r="AE23" s="201">
        <v>3.2734669811320741E-2</v>
      </c>
      <c r="AF23" s="201">
        <v>3.2657647058823513E-2</v>
      </c>
    </row>
    <row r="24" spans="1:32" ht="14.45" x14ac:dyDescent="0.35">
      <c r="A24" s="252"/>
      <c r="B24" s="252" t="s">
        <v>40</v>
      </c>
      <c r="G24" s="201">
        <v>4.3373437500000001E-2</v>
      </c>
      <c r="H24" s="201">
        <v>4.326527431421448E-2</v>
      </c>
      <c r="I24" s="201">
        <v>4.3157649253731362E-2</v>
      </c>
      <c r="J24" s="201">
        <v>4.3050558312655113E-2</v>
      </c>
      <c r="K24" s="201">
        <v>4.2943997524752503E-2</v>
      </c>
      <c r="L24" s="201">
        <v>4.283796296296298E-2</v>
      </c>
      <c r="M24" s="201">
        <v>4.2732450738916281E-2</v>
      </c>
      <c r="N24" s="201">
        <v>4.2627457002457014E-2</v>
      </c>
      <c r="O24" s="201">
        <v>4.252297794117648E-2</v>
      </c>
      <c r="P24" s="201">
        <v>4.2419009779951118E-2</v>
      </c>
      <c r="Q24" s="201">
        <v>4.2315548780487822E-2</v>
      </c>
      <c r="R24" s="201">
        <v>4.2212591240875931E-2</v>
      </c>
      <c r="S24" s="201">
        <v>4.2110133495145648E-2</v>
      </c>
      <c r="T24" s="201">
        <v>4.2008171912832945E-2</v>
      </c>
      <c r="U24" s="201">
        <v>4.1906702898550745E-2</v>
      </c>
      <c r="V24" s="201">
        <v>4.180572289156629E-2</v>
      </c>
      <c r="W24" s="201">
        <v>4.1705228365384636E-2</v>
      </c>
      <c r="X24" s="201">
        <v>4.160521582733815E-2</v>
      </c>
      <c r="Y24" s="201">
        <v>4.1505681818181837E-2</v>
      </c>
      <c r="Z24" s="201">
        <v>4.1406622911694529E-2</v>
      </c>
      <c r="AA24" s="201">
        <v>4.1308035714285735E-2</v>
      </c>
      <c r="AB24" s="201">
        <v>4.1209916864608093E-2</v>
      </c>
      <c r="AC24" s="201">
        <v>4.1112263033175382E-2</v>
      </c>
      <c r="AD24" s="201">
        <v>4.1015070921985829E-2</v>
      </c>
      <c r="AE24" s="201">
        <v>4.0822058823529427E-2</v>
      </c>
      <c r="AF24" s="201">
        <v>4.063085480093679E-2</v>
      </c>
    </row>
    <row r="25" spans="1:32" ht="14.45" x14ac:dyDescent="0.35">
      <c r="A25" s="252"/>
      <c r="B25" s="252" t="s">
        <v>29</v>
      </c>
      <c r="G25" s="201" t="str">
        <v/>
      </c>
      <c r="H25" s="201" t="str">
        <v/>
      </c>
      <c r="I25" s="201" t="str">
        <v/>
      </c>
      <c r="J25" s="201" t="str">
        <v/>
      </c>
      <c r="K25" s="201" t="str">
        <v/>
      </c>
      <c r="L25" s="201" t="str">
        <v/>
      </c>
      <c r="M25" s="201" t="str">
        <v/>
      </c>
      <c r="N25" s="201" t="str">
        <v/>
      </c>
      <c r="O25" s="201" t="str">
        <v/>
      </c>
      <c r="P25" s="201" t="str">
        <v/>
      </c>
      <c r="Q25" s="201" t="str">
        <v/>
      </c>
      <c r="R25" s="201" t="str">
        <v/>
      </c>
      <c r="S25" s="201" t="str">
        <v/>
      </c>
      <c r="T25" s="201" t="str">
        <v/>
      </c>
      <c r="U25" s="201" t="str">
        <v/>
      </c>
      <c r="V25" s="201" t="str">
        <v/>
      </c>
      <c r="W25" s="201" t="str">
        <v/>
      </c>
      <c r="X25" s="201" t="str">
        <v/>
      </c>
      <c r="Y25" s="201" t="str">
        <v/>
      </c>
      <c r="Z25" s="201" t="str">
        <v/>
      </c>
      <c r="AA25" s="201" t="str">
        <v/>
      </c>
      <c r="AB25" s="201" t="str">
        <v/>
      </c>
      <c r="AC25" s="201" t="str">
        <v/>
      </c>
      <c r="AD25" s="201" t="str">
        <v/>
      </c>
      <c r="AE25" s="201" t="str">
        <v/>
      </c>
      <c r="AF25" s="201" t="str">
        <v/>
      </c>
    </row>
    <row r="26" spans="1:32" ht="14.45" x14ac:dyDescent="0.35">
      <c r="A26" s="252"/>
      <c r="B26" s="252"/>
      <c r="G26" s="201" t="str">
        <v/>
      </c>
      <c r="H26" s="201" t="str">
        <v/>
      </c>
      <c r="I26" s="201" t="str">
        <v/>
      </c>
      <c r="J26" s="201" t="str">
        <v/>
      </c>
      <c r="K26" s="201" t="str">
        <v/>
      </c>
      <c r="L26" s="201" t="str">
        <v/>
      </c>
      <c r="M26" s="201" t="str">
        <v/>
      </c>
      <c r="N26" s="201" t="str">
        <v/>
      </c>
      <c r="O26" s="201" t="str">
        <v/>
      </c>
      <c r="P26" s="201" t="str">
        <v/>
      </c>
      <c r="Q26" s="201" t="str">
        <v/>
      </c>
      <c r="R26" s="201" t="str">
        <v/>
      </c>
      <c r="S26" s="201" t="str">
        <v/>
      </c>
      <c r="T26" s="201" t="str">
        <v/>
      </c>
      <c r="U26" s="201" t="str">
        <v/>
      </c>
      <c r="V26" s="201" t="str">
        <v/>
      </c>
      <c r="W26" s="201" t="str">
        <v/>
      </c>
      <c r="X26" s="201" t="str">
        <v/>
      </c>
      <c r="Y26" s="201" t="str">
        <v/>
      </c>
      <c r="Z26" s="201" t="str">
        <v/>
      </c>
      <c r="AA26" s="201" t="str">
        <v/>
      </c>
      <c r="AB26" s="201" t="str">
        <v/>
      </c>
      <c r="AC26" s="201" t="str">
        <v/>
      </c>
      <c r="AD26" s="201" t="str">
        <v/>
      </c>
      <c r="AE26" s="201" t="str">
        <v/>
      </c>
      <c r="AF26" s="201" t="str">
        <v/>
      </c>
    </row>
    <row r="27" spans="1:32" s="202" customFormat="1" ht="12.95" x14ac:dyDescent="0.3">
      <c r="A27" s="267" t="s">
        <v>42</v>
      </c>
      <c r="B27" s="267"/>
      <c r="C27" s="267"/>
      <c r="D27" s="267"/>
      <c r="E27" s="267"/>
      <c r="F27" s="267"/>
      <c r="G27" s="643" t="str">
        <v/>
      </c>
      <c r="H27" s="643" t="str">
        <v/>
      </c>
      <c r="I27" s="643" t="str">
        <v/>
      </c>
      <c r="J27" s="643" t="str">
        <v/>
      </c>
      <c r="K27" s="643" t="str">
        <v/>
      </c>
      <c r="L27" s="643" t="str">
        <v/>
      </c>
      <c r="M27" s="643" t="str">
        <v/>
      </c>
      <c r="N27" s="643" t="str">
        <v/>
      </c>
      <c r="O27" s="643" t="str">
        <v/>
      </c>
      <c r="P27" s="643" t="str">
        <v/>
      </c>
      <c r="Q27" s="643" t="str">
        <v/>
      </c>
      <c r="R27" s="643" t="str">
        <v/>
      </c>
      <c r="S27" s="643" t="str">
        <v/>
      </c>
      <c r="T27" s="643" t="str">
        <v/>
      </c>
      <c r="U27" s="643" t="str">
        <v/>
      </c>
      <c r="V27" s="643" t="str">
        <v/>
      </c>
      <c r="W27" s="643" t="str">
        <v/>
      </c>
      <c r="X27" s="643" t="str">
        <v/>
      </c>
      <c r="Y27" s="643" t="str">
        <v/>
      </c>
      <c r="Z27" s="643" t="str">
        <v/>
      </c>
      <c r="AA27" s="643" t="str">
        <v/>
      </c>
      <c r="AB27" s="643" t="str">
        <v/>
      </c>
      <c r="AC27" s="643" t="str">
        <v/>
      </c>
      <c r="AD27" s="643" t="str">
        <v/>
      </c>
      <c r="AE27" s="643" t="str">
        <v/>
      </c>
      <c r="AF27" s="643" t="str">
        <v/>
      </c>
    </row>
    <row r="28" spans="1:32" ht="14.45" x14ac:dyDescent="0.35">
      <c r="A28" s="252"/>
      <c r="B28" s="257" t="s">
        <v>43</v>
      </c>
      <c r="G28" s="201">
        <v>4.5164665271966518E-2</v>
      </c>
      <c r="H28" s="201">
        <v>4.5164665271966518E-2</v>
      </c>
      <c r="I28" s="201">
        <v>4.5164665271966518E-2</v>
      </c>
      <c r="J28" s="201">
        <v>4.5164665271966518E-2</v>
      </c>
      <c r="K28" s="201">
        <v>4.5164665271966518E-2</v>
      </c>
      <c r="L28" s="201">
        <v>4.5164665271966518E-2</v>
      </c>
      <c r="M28" s="201">
        <v>4.5164665271966525E-2</v>
      </c>
      <c r="N28" s="201">
        <v>4.5164665271966518E-2</v>
      </c>
      <c r="O28" s="201">
        <v>4.5164665271966518E-2</v>
      </c>
      <c r="P28" s="201">
        <v>4.5164665271966511E-2</v>
      </c>
      <c r="Q28" s="201">
        <v>4.5164665271966511E-2</v>
      </c>
      <c r="R28" s="201">
        <v>4.5164665271966511E-2</v>
      </c>
      <c r="S28" s="201">
        <v>4.5164665271966505E-2</v>
      </c>
      <c r="T28" s="201">
        <v>4.5164665271966505E-2</v>
      </c>
      <c r="U28" s="201">
        <v>4.5164665271966505E-2</v>
      </c>
      <c r="V28" s="201">
        <v>4.5164665271966505E-2</v>
      </c>
      <c r="W28" s="201">
        <v>4.5164665271966505E-2</v>
      </c>
      <c r="X28" s="201">
        <v>4.5164665271966505E-2</v>
      </c>
      <c r="Y28" s="201">
        <v>4.5164665271966505E-2</v>
      </c>
      <c r="Z28" s="201">
        <v>4.5164665271966505E-2</v>
      </c>
      <c r="AA28" s="201">
        <v>4.5164665271966505E-2</v>
      </c>
      <c r="AB28" s="201">
        <v>4.5164665271966498E-2</v>
      </c>
      <c r="AC28" s="201">
        <v>4.5164665271966498E-2</v>
      </c>
      <c r="AD28" s="201">
        <v>4.5164665271966498E-2</v>
      </c>
      <c r="AE28" s="201">
        <v>4.5164665271966498E-2</v>
      </c>
      <c r="AF28" s="201">
        <v>4.5164665271966498E-2</v>
      </c>
    </row>
    <row r="29" spans="1:32" ht="14.45" x14ac:dyDescent="0.35">
      <c r="A29" s="252"/>
      <c r="B29" s="257" t="s">
        <v>44</v>
      </c>
      <c r="G29" s="201">
        <v>5.0182961413296132E-2</v>
      </c>
      <c r="H29" s="201">
        <v>4.9995478369410852E-2</v>
      </c>
      <c r="I29" s="201">
        <v>4.980939098093911E-2</v>
      </c>
      <c r="J29" s="201">
        <v>4.9624683721430085E-2</v>
      </c>
      <c r="K29" s="201">
        <v>4.9441341293887837E-2</v>
      </c>
      <c r="L29" s="201">
        <v>4.9259348626548363E-2</v>
      </c>
      <c r="M29" s="201">
        <v>4.9078690868749282E-2</v>
      </c>
      <c r="N29" s="201">
        <v>4.8899353386890276E-2</v>
      </c>
      <c r="O29" s="201">
        <v>4.8721321760481696E-2</v>
      </c>
      <c r="P29" s="201">
        <v>4.8544581778279229E-2</v>
      </c>
      <c r="Q29" s="201">
        <v>4.8369119434502311E-2</v>
      </c>
      <c r="R29" s="201">
        <v>4.8194920925134353E-2</v>
      </c>
      <c r="S29" s="201">
        <v>4.8021972644302524E-2</v>
      </c>
      <c r="T29" s="201">
        <v>4.7850261180735293E-2</v>
      </c>
      <c r="U29" s="201">
        <v>4.7679773314295612E-2</v>
      </c>
      <c r="V29" s="201">
        <v>4.7510496012588062E-2</v>
      </c>
      <c r="W29" s="201">
        <v>4.7342416427637868E-2</v>
      </c>
      <c r="X29" s="201">
        <v>4.7175521892640314E-2</v>
      </c>
      <c r="Y29" s="201">
        <v>4.7009799918778572E-2</v>
      </c>
      <c r="Z29" s="201">
        <v>4.684523819210841E-2</v>
      </c>
      <c r="AA29" s="201">
        <v>4.651954708069167E-2</v>
      </c>
      <c r="AB29" s="201">
        <v>4.6358393915285116E-2</v>
      </c>
      <c r="AC29" s="201">
        <v>4.6039414140638654E-2</v>
      </c>
      <c r="AD29" s="201">
        <v>4.5724793998447498E-2</v>
      </c>
      <c r="AE29" s="201">
        <v>4.5414444717915045E-2</v>
      </c>
      <c r="AF29" s="201">
        <v>4.510827992206394E-2</v>
      </c>
    </row>
    <row r="30" spans="1:32" ht="14.45" x14ac:dyDescent="0.35">
      <c r="A30" s="252"/>
      <c r="B30" s="257" t="s">
        <v>45</v>
      </c>
      <c r="G30" s="201">
        <v>3.2260475194261798E-2</v>
      </c>
      <c r="H30" s="201">
        <v>3.2220199944331389E-2</v>
      </c>
      <c r="I30" s="201">
        <v>3.2180025131433226E-2</v>
      </c>
      <c r="J30" s="201">
        <v>3.2139950380335548E-2</v>
      </c>
      <c r="K30" s="201">
        <v>3.2099975317673439E-2</v>
      </c>
      <c r="L30" s="201">
        <v>3.2060099571937201E-2</v>
      </c>
      <c r="M30" s="201">
        <v>3.2020322773460855E-2</v>
      </c>
      <c r="N30" s="201">
        <v>3.1980644554410714E-2</v>
      </c>
      <c r="O30" s="201">
        <v>3.1941064548774059E-2</v>
      </c>
      <c r="P30" s="201">
        <v>3.1901582392347888E-2</v>
      </c>
      <c r="Q30" s="201">
        <v>3.1862197722727706E-2</v>
      </c>
      <c r="R30" s="201">
        <v>3.1822910179296476E-2</v>
      </c>
      <c r="S30" s="201">
        <v>3.1783719403213596E-2</v>
      </c>
      <c r="T30" s="201">
        <v>3.1744625037403988E-2</v>
      </c>
      <c r="U30" s="201">
        <v>3.1705626726547226E-2</v>
      </c>
      <c r="V30" s="201">
        <v>3.1666724117066801E-2</v>
      </c>
      <c r="W30" s="201">
        <v>3.1627916857119416E-2</v>
      </c>
      <c r="X30" s="201">
        <v>3.1589204596584382E-2</v>
      </c>
      <c r="Y30" s="201">
        <v>3.1550586987053104E-2</v>
      </c>
      <c r="Z30" s="201">
        <v>3.1512063681818608E-2</v>
      </c>
      <c r="AA30" s="201">
        <v>3.1473634335865169E-2</v>
      </c>
      <c r="AB30" s="201">
        <v>3.1435298605858031E-2</v>
      </c>
      <c r="AC30" s="201">
        <v>3.1397056150133142E-2</v>
      </c>
      <c r="AD30" s="201">
        <v>3.1358906628687053E-2</v>
      </c>
      <c r="AE30" s="201">
        <v>3.13208497031668E-2</v>
      </c>
      <c r="AF30" s="201">
        <v>3.1282885036859928E-2</v>
      </c>
    </row>
    <row r="31" spans="1:32" ht="14.45" x14ac:dyDescent="0.35">
      <c r="A31" s="252"/>
      <c r="B31" s="257" t="s">
        <v>46</v>
      </c>
      <c r="G31" s="201">
        <v>3.6131732217573216E-2</v>
      </c>
      <c r="H31" s="201">
        <v>3.5996744425975807E-2</v>
      </c>
      <c r="I31" s="201">
        <v>3.5862761506276146E-2</v>
      </c>
      <c r="J31" s="201">
        <v>3.5729772279429632E-2</v>
      </c>
      <c r="K31" s="201">
        <v>3.5597765731599229E-2</v>
      </c>
      <c r="L31" s="201">
        <v>3.5466731011114812E-2</v>
      </c>
      <c r="M31" s="201">
        <v>3.5336657425499476E-2</v>
      </c>
      <c r="N31" s="201">
        <v>3.5207534438560992E-2</v>
      </c>
      <c r="O31" s="201">
        <v>3.5079351667546811E-2</v>
      </c>
      <c r="P31" s="201">
        <v>3.4952098880361035E-2</v>
      </c>
      <c r="Q31" s="201">
        <v>3.4825765992841658E-2</v>
      </c>
      <c r="R31" s="201">
        <v>3.4700343066096727E-2</v>
      </c>
      <c r="S31" s="201">
        <v>3.4575820303897817E-2</v>
      </c>
      <c r="T31" s="201">
        <v>3.4452188050129409E-2</v>
      </c>
      <c r="U31" s="201">
        <v>3.4329436786292841E-2</v>
      </c>
      <c r="V31" s="201">
        <v>3.4207557129063398E-2</v>
      </c>
      <c r="W31" s="201">
        <v>3.4086539827899262E-2</v>
      </c>
      <c r="X31" s="201">
        <v>3.3966375762701027E-2</v>
      </c>
      <c r="Y31" s="201">
        <v>3.3847055941520578E-2</v>
      </c>
      <c r="Z31" s="201">
        <v>3.3728571498318052E-2</v>
      </c>
      <c r="AA31" s="201">
        <v>3.3610913690765784E-2</v>
      </c>
      <c r="AB31" s="201">
        <v>3.3494073898097998E-2</v>
      </c>
      <c r="AC31" s="201">
        <v>3.3378043619005281E-2</v>
      </c>
      <c r="AD31" s="201">
        <v>3.3262814469572584E-2</v>
      </c>
      <c r="AE31" s="201">
        <v>3.314837818125984E-2</v>
      </c>
      <c r="AF31" s="201">
        <v>3.3034726598924084E-2</v>
      </c>
    </row>
    <row r="32" spans="1:32" ht="14.45" x14ac:dyDescent="0.35">
      <c r="A32" s="252"/>
      <c r="B32" s="252" t="s">
        <v>29</v>
      </c>
      <c r="G32" s="201" t="str">
        <v/>
      </c>
      <c r="H32" s="201" t="str">
        <v/>
      </c>
      <c r="I32" s="201" t="str">
        <v/>
      </c>
      <c r="J32" s="201" t="str">
        <v/>
      </c>
      <c r="K32" s="201" t="str">
        <v/>
      </c>
      <c r="L32" s="201" t="str">
        <v/>
      </c>
      <c r="M32" s="201" t="str">
        <v/>
      </c>
      <c r="N32" s="201" t="str">
        <v/>
      </c>
      <c r="O32" s="201" t="str">
        <v/>
      </c>
      <c r="P32" s="201" t="str">
        <v/>
      </c>
      <c r="Q32" s="201" t="str">
        <v/>
      </c>
      <c r="R32" s="201" t="str">
        <v/>
      </c>
      <c r="S32" s="201" t="str">
        <v/>
      </c>
      <c r="T32" s="201" t="str">
        <v/>
      </c>
      <c r="U32" s="201" t="str">
        <v/>
      </c>
      <c r="V32" s="201" t="str">
        <v/>
      </c>
      <c r="W32" s="201" t="str">
        <v/>
      </c>
      <c r="X32" s="201" t="str">
        <v/>
      </c>
      <c r="Y32" s="201" t="str">
        <v/>
      </c>
      <c r="Z32" s="201" t="str">
        <v/>
      </c>
      <c r="AA32" s="201" t="str">
        <v/>
      </c>
      <c r="AB32" s="201" t="str">
        <v/>
      </c>
      <c r="AC32" s="201" t="str">
        <v/>
      </c>
      <c r="AD32" s="201" t="str">
        <v/>
      </c>
      <c r="AE32" s="201" t="str">
        <v/>
      </c>
      <c r="AF32" s="201" t="str">
        <v/>
      </c>
    </row>
    <row r="33" spans="1:32" ht="14.45" x14ac:dyDescent="0.35">
      <c r="A33" s="252"/>
      <c r="B33" s="252"/>
      <c r="G33" s="201" t="str">
        <v/>
      </c>
      <c r="H33" s="201" t="str">
        <v/>
      </c>
      <c r="I33" s="201" t="str">
        <v/>
      </c>
      <c r="J33" s="201" t="str">
        <v/>
      </c>
      <c r="K33" s="201" t="str">
        <v/>
      </c>
      <c r="L33" s="201" t="str">
        <v/>
      </c>
      <c r="M33" s="201" t="str">
        <v/>
      </c>
      <c r="N33" s="201" t="str">
        <v/>
      </c>
      <c r="O33" s="201" t="str">
        <v/>
      </c>
      <c r="P33" s="201" t="str">
        <v/>
      </c>
      <c r="Q33" s="201" t="str">
        <v/>
      </c>
      <c r="R33" s="201" t="str">
        <v/>
      </c>
      <c r="S33" s="201" t="str">
        <v/>
      </c>
      <c r="T33" s="201" t="str">
        <v/>
      </c>
      <c r="U33" s="201" t="str">
        <v/>
      </c>
      <c r="V33" s="201" t="str">
        <v/>
      </c>
      <c r="W33" s="201" t="str">
        <v/>
      </c>
      <c r="X33" s="201" t="str">
        <v/>
      </c>
      <c r="Y33" s="201" t="str">
        <v/>
      </c>
      <c r="Z33" s="201" t="str">
        <v/>
      </c>
      <c r="AA33" s="201" t="str">
        <v/>
      </c>
      <c r="AB33" s="201" t="str">
        <v/>
      </c>
      <c r="AC33" s="201" t="str">
        <v/>
      </c>
      <c r="AD33" s="201" t="str">
        <v/>
      </c>
      <c r="AE33" s="201" t="str">
        <v/>
      </c>
      <c r="AF33" s="201" t="str">
        <v/>
      </c>
    </row>
    <row r="34" spans="1:32" s="202" customFormat="1" ht="12.95" x14ac:dyDescent="0.3">
      <c r="A34" s="267" t="s">
        <v>47</v>
      </c>
      <c r="B34" s="267"/>
      <c r="C34" s="267"/>
      <c r="D34" s="267"/>
      <c r="E34" s="267"/>
      <c r="F34" s="267"/>
      <c r="G34" s="643" t="str">
        <v/>
      </c>
      <c r="H34" s="643" t="str">
        <v/>
      </c>
      <c r="I34" s="643" t="str">
        <v/>
      </c>
      <c r="J34" s="643" t="str">
        <v/>
      </c>
      <c r="K34" s="643" t="str">
        <v/>
      </c>
      <c r="L34" s="643" t="str">
        <v/>
      </c>
      <c r="M34" s="643" t="str">
        <v/>
      </c>
      <c r="N34" s="643" t="str">
        <v/>
      </c>
      <c r="O34" s="643" t="str">
        <v/>
      </c>
      <c r="P34" s="643" t="str">
        <v/>
      </c>
      <c r="Q34" s="643" t="str">
        <v/>
      </c>
      <c r="R34" s="643" t="str">
        <v/>
      </c>
      <c r="S34" s="643" t="str">
        <v/>
      </c>
      <c r="T34" s="643" t="str">
        <v/>
      </c>
      <c r="U34" s="643" t="str">
        <v/>
      </c>
      <c r="V34" s="643" t="str">
        <v/>
      </c>
      <c r="W34" s="643" t="str">
        <v/>
      </c>
      <c r="X34" s="643" t="str">
        <v/>
      </c>
      <c r="Y34" s="643" t="str">
        <v/>
      </c>
      <c r="Z34" s="643" t="str">
        <v/>
      </c>
      <c r="AA34" s="643" t="str">
        <v/>
      </c>
      <c r="AB34" s="643" t="str">
        <v/>
      </c>
      <c r="AC34" s="643" t="str">
        <v/>
      </c>
      <c r="AD34" s="643" t="str">
        <v/>
      </c>
      <c r="AE34" s="643" t="str">
        <v/>
      </c>
      <c r="AF34" s="643" t="str">
        <v/>
      </c>
    </row>
    <row r="35" spans="1:32" ht="14.45" x14ac:dyDescent="0.35">
      <c r="A35" s="252"/>
      <c r="B35" s="252" t="s">
        <v>48</v>
      </c>
      <c r="G35" s="201" t="str">
        <v/>
      </c>
      <c r="H35" s="201" t="str">
        <v/>
      </c>
      <c r="I35" s="201" t="str">
        <v/>
      </c>
      <c r="J35" s="201" t="str">
        <v/>
      </c>
      <c r="K35" s="201" t="str">
        <v/>
      </c>
      <c r="L35" s="201" t="str">
        <v/>
      </c>
      <c r="M35" s="201" t="str">
        <v/>
      </c>
      <c r="N35" s="201" t="str">
        <v/>
      </c>
      <c r="O35" s="201" t="str">
        <v/>
      </c>
      <c r="P35" s="201" t="str">
        <v/>
      </c>
      <c r="Q35" s="201" t="str">
        <v/>
      </c>
      <c r="R35" s="201" t="str">
        <v/>
      </c>
      <c r="S35" s="201" t="str">
        <v/>
      </c>
      <c r="T35" s="201" t="str">
        <v/>
      </c>
      <c r="U35" s="201" t="str">
        <v/>
      </c>
      <c r="V35" s="201" t="str">
        <v/>
      </c>
      <c r="W35" s="201" t="str">
        <v/>
      </c>
      <c r="X35" s="201" t="str">
        <v/>
      </c>
      <c r="Y35" s="201" t="str">
        <v/>
      </c>
      <c r="Z35" s="201" t="str">
        <v/>
      </c>
      <c r="AA35" s="201" t="str">
        <v/>
      </c>
      <c r="AB35" s="201" t="str">
        <v/>
      </c>
      <c r="AC35" s="201" t="str">
        <v/>
      </c>
      <c r="AD35" s="201" t="str">
        <v/>
      </c>
      <c r="AE35" s="201" t="str">
        <v/>
      </c>
      <c r="AF35" s="201" t="str">
        <v/>
      </c>
    </row>
    <row r="36" spans="1:32" ht="14.45" x14ac:dyDescent="0.35">
      <c r="A36" s="252"/>
      <c r="B36" s="257" t="s">
        <v>50</v>
      </c>
      <c r="G36" s="201" t="str">
        <v/>
      </c>
      <c r="H36" s="201" t="str">
        <v/>
      </c>
      <c r="I36" s="201" t="str">
        <v/>
      </c>
      <c r="J36" s="201" t="str">
        <v/>
      </c>
      <c r="K36" s="201" t="str">
        <v/>
      </c>
      <c r="L36" s="201" t="str">
        <v/>
      </c>
      <c r="M36" s="201" t="str">
        <v/>
      </c>
      <c r="N36" s="201" t="str">
        <v/>
      </c>
      <c r="O36" s="201" t="str">
        <v/>
      </c>
      <c r="P36" s="201" t="str">
        <v/>
      </c>
      <c r="Q36" s="201" t="str">
        <v/>
      </c>
      <c r="R36" s="201" t="str">
        <v/>
      </c>
      <c r="S36" s="201" t="str">
        <v/>
      </c>
      <c r="T36" s="201" t="str">
        <v/>
      </c>
      <c r="U36" s="201" t="str">
        <v/>
      </c>
      <c r="V36" s="201" t="str">
        <v/>
      </c>
      <c r="W36" s="201" t="str">
        <v/>
      </c>
      <c r="X36" s="201" t="str">
        <v/>
      </c>
      <c r="Y36" s="201" t="str">
        <v/>
      </c>
      <c r="Z36" s="201" t="str">
        <v/>
      </c>
      <c r="AA36" s="201" t="str">
        <v/>
      </c>
      <c r="AB36" s="201" t="str">
        <v/>
      </c>
      <c r="AC36" s="201" t="str">
        <v/>
      </c>
      <c r="AD36" s="201" t="str">
        <v/>
      </c>
      <c r="AE36" s="201" t="str">
        <v/>
      </c>
      <c r="AF36" s="201" t="str">
        <v/>
      </c>
    </row>
    <row r="37" spans="1:32" ht="14.45" x14ac:dyDescent="0.35">
      <c r="A37" s="252"/>
      <c r="B37" s="252" t="s">
        <v>51</v>
      </c>
      <c r="G37" s="201" t="str">
        <v/>
      </c>
      <c r="H37" s="201" t="str">
        <v/>
      </c>
      <c r="I37" s="201" t="str">
        <v/>
      </c>
      <c r="J37" s="201" t="str">
        <v/>
      </c>
      <c r="K37" s="201" t="str">
        <v/>
      </c>
      <c r="L37" s="201" t="str">
        <v/>
      </c>
      <c r="M37" s="201" t="str">
        <v/>
      </c>
      <c r="N37" s="201" t="str">
        <v/>
      </c>
      <c r="O37" s="201" t="str">
        <v/>
      </c>
      <c r="P37" s="201" t="str">
        <v/>
      </c>
      <c r="Q37" s="201" t="str">
        <v/>
      </c>
      <c r="R37" s="201" t="str">
        <v/>
      </c>
      <c r="S37" s="201" t="str">
        <v/>
      </c>
      <c r="T37" s="201" t="str">
        <v/>
      </c>
      <c r="U37" s="201" t="str">
        <v/>
      </c>
      <c r="V37" s="201" t="str">
        <v/>
      </c>
      <c r="W37" s="201" t="str">
        <v/>
      </c>
      <c r="X37" s="201" t="str">
        <v/>
      </c>
      <c r="Y37" s="201" t="str">
        <v/>
      </c>
      <c r="Z37" s="201" t="str">
        <v/>
      </c>
      <c r="AA37" s="201" t="str">
        <v/>
      </c>
      <c r="AB37" s="201" t="str">
        <v/>
      </c>
      <c r="AC37" s="201" t="str">
        <v/>
      </c>
      <c r="AD37" s="201" t="str">
        <v/>
      </c>
      <c r="AE37" s="201" t="str">
        <v/>
      </c>
      <c r="AF37" s="201" t="str">
        <v/>
      </c>
    </row>
    <row r="38" spans="1:32" x14ac:dyDescent="0.25">
      <c r="A38" s="252"/>
      <c r="B38" s="252" t="s">
        <v>52</v>
      </c>
      <c r="G38" s="201">
        <v>3.3727639159659838E-2</v>
      </c>
      <c r="H38" s="201">
        <v>3.3643530333825264E-2</v>
      </c>
      <c r="I38" s="201">
        <v>3.3559839959860518E-2</v>
      </c>
      <c r="J38" s="201">
        <v>3.3476564922739274E-2</v>
      </c>
      <c r="K38" s="201">
        <v>3.3393702138277047E-2</v>
      </c>
      <c r="L38" s="201">
        <v>3.3311248552750437E-2</v>
      </c>
      <c r="M38" s="201">
        <v>3.3229201142521987E-2</v>
      </c>
      <c r="N38" s="201">
        <v>3.3147556913670585E-2</v>
      </c>
      <c r="O38" s="201">
        <v>3.3066312901627266E-2</v>
      </c>
      <c r="P38" s="201">
        <v>3.2985466170816442E-2</v>
      </c>
      <c r="Q38" s="201">
        <v>3.2905013814302261E-2</v>
      </c>
      <c r="R38" s="201">
        <v>3.2824952953440213E-2</v>
      </c>
      <c r="S38" s="201">
        <v>3.27452807375338E-2</v>
      </c>
      <c r="T38" s="201">
        <v>3.2665994343496194E-2</v>
      </c>
      <c r="U38" s="201">
        <v>3.2587090975516729E-2</v>
      </c>
      <c r="V38" s="201">
        <v>3.2508567864732357E-2</v>
      </c>
      <c r="W38" s="201">
        <v>3.2430422268903671E-2</v>
      </c>
      <c r="X38" s="201">
        <v>3.2352651472095748E-2</v>
      </c>
      <c r="Y38" s="201">
        <v>3.227525278436346E-2</v>
      </c>
      <c r="Z38" s="201">
        <v>3.2198223541441348E-2</v>
      </c>
      <c r="AA38" s="201">
        <v>3.2121561104437923E-2</v>
      </c>
      <c r="AB38" s="201">
        <v>3.2045262859534268E-2</v>
      </c>
      <c r="AC38" s="201">
        <v>3.1969326217687027E-2</v>
      </c>
      <c r="AD38" s="201">
        <v>3.1893748614335526E-2</v>
      </c>
      <c r="AE38" s="201">
        <v>3.1818527509113036E-2</v>
      </c>
      <c r="AF38" s="201">
        <v>3.1743660385562179E-2</v>
      </c>
    </row>
    <row r="39" spans="1:32" x14ac:dyDescent="0.25">
      <c r="A39" s="252"/>
      <c r="B39" s="257" t="s">
        <v>29</v>
      </c>
      <c r="G39" s="201" t="str">
        <v/>
      </c>
      <c r="H39" s="201" t="str">
        <v/>
      </c>
      <c r="I39" s="201" t="str">
        <v/>
      </c>
      <c r="J39" s="201" t="str">
        <v/>
      </c>
      <c r="K39" s="201" t="str">
        <v/>
      </c>
      <c r="L39" s="201" t="str">
        <v/>
      </c>
      <c r="M39" s="201" t="str">
        <v/>
      </c>
      <c r="N39" s="201" t="str">
        <v/>
      </c>
      <c r="O39" s="201" t="str">
        <v/>
      </c>
      <c r="P39" s="201" t="str">
        <v/>
      </c>
      <c r="Q39" s="201" t="str">
        <v/>
      </c>
      <c r="R39" s="201" t="str">
        <v/>
      </c>
      <c r="S39" s="201" t="str">
        <v/>
      </c>
      <c r="T39" s="201" t="str">
        <v/>
      </c>
      <c r="U39" s="201" t="str">
        <v/>
      </c>
      <c r="V39" s="201" t="str">
        <v/>
      </c>
      <c r="W39" s="201" t="str">
        <v/>
      </c>
      <c r="X39" s="201" t="str">
        <v/>
      </c>
      <c r="Y39" s="201" t="str">
        <v/>
      </c>
      <c r="Z39" s="201" t="str">
        <v/>
      </c>
      <c r="AA39" s="201" t="str">
        <v/>
      </c>
      <c r="AB39" s="201" t="str">
        <v/>
      </c>
      <c r="AC39" s="201" t="str">
        <v/>
      </c>
      <c r="AD39" s="201" t="str">
        <v/>
      </c>
      <c r="AE39" s="201" t="str">
        <v/>
      </c>
      <c r="AF39" s="201" t="str">
        <v/>
      </c>
    </row>
    <row r="40" spans="1:32" x14ac:dyDescent="0.25">
      <c r="A40" s="252"/>
      <c r="B40" s="257" t="s">
        <v>53</v>
      </c>
      <c r="G40" s="201">
        <v>1.6863819579829919E-2</v>
      </c>
      <c r="H40" s="201">
        <v>1.6821765166912632E-2</v>
      </c>
      <c r="I40" s="201">
        <v>1.6779919979930259E-2</v>
      </c>
      <c r="J40" s="201">
        <v>1.6738282461369637E-2</v>
      </c>
      <c r="K40" s="201">
        <v>1.6696851069138523E-2</v>
      </c>
      <c r="L40" s="201">
        <v>1.6655624276375219E-2</v>
      </c>
      <c r="M40" s="201">
        <v>1.6614600571260994E-2</v>
      </c>
      <c r="N40" s="201">
        <v>1.6573778456835293E-2</v>
      </c>
      <c r="O40" s="201">
        <v>1.6533156450813633E-2</v>
      </c>
      <c r="P40" s="201">
        <v>1.6492733085408221E-2</v>
      </c>
      <c r="Q40" s="201">
        <v>1.6452506907151131E-2</v>
      </c>
      <c r="R40" s="201">
        <v>1.6412476476720107E-2</v>
      </c>
      <c r="S40" s="201">
        <v>1.63726403687669E-2</v>
      </c>
      <c r="T40" s="201">
        <v>1.6332997171748097E-2</v>
      </c>
      <c r="U40" s="201">
        <v>1.6293545487758365E-2</v>
      </c>
      <c r="V40" s="201">
        <v>1.6254283932366179E-2</v>
      </c>
      <c r="W40" s="201">
        <v>1.6215211134451835E-2</v>
      </c>
      <c r="X40" s="201">
        <v>1.6176325736047874E-2</v>
      </c>
      <c r="Y40" s="201">
        <v>1.613762639218173E-2</v>
      </c>
      <c r="Z40" s="201">
        <v>1.6099111770720674E-2</v>
      </c>
      <c r="AA40" s="201">
        <v>1.6060780552218962E-2</v>
      </c>
      <c r="AB40" s="201">
        <v>1.6022631429767134E-2</v>
      </c>
      <c r="AC40" s="201">
        <v>1.5984663108843514E-2</v>
      </c>
      <c r="AD40" s="201">
        <v>1.5946874307167763E-2</v>
      </c>
      <c r="AE40" s="201">
        <v>1.5909263754556518E-2</v>
      </c>
      <c r="AF40" s="201">
        <v>1.587183019278109E-2</v>
      </c>
    </row>
    <row r="42" spans="1:32" x14ac:dyDescent="0.25">
      <c r="A42" s="326" t="s">
        <v>185</v>
      </c>
      <c r="B42" s="327"/>
      <c r="C42" s="327"/>
      <c r="D42" s="327"/>
      <c r="E42" s="327"/>
      <c r="F42" s="327"/>
      <c r="G42" s="331"/>
      <c r="H42" s="327"/>
      <c r="I42" s="327"/>
      <c r="J42" s="327"/>
      <c r="K42" s="327"/>
      <c r="L42" s="327"/>
      <c r="M42" s="327"/>
      <c r="N42" s="327"/>
      <c r="O42" s="327"/>
      <c r="P42" s="327"/>
      <c r="Q42" s="327"/>
      <c r="R42" s="327"/>
      <c r="S42" s="327"/>
      <c r="T42" s="327"/>
      <c r="U42" s="327"/>
      <c r="V42" s="327"/>
      <c r="W42" s="327"/>
      <c r="X42" s="327"/>
      <c r="Y42" s="327"/>
      <c r="Z42" s="327"/>
      <c r="AA42" s="327"/>
      <c r="AB42" s="327"/>
      <c r="AC42" s="327"/>
      <c r="AD42" s="327"/>
      <c r="AE42" s="327"/>
      <c r="AF42" s="327"/>
    </row>
    <row r="43" spans="1:32" x14ac:dyDescent="0.25">
      <c r="A43" s="323" t="s">
        <v>12</v>
      </c>
      <c r="B43" s="322"/>
    </row>
    <row r="44" spans="1:32" x14ac:dyDescent="0.25">
      <c r="A44" s="322"/>
      <c r="B44" s="322" t="s">
        <v>20</v>
      </c>
    </row>
    <row r="45" spans="1:32" s="202" customFormat="1" ht="12.75" x14ac:dyDescent="0.2">
      <c r="A45" s="335" t="s">
        <v>21</v>
      </c>
      <c r="B45" s="335"/>
      <c r="C45" s="335"/>
      <c r="D45" s="335"/>
      <c r="E45" s="335"/>
      <c r="F45" s="335"/>
      <c r="G45" s="335"/>
      <c r="H45" s="335"/>
      <c r="I45" s="335"/>
      <c r="J45" s="335"/>
      <c r="K45" s="335"/>
      <c r="L45" s="335"/>
      <c r="M45" s="335"/>
      <c r="N45" s="335"/>
      <c r="O45" s="335"/>
      <c r="P45" s="335"/>
      <c r="Q45" s="335"/>
      <c r="R45" s="335"/>
      <c r="S45" s="335"/>
      <c r="T45" s="335"/>
      <c r="U45" s="335"/>
      <c r="V45" s="335"/>
      <c r="W45" s="335"/>
      <c r="X45" s="335"/>
      <c r="Y45" s="335"/>
      <c r="Z45" s="335"/>
      <c r="AA45" s="335"/>
      <c r="AB45" s="335"/>
      <c r="AC45" s="335"/>
      <c r="AD45" s="335"/>
      <c r="AE45" s="335"/>
      <c r="AF45" s="335"/>
    </row>
    <row r="46" spans="1:32" x14ac:dyDescent="0.25">
      <c r="A46" s="322"/>
      <c r="B46" s="322" t="s">
        <v>22</v>
      </c>
      <c r="G46" s="321">
        <f t="array" aca="1" ref="G46" ca="1">IF(ISNUMBER(Sys_Repl_Rate!$G117:$AF117),AVERAGE(IF($G$4:$AF$4+Sys_Repl_Rate!$G117:$AF117&gt;=G$4,IF($G$4:$AF$4&lt;=G$4,Sys_Repl_Rate!$G117:$AF117))),"")</f>
        <v>2.0507981747250446</v>
      </c>
      <c r="H46" s="321">
        <f t="array" aca="1" ref="H46" ca="1">IF(ISNUMBER(Sys_Repl_Rate!$G117:$AF117),AVERAGE(IF($G$4:$AF$4+Sys_Repl_Rate!$G117:$AF117&gt;=H$4,IF($G$4:$AF$4&lt;=H$4,Sys_Repl_Rate!$G117:$AF117))),"")</f>
        <v>2.0507981747250446</v>
      </c>
      <c r="I46" s="321">
        <f t="array" aca="1" ref="I46" ca="1">IF(ISNUMBER(Sys_Repl_Rate!$G117:$AF117),AVERAGE(IF($G$4:$AF$4+Sys_Repl_Rate!$G117:$AF117&gt;=I$4,IF($G$4:$AF$4&lt;=I$4,Sys_Repl_Rate!$G117:$AF117))),"")</f>
        <v>2.0507981747250446</v>
      </c>
      <c r="J46" s="321">
        <f t="array" aca="1" ref="J46" ca="1">IF(ISNUMBER(Sys_Repl_Rate!$G117:$AF117),AVERAGE(IF($G$4:$AF$4+Sys_Repl_Rate!$G117:$AF117&gt;=J$4,IF($G$4:$AF$4&lt;=J$4,Sys_Repl_Rate!$G117:$AF117))),"")</f>
        <v>2.0507981747250446</v>
      </c>
      <c r="K46" s="321">
        <f t="array" aca="1" ref="K46" ca="1">IF(ISNUMBER(Sys_Repl_Rate!$G117:$AF117),AVERAGE(IF($G$4:$AF$4+Sys_Repl_Rate!$G117:$AF117&gt;=K$4,IF($G$4:$AF$4&lt;=K$4,Sys_Repl_Rate!$G117:$AF117))),"")</f>
        <v>2.0507981747250446</v>
      </c>
      <c r="L46" s="321">
        <f t="array" aca="1" ref="L46" ca="1">IF(ISNUMBER(Sys_Repl_Rate!$G117:$AF117),AVERAGE(IF($G$4:$AF$4+Sys_Repl_Rate!$G117:$AF117&gt;=L$4,IF($G$4:$AF$4&lt;=L$4,Sys_Repl_Rate!$G117:$AF117))),"")</f>
        <v>2.0507981747250446</v>
      </c>
      <c r="M46" s="321">
        <f t="array" aca="1" ref="M46" ca="1">IF(ISNUMBER(Sys_Repl_Rate!$G117:$AF117),AVERAGE(IF($G$4:$AF$4+Sys_Repl_Rate!$G117:$AF117&gt;=M$4,IF($G$4:$AF$4&lt;=M$4,Sys_Repl_Rate!$G117:$AF117))),"")</f>
        <v>2.0507981747250446</v>
      </c>
      <c r="N46" s="321">
        <f t="array" aca="1" ref="N46" ca="1">IF(ISNUMBER(Sys_Repl_Rate!$G117:$AF117),AVERAGE(IF($G$4:$AF$4+Sys_Repl_Rate!$G117:$AF117&gt;=N$4,IF($G$4:$AF$4&lt;=N$4,Sys_Repl_Rate!$G117:$AF117))),"")</f>
        <v>2.0507981747250446</v>
      </c>
      <c r="O46" s="321">
        <f t="array" aca="1" ref="O46" ca="1">IF(ISNUMBER(Sys_Repl_Rate!$G117:$AF117),AVERAGE(IF($G$4:$AF$4+Sys_Repl_Rate!$G117:$AF117&gt;=O$4,IF($G$4:$AF$4&lt;=O$4,Sys_Repl_Rate!$G117:$AF117))),"")</f>
        <v>2.0507981747250446</v>
      </c>
      <c r="P46" s="321">
        <f t="array" aca="1" ref="P46" ca="1">IF(ISNUMBER(Sys_Repl_Rate!$G117:$AF117),AVERAGE(IF($G$4:$AF$4+Sys_Repl_Rate!$G117:$AF117&gt;=P$4,IF($G$4:$AF$4&lt;=P$4,Sys_Repl_Rate!$G117:$AF117))),"")</f>
        <v>2.0507981747250446</v>
      </c>
      <c r="Q46" s="321">
        <f t="array" aca="1" ref="Q46" ca="1">IF(ISNUMBER(Sys_Repl_Rate!$G117:$AF117),AVERAGE(IF($G$4:$AF$4+Sys_Repl_Rate!$G117:$AF117&gt;=Q$4,IF($G$4:$AF$4&lt;=Q$4,Sys_Repl_Rate!$G117:$AF117))),"")</f>
        <v>2.0507981747250446</v>
      </c>
      <c r="R46" s="321">
        <f t="array" aca="1" ref="R46" ca="1">IF(ISNUMBER(Sys_Repl_Rate!$G117:$AF117),AVERAGE(IF($G$4:$AF$4+Sys_Repl_Rate!$G117:$AF117&gt;=R$4,IF($G$4:$AF$4&lt;=R$4,Sys_Repl_Rate!$G117:$AF117))),"")</f>
        <v>2.0507981747250446</v>
      </c>
      <c r="S46" s="321">
        <f t="array" aca="1" ref="S46" ca="1">IF(ISNUMBER(Sys_Repl_Rate!$G117:$AF117),AVERAGE(IF($G$4:$AF$4+Sys_Repl_Rate!$G117:$AF117&gt;=S$4,IF($G$4:$AF$4&lt;=S$4,Sys_Repl_Rate!$G117:$AF117))),"")</f>
        <v>2.0507981747250446</v>
      </c>
      <c r="T46" s="321">
        <f t="array" aca="1" ref="T46" ca="1">IF(ISNUMBER(Sys_Repl_Rate!$G117:$AF117),AVERAGE(IF($G$4:$AF$4+Sys_Repl_Rate!$G117:$AF117&gt;=T$4,IF($G$4:$AF$4&lt;=T$4,Sys_Repl_Rate!$G117:$AF117))),"")</f>
        <v>2.0507981747250446</v>
      </c>
      <c r="U46" s="321">
        <f t="array" aca="1" ref="U46" ca="1">IF(ISNUMBER(Sys_Repl_Rate!$G117:$AF117),AVERAGE(IF($G$4:$AF$4+Sys_Repl_Rate!$G117:$AF117&gt;=U$4,IF($G$4:$AF$4&lt;=U$4,Sys_Repl_Rate!$G117:$AF117))),"")</f>
        <v>2.0507981747250446</v>
      </c>
      <c r="V46" s="321">
        <f t="array" aca="1" ref="V46" ca="1">IF(ISNUMBER(Sys_Repl_Rate!$G117:$AF117),AVERAGE(IF($G$4:$AF$4+Sys_Repl_Rate!$G117:$AF117&gt;=V$4,IF($G$4:$AF$4&lt;=V$4,Sys_Repl_Rate!$G117:$AF117))),"")</f>
        <v>2.0507981747250446</v>
      </c>
      <c r="W46" s="321">
        <f t="array" aca="1" ref="W46" ca="1">IF(ISNUMBER(Sys_Repl_Rate!$G117:$AF117),AVERAGE(IF($G$4:$AF$4+Sys_Repl_Rate!$G117:$AF117&gt;=W$4,IF($G$4:$AF$4&lt;=W$4,Sys_Repl_Rate!$G117:$AF117))),"")</f>
        <v>2.0507981747250446</v>
      </c>
      <c r="X46" s="321">
        <f t="array" aca="1" ref="X46" ca="1">IF(ISNUMBER(Sys_Repl_Rate!$G117:$AF117),AVERAGE(IF($G$4:$AF$4+Sys_Repl_Rate!$G117:$AF117&gt;=X$4,IF($G$4:$AF$4&lt;=X$4,Sys_Repl_Rate!$G117:$AF117))),"")</f>
        <v>2.0507981747250446</v>
      </c>
      <c r="Y46" s="321">
        <f t="array" aca="1" ref="Y46" ca="1">IF(ISNUMBER(Sys_Repl_Rate!$G117:$AF117),AVERAGE(IF($G$4:$AF$4+Sys_Repl_Rate!$G117:$AF117&gt;=Y$4,IF($G$4:$AF$4&lt;=Y$4,Sys_Repl_Rate!$G117:$AF117))),"")</f>
        <v>2.0507981747250446</v>
      </c>
      <c r="Z46" s="321">
        <f t="array" aca="1" ref="Z46" ca="1">IF(ISNUMBER(Sys_Repl_Rate!$G117:$AF117),AVERAGE(IF($G$4:$AF$4+Sys_Repl_Rate!$G117:$AF117&gt;=Z$4,IF($G$4:$AF$4&lt;=Z$4,Sys_Repl_Rate!$G117:$AF117))),"")</f>
        <v>2.0507981747250446</v>
      </c>
      <c r="AA46" s="321">
        <f t="array" aca="1" ref="AA46" ca="1">IF(ISNUMBER(Sys_Repl_Rate!$G117:$AF117),AVERAGE(IF($G$4:$AF$4+Sys_Repl_Rate!$G117:$AF117&gt;=AA$4,IF($G$4:$AF$4&lt;=AA$4,Sys_Repl_Rate!$G117:$AF117))),"")</f>
        <v>2.0507981747250446</v>
      </c>
      <c r="AB46" s="321">
        <f t="array" aca="1" ref="AB46" ca="1">IF(ISNUMBER(Sys_Repl_Rate!$G117:$AF117),AVERAGE(IF($G$4:$AF$4+Sys_Repl_Rate!$G117:$AF117&gt;=AB$4,IF($G$4:$AF$4&lt;=AB$4,Sys_Repl_Rate!$G117:$AF117))),"")</f>
        <v>2.0507981747250446</v>
      </c>
      <c r="AC46" s="321">
        <f t="array" aca="1" ref="AC46" ca="1">IF(ISNUMBER(Sys_Repl_Rate!$G117:$AF117),AVERAGE(IF($G$4:$AF$4+Sys_Repl_Rate!$G117:$AF117&gt;=AC$4,IF($G$4:$AF$4&lt;=AC$4,Sys_Repl_Rate!$G117:$AF117))),"")</f>
        <v>2.0507981747250446</v>
      </c>
      <c r="AD46" s="321">
        <f t="array" aca="1" ref="AD46" ca="1">IF(ISNUMBER(Sys_Repl_Rate!$G117:$AF117),AVERAGE(IF($G$4:$AF$4+Sys_Repl_Rate!$G117:$AF117&gt;=AD$4,IF($G$4:$AF$4&lt;=AD$4,Sys_Repl_Rate!$G117:$AF117))),"")</f>
        <v>2.0507981747250446</v>
      </c>
      <c r="AE46" s="321">
        <f t="array" aca="1" ref="AE46" ca="1">IF(ISNUMBER(Sys_Repl_Rate!$G117:$AF117),AVERAGE(IF($G$4:$AF$4+Sys_Repl_Rate!$G117:$AF117&gt;=AE$4,IF($G$4:$AF$4&lt;=AE$4,Sys_Repl_Rate!$G117:$AF117))),"")</f>
        <v>2.0507981747250446</v>
      </c>
      <c r="AF46" s="321">
        <f t="array" aca="1" ref="AF46" ca="1">IF(ISNUMBER(Sys_Repl_Rate!$G117:$AF117),AVERAGE(IF($G$4:$AF$4+Sys_Repl_Rate!$G117:$AF117&gt;=AF$4,IF($G$4:$AF$4&lt;=AF$4,Sys_Repl_Rate!$G117:$AF117))),"")</f>
        <v>2.0507981747250446</v>
      </c>
    </row>
    <row r="47" spans="1:32" x14ac:dyDescent="0.25">
      <c r="A47" s="322"/>
      <c r="B47" s="322" t="s">
        <v>26</v>
      </c>
      <c r="G47" s="321">
        <f t="array" aca="1" ref="G47" ca="1">IF(ISNUMBER(Sys_Repl_Rate!$G118:$AF118),AVERAGE(IF($G$4:$AF$4+Sys_Repl_Rate!$G118:$AF118&gt;=G$4,IF($G$4:$AF$4&lt;=G$4,Sys_Repl_Rate!$G118:$AF118))),"")</f>
        <v>2.2786646385833826</v>
      </c>
      <c r="H47" s="321">
        <f t="array" aca="1" ref="H47" ca="1">IF(ISNUMBER(Sys_Repl_Rate!$G118:$AF118),AVERAGE(IF($G$4:$AF$4+Sys_Repl_Rate!$G118:$AF118&gt;=H$4,IF($G$4:$AF$4&lt;=H$4,Sys_Repl_Rate!$G118:$AF118))),"")</f>
        <v>2.2843613001798415</v>
      </c>
      <c r="I47" s="321">
        <f t="array" aca="1" ref="I47" ca="1">IF(ISNUMBER(Sys_Repl_Rate!$G118:$AF118),AVERAGE(IF($G$4:$AF$4+Sys_Repl_Rate!$G118:$AF118&gt;=I$4,IF($G$4:$AF$4&lt;=I$4,Sys_Repl_Rate!$G118:$AF118))),"")</f>
        <v>2.2900579617762999</v>
      </c>
      <c r="J47" s="321">
        <f t="array" aca="1" ref="J47" ca="1">IF(ISNUMBER(Sys_Repl_Rate!$G118:$AF118),AVERAGE(IF($G$4:$AF$4+Sys_Repl_Rate!$G118:$AF118&gt;=J$4,IF($G$4:$AF$4&lt;=J$4,Sys_Repl_Rate!$G118:$AF118))),"")</f>
        <v>2.3014512849692172</v>
      </c>
      <c r="K47" s="321">
        <f t="array" aca="1" ref="K47" ca="1">IF(ISNUMBER(Sys_Repl_Rate!$G118:$AF118),AVERAGE(IF($G$4:$AF$4+Sys_Repl_Rate!$G118:$AF118&gt;=K$4,IF($G$4:$AF$4&lt;=K$4,Sys_Repl_Rate!$G118:$AF118))),"")</f>
        <v>2.3128446081621341</v>
      </c>
      <c r="L47" s="321">
        <f t="array" aca="1" ref="L47" ca="1">IF(ISNUMBER(Sys_Repl_Rate!$G118:$AF118),AVERAGE(IF($G$4:$AF$4+Sys_Repl_Rate!$G118:$AF118&gt;=L$4,IF($G$4:$AF$4&lt;=L$4,Sys_Repl_Rate!$G118:$AF118))),"")</f>
        <v>2.3242379313550501</v>
      </c>
      <c r="M47" s="321">
        <f t="array" aca="1" ref="M47" ca="1">IF(ISNUMBER(Sys_Repl_Rate!$G118:$AF118),AVERAGE(IF($G$4:$AF$4+Sys_Repl_Rate!$G118:$AF118&gt;=M$4,IF($G$4:$AF$4&lt;=M$4,Sys_Repl_Rate!$G118:$AF118))),"")</f>
        <v>2.3356312545479665</v>
      </c>
      <c r="N47" s="321">
        <f t="array" aca="1" ref="N47" ca="1">IF(ISNUMBER(Sys_Repl_Rate!$G118:$AF118),AVERAGE(IF($G$4:$AF$4+Sys_Repl_Rate!$G118:$AF118&gt;=N$4,IF($G$4:$AF$4&lt;=N$4,Sys_Repl_Rate!$G118:$AF118))),"")</f>
        <v>2.3470245777408842</v>
      </c>
      <c r="O47" s="321">
        <f t="array" aca="1" ref="O47" ca="1">IF(ISNUMBER(Sys_Repl_Rate!$G118:$AF118),AVERAGE(IF($G$4:$AF$4+Sys_Repl_Rate!$G118:$AF118&gt;=O$4,IF($G$4:$AF$4&lt;=O$4,Sys_Repl_Rate!$G118:$AF118))),"")</f>
        <v>2.3584179009338015</v>
      </c>
      <c r="P47" s="321">
        <f t="array" aca="1" ref="P47" ca="1">IF(ISNUMBER(Sys_Repl_Rate!$G118:$AF118),AVERAGE(IF($G$4:$AF$4+Sys_Repl_Rate!$G118:$AF118&gt;=P$4,IF($G$4:$AF$4&lt;=P$4,Sys_Repl_Rate!$G118:$AF118))),"")</f>
        <v>2.3698112241267189</v>
      </c>
      <c r="Q47" s="321">
        <f t="array" aca="1" ref="Q47" ca="1">IF(ISNUMBER(Sys_Repl_Rate!$G118:$AF118),AVERAGE(IF($G$4:$AF$4+Sys_Repl_Rate!$G118:$AF118&gt;=Q$4,IF($G$4:$AF$4&lt;=Q$4,Sys_Repl_Rate!$G118:$AF118))),"")</f>
        <v>2.3812045473196353</v>
      </c>
      <c r="R47" s="321">
        <f t="array" aca="1" ref="R47" ca="1">IF(ISNUMBER(Sys_Repl_Rate!$G118:$AF118),AVERAGE(IF($G$4:$AF$4+Sys_Repl_Rate!$G118:$AF118&gt;=R$4,IF($G$4:$AF$4&lt;=R$4,Sys_Repl_Rate!$G118:$AF118))),"")</f>
        <v>2.3925978705125517</v>
      </c>
      <c r="S47" s="321">
        <f t="array" aca="1" ref="S47" ca="1">IF(ISNUMBER(Sys_Repl_Rate!$G118:$AF118),AVERAGE(IF($G$4:$AF$4+Sys_Repl_Rate!$G118:$AF118&gt;=S$4,IF($G$4:$AF$4&lt;=S$4,Sys_Repl_Rate!$G118:$AF118))),"")</f>
        <v>2.4039911937054677</v>
      </c>
      <c r="T47" s="321">
        <f t="array" aca="1" ref="T47" ca="1">IF(ISNUMBER(Sys_Repl_Rate!$G118:$AF118),AVERAGE(IF($G$4:$AF$4+Sys_Repl_Rate!$G118:$AF118&gt;=T$4,IF($G$4:$AF$4&lt;=T$4,Sys_Repl_Rate!$G118:$AF118))),"")</f>
        <v>2.4153845168983854</v>
      </c>
      <c r="U47" s="321">
        <f t="array" aca="1" ref="U47" ca="1">IF(ISNUMBER(Sys_Repl_Rate!$G118:$AF118),AVERAGE(IF($G$4:$AF$4+Sys_Repl_Rate!$G118:$AF118&gt;=U$4,IF($G$4:$AF$4&lt;=U$4,Sys_Repl_Rate!$G118:$AF118))),"")</f>
        <v>2.4267778400913032</v>
      </c>
      <c r="V47" s="321">
        <f t="array" aca="1" ref="V47" ca="1">IF(ISNUMBER(Sys_Repl_Rate!$G118:$AF118),AVERAGE(IF($G$4:$AF$4+Sys_Repl_Rate!$G118:$AF118&gt;=V$4,IF($G$4:$AF$4&lt;=V$4,Sys_Repl_Rate!$G118:$AF118))),"")</f>
        <v>2.4381711632842205</v>
      </c>
      <c r="W47" s="321">
        <f t="array" aca="1" ref="W47" ca="1">IF(ISNUMBER(Sys_Repl_Rate!$G118:$AF118),AVERAGE(IF($G$4:$AF$4+Sys_Repl_Rate!$G118:$AF118&gt;=W$4,IF($G$4:$AF$4&lt;=W$4,Sys_Repl_Rate!$G118:$AF118))),"")</f>
        <v>2.4495644864771378</v>
      </c>
      <c r="X47" s="321">
        <f t="array" aca="1" ref="X47" ca="1">IF(ISNUMBER(Sys_Repl_Rate!$G118:$AF118),AVERAGE(IF($G$4:$AF$4+Sys_Repl_Rate!$G118:$AF118&gt;=X$4,IF($G$4:$AF$4&lt;=X$4,Sys_Repl_Rate!$G118:$AF118))),"")</f>
        <v>2.4609578096700542</v>
      </c>
      <c r="Y47" s="321">
        <f t="array" aca="1" ref="Y47" ca="1">IF(ISNUMBER(Sys_Repl_Rate!$G118:$AF118),AVERAGE(IF($G$4:$AF$4+Sys_Repl_Rate!$G118:$AF118&gt;=Y$4,IF($G$4:$AF$4&lt;=Y$4,Sys_Repl_Rate!$G118:$AF118))),"")</f>
        <v>2.4723511328629706</v>
      </c>
      <c r="Z47" s="321">
        <f t="array" aca="1" ref="Z47" ca="1">IF(ISNUMBER(Sys_Repl_Rate!$G118:$AF118),AVERAGE(IF($G$4:$AF$4+Sys_Repl_Rate!$G118:$AF118&gt;=Z$4,IF($G$4:$AF$4&lt;=Z$4,Sys_Repl_Rate!$G118:$AF118))),"")</f>
        <v>2.4837444560558866</v>
      </c>
      <c r="AA47" s="321">
        <f t="array" aca="1" ref="AA47" ca="1">IF(ISNUMBER(Sys_Repl_Rate!$G118:$AF118),AVERAGE(IF($G$4:$AF$4+Sys_Repl_Rate!$G118:$AF118&gt;=AA$4,IF($G$4:$AF$4&lt;=AA$4,Sys_Repl_Rate!$G118:$AF118))),"")</f>
        <v>2.4951377792488043</v>
      </c>
      <c r="AB47" s="321">
        <f t="array" aca="1" ref="AB47" ca="1">IF(ISNUMBER(Sys_Repl_Rate!$G118:$AF118),AVERAGE(IF($G$4:$AF$4+Sys_Repl_Rate!$G118:$AF118&gt;=AB$4,IF($G$4:$AF$4&lt;=AB$4,Sys_Repl_Rate!$G118:$AF118))),"")</f>
        <v>2.5065311024417216</v>
      </c>
      <c r="AC47" s="321">
        <f t="array" aca="1" ref="AC47" ca="1">IF(ISNUMBER(Sys_Repl_Rate!$G118:$AF118),AVERAGE(IF($G$4:$AF$4+Sys_Repl_Rate!$G118:$AF118&gt;=AC$4,IF($G$4:$AF$4&lt;=AC$4,Sys_Repl_Rate!$G118:$AF118))),"")</f>
        <v>2.5179244256346389</v>
      </c>
      <c r="AD47" s="321">
        <f t="array" aca="1" ref="AD47" ca="1">IF(ISNUMBER(Sys_Repl_Rate!$G118:$AF118),AVERAGE(IF($G$4:$AF$4+Sys_Repl_Rate!$G118:$AF118&gt;=AD$4,IF($G$4:$AF$4&lt;=AD$4,Sys_Repl_Rate!$G118:$AF118))),"")</f>
        <v>2.5293177488275553</v>
      </c>
      <c r="AE47" s="321">
        <f t="array" aca="1" ref="AE47" ca="1">IF(ISNUMBER(Sys_Repl_Rate!$G118:$AF118),AVERAGE(IF($G$4:$AF$4+Sys_Repl_Rate!$G118:$AF118&gt;=AE$4,IF($G$4:$AF$4&lt;=AE$4,Sys_Repl_Rate!$G118:$AF118))),"")</f>
        <v>2.5407110720204718</v>
      </c>
      <c r="AF47" s="321">
        <f t="array" aca="1" ref="AF47" ca="1">IF(ISNUMBER(Sys_Repl_Rate!$G118:$AF118),AVERAGE(IF($G$4:$AF$4+Sys_Repl_Rate!$G118:$AF118&gt;=AF$4,IF($G$4:$AF$4&lt;=AF$4,Sys_Repl_Rate!$G118:$AF118))),"")</f>
        <v>2.5521043952133886</v>
      </c>
    </row>
    <row r="48" spans="1:32" x14ac:dyDescent="0.25">
      <c r="A48" s="322"/>
      <c r="B48" s="322" t="s">
        <v>27</v>
      </c>
      <c r="G48" s="321">
        <f t="array" aca="1" ref="G48" ca="1">IF(ISNUMBER(Sys_Repl_Rate!$G119:$AF119),AVERAGE(IF($G$4:$AF$4+Sys_Repl_Rate!$G119:$AF119&gt;=G$4,IF($G$4:$AF$4&lt;=G$4,Sys_Repl_Rate!$G119:$AF119))),"")</f>
        <v>15.646830518272557</v>
      </c>
      <c r="H48" s="321">
        <f t="array" aca="1" ref="H48" ca="1">IF(ISNUMBER(Sys_Repl_Rate!$G119:$AF119),AVERAGE(IF($G$4:$AF$4+Sys_Repl_Rate!$G119:$AF119&gt;=H$4,IF($G$4:$AF$4&lt;=H$4,Sys_Repl_Rate!$G119:$AF119))),"")</f>
        <v>15.68594759456823</v>
      </c>
      <c r="I48" s="321">
        <f t="array" aca="1" ref="I48" ca="1">IF(ISNUMBER(Sys_Repl_Rate!$G119:$AF119),AVERAGE(IF($G$4:$AF$4+Sys_Repl_Rate!$G119:$AF119&gt;=I$4,IF($G$4:$AF$4&lt;=I$4,Sys_Repl_Rate!$G119:$AF119))),"")</f>
        <v>15.72506467086391</v>
      </c>
      <c r="J48" s="321">
        <f t="array" aca="1" ref="J48" ca="1">IF(ISNUMBER(Sys_Repl_Rate!$G119:$AF119),AVERAGE(IF($G$4:$AF$4+Sys_Repl_Rate!$G119:$AF119&gt;=J$4,IF($G$4:$AF$4&lt;=J$4,Sys_Repl_Rate!$G119:$AF119))),"")</f>
        <v>15.764181747159594</v>
      </c>
      <c r="K48" s="321">
        <f t="array" aca="1" ref="K48" ca="1">IF(ISNUMBER(Sys_Repl_Rate!$G119:$AF119),AVERAGE(IF($G$4:$AF$4+Sys_Repl_Rate!$G119:$AF119&gt;=K$4,IF($G$4:$AF$4&lt;=K$4,Sys_Repl_Rate!$G119:$AF119))),"")</f>
        <v>15.803298823455274</v>
      </c>
      <c r="L48" s="321">
        <f t="array" aca="1" ref="L48" ca="1">IF(ISNUMBER(Sys_Repl_Rate!$G119:$AF119),AVERAGE(IF($G$4:$AF$4+Sys_Repl_Rate!$G119:$AF119&gt;=L$4,IF($G$4:$AF$4&lt;=L$4,Sys_Repl_Rate!$G119:$AF119))),"")</f>
        <v>15.842415899750955</v>
      </c>
      <c r="M48" s="321">
        <f t="array" aca="1" ref="M48" ca="1">IF(ISNUMBER(Sys_Repl_Rate!$G119:$AF119),AVERAGE(IF($G$4:$AF$4+Sys_Repl_Rate!$G119:$AF119&gt;=M$4,IF($G$4:$AF$4&lt;=M$4,Sys_Repl_Rate!$G119:$AF119))),"")</f>
        <v>15.881532976046639</v>
      </c>
      <c r="N48" s="321">
        <f t="array" aca="1" ref="N48" ca="1">IF(ISNUMBER(Sys_Repl_Rate!$G119:$AF119),AVERAGE(IF($G$4:$AF$4+Sys_Repl_Rate!$G119:$AF119&gt;=N$4,IF($G$4:$AF$4&lt;=N$4,Sys_Repl_Rate!$G119:$AF119))),"")</f>
        <v>15.920650052342319</v>
      </c>
      <c r="O48" s="321">
        <f t="array" aca="1" ref="O48" ca="1">IF(ISNUMBER(Sys_Repl_Rate!$G119:$AF119),AVERAGE(IF($G$4:$AF$4+Sys_Repl_Rate!$G119:$AF119&gt;=O$4,IF($G$4:$AF$4&lt;=O$4,Sys_Repl_Rate!$G119:$AF119))),"")</f>
        <v>15.959767128638001</v>
      </c>
      <c r="P48" s="321">
        <f t="array" aca="1" ref="P48" ca="1">IF(ISNUMBER(Sys_Repl_Rate!$G119:$AF119),AVERAGE(IF($G$4:$AF$4+Sys_Repl_Rate!$G119:$AF119&gt;=P$4,IF($G$4:$AF$4&lt;=P$4,Sys_Repl_Rate!$G119:$AF119))),"")</f>
        <v>15.998884204933683</v>
      </c>
      <c r="Q48" s="321">
        <f t="array" aca="1" ref="Q48" ca="1">IF(ISNUMBER(Sys_Repl_Rate!$G119:$AF119),AVERAGE(IF($G$4:$AF$4+Sys_Repl_Rate!$G119:$AF119&gt;=Q$4,IF($G$4:$AF$4&lt;=Q$4,Sys_Repl_Rate!$G119:$AF119))),"")</f>
        <v>16.038001281229366</v>
      </c>
      <c r="R48" s="321">
        <f t="array" aca="1" ref="R48" ca="1">IF(ISNUMBER(Sys_Repl_Rate!$G119:$AF119),AVERAGE(IF($G$4:$AF$4+Sys_Repl_Rate!$G119:$AF119&gt;=R$4,IF($G$4:$AF$4&lt;=R$4,Sys_Repl_Rate!$G119:$AF119))),"")</f>
        <v>16.077118357525048</v>
      </c>
      <c r="S48" s="321">
        <f t="array" aca="1" ref="S48" ca="1">IF(ISNUMBER(Sys_Repl_Rate!$G119:$AF119),AVERAGE(IF($G$4:$AF$4+Sys_Repl_Rate!$G119:$AF119&gt;=S$4,IF($G$4:$AF$4&lt;=S$4,Sys_Repl_Rate!$G119:$AF119))),"")</f>
        <v>16.116235433820727</v>
      </c>
      <c r="T48" s="321">
        <f t="array" aca="1" ref="T48" ca="1">IF(ISNUMBER(Sys_Repl_Rate!$G119:$AF119),AVERAGE(IF($G$4:$AF$4+Sys_Repl_Rate!$G119:$AF119&gt;=T$4,IF($G$4:$AF$4&lt;=T$4,Sys_Repl_Rate!$G119:$AF119))),"")</f>
        <v>16.155352510116408</v>
      </c>
      <c r="U48" s="321">
        <f t="array" aca="1" ref="U48" ca="1">IF(ISNUMBER(Sys_Repl_Rate!$G119:$AF119),AVERAGE(IF($G$4:$AF$4+Sys_Repl_Rate!$G119:$AF119&gt;=U$4,IF($G$4:$AF$4&lt;=U$4,Sys_Repl_Rate!$G119:$AF119))),"")</f>
        <v>16.19446958641209</v>
      </c>
      <c r="V48" s="321">
        <f t="array" aca="1" ref="V48" ca="1">IF(ISNUMBER(Sys_Repl_Rate!$G119:$AF119),AVERAGE(IF($G$4:$AF$4+Sys_Repl_Rate!$G119:$AF119&gt;=V$4,IF($G$4:$AF$4&lt;=V$4,Sys_Repl_Rate!$G119:$AF119))),"")</f>
        <v>16.233586662707772</v>
      </c>
      <c r="W48" s="321">
        <f t="array" aca="1" ref="W48" ca="1">IF(ISNUMBER(Sys_Repl_Rate!$G119:$AF119),AVERAGE(IF($G$4:$AF$4+Sys_Repl_Rate!$G119:$AF119&gt;=W$4,IF($G$4:$AF$4&lt;=W$4,Sys_Repl_Rate!$G119:$AF119))),"")</f>
        <v>16.311820815299136</v>
      </c>
      <c r="X48" s="321">
        <f t="array" aca="1" ref="X48" ca="1">IF(ISNUMBER(Sys_Repl_Rate!$G119:$AF119),AVERAGE(IF($G$4:$AF$4+Sys_Repl_Rate!$G119:$AF119&gt;=X$4,IF($G$4:$AF$4&lt;=X$4,Sys_Repl_Rate!$G119:$AF119))),"")</f>
        <v>16.390054967890496</v>
      </c>
      <c r="Y48" s="321">
        <f t="array" aca="1" ref="Y48" ca="1">IF(ISNUMBER(Sys_Repl_Rate!$G119:$AF119),AVERAGE(IF($G$4:$AF$4+Sys_Repl_Rate!$G119:$AF119&gt;=Y$4,IF($G$4:$AF$4&lt;=Y$4,Sys_Repl_Rate!$G119:$AF119))),"")</f>
        <v>16.46828912048186</v>
      </c>
      <c r="Z48" s="321">
        <f t="array" aca="1" ref="Z48" ca="1">IF(ISNUMBER(Sys_Repl_Rate!$G119:$AF119),AVERAGE(IF($G$4:$AF$4+Sys_Repl_Rate!$G119:$AF119&gt;=Z$4,IF($G$4:$AF$4&lt;=Z$4,Sys_Repl_Rate!$G119:$AF119))),"")</f>
        <v>16.54652327307322</v>
      </c>
      <c r="AA48" s="321">
        <f t="array" aca="1" ref="AA48" ca="1">IF(ISNUMBER(Sys_Repl_Rate!$G119:$AF119),AVERAGE(IF($G$4:$AF$4+Sys_Repl_Rate!$G119:$AF119&gt;=AA$4,IF($G$4:$AF$4&lt;=AA$4,Sys_Repl_Rate!$G119:$AF119))),"")</f>
        <v>16.624757425664587</v>
      </c>
      <c r="AB48" s="321">
        <f t="array" aca="1" ref="AB48" ca="1">IF(ISNUMBER(Sys_Repl_Rate!$G119:$AF119),AVERAGE(IF($G$4:$AF$4+Sys_Repl_Rate!$G119:$AF119&gt;=AB$4,IF($G$4:$AF$4&lt;=AB$4,Sys_Repl_Rate!$G119:$AF119))),"")</f>
        <v>16.663874501960269</v>
      </c>
      <c r="AC48" s="321">
        <f t="array" aca="1" ref="AC48" ca="1">IF(ISNUMBER(Sys_Repl_Rate!$G119:$AF119),AVERAGE(IF($G$4:$AF$4+Sys_Repl_Rate!$G119:$AF119&gt;=AC$4,IF($G$4:$AF$4&lt;=AC$4,Sys_Repl_Rate!$G119:$AF119))),"")</f>
        <v>16.742108654551629</v>
      </c>
      <c r="AD48" s="321">
        <f t="array" aca="1" ref="AD48" ca="1">IF(ISNUMBER(Sys_Repl_Rate!$G119:$AF119),AVERAGE(IF($G$4:$AF$4+Sys_Repl_Rate!$G119:$AF119&gt;=AD$4,IF($G$4:$AF$4&lt;=AD$4,Sys_Repl_Rate!$G119:$AF119))),"")</f>
        <v>16.820342807142993</v>
      </c>
      <c r="AE48" s="321">
        <f t="array" aca="1" ref="AE48" ca="1">IF(ISNUMBER(Sys_Repl_Rate!$G119:$AF119),AVERAGE(IF($G$4:$AF$4+Sys_Repl_Rate!$G119:$AF119&gt;=AE$4,IF($G$4:$AF$4&lt;=AE$4,Sys_Repl_Rate!$G119:$AF119))),"")</f>
        <v>16.898576959734356</v>
      </c>
      <c r="AF48" s="321">
        <f t="array" aca="1" ref="AF48" ca="1">IF(ISNUMBER(Sys_Repl_Rate!$G119:$AF119),AVERAGE(IF($G$4:$AF$4+Sys_Repl_Rate!$G119:$AF119&gt;=AF$4,IF($G$4:$AF$4&lt;=AF$4,Sys_Repl_Rate!$G119:$AF119))),"")</f>
        <v>16.97681111232572</v>
      </c>
    </row>
    <row r="49" spans="1:32" x14ac:dyDescent="0.25">
      <c r="A49" s="322"/>
      <c r="B49" s="322" t="s">
        <v>29</v>
      </c>
      <c r="G49" s="321">
        <f t="array" aca="1" ref="G49" ca="1">IF(ISNUMBER(Sys_Repl_Rate!$G120:$AF120),AVERAGE(IF($G$4:$AF$4+Sys_Repl_Rate!$G120:$AF120&gt;=G$4,IF($G$4:$AF$4&lt;=G$4,Sys_Repl_Rate!$G120:$AF120))),"")</f>
        <v>37.977743976389711</v>
      </c>
      <c r="H49" s="321">
        <f t="array" aca="1" ref="H49" ca="1">IF(ISNUMBER(Sys_Repl_Rate!$G120:$AF120),AVERAGE(IF($G$4:$AF$4+Sys_Repl_Rate!$G120:$AF120&gt;=H$4,IF($G$4:$AF$4&lt;=H$4,Sys_Repl_Rate!$G120:$AF120))),"")</f>
        <v>44.050421060359866</v>
      </c>
      <c r="I49" s="321">
        <f t="array" aca="1" ref="I49" ca="1">IF(ISNUMBER(Sys_Repl_Rate!$G120:$AF120),AVERAGE(IF($G$4:$AF$4+Sys_Repl_Rate!$G120:$AF120&gt;=I$4,IF($G$4:$AF$4&lt;=I$4,Sys_Repl_Rate!$G120:$AF120))),"")</f>
        <v>47.885470294105289</v>
      </c>
      <c r="J49" s="321">
        <f t="array" aca="1" ref="J49" ca="1">IF(ISNUMBER(Sys_Repl_Rate!$G120:$AF120),AVERAGE(IF($G$4:$AF$4+Sys_Repl_Rate!$G120:$AF120&gt;=J$4,IF($G$4:$AF$4&lt;=J$4,Sys_Repl_Rate!$G120:$AF120))),"")</f>
        <v>50.965255215786783</v>
      </c>
      <c r="K49" s="321">
        <f t="array" aca="1" ref="K49" ca="1">IF(ISNUMBER(Sys_Repl_Rate!$G120:$AF120),AVERAGE(IF($G$4:$AF$4+Sys_Repl_Rate!$G120:$AF120&gt;=K$4,IF($G$4:$AF$4&lt;=K$4,Sys_Repl_Rate!$G120:$AF120))),"")</f>
        <v>53.576553087517695</v>
      </c>
      <c r="L49" s="321">
        <f t="array" aca="1" ref="L49" ca="1">IF(ISNUMBER(Sys_Repl_Rate!$G120:$AF120),AVERAGE(IF($G$4:$AF$4+Sys_Repl_Rate!$G120:$AF120&gt;=L$4,IF($G$4:$AF$4&lt;=L$4,Sys_Repl_Rate!$G120:$AF120))),"")</f>
        <v>55.822234903319469</v>
      </c>
      <c r="M49" s="321">
        <f t="array" aca="1" ref="M49" ca="1">IF(ISNUMBER(Sys_Repl_Rate!$G120:$AF120),AVERAGE(IF($G$4:$AF$4+Sys_Repl_Rate!$G120:$AF120&gt;=M$4,IF($G$4:$AF$4&lt;=M$4,Sys_Repl_Rate!$G120:$AF120))),"")</f>
        <v>57.760432978804793</v>
      </c>
      <c r="N49" s="321">
        <f t="array" aca="1" ref="N49" ca="1">IF(ISNUMBER(Sys_Repl_Rate!$G120:$AF120),AVERAGE(IF($G$4:$AF$4+Sys_Repl_Rate!$G120:$AF120&gt;=N$4,IF($G$4:$AF$4&lt;=N$4,Sys_Repl_Rate!$G120:$AF120))),"")</f>
        <v>59.435152732991114</v>
      </c>
      <c r="O49" s="321">
        <f t="array" aca="1" ref="O49" ca="1">IF(ISNUMBER(Sys_Repl_Rate!$G120:$AF120),AVERAGE(IF($G$4:$AF$4+Sys_Repl_Rate!$G120:$AF120&gt;=O$4,IF($G$4:$AF$4&lt;=O$4,Sys_Repl_Rate!$G120:$AF120))),"")</f>
        <v>60.883944808512489</v>
      </c>
      <c r="P49" s="321">
        <f t="array" aca="1" ref="P49" ca="1">IF(ISNUMBER(Sys_Repl_Rate!$G120:$AF120),AVERAGE(IF($G$4:$AF$4+Sys_Repl_Rate!$G120:$AF120&gt;=P$4,IF($G$4:$AF$4&lt;=P$4,Sys_Repl_Rate!$G120:$AF120))),"")</f>
        <v>62.139757193506441</v>
      </c>
      <c r="Q49" s="321">
        <f t="array" aca="1" ref="Q49" ca="1">IF(ISNUMBER(Sys_Repl_Rate!$G120:$AF120),AVERAGE(IF($G$4:$AF$4+Sys_Repl_Rate!$G120:$AF120&gt;=Q$4,IF($G$4:$AF$4&lt;=Q$4,Sys_Repl_Rate!$G120:$AF120))),"")</f>
        <v>63.231371951328043</v>
      </c>
      <c r="R49" s="321">
        <f t="array" aca="1" ref="R49" ca="1">IF(ISNUMBER(Sys_Repl_Rate!$G120:$AF120),AVERAGE(IF($G$4:$AF$4+Sys_Repl_Rate!$G120:$AF120&gt;=R$4,IF($G$4:$AF$4&lt;=R$4,Sys_Repl_Rate!$G120:$AF120))),"")</f>
        <v>64.183629759328866</v>
      </c>
      <c r="S49" s="321">
        <f t="array" aca="1" ref="S49" ca="1">IF(ISNUMBER(Sys_Repl_Rate!$G120:$AF120),AVERAGE(IF($G$4:$AF$4+Sys_Repl_Rate!$G120:$AF120&gt;=S$4,IF($G$4:$AF$4&lt;=S$4,Sys_Repl_Rate!$G120:$AF120))),"")</f>
        <v>65.017721537950692</v>
      </c>
      <c r="T49" s="321">
        <f t="array" aca="1" ref="T49" ca="1">IF(ISNUMBER(Sys_Repl_Rate!$G120:$AF120),AVERAGE(IF($G$4:$AF$4+Sys_Repl_Rate!$G120:$AF120&gt;=T$4,IF($G$4:$AF$4&lt;=T$4,Sys_Repl_Rate!$G120:$AF120))),"")</f>
        <v>65.751562588667937</v>
      </c>
      <c r="U49" s="321">
        <f t="array" aca="1" ref="U49" ca="1">IF(ISNUMBER(Sys_Repl_Rate!$G120:$AF120),AVERAGE(IF($G$4:$AF$4+Sys_Repl_Rate!$G120:$AF120&gt;=U$4,IF($G$4:$AF$4&lt;=U$4,Sys_Repl_Rate!$G120:$AF120))),"")</f>
        <v>66.400205979964767</v>
      </c>
      <c r="V49" s="321">
        <f t="array" aca="1" ref="V49" ca="1">IF(ISNUMBER(Sys_Repl_Rate!$G120:$AF120),AVERAGE(IF($G$4:$AF$4+Sys_Repl_Rate!$G120:$AF120&gt;=V$4,IF($G$4:$AF$4&lt;=V$4,Sys_Repl_Rate!$G120:$AF120))),"")</f>
        <v>66.976253603543029</v>
      </c>
      <c r="W49" s="321">
        <f t="array" aca="1" ref="W49" ca="1">IF(ISNUMBER(Sys_Repl_Rate!$G120:$AF120),AVERAGE(IF($G$4:$AF$4+Sys_Repl_Rate!$G120:$AF120&gt;=W$4,IF($G$4:$AF$4&lt;=W$4,Sys_Repl_Rate!$G120:$AF120))),"")</f>
        <v>67.490238034923422</v>
      </c>
      <c r="X49" s="321">
        <f t="array" aca="1" ref="X49" ca="1">IF(ISNUMBER(Sys_Repl_Rate!$G120:$AF120),AVERAGE(IF($G$4:$AF$4+Sys_Repl_Rate!$G120:$AF120&gt;=X$4,IF($G$4:$AF$4&lt;=X$4,Sys_Repl_Rate!$G120:$AF120))),"")</f>
        <v>67.950961849949479</v>
      </c>
      <c r="Y49" s="321">
        <f t="array" aca="1" ref="Y49" ca="1">IF(ISNUMBER(Sys_Repl_Rate!$G120:$AF120),AVERAGE(IF($G$4:$AF$4+Sys_Repl_Rate!$G120:$AF120&gt;=Y$4,IF($G$4:$AF$4&lt;=Y$4,Sys_Repl_Rate!$G120:$AF120))),"")</f>
        <v>68.365790346863562</v>
      </c>
      <c r="Z49" s="321">
        <f t="array" aca="1" ref="Z49" ca="1">IF(ISNUMBER(Sys_Repl_Rate!$G120:$AF120),AVERAGE(IF($G$4:$AF$4+Sys_Repl_Rate!$G120:$AF120&gt;=Z$4,IF($G$4:$AF$4&lt;=Z$4,Sys_Repl_Rate!$G120:$AF120))),"")</f>
        <v>68.740899097397445</v>
      </c>
      <c r="AA49" s="321">
        <f t="array" aca="1" ref="AA49" ca="1">IF(ISNUMBER(Sys_Repl_Rate!$G120:$AF120),AVERAGE(IF($G$4:$AF$4+Sys_Repl_Rate!$G120:$AF120&gt;=AA$4,IF($G$4:$AF$4&lt;=AA$4,Sys_Repl_Rate!$G120:$AF120))),"")</f>
        <v>69.081480520065639</v>
      </c>
      <c r="AB49" s="321">
        <f t="array" aca="1" ref="AB49" ca="1">IF(ISNUMBER(Sys_Repl_Rate!$G120:$AF120),AVERAGE(IF($G$4:$AF$4+Sys_Repl_Rate!$G120:$AF120&gt;=AB$4,IF($G$4:$AF$4&lt;=AB$4,Sys_Repl_Rate!$G120:$AF120))),"")</f>
        <v>69.391914747697356</v>
      </c>
      <c r="AC49" s="321">
        <f t="array" aca="1" ref="AC49" ca="1">IF(ISNUMBER(Sys_Repl_Rate!$G120:$AF120),AVERAGE(IF($G$4:$AF$4+Sys_Repl_Rate!$G120:$AF120&gt;=AC$4,IF($G$4:$AF$4&lt;=AC$4,Sys_Repl_Rate!$G120:$AF120))),"")</f>
        <v>69.675910177129452</v>
      </c>
      <c r="AD49" s="321">
        <f t="array" aca="1" ref="AD49" ca="1">IF(ISNUMBER(Sys_Repl_Rate!$G120:$AF120),AVERAGE(IF($G$4:$AF$4+Sys_Repl_Rate!$G120:$AF120&gt;=AD$4,IF($G$4:$AF$4&lt;=AD$4,Sys_Repl_Rate!$G120:$AF120))),"")</f>
        <v>69.936618711130805</v>
      </c>
      <c r="AE49" s="321">
        <f t="array" aca="1" ref="AE49" ca="1">IF(ISNUMBER(Sys_Repl_Rate!$G120:$AF120),AVERAGE(IF($G$4:$AF$4+Sys_Repl_Rate!$G120:$AF120&gt;=AE$4,IF($G$4:$AF$4&lt;=AE$4,Sys_Repl_Rate!$G120:$AF120))),"")</f>
        <v>70.176730112321167</v>
      </c>
      <c r="AF49" s="321">
        <f t="array" aca="1" ref="AF49" ca="1">IF(ISNUMBER(Sys_Repl_Rate!$G120:$AF120),AVERAGE(IF($G$4:$AF$4+Sys_Repl_Rate!$G120:$AF120&gt;=AF$4,IF($G$4:$AF$4&lt;=AF$4,Sys_Repl_Rate!$G120:$AF120))),"")</f>
        <v>70.398549244014276</v>
      </c>
    </row>
    <row r="50" spans="1:32" x14ac:dyDescent="0.25">
      <c r="A50" s="322"/>
      <c r="B50" s="322"/>
    </row>
    <row r="51" spans="1:32" s="202" customFormat="1" ht="12.75" x14ac:dyDescent="0.2">
      <c r="A51" s="335" t="s">
        <v>32</v>
      </c>
      <c r="B51" s="335"/>
      <c r="C51" s="335"/>
      <c r="D51" s="335"/>
      <c r="E51" s="335"/>
      <c r="F51" s="335"/>
      <c r="G51" s="335"/>
      <c r="H51" s="335"/>
      <c r="I51" s="335"/>
      <c r="J51" s="335"/>
      <c r="K51" s="335"/>
      <c r="L51" s="335"/>
      <c r="M51" s="335"/>
      <c r="N51" s="335"/>
      <c r="O51" s="335"/>
      <c r="P51" s="335"/>
      <c r="Q51" s="335"/>
      <c r="R51" s="335"/>
      <c r="S51" s="335"/>
      <c r="T51" s="335"/>
      <c r="U51" s="335"/>
      <c r="V51" s="335"/>
      <c r="W51" s="335"/>
      <c r="X51" s="335"/>
      <c r="Y51" s="335"/>
      <c r="Z51" s="335"/>
      <c r="AA51" s="335"/>
      <c r="AB51" s="335"/>
      <c r="AC51" s="335"/>
      <c r="AD51" s="335"/>
      <c r="AE51" s="335"/>
      <c r="AF51" s="335"/>
    </row>
    <row r="52" spans="1:32" x14ac:dyDescent="0.25">
      <c r="A52" s="322"/>
      <c r="B52" s="322" t="s">
        <v>33</v>
      </c>
      <c r="G52" s="321">
        <f t="array" ref="G52">IF(ISNUMBER(Sys_Repl_Rate!$G123:$AF123),AVERAGE(IF($G$4:$AF$4+Sys_Repl_Rate!$G123:$AF123&gt;=G$4,IF($G$4:$AF$4&lt;=G$4,Sys_Repl_Rate!$G123:$AF123))),"")</f>
        <v>3.853173733845662</v>
      </c>
      <c r="H52" s="321">
        <f t="array" ref="H52">IF(ISNUMBER(Sys_Repl_Rate!$G123:$AF123),AVERAGE(IF($G$4:$AF$4+Sys_Repl_Rate!$G123:$AF123&gt;=H$4,IF($G$4:$AF$4&lt;=H$4,Sys_Repl_Rate!$G123:$AF123))),"")</f>
        <v>3.853173733845662</v>
      </c>
      <c r="I52" s="321">
        <f t="array" ref="I52">IF(ISNUMBER(Sys_Repl_Rate!$G123:$AF123),AVERAGE(IF($G$4:$AF$4+Sys_Repl_Rate!$G123:$AF123&gt;=I$4,IF($G$4:$AF$4&lt;=I$4,Sys_Repl_Rate!$G123:$AF123))),"")</f>
        <v>3.853173733845662</v>
      </c>
      <c r="J52" s="321">
        <f t="array" ref="J52">IF(ISNUMBER(Sys_Repl_Rate!$G123:$AF123),AVERAGE(IF($G$4:$AF$4+Sys_Repl_Rate!$G123:$AF123&gt;=J$4,IF($G$4:$AF$4&lt;=J$4,Sys_Repl_Rate!$G123:$AF123))),"")</f>
        <v>3.853173733845662</v>
      </c>
      <c r="K52" s="321">
        <f t="array" ref="K52">IF(ISNUMBER(Sys_Repl_Rate!$G123:$AF123),AVERAGE(IF($G$4:$AF$4+Sys_Repl_Rate!$G123:$AF123&gt;=K$4,IF($G$4:$AF$4&lt;=K$4,Sys_Repl_Rate!$G123:$AF123))),"")</f>
        <v>3.853173733845662</v>
      </c>
      <c r="L52" s="321">
        <f t="array" ref="L52">IF(ISNUMBER(Sys_Repl_Rate!$G123:$AF123),AVERAGE(IF($G$4:$AF$4+Sys_Repl_Rate!$G123:$AF123&gt;=L$4,IF($G$4:$AF$4&lt;=L$4,Sys_Repl_Rate!$G123:$AF123))),"")</f>
        <v>3.853173733845662</v>
      </c>
      <c r="M52" s="321">
        <f t="array" ref="M52">IF(ISNUMBER(Sys_Repl_Rate!$G123:$AF123),AVERAGE(IF($G$4:$AF$4+Sys_Repl_Rate!$G123:$AF123&gt;=M$4,IF($G$4:$AF$4&lt;=M$4,Sys_Repl_Rate!$G123:$AF123))),"")</f>
        <v>3.853173733845662</v>
      </c>
      <c r="N52" s="321">
        <f t="array" ref="N52">IF(ISNUMBER(Sys_Repl_Rate!$G123:$AF123),AVERAGE(IF($G$4:$AF$4+Sys_Repl_Rate!$G123:$AF123&gt;=N$4,IF($G$4:$AF$4&lt;=N$4,Sys_Repl_Rate!$G123:$AF123))),"")</f>
        <v>3.853173733845662</v>
      </c>
      <c r="O52" s="321">
        <f t="array" ref="O52">IF(ISNUMBER(Sys_Repl_Rate!$G123:$AF123),AVERAGE(IF($G$4:$AF$4+Sys_Repl_Rate!$G123:$AF123&gt;=O$4,IF($G$4:$AF$4&lt;=O$4,Sys_Repl_Rate!$G123:$AF123))),"")</f>
        <v>3.853173733845662</v>
      </c>
      <c r="P52" s="321">
        <f t="array" ref="P52">IF(ISNUMBER(Sys_Repl_Rate!$G123:$AF123),AVERAGE(IF($G$4:$AF$4+Sys_Repl_Rate!$G123:$AF123&gt;=P$4,IF($G$4:$AF$4&lt;=P$4,Sys_Repl_Rate!$G123:$AF123))),"")</f>
        <v>3.853173733845662</v>
      </c>
      <c r="Q52" s="321">
        <f t="array" ref="Q52">IF(ISNUMBER(Sys_Repl_Rate!$G123:$AF123),AVERAGE(IF($G$4:$AF$4+Sys_Repl_Rate!$G123:$AF123&gt;=Q$4,IF($G$4:$AF$4&lt;=Q$4,Sys_Repl_Rate!$G123:$AF123))),"")</f>
        <v>3.853173733845662</v>
      </c>
      <c r="R52" s="321">
        <f t="array" ref="R52">IF(ISNUMBER(Sys_Repl_Rate!$G123:$AF123),AVERAGE(IF($G$4:$AF$4+Sys_Repl_Rate!$G123:$AF123&gt;=R$4,IF($G$4:$AF$4&lt;=R$4,Sys_Repl_Rate!$G123:$AF123))),"")</f>
        <v>3.853173733845662</v>
      </c>
      <c r="S52" s="321">
        <f t="array" ref="S52">IF(ISNUMBER(Sys_Repl_Rate!$G123:$AF123),AVERAGE(IF($G$4:$AF$4+Sys_Repl_Rate!$G123:$AF123&gt;=S$4,IF($G$4:$AF$4&lt;=S$4,Sys_Repl_Rate!$G123:$AF123))),"")</f>
        <v>3.853173733845662</v>
      </c>
      <c r="T52" s="321">
        <f t="array" ref="T52">IF(ISNUMBER(Sys_Repl_Rate!$G123:$AF123),AVERAGE(IF($G$4:$AF$4+Sys_Repl_Rate!$G123:$AF123&gt;=T$4,IF($G$4:$AF$4&lt;=T$4,Sys_Repl_Rate!$G123:$AF123))),"")</f>
        <v>3.853173733845662</v>
      </c>
      <c r="U52" s="321">
        <f t="array" ref="U52">IF(ISNUMBER(Sys_Repl_Rate!$G123:$AF123),AVERAGE(IF($G$4:$AF$4+Sys_Repl_Rate!$G123:$AF123&gt;=U$4,IF($G$4:$AF$4&lt;=U$4,Sys_Repl_Rate!$G123:$AF123))),"")</f>
        <v>3.853173733845662</v>
      </c>
      <c r="V52" s="321">
        <f t="array" ref="V52">IF(ISNUMBER(Sys_Repl_Rate!$G123:$AF123),AVERAGE(IF($G$4:$AF$4+Sys_Repl_Rate!$G123:$AF123&gt;=V$4,IF($G$4:$AF$4&lt;=V$4,Sys_Repl_Rate!$G123:$AF123))),"")</f>
        <v>3.853173733845662</v>
      </c>
      <c r="W52" s="321">
        <f t="array" ref="W52">IF(ISNUMBER(Sys_Repl_Rate!$G123:$AF123),AVERAGE(IF($G$4:$AF$4+Sys_Repl_Rate!$G123:$AF123&gt;=W$4,IF($G$4:$AF$4&lt;=W$4,Sys_Repl_Rate!$G123:$AF123))),"")</f>
        <v>3.853173733845662</v>
      </c>
      <c r="X52" s="321">
        <f t="array" ref="X52">IF(ISNUMBER(Sys_Repl_Rate!$G123:$AF123),AVERAGE(IF($G$4:$AF$4+Sys_Repl_Rate!$G123:$AF123&gt;=X$4,IF($G$4:$AF$4&lt;=X$4,Sys_Repl_Rate!$G123:$AF123))),"")</f>
        <v>3.853173733845662</v>
      </c>
      <c r="Y52" s="321">
        <f t="array" ref="Y52">IF(ISNUMBER(Sys_Repl_Rate!$G123:$AF123),AVERAGE(IF($G$4:$AF$4+Sys_Repl_Rate!$G123:$AF123&gt;=Y$4,IF($G$4:$AF$4&lt;=Y$4,Sys_Repl_Rate!$G123:$AF123))),"")</f>
        <v>3.853173733845662</v>
      </c>
      <c r="Z52" s="321">
        <f t="array" ref="Z52">IF(ISNUMBER(Sys_Repl_Rate!$G123:$AF123),AVERAGE(IF($G$4:$AF$4+Sys_Repl_Rate!$G123:$AF123&gt;=Z$4,IF($G$4:$AF$4&lt;=Z$4,Sys_Repl_Rate!$G123:$AF123))),"")</f>
        <v>3.853173733845662</v>
      </c>
      <c r="AA52" s="321">
        <f t="array" ref="AA52">IF(ISNUMBER(Sys_Repl_Rate!$G123:$AF123),AVERAGE(IF($G$4:$AF$4+Sys_Repl_Rate!$G123:$AF123&gt;=AA$4,IF($G$4:$AF$4&lt;=AA$4,Sys_Repl_Rate!$G123:$AF123))),"")</f>
        <v>3.853173733845662</v>
      </c>
      <c r="AB52" s="321">
        <f t="array" ref="AB52">IF(ISNUMBER(Sys_Repl_Rate!$G123:$AF123),AVERAGE(IF($G$4:$AF$4+Sys_Repl_Rate!$G123:$AF123&gt;=AB$4,IF($G$4:$AF$4&lt;=AB$4,Sys_Repl_Rate!$G123:$AF123))),"")</f>
        <v>3.853173733845662</v>
      </c>
      <c r="AC52" s="321">
        <f t="array" ref="AC52">IF(ISNUMBER(Sys_Repl_Rate!$G123:$AF123),AVERAGE(IF($G$4:$AF$4+Sys_Repl_Rate!$G123:$AF123&gt;=AC$4,IF($G$4:$AF$4&lt;=AC$4,Sys_Repl_Rate!$G123:$AF123))),"")</f>
        <v>3.853173733845662</v>
      </c>
      <c r="AD52" s="321">
        <f t="array" ref="AD52">IF(ISNUMBER(Sys_Repl_Rate!$G123:$AF123),AVERAGE(IF($G$4:$AF$4+Sys_Repl_Rate!$G123:$AF123&gt;=AD$4,IF($G$4:$AF$4&lt;=AD$4,Sys_Repl_Rate!$G123:$AF123))),"")</f>
        <v>3.853173733845662</v>
      </c>
      <c r="AE52" s="321">
        <f t="array" ref="AE52">IF(ISNUMBER(Sys_Repl_Rate!$G123:$AF123),AVERAGE(IF($G$4:$AF$4+Sys_Repl_Rate!$G123:$AF123&gt;=AE$4,IF($G$4:$AF$4&lt;=AE$4,Sys_Repl_Rate!$G123:$AF123))),"")</f>
        <v>3.853173733845662</v>
      </c>
      <c r="AF52" s="321">
        <f t="array" ref="AF52">IF(ISNUMBER(Sys_Repl_Rate!$G123:$AF123),AVERAGE(IF($G$4:$AF$4+Sys_Repl_Rate!$G123:$AF123&gt;=AF$4,IF($G$4:$AF$4&lt;=AF$4,Sys_Repl_Rate!$G123:$AF123))),"")</f>
        <v>3.853173733845662</v>
      </c>
    </row>
    <row r="53" spans="1:32" x14ac:dyDescent="0.25">
      <c r="A53" s="328"/>
      <c r="B53" s="328" t="s">
        <v>34</v>
      </c>
      <c r="G53" s="321">
        <f t="array" ref="G53">IF(ISNUMBER(Sys_Repl_Rate!$G124:$AF124),AVERAGE(IF($G$4:$AF$4+Sys_Repl_Rate!$G124:$AF124&gt;=G$4,IF($G$4:$AF$4&lt;=G$4,Sys_Repl_Rate!$G124:$AF124))),"")</f>
        <v>4.6238084806147945</v>
      </c>
      <c r="H53" s="321">
        <f t="array" ref="H53">IF(ISNUMBER(Sys_Repl_Rate!$G124:$AF124),AVERAGE(IF($G$4:$AF$4+Sys_Repl_Rate!$G124:$AF124&gt;=H$4,IF($G$4:$AF$4&lt;=H$4,Sys_Repl_Rate!$G124:$AF124))),"")</f>
        <v>4.6353680018163317</v>
      </c>
      <c r="I53" s="321">
        <f t="array" ref="I53">IF(ISNUMBER(Sys_Repl_Rate!$G124:$AF124),AVERAGE(IF($G$4:$AF$4+Sys_Repl_Rate!$G124:$AF124&gt;=I$4,IF($G$4:$AF$4&lt;=I$4,Sys_Repl_Rate!$G124:$AF124))),"")</f>
        <v>4.6469275230178688</v>
      </c>
      <c r="J53" s="321">
        <f t="array" ref="J53">IF(ISNUMBER(Sys_Repl_Rate!$G124:$AF124),AVERAGE(IF($G$4:$AF$4+Sys_Repl_Rate!$G124:$AF124&gt;=J$4,IF($G$4:$AF$4&lt;=J$4,Sys_Repl_Rate!$G124:$AF124))),"")</f>
        <v>4.658487044219406</v>
      </c>
      <c r="K53" s="321">
        <f t="array" ref="K53">IF(ISNUMBER(Sys_Repl_Rate!$G124:$AF124),AVERAGE(IF($G$4:$AF$4+Sys_Repl_Rate!$G124:$AF124&gt;=K$4,IF($G$4:$AF$4&lt;=K$4,Sys_Repl_Rate!$G124:$AF124))),"")</f>
        <v>4.6700465654209422</v>
      </c>
      <c r="L53" s="321">
        <f t="array" ref="L53">IF(ISNUMBER(Sys_Repl_Rate!$G124:$AF124),AVERAGE(IF($G$4:$AF$4+Sys_Repl_Rate!$G124:$AF124&gt;=L$4,IF($G$4:$AF$4&lt;=L$4,Sys_Repl_Rate!$G124:$AF124))),"")</f>
        <v>4.6931656078240165</v>
      </c>
      <c r="M53" s="321">
        <f t="array" ref="M53">IF(ISNUMBER(Sys_Repl_Rate!$G124:$AF124),AVERAGE(IF($G$4:$AF$4+Sys_Repl_Rate!$G124:$AF124&gt;=M$4,IF($G$4:$AF$4&lt;=M$4,Sys_Repl_Rate!$G124:$AF124))),"")</f>
        <v>4.7162846502270908</v>
      </c>
      <c r="N53" s="321">
        <f t="array" ref="N53">IF(ISNUMBER(Sys_Repl_Rate!$G124:$AF124),AVERAGE(IF($G$4:$AF$4+Sys_Repl_Rate!$G124:$AF124&gt;=N$4,IF($G$4:$AF$4&lt;=N$4,Sys_Repl_Rate!$G124:$AF124))),"")</f>
        <v>4.7394036926301641</v>
      </c>
      <c r="O53" s="321">
        <f t="array" ref="O53">IF(ISNUMBER(Sys_Repl_Rate!$G124:$AF124),AVERAGE(IF($G$4:$AF$4+Sys_Repl_Rate!$G124:$AF124&gt;=O$4,IF($G$4:$AF$4&lt;=O$4,Sys_Repl_Rate!$G124:$AF124))),"")</f>
        <v>4.7625227350332384</v>
      </c>
      <c r="P53" s="321">
        <f t="array" ref="P53">IF(ISNUMBER(Sys_Repl_Rate!$G124:$AF124),AVERAGE(IF($G$4:$AF$4+Sys_Repl_Rate!$G124:$AF124&gt;=P$4,IF($G$4:$AF$4&lt;=P$4,Sys_Repl_Rate!$G124:$AF124))),"")</f>
        <v>4.7856417774363127</v>
      </c>
      <c r="Q53" s="321">
        <f t="array" ref="Q53">IF(ISNUMBER(Sys_Repl_Rate!$G124:$AF124),AVERAGE(IF($G$4:$AF$4+Sys_Repl_Rate!$G124:$AF124&gt;=Q$4,IF($G$4:$AF$4&lt;=Q$4,Sys_Repl_Rate!$G124:$AF124))),"")</f>
        <v>4.808760819839387</v>
      </c>
      <c r="R53" s="321">
        <f t="array" ref="R53">IF(ISNUMBER(Sys_Repl_Rate!$G124:$AF124),AVERAGE(IF($G$4:$AF$4+Sys_Repl_Rate!$G124:$AF124&gt;=R$4,IF($G$4:$AF$4&lt;=R$4,Sys_Repl_Rate!$G124:$AF124))),"")</f>
        <v>4.8318798622424612</v>
      </c>
      <c r="S53" s="321">
        <f t="array" ref="S53">IF(ISNUMBER(Sys_Repl_Rate!$G124:$AF124),AVERAGE(IF($G$4:$AF$4+Sys_Repl_Rate!$G124:$AF124&gt;=S$4,IF($G$4:$AF$4&lt;=S$4,Sys_Repl_Rate!$G124:$AF124))),"")</f>
        <v>4.8549989046455346</v>
      </c>
      <c r="T53" s="321">
        <f t="array" ref="T53">IF(ISNUMBER(Sys_Repl_Rate!$G124:$AF124),AVERAGE(IF($G$4:$AF$4+Sys_Repl_Rate!$G124:$AF124&gt;=T$4,IF($G$4:$AF$4&lt;=T$4,Sys_Repl_Rate!$G124:$AF124))),"")</f>
        <v>4.878117947048608</v>
      </c>
      <c r="U53" s="321">
        <f t="array" ref="U53">IF(ISNUMBER(Sys_Repl_Rate!$G124:$AF124),AVERAGE(IF($G$4:$AF$4+Sys_Repl_Rate!$G124:$AF124&gt;=U$4,IF($G$4:$AF$4&lt;=U$4,Sys_Repl_Rate!$G124:$AF124))),"")</f>
        <v>4.9012369894516814</v>
      </c>
      <c r="V53" s="321">
        <f t="array" ref="V53">IF(ISNUMBER(Sys_Repl_Rate!$G124:$AF124),AVERAGE(IF($G$4:$AF$4+Sys_Repl_Rate!$G124:$AF124&gt;=V$4,IF($G$4:$AF$4&lt;=V$4,Sys_Repl_Rate!$G124:$AF124))),"")</f>
        <v>4.9243560318547566</v>
      </c>
      <c r="W53" s="321">
        <f t="array" ref="W53">IF(ISNUMBER(Sys_Repl_Rate!$G124:$AF124),AVERAGE(IF($G$4:$AF$4+Sys_Repl_Rate!$G124:$AF124&gt;=W$4,IF($G$4:$AF$4&lt;=W$4,Sys_Repl_Rate!$G124:$AF124))),"")</f>
        <v>4.9474750742578308</v>
      </c>
      <c r="X53" s="321">
        <f t="array" ref="X53">IF(ISNUMBER(Sys_Repl_Rate!$G124:$AF124),AVERAGE(IF($G$4:$AF$4+Sys_Repl_Rate!$G124:$AF124&gt;=X$4,IF($G$4:$AF$4&lt;=X$4,Sys_Repl_Rate!$G124:$AF124))),"")</f>
        <v>4.9705941166609042</v>
      </c>
      <c r="Y53" s="321">
        <f t="array" ref="Y53">IF(ISNUMBER(Sys_Repl_Rate!$G124:$AF124),AVERAGE(IF($G$4:$AF$4+Sys_Repl_Rate!$G124:$AF124&gt;=Y$4,IF($G$4:$AF$4&lt;=Y$4,Sys_Repl_Rate!$G124:$AF124))),"")</f>
        <v>4.9937131590639785</v>
      </c>
      <c r="Z53" s="321">
        <f t="array" ref="Z53">IF(ISNUMBER(Sys_Repl_Rate!$G124:$AF124),AVERAGE(IF($G$4:$AF$4+Sys_Repl_Rate!$G124:$AF124&gt;=Z$4,IF($G$4:$AF$4&lt;=Z$4,Sys_Repl_Rate!$G124:$AF124))),"")</f>
        <v>5.0168322014670519</v>
      </c>
      <c r="AA53" s="321">
        <f t="array" ref="AA53">IF(ISNUMBER(Sys_Repl_Rate!$G124:$AF124),AVERAGE(IF($G$4:$AF$4+Sys_Repl_Rate!$G124:$AF124&gt;=AA$4,IF($G$4:$AF$4&lt;=AA$4,Sys_Repl_Rate!$G124:$AF124))),"")</f>
        <v>5.0399512438701262</v>
      </c>
      <c r="AB53" s="321">
        <f t="array" ref="AB53">IF(ISNUMBER(Sys_Repl_Rate!$G124:$AF124),AVERAGE(IF($G$4:$AF$4+Sys_Repl_Rate!$G124:$AF124&gt;=AB$4,IF($G$4:$AF$4&lt;=AB$4,Sys_Repl_Rate!$G124:$AF124))),"")</f>
        <v>5.0630702862732004</v>
      </c>
      <c r="AC53" s="321">
        <f t="array" ref="AC53">IF(ISNUMBER(Sys_Repl_Rate!$G124:$AF124),AVERAGE(IF($G$4:$AF$4+Sys_Repl_Rate!$G124:$AF124&gt;=AC$4,IF($G$4:$AF$4&lt;=AC$4,Sys_Repl_Rate!$G124:$AF124))),"")</f>
        <v>5.0746298074747385</v>
      </c>
      <c r="AD53" s="321">
        <f t="array" ref="AD53">IF(ISNUMBER(Sys_Repl_Rate!$G124:$AF124),AVERAGE(IF($G$4:$AF$4+Sys_Repl_Rate!$G124:$AF124&gt;=AD$4,IF($G$4:$AF$4&lt;=AD$4,Sys_Repl_Rate!$G124:$AF124))),"")</f>
        <v>5.0977488498778118</v>
      </c>
      <c r="AE53" s="321">
        <f t="array" ref="AE53">IF(ISNUMBER(Sys_Repl_Rate!$G124:$AF124),AVERAGE(IF($G$4:$AF$4+Sys_Repl_Rate!$G124:$AF124&gt;=AE$4,IF($G$4:$AF$4&lt;=AE$4,Sys_Repl_Rate!$G124:$AF124))),"")</f>
        <v>5.1208678922808861</v>
      </c>
      <c r="AF53" s="321">
        <f t="array" ref="AF53">IF(ISNUMBER(Sys_Repl_Rate!$G124:$AF124),AVERAGE(IF($G$4:$AF$4+Sys_Repl_Rate!$G124:$AF124&gt;=AF$4,IF($G$4:$AF$4&lt;=AF$4,Sys_Repl_Rate!$G124:$AF124))),"")</f>
        <v>5.1439869346839595</v>
      </c>
    </row>
    <row r="54" spans="1:32" x14ac:dyDescent="0.25">
      <c r="A54" s="322"/>
      <c r="B54" s="328" t="s">
        <v>35</v>
      </c>
      <c r="G54" s="321">
        <f t="array" ref="G54">IF(ISNUMBER(Sys_Repl_Rate!$G125:$AF125),AVERAGE(IF($G$4:$AF$4+Sys_Repl_Rate!$G125:$AF125&gt;=G$4,IF($G$4:$AF$4&lt;=G$4,Sys_Repl_Rate!$G125:$AF125))),"")</f>
        <v>15.412694935382648</v>
      </c>
      <c r="H54" s="321">
        <f t="array" ref="H54">IF(ISNUMBER(Sys_Repl_Rate!$G125:$AF125),AVERAGE(IF($G$4:$AF$4+Sys_Repl_Rate!$G125:$AF125&gt;=H$4,IF($G$4:$AF$4&lt;=H$4,Sys_Repl_Rate!$G125:$AF125))),"")</f>
        <v>15.451226672721113</v>
      </c>
      <c r="I54" s="321">
        <f t="array" ref="I54">IF(ISNUMBER(Sys_Repl_Rate!$G125:$AF125),AVERAGE(IF($G$4:$AF$4+Sys_Repl_Rate!$G125:$AF125&gt;=I$4,IF($G$4:$AF$4&lt;=I$4,Sys_Repl_Rate!$G125:$AF125))),"")</f>
        <v>15.489758410059572</v>
      </c>
      <c r="J54" s="321">
        <f t="array" ref="J54">IF(ISNUMBER(Sys_Repl_Rate!$G125:$AF125),AVERAGE(IF($G$4:$AF$4+Sys_Repl_Rate!$G125:$AF125&gt;=J$4,IF($G$4:$AF$4&lt;=J$4,Sys_Repl_Rate!$G125:$AF125))),"")</f>
        <v>15.528290147398028</v>
      </c>
      <c r="K54" s="321">
        <f t="array" ref="K54">IF(ISNUMBER(Sys_Repl_Rate!$G125:$AF125),AVERAGE(IF($G$4:$AF$4+Sys_Repl_Rate!$G125:$AF125&gt;=K$4,IF($G$4:$AF$4&lt;=K$4,Sys_Repl_Rate!$G125:$AF125))),"")</f>
        <v>15.566821884736484</v>
      </c>
      <c r="L54" s="321">
        <f t="array" ref="L54">IF(ISNUMBER(Sys_Repl_Rate!$G125:$AF125),AVERAGE(IF($G$4:$AF$4+Sys_Repl_Rate!$G125:$AF125&gt;=L$4,IF($G$4:$AF$4&lt;=L$4,Sys_Repl_Rate!$G125:$AF125))),"")</f>
        <v>15.605353622074938</v>
      </c>
      <c r="M54" s="321">
        <f t="array" ref="M54">IF(ISNUMBER(Sys_Repl_Rate!$G125:$AF125),AVERAGE(IF($G$4:$AF$4+Sys_Repl_Rate!$G125:$AF125&gt;=M$4,IF($G$4:$AF$4&lt;=M$4,Sys_Repl_Rate!$G125:$AF125))),"")</f>
        <v>15.643885359413398</v>
      </c>
      <c r="N54" s="321">
        <f t="array" ref="N54">IF(ISNUMBER(Sys_Repl_Rate!$G125:$AF125),AVERAGE(IF($G$4:$AF$4+Sys_Repl_Rate!$G125:$AF125&gt;=N$4,IF($G$4:$AF$4&lt;=N$4,Sys_Repl_Rate!$G125:$AF125))),"")</f>
        <v>15.682417096751854</v>
      </c>
      <c r="O54" s="321">
        <f t="array" ref="O54">IF(ISNUMBER(Sys_Repl_Rate!$G125:$AF125),AVERAGE(IF($G$4:$AF$4+Sys_Repl_Rate!$G125:$AF125&gt;=O$4,IF($G$4:$AF$4&lt;=O$4,Sys_Repl_Rate!$G125:$AF125))),"")</f>
        <v>15.720948834090311</v>
      </c>
      <c r="P54" s="321">
        <f t="array" ref="P54">IF(ISNUMBER(Sys_Repl_Rate!$G125:$AF125),AVERAGE(IF($G$4:$AF$4+Sys_Repl_Rate!$G125:$AF125&gt;=P$4,IF($G$4:$AF$4&lt;=P$4,Sys_Repl_Rate!$G125:$AF125))),"")</f>
        <v>15.759480571428767</v>
      </c>
      <c r="Q54" s="321">
        <f t="array" ref="Q54">IF(ISNUMBER(Sys_Repl_Rate!$G125:$AF125),AVERAGE(IF($G$4:$AF$4+Sys_Repl_Rate!$G125:$AF125&gt;=Q$4,IF($G$4:$AF$4&lt;=Q$4,Sys_Repl_Rate!$G125:$AF125))),"")</f>
        <v>15.798012308767222</v>
      </c>
      <c r="R54" s="321">
        <f t="array" ref="R54">IF(ISNUMBER(Sys_Repl_Rate!$G125:$AF125),AVERAGE(IF($G$4:$AF$4+Sys_Repl_Rate!$G125:$AF125&gt;=R$4,IF($G$4:$AF$4&lt;=R$4,Sys_Repl_Rate!$G125:$AF125))),"")</f>
        <v>15.836544046105679</v>
      </c>
      <c r="S54" s="321">
        <f t="array" ref="S54">IF(ISNUMBER(Sys_Repl_Rate!$G125:$AF125),AVERAGE(IF($G$4:$AF$4+Sys_Repl_Rate!$G125:$AF125&gt;=S$4,IF($G$4:$AF$4&lt;=S$4,Sys_Repl_Rate!$G125:$AF125))),"")</f>
        <v>15.875075783444137</v>
      </c>
      <c r="T54" s="321">
        <f t="array" ref="T54">IF(ISNUMBER(Sys_Repl_Rate!$G125:$AF125),AVERAGE(IF($G$4:$AF$4+Sys_Repl_Rate!$G125:$AF125&gt;=T$4,IF($G$4:$AF$4&lt;=T$4,Sys_Repl_Rate!$G125:$AF125))),"")</f>
        <v>15.913607520782593</v>
      </c>
      <c r="U54" s="321">
        <f t="array" ref="U54">IF(ISNUMBER(Sys_Repl_Rate!$G125:$AF125),AVERAGE(IF($G$4:$AF$4+Sys_Repl_Rate!$G125:$AF125&gt;=U$4,IF($G$4:$AF$4&lt;=U$4,Sys_Repl_Rate!$G125:$AF125))),"")</f>
        <v>15.952139258121049</v>
      </c>
      <c r="V54" s="321">
        <f t="array" ref="V54">IF(ISNUMBER(Sys_Repl_Rate!$G125:$AF125),AVERAGE(IF($G$4:$AF$4+Sys_Repl_Rate!$G125:$AF125&gt;=V$4,IF($G$4:$AF$4&lt;=V$4,Sys_Repl_Rate!$G125:$AF125))),"")</f>
        <v>15.990670995459507</v>
      </c>
      <c r="W54" s="321">
        <f t="array" ref="W54">IF(ISNUMBER(Sys_Repl_Rate!$G125:$AF125),AVERAGE(IF($G$4:$AF$4+Sys_Repl_Rate!$G125:$AF125&gt;=W$4,IF($G$4:$AF$4&lt;=W$4,Sys_Repl_Rate!$G125:$AF125))),"")</f>
        <v>16.067734470136418</v>
      </c>
      <c r="X54" s="321">
        <f t="array" ref="X54">IF(ISNUMBER(Sys_Repl_Rate!$G125:$AF125),AVERAGE(IF($G$4:$AF$4+Sys_Repl_Rate!$G125:$AF125&gt;=X$4,IF($G$4:$AF$4&lt;=X$4,Sys_Repl_Rate!$G125:$AF125))),"")</f>
        <v>16.144797944813334</v>
      </c>
      <c r="Y54" s="321">
        <f t="array" ref="Y54">IF(ISNUMBER(Sys_Repl_Rate!$G125:$AF125),AVERAGE(IF($G$4:$AF$4+Sys_Repl_Rate!$G125:$AF125&gt;=Y$4,IF($G$4:$AF$4&lt;=Y$4,Sys_Repl_Rate!$G125:$AF125))),"")</f>
        <v>16.221861419490249</v>
      </c>
      <c r="Z54" s="321">
        <f t="array" ref="Z54">IF(ISNUMBER(Sys_Repl_Rate!$G125:$AF125),AVERAGE(IF($G$4:$AF$4+Sys_Repl_Rate!$G125:$AF125&gt;=Z$4,IF($G$4:$AF$4&lt;=Z$4,Sys_Repl_Rate!$G125:$AF125))),"")</f>
        <v>16.298924894167158</v>
      </c>
      <c r="AA54" s="321">
        <f t="array" ref="AA54">IF(ISNUMBER(Sys_Repl_Rate!$G125:$AF125),AVERAGE(IF($G$4:$AF$4+Sys_Repl_Rate!$G125:$AF125&gt;=AA$4,IF($G$4:$AF$4&lt;=AA$4,Sys_Repl_Rate!$G125:$AF125))),"")</f>
        <v>16.375988368844073</v>
      </c>
      <c r="AB54" s="321">
        <f t="array" ref="AB54">IF(ISNUMBER(Sys_Repl_Rate!$G125:$AF125),AVERAGE(IF($G$4:$AF$4+Sys_Repl_Rate!$G125:$AF125&gt;=AB$4,IF($G$4:$AF$4&lt;=AB$4,Sys_Repl_Rate!$G125:$AF125))),"")</f>
        <v>16.453051843520985</v>
      </c>
      <c r="AC54" s="321">
        <f t="array" ref="AC54">IF(ISNUMBER(Sys_Repl_Rate!$G125:$AF125),AVERAGE(IF($G$4:$AF$4+Sys_Repl_Rate!$G125:$AF125&gt;=AC$4,IF($G$4:$AF$4&lt;=AC$4,Sys_Repl_Rate!$G125:$AF125))),"")</f>
        <v>16.5301153181979</v>
      </c>
      <c r="AD54" s="321">
        <f t="array" ref="AD54">IF(ISNUMBER(Sys_Repl_Rate!$G125:$AF125),AVERAGE(IF($G$4:$AF$4+Sys_Repl_Rate!$G125:$AF125&gt;=AD$4,IF($G$4:$AF$4&lt;=AD$4,Sys_Repl_Rate!$G125:$AF125))),"")</f>
        <v>16.607178792874816</v>
      </c>
      <c r="AE54" s="321">
        <f t="array" ref="AE54">IF(ISNUMBER(Sys_Repl_Rate!$G125:$AF125),AVERAGE(IF($G$4:$AF$4+Sys_Repl_Rate!$G125:$AF125&gt;=AE$4,IF($G$4:$AF$4&lt;=AE$4,Sys_Repl_Rate!$G125:$AF125))),"")</f>
        <v>16.645710530213272</v>
      </c>
      <c r="AF54" s="321">
        <f t="array" ref="AF54">IF(ISNUMBER(Sys_Repl_Rate!$G125:$AF125),AVERAGE(IF($G$4:$AF$4+Sys_Repl_Rate!$G125:$AF125&gt;=AF$4,IF($G$4:$AF$4&lt;=AF$4,Sys_Repl_Rate!$G125:$AF125))),"")</f>
        <v>16.72277400489018</v>
      </c>
    </row>
    <row r="55" spans="1:32" x14ac:dyDescent="0.25">
      <c r="A55" s="322"/>
      <c r="B55" s="328" t="s">
        <v>29</v>
      </c>
      <c r="G55" s="321">
        <f t="array" ref="G55">IF(ISNUMBER(Sys_Repl_Rate!$G126:$AF126),AVERAGE(IF($G$4:$AF$4+Sys_Repl_Rate!$G126:$AF126&gt;=G$4,IF($G$4:$AF$4&lt;=G$4,Sys_Repl_Rate!$G126:$AF126))),"")</f>
        <v>38.531737338456622</v>
      </c>
      <c r="H55" s="321">
        <f t="array" ref="H55">IF(ISNUMBER(Sys_Repl_Rate!$G126:$AF126),AVERAGE(IF($G$4:$AF$4+Sys_Repl_Rate!$G126:$AF126&gt;=H$4,IF($G$4:$AF$4&lt;=H$4,Sys_Repl_Rate!$G126:$AF126))),"")</f>
        <v>44.692998483570236</v>
      </c>
      <c r="I55" s="321">
        <f t="array" ref="I55">IF(ISNUMBER(Sys_Repl_Rate!$G126:$AF126),AVERAGE(IF($G$4:$AF$4+Sys_Repl_Rate!$G126:$AF126&gt;=I$4,IF($G$4:$AF$4&lt;=I$4,Sys_Repl_Rate!$G126:$AF126))),"")</f>
        <v>48.583990793345016</v>
      </c>
      <c r="J55" s="321">
        <f t="array" ref="J55">IF(ISNUMBER(Sys_Repl_Rate!$G126:$AF126),AVERAGE(IF($G$4:$AF$4+Sys_Repl_Rate!$G126:$AF126&gt;=J$4,IF($G$4:$AF$4&lt;=J$4,Sys_Repl_Rate!$G126:$AF126))),"")</f>
        <v>51.708701511679045</v>
      </c>
      <c r="K55" s="321">
        <f t="array" ref="K55">IF(ISNUMBER(Sys_Repl_Rate!$G126:$AF126),AVERAGE(IF($G$4:$AF$4+Sys_Repl_Rate!$G126:$AF126&gt;=K$4,IF($G$4:$AF$4&lt;=K$4,Sys_Repl_Rate!$G126:$AF126))),"")</f>
        <v>54.358091211303098</v>
      </c>
      <c r="L55" s="321">
        <f t="array" ref="L55">IF(ISNUMBER(Sys_Repl_Rate!$G126:$AF126),AVERAGE(IF($G$4:$AF$4+Sys_Repl_Rate!$G126:$AF126&gt;=L$4,IF($G$4:$AF$4&lt;=L$4,Sys_Repl_Rate!$G126:$AF126))),"")</f>
        <v>56.636531497961961</v>
      </c>
      <c r="M55" s="321">
        <f t="array" ref="M55">IF(ISNUMBER(Sys_Repl_Rate!$G126:$AF126),AVERAGE(IF($G$4:$AF$4+Sys_Repl_Rate!$G126:$AF126&gt;=M$4,IF($G$4:$AF$4&lt;=M$4,Sys_Repl_Rate!$G126:$AF126))),"")</f>
        <v>58.603002681740854</v>
      </c>
      <c r="N55" s="321">
        <f t="array" ref="N55">IF(ISNUMBER(Sys_Repl_Rate!$G126:$AF126),AVERAGE(IF($G$4:$AF$4+Sys_Repl_Rate!$G126:$AF126&gt;=N$4,IF($G$4:$AF$4&lt;=N$4,Sys_Repl_Rate!$G126:$AF126))),"")</f>
        <v>60.302152102621392</v>
      </c>
      <c r="O55" s="321">
        <f t="array" ref="O55">IF(ISNUMBER(Sys_Repl_Rate!$G126:$AF126),AVERAGE(IF($G$4:$AF$4+Sys_Repl_Rate!$G126:$AF126&gt;=O$4,IF($G$4:$AF$4&lt;=O$4,Sys_Repl_Rate!$G126:$AF126))),"")</f>
        <v>61.772078166337351</v>
      </c>
      <c r="P55" s="321">
        <f t="array" ref="P55">IF(ISNUMBER(Sys_Repl_Rate!$G126:$AF126),AVERAGE(IF($G$4:$AF$4+Sys_Repl_Rate!$G126:$AF126&gt;=P$4,IF($G$4:$AF$4&lt;=P$4,Sys_Repl_Rate!$G126:$AF126))),"")</f>
        <v>63.046209483749216</v>
      </c>
      <c r="Q55" s="321">
        <f t="array" ref="Q55">IF(ISNUMBER(Sys_Repl_Rate!$G126:$AF126),AVERAGE(IF($G$4:$AF$4+Sys_Repl_Rate!$G126:$AF126&gt;=Q$4,IF($G$4:$AF$4&lt;=Q$4,Sys_Repl_Rate!$G126:$AF126))),"")</f>
        <v>64.153747971272708</v>
      </c>
      <c r="R55" s="321">
        <f t="array" ref="R55">IF(ISNUMBER(Sys_Repl_Rate!$G126:$AF126),AVERAGE(IF($G$4:$AF$4+Sys_Repl_Rate!$G126:$AF126&gt;=R$4,IF($G$4:$AF$4&lt;=R$4,Sys_Repl_Rate!$G126:$AF126))),"")</f>
        <v>65.119896665075927</v>
      </c>
      <c r="S55" s="321">
        <f t="array" ref="S55">IF(ISNUMBER(Sys_Repl_Rate!$G126:$AF126),AVERAGE(IF($G$4:$AF$4+Sys_Repl_Rate!$G126:$AF126&gt;=S$4,IF($G$4:$AF$4&lt;=S$4,Sys_Repl_Rate!$G126:$AF126))),"")</f>
        <v>65.966155604258901</v>
      </c>
      <c r="T55" s="321">
        <f t="array" ref="T55">IF(ISNUMBER(Sys_Repl_Rate!$G126:$AF126),AVERAGE(IF($G$4:$AF$4+Sys_Repl_Rate!$G126:$AF126&gt;=T$4,IF($G$4:$AF$4&lt;=T$4,Sys_Repl_Rate!$G126:$AF126))),"")</f>
        <v>66.710701426464468</v>
      </c>
      <c r="U55" s="321">
        <f t="array" ref="U55">IF(ISNUMBER(Sys_Repl_Rate!$G126:$AF126),AVERAGE(IF($G$4:$AF$4+Sys_Repl_Rate!$G126:$AF126&gt;=U$4,IF($G$4:$AF$4&lt;=U$4,Sys_Repl_Rate!$G126:$AF126))),"")</f>
        <v>67.368806784047408</v>
      </c>
      <c r="V55" s="321">
        <f t="array" ref="V55">IF(ISNUMBER(Sys_Repl_Rate!$G126:$AF126),AVERAGE(IF($G$4:$AF$4+Sys_Repl_Rate!$G126:$AF126&gt;=V$4,IF($G$4:$AF$4&lt;=V$4,Sys_Repl_Rate!$G126:$AF126))),"")</f>
        <v>67.953257396489221</v>
      </c>
      <c r="W55" s="321">
        <f t="array" ref="W55">IF(ISNUMBER(Sys_Repl_Rate!$G126:$AF126),AVERAGE(IF($G$4:$AF$4+Sys_Repl_Rate!$G126:$AF126&gt;=W$4,IF($G$4:$AF$4&lt;=W$4,Sys_Repl_Rate!$G126:$AF126))),"")</f>
        <v>68.474739481320739</v>
      </c>
      <c r="X55" s="321">
        <f t="array" ref="X55">IF(ISNUMBER(Sys_Repl_Rate!$G126:$AF126),AVERAGE(IF($G$4:$AF$4+Sys_Repl_Rate!$G126:$AF126&gt;=X$4,IF($G$4:$AF$4&lt;=X$4,Sys_Repl_Rate!$G126:$AF126))),"")</f>
        <v>68.942184020343191</v>
      </c>
      <c r="Y55" s="321">
        <f t="array" ref="Y55">IF(ISNUMBER(Sys_Repl_Rate!$G126:$AF126),AVERAGE(IF($G$4:$AF$4+Sys_Repl_Rate!$G126:$AF126&gt;=Y$4,IF($G$4:$AF$4&lt;=Y$4,Sys_Repl_Rate!$G126:$AF126))),"")</f>
        <v>69.363063751733691</v>
      </c>
      <c r="Z55" s="321">
        <f t="array" ref="Z55">IF(ISNUMBER(Sys_Repl_Rate!$G126:$AF126),AVERAGE(IF($G$4:$AF$4+Sys_Repl_Rate!$G126:$AF126&gt;=Z$4,IF($G$4:$AF$4&lt;=Z$4,Sys_Repl_Rate!$G126:$AF126))),"")</f>
        <v>69.743644332241942</v>
      </c>
      <c r="AA55" s="321">
        <f t="array" ref="AA55">IF(ISNUMBER(Sys_Repl_Rate!$G126:$AF126),AVERAGE(IF($G$4:$AF$4+Sys_Repl_Rate!$G126:$AF126&gt;=AA$4,IF($G$4:$AF$4&lt;=AA$4,Sys_Repl_Rate!$G126:$AF126))),"")</f>
        <v>70.089193923833463</v>
      </c>
      <c r="AB55" s="321">
        <f t="array" ref="AB55">IF(ISNUMBER(Sys_Repl_Rate!$G126:$AF126),AVERAGE(IF($G$4:$AF$4+Sys_Repl_Rate!$G126:$AF126&gt;=AB$4,IF($G$4:$AF$4&lt;=AB$4,Sys_Repl_Rate!$G126:$AF126))),"")</f>
        <v>70.40415655372027</v>
      </c>
      <c r="AC55" s="321">
        <f t="array" ref="AC55">IF(ISNUMBER(Sys_Repl_Rate!$G126:$AF126),AVERAGE(IF($G$4:$AF$4+Sys_Repl_Rate!$G126:$AF126&gt;=AC$4,IF($G$4:$AF$4&lt;=AC$4,Sys_Repl_Rate!$G126:$AF126))),"")</f>
        <v>70.692294714296708</v>
      </c>
      <c r="AD55" s="321">
        <f t="array" ref="AD55">IF(ISNUMBER(Sys_Repl_Rate!$G126:$AF126),AVERAGE(IF($G$4:$AF$4+Sys_Repl_Rate!$G126:$AF126&gt;=AD$4,IF($G$4:$AF$4&lt;=AD$4,Sys_Repl_Rate!$G126:$AF126))),"")</f>
        <v>70.956806286134125</v>
      </c>
      <c r="AE55" s="321">
        <f t="array" ref="AE55">IF(ISNUMBER(Sys_Repl_Rate!$G126:$AF126),AVERAGE(IF($G$4:$AF$4+Sys_Repl_Rate!$G126:$AF126&gt;=AE$4,IF($G$4:$AF$4&lt;=AE$4,Sys_Repl_Rate!$G126:$AF126))),"")</f>
        <v>71.200420268270307</v>
      </c>
      <c r="AF55" s="321">
        <f t="array" ref="AF55">IF(ISNUMBER(Sys_Repl_Rate!$G126:$AF126),AVERAGE(IF($G$4:$AF$4+Sys_Repl_Rate!$G126:$AF126&gt;=AF$4,IF($G$4:$AF$4&lt;=AF$4,Sys_Repl_Rate!$G126:$AF126))),"")</f>
        <v>71.425475145789008</v>
      </c>
    </row>
    <row r="56" spans="1:32" x14ac:dyDescent="0.25">
      <c r="A56" s="322"/>
      <c r="B56" s="322"/>
    </row>
    <row r="57" spans="1:32" s="202" customFormat="1" ht="12.75" x14ac:dyDescent="0.2">
      <c r="A57" s="335" t="s">
        <v>36</v>
      </c>
      <c r="B57" s="335"/>
      <c r="C57" s="335"/>
      <c r="D57" s="335"/>
      <c r="E57" s="335"/>
      <c r="F57" s="335"/>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5"/>
      <c r="AE57" s="335"/>
      <c r="AF57" s="335"/>
    </row>
    <row r="58" spans="1:32" x14ac:dyDescent="0.25">
      <c r="A58" s="322"/>
      <c r="B58" s="322" t="s">
        <v>37</v>
      </c>
      <c r="G58" s="321">
        <f t="array" ref="G58">IF(ISNUMBER(Sys_Repl_Rate!$G129:$AF129),AVERAGE(IF($G$4:$AF$4+Sys_Repl_Rate!$G129:$AF129&gt;=G$4,IF($G$4:$AF$4&lt;=G$4,Sys_Repl_Rate!$G129:$AF129))),"")</f>
        <v>28.819481969811591</v>
      </c>
      <c r="H58" s="321">
        <f t="array" ref="H58">IF(ISNUMBER(Sys_Repl_Rate!$G129:$AF129),AVERAGE(IF($G$4:$AF$4+Sys_Repl_Rate!$G129:$AF129&gt;=H$4,IF($G$4:$AF$4&lt;=H$4,Sys_Repl_Rate!$G129:$AF129))),"")</f>
        <v>28.819481969811591</v>
      </c>
      <c r="I58" s="321">
        <f t="array" ref="I58">IF(ISNUMBER(Sys_Repl_Rate!$G129:$AF129),AVERAGE(IF($G$4:$AF$4+Sys_Repl_Rate!$G129:$AF129&gt;=I$4,IF($G$4:$AF$4&lt;=I$4,Sys_Repl_Rate!$G129:$AF129))),"")</f>
        <v>28.819481969811591</v>
      </c>
      <c r="J58" s="321">
        <f t="array" ref="J58">IF(ISNUMBER(Sys_Repl_Rate!$G129:$AF129),AVERAGE(IF($G$4:$AF$4+Sys_Repl_Rate!$G129:$AF129&gt;=J$4,IF($G$4:$AF$4&lt;=J$4,Sys_Repl_Rate!$G129:$AF129))),"")</f>
        <v>28.819481969811591</v>
      </c>
      <c r="K58" s="321">
        <f t="array" ref="K58">IF(ISNUMBER(Sys_Repl_Rate!$G129:$AF129),AVERAGE(IF($G$4:$AF$4+Sys_Repl_Rate!$G129:$AF129&gt;=K$4,IF($G$4:$AF$4&lt;=K$4,Sys_Repl_Rate!$G129:$AF129))),"")</f>
        <v>28.819481969811591</v>
      </c>
      <c r="L58" s="321">
        <f t="array" ref="L58">IF(ISNUMBER(Sys_Repl_Rate!$G129:$AF129),AVERAGE(IF($G$4:$AF$4+Sys_Repl_Rate!$G129:$AF129&gt;=L$4,IF($G$4:$AF$4&lt;=L$4,Sys_Repl_Rate!$G129:$AF129))),"")</f>
        <v>28.819481969811591</v>
      </c>
      <c r="M58" s="321">
        <f t="array" ref="M58">IF(ISNUMBER(Sys_Repl_Rate!$G129:$AF129),AVERAGE(IF($G$4:$AF$4+Sys_Repl_Rate!$G129:$AF129&gt;=M$4,IF($G$4:$AF$4&lt;=M$4,Sys_Repl_Rate!$G129:$AF129))),"")</f>
        <v>28.819481969811591</v>
      </c>
      <c r="N58" s="321">
        <f t="array" ref="N58">IF(ISNUMBER(Sys_Repl_Rate!$G129:$AF129),AVERAGE(IF($G$4:$AF$4+Sys_Repl_Rate!$G129:$AF129&gt;=N$4,IF($G$4:$AF$4&lt;=N$4,Sys_Repl_Rate!$G129:$AF129))),"")</f>
        <v>28.819481969811591</v>
      </c>
      <c r="O58" s="321">
        <f t="array" ref="O58">IF(ISNUMBER(Sys_Repl_Rate!$G129:$AF129),AVERAGE(IF($G$4:$AF$4+Sys_Repl_Rate!$G129:$AF129&gt;=O$4,IF($G$4:$AF$4&lt;=O$4,Sys_Repl_Rate!$G129:$AF129))),"")</f>
        <v>28.819481969811591</v>
      </c>
      <c r="P58" s="321">
        <f t="array" ref="P58">IF(ISNUMBER(Sys_Repl_Rate!$G129:$AF129),AVERAGE(IF($G$4:$AF$4+Sys_Repl_Rate!$G129:$AF129&gt;=P$4,IF($G$4:$AF$4&lt;=P$4,Sys_Repl_Rate!$G129:$AF129))),"")</f>
        <v>28.819481969811591</v>
      </c>
      <c r="Q58" s="321">
        <f t="array" ref="Q58">IF(ISNUMBER(Sys_Repl_Rate!$G129:$AF129),AVERAGE(IF($G$4:$AF$4+Sys_Repl_Rate!$G129:$AF129&gt;=Q$4,IF($G$4:$AF$4&lt;=Q$4,Sys_Repl_Rate!$G129:$AF129))),"")</f>
        <v>28.819481969811591</v>
      </c>
      <c r="R58" s="321">
        <f t="array" ref="R58">IF(ISNUMBER(Sys_Repl_Rate!$G129:$AF129),AVERAGE(IF($G$4:$AF$4+Sys_Repl_Rate!$G129:$AF129&gt;=R$4,IF($G$4:$AF$4&lt;=R$4,Sys_Repl_Rate!$G129:$AF129))),"")</f>
        <v>28.819481969811591</v>
      </c>
      <c r="S58" s="321">
        <f t="array" ref="S58">IF(ISNUMBER(Sys_Repl_Rate!$G129:$AF129),AVERAGE(IF($G$4:$AF$4+Sys_Repl_Rate!$G129:$AF129&gt;=S$4,IF($G$4:$AF$4&lt;=S$4,Sys_Repl_Rate!$G129:$AF129))),"")</f>
        <v>28.819481969811591</v>
      </c>
      <c r="T58" s="321">
        <f t="array" ref="T58">IF(ISNUMBER(Sys_Repl_Rate!$G129:$AF129),AVERAGE(IF($G$4:$AF$4+Sys_Repl_Rate!$G129:$AF129&gt;=T$4,IF($G$4:$AF$4&lt;=T$4,Sys_Repl_Rate!$G129:$AF129))),"")</f>
        <v>28.819481969811591</v>
      </c>
      <c r="U58" s="321">
        <f t="array" ref="U58">IF(ISNUMBER(Sys_Repl_Rate!$G129:$AF129),AVERAGE(IF($G$4:$AF$4+Sys_Repl_Rate!$G129:$AF129&gt;=U$4,IF($G$4:$AF$4&lt;=U$4,Sys_Repl_Rate!$G129:$AF129))),"")</f>
        <v>28.819481969811591</v>
      </c>
      <c r="V58" s="321">
        <f t="array" ref="V58">IF(ISNUMBER(Sys_Repl_Rate!$G129:$AF129),AVERAGE(IF($G$4:$AF$4+Sys_Repl_Rate!$G129:$AF129&gt;=V$4,IF($G$4:$AF$4&lt;=V$4,Sys_Repl_Rate!$G129:$AF129))),"")</f>
        <v>28.819481969811591</v>
      </c>
      <c r="W58" s="321">
        <f t="array" ref="W58">IF(ISNUMBER(Sys_Repl_Rate!$G129:$AF129),AVERAGE(IF($G$4:$AF$4+Sys_Repl_Rate!$G129:$AF129&gt;=W$4,IF($G$4:$AF$4&lt;=W$4,Sys_Repl_Rate!$G129:$AF129))),"")</f>
        <v>28.819481969811591</v>
      </c>
      <c r="X58" s="321">
        <f t="array" ref="X58">IF(ISNUMBER(Sys_Repl_Rate!$G129:$AF129),AVERAGE(IF($G$4:$AF$4+Sys_Repl_Rate!$G129:$AF129&gt;=X$4,IF($G$4:$AF$4&lt;=X$4,Sys_Repl_Rate!$G129:$AF129))),"")</f>
        <v>28.819481969811591</v>
      </c>
      <c r="Y58" s="321">
        <f t="array" ref="Y58">IF(ISNUMBER(Sys_Repl_Rate!$G129:$AF129),AVERAGE(IF($G$4:$AF$4+Sys_Repl_Rate!$G129:$AF129&gt;=Y$4,IF($G$4:$AF$4&lt;=Y$4,Sys_Repl_Rate!$G129:$AF129))),"")</f>
        <v>28.819481969811591</v>
      </c>
      <c r="Z58" s="321">
        <f t="array" ref="Z58">IF(ISNUMBER(Sys_Repl_Rate!$G129:$AF129),AVERAGE(IF($G$4:$AF$4+Sys_Repl_Rate!$G129:$AF129&gt;=Z$4,IF($G$4:$AF$4&lt;=Z$4,Sys_Repl_Rate!$G129:$AF129))),"")</f>
        <v>28.819481969811591</v>
      </c>
      <c r="AA58" s="321">
        <f t="array" ref="AA58">IF(ISNUMBER(Sys_Repl_Rate!$G129:$AF129),AVERAGE(IF($G$4:$AF$4+Sys_Repl_Rate!$G129:$AF129&gt;=AA$4,IF($G$4:$AF$4&lt;=AA$4,Sys_Repl_Rate!$G129:$AF129))),"")</f>
        <v>28.819481969811591</v>
      </c>
      <c r="AB58" s="321">
        <f t="array" ref="AB58">IF(ISNUMBER(Sys_Repl_Rate!$G129:$AF129),AVERAGE(IF($G$4:$AF$4+Sys_Repl_Rate!$G129:$AF129&gt;=AB$4,IF($G$4:$AF$4&lt;=AB$4,Sys_Repl_Rate!$G129:$AF129))),"")</f>
        <v>28.819481969811591</v>
      </c>
      <c r="AC58" s="321">
        <f t="array" ref="AC58">IF(ISNUMBER(Sys_Repl_Rate!$G129:$AF129),AVERAGE(IF($G$4:$AF$4+Sys_Repl_Rate!$G129:$AF129&gt;=AC$4,IF($G$4:$AF$4&lt;=AC$4,Sys_Repl_Rate!$G129:$AF129))),"")</f>
        <v>28.819481969811591</v>
      </c>
      <c r="AD58" s="321">
        <f t="array" ref="AD58">IF(ISNUMBER(Sys_Repl_Rate!$G129:$AF129),AVERAGE(IF($G$4:$AF$4+Sys_Repl_Rate!$G129:$AF129&gt;=AD$4,IF($G$4:$AF$4&lt;=AD$4,Sys_Repl_Rate!$G129:$AF129))),"")</f>
        <v>28.819481969811591</v>
      </c>
      <c r="AE58" s="321">
        <f t="array" ref="AE58">IF(ISNUMBER(Sys_Repl_Rate!$G129:$AF129),AVERAGE(IF($G$4:$AF$4+Sys_Repl_Rate!$G129:$AF129&gt;=AE$4,IF($G$4:$AF$4&lt;=AE$4,Sys_Repl_Rate!$G129:$AF129))),"")</f>
        <v>28.819481969811591</v>
      </c>
      <c r="AF58" s="321">
        <f t="array" ref="AF58">IF(ISNUMBER(Sys_Repl_Rate!$G129:$AF129),AVERAGE(IF($G$4:$AF$4+Sys_Repl_Rate!$G129:$AF129&gt;=AF$4,IF($G$4:$AF$4&lt;=AF$4,Sys_Repl_Rate!$G129:$AF129))),"")</f>
        <v>28.819481969811591</v>
      </c>
    </row>
    <row r="59" spans="1:32" x14ac:dyDescent="0.25">
      <c r="A59" s="322"/>
      <c r="B59" s="322" t="s">
        <v>39</v>
      </c>
      <c r="G59" s="321">
        <f t="array" ref="G59">IF(ISNUMBER(Sys_Repl_Rate!$G130:$AF130),AVERAGE(IF($G$4:$AF$4+Sys_Repl_Rate!$G130:$AF130&gt;=G$4,IF($G$4:$AF$4&lt;=G$4,Sys_Repl_Rate!$G130:$AF130))),"")</f>
        <v>28.819481969811591</v>
      </c>
      <c r="H59" s="321">
        <f t="array" ref="H59">IF(ISNUMBER(Sys_Repl_Rate!$G130:$AF130),AVERAGE(IF($G$4:$AF$4+Sys_Repl_Rate!$G130:$AF130&gt;=H$4,IF($G$4:$AF$4&lt;=H$4,Sys_Repl_Rate!$G130:$AF130))),"")</f>
        <v>28.891530674736138</v>
      </c>
      <c r="I59" s="321">
        <f t="array" ref="I59">IF(ISNUMBER(Sys_Repl_Rate!$G130:$AF130),AVERAGE(IF($G$4:$AF$4+Sys_Repl_Rate!$G130:$AF130&gt;=I$4,IF($G$4:$AF$4&lt;=I$4,Sys_Repl_Rate!$G130:$AF130))),"")</f>
        <v>28.963579379660672</v>
      </c>
      <c r="J59" s="321">
        <f t="array" ref="J59">IF(ISNUMBER(Sys_Repl_Rate!$G130:$AF130),AVERAGE(IF($G$4:$AF$4+Sys_Repl_Rate!$G130:$AF130&gt;=J$4,IF($G$4:$AF$4&lt;=J$4,Sys_Repl_Rate!$G130:$AF130))),"")</f>
        <v>29.035628084585198</v>
      </c>
      <c r="K59" s="321">
        <f t="array" ref="K59">IF(ISNUMBER(Sys_Repl_Rate!$G130:$AF130),AVERAGE(IF($G$4:$AF$4+Sys_Repl_Rate!$G130:$AF130&gt;=K$4,IF($G$4:$AF$4&lt;=K$4,Sys_Repl_Rate!$G130:$AF130))),"")</f>
        <v>29.107676789509725</v>
      </c>
      <c r="L59" s="321">
        <f t="array" ref="L59">IF(ISNUMBER(Sys_Repl_Rate!$G130:$AF130),AVERAGE(IF($G$4:$AF$4+Sys_Repl_Rate!$G130:$AF130&gt;=L$4,IF($G$4:$AF$4&lt;=L$4,Sys_Repl_Rate!$G130:$AF130))),"")</f>
        <v>29.179725494434251</v>
      </c>
      <c r="M59" s="321">
        <f t="array" ref="M59">IF(ISNUMBER(Sys_Repl_Rate!$G130:$AF130),AVERAGE(IF($G$4:$AF$4+Sys_Repl_Rate!$G130:$AF130&gt;=M$4,IF($G$4:$AF$4&lt;=M$4,Sys_Repl_Rate!$G130:$AF130))),"")</f>
        <v>29.251774199358781</v>
      </c>
      <c r="N59" s="321">
        <f t="array" ref="N59">IF(ISNUMBER(Sys_Repl_Rate!$G130:$AF130),AVERAGE(IF($G$4:$AF$4+Sys_Repl_Rate!$G130:$AF130&gt;=N$4,IF($G$4:$AF$4&lt;=N$4,Sys_Repl_Rate!$G130:$AF130))),"")</f>
        <v>29.323822904283311</v>
      </c>
      <c r="O59" s="321">
        <f t="array" ref="O59">IF(ISNUMBER(Sys_Repl_Rate!$G130:$AF130),AVERAGE(IF($G$4:$AF$4+Sys_Repl_Rate!$G130:$AF130&gt;=O$4,IF($G$4:$AF$4&lt;=O$4,Sys_Repl_Rate!$G130:$AF130))),"")</f>
        <v>29.395871609207841</v>
      </c>
      <c r="P59" s="321">
        <f t="array" ref="P59">IF(ISNUMBER(Sys_Repl_Rate!$G130:$AF130),AVERAGE(IF($G$4:$AF$4+Sys_Repl_Rate!$G130:$AF130&gt;=P$4,IF($G$4:$AF$4&lt;=P$4,Sys_Repl_Rate!$G130:$AF130))),"")</f>
        <v>29.467920314132368</v>
      </c>
      <c r="Q59" s="321">
        <f t="array" ref="Q59">IF(ISNUMBER(Sys_Repl_Rate!$G130:$AF130),AVERAGE(IF($G$4:$AF$4+Sys_Repl_Rate!$G130:$AF130&gt;=Q$4,IF($G$4:$AF$4&lt;=Q$4,Sys_Repl_Rate!$G130:$AF130))),"")</f>
        <v>29.539969019056898</v>
      </c>
      <c r="R59" s="321">
        <f t="array" ref="R59">IF(ISNUMBER(Sys_Repl_Rate!$G130:$AF130),AVERAGE(IF($G$4:$AF$4+Sys_Repl_Rate!$G130:$AF130&gt;=R$4,IF($G$4:$AF$4&lt;=R$4,Sys_Repl_Rate!$G130:$AF130))),"")</f>
        <v>29.612017723981428</v>
      </c>
      <c r="S59" s="321">
        <f t="array" ref="S59">IF(ISNUMBER(Sys_Repl_Rate!$G130:$AF130),AVERAGE(IF($G$4:$AF$4+Sys_Repl_Rate!$G130:$AF130&gt;=S$4,IF($G$4:$AF$4&lt;=S$4,Sys_Repl_Rate!$G130:$AF130))),"")</f>
        <v>29.684066428905961</v>
      </c>
      <c r="T59" s="321">
        <f t="array" ref="T59">IF(ISNUMBER(Sys_Repl_Rate!$G130:$AF130),AVERAGE(IF($G$4:$AF$4+Sys_Repl_Rate!$G130:$AF130&gt;=T$4,IF($G$4:$AF$4&lt;=T$4,Sys_Repl_Rate!$G130:$AF130))),"")</f>
        <v>29.756115133830487</v>
      </c>
      <c r="U59" s="321">
        <f t="array" ref="U59">IF(ISNUMBER(Sys_Repl_Rate!$G130:$AF130),AVERAGE(IF($G$4:$AF$4+Sys_Repl_Rate!$G130:$AF130&gt;=U$4,IF($G$4:$AF$4&lt;=U$4,Sys_Repl_Rate!$G130:$AF130))),"")</f>
        <v>29.828163838755014</v>
      </c>
      <c r="V59" s="321">
        <f t="array" ref="V59">IF(ISNUMBER(Sys_Repl_Rate!$G130:$AF130),AVERAGE(IF($G$4:$AF$4+Sys_Repl_Rate!$G130:$AF130&gt;=V$4,IF($G$4:$AF$4&lt;=V$4,Sys_Repl_Rate!$G130:$AF130))),"")</f>
        <v>29.90021254367954</v>
      </c>
      <c r="W59" s="321">
        <f t="array" ref="W59">IF(ISNUMBER(Sys_Repl_Rate!$G130:$AF130),AVERAGE(IF($G$4:$AF$4+Sys_Repl_Rate!$G130:$AF130&gt;=W$4,IF($G$4:$AF$4&lt;=W$4,Sys_Repl_Rate!$G130:$AF130))),"")</f>
        <v>29.97226124860407</v>
      </c>
      <c r="X59" s="321">
        <f t="array" ref="X59">IF(ISNUMBER(Sys_Repl_Rate!$G130:$AF130),AVERAGE(IF($G$4:$AF$4+Sys_Repl_Rate!$G130:$AF130&gt;=X$4,IF($G$4:$AF$4&lt;=X$4,Sys_Repl_Rate!$G130:$AF130))),"")</f>
        <v>30.0443099535286</v>
      </c>
      <c r="Y59" s="321">
        <f t="array" ref="Y59">IF(ISNUMBER(Sys_Repl_Rate!$G130:$AF130),AVERAGE(IF($G$4:$AF$4+Sys_Repl_Rate!$G130:$AF130&gt;=Y$4,IF($G$4:$AF$4&lt;=Y$4,Sys_Repl_Rate!$G130:$AF130))),"")</f>
        <v>30.11635865845313</v>
      </c>
      <c r="Z59" s="321">
        <f t="array" ref="Z59">IF(ISNUMBER(Sys_Repl_Rate!$G130:$AF130),AVERAGE(IF($G$4:$AF$4+Sys_Repl_Rate!$G130:$AF130&gt;=Z$4,IF($G$4:$AF$4&lt;=Z$4,Sys_Repl_Rate!$G130:$AF130))),"")</f>
        <v>30.188407363377657</v>
      </c>
      <c r="AA59" s="321">
        <f t="array" ref="AA59">IF(ISNUMBER(Sys_Repl_Rate!$G130:$AF130),AVERAGE(IF($G$4:$AF$4+Sys_Repl_Rate!$G130:$AF130&gt;=AA$4,IF($G$4:$AF$4&lt;=AA$4,Sys_Repl_Rate!$G130:$AF130))),"")</f>
        <v>30.260456068302183</v>
      </c>
      <c r="AB59" s="321">
        <f t="array" ref="AB59">IF(ISNUMBER(Sys_Repl_Rate!$G130:$AF130),AVERAGE(IF($G$4:$AF$4+Sys_Repl_Rate!$G130:$AF130&gt;=AB$4,IF($G$4:$AF$4&lt;=AB$4,Sys_Repl_Rate!$G130:$AF130))),"")</f>
        <v>30.332504773226717</v>
      </c>
      <c r="AC59" s="321">
        <f t="array" ref="AC59">IF(ISNUMBER(Sys_Repl_Rate!$G130:$AF130),AVERAGE(IF($G$4:$AF$4+Sys_Repl_Rate!$G130:$AF130&gt;=AC$4,IF($G$4:$AF$4&lt;=AC$4,Sys_Repl_Rate!$G130:$AF130))),"")</f>
        <v>30.404553478151243</v>
      </c>
      <c r="AD59" s="321">
        <f t="array" ref="AD59">IF(ISNUMBER(Sys_Repl_Rate!$G130:$AF130),AVERAGE(IF($G$4:$AF$4+Sys_Repl_Rate!$G130:$AF130&gt;=AD$4,IF($G$4:$AF$4&lt;=AD$4,Sys_Repl_Rate!$G130:$AF130))),"")</f>
        <v>30.476602183075773</v>
      </c>
      <c r="AE59" s="321">
        <f t="array" ref="AE59">IF(ISNUMBER(Sys_Repl_Rate!$G130:$AF130),AVERAGE(IF($G$4:$AF$4+Sys_Repl_Rate!$G130:$AF130&gt;=AE$4,IF($G$4:$AF$4&lt;=AE$4,Sys_Repl_Rate!$G130:$AF130))),"")</f>
        <v>30.548650888000303</v>
      </c>
      <c r="AF59" s="321">
        <f t="array" ref="AF59">IF(ISNUMBER(Sys_Repl_Rate!$G130:$AF130),AVERAGE(IF($G$4:$AF$4+Sys_Repl_Rate!$G130:$AF130&gt;=AF$4,IF($G$4:$AF$4&lt;=AF$4,Sys_Repl_Rate!$G130:$AF130))),"")</f>
        <v>30.620699592924833</v>
      </c>
    </row>
    <row r="60" spans="1:32" x14ac:dyDescent="0.25">
      <c r="A60" s="322"/>
      <c r="B60" s="322" t="s">
        <v>40</v>
      </c>
      <c r="G60" s="321">
        <f t="array" ref="G60">IF(ISNUMBER(Sys_Repl_Rate!$G131:$AF131),AVERAGE(IF($G$4:$AF$4+Sys_Repl_Rate!$G131:$AF131&gt;=G$4,IF($G$4:$AF$4&lt;=G$4,Sys_Repl_Rate!$G131:$AF131))),"")</f>
        <v>23.055585575849275</v>
      </c>
      <c r="H60" s="321">
        <f t="array" ref="H60">IF(ISNUMBER(Sys_Repl_Rate!$G131:$AF131),AVERAGE(IF($G$4:$AF$4+Sys_Repl_Rate!$G131:$AF131&gt;=H$4,IF($G$4:$AF$4&lt;=H$4,Sys_Repl_Rate!$G131:$AF131))),"")</f>
        <v>23.113224539788888</v>
      </c>
      <c r="I60" s="321">
        <f t="array" ref="I60">IF(ISNUMBER(Sys_Repl_Rate!$G131:$AF131),AVERAGE(IF($G$4:$AF$4+Sys_Repl_Rate!$G131:$AF131&gt;=I$4,IF($G$4:$AF$4&lt;=I$4,Sys_Repl_Rate!$G131:$AF131))),"")</f>
        <v>23.170863503728512</v>
      </c>
      <c r="J60" s="321">
        <f t="array" ref="J60">IF(ISNUMBER(Sys_Repl_Rate!$G131:$AF131),AVERAGE(IF($G$4:$AF$4+Sys_Repl_Rate!$G131:$AF131&gt;=J$4,IF($G$4:$AF$4&lt;=J$4,Sys_Repl_Rate!$G131:$AF131))),"")</f>
        <v>23.228502467668129</v>
      </c>
      <c r="K60" s="321">
        <f t="array" ref="K60">IF(ISNUMBER(Sys_Repl_Rate!$G131:$AF131),AVERAGE(IF($G$4:$AF$4+Sys_Repl_Rate!$G131:$AF131&gt;=K$4,IF($G$4:$AF$4&lt;=K$4,Sys_Repl_Rate!$G131:$AF131))),"")</f>
        <v>23.286141431607753</v>
      </c>
      <c r="L60" s="321">
        <f t="array" ref="L60">IF(ISNUMBER(Sys_Repl_Rate!$G131:$AF131),AVERAGE(IF($G$4:$AF$4+Sys_Repl_Rate!$G131:$AF131&gt;=L$4,IF($G$4:$AF$4&lt;=L$4,Sys_Repl_Rate!$G131:$AF131))),"")</f>
        <v>23.34378039554738</v>
      </c>
      <c r="M60" s="321">
        <f t="array" ref="M60">IF(ISNUMBER(Sys_Repl_Rate!$G131:$AF131),AVERAGE(IF($G$4:$AF$4+Sys_Repl_Rate!$G131:$AF131&gt;=M$4,IF($G$4:$AF$4&lt;=M$4,Sys_Repl_Rate!$G131:$AF131))),"")</f>
        <v>23.401419359487001</v>
      </c>
      <c r="N60" s="321">
        <f t="array" ref="N60">IF(ISNUMBER(Sys_Repl_Rate!$G131:$AF131),AVERAGE(IF($G$4:$AF$4+Sys_Repl_Rate!$G131:$AF131&gt;=N$4,IF($G$4:$AF$4&lt;=N$4,Sys_Repl_Rate!$G131:$AF131))),"")</f>
        <v>23.459058323426628</v>
      </c>
      <c r="O60" s="321">
        <f t="array" ref="O60">IF(ISNUMBER(Sys_Repl_Rate!$G131:$AF131),AVERAGE(IF($G$4:$AF$4+Sys_Repl_Rate!$G131:$AF131&gt;=O$4,IF($G$4:$AF$4&lt;=O$4,Sys_Repl_Rate!$G131:$AF131))),"")</f>
        <v>23.516697287366252</v>
      </c>
      <c r="P60" s="321">
        <f t="array" ref="P60">IF(ISNUMBER(Sys_Repl_Rate!$G131:$AF131),AVERAGE(IF($G$4:$AF$4+Sys_Repl_Rate!$G131:$AF131&gt;=P$4,IF($G$4:$AF$4&lt;=P$4,Sys_Repl_Rate!$G131:$AF131))),"")</f>
        <v>23.574336251305873</v>
      </c>
      <c r="Q60" s="321">
        <f t="array" ref="Q60">IF(ISNUMBER(Sys_Repl_Rate!$G131:$AF131),AVERAGE(IF($G$4:$AF$4+Sys_Repl_Rate!$G131:$AF131&gt;=Q$4,IF($G$4:$AF$4&lt;=Q$4,Sys_Repl_Rate!$G131:$AF131))),"")</f>
        <v>23.631975215245497</v>
      </c>
      <c r="R60" s="321">
        <f t="array" ref="R60">IF(ISNUMBER(Sys_Repl_Rate!$G131:$AF131),AVERAGE(IF($G$4:$AF$4+Sys_Repl_Rate!$G131:$AF131&gt;=R$4,IF($G$4:$AF$4&lt;=R$4,Sys_Repl_Rate!$G131:$AF131))),"")</f>
        <v>23.689614179185117</v>
      </c>
      <c r="S60" s="321">
        <f t="array" ref="S60">IF(ISNUMBER(Sys_Repl_Rate!$G131:$AF131),AVERAGE(IF($G$4:$AF$4+Sys_Repl_Rate!$G131:$AF131&gt;=S$4,IF($G$4:$AF$4&lt;=S$4,Sys_Repl_Rate!$G131:$AF131))),"")</f>
        <v>23.747253143124741</v>
      </c>
      <c r="T60" s="321">
        <f t="array" ref="T60">IF(ISNUMBER(Sys_Repl_Rate!$G131:$AF131),AVERAGE(IF($G$4:$AF$4+Sys_Repl_Rate!$G131:$AF131&gt;=T$4,IF($G$4:$AF$4&lt;=T$4,Sys_Repl_Rate!$G131:$AF131))),"")</f>
        <v>23.804892107064365</v>
      </c>
      <c r="U60" s="321">
        <f t="array" ref="U60">IF(ISNUMBER(Sys_Repl_Rate!$G131:$AF131),AVERAGE(IF($G$4:$AF$4+Sys_Repl_Rate!$G131:$AF131&gt;=U$4,IF($G$4:$AF$4&lt;=U$4,Sys_Repl_Rate!$G131:$AF131))),"")</f>
        <v>23.862531071003989</v>
      </c>
      <c r="V60" s="321">
        <f t="array" ref="V60">IF(ISNUMBER(Sys_Repl_Rate!$G131:$AF131),AVERAGE(IF($G$4:$AF$4+Sys_Repl_Rate!$G131:$AF131&gt;=V$4,IF($G$4:$AF$4&lt;=V$4,Sys_Repl_Rate!$G131:$AF131))),"")</f>
        <v>23.920170034943609</v>
      </c>
      <c r="W60" s="321">
        <f t="array" ref="W60">IF(ISNUMBER(Sys_Repl_Rate!$G131:$AF131),AVERAGE(IF($G$4:$AF$4+Sys_Repl_Rate!$G131:$AF131&gt;=W$4,IF($G$4:$AF$4&lt;=W$4,Sys_Repl_Rate!$G131:$AF131))),"")</f>
        <v>23.977808998883233</v>
      </c>
      <c r="X60" s="321">
        <f t="array" ref="X60">IF(ISNUMBER(Sys_Repl_Rate!$G131:$AF131),AVERAGE(IF($G$4:$AF$4+Sys_Repl_Rate!$G131:$AF131&gt;=X$4,IF($G$4:$AF$4&lt;=X$4,Sys_Repl_Rate!$G131:$AF131))),"")</f>
        <v>24.035447962822857</v>
      </c>
      <c r="Y60" s="321">
        <f t="array" ref="Y60">IF(ISNUMBER(Sys_Repl_Rate!$G131:$AF131),AVERAGE(IF($G$4:$AF$4+Sys_Repl_Rate!$G131:$AF131&gt;=Y$4,IF($G$4:$AF$4&lt;=Y$4,Sys_Repl_Rate!$G131:$AF131))),"")</f>
        <v>24.093086926762481</v>
      </c>
      <c r="Z60" s="321">
        <f t="array" ref="Z60">IF(ISNUMBER(Sys_Repl_Rate!$G131:$AF131),AVERAGE(IF($G$4:$AF$4+Sys_Repl_Rate!$G131:$AF131&gt;=Z$4,IF($G$4:$AF$4&lt;=Z$4,Sys_Repl_Rate!$G131:$AF131))),"")</f>
        <v>24.150725890702102</v>
      </c>
      <c r="AA60" s="321">
        <f t="array" ref="AA60">IF(ISNUMBER(Sys_Repl_Rate!$G131:$AF131),AVERAGE(IF($G$4:$AF$4+Sys_Repl_Rate!$G131:$AF131&gt;=AA$4,IF($G$4:$AF$4&lt;=AA$4,Sys_Repl_Rate!$G131:$AF131))),"")</f>
        <v>24.208364854641726</v>
      </c>
      <c r="AB60" s="321">
        <f t="array" ref="AB60">IF(ISNUMBER(Sys_Repl_Rate!$G131:$AF131),AVERAGE(IF($G$4:$AF$4+Sys_Repl_Rate!$G131:$AF131&gt;=AB$4,IF($G$4:$AF$4&lt;=AB$4,Sys_Repl_Rate!$G131:$AF131))),"")</f>
        <v>24.26600381858135</v>
      </c>
      <c r="AC60" s="321">
        <f t="array" ref="AC60">IF(ISNUMBER(Sys_Repl_Rate!$G131:$AF131),AVERAGE(IF($G$4:$AF$4+Sys_Repl_Rate!$G131:$AF131&gt;=AC$4,IF($G$4:$AF$4&lt;=AC$4,Sys_Repl_Rate!$G131:$AF131))),"")</f>
        <v>24.32364278252097</v>
      </c>
      <c r="AD60" s="321">
        <f t="array" ref="AD60">IF(ISNUMBER(Sys_Repl_Rate!$G131:$AF131),AVERAGE(IF($G$4:$AF$4+Sys_Repl_Rate!$G131:$AF131&gt;=AD$4,IF($G$4:$AF$4&lt;=AD$4,Sys_Repl_Rate!$G131:$AF131))),"")</f>
        <v>24.381281746460598</v>
      </c>
      <c r="AE60" s="321">
        <f t="array" ref="AE60">IF(ISNUMBER(Sys_Repl_Rate!$G131:$AF131),AVERAGE(IF($G$4:$AF$4+Sys_Repl_Rate!$G131:$AF131&gt;=AE$4,IF($G$4:$AF$4&lt;=AE$4,Sys_Repl_Rate!$G131:$AF131))),"")</f>
        <v>24.496559674339846</v>
      </c>
      <c r="AF60" s="321">
        <f t="array" ref="AF60">IF(ISNUMBER(Sys_Repl_Rate!$G131:$AF131),AVERAGE(IF($G$4:$AF$4+Sys_Repl_Rate!$G131:$AF131&gt;=AF$4,IF($G$4:$AF$4&lt;=AF$4,Sys_Repl_Rate!$G131:$AF131))),"")</f>
        <v>24.611837602219087</v>
      </c>
    </row>
    <row r="61" spans="1:32" x14ac:dyDescent="0.25">
      <c r="A61" s="322"/>
      <c r="B61" s="322" t="s">
        <v>29</v>
      </c>
      <c r="G61" s="321">
        <f t="array" ref="G61">IF(ISNUMBER(Sys_Repl_Rate!$G132:$AF132),AVERAGE(IF($G$4:$AF$4+Sys_Repl_Rate!$G132:$AF132&gt;=G$4,IF($G$4:$AF$4&lt;=G$4,Sys_Repl_Rate!$G132:$AF132))),"")</f>
        <v>36.024352462264488</v>
      </c>
      <c r="H61" s="321">
        <f t="array" ref="H61">IF(ISNUMBER(Sys_Repl_Rate!$G132:$AF132),AVERAGE(IF($G$4:$AF$4+Sys_Repl_Rate!$G132:$AF132&gt;=H$4,IF($G$4:$AF$4&lt;=H$4,Sys_Repl_Rate!$G132:$AF132))),"")</f>
        <v>41.784680400608067</v>
      </c>
      <c r="I61" s="321">
        <f t="array" ref="I61">IF(ISNUMBER(Sys_Repl_Rate!$G132:$AF132),AVERAGE(IF($G$4:$AF$4+Sys_Repl_Rate!$G132:$AF132&gt;=I$4,IF($G$4:$AF$4&lt;=I$4,Sys_Repl_Rate!$G132:$AF132))),"")</f>
        <v>45.422473245608863</v>
      </c>
      <c r="J61" s="321">
        <f t="array" ref="J61">IF(ISNUMBER(Sys_Repl_Rate!$G132:$AF132),AVERAGE(IF($G$4:$AF$4+Sys_Repl_Rate!$G132:$AF132&gt;=J$4,IF($G$4:$AF$4&lt;=J$4,Sys_Repl_Rate!$G132:$AF132))),"")</f>
        <v>48.343848922784325</v>
      </c>
      <c r="K61" s="321">
        <f t="array" ref="K61">IF(ISNUMBER(Sys_Repl_Rate!$G132:$AF132),AVERAGE(IF($G$4:$AF$4+Sys_Repl_Rate!$G132:$AF132&gt;=K$4,IF($G$4:$AF$4&lt;=K$4,Sys_Repl_Rate!$G132:$AF132))),"")</f>
        <v>50.820834258555671</v>
      </c>
      <c r="L61" s="321">
        <f t="array" ref="L61">IF(ISNUMBER(Sys_Repl_Rate!$G132:$AF132),AVERAGE(IF($G$4:$AF$4+Sys_Repl_Rate!$G132:$AF132&gt;=L$4,IF($G$4:$AF$4&lt;=L$4,Sys_Repl_Rate!$G132:$AF132))),"")</f>
        <v>52.951009060430032</v>
      </c>
      <c r="M61" s="321">
        <f t="array" ref="M61">IF(ISNUMBER(Sys_Repl_Rate!$G132:$AF132),AVERAGE(IF($G$4:$AF$4+Sys_Repl_Rate!$G132:$AF132&gt;=M$4,IF($G$4:$AF$4&lt;=M$4,Sys_Repl_Rate!$G132:$AF132))),"")</f>
        <v>54.789515598795603</v>
      </c>
      <c r="N61" s="321">
        <f t="array" ref="N61">IF(ISNUMBER(Sys_Repl_Rate!$G132:$AF132),AVERAGE(IF($G$4:$AF$4+Sys_Repl_Rate!$G132:$AF132&gt;=N$4,IF($G$4:$AF$4&lt;=N$4,Sys_Repl_Rate!$G132:$AF132))),"")</f>
        <v>56.378095866697549</v>
      </c>
      <c r="O61" s="321">
        <f t="array" ref="O61">IF(ISNUMBER(Sys_Repl_Rate!$G132:$AF132),AVERAGE(IF($G$4:$AF$4+Sys_Repl_Rate!$G132:$AF132&gt;=O$4,IF($G$4:$AF$4&lt;=O$4,Sys_Repl_Rate!$G132:$AF132))),"")</f>
        <v>57.752369083283675</v>
      </c>
      <c r="P61" s="321">
        <f t="array" ref="P61">IF(ISNUMBER(Sys_Repl_Rate!$G132:$AF132),AVERAGE(IF($G$4:$AF$4+Sys_Repl_Rate!$G132:$AF132&gt;=P$4,IF($G$4:$AF$4&lt;=P$4,Sys_Repl_Rate!$G132:$AF132))),"")</f>
        <v>58.943588551497065</v>
      </c>
      <c r="Q61" s="321">
        <f t="array" ref="Q61">IF(ISNUMBER(Sys_Repl_Rate!$G132:$AF132),AVERAGE(IF($G$4:$AF$4+Sys_Repl_Rate!$G132:$AF132&gt;=Q$4,IF($G$4:$AF$4&lt;=Q$4,Sys_Repl_Rate!$G132:$AF132))),"")</f>
        <v>59.979055924525397</v>
      </c>
      <c r="R61" s="321">
        <f t="array" ref="R61">IF(ISNUMBER(Sys_Repl_Rate!$G132:$AF132),AVERAGE(IF($G$4:$AF$4+Sys_Repl_Rate!$G132:$AF132&gt;=R$4,IF($G$4:$AF$4&lt;=R$4,Sys_Repl_Rate!$G132:$AF132))),"")</f>
        <v>60.882334195390875</v>
      </c>
      <c r="S61" s="321">
        <f t="array" ref="S61">IF(ISNUMBER(Sys_Repl_Rate!$G132:$AF132),AVERAGE(IF($G$4:$AF$4+Sys_Repl_Rate!$G132:$AF132&gt;=S$4,IF($G$4:$AF$4&lt;=S$4,Sys_Repl_Rate!$G132:$AF132))),"")</f>
        <v>61.673524326053453</v>
      </c>
      <c r="T61" s="321">
        <f t="array" ref="T61">IF(ISNUMBER(Sys_Repl_Rate!$G132:$AF132),AVERAGE(IF($G$4:$AF$4+Sys_Repl_Rate!$G132:$AF132&gt;=T$4,IF($G$4:$AF$4&lt;=T$4,Sys_Repl_Rate!$G132:$AF132))),"")</f>
        <v>62.369620141506616</v>
      </c>
      <c r="U61" s="321">
        <f t="array" ref="U61">IF(ISNUMBER(Sys_Repl_Rate!$G132:$AF132),AVERAGE(IF($G$4:$AF$4+Sys_Repl_Rate!$G132:$AF132&gt;=U$4,IF($G$4:$AF$4&lt;=U$4,Sys_Repl_Rate!$G132:$AF132))),"")</f>
        <v>62.984900453178696</v>
      </c>
      <c r="V61" s="321">
        <f t="array" ref="V61">IF(ISNUMBER(Sys_Repl_Rate!$G132:$AF132),AVERAGE(IF($G$4:$AF$4+Sys_Repl_Rate!$G132:$AF132&gt;=V$4,IF($G$4:$AF$4&lt;=V$4,Sys_Repl_Rate!$G132:$AF132))),"")</f>
        <v>63.531318972397059</v>
      </c>
      <c r="W61" s="321">
        <f t="array" ref="W61">IF(ISNUMBER(Sys_Repl_Rate!$G132:$AF132),AVERAGE(IF($G$4:$AF$4+Sys_Repl_Rate!$G132:$AF132&gt;=W$4,IF($G$4:$AF$4&lt;=W$4,Sys_Repl_Rate!$G132:$AF132))),"")</f>
        <v>64.018866529926413</v>
      </c>
      <c r="X61" s="321">
        <f t="array" ref="X61">IF(ISNUMBER(Sys_Repl_Rate!$G132:$AF132),AVERAGE(IF($G$4:$AF$4+Sys_Repl_Rate!$G132:$AF132&gt;=X$4,IF($G$4:$AF$4&lt;=X$4,Sys_Repl_Rate!$G132:$AF132))),"")</f>
        <v>64.455892939672509</v>
      </c>
      <c r="Y61" s="321">
        <f t="array" ref="Y61">IF(ISNUMBER(Sys_Repl_Rate!$G132:$AF132),AVERAGE(IF($G$4:$AF$4+Sys_Repl_Rate!$G132:$AF132&gt;=Y$4,IF($G$4:$AF$4&lt;=Y$4,Sys_Repl_Rate!$G132:$AF132))),"")</f>
        <v>64.849384664549959</v>
      </c>
      <c r="Z61" s="321">
        <f t="array" ref="Z61">IF(ISNUMBER(Sys_Repl_Rate!$G132:$AF132),AVERAGE(IF($G$4:$AF$4+Sys_Repl_Rate!$G132:$AF132&gt;=Z$4,IF($G$4:$AF$4&lt;=Z$4,Sys_Repl_Rate!$G132:$AF132))),"")</f>
        <v>65.205199634741803</v>
      </c>
      <c r="AA61" s="321">
        <f t="array" ref="AA61">IF(ISNUMBER(Sys_Repl_Rate!$G132:$AF132),AVERAGE(IF($G$4:$AF$4+Sys_Repl_Rate!$G132:$AF132&gt;=AA$4,IF($G$4:$AF$4&lt;=AA$4,Sys_Repl_Rate!$G132:$AF132))),"")</f>
        <v>65.528263195861342</v>
      </c>
      <c r="AB61" s="321">
        <f t="array" ref="AB61">IF(ISNUMBER(Sys_Repl_Rate!$G132:$AF132),AVERAGE(IF($G$4:$AF$4+Sys_Repl_Rate!$G132:$AF132&gt;=AB$4,IF($G$4:$AF$4&lt;=AB$4,Sys_Repl_Rate!$G132:$AF132))),"")</f>
        <v>65.822730187884559</v>
      </c>
      <c r="AC61" s="321">
        <f t="array" ref="AC61">IF(ISNUMBER(Sys_Repl_Rate!$G132:$AF132),AVERAGE(IF($G$4:$AF$4+Sys_Repl_Rate!$G132:$AF132&gt;=AC$4,IF($G$4:$AF$4&lt;=AC$4,Sys_Repl_Rate!$G132:$AF132))),"")</f>
        <v>66.092118265646491</v>
      </c>
      <c r="AD61" s="321">
        <f t="array" ref="AD61">IF(ISNUMBER(Sys_Repl_Rate!$G132:$AF132),AVERAGE(IF($G$4:$AF$4+Sys_Repl_Rate!$G132:$AF132&gt;=AD$4,IF($G$4:$AF$4&lt;=AD$4,Sys_Repl_Rate!$G132:$AF132))),"")</f>
        <v>66.339417213278111</v>
      </c>
      <c r="AE61" s="321">
        <f t="array" ref="AE61">IF(ISNUMBER(Sys_Repl_Rate!$G132:$AF132),AVERAGE(IF($G$4:$AF$4+Sys_Repl_Rate!$G132:$AF132&gt;=AE$4,IF($G$4:$AF$4&lt;=AE$4,Sys_Repl_Rate!$G132:$AF132))),"")</f>
        <v>66.56717844501604</v>
      </c>
      <c r="AF61" s="321">
        <f t="array" ref="AF61">IF(ISNUMBER(Sys_Repl_Rate!$G132:$AF132),AVERAGE(IF($G$4:$AF$4+Sys_Repl_Rate!$G132:$AF132&gt;=AF$4,IF($G$4:$AF$4&lt;=AF$4,Sys_Repl_Rate!$G132:$AF132))),"")</f>
        <v>66.777588273149959</v>
      </c>
    </row>
    <row r="62" spans="1:32" x14ac:dyDescent="0.25">
      <c r="A62" s="322"/>
      <c r="B62" s="322"/>
    </row>
    <row r="63" spans="1:32" s="202" customFormat="1" ht="12.75" x14ac:dyDescent="0.2">
      <c r="A63" s="335" t="s">
        <v>42</v>
      </c>
      <c r="B63" s="335"/>
      <c r="C63" s="335"/>
      <c r="D63" s="335"/>
      <c r="E63" s="335"/>
      <c r="F63" s="335"/>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5"/>
      <c r="AE63" s="335"/>
      <c r="AF63" s="335"/>
    </row>
    <row r="64" spans="1:32" x14ac:dyDescent="0.25">
      <c r="A64" s="322"/>
      <c r="B64" s="328" t="s">
        <v>43</v>
      </c>
      <c r="G64" s="321">
        <f t="array" ref="G64">IF(ISNUMBER(Sys_Repl_Rate!$G135:$AF135),AVERAGE(IF($G$4:$AF$4+Sys_Repl_Rate!$G135:$AF135&gt;=G$4,IF($G$4:$AF$4&lt;=G$4,Sys_Repl_Rate!$G135:$AF135))),"")</f>
        <v>22.141202508162834</v>
      </c>
      <c r="H64" s="321">
        <f t="array" ref="H64">IF(ISNUMBER(Sys_Repl_Rate!$G135:$AF135),AVERAGE(IF($G$4:$AF$4+Sys_Repl_Rate!$G135:$AF135&gt;=H$4,IF($G$4:$AF$4&lt;=H$4,Sys_Repl_Rate!$G135:$AF135))),"")</f>
        <v>22.141202508162834</v>
      </c>
      <c r="I64" s="321">
        <f t="array" ref="I64">IF(ISNUMBER(Sys_Repl_Rate!$G135:$AF135),AVERAGE(IF($G$4:$AF$4+Sys_Repl_Rate!$G135:$AF135&gt;=I$4,IF($G$4:$AF$4&lt;=I$4,Sys_Repl_Rate!$G135:$AF135))),"")</f>
        <v>22.141202508162834</v>
      </c>
      <c r="J64" s="321">
        <f t="array" ref="J64">IF(ISNUMBER(Sys_Repl_Rate!$G135:$AF135),AVERAGE(IF($G$4:$AF$4+Sys_Repl_Rate!$G135:$AF135&gt;=J$4,IF($G$4:$AF$4&lt;=J$4,Sys_Repl_Rate!$G135:$AF135))),"")</f>
        <v>22.141202508162834</v>
      </c>
      <c r="K64" s="321">
        <f t="array" ref="K64">IF(ISNUMBER(Sys_Repl_Rate!$G135:$AF135),AVERAGE(IF($G$4:$AF$4+Sys_Repl_Rate!$G135:$AF135&gt;=K$4,IF($G$4:$AF$4&lt;=K$4,Sys_Repl_Rate!$G135:$AF135))),"")</f>
        <v>22.141202508162834</v>
      </c>
      <c r="L64" s="321">
        <f t="array" ref="L64">IF(ISNUMBER(Sys_Repl_Rate!$G135:$AF135),AVERAGE(IF($G$4:$AF$4+Sys_Repl_Rate!$G135:$AF135&gt;=L$4,IF($G$4:$AF$4&lt;=L$4,Sys_Repl_Rate!$G135:$AF135))),"")</f>
        <v>22.141202508162834</v>
      </c>
      <c r="M64" s="321">
        <f t="array" ref="M64">IF(ISNUMBER(Sys_Repl_Rate!$G135:$AF135),AVERAGE(IF($G$4:$AF$4+Sys_Repl_Rate!$G135:$AF135&gt;=M$4,IF($G$4:$AF$4&lt;=M$4,Sys_Repl_Rate!$G135:$AF135))),"")</f>
        <v>22.141202508162831</v>
      </c>
      <c r="N64" s="321">
        <f t="array" ref="N64">IF(ISNUMBER(Sys_Repl_Rate!$G135:$AF135),AVERAGE(IF($G$4:$AF$4+Sys_Repl_Rate!$G135:$AF135&gt;=N$4,IF($G$4:$AF$4&lt;=N$4,Sys_Repl_Rate!$G135:$AF135))),"")</f>
        <v>22.141202508162834</v>
      </c>
      <c r="O64" s="321">
        <f t="array" ref="O64">IF(ISNUMBER(Sys_Repl_Rate!$G135:$AF135),AVERAGE(IF($G$4:$AF$4+Sys_Repl_Rate!$G135:$AF135&gt;=O$4,IF($G$4:$AF$4&lt;=O$4,Sys_Repl_Rate!$G135:$AF135))),"")</f>
        <v>22.141202508162834</v>
      </c>
      <c r="P64" s="321">
        <f t="array" ref="P64">IF(ISNUMBER(Sys_Repl_Rate!$G135:$AF135),AVERAGE(IF($G$4:$AF$4+Sys_Repl_Rate!$G135:$AF135&gt;=P$4,IF($G$4:$AF$4&lt;=P$4,Sys_Repl_Rate!$G135:$AF135))),"")</f>
        <v>22.141202508162838</v>
      </c>
      <c r="Q64" s="321">
        <f t="array" ref="Q64">IF(ISNUMBER(Sys_Repl_Rate!$G135:$AF135),AVERAGE(IF($G$4:$AF$4+Sys_Repl_Rate!$G135:$AF135&gt;=Q$4,IF($G$4:$AF$4&lt;=Q$4,Sys_Repl_Rate!$G135:$AF135))),"")</f>
        <v>22.141202508162838</v>
      </c>
      <c r="R64" s="321">
        <f t="array" ref="R64">IF(ISNUMBER(Sys_Repl_Rate!$G135:$AF135),AVERAGE(IF($G$4:$AF$4+Sys_Repl_Rate!$G135:$AF135&gt;=R$4,IF($G$4:$AF$4&lt;=R$4,Sys_Repl_Rate!$G135:$AF135))),"")</f>
        <v>22.141202508162838</v>
      </c>
      <c r="S64" s="321">
        <f t="array" ref="S64">IF(ISNUMBER(Sys_Repl_Rate!$G135:$AF135),AVERAGE(IF($G$4:$AF$4+Sys_Repl_Rate!$G135:$AF135&gt;=S$4,IF($G$4:$AF$4&lt;=S$4,Sys_Repl_Rate!$G135:$AF135))),"")</f>
        <v>22.141202508162841</v>
      </c>
      <c r="T64" s="321">
        <f t="array" ref="T64">IF(ISNUMBER(Sys_Repl_Rate!$G135:$AF135),AVERAGE(IF($G$4:$AF$4+Sys_Repl_Rate!$G135:$AF135&gt;=T$4,IF($G$4:$AF$4&lt;=T$4,Sys_Repl_Rate!$G135:$AF135))),"")</f>
        <v>22.141202508162841</v>
      </c>
      <c r="U64" s="321">
        <f t="array" ref="U64">IF(ISNUMBER(Sys_Repl_Rate!$G135:$AF135),AVERAGE(IF($G$4:$AF$4+Sys_Repl_Rate!$G135:$AF135&gt;=U$4,IF($G$4:$AF$4&lt;=U$4,Sys_Repl_Rate!$G135:$AF135))),"")</f>
        <v>22.141202508162841</v>
      </c>
      <c r="V64" s="321">
        <f t="array" ref="V64">IF(ISNUMBER(Sys_Repl_Rate!$G135:$AF135),AVERAGE(IF($G$4:$AF$4+Sys_Repl_Rate!$G135:$AF135&gt;=V$4,IF($G$4:$AF$4&lt;=V$4,Sys_Repl_Rate!$G135:$AF135))),"")</f>
        <v>22.141202508162841</v>
      </c>
      <c r="W64" s="321">
        <f t="array" ref="W64">IF(ISNUMBER(Sys_Repl_Rate!$G135:$AF135),AVERAGE(IF($G$4:$AF$4+Sys_Repl_Rate!$G135:$AF135&gt;=W$4,IF($G$4:$AF$4&lt;=W$4,Sys_Repl_Rate!$G135:$AF135))),"")</f>
        <v>22.141202508162841</v>
      </c>
      <c r="X64" s="321">
        <f t="array" ref="X64">IF(ISNUMBER(Sys_Repl_Rate!$G135:$AF135),AVERAGE(IF($G$4:$AF$4+Sys_Repl_Rate!$G135:$AF135&gt;=X$4,IF($G$4:$AF$4&lt;=X$4,Sys_Repl_Rate!$G135:$AF135))),"")</f>
        <v>22.141202508162841</v>
      </c>
      <c r="Y64" s="321">
        <f t="array" ref="Y64">IF(ISNUMBER(Sys_Repl_Rate!$G135:$AF135),AVERAGE(IF($G$4:$AF$4+Sys_Repl_Rate!$G135:$AF135&gt;=Y$4,IF($G$4:$AF$4&lt;=Y$4,Sys_Repl_Rate!$G135:$AF135))),"")</f>
        <v>22.141202508162841</v>
      </c>
      <c r="Z64" s="321">
        <f t="array" ref="Z64">IF(ISNUMBER(Sys_Repl_Rate!$G135:$AF135),AVERAGE(IF($G$4:$AF$4+Sys_Repl_Rate!$G135:$AF135&gt;=Z$4,IF($G$4:$AF$4&lt;=Z$4,Sys_Repl_Rate!$G135:$AF135))),"")</f>
        <v>22.141202508162841</v>
      </c>
      <c r="AA64" s="321">
        <f t="array" ref="AA64">IF(ISNUMBER(Sys_Repl_Rate!$G135:$AF135),AVERAGE(IF($G$4:$AF$4+Sys_Repl_Rate!$G135:$AF135&gt;=AA$4,IF($G$4:$AF$4&lt;=AA$4,Sys_Repl_Rate!$G135:$AF135))),"")</f>
        <v>22.141202508162841</v>
      </c>
      <c r="AB64" s="321">
        <f t="array" ref="AB64">IF(ISNUMBER(Sys_Repl_Rate!$G135:$AF135),AVERAGE(IF($G$4:$AF$4+Sys_Repl_Rate!$G135:$AF135&gt;=AB$4,IF($G$4:$AF$4&lt;=AB$4,Sys_Repl_Rate!$G135:$AF135))),"")</f>
        <v>22.141202508162845</v>
      </c>
      <c r="AC64" s="321">
        <f t="array" ref="AC64">IF(ISNUMBER(Sys_Repl_Rate!$G135:$AF135),AVERAGE(IF($G$4:$AF$4+Sys_Repl_Rate!$G135:$AF135&gt;=AC$4,IF($G$4:$AF$4&lt;=AC$4,Sys_Repl_Rate!$G135:$AF135))),"")</f>
        <v>22.141202508162845</v>
      </c>
      <c r="AD64" s="321">
        <f t="array" ref="AD64">IF(ISNUMBER(Sys_Repl_Rate!$G135:$AF135),AVERAGE(IF($G$4:$AF$4+Sys_Repl_Rate!$G135:$AF135&gt;=AD$4,IF($G$4:$AF$4&lt;=AD$4,Sys_Repl_Rate!$G135:$AF135))),"")</f>
        <v>22.141202508162845</v>
      </c>
      <c r="AE64" s="321">
        <f t="array" ref="AE64">IF(ISNUMBER(Sys_Repl_Rate!$G135:$AF135),AVERAGE(IF($G$4:$AF$4+Sys_Repl_Rate!$G135:$AF135&gt;=AE$4,IF($G$4:$AF$4&lt;=AE$4,Sys_Repl_Rate!$G135:$AF135))),"")</f>
        <v>22.141202508162845</v>
      </c>
      <c r="AF64" s="321">
        <f t="array" ref="AF64">IF(ISNUMBER(Sys_Repl_Rate!$G135:$AF135),AVERAGE(IF($G$4:$AF$4+Sys_Repl_Rate!$G135:$AF135&gt;=AF$4,IF($G$4:$AF$4&lt;=AF$4,Sys_Repl_Rate!$G135:$AF135))),"")</f>
        <v>22.141202508162845</v>
      </c>
    </row>
    <row r="65" spans="1:32" x14ac:dyDescent="0.25">
      <c r="A65" s="322"/>
      <c r="B65" s="328" t="s">
        <v>44</v>
      </c>
      <c r="G65" s="321">
        <f t="array" ref="G65">IF(ISNUMBER(Sys_Repl_Rate!$G136:$AF136),AVERAGE(IF($G$4:$AF$4+Sys_Repl_Rate!$G136:$AF136&gt;=G$4,IF($G$4:$AF$4&lt;=G$4,Sys_Repl_Rate!$G136:$AF136))),"")</f>
        <v>19.927082257346552</v>
      </c>
      <c r="H65" s="321">
        <f t="array" ref="H65">IF(ISNUMBER(Sys_Repl_Rate!$G136:$AF136),AVERAGE(IF($G$4:$AF$4+Sys_Repl_Rate!$G136:$AF136&gt;=H$4,IF($G$4:$AF$4&lt;=H$4,Sys_Repl_Rate!$G136:$AF136))),"")</f>
        <v>20.001808815811597</v>
      </c>
      <c r="I65" s="321">
        <f t="array" ref="I65">IF(ISNUMBER(Sys_Repl_Rate!$G136:$AF136),AVERAGE(IF($G$4:$AF$4+Sys_Repl_Rate!$G136:$AF136&gt;=I$4,IF($G$4:$AF$4&lt;=I$4,Sys_Repl_Rate!$G136:$AF136))),"")</f>
        <v>20.076535374276641</v>
      </c>
      <c r="J65" s="321">
        <f t="array" ref="J65">IF(ISNUMBER(Sys_Repl_Rate!$G136:$AF136),AVERAGE(IF($G$4:$AF$4+Sys_Repl_Rate!$G136:$AF136&gt;=J$4,IF($G$4:$AF$4&lt;=J$4,Sys_Repl_Rate!$G136:$AF136))),"")</f>
        <v>20.151261932741683</v>
      </c>
      <c r="K65" s="321">
        <f t="array" ref="K65">IF(ISNUMBER(Sys_Repl_Rate!$G136:$AF136),AVERAGE(IF($G$4:$AF$4+Sys_Repl_Rate!$G136:$AF136&gt;=K$4,IF($G$4:$AF$4&lt;=K$4,Sys_Repl_Rate!$G136:$AF136))),"")</f>
        <v>20.225988491206742</v>
      </c>
      <c r="L65" s="321">
        <f t="array" ref="L65">IF(ISNUMBER(Sys_Repl_Rate!$G136:$AF136),AVERAGE(IF($G$4:$AF$4+Sys_Repl_Rate!$G136:$AF136&gt;=L$4,IF($G$4:$AF$4&lt;=L$4,Sys_Repl_Rate!$G136:$AF136))),"")</f>
        <v>20.300715049671794</v>
      </c>
      <c r="M65" s="321">
        <f t="array" ref="M65">IF(ISNUMBER(Sys_Repl_Rate!$G136:$AF136),AVERAGE(IF($G$4:$AF$4+Sys_Repl_Rate!$G136:$AF136&gt;=M$4,IF($G$4:$AF$4&lt;=M$4,Sys_Repl_Rate!$G136:$AF136))),"")</f>
        <v>20.375441608136846</v>
      </c>
      <c r="N65" s="321">
        <f t="array" ref="N65">IF(ISNUMBER(Sys_Repl_Rate!$G136:$AF136),AVERAGE(IF($G$4:$AF$4+Sys_Repl_Rate!$G136:$AF136&gt;=N$4,IF($G$4:$AF$4&lt;=N$4,Sys_Repl_Rate!$G136:$AF136))),"")</f>
        <v>20.450168166601895</v>
      </c>
      <c r="O65" s="321">
        <f t="array" ref="O65">IF(ISNUMBER(Sys_Repl_Rate!$G136:$AF136),AVERAGE(IF($G$4:$AF$4+Sys_Repl_Rate!$G136:$AF136&gt;=O$4,IF($G$4:$AF$4&lt;=O$4,Sys_Repl_Rate!$G136:$AF136))),"")</f>
        <v>20.524894725066943</v>
      </c>
      <c r="P65" s="321">
        <f t="array" ref="P65">IF(ISNUMBER(Sys_Repl_Rate!$G136:$AF136),AVERAGE(IF($G$4:$AF$4+Sys_Repl_Rate!$G136:$AF136&gt;=P$4,IF($G$4:$AF$4&lt;=P$4,Sys_Repl_Rate!$G136:$AF136))),"")</f>
        <v>20.599621283531988</v>
      </c>
      <c r="Q65" s="321">
        <f t="array" ref="Q65">IF(ISNUMBER(Sys_Repl_Rate!$G136:$AF136),AVERAGE(IF($G$4:$AF$4+Sys_Repl_Rate!$G136:$AF136&gt;=Q$4,IF($G$4:$AF$4&lt;=Q$4,Sys_Repl_Rate!$G136:$AF136))),"")</f>
        <v>20.67434784199704</v>
      </c>
      <c r="R65" s="321">
        <f t="array" ref="R65">IF(ISNUMBER(Sys_Repl_Rate!$G136:$AF136),AVERAGE(IF($G$4:$AF$4+Sys_Repl_Rate!$G136:$AF136&gt;=R$4,IF($G$4:$AF$4&lt;=R$4,Sys_Repl_Rate!$G136:$AF136))),"")</f>
        <v>20.749074400462092</v>
      </c>
      <c r="S65" s="321">
        <f t="array" ref="S65">IF(ISNUMBER(Sys_Repl_Rate!$G136:$AF136),AVERAGE(IF($G$4:$AF$4+Sys_Repl_Rate!$G136:$AF136&gt;=S$4,IF($G$4:$AF$4&lt;=S$4,Sys_Repl_Rate!$G136:$AF136))),"")</f>
        <v>20.823800958927144</v>
      </c>
      <c r="T65" s="321">
        <f t="array" ref="T65">IF(ISNUMBER(Sys_Repl_Rate!$G136:$AF136),AVERAGE(IF($G$4:$AF$4+Sys_Repl_Rate!$G136:$AF136&gt;=T$4,IF($G$4:$AF$4&lt;=T$4,Sys_Repl_Rate!$G136:$AF136))),"")</f>
        <v>20.898527517392193</v>
      </c>
      <c r="U65" s="321">
        <f t="array" ref="U65">IF(ISNUMBER(Sys_Repl_Rate!$G136:$AF136),AVERAGE(IF($G$4:$AF$4+Sys_Repl_Rate!$G136:$AF136&gt;=U$4,IF($G$4:$AF$4&lt;=U$4,Sys_Repl_Rate!$G136:$AF136))),"")</f>
        <v>20.973254075857245</v>
      </c>
      <c r="V65" s="321">
        <f t="array" ref="V65">IF(ISNUMBER(Sys_Repl_Rate!$G136:$AF136),AVERAGE(IF($G$4:$AF$4+Sys_Repl_Rate!$G136:$AF136&gt;=V$4,IF($G$4:$AF$4&lt;=V$4,Sys_Repl_Rate!$G136:$AF136))),"")</f>
        <v>21.047980634322293</v>
      </c>
      <c r="W65" s="321">
        <f t="array" ref="W65">IF(ISNUMBER(Sys_Repl_Rate!$G136:$AF136),AVERAGE(IF($G$4:$AF$4+Sys_Repl_Rate!$G136:$AF136&gt;=W$4,IF($G$4:$AF$4&lt;=W$4,Sys_Repl_Rate!$G136:$AF136))),"")</f>
        <v>21.122707192787342</v>
      </c>
      <c r="X65" s="321">
        <f t="array" ref="X65">IF(ISNUMBER(Sys_Repl_Rate!$G136:$AF136),AVERAGE(IF($G$4:$AF$4+Sys_Repl_Rate!$G136:$AF136&gt;=X$4,IF($G$4:$AF$4&lt;=X$4,Sys_Repl_Rate!$G136:$AF136))),"")</f>
        <v>21.197433751252394</v>
      </c>
      <c r="Y65" s="321">
        <f t="array" ref="Y65">IF(ISNUMBER(Sys_Repl_Rate!$G136:$AF136),AVERAGE(IF($G$4:$AF$4+Sys_Repl_Rate!$G136:$AF136&gt;=Y$4,IF($G$4:$AF$4&lt;=Y$4,Sys_Repl_Rate!$G136:$AF136))),"")</f>
        <v>21.272160309717446</v>
      </c>
      <c r="Z65" s="321">
        <f t="array" ref="Z65">IF(ISNUMBER(Sys_Repl_Rate!$G136:$AF136),AVERAGE(IF($G$4:$AF$4+Sys_Repl_Rate!$G136:$AF136&gt;=Z$4,IF($G$4:$AF$4&lt;=Z$4,Sys_Repl_Rate!$G136:$AF136))),"")</f>
        <v>21.346886868182494</v>
      </c>
      <c r="AA65" s="321">
        <f t="array" ref="AA65">IF(ISNUMBER(Sys_Repl_Rate!$G136:$AF136),AVERAGE(IF($G$4:$AF$4+Sys_Repl_Rate!$G136:$AF136&gt;=AA$4,IF($G$4:$AF$4&lt;=AA$4,Sys_Repl_Rate!$G136:$AF136))),"")</f>
        <v>21.496339985112591</v>
      </c>
      <c r="AB65" s="321">
        <f t="array" ref="AB65">IF(ISNUMBER(Sys_Repl_Rate!$G136:$AF136),AVERAGE(IF($G$4:$AF$4+Sys_Repl_Rate!$G136:$AF136&gt;=AB$4,IF($G$4:$AF$4&lt;=AB$4,Sys_Repl_Rate!$G136:$AF136))),"")</f>
        <v>21.57106654357764</v>
      </c>
      <c r="AC65" s="321">
        <f t="array" ref="AC65">IF(ISNUMBER(Sys_Repl_Rate!$G136:$AF136),AVERAGE(IF($G$4:$AF$4+Sys_Repl_Rate!$G136:$AF136&gt;=AC$4,IF($G$4:$AF$4&lt;=AC$4,Sys_Repl_Rate!$G136:$AF136))),"")</f>
        <v>21.72051966050774</v>
      </c>
      <c r="AD65" s="321">
        <f t="array" ref="AD65">IF(ISNUMBER(Sys_Repl_Rate!$G136:$AF136),AVERAGE(IF($G$4:$AF$4+Sys_Repl_Rate!$G136:$AF136&gt;=AD$4,IF($G$4:$AF$4&lt;=AD$4,Sys_Repl_Rate!$G136:$AF136))),"")</f>
        <v>21.869972777437841</v>
      </c>
      <c r="AE65" s="321">
        <f t="array" ref="AE65">IF(ISNUMBER(Sys_Repl_Rate!$G136:$AF136),AVERAGE(IF($G$4:$AF$4+Sys_Repl_Rate!$G136:$AF136&gt;=AE$4,IF($G$4:$AF$4&lt;=AE$4,Sys_Repl_Rate!$G136:$AF136))),"")</f>
        <v>22.019425894367942</v>
      </c>
      <c r="AF65" s="321">
        <f t="array" ref="AF65">IF(ISNUMBER(Sys_Repl_Rate!$G136:$AF136),AVERAGE(IF($G$4:$AF$4+Sys_Repl_Rate!$G136:$AF136&gt;=AF$4,IF($G$4:$AF$4&lt;=AF$4,Sys_Repl_Rate!$G136:$AF136))),"")</f>
        <v>22.168879011298039</v>
      </c>
    </row>
    <row r="66" spans="1:32" x14ac:dyDescent="0.25">
      <c r="A66" s="322"/>
      <c r="B66" s="328" t="s">
        <v>45</v>
      </c>
      <c r="G66" s="321">
        <f t="array" ref="G66">IF(ISNUMBER(Sys_Repl_Rate!$G137:$AF137),AVERAGE(IF($G$4:$AF$4+Sys_Repl_Rate!$G137:$AF137&gt;=G$4,IF($G$4:$AF$4&lt;=G$4,Sys_Repl_Rate!$G137:$AF137))),"")</f>
        <v>30.997683511427969</v>
      </c>
      <c r="H66" s="321">
        <f t="array" ref="H66">IF(ISNUMBER(Sys_Repl_Rate!$G137:$AF137),AVERAGE(IF($G$4:$AF$4+Sys_Repl_Rate!$G137:$AF137&gt;=H$4,IF($G$4:$AF$4&lt;=H$4,Sys_Repl_Rate!$G137:$AF137))),"")</f>
        <v>31.036430615817249</v>
      </c>
      <c r="I66" s="321">
        <f t="array" ref="I66">IF(ISNUMBER(Sys_Repl_Rate!$G137:$AF137),AVERAGE(IF($G$4:$AF$4+Sys_Repl_Rate!$G137:$AF137&gt;=I$4,IF($G$4:$AF$4&lt;=I$4,Sys_Repl_Rate!$G137:$AF137))),"")</f>
        <v>31.075177720206529</v>
      </c>
      <c r="J66" s="321">
        <f t="array" ref="J66">IF(ISNUMBER(Sys_Repl_Rate!$G137:$AF137),AVERAGE(IF($G$4:$AF$4+Sys_Repl_Rate!$G137:$AF137&gt;=J$4,IF($G$4:$AF$4&lt;=J$4,Sys_Repl_Rate!$G137:$AF137))),"")</f>
        <v>31.11392482459582</v>
      </c>
      <c r="K66" s="321">
        <f t="array" ref="K66">IF(ISNUMBER(Sys_Repl_Rate!$G137:$AF137),AVERAGE(IF($G$4:$AF$4+Sys_Repl_Rate!$G137:$AF137&gt;=K$4,IF($G$4:$AF$4&lt;=K$4,Sys_Repl_Rate!$G137:$AF137))),"")</f>
        <v>31.152671928985104</v>
      </c>
      <c r="L66" s="321">
        <f t="array" ref="L66">IF(ISNUMBER(Sys_Repl_Rate!$G137:$AF137),AVERAGE(IF($G$4:$AF$4+Sys_Repl_Rate!$G137:$AF137&gt;=L$4,IF($G$4:$AF$4&lt;=L$4,Sys_Repl_Rate!$G137:$AF137))),"")</f>
        <v>31.191419033374387</v>
      </c>
      <c r="M66" s="321">
        <f t="array" ref="M66">IF(ISNUMBER(Sys_Repl_Rate!$G137:$AF137),AVERAGE(IF($G$4:$AF$4+Sys_Repl_Rate!$G137:$AF137&gt;=M$4,IF($G$4:$AF$4&lt;=M$4,Sys_Repl_Rate!$G137:$AF137))),"")</f>
        <v>31.230166137763671</v>
      </c>
      <c r="N66" s="321">
        <f t="array" ref="N66">IF(ISNUMBER(Sys_Repl_Rate!$G137:$AF137),AVERAGE(IF($G$4:$AF$4+Sys_Repl_Rate!$G137:$AF137&gt;=N$4,IF($G$4:$AF$4&lt;=N$4,Sys_Repl_Rate!$G137:$AF137))),"")</f>
        <v>31.268913242152959</v>
      </c>
      <c r="O66" s="321">
        <f t="array" ref="O66">IF(ISNUMBER(Sys_Repl_Rate!$G137:$AF137),AVERAGE(IF($G$4:$AF$4+Sys_Repl_Rate!$G137:$AF137&gt;=O$4,IF($G$4:$AF$4&lt;=O$4,Sys_Repl_Rate!$G137:$AF137))),"")</f>
        <v>31.307660346542246</v>
      </c>
      <c r="P66" s="321">
        <f t="array" ref="P66">IF(ISNUMBER(Sys_Repl_Rate!$G137:$AF137),AVERAGE(IF($G$4:$AF$4+Sys_Repl_Rate!$G137:$AF137&gt;=P$4,IF($G$4:$AF$4&lt;=P$4,Sys_Repl_Rate!$G137:$AF137))),"")</f>
        <v>31.34640745093153</v>
      </c>
      <c r="Q66" s="321">
        <f t="array" ref="Q66">IF(ISNUMBER(Sys_Repl_Rate!$G137:$AF137),AVERAGE(IF($G$4:$AF$4+Sys_Repl_Rate!$G137:$AF137&gt;=Q$4,IF($G$4:$AF$4&lt;=Q$4,Sys_Repl_Rate!$G137:$AF137))),"")</f>
        <v>31.385154555320813</v>
      </c>
      <c r="R66" s="321">
        <f t="array" ref="R66">IF(ISNUMBER(Sys_Repl_Rate!$G137:$AF137),AVERAGE(IF($G$4:$AF$4+Sys_Repl_Rate!$G137:$AF137&gt;=R$4,IF($G$4:$AF$4&lt;=R$4,Sys_Repl_Rate!$G137:$AF137))),"")</f>
        <v>31.423901659710101</v>
      </c>
      <c r="S66" s="321">
        <f t="array" ref="S66">IF(ISNUMBER(Sys_Repl_Rate!$G137:$AF137),AVERAGE(IF($G$4:$AF$4+Sys_Repl_Rate!$G137:$AF137&gt;=S$4,IF($G$4:$AF$4&lt;=S$4,Sys_Repl_Rate!$G137:$AF137))),"")</f>
        <v>31.462648764099388</v>
      </c>
      <c r="T66" s="321">
        <f t="array" ref="T66">IF(ISNUMBER(Sys_Repl_Rate!$G137:$AF137),AVERAGE(IF($G$4:$AF$4+Sys_Repl_Rate!$G137:$AF137&gt;=T$4,IF($G$4:$AF$4&lt;=T$4,Sys_Repl_Rate!$G137:$AF137))),"")</f>
        <v>31.501395868488668</v>
      </c>
      <c r="U66" s="321">
        <f t="array" ref="U66">IF(ISNUMBER(Sys_Repl_Rate!$G137:$AF137),AVERAGE(IF($G$4:$AF$4+Sys_Repl_Rate!$G137:$AF137&gt;=U$4,IF($G$4:$AF$4&lt;=U$4,Sys_Repl_Rate!$G137:$AF137))),"")</f>
        <v>31.540142972877955</v>
      </c>
      <c r="V66" s="321">
        <f t="array" ref="V66">IF(ISNUMBER(Sys_Repl_Rate!$G137:$AF137),AVERAGE(IF($G$4:$AF$4+Sys_Repl_Rate!$G137:$AF137&gt;=V$4,IF($G$4:$AF$4&lt;=V$4,Sys_Repl_Rate!$G137:$AF137))),"")</f>
        <v>31.578890077267239</v>
      </c>
      <c r="W66" s="321">
        <f t="array" ref="W66">IF(ISNUMBER(Sys_Repl_Rate!$G137:$AF137),AVERAGE(IF($G$4:$AF$4+Sys_Repl_Rate!$G137:$AF137&gt;=W$4,IF($G$4:$AF$4&lt;=W$4,Sys_Repl_Rate!$G137:$AF137))),"")</f>
        <v>31.617637181656526</v>
      </c>
      <c r="X66" s="321">
        <f t="array" ref="X66">IF(ISNUMBER(Sys_Repl_Rate!$G137:$AF137),AVERAGE(IF($G$4:$AF$4+Sys_Repl_Rate!$G137:$AF137&gt;=X$4,IF($G$4:$AF$4&lt;=X$4,Sys_Repl_Rate!$G137:$AF137))),"")</f>
        <v>31.656384286045814</v>
      </c>
      <c r="Y66" s="321">
        <f t="array" ref="Y66">IF(ISNUMBER(Sys_Repl_Rate!$G137:$AF137),AVERAGE(IF($G$4:$AF$4+Sys_Repl_Rate!$G137:$AF137&gt;=Y$4,IF($G$4:$AF$4&lt;=Y$4,Sys_Repl_Rate!$G137:$AF137))),"")</f>
        <v>31.695131390435098</v>
      </c>
      <c r="Z66" s="321">
        <f t="array" ref="Z66">IF(ISNUMBER(Sys_Repl_Rate!$G137:$AF137),AVERAGE(IF($G$4:$AF$4+Sys_Repl_Rate!$G137:$AF137&gt;=Z$4,IF($G$4:$AF$4&lt;=Z$4,Sys_Repl_Rate!$G137:$AF137))),"")</f>
        <v>31.733878494824381</v>
      </c>
      <c r="AA66" s="321">
        <f t="array" ref="AA66">IF(ISNUMBER(Sys_Repl_Rate!$G137:$AF137),AVERAGE(IF($G$4:$AF$4+Sys_Repl_Rate!$G137:$AF137&gt;=AA$4,IF($G$4:$AF$4&lt;=AA$4,Sys_Repl_Rate!$G137:$AF137))),"")</f>
        <v>31.772625599213669</v>
      </c>
      <c r="AB66" s="321">
        <f t="array" ref="AB66">IF(ISNUMBER(Sys_Repl_Rate!$G137:$AF137),AVERAGE(IF($G$4:$AF$4+Sys_Repl_Rate!$G137:$AF137&gt;=AB$4,IF($G$4:$AF$4&lt;=AB$4,Sys_Repl_Rate!$G137:$AF137))),"")</f>
        <v>31.811372703602952</v>
      </c>
      <c r="AC66" s="321">
        <f t="array" ref="AC66">IF(ISNUMBER(Sys_Repl_Rate!$G137:$AF137),AVERAGE(IF($G$4:$AF$4+Sys_Repl_Rate!$G137:$AF137&gt;=AC$4,IF($G$4:$AF$4&lt;=AC$4,Sys_Repl_Rate!$G137:$AF137))),"")</f>
        <v>31.850119807992236</v>
      </c>
      <c r="AD66" s="321">
        <f t="array" ref="AD66">IF(ISNUMBER(Sys_Repl_Rate!$G137:$AF137),AVERAGE(IF($G$4:$AF$4+Sys_Repl_Rate!$G137:$AF137&gt;=AD$4,IF($G$4:$AF$4&lt;=AD$4,Sys_Repl_Rate!$G137:$AF137))),"")</f>
        <v>31.88886691238152</v>
      </c>
      <c r="AE66" s="321">
        <f t="array" ref="AE66">IF(ISNUMBER(Sys_Repl_Rate!$G137:$AF137),AVERAGE(IF($G$4:$AF$4+Sys_Repl_Rate!$G137:$AF137&gt;=AE$4,IF($G$4:$AF$4&lt;=AE$4,Sys_Repl_Rate!$G137:$AF137))),"")</f>
        <v>31.927614016770807</v>
      </c>
      <c r="AF66" s="321">
        <f t="array" ref="AF66">IF(ISNUMBER(Sys_Repl_Rate!$G137:$AF137),AVERAGE(IF($G$4:$AF$4+Sys_Repl_Rate!$G137:$AF137&gt;=AF$4,IF($G$4:$AF$4&lt;=AF$4,Sys_Repl_Rate!$G137:$AF137))),"")</f>
        <v>31.966361121160091</v>
      </c>
    </row>
    <row r="67" spans="1:32" x14ac:dyDescent="0.25">
      <c r="A67" s="322"/>
      <c r="B67" s="328" t="s">
        <v>46</v>
      </c>
      <c r="G67" s="321">
        <f t="array" ref="G67">IF(ISNUMBER(Sys_Repl_Rate!$G138:$AF138),AVERAGE(IF($G$4:$AF$4+Sys_Repl_Rate!$G138:$AF138&gt;=G$4,IF($G$4:$AF$4&lt;=G$4,Sys_Repl_Rate!$G138:$AF138))),"")</f>
        <v>27.676503135203543</v>
      </c>
      <c r="H67" s="321">
        <f t="array" ref="H67">IF(ISNUMBER(Sys_Repl_Rate!$G138:$AF138),AVERAGE(IF($G$4:$AF$4+Sys_Repl_Rate!$G138:$AF138&gt;=H$4,IF($G$4:$AF$4&lt;=H$4,Sys_Repl_Rate!$G138:$AF138))),"")</f>
        <v>27.780290021960557</v>
      </c>
      <c r="I67" s="321">
        <f t="array" ref="I67">IF(ISNUMBER(Sys_Repl_Rate!$G138:$AF138),AVERAGE(IF($G$4:$AF$4+Sys_Repl_Rate!$G138:$AF138&gt;=I$4,IF($G$4:$AF$4&lt;=I$4,Sys_Repl_Rate!$G138:$AF138))),"")</f>
        <v>27.884076908717571</v>
      </c>
      <c r="J67" s="321">
        <f t="array" ref="J67">IF(ISNUMBER(Sys_Repl_Rate!$G138:$AF138),AVERAGE(IF($G$4:$AF$4+Sys_Repl_Rate!$G138:$AF138&gt;=J$4,IF($G$4:$AF$4&lt;=J$4,Sys_Repl_Rate!$G138:$AF138))),"")</f>
        <v>27.987863795474581</v>
      </c>
      <c r="K67" s="321">
        <f t="array" ref="K67">IF(ISNUMBER(Sys_Repl_Rate!$G138:$AF138),AVERAGE(IF($G$4:$AF$4+Sys_Repl_Rate!$G138:$AF138&gt;=K$4,IF($G$4:$AF$4&lt;=K$4,Sys_Repl_Rate!$G138:$AF138))),"")</f>
        <v>28.091650682231595</v>
      </c>
      <c r="L67" s="321">
        <f t="array" ref="L67">IF(ISNUMBER(Sys_Repl_Rate!$G138:$AF138),AVERAGE(IF($G$4:$AF$4+Sys_Repl_Rate!$G138:$AF138&gt;=L$4,IF($G$4:$AF$4&lt;=L$4,Sys_Repl_Rate!$G138:$AF138))),"")</f>
        <v>28.195437568988609</v>
      </c>
      <c r="M67" s="321">
        <f t="array" ref="M67">IF(ISNUMBER(Sys_Repl_Rate!$G138:$AF138),AVERAGE(IF($G$4:$AF$4+Sys_Repl_Rate!$G138:$AF138&gt;=M$4,IF($G$4:$AF$4&lt;=M$4,Sys_Repl_Rate!$G138:$AF138))),"")</f>
        <v>28.299224455745623</v>
      </c>
      <c r="N67" s="321">
        <f t="array" ref="N67">IF(ISNUMBER(Sys_Repl_Rate!$G138:$AF138),AVERAGE(IF($G$4:$AF$4+Sys_Repl_Rate!$G138:$AF138&gt;=N$4,IF($G$4:$AF$4&lt;=N$4,Sys_Repl_Rate!$G138:$AF138))),"")</f>
        <v>28.403011342502637</v>
      </c>
      <c r="O67" s="321">
        <f t="array" ref="O67">IF(ISNUMBER(Sys_Repl_Rate!$G138:$AF138),AVERAGE(IF($G$4:$AF$4+Sys_Repl_Rate!$G138:$AF138&gt;=O$4,IF($G$4:$AF$4&lt;=O$4,Sys_Repl_Rate!$G138:$AF138))),"")</f>
        <v>28.506798229259648</v>
      </c>
      <c r="P67" s="321">
        <f t="array" ref="P67">IF(ISNUMBER(Sys_Repl_Rate!$G138:$AF138),AVERAGE(IF($G$4:$AF$4+Sys_Repl_Rate!$G138:$AF138&gt;=P$4,IF($G$4:$AF$4&lt;=P$4,Sys_Repl_Rate!$G138:$AF138))),"")</f>
        <v>28.610585116016658</v>
      </c>
      <c r="Q67" s="321">
        <f t="array" ref="Q67">IF(ISNUMBER(Sys_Repl_Rate!$G138:$AF138),AVERAGE(IF($G$4:$AF$4+Sys_Repl_Rate!$G138:$AF138&gt;=Q$4,IF($G$4:$AF$4&lt;=Q$4,Sys_Repl_Rate!$G138:$AF138))),"")</f>
        <v>28.714372002773676</v>
      </c>
      <c r="R67" s="321">
        <f t="array" ref="R67">IF(ISNUMBER(Sys_Repl_Rate!$G138:$AF138),AVERAGE(IF($G$4:$AF$4+Sys_Repl_Rate!$G138:$AF138&gt;=R$4,IF($G$4:$AF$4&lt;=R$4,Sys_Repl_Rate!$G138:$AF138))),"")</f>
        <v>28.818158889530689</v>
      </c>
      <c r="S67" s="321">
        <f t="array" ref="S67">IF(ISNUMBER(Sys_Repl_Rate!$G138:$AF138),AVERAGE(IF($G$4:$AF$4+Sys_Repl_Rate!$G138:$AF138&gt;=S$4,IF($G$4:$AF$4&lt;=S$4,Sys_Repl_Rate!$G138:$AF138))),"")</f>
        <v>28.9219457762877</v>
      </c>
      <c r="T67" s="321">
        <f t="array" ref="T67">IF(ISNUMBER(Sys_Repl_Rate!$G138:$AF138),AVERAGE(IF($G$4:$AF$4+Sys_Repl_Rate!$G138:$AF138&gt;=T$4,IF($G$4:$AF$4&lt;=T$4,Sys_Repl_Rate!$G138:$AF138))),"")</f>
        <v>29.025732663044714</v>
      </c>
      <c r="U67" s="321">
        <f t="array" ref="U67">IF(ISNUMBER(Sys_Repl_Rate!$G138:$AF138),AVERAGE(IF($G$4:$AF$4+Sys_Repl_Rate!$G138:$AF138&gt;=U$4,IF($G$4:$AF$4&lt;=U$4,Sys_Repl_Rate!$G138:$AF138))),"")</f>
        <v>29.129519549801728</v>
      </c>
      <c r="V67" s="321">
        <f t="array" ref="V67">IF(ISNUMBER(Sys_Repl_Rate!$G138:$AF138),AVERAGE(IF($G$4:$AF$4+Sys_Repl_Rate!$G138:$AF138&gt;=V$4,IF($G$4:$AF$4&lt;=V$4,Sys_Repl_Rate!$G138:$AF138))),"")</f>
        <v>29.233306436558742</v>
      </c>
      <c r="W67" s="321">
        <f t="array" ref="W67">IF(ISNUMBER(Sys_Repl_Rate!$G138:$AF138),AVERAGE(IF($G$4:$AF$4+Sys_Repl_Rate!$G138:$AF138&gt;=W$4,IF($G$4:$AF$4&lt;=W$4,Sys_Repl_Rate!$G138:$AF138))),"")</f>
        <v>29.337093323315756</v>
      </c>
      <c r="X67" s="321">
        <f t="array" ref="X67">IF(ISNUMBER(Sys_Repl_Rate!$G138:$AF138),AVERAGE(IF($G$4:$AF$4+Sys_Repl_Rate!$G138:$AF138&gt;=X$4,IF($G$4:$AF$4&lt;=X$4,Sys_Repl_Rate!$G138:$AF138))),"")</f>
        <v>29.440880210072766</v>
      </c>
      <c r="Y67" s="321">
        <f t="array" ref="Y67">IF(ISNUMBER(Sys_Repl_Rate!$G138:$AF138),AVERAGE(IF($G$4:$AF$4+Sys_Repl_Rate!$G138:$AF138&gt;=Y$4,IF($G$4:$AF$4&lt;=Y$4,Sys_Repl_Rate!$G138:$AF138))),"")</f>
        <v>29.544667096829784</v>
      </c>
      <c r="Z67" s="321">
        <f t="array" ref="Z67">IF(ISNUMBER(Sys_Repl_Rate!$G138:$AF138),AVERAGE(IF($G$4:$AF$4+Sys_Repl_Rate!$G138:$AF138&gt;=Z$4,IF($G$4:$AF$4&lt;=Z$4,Sys_Repl_Rate!$G138:$AF138))),"")</f>
        <v>29.648453983586798</v>
      </c>
      <c r="AA67" s="321">
        <f t="array" ref="AA67">IF(ISNUMBER(Sys_Repl_Rate!$G138:$AF138),AVERAGE(IF($G$4:$AF$4+Sys_Repl_Rate!$G138:$AF138&gt;=AA$4,IF($G$4:$AF$4&lt;=AA$4,Sys_Repl_Rate!$G138:$AF138))),"")</f>
        <v>29.752240870343808</v>
      </c>
      <c r="AB67" s="321">
        <f t="array" ref="AB67">IF(ISNUMBER(Sys_Repl_Rate!$G138:$AF138),AVERAGE(IF($G$4:$AF$4+Sys_Repl_Rate!$G138:$AF138&gt;=AB$4,IF($G$4:$AF$4&lt;=AB$4,Sys_Repl_Rate!$G138:$AF138))),"")</f>
        <v>29.856027757100822</v>
      </c>
      <c r="AC67" s="321">
        <f t="array" ref="AC67">IF(ISNUMBER(Sys_Repl_Rate!$G138:$AF138),AVERAGE(IF($G$4:$AF$4+Sys_Repl_Rate!$G138:$AF138&gt;=AC$4,IF($G$4:$AF$4&lt;=AC$4,Sys_Repl_Rate!$G138:$AF138))),"")</f>
        <v>29.959814643857836</v>
      </c>
      <c r="AD67" s="321">
        <f t="array" ref="AD67">IF(ISNUMBER(Sys_Repl_Rate!$G138:$AF138),AVERAGE(IF($G$4:$AF$4+Sys_Repl_Rate!$G138:$AF138&gt;=AD$4,IF($G$4:$AF$4&lt;=AD$4,Sys_Repl_Rate!$G138:$AF138))),"")</f>
        <v>30.063601530614847</v>
      </c>
      <c r="AE67" s="321">
        <f t="array" ref="AE67">IF(ISNUMBER(Sys_Repl_Rate!$G138:$AF138),AVERAGE(IF($G$4:$AF$4+Sys_Repl_Rate!$G138:$AF138&gt;=AE$4,IF($G$4:$AF$4&lt;=AE$4,Sys_Repl_Rate!$G138:$AF138))),"")</f>
        <v>30.167388417371857</v>
      </c>
      <c r="AF67" s="321">
        <f t="array" ref="AF67">IF(ISNUMBER(Sys_Repl_Rate!$G138:$AF138),AVERAGE(IF($G$4:$AF$4+Sys_Repl_Rate!$G138:$AF138&gt;=AF$4,IF($G$4:$AF$4&lt;=AF$4,Sys_Repl_Rate!$G138:$AF138))),"")</f>
        <v>30.271175304128874</v>
      </c>
    </row>
    <row r="68" spans="1:32" x14ac:dyDescent="0.25">
      <c r="A68" s="322"/>
      <c r="B68" s="322" t="s">
        <v>29</v>
      </c>
      <c r="G68" s="321">
        <f t="array" ref="G68">IF(ISNUMBER(Sys_Repl_Rate!$G139:$AF139),AVERAGE(IF($G$4:$AF$4+Sys_Repl_Rate!$G139:$AF139&gt;=G$4,IF($G$4:$AF$4&lt;=G$4,Sys_Repl_Rate!$G139:$AF139))),"")</f>
        <v>27.676503135203543</v>
      </c>
      <c r="H68" s="321">
        <f t="array" ref="H68">IF(ISNUMBER(Sys_Repl_Rate!$G139:$AF139),AVERAGE(IF($G$4:$AF$4+Sys_Repl_Rate!$G139:$AF139&gt;=H$4,IF($G$4:$AF$4&lt;=H$4,Sys_Repl_Rate!$G139:$AF139))),"")</f>
        <v>32.102002092120678</v>
      </c>
      <c r="I68" s="321">
        <f t="array" ref="I68">IF(ISNUMBER(Sys_Repl_Rate!$G139:$AF139),AVERAGE(IF($G$4:$AF$4+Sys_Repl_Rate!$G139:$AF139&gt;=I$4,IF($G$4:$AF$4&lt;=I$4,Sys_Repl_Rate!$G139:$AF139))),"")</f>
        <v>34.89681666055322</v>
      </c>
      <c r="J68" s="321">
        <f t="array" ref="J68">IF(ISNUMBER(Sys_Repl_Rate!$G139:$AF139),AVERAGE(IF($G$4:$AF$4+Sys_Repl_Rate!$G139:$AF139&gt;=J$4,IF($G$4:$AF$4&lt;=J$4,Sys_Repl_Rate!$G139:$AF139))),"")</f>
        <v>37.141227942425616</v>
      </c>
      <c r="K68" s="321">
        <f t="array" ref="K68">IF(ISNUMBER(Sys_Repl_Rate!$G139:$AF139),AVERAGE(IF($G$4:$AF$4+Sys_Repl_Rate!$G139:$AF139&gt;=K$4,IF($G$4:$AF$4&lt;=K$4,Sys_Repl_Rate!$G139:$AF139))),"")</f>
        <v>39.044226545471687</v>
      </c>
      <c r="L68" s="321">
        <f t="array" ref="L68">IF(ISNUMBER(Sys_Repl_Rate!$G139:$AF139),AVERAGE(IF($G$4:$AF$4+Sys_Repl_Rate!$G139:$AF139&gt;=L$4,IF($G$4:$AF$4&lt;=L$4,Sys_Repl_Rate!$G139:$AF139))),"")</f>
        <v>40.680780308495287</v>
      </c>
      <c r="M68" s="321">
        <f t="array" ref="M68">IF(ISNUMBER(Sys_Repl_Rate!$G139:$AF139),AVERAGE(IF($G$4:$AF$4+Sys_Repl_Rate!$G139:$AF139&gt;=M$4,IF($G$4:$AF$4&lt;=M$4,Sys_Repl_Rate!$G139:$AF139))),"")</f>
        <v>42.093253496638432</v>
      </c>
      <c r="N68" s="321">
        <f t="array" ref="N68">IF(ISNUMBER(Sys_Repl_Rate!$G139:$AF139),AVERAGE(IF($G$4:$AF$4+Sys_Repl_Rate!$G139:$AF139&gt;=N$4,IF($G$4:$AF$4&lt;=N$4,Sys_Repl_Rate!$G139:$AF139))),"")</f>
        <v>43.313715316491141</v>
      </c>
      <c r="O68" s="321">
        <f t="array" ref="O68">IF(ISNUMBER(Sys_Repl_Rate!$G139:$AF139),AVERAGE(IF($G$4:$AF$4+Sys_Repl_Rate!$G139:$AF139&gt;=O$4,IF($G$4:$AF$4&lt;=O$4,Sys_Repl_Rate!$G139:$AF139))),"")</f>
        <v>44.369531018586379</v>
      </c>
      <c r="P68" s="321">
        <f t="array" ref="P68">IF(ISNUMBER(Sys_Repl_Rate!$G139:$AF139),AVERAGE(IF($G$4:$AF$4+Sys_Repl_Rate!$G139:$AF139&gt;=P$4,IF($G$4:$AF$4&lt;=P$4,Sys_Repl_Rate!$G139:$AF139))),"")</f>
        <v>45.284711642062071</v>
      </c>
      <c r="Q68" s="321">
        <f t="array" ref="Q68">IF(ISNUMBER(Sys_Repl_Rate!$G139:$AF139),AVERAGE(IF($G$4:$AF$4+Sys_Repl_Rate!$G139:$AF139&gt;=Q$4,IF($G$4:$AF$4&lt;=Q$4,Sys_Repl_Rate!$G139:$AF139))),"")</f>
        <v>46.080232283995585</v>
      </c>
      <c r="R68" s="321">
        <f t="array" ref="R68">IF(ISNUMBER(Sys_Repl_Rate!$G139:$AF139),AVERAGE(IF($G$4:$AF$4+Sys_Repl_Rate!$G139:$AF139&gt;=R$4,IF($G$4:$AF$4&lt;=R$4,Sys_Repl_Rate!$G139:$AF139))),"")</f>
        <v>46.774195733352691</v>
      </c>
      <c r="S68" s="321">
        <f t="array" ref="S68">IF(ISNUMBER(Sys_Repl_Rate!$G139:$AF139),AVERAGE(IF($G$4:$AF$4+Sys_Repl_Rate!$G139:$AF139&gt;=S$4,IF($G$4:$AF$4&lt;=S$4,Sys_Repl_Rate!$G139:$AF139))),"")</f>
        <v>47.382044997396029</v>
      </c>
      <c r="T68" s="321">
        <f t="array" ref="T68">IF(ISNUMBER(Sys_Repl_Rate!$G139:$AF139),AVERAGE(IF($G$4:$AF$4+Sys_Repl_Rate!$G139:$AF139&gt;=T$4,IF($G$4:$AF$4&lt;=T$4,Sys_Repl_Rate!$G139:$AF139))),"")</f>
        <v>47.916835956899661</v>
      </c>
      <c r="U68" s="321">
        <f t="array" ref="U68">IF(ISNUMBER(Sys_Repl_Rate!$G139:$AF139),AVERAGE(IF($G$4:$AF$4+Sys_Repl_Rate!$G139:$AF139&gt;=U$4,IF($G$4:$AF$4&lt;=U$4,Sys_Repl_Rate!$G139:$AF139))),"")</f>
        <v>48.389538623598781</v>
      </c>
      <c r="V68" s="321">
        <f t="array" ref="V68">IF(ISNUMBER(Sys_Repl_Rate!$G139:$AF139),AVERAGE(IF($G$4:$AF$4+Sys_Repl_Rate!$G139:$AF139&gt;=V$4,IF($G$4:$AF$4&lt;=V$4,Sys_Repl_Rate!$G139:$AF139))),"")</f>
        <v>48.809336699806302</v>
      </c>
      <c r="W68" s="321">
        <f t="array" ref="W68">IF(ISNUMBER(Sys_Repl_Rate!$G139:$AF139),AVERAGE(IF($G$4:$AF$4+Sys_Repl_Rate!$G139:$AF139&gt;=W$4,IF($G$4:$AF$4&lt;=W$4,Sys_Repl_Rate!$G139:$AF139))),"")</f>
        <v>49.183905861560326</v>
      </c>
      <c r="X68" s="321">
        <f t="array" ref="X68">IF(ISNUMBER(Sys_Repl_Rate!$G139:$AF139),AVERAGE(IF($G$4:$AF$4+Sys_Repl_Rate!$G139:$AF139&gt;=X$4,IF($G$4:$AF$4&lt;=X$4,Sys_Repl_Rate!$G139:$AF139))),"")</f>
        <v>49.519661037511781</v>
      </c>
      <c r="Y68" s="321">
        <f t="array" ref="Y68">IF(ISNUMBER(Sys_Repl_Rate!$G139:$AF139),AVERAGE(IF($G$4:$AF$4+Sys_Repl_Rate!$G139:$AF139&gt;=Y$4,IF($G$4:$AF$4&lt;=Y$4,Sys_Repl_Rate!$G139:$AF139))),"")</f>
        <v>49.821969731850011</v>
      </c>
      <c r="Z68" s="321">
        <f t="array" ref="Z68">IF(ISNUMBER(Sys_Repl_Rate!$G139:$AF139),AVERAGE(IF($G$4:$AF$4+Sys_Repl_Rate!$G139:$AF139&gt;=Z$4,IF($G$4:$AF$4&lt;=Z$4,Sys_Repl_Rate!$G139:$AF139))),"")</f>
        <v>50.095332428608607</v>
      </c>
      <c r="AA68" s="321">
        <f t="array" ref="AA68">IF(ISNUMBER(Sys_Repl_Rate!$G139:$AF139),AVERAGE(IF($G$4:$AF$4+Sys_Repl_Rate!$G139:$AF139&gt;=AA$4,IF($G$4:$AF$4&lt;=AA$4,Sys_Repl_Rate!$G139:$AF139))),"")</f>
        <v>50.343533133161472</v>
      </c>
      <c r="AB68" s="321">
        <f t="array" ref="AB68">IF(ISNUMBER(Sys_Repl_Rate!$G139:$AF139),AVERAGE(IF($G$4:$AF$4+Sys_Repl_Rate!$G139:$AF139&gt;=AB$4,IF($G$4:$AF$4&lt;=AB$4,Sys_Repl_Rate!$G139:$AF139))),"")</f>
        <v>50.569763892936592</v>
      </c>
      <c r="AC68" s="321">
        <f t="array" ref="AC68">IF(ISNUMBER(Sys_Repl_Rate!$G139:$AF139),AVERAGE(IF($G$4:$AF$4+Sys_Repl_Rate!$G139:$AF139&gt;=AC$4,IF($G$4:$AF$4&lt;=AC$4,Sys_Repl_Rate!$G139:$AF139))),"")</f>
        <v>50.776727223827109</v>
      </c>
      <c r="AD68" s="321">
        <f t="array" ref="AD68">IF(ISNUMBER(Sys_Repl_Rate!$G139:$AF139),AVERAGE(IF($G$4:$AF$4+Sys_Repl_Rate!$G139:$AF139&gt;=AD$4,IF($G$4:$AF$4&lt;=AD$4,Sys_Repl_Rate!$G139:$AF139))),"")</f>
        <v>50.966720093417997</v>
      </c>
      <c r="AE68" s="321">
        <f t="array" ref="AE68">IF(ISNUMBER(Sys_Repl_Rate!$G139:$AF139),AVERAGE(IF($G$4:$AF$4+Sys_Repl_Rate!$G139:$AF139&gt;=AE$4,IF($G$4:$AF$4&lt;=AE$4,Sys_Repl_Rate!$G139:$AF139))),"")</f>
        <v>51.141702681956559</v>
      </c>
      <c r="AF68" s="321">
        <f t="array" ref="AF68">IF(ISNUMBER(Sys_Repl_Rate!$G139:$AF139),AVERAGE(IF($G$4:$AF$4+Sys_Repl_Rate!$G139:$AF139&gt;=AF$4,IF($G$4:$AF$4&lt;=AF$4,Sys_Repl_Rate!$G139:$AF139))),"")</f>
        <v>51.303354672068693</v>
      </c>
    </row>
    <row r="69" spans="1:32" x14ac:dyDescent="0.25">
      <c r="A69" s="322"/>
      <c r="B69" s="322"/>
    </row>
    <row r="70" spans="1:32" s="202" customFormat="1" ht="12.75" x14ac:dyDescent="0.2">
      <c r="A70" s="335" t="s">
        <v>47</v>
      </c>
      <c r="B70" s="335"/>
      <c r="C70" s="335"/>
      <c r="D70" s="335"/>
      <c r="E70" s="335"/>
      <c r="F70" s="335"/>
      <c r="G70" s="335"/>
      <c r="H70" s="335"/>
      <c r="I70" s="335"/>
      <c r="J70" s="335"/>
      <c r="K70" s="335"/>
      <c r="L70" s="335"/>
      <c r="M70" s="335"/>
      <c r="N70" s="335"/>
      <c r="O70" s="335"/>
      <c r="P70" s="335"/>
      <c r="Q70" s="335"/>
      <c r="R70" s="335"/>
      <c r="S70" s="335"/>
      <c r="T70" s="335"/>
      <c r="U70" s="335"/>
      <c r="V70" s="335"/>
      <c r="W70" s="335"/>
      <c r="X70" s="335"/>
      <c r="Y70" s="335"/>
      <c r="Z70" s="335"/>
      <c r="AA70" s="335"/>
      <c r="AB70" s="335"/>
      <c r="AC70" s="335"/>
      <c r="AD70" s="335"/>
      <c r="AE70" s="335"/>
      <c r="AF70" s="335"/>
    </row>
    <row r="71" spans="1:32" x14ac:dyDescent="0.25">
      <c r="A71" s="322"/>
      <c r="B71" s="322" t="s">
        <v>48</v>
      </c>
      <c r="G71" s="321">
        <f t="array" ref="G71">IF(ISNUMBER(Sys_Repl_Rate!$G142:$AF142),AVERAGE(IF($G$4:$AF$4+Sys_Repl_Rate!$G142:$AF142&gt;=G$4,IF($G$4:$AF$4&lt;=G$4,Sys_Repl_Rate!$G142:$AF142))),"")</f>
        <v>1.4824636780330247</v>
      </c>
      <c r="H71" s="321">
        <f t="array" ref="H71">IF(ISNUMBER(Sys_Repl_Rate!$G142:$AF142),AVERAGE(IF($G$4:$AF$4+Sys_Repl_Rate!$G142:$AF142&gt;=H$4,IF($G$4:$AF$4&lt;=H$4,Sys_Repl_Rate!$G142:$AF142))),"")</f>
        <v>1.4861698372281065</v>
      </c>
      <c r="I71" s="321">
        <f t="array" ref="I71">IF(ISNUMBER(Sys_Repl_Rate!$G142:$AF142),AVERAGE(IF($G$4:$AF$4+Sys_Repl_Rate!$G142:$AF142&gt;=I$4,IF($G$4:$AF$4&lt;=I$4,Sys_Repl_Rate!$G142:$AF142))),"")</f>
        <v>1.4935821556182716</v>
      </c>
      <c r="J71" s="321">
        <f t="array" ref="J71">IF(ISNUMBER(Sys_Repl_Rate!$G142:$AF142),AVERAGE(IF($G$4:$AF$4+Sys_Repl_Rate!$G142:$AF142&gt;=J$4,IF($G$4:$AF$4&lt;=J$4,Sys_Repl_Rate!$G142:$AF142))),"")</f>
        <v>1.5009944740084364</v>
      </c>
      <c r="K71" s="321">
        <f t="array" ref="K71">IF(ISNUMBER(Sys_Repl_Rate!$G142:$AF142),AVERAGE(IF($G$4:$AF$4+Sys_Repl_Rate!$G142:$AF142&gt;=K$4,IF($G$4:$AF$4&lt;=K$4,Sys_Repl_Rate!$G142:$AF142))),"")</f>
        <v>1.5084067923986013</v>
      </c>
      <c r="L71" s="321">
        <f t="array" ref="L71">IF(ISNUMBER(Sys_Repl_Rate!$G142:$AF142),AVERAGE(IF($G$4:$AF$4+Sys_Repl_Rate!$G142:$AF142&gt;=L$4,IF($G$4:$AF$4&lt;=L$4,Sys_Repl_Rate!$G142:$AF142))),"")</f>
        <v>1.515819110788768</v>
      </c>
      <c r="M71" s="321">
        <f t="array" ref="M71">IF(ISNUMBER(Sys_Repl_Rate!$G142:$AF142),AVERAGE(IF($G$4:$AF$4+Sys_Repl_Rate!$G142:$AF142&gt;=M$4,IF($G$4:$AF$4&lt;=M$4,Sys_Repl_Rate!$G142:$AF142))),"")</f>
        <v>1.5232314291789328</v>
      </c>
      <c r="N71" s="321">
        <f t="array" ref="N71">IF(ISNUMBER(Sys_Repl_Rate!$G142:$AF142),AVERAGE(IF($G$4:$AF$4+Sys_Repl_Rate!$G142:$AF142&gt;=N$4,IF($G$4:$AF$4&lt;=N$4,Sys_Repl_Rate!$G142:$AF142))),"")</f>
        <v>1.5306437475690977</v>
      </c>
      <c r="O71" s="321">
        <f t="array" ref="O71">IF(ISNUMBER(Sys_Repl_Rate!$G142:$AF142),AVERAGE(IF($G$4:$AF$4+Sys_Repl_Rate!$G142:$AF142&gt;=O$4,IF($G$4:$AF$4&lt;=O$4,Sys_Repl_Rate!$G142:$AF142))),"")</f>
        <v>1.5380560659592626</v>
      </c>
      <c r="P71" s="321">
        <f t="array" ref="P71">IF(ISNUMBER(Sys_Repl_Rate!$G142:$AF142),AVERAGE(IF($G$4:$AF$4+Sys_Repl_Rate!$G142:$AF142&gt;=P$4,IF($G$4:$AF$4&lt;=P$4,Sys_Repl_Rate!$G142:$AF142))),"")</f>
        <v>1.5454683843494275</v>
      </c>
      <c r="Q71" s="321">
        <f t="array" ref="Q71">IF(ISNUMBER(Sys_Repl_Rate!$G142:$AF142),AVERAGE(IF($G$4:$AF$4+Sys_Repl_Rate!$G142:$AF142&gt;=Q$4,IF($G$4:$AF$4&lt;=Q$4,Sys_Repl_Rate!$G142:$AF142))),"")</f>
        <v>1.5528807027395926</v>
      </c>
      <c r="R71" s="321">
        <f t="array" ref="R71">IF(ISNUMBER(Sys_Repl_Rate!$G142:$AF142),AVERAGE(IF($G$4:$AF$4+Sys_Repl_Rate!$G142:$AF142&gt;=R$4,IF($G$4:$AF$4&lt;=R$4,Sys_Repl_Rate!$G142:$AF142))),"")</f>
        <v>1.5602930211297577</v>
      </c>
      <c r="S71" s="321">
        <f t="array" ref="S71">IF(ISNUMBER(Sys_Repl_Rate!$G142:$AF142),AVERAGE(IF($G$4:$AF$4+Sys_Repl_Rate!$G142:$AF142&gt;=S$4,IF($G$4:$AF$4&lt;=S$4,Sys_Repl_Rate!$G142:$AF142))),"")</f>
        <v>1.5677053395199225</v>
      </c>
      <c r="T71" s="321">
        <f t="array" ref="T71">IF(ISNUMBER(Sys_Repl_Rate!$G142:$AF142),AVERAGE(IF($G$4:$AF$4+Sys_Repl_Rate!$G142:$AF142&gt;=T$4,IF($G$4:$AF$4&lt;=T$4,Sys_Repl_Rate!$G142:$AF142))),"")</f>
        <v>1.5751176579100874</v>
      </c>
      <c r="U71" s="321">
        <f t="array" ref="U71">IF(ISNUMBER(Sys_Repl_Rate!$G142:$AF142),AVERAGE(IF($G$4:$AF$4+Sys_Repl_Rate!$G142:$AF142&gt;=U$4,IF($G$4:$AF$4&lt;=U$4,Sys_Repl_Rate!$G142:$AF142))),"")</f>
        <v>1.5825299763002536</v>
      </c>
      <c r="V71" s="321">
        <f t="array" ref="V71">IF(ISNUMBER(Sys_Repl_Rate!$G142:$AF142),AVERAGE(IF($G$4:$AF$4+Sys_Repl_Rate!$G142:$AF142&gt;=V$4,IF($G$4:$AF$4&lt;=V$4,Sys_Repl_Rate!$G142:$AF142))),"")</f>
        <v>1.5899422946904185</v>
      </c>
      <c r="W71" s="321">
        <f t="array" ref="W71">IF(ISNUMBER(Sys_Repl_Rate!$G142:$AF142),AVERAGE(IF($G$4:$AF$4+Sys_Repl_Rate!$G142:$AF142&gt;=W$4,IF($G$4:$AF$4&lt;=W$4,Sys_Repl_Rate!$G142:$AF142))),"")</f>
        <v>1.5973546130805836</v>
      </c>
      <c r="X71" s="321">
        <f t="array" ref="X71">IF(ISNUMBER(Sys_Repl_Rate!$G142:$AF142),AVERAGE(IF($G$4:$AF$4+Sys_Repl_Rate!$G142:$AF142&gt;=X$4,IF($G$4:$AF$4&lt;=X$4,Sys_Repl_Rate!$G142:$AF142))),"")</f>
        <v>1.6047669314707487</v>
      </c>
      <c r="Y71" s="321">
        <f t="array" ref="Y71">IF(ISNUMBER(Sys_Repl_Rate!$G142:$AF142),AVERAGE(IF($G$4:$AF$4+Sys_Repl_Rate!$G142:$AF142&gt;=Y$4,IF($G$4:$AF$4&lt;=Y$4,Sys_Repl_Rate!$G142:$AF142))),"")</f>
        <v>1.6121792498609135</v>
      </c>
      <c r="Z71" s="321">
        <f t="array" ref="Z71">IF(ISNUMBER(Sys_Repl_Rate!$G142:$AF142),AVERAGE(IF($G$4:$AF$4+Sys_Repl_Rate!$G142:$AF142&gt;=Z$4,IF($G$4:$AF$4&lt;=Z$4,Sys_Repl_Rate!$G142:$AF142))),"")</f>
        <v>1.6195915682510784</v>
      </c>
      <c r="AA71" s="321">
        <f t="array" ref="AA71">IF(ISNUMBER(Sys_Repl_Rate!$G142:$AF142),AVERAGE(IF($G$4:$AF$4+Sys_Repl_Rate!$G142:$AF142&gt;=AA$4,IF($G$4:$AF$4&lt;=AA$4,Sys_Repl_Rate!$G142:$AF142))),"")</f>
        <v>1.6270038866412435</v>
      </c>
      <c r="AB71" s="321">
        <f t="array" ref="AB71">IF(ISNUMBER(Sys_Repl_Rate!$G142:$AF142),AVERAGE(IF($G$4:$AF$4+Sys_Repl_Rate!$G142:$AF142&gt;=AB$4,IF($G$4:$AF$4&lt;=AB$4,Sys_Repl_Rate!$G142:$AF142))),"")</f>
        <v>1.6344162050314086</v>
      </c>
      <c r="AC71" s="321">
        <f t="array" ref="AC71">IF(ISNUMBER(Sys_Repl_Rate!$G142:$AF142),AVERAGE(IF($G$4:$AF$4+Sys_Repl_Rate!$G142:$AF142&gt;=AC$4,IF($G$4:$AF$4&lt;=AC$4,Sys_Repl_Rate!$G142:$AF142))),"")</f>
        <v>1.6418285234215735</v>
      </c>
      <c r="AD71" s="321">
        <f t="array" ref="AD71">IF(ISNUMBER(Sys_Repl_Rate!$G142:$AF142),AVERAGE(IF($G$4:$AF$4+Sys_Repl_Rate!$G142:$AF142&gt;=AD$4,IF($G$4:$AF$4&lt;=AD$4,Sys_Repl_Rate!$G142:$AF142))),"")</f>
        <v>1.6492408418117399</v>
      </c>
      <c r="AE71" s="321">
        <f t="array" ref="AE71">IF(ISNUMBER(Sys_Repl_Rate!$G142:$AF142),AVERAGE(IF($G$4:$AF$4+Sys_Repl_Rate!$G142:$AF142&gt;=AE$4,IF($G$4:$AF$4&lt;=AE$4,Sys_Repl_Rate!$G142:$AF142))),"")</f>
        <v>1.656653160201905</v>
      </c>
      <c r="AF71" s="321">
        <f t="array" ref="AF71">IF(ISNUMBER(Sys_Repl_Rate!$G142:$AF142),AVERAGE(IF($G$4:$AF$4+Sys_Repl_Rate!$G142:$AF142&gt;=AF$4,IF($G$4:$AF$4&lt;=AF$4,Sys_Repl_Rate!$G142:$AF142))),"")</f>
        <v>1.6640654785920699</v>
      </c>
    </row>
    <row r="72" spans="1:32" x14ac:dyDescent="0.25">
      <c r="A72" s="322"/>
      <c r="B72" s="328" t="s">
        <v>50</v>
      </c>
      <c r="G72" s="321">
        <f t="array" ref="G72">IF(ISNUMBER(Sys_Repl_Rate!$G143:$AF143),AVERAGE(IF($G$4:$AF$4+Sys_Repl_Rate!$G143:$AF143&gt;=G$4,IF($G$4:$AF$4&lt;=G$4,Sys_Repl_Rate!$G143:$AF143))),"")</f>
        <v>5.9298547121320988</v>
      </c>
      <c r="H72" s="321">
        <f t="array" ref="H72">IF(ISNUMBER(Sys_Repl_Rate!$G143:$AF143),AVERAGE(IF($G$4:$AF$4+Sys_Repl_Rate!$G143:$AF143&gt;=H$4,IF($G$4:$AF$4&lt;=H$4,Sys_Repl_Rate!$G143:$AF143))),"")</f>
        <v>5.9446793489124259</v>
      </c>
      <c r="I72" s="321">
        <f t="array" ref="I72">IF(ISNUMBER(Sys_Repl_Rate!$G143:$AF143),AVERAGE(IF($G$4:$AF$4+Sys_Repl_Rate!$G143:$AF143&gt;=I$4,IF($G$4:$AF$4&lt;=I$4,Sys_Repl_Rate!$G143:$AF143))),"")</f>
        <v>5.9595039856927565</v>
      </c>
      <c r="J72" s="321">
        <f t="array" ref="J72">IF(ISNUMBER(Sys_Repl_Rate!$G143:$AF143),AVERAGE(IF($G$4:$AF$4+Sys_Repl_Rate!$G143:$AF143&gt;=J$4,IF($G$4:$AF$4&lt;=J$4,Sys_Repl_Rate!$G143:$AF143))),"")</f>
        <v>5.9743286224730863</v>
      </c>
      <c r="K72" s="321">
        <f t="array" ref="K72">IF(ISNUMBER(Sys_Repl_Rate!$G143:$AF143),AVERAGE(IF($G$4:$AF$4+Sys_Repl_Rate!$G143:$AF143&gt;=K$4,IF($G$4:$AF$4&lt;=K$4,Sys_Repl_Rate!$G143:$AF143))),"")</f>
        <v>5.9891532592534169</v>
      </c>
      <c r="L72" s="321">
        <f t="array" ref="L72">IF(ISNUMBER(Sys_Repl_Rate!$G143:$AF143),AVERAGE(IF($G$4:$AF$4+Sys_Repl_Rate!$G143:$AF143&gt;=L$4,IF($G$4:$AF$4&lt;=L$4,Sys_Repl_Rate!$G143:$AF143))),"")</f>
        <v>6.0039778960337484</v>
      </c>
      <c r="M72" s="321">
        <f t="array" ref="M72">IF(ISNUMBER(Sys_Repl_Rate!$G143:$AF143),AVERAGE(IF($G$4:$AF$4+Sys_Repl_Rate!$G143:$AF143&gt;=M$4,IF($G$4:$AF$4&lt;=M$4,Sys_Repl_Rate!$G143:$AF143))),"")</f>
        <v>6.0336271695944079</v>
      </c>
      <c r="N72" s="321">
        <f t="array" ref="N72">IF(ISNUMBER(Sys_Repl_Rate!$G143:$AF143),AVERAGE(IF($G$4:$AF$4+Sys_Repl_Rate!$G143:$AF143&gt;=N$4,IF($G$4:$AF$4&lt;=N$4,Sys_Repl_Rate!$G143:$AF143))),"")</f>
        <v>6.0632764431550692</v>
      </c>
      <c r="O72" s="321">
        <f t="array" ref="O72">IF(ISNUMBER(Sys_Repl_Rate!$G143:$AF143),AVERAGE(IF($G$4:$AF$4+Sys_Repl_Rate!$G143:$AF143&gt;=O$4,IF($G$4:$AF$4&lt;=O$4,Sys_Repl_Rate!$G143:$AF143))),"")</f>
        <v>6.0929257167157287</v>
      </c>
      <c r="P72" s="321">
        <f t="array" ref="P72">IF(ISNUMBER(Sys_Repl_Rate!$G143:$AF143),AVERAGE(IF($G$4:$AF$4+Sys_Repl_Rate!$G143:$AF143&gt;=P$4,IF($G$4:$AF$4&lt;=P$4,Sys_Repl_Rate!$G143:$AF143))),"")</f>
        <v>6.1077503534960593</v>
      </c>
      <c r="Q72" s="321">
        <f t="array" ref="Q72">IF(ISNUMBER(Sys_Repl_Rate!$G143:$AF143),AVERAGE(IF($G$4:$AF$4+Sys_Repl_Rate!$G143:$AF143&gt;=Q$4,IF($G$4:$AF$4&lt;=Q$4,Sys_Repl_Rate!$G143:$AF143))),"")</f>
        <v>6.1373996270567206</v>
      </c>
      <c r="R72" s="321">
        <f t="array" ref="R72">IF(ISNUMBER(Sys_Repl_Rate!$G143:$AF143),AVERAGE(IF($G$4:$AF$4+Sys_Repl_Rate!$G143:$AF143&gt;=R$4,IF($G$4:$AF$4&lt;=R$4,Sys_Repl_Rate!$G143:$AF143))),"")</f>
        <v>6.167048900617381</v>
      </c>
      <c r="S72" s="321">
        <f t="array" ref="S72">IF(ISNUMBER(Sys_Repl_Rate!$G143:$AF143),AVERAGE(IF($G$4:$AF$4+Sys_Repl_Rate!$G143:$AF143&gt;=S$4,IF($G$4:$AF$4&lt;=S$4,Sys_Repl_Rate!$G143:$AF143))),"")</f>
        <v>6.1966981741780396</v>
      </c>
      <c r="T72" s="321">
        <f t="array" ref="T72">IF(ISNUMBER(Sys_Repl_Rate!$G143:$AF143),AVERAGE(IF($G$4:$AF$4+Sys_Repl_Rate!$G143:$AF143&gt;=T$4,IF($G$4:$AF$4&lt;=T$4,Sys_Repl_Rate!$G143:$AF143))),"")</f>
        <v>6.2263474477387009</v>
      </c>
      <c r="U72" s="321">
        <f t="array" ref="U72">IF(ISNUMBER(Sys_Repl_Rate!$G143:$AF143),AVERAGE(IF($G$4:$AF$4+Sys_Repl_Rate!$G143:$AF143&gt;=U$4,IF($G$4:$AF$4&lt;=U$4,Sys_Repl_Rate!$G143:$AF143))),"")</f>
        <v>6.2559967212993612</v>
      </c>
      <c r="V72" s="321">
        <f t="array" ref="V72">IF(ISNUMBER(Sys_Repl_Rate!$G143:$AF143),AVERAGE(IF($G$4:$AF$4+Sys_Repl_Rate!$G143:$AF143&gt;=V$4,IF($G$4:$AF$4&lt;=V$4,Sys_Repl_Rate!$G143:$AF143))),"")</f>
        <v>6.2856459948600216</v>
      </c>
      <c r="W72" s="321">
        <f t="array" ref="W72">IF(ISNUMBER(Sys_Repl_Rate!$G143:$AF143),AVERAGE(IF($G$4:$AF$4+Sys_Repl_Rate!$G143:$AF143&gt;=W$4,IF($G$4:$AF$4&lt;=W$4,Sys_Repl_Rate!$G143:$AF143))),"")</f>
        <v>6.315295268420682</v>
      </c>
      <c r="X72" s="321">
        <f t="array" ref="X72">IF(ISNUMBER(Sys_Repl_Rate!$G143:$AF143),AVERAGE(IF($G$4:$AF$4+Sys_Repl_Rate!$G143:$AF143&gt;=X$4,IF($G$4:$AF$4&lt;=X$4,Sys_Repl_Rate!$G143:$AF143))),"")</f>
        <v>6.3449445419813433</v>
      </c>
      <c r="Y72" s="321">
        <f t="array" ref="Y72">IF(ISNUMBER(Sys_Repl_Rate!$G143:$AF143),AVERAGE(IF($G$4:$AF$4+Sys_Repl_Rate!$G143:$AF143&gt;=Y$4,IF($G$4:$AF$4&lt;=Y$4,Sys_Repl_Rate!$G143:$AF143))),"")</f>
        <v>6.3745938155420037</v>
      </c>
      <c r="Z72" s="321">
        <f t="array" ref="Z72">IF(ISNUMBER(Sys_Repl_Rate!$G143:$AF143),AVERAGE(IF($G$4:$AF$4+Sys_Repl_Rate!$G143:$AF143&gt;=Z$4,IF($G$4:$AF$4&lt;=Z$4,Sys_Repl_Rate!$G143:$AF143))),"")</f>
        <v>6.404243089102664</v>
      </c>
      <c r="AA72" s="321">
        <f t="array" ref="AA72">IF(ISNUMBER(Sys_Repl_Rate!$G143:$AF143),AVERAGE(IF($G$4:$AF$4+Sys_Repl_Rate!$G143:$AF143&gt;=AA$4,IF($G$4:$AF$4&lt;=AA$4,Sys_Repl_Rate!$G143:$AF143))),"")</f>
        <v>6.4338923626633244</v>
      </c>
      <c r="AB72" s="321">
        <f t="array" ref="AB72">IF(ISNUMBER(Sys_Repl_Rate!$G143:$AF143),AVERAGE(IF($G$4:$AF$4+Sys_Repl_Rate!$G143:$AF143&gt;=AB$4,IF($G$4:$AF$4&lt;=AB$4,Sys_Repl_Rate!$G143:$AF143))),"")</f>
        <v>6.4635416362239848</v>
      </c>
      <c r="AC72" s="321">
        <f t="array" ref="AC72">IF(ISNUMBER(Sys_Repl_Rate!$G143:$AF143),AVERAGE(IF($G$4:$AF$4+Sys_Repl_Rate!$G143:$AF143&gt;=AC$4,IF($G$4:$AF$4&lt;=AC$4,Sys_Repl_Rate!$G143:$AF143))),"")</f>
        <v>6.4931909097846443</v>
      </c>
      <c r="AD72" s="321">
        <f t="array" ref="AD72">IF(ISNUMBER(Sys_Repl_Rate!$G143:$AF143),AVERAGE(IF($G$4:$AF$4+Sys_Repl_Rate!$G143:$AF143&gt;=AD$4,IF($G$4:$AF$4&lt;=AD$4,Sys_Repl_Rate!$G143:$AF143))),"")</f>
        <v>6.5228401833453038</v>
      </c>
      <c r="AE72" s="321">
        <f t="array" ref="AE72">IF(ISNUMBER(Sys_Repl_Rate!$G143:$AF143),AVERAGE(IF($G$4:$AF$4+Sys_Repl_Rate!$G143:$AF143&gt;=AE$4,IF($G$4:$AF$4&lt;=AE$4,Sys_Repl_Rate!$G143:$AF143))),"")</f>
        <v>6.5524894569059651</v>
      </c>
      <c r="AF72" s="321">
        <f t="array" ref="AF72">IF(ISNUMBER(Sys_Repl_Rate!$G143:$AF143),AVERAGE(IF($G$4:$AF$4+Sys_Repl_Rate!$G143:$AF143&gt;=AF$4,IF($G$4:$AF$4&lt;=AF$4,Sys_Repl_Rate!$G143:$AF143))),"")</f>
        <v>6.5821387304666263</v>
      </c>
    </row>
    <row r="73" spans="1:32" x14ac:dyDescent="0.25">
      <c r="A73" s="322"/>
      <c r="B73" s="322" t="s">
        <v>51</v>
      </c>
      <c r="G73" s="321">
        <f t="array" ref="G73">IF(ISNUMBER(Sys_Repl_Rate!$G144:$AF144),AVERAGE(IF($G$4:$AF$4+Sys_Repl_Rate!$G144:$AF144&gt;=G$4,IF($G$4:$AF$4&lt;=G$4,Sys_Repl_Rate!$G144:$AF144))),"")</f>
        <v>17.789564136396297</v>
      </c>
      <c r="H73" s="321">
        <f t="array" ref="H73">IF(ISNUMBER(Sys_Repl_Rate!$G144:$AF144),AVERAGE(IF($G$4:$AF$4+Sys_Repl_Rate!$G144:$AF144&gt;=H$4,IF($G$4:$AF$4&lt;=H$4,Sys_Repl_Rate!$G144:$AF144))),"")</f>
        <v>17.834038046737291</v>
      </c>
      <c r="I73" s="321">
        <f t="array" ref="I73">IF(ISNUMBER(Sys_Repl_Rate!$G144:$AF144),AVERAGE(IF($G$4:$AF$4+Sys_Repl_Rate!$G144:$AF144&gt;=I$4,IF($G$4:$AF$4&lt;=I$4,Sys_Repl_Rate!$G144:$AF144))),"")</f>
        <v>17.878511957078285</v>
      </c>
      <c r="J73" s="321">
        <f t="array" ref="J73">IF(ISNUMBER(Sys_Repl_Rate!$G144:$AF144),AVERAGE(IF($G$4:$AF$4+Sys_Repl_Rate!$G144:$AF144&gt;=J$4,IF($G$4:$AF$4&lt;=J$4,Sys_Repl_Rate!$G144:$AF144))),"")</f>
        <v>17.922985867419275</v>
      </c>
      <c r="K73" s="321">
        <f t="array" ref="K73">IF(ISNUMBER(Sys_Repl_Rate!$G144:$AF144),AVERAGE(IF($G$4:$AF$4+Sys_Repl_Rate!$G144:$AF144&gt;=K$4,IF($G$4:$AF$4&lt;=K$4,Sys_Repl_Rate!$G144:$AF144))),"")</f>
        <v>17.967459777760261</v>
      </c>
      <c r="L73" s="321">
        <f t="array" ref="L73">IF(ISNUMBER(Sys_Repl_Rate!$G144:$AF144),AVERAGE(IF($G$4:$AF$4+Sys_Repl_Rate!$G144:$AF144&gt;=L$4,IF($G$4:$AF$4&lt;=L$4,Sys_Repl_Rate!$G144:$AF144))),"")</f>
        <v>18.011933688101252</v>
      </c>
      <c r="M73" s="321">
        <f t="array" ref="M73">IF(ISNUMBER(Sys_Repl_Rate!$G144:$AF144),AVERAGE(IF($G$4:$AF$4+Sys_Repl_Rate!$G144:$AF144&gt;=M$4,IF($G$4:$AF$4&lt;=M$4,Sys_Repl_Rate!$G144:$AF144))),"")</f>
        <v>18.056407598442242</v>
      </c>
      <c r="N73" s="321">
        <f t="array" ref="N73">IF(ISNUMBER(Sys_Repl_Rate!$G144:$AF144),AVERAGE(IF($G$4:$AF$4+Sys_Repl_Rate!$G144:$AF144&gt;=N$4,IF($G$4:$AF$4&lt;=N$4,Sys_Repl_Rate!$G144:$AF144))),"")</f>
        <v>18.100881508783232</v>
      </c>
      <c r="O73" s="321">
        <f t="array" ref="O73">IF(ISNUMBER(Sys_Repl_Rate!$G144:$AF144),AVERAGE(IF($G$4:$AF$4+Sys_Repl_Rate!$G144:$AF144&gt;=O$4,IF($G$4:$AF$4&lt;=O$4,Sys_Repl_Rate!$G144:$AF144))),"")</f>
        <v>18.145355419124222</v>
      </c>
      <c r="P73" s="321">
        <f t="array" ref="P73">IF(ISNUMBER(Sys_Repl_Rate!$G144:$AF144),AVERAGE(IF($G$4:$AF$4+Sys_Repl_Rate!$G144:$AF144&gt;=P$4,IF($G$4:$AF$4&lt;=P$4,Sys_Repl_Rate!$G144:$AF144))),"")</f>
        <v>18.189829329465216</v>
      </c>
      <c r="Q73" s="321">
        <f t="array" ref="Q73">IF(ISNUMBER(Sys_Repl_Rate!$G144:$AF144),AVERAGE(IF($G$4:$AF$4+Sys_Repl_Rate!$G144:$AF144&gt;=Q$4,IF($G$4:$AF$4&lt;=Q$4,Sys_Repl_Rate!$G144:$AF144))),"")</f>
        <v>18.234303239806206</v>
      </c>
      <c r="R73" s="321">
        <f t="array" ref="R73">IF(ISNUMBER(Sys_Repl_Rate!$G144:$AF144),AVERAGE(IF($G$4:$AF$4+Sys_Repl_Rate!$G144:$AF144&gt;=R$4,IF($G$4:$AF$4&lt;=R$4,Sys_Repl_Rate!$G144:$AF144))),"")</f>
        <v>18.278777150147196</v>
      </c>
      <c r="S73" s="321">
        <f t="array" ref="S73">IF(ISNUMBER(Sys_Repl_Rate!$G144:$AF144),AVERAGE(IF($G$4:$AF$4+Sys_Repl_Rate!$G144:$AF144&gt;=S$4,IF($G$4:$AF$4&lt;=S$4,Sys_Repl_Rate!$G144:$AF144))),"")</f>
        <v>18.323251060488186</v>
      </c>
      <c r="T73" s="321">
        <f t="array" ref="T73">IF(ISNUMBER(Sys_Repl_Rate!$G144:$AF144),AVERAGE(IF($G$4:$AF$4+Sys_Repl_Rate!$G144:$AF144&gt;=T$4,IF($G$4:$AF$4&lt;=T$4,Sys_Repl_Rate!$G144:$AF144))),"")</f>
        <v>18.367724970829176</v>
      </c>
      <c r="U73" s="321">
        <f t="array" ref="U73">IF(ISNUMBER(Sys_Repl_Rate!$G144:$AF144),AVERAGE(IF($G$4:$AF$4+Sys_Repl_Rate!$G144:$AF144&gt;=U$4,IF($G$4:$AF$4&lt;=U$4,Sys_Repl_Rate!$G144:$AF144))),"")</f>
        <v>18.412198881170166</v>
      </c>
      <c r="V73" s="321">
        <f t="array" ref="V73">IF(ISNUMBER(Sys_Repl_Rate!$G144:$AF144),AVERAGE(IF($G$4:$AF$4+Sys_Repl_Rate!$G144:$AF144&gt;=V$4,IF($G$4:$AF$4&lt;=V$4,Sys_Repl_Rate!$G144:$AF144))),"")</f>
        <v>18.456672791511156</v>
      </c>
      <c r="W73" s="321">
        <f t="array" ref="W73">IF(ISNUMBER(Sys_Repl_Rate!$G144:$AF144),AVERAGE(IF($G$4:$AF$4+Sys_Repl_Rate!$G144:$AF144&gt;=W$4,IF($G$4:$AF$4&lt;=W$4,Sys_Repl_Rate!$G144:$AF144))),"")</f>
        <v>18.50114670185215</v>
      </c>
      <c r="X73" s="321">
        <f t="array" ref="X73">IF(ISNUMBER(Sys_Repl_Rate!$G144:$AF144),AVERAGE(IF($G$4:$AF$4+Sys_Repl_Rate!$G144:$AF144&gt;=X$4,IF($G$4:$AF$4&lt;=X$4,Sys_Repl_Rate!$G144:$AF144))),"")</f>
        <v>18.545620612193137</v>
      </c>
      <c r="Y73" s="321">
        <f t="array" ref="Y73">IF(ISNUMBER(Sys_Repl_Rate!$G144:$AF144),AVERAGE(IF($G$4:$AF$4+Sys_Repl_Rate!$G144:$AF144&gt;=Y$4,IF($G$4:$AF$4&lt;=Y$4,Sys_Repl_Rate!$G144:$AF144))),"")</f>
        <v>18.634568432875124</v>
      </c>
      <c r="Z73" s="321">
        <f t="array" ref="Z73">IF(ISNUMBER(Sys_Repl_Rate!$G144:$AF144),AVERAGE(IF($G$4:$AF$4+Sys_Repl_Rate!$G144:$AF144&gt;=Z$4,IF($G$4:$AF$4&lt;=Z$4,Sys_Repl_Rate!$G144:$AF144))),"")</f>
        <v>18.723516253557101</v>
      </c>
      <c r="AA73" s="321">
        <f t="array" ref="AA73">IF(ISNUMBER(Sys_Repl_Rate!$G144:$AF144),AVERAGE(IF($G$4:$AF$4+Sys_Repl_Rate!$G144:$AF144&gt;=AA$4,IF($G$4:$AF$4&lt;=AA$4,Sys_Repl_Rate!$G144:$AF144))),"")</f>
        <v>18.812464074239085</v>
      </c>
      <c r="AB73" s="321">
        <f t="array" ref="AB73">IF(ISNUMBER(Sys_Repl_Rate!$G144:$AF144),AVERAGE(IF($G$4:$AF$4+Sys_Repl_Rate!$G144:$AF144&gt;=AB$4,IF($G$4:$AF$4&lt;=AB$4,Sys_Repl_Rate!$G144:$AF144))),"")</f>
        <v>18.856937984580075</v>
      </c>
      <c r="AC73" s="321">
        <f t="array" ref="AC73">IF(ISNUMBER(Sys_Repl_Rate!$G144:$AF144),AVERAGE(IF($G$4:$AF$4+Sys_Repl_Rate!$G144:$AF144&gt;=AC$4,IF($G$4:$AF$4&lt;=AC$4,Sys_Repl_Rate!$G144:$AF144))),"")</f>
        <v>18.945885805262058</v>
      </c>
      <c r="AD73" s="321">
        <f t="array" ref="AD73">IF(ISNUMBER(Sys_Repl_Rate!$G144:$AF144),AVERAGE(IF($G$4:$AF$4+Sys_Repl_Rate!$G144:$AF144&gt;=AD$4,IF($G$4:$AF$4&lt;=AD$4,Sys_Repl_Rate!$G144:$AF144))),"")</f>
        <v>19.034833625944042</v>
      </c>
      <c r="AE73" s="321">
        <f t="array" ref="AE73">IF(ISNUMBER(Sys_Repl_Rate!$G144:$AF144),AVERAGE(IF($G$4:$AF$4+Sys_Repl_Rate!$G144:$AF144&gt;=AE$4,IF($G$4:$AF$4&lt;=AE$4,Sys_Repl_Rate!$G144:$AF144))),"")</f>
        <v>19.123781446626023</v>
      </c>
      <c r="AF73" s="321">
        <f t="array" ref="AF73">IF(ISNUMBER(Sys_Repl_Rate!$G144:$AF144),AVERAGE(IF($G$4:$AF$4+Sys_Repl_Rate!$G144:$AF144&gt;=AF$4,IF($G$4:$AF$4&lt;=AF$4,Sys_Repl_Rate!$G144:$AF144))),"")</f>
        <v>19.212729267308003</v>
      </c>
    </row>
    <row r="74" spans="1:32" x14ac:dyDescent="0.25">
      <c r="A74" s="322"/>
      <c r="B74" s="322" t="s">
        <v>52</v>
      </c>
      <c r="G74" s="321">
        <f t="array" ref="G74">IF(ISNUMBER(Sys_Repl_Rate!$G145:$AF145),AVERAGE(IF($G$4:$AF$4+Sys_Repl_Rate!$G145:$AF145&gt;=G$4,IF($G$4:$AF$4&lt;=G$4,Sys_Repl_Rate!$G145:$AF145))),"")</f>
        <v>29.649273560660493</v>
      </c>
      <c r="H74" s="321">
        <f t="array" ref="H74">IF(ISNUMBER(Sys_Repl_Rate!$G145:$AF145),AVERAGE(IF($G$4:$AF$4+Sys_Repl_Rate!$G145:$AF145&gt;=H$4,IF($G$4:$AF$4&lt;=H$4,Sys_Repl_Rate!$G145:$AF145))),"")</f>
        <v>29.723396744562159</v>
      </c>
      <c r="I74" s="321">
        <f t="array" ref="I74">IF(ISNUMBER(Sys_Repl_Rate!$G145:$AF145),AVERAGE(IF($G$4:$AF$4+Sys_Repl_Rate!$G145:$AF145&gt;=I$4,IF($G$4:$AF$4&lt;=I$4,Sys_Repl_Rate!$G145:$AF145))),"")</f>
        <v>29.797519928463814</v>
      </c>
      <c r="J74" s="321">
        <f t="array" ref="J74">IF(ISNUMBER(Sys_Repl_Rate!$G145:$AF145),AVERAGE(IF($G$4:$AF$4+Sys_Repl_Rate!$G145:$AF145&gt;=J$4,IF($G$4:$AF$4&lt;=J$4,Sys_Repl_Rate!$G145:$AF145))),"")</f>
        <v>29.871643112365465</v>
      </c>
      <c r="K74" s="321">
        <f t="array" ref="K74">IF(ISNUMBER(Sys_Repl_Rate!$G145:$AF145),AVERAGE(IF($G$4:$AF$4+Sys_Repl_Rate!$G145:$AF145&gt;=K$4,IF($G$4:$AF$4&lt;=K$4,Sys_Repl_Rate!$G145:$AF145))),"")</f>
        <v>29.945766296267117</v>
      </c>
      <c r="L74" s="321">
        <f t="array" ref="L74">IF(ISNUMBER(Sys_Repl_Rate!$G145:$AF145),AVERAGE(IF($G$4:$AF$4+Sys_Repl_Rate!$G145:$AF145&gt;=L$4,IF($G$4:$AF$4&lt;=L$4,Sys_Repl_Rate!$G145:$AF145))),"")</f>
        <v>30.019889480168768</v>
      </c>
      <c r="M74" s="321">
        <f t="array" ref="M74">IF(ISNUMBER(Sys_Repl_Rate!$G145:$AF145),AVERAGE(IF($G$4:$AF$4+Sys_Repl_Rate!$G145:$AF145&gt;=M$4,IF($G$4:$AF$4&lt;=M$4,Sys_Repl_Rate!$G145:$AF145))),"")</f>
        <v>30.094012664070419</v>
      </c>
      <c r="N74" s="321">
        <f t="array" ref="N74">IF(ISNUMBER(Sys_Repl_Rate!$G145:$AF145),AVERAGE(IF($G$4:$AF$4+Sys_Repl_Rate!$G145:$AF145&gt;=N$4,IF($G$4:$AF$4&lt;=N$4,Sys_Repl_Rate!$G145:$AF145))),"")</f>
        <v>30.168135847972071</v>
      </c>
      <c r="O74" s="321">
        <f t="array" ref="O74">IF(ISNUMBER(Sys_Repl_Rate!$G145:$AF145),AVERAGE(IF($G$4:$AF$4+Sys_Repl_Rate!$G145:$AF145&gt;=O$4,IF($G$4:$AF$4&lt;=O$4,Sys_Repl_Rate!$G145:$AF145))),"")</f>
        <v>30.242259031873726</v>
      </c>
      <c r="P74" s="321">
        <f t="array" ref="P74">IF(ISNUMBER(Sys_Repl_Rate!$G145:$AF145),AVERAGE(IF($G$4:$AF$4+Sys_Repl_Rate!$G145:$AF145&gt;=P$4,IF($G$4:$AF$4&lt;=P$4,Sys_Repl_Rate!$G145:$AF145))),"")</f>
        <v>30.316382215775377</v>
      </c>
      <c r="Q74" s="321">
        <f t="array" ref="Q74">IF(ISNUMBER(Sys_Repl_Rate!$G145:$AF145),AVERAGE(IF($G$4:$AF$4+Sys_Repl_Rate!$G145:$AF145&gt;=Q$4,IF($G$4:$AF$4&lt;=Q$4,Sys_Repl_Rate!$G145:$AF145))),"")</f>
        <v>30.390505399677025</v>
      </c>
      <c r="R74" s="321">
        <f t="array" ref="R74">IF(ISNUMBER(Sys_Repl_Rate!$G145:$AF145),AVERAGE(IF($G$4:$AF$4+Sys_Repl_Rate!$G145:$AF145&gt;=R$4,IF($G$4:$AF$4&lt;=R$4,Sys_Repl_Rate!$G145:$AF145))),"")</f>
        <v>30.464628583578676</v>
      </c>
      <c r="S74" s="321">
        <f t="array" ref="S74">IF(ISNUMBER(Sys_Repl_Rate!$G145:$AF145),AVERAGE(IF($G$4:$AF$4+Sys_Repl_Rate!$G145:$AF145&gt;=S$4,IF($G$4:$AF$4&lt;=S$4,Sys_Repl_Rate!$G145:$AF145))),"")</f>
        <v>30.538751767480331</v>
      </c>
      <c r="T74" s="321">
        <f t="array" ref="T74">IF(ISNUMBER(Sys_Repl_Rate!$G145:$AF145),AVERAGE(IF($G$4:$AF$4+Sys_Repl_Rate!$G145:$AF145&gt;=T$4,IF($G$4:$AF$4&lt;=T$4,Sys_Repl_Rate!$G145:$AF145))),"")</f>
        <v>30.612874951381979</v>
      </c>
      <c r="U74" s="321">
        <f t="array" ref="U74">IF(ISNUMBER(Sys_Repl_Rate!$G145:$AF145),AVERAGE(IF($G$4:$AF$4+Sys_Repl_Rate!$G145:$AF145&gt;=U$4,IF($G$4:$AF$4&lt;=U$4,Sys_Repl_Rate!$G145:$AF145))),"")</f>
        <v>30.686998135283634</v>
      </c>
      <c r="V74" s="321">
        <f t="array" ref="V74">IF(ISNUMBER(Sys_Repl_Rate!$G145:$AF145),AVERAGE(IF($G$4:$AF$4+Sys_Repl_Rate!$G145:$AF145&gt;=V$4,IF($G$4:$AF$4&lt;=V$4,Sys_Repl_Rate!$G145:$AF145))),"")</f>
        <v>30.761121319185282</v>
      </c>
      <c r="W74" s="321">
        <f t="array" ref="W74">IF(ISNUMBER(Sys_Repl_Rate!$G145:$AF145),AVERAGE(IF($G$4:$AF$4+Sys_Repl_Rate!$G145:$AF145&gt;=W$4,IF($G$4:$AF$4&lt;=W$4,Sys_Repl_Rate!$G145:$AF145))),"")</f>
        <v>30.835244503086937</v>
      </c>
      <c r="X74" s="321">
        <f t="array" ref="X74">IF(ISNUMBER(Sys_Repl_Rate!$G145:$AF145),AVERAGE(IF($G$4:$AF$4+Sys_Repl_Rate!$G145:$AF145&gt;=X$4,IF($G$4:$AF$4&lt;=X$4,Sys_Repl_Rate!$G145:$AF145))),"")</f>
        <v>30.909367686988585</v>
      </c>
      <c r="Y74" s="321">
        <f t="array" ref="Y74">IF(ISNUMBER(Sys_Repl_Rate!$G145:$AF145),AVERAGE(IF($G$4:$AF$4+Sys_Repl_Rate!$G145:$AF145&gt;=Y$4,IF($G$4:$AF$4&lt;=Y$4,Sys_Repl_Rate!$G145:$AF145))),"")</f>
        <v>30.98349087089024</v>
      </c>
      <c r="Z74" s="321">
        <f t="array" ref="Z74">IF(ISNUMBER(Sys_Repl_Rate!$G145:$AF145),AVERAGE(IF($G$4:$AF$4+Sys_Repl_Rate!$G145:$AF145&gt;=Z$4,IF($G$4:$AF$4&lt;=Z$4,Sys_Repl_Rate!$G145:$AF145))),"")</f>
        <v>31.057614054791891</v>
      </c>
      <c r="AA74" s="321">
        <f t="array" ref="AA74">IF(ISNUMBER(Sys_Repl_Rate!$G145:$AF145),AVERAGE(IF($G$4:$AF$4+Sys_Repl_Rate!$G145:$AF145&gt;=AA$4,IF($G$4:$AF$4&lt;=AA$4,Sys_Repl_Rate!$G145:$AF145))),"")</f>
        <v>31.131737238693539</v>
      </c>
      <c r="AB74" s="321">
        <f t="array" ref="AB74">IF(ISNUMBER(Sys_Repl_Rate!$G145:$AF145),AVERAGE(IF($G$4:$AF$4+Sys_Repl_Rate!$G145:$AF145&gt;=AB$4,IF($G$4:$AF$4&lt;=AB$4,Sys_Repl_Rate!$G145:$AF145))),"")</f>
        <v>31.205860422595194</v>
      </c>
      <c r="AC74" s="321">
        <f t="array" ref="AC74">IF(ISNUMBER(Sys_Repl_Rate!$G145:$AF145),AVERAGE(IF($G$4:$AF$4+Sys_Repl_Rate!$G145:$AF145&gt;=AC$4,IF($G$4:$AF$4&lt;=AC$4,Sys_Repl_Rate!$G145:$AF145))),"")</f>
        <v>31.279983606496845</v>
      </c>
      <c r="AD74" s="321">
        <f t="array" ref="AD74">IF(ISNUMBER(Sys_Repl_Rate!$G145:$AF145),AVERAGE(IF($G$4:$AF$4+Sys_Repl_Rate!$G145:$AF145&gt;=AD$4,IF($G$4:$AF$4&lt;=AD$4,Sys_Repl_Rate!$G145:$AF145))),"")</f>
        <v>31.354106790398493</v>
      </c>
      <c r="AE74" s="321">
        <f t="array" ref="AE74">IF(ISNUMBER(Sys_Repl_Rate!$G145:$AF145),AVERAGE(IF($G$4:$AF$4+Sys_Repl_Rate!$G145:$AF145&gt;=AE$4,IF($G$4:$AF$4&lt;=AE$4,Sys_Repl_Rate!$G145:$AF145))),"")</f>
        <v>31.428229974300145</v>
      </c>
      <c r="AF74" s="321">
        <f t="array" ref="AF74">IF(ISNUMBER(Sys_Repl_Rate!$G145:$AF145),AVERAGE(IF($G$4:$AF$4+Sys_Repl_Rate!$G145:$AF145&gt;=AF$4,IF($G$4:$AF$4&lt;=AF$4,Sys_Repl_Rate!$G145:$AF145))),"")</f>
        <v>31.502353158201796</v>
      </c>
    </row>
    <row r="75" spans="1:32" x14ac:dyDescent="0.25">
      <c r="A75" s="322"/>
      <c r="B75" s="328" t="s">
        <v>29</v>
      </c>
      <c r="G75" s="321">
        <f t="array" ref="G75">IF(ISNUMBER(Sys_Repl_Rate!$G146:$AF146),AVERAGE(IF($G$4:$AF$4+Sys_Repl_Rate!$G146:$AF146&gt;=G$4,IF($G$4:$AF$4&lt;=G$4,Sys_Repl_Rate!$G146:$AF146))),"")</f>
        <v>37.061591950825616</v>
      </c>
      <c r="H75" s="321">
        <f t="array" ref="H75">IF(ISNUMBER(Sys_Repl_Rate!$G146:$AF146),AVERAGE(IF($G$4:$AF$4+Sys_Repl_Rate!$G146:$AF146&gt;=H$4,IF($G$4:$AF$4&lt;=H$4,Sys_Repl_Rate!$G146:$AF146))),"")</f>
        <v>42.987775461756392</v>
      </c>
      <c r="I75" s="321">
        <f t="array" ref="I75">IF(ISNUMBER(Sys_Repl_Rate!$G146:$AF146),AVERAGE(IF($G$4:$AF$4+Sys_Repl_Rate!$G146:$AF146&gt;=I$4,IF($G$4:$AF$4&lt;=I$4,Sys_Repl_Rate!$G146:$AF146))),"")</f>
        <v>46.730310297442308</v>
      </c>
      <c r="J75" s="321">
        <f t="array" ref="J75">IF(ISNUMBER(Sys_Repl_Rate!$G146:$AF146),AVERAGE(IF($G$4:$AF$4+Sys_Repl_Rate!$G146:$AF146&gt;=J$4,IF($G$4:$AF$4&lt;=J$4,Sys_Repl_Rate!$G146:$AF146))),"")</f>
        <v>49.735800358532444</v>
      </c>
      <c r="K75" s="321">
        <f t="array" ref="K75">IF(ISNUMBER(Sys_Repl_Rate!$G146:$AF146),AVERAGE(IF($G$4:$AF$4+Sys_Repl_Rate!$G146:$AF146&gt;=K$4,IF($G$4:$AF$4&lt;=K$4,Sys_Repl_Rate!$G146:$AF146))),"")</f>
        <v>52.284104866675861</v>
      </c>
      <c r="L75" s="321">
        <f t="array" ref="L75">IF(ISNUMBER(Sys_Repl_Rate!$G146:$AF146),AVERAGE(IF($G$4:$AF$4+Sys_Repl_Rate!$G146:$AF146&gt;=L$4,IF($G$4:$AF$4&lt;=L$4,Sys_Repl_Rate!$G146:$AF146))),"")</f>
        <v>54.475613218524693</v>
      </c>
      <c r="M75" s="321">
        <f t="array" ref="M75">IF(ISNUMBER(Sys_Repl_Rate!$G146:$AF146),AVERAGE(IF($G$4:$AF$4+Sys_Repl_Rate!$G146:$AF146&gt;=M$4,IF($G$4:$AF$4&lt;=M$4,Sys_Repl_Rate!$G146:$AF146))),"")</f>
        <v>56.367055381023079</v>
      </c>
      <c r="N75" s="321">
        <f t="array" ref="N75">IF(ISNUMBER(Sys_Repl_Rate!$G146:$AF146),AVERAGE(IF($G$4:$AF$4+Sys_Repl_Rate!$G146:$AF146&gt;=N$4,IF($G$4:$AF$4&lt;=N$4,Sys_Repl_Rate!$G146:$AF146))),"")</f>
        <v>58.001375213191814</v>
      </c>
      <c r="O75" s="321">
        <f t="array" ref="O75">IF(ISNUMBER(Sys_Repl_Rate!$G146:$AF146),AVERAGE(IF($G$4:$AF$4+Sys_Repl_Rate!$G146:$AF146&gt;=O$4,IF($G$4:$AF$4&lt;=O$4,Sys_Repl_Rate!$G146:$AF146))),"")</f>
        <v>59.41521750877272</v>
      </c>
      <c r="P75" s="321">
        <f t="array" ref="P75">IF(ISNUMBER(Sys_Repl_Rate!$G146:$AF146),AVERAGE(IF($G$4:$AF$4+Sys_Repl_Rate!$G146:$AF146&gt;=P$4,IF($G$4:$AF$4&lt;=P$4,Sys_Repl_Rate!$G146:$AF146))),"")</f>
        <v>60.640735438652221</v>
      </c>
      <c r="Q75" s="321">
        <f t="array" ref="Q75">IF(ISNUMBER(Sys_Repl_Rate!$G146:$AF146),AVERAGE(IF($G$4:$AF$4+Sys_Repl_Rate!$G146:$AF146&gt;=Q$4,IF($G$4:$AF$4&lt;=Q$4,Sys_Repl_Rate!$G146:$AF146))),"")</f>
        <v>61.706016745173095</v>
      </c>
      <c r="R75" s="321">
        <f t="array" ref="R75">IF(ISNUMBER(Sys_Repl_Rate!$G146:$AF146),AVERAGE(IF($G$4:$AF$4+Sys_Repl_Rate!$G146:$AF146&gt;=R$4,IF($G$4:$AF$4&lt;=R$4,Sys_Repl_Rate!$G146:$AF146))),"")</f>
        <v>62.635302864276291</v>
      </c>
      <c r="S75" s="321">
        <f t="array" ref="S75">IF(ISNUMBER(Sys_Repl_Rate!$G146:$AF146),AVERAGE(IF($G$4:$AF$4+Sys_Repl_Rate!$G146:$AF146&gt;=S$4,IF($G$4:$AF$4&lt;=S$4,Sys_Repl_Rate!$G146:$AF146))),"")</f>
        <v>63.449273519511593</v>
      </c>
      <c r="T75" s="321">
        <f t="array" ref="T75">IF(ISNUMBER(Sys_Repl_Rate!$G146:$AF146),AVERAGE(IF($G$4:$AF$4+Sys_Repl_Rate!$G146:$AF146&gt;=T$4,IF($G$4:$AF$4&lt;=T$4,Sys_Repl_Rate!$G146:$AF146))),"")</f>
        <v>64.165411834503544</v>
      </c>
      <c r="U75" s="321">
        <f t="array" ref="U75">IF(ISNUMBER(Sys_Repl_Rate!$G146:$AF146),AVERAGE(IF($G$4:$AF$4+Sys_Repl_Rate!$G146:$AF146&gt;=U$4,IF($G$4:$AF$4&lt;=U$4,Sys_Repl_Rate!$G146:$AF146))),"")</f>
        <v>64.798407746656423</v>
      </c>
      <c r="V75" s="321">
        <f t="array" ref="V75">IF(ISNUMBER(Sys_Repl_Rate!$G146:$AF146),AVERAGE(IF($G$4:$AF$4+Sys_Repl_Rate!$G146:$AF146&gt;=V$4,IF($G$4:$AF$4&lt;=V$4,Sys_Repl_Rate!$G146:$AF146))),"")</f>
        <v>65.360559147291823</v>
      </c>
      <c r="W75" s="321">
        <f t="array" ref="W75">IF(ISNUMBER(Sys_Repl_Rate!$G146:$AF146),AVERAGE(IF($G$4:$AF$4+Sys_Repl_Rate!$G146:$AF146&gt;=W$4,IF($G$4:$AF$4&lt;=W$4,Sys_Repl_Rate!$G146:$AF146))),"")</f>
        <v>65.862144530476769</v>
      </c>
      <c r="X75" s="321">
        <f t="array" ref="X75">IF(ISNUMBER(Sys_Repl_Rate!$G146:$AF146),AVERAGE(IF($G$4:$AF$4+Sys_Repl_Rate!$G146:$AF146&gt;=X$4,IF($G$4:$AF$4&lt;=X$4,Sys_Repl_Rate!$G146:$AF146))),"")</f>
        <v>66.311754124062404</v>
      </c>
      <c r="Y75" s="321">
        <f t="array" ref="Y75">IF(ISNUMBER(Sys_Repl_Rate!$G146:$AF146),AVERAGE(IF($G$4:$AF$4+Sys_Repl_Rate!$G146:$AF146&gt;=Y$4,IF($G$4:$AF$4&lt;=Y$4,Sys_Repl_Rate!$G146:$AF146))),"")</f>
        <v>66.716575550310409</v>
      </c>
      <c r="Z75" s="321">
        <f t="array" ref="Z75">IF(ISNUMBER(Sys_Repl_Rate!$G146:$AF146),AVERAGE(IF($G$4:$AF$4+Sys_Repl_Rate!$G146:$AF146&gt;=Z$4,IF($G$4:$AF$4&lt;=Z$4,Sys_Repl_Rate!$G146:$AF146))),"")</f>
        <v>67.082635405211576</v>
      </c>
      <c r="AA75" s="321">
        <f t="array" ref="AA75">IF(ISNUMBER(Sys_Repl_Rate!$G146:$AF146),AVERAGE(IF($G$4:$AF$4+Sys_Repl_Rate!$G146:$AF146&gt;=AA$4,IF($G$4:$AF$4&lt;=AA$4,Sys_Repl_Rate!$G146:$AF146))),"")</f>
        <v>67.415000848530369</v>
      </c>
      <c r="AB75" s="321">
        <f t="array" ref="AB75">IF(ISNUMBER(Sys_Repl_Rate!$G146:$AF146),AVERAGE(IF($G$4:$AF$4+Sys_Repl_Rate!$G146:$AF146&gt;=AB$4,IF($G$4:$AF$4&lt;=AB$4,Sys_Repl_Rate!$G146:$AF146))),"")</f>
        <v>67.717946349432395</v>
      </c>
      <c r="AC75" s="321">
        <f t="array" ref="AC75">IF(ISNUMBER(Sys_Repl_Rate!$G146:$AF146),AVERAGE(IF($G$4:$AF$4+Sys_Repl_Rate!$G146:$AF146&gt;=AC$4,IF($G$4:$AF$4&lt;=AC$4,Sys_Repl_Rate!$G146:$AF146))),"")</f>
        <v>67.99509084564194</v>
      </c>
      <c r="AD75" s="321">
        <f t="array" ref="AD75">IF(ISNUMBER(Sys_Repl_Rate!$G146:$AF146),AVERAGE(IF($G$4:$AF$4+Sys_Repl_Rate!$G146:$AF146&gt;=AD$4,IF($G$4:$AF$4&lt;=AD$4,Sys_Repl_Rate!$G146:$AF146))),"")</f>
        <v>68.249510205340158</v>
      </c>
      <c r="AE75" s="321">
        <f t="array" ref="AE75">IF(ISNUMBER(Sys_Repl_Rate!$G146:$AF146),AVERAGE(IF($G$4:$AF$4+Sys_Repl_Rate!$G146:$AF146&gt;=AE$4,IF($G$4:$AF$4&lt;=AE$4,Sys_Repl_Rate!$G146:$AF146))),"")</f>
        <v>68.483829304947307</v>
      </c>
      <c r="AF75" s="321">
        <f t="array" ref="AF75">IF(ISNUMBER(Sys_Repl_Rate!$G146:$AF146),AVERAGE(IF($G$4:$AF$4+Sys_Repl_Rate!$G146:$AF146&gt;=AF$4,IF($G$4:$AF$4&lt;=AF$4,Sys_Repl_Rate!$G146:$AF146))),"")</f>
        <v>68.700297406654641</v>
      </c>
    </row>
    <row r="76" spans="1:32" x14ac:dyDescent="0.25">
      <c r="A76" s="322"/>
      <c r="B76" s="328" t="s">
        <v>53</v>
      </c>
      <c r="G76" s="321">
        <f t="array" ref="G76">IF(ISNUMBER(Sys_Repl_Rate!$G147:$AF147),AVERAGE(IF($G$4:$AF$4+Sys_Repl_Rate!$G147:$AF147&gt;=G$4,IF($G$4:$AF$4&lt;=G$4,Sys_Repl_Rate!$G147:$AF147))),"")</f>
        <v>59.298547121320986</v>
      </c>
      <c r="H76" s="321">
        <f t="array" ref="H76">IF(ISNUMBER(Sys_Repl_Rate!$G147:$AF147),AVERAGE(IF($G$4:$AF$4+Sys_Repl_Rate!$G147:$AF147&gt;=H$4,IF($G$4:$AF$4&lt;=H$4,Sys_Repl_Rate!$G147:$AF147))),"")</f>
        <v>59.446793489124317</v>
      </c>
      <c r="I76" s="321">
        <f t="array" ref="I76">IF(ISNUMBER(Sys_Repl_Rate!$G147:$AF147),AVERAGE(IF($G$4:$AF$4+Sys_Repl_Rate!$G147:$AF147&gt;=I$4,IF($G$4:$AF$4&lt;=I$4,Sys_Repl_Rate!$G147:$AF147))),"")</f>
        <v>59.595039856927627</v>
      </c>
      <c r="J76" s="321">
        <f t="array" ref="J76">IF(ISNUMBER(Sys_Repl_Rate!$G147:$AF147),AVERAGE(IF($G$4:$AF$4+Sys_Repl_Rate!$G147:$AF147&gt;=J$4,IF($G$4:$AF$4&lt;=J$4,Sys_Repl_Rate!$G147:$AF147))),"")</f>
        <v>59.74328622473093</v>
      </c>
      <c r="K76" s="321">
        <f t="array" ref="K76">IF(ISNUMBER(Sys_Repl_Rate!$G147:$AF147),AVERAGE(IF($G$4:$AF$4+Sys_Repl_Rate!$G147:$AF147&gt;=K$4,IF($G$4:$AF$4&lt;=K$4,Sys_Repl_Rate!$G147:$AF147))),"")</f>
        <v>59.891532592534233</v>
      </c>
      <c r="L76" s="321">
        <f t="array" ref="L76">IF(ISNUMBER(Sys_Repl_Rate!$G147:$AF147),AVERAGE(IF($G$4:$AF$4+Sys_Repl_Rate!$G147:$AF147&gt;=L$4,IF($G$4:$AF$4&lt;=L$4,Sys_Repl_Rate!$G147:$AF147))),"")</f>
        <v>60.039778960337536</v>
      </c>
      <c r="M76" s="321">
        <f t="array" ref="M76">IF(ISNUMBER(Sys_Repl_Rate!$G147:$AF147),AVERAGE(IF($G$4:$AF$4+Sys_Repl_Rate!$G147:$AF147&gt;=M$4,IF($G$4:$AF$4&lt;=M$4,Sys_Repl_Rate!$G147:$AF147))),"")</f>
        <v>60.188025328140839</v>
      </c>
      <c r="N76" s="321">
        <f t="array" ref="N76">IF(ISNUMBER(Sys_Repl_Rate!$G147:$AF147),AVERAGE(IF($G$4:$AF$4+Sys_Repl_Rate!$G147:$AF147&gt;=N$4,IF($G$4:$AF$4&lt;=N$4,Sys_Repl_Rate!$G147:$AF147))),"")</f>
        <v>60.336271695944141</v>
      </c>
      <c r="O76" s="321">
        <f t="array" ref="O76">IF(ISNUMBER(Sys_Repl_Rate!$G147:$AF147),AVERAGE(IF($G$4:$AF$4+Sys_Repl_Rate!$G147:$AF147&gt;=O$4,IF($G$4:$AF$4&lt;=O$4,Sys_Repl_Rate!$G147:$AF147))),"")</f>
        <v>60.484518063747451</v>
      </c>
      <c r="P76" s="321">
        <f t="array" ref="P76">IF(ISNUMBER(Sys_Repl_Rate!$G147:$AF147),AVERAGE(IF($G$4:$AF$4+Sys_Repl_Rate!$G147:$AF147&gt;=P$4,IF($G$4:$AF$4&lt;=P$4,Sys_Repl_Rate!$G147:$AF147))),"")</f>
        <v>60.632764431550754</v>
      </c>
      <c r="Q76" s="321">
        <f t="array" ref="Q76">IF(ISNUMBER(Sys_Repl_Rate!$G147:$AF147),AVERAGE(IF($G$4:$AF$4+Sys_Repl_Rate!$G147:$AF147&gt;=Q$4,IF($G$4:$AF$4&lt;=Q$4,Sys_Repl_Rate!$G147:$AF147))),"")</f>
        <v>60.78101079935405</v>
      </c>
      <c r="R76" s="321">
        <f t="array" ref="R76">IF(ISNUMBER(Sys_Repl_Rate!$G147:$AF147),AVERAGE(IF($G$4:$AF$4+Sys_Repl_Rate!$G147:$AF147&gt;=R$4,IF($G$4:$AF$4&lt;=R$4,Sys_Repl_Rate!$G147:$AF147))),"")</f>
        <v>60.929257167157353</v>
      </c>
      <c r="S76" s="321">
        <f t="array" ref="S76">IF(ISNUMBER(Sys_Repl_Rate!$G147:$AF147),AVERAGE(IF($G$4:$AF$4+Sys_Repl_Rate!$G147:$AF147&gt;=S$4,IF($G$4:$AF$4&lt;=S$4,Sys_Repl_Rate!$G147:$AF147))),"")</f>
        <v>61.077503534960663</v>
      </c>
      <c r="T76" s="321">
        <f t="array" ref="T76">IF(ISNUMBER(Sys_Repl_Rate!$G147:$AF147),AVERAGE(IF($G$4:$AF$4+Sys_Repl_Rate!$G147:$AF147&gt;=T$4,IF($G$4:$AF$4&lt;=T$4,Sys_Repl_Rate!$G147:$AF147))),"")</f>
        <v>61.225749902763958</v>
      </c>
      <c r="U76" s="321">
        <f t="array" ref="U76">IF(ISNUMBER(Sys_Repl_Rate!$G147:$AF147),AVERAGE(IF($G$4:$AF$4+Sys_Repl_Rate!$G147:$AF147&gt;=U$4,IF($G$4:$AF$4&lt;=U$4,Sys_Repl_Rate!$G147:$AF147))),"")</f>
        <v>61.373996270567268</v>
      </c>
      <c r="V76" s="321">
        <f t="array" ref="V76">IF(ISNUMBER(Sys_Repl_Rate!$G147:$AF147),AVERAGE(IF($G$4:$AF$4+Sys_Repl_Rate!$G147:$AF147&gt;=V$4,IF($G$4:$AF$4&lt;=V$4,Sys_Repl_Rate!$G147:$AF147))),"")</f>
        <v>61.522242638370564</v>
      </c>
      <c r="W76" s="321">
        <f t="array" ref="W76">IF(ISNUMBER(Sys_Repl_Rate!$G147:$AF147),AVERAGE(IF($G$4:$AF$4+Sys_Repl_Rate!$G147:$AF147&gt;=W$4,IF($G$4:$AF$4&lt;=W$4,Sys_Repl_Rate!$G147:$AF147))),"")</f>
        <v>61.670489006173874</v>
      </c>
      <c r="X76" s="321">
        <f t="array" ref="X76">IF(ISNUMBER(Sys_Repl_Rate!$G147:$AF147),AVERAGE(IF($G$4:$AF$4+Sys_Repl_Rate!$G147:$AF147&gt;=X$4,IF($G$4:$AF$4&lt;=X$4,Sys_Repl_Rate!$G147:$AF147))),"")</f>
        <v>61.818735373977169</v>
      </c>
      <c r="Y76" s="321">
        <f t="array" ref="Y76">IF(ISNUMBER(Sys_Repl_Rate!$G147:$AF147),AVERAGE(IF($G$4:$AF$4+Sys_Repl_Rate!$G147:$AF147&gt;=Y$4,IF($G$4:$AF$4&lt;=Y$4,Sys_Repl_Rate!$G147:$AF147))),"")</f>
        <v>61.966981741780479</v>
      </c>
      <c r="Z76" s="321">
        <f t="array" ref="Z76">IF(ISNUMBER(Sys_Repl_Rate!$G147:$AF147),AVERAGE(IF($G$4:$AF$4+Sys_Repl_Rate!$G147:$AF147&gt;=Z$4,IF($G$4:$AF$4&lt;=Z$4,Sys_Repl_Rate!$G147:$AF147))),"")</f>
        <v>62.115228109583782</v>
      </c>
      <c r="AA76" s="321">
        <f t="array" ref="AA76">IF(ISNUMBER(Sys_Repl_Rate!$G147:$AF147),AVERAGE(IF($G$4:$AF$4+Sys_Repl_Rate!$G147:$AF147&gt;=AA$4,IF($G$4:$AF$4&lt;=AA$4,Sys_Repl_Rate!$G147:$AF147))),"")</f>
        <v>62.263474477387078</v>
      </c>
      <c r="AB76" s="321">
        <f t="array" ref="AB76">IF(ISNUMBER(Sys_Repl_Rate!$G147:$AF147),AVERAGE(IF($G$4:$AF$4+Sys_Repl_Rate!$G147:$AF147&gt;=AB$4,IF($G$4:$AF$4&lt;=AB$4,Sys_Repl_Rate!$G147:$AF147))),"")</f>
        <v>62.411720845190388</v>
      </c>
      <c r="AC76" s="321">
        <f t="array" ref="AC76">IF(ISNUMBER(Sys_Repl_Rate!$G147:$AF147),AVERAGE(IF($G$4:$AF$4+Sys_Repl_Rate!$G147:$AF147&gt;=AC$4,IF($G$4:$AF$4&lt;=AC$4,Sys_Repl_Rate!$G147:$AF147))),"")</f>
        <v>62.559967212993691</v>
      </c>
      <c r="AD76" s="321">
        <f t="array" ref="AD76">IF(ISNUMBER(Sys_Repl_Rate!$G147:$AF147),AVERAGE(IF($G$4:$AF$4+Sys_Repl_Rate!$G147:$AF147&gt;=AD$4,IF($G$4:$AF$4&lt;=AD$4,Sys_Repl_Rate!$G147:$AF147))),"")</f>
        <v>62.708213580796986</v>
      </c>
      <c r="AE76" s="321">
        <f t="array" ref="AE76">IF(ISNUMBER(Sys_Repl_Rate!$G147:$AF147),AVERAGE(IF($G$4:$AF$4+Sys_Repl_Rate!$G147:$AF147&gt;=AE$4,IF($G$4:$AF$4&lt;=AE$4,Sys_Repl_Rate!$G147:$AF147))),"")</f>
        <v>62.856459948600289</v>
      </c>
      <c r="AF76" s="321">
        <f t="array" ref="AF76">IF(ISNUMBER(Sys_Repl_Rate!$G147:$AF147),AVERAGE(IF($G$4:$AF$4+Sys_Repl_Rate!$G147:$AF147&gt;=AF$4,IF($G$4:$AF$4&lt;=AF$4,Sys_Repl_Rate!$G147:$AF147))),"")</f>
        <v>63.004706316403592</v>
      </c>
    </row>
    <row r="78" spans="1:32" x14ac:dyDescent="0.25">
      <c r="A78" s="385" t="s">
        <v>183</v>
      </c>
      <c r="B78" s="386"/>
      <c r="C78" s="386"/>
      <c r="D78" s="386"/>
      <c r="E78" s="386"/>
      <c r="F78" s="386"/>
      <c r="G78" s="392"/>
      <c r="H78" s="386"/>
      <c r="I78" s="386"/>
      <c r="J78" s="386"/>
      <c r="K78" s="386"/>
      <c r="L78" s="386"/>
      <c r="M78" s="386"/>
      <c r="N78" s="386"/>
      <c r="O78" s="386"/>
      <c r="P78" s="386"/>
      <c r="Q78" s="386"/>
      <c r="R78" s="386"/>
      <c r="S78" s="386"/>
      <c r="T78" s="386"/>
      <c r="U78" s="386"/>
      <c r="V78" s="386"/>
      <c r="W78" s="386"/>
      <c r="X78" s="386"/>
      <c r="Y78" s="386"/>
      <c r="Z78" s="386"/>
      <c r="AA78" s="386"/>
      <c r="AB78" s="386"/>
      <c r="AC78" s="386"/>
      <c r="AD78" s="386"/>
      <c r="AE78" s="386"/>
      <c r="AF78" s="386"/>
    </row>
    <row r="79" spans="1:32" x14ac:dyDescent="0.25">
      <c r="A79" s="378" t="s">
        <v>12</v>
      </c>
      <c r="B79" s="376"/>
    </row>
    <row r="80" spans="1:32" x14ac:dyDescent="0.25">
      <c r="A80" s="376"/>
      <c r="B80" s="376" t="s">
        <v>20</v>
      </c>
    </row>
    <row r="81" spans="1:32" s="202" customFormat="1" ht="12.75" x14ac:dyDescent="0.2">
      <c r="A81" s="402" t="s">
        <v>21</v>
      </c>
      <c r="B81" s="402"/>
      <c r="C81" s="402"/>
      <c r="D81" s="402"/>
      <c r="E81" s="402"/>
      <c r="F81" s="402"/>
      <c r="G81" s="402"/>
      <c r="H81" s="402"/>
      <c r="I81" s="402"/>
      <c r="J81" s="402"/>
      <c r="K81" s="402"/>
      <c r="L81" s="402"/>
      <c r="M81" s="402"/>
      <c r="N81" s="402"/>
      <c r="O81" s="402"/>
      <c r="P81" s="402"/>
      <c r="Q81" s="402"/>
      <c r="R81" s="402"/>
      <c r="S81" s="402"/>
      <c r="T81" s="402"/>
      <c r="U81" s="402"/>
      <c r="V81" s="402"/>
      <c r="W81" s="402"/>
      <c r="X81" s="402"/>
      <c r="Y81" s="402"/>
      <c r="Z81" s="402"/>
      <c r="AA81" s="402"/>
      <c r="AB81" s="402"/>
      <c r="AC81" s="402"/>
      <c r="AD81" s="402"/>
      <c r="AE81" s="402"/>
      <c r="AF81" s="402"/>
    </row>
    <row r="82" spans="1:32" x14ac:dyDescent="0.25">
      <c r="A82" s="376"/>
      <c r="B82" s="376" t="s">
        <v>22</v>
      </c>
      <c r="G82" s="321">
        <f ca="1">Sys_Repl_Rate!G117</f>
        <v>2.0507981747250446</v>
      </c>
      <c r="H82" s="321">
        <f ca="1">Sys_Repl_Rate!H117</f>
        <v>2.0507981747250446</v>
      </c>
      <c r="I82" s="321">
        <f ca="1">Sys_Repl_Rate!I117</f>
        <v>2.0507981747250446</v>
      </c>
      <c r="J82" s="321">
        <f ca="1">Sys_Repl_Rate!J117</f>
        <v>2.0507981747250446</v>
      </c>
      <c r="K82" s="321">
        <f ca="1">Sys_Repl_Rate!K117</f>
        <v>2.0507981747250446</v>
      </c>
      <c r="L82" s="321">
        <f ca="1">Sys_Repl_Rate!L117</f>
        <v>2.0507981747250446</v>
      </c>
      <c r="M82" s="321">
        <f ca="1">Sys_Repl_Rate!M117</f>
        <v>2.0507981747250446</v>
      </c>
      <c r="N82" s="321">
        <f ca="1">Sys_Repl_Rate!N117</f>
        <v>2.0507981747250446</v>
      </c>
      <c r="O82" s="321">
        <f ca="1">Sys_Repl_Rate!O117</f>
        <v>2.0507981747250446</v>
      </c>
      <c r="P82" s="321">
        <f ca="1">Sys_Repl_Rate!P117</f>
        <v>2.0507981747250446</v>
      </c>
      <c r="Q82" s="321">
        <f ca="1">Sys_Repl_Rate!Q117</f>
        <v>2.0507981747250446</v>
      </c>
      <c r="R82" s="321">
        <f ca="1">Sys_Repl_Rate!R117</f>
        <v>2.0507981747250446</v>
      </c>
      <c r="S82" s="321">
        <f ca="1">Sys_Repl_Rate!S117</f>
        <v>2.0507981747250446</v>
      </c>
      <c r="T82" s="321">
        <f ca="1">Sys_Repl_Rate!T117</f>
        <v>2.0507981747250446</v>
      </c>
      <c r="U82" s="321">
        <f ca="1">Sys_Repl_Rate!U117</f>
        <v>2.0507981747250446</v>
      </c>
      <c r="V82" s="321">
        <f ca="1">Sys_Repl_Rate!V117</f>
        <v>2.0507981747250446</v>
      </c>
      <c r="W82" s="321">
        <f ca="1">Sys_Repl_Rate!W117</f>
        <v>2.0507981747250446</v>
      </c>
      <c r="X82" s="321">
        <f ca="1">Sys_Repl_Rate!X117</f>
        <v>2.0507981747250446</v>
      </c>
      <c r="Y82" s="321">
        <f ca="1">Sys_Repl_Rate!Y117</f>
        <v>2.0507981747250446</v>
      </c>
      <c r="Z82" s="321">
        <f ca="1">Sys_Repl_Rate!Z117</f>
        <v>2.0507981747250446</v>
      </c>
      <c r="AA82" s="321">
        <f ca="1">Sys_Repl_Rate!AA117</f>
        <v>2.0507981747250446</v>
      </c>
      <c r="AB82" s="321">
        <f ca="1">Sys_Repl_Rate!AB117</f>
        <v>2.0507981747250446</v>
      </c>
      <c r="AC82" s="321">
        <f ca="1">Sys_Repl_Rate!AC117</f>
        <v>2.0507981747250446</v>
      </c>
      <c r="AD82" s="321">
        <f ca="1">Sys_Repl_Rate!AD117</f>
        <v>2.0507981747250446</v>
      </c>
      <c r="AE82" s="321">
        <f ca="1">Sys_Repl_Rate!AE117</f>
        <v>2.0507981747250446</v>
      </c>
      <c r="AF82" s="321">
        <f ca="1">Sys_Repl_Rate!AF117</f>
        <v>2.0507981747250446</v>
      </c>
    </row>
    <row r="83" spans="1:32" x14ac:dyDescent="0.25">
      <c r="A83" s="376"/>
      <c r="B83" s="376" t="s">
        <v>26</v>
      </c>
      <c r="G83" s="321">
        <f ca="1">Sys_Repl_Rate!G118</f>
        <v>2.2786646385833826</v>
      </c>
      <c r="H83" s="321">
        <f ca="1">Sys_Repl_Rate!H118</f>
        <v>2.2900579617762999</v>
      </c>
      <c r="I83" s="321">
        <f ca="1">Sys_Repl_Rate!I118</f>
        <v>2.3014512849692172</v>
      </c>
      <c r="J83" s="321">
        <f ca="1">Sys_Repl_Rate!J118</f>
        <v>2.312844608162135</v>
      </c>
      <c r="K83" s="321">
        <f ca="1">Sys_Repl_Rate!K118</f>
        <v>2.3242379313550496</v>
      </c>
      <c r="L83" s="321">
        <f ca="1">Sys_Repl_Rate!L118</f>
        <v>2.3356312545479665</v>
      </c>
      <c r="M83" s="321">
        <f ca="1">Sys_Repl_Rate!M118</f>
        <v>2.3470245777408842</v>
      </c>
      <c r="N83" s="321">
        <f ca="1">Sys_Repl_Rate!N118</f>
        <v>2.3584179009338015</v>
      </c>
      <c r="O83" s="321">
        <f ca="1">Sys_Repl_Rate!O118</f>
        <v>2.3698112241267189</v>
      </c>
      <c r="P83" s="321">
        <f ca="1">Sys_Repl_Rate!P118</f>
        <v>2.3812045473196362</v>
      </c>
      <c r="Q83" s="321">
        <f ca="1">Sys_Repl_Rate!Q118</f>
        <v>2.3925978705125508</v>
      </c>
      <c r="R83" s="321">
        <f ca="1">Sys_Repl_Rate!R118</f>
        <v>2.4039911937054681</v>
      </c>
      <c r="S83" s="321">
        <f ca="1">Sys_Repl_Rate!S118</f>
        <v>2.4153845168983854</v>
      </c>
      <c r="T83" s="321">
        <f ca="1">Sys_Repl_Rate!T118</f>
        <v>2.4267778400913032</v>
      </c>
      <c r="U83" s="321">
        <f ca="1">Sys_Repl_Rate!U118</f>
        <v>2.4381711632842205</v>
      </c>
      <c r="V83" s="321">
        <f ca="1">Sys_Repl_Rate!V118</f>
        <v>2.4495644864771378</v>
      </c>
      <c r="W83" s="321">
        <f ca="1">Sys_Repl_Rate!W118</f>
        <v>2.4609578096700546</v>
      </c>
      <c r="X83" s="321">
        <f ca="1">Sys_Repl_Rate!X118</f>
        <v>2.4723511328629697</v>
      </c>
      <c r="Y83" s="321">
        <f ca="1">Sys_Repl_Rate!Y118</f>
        <v>2.483744456055887</v>
      </c>
      <c r="Z83" s="321">
        <f ca="1">Sys_Repl_Rate!Z118</f>
        <v>2.4951377792488043</v>
      </c>
      <c r="AA83" s="321">
        <f ca="1">Sys_Repl_Rate!AA118</f>
        <v>2.5065311024417216</v>
      </c>
      <c r="AB83" s="321">
        <f ca="1">Sys_Repl_Rate!AB118</f>
        <v>2.5179244256346389</v>
      </c>
      <c r="AC83" s="321">
        <f ca="1">Sys_Repl_Rate!AC118</f>
        <v>2.5293177488275562</v>
      </c>
      <c r="AD83" s="321">
        <f ca="1">Sys_Repl_Rate!AD118</f>
        <v>2.5407110720204713</v>
      </c>
      <c r="AE83" s="321">
        <f ca="1">Sys_Repl_Rate!AE118</f>
        <v>2.5521043952133886</v>
      </c>
      <c r="AF83" s="321">
        <f ca="1">Sys_Repl_Rate!AF118</f>
        <v>2.5634977184063055</v>
      </c>
    </row>
    <row r="84" spans="1:32" x14ac:dyDescent="0.25">
      <c r="A84" s="376"/>
      <c r="B84" s="376" t="s">
        <v>27</v>
      </c>
      <c r="G84" s="321">
        <f ca="1">Sys_Repl_Rate!G119</f>
        <v>15.646830518272557</v>
      </c>
      <c r="H84" s="321">
        <f ca="1">Sys_Repl_Rate!H119</f>
        <v>15.725064670863905</v>
      </c>
      <c r="I84" s="321">
        <f ca="1">Sys_Repl_Rate!I119</f>
        <v>15.803298823455274</v>
      </c>
      <c r="J84" s="321">
        <f ca="1">Sys_Repl_Rate!J119</f>
        <v>15.881532976046644</v>
      </c>
      <c r="K84" s="321">
        <f ca="1">Sys_Repl_Rate!K119</f>
        <v>15.95976712863799</v>
      </c>
      <c r="L84" s="321">
        <f ca="1">Sys_Repl_Rate!L119</f>
        <v>16.038001281229363</v>
      </c>
      <c r="M84" s="321">
        <f ca="1">Sys_Repl_Rate!M119</f>
        <v>16.11623543382073</v>
      </c>
      <c r="N84" s="321">
        <f ca="1">Sys_Repl_Rate!N119</f>
        <v>16.19446958641208</v>
      </c>
      <c r="O84" s="321">
        <f ca="1">Sys_Repl_Rate!O119</f>
        <v>16.272703739003447</v>
      </c>
      <c r="P84" s="321">
        <f ca="1">Sys_Repl_Rate!P119</f>
        <v>16.350937891594818</v>
      </c>
      <c r="Q84" s="321">
        <f ca="1">Sys_Repl_Rate!Q119</f>
        <v>16.429172044186188</v>
      </c>
      <c r="R84" s="321">
        <f ca="1">Sys_Repl_Rate!R119</f>
        <v>16.507406196777534</v>
      </c>
      <c r="S84" s="321">
        <f ca="1">Sys_Repl_Rate!S119</f>
        <v>16.585640349368905</v>
      </c>
      <c r="T84" s="321">
        <f ca="1">Sys_Repl_Rate!T119</f>
        <v>16.663874501960272</v>
      </c>
      <c r="U84" s="321">
        <f ca="1">Sys_Repl_Rate!U119</f>
        <v>16.742108654551622</v>
      </c>
      <c r="V84" s="321">
        <f ca="1">Sys_Repl_Rate!V119</f>
        <v>16.820342807142989</v>
      </c>
      <c r="W84" s="321">
        <f ca="1">Sys_Repl_Rate!W119</f>
        <v>16.89857695973436</v>
      </c>
      <c r="X84" s="321">
        <f ca="1">Sys_Repl_Rate!X119</f>
        <v>16.976811112325709</v>
      </c>
      <c r="Y84" s="321">
        <f ca="1">Sys_Repl_Rate!Y119</f>
        <v>17.055045264917077</v>
      </c>
      <c r="Z84" s="321">
        <f ca="1">Sys_Repl_Rate!Z119</f>
        <v>17.133279417508447</v>
      </c>
      <c r="AA84" s="321">
        <f ca="1">Sys_Repl_Rate!AA119</f>
        <v>17.211513570099793</v>
      </c>
      <c r="AB84" s="321">
        <f ca="1">Sys_Repl_Rate!AB119</f>
        <v>17.289747722691164</v>
      </c>
      <c r="AC84" s="321">
        <f ca="1">Sys_Repl_Rate!AC119</f>
        <v>17.367981875282531</v>
      </c>
      <c r="AD84" s="321">
        <f ca="1">Sys_Repl_Rate!AD119</f>
        <v>17.446216027873902</v>
      </c>
      <c r="AE84" s="321">
        <f ca="1">Sys_Repl_Rate!AE119</f>
        <v>17.524450180465251</v>
      </c>
      <c r="AF84" s="321">
        <f ca="1">Sys_Repl_Rate!AF119</f>
        <v>17.602684333056619</v>
      </c>
    </row>
    <row r="85" spans="1:32" x14ac:dyDescent="0.25">
      <c r="A85" s="376"/>
      <c r="B85" s="376" t="s">
        <v>29</v>
      </c>
      <c r="G85" s="321">
        <f ca="1">Sys_Repl_Rate!G120</f>
        <v>37.977743976389711</v>
      </c>
      <c r="H85" s="321">
        <f ca="1">Sys_Repl_Rate!H120</f>
        <v>50.123098144330015</v>
      </c>
      <c r="I85" s="321">
        <f ca="1">Sys_Repl_Rate!I120</f>
        <v>55.555568761596135</v>
      </c>
      <c r="J85" s="321">
        <f ca="1">Sys_Repl_Rate!J120</f>
        <v>60.204609980831265</v>
      </c>
      <c r="K85" s="321">
        <f ca="1">Sys_Repl_Rate!K120</f>
        <v>64.021744574441371</v>
      </c>
      <c r="L85" s="321">
        <f ca="1">Sys_Repl_Rate!L120</f>
        <v>67.050643982328324</v>
      </c>
      <c r="M85" s="321">
        <f ca="1">Sys_Repl_Rate!M120</f>
        <v>69.389621431716762</v>
      </c>
      <c r="N85" s="321">
        <f ca="1">Sys_Repl_Rate!N120</f>
        <v>71.158191012295362</v>
      </c>
      <c r="O85" s="321">
        <f ca="1">Sys_Repl_Rate!O120</f>
        <v>72.474281412683425</v>
      </c>
      <c r="P85" s="321">
        <f ca="1">Sys_Repl_Rate!P120</f>
        <v>73.44206865845203</v>
      </c>
      <c r="Q85" s="321">
        <f ca="1">Sys_Repl_Rate!Q120</f>
        <v>74.147519529544098</v>
      </c>
      <c r="R85" s="321">
        <f ca="1">Sys_Repl_Rate!R120</f>
        <v>74.658465647337835</v>
      </c>
      <c r="S85" s="321">
        <f ca="1">Sys_Repl_Rate!S120</f>
        <v>75.026822881412684</v>
      </c>
      <c r="T85" s="321">
        <f ca="1">Sys_Repl_Rate!T120</f>
        <v>75.291496247992058</v>
      </c>
      <c r="U85" s="321">
        <f ca="1">Sys_Repl_Rate!U120</f>
        <v>75.481213458120379</v>
      </c>
      <c r="V85" s="321">
        <f ca="1">Sys_Repl_Rate!V120</f>
        <v>75.616967957216872</v>
      </c>
      <c r="W85" s="321">
        <f ca="1">Sys_Repl_Rate!W120</f>
        <v>75.713988937009717</v>
      </c>
      <c r="X85" s="321">
        <f ca="1">Sys_Repl_Rate!X120</f>
        <v>75.783266705392705</v>
      </c>
      <c r="Y85" s="321">
        <f ca="1">Sys_Repl_Rate!Y120</f>
        <v>75.832703291316818</v>
      </c>
      <c r="Z85" s="321">
        <f ca="1">Sys_Repl_Rate!Z120</f>
        <v>75.867965357541308</v>
      </c>
      <c r="AA85" s="321">
        <f ca="1">Sys_Repl_Rate!AA120</f>
        <v>75.893108973429548</v>
      </c>
      <c r="AB85" s="321">
        <f ca="1">Sys_Repl_Rate!AB120</f>
        <v>75.911033527963312</v>
      </c>
      <c r="AC85" s="321">
        <f ca="1">Sys_Repl_Rate!AC120</f>
        <v>75.923809624635581</v>
      </c>
      <c r="AD85" s="321">
        <f ca="1">Sys_Repl_Rate!AD120</f>
        <v>75.932914993161745</v>
      </c>
      <c r="AE85" s="321">
        <f ca="1">Sys_Repl_Rate!AE120</f>
        <v>75.939403740890029</v>
      </c>
      <c r="AF85" s="321">
        <f ca="1">Sys_Repl_Rate!AF120</f>
        <v>75.944027536341892</v>
      </c>
    </row>
    <row r="86" spans="1:32" x14ac:dyDescent="0.25">
      <c r="A86" s="376"/>
      <c r="B86" s="376"/>
    </row>
    <row r="87" spans="1:32" s="202" customFormat="1" ht="12.75" x14ac:dyDescent="0.2">
      <c r="A87" s="402" t="s">
        <v>32</v>
      </c>
      <c r="B87" s="402"/>
      <c r="C87" s="402"/>
      <c r="D87" s="402"/>
      <c r="E87" s="402"/>
      <c r="F87" s="402"/>
      <c r="G87" s="402"/>
      <c r="H87" s="402"/>
      <c r="I87" s="402"/>
      <c r="J87" s="402"/>
      <c r="K87" s="402"/>
      <c r="L87" s="402"/>
      <c r="M87" s="402"/>
      <c r="N87" s="402"/>
      <c r="O87" s="402"/>
      <c r="P87" s="402"/>
      <c r="Q87" s="402"/>
      <c r="R87" s="402"/>
      <c r="S87" s="402"/>
      <c r="T87" s="402"/>
      <c r="U87" s="402"/>
      <c r="V87" s="402"/>
      <c r="W87" s="402"/>
      <c r="X87" s="402"/>
      <c r="Y87" s="402"/>
      <c r="Z87" s="402"/>
      <c r="AA87" s="402"/>
      <c r="AB87" s="402"/>
      <c r="AC87" s="402"/>
      <c r="AD87" s="402"/>
      <c r="AE87" s="402"/>
      <c r="AF87" s="402"/>
    </row>
    <row r="88" spans="1:32" x14ac:dyDescent="0.25">
      <c r="A88" s="376"/>
      <c r="B88" s="376" t="s">
        <v>33</v>
      </c>
      <c r="G88" s="321">
        <f>Sys_Repl_Rate!G123</f>
        <v>3.853173733845662</v>
      </c>
      <c r="H88" s="321">
        <f>Sys_Repl_Rate!H123</f>
        <v>3.853173733845662</v>
      </c>
      <c r="I88" s="321">
        <f>Sys_Repl_Rate!I123</f>
        <v>3.853173733845662</v>
      </c>
      <c r="J88" s="321">
        <f>Sys_Repl_Rate!J123</f>
        <v>3.853173733845662</v>
      </c>
      <c r="K88" s="321">
        <f>Sys_Repl_Rate!K123</f>
        <v>3.853173733845662</v>
      </c>
      <c r="L88" s="321">
        <f>Sys_Repl_Rate!L123</f>
        <v>3.853173733845662</v>
      </c>
      <c r="M88" s="321">
        <f>Sys_Repl_Rate!M123</f>
        <v>3.853173733845662</v>
      </c>
      <c r="N88" s="321">
        <f>Sys_Repl_Rate!N123</f>
        <v>3.853173733845662</v>
      </c>
      <c r="O88" s="321">
        <f>Sys_Repl_Rate!O123</f>
        <v>3.853173733845662</v>
      </c>
      <c r="P88" s="321">
        <f>Sys_Repl_Rate!P123</f>
        <v>3.853173733845662</v>
      </c>
      <c r="Q88" s="321">
        <f>Sys_Repl_Rate!Q123</f>
        <v>3.853173733845662</v>
      </c>
      <c r="R88" s="321">
        <f>Sys_Repl_Rate!R123</f>
        <v>3.853173733845662</v>
      </c>
      <c r="S88" s="321">
        <f>Sys_Repl_Rate!S123</f>
        <v>3.853173733845662</v>
      </c>
      <c r="T88" s="321">
        <f>Sys_Repl_Rate!T123</f>
        <v>3.853173733845662</v>
      </c>
      <c r="U88" s="321">
        <f>Sys_Repl_Rate!U123</f>
        <v>3.853173733845662</v>
      </c>
      <c r="V88" s="321">
        <f>Sys_Repl_Rate!V123</f>
        <v>3.853173733845662</v>
      </c>
      <c r="W88" s="321">
        <f>Sys_Repl_Rate!W123</f>
        <v>3.853173733845662</v>
      </c>
      <c r="X88" s="321">
        <f>Sys_Repl_Rate!X123</f>
        <v>3.853173733845662</v>
      </c>
      <c r="Y88" s="321">
        <f>Sys_Repl_Rate!Y123</f>
        <v>3.853173733845662</v>
      </c>
      <c r="Z88" s="321">
        <f>Sys_Repl_Rate!Z123</f>
        <v>3.853173733845662</v>
      </c>
      <c r="AA88" s="321">
        <f>Sys_Repl_Rate!AA123</f>
        <v>3.853173733845662</v>
      </c>
      <c r="AB88" s="321">
        <f>Sys_Repl_Rate!AB123</f>
        <v>3.853173733845662</v>
      </c>
      <c r="AC88" s="321">
        <f>Sys_Repl_Rate!AC123</f>
        <v>3.853173733845662</v>
      </c>
      <c r="AD88" s="321">
        <f>Sys_Repl_Rate!AD123</f>
        <v>3.853173733845662</v>
      </c>
      <c r="AE88" s="321">
        <f>Sys_Repl_Rate!AE123</f>
        <v>3.853173733845662</v>
      </c>
      <c r="AF88" s="321">
        <f>Sys_Repl_Rate!AF123</f>
        <v>3.853173733845662</v>
      </c>
    </row>
    <row r="89" spans="1:32" x14ac:dyDescent="0.25">
      <c r="A89" s="388"/>
      <c r="B89" s="388" t="s">
        <v>34</v>
      </c>
      <c r="G89" s="321">
        <f>Sys_Repl_Rate!G124</f>
        <v>4.6238084806147945</v>
      </c>
      <c r="H89" s="321">
        <f>Sys_Repl_Rate!H124</f>
        <v>4.6469275230178688</v>
      </c>
      <c r="I89" s="321">
        <f>Sys_Repl_Rate!I124</f>
        <v>4.670046565420944</v>
      </c>
      <c r="J89" s="321">
        <f>Sys_Repl_Rate!J124</f>
        <v>4.6931656078240191</v>
      </c>
      <c r="K89" s="321">
        <f>Sys_Repl_Rate!K124</f>
        <v>4.7162846502270881</v>
      </c>
      <c r="L89" s="321">
        <f>Sys_Repl_Rate!L124</f>
        <v>4.7394036926301633</v>
      </c>
      <c r="M89" s="321">
        <f>Sys_Repl_Rate!M124</f>
        <v>4.7625227350332384</v>
      </c>
      <c r="N89" s="321">
        <f>Sys_Repl_Rate!N124</f>
        <v>4.7856417774363127</v>
      </c>
      <c r="O89" s="321">
        <f>Sys_Repl_Rate!O124</f>
        <v>4.8087608198393879</v>
      </c>
      <c r="P89" s="321">
        <f>Sys_Repl_Rate!P124</f>
        <v>4.8318798622424621</v>
      </c>
      <c r="Q89" s="321">
        <f>Sys_Repl_Rate!Q124</f>
        <v>4.854998904645532</v>
      </c>
      <c r="R89" s="321">
        <f>Sys_Repl_Rate!R124</f>
        <v>4.8781179470486071</v>
      </c>
      <c r="S89" s="321">
        <f>Sys_Repl_Rate!S124</f>
        <v>4.9012369894516814</v>
      </c>
      <c r="T89" s="321">
        <f>Sys_Repl_Rate!T124</f>
        <v>4.9243560318547566</v>
      </c>
      <c r="U89" s="321">
        <f>Sys_Repl_Rate!U124</f>
        <v>4.9474750742578317</v>
      </c>
      <c r="V89" s="321">
        <f>Sys_Repl_Rate!V124</f>
        <v>4.970594116660906</v>
      </c>
      <c r="W89" s="321">
        <f>Sys_Repl_Rate!W124</f>
        <v>4.9937131590639812</v>
      </c>
      <c r="X89" s="321">
        <f>Sys_Repl_Rate!X124</f>
        <v>5.016832201467051</v>
      </c>
      <c r="Y89" s="321">
        <f>Sys_Repl_Rate!Y124</f>
        <v>5.0399512438701253</v>
      </c>
      <c r="Z89" s="321">
        <f>Sys_Repl_Rate!Z124</f>
        <v>5.0630702862731995</v>
      </c>
      <c r="AA89" s="321">
        <f>Sys_Repl_Rate!AA124</f>
        <v>5.0861893286762756</v>
      </c>
      <c r="AB89" s="321">
        <f>Sys_Repl_Rate!AB124</f>
        <v>5.1093083710793499</v>
      </c>
      <c r="AC89" s="321">
        <f>Sys_Repl_Rate!AC124</f>
        <v>5.132427413482425</v>
      </c>
      <c r="AD89" s="321">
        <f>Sys_Repl_Rate!AD124</f>
        <v>5.1555464558854949</v>
      </c>
      <c r="AE89" s="321">
        <f>Sys_Repl_Rate!AE124</f>
        <v>5.1786654982885691</v>
      </c>
      <c r="AF89" s="321">
        <f>Sys_Repl_Rate!AF124</f>
        <v>5.2017845406916434</v>
      </c>
    </row>
    <row r="90" spans="1:32" x14ac:dyDescent="0.25">
      <c r="A90" s="376"/>
      <c r="B90" s="388" t="s">
        <v>35</v>
      </c>
      <c r="G90" s="321">
        <f>Sys_Repl_Rate!G125</f>
        <v>15.412694935382648</v>
      </c>
      <c r="H90" s="321">
        <f>Sys_Repl_Rate!H125</f>
        <v>15.489758410059578</v>
      </c>
      <c r="I90" s="321">
        <f>Sys_Repl_Rate!I125</f>
        <v>15.566821884736489</v>
      </c>
      <c r="J90" s="321">
        <f>Sys_Repl_Rate!J125</f>
        <v>15.643885359413396</v>
      </c>
      <c r="K90" s="321">
        <f>Sys_Repl_Rate!K125</f>
        <v>15.720948834090306</v>
      </c>
      <c r="L90" s="321">
        <f>Sys_Repl_Rate!L125</f>
        <v>15.798012308767214</v>
      </c>
      <c r="M90" s="321">
        <f>Sys_Repl_Rate!M125</f>
        <v>15.875075783444144</v>
      </c>
      <c r="N90" s="321">
        <f>Sys_Repl_Rate!N125</f>
        <v>15.952139258121054</v>
      </c>
      <c r="O90" s="321">
        <f>Sys_Repl_Rate!O125</f>
        <v>16.029202732797962</v>
      </c>
      <c r="P90" s="321">
        <f>Sys_Repl_Rate!P125</f>
        <v>16.106266207474874</v>
      </c>
      <c r="Q90" s="321">
        <f>Sys_Repl_Rate!Q125</f>
        <v>16.183329682151779</v>
      </c>
      <c r="R90" s="321">
        <f>Sys_Repl_Rate!R125</f>
        <v>16.260393156828712</v>
      </c>
      <c r="S90" s="321">
        <f>Sys_Repl_Rate!S125</f>
        <v>16.337456631505621</v>
      </c>
      <c r="T90" s="321">
        <f>Sys_Repl_Rate!T125</f>
        <v>16.414520106182529</v>
      </c>
      <c r="U90" s="321">
        <f>Sys_Repl_Rate!U125</f>
        <v>16.491583580859441</v>
      </c>
      <c r="V90" s="321">
        <f>Sys_Repl_Rate!V125</f>
        <v>16.568647055536346</v>
      </c>
      <c r="W90" s="321">
        <f>Sys_Repl_Rate!W125</f>
        <v>16.645710530213275</v>
      </c>
      <c r="X90" s="321">
        <f>Sys_Repl_Rate!X125</f>
        <v>16.722774004890187</v>
      </c>
      <c r="Y90" s="321">
        <f>Sys_Repl_Rate!Y125</f>
        <v>16.799837479567095</v>
      </c>
      <c r="Z90" s="321">
        <f>Sys_Repl_Rate!Z125</f>
        <v>16.876900954244004</v>
      </c>
      <c r="AA90" s="321">
        <f>Sys_Repl_Rate!AA125</f>
        <v>16.953964428920912</v>
      </c>
      <c r="AB90" s="321">
        <f>Sys_Repl_Rate!AB125</f>
        <v>17.031027903597842</v>
      </c>
      <c r="AC90" s="321">
        <f>Sys_Repl_Rate!AC125</f>
        <v>17.108091378274754</v>
      </c>
      <c r="AD90" s="321">
        <f>Sys_Repl_Rate!AD125</f>
        <v>17.185154852951662</v>
      </c>
      <c r="AE90" s="321">
        <f>Sys_Repl_Rate!AE125</f>
        <v>17.26221832762857</v>
      </c>
      <c r="AF90" s="321">
        <f>Sys_Repl_Rate!AF125</f>
        <v>17.339281802305479</v>
      </c>
    </row>
    <row r="91" spans="1:32" x14ac:dyDescent="0.25">
      <c r="A91" s="376"/>
      <c r="B91" s="388" t="s">
        <v>29</v>
      </c>
      <c r="G91" s="321">
        <f>Sys_Repl_Rate!G126</f>
        <v>38.531737338456622</v>
      </c>
      <c r="H91" s="321">
        <f>Sys_Repl_Rate!H126</f>
        <v>50.854259628683849</v>
      </c>
      <c r="I91" s="321">
        <f>Sys_Repl_Rate!I126</f>
        <v>56.365975412894585</v>
      </c>
      <c r="J91" s="321">
        <f>Sys_Repl_Rate!J126</f>
        <v>61.082833666681132</v>
      </c>
      <c r="K91" s="321">
        <f>Sys_Repl_Rate!K126</f>
        <v>64.955650009799342</v>
      </c>
      <c r="L91" s="321">
        <f>Sys_Repl_Rate!L126</f>
        <v>68.028732931256258</v>
      </c>
      <c r="M91" s="321">
        <f>Sys_Repl_Rate!M126</f>
        <v>70.401829784414204</v>
      </c>
      <c r="N91" s="321">
        <f>Sys_Repl_Rate!N126</f>
        <v>72.196198048785163</v>
      </c>
      <c r="O91" s="321">
        <f>Sys_Repl_Rate!O126</f>
        <v>73.531486676064972</v>
      </c>
      <c r="P91" s="321">
        <f>Sys_Repl_Rate!P126</f>
        <v>74.513391340455954</v>
      </c>
      <c r="Q91" s="321">
        <f>Sys_Repl_Rate!Q126</f>
        <v>75.229132846507611</v>
      </c>
      <c r="R91" s="321">
        <f>Sys_Repl_Rate!R126</f>
        <v>75.747532296911288</v>
      </c>
      <c r="S91" s="321">
        <f>Sys_Repl_Rate!S126</f>
        <v>76.121262874454715</v>
      </c>
      <c r="T91" s="321">
        <f>Sys_Repl_Rate!T126</f>
        <v>76.389797115136886</v>
      </c>
      <c r="U91" s="321">
        <f>Sys_Repl_Rate!U126</f>
        <v>76.582281790208526</v>
      </c>
      <c r="V91" s="321">
        <f>Sys_Repl_Rate!V126</f>
        <v>76.72001658311649</v>
      </c>
      <c r="W91" s="321">
        <f>Sys_Repl_Rate!W126</f>
        <v>76.818452838625021</v>
      </c>
      <c r="X91" s="321">
        <f>Sys_Repl_Rate!X126</f>
        <v>76.888741183724918</v>
      </c>
      <c r="Y91" s="321">
        <f>Sys_Repl_Rate!Y126</f>
        <v>76.938898916762511</v>
      </c>
      <c r="Z91" s="321">
        <f>Sys_Repl_Rate!Z126</f>
        <v>76.974675361898846</v>
      </c>
      <c r="AA91" s="321">
        <f>Sys_Repl_Rate!AA126</f>
        <v>77.000185755663864</v>
      </c>
      <c r="AB91" s="321">
        <f>Sys_Repl_Rate!AB126</f>
        <v>77.018371781343362</v>
      </c>
      <c r="AC91" s="321">
        <f>Sys_Repl_Rate!AC126</f>
        <v>77.031334246978304</v>
      </c>
      <c r="AD91" s="321">
        <f>Sys_Repl_Rate!AD126</f>
        <v>77.04057243839479</v>
      </c>
      <c r="AE91" s="321">
        <f>Sys_Repl_Rate!AE126</f>
        <v>77.047155839538277</v>
      </c>
      <c r="AF91" s="321">
        <f>Sys_Repl_Rate!AF126</f>
        <v>77.051847083756712</v>
      </c>
    </row>
    <row r="92" spans="1:32" x14ac:dyDescent="0.25">
      <c r="A92" s="376"/>
      <c r="B92" s="376"/>
    </row>
    <row r="93" spans="1:32" s="202" customFormat="1" ht="12.75" x14ac:dyDescent="0.2">
      <c r="A93" s="402" t="s">
        <v>36</v>
      </c>
      <c r="B93" s="402"/>
      <c r="C93" s="402"/>
      <c r="D93" s="402"/>
      <c r="E93" s="402"/>
      <c r="F93" s="402"/>
      <c r="G93" s="402"/>
      <c r="H93" s="402"/>
      <c r="I93" s="402"/>
      <c r="J93" s="402"/>
      <c r="K93" s="402"/>
      <c r="L93" s="402"/>
      <c r="M93" s="402"/>
      <c r="N93" s="402"/>
      <c r="O93" s="402"/>
      <c r="P93" s="402"/>
      <c r="Q93" s="402"/>
      <c r="R93" s="402"/>
      <c r="S93" s="402"/>
      <c r="T93" s="402"/>
      <c r="U93" s="402"/>
      <c r="V93" s="402"/>
      <c r="W93" s="402"/>
      <c r="X93" s="402"/>
      <c r="Y93" s="402"/>
      <c r="Z93" s="402"/>
      <c r="AA93" s="402"/>
      <c r="AB93" s="402"/>
      <c r="AC93" s="402"/>
      <c r="AD93" s="402"/>
      <c r="AE93" s="402"/>
      <c r="AF93" s="402"/>
    </row>
    <row r="94" spans="1:32" x14ac:dyDescent="0.25">
      <c r="A94" s="376"/>
      <c r="B94" s="376" t="s">
        <v>37</v>
      </c>
      <c r="G94" s="321">
        <f>Sys_Repl_Rate!G129</f>
        <v>28.819481969811591</v>
      </c>
      <c r="H94" s="321">
        <f>Sys_Repl_Rate!H129</f>
        <v>28.819481969811591</v>
      </c>
      <c r="I94" s="321">
        <f>Sys_Repl_Rate!I129</f>
        <v>28.819481969811591</v>
      </c>
      <c r="J94" s="321">
        <f>Sys_Repl_Rate!J129</f>
        <v>28.819481969811591</v>
      </c>
      <c r="K94" s="321">
        <f>Sys_Repl_Rate!K129</f>
        <v>28.819481969811591</v>
      </c>
      <c r="L94" s="321">
        <f>Sys_Repl_Rate!L129</f>
        <v>28.819481969811591</v>
      </c>
      <c r="M94" s="321">
        <f>Sys_Repl_Rate!M129</f>
        <v>28.819481969811591</v>
      </c>
      <c r="N94" s="321">
        <f>Sys_Repl_Rate!N129</f>
        <v>28.819481969811591</v>
      </c>
      <c r="O94" s="321">
        <f>Sys_Repl_Rate!O129</f>
        <v>28.819481969811591</v>
      </c>
      <c r="P94" s="321">
        <f>Sys_Repl_Rate!P129</f>
        <v>28.819481969811591</v>
      </c>
      <c r="Q94" s="321">
        <f>Sys_Repl_Rate!Q129</f>
        <v>28.819481969811591</v>
      </c>
      <c r="R94" s="321">
        <f>Sys_Repl_Rate!R129</f>
        <v>28.819481969811591</v>
      </c>
      <c r="S94" s="321">
        <f>Sys_Repl_Rate!S129</f>
        <v>28.819481969811591</v>
      </c>
      <c r="T94" s="321">
        <f>Sys_Repl_Rate!T129</f>
        <v>28.819481969811591</v>
      </c>
      <c r="U94" s="321">
        <f>Sys_Repl_Rate!U129</f>
        <v>28.819481969811591</v>
      </c>
      <c r="V94" s="321">
        <f>Sys_Repl_Rate!V129</f>
        <v>28.819481969811591</v>
      </c>
      <c r="W94" s="321">
        <f>Sys_Repl_Rate!W129</f>
        <v>28.819481969811591</v>
      </c>
      <c r="X94" s="321">
        <f>Sys_Repl_Rate!X129</f>
        <v>28.819481969811591</v>
      </c>
      <c r="Y94" s="321">
        <f>Sys_Repl_Rate!Y129</f>
        <v>28.819481969811591</v>
      </c>
      <c r="Z94" s="321">
        <f>Sys_Repl_Rate!Z129</f>
        <v>28.819481969811591</v>
      </c>
      <c r="AA94" s="321">
        <f>Sys_Repl_Rate!AA129</f>
        <v>28.819481969811591</v>
      </c>
      <c r="AB94" s="321">
        <f>Sys_Repl_Rate!AB129</f>
        <v>28.819481969811591</v>
      </c>
      <c r="AC94" s="321">
        <f>Sys_Repl_Rate!AC129</f>
        <v>28.819481969811591</v>
      </c>
      <c r="AD94" s="321">
        <f>Sys_Repl_Rate!AD129</f>
        <v>28.819481969811591</v>
      </c>
      <c r="AE94" s="321">
        <f>Sys_Repl_Rate!AE129</f>
        <v>28.819481969811591</v>
      </c>
      <c r="AF94" s="321">
        <f>Sys_Repl_Rate!AF129</f>
        <v>28.819481969811591</v>
      </c>
    </row>
    <row r="95" spans="1:32" x14ac:dyDescent="0.25">
      <c r="A95" s="376"/>
      <c r="B95" s="376" t="s">
        <v>39</v>
      </c>
      <c r="G95" s="321">
        <f>Sys_Repl_Rate!G130</f>
        <v>28.819481969811591</v>
      </c>
      <c r="H95" s="321">
        <f>Sys_Repl_Rate!H130</f>
        <v>28.963579379660683</v>
      </c>
      <c r="I95" s="321">
        <f>Sys_Repl_Rate!I130</f>
        <v>29.107676789509735</v>
      </c>
      <c r="J95" s="321">
        <f>Sys_Repl_Rate!J130</f>
        <v>29.251774199358781</v>
      </c>
      <c r="K95" s="321">
        <f>Sys_Repl_Rate!K130</f>
        <v>29.395871609207834</v>
      </c>
      <c r="L95" s="321">
        <f>Sys_Repl_Rate!L130</f>
        <v>29.53996901905688</v>
      </c>
      <c r="M95" s="321">
        <f>Sys_Repl_Rate!M130</f>
        <v>29.684066428905972</v>
      </c>
      <c r="N95" s="321">
        <f>Sys_Repl_Rate!N130</f>
        <v>29.828163838755025</v>
      </c>
      <c r="O95" s="321">
        <f>Sys_Repl_Rate!O130</f>
        <v>29.97226124860407</v>
      </c>
      <c r="P95" s="321">
        <f>Sys_Repl_Rate!P130</f>
        <v>30.116358658453123</v>
      </c>
      <c r="Q95" s="321">
        <f>Sys_Repl_Rate!Q130</f>
        <v>30.260456068302172</v>
      </c>
      <c r="R95" s="321">
        <f>Sys_Repl_Rate!R130</f>
        <v>30.404553478151261</v>
      </c>
      <c r="S95" s="321">
        <f>Sys_Repl_Rate!S130</f>
        <v>30.548650888000314</v>
      </c>
      <c r="T95" s="321">
        <f>Sys_Repl_Rate!T130</f>
        <v>30.692748297849359</v>
      </c>
      <c r="U95" s="321">
        <f>Sys_Repl_Rate!U130</f>
        <v>30.836845707698412</v>
      </c>
      <c r="V95" s="321">
        <f>Sys_Repl_Rate!V130</f>
        <v>30.980943117547461</v>
      </c>
      <c r="W95" s="321">
        <f>Sys_Repl_Rate!W130</f>
        <v>31.12504052739655</v>
      </c>
      <c r="X95" s="321">
        <f>Sys_Repl_Rate!X130</f>
        <v>31.269137937245603</v>
      </c>
      <c r="Y95" s="321">
        <f>Sys_Repl_Rate!Y130</f>
        <v>31.413235347094652</v>
      </c>
      <c r="Z95" s="321">
        <f>Sys_Repl_Rate!Z130</f>
        <v>31.557332756943705</v>
      </c>
      <c r="AA95" s="321">
        <f>Sys_Repl_Rate!AA130</f>
        <v>31.70143016679275</v>
      </c>
      <c r="AB95" s="321">
        <f>Sys_Repl_Rate!AB130</f>
        <v>31.845527576641839</v>
      </c>
      <c r="AC95" s="321">
        <f>Sys_Repl_Rate!AC130</f>
        <v>31.989624986490892</v>
      </c>
      <c r="AD95" s="321">
        <f>Sys_Repl_Rate!AD130</f>
        <v>32.133722396339941</v>
      </c>
      <c r="AE95" s="321">
        <f>Sys_Repl_Rate!AE130</f>
        <v>32.277819806188994</v>
      </c>
      <c r="AF95" s="321">
        <f>Sys_Repl_Rate!AF130</f>
        <v>32.42191721603804</v>
      </c>
    </row>
    <row r="96" spans="1:32" x14ac:dyDescent="0.25">
      <c r="A96" s="376"/>
      <c r="B96" s="376" t="s">
        <v>40</v>
      </c>
      <c r="G96" s="321">
        <f>Sys_Repl_Rate!G131</f>
        <v>23.055585575849275</v>
      </c>
      <c r="H96" s="321">
        <f>Sys_Repl_Rate!H131</f>
        <v>23.170863503728498</v>
      </c>
      <c r="I96" s="321">
        <f>Sys_Repl_Rate!I131</f>
        <v>23.28614143160776</v>
      </c>
      <c r="J96" s="321">
        <f>Sys_Repl_Rate!J131</f>
        <v>23.401419359486983</v>
      </c>
      <c r="K96" s="321">
        <f>Sys_Repl_Rate!K131</f>
        <v>23.516697287366249</v>
      </c>
      <c r="L96" s="321">
        <f>Sys_Repl_Rate!L131</f>
        <v>23.631975215245514</v>
      </c>
      <c r="M96" s="321">
        <f>Sys_Repl_Rate!M131</f>
        <v>23.747253143124738</v>
      </c>
      <c r="N96" s="321">
        <f>Sys_Repl_Rate!N131</f>
        <v>23.862531071004003</v>
      </c>
      <c r="O96" s="321">
        <f>Sys_Repl_Rate!O131</f>
        <v>23.977808998883223</v>
      </c>
      <c r="P96" s="321">
        <f>Sys_Repl_Rate!P131</f>
        <v>24.093086926762492</v>
      </c>
      <c r="Q96" s="321">
        <f>Sys_Repl_Rate!Q131</f>
        <v>24.208364854641712</v>
      </c>
      <c r="R96" s="321">
        <f>Sys_Repl_Rate!R131</f>
        <v>24.323642782520977</v>
      </c>
      <c r="S96" s="321">
        <f>Sys_Repl_Rate!S131</f>
        <v>24.438920710400197</v>
      </c>
      <c r="T96" s="321">
        <f>Sys_Repl_Rate!T131</f>
        <v>24.554198638279466</v>
      </c>
      <c r="U96" s="321">
        <f>Sys_Repl_Rate!U131</f>
        <v>24.669476566158728</v>
      </c>
      <c r="V96" s="321">
        <f>Sys_Repl_Rate!V131</f>
        <v>24.784754494037951</v>
      </c>
      <c r="W96" s="321">
        <f>Sys_Repl_Rate!W131</f>
        <v>24.900032421917214</v>
      </c>
      <c r="X96" s="321">
        <f>Sys_Repl_Rate!X131</f>
        <v>25.01531034979644</v>
      </c>
      <c r="Y96" s="321">
        <f>Sys_Repl_Rate!Y131</f>
        <v>25.130588277675702</v>
      </c>
      <c r="Z96" s="321">
        <f>Sys_Repl_Rate!Z131</f>
        <v>25.245866205554929</v>
      </c>
      <c r="AA96" s="321">
        <f>Sys_Repl_Rate!AA131</f>
        <v>25.361144133434191</v>
      </c>
      <c r="AB96" s="321">
        <f>Sys_Repl_Rate!AB131</f>
        <v>25.476422061313414</v>
      </c>
      <c r="AC96" s="321">
        <f>Sys_Repl_Rate!AC131</f>
        <v>25.591699989192684</v>
      </c>
      <c r="AD96" s="321">
        <f>Sys_Repl_Rate!AD131</f>
        <v>25.706977917071946</v>
      </c>
      <c r="AE96" s="321">
        <f>Sys_Repl_Rate!AE131</f>
        <v>25.822255844951169</v>
      </c>
      <c r="AF96" s="321">
        <f>Sys_Repl_Rate!AF131</f>
        <v>25.937533772830431</v>
      </c>
    </row>
    <row r="97" spans="1:32" x14ac:dyDescent="0.25">
      <c r="A97" s="376"/>
      <c r="B97" s="376" t="s">
        <v>29</v>
      </c>
      <c r="G97" s="321">
        <f>Sys_Repl_Rate!G132</f>
        <v>36.024352462264488</v>
      </c>
      <c r="H97" s="321">
        <f>Sys_Repl_Rate!H132</f>
        <v>47.545008338951646</v>
      </c>
      <c r="I97" s="321">
        <f>Sys_Repl_Rate!I132</f>
        <v>52.698058935610455</v>
      </c>
      <c r="J97" s="321">
        <f>Sys_Repl_Rate!J132</f>
        <v>57.10797595431071</v>
      </c>
      <c r="K97" s="321">
        <f>Sys_Repl_Rate!K132</f>
        <v>60.728775601641033</v>
      </c>
      <c r="L97" s="321">
        <f>Sys_Repl_Rate!L132</f>
        <v>63.601883069801822</v>
      </c>
      <c r="M97" s="321">
        <f>Sys_Repl_Rate!M132</f>
        <v>65.820554828989017</v>
      </c>
      <c r="N97" s="321">
        <f>Sys_Repl_Rate!N132</f>
        <v>67.498157742011216</v>
      </c>
      <c r="O97" s="321">
        <f>Sys_Repl_Rate!O132</f>
        <v>68.746554815972686</v>
      </c>
      <c r="P97" s="321">
        <f>Sys_Repl_Rate!P132</f>
        <v>69.664563765417569</v>
      </c>
      <c r="Q97" s="321">
        <f>Sys_Repl_Rate!Q132</f>
        <v>70.333729654808764</v>
      </c>
      <c r="R97" s="321">
        <f>Sys_Repl_Rate!R132</f>
        <v>70.818395174911018</v>
      </c>
      <c r="S97" s="321">
        <f>Sys_Repl_Rate!S132</f>
        <v>71.167805894004474</v>
      </c>
      <c r="T97" s="321">
        <f>Sys_Repl_Rate!T132</f>
        <v>71.418865742397699</v>
      </c>
      <c r="U97" s="321">
        <f>Sys_Repl_Rate!U132</f>
        <v>71.598824816587822</v>
      </c>
      <c r="V97" s="321">
        <f>Sys_Repl_Rate!V132</f>
        <v>71.727596760672512</v>
      </c>
      <c r="W97" s="321">
        <f>Sys_Repl_Rate!W132</f>
        <v>71.819627450396055</v>
      </c>
      <c r="X97" s="321">
        <f>Sys_Repl_Rate!X132</f>
        <v>71.885341905356299</v>
      </c>
      <c r="Y97" s="321">
        <f>Sys_Repl_Rate!Y132</f>
        <v>71.932235712344109</v>
      </c>
      <c r="Z97" s="321">
        <f>Sys_Repl_Rate!Z132</f>
        <v>71.96568406838675</v>
      </c>
      <c r="AA97" s="321">
        <f>Sys_Repl_Rate!AA132</f>
        <v>71.989534418252106</v>
      </c>
      <c r="AB97" s="321">
        <f>Sys_Repl_Rate!AB132</f>
        <v>72.006537020372306</v>
      </c>
      <c r="AC97" s="321">
        <f>Sys_Repl_Rate!AC132</f>
        <v>72.018655976408766</v>
      </c>
      <c r="AD97" s="321">
        <f>Sys_Repl_Rate!AD132</f>
        <v>72.027293008805671</v>
      </c>
      <c r="AE97" s="321">
        <f>Sys_Repl_Rate!AE132</f>
        <v>72.033448006726232</v>
      </c>
      <c r="AF97" s="321">
        <f>Sys_Repl_Rate!AF132</f>
        <v>72.037833976497765</v>
      </c>
    </row>
    <row r="98" spans="1:32" x14ac:dyDescent="0.25">
      <c r="A98" s="376"/>
      <c r="B98" s="376"/>
    </row>
    <row r="99" spans="1:32" s="202" customFormat="1" ht="12.75" x14ac:dyDescent="0.2">
      <c r="A99" s="402" t="s">
        <v>42</v>
      </c>
      <c r="B99" s="402"/>
      <c r="C99" s="402"/>
      <c r="D99" s="402"/>
      <c r="E99" s="402"/>
      <c r="F99" s="402"/>
      <c r="G99" s="402"/>
      <c r="H99" s="402"/>
      <c r="I99" s="402"/>
      <c r="J99" s="402"/>
      <c r="K99" s="402"/>
      <c r="L99" s="402"/>
      <c r="M99" s="402"/>
      <c r="N99" s="402"/>
      <c r="O99" s="402"/>
      <c r="P99" s="402"/>
      <c r="Q99" s="402"/>
      <c r="R99" s="402"/>
      <c r="S99" s="402"/>
      <c r="T99" s="402"/>
      <c r="U99" s="402"/>
      <c r="V99" s="402"/>
      <c r="W99" s="402"/>
      <c r="X99" s="402"/>
      <c r="Y99" s="402"/>
      <c r="Z99" s="402"/>
      <c r="AA99" s="402"/>
      <c r="AB99" s="402"/>
      <c r="AC99" s="402"/>
      <c r="AD99" s="402"/>
      <c r="AE99" s="402"/>
      <c r="AF99" s="402"/>
    </row>
    <row r="100" spans="1:32" x14ac:dyDescent="0.25">
      <c r="A100" s="376"/>
      <c r="B100" s="388" t="s">
        <v>43</v>
      </c>
      <c r="G100" s="321">
        <f>Sys_Repl_Rate!G135</f>
        <v>22.141202508162834</v>
      </c>
      <c r="H100" s="321">
        <f>Sys_Repl_Rate!H135</f>
        <v>22.141202508162834</v>
      </c>
      <c r="I100" s="321">
        <f>Sys_Repl_Rate!I135</f>
        <v>22.141202508162834</v>
      </c>
      <c r="J100" s="321">
        <f>Sys_Repl_Rate!J135</f>
        <v>22.141202508162834</v>
      </c>
      <c r="K100" s="321">
        <f>Sys_Repl_Rate!K135</f>
        <v>22.141202508162834</v>
      </c>
      <c r="L100" s="321">
        <f>Sys_Repl_Rate!L135</f>
        <v>22.141202508162834</v>
      </c>
      <c r="M100" s="321">
        <f>Sys_Repl_Rate!M135</f>
        <v>22.141202508162834</v>
      </c>
      <c r="N100" s="321">
        <f>Sys_Repl_Rate!N135</f>
        <v>22.141202508162834</v>
      </c>
      <c r="O100" s="321">
        <f>Sys_Repl_Rate!O135</f>
        <v>22.141202508162834</v>
      </c>
      <c r="P100" s="321">
        <f>Sys_Repl_Rate!P135</f>
        <v>22.141202508162834</v>
      </c>
      <c r="Q100" s="321">
        <f>Sys_Repl_Rate!Q135</f>
        <v>22.141202508162834</v>
      </c>
      <c r="R100" s="321">
        <f>Sys_Repl_Rate!R135</f>
        <v>22.141202508162834</v>
      </c>
      <c r="S100" s="321">
        <f>Sys_Repl_Rate!S135</f>
        <v>22.141202508162834</v>
      </c>
      <c r="T100" s="321">
        <f>Sys_Repl_Rate!T135</f>
        <v>22.141202508162834</v>
      </c>
      <c r="U100" s="321">
        <f>Sys_Repl_Rate!U135</f>
        <v>22.141202508162834</v>
      </c>
      <c r="V100" s="321">
        <f>Sys_Repl_Rate!V135</f>
        <v>22.141202508162834</v>
      </c>
      <c r="W100" s="321">
        <f>Sys_Repl_Rate!W135</f>
        <v>22.141202508162834</v>
      </c>
      <c r="X100" s="321">
        <f>Sys_Repl_Rate!X135</f>
        <v>22.141202508162834</v>
      </c>
      <c r="Y100" s="321">
        <f>Sys_Repl_Rate!Y135</f>
        <v>22.141202508162834</v>
      </c>
      <c r="Z100" s="321">
        <f>Sys_Repl_Rate!Z135</f>
        <v>22.141202508162834</v>
      </c>
      <c r="AA100" s="321">
        <f>Sys_Repl_Rate!AA135</f>
        <v>22.141202508162834</v>
      </c>
      <c r="AB100" s="321">
        <f>Sys_Repl_Rate!AB135</f>
        <v>22.141202508162834</v>
      </c>
      <c r="AC100" s="321">
        <f>Sys_Repl_Rate!AC135</f>
        <v>22.141202508162834</v>
      </c>
      <c r="AD100" s="321">
        <f>Sys_Repl_Rate!AD135</f>
        <v>22.141202508162834</v>
      </c>
      <c r="AE100" s="321">
        <f>Sys_Repl_Rate!AE135</f>
        <v>22.141202508162834</v>
      </c>
      <c r="AF100" s="321">
        <f>Sys_Repl_Rate!AF135</f>
        <v>22.141202508162834</v>
      </c>
    </row>
    <row r="101" spans="1:32" x14ac:dyDescent="0.25">
      <c r="A101" s="376"/>
      <c r="B101" s="388" t="s">
        <v>44</v>
      </c>
      <c r="G101" s="321">
        <f>Sys_Repl_Rate!G136</f>
        <v>19.927082257346552</v>
      </c>
      <c r="H101" s="321">
        <f>Sys_Repl_Rate!H136</f>
        <v>20.076535374276641</v>
      </c>
      <c r="I101" s="321">
        <f>Sys_Repl_Rate!I136</f>
        <v>20.225988491206728</v>
      </c>
      <c r="J101" s="321">
        <f>Sys_Repl_Rate!J136</f>
        <v>20.375441608136818</v>
      </c>
      <c r="K101" s="321">
        <f>Sys_Repl_Rate!K136</f>
        <v>20.524894725066972</v>
      </c>
      <c r="L101" s="321">
        <f>Sys_Repl_Rate!L136</f>
        <v>20.674347841997058</v>
      </c>
      <c r="M101" s="321">
        <f>Sys_Repl_Rate!M136</f>
        <v>20.823800958927151</v>
      </c>
      <c r="N101" s="321">
        <f>Sys_Repl_Rate!N136</f>
        <v>20.973254075857238</v>
      </c>
      <c r="O101" s="321">
        <f>Sys_Repl_Rate!O136</f>
        <v>21.122707192787328</v>
      </c>
      <c r="P101" s="321">
        <f>Sys_Repl_Rate!P136</f>
        <v>21.272160309717414</v>
      </c>
      <c r="Q101" s="321">
        <f>Sys_Repl_Rate!Q136</f>
        <v>21.421613426647568</v>
      </c>
      <c r="R101" s="321">
        <f>Sys_Repl_Rate!R136</f>
        <v>21.571066543577658</v>
      </c>
      <c r="S101" s="321">
        <f>Sys_Repl_Rate!S136</f>
        <v>21.720519660507744</v>
      </c>
      <c r="T101" s="321">
        <f>Sys_Repl_Rate!T136</f>
        <v>21.869972777437834</v>
      </c>
      <c r="U101" s="321">
        <f>Sys_Repl_Rate!U136</f>
        <v>22.019425894367924</v>
      </c>
      <c r="V101" s="321">
        <f>Sys_Repl_Rate!V136</f>
        <v>22.168879011298014</v>
      </c>
      <c r="W101" s="321">
        <f>Sys_Repl_Rate!W136</f>
        <v>22.3183321282281</v>
      </c>
      <c r="X101" s="321">
        <f>Sys_Repl_Rate!X136</f>
        <v>22.467785245158254</v>
      </c>
      <c r="Y101" s="321">
        <f>Sys_Repl_Rate!Y136</f>
        <v>22.617238362088344</v>
      </c>
      <c r="Z101" s="321">
        <f>Sys_Repl_Rate!Z136</f>
        <v>22.76669147901843</v>
      </c>
      <c r="AA101" s="321">
        <f>Sys_Repl_Rate!AA136</f>
        <v>22.91614459594852</v>
      </c>
      <c r="AB101" s="321">
        <f>Sys_Repl_Rate!AB136</f>
        <v>23.06559771287861</v>
      </c>
      <c r="AC101" s="321">
        <f>Sys_Repl_Rate!AC136</f>
        <v>23.2150508298087</v>
      </c>
      <c r="AD101" s="321">
        <f>Sys_Repl_Rate!AD136</f>
        <v>23.36450394673885</v>
      </c>
      <c r="AE101" s="321">
        <f>Sys_Repl_Rate!AE136</f>
        <v>23.513957063668936</v>
      </c>
      <c r="AF101" s="321">
        <f>Sys_Repl_Rate!AF136</f>
        <v>23.66341018059903</v>
      </c>
    </row>
    <row r="102" spans="1:32" x14ac:dyDescent="0.25">
      <c r="A102" s="376"/>
      <c r="B102" s="388" t="s">
        <v>45</v>
      </c>
      <c r="G102" s="321">
        <f>Sys_Repl_Rate!G137</f>
        <v>30.997683511427969</v>
      </c>
      <c r="H102" s="321">
        <f>Sys_Repl_Rate!H137</f>
        <v>31.075177720206529</v>
      </c>
      <c r="I102" s="321">
        <f>Sys_Repl_Rate!I137</f>
        <v>31.152671928985093</v>
      </c>
      <c r="J102" s="321">
        <f>Sys_Repl_Rate!J137</f>
        <v>31.230166137763685</v>
      </c>
      <c r="K102" s="321">
        <f>Sys_Repl_Rate!K137</f>
        <v>31.307660346542249</v>
      </c>
      <c r="L102" s="321">
        <f>Sys_Repl_Rate!L137</f>
        <v>31.38515455532081</v>
      </c>
      <c r="M102" s="321">
        <f>Sys_Repl_Rate!M137</f>
        <v>31.462648764099377</v>
      </c>
      <c r="N102" s="321">
        <f>Sys_Repl_Rate!N137</f>
        <v>31.540142972877966</v>
      </c>
      <c r="O102" s="321">
        <f>Sys_Repl_Rate!O137</f>
        <v>31.61763718165653</v>
      </c>
      <c r="P102" s="321">
        <f>Sys_Repl_Rate!P137</f>
        <v>31.695131390435094</v>
      </c>
      <c r="Q102" s="321">
        <f>Sys_Repl_Rate!Q137</f>
        <v>31.772625599213654</v>
      </c>
      <c r="R102" s="321">
        <f>Sys_Repl_Rate!R137</f>
        <v>31.85011980799225</v>
      </c>
      <c r="S102" s="321">
        <f>Sys_Repl_Rate!S137</f>
        <v>31.927614016770811</v>
      </c>
      <c r="T102" s="321">
        <f>Sys_Repl_Rate!T137</f>
        <v>32.005108225549371</v>
      </c>
      <c r="U102" s="321">
        <f>Sys_Repl_Rate!U137</f>
        <v>32.082602434327931</v>
      </c>
      <c r="V102" s="321">
        <f>Sys_Repl_Rate!V137</f>
        <v>32.160096643106499</v>
      </c>
      <c r="W102" s="321">
        <f>Sys_Repl_Rate!W137</f>
        <v>32.237590851885088</v>
      </c>
      <c r="X102" s="321">
        <f>Sys_Repl_Rate!X137</f>
        <v>32.315085060663655</v>
      </c>
      <c r="Y102" s="321">
        <f>Sys_Repl_Rate!Y137</f>
        <v>32.392579269442216</v>
      </c>
      <c r="Z102" s="321">
        <f>Sys_Repl_Rate!Z137</f>
        <v>32.470073478220783</v>
      </c>
      <c r="AA102" s="321">
        <f>Sys_Repl_Rate!AA137</f>
        <v>32.547567686999372</v>
      </c>
      <c r="AB102" s="321">
        <f>Sys_Repl_Rate!AB137</f>
        <v>32.625061895777939</v>
      </c>
      <c r="AC102" s="321">
        <f>Sys_Repl_Rate!AC137</f>
        <v>32.7025561045565</v>
      </c>
      <c r="AD102" s="321">
        <f>Sys_Repl_Rate!AD137</f>
        <v>32.78005031333506</v>
      </c>
      <c r="AE102" s="321">
        <f>Sys_Repl_Rate!AE137</f>
        <v>32.857544522113656</v>
      </c>
      <c r="AF102" s="321">
        <f>Sys_Repl_Rate!AF137</f>
        <v>32.935038730892217</v>
      </c>
    </row>
    <row r="103" spans="1:32" x14ac:dyDescent="0.25">
      <c r="A103" s="376"/>
      <c r="B103" s="388" t="s">
        <v>46</v>
      </c>
      <c r="G103" s="321">
        <f>Sys_Repl_Rate!G138</f>
        <v>27.676503135203543</v>
      </c>
      <c r="H103" s="321">
        <f>Sys_Repl_Rate!H138</f>
        <v>27.884076908717571</v>
      </c>
      <c r="I103" s="321">
        <f>Sys_Repl_Rate!I138</f>
        <v>28.091650682231595</v>
      </c>
      <c r="J103" s="321">
        <f>Sys_Repl_Rate!J138</f>
        <v>28.299224455745623</v>
      </c>
      <c r="K103" s="321">
        <f>Sys_Repl_Rate!K138</f>
        <v>28.506798229259648</v>
      </c>
      <c r="L103" s="321">
        <f>Sys_Repl_Rate!L138</f>
        <v>28.714372002773676</v>
      </c>
      <c r="M103" s="321">
        <f>Sys_Repl_Rate!M138</f>
        <v>28.921945776287703</v>
      </c>
      <c r="N103" s="321">
        <f>Sys_Repl_Rate!N138</f>
        <v>29.129519549801728</v>
      </c>
      <c r="O103" s="321">
        <f>Sys_Repl_Rate!O138</f>
        <v>29.337093323315756</v>
      </c>
      <c r="P103" s="321">
        <f>Sys_Repl_Rate!P138</f>
        <v>29.544667096829784</v>
      </c>
      <c r="Q103" s="321">
        <f>Sys_Repl_Rate!Q138</f>
        <v>29.752240870343808</v>
      </c>
      <c r="R103" s="321">
        <f>Sys_Repl_Rate!R138</f>
        <v>29.959814643857836</v>
      </c>
      <c r="S103" s="321">
        <f>Sys_Repl_Rate!S138</f>
        <v>30.16738841737186</v>
      </c>
      <c r="T103" s="321">
        <f>Sys_Repl_Rate!T138</f>
        <v>30.374962190885888</v>
      </c>
      <c r="U103" s="321">
        <f>Sys_Repl_Rate!U138</f>
        <v>30.582535964399916</v>
      </c>
      <c r="V103" s="321">
        <f>Sys_Repl_Rate!V138</f>
        <v>30.790109737913941</v>
      </c>
      <c r="W103" s="321">
        <f>Sys_Repl_Rate!W138</f>
        <v>30.997683511427969</v>
      </c>
      <c r="X103" s="321">
        <f>Sys_Repl_Rate!X138</f>
        <v>31.205257284941993</v>
      </c>
      <c r="Y103" s="321">
        <f>Sys_Repl_Rate!Y138</f>
        <v>31.412831058456021</v>
      </c>
      <c r="Z103" s="321">
        <f>Sys_Repl_Rate!Z138</f>
        <v>31.620404831970049</v>
      </c>
      <c r="AA103" s="321">
        <f>Sys_Repl_Rate!AA138</f>
        <v>31.827978605484073</v>
      </c>
      <c r="AB103" s="321">
        <f>Sys_Repl_Rate!AB138</f>
        <v>32.035552378998098</v>
      </c>
      <c r="AC103" s="321">
        <f>Sys_Repl_Rate!AC138</f>
        <v>32.243126152512126</v>
      </c>
      <c r="AD103" s="321">
        <f>Sys_Repl_Rate!AD138</f>
        <v>32.450699926026154</v>
      </c>
      <c r="AE103" s="321">
        <f>Sys_Repl_Rate!AE138</f>
        <v>32.658273699540182</v>
      </c>
      <c r="AF103" s="321">
        <f>Sys_Repl_Rate!AF138</f>
        <v>32.86584747305421</v>
      </c>
    </row>
    <row r="104" spans="1:32" x14ac:dyDescent="0.25">
      <c r="A104" s="376"/>
      <c r="B104" s="376" t="s">
        <v>29</v>
      </c>
      <c r="G104" s="321">
        <f>Sys_Repl_Rate!G139</f>
        <v>27.676503135203543</v>
      </c>
      <c r="H104" s="321">
        <f>Sys_Repl_Rate!H139</f>
        <v>36.527501049037809</v>
      </c>
      <c r="I104" s="321">
        <f>Sys_Repl_Rate!I139</f>
        <v>40.486445797418298</v>
      </c>
      <c r="J104" s="321">
        <f>Sys_Repl_Rate!J139</f>
        <v>43.874461788042801</v>
      </c>
      <c r="K104" s="321">
        <f>Sys_Repl_Rate!K139</f>
        <v>46.656220957655989</v>
      </c>
      <c r="L104" s="321">
        <f>Sys_Repl_Rate!L139</f>
        <v>48.863549123613268</v>
      </c>
      <c r="M104" s="321">
        <f>Sys_Repl_Rate!M139</f>
        <v>50.568092625497272</v>
      </c>
      <c r="N104" s="321">
        <f>Sys_Repl_Rate!N139</f>
        <v>51.85694805546013</v>
      </c>
      <c r="O104" s="321">
        <f>Sys_Repl_Rate!O139</f>
        <v>52.816056635348296</v>
      </c>
      <c r="P104" s="321">
        <f>Sys_Repl_Rate!P139</f>
        <v>53.521337253343312</v>
      </c>
      <c r="Q104" s="321">
        <f>Sys_Repl_Rate!Q139</f>
        <v>54.035438703330705</v>
      </c>
      <c r="R104" s="321">
        <f>Sys_Repl_Rate!R139</f>
        <v>54.407793676280903</v>
      </c>
      <c r="S104" s="321">
        <f>Sys_Repl_Rate!S139</f>
        <v>54.676236165916031</v>
      </c>
      <c r="T104" s="321">
        <f>Sys_Repl_Rate!T139</f>
        <v>54.869118430446882</v>
      </c>
      <c r="U104" s="321">
        <f>Sys_Repl_Rate!U139</f>
        <v>55.007375957386422</v>
      </c>
      <c r="V104" s="321">
        <f>Sys_Repl_Rate!V139</f>
        <v>55.106307842919115</v>
      </c>
      <c r="W104" s="321">
        <f>Sys_Repl_Rate!W139</f>
        <v>55.177012449624726</v>
      </c>
      <c r="X104" s="321">
        <f>Sys_Repl_Rate!X139</f>
        <v>55.227499028686502</v>
      </c>
      <c r="Y104" s="321">
        <f>Sys_Repl_Rate!Y139</f>
        <v>55.263526229938186</v>
      </c>
      <c r="Z104" s="321">
        <f>Sys_Repl_Rate!Z139</f>
        <v>55.289223667021936</v>
      </c>
      <c r="AA104" s="321">
        <f>Sys_Repl_Rate!AA139</f>
        <v>55.307547224218851</v>
      </c>
      <c r="AB104" s="321">
        <f>Sys_Repl_Rate!AB139</f>
        <v>55.32060984821409</v>
      </c>
      <c r="AC104" s="321">
        <f>Sys_Repl_Rate!AC139</f>
        <v>55.329920503418499</v>
      </c>
      <c r="AD104" s="321">
        <f>Sys_Repl_Rate!AD139</f>
        <v>55.336556094008564</v>
      </c>
      <c r="AE104" s="321">
        <f>Sys_Repl_Rate!AE139</f>
        <v>55.341284806882001</v>
      </c>
      <c r="AF104" s="321">
        <f>Sys_Repl_Rate!AF139</f>
        <v>55.344654424871941</v>
      </c>
    </row>
    <row r="105" spans="1:32" x14ac:dyDescent="0.25">
      <c r="A105" s="376"/>
      <c r="B105" s="376"/>
    </row>
    <row r="106" spans="1:32" s="202" customFormat="1" ht="12.75" x14ac:dyDescent="0.2">
      <c r="A106" s="402" t="s">
        <v>47</v>
      </c>
      <c r="B106" s="402"/>
      <c r="C106" s="402"/>
      <c r="D106" s="402"/>
      <c r="E106" s="402"/>
      <c r="F106" s="402"/>
      <c r="G106" s="402"/>
      <c r="H106" s="402"/>
      <c r="I106" s="402"/>
      <c r="J106" s="402"/>
      <c r="K106" s="402"/>
      <c r="L106" s="402"/>
      <c r="M106" s="402"/>
      <c r="N106" s="402"/>
      <c r="O106" s="402"/>
      <c r="P106" s="402"/>
      <c r="Q106" s="402"/>
      <c r="R106" s="402"/>
      <c r="S106" s="402"/>
      <c r="T106" s="402"/>
      <c r="U106" s="402"/>
      <c r="V106" s="402"/>
      <c r="W106" s="402"/>
      <c r="X106" s="402"/>
      <c r="Y106" s="402"/>
      <c r="Z106" s="402"/>
      <c r="AA106" s="402"/>
      <c r="AB106" s="402"/>
      <c r="AC106" s="402"/>
      <c r="AD106" s="402"/>
      <c r="AE106" s="402"/>
      <c r="AF106" s="402"/>
    </row>
    <row r="107" spans="1:32" x14ac:dyDescent="0.25">
      <c r="A107" s="376"/>
      <c r="B107" s="376" t="s">
        <v>48</v>
      </c>
      <c r="G107" s="321">
        <f>Sys_Repl_Rate!G142</f>
        <v>1.4824636780330247</v>
      </c>
      <c r="H107" s="321">
        <f>Sys_Repl_Rate!H142</f>
        <v>1.4898759964231882</v>
      </c>
      <c r="I107" s="321">
        <f>Sys_Repl_Rate!I142</f>
        <v>1.4972883148133547</v>
      </c>
      <c r="J107" s="321">
        <f>Sys_Repl_Rate!J142</f>
        <v>1.5047006332035182</v>
      </c>
      <c r="K107" s="321">
        <f>Sys_Repl_Rate!K142</f>
        <v>1.5121129515936846</v>
      </c>
      <c r="L107" s="321">
        <f>Sys_Repl_Rate!L142</f>
        <v>1.5195252699838511</v>
      </c>
      <c r="M107" s="321">
        <f>Sys_Repl_Rate!M142</f>
        <v>1.5269375883740144</v>
      </c>
      <c r="N107" s="321">
        <f>Sys_Repl_Rate!N142</f>
        <v>1.534349906764181</v>
      </c>
      <c r="O107" s="321">
        <f>Sys_Repl_Rate!O142</f>
        <v>1.5417622251543444</v>
      </c>
      <c r="P107" s="321">
        <f>Sys_Repl_Rate!P142</f>
        <v>1.5491745435445108</v>
      </c>
      <c r="Q107" s="321">
        <f>Sys_Repl_Rate!Q142</f>
        <v>1.5565868619346743</v>
      </c>
      <c r="R107" s="321">
        <f>Sys_Repl_Rate!R142</f>
        <v>1.5639991803248408</v>
      </c>
      <c r="S107" s="321">
        <f>Sys_Repl_Rate!S142</f>
        <v>1.5714114987150043</v>
      </c>
      <c r="T107" s="321">
        <f>Sys_Repl_Rate!T142</f>
        <v>1.5788238171051707</v>
      </c>
      <c r="U107" s="321">
        <f>Sys_Repl_Rate!U142</f>
        <v>1.5862361354953367</v>
      </c>
      <c r="V107" s="321">
        <f>Sys_Repl_Rate!V142</f>
        <v>1.5936484538855005</v>
      </c>
      <c r="W107" s="321">
        <f>Sys_Repl_Rate!W142</f>
        <v>1.6010607722756667</v>
      </c>
      <c r="X107" s="321">
        <f>Sys_Repl_Rate!X142</f>
        <v>1.6084730906658304</v>
      </c>
      <c r="Y107" s="321">
        <f>Sys_Repl_Rate!Y142</f>
        <v>1.6158854090559966</v>
      </c>
      <c r="Z107" s="321">
        <f>Sys_Repl_Rate!Z142</f>
        <v>1.6232977274461604</v>
      </c>
      <c r="AA107" s="321">
        <f>Sys_Repl_Rate!AA142</f>
        <v>1.6307100458363266</v>
      </c>
      <c r="AB107" s="321">
        <f>Sys_Repl_Rate!AB142</f>
        <v>1.6381223642264904</v>
      </c>
      <c r="AC107" s="321">
        <f>Sys_Repl_Rate!AC142</f>
        <v>1.6455346826166568</v>
      </c>
      <c r="AD107" s="321">
        <f>Sys_Repl_Rate!AD142</f>
        <v>1.652947001006823</v>
      </c>
      <c r="AE107" s="321">
        <f>Sys_Repl_Rate!AE142</f>
        <v>1.6603593193969868</v>
      </c>
      <c r="AF107" s="321">
        <f>Sys_Repl_Rate!AF142</f>
        <v>1.6677716377871528</v>
      </c>
    </row>
    <row r="108" spans="1:32" x14ac:dyDescent="0.25">
      <c r="A108" s="376"/>
      <c r="B108" s="388" t="s">
        <v>50</v>
      </c>
      <c r="G108" s="321">
        <f>Sys_Repl_Rate!G143</f>
        <v>5.9298547121320988</v>
      </c>
      <c r="H108" s="321">
        <f>Sys_Repl_Rate!H143</f>
        <v>5.959503985692753</v>
      </c>
      <c r="I108" s="321">
        <f>Sys_Repl_Rate!I143</f>
        <v>5.9891532592534187</v>
      </c>
      <c r="J108" s="321">
        <f>Sys_Repl_Rate!J143</f>
        <v>6.0188025328140728</v>
      </c>
      <c r="K108" s="321">
        <f>Sys_Repl_Rate!K143</f>
        <v>6.0484518063747386</v>
      </c>
      <c r="L108" s="321">
        <f>Sys_Repl_Rate!L143</f>
        <v>6.0781010799354043</v>
      </c>
      <c r="M108" s="321">
        <f>Sys_Repl_Rate!M143</f>
        <v>6.1077503534960575</v>
      </c>
      <c r="N108" s="321">
        <f>Sys_Repl_Rate!N143</f>
        <v>6.1373996270567241</v>
      </c>
      <c r="O108" s="321">
        <f>Sys_Repl_Rate!O143</f>
        <v>6.1670489006173774</v>
      </c>
      <c r="P108" s="321">
        <f>Sys_Repl_Rate!P143</f>
        <v>6.1966981741780431</v>
      </c>
      <c r="Q108" s="321">
        <f>Sys_Repl_Rate!Q143</f>
        <v>6.2263474477386973</v>
      </c>
      <c r="R108" s="321">
        <f>Sys_Repl_Rate!R143</f>
        <v>6.255996721299363</v>
      </c>
      <c r="S108" s="321">
        <f>Sys_Repl_Rate!S143</f>
        <v>6.2856459948600172</v>
      </c>
      <c r="T108" s="321">
        <f>Sys_Repl_Rate!T143</f>
        <v>6.3152952684206829</v>
      </c>
      <c r="U108" s="321">
        <f>Sys_Repl_Rate!U143</f>
        <v>6.3449445419813468</v>
      </c>
      <c r="V108" s="321">
        <f>Sys_Repl_Rate!V143</f>
        <v>6.3745938155420019</v>
      </c>
      <c r="W108" s="321">
        <f>Sys_Repl_Rate!W143</f>
        <v>6.4042430891026667</v>
      </c>
      <c r="X108" s="321">
        <f>Sys_Repl_Rate!X143</f>
        <v>6.4338923626633218</v>
      </c>
      <c r="Y108" s="321">
        <f>Sys_Repl_Rate!Y143</f>
        <v>6.4635416362239866</v>
      </c>
      <c r="Z108" s="321">
        <f>Sys_Repl_Rate!Z143</f>
        <v>6.4931909097846416</v>
      </c>
      <c r="AA108" s="321">
        <f>Sys_Repl_Rate!AA143</f>
        <v>6.5228401833453065</v>
      </c>
      <c r="AB108" s="321">
        <f>Sys_Repl_Rate!AB143</f>
        <v>6.5524894569059615</v>
      </c>
      <c r="AC108" s="321">
        <f>Sys_Repl_Rate!AC143</f>
        <v>6.5821387304666272</v>
      </c>
      <c r="AD108" s="321">
        <f>Sys_Repl_Rate!AD143</f>
        <v>6.6117880040272921</v>
      </c>
      <c r="AE108" s="321">
        <f>Sys_Repl_Rate!AE143</f>
        <v>6.6414372775879471</v>
      </c>
      <c r="AF108" s="321">
        <f>Sys_Repl_Rate!AF143</f>
        <v>6.671086551148611</v>
      </c>
    </row>
    <row r="109" spans="1:32" x14ac:dyDescent="0.25">
      <c r="A109" s="376"/>
      <c r="B109" s="376" t="s">
        <v>51</v>
      </c>
      <c r="G109" s="321">
        <f>Sys_Repl_Rate!G144</f>
        <v>17.789564136396297</v>
      </c>
      <c r="H109" s="321">
        <f>Sys_Repl_Rate!H144</f>
        <v>17.878511957078281</v>
      </c>
      <c r="I109" s="321">
        <f>Sys_Repl_Rate!I144</f>
        <v>17.967459777760265</v>
      </c>
      <c r="J109" s="321">
        <f>Sys_Repl_Rate!J144</f>
        <v>18.056407598442252</v>
      </c>
      <c r="K109" s="321">
        <f>Sys_Repl_Rate!K144</f>
        <v>18.145355419124215</v>
      </c>
      <c r="L109" s="321">
        <f>Sys_Repl_Rate!L144</f>
        <v>18.234303239806199</v>
      </c>
      <c r="M109" s="321">
        <f>Sys_Repl_Rate!M144</f>
        <v>18.323251060488186</v>
      </c>
      <c r="N109" s="321">
        <f>Sys_Repl_Rate!N144</f>
        <v>18.41219888117017</v>
      </c>
      <c r="O109" s="321">
        <f>Sys_Repl_Rate!O144</f>
        <v>18.501146701852154</v>
      </c>
      <c r="P109" s="321">
        <f>Sys_Repl_Rate!P144</f>
        <v>18.590094522534137</v>
      </c>
      <c r="Q109" s="321">
        <f>Sys_Repl_Rate!Q144</f>
        <v>18.679042343216103</v>
      </c>
      <c r="R109" s="321">
        <f>Sys_Repl_Rate!R144</f>
        <v>18.767990163898087</v>
      </c>
      <c r="S109" s="321">
        <f>Sys_Repl_Rate!S144</f>
        <v>18.856937984580071</v>
      </c>
      <c r="T109" s="321">
        <f>Sys_Repl_Rate!T144</f>
        <v>18.945885805262058</v>
      </c>
      <c r="U109" s="321">
        <f>Sys_Repl_Rate!U144</f>
        <v>19.034833625944042</v>
      </c>
      <c r="V109" s="321">
        <f>Sys_Repl_Rate!V144</f>
        <v>19.123781446626026</v>
      </c>
      <c r="W109" s="321">
        <f>Sys_Repl_Rate!W144</f>
        <v>19.21272926730801</v>
      </c>
      <c r="X109" s="321">
        <f>Sys_Repl_Rate!X144</f>
        <v>19.301677087989976</v>
      </c>
      <c r="Y109" s="321">
        <f>Sys_Repl_Rate!Y144</f>
        <v>19.39062490867196</v>
      </c>
      <c r="Z109" s="321">
        <f>Sys_Repl_Rate!Z144</f>
        <v>19.479572729353944</v>
      </c>
      <c r="AA109" s="321">
        <f>Sys_Repl_Rate!AA144</f>
        <v>19.568520550035931</v>
      </c>
      <c r="AB109" s="321">
        <f>Sys_Repl_Rate!AB144</f>
        <v>19.657468370717915</v>
      </c>
      <c r="AC109" s="321">
        <f>Sys_Repl_Rate!AC144</f>
        <v>19.746416191399899</v>
      </c>
      <c r="AD109" s="321">
        <f>Sys_Repl_Rate!AD144</f>
        <v>19.835364012081865</v>
      </c>
      <c r="AE109" s="321">
        <f>Sys_Repl_Rate!AE144</f>
        <v>19.924311832763848</v>
      </c>
      <c r="AF109" s="321">
        <f>Sys_Repl_Rate!AF144</f>
        <v>20.013259653445832</v>
      </c>
    </row>
    <row r="110" spans="1:32" x14ac:dyDescent="0.25">
      <c r="A110" s="376"/>
      <c r="B110" s="376" t="s">
        <v>52</v>
      </c>
      <c r="G110" s="321">
        <f>Sys_Repl_Rate!G145</f>
        <v>29.649273560660493</v>
      </c>
      <c r="H110" s="321">
        <f>Sys_Repl_Rate!H145</f>
        <v>29.797519928463828</v>
      </c>
      <c r="I110" s="321">
        <f>Sys_Repl_Rate!I145</f>
        <v>29.945766296267127</v>
      </c>
      <c r="J110" s="321">
        <f>Sys_Repl_Rate!J145</f>
        <v>30.094012664070419</v>
      </c>
      <c r="K110" s="321">
        <f>Sys_Repl_Rate!K145</f>
        <v>30.242259031873715</v>
      </c>
      <c r="L110" s="321">
        <f>Sys_Repl_Rate!L145</f>
        <v>30.390505399677007</v>
      </c>
      <c r="M110" s="321">
        <f>Sys_Repl_Rate!M145</f>
        <v>30.538751767480342</v>
      </c>
      <c r="N110" s="321">
        <f>Sys_Repl_Rate!N145</f>
        <v>30.686998135283638</v>
      </c>
      <c r="O110" s="321">
        <f>Sys_Repl_Rate!O145</f>
        <v>30.83524450308693</v>
      </c>
      <c r="P110" s="321">
        <f>Sys_Repl_Rate!P145</f>
        <v>30.983490870890229</v>
      </c>
      <c r="Q110" s="321">
        <f>Sys_Repl_Rate!Q145</f>
        <v>31.131737238693521</v>
      </c>
      <c r="R110" s="321">
        <f>Sys_Repl_Rate!R145</f>
        <v>31.279983606496856</v>
      </c>
      <c r="S110" s="321">
        <f>Sys_Repl_Rate!S145</f>
        <v>31.428229974300152</v>
      </c>
      <c r="T110" s="321">
        <f>Sys_Repl_Rate!T145</f>
        <v>31.576476342103444</v>
      </c>
      <c r="U110" s="321">
        <f>Sys_Repl_Rate!U145</f>
        <v>31.724722709906739</v>
      </c>
      <c r="V110" s="321">
        <f>Sys_Repl_Rate!V145</f>
        <v>31.872969077710032</v>
      </c>
      <c r="W110" s="321">
        <f>Sys_Repl_Rate!W145</f>
        <v>32.02121544551337</v>
      </c>
      <c r="X110" s="321">
        <f>Sys_Repl_Rate!X145</f>
        <v>32.169461813316666</v>
      </c>
      <c r="Y110" s="321">
        <f>Sys_Repl_Rate!Y145</f>
        <v>32.317708181119954</v>
      </c>
      <c r="Z110" s="321">
        <f>Sys_Repl_Rate!Z145</f>
        <v>32.46595454892325</v>
      </c>
      <c r="AA110" s="321">
        <f>Sys_Repl_Rate!AA145</f>
        <v>32.614200916726546</v>
      </c>
      <c r="AB110" s="321">
        <f>Sys_Repl_Rate!AB145</f>
        <v>32.762447284529877</v>
      </c>
      <c r="AC110" s="321">
        <f>Sys_Repl_Rate!AC145</f>
        <v>32.910693652333173</v>
      </c>
      <c r="AD110" s="321">
        <f>Sys_Repl_Rate!AD145</f>
        <v>33.058940020136468</v>
      </c>
      <c r="AE110" s="321">
        <f>Sys_Repl_Rate!AE145</f>
        <v>33.207186387939764</v>
      </c>
      <c r="AF110" s="321">
        <f>Sys_Repl_Rate!AF145</f>
        <v>33.35543275574306</v>
      </c>
    </row>
    <row r="111" spans="1:32" x14ac:dyDescent="0.25">
      <c r="A111" s="376"/>
      <c r="B111" s="388" t="s">
        <v>29</v>
      </c>
      <c r="G111" s="321">
        <f>Sys_Repl_Rate!G146</f>
        <v>37.061591950825616</v>
      </c>
      <c r="H111" s="321">
        <f>Sys_Repl_Rate!H146</f>
        <v>48.913958972687169</v>
      </c>
      <c r="I111" s="321">
        <f>Sys_Repl_Rate!I146</f>
        <v>54.215379968814133</v>
      </c>
      <c r="J111" s="321">
        <f>Sys_Repl_Rate!J146</f>
        <v>58.752270541802844</v>
      </c>
      <c r="K111" s="321">
        <f>Sys_Repl_Rate!K146</f>
        <v>62.477322899249565</v>
      </c>
      <c r="L111" s="321">
        <f>Sys_Repl_Rate!L146</f>
        <v>65.433154977768808</v>
      </c>
      <c r="M111" s="321">
        <f>Sys_Repl_Rate!M146</f>
        <v>67.715708356013408</v>
      </c>
      <c r="N111" s="321">
        <f>Sys_Repl_Rate!N146</f>
        <v>69.441614038372947</v>
      </c>
      <c r="O111" s="321">
        <f>Sys_Repl_Rate!O146</f>
        <v>70.725955873419949</v>
      </c>
      <c r="P111" s="321">
        <f>Sys_Repl_Rate!P146</f>
        <v>71.670396807567784</v>
      </c>
      <c r="Q111" s="321">
        <f>Sys_Repl_Rate!Q146</f>
        <v>72.35882981038182</v>
      </c>
      <c r="R111" s="321">
        <f>Sys_Repl_Rate!R146</f>
        <v>72.857450174411412</v>
      </c>
      <c r="S111" s="321">
        <f>Sys_Repl_Rate!S146</f>
        <v>73.2169213823353</v>
      </c>
      <c r="T111" s="321">
        <f>Sys_Repl_Rate!T146</f>
        <v>73.475209929398915</v>
      </c>
      <c r="U111" s="321">
        <f>Sys_Repl_Rate!U146</f>
        <v>73.660350516796541</v>
      </c>
      <c r="V111" s="321">
        <f>Sys_Repl_Rate!V146</f>
        <v>73.792830156822831</v>
      </c>
      <c r="W111" s="321">
        <f>Sys_Repl_Rate!W146</f>
        <v>73.887510661435925</v>
      </c>
      <c r="X111" s="321">
        <f>Sys_Repl_Rate!X146</f>
        <v>73.95511721501822</v>
      </c>
      <c r="Y111" s="321">
        <f>Sys_Repl_Rate!Y146</f>
        <v>74.003361222774458</v>
      </c>
      <c r="Z111" s="321">
        <f>Sys_Repl_Rate!Z146</f>
        <v>74.037772648333799</v>
      </c>
      <c r="AA111" s="321">
        <f>Sys_Repl_Rate!AA146</f>
        <v>74.062309714906192</v>
      </c>
      <c r="AB111" s="321">
        <f>Sys_Repl_Rate!AB146</f>
        <v>74.079801868374915</v>
      </c>
      <c r="AC111" s="321">
        <f>Sys_Repl_Rate!AC146</f>
        <v>74.092269762252087</v>
      </c>
      <c r="AD111" s="321">
        <f>Sys_Repl_Rate!AD146</f>
        <v>74.101155478399107</v>
      </c>
      <c r="AE111" s="321">
        <f>Sys_Repl_Rate!AE146</f>
        <v>74.10748769551887</v>
      </c>
      <c r="AF111" s="321">
        <f>Sys_Repl_Rate!AF146</f>
        <v>74.111999949338042</v>
      </c>
    </row>
    <row r="112" spans="1:32" x14ac:dyDescent="0.25">
      <c r="A112" s="376"/>
      <c r="B112" s="388" t="s">
        <v>53</v>
      </c>
      <c r="G112" s="321">
        <f>Sys_Repl_Rate!G147</f>
        <v>59.298547121320986</v>
      </c>
      <c r="H112" s="321">
        <f>Sys_Repl_Rate!H147</f>
        <v>59.595039856927656</v>
      </c>
      <c r="I112" s="321">
        <f>Sys_Repl_Rate!I147</f>
        <v>59.891532592534254</v>
      </c>
      <c r="J112" s="321">
        <f>Sys_Repl_Rate!J147</f>
        <v>60.188025328140839</v>
      </c>
      <c r="K112" s="321">
        <f>Sys_Repl_Rate!K147</f>
        <v>60.48451806374743</v>
      </c>
      <c r="L112" s="321">
        <f>Sys_Repl_Rate!L147</f>
        <v>60.781010799354014</v>
      </c>
      <c r="M112" s="321">
        <f>Sys_Repl_Rate!M147</f>
        <v>61.077503534960684</v>
      </c>
      <c r="N112" s="321">
        <f>Sys_Repl_Rate!N147</f>
        <v>61.373996270567275</v>
      </c>
      <c r="O112" s="321">
        <f>Sys_Repl_Rate!O147</f>
        <v>61.67048900617386</v>
      </c>
      <c r="P112" s="321">
        <f>Sys_Repl_Rate!P147</f>
        <v>61.966981741780458</v>
      </c>
      <c r="Q112" s="321">
        <f>Sys_Repl_Rate!Q147</f>
        <v>62.263474477387042</v>
      </c>
      <c r="R112" s="321">
        <f>Sys_Repl_Rate!R147</f>
        <v>62.559967212993712</v>
      </c>
      <c r="S112" s="321">
        <f>Sys_Repl_Rate!S147</f>
        <v>62.856459948600303</v>
      </c>
      <c r="T112" s="321">
        <f>Sys_Repl_Rate!T147</f>
        <v>63.152952684206888</v>
      </c>
      <c r="U112" s="321">
        <f>Sys_Repl_Rate!U147</f>
        <v>63.449445419813479</v>
      </c>
      <c r="V112" s="321">
        <f>Sys_Repl_Rate!V147</f>
        <v>63.745938155420063</v>
      </c>
      <c r="W112" s="321">
        <f>Sys_Repl_Rate!W147</f>
        <v>64.04243089102674</v>
      </c>
      <c r="X112" s="321">
        <f>Sys_Repl_Rate!X147</f>
        <v>64.338923626633331</v>
      </c>
      <c r="Y112" s="321">
        <f>Sys_Repl_Rate!Y147</f>
        <v>64.635416362239908</v>
      </c>
      <c r="Z112" s="321">
        <f>Sys_Repl_Rate!Z147</f>
        <v>64.9319090978465</v>
      </c>
      <c r="AA112" s="321">
        <f>Sys_Repl_Rate!AA147</f>
        <v>65.228401833453091</v>
      </c>
      <c r="AB112" s="321">
        <f>Sys_Repl_Rate!AB147</f>
        <v>65.524894569059754</v>
      </c>
      <c r="AC112" s="321">
        <f>Sys_Repl_Rate!AC147</f>
        <v>65.821387304666345</v>
      </c>
      <c r="AD112" s="321">
        <f>Sys_Repl_Rate!AD147</f>
        <v>66.117880040272937</v>
      </c>
      <c r="AE112" s="321">
        <f>Sys_Repl_Rate!AE147</f>
        <v>66.414372775879528</v>
      </c>
      <c r="AF112" s="321">
        <f>Sys_Repl_Rate!AF147</f>
        <v>66.710865511486119</v>
      </c>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50"/>
  </sheetPr>
  <dimension ref="A1:AF183"/>
  <sheetViews>
    <sheetView topLeftCell="C1" zoomScale="59" zoomScaleNormal="59" workbookViewId="0">
      <selection activeCell="F37" sqref="F37"/>
    </sheetView>
  </sheetViews>
  <sheetFormatPr defaultRowHeight="15" x14ac:dyDescent="0.25"/>
  <cols>
    <col min="5" max="5" width="9.140625" customWidth="1"/>
  </cols>
  <sheetData>
    <row r="1" spans="1:32" ht="18" x14ac:dyDescent="0.4">
      <c r="A1" s="244" t="s">
        <v>168</v>
      </c>
      <c r="B1" s="242"/>
      <c r="C1" s="242"/>
      <c r="D1" s="242"/>
      <c r="F1" s="242"/>
      <c r="G1" s="242"/>
      <c r="H1" s="242"/>
      <c r="I1" s="242"/>
      <c r="J1" s="242"/>
      <c r="K1" s="242"/>
      <c r="L1" s="242"/>
      <c r="M1" s="242"/>
      <c r="N1" s="242"/>
      <c r="O1" s="242"/>
      <c r="P1" s="242"/>
      <c r="Q1" s="242"/>
      <c r="R1" s="242"/>
      <c r="S1" s="242"/>
      <c r="T1" s="242"/>
      <c r="U1" s="242"/>
      <c r="V1" s="242"/>
      <c r="W1" s="242"/>
      <c r="X1" s="242"/>
      <c r="Y1" s="242"/>
      <c r="Z1" s="242"/>
      <c r="AA1" s="242"/>
      <c r="AB1" s="242"/>
      <c r="AC1" s="242"/>
      <c r="AD1" s="242"/>
    </row>
    <row r="2" spans="1:32" ht="14.45" x14ac:dyDescent="0.35">
      <c r="A2" s="1040" t="s">
        <v>674</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row>
    <row r="3" spans="1:32" ht="14.45" x14ac:dyDescent="0.35">
      <c r="A3" s="242"/>
      <c r="B3" s="242"/>
      <c r="C3" s="242"/>
      <c r="D3" s="242"/>
      <c r="E3" s="242"/>
      <c r="F3" s="243"/>
      <c r="G3" s="243">
        <v>2010</v>
      </c>
      <c r="H3" s="243">
        <v>2011</v>
      </c>
      <c r="I3" s="243">
        <v>2012</v>
      </c>
      <c r="J3" s="243">
        <v>2013</v>
      </c>
      <c r="K3" s="243">
        <v>2014</v>
      </c>
      <c r="L3" s="243">
        <v>2015</v>
      </c>
      <c r="M3" s="243">
        <v>2016</v>
      </c>
      <c r="N3" s="243">
        <v>2017</v>
      </c>
      <c r="O3" s="243">
        <v>2018</v>
      </c>
      <c r="P3" s="243">
        <v>2019</v>
      </c>
      <c r="Q3" s="243">
        <v>2020</v>
      </c>
      <c r="R3" s="243">
        <v>2021</v>
      </c>
      <c r="S3" s="243">
        <v>2022</v>
      </c>
      <c r="T3" s="243">
        <v>2023</v>
      </c>
      <c r="U3" s="243">
        <v>2024</v>
      </c>
      <c r="V3" s="243">
        <v>2025</v>
      </c>
      <c r="W3" s="243">
        <v>2026</v>
      </c>
      <c r="X3" s="243">
        <v>2027</v>
      </c>
      <c r="Y3" s="243">
        <v>2028</v>
      </c>
      <c r="Z3" s="243">
        <v>2029</v>
      </c>
      <c r="AA3" s="243">
        <v>2030</v>
      </c>
      <c r="AB3" s="243">
        <v>2031</v>
      </c>
      <c r="AC3" s="243">
        <v>2032</v>
      </c>
      <c r="AD3" s="243">
        <v>2033</v>
      </c>
      <c r="AE3" s="243">
        <v>2034</v>
      </c>
      <c r="AF3" s="243">
        <v>2035</v>
      </c>
    </row>
    <row r="5" spans="1:32" ht="14.45" x14ac:dyDescent="0.35">
      <c r="A5" s="247" t="s">
        <v>169</v>
      </c>
      <c r="B5" s="248"/>
      <c r="C5" s="248"/>
      <c r="D5" s="248"/>
      <c r="E5" s="248"/>
      <c r="F5" s="248"/>
      <c r="G5" s="250" t="s">
        <v>170</v>
      </c>
      <c r="H5" s="248"/>
      <c r="I5" s="248"/>
      <c r="J5" s="248"/>
      <c r="K5" s="248"/>
      <c r="L5" s="248"/>
      <c r="M5" s="248"/>
      <c r="N5" s="248"/>
      <c r="O5" s="248"/>
      <c r="P5" s="248"/>
      <c r="Q5" s="248"/>
      <c r="R5" s="248"/>
      <c r="S5" s="248"/>
      <c r="T5" s="248"/>
      <c r="U5" s="248"/>
      <c r="V5" s="248"/>
      <c r="W5" s="248"/>
      <c r="X5" s="248"/>
      <c r="Y5" s="248"/>
      <c r="Z5" s="248"/>
      <c r="AA5" s="248"/>
      <c r="AB5" s="248"/>
      <c r="AC5" s="248"/>
      <c r="AD5" s="248"/>
      <c r="AE5" s="248"/>
      <c r="AF5" s="248"/>
    </row>
    <row r="6" spans="1:32" ht="14.45" x14ac:dyDescent="0.35">
      <c r="A6" s="246" t="s">
        <v>12</v>
      </c>
      <c r="B6" s="245"/>
    </row>
    <row r="7" spans="1:32" ht="14.45" x14ac:dyDescent="0.35">
      <c r="A7" s="245"/>
      <c r="B7" s="245" t="s">
        <v>20</v>
      </c>
    </row>
    <row r="8" spans="1:32" s="202" customFormat="1" ht="12.95" x14ac:dyDescent="0.3">
      <c r="A8" s="251" t="s">
        <v>21</v>
      </c>
      <c r="B8" s="251"/>
      <c r="C8" s="251"/>
      <c r="D8" s="251"/>
      <c r="E8" s="251"/>
      <c r="F8" s="251"/>
      <c r="G8" s="251"/>
      <c r="H8" s="251"/>
      <c r="I8" s="251"/>
      <c r="J8" s="251"/>
      <c r="K8" s="251"/>
      <c r="L8" s="251"/>
      <c r="M8" s="251"/>
      <c r="N8" s="251"/>
      <c r="O8" s="251"/>
      <c r="P8" s="251"/>
      <c r="Q8" s="251"/>
      <c r="R8" s="251"/>
      <c r="S8" s="251"/>
      <c r="T8" s="251"/>
      <c r="U8" s="251"/>
      <c r="V8" s="251"/>
      <c r="W8" s="251"/>
      <c r="X8" s="251"/>
      <c r="Y8" s="251"/>
      <c r="Z8" s="251"/>
      <c r="AA8" s="251"/>
      <c r="AB8" s="251"/>
      <c r="AC8" s="251"/>
      <c r="AD8" s="267"/>
      <c r="AE8" s="267"/>
      <c r="AF8" s="267"/>
    </row>
    <row r="9" spans="1:32" ht="14.45" x14ac:dyDescent="0.35">
      <c r="A9" s="245"/>
      <c r="B9" s="245" t="s">
        <v>22</v>
      </c>
      <c r="G9" s="201">
        <f t="array" ref="G9:AF39" ca="1">IF(ISNUMBER(G45:AF75),IF(G45:AF75&lt;&gt;0,1/G45:AF75,),"")</f>
        <v>0.48761502342085533</v>
      </c>
      <c r="H9" s="201">
        <f ca="1"/>
        <v>0.48761502342085533</v>
      </c>
      <c r="I9" s="201">
        <f ca="1"/>
        <v>0.48761502342085533</v>
      </c>
      <c r="J9" s="201">
        <f ca="1"/>
        <v>0.48761502342085533</v>
      </c>
      <c r="K9" s="201">
        <f ca="1"/>
        <v>0.48761502342085533</v>
      </c>
      <c r="L9" s="201">
        <f ca="1"/>
        <v>0.48761502342085533</v>
      </c>
      <c r="M9" s="201">
        <f ca="1"/>
        <v>0.48761502342085533</v>
      </c>
      <c r="N9" s="201">
        <f ca="1"/>
        <v>0.48761502342085533</v>
      </c>
      <c r="O9" s="201">
        <f ca="1"/>
        <v>0.48761502342085533</v>
      </c>
      <c r="P9" s="201">
        <f ca="1"/>
        <v>0.48761502342085533</v>
      </c>
      <c r="Q9" s="201">
        <f ca="1"/>
        <v>0.48761502342085533</v>
      </c>
      <c r="R9" s="201">
        <f ca="1"/>
        <v>0.48761502342085533</v>
      </c>
      <c r="S9" s="201">
        <f ca="1"/>
        <v>0.48761502342085533</v>
      </c>
      <c r="T9" s="201">
        <f ca="1"/>
        <v>0.48761502342085533</v>
      </c>
      <c r="U9" s="201">
        <f ca="1"/>
        <v>0.48761502342085533</v>
      </c>
      <c r="V9" s="201">
        <f ca="1"/>
        <v>0.48761502342085533</v>
      </c>
      <c r="W9" s="201">
        <f ca="1"/>
        <v>0.48761502342085533</v>
      </c>
      <c r="X9" s="201">
        <f ca="1"/>
        <v>0.48761502342085533</v>
      </c>
      <c r="Y9" s="201">
        <f ca="1"/>
        <v>0.48761502342085533</v>
      </c>
      <c r="Z9" s="201">
        <f ca="1"/>
        <v>0.48761502342085533</v>
      </c>
      <c r="AA9" s="201">
        <f ca="1"/>
        <v>0.48761502342085533</v>
      </c>
      <c r="AB9" s="201">
        <f ca="1"/>
        <v>0.48761502342085533</v>
      </c>
      <c r="AC9" s="201">
        <f ca="1"/>
        <v>0.48761502342085533</v>
      </c>
      <c r="AD9" s="201">
        <f ca="1"/>
        <v>0.48761502342085533</v>
      </c>
      <c r="AE9" s="201">
        <f ca="1"/>
        <v>0.48761502342085533</v>
      </c>
      <c r="AF9" s="201">
        <f ca="1"/>
        <v>0.48761502342085533</v>
      </c>
    </row>
    <row r="10" spans="1:32" ht="14.45" x14ac:dyDescent="0.35">
      <c r="A10" s="245"/>
      <c r="B10" s="245" t="s">
        <v>26</v>
      </c>
      <c r="G10" s="201">
        <f ca="1"/>
        <v>0.43885352107876985</v>
      </c>
      <c r="H10" s="201">
        <f ca="1"/>
        <v>0.4377591232705933</v>
      </c>
      <c r="I10" s="201">
        <f ca="1"/>
        <v>0.4366701702276316</v>
      </c>
      <c r="J10" s="201">
        <f ca="1"/>
        <v>0.43450843671165318</v>
      </c>
      <c r="K10" s="201">
        <f ca="1"/>
        <v>0.4323680010628273</v>
      </c>
      <c r="L10" s="201">
        <f ca="1"/>
        <v>0.4302485500772254</v>
      </c>
      <c r="M10" s="201">
        <f ca="1"/>
        <v>0.4281497766622146</v>
      </c>
      <c r="N10" s="201">
        <f ca="1"/>
        <v>0.42607137968812603</v>
      </c>
      <c r="O10" s="201">
        <f ca="1"/>
        <v>0.42401306384422199</v>
      </c>
      <c r="P10" s="201">
        <f ca="1"/>
        <v>0.42197453949881703</v>
      </c>
      <c r="Q10" s="201">
        <f ca="1"/>
        <v>0.41995552256341606</v>
      </c>
      <c r="R10" s="201">
        <f ca="1"/>
        <v>0.41795573436073319</v>
      </c>
      <c r="S10" s="201">
        <f ca="1"/>
        <v>0.41597490149646449</v>
      </c>
      <c r="T10" s="201">
        <f ca="1"/>
        <v>0.4140127557346886</v>
      </c>
      <c r="U10" s="201">
        <f ca="1"/>
        <v>0.41206903387677912</v>
      </c>
      <c r="V10" s="201">
        <f ca="1"/>
        <v>0.41014347764370995</v>
      </c>
      <c r="W10" s="201">
        <f ca="1"/>
        <v>0.40823583356164611</v>
      </c>
      <c r="X10" s="201">
        <f ca="1"/>
        <v>0.40634585285071267</v>
      </c>
      <c r="Y10" s="201">
        <f ca="1"/>
        <v>0.40447329131683851</v>
      </c>
      <c r="Z10" s="201">
        <f ca="1"/>
        <v>0.40261790924657792</v>
      </c>
      <c r="AA10" s="201">
        <f ca="1"/>
        <v>0.40077947130481262</v>
      </c>
      <c r="AB10" s="201">
        <f ca="1"/>
        <v>0.39895774643524523</v>
      </c>
      <c r="AC10" s="201">
        <f ca="1"/>
        <v>0.39715250776359245</v>
      </c>
      <c r="AD10" s="201">
        <f ca="1"/>
        <v>0.39536353250339618</v>
      </c>
      <c r="AE10" s="201">
        <f ca="1"/>
        <v>0.39359060186436756</v>
      </c>
      <c r="AF10" s="201">
        <f ca="1"/>
        <v>0.39183350096318736</v>
      </c>
    </row>
    <row r="11" spans="1:32" ht="14.45" x14ac:dyDescent="0.35">
      <c r="A11" s="245"/>
      <c r="B11" s="245" t="s">
        <v>27</v>
      </c>
      <c r="G11" s="201">
        <f ca="1"/>
        <v>6.3910706953218932E-2</v>
      </c>
      <c r="H11" s="201">
        <f ca="1"/>
        <v>6.3751328631639861E-2</v>
      </c>
      <c r="I11" s="201">
        <f ca="1"/>
        <v>6.3592743237033802E-2</v>
      </c>
      <c r="J11" s="201">
        <f ca="1"/>
        <v>6.3434944866718565E-2</v>
      </c>
      <c r="K11" s="201">
        <f ca="1"/>
        <v>6.3277927676454418E-2</v>
      </c>
      <c r="L11" s="201">
        <f ca="1"/>
        <v>6.3121685879722431E-2</v>
      </c>
      <c r="M11" s="201">
        <f ca="1"/>
        <v>6.296621374701375E-2</v>
      </c>
      <c r="N11" s="201">
        <f ca="1"/>
        <v>6.28115056051292E-2</v>
      </c>
      <c r="O11" s="201">
        <f ca="1"/>
        <v>6.2657555836489173E-2</v>
      </c>
      <c r="P11" s="201">
        <f ca="1"/>
        <v>6.250435887845375E-2</v>
      </c>
      <c r="Q11" s="201">
        <f ca="1"/>
        <v>6.2351909222652629E-2</v>
      </c>
      <c r="R11" s="201">
        <f ca="1"/>
        <v>6.2200201414325001E-2</v>
      </c>
      <c r="S11" s="201">
        <f ca="1"/>
        <v>6.2049230051668888E-2</v>
      </c>
      <c r="T11" s="201">
        <f ca="1"/>
        <v>6.1898989785199955E-2</v>
      </c>
      <c r="U11" s="201">
        <f ca="1"/>
        <v>6.1749475317119759E-2</v>
      </c>
      <c r="V11" s="201">
        <f ca="1"/>
        <v>6.1600681400692962E-2</v>
      </c>
      <c r="W11" s="201">
        <f ca="1"/>
        <v>6.1305234487500186E-2</v>
      </c>
      <c r="X11" s="201">
        <f ca="1"/>
        <v>6.1012608069898763E-2</v>
      </c>
      <c r="Y11" s="201">
        <f ca="1"/>
        <v>6.0722761950801854E-2</v>
      </c>
      <c r="Z11" s="201">
        <f ca="1"/>
        <v>6.0435656693351263E-2</v>
      </c>
      <c r="AA11" s="201">
        <f ca="1"/>
        <v>6.0151253603029593E-2</v>
      </c>
      <c r="AB11" s="201">
        <f ca="1"/>
        <v>6.0010053477200884E-2</v>
      </c>
      <c r="AC11" s="201">
        <f ca="1"/>
        <v>5.972963266655977E-2</v>
      </c>
      <c r="AD11" s="201">
        <f ca="1"/>
        <v>5.9451820421599022E-2</v>
      </c>
      <c r="AE11" s="201">
        <f ca="1"/>
        <v>5.9176580512239764E-2</v>
      </c>
      <c r="AF11" s="201">
        <f ca="1"/>
        <v>5.8903877376238659E-2</v>
      </c>
    </row>
    <row r="12" spans="1:32" ht="14.45" x14ac:dyDescent="0.35">
      <c r="A12" s="245"/>
      <c r="B12" s="245" t="s">
        <v>29</v>
      </c>
      <c r="G12" s="201">
        <f ca="1"/>
        <v>2.6331211264726193E-2</v>
      </c>
      <c r="H12" s="201">
        <f ca="1"/>
        <v>2.2701258601586467E-2</v>
      </c>
      <c r="I12" s="201">
        <f ca="1"/>
        <v>2.088316129836779E-2</v>
      </c>
      <c r="J12" s="201">
        <f ca="1"/>
        <v>1.9621210484790121E-2</v>
      </c>
      <c r="K12" s="201">
        <f ca="1"/>
        <v>1.8664881228295755E-2</v>
      </c>
      <c r="L12" s="201">
        <f ca="1"/>
        <v>1.791400866934002E-2</v>
      </c>
      <c r="M12" s="201">
        <f ca="1"/>
        <v>1.7312889610210335E-2</v>
      </c>
      <c r="N12" s="201">
        <f ca="1"/>
        <v>1.6825059817587085E-2</v>
      </c>
      <c r="O12" s="201">
        <f ca="1"/>
        <v>1.6424691322895112E-2</v>
      </c>
      <c r="P12" s="201">
        <f ca="1"/>
        <v>1.6092756797969905E-2</v>
      </c>
      <c r="Q12" s="201">
        <f ca="1"/>
        <v>1.5814934408978881E-2</v>
      </c>
      <c r="R12" s="201">
        <f ca="1"/>
        <v>1.5580296778940794E-2</v>
      </c>
      <c r="S12" s="201">
        <f ca="1"/>
        <v>1.5380422081021439E-2</v>
      </c>
      <c r="T12" s="201">
        <f ca="1"/>
        <v>1.5208764029774505E-2</v>
      </c>
      <c r="U12" s="201">
        <f ca="1"/>
        <v>1.506019424550783E-2</v>
      </c>
      <c r="V12" s="201">
        <f ca="1"/>
        <v>1.4930664917738848E-2</v>
      </c>
      <c r="W12" s="201">
        <f ca="1"/>
        <v>1.4816957668493348E-2</v>
      </c>
      <c r="X12" s="201">
        <f ca="1"/>
        <v>1.4716495142603246E-2</v>
      </c>
      <c r="Y12" s="201">
        <f ca="1"/>
        <v>1.4627198704591254E-2</v>
      </c>
      <c r="Z12" s="201">
        <f ca="1"/>
        <v>1.454738028059718E-2</v>
      </c>
      <c r="AA12" s="201">
        <f ca="1"/>
        <v>1.447565964816774E-2</v>
      </c>
      <c r="AB12" s="201">
        <f ca="1"/>
        <v>1.4410900803586533E-2</v>
      </c>
      <c r="AC12" s="201">
        <f ca="1"/>
        <v>1.4352162712446945E-2</v>
      </c>
      <c r="AD12" s="201">
        <f ca="1"/>
        <v>1.429866096515822E-2</v>
      </c>
      <c r="AE12" s="201">
        <f ca="1"/>
        <v>1.4249737746393324E-2</v>
      </c>
      <c r="AF12" s="201">
        <f ca="1"/>
        <v>1.4204838178324054E-2</v>
      </c>
    </row>
    <row r="13" spans="1:32" ht="14.45" x14ac:dyDescent="0.35">
      <c r="A13" s="245"/>
      <c r="B13" s="245"/>
      <c r="G13" s="201" t="str">
        <v/>
      </c>
      <c r="H13" s="201" t="str">
        <v/>
      </c>
      <c r="I13" s="201" t="str">
        <v/>
      </c>
      <c r="J13" s="201" t="str">
        <v/>
      </c>
      <c r="K13" s="201" t="str">
        <v/>
      </c>
      <c r="L13" s="201" t="str">
        <v/>
      </c>
      <c r="M13" s="201" t="str">
        <v/>
      </c>
      <c r="N13" s="201" t="str">
        <v/>
      </c>
      <c r="O13" s="201" t="str">
        <v/>
      </c>
      <c r="P13" s="201" t="str">
        <v/>
      </c>
      <c r="Q13" s="201" t="str">
        <v/>
      </c>
      <c r="R13" s="201" t="str">
        <v/>
      </c>
      <c r="S13" s="201" t="str">
        <v/>
      </c>
      <c r="T13" s="201" t="str">
        <v/>
      </c>
      <c r="U13" s="201" t="str">
        <v/>
      </c>
      <c r="V13" s="201" t="str">
        <v/>
      </c>
      <c r="W13" s="201" t="str">
        <v/>
      </c>
      <c r="X13" s="201" t="str">
        <v/>
      </c>
      <c r="Y13" s="201" t="str">
        <v/>
      </c>
      <c r="Z13" s="201" t="str">
        <v/>
      </c>
      <c r="AA13" s="201" t="str">
        <v/>
      </c>
      <c r="AB13" s="201" t="str">
        <v/>
      </c>
      <c r="AC13" s="201" t="str">
        <v/>
      </c>
      <c r="AD13" s="201" t="str">
        <v/>
      </c>
      <c r="AE13" s="201" t="str">
        <v/>
      </c>
      <c r="AF13" s="201" t="str">
        <v/>
      </c>
    </row>
    <row r="14" spans="1:32" s="202" customFormat="1" ht="12.95" x14ac:dyDescent="0.3">
      <c r="A14" s="251" t="s">
        <v>32</v>
      </c>
      <c r="B14" s="251"/>
      <c r="C14" s="251"/>
      <c r="D14" s="251"/>
      <c r="E14" s="251"/>
      <c r="F14" s="251"/>
      <c r="G14" s="251" t="str">
        <v/>
      </c>
      <c r="H14" s="251" t="str">
        <v/>
      </c>
      <c r="I14" s="251" t="str">
        <v/>
      </c>
      <c r="J14" s="251" t="str">
        <v/>
      </c>
      <c r="K14" s="251" t="str">
        <v/>
      </c>
      <c r="L14" s="251" t="str">
        <v/>
      </c>
      <c r="M14" s="251" t="str">
        <v/>
      </c>
      <c r="N14" s="251" t="str">
        <v/>
      </c>
      <c r="O14" s="251" t="str">
        <v/>
      </c>
      <c r="P14" s="251" t="str">
        <v/>
      </c>
      <c r="Q14" s="251" t="str">
        <v/>
      </c>
      <c r="R14" s="251" t="str">
        <v/>
      </c>
      <c r="S14" s="251" t="str">
        <v/>
      </c>
      <c r="T14" s="251" t="str">
        <v/>
      </c>
      <c r="U14" s="251" t="str">
        <v/>
      </c>
      <c r="V14" s="251" t="str">
        <v/>
      </c>
      <c r="W14" s="251" t="str">
        <v/>
      </c>
      <c r="X14" s="251" t="str">
        <v/>
      </c>
      <c r="Y14" s="251" t="str">
        <v/>
      </c>
      <c r="Z14" s="251" t="str">
        <v/>
      </c>
      <c r="AA14" s="251" t="str">
        <v/>
      </c>
      <c r="AB14" s="251" t="str">
        <v/>
      </c>
      <c r="AC14" s="251" t="str">
        <v/>
      </c>
      <c r="AD14" s="267" t="str">
        <v/>
      </c>
      <c r="AE14" s="267" t="str">
        <v/>
      </c>
      <c r="AF14" s="267" t="str">
        <v/>
      </c>
    </row>
    <row r="15" spans="1:32" ht="14.45" x14ac:dyDescent="0.35">
      <c r="A15" s="245"/>
      <c r="B15" s="245" t="s">
        <v>33</v>
      </c>
      <c r="G15" s="201">
        <v>0.2595263201386846</v>
      </c>
      <c r="H15" s="201">
        <v>0.2595263201386846</v>
      </c>
      <c r="I15" s="201">
        <v>0.2595263201386846</v>
      </c>
      <c r="J15" s="201">
        <v>0.2595263201386846</v>
      </c>
      <c r="K15" s="201">
        <v>0.2595263201386846</v>
      </c>
      <c r="L15" s="201">
        <v>0.2595263201386846</v>
      </c>
      <c r="M15" s="201">
        <v>0.2595263201386846</v>
      </c>
      <c r="N15" s="201">
        <v>0.2595263201386846</v>
      </c>
      <c r="O15" s="201">
        <v>0.2595263201386846</v>
      </c>
      <c r="P15" s="201">
        <v>0.2595263201386846</v>
      </c>
      <c r="Q15" s="201">
        <v>0.2595263201386846</v>
      </c>
      <c r="R15" s="201">
        <v>0.2595263201386846</v>
      </c>
      <c r="S15" s="201">
        <v>0.2595263201386846</v>
      </c>
      <c r="T15" s="201">
        <v>0.2595263201386846</v>
      </c>
      <c r="U15" s="201">
        <v>0.2595263201386846</v>
      </c>
      <c r="V15" s="201">
        <v>0.2595263201386846</v>
      </c>
      <c r="W15" s="201">
        <v>0.2595263201386846</v>
      </c>
      <c r="X15" s="201">
        <v>0.2595263201386846</v>
      </c>
      <c r="Y15" s="201">
        <v>0.2595263201386846</v>
      </c>
      <c r="Z15" s="201">
        <v>0.2595263201386846</v>
      </c>
      <c r="AA15" s="201">
        <v>0.2595263201386846</v>
      </c>
      <c r="AB15" s="201">
        <v>0.2595263201386846</v>
      </c>
      <c r="AC15" s="201">
        <v>0.2595263201386846</v>
      </c>
      <c r="AD15" s="201">
        <v>0.2595263201386846</v>
      </c>
      <c r="AE15" s="201">
        <v>0.2595263201386846</v>
      </c>
      <c r="AF15" s="201">
        <v>0.2595263201386846</v>
      </c>
    </row>
    <row r="16" spans="1:32" ht="14.45" x14ac:dyDescent="0.35">
      <c r="A16" s="249"/>
      <c r="B16" s="249" t="s">
        <v>34</v>
      </c>
      <c r="G16" s="201">
        <v>0.21627193344890383</v>
      </c>
      <c r="H16" s="201">
        <v>0.21573260194404373</v>
      </c>
      <c r="I16" s="201">
        <v>0.21519595368050132</v>
      </c>
      <c r="J16" s="201">
        <v>0.21466196868377549</v>
      </c>
      <c r="K16" s="201">
        <v>0.21413062717713252</v>
      </c>
      <c r="L16" s="201">
        <v>0.21307579650138309</v>
      </c>
      <c r="M16" s="201">
        <v>0.21203130730284689</v>
      </c>
      <c r="N16" s="201">
        <v>0.21099700824283302</v>
      </c>
      <c r="O16" s="201">
        <v>0.20997275092126585</v>
      </c>
      <c r="P16" s="201">
        <v>0.20895838980570416</v>
      </c>
      <c r="Q16" s="201">
        <v>0.20795378216240751</v>
      </c>
      <c r="R16" s="201">
        <v>0.20695878798938161</v>
      </c>
      <c r="S16" s="201">
        <v>0.20597326995133697</v>
      </c>
      <c r="T16" s="201">
        <v>0.20499709331649654</v>
      </c>
      <c r="U16" s="201">
        <v>0.20403012589519234</v>
      </c>
      <c r="V16" s="201">
        <v>0.20307223798019139</v>
      </c>
      <c r="W16" s="201">
        <v>0.20212330228869516</v>
      </c>
      <c r="X16" s="201">
        <v>0.20118319390595704</v>
      </c>
      <c r="Y16" s="201">
        <v>0.20025179023046649</v>
      </c>
      <c r="Z16" s="201">
        <v>0.19932897092064869</v>
      </c>
      <c r="AA16" s="201">
        <v>0.19841461784303105</v>
      </c>
      <c r="AB16" s="201">
        <v>0.19750861502182998</v>
      </c>
      <c r="AC16" s="201">
        <v>0.19705870929285083</v>
      </c>
      <c r="AD16" s="201">
        <v>0.19616501900127328</v>
      </c>
      <c r="AE16" s="201">
        <v>0.19527939814799439</v>
      </c>
      <c r="AF16" s="201">
        <v>0.19440173793159893</v>
      </c>
    </row>
    <row r="17" spans="1:32" ht="14.45" x14ac:dyDescent="0.35">
      <c r="A17" s="245"/>
      <c r="B17" s="249" t="s">
        <v>35</v>
      </c>
      <c r="G17" s="201">
        <v>6.4881580034671149E-2</v>
      </c>
      <c r="H17" s="201">
        <v>6.471978058321308E-2</v>
      </c>
      <c r="I17" s="201">
        <v>6.4558786104150348E-2</v>
      </c>
      <c r="J17" s="201">
        <v>6.4398590605132616E-2</v>
      </c>
      <c r="K17" s="201">
        <v>6.4239188153139712E-2</v>
      </c>
      <c r="L17" s="201">
        <v>6.4080572873749256E-2</v>
      </c>
      <c r="M17" s="201">
        <v>6.3922738950414892E-2</v>
      </c>
      <c r="N17" s="201">
        <v>6.37656806237554E-2</v>
      </c>
      <c r="O17" s="201">
        <v>6.3609392190854028E-2</v>
      </c>
      <c r="P17" s="201">
        <v>6.3453868004568328E-2</v>
      </c>
      <c r="Q17" s="201">
        <v>6.329910247284988E-2</v>
      </c>
      <c r="R17" s="201">
        <v>6.3145090058074074E-2</v>
      </c>
      <c r="S17" s="201">
        <v>6.2991825276379726E-2</v>
      </c>
      <c r="T17" s="201">
        <v>6.2839302697018026E-2</v>
      </c>
      <c r="U17" s="201">
        <v>6.2687516941711222E-2</v>
      </c>
      <c r="V17" s="201">
        <v>6.2536462684020355E-2</v>
      </c>
      <c r="W17" s="201">
        <v>6.2236527611195316E-2</v>
      </c>
      <c r="X17" s="201">
        <v>6.193945588035428E-2</v>
      </c>
      <c r="Y17" s="201">
        <v>6.1645206683773018E-2</v>
      </c>
      <c r="Z17" s="201">
        <v>6.1353739985504606E-2</v>
      </c>
      <c r="AA17" s="201">
        <v>6.1065016503219875E-2</v>
      </c>
      <c r="AB17" s="201">
        <v>6.0778997690558424E-2</v>
      </c>
      <c r="AC17" s="201">
        <v>6.0495645719973061E-2</v>
      </c>
      <c r="AD17" s="201">
        <v>6.0214923466052069E-2</v>
      </c>
      <c r="AE17" s="201">
        <v>6.0075537069139914E-2</v>
      </c>
      <c r="AF17" s="201">
        <v>5.9798691276194582E-2</v>
      </c>
    </row>
    <row r="18" spans="1:32" ht="14.45" x14ac:dyDescent="0.35">
      <c r="A18" s="245"/>
      <c r="B18" s="249" t="s">
        <v>29</v>
      </c>
      <c r="G18" s="201">
        <v>2.5952632013868458E-2</v>
      </c>
      <c r="H18" s="201">
        <v>2.2374869306824734E-2</v>
      </c>
      <c r="I18" s="201">
        <v>2.0582911853691915E-2</v>
      </c>
      <c r="J18" s="201">
        <v>1.933910484629241E-2</v>
      </c>
      <c r="K18" s="201">
        <v>1.8396525295797404E-2</v>
      </c>
      <c r="L18" s="201">
        <v>1.7656448471530861E-2</v>
      </c>
      <c r="M18" s="201">
        <v>1.7063972053288211E-2</v>
      </c>
      <c r="N18" s="201">
        <v>1.6583156075395344E-2</v>
      </c>
      <c r="O18" s="201">
        <v>1.6188543913112984E-2</v>
      </c>
      <c r="P18" s="201">
        <v>1.5861381805321061E-2</v>
      </c>
      <c r="Q18" s="201">
        <v>1.5587553831582657E-2</v>
      </c>
      <c r="R18" s="201">
        <v>1.5356289724217332E-2</v>
      </c>
      <c r="S18" s="201">
        <v>1.5159288741929325E-2</v>
      </c>
      <c r="T18" s="201">
        <v>1.4990098719053418E-2</v>
      </c>
      <c r="U18" s="201">
        <v>1.4843665009616808E-2</v>
      </c>
      <c r="V18" s="201">
        <v>1.4715998000879714E-2</v>
      </c>
      <c r="W18" s="201">
        <v>1.4603925587373582E-2</v>
      </c>
      <c r="X18" s="201">
        <v>1.4504907470075563E-2</v>
      </c>
      <c r="Y18" s="201">
        <v>1.4416894899268425E-2</v>
      </c>
      <c r="Z18" s="201">
        <v>1.4338224071518841E-2</v>
      </c>
      <c r="AA18" s="201">
        <v>1.4267534608640366E-2</v>
      </c>
      <c r="AB18" s="201">
        <v>1.4203706839907571E-2</v>
      </c>
      <c r="AC18" s="201">
        <v>1.4145813260716822E-2</v>
      </c>
      <c r="AD18" s="201">
        <v>1.4093080739393606E-2</v>
      </c>
      <c r="AE18" s="201">
        <v>1.4044860918407235E-2</v>
      </c>
      <c r="AF18" s="201">
        <v>1.4000606897733133E-2</v>
      </c>
    </row>
    <row r="19" spans="1:32" ht="14.45" x14ac:dyDescent="0.35">
      <c r="A19" s="245"/>
      <c r="B19" s="245"/>
      <c r="G19" t="str">
        <v/>
      </c>
      <c r="H19" t="str">
        <v/>
      </c>
      <c r="I19" t="str">
        <v/>
      </c>
      <c r="J19" t="str">
        <v/>
      </c>
      <c r="K19" t="str">
        <v/>
      </c>
      <c r="L19" t="str">
        <v/>
      </c>
      <c r="M19" t="str">
        <v/>
      </c>
      <c r="N19" t="str">
        <v/>
      </c>
      <c r="O19" t="str">
        <v/>
      </c>
      <c r="P19" t="str">
        <v/>
      </c>
      <c r="Q19" t="str">
        <v/>
      </c>
      <c r="R19" t="str">
        <v/>
      </c>
      <c r="S19" t="str">
        <v/>
      </c>
      <c r="T19" t="str">
        <v/>
      </c>
      <c r="U19" t="str">
        <v/>
      </c>
      <c r="V19" t="str">
        <v/>
      </c>
      <c r="W19" t="str">
        <v/>
      </c>
      <c r="X19" t="str">
        <v/>
      </c>
      <c r="Y19" t="str">
        <v/>
      </c>
      <c r="Z19" t="str">
        <v/>
      </c>
      <c r="AA19" t="str">
        <v/>
      </c>
      <c r="AB19" t="str">
        <v/>
      </c>
      <c r="AC19" t="str">
        <v/>
      </c>
      <c r="AD19" t="str">
        <v/>
      </c>
      <c r="AE19" t="str">
        <v/>
      </c>
      <c r="AF19" t="str">
        <v/>
      </c>
    </row>
    <row r="20" spans="1:32" s="202" customFormat="1" ht="12.95" x14ac:dyDescent="0.3">
      <c r="A20" s="251" t="s">
        <v>36</v>
      </c>
      <c r="B20" s="251"/>
      <c r="C20" s="251"/>
      <c r="D20" s="251"/>
      <c r="E20" s="251"/>
      <c r="F20" s="251"/>
      <c r="G20" s="251" t="str">
        <v/>
      </c>
      <c r="H20" s="251" t="str">
        <v/>
      </c>
      <c r="I20" s="251" t="str">
        <v/>
      </c>
      <c r="J20" s="251" t="str">
        <v/>
      </c>
      <c r="K20" s="251" t="str">
        <v/>
      </c>
      <c r="L20" s="251" t="str">
        <v/>
      </c>
      <c r="M20" s="251" t="str">
        <v/>
      </c>
      <c r="N20" s="251" t="str">
        <v/>
      </c>
      <c r="O20" s="251" t="str">
        <v/>
      </c>
      <c r="P20" s="251" t="str">
        <v/>
      </c>
      <c r="Q20" s="251" t="str">
        <v/>
      </c>
      <c r="R20" s="251" t="str">
        <v/>
      </c>
      <c r="S20" s="251" t="str">
        <v/>
      </c>
      <c r="T20" s="251" t="str">
        <v/>
      </c>
      <c r="U20" s="251" t="str">
        <v/>
      </c>
      <c r="V20" s="251" t="str">
        <v/>
      </c>
      <c r="W20" s="251" t="str">
        <v/>
      </c>
      <c r="X20" s="251" t="str">
        <v/>
      </c>
      <c r="Y20" s="251" t="str">
        <v/>
      </c>
      <c r="Z20" s="251" t="str">
        <v/>
      </c>
      <c r="AA20" s="251" t="str">
        <v/>
      </c>
      <c r="AB20" s="251" t="str">
        <v/>
      </c>
      <c r="AC20" s="251" t="str">
        <v/>
      </c>
      <c r="AD20" s="267" t="str">
        <v/>
      </c>
      <c r="AE20" s="267" t="str">
        <v/>
      </c>
      <c r="AF20" s="267" t="str">
        <v/>
      </c>
    </row>
    <row r="21" spans="1:32" ht="14.45" x14ac:dyDescent="0.35">
      <c r="A21" s="245"/>
      <c r="B21" s="245" t="s">
        <v>37</v>
      </c>
      <c r="G21" s="201">
        <v>1.3879500000000001E-2</v>
      </c>
      <c r="H21" s="201">
        <v>1.3580724070450002E-2</v>
      </c>
      <c r="I21" s="201">
        <v>1.329454022988495E-2</v>
      </c>
      <c r="J21" s="201">
        <v>1.3020168855534611E-2</v>
      </c>
      <c r="K21" s="201">
        <v>1.2756893382352858E-2</v>
      </c>
      <c r="L21" s="201">
        <v>1.2504054054053988E-2</v>
      </c>
      <c r="M21" s="201">
        <v>1.2261042402826779E-2</v>
      </c>
      <c r="N21" s="201">
        <v>1.202729636048519E-2</v>
      </c>
      <c r="O21" s="201">
        <v>1.1802295918367272E-2</v>
      </c>
      <c r="P21" s="201">
        <v>1.1585559265442335E-2</v>
      </c>
      <c r="Q21" s="201">
        <v>1.1376639344262236E-2</v>
      </c>
      <c r="R21" s="201">
        <v>1.1175120772946795E-2</v>
      </c>
      <c r="S21" s="201">
        <v>1.0980617088607529E-2</v>
      </c>
      <c r="T21" s="201">
        <v>1.0792768273716889E-2</v>
      </c>
      <c r="U21" s="201">
        <v>1.0611238532110032E-2</v>
      </c>
      <c r="V21" s="201">
        <v>1.0435714285714232E-2</v>
      </c>
      <c r="W21" s="201">
        <v>1.026590236686385E-2</v>
      </c>
      <c r="X21" s="201">
        <v>1.0101528384279421E-2</v>
      </c>
      <c r="Y21" s="201">
        <v>9.9423352435529556E-3</v>
      </c>
      <c r="Z21" s="201">
        <v>9.7880818053596129E-3</v>
      </c>
      <c r="AA21" s="201">
        <v>9.6385416666666217E-3</v>
      </c>
      <c r="AB21" s="201">
        <v>9.4935020519835382E-3</v>
      </c>
      <c r="AC21" s="201">
        <v>9.3527628032344552E-3</v>
      </c>
      <c r="AD21" s="201">
        <v>9.2161354581672857E-3</v>
      </c>
      <c r="AE21" s="201">
        <v>9.0834424083769197E-3</v>
      </c>
      <c r="AF21" s="201">
        <v>8.9545161290322164E-3</v>
      </c>
    </row>
    <row r="22" spans="1:32" ht="14.45" x14ac:dyDescent="0.35">
      <c r="A22" s="245"/>
      <c r="B22" s="245" t="s">
        <v>39</v>
      </c>
      <c r="G22" s="201">
        <v>1.3879500000000001E-2</v>
      </c>
      <c r="H22" s="1150">
        <v>1.3580724070450002E-2</v>
      </c>
      <c r="I22" s="201">
        <v>1.329454022988495E-2</v>
      </c>
      <c r="J22" s="201">
        <v>1.3020168855534611E-2</v>
      </c>
      <c r="K22" s="201">
        <v>1.2756893382352858E-2</v>
      </c>
      <c r="L22" s="201">
        <v>1.2504054054053988E-2</v>
      </c>
      <c r="M22" s="201">
        <v>1.2261042402826779E-2</v>
      </c>
      <c r="N22" s="201">
        <v>1.202729636048519E-2</v>
      </c>
      <c r="O22" s="201">
        <v>1.1802295918367272E-2</v>
      </c>
      <c r="P22" s="201">
        <v>1.1585559265442335E-2</v>
      </c>
      <c r="Q22" s="1150">
        <v>1.1376639344262236E-2</v>
      </c>
      <c r="R22" s="201">
        <v>1.1175120772946795E-2</v>
      </c>
      <c r="S22" s="201">
        <v>1.0980617088607529E-2</v>
      </c>
      <c r="T22" s="201">
        <v>1.0792768273716889E-2</v>
      </c>
      <c r="U22" s="201">
        <v>1.0611238532110032E-2</v>
      </c>
      <c r="V22" s="201">
        <v>1.0435714285714232E-2</v>
      </c>
      <c r="W22" s="201">
        <v>1.026590236686385E-2</v>
      </c>
      <c r="X22" s="201">
        <v>1.0101528384279421E-2</v>
      </c>
      <c r="Y22" s="201">
        <v>9.9423352435529556E-3</v>
      </c>
      <c r="Z22" s="201">
        <v>9.7880818053596129E-3</v>
      </c>
      <c r="AA22" s="201">
        <v>9.6385416666666217E-3</v>
      </c>
      <c r="AB22" s="201">
        <v>9.4935020519835382E-3</v>
      </c>
      <c r="AC22" s="201">
        <v>9.3527628032344552E-3</v>
      </c>
      <c r="AD22" s="201">
        <v>9.2161354581672857E-3</v>
      </c>
      <c r="AE22" s="201">
        <v>9.0834424083769197E-3</v>
      </c>
      <c r="AF22" s="201">
        <v>8.9545161290322164E-3</v>
      </c>
    </row>
    <row r="23" spans="1:32" ht="14.45" x14ac:dyDescent="0.35">
      <c r="A23" s="245"/>
      <c r="B23" s="245" t="s">
        <v>40</v>
      </c>
      <c r="G23" s="201">
        <v>1.3879500000000001E-2</v>
      </c>
      <c r="H23" s="201">
        <v>1.3580724070450002E-2</v>
      </c>
      <c r="I23" s="201">
        <v>1.329454022988495E-2</v>
      </c>
      <c r="J23" s="201">
        <v>1.3020168855534611E-2</v>
      </c>
      <c r="K23" s="201">
        <v>1.2756893382352858E-2</v>
      </c>
      <c r="L23" s="201">
        <v>1.2504054054053988E-2</v>
      </c>
      <c r="M23" s="201">
        <v>1.2261042402826779E-2</v>
      </c>
      <c r="N23" s="201">
        <v>1.202729636048519E-2</v>
      </c>
      <c r="O23" s="201">
        <v>1.1802295918367272E-2</v>
      </c>
      <c r="P23" s="201">
        <v>1.1585559265442335E-2</v>
      </c>
      <c r="Q23" s="201">
        <v>1.1376639344262236E-2</v>
      </c>
      <c r="R23" s="201">
        <v>1.1175120772946795E-2</v>
      </c>
      <c r="S23" s="201">
        <v>1.0980617088607529E-2</v>
      </c>
      <c r="T23" s="201">
        <v>1.0792768273716889E-2</v>
      </c>
      <c r="U23" s="201">
        <v>1.0611238532110032E-2</v>
      </c>
      <c r="V23" s="201">
        <v>1.0435714285714232E-2</v>
      </c>
      <c r="W23" s="201">
        <v>1.026590236686385E-2</v>
      </c>
      <c r="X23" s="201">
        <v>1.0101528384279421E-2</v>
      </c>
      <c r="Y23" s="201">
        <v>9.9423352435529556E-3</v>
      </c>
      <c r="Z23" s="201">
        <v>9.7880818053596129E-3</v>
      </c>
      <c r="AA23" s="201">
        <v>9.6385416666666217E-3</v>
      </c>
      <c r="AB23" s="201">
        <v>9.4935020519835382E-3</v>
      </c>
      <c r="AC23" s="201">
        <v>9.3527628032344552E-3</v>
      </c>
      <c r="AD23" s="201">
        <v>9.2161354581672857E-3</v>
      </c>
      <c r="AE23" s="201">
        <v>9.0834424083769197E-3</v>
      </c>
      <c r="AF23" s="201">
        <v>8.9545161290322164E-3</v>
      </c>
    </row>
    <row r="24" spans="1:32" ht="14.45" x14ac:dyDescent="0.35">
      <c r="A24" s="245"/>
      <c r="B24" s="245" t="s">
        <v>29</v>
      </c>
      <c r="G24" s="201">
        <v>2.7759000000000002E-2</v>
      </c>
      <c r="H24" s="201">
        <v>2.3932216075666039E-2</v>
      </c>
      <c r="I24" s="201">
        <v>2.2015533909674836E-2</v>
      </c>
      <c r="J24" s="201">
        <v>2.0685154829050086E-2</v>
      </c>
      <c r="K24" s="201">
        <v>1.9676969388428531E-2</v>
      </c>
      <c r="L24" s="201">
        <v>1.8885381369385345E-2</v>
      </c>
      <c r="M24" s="201">
        <v>1.825166711315079E-2</v>
      </c>
      <c r="N24" s="201">
        <v>1.7737385142705724E-2</v>
      </c>
      <c r="O24" s="201">
        <v>1.7315306988669461E-2</v>
      </c>
      <c r="P24" s="201">
        <v>1.6965373581323998E-2</v>
      </c>
      <c r="Q24" s="201">
        <v>1.6672486496925681E-2</v>
      </c>
      <c r="R24" s="201">
        <v>1.6425125830272544E-2</v>
      </c>
      <c r="S24" s="201">
        <v>1.6214413087749527E-2</v>
      </c>
      <c r="T24" s="201">
        <v>1.6033447016851492E-2</v>
      </c>
      <c r="U24" s="201">
        <v>1.5876821155625602E-2</v>
      </c>
      <c r="V24" s="201">
        <v>1.5740268204324195E-2</v>
      </c>
      <c r="W24" s="201">
        <v>1.5620395271018076E-2</v>
      </c>
      <c r="X24" s="201">
        <v>1.5514485245529838E-2</v>
      </c>
      <c r="Y24" s="201">
        <v>1.5420346780046657E-2</v>
      </c>
      <c r="Z24" s="201">
        <v>1.533620026626209E-2</v>
      </c>
      <c r="AA24" s="201">
        <v>1.5260590640271363E-2</v>
      </c>
      <c r="AB24" s="201">
        <v>1.5192320299470981E-2</v>
      </c>
      <c r="AC24" s="201">
        <v>1.5130397182621127E-2</v>
      </c>
      <c r="AD24" s="201">
        <v>1.5073994346152409E-2</v>
      </c>
      <c r="AE24" s="201">
        <v>1.5022418305231188E-2</v>
      </c>
      <c r="AF24" s="201">
        <v>1.4975084094225691E-2</v>
      </c>
    </row>
    <row r="25" spans="1:32" ht="14.45" x14ac:dyDescent="0.35">
      <c r="A25" s="245"/>
      <c r="B25" s="245"/>
      <c r="G25" t="str">
        <v/>
      </c>
      <c r="H25" t="str">
        <v/>
      </c>
      <c r="I25" t="str">
        <v/>
      </c>
      <c r="J25" t="str">
        <v/>
      </c>
      <c r="K25" t="str">
        <v/>
      </c>
      <c r="L25" t="str">
        <v/>
      </c>
      <c r="M25" t="str">
        <v/>
      </c>
      <c r="N25" t="str">
        <v/>
      </c>
      <c r="O25" t="str">
        <v/>
      </c>
      <c r="P25" t="str">
        <v/>
      </c>
      <c r="Q25" t="str">
        <v/>
      </c>
      <c r="R25" t="str">
        <v/>
      </c>
      <c r="S25" t="str">
        <v/>
      </c>
      <c r="T25" t="str">
        <v/>
      </c>
      <c r="U25" t="str">
        <v/>
      </c>
      <c r="V25" t="str">
        <v/>
      </c>
      <c r="W25" t="str">
        <v/>
      </c>
      <c r="X25" t="str">
        <v/>
      </c>
      <c r="Y25" t="str">
        <v/>
      </c>
      <c r="Z25" t="str">
        <v/>
      </c>
      <c r="AA25" t="str">
        <v/>
      </c>
      <c r="AB25" t="str">
        <v/>
      </c>
      <c r="AC25" t="str">
        <v/>
      </c>
      <c r="AD25" t="str">
        <v/>
      </c>
      <c r="AE25" t="str">
        <v/>
      </c>
      <c r="AF25" t="str">
        <v/>
      </c>
    </row>
    <row r="26" spans="1:32" s="202" customFormat="1" ht="12.95" x14ac:dyDescent="0.3">
      <c r="A26" s="251" t="s">
        <v>42</v>
      </c>
      <c r="B26" s="251"/>
      <c r="C26" s="251"/>
      <c r="D26" s="251"/>
      <c r="E26" s="251"/>
      <c r="F26" s="251"/>
      <c r="G26" s="251" t="str">
        <v/>
      </c>
      <c r="H26" s="251" t="str">
        <v/>
      </c>
      <c r="I26" s="251" t="str">
        <v/>
      </c>
      <c r="J26" s="251" t="str">
        <v/>
      </c>
      <c r="K26" s="251" t="str">
        <v/>
      </c>
      <c r="L26" s="251" t="str">
        <v/>
      </c>
      <c r="M26" s="251" t="str">
        <v/>
      </c>
      <c r="N26" s="251" t="str">
        <v/>
      </c>
      <c r="O26" s="251" t="str">
        <v/>
      </c>
      <c r="P26" s="251" t="str">
        <v/>
      </c>
      <c r="Q26" s="251" t="str">
        <v/>
      </c>
      <c r="R26" s="251" t="str">
        <v/>
      </c>
      <c r="S26" s="251" t="str">
        <v/>
      </c>
      <c r="T26" s="251" t="str">
        <v/>
      </c>
      <c r="U26" s="251" t="str">
        <v/>
      </c>
      <c r="V26" s="251" t="str">
        <v/>
      </c>
      <c r="W26" s="251" t="str">
        <v/>
      </c>
      <c r="X26" s="251" t="str">
        <v/>
      </c>
      <c r="Y26" s="251" t="str">
        <v/>
      </c>
      <c r="Z26" s="251" t="str">
        <v/>
      </c>
      <c r="AA26" s="251" t="str">
        <v/>
      </c>
      <c r="AB26" s="251" t="str">
        <v/>
      </c>
      <c r="AC26" s="251" t="str">
        <v/>
      </c>
      <c r="AD26" s="267" t="str">
        <v/>
      </c>
      <c r="AE26" s="267" t="str">
        <v/>
      </c>
      <c r="AF26" s="267" t="str">
        <v/>
      </c>
    </row>
    <row r="27" spans="1:32" ht="14.45" x14ac:dyDescent="0.35">
      <c r="A27" s="245"/>
      <c r="B27" s="249" t="s">
        <v>43</v>
      </c>
      <c r="G27" s="201">
        <v>1.2043910739191073E-2</v>
      </c>
      <c r="H27" s="855">
        <v>1.1948324146022904E-2</v>
      </c>
      <c r="I27" s="201">
        <v>1.1854242853534524E-2</v>
      </c>
      <c r="J27" s="201">
        <v>1.1761631581241289E-2</v>
      </c>
      <c r="K27" s="201">
        <v>1.167045614262702E-2</v>
      </c>
      <c r="L27" s="201">
        <v>1.1580683403068351E-2</v>
      </c>
      <c r="M27" s="201">
        <v>1.1492281239686151E-2</v>
      </c>
      <c r="N27" s="201">
        <v>1.1405218503021858E-2</v>
      </c>
      <c r="O27" s="201">
        <v>1.1319464980442747E-2</v>
      </c>
      <c r="P27" s="201">
        <v>1.1234991361185715E-2</v>
      </c>
      <c r="Q27" s="201">
        <v>1.1151769202954709E-2</v>
      </c>
      <c r="R27" s="201">
        <v>1.1069770899991808E-2</v>
      </c>
      <c r="S27" s="201">
        <v>1.098896965254661E-2</v>
      </c>
      <c r="T27" s="201">
        <v>1.0909339437673084E-2</v>
      </c>
      <c r="U27" s="201">
        <v>1.0830854981286948E-2</v>
      </c>
      <c r="V27" s="201">
        <v>1.0753491731420612E-2</v>
      </c>
      <c r="W27" s="201">
        <v>1.0677225832616212E-2</v>
      </c>
      <c r="X27" s="201">
        <v>1.0602034101400603E-2</v>
      </c>
      <c r="Y27" s="201">
        <v>1.0527894002789411E-2</v>
      </c>
      <c r="Z27" s="201">
        <v>1.0454783627770041E-2</v>
      </c>
      <c r="AA27" s="201">
        <v>1.0382681671716455E-2</v>
      </c>
      <c r="AB27" s="201">
        <v>1.0311567413690997E-2</v>
      </c>
      <c r="AC27" s="201">
        <v>1.024142069659106E-2</v>
      </c>
      <c r="AD27" s="201">
        <v>1.0172221908100579E-2</v>
      </c>
      <c r="AE27" s="201">
        <v>1.010395196240863E-2</v>
      </c>
      <c r="AF27" s="201">
        <v>1.0036592282659238E-2</v>
      </c>
    </row>
    <row r="28" spans="1:32" ht="14.45" x14ac:dyDescent="0.35">
      <c r="A28" s="245"/>
      <c r="B28" s="249" t="s">
        <v>44</v>
      </c>
      <c r="G28" s="1154">
        <v>1.2043910739191073E-2</v>
      </c>
      <c r="H28" s="201">
        <v>1.1948324146022904E-2</v>
      </c>
      <c r="I28" s="201">
        <v>1.1854242853534524E-2</v>
      </c>
      <c r="J28" s="201">
        <v>1.1761631581241289E-2</v>
      </c>
      <c r="K28" s="201">
        <v>1.167045614262702E-2</v>
      </c>
      <c r="L28" s="201">
        <v>1.1580683403068351E-2</v>
      </c>
      <c r="M28" s="201">
        <v>1.1492281239686151E-2</v>
      </c>
      <c r="N28" s="201">
        <v>1.1405218503021858E-2</v>
      </c>
      <c r="O28" s="201">
        <v>1.1319464980442747E-2</v>
      </c>
      <c r="P28" s="201">
        <v>1.1234991361185715E-2</v>
      </c>
      <c r="Q28" s="1150">
        <v>1.1151769202954709E-2</v>
      </c>
      <c r="R28" s="201">
        <v>1.1069770899991808E-2</v>
      </c>
      <c r="S28" s="201">
        <v>1.098896965254661E-2</v>
      </c>
      <c r="T28" s="201">
        <v>1.0909339437673084E-2</v>
      </c>
      <c r="U28" s="201">
        <v>1.0830854981286948E-2</v>
      </c>
      <c r="V28" s="201">
        <v>1.0753491731420612E-2</v>
      </c>
      <c r="W28" s="201">
        <v>1.0677225832616212E-2</v>
      </c>
      <c r="X28" s="201">
        <v>1.0602034101400603E-2</v>
      </c>
      <c r="Y28" s="201">
        <v>1.0527894002789411E-2</v>
      </c>
      <c r="Z28" s="201">
        <v>1.0454783627770041E-2</v>
      </c>
      <c r="AA28" s="201">
        <v>1.0382681671716455E-2</v>
      </c>
      <c r="AB28" s="201">
        <v>1.0311567413690997E-2</v>
      </c>
      <c r="AC28" s="201">
        <v>1.024142069659106E-2</v>
      </c>
      <c r="AD28" s="201">
        <v>1.0172221908100579E-2</v>
      </c>
      <c r="AE28" s="201">
        <v>1.010395196240863E-2</v>
      </c>
      <c r="AF28" s="201">
        <v>1.0036592282659238E-2</v>
      </c>
    </row>
    <row r="29" spans="1:32" ht="14.45" x14ac:dyDescent="0.35">
      <c r="A29" s="245"/>
      <c r="B29" s="249" t="s">
        <v>45</v>
      </c>
      <c r="G29" s="201">
        <v>1.2043910739191073E-2</v>
      </c>
      <c r="H29" s="201">
        <v>1.1948324146022904E-2</v>
      </c>
      <c r="I29" s="201">
        <v>1.1854242853534524E-2</v>
      </c>
      <c r="J29" s="201">
        <v>1.1761631581241289E-2</v>
      </c>
      <c r="K29" s="201">
        <v>1.167045614262702E-2</v>
      </c>
      <c r="L29" s="201">
        <v>1.1580683403068351E-2</v>
      </c>
      <c r="M29" s="201">
        <v>1.1492281239686151E-2</v>
      </c>
      <c r="N29" s="201">
        <v>1.1405218503021858E-2</v>
      </c>
      <c r="O29" s="201">
        <v>1.1319464980442747E-2</v>
      </c>
      <c r="P29" s="201">
        <v>1.1234991361185715E-2</v>
      </c>
      <c r="Q29" s="201">
        <v>1.1151769202954709E-2</v>
      </c>
      <c r="R29" s="201">
        <v>1.1069770899991808E-2</v>
      </c>
      <c r="S29" s="201">
        <v>1.098896965254661E-2</v>
      </c>
      <c r="T29" s="201">
        <v>1.0909339437673084E-2</v>
      </c>
      <c r="U29" s="201">
        <v>1.0830854981286948E-2</v>
      </c>
      <c r="V29" s="201">
        <v>1.0753491731420612E-2</v>
      </c>
      <c r="W29" s="201">
        <v>1.0677225832616212E-2</v>
      </c>
      <c r="X29" s="201">
        <v>1.0602034101400603E-2</v>
      </c>
      <c r="Y29" s="201">
        <v>1.0527894002789411E-2</v>
      </c>
      <c r="Z29" s="201">
        <v>1.0454783627770041E-2</v>
      </c>
      <c r="AA29" s="201">
        <v>1.0382681671716455E-2</v>
      </c>
      <c r="AB29" s="201">
        <v>1.0311567413690997E-2</v>
      </c>
      <c r="AC29" s="201">
        <v>1.024142069659106E-2</v>
      </c>
      <c r="AD29" s="201">
        <v>1.0172221908100579E-2</v>
      </c>
      <c r="AE29" s="201">
        <v>1.010395196240863E-2</v>
      </c>
      <c r="AF29" s="201">
        <v>1.0036592282659238E-2</v>
      </c>
    </row>
    <row r="30" spans="1:32" ht="14.45" x14ac:dyDescent="0.35">
      <c r="A30" s="245"/>
      <c r="B30" s="249" t="s">
        <v>46</v>
      </c>
      <c r="G30" s="201">
        <v>1.2043910739191073E-2</v>
      </c>
      <c r="H30" s="201">
        <v>1.1948324146022904E-2</v>
      </c>
      <c r="I30" s="201">
        <v>1.1854242853534524E-2</v>
      </c>
      <c r="J30" s="201">
        <v>1.1761631581241289E-2</v>
      </c>
      <c r="K30" s="201">
        <v>1.167045614262702E-2</v>
      </c>
      <c r="L30" s="201">
        <v>1.1580683403068351E-2</v>
      </c>
      <c r="M30" s="201">
        <v>1.1492281239686151E-2</v>
      </c>
      <c r="N30" s="201">
        <v>1.1405218503021858E-2</v>
      </c>
      <c r="O30" s="201">
        <v>1.1319464980442747E-2</v>
      </c>
      <c r="P30" s="201">
        <v>1.1234991361185715E-2</v>
      </c>
      <c r="Q30" s="201">
        <v>1.1151769202954709E-2</v>
      </c>
      <c r="R30" s="201">
        <v>1.1069770899991808E-2</v>
      </c>
      <c r="S30" s="201">
        <v>1.098896965254661E-2</v>
      </c>
      <c r="T30" s="201">
        <v>1.0909339437673084E-2</v>
      </c>
      <c r="U30" s="201">
        <v>1.0830854981286948E-2</v>
      </c>
      <c r="V30" s="201">
        <v>1.0753491731420612E-2</v>
      </c>
      <c r="W30" s="201">
        <v>1.0677225832616212E-2</v>
      </c>
      <c r="X30" s="201">
        <v>1.0602034101400603E-2</v>
      </c>
      <c r="Y30" s="201">
        <v>1.0527894002789411E-2</v>
      </c>
      <c r="Z30" s="201">
        <v>1.0454783627770041E-2</v>
      </c>
      <c r="AA30" s="201">
        <v>1.0382681671716455E-2</v>
      </c>
      <c r="AB30" s="201">
        <v>1.0311567413690997E-2</v>
      </c>
      <c r="AC30" s="201">
        <v>1.024142069659106E-2</v>
      </c>
      <c r="AD30" s="201">
        <v>1.0172221908100579E-2</v>
      </c>
      <c r="AE30" s="201">
        <v>1.010395196240863E-2</v>
      </c>
      <c r="AF30" s="201">
        <v>1.0036592282659238E-2</v>
      </c>
    </row>
    <row r="31" spans="1:32" ht="14.45" x14ac:dyDescent="0.35">
      <c r="A31" s="245"/>
      <c r="B31" s="245" t="s">
        <v>29</v>
      </c>
      <c r="G31" s="201">
        <v>3.6131732217573216E-2</v>
      </c>
      <c r="H31" s="201">
        <v>3.1150705090927846E-2</v>
      </c>
      <c r="I31" s="201">
        <v>2.8655908925079212E-2</v>
      </c>
      <c r="J31" s="201">
        <v>2.6924257904185279E-2</v>
      </c>
      <c r="K31" s="201">
        <v>2.5611981296015173E-2</v>
      </c>
      <c r="L31" s="201">
        <v>2.458163271246722E-2</v>
      </c>
      <c r="M31" s="201">
        <v>2.3756776132304907E-2</v>
      </c>
      <c r="N31" s="201">
        <v>2.3087375273468238E-2</v>
      </c>
      <c r="O31" s="201">
        <v>2.2537988954201487E-2</v>
      </c>
      <c r="P31" s="201">
        <v>2.2082507842915444E-2</v>
      </c>
      <c r="Q31" s="201">
        <v>2.1701279495227637E-2</v>
      </c>
      <c r="R31" s="201">
        <v>2.1379309346134679E-2</v>
      </c>
      <c r="S31" s="201">
        <v>2.1105040950743194E-2</v>
      </c>
      <c r="T31" s="201">
        <v>2.0869491485194937E-2</v>
      </c>
      <c r="U31" s="201">
        <v>2.0665623778283276E-2</v>
      </c>
      <c r="V31" s="201">
        <v>2.048788341768161E-2</v>
      </c>
      <c r="W31" s="201">
        <v>2.0331854139741062E-2</v>
      </c>
      <c r="X31" s="201">
        <v>2.0193999293381414E-2</v>
      </c>
      <c r="Y31" s="201">
        <v>2.0071466571517819E-2</v>
      </c>
      <c r="Z31" s="201">
        <v>1.9961939596370794E-2</v>
      </c>
      <c r="AA31" s="201">
        <v>1.9863524424377284E-2</v>
      </c>
      <c r="AB31" s="201">
        <v>1.9774662229334168E-2</v>
      </c>
      <c r="AC31" s="201">
        <v>1.969406172225191E-2</v>
      </c>
      <c r="AD31" s="201">
        <v>1.9620646534975736E-2</v>
      </c>
      <c r="AE31" s="201">
        <v>1.9553514012211656E-2</v>
      </c>
      <c r="AF31" s="201">
        <v>1.9491902749674075E-2</v>
      </c>
    </row>
    <row r="32" spans="1:32" ht="14.45" x14ac:dyDescent="0.35">
      <c r="A32" s="245"/>
      <c r="B32" s="245"/>
      <c r="G32" t="str">
        <v/>
      </c>
      <c r="H32" t="str">
        <v/>
      </c>
      <c r="I32" t="str">
        <v/>
      </c>
      <c r="J32" t="str">
        <v/>
      </c>
      <c r="K32" t="str">
        <v/>
      </c>
      <c r="L32" t="str">
        <v/>
      </c>
      <c r="M32" t="str">
        <v/>
      </c>
      <c r="N32" t="str">
        <v/>
      </c>
      <c r="O32" t="str">
        <v/>
      </c>
      <c r="P32" t="str">
        <v/>
      </c>
      <c r="Q32" t="str">
        <v/>
      </c>
      <c r="R32" t="str">
        <v/>
      </c>
      <c r="S32" t="str">
        <v/>
      </c>
      <c r="T32" t="str">
        <v/>
      </c>
      <c r="U32" t="str">
        <v/>
      </c>
      <c r="V32" t="str">
        <v/>
      </c>
      <c r="W32" t="str">
        <v/>
      </c>
      <c r="X32" t="str">
        <v/>
      </c>
      <c r="Y32" t="str">
        <v/>
      </c>
      <c r="Z32" t="str">
        <v/>
      </c>
      <c r="AA32" t="str">
        <v/>
      </c>
      <c r="AB32" t="str">
        <v/>
      </c>
      <c r="AC32" t="str">
        <v/>
      </c>
      <c r="AD32" t="str">
        <v/>
      </c>
      <c r="AE32" t="str">
        <v/>
      </c>
      <c r="AF32" t="str">
        <v/>
      </c>
    </row>
    <row r="33" spans="1:32" s="202" customFormat="1" ht="12.95" x14ac:dyDescent="0.3">
      <c r="A33" s="251" t="s">
        <v>47</v>
      </c>
      <c r="B33" s="251"/>
      <c r="C33" s="251"/>
      <c r="D33" s="251"/>
      <c r="E33" s="251"/>
      <c r="F33" s="251"/>
      <c r="G33" s="251" t="str">
        <v/>
      </c>
      <c r="H33" s="251" t="str">
        <v/>
      </c>
      <c r="I33" s="251" t="str">
        <v/>
      </c>
      <c r="J33" s="251" t="str">
        <v/>
      </c>
      <c r="K33" s="251" t="str">
        <v/>
      </c>
      <c r="L33" s="251" t="str">
        <v/>
      </c>
      <c r="M33" s="251" t="str">
        <v/>
      </c>
      <c r="N33" s="251" t="str">
        <v/>
      </c>
      <c r="O33" s="251" t="str">
        <v/>
      </c>
      <c r="P33" s="251" t="str">
        <v/>
      </c>
      <c r="Q33" s="251" t="str">
        <v/>
      </c>
      <c r="R33" s="251" t="str">
        <v/>
      </c>
      <c r="S33" s="251" t="str">
        <v/>
      </c>
      <c r="T33" s="251" t="str">
        <v/>
      </c>
      <c r="U33" s="251" t="str">
        <v/>
      </c>
      <c r="V33" s="251" t="str">
        <v/>
      </c>
      <c r="W33" s="251" t="str">
        <v/>
      </c>
      <c r="X33" s="251" t="str">
        <v/>
      </c>
      <c r="Y33" s="251" t="str">
        <v/>
      </c>
      <c r="Z33" s="251" t="str">
        <v/>
      </c>
      <c r="AA33" s="251" t="str">
        <v/>
      </c>
      <c r="AB33" s="251" t="str">
        <v/>
      </c>
      <c r="AC33" s="251" t="str">
        <v/>
      </c>
      <c r="AD33" s="267" t="str">
        <v/>
      </c>
      <c r="AE33" s="267" t="str">
        <v/>
      </c>
      <c r="AF33" s="267" t="str">
        <v/>
      </c>
    </row>
    <row r="34" spans="1:32" ht="14.45" x14ac:dyDescent="0.35">
      <c r="A34" s="245"/>
      <c r="B34" s="245" t="s">
        <v>48</v>
      </c>
      <c r="G34" s="201">
        <v>0.67455278319319678</v>
      </c>
      <c r="H34" s="201">
        <v>0.67287060667650589</v>
      </c>
      <c r="I34" s="201">
        <v>0.66953129845478632</v>
      </c>
      <c r="J34" s="201">
        <v>0.66622497105500966</v>
      </c>
      <c r="K34" s="201">
        <v>0.66295113827341268</v>
      </c>
      <c r="L34" s="201">
        <v>0.65970932341632926</v>
      </c>
      <c r="M34" s="201">
        <v>0.65649905906880468</v>
      </c>
      <c r="N34" s="201">
        <v>0.65331988686992437</v>
      </c>
      <c r="O34" s="201">
        <v>0.6501713572946477</v>
      </c>
      <c r="P34" s="201">
        <v>0.64705302944191567</v>
      </c>
      <c r="Q34" s="201">
        <v>0.6439644708288278</v>
      </c>
      <c r="R34" s="201">
        <v>0.64090525719068614</v>
      </c>
      <c r="S34" s="201">
        <v>0.63787497228671131</v>
      </c>
      <c r="T34" s="201">
        <v>0.63487320771124456</v>
      </c>
      <c r="U34" s="201">
        <v>0.63189956271025471</v>
      </c>
      <c r="V34" s="201">
        <v>0.62895364400298093</v>
      </c>
      <c r="W34" s="201">
        <v>0.6260350656085355</v>
      </c>
      <c r="X34" s="201">
        <v>0.6231434486773183</v>
      </c>
      <c r="Y34" s="201">
        <v>0.62027842132707778</v>
      </c>
      <c r="Z34" s="201">
        <v>0.61743961848347573</v>
      </c>
      <c r="AA34" s="201">
        <v>0.61462668172500889</v>
      </c>
      <c r="AB34" s="201">
        <v>0.61183925913215176</v>
      </c>
      <c r="AC34" s="201">
        <v>0.60907700514058449</v>
      </c>
      <c r="AD34" s="201">
        <v>0.60633958039837921</v>
      </c>
      <c r="AE34" s="201">
        <v>0.60362665162702178</v>
      </c>
      <c r="AF34" s="201">
        <v>0.60093789148614429</v>
      </c>
    </row>
    <row r="35" spans="1:32" ht="14.45" x14ac:dyDescent="0.35">
      <c r="A35" s="245"/>
      <c r="B35" s="249" t="s">
        <v>50</v>
      </c>
      <c r="G35" s="201">
        <v>0.1686381957982992</v>
      </c>
      <c r="H35" s="201">
        <v>0.16821765166912647</v>
      </c>
      <c r="I35" s="201">
        <v>0.16779919979930277</v>
      </c>
      <c r="J35" s="201">
        <v>0.16738282461369658</v>
      </c>
      <c r="K35" s="201">
        <v>0.16696851069138544</v>
      </c>
      <c r="L35" s="201">
        <v>0.16655624276375233</v>
      </c>
      <c r="M35" s="201">
        <v>0.16573778456835309</v>
      </c>
      <c r="N35" s="201">
        <v>0.1649273308540824</v>
      </c>
      <c r="O35" s="201">
        <v>0.16412476476720125</v>
      </c>
      <c r="P35" s="201">
        <v>0.16372640368766919</v>
      </c>
      <c r="Q35" s="201">
        <v>0.16293545487758382</v>
      </c>
      <c r="R35" s="201">
        <v>0.16215211134451851</v>
      </c>
      <c r="S35" s="201">
        <v>0.1613762639218175</v>
      </c>
      <c r="T35" s="201">
        <v>0.16060780552218978</v>
      </c>
      <c r="U35" s="201">
        <v>0.15984663108843533</v>
      </c>
      <c r="V35" s="201">
        <v>0.15909263754556535</v>
      </c>
      <c r="W35" s="201">
        <v>0.15834572375427164</v>
      </c>
      <c r="X35" s="201">
        <v>0.15760579046570025</v>
      </c>
      <c r="Y35" s="201">
        <v>0.15687274027748768</v>
      </c>
      <c r="Z35" s="201">
        <v>0.15614647759101785</v>
      </c>
      <c r="AA35" s="201">
        <v>0.15542690856986108</v>
      </c>
      <c r="AB35" s="201">
        <v>0.15471394109935713</v>
      </c>
      <c r="AC35" s="201">
        <v>0.1540074847473053</v>
      </c>
      <c r="AD35" s="201">
        <v>0.15330745072572666</v>
      </c>
      <c r="AE35" s="201">
        <v>0.15261375185366452</v>
      </c>
      <c r="AF35" s="201">
        <v>0.15192630252099035</v>
      </c>
    </row>
    <row r="36" spans="1:32" ht="14.45" x14ac:dyDescent="0.35">
      <c r="A36" s="245"/>
      <c r="B36" s="245" t="s">
        <v>51</v>
      </c>
      <c r="G36" s="201">
        <v>5.6212731932766394E-2</v>
      </c>
      <c r="H36" s="201">
        <v>5.6072550556375451E-2</v>
      </c>
      <c r="I36" s="201">
        <v>5.5933066599767538E-2</v>
      </c>
      <c r="J36" s="201">
        <v>5.579427487123214E-2</v>
      </c>
      <c r="K36" s="201">
        <v>5.5656170230461773E-2</v>
      </c>
      <c r="L36" s="201">
        <v>5.551874758791743E-2</v>
      </c>
      <c r="M36" s="201">
        <v>5.5382001904203344E-2</v>
      </c>
      <c r="N36" s="201">
        <v>5.5245928189451003E-2</v>
      </c>
      <c r="O36" s="201">
        <v>5.5110521502712159E-2</v>
      </c>
      <c r="P36" s="201">
        <v>5.4975776951360772E-2</v>
      </c>
      <c r="Q36" s="201">
        <v>5.4841689690503799E-2</v>
      </c>
      <c r="R36" s="201">
        <v>5.4708254922400383E-2</v>
      </c>
      <c r="S36" s="201">
        <v>5.4575467895889705E-2</v>
      </c>
      <c r="T36" s="201">
        <v>5.4443323905827019E-2</v>
      </c>
      <c r="U36" s="201">
        <v>5.4311818292527923E-2</v>
      </c>
      <c r="V36" s="201">
        <v>5.418094644122063E-2</v>
      </c>
      <c r="W36" s="201">
        <v>5.405070378150615E-2</v>
      </c>
      <c r="X36" s="201">
        <v>5.3921085786826292E-2</v>
      </c>
      <c r="Y36" s="201">
        <v>5.3663705902402277E-2</v>
      </c>
      <c r="Z36" s="201">
        <v>5.3408771432557151E-2</v>
      </c>
      <c r="AA36" s="201">
        <v>5.3156247690559238E-2</v>
      </c>
      <c r="AB36" s="201">
        <v>5.303087918185509E-2</v>
      </c>
      <c r="AC36" s="201">
        <v>5.2781907918090509E-2</v>
      </c>
      <c r="AD36" s="201">
        <v>5.2535263488566714E-2</v>
      </c>
      <c r="AE36" s="201">
        <v>5.22909134258292E-2</v>
      </c>
      <c r="AF36" s="201">
        <v>5.2048825863672585E-2</v>
      </c>
    </row>
    <row r="37" spans="1:32" ht="14.45" x14ac:dyDescent="0.35">
      <c r="A37" s="245"/>
      <c r="B37" s="245" t="s">
        <v>52</v>
      </c>
      <c r="G37" s="201">
        <v>1.3491055663863936E-2</v>
      </c>
      <c r="H37" s="201">
        <v>1.3200641549768922E-2</v>
      </c>
      <c r="I37" s="201">
        <v>1.2922467110980676E-2</v>
      </c>
      <c r="J37" s="201">
        <v>1.2655774543962318E-2</v>
      </c>
      <c r="K37" s="201">
        <v>1.2399867338110151E-2</v>
      </c>
      <c r="L37" s="201">
        <v>1.2154104201679153E-2</v>
      </c>
      <c r="M37" s="201">
        <v>1.1917893695992799E-2</v>
      </c>
      <c r="N37" s="201">
        <v>1.1690689483417543E-2</v>
      </c>
      <c r="O37" s="201">
        <v>1.1471986108727759E-2</v>
      </c>
      <c r="P37" s="201">
        <v>1.126131524529537E-2</v>
      </c>
      <c r="Q37" s="201">
        <v>1.1058242347429395E-2</v>
      </c>
      <c r="R37" s="201">
        <v>1.0862363658505521E-2</v>
      </c>
      <c r="S37" s="201">
        <v>1.0673303531537859E-2</v>
      </c>
      <c r="T37" s="201">
        <v>1.0490712024777494E-2</v>
      </c>
      <c r="U37" s="201">
        <v>1.0314262739957079E-2</v>
      </c>
      <c r="V37" s="201">
        <v>1.0143650875085614E-2</v>
      </c>
      <c r="W37" s="201">
        <v>9.9785914673549293E-3</v>
      </c>
      <c r="X37" s="201">
        <v>9.8188178048499736E-3</v>
      </c>
      <c r="Y37" s="201">
        <v>9.664079988441163E-3</v>
      </c>
      <c r="Z37" s="201">
        <v>9.5141436275485661E-3</v>
      </c>
      <c r="AA37" s="201">
        <v>9.3687886554610217E-3</v>
      </c>
      <c r="AB37" s="201">
        <v>9.227808251616872E-3</v>
      </c>
      <c r="AC37" s="201">
        <v>9.0910078597465412E-3</v>
      </c>
      <c r="AD37" s="201">
        <v>8.9582042920742823E-3</v>
      </c>
      <c r="AE37" s="201">
        <v>8.8292249109056756E-3</v>
      </c>
      <c r="AF37" s="201">
        <v>8.7039068799121769E-3</v>
      </c>
    </row>
    <row r="38" spans="1:32" x14ac:dyDescent="0.25">
      <c r="A38" s="245"/>
      <c r="B38" s="249" t="s">
        <v>29</v>
      </c>
      <c r="G38" s="201">
        <v>2.6982111327727872E-2</v>
      </c>
      <c r="H38" s="201">
        <v>2.3262427265854663E-2</v>
      </c>
      <c r="I38" s="201">
        <v>2.1399387113736606E-2</v>
      </c>
      <c r="J38" s="201">
        <v>2.0106241234508347E-2</v>
      </c>
      <c r="K38" s="201">
        <v>1.9126271790441737E-2</v>
      </c>
      <c r="L38" s="201">
        <v>1.8356837875116296E-2</v>
      </c>
      <c r="M38" s="201">
        <v>1.7740859323594663E-2</v>
      </c>
      <c r="N38" s="201">
        <v>1.7240970517067331E-2</v>
      </c>
      <c r="O38" s="201">
        <v>1.6830705026912491E-2</v>
      </c>
      <c r="P38" s="201">
        <v>1.6490565174818166E-2</v>
      </c>
      <c r="Q38" s="201">
        <v>1.6205875095287595E-2</v>
      </c>
      <c r="R38" s="201">
        <v>1.5965437289684515E-2</v>
      </c>
      <c r="S38" s="201">
        <v>1.5760621746007623E-2</v>
      </c>
      <c r="T38" s="201">
        <v>1.5584720356493869E-2</v>
      </c>
      <c r="U38" s="201">
        <v>1.5432477969361827E-2</v>
      </c>
      <c r="V38" s="201">
        <v>1.5299746713403605E-2</v>
      </c>
      <c r="W38" s="201">
        <v>1.5183228653255653E-2</v>
      </c>
      <c r="X38" s="201">
        <v>1.5080282722262238E-2</v>
      </c>
      <c r="Y38" s="201">
        <v>1.4988778901667523E-2</v>
      </c>
      <c r="Z38" s="201">
        <v>1.4906987388904985E-2</v>
      </c>
      <c r="AA38" s="201">
        <v>1.483349384281436E-2</v>
      </c>
      <c r="AB38" s="201">
        <v>1.4767134177990054E-2</v>
      </c>
      <c r="AC38" s="201">
        <v>1.4706944097922236E-2</v>
      </c>
      <c r="AD38" s="201">
        <v>1.4652119802637871E-2</v>
      </c>
      <c r="AE38" s="201">
        <v>1.4601987215801899E-2</v>
      </c>
      <c r="AF38" s="201">
        <v>1.455597774316382E-2</v>
      </c>
    </row>
    <row r="39" spans="1:32" x14ac:dyDescent="0.25">
      <c r="A39" s="245"/>
      <c r="B39" s="249" t="s">
        <v>53</v>
      </c>
      <c r="G39" s="201">
        <v>1.6863819579829919E-2</v>
      </c>
      <c r="H39" s="201">
        <v>1.6821765166912632E-2</v>
      </c>
      <c r="I39" s="201">
        <v>1.6779919979930259E-2</v>
      </c>
      <c r="J39" s="201">
        <v>1.6738282461369637E-2</v>
      </c>
      <c r="K39" s="201">
        <v>1.6696851069138523E-2</v>
      </c>
      <c r="L39" s="201">
        <v>1.6655624276375219E-2</v>
      </c>
      <c r="M39" s="201">
        <v>1.6614600571260994E-2</v>
      </c>
      <c r="N39" s="201">
        <v>1.6573778456835293E-2</v>
      </c>
      <c r="O39" s="201">
        <v>1.6533156450813633E-2</v>
      </c>
      <c r="P39" s="201">
        <v>1.6492733085408221E-2</v>
      </c>
      <c r="Q39" s="201">
        <v>1.6452506907151131E-2</v>
      </c>
      <c r="R39" s="201">
        <v>1.6412476476720107E-2</v>
      </c>
      <c r="S39" s="201">
        <v>1.63726403687669E-2</v>
      </c>
      <c r="T39" s="201">
        <v>1.6332997171748097E-2</v>
      </c>
      <c r="U39" s="201">
        <v>1.6293545487758365E-2</v>
      </c>
      <c r="V39" s="201">
        <v>1.6254283932366179E-2</v>
      </c>
      <c r="W39" s="201">
        <v>1.6215211134451835E-2</v>
      </c>
      <c r="X39" s="201">
        <v>1.6176325736047874E-2</v>
      </c>
      <c r="Y39" s="201">
        <v>1.613762639218173E-2</v>
      </c>
      <c r="Z39" s="201">
        <v>1.6099111770720674E-2</v>
      </c>
      <c r="AA39" s="201">
        <v>1.6060780552218962E-2</v>
      </c>
      <c r="AB39" s="201">
        <v>1.6022631429767134E-2</v>
      </c>
      <c r="AC39" s="201">
        <v>1.5984663108843514E-2</v>
      </c>
      <c r="AD39" s="201">
        <v>1.5946874307167763E-2</v>
      </c>
      <c r="AE39" s="201">
        <v>1.5909263754556518E-2</v>
      </c>
      <c r="AF39" s="201">
        <v>1.587183019278109E-2</v>
      </c>
    </row>
    <row r="41" spans="1:32" x14ac:dyDescent="0.25">
      <c r="A41" s="326" t="s">
        <v>181</v>
      </c>
      <c r="B41" s="327"/>
      <c r="C41" s="327"/>
      <c r="D41" s="327"/>
      <c r="E41" s="327"/>
      <c r="F41" s="327"/>
      <c r="G41" s="331"/>
      <c r="H41" s="327"/>
      <c r="I41" s="327"/>
      <c r="J41" s="327"/>
      <c r="K41" s="327"/>
      <c r="L41" s="327"/>
      <c r="M41" s="327"/>
      <c r="N41" s="327"/>
      <c r="O41" s="327"/>
      <c r="P41" s="327"/>
      <c r="Q41" s="327"/>
      <c r="R41" s="327"/>
      <c r="S41" s="327"/>
      <c r="T41" s="327"/>
      <c r="U41" s="327"/>
      <c r="V41" s="327"/>
      <c r="W41" s="327"/>
      <c r="X41" s="327"/>
      <c r="Y41" s="327"/>
      <c r="Z41" s="327"/>
      <c r="AA41" s="327"/>
      <c r="AB41" s="327"/>
      <c r="AC41" s="327"/>
      <c r="AD41" s="327"/>
      <c r="AE41" s="327"/>
      <c r="AF41" s="327"/>
    </row>
    <row r="42" spans="1:32" x14ac:dyDescent="0.25">
      <c r="A42" s="323" t="s">
        <v>12</v>
      </c>
      <c r="B42" s="322"/>
    </row>
    <row r="43" spans="1:32" x14ac:dyDescent="0.25">
      <c r="A43" s="322"/>
      <c r="B43" s="322" t="s">
        <v>20</v>
      </c>
    </row>
    <row r="44" spans="1:32" s="202" customFormat="1" ht="12.75" x14ac:dyDescent="0.2">
      <c r="A44" s="335" t="s">
        <v>21</v>
      </c>
      <c r="B44" s="335"/>
      <c r="C44" s="335"/>
      <c r="D44" s="335"/>
      <c r="E44" s="335"/>
      <c r="F44" s="335"/>
      <c r="G44" s="335"/>
      <c r="H44" s="335"/>
      <c r="I44" s="335"/>
      <c r="J44" s="335"/>
      <c r="K44" s="335"/>
      <c r="L44" s="335"/>
      <c r="M44" s="335"/>
      <c r="N44" s="335"/>
      <c r="O44" s="335"/>
      <c r="P44" s="335"/>
      <c r="Q44" s="335"/>
      <c r="R44" s="335"/>
      <c r="S44" s="335"/>
      <c r="T44" s="335"/>
      <c r="U44" s="335"/>
      <c r="V44" s="335"/>
      <c r="W44" s="335"/>
      <c r="X44" s="335"/>
      <c r="Y44" s="335"/>
      <c r="Z44" s="335"/>
      <c r="AA44" s="335"/>
      <c r="AB44" s="335"/>
      <c r="AC44" s="335"/>
      <c r="AD44" s="335"/>
      <c r="AE44" s="335"/>
      <c r="AF44" s="335"/>
    </row>
    <row r="45" spans="1:32" x14ac:dyDescent="0.25">
      <c r="A45" s="322"/>
      <c r="B45" s="322" t="s">
        <v>22</v>
      </c>
      <c r="G45" s="321">
        <f t="array" aca="1" ref="G45" ca="1">AVERAGE(IF($G$3:$AF$3+$G81:$AF81&gt;=G$3,IF($G$3:$AF$3&lt;=G$3,$G81:$AF81)))</f>
        <v>2.0507981747250446</v>
      </c>
      <c r="H45" s="321">
        <f t="array" aca="1" ref="H45" ca="1">AVERAGE(IF($G$3:$AF$3+$G81:$AF81&gt;=H$3,IF($G$3:$AF$3&lt;=H$3,$G81:$AF81)))</f>
        <v>2.0507981747250446</v>
      </c>
      <c r="I45" s="321">
        <f t="array" aca="1" ref="I45" ca="1">AVERAGE(IF($G$3:$AF$3+$G81:$AF81&gt;=I$3,IF($G$3:$AF$3&lt;=I$3,$G81:$AF81)))</f>
        <v>2.0507981747250446</v>
      </c>
      <c r="J45" s="321">
        <f t="array" aca="1" ref="J45" ca="1">AVERAGE(IF($G$3:$AF$3+$G81:$AF81&gt;=J$3,IF($G$3:$AF$3&lt;=J$3,$G81:$AF81)))</f>
        <v>2.0507981747250446</v>
      </c>
      <c r="K45" s="321">
        <f t="array" aca="1" ref="K45" ca="1">AVERAGE(IF($G$3:$AF$3+$G81:$AF81&gt;=K$3,IF($G$3:$AF$3&lt;=K$3,$G81:$AF81)))</f>
        <v>2.0507981747250446</v>
      </c>
      <c r="L45" s="321">
        <f t="array" aca="1" ref="L45" ca="1">AVERAGE(IF($G$3:$AF$3+$G81:$AF81&gt;=L$3,IF($G$3:$AF$3&lt;=L$3,$G81:$AF81)))</f>
        <v>2.0507981747250446</v>
      </c>
      <c r="M45" s="321">
        <f t="array" aca="1" ref="M45" ca="1">AVERAGE(IF($G$3:$AF$3+$G81:$AF81&gt;=M$3,IF($G$3:$AF$3&lt;=M$3,$G81:$AF81)))</f>
        <v>2.0507981747250446</v>
      </c>
      <c r="N45" s="321">
        <f t="array" aca="1" ref="N45" ca="1">AVERAGE(IF($G$3:$AF$3+$G81:$AF81&gt;=N$3,IF($G$3:$AF$3&lt;=N$3,$G81:$AF81)))</f>
        <v>2.0507981747250446</v>
      </c>
      <c r="O45" s="321">
        <f t="array" aca="1" ref="O45" ca="1">AVERAGE(IF($G$3:$AF$3+$G81:$AF81&gt;=O$3,IF($G$3:$AF$3&lt;=O$3,$G81:$AF81)))</f>
        <v>2.0507981747250446</v>
      </c>
      <c r="P45" s="321">
        <f t="array" aca="1" ref="P45" ca="1">AVERAGE(IF($G$3:$AF$3+$G81:$AF81&gt;=P$3,IF($G$3:$AF$3&lt;=P$3,$G81:$AF81)))</f>
        <v>2.0507981747250446</v>
      </c>
      <c r="Q45" s="321">
        <f t="array" aca="1" ref="Q45" ca="1">AVERAGE(IF($G$3:$AF$3+$G81:$AF81&gt;=Q$3,IF($G$3:$AF$3&lt;=Q$3,$G81:$AF81)))</f>
        <v>2.0507981747250446</v>
      </c>
      <c r="R45" s="321">
        <f t="array" aca="1" ref="R45" ca="1">AVERAGE(IF($G$3:$AF$3+$G81:$AF81&gt;=R$3,IF($G$3:$AF$3&lt;=R$3,$G81:$AF81)))</f>
        <v>2.0507981747250446</v>
      </c>
      <c r="S45" s="321">
        <f t="array" aca="1" ref="S45" ca="1">AVERAGE(IF($G$3:$AF$3+$G81:$AF81&gt;=S$3,IF($G$3:$AF$3&lt;=S$3,$G81:$AF81)))</f>
        <v>2.0507981747250446</v>
      </c>
      <c r="T45" s="321">
        <f t="array" aca="1" ref="T45" ca="1">AVERAGE(IF($G$3:$AF$3+$G81:$AF81&gt;=T$3,IF($G$3:$AF$3&lt;=T$3,$G81:$AF81)))</f>
        <v>2.0507981747250446</v>
      </c>
      <c r="U45" s="321">
        <f t="array" aca="1" ref="U45" ca="1">AVERAGE(IF($G$3:$AF$3+$G81:$AF81&gt;=U$3,IF($G$3:$AF$3&lt;=U$3,$G81:$AF81)))</f>
        <v>2.0507981747250446</v>
      </c>
      <c r="V45" s="321">
        <f t="array" aca="1" ref="V45" ca="1">AVERAGE(IF($G$3:$AF$3+$G81:$AF81&gt;=V$3,IF($G$3:$AF$3&lt;=V$3,$G81:$AF81)))</f>
        <v>2.0507981747250446</v>
      </c>
      <c r="W45" s="321">
        <f t="array" aca="1" ref="W45" ca="1">AVERAGE(IF($G$3:$AF$3+$G81:$AF81&gt;=W$3,IF($G$3:$AF$3&lt;=W$3,$G81:$AF81)))</f>
        <v>2.0507981747250446</v>
      </c>
      <c r="X45" s="321">
        <f t="array" aca="1" ref="X45" ca="1">AVERAGE(IF($G$3:$AF$3+$G81:$AF81&gt;=X$3,IF($G$3:$AF$3&lt;=X$3,$G81:$AF81)))</f>
        <v>2.0507981747250446</v>
      </c>
      <c r="Y45" s="321">
        <f t="array" aca="1" ref="Y45" ca="1">AVERAGE(IF($G$3:$AF$3+$G81:$AF81&gt;=Y$3,IF($G$3:$AF$3&lt;=Y$3,$G81:$AF81)))</f>
        <v>2.0507981747250446</v>
      </c>
      <c r="Z45" s="321">
        <f t="array" aca="1" ref="Z45" ca="1">AVERAGE(IF($G$3:$AF$3+$G81:$AF81&gt;=Z$3,IF($G$3:$AF$3&lt;=Z$3,$G81:$AF81)))</f>
        <v>2.0507981747250446</v>
      </c>
      <c r="AA45" s="321">
        <f t="array" aca="1" ref="AA45" ca="1">AVERAGE(IF($G$3:$AF$3+$G81:$AF81&gt;=AA$3,IF($G$3:$AF$3&lt;=AA$3,$G81:$AF81)))</f>
        <v>2.0507981747250446</v>
      </c>
      <c r="AB45" s="321">
        <f t="array" aca="1" ref="AB45" ca="1">AVERAGE(IF($G$3:$AF$3+$G81:$AF81&gt;=AB$3,IF($G$3:$AF$3&lt;=AB$3,$G81:$AF81)))</f>
        <v>2.0507981747250446</v>
      </c>
      <c r="AC45" s="321">
        <f t="array" aca="1" ref="AC45" ca="1">AVERAGE(IF($G$3:$AF$3+$G81:$AF81&gt;=AC$3,IF($G$3:$AF$3&lt;=AC$3,$G81:$AF81)))</f>
        <v>2.0507981747250446</v>
      </c>
      <c r="AD45" s="321">
        <f t="array" aca="1" ref="AD45" ca="1">AVERAGE(IF($G$3:$AF$3+$G81:$AF81&gt;=AD$3,IF($G$3:$AF$3&lt;=AD$3,$G81:$AF81)))</f>
        <v>2.0507981747250446</v>
      </c>
      <c r="AE45" s="321">
        <f t="array" aca="1" ref="AE45" ca="1">AVERAGE(IF($G$3:$AF$3+$G81:$AF81&gt;=AE$3,IF($G$3:$AF$3&lt;=AE$3,$G81:$AF81)))</f>
        <v>2.0507981747250446</v>
      </c>
      <c r="AF45" s="321">
        <f t="array" aca="1" ref="AF45" ca="1">AVERAGE(IF($G$3:$AF$3+$G81:$AF81&gt;=AF$3,IF($G$3:$AF$3&lt;=AF$3,$G81:$AF81)))</f>
        <v>2.0507981747250446</v>
      </c>
    </row>
    <row r="46" spans="1:32" x14ac:dyDescent="0.25">
      <c r="A46" s="322"/>
      <c r="B46" s="322" t="s">
        <v>26</v>
      </c>
      <c r="G46" s="321">
        <f t="array" aca="1" ref="G46" ca="1">AVERAGE(IF($G$3:$AF$3+$G82:$AF82&gt;=G$3,IF($G$3:$AF$3&lt;=G$3,$G82:$AF82)))</f>
        <v>2.2786646385833826</v>
      </c>
      <c r="H46" s="321">
        <f t="array" aca="1" ref="H46" ca="1">AVERAGE(IF($G$3:$AF$3+$G82:$AF82&gt;=H$3,IF($G$3:$AF$3&lt;=H$3,$G82:$AF82)))</f>
        <v>2.2843613001798415</v>
      </c>
      <c r="I46" s="321">
        <f t="array" aca="1" ref="I46" ca="1">AVERAGE(IF($G$3:$AF$3+$G82:$AF82&gt;=I$3,IF($G$3:$AF$3&lt;=I$3,$G82:$AF82)))</f>
        <v>2.2900579617762999</v>
      </c>
      <c r="J46" s="321">
        <f t="array" aca="1" ref="J46" ca="1">AVERAGE(IF($G$3:$AF$3+$G82:$AF82&gt;=J$3,IF($G$3:$AF$3&lt;=J$3,$G82:$AF82)))</f>
        <v>2.3014512849692172</v>
      </c>
      <c r="K46" s="321">
        <f t="array" aca="1" ref="K46" ca="1">AVERAGE(IF($G$3:$AF$3+$G82:$AF82&gt;=K$3,IF($G$3:$AF$3&lt;=K$3,$G82:$AF82)))</f>
        <v>2.3128446081621341</v>
      </c>
      <c r="L46" s="321">
        <f t="array" aca="1" ref="L46" ca="1">AVERAGE(IF($G$3:$AF$3+$G82:$AF82&gt;=L$3,IF($G$3:$AF$3&lt;=L$3,$G82:$AF82)))</f>
        <v>2.3242379313550501</v>
      </c>
      <c r="M46" s="321">
        <f t="array" aca="1" ref="M46" ca="1">AVERAGE(IF($G$3:$AF$3+$G82:$AF82&gt;=M$3,IF($G$3:$AF$3&lt;=M$3,$G82:$AF82)))</f>
        <v>2.3356312545479665</v>
      </c>
      <c r="N46" s="321">
        <f t="array" aca="1" ref="N46" ca="1">AVERAGE(IF($G$3:$AF$3+$G82:$AF82&gt;=N$3,IF($G$3:$AF$3&lt;=N$3,$G82:$AF82)))</f>
        <v>2.3470245777408842</v>
      </c>
      <c r="O46" s="321">
        <f t="array" aca="1" ref="O46" ca="1">AVERAGE(IF($G$3:$AF$3+$G82:$AF82&gt;=O$3,IF($G$3:$AF$3&lt;=O$3,$G82:$AF82)))</f>
        <v>2.3584179009338015</v>
      </c>
      <c r="P46" s="321">
        <f t="array" aca="1" ref="P46" ca="1">AVERAGE(IF($G$3:$AF$3+$G82:$AF82&gt;=P$3,IF($G$3:$AF$3&lt;=P$3,$G82:$AF82)))</f>
        <v>2.3698112241267189</v>
      </c>
      <c r="Q46" s="321">
        <f t="array" aca="1" ref="Q46" ca="1">AVERAGE(IF($G$3:$AF$3+$G82:$AF82&gt;=Q$3,IF($G$3:$AF$3&lt;=Q$3,$G82:$AF82)))</f>
        <v>2.3812045473196353</v>
      </c>
      <c r="R46" s="321">
        <f t="array" aca="1" ref="R46" ca="1">AVERAGE(IF($G$3:$AF$3+$G82:$AF82&gt;=R$3,IF($G$3:$AF$3&lt;=R$3,$G82:$AF82)))</f>
        <v>2.3925978705125517</v>
      </c>
      <c r="S46" s="321">
        <f t="array" aca="1" ref="S46" ca="1">AVERAGE(IF($G$3:$AF$3+$G82:$AF82&gt;=S$3,IF($G$3:$AF$3&lt;=S$3,$G82:$AF82)))</f>
        <v>2.4039911937054677</v>
      </c>
      <c r="T46" s="321">
        <f t="array" aca="1" ref="T46" ca="1">AVERAGE(IF($G$3:$AF$3+$G82:$AF82&gt;=T$3,IF($G$3:$AF$3&lt;=T$3,$G82:$AF82)))</f>
        <v>2.4153845168983854</v>
      </c>
      <c r="U46" s="321">
        <f t="array" aca="1" ref="U46" ca="1">AVERAGE(IF($G$3:$AF$3+$G82:$AF82&gt;=U$3,IF($G$3:$AF$3&lt;=U$3,$G82:$AF82)))</f>
        <v>2.4267778400913032</v>
      </c>
      <c r="V46" s="321">
        <f t="array" aca="1" ref="V46" ca="1">AVERAGE(IF($G$3:$AF$3+$G82:$AF82&gt;=V$3,IF($G$3:$AF$3&lt;=V$3,$G82:$AF82)))</f>
        <v>2.4381711632842205</v>
      </c>
      <c r="W46" s="321">
        <f t="array" aca="1" ref="W46" ca="1">AVERAGE(IF($G$3:$AF$3+$G82:$AF82&gt;=W$3,IF($G$3:$AF$3&lt;=W$3,$G82:$AF82)))</f>
        <v>2.4495644864771378</v>
      </c>
      <c r="X46" s="321">
        <f t="array" aca="1" ref="X46" ca="1">AVERAGE(IF($G$3:$AF$3+$G82:$AF82&gt;=X$3,IF($G$3:$AF$3&lt;=X$3,$G82:$AF82)))</f>
        <v>2.4609578096700542</v>
      </c>
      <c r="Y46" s="321">
        <f t="array" aca="1" ref="Y46" ca="1">AVERAGE(IF($G$3:$AF$3+$G82:$AF82&gt;=Y$3,IF($G$3:$AF$3&lt;=Y$3,$G82:$AF82)))</f>
        <v>2.4723511328629706</v>
      </c>
      <c r="Z46" s="321">
        <f t="array" aca="1" ref="Z46" ca="1">AVERAGE(IF($G$3:$AF$3+$G82:$AF82&gt;=Z$3,IF($G$3:$AF$3&lt;=Z$3,$G82:$AF82)))</f>
        <v>2.4837444560558866</v>
      </c>
      <c r="AA46" s="321">
        <f t="array" aca="1" ref="AA46" ca="1">AVERAGE(IF($G$3:$AF$3+$G82:$AF82&gt;=AA$3,IF($G$3:$AF$3&lt;=AA$3,$G82:$AF82)))</f>
        <v>2.4951377792488043</v>
      </c>
      <c r="AB46" s="321">
        <f t="array" aca="1" ref="AB46" ca="1">AVERAGE(IF($G$3:$AF$3+$G82:$AF82&gt;=AB$3,IF($G$3:$AF$3&lt;=AB$3,$G82:$AF82)))</f>
        <v>2.5065311024417216</v>
      </c>
      <c r="AC46" s="321">
        <f t="array" aca="1" ref="AC46" ca="1">AVERAGE(IF($G$3:$AF$3+$G82:$AF82&gt;=AC$3,IF($G$3:$AF$3&lt;=AC$3,$G82:$AF82)))</f>
        <v>2.5179244256346389</v>
      </c>
      <c r="AD46" s="321">
        <f t="array" aca="1" ref="AD46" ca="1">AVERAGE(IF($G$3:$AF$3+$G82:$AF82&gt;=AD$3,IF($G$3:$AF$3&lt;=AD$3,$G82:$AF82)))</f>
        <v>2.5293177488275553</v>
      </c>
      <c r="AE46" s="321">
        <f t="array" aca="1" ref="AE46" ca="1">AVERAGE(IF($G$3:$AF$3+$G82:$AF82&gt;=AE$3,IF($G$3:$AF$3&lt;=AE$3,$G82:$AF82)))</f>
        <v>2.5407110720204718</v>
      </c>
      <c r="AF46" s="321">
        <f t="array" aca="1" ref="AF46" ca="1">AVERAGE(IF($G$3:$AF$3+$G82:$AF82&gt;=AF$3,IF($G$3:$AF$3&lt;=AF$3,$G82:$AF82)))</f>
        <v>2.5521043952133886</v>
      </c>
    </row>
    <row r="47" spans="1:32" x14ac:dyDescent="0.25">
      <c r="A47" s="322"/>
      <c r="B47" s="322" t="s">
        <v>27</v>
      </c>
      <c r="G47" s="321">
        <f t="array" aca="1" ref="G47" ca="1">AVERAGE(IF($G$3:$AF$3+$G83:$AF83&gt;=G$3,IF($G$3:$AF$3&lt;=G$3,$G83:$AF83)))</f>
        <v>15.646830518272557</v>
      </c>
      <c r="H47" s="321">
        <f t="array" aca="1" ref="H47" ca="1">AVERAGE(IF($G$3:$AF$3+$G83:$AF83&gt;=H$3,IF($G$3:$AF$3&lt;=H$3,$G83:$AF83)))</f>
        <v>15.68594759456823</v>
      </c>
      <c r="I47" s="321">
        <f t="array" aca="1" ref="I47" ca="1">AVERAGE(IF($G$3:$AF$3+$G83:$AF83&gt;=I$3,IF($G$3:$AF$3&lt;=I$3,$G83:$AF83)))</f>
        <v>15.72506467086391</v>
      </c>
      <c r="J47" s="321">
        <f t="array" aca="1" ref="J47" ca="1">AVERAGE(IF($G$3:$AF$3+$G83:$AF83&gt;=J$3,IF($G$3:$AF$3&lt;=J$3,$G83:$AF83)))</f>
        <v>15.764181747159594</v>
      </c>
      <c r="K47" s="321">
        <f t="array" aca="1" ref="K47" ca="1">AVERAGE(IF($G$3:$AF$3+$G83:$AF83&gt;=K$3,IF($G$3:$AF$3&lt;=K$3,$G83:$AF83)))</f>
        <v>15.803298823455274</v>
      </c>
      <c r="L47" s="321">
        <f t="array" aca="1" ref="L47" ca="1">AVERAGE(IF($G$3:$AF$3+$G83:$AF83&gt;=L$3,IF($G$3:$AF$3&lt;=L$3,$G83:$AF83)))</f>
        <v>15.842415899750955</v>
      </c>
      <c r="M47" s="321">
        <f t="array" aca="1" ref="M47" ca="1">AVERAGE(IF($G$3:$AF$3+$G83:$AF83&gt;=M$3,IF($G$3:$AF$3&lt;=M$3,$G83:$AF83)))</f>
        <v>15.881532976046639</v>
      </c>
      <c r="N47" s="321">
        <f t="array" aca="1" ref="N47" ca="1">AVERAGE(IF($G$3:$AF$3+$G83:$AF83&gt;=N$3,IF($G$3:$AF$3&lt;=N$3,$G83:$AF83)))</f>
        <v>15.920650052342319</v>
      </c>
      <c r="O47" s="321">
        <f t="array" aca="1" ref="O47" ca="1">AVERAGE(IF($G$3:$AF$3+$G83:$AF83&gt;=O$3,IF($G$3:$AF$3&lt;=O$3,$G83:$AF83)))</f>
        <v>15.959767128638001</v>
      </c>
      <c r="P47" s="321">
        <f t="array" aca="1" ref="P47" ca="1">AVERAGE(IF($G$3:$AF$3+$G83:$AF83&gt;=P$3,IF($G$3:$AF$3&lt;=P$3,$G83:$AF83)))</f>
        <v>15.998884204933683</v>
      </c>
      <c r="Q47" s="321">
        <f t="array" aca="1" ref="Q47" ca="1">AVERAGE(IF($G$3:$AF$3+$G83:$AF83&gt;=Q$3,IF($G$3:$AF$3&lt;=Q$3,$G83:$AF83)))</f>
        <v>16.038001281229366</v>
      </c>
      <c r="R47" s="321">
        <f t="array" aca="1" ref="R47" ca="1">AVERAGE(IF($G$3:$AF$3+$G83:$AF83&gt;=R$3,IF($G$3:$AF$3&lt;=R$3,$G83:$AF83)))</f>
        <v>16.077118357525048</v>
      </c>
      <c r="S47" s="321">
        <f t="array" aca="1" ref="S47" ca="1">AVERAGE(IF($G$3:$AF$3+$G83:$AF83&gt;=S$3,IF($G$3:$AF$3&lt;=S$3,$G83:$AF83)))</f>
        <v>16.116235433820727</v>
      </c>
      <c r="T47" s="321">
        <f t="array" aca="1" ref="T47" ca="1">AVERAGE(IF($G$3:$AF$3+$G83:$AF83&gt;=T$3,IF($G$3:$AF$3&lt;=T$3,$G83:$AF83)))</f>
        <v>16.155352510116408</v>
      </c>
      <c r="U47" s="321">
        <f t="array" aca="1" ref="U47" ca="1">AVERAGE(IF($G$3:$AF$3+$G83:$AF83&gt;=U$3,IF($G$3:$AF$3&lt;=U$3,$G83:$AF83)))</f>
        <v>16.19446958641209</v>
      </c>
      <c r="V47" s="321">
        <f t="array" aca="1" ref="V47" ca="1">AVERAGE(IF($G$3:$AF$3+$G83:$AF83&gt;=V$3,IF($G$3:$AF$3&lt;=V$3,$G83:$AF83)))</f>
        <v>16.233586662707772</v>
      </c>
      <c r="W47" s="321">
        <f t="array" aca="1" ref="W47" ca="1">AVERAGE(IF($G$3:$AF$3+$G83:$AF83&gt;=W$3,IF($G$3:$AF$3&lt;=W$3,$G83:$AF83)))</f>
        <v>16.311820815299136</v>
      </c>
      <c r="X47" s="321">
        <f t="array" aca="1" ref="X47" ca="1">AVERAGE(IF($G$3:$AF$3+$G83:$AF83&gt;=X$3,IF($G$3:$AF$3&lt;=X$3,$G83:$AF83)))</f>
        <v>16.390054967890496</v>
      </c>
      <c r="Y47" s="321">
        <f t="array" aca="1" ref="Y47" ca="1">AVERAGE(IF($G$3:$AF$3+$G83:$AF83&gt;=Y$3,IF($G$3:$AF$3&lt;=Y$3,$G83:$AF83)))</f>
        <v>16.46828912048186</v>
      </c>
      <c r="Z47" s="321">
        <f t="array" aca="1" ref="Z47" ca="1">AVERAGE(IF($G$3:$AF$3+$G83:$AF83&gt;=Z$3,IF($G$3:$AF$3&lt;=Z$3,$G83:$AF83)))</f>
        <v>16.54652327307322</v>
      </c>
      <c r="AA47" s="321">
        <f t="array" aca="1" ref="AA47" ca="1">AVERAGE(IF($G$3:$AF$3+$G83:$AF83&gt;=AA$3,IF($G$3:$AF$3&lt;=AA$3,$G83:$AF83)))</f>
        <v>16.624757425664587</v>
      </c>
      <c r="AB47" s="321">
        <f t="array" aca="1" ref="AB47" ca="1">AVERAGE(IF($G$3:$AF$3+$G83:$AF83&gt;=AB$3,IF($G$3:$AF$3&lt;=AB$3,$G83:$AF83)))</f>
        <v>16.663874501960269</v>
      </c>
      <c r="AC47" s="321">
        <f t="array" aca="1" ref="AC47" ca="1">AVERAGE(IF($G$3:$AF$3+$G83:$AF83&gt;=AC$3,IF($G$3:$AF$3&lt;=AC$3,$G83:$AF83)))</f>
        <v>16.742108654551629</v>
      </c>
      <c r="AD47" s="321">
        <f t="array" aca="1" ref="AD47" ca="1">AVERAGE(IF($G$3:$AF$3+$G83:$AF83&gt;=AD$3,IF($G$3:$AF$3&lt;=AD$3,$G83:$AF83)))</f>
        <v>16.820342807142993</v>
      </c>
      <c r="AE47" s="321">
        <f t="array" aca="1" ref="AE47" ca="1">AVERAGE(IF($G$3:$AF$3+$G83:$AF83&gt;=AE$3,IF($G$3:$AF$3&lt;=AE$3,$G83:$AF83)))</f>
        <v>16.898576959734356</v>
      </c>
      <c r="AF47" s="321">
        <f t="array" aca="1" ref="AF47" ca="1">AVERAGE(IF($G$3:$AF$3+$G83:$AF83&gt;=AF$3,IF($G$3:$AF$3&lt;=AF$3,$G83:$AF83)))</f>
        <v>16.97681111232572</v>
      </c>
    </row>
    <row r="48" spans="1:32" x14ac:dyDescent="0.25">
      <c r="A48" s="322"/>
      <c r="B48" s="322" t="s">
        <v>29</v>
      </c>
      <c r="G48" s="321">
        <f t="array" aca="1" ref="G48" ca="1">AVERAGE(IF($G$3:$AF$3+$G84:$AF84&gt;=G$3,IF($G$3:$AF$3&lt;=G$3,$G84:$AF84)))</f>
        <v>37.977743976389711</v>
      </c>
      <c r="H48" s="321">
        <f t="array" aca="1" ref="H48" ca="1">AVERAGE(IF($G$3:$AF$3+$G84:$AF84&gt;=H$3,IF($G$3:$AF$3&lt;=H$3,$G84:$AF84)))</f>
        <v>44.050421060359866</v>
      </c>
      <c r="I48" s="321">
        <f t="array" aca="1" ref="I48" ca="1">AVERAGE(IF($G$3:$AF$3+$G84:$AF84&gt;=I$3,IF($G$3:$AF$3&lt;=I$3,$G84:$AF84)))</f>
        <v>47.885470294105289</v>
      </c>
      <c r="J48" s="321">
        <f t="array" aca="1" ref="J48" ca="1">AVERAGE(IF($G$3:$AF$3+$G84:$AF84&gt;=J$3,IF($G$3:$AF$3&lt;=J$3,$G84:$AF84)))</f>
        <v>50.965255215786783</v>
      </c>
      <c r="K48" s="321">
        <f t="array" aca="1" ref="K48" ca="1">AVERAGE(IF($G$3:$AF$3+$G84:$AF84&gt;=K$3,IF($G$3:$AF$3&lt;=K$3,$G84:$AF84)))</f>
        <v>53.576553087517695</v>
      </c>
      <c r="L48" s="321">
        <f t="array" aca="1" ref="L48" ca="1">AVERAGE(IF($G$3:$AF$3+$G84:$AF84&gt;=L$3,IF($G$3:$AF$3&lt;=L$3,$G84:$AF84)))</f>
        <v>55.822234903319469</v>
      </c>
      <c r="M48" s="321">
        <f t="array" aca="1" ref="M48" ca="1">AVERAGE(IF($G$3:$AF$3+$G84:$AF84&gt;=M$3,IF($G$3:$AF$3&lt;=M$3,$G84:$AF84)))</f>
        <v>57.760432978804793</v>
      </c>
      <c r="N48" s="321">
        <f t="array" aca="1" ref="N48" ca="1">AVERAGE(IF($G$3:$AF$3+$G84:$AF84&gt;=N$3,IF($G$3:$AF$3&lt;=N$3,$G84:$AF84)))</f>
        <v>59.435152732991114</v>
      </c>
      <c r="O48" s="321">
        <f t="array" aca="1" ref="O48" ca="1">AVERAGE(IF($G$3:$AF$3+$G84:$AF84&gt;=O$3,IF($G$3:$AF$3&lt;=O$3,$G84:$AF84)))</f>
        <v>60.883944808512489</v>
      </c>
      <c r="P48" s="321">
        <f t="array" aca="1" ref="P48" ca="1">AVERAGE(IF($G$3:$AF$3+$G84:$AF84&gt;=P$3,IF($G$3:$AF$3&lt;=P$3,$G84:$AF84)))</f>
        <v>62.139757193506441</v>
      </c>
      <c r="Q48" s="321">
        <f t="array" aca="1" ref="Q48" ca="1">AVERAGE(IF($G$3:$AF$3+$G84:$AF84&gt;=Q$3,IF($G$3:$AF$3&lt;=Q$3,$G84:$AF84)))</f>
        <v>63.231371951328043</v>
      </c>
      <c r="R48" s="321">
        <f t="array" aca="1" ref="R48" ca="1">AVERAGE(IF($G$3:$AF$3+$G84:$AF84&gt;=R$3,IF($G$3:$AF$3&lt;=R$3,$G84:$AF84)))</f>
        <v>64.183629759328866</v>
      </c>
      <c r="S48" s="321">
        <f t="array" aca="1" ref="S48" ca="1">AVERAGE(IF($G$3:$AF$3+$G84:$AF84&gt;=S$3,IF($G$3:$AF$3&lt;=S$3,$G84:$AF84)))</f>
        <v>65.017721537950692</v>
      </c>
      <c r="T48" s="321">
        <f t="array" aca="1" ref="T48" ca="1">AVERAGE(IF($G$3:$AF$3+$G84:$AF84&gt;=T$3,IF($G$3:$AF$3&lt;=T$3,$G84:$AF84)))</f>
        <v>65.751562588667937</v>
      </c>
      <c r="U48" s="321">
        <f t="array" aca="1" ref="U48" ca="1">AVERAGE(IF($G$3:$AF$3+$G84:$AF84&gt;=U$3,IF($G$3:$AF$3&lt;=U$3,$G84:$AF84)))</f>
        <v>66.400205979964767</v>
      </c>
      <c r="V48" s="321">
        <f t="array" aca="1" ref="V48" ca="1">AVERAGE(IF($G$3:$AF$3+$G84:$AF84&gt;=V$3,IF($G$3:$AF$3&lt;=V$3,$G84:$AF84)))</f>
        <v>66.976253603543029</v>
      </c>
      <c r="W48" s="321">
        <f t="array" aca="1" ref="W48" ca="1">AVERAGE(IF($G$3:$AF$3+$G84:$AF84&gt;=W$3,IF($G$3:$AF$3&lt;=W$3,$G84:$AF84)))</f>
        <v>67.490238034923422</v>
      </c>
      <c r="X48" s="321">
        <f t="array" aca="1" ref="X48" ca="1">AVERAGE(IF($G$3:$AF$3+$G84:$AF84&gt;=X$3,IF($G$3:$AF$3&lt;=X$3,$G84:$AF84)))</f>
        <v>67.950961849949479</v>
      </c>
      <c r="Y48" s="321">
        <f t="array" aca="1" ref="Y48" ca="1">AVERAGE(IF($G$3:$AF$3+$G84:$AF84&gt;=Y$3,IF($G$3:$AF$3&lt;=Y$3,$G84:$AF84)))</f>
        <v>68.365790346863562</v>
      </c>
      <c r="Z48" s="321">
        <f t="array" aca="1" ref="Z48" ca="1">AVERAGE(IF($G$3:$AF$3+$G84:$AF84&gt;=Z$3,IF($G$3:$AF$3&lt;=Z$3,$G84:$AF84)))</f>
        <v>68.740899097397445</v>
      </c>
      <c r="AA48" s="321">
        <f t="array" aca="1" ref="AA48" ca="1">AVERAGE(IF($G$3:$AF$3+$G84:$AF84&gt;=AA$3,IF($G$3:$AF$3&lt;=AA$3,$G84:$AF84)))</f>
        <v>69.081480520065639</v>
      </c>
      <c r="AB48" s="321">
        <f t="array" aca="1" ref="AB48" ca="1">AVERAGE(IF($G$3:$AF$3+$G84:$AF84&gt;=AB$3,IF($G$3:$AF$3&lt;=AB$3,$G84:$AF84)))</f>
        <v>69.391914747697356</v>
      </c>
      <c r="AC48" s="321">
        <f t="array" aca="1" ref="AC48" ca="1">AVERAGE(IF($G$3:$AF$3+$G84:$AF84&gt;=AC$3,IF($G$3:$AF$3&lt;=AC$3,$G84:$AF84)))</f>
        <v>69.675910177129452</v>
      </c>
      <c r="AD48" s="321">
        <f t="array" aca="1" ref="AD48" ca="1">AVERAGE(IF($G$3:$AF$3+$G84:$AF84&gt;=AD$3,IF($G$3:$AF$3&lt;=AD$3,$G84:$AF84)))</f>
        <v>69.936618711130805</v>
      </c>
      <c r="AE48" s="321">
        <f t="array" aca="1" ref="AE48" ca="1">AVERAGE(IF($G$3:$AF$3+$G84:$AF84&gt;=AE$3,IF($G$3:$AF$3&lt;=AE$3,$G84:$AF84)))</f>
        <v>70.176730112321167</v>
      </c>
      <c r="AF48" s="321">
        <f t="array" aca="1" ref="AF48" ca="1">AVERAGE(IF($G$3:$AF$3+$G84:$AF84&gt;=AF$3,IF($G$3:$AF$3&lt;=AF$3,$G84:$AF84)))</f>
        <v>70.398549244014276</v>
      </c>
    </row>
    <row r="49" spans="1:32" x14ac:dyDescent="0.25">
      <c r="A49" s="322"/>
      <c r="B49" s="322"/>
      <c r="G49" s="201"/>
      <c r="H49" s="201"/>
      <c r="I49" s="201"/>
      <c r="J49" s="201"/>
      <c r="K49" s="201"/>
      <c r="L49" s="201"/>
      <c r="M49" s="201"/>
      <c r="N49" s="201"/>
      <c r="O49" s="201"/>
      <c r="P49" s="201"/>
      <c r="Q49" s="201"/>
      <c r="R49" s="201"/>
      <c r="S49" s="201"/>
      <c r="T49" s="201"/>
      <c r="U49" s="201"/>
      <c r="V49" s="201"/>
      <c r="W49" s="201"/>
      <c r="X49" s="201"/>
      <c r="Y49" s="201"/>
      <c r="Z49" s="201"/>
      <c r="AA49" s="201"/>
      <c r="AB49" s="201"/>
      <c r="AC49" s="201"/>
      <c r="AD49" s="201"/>
      <c r="AE49" s="201"/>
      <c r="AF49" s="201"/>
    </row>
    <row r="50" spans="1:32" s="202" customFormat="1" ht="12.75" x14ac:dyDescent="0.2">
      <c r="A50" s="335" t="s">
        <v>32</v>
      </c>
      <c r="B50" s="335"/>
      <c r="C50" s="335"/>
      <c r="D50" s="335"/>
      <c r="E50" s="335"/>
      <c r="F50" s="335"/>
      <c r="G50" s="335"/>
      <c r="H50" s="335"/>
      <c r="I50" s="335"/>
      <c r="J50" s="335"/>
      <c r="K50" s="335"/>
      <c r="L50" s="335"/>
      <c r="M50" s="335"/>
      <c r="N50" s="335"/>
      <c r="O50" s="335"/>
      <c r="P50" s="335"/>
      <c r="Q50" s="335"/>
      <c r="R50" s="335"/>
      <c r="S50" s="335"/>
      <c r="T50" s="335"/>
      <c r="U50" s="335"/>
      <c r="V50" s="335"/>
      <c r="W50" s="335"/>
      <c r="X50" s="335"/>
      <c r="Y50" s="335"/>
      <c r="Z50" s="335"/>
      <c r="AA50" s="335"/>
      <c r="AB50" s="335"/>
      <c r="AC50" s="335"/>
      <c r="AD50" s="335"/>
      <c r="AE50" s="335"/>
      <c r="AF50" s="335"/>
    </row>
    <row r="51" spans="1:32" x14ac:dyDescent="0.25">
      <c r="A51" s="322"/>
      <c r="B51" s="322" t="s">
        <v>33</v>
      </c>
      <c r="G51" s="321">
        <f t="array" ref="G51">AVERAGE(IF($G$3:$AF$3+$G87:$AF87&gt;=G$3,IF($G$3:$AF$3&lt;=G$3,$G87:$AF87)))</f>
        <v>3.853173733845662</v>
      </c>
      <c r="H51" s="321">
        <f t="array" ref="H51">AVERAGE(IF($G$3:$AF$3+$G87:$AF87&gt;=H$3,IF($G$3:$AF$3&lt;=H$3,$G87:$AF87)))</f>
        <v>3.853173733845662</v>
      </c>
      <c r="I51" s="321">
        <f t="array" ref="I51">AVERAGE(IF($G$3:$AF$3+$G87:$AF87&gt;=I$3,IF($G$3:$AF$3&lt;=I$3,$G87:$AF87)))</f>
        <v>3.853173733845662</v>
      </c>
      <c r="J51" s="321">
        <f t="array" ref="J51">AVERAGE(IF($G$3:$AF$3+$G87:$AF87&gt;=J$3,IF($G$3:$AF$3&lt;=J$3,$G87:$AF87)))</f>
        <v>3.853173733845662</v>
      </c>
      <c r="K51" s="321">
        <f t="array" ref="K51">AVERAGE(IF($G$3:$AF$3+$G87:$AF87&gt;=K$3,IF($G$3:$AF$3&lt;=K$3,$G87:$AF87)))</f>
        <v>3.853173733845662</v>
      </c>
      <c r="L51" s="321">
        <f t="array" ref="L51">AVERAGE(IF($G$3:$AF$3+$G87:$AF87&gt;=L$3,IF($G$3:$AF$3&lt;=L$3,$G87:$AF87)))</f>
        <v>3.853173733845662</v>
      </c>
      <c r="M51" s="321">
        <f t="array" ref="M51">AVERAGE(IF($G$3:$AF$3+$G87:$AF87&gt;=M$3,IF($G$3:$AF$3&lt;=M$3,$G87:$AF87)))</f>
        <v>3.853173733845662</v>
      </c>
      <c r="N51" s="321">
        <f t="array" ref="N51">AVERAGE(IF($G$3:$AF$3+$G87:$AF87&gt;=N$3,IF($G$3:$AF$3&lt;=N$3,$G87:$AF87)))</f>
        <v>3.853173733845662</v>
      </c>
      <c r="O51" s="321">
        <f t="array" ref="O51">AVERAGE(IF($G$3:$AF$3+$G87:$AF87&gt;=O$3,IF($G$3:$AF$3&lt;=O$3,$G87:$AF87)))</f>
        <v>3.853173733845662</v>
      </c>
      <c r="P51" s="321">
        <f t="array" ref="P51">AVERAGE(IF($G$3:$AF$3+$G87:$AF87&gt;=P$3,IF($G$3:$AF$3&lt;=P$3,$G87:$AF87)))</f>
        <v>3.853173733845662</v>
      </c>
      <c r="Q51" s="321">
        <f t="array" ref="Q51">AVERAGE(IF($G$3:$AF$3+$G87:$AF87&gt;=Q$3,IF($G$3:$AF$3&lt;=Q$3,$G87:$AF87)))</f>
        <v>3.853173733845662</v>
      </c>
      <c r="R51" s="321">
        <f t="array" ref="R51">AVERAGE(IF($G$3:$AF$3+$G87:$AF87&gt;=R$3,IF($G$3:$AF$3&lt;=R$3,$G87:$AF87)))</f>
        <v>3.853173733845662</v>
      </c>
      <c r="S51" s="321">
        <f t="array" ref="S51">AVERAGE(IF($G$3:$AF$3+$G87:$AF87&gt;=S$3,IF($G$3:$AF$3&lt;=S$3,$G87:$AF87)))</f>
        <v>3.853173733845662</v>
      </c>
      <c r="T51" s="321">
        <f t="array" ref="T51">AVERAGE(IF($G$3:$AF$3+$G87:$AF87&gt;=T$3,IF($G$3:$AF$3&lt;=T$3,$G87:$AF87)))</f>
        <v>3.853173733845662</v>
      </c>
      <c r="U51" s="321">
        <f t="array" ref="U51">AVERAGE(IF($G$3:$AF$3+$G87:$AF87&gt;=U$3,IF($G$3:$AF$3&lt;=U$3,$G87:$AF87)))</f>
        <v>3.853173733845662</v>
      </c>
      <c r="V51" s="321">
        <f t="array" ref="V51">AVERAGE(IF($G$3:$AF$3+$G87:$AF87&gt;=V$3,IF($G$3:$AF$3&lt;=V$3,$G87:$AF87)))</f>
        <v>3.853173733845662</v>
      </c>
      <c r="W51" s="321">
        <f t="array" ref="W51">AVERAGE(IF($G$3:$AF$3+$G87:$AF87&gt;=W$3,IF($G$3:$AF$3&lt;=W$3,$G87:$AF87)))</f>
        <v>3.853173733845662</v>
      </c>
      <c r="X51" s="321">
        <f t="array" ref="X51">AVERAGE(IF($G$3:$AF$3+$G87:$AF87&gt;=X$3,IF($G$3:$AF$3&lt;=X$3,$G87:$AF87)))</f>
        <v>3.853173733845662</v>
      </c>
      <c r="Y51" s="321">
        <f t="array" ref="Y51">AVERAGE(IF($G$3:$AF$3+$G87:$AF87&gt;=Y$3,IF($G$3:$AF$3&lt;=Y$3,$G87:$AF87)))</f>
        <v>3.853173733845662</v>
      </c>
      <c r="Z51" s="321">
        <f t="array" ref="Z51">AVERAGE(IF($G$3:$AF$3+$G87:$AF87&gt;=Z$3,IF($G$3:$AF$3&lt;=Z$3,$G87:$AF87)))</f>
        <v>3.853173733845662</v>
      </c>
      <c r="AA51" s="321">
        <f t="array" ref="AA51">AVERAGE(IF($G$3:$AF$3+$G87:$AF87&gt;=AA$3,IF($G$3:$AF$3&lt;=AA$3,$G87:$AF87)))</f>
        <v>3.853173733845662</v>
      </c>
      <c r="AB51" s="321">
        <f t="array" ref="AB51">AVERAGE(IF($G$3:$AF$3+$G87:$AF87&gt;=AB$3,IF($G$3:$AF$3&lt;=AB$3,$G87:$AF87)))</f>
        <v>3.853173733845662</v>
      </c>
      <c r="AC51" s="321">
        <f t="array" ref="AC51">AVERAGE(IF($G$3:$AF$3+$G87:$AF87&gt;=AC$3,IF($G$3:$AF$3&lt;=AC$3,$G87:$AF87)))</f>
        <v>3.853173733845662</v>
      </c>
      <c r="AD51" s="321">
        <f t="array" ref="AD51">AVERAGE(IF($G$3:$AF$3+$G87:$AF87&gt;=AD$3,IF($G$3:$AF$3&lt;=AD$3,$G87:$AF87)))</f>
        <v>3.853173733845662</v>
      </c>
      <c r="AE51" s="321">
        <f t="array" ref="AE51">AVERAGE(IF($G$3:$AF$3+$G87:$AF87&gt;=AE$3,IF($G$3:$AF$3&lt;=AE$3,$G87:$AF87)))</f>
        <v>3.853173733845662</v>
      </c>
      <c r="AF51" s="321">
        <f t="array" ref="AF51">AVERAGE(IF($G$3:$AF$3+$G87:$AF87&gt;=AF$3,IF($G$3:$AF$3&lt;=AF$3,$G87:$AF87)))</f>
        <v>3.853173733845662</v>
      </c>
    </row>
    <row r="52" spans="1:32" x14ac:dyDescent="0.25">
      <c r="A52" s="328"/>
      <c r="B52" s="328" t="s">
        <v>34</v>
      </c>
      <c r="G52" s="321">
        <f t="array" ref="G52">AVERAGE(IF($G$3:$AF$3+$G88:$AF88&gt;=G$3,IF($G$3:$AF$3&lt;=G$3,$G88:$AF88)))</f>
        <v>4.6238084806147945</v>
      </c>
      <c r="H52" s="321">
        <f t="array" ref="H52">AVERAGE(IF($G$3:$AF$3+$G88:$AF88&gt;=H$3,IF($G$3:$AF$3&lt;=H$3,$G88:$AF88)))</f>
        <v>4.6353680018163317</v>
      </c>
      <c r="I52" s="321">
        <f t="array" ref="I52">AVERAGE(IF($G$3:$AF$3+$G88:$AF88&gt;=I$3,IF($G$3:$AF$3&lt;=I$3,$G88:$AF88)))</f>
        <v>4.6469275230178688</v>
      </c>
      <c r="J52" s="321">
        <f t="array" ref="J52">AVERAGE(IF($G$3:$AF$3+$G88:$AF88&gt;=J$3,IF($G$3:$AF$3&lt;=J$3,$G88:$AF88)))</f>
        <v>4.658487044219406</v>
      </c>
      <c r="K52" s="321">
        <f t="array" ref="K52">AVERAGE(IF($G$3:$AF$3+$G88:$AF88&gt;=K$3,IF($G$3:$AF$3&lt;=K$3,$G88:$AF88)))</f>
        <v>4.6700465654209422</v>
      </c>
      <c r="L52" s="321">
        <f t="array" ref="L52">AVERAGE(IF($G$3:$AF$3+$G88:$AF88&gt;=L$3,IF($G$3:$AF$3&lt;=L$3,$G88:$AF88)))</f>
        <v>4.6931656078240165</v>
      </c>
      <c r="M52" s="321">
        <f t="array" ref="M52">AVERAGE(IF($G$3:$AF$3+$G88:$AF88&gt;=M$3,IF($G$3:$AF$3&lt;=M$3,$G88:$AF88)))</f>
        <v>4.7162846502270908</v>
      </c>
      <c r="N52" s="321">
        <f t="array" ref="N52">AVERAGE(IF($G$3:$AF$3+$G88:$AF88&gt;=N$3,IF($G$3:$AF$3&lt;=N$3,$G88:$AF88)))</f>
        <v>4.7394036926301641</v>
      </c>
      <c r="O52" s="321">
        <f t="array" ref="O52">AVERAGE(IF($G$3:$AF$3+$G88:$AF88&gt;=O$3,IF($G$3:$AF$3&lt;=O$3,$G88:$AF88)))</f>
        <v>4.7625227350332384</v>
      </c>
      <c r="P52" s="321">
        <f t="array" ref="P52">AVERAGE(IF($G$3:$AF$3+$G88:$AF88&gt;=P$3,IF($G$3:$AF$3&lt;=P$3,$G88:$AF88)))</f>
        <v>4.7856417774363127</v>
      </c>
      <c r="Q52" s="321">
        <f t="array" ref="Q52">AVERAGE(IF($G$3:$AF$3+$G88:$AF88&gt;=Q$3,IF($G$3:$AF$3&lt;=Q$3,$G88:$AF88)))</f>
        <v>4.808760819839387</v>
      </c>
      <c r="R52" s="321">
        <f t="array" ref="R52">AVERAGE(IF($G$3:$AF$3+$G88:$AF88&gt;=R$3,IF($G$3:$AF$3&lt;=R$3,$G88:$AF88)))</f>
        <v>4.8318798622424612</v>
      </c>
      <c r="S52" s="321">
        <f t="array" ref="S52">AVERAGE(IF($G$3:$AF$3+$G88:$AF88&gt;=S$3,IF($G$3:$AF$3&lt;=S$3,$G88:$AF88)))</f>
        <v>4.8549989046455346</v>
      </c>
      <c r="T52" s="321">
        <f t="array" ref="T52">AVERAGE(IF($G$3:$AF$3+$G88:$AF88&gt;=T$3,IF($G$3:$AF$3&lt;=T$3,$G88:$AF88)))</f>
        <v>4.878117947048608</v>
      </c>
      <c r="U52" s="321">
        <f t="array" ref="U52">AVERAGE(IF($G$3:$AF$3+$G88:$AF88&gt;=U$3,IF($G$3:$AF$3&lt;=U$3,$G88:$AF88)))</f>
        <v>4.9012369894516814</v>
      </c>
      <c r="V52" s="321">
        <f t="array" ref="V52">AVERAGE(IF($G$3:$AF$3+$G88:$AF88&gt;=V$3,IF($G$3:$AF$3&lt;=V$3,$G88:$AF88)))</f>
        <v>4.9243560318547566</v>
      </c>
      <c r="W52" s="321">
        <f t="array" ref="W52">AVERAGE(IF($G$3:$AF$3+$G88:$AF88&gt;=W$3,IF($G$3:$AF$3&lt;=W$3,$G88:$AF88)))</f>
        <v>4.9474750742578308</v>
      </c>
      <c r="X52" s="321">
        <f t="array" ref="X52">AVERAGE(IF($G$3:$AF$3+$G88:$AF88&gt;=X$3,IF($G$3:$AF$3&lt;=X$3,$G88:$AF88)))</f>
        <v>4.9705941166609042</v>
      </c>
      <c r="Y52" s="321">
        <f t="array" ref="Y52">AVERAGE(IF($G$3:$AF$3+$G88:$AF88&gt;=Y$3,IF($G$3:$AF$3&lt;=Y$3,$G88:$AF88)))</f>
        <v>4.9937131590639785</v>
      </c>
      <c r="Z52" s="321">
        <f t="array" ref="Z52">AVERAGE(IF($G$3:$AF$3+$G88:$AF88&gt;=Z$3,IF($G$3:$AF$3&lt;=Z$3,$G88:$AF88)))</f>
        <v>5.0168322014670519</v>
      </c>
      <c r="AA52" s="321">
        <f t="array" ref="AA52">AVERAGE(IF($G$3:$AF$3+$G88:$AF88&gt;=AA$3,IF($G$3:$AF$3&lt;=AA$3,$G88:$AF88)))</f>
        <v>5.0399512438701262</v>
      </c>
      <c r="AB52" s="321">
        <f t="array" ref="AB52">AVERAGE(IF($G$3:$AF$3+$G88:$AF88&gt;=AB$3,IF($G$3:$AF$3&lt;=AB$3,$G88:$AF88)))</f>
        <v>5.0630702862732004</v>
      </c>
      <c r="AC52" s="321">
        <f t="array" ref="AC52">AVERAGE(IF($G$3:$AF$3+$G88:$AF88&gt;=AC$3,IF($G$3:$AF$3&lt;=AC$3,$G88:$AF88)))</f>
        <v>5.0746298074747385</v>
      </c>
      <c r="AD52" s="321">
        <f t="array" ref="AD52">AVERAGE(IF($G$3:$AF$3+$G88:$AF88&gt;=AD$3,IF($G$3:$AF$3&lt;=AD$3,$G88:$AF88)))</f>
        <v>5.0977488498778118</v>
      </c>
      <c r="AE52" s="321">
        <f t="array" ref="AE52">AVERAGE(IF($G$3:$AF$3+$G88:$AF88&gt;=AE$3,IF($G$3:$AF$3&lt;=AE$3,$G88:$AF88)))</f>
        <v>5.1208678922808861</v>
      </c>
      <c r="AF52" s="321">
        <f t="array" ref="AF52">AVERAGE(IF($G$3:$AF$3+$G88:$AF88&gt;=AF$3,IF($G$3:$AF$3&lt;=AF$3,$G88:$AF88)))</f>
        <v>5.1439869346839595</v>
      </c>
    </row>
    <row r="53" spans="1:32" x14ac:dyDescent="0.25">
      <c r="A53" s="322"/>
      <c r="B53" s="328" t="s">
        <v>35</v>
      </c>
      <c r="G53" s="321">
        <f t="array" ref="G53">AVERAGE(IF($G$3:$AF$3+$G89:$AF89&gt;=G$3,IF($G$3:$AF$3&lt;=G$3,$G89:$AF89)))</f>
        <v>15.412694935382648</v>
      </c>
      <c r="H53" s="321">
        <f t="array" ref="H53">AVERAGE(IF($G$3:$AF$3+$G89:$AF89&gt;=H$3,IF($G$3:$AF$3&lt;=H$3,$G89:$AF89)))</f>
        <v>15.451226672721113</v>
      </c>
      <c r="I53" s="321">
        <f t="array" ref="I53">AVERAGE(IF($G$3:$AF$3+$G89:$AF89&gt;=I$3,IF($G$3:$AF$3&lt;=I$3,$G89:$AF89)))</f>
        <v>15.489758410059572</v>
      </c>
      <c r="J53" s="321">
        <f t="array" ref="J53">AVERAGE(IF($G$3:$AF$3+$G89:$AF89&gt;=J$3,IF($G$3:$AF$3&lt;=J$3,$G89:$AF89)))</f>
        <v>15.528290147398028</v>
      </c>
      <c r="K53" s="321">
        <f t="array" ref="K53">AVERAGE(IF($G$3:$AF$3+$G89:$AF89&gt;=K$3,IF($G$3:$AF$3&lt;=K$3,$G89:$AF89)))</f>
        <v>15.566821884736484</v>
      </c>
      <c r="L53" s="321">
        <f t="array" ref="L53">AVERAGE(IF($G$3:$AF$3+$G89:$AF89&gt;=L$3,IF($G$3:$AF$3&lt;=L$3,$G89:$AF89)))</f>
        <v>15.605353622074938</v>
      </c>
      <c r="M53" s="321">
        <f t="array" ref="M53">AVERAGE(IF($G$3:$AF$3+$G89:$AF89&gt;=M$3,IF($G$3:$AF$3&lt;=M$3,$G89:$AF89)))</f>
        <v>15.643885359413398</v>
      </c>
      <c r="N53" s="321">
        <f t="array" ref="N53">AVERAGE(IF($G$3:$AF$3+$G89:$AF89&gt;=N$3,IF($G$3:$AF$3&lt;=N$3,$G89:$AF89)))</f>
        <v>15.682417096751854</v>
      </c>
      <c r="O53" s="321">
        <f t="array" ref="O53">AVERAGE(IF($G$3:$AF$3+$G89:$AF89&gt;=O$3,IF($G$3:$AF$3&lt;=O$3,$G89:$AF89)))</f>
        <v>15.720948834090311</v>
      </c>
      <c r="P53" s="321">
        <f t="array" ref="P53">AVERAGE(IF($G$3:$AF$3+$G89:$AF89&gt;=P$3,IF($G$3:$AF$3&lt;=P$3,$G89:$AF89)))</f>
        <v>15.759480571428767</v>
      </c>
      <c r="Q53" s="321">
        <f t="array" ref="Q53">AVERAGE(IF($G$3:$AF$3+$G89:$AF89&gt;=Q$3,IF($G$3:$AF$3&lt;=Q$3,$G89:$AF89)))</f>
        <v>15.798012308767222</v>
      </c>
      <c r="R53" s="321">
        <f t="array" ref="R53">AVERAGE(IF($G$3:$AF$3+$G89:$AF89&gt;=R$3,IF($G$3:$AF$3&lt;=R$3,$G89:$AF89)))</f>
        <v>15.836544046105679</v>
      </c>
      <c r="S53" s="321">
        <f t="array" ref="S53">AVERAGE(IF($G$3:$AF$3+$G89:$AF89&gt;=S$3,IF($G$3:$AF$3&lt;=S$3,$G89:$AF89)))</f>
        <v>15.875075783444137</v>
      </c>
      <c r="T53" s="321">
        <f t="array" ref="T53">AVERAGE(IF($G$3:$AF$3+$G89:$AF89&gt;=T$3,IF($G$3:$AF$3&lt;=T$3,$G89:$AF89)))</f>
        <v>15.913607520782593</v>
      </c>
      <c r="U53" s="321">
        <f t="array" ref="U53">AVERAGE(IF($G$3:$AF$3+$G89:$AF89&gt;=U$3,IF($G$3:$AF$3&lt;=U$3,$G89:$AF89)))</f>
        <v>15.952139258121049</v>
      </c>
      <c r="V53" s="321">
        <f t="array" ref="V53">AVERAGE(IF($G$3:$AF$3+$G89:$AF89&gt;=V$3,IF($G$3:$AF$3&lt;=V$3,$G89:$AF89)))</f>
        <v>15.990670995459507</v>
      </c>
      <c r="W53" s="321">
        <f t="array" ref="W53">AVERAGE(IF($G$3:$AF$3+$G89:$AF89&gt;=W$3,IF($G$3:$AF$3&lt;=W$3,$G89:$AF89)))</f>
        <v>16.067734470136418</v>
      </c>
      <c r="X53" s="321">
        <f t="array" ref="X53">AVERAGE(IF($G$3:$AF$3+$G89:$AF89&gt;=X$3,IF($G$3:$AF$3&lt;=X$3,$G89:$AF89)))</f>
        <v>16.144797944813334</v>
      </c>
      <c r="Y53" s="321">
        <f t="array" ref="Y53">AVERAGE(IF($G$3:$AF$3+$G89:$AF89&gt;=Y$3,IF($G$3:$AF$3&lt;=Y$3,$G89:$AF89)))</f>
        <v>16.221861419490249</v>
      </c>
      <c r="Z53" s="321">
        <f t="array" ref="Z53">AVERAGE(IF($G$3:$AF$3+$G89:$AF89&gt;=Z$3,IF($G$3:$AF$3&lt;=Z$3,$G89:$AF89)))</f>
        <v>16.298924894167158</v>
      </c>
      <c r="AA53" s="321">
        <f t="array" ref="AA53">AVERAGE(IF($G$3:$AF$3+$G89:$AF89&gt;=AA$3,IF($G$3:$AF$3&lt;=AA$3,$G89:$AF89)))</f>
        <v>16.375988368844073</v>
      </c>
      <c r="AB53" s="321">
        <f t="array" ref="AB53">AVERAGE(IF($G$3:$AF$3+$G89:$AF89&gt;=AB$3,IF($G$3:$AF$3&lt;=AB$3,$G89:$AF89)))</f>
        <v>16.453051843520985</v>
      </c>
      <c r="AC53" s="321">
        <f t="array" ref="AC53">AVERAGE(IF($G$3:$AF$3+$G89:$AF89&gt;=AC$3,IF($G$3:$AF$3&lt;=AC$3,$G89:$AF89)))</f>
        <v>16.5301153181979</v>
      </c>
      <c r="AD53" s="321">
        <f t="array" ref="AD53">AVERAGE(IF($G$3:$AF$3+$G89:$AF89&gt;=AD$3,IF($G$3:$AF$3&lt;=AD$3,$G89:$AF89)))</f>
        <v>16.607178792874816</v>
      </c>
      <c r="AE53" s="321">
        <f t="array" ref="AE53">AVERAGE(IF($G$3:$AF$3+$G89:$AF89&gt;=AE$3,IF($G$3:$AF$3&lt;=AE$3,$G89:$AF89)))</f>
        <v>16.645710530213272</v>
      </c>
      <c r="AF53" s="321">
        <f t="array" ref="AF53">AVERAGE(IF($G$3:$AF$3+$G89:$AF89&gt;=AF$3,IF($G$3:$AF$3&lt;=AF$3,$G89:$AF89)))</f>
        <v>16.72277400489018</v>
      </c>
    </row>
    <row r="54" spans="1:32" x14ac:dyDescent="0.25">
      <c r="A54" s="322"/>
      <c r="B54" s="328" t="s">
        <v>29</v>
      </c>
      <c r="G54" s="321">
        <f t="array" ref="G54">AVERAGE(IF($G$3:$AF$3+$G90:$AF90&gt;=G$3,IF($G$3:$AF$3&lt;=G$3,$G90:$AF90)))</f>
        <v>38.531737338456622</v>
      </c>
      <c r="H54" s="321">
        <f t="array" ref="H54">AVERAGE(IF($G$3:$AF$3+$G90:$AF90&gt;=H$3,IF($G$3:$AF$3&lt;=H$3,$G90:$AF90)))</f>
        <v>44.692998483570236</v>
      </c>
      <c r="I54" s="321">
        <f t="array" ref="I54">AVERAGE(IF($G$3:$AF$3+$G90:$AF90&gt;=I$3,IF($G$3:$AF$3&lt;=I$3,$G90:$AF90)))</f>
        <v>48.583990793345016</v>
      </c>
      <c r="J54" s="321">
        <f t="array" ref="J54">AVERAGE(IF($G$3:$AF$3+$G90:$AF90&gt;=J$3,IF($G$3:$AF$3&lt;=J$3,$G90:$AF90)))</f>
        <v>51.708701511679045</v>
      </c>
      <c r="K54" s="321">
        <f t="array" ref="K54">AVERAGE(IF($G$3:$AF$3+$G90:$AF90&gt;=K$3,IF($G$3:$AF$3&lt;=K$3,$G90:$AF90)))</f>
        <v>54.358091211303098</v>
      </c>
      <c r="L54" s="321">
        <f t="array" ref="L54">AVERAGE(IF($G$3:$AF$3+$G90:$AF90&gt;=L$3,IF($G$3:$AF$3&lt;=L$3,$G90:$AF90)))</f>
        <v>56.636531497961961</v>
      </c>
      <c r="M54" s="321">
        <f t="array" ref="M54">AVERAGE(IF($G$3:$AF$3+$G90:$AF90&gt;=M$3,IF($G$3:$AF$3&lt;=M$3,$G90:$AF90)))</f>
        <v>58.603002681740854</v>
      </c>
      <c r="N54" s="321">
        <f t="array" ref="N54">AVERAGE(IF($G$3:$AF$3+$G90:$AF90&gt;=N$3,IF($G$3:$AF$3&lt;=N$3,$G90:$AF90)))</f>
        <v>60.302152102621392</v>
      </c>
      <c r="O54" s="321">
        <f t="array" ref="O54">AVERAGE(IF($G$3:$AF$3+$G90:$AF90&gt;=O$3,IF($G$3:$AF$3&lt;=O$3,$G90:$AF90)))</f>
        <v>61.772078166337351</v>
      </c>
      <c r="P54" s="321">
        <f t="array" ref="P54">AVERAGE(IF($G$3:$AF$3+$G90:$AF90&gt;=P$3,IF($G$3:$AF$3&lt;=P$3,$G90:$AF90)))</f>
        <v>63.046209483749216</v>
      </c>
      <c r="Q54" s="321">
        <f t="array" ref="Q54">AVERAGE(IF($G$3:$AF$3+$G90:$AF90&gt;=Q$3,IF($G$3:$AF$3&lt;=Q$3,$G90:$AF90)))</f>
        <v>64.153747971272708</v>
      </c>
      <c r="R54" s="321">
        <f t="array" ref="R54">AVERAGE(IF($G$3:$AF$3+$G90:$AF90&gt;=R$3,IF($G$3:$AF$3&lt;=R$3,$G90:$AF90)))</f>
        <v>65.119896665075927</v>
      </c>
      <c r="S54" s="321">
        <f t="array" ref="S54">AVERAGE(IF($G$3:$AF$3+$G90:$AF90&gt;=S$3,IF($G$3:$AF$3&lt;=S$3,$G90:$AF90)))</f>
        <v>65.966155604258901</v>
      </c>
      <c r="T54" s="321">
        <f t="array" ref="T54">AVERAGE(IF($G$3:$AF$3+$G90:$AF90&gt;=T$3,IF($G$3:$AF$3&lt;=T$3,$G90:$AF90)))</f>
        <v>66.710701426464468</v>
      </c>
      <c r="U54" s="321">
        <f t="array" ref="U54">AVERAGE(IF($G$3:$AF$3+$G90:$AF90&gt;=U$3,IF($G$3:$AF$3&lt;=U$3,$G90:$AF90)))</f>
        <v>67.368806784047408</v>
      </c>
      <c r="V54" s="321">
        <f t="array" ref="V54">AVERAGE(IF($G$3:$AF$3+$G90:$AF90&gt;=V$3,IF($G$3:$AF$3&lt;=V$3,$G90:$AF90)))</f>
        <v>67.953257396489221</v>
      </c>
      <c r="W54" s="321">
        <f t="array" ref="W54">AVERAGE(IF($G$3:$AF$3+$G90:$AF90&gt;=W$3,IF($G$3:$AF$3&lt;=W$3,$G90:$AF90)))</f>
        <v>68.474739481320739</v>
      </c>
      <c r="X54" s="321">
        <f t="array" ref="X54">AVERAGE(IF($G$3:$AF$3+$G90:$AF90&gt;=X$3,IF($G$3:$AF$3&lt;=X$3,$G90:$AF90)))</f>
        <v>68.942184020343191</v>
      </c>
      <c r="Y54" s="321">
        <f t="array" ref="Y54">AVERAGE(IF($G$3:$AF$3+$G90:$AF90&gt;=Y$3,IF($G$3:$AF$3&lt;=Y$3,$G90:$AF90)))</f>
        <v>69.363063751733691</v>
      </c>
      <c r="Z54" s="321">
        <f t="array" ref="Z54">AVERAGE(IF($G$3:$AF$3+$G90:$AF90&gt;=Z$3,IF($G$3:$AF$3&lt;=Z$3,$G90:$AF90)))</f>
        <v>69.743644332241942</v>
      </c>
      <c r="AA54" s="321">
        <f t="array" ref="AA54">AVERAGE(IF($G$3:$AF$3+$G90:$AF90&gt;=AA$3,IF($G$3:$AF$3&lt;=AA$3,$G90:$AF90)))</f>
        <v>70.089193923833463</v>
      </c>
      <c r="AB54" s="321">
        <f t="array" ref="AB54">AVERAGE(IF($G$3:$AF$3+$G90:$AF90&gt;=AB$3,IF($G$3:$AF$3&lt;=AB$3,$G90:$AF90)))</f>
        <v>70.40415655372027</v>
      </c>
      <c r="AC54" s="321">
        <f t="array" ref="AC54">AVERAGE(IF($G$3:$AF$3+$G90:$AF90&gt;=AC$3,IF($G$3:$AF$3&lt;=AC$3,$G90:$AF90)))</f>
        <v>70.692294714296708</v>
      </c>
      <c r="AD54" s="321">
        <f t="array" ref="AD54">AVERAGE(IF($G$3:$AF$3+$G90:$AF90&gt;=AD$3,IF($G$3:$AF$3&lt;=AD$3,$G90:$AF90)))</f>
        <v>70.956806286134125</v>
      </c>
      <c r="AE54" s="321">
        <f t="array" ref="AE54">AVERAGE(IF($G$3:$AF$3+$G90:$AF90&gt;=AE$3,IF($G$3:$AF$3&lt;=AE$3,$G90:$AF90)))</f>
        <v>71.200420268270307</v>
      </c>
      <c r="AF54" s="321">
        <f t="array" ref="AF54">AVERAGE(IF($G$3:$AF$3+$G90:$AF90&gt;=AF$3,IF($G$3:$AF$3&lt;=AF$3,$G90:$AF90)))</f>
        <v>71.425475145789008</v>
      </c>
    </row>
    <row r="55" spans="1:32" x14ac:dyDescent="0.25">
      <c r="A55" s="322"/>
      <c r="B55" s="322"/>
    </row>
    <row r="56" spans="1:32" s="202" customFormat="1" ht="12.75" x14ac:dyDescent="0.2">
      <c r="A56" s="335" t="s">
        <v>36</v>
      </c>
      <c r="B56" s="335"/>
      <c r="C56" s="335"/>
      <c r="D56" s="335"/>
      <c r="E56" s="335"/>
      <c r="F56" s="335"/>
      <c r="G56" s="335"/>
      <c r="H56" s="335"/>
      <c r="I56" s="335"/>
      <c r="J56" s="335"/>
      <c r="K56" s="335"/>
      <c r="L56" s="335"/>
      <c r="M56" s="335"/>
      <c r="N56" s="335"/>
      <c r="O56" s="335"/>
      <c r="P56" s="335"/>
      <c r="Q56" s="335"/>
      <c r="R56" s="335"/>
      <c r="S56" s="335"/>
      <c r="T56" s="335"/>
      <c r="U56" s="335"/>
      <c r="V56" s="335"/>
      <c r="W56" s="335"/>
      <c r="X56" s="335"/>
      <c r="Y56" s="335"/>
      <c r="Z56" s="335"/>
      <c r="AA56" s="335"/>
      <c r="AB56" s="335"/>
      <c r="AC56" s="335"/>
      <c r="AD56" s="335"/>
      <c r="AE56" s="335"/>
      <c r="AF56" s="335"/>
    </row>
    <row r="57" spans="1:32" x14ac:dyDescent="0.25">
      <c r="A57" s="322"/>
      <c r="B57" s="322" t="s">
        <v>37</v>
      </c>
      <c r="G57" s="321">
        <f t="array" ref="G57">AVERAGE(IF($G$3:$AF$3+$G93:$AF93&gt;=G$3,IF($G$3:$AF$3&lt;=G$3,$G93:$AF93)))</f>
        <v>72.048704924528977</v>
      </c>
      <c r="H57" s="321">
        <f t="array" ref="H57">AVERAGE(IF($G$3:$AF$3+$G93:$AF93&gt;=H$3,IF($G$3:$AF$3&lt;=H$3,$G93:$AF93)))</f>
        <v>73.633776432869141</v>
      </c>
      <c r="I57" s="321">
        <f t="array" ref="I57">AVERAGE(IF($G$3:$AF$3+$G93:$AF93&gt;=I$3,IF($G$3:$AF$3&lt;=I$3,$G93:$AF93)))</f>
        <v>75.218847941208864</v>
      </c>
      <c r="J57" s="321">
        <f t="array" ref="J57">AVERAGE(IF($G$3:$AF$3+$G93:$AF93&gt;=J$3,IF($G$3:$AF$3&lt;=J$3,$G93:$AF93)))</f>
        <v>76.803919449548474</v>
      </c>
      <c r="K57" s="321">
        <f t="array" ref="K57">AVERAGE(IF($G$3:$AF$3+$G93:$AF93&gt;=K$3,IF($G$3:$AF$3&lt;=K$3,$G93:$AF93)))</f>
        <v>78.388990957888041</v>
      </c>
      <c r="L57" s="321">
        <f t="array" ref="L57">AVERAGE(IF($G$3:$AF$3+$G93:$AF93&gt;=L$3,IF($G$3:$AF$3&lt;=L$3,$G93:$AF93)))</f>
        <v>79.974062466227593</v>
      </c>
      <c r="M57" s="321">
        <f t="array" ref="M57">AVERAGE(IF($G$3:$AF$3+$G93:$AF93&gt;=M$3,IF($G$3:$AF$3&lt;=M$3,$G93:$AF93)))</f>
        <v>81.559133974567317</v>
      </c>
      <c r="N57" s="321">
        <f t="array" ref="N57">AVERAGE(IF($G$3:$AF$3+$G93:$AF93&gt;=N$3,IF($G$3:$AF$3&lt;=N$3,$G93:$AF93)))</f>
        <v>83.144205482906983</v>
      </c>
      <c r="O57" s="321">
        <f t="array" ref="O57">AVERAGE(IF($G$3:$AF$3+$G93:$AF93&gt;=O$3,IF($G$3:$AF$3&lt;=O$3,$G93:$AF93)))</f>
        <v>84.729276991246621</v>
      </c>
      <c r="P57" s="321">
        <f t="array" ref="P57">AVERAGE(IF($G$3:$AF$3+$G93:$AF93&gt;=P$3,IF($G$3:$AF$3&lt;=P$3,$G93:$AF93)))</f>
        <v>86.314348499586231</v>
      </c>
      <c r="Q57" s="321">
        <f t="array" ref="Q57">AVERAGE(IF($G$3:$AF$3+$G93:$AF93&gt;=Q$3,IF($G$3:$AF$3&lt;=Q$3,$G93:$AF93)))</f>
        <v>87.899420007925812</v>
      </c>
      <c r="R57" s="321">
        <f t="array" ref="R57">AVERAGE(IF($G$3:$AF$3+$G93:$AF93&gt;=R$3,IF($G$3:$AF$3&lt;=R$3,$G93:$AF93)))</f>
        <v>89.484491516265507</v>
      </c>
      <c r="S57" s="321">
        <f t="array" ref="S57">AVERAGE(IF($G$3:$AF$3+$G93:$AF93&gt;=S$3,IF($G$3:$AF$3&lt;=S$3,$G93:$AF93)))</f>
        <v>91.069563024605173</v>
      </c>
      <c r="T57" s="321">
        <f t="array" ref="T57">AVERAGE(IF($G$3:$AF$3+$G93:$AF93&gt;=T$3,IF($G$3:$AF$3&lt;=T$3,$G93:$AF93)))</f>
        <v>92.654634532944812</v>
      </c>
      <c r="U57" s="321">
        <f t="array" ref="U57">AVERAGE(IF($G$3:$AF$3+$G93:$AF93&gt;=U$3,IF($G$3:$AF$3&lt;=U$3,$G93:$AF93)))</f>
        <v>94.239706041284435</v>
      </c>
      <c r="V57" s="321">
        <f t="array" ref="V57">AVERAGE(IF($G$3:$AF$3+$G93:$AF93&gt;=V$3,IF($G$3:$AF$3&lt;=V$3,$G93:$AF93)))</f>
        <v>95.824777549624031</v>
      </c>
      <c r="W57" s="321">
        <f t="array" ref="W57">AVERAGE(IF($G$3:$AF$3+$G93:$AF93&gt;=W$3,IF($G$3:$AF$3&lt;=W$3,$G93:$AF93)))</f>
        <v>97.409849057963697</v>
      </c>
      <c r="X57" s="321">
        <f t="array" ref="X57">AVERAGE(IF($G$3:$AF$3+$G93:$AF93&gt;=X$3,IF($G$3:$AF$3&lt;=X$3,$G93:$AF93)))</f>
        <v>98.994920566303364</v>
      </c>
      <c r="Y57" s="321">
        <f t="array" ref="Y57">AVERAGE(IF($G$3:$AF$3+$G93:$AF93&gt;=Y$3,IF($G$3:$AF$3&lt;=Y$3,$G93:$AF93)))</f>
        <v>100.57999207464299</v>
      </c>
      <c r="Z57" s="321">
        <f t="array" ref="Z57">AVERAGE(IF($G$3:$AF$3+$G93:$AF93&gt;=Z$3,IF($G$3:$AF$3&lt;=Z$3,$G93:$AF93)))</f>
        <v>102.16506358298261</v>
      </c>
      <c r="AA57" s="321">
        <f t="array" ref="AA57">AVERAGE(IF($G$3:$AF$3+$G93:$AF93&gt;=AA$3,IF($G$3:$AF$3&lt;=AA$3,$G93:$AF93)))</f>
        <v>103.75013509132222</v>
      </c>
      <c r="AB57" s="321">
        <f t="array" ref="AB57">AVERAGE(IF($G$3:$AF$3+$G93:$AF93&gt;=AB$3,IF($G$3:$AF$3&lt;=AB$3,$G93:$AF93)))</f>
        <v>105.33520659966189</v>
      </c>
      <c r="AC57" s="321">
        <f t="array" ref="AC57">AVERAGE(IF($G$3:$AF$3+$G93:$AF93&gt;=AC$3,IF($G$3:$AF$3&lt;=AC$3,$G93:$AF93)))</f>
        <v>106.92027810800154</v>
      </c>
      <c r="AD57" s="321">
        <f t="array" ref="AD57">AVERAGE(IF($G$3:$AF$3+$G93:$AF93&gt;=AD$3,IF($G$3:$AF$3&lt;=AD$3,$G93:$AF93)))</f>
        <v>108.50534961634118</v>
      </c>
      <c r="AE57" s="321">
        <f t="array" ref="AE57">AVERAGE(IF($G$3:$AF$3+$G93:$AF93&gt;=AE$3,IF($G$3:$AF$3&lt;=AE$3,$G93:$AF93)))</f>
        <v>110.09042112468082</v>
      </c>
      <c r="AF57" s="321">
        <f t="array" ref="AF57">AVERAGE(IF($G$3:$AF$3+$G93:$AF93&gt;=AF$3,IF($G$3:$AF$3&lt;=AF$3,$G93:$AF93)))</f>
        <v>111.67549263302044</v>
      </c>
    </row>
    <row r="58" spans="1:32" x14ac:dyDescent="0.25">
      <c r="A58" s="322"/>
      <c r="B58" s="322" t="s">
        <v>39</v>
      </c>
      <c r="G58" s="321">
        <f t="array" ref="G58">AVERAGE(IF($G$3:$AF$3+$G94:$AF94&gt;=G$3,IF($G$3:$AF$3&lt;=G$3,$G94:$AF94)))</f>
        <v>72.048704924528977</v>
      </c>
      <c r="H58" s="321">
        <f t="array" ref="H58">AVERAGE(IF($G$3:$AF$3+$G94:$AF94&gt;=H$3,IF($G$3:$AF$3&lt;=H$3,$G94:$AF94)))</f>
        <v>73.633776432869141</v>
      </c>
      <c r="I58" s="321">
        <f t="array" ref="I58">AVERAGE(IF($G$3:$AF$3+$G94:$AF94&gt;=I$3,IF($G$3:$AF$3&lt;=I$3,$G94:$AF94)))</f>
        <v>75.218847941208864</v>
      </c>
      <c r="J58" s="321">
        <f t="array" ref="J58">AVERAGE(IF($G$3:$AF$3+$G94:$AF94&gt;=J$3,IF($G$3:$AF$3&lt;=J$3,$G94:$AF94)))</f>
        <v>76.803919449548474</v>
      </c>
      <c r="K58" s="321">
        <f t="array" ref="K58">AVERAGE(IF($G$3:$AF$3+$G94:$AF94&gt;=K$3,IF($G$3:$AF$3&lt;=K$3,$G94:$AF94)))</f>
        <v>78.388990957888041</v>
      </c>
      <c r="L58" s="321">
        <f t="array" ref="L58">AVERAGE(IF($G$3:$AF$3+$G94:$AF94&gt;=L$3,IF($G$3:$AF$3&lt;=L$3,$G94:$AF94)))</f>
        <v>79.974062466227593</v>
      </c>
      <c r="M58" s="321">
        <f t="array" ref="M58">AVERAGE(IF($G$3:$AF$3+$G94:$AF94&gt;=M$3,IF($G$3:$AF$3&lt;=M$3,$G94:$AF94)))</f>
        <v>81.559133974567317</v>
      </c>
      <c r="N58" s="321">
        <f t="array" ref="N58">AVERAGE(IF($G$3:$AF$3+$G94:$AF94&gt;=N$3,IF($G$3:$AF$3&lt;=N$3,$G94:$AF94)))</f>
        <v>83.144205482906983</v>
      </c>
      <c r="O58" s="321">
        <f t="array" ref="O58">AVERAGE(IF($G$3:$AF$3+$G94:$AF94&gt;=O$3,IF($G$3:$AF$3&lt;=O$3,$G94:$AF94)))</f>
        <v>84.729276991246621</v>
      </c>
      <c r="P58" s="321">
        <f t="array" ref="P58">AVERAGE(IF($G$3:$AF$3+$G94:$AF94&gt;=P$3,IF($G$3:$AF$3&lt;=P$3,$G94:$AF94)))</f>
        <v>86.314348499586231</v>
      </c>
      <c r="Q58" s="321">
        <f t="array" ref="Q58">AVERAGE(IF($G$3:$AF$3+$G94:$AF94&gt;=Q$3,IF($G$3:$AF$3&lt;=Q$3,$G94:$AF94)))</f>
        <v>87.899420007925812</v>
      </c>
      <c r="R58" s="321">
        <f t="array" ref="R58">AVERAGE(IF($G$3:$AF$3+$G94:$AF94&gt;=R$3,IF($G$3:$AF$3&lt;=R$3,$G94:$AF94)))</f>
        <v>89.484491516265507</v>
      </c>
      <c r="S58" s="321">
        <f t="array" ref="S58">AVERAGE(IF($G$3:$AF$3+$G94:$AF94&gt;=S$3,IF($G$3:$AF$3&lt;=S$3,$G94:$AF94)))</f>
        <v>91.069563024605173</v>
      </c>
      <c r="T58" s="321">
        <f t="array" ref="T58">AVERAGE(IF($G$3:$AF$3+$G94:$AF94&gt;=T$3,IF($G$3:$AF$3&lt;=T$3,$G94:$AF94)))</f>
        <v>92.654634532944812</v>
      </c>
      <c r="U58" s="321">
        <f t="array" ref="U58">AVERAGE(IF($G$3:$AF$3+$G94:$AF94&gt;=U$3,IF($G$3:$AF$3&lt;=U$3,$G94:$AF94)))</f>
        <v>94.239706041284435</v>
      </c>
      <c r="V58" s="321">
        <f t="array" ref="V58">AVERAGE(IF($G$3:$AF$3+$G94:$AF94&gt;=V$3,IF($G$3:$AF$3&lt;=V$3,$G94:$AF94)))</f>
        <v>95.824777549624031</v>
      </c>
      <c r="W58" s="321">
        <f t="array" ref="W58">AVERAGE(IF($G$3:$AF$3+$G94:$AF94&gt;=W$3,IF($G$3:$AF$3&lt;=W$3,$G94:$AF94)))</f>
        <v>97.409849057963697</v>
      </c>
      <c r="X58" s="321">
        <f t="array" ref="X58">AVERAGE(IF($G$3:$AF$3+$G94:$AF94&gt;=X$3,IF($G$3:$AF$3&lt;=X$3,$G94:$AF94)))</f>
        <v>98.994920566303364</v>
      </c>
      <c r="Y58" s="321">
        <f t="array" ref="Y58">AVERAGE(IF($G$3:$AF$3+$G94:$AF94&gt;=Y$3,IF($G$3:$AF$3&lt;=Y$3,$G94:$AF94)))</f>
        <v>100.57999207464299</v>
      </c>
      <c r="Z58" s="321">
        <f t="array" ref="Z58">AVERAGE(IF($G$3:$AF$3+$G94:$AF94&gt;=Z$3,IF($G$3:$AF$3&lt;=Z$3,$G94:$AF94)))</f>
        <v>102.16506358298261</v>
      </c>
      <c r="AA58" s="321">
        <f t="array" ref="AA58">AVERAGE(IF($G$3:$AF$3+$G94:$AF94&gt;=AA$3,IF($G$3:$AF$3&lt;=AA$3,$G94:$AF94)))</f>
        <v>103.75013509132222</v>
      </c>
      <c r="AB58" s="321">
        <f t="array" ref="AB58">AVERAGE(IF($G$3:$AF$3+$G94:$AF94&gt;=AB$3,IF($G$3:$AF$3&lt;=AB$3,$G94:$AF94)))</f>
        <v>105.33520659966189</v>
      </c>
      <c r="AC58" s="321">
        <f t="array" ref="AC58">AVERAGE(IF($G$3:$AF$3+$G94:$AF94&gt;=AC$3,IF($G$3:$AF$3&lt;=AC$3,$G94:$AF94)))</f>
        <v>106.92027810800154</v>
      </c>
      <c r="AD58" s="321">
        <f t="array" ref="AD58">AVERAGE(IF($G$3:$AF$3+$G94:$AF94&gt;=AD$3,IF($G$3:$AF$3&lt;=AD$3,$G94:$AF94)))</f>
        <v>108.50534961634118</v>
      </c>
      <c r="AE58" s="321">
        <f t="array" ref="AE58">AVERAGE(IF($G$3:$AF$3+$G94:$AF94&gt;=AE$3,IF($G$3:$AF$3&lt;=AE$3,$G94:$AF94)))</f>
        <v>110.09042112468082</v>
      </c>
      <c r="AF58" s="321">
        <f t="array" ref="AF58">AVERAGE(IF($G$3:$AF$3+$G94:$AF94&gt;=AF$3,IF($G$3:$AF$3&lt;=AF$3,$G94:$AF94)))</f>
        <v>111.67549263302044</v>
      </c>
    </row>
    <row r="59" spans="1:32" x14ac:dyDescent="0.25">
      <c r="A59" s="322"/>
      <c r="B59" s="322" t="s">
        <v>40</v>
      </c>
      <c r="G59" s="321">
        <f t="array" ref="G59">AVERAGE(IF($G$3:$AF$3+$G95:$AF95&gt;=G$3,IF($G$3:$AF$3&lt;=G$3,$G95:$AF95)))</f>
        <v>72.048704924528977</v>
      </c>
      <c r="H59" s="321">
        <f t="array" ref="H59">AVERAGE(IF($G$3:$AF$3+$G95:$AF95&gt;=H$3,IF($G$3:$AF$3&lt;=H$3,$G95:$AF95)))</f>
        <v>73.633776432869141</v>
      </c>
      <c r="I59" s="321">
        <f t="array" ref="I59">AVERAGE(IF($G$3:$AF$3+$G95:$AF95&gt;=I$3,IF($G$3:$AF$3&lt;=I$3,$G95:$AF95)))</f>
        <v>75.218847941208864</v>
      </c>
      <c r="J59" s="321">
        <f t="array" ref="J59">AVERAGE(IF($G$3:$AF$3+$G95:$AF95&gt;=J$3,IF($G$3:$AF$3&lt;=J$3,$G95:$AF95)))</f>
        <v>76.803919449548474</v>
      </c>
      <c r="K59" s="321">
        <f t="array" ref="K59">AVERAGE(IF($G$3:$AF$3+$G95:$AF95&gt;=K$3,IF($G$3:$AF$3&lt;=K$3,$G95:$AF95)))</f>
        <v>78.388990957888041</v>
      </c>
      <c r="L59" s="321">
        <f t="array" ref="L59">AVERAGE(IF($G$3:$AF$3+$G95:$AF95&gt;=L$3,IF($G$3:$AF$3&lt;=L$3,$G95:$AF95)))</f>
        <v>79.974062466227593</v>
      </c>
      <c r="M59" s="321">
        <f t="array" ref="M59">AVERAGE(IF($G$3:$AF$3+$G95:$AF95&gt;=M$3,IF($G$3:$AF$3&lt;=M$3,$G95:$AF95)))</f>
        <v>81.559133974567317</v>
      </c>
      <c r="N59" s="321">
        <f t="array" ref="N59">AVERAGE(IF($G$3:$AF$3+$G95:$AF95&gt;=N$3,IF($G$3:$AF$3&lt;=N$3,$G95:$AF95)))</f>
        <v>83.144205482906983</v>
      </c>
      <c r="O59" s="321">
        <f t="array" ref="O59">AVERAGE(IF($G$3:$AF$3+$G95:$AF95&gt;=O$3,IF($G$3:$AF$3&lt;=O$3,$G95:$AF95)))</f>
        <v>84.729276991246621</v>
      </c>
      <c r="P59" s="321">
        <f t="array" ref="P59">AVERAGE(IF($G$3:$AF$3+$G95:$AF95&gt;=P$3,IF($G$3:$AF$3&lt;=P$3,$G95:$AF95)))</f>
        <v>86.314348499586231</v>
      </c>
      <c r="Q59" s="321">
        <f t="array" ref="Q59">AVERAGE(IF($G$3:$AF$3+$G95:$AF95&gt;=Q$3,IF($G$3:$AF$3&lt;=Q$3,$G95:$AF95)))</f>
        <v>87.899420007925812</v>
      </c>
      <c r="R59" s="321">
        <f t="array" ref="R59">AVERAGE(IF($G$3:$AF$3+$G95:$AF95&gt;=R$3,IF($G$3:$AF$3&lt;=R$3,$G95:$AF95)))</f>
        <v>89.484491516265507</v>
      </c>
      <c r="S59" s="321">
        <f t="array" ref="S59">AVERAGE(IF($G$3:$AF$3+$G95:$AF95&gt;=S$3,IF($G$3:$AF$3&lt;=S$3,$G95:$AF95)))</f>
        <v>91.069563024605173</v>
      </c>
      <c r="T59" s="321">
        <f t="array" ref="T59">AVERAGE(IF($G$3:$AF$3+$G95:$AF95&gt;=T$3,IF($G$3:$AF$3&lt;=T$3,$G95:$AF95)))</f>
        <v>92.654634532944812</v>
      </c>
      <c r="U59" s="321">
        <f t="array" ref="U59">AVERAGE(IF($G$3:$AF$3+$G95:$AF95&gt;=U$3,IF($G$3:$AF$3&lt;=U$3,$G95:$AF95)))</f>
        <v>94.239706041284435</v>
      </c>
      <c r="V59" s="321">
        <f t="array" ref="V59">AVERAGE(IF($G$3:$AF$3+$G95:$AF95&gt;=V$3,IF($G$3:$AF$3&lt;=V$3,$G95:$AF95)))</f>
        <v>95.824777549624031</v>
      </c>
      <c r="W59" s="321">
        <f t="array" ref="W59">AVERAGE(IF($G$3:$AF$3+$G95:$AF95&gt;=W$3,IF($G$3:$AF$3&lt;=W$3,$G95:$AF95)))</f>
        <v>97.409849057963697</v>
      </c>
      <c r="X59" s="321">
        <f t="array" ref="X59">AVERAGE(IF($G$3:$AF$3+$G95:$AF95&gt;=X$3,IF($G$3:$AF$3&lt;=X$3,$G95:$AF95)))</f>
        <v>98.994920566303364</v>
      </c>
      <c r="Y59" s="321">
        <f t="array" ref="Y59">AVERAGE(IF($G$3:$AF$3+$G95:$AF95&gt;=Y$3,IF($G$3:$AF$3&lt;=Y$3,$G95:$AF95)))</f>
        <v>100.57999207464299</v>
      </c>
      <c r="Z59" s="321">
        <f t="array" ref="Z59">AVERAGE(IF($G$3:$AF$3+$G95:$AF95&gt;=Z$3,IF($G$3:$AF$3&lt;=Z$3,$G95:$AF95)))</f>
        <v>102.16506358298261</v>
      </c>
      <c r="AA59" s="321">
        <f t="array" ref="AA59">AVERAGE(IF($G$3:$AF$3+$G95:$AF95&gt;=AA$3,IF($G$3:$AF$3&lt;=AA$3,$G95:$AF95)))</f>
        <v>103.75013509132222</v>
      </c>
      <c r="AB59" s="321">
        <f t="array" ref="AB59">AVERAGE(IF($G$3:$AF$3+$G95:$AF95&gt;=AB$3,IF($G$3:$AF$3&lt;=AB$3,$G95:$AF95)))</f>
        <v>105.33520659966189</v>
      </c>
      <c r="AC59" s="321">
        <f t="array" ref="AC59">AVERAGE(IF($G$3:$AF$3+$G95:$AF95&gt;=AC$3,IF($G$3:$AF$3&lt;=AC$3,$G95:$AF95)))</f>
        <v>106.92027810800154</v>
      </c>
      <c r="AD59" s="321">
        <f t="array" ref="AD59">AVERAGE(IF($G$3:$AF$3+$G95:$AF95&gt;=AD$3,IF($G$3:$AF$3&lt;=AD$3,$G95:$AF95)))</f>
        <v>108.50534961634118</v>
      </c>
      <c r="AE59" s="321">
        <f t="array" ref="AE59">AVERAGE(IF($G$3:$AF$3+$G95:$AF95&gt;=AE$3,IF($G$3:$AF$3&lt;=AE$3,$G95:$AF95)))</f>
        <v>110.09042112468082</v>
      </c>
      <c r="AF59" s="321">
        <f t="array" ref="AF59">AVERAGE(IF($G$3:$AF$3+$G95:$AF95&gt;=AF$3,IF($G$3:$AF$3&lt;=AF$3,$G95:$AF95)))</f>
        <v>111.67549263302044</v>
      </c>
    </row>
    <row r="60" spans="1:32" x14ac:dyDescent="0.25">
      <c r="A60" s="322"/>
      <c r="B60" s="322" t="s">
        <v>29</v>
      </c>
      <c r="G60" s="321">
        <f t="array" ref="G60">AVERAGE(IF($G$3:$AF$3+$G96:$AF96&gt;=G$3,IF($G$3:$AF$3&lt;=G$3,$G96:$AF96)))</f>
        <v>36.024352462264488</v>
      </c>
      <c r="H60" s="321">
        <f t="array" ref="H60">AVERAGE(IF($G$3:$AF$3+$G96:$AF96&gt;=H$3,IF($G$3:$AF$3&lt;=H$3,$G96:$AF96)))</f>
        <v>41.784680400608067</v>
      </c>
      <c r="I60" s="321">
        <f t="array" ref="I60">AVERAGE(IF($G$3:$AF$3+$G96:$AF96&gt;=I$3,IF($G$3:$AF$3&lt;=I$3,$G96:$AF96)))</f>
        <v>45.422473245608863</v>
      </c>
      <c r="J60" s="321">
        <f t="array" ref="J60">AVERAGE(IF($G$3:$AF$3+$G96:$AF96&gt;=J$3,IF($G$3:$AF$3&lt;=J$3,$G96:$AF96)))</f>
        <v>48.343848922784325</v>
      </c>
      <c r="K60" s="321">
        <f t="array" ref="K60">AVERAGE(IF($G$3:$AF$3+$G96:$AF96&gt;=K$3,IF($G$3:$AF$3&lt;=K$3,$G96:$AF96)))</f>
        <v>50.820834258555671</v>
      </c>
      <c r="L60" s="321">
        <f t="array" ref="L60">AVERAGE(IF($G$3:$AF$3+$G96:$AF96&gt;=L$3,IF($G$3:$AF$3&lt;=L$3,$G96:$AF96)))</f>
        <v>52.951009060430032</v>
      </c>
      <c r="M60" s="321">
        <f t="array" ref="M60">AVERAGE(IF($G$3:$AF$3+$G96:$AF96&gt;=M$3,IF($G$3:$AF$3&lt;=M$3,$G96:$AF96)))</f>
        <v>54.789515598795603</v>
      </c>
      <c r="N60" s="321">
        <f t="array" ref="N60">AVERAGE(IF($G$3:$AF$3+$G96:$AF96&gt;=N$3,IF($G$3:$AF$3&lt;=N$3,$G96:$AF96)))</f>
        <v>56.378095866697549</v>
      </c>
      <c r="O60" s="321">
        <f t="array" ref="O60">AVERAGE(IF($G$3:$AF$3+$G96:$AF96&gt;=O$3,IF($G$3:$AF$3&lt;=O$3,$G96:$AF96)))</f>
        <v>57.752369083283675</v>
      </c>
      <c r="P60" s="321">
        <f t="array" ref="P60">AVERAGE(IF($G$3:$AF$3+$G96:$AF96&gt;=P$3,IF($G$3:$AF$3&lt;=P$3,$G96:$AF96)))</f>
        <v>58.943588551497065</v>
      </c>
      <c r="Q60" s="321">
        <f t="array" ref="Q60">AVERAGE(IF($G$3:$AF$3+$G96:$AF96&gt;=Q$3,IF($G$3:$AF$3&lt;=Q$3,$G96:$AF96)))</f>
        <v>59.979055924525397</v>
      </c>
      <c r="R60" s="321">
        <f t="array" ref="R60">AVERAGE(IF($G$3:$AF$3+$G96:$AF96&gt;=R$3,IF($G$3:$AF$3&lt;=R$3,$G96:$AF96)))</f>
        <v>60.882334195390875</v>
      </c>
      <c r="S60" s="321">
        <f t="array" ref="S60">AVERAGE(IF($G$3:$AF$3+$G96:$AF96&gt;=S$3,IF($G$3:$AF$3&lt;=S$3,$G96:$AF96)))</f>
        <v>61.673524326053453</v>
      </c>
      <c r="T60" s="321">
        <f t="array" ref="T60">AVERAGE(IF($G$3:$AF$3+$G96:$AF96&gt;=T$3,IF($G$3:$AF$3&lt;=T$3,$G96:$AF96)))</f>
        <v>62.369620141506616</v>
      </c>
      <c r="U60" s="321">
        <f t="array" ref="U60">AVERAGE(IF($G$3:$AF$3+$G96:$AF96&gt;=U$3,IF($G$3:$AF$3&lt;=U$3,$G96:$AF96)))</f>
        <v>62.984900453178696</v>
      </c>
      <c r="V60" s="321">
        <f t="array" ref="V60">AVERAGE(IF($G$3:$AF$3+$G96:$AF96&gt;=V$3,IF($G$3:$AF$3&lt;=V$3,$G96:$AF96)))</f>
        <v>63.531318972397059</v>
      </c>
      <c r="W60" s="321">
        <f t="array" ref="W60">AVERAGE(IF($G$3:$AF$3+$G96:$AF96&gt;=W$3,IF($G$3:$AF$3&lt;=W$3,$G96:$AF96)))</f>
        <v>64.018866529926413</v>
      </c>
      <c r="X60" s="321">
        <f t="array" ref="X60">AVERAGE(IF($G$3:$AF$3+$G96:$AF96&gt;=X$3,IF($G$3:$AF$3&lt;=X$3,$G96:$AF96)))</f>
        <v>64.455892939672509</v>
      </c>
      <c r="Y60" s="321">
        <f t="array" ref="Y60">AVERAGE(IF($G$3:$AF$3+$G96:$AF96&gt;=Y$3,IF($G$3:$AF$3&lt;=Y$3,$G96:$AF96)))</f>
        <v>64.849384664549959</v>
      </c>
      <c r="Z60" s="321">
        <f t="array" ref="Z60">AVERAGE(IF($G$3:$AF$3+$G96:$AF96&gt;=Z$3,IF($G$3:$AF$3&lt;=Z$3,$G96:$AF96)))</f>
        <v>65.205199634741803</v>
      </c>
      <c r="AA60" s="321">
        <f t="array" ref="AA60">AVERAGE(IF($G$3:$AF$3+$G96:$AF96&gt;=AA$3,IF($G$3:$AF$3&lt;=AA$3,$G96:$AF96)))</f>
        <v>65.528263195861342</v>
      </c>
      <c r="AB60" s="321">
        <f t="array" ref="AB60">AVERAGE(IF($G$3:$AF$3+$G96:$AF96&gt;=AB$3,IF($G$3:$AF$3&lt;=AB$3,$G96:$AF96)))</f>
        <v>65.822730187884559</v>
      </c>
      <c r="AC60" s="321">
        <f t="array" ref="AC60">AVERAGE(IF($G$3:$AF$3+$G96:$AF96&gt;=AC$3,IF($G$3:$AF$3&lt;=AC$3,$G96:$AF96)))</f>
        <v>66.092118265646491</v>
      </c>
      <c r="AD60" s="321">
        <f t="array" ref="AD60">AVERAGE(IF($G$3:$AF$3+$G96:$AF96&gt;=AD$3,IF($G$3:$AF$3&lt;=AD$3,$G96:$AF96)))</f>
        <v>66.339417213278111</v>
      </c>
      <c r="AE60" s="321">
        <f t="array" ref="AE60">AVERAGE(IF($G$3:$AF$3+$G96:$AF96&gt;=AE$3,IF($G$3:$AF$3&lt;=AE$3,$G96:$AF96)))</f>
        <v>66.56717844501604</v>
      </c>
      <c r="AF60" s="321">
        <f t="array" ref="AF60">AVERAGE(IF($G$3:$AF$3+$G96:$AF96&gt;=AF$3,IF($G$3:$AF$3&lt;=AF$3,$G96:$AF96)))</f>
        <v>66.777588273149959</v>
      </c>
    </row>
    <row r="61" spans="1:32" x14ac:dyDescent="0.25">
      <c r="A61" s="322"/>
      <c r="B61" s="322"/>
    </row>
    <row r="62" spans="1:32" s="202" customFormat="1" ht="12.75" x14ac:dyDescent="0.2">
      <c r="A62" s="335" t="s">
        <v>42</v>
      </c>
      <c r="B62" s="335"/>
      <c r="C62" s="335"/>
      <c r="D62" s="335"/>
      <c r="E62" s="335"/>
      <c r="F62" s="335"/>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5"/>
      <c r="AE62" s="335"/>
      <c r="AF62" s="335"/>
    </row>
    <row r="63" spans="1:32" x14ac:dyDescent="0.25">
      <c r="A63" s="322"/>
      <c r="B63" s="328" t="s">
        <v>43</v>
      </c>
      <c r="G63" s="321">
        <f t="array" ref="G63">AVERAGE(IF($G$3:$AF$3+$G99:$AF99&gt;=G$3,IF($G$3:$AF$3&lt;=G$3,$G99:$AF99)))</f>
        <v>83.029509405610625</v>
      </c>
      <c r="H63" s="321">
        <f t="array" ref="H63">AVERAGE(IF($G$3:$AF$3+$G99:$AF99&gt;=H$3,IF($G$3:$AF$3&lt;=H$3,$G99:$AF99)))</f>
        <v>83.693745480855412</v>
      </c>
      <c r="I63" s="321">
        <f t="array" ref="I63">AVERAGE(IF($G$3:$AF$3+$G99:$AF99&gt;=I$3,IF($G$3:$AF$3&lt;=I$3,$G99:$AF99)))</f>
        <v>84.35798155610037</v>
      </c>
      <c r="J63" s="321">
        <f t="array" ref="J63">AVERAGE(IF($G$3:$AF$3+$G99:$AF99&gt;=J$3,IF($G$3:$AF$3&lt;=J$3,$G99:$AF99)))</f>
        <v>85.022217631345228</v>
      </c>
      <c r="K63" s="321">
        <f t="array" ref="K63">AVERAGE(IF($G$3:$AF$3+$G99:$AF99&gt;=K$3,IF($G$3:$AF$3&lt;=K$3,$G99:$AF99)))</f>
        <v>85.686453706590072</v>
      </c>
      <c r="L63" s="321">
        <f t="array" ref="L63">AVERAGE(IF($G$3:$AF$3+$G99:$AF99&gt;=L$3,IF($G$3:$AF$3&lt;=L$3,$G99:$AF99)))</f>
        <v>86.350689781834959</v>
      </c>
      <c r="M63" s="321">
        <f t="array" ref="M63">AVERAGE(IF($G$3:$AF$3+$G99:$AF99&gt;=M$3,IF($G$3:$AF$3&lt;=M$3,$G99:$AF99)))</f>
        <v>87.014925857079831</v>
      </c>
      <c r="N63" s="321">
        <f t="array" ref="N63">AVERAGE(IF($G$3:$AF$3+$G99:$AF99&gt;=N$3,IF($G$3:$AF$3&lt;=N$3,$G99:$AF99)))</f>
        <v>87.679161932324746</v>
      </c>
      <c r="O63" s="321">
        <f t="array" ref="O63">AVERAGE(IF($G$3:$AF$3+$G99:$AF99&gt;=O$3,IF($G$3:$AF$3&lt;=O$3,$G99:$AF99)))</f>
        <v>88.343398007569633</v>
      </c>
      <c r="P63" s="321">
        <f t="array" ref="P63">AVERAGE(IF($G$3:$AF$3+$G99:$AF99&gt;=P$3,IF($G$3:$AF$3&lt;=P$3,$G99:$AF99)))</f>
        <v>89.007634082814491</v>
      </c>
      <c r="Q63" s="321">
        <f t="array" ref="Q63">AVERAGE(IF($G$3:$AF$3+$G99:$AF99&gt;=Q$3,IF($G$3:$AF$3&lt;=Q$3,$G99:$AF99)))</f>
        <v>89.671870158059377</v>
      </c>
      <c r="R63" s="321">
        <f t="array" ref="R63">AVERAGE(IF($G$3:$AF$3+$G99:$AF99&gt;=R$3,IF($G$3:$AF$3&lt;=R$3,$G99:$AF99)))</f>
        <v>90.33610623330425</v>
      </c>
      <c r="S63" s="321">
        <f t="array" ref="S63">AVERAGE(IF($G$3:$AF$3+$G99:$AF99&gt;=S$3,IF($G$3:$AF$3&lt;=S$3,$G99:$AF99)))</f>
        <v>91.000342308549151</v>
      </c>
      <c r="T63" s="321">
        <f t="array" ref="T63">AVERAGE(IF($G$3:$AF$3+$G99:$AF99&gt;=T$3,IF($G$3:$AF$3&lt;=T$3,$G99:$AF99)))</f>
        <v>91.664578383794037</v>
      </c>
      <c r="U63" s="321">
        <f t="array" ref="U63">AVERAGE(IF($G$3:$AF$3+$G99:$AF99&gt;=U$3,IF($G$3:$AF$3&lt;=U$3,$G99:$AF99)))</f>
        <v>92.328814459038909</v>
      </c>
      <c r="V63" s="321">
        <f t="array" ref="V63">AVERAGE(IF($G$3:$AF$3+$G99:$AF99&gt;=V$3,IF($G$3:$AF$3&lt;=V$3,$G99:$AF99)))</f>
        <v>92.993050534283796</v>
      </c>
      <c r="W63" s="321">
        <f t="array" ref="W63">AVERAGE(IF($G$3:$AF$3+$G99:$AF99&gt;=W$3,IF($G$3:$AF$3&lt;=W$3,$G99:$AF99)))</f>
        <v>93.657286609528668</v>
      </c>
      <c r="X63" s="321">
        <f t="array" ref="X63">AVERAGE(IF($G$3:$AF$3+$G99:$AF99&gt;=X$3,IF($G$3:$AF$3&lt;=X$3,$G99:$AF99)))</f>
        <v>94.321522684773569</v>
      </c>
      <c r="Y63" s="321">
        <f t="array" ref="Y63">AVERAGE(IF($G$3:$AF$3+$G99:$AF99&gt;=Y$3,IF($G$3:$AF$3&lt;=Y$3,$G99:$AF99)))</f>
        <v>94.985758760018456</v>
      </c>
      <c r="Z63" s="321">
        <f t="array" ref="Z63">AVERAGE(IF($G$3:$AF$3+$G99:$AF99&gt;=Z$3,IF($G$3:$AF$3&lt;=Z$3,$G99:$AF99)))</f>
        <v>95.649994835263328</v>
      </c>
      <c r="AA63" s="321">
        <f t="array" ref="AA63">AVERAGE(IF($G$3:$AF$3+$G99:$AF99&gt;=AA$3,IF($G$3:$AF$3&lt;=AA$3,$G99:$AF99)))</f>
        <v>96.314230910508215</v>
      </c>
      <c r="AB63" s="321">
        <f t="array" ref="AB63">AVERAGE(IF($G$3:$AF$3+$G99:$AF99&gt;=AB$3,IF($G$3:$AF$3&lt;=AB$3,$G99:$AF99)))</f>
        <v>96.978466985753116</v>
      </c>
      <c r="AC63" s="321">
        <f t="array" ref="AC63">AVERAGE(IF($G$3:$AF$3+$G99:$AF99&gt;=AC$3,IF($G$3:$AF$3&lt;=AC$3,$G99:$AF99)))</f>
        <v>97.642703060997988</v>
      </c>
      <c r="AD63" s="321">
        <f t="array" ref="AD63">AVERAGE(IF($G$3:$AF$3+$G99:$AF99&gt;=AD$3,IF($G$3:$AF$3&lt;=AD$3,$G99:$AF99)))</f>
        <v>98.306939136242875</v>
      </c>
      <c r="AE63" s="321">
        <f t="array" ref="AE63">AVERAGE(IF($G$3:$AF$3+$G99:$AF99&gt;=AE$3,IF($G$3:$AF$3&lt;=AE$3,$G99:$AF99)))</f>
        <v>98.971175211487747</v>
      </c>
      <c r="AF63" s="321">
        <f t="array" ref="AF63">AVERAGE(IF($G$3:$AF$3+$G99:$AF99&gt;=AF$3,IF($G$3:$AF$3&lt;=AF$3,$G99:$AF99)))</f>
        <v>99.635411286732648</v>
      </c>
    </row>
    <row r="64" spans="1:32" x14ac:dyDescent="0.25">
      <c r="A64" s="322"/>
      <c r="B64" s="328" t="s">
        <v>44</v>
      </c>
      <c r="G64" s="321">
        <f t="array" ref="G64">AVERAGE(IF($G$3:$AF$3+$G100:$AF100&gt;=G$3,IF($G$3:$AF$3&lt;=G$3,$G100:$AF100)))</f>
        <v>83.029509405610625</v>
      </c>
      <c r="H64" s="321">
        <f t="array" ref="H64">AVERAGE(IF($G$3:$AF$3+$G100:$AF100&gt;=H$3,IF($G$3:$AF$3&lt;=H$3,$G100:$AF100)))</f>
        <v>83.693745480855412</v>
      </c>
      <c r="I64" s="321">
        <f t="array" ref="I64">AVERAGE(IF($G$3:$AF$3+$G100:$AF100&gt;=I$3,IF($G$3:$AF$3&lt;=I$3,$G100:$AF100)))</f>
        <v>84.35798155610037</v>
      </c>
      <c r="J64" s="321">
        <f t="array" ref="J64">AVERAGE(IF($G$3:$AF$3+$G100:$AF100&gt;=J$3,IF($G$3:$AF$3&lt;=J$3,$G100:$AF100)))</f>
        <v>85.022217631345228</v>
      </c>
      <c r="K64" s="321">
        <f t="array" ref="K64">AVERAGE(IF($G$3:$AF$3+$G100:$AF100&gt;=K$3,IF($G$3:$AF$3&lt;=K$3,$G100:$AF100)))</f>
        <v>85.686453706590072</v>
      </c>
      <c r="L64" s="321">
        <f t="array" ref="L64">AVERAGE(IF($G$3:$AF$3+$G100:$AF100&gt;=L$3,IF($G$3:$AF$3&lt;=L$3,$G100:$AF100)))</f>
        <v>86.350689781834959</v>
      </c>
      <c r="M64" s="321">
        <f t="array" ref="M64">AVERAGE(IF($G$3:$AF$3+$G100:$AF100&gt;=M$3,IF($G$3:$AF$3&lt;=M$3,$G100:$AF100)))</f>
        <v>87.014925857079831</v>
      </c>
      <c r="N64" s="321">
        <f t="array" ref="N64">AVERAGE(IF($G$3:$AF$3+$G100:$AF100&gt;=N$3,IF($G$3:$AF$3&lt;=N$3,$G100:$AF100)))</f>
        <v>87.679161932324746</v>
      </c>
      <c r="O64" s="321">
        <f t="array" ref="O64">AVERAGE(IF($G$3:$AF$3+$G100:$AF100&gt;=O$3,IF($G$3:$AF$3&lt;=O$3,$G100:$AF100)))</f>
        <v>88.343398007569633</v>
      </c>
      <c r="P64" s="321">
        <f t="array" ref="P64">AVERAGE(IF($G$3:$AF$3+$G100:$AF100&gt;=P$3,IF($G$3:$AF$3&lt;=P$3,$G100:$AF100)))</f>
        <v>89.007634082814491</v>
      </c>
      <c r="Q64" s="321">
        <f t="array" ref="Q64">AVERAGE(IF($G$3:$AF$3+$G100:$AF100&gt;=Q$3,IF($G$3:$AF$3&lt;=Q$3,$G100:$AF100)))</f>
        <v>89.671870158059377</v>
      </c>
      <c r="R64" s="321">
        <f t="array" ref="R64">AVERAGE(IF($G$3:$AF$3+$G100:$AF100&gt;=R$3,IF($G$3:$AF$3&lt;=R$3,$G100:$AF100)))</f>
        <v>90.33610623330425</v>
      </c>
      <c r="S64" s="321">
        <f t="array" ref="S64">AVERAGE(IF($G$3:$AF$3+$G100:$AF100&gt;=S$3,IF($G$3:$AF$3&lt;=S$3,$G100:$AF100)))</f>
        <v>91.000342308549151</v>
      </c>
      <c r="T64" s="321">
        <f t="array" ref="T64">AVERAGE(IF($G$3:$AF$3+$G100:$AF100&gt;=T$3,IF($G$3:$AF$3&lt;=T$3,$G100:$AF100)))</f>
        <v>91.664578383794037</v>
      </c>
      <c r="U64" s="321">
        <f t="array" ref="U64">AVERAGE(IF($G$3:$AF$3+$G100:$AF100&gt;=U$3,IF($G$3:$AF$3&lt;=U$3,$G100:$AF100)))</f>
        <v>92.328814459038909</v>
      </c>
      <c r="V64" s="321">
        <f t="array" ref="V64">AVERAGE(IF($G$3:$AF$3+$G100:$AF100&gt;=V$3,IF($G$3:$AF$3&lt;=V$3,$G100:$AF100)))</f>
        <v>92.993050534283796</v>
      </c>
      <c r="W64" s="321">
        <f t="array" ref="W64">AVERAGE(IF($G$3:$AF$3+$G100:$AF100&gt;=W$3,IF($G$3:$AF$3&lt;=W$3,$G100:$AF100)))</f>
        <v>93.657286609528668</v>
      </c>
      <c r="X64" s="321">
        <f t="array" ref="X64">AVERAGE(IF($G$3:$AF$3+$G100:$AF100&gt;=X$3,IF($G$3:$AF$3&lt;=X$3,$G100:$AF100)))</f>
        <v>94.321522684773569</v>
      </c>
      <c r="Y64" s="321">
        <f t="array" ref="Y64">AVERAGE(IF($G$3:$AF$3+$G100:$AF100&gt;=Y$3,IF($G$3:$AF$3&lt;=Y$3,$G100:$AF100)))</f>
        <v>94.985758760018456</v>
      </c>
      <c r="Z64" s="321">
        <f t="array" ref="Z64">AVERAGE(IF($G$3:$AF$3+$G100:$AF100&gt;=Z$3,IF($G$3:$AF$3&lt;=Z$3,$G100:$AF100)))</f>
        <v>95.649994835263328</v>
      </c>
      <c r="AA64" s="321">
        <f t="array" ref="AA64">AVERAGE(IF($G$3:$AF$3+$G100:$AF100&gt;=AA$3,IF($G$3:$AF$3&lt;=AA$3,$G100:$AF100)))</f>
        <v>96.314230910508215</v>
      </c>
      <c r="AB64" s="321">
        <f t="array" ref="AB64">AVERAGE(IF($G$3:$AF$3+$G100:$AF100&gt;=AB$3,IF($G$3:$AF$3&lt;=AB$3,$G100:$AF100)))</f>
        <v>96.978466985753116</v>
      </c>
      <c r="AC64" s="321">
        <f t="array" ref="AC64">AVERAGE(IF($G$3:$AF$3+$G100:$AF100&gt;=AC$3,IF($G$3:$AF$3&lt;=AC$3,$G100:$AF100)))</f>
        <v>97.642703060997988</v>
      </c>
      <c r="AD64" s="321">
        <f t="array" ref="AD64">AVERAGE(IF($G$3:$AF$3+$G100:$AF100&gt;=AD$3,IF($G$3:$AF$3&lt;=AD$3,$G100:$AF100)))</f>
        <v>98.306939136242875</v>
      </c>
      <c r="AE64" s="321">
        <f t="array" ref="AE64">AVERAGE(IF($G$3:$AF$3+$G100:$AF100&gt;=AE$3,IF($G$3:$AF$3&lt;=AE$3,$G100:$AF100)))</f>
        <v>98.971175211487747</v>
      </c>
      <c r="AF64" s="321">
        <f t="array" ref="AF64">AVERAGE(IF($G$3:$AF$3+$G100:$AF100&gt;=AF$3,IF($G$3:$AF$3&lt;=AF$3,$G100:$AF100)))</f>
        <v>99.635411286732648</v>
      </c>
    </row>
    <row r="65" spans="1:32" x14ac:dyDescent="0.25">
      <c r="A65" s="322"/>
      <c r="B65" s="328" t="s">
        <v>45</v>
      </c>
      <c r="G65" s="321">
        <f t="array" ref="G65">AVERAGE(IF($G$3:$AF$3+$G101:$AF101&gt;=G$3,IF($G$3:$AF$3&lt;=G$3,$G101:$AF101)))</f>
        <v>83.029509405610625</v>
      </c>
      <c r="H65" s="321">
        <f t="array" ref="H65">AVERAGE(IF($G$3:$AF$3+$G101:$AF101&gt;=H$3,IF($G$3:$AF$3&lt;=H$3,$G101:$AF101)))</f>
        <v>83.693745480855412</v>
      </c>
      <c r="I65" s="321">
        <f t="array" ref="I65">AVERAGE(IF($G$3:$AF$3+$G101:$AF101&gt;=I$3,IF($G$3:$AF$3&lt;=I$3,$G101:$AF101)))</f>
        <v>84.35798155610037</v>
      </c>
      <c r="J65" s="321">
        <f t="array" ref="J65">AVERAGE(IF($G$3:$AF$3+$G101:$AF101&gt;=J$3,IF($G$3:$AF$3&lt;=J$3,$G101:$AF101)))</f>
        <v>85.022217631345228</v>
      </c>
      <c r="K65" s="321">
        <f t="array" ref="K65">AVERAGE(IF($G$3:$AF$3+$G101:$AF101&gt;=K$3,IF($G$3:$AF$3&lt;=K$3,$G101:$AF101)))</f>
        <v>85.686453706590072</v>
      </c>
      <c r="L65" s="321">
        <f t="array" ref="L65">AVERAGE(IF($G$3:$AF$3+$G101:$AF101&gt;=L$3,IF($G$3:$AF$3&lt;=L$3,$G101:$AF101)))</f>
        <v>86.350689781834959</v>
      </c>
      <c r="M65" s="321">
        <f t="array" ref="M65">AVERAGE(IF($G$3:$AF$3+$G101:$AF101&gt;=M$3,IF($G$3:$AF$3&lt;=M$3,$G101:$AF101)))</f>
        <v>87.014925857079831</v>
      </c>
      <c r="N65" s="321">
        <f t="array" ref="N65">AVERAGE(IF($G$3:$AF$3+$G101:$AF101&gt;=N$3,IF($G$3:$AF$3&lt;=N$3,$G101:$AF101)))</f>
        <v>87.679161932324746</v>
      </c>
      <c r="O65" s="321">
        <f t="array" ref="O65">AVERAGE(IF($G$3:$AF$3+$G101:$AF101&gt;=O$3,IF($G$3:$AF$3&lt;=O$3,$G101:$AF101)))</f>
        <v>88.343398007569633</v>
      </c>
      <c r="P65" s="321">
        <f t="array" ref="P65">AVERAGE(IF($G$3:$AF$3+$G101:$AF101&gt;=P$3,IF($G$3:$AF$3&lt;=P$3,$G101:$AF101)))</f>
        <v>89.007634082814491</v>
      </c>
      <c r="Q65" s="321">
        <f t="array" ref="Q65">AVERAGE(IF($G$3:$AF$3+$G101:$AF101&gt;=Q$3,IF($G$3:$AF$3&lt;=Q$3,$G101:$AF101)))</f>
        <v>89.671870158059377</v>
      </c>
      <c r="R65" s="321">
        <f t="array" ref="R65">AVERAGE(IF($G$3:$AF$3+$G101:$AF101&gt;=R$3,IF($G$3:$AF$3&lt;=R$3,$G101:$AF101)))</f>
        <v>90.33610623330425</v>
      </c>
      <c r="S65" s="321">
        <f t="array" ref="S65">AVERAGE(IF($G$3:$AF$3+$G101:$AF101&gt;=S$3,IF($G$3:$AF$3&lt;=S$3,$G101:$AF101)))</f>
        <v>91.000342308549151</v>
      </c>
      <c r="T65" s="321">
        <f t="array" ref="T65">AVERAGE(IF($G$3:$AF$3+$G101:$AF101&gt;=T$3,IF($G$3:$AF$3&lt;=T$3,$G101:$AF101)))</f>
        <v>91.664578383794037</v>
      </c>
      <c r="U65" s="321">
        <f t="array" ref="U65">AVERAGE(IF($G$3:$AF$3+$G101:$AF101&gt;=U$3,IF($G$3:$AF$3&lt;=U$3,$G101:$AF101)))</f>
        <v>92.328814459038909</v>
      </c>
      <c r="V65" s="321">
        <f t="array" ref="V65">AVERAGE(IF($G$3:$AF$3+$G101:$AF101&gt;=V$3,IF($G$3:$AF$3&lt;=V$3,$G101:$AF101)))</f>
        <v>92.993050534283796</v>
      </c>
      <c r="W65" s="321">
        <f t="array" ref="W65">AVERAGE(IF($G$3:$AF$3+$G101:$AF101&gt;=W$3,IF($G$3:$AF$3&lt;=W$3,$G101:$AF101)))</f>
        <v>93.657286609528668</v>
      </c>
      <c r="X65" s="321">
        <f t="array" ref="X65">AVERAGE(IF($G$3:$AF$3+$G101:$AF101&gt;=X$3,IF($G$3:$AF$3&lt;=X$3,$G101:$AF101)))</f>
        <v>94.321522684773569</v>
      </c>
      <c r="Y65" s="321">
        <f t="array" ref="Y65">AVERAGE(IF($G$3:$AF$3+$G101:$AF101&gt;=Y$3,IF($G$3:$AF$3&lt;=Y$3,$G101:$AF101)))</f>
        <v>94.985758760018456</v>
      </c>
      <c r="Z65" s="321">
        <f t="array" ref="Z65">AVERAGE(IF($G$3:$AF$3+$G101:$AF101&gt;=Z$3,IF($G$3:$AF$3&lt;=Z$3,$G101:$AF101)))</f>
        <v>95.649994835263328</v>
      </c>
      <c r="AA65" s="321">
        <f t="array" ref="AA65">AVERAGE(IF($G$3:$AF$3+$G101:$AF101&gt;=AA$3,IF($G$3:$AF$3&lt;=AA$3,$G101:$AF101)))</f>
        <v>96.314230910508215</v>
      </c>
      <c r="AB65" s="321">
        <f t="array" ref="AB65">AVERAGE(IF($G$3:$AF$3+$G101:$AF101&gt;=AB$3,IF($G$3:$AF$3&lt;=AB$3,$G101:$AF101)))</f>
        <v>96.978466985753116</v>
      </c>
      <c r="AC65" s="321">
        <f t="array" ref="AC65">AVERAGE(IF($G$3:$AF$3+$G101:$AF101&gt;=AC$3,IF($G$3:$AF$3&lt;=AC$3,$G101:$AF101)))</f>
        <v>97.642703060997988</v>
      </c>
      <c r="AD65" s="321">
        <f t="array" ref="AD65">AVERAGE(IF($G$3:$AF$3+$G101:$AF101&gt;=AD$3,IF($G$3:$AF$3&lt;=AD$3,$G101:$AF101)))</f>
        <v>98.306939136242875</v>
      </c>
      <c r="AE65" s="321">
        <f t="array" ref="AE65">AVERAGE(IF($G$3:$AF$3+$G101:$AF101&gt;=AE$3,IF($G$3:$AF$3&lt;=AE$3,$G101:$AF101)))</f>
        <v>98.971175211487747</v>
      </c>
      <c r="AF65" s="321">
        <f t="array" ref="AF65">AVERAGE(IF($G$3:$AF$3+$G101:$AF101&gt;=AF$3,IF($G$3:$AF$3&lt;=AF$3,$G101:$AF101)))</f>
        <v>99.635411286732648</v>
      </c>
    </row>
    <row r="66" spans="1:32" x14ac:dyDescent="0.25">
      <c r="A66" s="322"/>
      <c r="B66" s="328" t="s">
        <v>46</v>
      </c>
      <c r="G66" s="321">
        <f t="array" ref="G66">AVERAGE(IF($G$3:$AF$3+$G102:$AF102&gt;=G$3,IF($G$3:$AF$3&lt;=G$3,$G102:$AF102)))</f>
        <v>83.029509405610625</v>
      </c>
      <c r="H66" s="321">
        <f t="array" ref="H66">AVERAGE(IF($G$3:$AF$3+$G102:$AF102&gt;=H$3,IF($G$3:$AF$3&lt;=H$3,$G102:$AF102)))</f>
        <v>83.693745480855412</v>
      </c>
      <c r="I66" s="321">
        <f t="array" ref="I66">AVERAGE(IF($G$3:$AF$3+$G102:$AF102&gt;=I$3,IF($G$3:$AF$3&lt;=I$3,$G102:$AF102)))</f>
        <v>84.35798155610037</v>
      </c>
      <c r="J66" s="321">
        <f t="array" ref="J66">AVERAGE(IF($G$3:$AF$3+$G102:$AF102&gt;=J$3,IF($G$3:$AF$3&lt;=J$3,$G102:$AF102)))</f>
        <v>85.022217631345228</v>
      </c>
      <c r="K66" s="321">
        <f t="array" ref="K66">AVERAGE(IF($G$3:$AF$3+$G102:$AF102&gt;=K$3,IF($G$3:$AF$3&lt;=K$3,$G102:$AF102)))</f>
        <v>85.686453706590072</v>
      </c>
      <c r="L66" s="321">
        <f t="array" ref="L66">AVERAGE(IF($G$3:$AF$3+$G102:$AF102&gt;=L$3,IF($G$3:$AF$3&lt;=L$3,$G102:$AF102)))</f>
        <v>86.350689781834959</v>
      </c>
      <c r="M66" s="321">
        <f t="array" ref="M66">AVERAGE(IF($G$3:$AF$3+$G102:$AF102&gt;=M$3,IF($G$3:$AF$3&lt;=M$3,$G102:$AF102)))</f>
        <v>87.014925857079831</v>
      </c>
      <c r="N66" s="321">
        <f t="array" ref="N66">AVERAGE(IF($G$3:$AF$3+$G102:$AF102&gt;=N$3,IF($G$3:$AF$3&lt;=N$3,$G102:$AF102)))</f>
        <v>87.679161932324746</v>
      </c>
      <c r="O66" s="321">
        <f t="array" ref="O66">AVERAGE(IF($G$3:$AF$3+$G102:$AF102&gt;=O$3,IF($G$3:$AF$3&lt;=O$3,$G102:$AF102)))</f>
        <v>88.343398007569633</v>
      </c>
      <c r="P66" s="321">
        <f t="array" ref="P66">AVERAGE(IF($G$3:$AF$3+$G102:$AF102&gt;=P$3,IF($G$3:$AF$3&lt;=P$3,$G102:$AF102)))</f>
        <v>89.007634082814491</v>
      </c>
      <c r="Q66" s="321">
        <f t="array" ref="Q66">AVERAGE(IF($G$3:$AF$3+$G102:$AF102&gt;=Q$3,IF($G$3:$AF$3&lt;=Q$3,$G102:$AF102)))</f>
        <v>89.671870158059377</v>
      </c>
      <c r="R66" s="321">
        <f t="array" ref="R66">AVERAGE(IF($G$3:$AF$3+$G102:$AF102&gt;=R$3,IF($G$3:$AF$3&lt;=R$3,$G102:$AF102)))</f>
        <v>90.33610623330425</v>
      </c>
      <c r="S66" s="321">
        <f t="array" ref="S66">AVERAGE(IF($G$3:$AF$3+$G102:$AF102&gt;=S$3,IF($G$3:$AF$3&lt;=S$3,$G102:$AF102)))</f>
        <v>91.000342308549151</v>
      </c>
      <c r="T66" s="321">
        <f t="array" ref="T66">AVERAGE(IF($G$3:$AF$3+$G102:$AF102&gt;=T$3,IF($G$3:$AF$3&lt;=T$3,$G102:$AF102)))</f>
        <v>91.664578383794037</v>
      </c>
      <c r="U66" s="321">
        <f t="array" ref="U66">AVERAGE(IF($G$3:$AF$3+$G102:$AF102&gt;=U$3,IF($G$3:$AF$3&lt;=U$3,$G102:$AF102)))</f>
        <v>92.328814459038909</v>
      </c>
      <c r="V66" s="321">
        <f t="array" ref="V66">AVERAGE(IF($G$3:$AF$3+$G102:$AF102&gt;=V$3,IF($G$3:$AF$3&lt;=V$3,$G102:$AF102)))</f>
        <v>92.993050534283796</v>
      </c>
      <c r="W66" s="321">
        <f t="array" ref="W66">AVERAGE(IF($G$3:$AF$3+$G102:$AF102&gt;=W$3,IF($G$3:$AF$3&lt;=W$3,$G102:$AF102)))</f>
        <v>93.657286609528668</v>
      </c>
      <c r="X66" s="321">
        <f t="array" ref="X66">AVERAGE(IF($G$3:$AF$3+$G102:$AF102&gt;=X$3,IF($G$3:$AF$3&lt;=X$3,$G102:$AF102)))</f>
        <v>94.321522684773569</v>
      </c>
      <c r="Y66" s="321">
        <f t="array" ref="Y66">AVERAGE(IF($G$3:$AF$3+$G102:$AF102&gt;=Y$3,IF($G$3:$AF$3&lt;=Y$3,$G102:$AF102)))</f>
        <v>94.985758760018456</v>
      </c>
      <c r="Z66" s="321">
        <f t="array" ref="Z66">AVERAGE(IF($G$3:$AF$3+$G102:$AF102&gt;=Z$3,IF($G$3:$AF$3&lt;=Z$3,$G102:$AF102)))</f>
        <v>95.649994835263328</v>
      </c>
      <c r="AA66" s="321">
        <f t="array" ref="AA66">AVERAGE(IF($G$3:$AF$3+$G102:$AF102&gt;=AA$3,IF($G$3:$AF$3&lt;=AA$3,$G102:$AF102)))</f>
        <v>96.314230910508215</v>
      </c>
      <c r="AB66" s="321">
        <f t="array" ref="AB66">AVERAGE(IF($G$3:$AF$3+$G102:$AF102&gt;=AB$3,IF($G$3:$AF$3&lt;=AB$3,$G102:$AF102)))</f>
        <v>96.978466985753116</v>
      </c>
      <c r="AC66" s="321">
        <f t="array" ref="AC66">AVERAGE(IF($G$3:$AF$3+$G102:$AF102&gt;=AC$3,IF($G$3:$AF$3&lt;=AC$3,$G102:$AF102)))</f>
        <v>97.642703060997988</v>
      </c>
      <c r="AD66" s="321">
        <f t="array" ref="AD66">AVERAGE(IF($G$3:$AF$3+$G102:$AF102&gt;=AD$3,IF($G$3:$AF$3&lt;=AD$3,$G102:$AF102)))</f>
        <v>98.306939136242875</v>
      </c>
      <c r="AE66" s="321">
        <f t="array" ref="AE66">AVERAGE(IF($G$3:$AF$3+$G102:$AF102&gt;=AE$3,IF($G$3:$AF$3&lt;=AE$3,$G102:$AF102)))</f>
        <v>98.971175211487747</v>
      </c>
      <c r="AF66" s="321">
        <f t="array" ref="AF66">AVERAGE(IF($G$3:$AF$3+$G102:$AF102&gt;=AF$3,IF($G$3:$AF$3&lt;=AF$3,$G102:$AF102)))</f>
        <v>99.635411286732648</v>
      </c>
    </row>
    <row r="67" spans="1:32" x14ac:dyDescent="0.25">
      <c r="A67" s="322"/>
      <c r="B67" s="322" t="s">
        <v>29</v>
      </c>
      <c r="G67" s="321">
        <f t="array" ref="G67">AVERAGE(IF($G$3:$AF$3+$G103:$AF103&gt;=G$3,IF($G$3:$AF$3&lt;=G$3,$G103:$AF103)))</f>
        <v>27.676503135203543</v>
      </c>
      <c r="H67" s="321">
        <f t="array" ref="H67">AVERAGE(IF($G$3:$AF$3+$G103:$AF103&gt;=H$3,IF($G$3:$AF$3&lt;=H$3,$G103:$AF103)))</f>
        <v>32.102002092120678</v>
      </c>
      <c r="I67" s="321">
        <f t="array" ref="I67">AVERAGE(IF($G$3:$AF$3+$G103:$AF103&gt;=I$3,IF($G$3:$AF$3&lt;=I$3,$G103:$AF103)))</f>
        <v>34.89681666055322</v>
      </c>
      <c r="J67" s="321">
        <f t="array" ref="J67">AVERAGE(IF($G$3:$AF$3+$G103:$AF103&gt;=J$3,IF($G$3:$AF$3&lt;=J$3,$G103:$AF103)))</f>
        <v>37.141227942425616</v>
      </c>
      <c r="K67" s="321">
        <f t="array" ref="K67">AVERAGE(IF($G$3:$AF$3+$G103:$AF103&gt;=K$3,IF($G$3:$AF$3&lt;=K$3,$G103:$AF103)))</f>
        <v>39.044226545471687</v>
      </c>
      <c r="L67" s="321">
        <f t="array" ref="L67">AVERAGE(IF($G$3:$AF$3+$G103:$AF103&gt;=L$3,IF($G$3:$AF$3&lt;=L$3,$G103:$AF103)))</f>
        <v>40.680780308495287</v>
      </c>
      <c r="M67" s="321">
        <f t="array" ref="M67">AVERAGE(IF($G$3:$AF$3+$G103:$AF103&gt;=M$3,IF($G$3:$AF$3&lt;=M$3,$G103:$AF103)))</f>
        <v>42.093253496638432</v>
      </c>
      <c r="N67" s="321">
        <f t="array" ref="N67">AVERAGE(IF($G$3:$AF$3+$G103:$AF103&gt;=N$3,IF($G$3:$AF$3&lt;=N$3,$G103:$AF103)))</f>
        <v>43.313715316491141</v>
      </c>
      <c r="O67" s="321">
        <f t="array" ref="O67">AVERAGE(IF($G$3:$AF$3+$G103:$AF103&gt;=O$3,IF($G$3:$AF$3&lt;=O$3,$G103:$AF103)))</f>
        <v>44.369531018586379</v>
      </c>
      <c r="P67" s="321">
        <f t="array" ref="P67">AVERAGE(IF($G$3:$AF$3+$G103:$AF103&gt;=P$3,IF($G$3:$AF$3&lt;=P$3,$G103:$AF103)))</f>
        <v>45.284711642062071</v>
      </c>
      <c r="Q67" s="321">
        <f t="array" ref="Q67">AVERAGE(IF($G$3:$AF$3+$G103:$AF103&gt;=Q$3,IF($G$3:$AF$3&lt;=Q$3,$G103:$AF103)))</f>
        <v>46.080232283995585</v>
      </c>
      <c r="R67" s="321">
        <f t="array" ref="R67">AVERAGE(IF($G$3:$AF$3+$G103:$AF103&gt;=R$3,IF($G$3:$AF$3&lt;=R$3,$G103:$AF103)))</f>
        <v>46.774195733352691</v>
      </c>
      <c r="S67" s="321">
        <f t="array" ref="S67">AVERAGE(IF($G$3:$AF$3+$G103:$AF103&gt;=S$3,IF($G$3:$AF$3&lt;=S$3,$G103:$AF103)))</f>
        <v>47.382044997396029</v>
      </c>
      <c r="T67" s="321">
        <f t="array" ref="T67">AVERAGE(IF($G$3:$AF$3+$G103:$AF103&gt;=T$3,IF($G$3:$AF$3&lt;=T$3,$G103:$AF103)))</f>
        <v>47.916835956899661</v>
      </c>
      <c r="U67" s="321">
        <f t="array" ref="U67">AVERAGE(IF($G$3:$AF$3+$G103:$AF103&gt;=U$3,IF($G$3:$AF$3&lt;=U$3,$G103:$AF103)))</f>
        <v>48.389538623598781</v>
      </c>
      <c r="V67" s="321">
        <f t="array" ref="V67">AVERAGE(IF($G$3:$AF$3+$G103:$AF103&gt;=V$3,IF($G$3:$AF$3&lt;=V$3,$G103:$AF103)))</f>
        <v>48.809336699806302</v>
      </c>
      <c r="W67" s="321">
        <f t="array" ref="W67">AVERAGE(IF($G$3:$AF$3+$G103:$AF103&gt;=W$3,IF($G$3:$AF$3&lt;=W$3,$G103:$AF103)))</f>
        <v>49.183905861560326</v>
      </c>
      <c r="X67" s="321">
        <f t="array" ref="X67">AVERAGE(IF($G$3:$AF$3+$G103:$AF103&gt;=X$3,IF($G$3:$AF$3&lt;=X$3,$G103:$AF103)))</f>
        <v>49.519661037511781</v>
      </c>
      <c r="Y67" s="321">
        <f t="array" ref="Y67">AVERAGE(IF($G$3:$AF$3+$G103:$AF103&gt;=Y$3,IF($G$3:$AF$3&lt;=Y$3,$G103:$AF103)))</f>
        <v>49.821969731850011</v>
      </c>
      <c r="Z67" s="321">
        <f t="array" ref="Z67">AVERAGE(IF($G$3:$AF$3+$G103:$AF103&gt;=Z$3,IF($G$3:$AF$3&lt;=Z$3,$G103:$AF103)))</f>
        <v>50.095332428608607</v>
      </c>
      <c r="AA67" s="321">
        <f t="array" ref="AA67">AVERAGE(IF($G$3:$AF$3+$G103:$AF103&gt;=AA$3,IF($G$3:$AF$3&lt;=AA$3,$G103:$AF103)))</f>
        <v>50.343533133161472</v>
      </c>
      <c r="AB67" s="321">
        <f t="array" ref="AB67">AVERAGE(IF($G$3:$AF$3+$G103:$AF103&gt;=AB$3,IF($G$3:$AF$3&lt;=AB$3,$G103:$AF103)))</f>
        <v>50.569763892936592</v>
      </c>
      <c r="AC67" s="321">
        <f t="array" ref="AC67">AVERAGE(IF($G$3:$AF$3+$G103:$AF103&gt;=AC$3,IF($G$3:$AF$3&lt;=AC$3,$G103:$AF103)))</f>
        <v>50.776727223827109</v>
      </c>
      <c r="AD67" s="321">
        <f t="array" ref="AD67">AVERAGE(IF($G$3:$AF$3+$G103:$AF103&gt;=AD$3,IF($G$3:$AF$3&lt;=AD$3,$G103:$AF103)))</f>
        <v>50.966720093417997</v>
      </c>
      <c r="AE67" s="321">
        <f t="array" ref="AE67">AVERAGE(IF($G$3:$AF$3+$G103:$AF103&gt;=AE$3,IF($G$3:$AF$3&lt;=AE$3,$G103:$AF103)))</f>
        <v>51.141702681956559</v>
      </c>
      <c r="AF67" s="321">
        <f t="array" ref="AF67">AVERAGE(IF($G$3:$AF$3+$G103:$AF103&gt;=AF$3,IF($G$3:$AF$3&lt;=AF$3,$G103:$AF103)))</f>
        <v>51.303354672068693</v>
      </c>
    </row>
    <row r="68" spans="1:32" x14ac:dyDescent="0.25">
      <c r="A68" s="322"/>
      <c r="B68" s="322"/>
    </row>
    <row r="69" spans="1:32" s="202" customFormat="1" ht="12.75" x14ac:dyDescent="0.2">
      <c r="A69" s="335" t="s">
        <v>47</v>
      </c>
      <c r="B69" s="335"/>
      <c r="C69" s="335"/>
      <c r="D69" s="335"/>
      <c r="E69" s="335"/>
      <c r="F69" s="335"/>
      <c r="G69" s="335"/>
      <c r="H69" s="335"/>
      <c r="I69" s="335"/>
      <c r="J69" s="335"/>
      <c r="K69" s="335"/>
      <c r="L69" s="335"/>
      <c r="M69" s="335"/>
      <c r="N69" s="335"/>
      <c r="O69" s="335"/>
      <c r="P69" s="335"/>
      <c r="Q69" s="335"/>
      <c r="R69" s="335"/>
      <c r="S69" s="335"/>
      <c r="T69" s="335"/>
      <c r="U69" s="335"/>
      <c r="V69" s="335"/>
      <c r="W69" s="335"/>
      <c r="X69" s="335"/>
      <c r="Y69" s="335"/>
      <c r="Z69" s="335"/>
      <c r="AA69" s="335"/>
      <c r="AB69" s="335"/>
      <c r="AC69" s="335"/>
      <c r="AD69" s="335"/>
      <c r="AE69" s="335"/>
      <c r="AF69" s="335"/>
    </row>
    <row r="70" spans="1:32" x14ac:dyDescent="0.25">
      <c r="A70" s="322"/>
      <c r="B70" s="322" t="s">
        <v>48</v>
      </c>
      <c r="G70" s="321">
        <f t="array" ref="G70">AVERAGE(IF($G$3:$AF$3+$G106:$AF106&gt;=G$3,IF($G$3:$AF$3&lt;=G$3,$G106:$AF106)))</f>
        <v>1.4824636780330247</v>
      </c>
      <c r="H70" s="321">
        <f t="array" ref="H70">AVERAGE(IF($G$3:$AF$3+$G106:$AF106&gt;=H$3,IF($G$3:$AF$3&lt;=H$3,$G106:$AF106)))</f>
        <v>1.4861698372281065</v>
      </c>
      <c r="I70" s="321">
        <f t="array" ref="I70">AVERAGE(IF($G$3:$AF$3+$G106:$AF106&gt;=I$3,IF($G$3:$AF$3&lt;=I$3,$G106:$AF106)))</f>
        <v>1.4935821556182716</v>
      </c>
      <c r="J70" s="321">
        <f t="array" ref="J70">AVERAGE(IF($G$3:$AF$3+$G106:$AF106&gt;=J$3,IF($G$3:$AF$3&lt;=J$3,$G106:$AF106)))</f>
        <v>1.5009944740084364</v>
      </c>
      <c r="K70" s="321">
        <f t="array" ref="K70">AVERAGE(IF($G$3:$AF$3+$G106:$AF106&gt;=K$3,IF($G$3:$AF$3&lt;=K$3,$G106:$AF106)))</f>
        <v>1.5084067923986013</v>
      </c>
      <c r="L70" s="321">
        <f t="array" ref="L70">AVERAGE(IF($G$3:$AF$3+$G106:$AF106&gt;=L$3,IF($G$3:$AF$3&lt;=L$3,$G106:$AF106)))</f>
        <v>1.515819110788768</v>
      </c>
      <c r="M70" s="321">
        <f t="array" ref="M70">AVERAGE(IF($G$3:$AF$3+$G106:$AF106&gt;=M$3,IF($G$3:$AF$3&lt;=M$3,$G106:$AF106)))</f>
        <v>1.5232314291789328</v>
      </c>
      <c r="N70" s="321">
        <f t="array" ref="N70">AVERAGE(IF($G$3:$AF$3+$G106:$AF106&gt;=N$3,IF($G$3:$AF$3&lt;=N$3,$G106:$AF106)))</f>
        <v>1.5306437475690977</v>
      </c>
      <c r="O70" s="321">
        <f t="array" ref="O70">AVERAGE(IF($G$3:$AF$3+$G106:$AF106&gt;=O$3,IF($G$3:$AF$3&lt;=O$3,$G106:$AF106)))</f>
        <v>1.5380560659592626</v>
      </c>
      <c r="P70" s="321">
        <f t="array" ref="P70">AVERAGE(IF($G$3:$AF$3+$G106:$AF106&gt;=P$3,IF($G$3:$AF$3&lt;=P$3,$G106:$AF106)))</f>
        <v>1.5454683843494275</v>
      </c>
      <c r="Q70" s="321">
        <f t="array" ref="Q70">AVERAGE(IF($G$3:$AF$3+$G106:$AF106&gt;=Q$3,IF($G$3:$AF$3&lt;=Q$3,$G106:$AF106)))</f>
        <v>1.5528807027395926</v>
      </c>
      <c r="R70" s="321">
        <f t="array" ref="R70">AVERAGE(IF($G$3:$AF$3+$G106:$AF106&gt;=R$3,IF($G$3:$AF$3&lt;=R$3,$G106:$AF106)))</f>
        <v>1.5602930211297577</v>
      </c>
      <c r="S70" s="321">
        <f t="array" ref="S70">AVERAGE(IF($G$3:$AF$3+$G106:$AF106&gt;=S$3,IF($G$3:$AF$3&lt;=S$3,$G106:$AF106)))</f>
        <v>1.5677053395199225</v>
      </c>
      <c r="T70" s="321">
        <f t="array" ref="T70">AVERAGE(IF($G$3:$AF$3+$G106:$AF106&gt;=T$3,IF($G$3:$AF$3&lt;=T$3,$G106:$AF106)))</f>
        <v>1.5751176579100874</v>
      </c>
      <c r="U70" s="321">
        <f t="array" ref="U70">AVERAGE(IF($G$3:$AF$3+$G106:$AF106&gt;=U$3,IF($G$3:$AF$3&lt;=U$3,$G106:$AF106)))</f>
        <v>1.5825299763002536</v>
      </c>
      <c r="V70" s="321">
        <f t="array" ref="V70">AVERAGE(IF($G$3:$AF$3+$G106:$AF106&gt;=V$3,IF($G$3:$AF$3&lt;=V$3,$G106:$AF106)))</f>
        <v>1.5899422946904185</v>
      </c>
      <c r="W70" s="321">
        <f t="array" ref="W70">AVERAGE(IF($G$3:$AF$3+$G106:$AF106&gt;=W$3,IF($G$3:$AF$3&lt;=W$3,$G106:$AF106)))</f>
        <v>1.5973546130805836</v>
      </c>
      <c r="X70" s="321">
        <f t="array" ref="X70">AVERAGE(IF($G$3:$AF$3+$G106:$AF106&gt;=X$3,IF($G$3:$AF$3&lt;=X$3,$G106:$AF106)))</f>
        <v>1.6047669314707487</v>
      </c>
      <c r="Y70" s="321">
        <f t="array" ref="Y70">AVERAGE(IF($G$3:$AF$3+$G106:$AF106&gt;=Y$3,IF($G$3:$AF$3&lt;=Y$3,$G106:$AF106)))</f>
        <v>1.6121792498609135</v>
      </c>
      <c r="Z70" s="321">
        <f t="array" ref="Z70">AVERAGE(IF($G$3:$AF$3+$G106:$AF106&gt;=Z$3,IF($G$3:$AF$3&lt;=Z$3,$G106:$AF106)))</f>
        <v>1.6195915682510784</v>
      </c>
      <c r="AA70" s="321">
        <f t="array" ref="AA70">AVERAGE(IF($G$3:$AF$3+$G106:$AF106&gt;=AA$3,IF($G$3:$AF$3&lt;=AA$3,$G106:$AF106)))</f>
        <v>1.6270038866412435</v>
      </c>
      <c r="AB70" s="321">
        <f t="array" ref="AB70">AVERAGE(IF($G$3:$AF$3+$G106:$AF106&gt;=AB$3,IF($G$3:$AF$3&lt;=AB$3,$G106:$AF106)))</f>
        <v>1.6344162050314086</v>
      </c>
      <c r="AC70" s="321">
        <f t="array" ref="AC70">AVERAGE(IF($G$3:$AF$3+$G106:$AF106&gt;=AC$3,IF($G$3:$AF$3&lt;=AC$3,$G106:$AF106)))</f>
        <v>1.6418285234215735</v>
      </c>
      <c r="AD70" s="321">
        <f t="array" ref="AD70">AVERAGE(IF($G$3:$AF$3+$G106:$AF106&gt;=AD$3,IF($G$3:$AF$3&lt;=AD$3,$G106:$AF106)))</f>
        <v>1.6492408418117399</v>
      </c>
      <c r="AE70" s="321">
        <f t="array" ref="AE70">AVERAGE(IF($G$3:$AF$3+$G106:$AF106&gt;=AE$3,IF($G$3:$AF$3&lt;=AE$3,$G106:$AF106)))</f>
        <v>1.656653160201905</v>
      </c>
      <c r="AF70" s="321">
        <f t="array" ref="AF70">AVERAGE(IF($G$3:$AF$3+$G106:$AF106&gt;=AF$3,IF($G$3:$AF$3&lt;=AF$3,$G106:$AF106)))</f>
        <v>1.6640654785920699</v>
      </c>
    </row>
    <row r="71" spans="1:32" x14ac:dyDescent="0.25">
      <c r="A71" s="322"/>
      <c r="B71" s="328" t="s">
        <v>50</v>
      </c>
      <c r="G71" s="321">
        <f t="array" ref="G71">AVERAGE(IF($G$3:$AF$3+$G107:$AF107&gt;=G$3,IF($G$3:$AF$3&lt;=G$3,$G107:$AF107)))</f>
        <v>5.9298547121320988</v>
      </c>
      <c r="H71" s="321">
        <f t="array" ref="H71">AVERAGE(IF($G$3:$AF$3+$G107:$AF107&gt;=H$3,IF($G$3:$AF$3&lt;=H$3,$G107:$AF107)))</f>
        <v>5.9446793489124259</v>
      </c>
      <c r="I71" s="321">
        <f t="array" ref="I71">AVERAGE(IF($G$3:$AF$3+$G107:$AF107&gt;=I$3,IF($G$3:$AF$3&lt;=I$3,$G107:$AF107)))</f>
        <v>5.9595039856927565</v>
      </c>
      <c r="J71" s="321">
        <f t="array" ref="J71">AVERAGE(IF($G$3:$AF$3+$G107:$AF107&gt;=J$3,IF($G$3:$AF$3&lt;=J$3,$G107:$AF107)))</f>
        <v>5.9743286224730863</v>
      </c>
      <c r="K71" s="321">
        <f t="array" ref="K71">AVERAGE(IF($G$3:$AF$3+$G107:$AF107&gt;=K$3,IF($G$3:$AF$3&lt;=K$3,$G107:$AF107)))</f>
        <v>5.9891532592534169</v>
      </c>
      <c r="L71" s="321">
        <f t="array" ref="L71">AVERAGE(IF($G$3:$AF$3+$G107:$AF107&gt;=L$3,IF($G$3:$AF$3&lt;=L$3,$G107:$AF107)))</f>
        <v>6.0039778960337484</v>
      </c>
      <c r="M71" s="321">
        <f t="array" ref="M71">AVERAGE(IF($G$3:$AF$3+$G107:$AF107&gt;=M$3,IF($G$3:$AF$3&lt;=M$3,$G107:$AF107)))</f>
        <v>6.0336271695944079</v>
      </c>
      <c r="N71" s="321">
        <f t="array" ref="N71">AVERAGE(IF($G$3:$AF$3+$G107:$AF107&gt;=N$3,IF($G$3:$AF$3&lt;=N$3,$G107:$AF107)))</f>
        <v>6.0632764431550692</v>
      </c>
      <c r="O71" s="321">
        <f t="array" ref="O71">AVERAGE(IF($G$3:$AF$3+$G107:$AF107&gt;=O$3,IF($G$3:$AF$3&lt;=O$3,$G107:$AF107)))</f>
        <v>6.0929257167157287</v>
      </c>
      <c r="P71" s="321">
        <f t="array" ref="P71">AVERAGE(IF($G$3:$AF$3+$G107:$AF107&gt;=P$3,IF($G$3:$AF$3&lt;=P$3,$G107:$AF107)))</f>
        <v>6.1077503534960593</v>
      </c>
      <c r="Q71" s="321">
        <f t="array" ref="Q71">AVERAGE(IF($G$3:$AF$3+$G107:$AF107&gt;=Q$3,IF($G$3:$AF$3&lt;=Q$3,$G107:$AF107)))</f>
        <v>6.1373996270567206</v>
      </c>
      <c r="R71" s="321">
        <f t="array" ref="R71">AVERAGE(IF($G$3:$AF$3+$G107:$AF107&gt;=R$3,IF($G$3:$AF$3&lt;=R$3,$G107:$AF107)))</f>
        <v>6.167048900617381</v>
      </c>
      <c r="S71" s="321">
        <f t="array" ref="S71">AVERAGE(IF($G$3:$AF$3+$G107:$AF107&gt;=S$3,IF($G$3:$AF$3&lt;=S$3,$G107:$AF107)))</f>
        <v>6.1966981741780396</v>
      </c>
      <c r="T71" s="321">
        <f t="array" ref="T71">AVERAGE(IF($G$3:$AF$3+$G107:$AF107&gt;=T$3,IF($G$3:$AF$3&lt;=T$3,$G107:$AF107)))</f>
        <v>6.2263474477387009</v>
      </c>
      <c r="U71" s="321">
        <f t="array" ref="U71">AVERAGE(IF($G$3:$AF$3+$G107:$AF107&gt;=U$3,IF($G$3:$AF$3&lt;=U$3,$G107:$AF107)))</f>
        <v>6.2559967212993612</v>
      </c>
      <c r="V71" s="321">
        <f t="array" ref="V71">AVERAGE(IF($G$3:$AF$3+$G107:$AF107&gt;=V$3,IF($G$3:$AF$3&lt;=V$3,$G107:$AF107)))</f>
        <v>6.2856459948600216</v>
      </c>
      <c r="W71" s="321">
        <f t="array" ref="W71">AVERAGE(IF($G$3:$AF$3+$G107:$AF107&gt;=W$3,IF($G$3:$AF$3&lt;=W$3,$G107:$AF107)))</f>
        <v>6.315295268420682</v>
      </c>
      <c r="X71" s="321">
        <f t="array" ref="X71">AVERAGE(IF($G$3:$AF$3+$G107:$AF107&gt;=X$3,IF($G$3:$AF$3&lt;=X$3,$G107:$AF107)))</f>
        <v>6.3449445419813433</v>
      </c>
      <c r="Y71" s="321">
        <f t="array" ref="Y71">AVERAGE(IF($G$3:$AF$3+$G107:$AF107&gt;=Y$3,IF($G$3:$AF$3&lt;=Y$3,$G107:$AF107)))</f>
        <v>6.3745938155420037</v>
      </c>
      <c r="Z71" s="321">
        <f t="array" ref="Z71">AVERAGE(IF($G$3:$AF$3+$G107:$AF107&gt;=Z$3,IF($G$3:$AF$3&lt;=Z$3,$G107:$AF107)))</f>
        <v>6.404243089102664</v>
      </c>
      <c r="AA71" s="321">
        <f t="array" ref="AA71">AVERAGE(IF($G$3:$AF$3+$G107:$AF107&gt;=AA$3,IF($G$3:$AF$3&lt;=AA$3,$G107:$AF107)))</f>
        <v>6.4338923626633244</v>
      </c>
      <c r="AB71" s="321">
        <f t="array" ref="AB71">AVERAGE(IF($G$3:$AF$3+$G107:$AF107&gt;=AB$3,IF($G$3:$AF$3&lt;=AB$3,$G107:$AF107)))</f>
        <v>6.4635416362239848</v>
      </c>
      <c r="AC71" s="321">
        <f t="array" ref="AC71">AVERAGE(IF($G$3:$AF$3+$G107:$AF107&gt;=AC$3,IF($G$3:$AF$3&lt;=AC$3,$G107:$AF107)))</f>
        <v>6.4931909097846443</v>
      </c>
      <c r="AD71" s="321">
        <f t="array" ref="AD71">AVERAGE(IF($G$3:$AF$3+$G107:$AF107&gt;=AD$3,IF($G$3:$AF$3&lt;=AD$3,$G107:$AF107)))</f>
        <v>6.5228401833453038</v>
      </c>
      <c r="AE71" s="321">
        <f t="array" ref="AE71">AVERAGE(IF($G$3:$AF$3+$G107:$AF107&gt;=AE$3,IF($G$3:$AF$3&lt;=AE$3,$G107:$AF107)))</f>
        <v>6.5524894569059651</v>
      </c>
      <c r="AF71" s="321">
        <f t="array" ref="AF71">AVERAGE(IF($G$3:$AF$3+$G107:$AF107&gt;=AF$3,IF($G$3:$AF$3&lt;=AF$3,$G107:$AF107)))</f>
        <v>6.5821387304666263</v>
      </c>
    </row>
    <row r="72" spans="1:32" x14ac:dyDescent="0.25">
      <c r="A72" s="322"/>
      <c r="B72" s="322" t="s">
        <v>51</v>
      </c>
      <c r="G72" s="321">
        <f t="array" ref="G72">AVERAGE(IF($G$3:$AF$3+$G108:$AF108&gt;=G$3,IF($G$3:$AF$3&lt;=G$3,$G108:$AF108)))</f>
        <v>17.789564136396297</v>
      </c>
      <c r="H72" s="321">
        <f t="array" ref="H72">AVERAGE(IF($G$3:$AF$3+$G108:$AF108&gt;=H$3,IF($G$3:$AF$3&lt;=H$3,$G108:$AF108)))</f>
        <v>17.834038046737291</v>
      </c>
      <c r="I72" s="321">
        <f t="array" ref="I72">AVERAGE(IF($G$3:$AF$3+$G108:$AF108&gt;=I$3,IF($G$3:$AF$3&lt;=I$3,$G108:$AF108)))</f>
        <v>17.878511957078285</v>
      </c>
      <c r="J72" s="321">
        <f t="array" ref="J72">AVERAGE(IF($G$3:$AF$3+$G108:$AF108&gt;=J$3,IF($G$3:$AF$3&lt;=J$3,$G108:$AF108)))</f>
        <v>17.922985867419275</v>
      </c>
      <c r="K72" s="321">
        <f t="array" ref="K72">AVERAGE(IF($G$3:$AF$3+$G108:$AF108&gt;=K$3,IF($G$3:$AF$3&lt;=K$3,$G108:$AF108)))</f>
        <v>17.967459777760261</v>
      </c>
      <c r="L72" s="321">
        <f t="array" ref="L72">AVERAGE(IF($G$3:$AF$3+$G108:$AF108&gt;=L$3,IF($G$3:$AF$3&lt;=L$3,$G108:$AF108)))</f>
        <v>18.011933688101252</v>
      </c>
      <c r="M72" s="321">
        <f t="array" ref="M72">AVERAGE(IF($G$3:$AF$3+$G108:$AF108&gt;=M$3,IF($G$3:$AF$3&lt;=M$3,$G108:$AF108)))</f>
        <v>18.056407598442242</v>
      </c>
      <c r="N72" s="321">
        <f t="array" ref="N72">AVERAGE(IF($G$3:$AF$3+$G108:$AF108&gt;=N$3,IF($G$3:$AF$3&lt;=N$3,$G108:$AF108)))</f>
        <v>18.100881508783232</v>
      </c>
      <c r="O72" s="321">
        <f t="array" ref="O72">AVERAGE(IF($G$3:$AF$3+$G108:$AF108&gt;=O$3,IF($G$3:$AF$3&lt;=O$3,$G108:$AF108)))</f>
        <v>18.145355419124222</v>
      </c>
      <c r="P72" s="321">
        <f t="array" ref="P72">AVERAGE(IF($G$3:$AF$3+$G108:$AF108&gt;=P$3,IF($G$3:$AF$3&lt;=P$3,$G108:$AF108)))</f>
        <v>18.189829329465216</v>
      </c>
      <c r="Q72" s="321">
        <f t="array" ref="Q72">AVERAGE(IF($G$3:$AF$3+$G108:$AF108&gt;=Q$3,IF($G$3:$AF$3&lt;=Q$3,$G108:$AF108)))</f>
        <v>18.234303239806206</v>
      </c>
      <c r="R72" s="321">
        <f t="array" ref="R72">AVERAGE(IF($G$3:$AF$3+$G108:$AF108&gt;=R$3,IF($G$3:$AF$3&lt;=R$3,$G108:$AF108)))</f>
        <v>18.278777150147196</v>
      </c>
      <c r="S72" s="321">
        <f t="array" ref="S72">AVERAGE(IF($G$3:$AF$3+$G108:$AF108&gt;=S$3,IF($G$3:$AF$3&lt;=S$3,$G108:$AF108)))</f>
        <v>18.323251060488186</v>
      </c>
      <c r="T72" s="321">
        <f t="array" ref="T72">AVERAGE(IF($G$3:$AF$3+$G108:$AF108&gt;=T$3,IF($G$3:$AF$3&lt;=T$3,$G108:$AF108)))</f>
        <v>18.367724970829176</v>
      </c>
      <c r="U72" s="321">
        <f t="array" ref="U72">AVERAGE(IF($G$3:$AF$3+$G108:$AF108&gt;=U$3,IF($G$3:$AF$3&lt;=U$3,$G108:$AF108)))</f>
        <v>18.412198881170166</v>
      </c>
      <c r="V72" s="321">
        <f t="array" ref="V72">AVERAGE(IF($G$3:$AF$3+$G108:$AF108&gt;=V$3,IF($G$3:$AF$3&lt;=V$3,$G108:$AF108)))</f>
        <v>18.456672791511156</v>
      </c>
      <c r="W72" s="321">
        <f t="array" ref="W72">AVERAGE(IF($G$3:$AF$3+$G108:$AF108&gt;=W$3,IF($G$3:$AF$3&lt;=W$3,$G108:$AF108)))</f>
        <v>18.50114670185215</v>
      </c>
      <c r="X72" s="321">
        <f t="array" ref="X72">AVERAGE(IF($G$3:$AF$3+$G108:$AF108&gt;=X$3,IF($G$3:$AF$3&lt;=X$3,$G108:$AF108)))</f>
        <v>18.545620612193137</v>
      </c>
      <c r="Y72" s="321">
        <f t="array" ref="Y72">AVERAGE(IF($G$3:$AF$3+$G108:$AF108&gt;=Y$3,IF($G$3:$AF$3&lt;=Y$3,$G108:$AF108)))</f>
        <v>18.634568432875124</v>
      </c>
      <c r="Z72" s="321">
        <f t="array" ref="Z72">AVERAGE(IF($G$3:$AF$3+$G108:$AF108&gt;=Z$3,IF($G$3:$AF$3&lt;=Z$3,$G108:$AF108)))</f>
        <v>18.723516253557101</v>
      </c>
      <c r="AA72" s="321">
        <f t="array" ref="AA72">AVERAGE(IF($G$3:$AF$3+$G108:$AF108&gt;=AA$3,IF($G$3:$AF$3&lt;=AA$3,$G108:$AF108)))</f>
        <v>18.812464074239085</v>
      </c>
      <c r="AB72" s="321">
        <f t="array" ref="AB72">AVERAGE(IF($G$3:$AF$3+$G108:$AF108&gt;=AB$3,IF($G$3:$AF$3&lt;=AB$3,$G108:$AF108)))</f>
        <v>18.856937984580075</v>
      </c>
      <c r="AC72" s="321">
        <f t="array" ref="AC72">AVERAGE(IF($G$3:$AF$3+$G108:$AF108&gt;=AC$3,IF($G$3:$AF$3&lt;=AC$3,$G108:$AF108)))</f>
        <v>18.945885805262058</v>
      </c>
      <c r="AD72" s="321">
        <f t="array" ref="AD72">AVERAGE(IF($G$3:$AF$3+$G108:$AF108&gt;=AD$3,IF($G$3:$AF$3&lt;=AD$3,$G108:$AF108)))</f>
        <v>19.034833625944042</v>
      </c>
      <c r="AE72" s="321">
        <f t="array" ref="AE72">AVERAGE(IF($G$3:$AF$3+$G108:$AF108&gt;=AE$3,IF($G$3:$AF$3&lt;=AE$3,$G108:$AF108)))</f>
        <v>19.123781446626023</v>
      </c>
      <c r="AF72" s="321">
        <f t="array" ref="AF72">AVERAGE(IF($G$3:$AF$3+$G108:$AF108&gt;=AF$3,IF($G$3:$AF$3&lt;=AF$3,$G108:$AF108)))</f>
        <v>19.212729267308003</v>
      </c>
    </row>
    <row r="73" spans="1:32" x14ac:dyDescent="0.25">
      <c r="A73" s="322"/>
      <c r="B73" s="322" t="s">
        <v>52</v>
      </c>
      <c r="G73" s="321">
        <f t="array" ref="G73">AVERAGE(IF($G$3:$AF$3+$G109:$AF109&gt;=G$3,IF($G$3:$AF$3&lt;=G$3,$G109:$AF109)))</f>
        <v>74.123183901651231</v>
      </c>
      <c r="H73" s="321">
        <f t="array" ref="H73">AVERAGE(IF($G$3:$AF$3+$G109:$AF109&gt;=H$3,IF($G$3:$AF$3&lt;=H$3,$G109:$AF109)))</f>
        <v>75.753893947488109</v>
      </c>
      <c r="I73" s="321">
        <f t="array" ref="I73">AVERAGE(IF($G$3:$AF$3+$G109:$AF109&gt;=I$3,IF($G$3:$AF$3&lt;=I$3,$G109:$AF109)))</f>
        <v>77.384603993324518</v>
      </c>
      <c r="J73" s="321">
        <f t="array" ref="J73">AVERAGE(IF($G$3:$AF$3+$G109:$AF109&gt;=J$3,IF($G$3:$AF$3&lt;=J$3,$G109:$AF109)))</f>
        <v>79.015314039160828</v>
      </c>
      <c r="K73" s="321">
        <f t="array" ref="K73">AVERAGE(IF($G$3:$AF$3+$G109:$AF109&gt;=K$3,IF($G$3:$AF$3&lt;=K$3,$G109:$AF109)))</f>
        <v>80.646024084997094</v>
      </c>
      <c r="L73" s="321">
        <f t="array" ref="L73">AVERAGE(IF($G$3:$AF$3+$G109:$AF109&gt;=L$3,IF($G$3:$AF$3&lt;=L$3,$G109:$AF109)))</f>
        <v>82.276734130833333</v>
      </c>
      <c r="M73" s="321">
        <f t="array" ref="M73">AVERAGE(IF($G$3:$AF$3+$G109:$AF109&gt;=M$3,IF($G$3:$AF$3&lt;=M$3,$G109:$AF109)))</f>
        <v>83.907444176669742</v>
      </c>
      <c r="N73" s="321">
        <f t="array" ref="N73">AVERAGE(IF($G$3:$AF$3+$G109:$AF109&gt;=N$3,IF($G$3:$AF$3&lt;=N$3,$G109:$AF109)))</f>
        <v>85.538154222506108</v>
      </c>
      <c r="O73" s="321">
        <f t="array" ref="O73">AVERAGE(IF($G$3:$AF$3+$G109:$AF109&gt;=O$3,IF($G$3:$AF$3&lt;=O$3,$G109:$AF109)))</f>
        <v>87.168864268342432</v>
      </c>
      <c r="P73" s="321">
        <f t="array" ref="P73">AVERAGE(IF($G$3:$AF$3+$G109:$AF109&gt;=P$3,IF($G$3:$AF$3&lt;=P$3,$G109:$AF109)))</f>
        <v>88.799574314178727</v>
      </c>
      <c r="Q73" s="321">
        <f t="array" ref="Q73">AVERAGE(IF($G$3:$AF$3+$G109:$AF109&gt;=Q$3,IF($G$3:$AF$3&lt;=Q$3,$G109:$AF109)))</f>
        <v>90.430284360014994</v>
      </c>
      <c r="R73" s="321">
        <f t="array" ref="R73">AVERAGE(IF($G$3:$AF$3+$G109:$AF109&gt;=R$3,IF($G$3:$AF$3&lt;=R$3,$G109:$AF109)))</f>
        <v>92.060994405851375</v>
      </c>
      <c r="S73" s="321">
        <f t="array" ref="S73">AVERAGE(IF($G$3:$AF$3+$G109:$AF109&gt;=S$3,IF($G$3:$AF$3&lt;=S$3,$G109:$AF109)))</f>
        <v>93.691704451687727</v>
      </c>
      <c r="T73" s="321">
        <f t="array" ref="T73">AVERAGE(IF($G$3:$AF$3+$G109:$AF109&gt;=T$3,IF($G$3:$AF$3&lt;=T$3,$G109:$AF109)))</f>
        <v>95.322414497524051</v>
      </c>
      <c r="U73" s="321">
        <f t="array" ref="U73">AVERAGE(IF($G$3:$AF$3+$G109:$AF109&gt;=U$3,IF($G$3:$AF$3&lt;=U$3,$G109:$AF109)))</f>
        <v>96.95312454336036</v>
      </c>
      <c r="V73" s="321">
        <f t="array" ref="V73">AVERAGE(IF($G$3:$AF$3+$G109:$AF109&gt;=V$3,IF($G$3:$AF$3&lt;=V$3,$G109:$AF109)))</f>
        <v>98.583834589196641</v>
      </c>
      <c r="W73" s="321">
        <f t="array" ref="W73">AVERAGE(IF($G$3:$AF$3+$G109:$AF109&gt;=W$3,IF($G$3:$AF$3&lt;=W$3,$G109:$AF109)))</f>
        <v>100.21454463503301</v>
      </c>
      <c r="X73" s="321">
        <f t="array" ref="X73">AVERAGE(IF($G$3:$AF$3+$G109:$AF109&gt;=X$3,IF($G$3:$AF$3&lt;=X$3,$G109:$AF109)))</f>
        <v>101.84525468086935</v>
      </c>
      <c r="Y73" s="321">
        <f t="array" ref="Y73">AVERAGE(IF($G$3:$AF$3+$G109:$AF109&gt;=Y$3,IF($G$3:$AF$3&lt;=Y$3,$G109:$AF109)))</f>
        <v>103.47596472670568</v>
      </c>
      <c r="Z73" s="321">
        <f t="array" ref="Z73">AVERAGE(IF($G$3:$AF$3+$G109:$AF109&gt;=Z$3,IF($G$3:$AF$3&lt;=Z$3,$G109:$AF109)))</f>
        <v>105.10667477254199</v>
      </c>
      <c r="AA73" s="321">
        <f t="array" ref="AA73">AVERAGE(IF($G$3:$AF$3+$G109:$AF109&gt;=AA$3,IF($G$3:$AF$3&lt;=AA$3,$G109:$AF109)))</f>
        <v>106.73738481837829</v>
      </c>
      <c r="AB73" s="321">
        <f t="array" ref="AB73">AVERAGE(IF($G$3:$AF$3+$G109:$AF109&gt;=AB$3,IF($G$3:$AF$3&lt;=AB$3,$G109:$AF109)))</f>
        <v>108.36809486421465</v>
      </c>
      <c r="AC73" s="321">
        <f t="array" ref="AC73">AVERAGE(IF($G$3:$AF$3+$G109:$AF109&gt;=AC$3,IF($G$3:$AF$3&lt;=AC$3,$G109:$AF109)))</f>
        <v>109.99880491005099</v>
      </c>
      <c r="AD73" s="321">
        <f t="array" ref="AD73">AVERAGE(IF($G$3:$AF$3+$G109:$AF109&gt;=AD$3,IF($G$3:$AF$3&lt;=AD$3,$G109:$AF109)))</f>
        <v>111.62951495588732</v>
      </c>
      <c r="AE73" s="321">
        <f t="array" ref="AE73">AVERAGE(IF($G$3:$AF$3+$G109:$AF109&gt;=AE$3,IF($G$3:$AF$3&lt;=AE$3,$G109:$AF109)))</f>
        <v>113.26022500172363</v>
      </c>
      <c r="AF73" s="321">
        <f t="array" ref="AF73">AVERAGE(IF($G$3:$AF$3+$G109:$AF109&gt;=AF$3,IF($G$3:$AF$3&lt;=AF$3,$G109:$AF109)))</f>
        <v>114.89093504755994</v>
      </c>
    </row>
    <row r="74" spans="1:32" x14ac:dyDescent="0.25">
      <c r="A74" s="322"/>
      <c r="B74" s="328" t="s">
        <v>29</v>
      </c>
      <c r="G74" s="321">
        <f t="array" ref="G74">AVERAGE(IF($G$3:$AF$3+$G110:$AF110&gt;=G$3,IF($G$3:$AF$3&lt;=G$3,$G110:$AF110)))</f>
        <v>37.061591950825616</v>
      </c>
      <c r="H74" s="321">
        <f t="array" ref="H74">AVERAGE(IF($G$3:$AF$3+$G110:$AF110&gt;=H$3,IF($G$3:$AF$3&lt;=H$3,$G110:$AF110)))</f>
        <v>42.987775461756392</v>
      </c>
      <c r="I74" s="321">
        <f t="array" ref="I74">AVERAGE(IF($G$3:$AF$3+$G110:$AF110&gt;=I$3,IF($G$3:$AF$3&lt;=I$3,$G110:$AF110)))</f>
        <v>46.730310297442308</v>
      </c>
      <c r="J74" s="321">
        <f t="array" ref="J74">AVERAGE(IF($G$3:$AF$3+$G110:$AF110&gt;=J$3,IF($G$3:$AF$3&lt;=J$3,$G110:$AF110)))</f>
        <v>49.735800358532444</v>
      </c>
      <c r="K74" s="321">
        <f t="array" ref="K74">AVERAGE(IF($G$3:$AF$3+$G110:$AF110&gt;=K$3,IF($G$3:$AF$3&lt;=K$3,$G110:$AF110)))</f>
        <v>52.284104866675861</v>
      </c>
      <c r="L74" s="321">
        <f t="array" ref="L74">AVERAGE(IF($G$3:$AF$3+$G110:$AF110&gt;=L$3,IF($G$3:$AF$3&lt;=L$3,$G110:$AF110)))</f>
        <v>54.475613218524693</v>
      </c>
      <c r="M74" s="321">
        <f t="array" ref="M74">AVERAGE(IF($G$3:$AF$3+$G110:$AF110&gt;=M$3,IF($G$3:$AF$3&lt;=M$3,$G110:$AF110)))</f>
        <v>56.367055381023079</v>
      </c>
      <c r="N74" s="321">
        <f t="array" ref="N74">AVERAGE(IF($G$3:$AF$3+$G110:$AF110&gt;=N$3,IF($G$3:$AF$3&lt;=N$3,$G110:$AF110)))</f>
        <v>58.001375213191814</v>
      </c>
      <c r="O74" s="321">
        <f t="array" ref="O74">AVERAGE(IF($G$3:$AF$3+$G110:$AF110&gt;=O$3,IF($G$3:$AF$3&lt;=O$3,$G110:$AF110)))</f>
        <v>59.41521750877272</v>
      </c>
      <c r="P74" s="321">
        <f t="array" ref="P74">AVERAGE(IF($G$3:$AF$3+$G110:$AF110&gt;=P$3,IF($G$3:$AF$3&lt;=P$3,$G110:$AF110)))</f>
        <v>60.640735438652221</v>
      </c>
      <c r="Q74" s="321">
        <f t="array" ref="Q74">AVERAGE(IF($G$3:$AF$3+$G110:$AF110&gt;=Q$3,IF($G$3:$AF$3&lt;=Q$3,$G110:$AF110)))</f>
        <v>61.706016745173095</v>
      </c>
      <c r="R74" s="321">
        <f t="array" ref="R74">AVERAGE(IF($G$3:$AF$3+$G110:$AF110&gt;=R$3,IF($G$3:$AF$3&lt;=R$3,$G110:$AF110)))</f>
        <v>62.635302864276291</v>
      </c>
      <c r="S74" s="321">
        <f t="array" ref="S74">AVERAGE(IF($G$3:$AF$3+$G110:$AF110&gt;=S$3,IF($G$3:$AF$3&lt;=S$3,$G110:$AF110)))</f>
        <v>63.449273519511593</v>
      </c>
      <c r="T74" s="321">
        <f t="array" ref="T74">AVERAGE(IF($G$3:$AF$3+$G110:$AF110&gt;=T$3,IF($G$3:$AF$3&lt;=T$3,$G110:$AF110)))</f>
        <v>64.165411834503544</v>
      </c>
      <c r="U74" s="321">
        <f t="array" ref="U74">AVERAGE(IF($G$3:$AF$3+$G110:$AF110&gt;=U$3,IF($G$3:$AF$3&lt;=U$3,$G110:$AF110)))</f>
        <v>64.798407746656423</v>
      </c>
      <c r="V74" s="321">
        <f t="array" ref="V74">AVERAGE(IF($G$3:$AF$3+$G110:$AF110&gt;=V$3,IF($G$3:$AF$3&lt;=V$3,$G110:$AF110)))</f>
        <v>65.360559147291823</v>
      </c>
      <c r="W74" s="321">
        <f t="array" ref="W74">AVERAGE(IF($G$3:$AF$3+$G110:$AF110&gt;=W$3,IF($G$3:$AF$3&lt;=W$3,$G110:$AF110)))</f>
        <v>65.862144530476769</v>
      </c>
      <c r="X74" s="321">
        <f t="array" ref="X74">AVERAGE(IF($G$3:$AF$3+$G110:$AF110&gt;=X$3,IF($G$3:$AF$3&lt;=X$3,$G110:$AF110)))</f>
        <v>66.311754124062404</v>
      </c>
      <c r="Y74" s="321">
        <f t="array" ref="Y74">AVERAGE(IF($G$3:$AF$3+$G110:$AF110&gt;=Y$3,IF($G$3:$AF$3&lt;=Y$3,$G110:$AF110)))</f>
        <v>66.716575550310409</v>
      </c>
      <c r="Z74" s="321">
        <f t="array" ref="Z74">AVERAGE(IF($G$3:$AF$3+$G110:$AF110&gt;=Z$3,IF($G$3:$AF$3&lt;=Z$3,$G110:$AF110)))</f>
        <v>67.082635405211576</v>
      </c>
      <c r="AA74" s="321">
        <f t="array" ref="AA74">AVERAGE(IF($G$3:$AF$3+$G110:$AF110&gt;=AA$3,IF($G$3:$AF$3&lt;=AA$3,$G110:$AF110)))</f>
        <v>67.415000848530369</v>
      </c>
      <c r="AB74" s="321">
        <f t="array" ref="AB74">AVERAGE(IF($G$3:$AF$3+$G110:$AF110&gt;=AB$3,IF($G$3:$AF$3&lt;=AB$3,$G110:$AF110)))</f>
        <v>67.717946349432395</v>
      </c>
      <c r="AC74" s="321">
        <f t="array" ref="AC74">AVERAGE(IF($G$3:$AF$3+$G110:$AF110&gt;=AC$3,IF($G$3:$AF$3&lt;=AC$3,$G110:$AF110)))</f>
        <v>67.99509084564194</v>
      </c>
      <c r="AD74" s="321">
        <f t="array" ref="AD74">AVERAGE(IF($G$3:$AF$3+$G110:$AF110&gt;=AD$3,IF($G$3:$AF$3&lt;=AD$3,$G110:$AF110)))</f>
        <v>68.249510205340158</v>
      </c>
      <c r="AE74" s="321">
        <f t="array" ref="AE74">AVERAGE(IF($G$3:$AF$3+$G110:$AF110&gt;=AE$3,IF($G$3:$AF$3&lt;=AE$3,$G110:$AF110)))</f>
        <v>68.483829304947307</v>
      </c>
      <c r="AF74" s="321">
        <f t="array" ref="AF74">AVERAGE(IF($G$3:$AF$3+$G110:$AF110&gt;=AF$3,IF($G$3:$AF$3&lt;=AF$3,$G110:$AF110)))</f>
        <v>68.700297406654641</v>
      </c>
    </row>
    <row r="75" spans="1:32" x14ac:dyDescent="0.25">
      <c r="A75" s="322"/>
      <c r="B75" s="328" t="s">
        <v>53</v>
      </c>
      <c r="G75" s="321">
        <f t="array" ref="G75">AVERAGE(IF($G$3:$AF$3+$G111:$AF111&gt;=G$3,IF($G$3:$AF$3&lt;=G$3,$G111:$AF111)))</f>
        <v>59.298547121320986</v>
      </c>
      <c r="H75" s="321">
        <f t="array" ref="H75">AVERAGE(IF($G$3:$AF$3+$G111:$AF111&gt;=H$3,IF($G$3:$AF$3&lt;=H$3,$G111:$AF111)))</f>
        <v>59.446793489124317</v>
      </c>
      <c r="I75" s="321">
        <f t="array" ref="I75">AVERAGE(IF($G$3:$AF$3+$G111:$AF111&gt;=I$3,IF($G$3:$AF$3&lt;=I$3,$G111:$AF111)))</f>
        <v>59.595039856927627</v>
      </c>
      <c r="J75" s="321">
        <f t="array" ref="J75">AVERAGE(IF($G$3:$AF$3+$G111:$AF111&gt;=J$3,IF($G$3:$AF$3&lt;=J$3,$G111:$AF111)))</f>
        <v>59.74328622473093</v>
      </c>
      <c r="K75" s="321">
        <f t="array" ref="K75">AVERAGE(IF($G$3:$AF$3+$G111:$AF111&gt;=K$3,IF($G$3:$AF$3&lt;=K$3,$G111:$AF111)))</f>
        <v>59.891532592534233</v>
      </c>
      <c r="L75" s="321">
        <f t="array" ref="L75">AVERAGE(IF($G$3:$AF$3+$G111:$AF111&gt;=L$3,IF($G$3:$AF$3&lt;=L$3,$G111:$AF111)))</f>
        <v>60.039778960337536</v>
      </c>
      <c r="M75" s="321">
        <f t="array" ref="M75">AVERAGE(IF($G$3:$AF$3+$G111:$AF111&gt;=M$3,IF($G$3:$AF$3&lt;=M$3,$G111:$AF111)))</f>
        <v>60.188025328140839</v>
      </c>
      <c r="N75" s="321">
        <f t="array" ref="N75">AVERAGE(IF($G$3:$AF$3+$G111:$AF111&gt;=N$3,IF($G$3:$AF$3&lt;=N$3,$G111:$AF111)))</f>
        <v>60.336271695944141</v>
      </c>
      <c r="O75" s="321">
        <f t="array" ref="O75">AVERAGE(IF($G$3:$AF$3+$G111:$AF111&gt;=O$3,IF($G$3:$AF$3&lt;=O$3,$G111:$AF111)))</f>
        <v>60.484518063747451</v>
      </c>
      <c r="P75" s="321">
        <f t="array" ref="P75">AVERAGE(IF($G$3:$AF$3+$G111:$AF111&gt;=P$3,IF($G$3:$AF$3&lt;=P$3,$G111:$AF111)))</f>
        <v>60.632764431550754</v>
      </c>
      <c r="Q75" s="321">
        <f t="array" ref="Q75">AVERAGE(IF($G$3:$AF$3+$G111:$AF111&gt;=Q$3,IF($G$3:$AF$3&lt;=Q$3,$G111:$AF111)))</f>
        <v>60.78101079935405</v>
      </c>
      <c r="R75" s="321">
        <f t="array" ref="R75">AVERAGE(IF($G$3:$AF$3+$G111:$AF111&gt;=R$3,IF($G$3:$AF$3&lt;=R$3,$G111:$AF111)))</f>
        <v>60.929257167157353</v>
      </c>
      <c r="S75" s="321">
        <f t="array" ref="S75">AVERAGE(IF($G$3:$AF$3+$G111:$AF111&gt;=S$3,IF($G$3:$AF$3&lt;=S$3,$G111:$AF111)))</f>
        <v>61.077503534960663</v>
      </c>
      <c r="T75" s="321">
        <f t="array" ref="T75">AVERAGE(IF($G$3:$AF$3+$G111:$AF111&gt;=T$3,IF($G$3:$AF$3&lt;=T$3,$G111:$AF111)))</f>
        <v>61.225749902763958</v>
      </c>
      <c r="U75" s="321">
        <f t="array" ref="U75">AVERAGE(IF($G$3:$AF$3+$G111:$AF111&gt;=U$3,IF($G$3:$AF$3&lt;=U$3,$G111:$AF111)))</f>
        <v>61.373996270567268</v>
      </c>
      <c r="V75" s="321">
        <f t="array" ref="V75">AVERAGE(IF($G$3:$AF$3+$G111:$AF111&gt;=V$3,IF($G$3:$AF$3&lt;=V$3,$G111:$AF111)))</f>
        <v>61.522242638370564</v>
      </c>
      <c r="W75" s="321">
        <f t="array" ref="W75">AVERAGE(IF($G$3:$AF$3+$G111:$AF111&gt;=W$3,IF($G$3:$AF$3&lt;=W$3,$G111:$AF111)))</f>
        <v>61.670489006173874</v>
      </c>
      <c r="X75" s="321">
        <f t="array" ref="X75">AVERAGE(IF($G$3:$AF$3+$G111:$AF111&gt;=X$3,IF($G$3:$AF$3&lt;=X$3,$G111:$AF111)))</f>
        <v>61.818735373977169</v>
      </c>
      <c r="Y75" s="321">
        <f t="array" ref="Y75">AVERAGE(IF($G$3:$AF$3+$G111:$AF111&gt;=Y$3,IF($G$3:$AF$3&lt;=Y$3,$G111:$AF111)))</f>
        <v>61.966981741780479</v>
      </c>
      <c r="Z75" s="321">
        <f t="array" ref="Z75">AVERAGE(IF($G$3:$AF$3+$G111:$AF111&gt;=Z$3,IF($G$3:$AF$3&lt;=Z$3,$G111:$AF111)))</f>
        <v>62.115228109583782</v>
      </c>
      <c r="AA75" s="321">
        <f t="array" ref="AA75">AVERAGE(IF($G$3:$AF$3+$G111:$AF111&gt;=AA$3,IF($G$3:$AF$3&lt;=AA$3,$G111:$AF111)))</f>
        <v>62.263474477387078</v>
      </c>
      <c r="AB75" s="321">
        <f t="array" ref="AB75">AVERAGE(IF($G$3:$AF$3+$G111:$AF111&gt;=AB$3,IF($G$3:$AF$3&lt;=AB$3,$G111:$AF111)))</f>
        <v>62.411720845190388</v>
      </c>
      <c r="AC75" s="321">
        <f t="array" ref="AC75">AVERAGE(IF($G$3:$AF$3+$G111:$AF111&gt;=AC$3,IF($G$3:$AF$3&lt;=AC$3,$G111:$AF111)))</f>
        <v>62.559967212993691</v>
      </c>
      <c r="AD75" s="321">
        <f t="array" ref="AD75">AVERAGE(IF($G$3:$AF$3+$G111:$AF111&gt;=AD$3,IF($G$3:$AF$3&lt;=AD$3,$G111:$AF111)))</f>
        <v>62.708213580796986</v>
      </c>
      <c r="AE75" s="321">
        <f t="array" ref="AE75">AVERAGE(IF($G$3:$AF$3+$G111:$AF111&gt;=AE$3,IF($G$3:$AF$3&lt;=AE$3,$G111:$AF111)))</f>
        <v>62.856459948600289</v>
      </c>
      <c r="AF75" s="321">
        <f t="array" ref="AF75">AVERAGE(IF($G$3:$AF$3+$G111:$AF111&gt;=AF$3,IF($G$3:$AF$3&lt;=AF$3,$G111:$AF111)))</f>
        <v>63.004706316403592</v>
      </c>
    </row>
    <row r="77" spans="1:32" x14ac:dyDescent="0.25">
      <c r="A77" s="326" t="s">
        <v>182</v>
      </c>
      <c r="B77" s="327"/>
      <c r="C77" s="327"/>
      <c r="D77" s="327"/>
      <c r="E77" s="327"/>
      <c r="F77" s="327"/>
      <c r="G77" s="331"/>
      <c r="H77" s="327"/>
      <c r="I77" s="327"/>
      <c r="J77" s="327"/>
      <c r="K77" s="327"/>
      <c r="L77" s="327"/>
      <c r="M77" s="327"/>
      <c r="N77" s="327"/>
      <c r="O77" s="327"/>
      <c r="P77" s="327"/>
      <c r="Q77" s="327"/>
      <c r="R77" s="327"/>
      <c r="S77" s="327"/>
      <c r="T77" s="327"/>
      <c r="U77" s="327"/>
      <c r="V77" s="327"/>
      <c r="W77" s="327"/>
      <c r="X77" s="327"/>
      <c r="Y77" s="327"/>
      <c r="Z77" s="327"/>
      <c r="AA77" s="327"/>
      <c r="AB77" s="327"/>
      <c r="AC77" s="327"/>
      <c r="AD77" s="327"/>
      <c r="AE77" s="327"/>
      <c r="AF77" s="327"/>
    </row>
    <row r="78" spans="1:32" x14ac:dyDescent="0.25">
      <c r="A78" s="323" t="s">
        <v>12</v>
      </c>
      <c r="B78" s="322"/>
    </row>
    <row r="79" spans="1:32" x14ac:dyDescent="0.25">
      <c r="A79" s="322"/>
      <c r="B79" s="322" t="s">
        <v>20</v>
      </c>
    </row>
    <row r="80" spans="1:32" s="202" customFormat="1" ht="12.75" x14ac:dyDescent="0.2">
      <c r="A80" s="335" t="s">
        <v>21</v>
      </c>
      <c r="B80" s="335"/>
      <c r="C80" s="335"/>
      <c r="D80" s="335"/>
      <c r="E80" s="335"/>
      <c r="F80" s="335"/>
      <c r="G80" s="335"/>
      <c r="H80" s="335"/>
      <c r="I80" s="335"/>
      <c r="J80" s="335"/>
      <c r="K80" s="335"/>
      <c r="L80" s="335"/>
      <c r="M80" s="335"/>
      <c r="N80" s="335"/>
      <c r="O80" s="335"/>
      <c r="P80" s="335"/>
      <c r="Q80" s="335"/>
      <c r="R80" s="335"/>
      <c r="S80" s="335"/>
      <c r="T80" s="335"/>
      <c r="U80" s="335"/>
      <c r="V80" s="335"/>
      <c r="W80" s="335"/>
      <c r="X80" s="335"/>
      <c r="Y80" s="335"/>
      <c r="Z80" s="335"/>
      <c r="AA80" s="335"/>
      <c r="AB80" s="335"/>
      <c r="AC80" s="335"/>
      <c r="AD80" s="335"/>
      <c r="AE80" s="335"/>
      <c r="AF80" s="335"/>
    </row>
    <row r="81" spans="1:32" x14ac:dyDescent="0.25">
      <c r="A81" s="322"/>
      <c r="B81" s="322" t="s">
        <v>22</v>
      </c>
      <c r="G81" s="321">
        <f ca="1">IF(ISNUMBER(G153),MAX(G117,G153),G117)</f>
        <v>2.0507981747250446</v>
      </c>
      <c r="H81" s="321">
        <f t="shared" ref="H81:AF84" ca="1" si="0">IF(ISNUMBER(H153),MAX(H117,H153),H117)</f>
        <v>2.0507981747250446</v>
      </c>
      <c r="I81" s="321">
        <f t="shared" ca="1" si="0"/>
        <v>2.0507981747250446</v>
      </c>
      <c r="J81" s="321">
        <f t="shared" ca="1" si="0"/>
        <v>2.0507981747250446</v>
      </c>
      <c r="K81" s="321">
        <f t="shared" ca="1" si="0"/>
        <v>2.0507981747250446</v>
      </c>
      <c r="L81" s="321">
        <f t="shared" ca="1" si="0"/>
        <v>2.0507981747250446</v>
      </c>
      <c r="M81" s="321">
        <f t="shared" ca="1" si="0"/>
        <v>2.0507981747250446</v>
      </c>
      <c r="N81" s="321">
        <f t="shared" ca="1" si="0"/>
        <v>2.0507981747250446</v>
      </c>
      <c r="O81" s="321">
        <f t="shared" ca="1" si="0"/>
        <v>2.0507981747250446</v>
      </c>
      <c r="P81" s="321">
        <f t="shared" ca="1" si="0"/>
        <v>2.0507981747250446</v>
      </c>
      <c r="Q81" s="321">
        <f t="shared" ca="1" si="0"/>
        <v>2.0507981747250446</v>
      </c>
      <c r="R81" s="321">
        <f t="shared" ca="1" si="0"/>
        <v>2.0507981747250446</v>
      </c>
      <c r="S81" s="321">
        <f t="shared" ca="1" si="0"/>
        <v>2.0507981747250446</v>
      </c>
      <c r="T81" s="321">
        <f t="shared" ca="1" si="0"/>
        <v>2.0507981747250446</v>
      </c>
      <c r="U81" s="321">
        <f t="shared" ca="1" si="0"/>
        <v>2.0507981747250446</v>
      </c>
      <c r="V81" s="321">
        <f t="shared" ca="1" si="0"/>
        <v>2.0507981747250446</v>
      </c>
      <c r="W81" s="321">
        <f t="shared" ca="1" si="0"/>
        <v>2.0507981747250446</v>
      </c>
      <c r="X81" s="321">
        <f t="shared" ca="1" si="0"/>
        <v>2.0507981747250446</v>
      </c>
      <c r="Y81" s="321">
        <f t="shared" ca="1" si="0"/>
        <v>2.0507981747250446</v>
      </c>
      <c r="Z81" s="321">
        <f t="shared" ca="1" si="0"/>
        <v>2.0507981747250446</v>
      </c>
      <c r="AA81" s="321">
        <f t="shared" ca="1" si="0"/>
        <v>2.0507981747250446</v>
      </c>
      <c r="AB81" s="321">
        <f t="shared" ca="1" si="0"/>
        <v>2.0507981747250446</v>
      </c>
      <c r="AC81" s="321">
        <f t="shared" ca="1" si="0"/>
        <v>2.0507981747250446</v>
      </c>
      <c r="AD81" s="321">
        <f t="shared" ca="1" si="0"/>
        <v>2.0507981747250446</v>
      </c>
      <c r="AE81" s="321">
        <f t="shared" ca="1" si="0"/>
        <v>2.0507981747250446</v>
      </c>
      <c r="AF81" s="321">
        <f t="shared" ca="1" si="0"/>
        <v>2.0507981747250446</v>
      </c>
    </row>
    <row r="82" spans="1:32" x14ac:dyDescent="0.25">
      <c r="A82" s="322"/>
      <c r="B82" s="322" t="s">
        <v>26</v>
      </c>
      <c r="G82" s="321">
        <f ca="1">IF(ISNUMBER(G154),MAX(G118,G154),G118)</f>
        <v>2.2786646385833826</v>
      </c>
      <c r="H82" s="321">
        <f t="shared" ref="H82:V82" ca="1" si="1">IF(ISNUMBER(H154),MAX(H118,H154),H118)</f>
        <v>2.2900579617762999</v>
      </c>
      <c r="I82" s="321">
        <f t="shared" ca="1" si="1"/>
        <v>2.3014512849692172</v>
      </c>
      <c r="J82" s="321">
        <f t="shared" ca="1" si="1"/>
        <v>2.312844608162135</v>
      </c>
      <c r="K82" s="321">
        <f t="shared" ca="1" si="1"/>
        <v>2.3242379313550496</v>
      </c>
      <c r="L82" s="321">
        <f t="shared" ca="1" si="1"/>
        <v>2.3356312545479665</v>
      </c>
      <c r="M82" s="321">
        <f t="shared" ca="1" si="1"/>
        <v>2.3470245777408842</v>
      </c>
      <c r="N82" s="321">
        <f t="shared" ca="1" si="1"/>
        <v>2.3584179009338015</v>
      </c>
      <c r="O82" s="321">
        <f t="shared" ca="1" si="1"/>
        <v>2.3698112241267189</v>
      </c>
      <c r="P82" s="321">
        <f t="shared" ca="1" si="1"/>
        <v>2.3812045473196362</v>
      </c>
      <c r="Q82" s="321">
        <f t="shared" ca="1" si="1"/>
        <v>2.3925978705125508</v>
      </c>
      <c r="R82" s="321">
        <f t="shared" ca="1" si="1"/>
        <v>2.4039911937054681</v>
      </c>
      <c r="S82" s="321">
        <f t="shared" ca="1" si="1"/>
        <v>2.4153845168983854</v>
      </c>
      <c r="T82" s="321">
        <f t="shared" ca="1" si="1"/>
        <v>2.4267778400913032</v>
      </c>
      <c r="U82" s="321">
        <f t="shared" ca="1" si="1"/>
        <v>2.4381711632842205</v>
      </c>
      <c r="V82" s="321">
        <f t="shared" ca="1" si="1"/>
        <v>2.4495644864771378</v>
      </c>
      <c r="W82" s="321">
        <f t="shared" ca="1" si="0"/>
        <v>2.4609578096700546</v>
      </c>
      <c r="X82" s="321">
        <f t="shared" ca="1" si="0"/>
        <v>2.4723511328629697</v>
      </c>
      <c r="Y82" s="321">
        <f t="shared" ca="1" si="0"/>
        <v>2.483744456055887</v>
      </c>
      <c r="Z82" s="321">
        <f t="shared" ca="1" si="0"/>
        <v>2.4951377792488043</v>
      </c>
      <c r="AA82" s="321">
        <f t="shared" ca="1" si="0"/>
        <v>2.5065311024417216</v>
      </c>
      <c r="AB82" s="321">
        <f t="shared" ca="1" si="0"/>
        <v>2.5179244256346389</v>
      </c>
      <c r="AC82" s="321">
        <f t="shared" ca="1" si="0"/>
        <v>2.5293177488275562</v>
      </c>
      <c r="AD82" s="321">
        <f t="shared" ca="1" si="0"/>
        <v>2.5407110720204713</v>
      </c>
      <c r="AE82" s="321">
        <f t="shared" ca="1" si="0"/>
        <v>2.5521043952133886</v>
      </c>
      <c r="AF82" s="321">
        <f t="shared" ca="1" si="0"/>
        <v>2.5634977184063055</v>
      </c>
    </row>
    <row r="83" spans="1:32" x14ac:dyDescent="0.25">
      <c r="A83" s="322"/>
      <c r="B83" s="322" t="s">
        <v>27</v>
      </c>
      <c r="G83" s="321">
        <f ca="1">IF(ISNUMBER(G155),MAX(G119,G155),G119)</f>
        <v>15.646830518272557</v>
      </c>
      <c r="H83" s="321">
        <f t="shared" ca="1" si="0"/>
        <v>15.725064670863905</v>
      </c>
      <c r="I83" s="321">
        <f t="shared" ca="1" si="0"/>
        <v>15.803298823455274</v>
      </c>
      <c r="J83" s="321">
        <f t="shared" ca="1" si="0"/>
        <v>15.881532976046644</v>
      </c>
      <c r="K83" s="321">
        <f t="shared" ca="1" si="0"/>
        <v>15.95976712863799</v>
      </c>
      <c r="L83" s="321">
        <f t="shared" ca="1" si="0"/>
        <v>16.038001281229363</v>
      </c>
      <c r="M83" s="321">
        <f t="shared" ca="1" si="0"/>
        <v>16.11623543382073</v>
      </c>
      <c r="N83" s="321">
        <f t="shared" ca="1" si="0"/>
        <v>16.19446958641208</v>
      </c>
      <c r="O83" s="321">
        <f t="shared" ca="1" si="0"/>
        <v>16.272703739003447</v>
      </c>
      <c r="P83" s="321">
        <f t="shared" ca="1" si="0"/>
        <v>16.350937891594818</v>
      </c>
      <c r="Q83" s="321">
        <f t="shared" ca="1" si="0"/>
        <v>16.429172044186188</v>
      </c>
      <c r="R83" s="321">
        <f t="shared" ca="1" si="0"/>
        <v>16.507406196777534</v>
      </c>
      <c r="S83" s="321">
        <f t="shared" ca="1" si="0"/>
        <v>16.585640349368905</v>
      </c>
      <c r="T83" s="321">
        <f t="shared" ca="1" si="0"/>
        <v>16.663874501960272</v>
      </c>
      <c r="U83" s="321">
        <f t="shared" ca="1" si="0"/>
        <v>16.742108654551622</v>
      </c>
      <c r="V83" s="321">
        <f t="shared" ca="1" si="0"/>
        <v>16.820342807142989</v>
      </c>
      <c r="W83" s="321">
        <f t="shared" ca="1" si="0"/>
        <v>16.89857695973436</v>
      </c>
      <c r="X83" s="321">
        <f t="shared" ca="1" si="0"/>
        <v>16.976811112325709</v>
      </c>
      <c r="Y83" s="321">
        <f t="shared" ca="1" si="0"/>
        <v>17.055045264917077</v>
      </c>
      <c r="Z83" s="321">
        <f t="shared" ca="1" si="0"/>
        <v>17.133279417508447</v>
      </c>
      <c r="AA83" s="321">
        <f t="shared" ca="1" si="0"/>
        <v>17.211513570099793</v>
      </c>
      <c r="AB83" s="321">
        <f t="shared" ca="1" si="0"/>
        <v>17.289747722691164</v>
      </c>
      <c r="AC83" s="321">
        <f t="shared" ca="1" si="0"/>
        <v>17.367981875282531</v>
      </c>
      <c r="AD83" s="321">
        <f t="shared" ca="1" si="0"/>
        <v>17.446216027873902</v>
      </c>
      <c r="AE83" s="321">
        <f t="shared" ca="1" si="0"/>
        <v>17.524450180465251</v>
      </c>
      <c r="AF83" s="321">
        <f t="shared" ca="1" si="0"/>
        <v>17.602684333056619</v>
      </c>
    </row>
    <row r="84" spans="1:32" x14ac:dyDescent="0.25">
      <c r="A84" s="322"/>
      <c r="B84" s="322" t="s">
        <v>29</v>
      </c>
      <c r="G84" s="321">
        <f ca="1">IF(ISNUMBER(G156),MAX(G120,G156),G120)</f>
        <v>37.977743976389711</v>
      </c>
      <c r="H84" s="321">
        <f t="shared" ca="1" si="0"/>
        <v>50.123098144330015</v>
      </c>
      <c r="I84" s="321">
        <f t="shared" ca="1" si="0"/>
        <v>55.555568761596135</v>
      </c>
      <c r="J84" s="321">
        <f t="shared" ca="1" si="0"/>
        <v>60.204609980831265</v>
      </c>
      <c r="K84" s="321">
        <f t="shared" ca="1" si="0"/>
        <v>64.021744574441371</v>
      </c>
      <c r="L84" s="321">
        <f t="shared" ca="1" si="0"/>
        <v>67.050643982328324</v>
      </c>
      <c r="M84" s="321">
        <f t="shared" ca="1" si="0"/>
        <v>69.389621431716762</v>
      </c>
      <c r="N84" s="321">
        <f t="shared" ca="1" si="0"/>
        <v>71.158191012295362</v>
      </c>
      <c r="O84" s="321">
        <f t="shared" ca="1" si="0"/>
        <v>72.474281412683425</v>
      </c>
      <c r="P84" s="321">
        <f t="shared" ca="1" si="0"/>
        <v>73.44206865845203</v>
      </c>
      <c r="Q84" s="321">
        <f t="shared" ca="1" si="0"/>
        <v>74.147519529544098</v>
      </c>
      <c r="R84" s="321">
        <f t="shared" ca="1" si="0"/>
        <v>74.658465647337835</v>
      </c>
      <c r="S84" s="321">
        <f t="shared" ca="1" si="0"/>
        <v>75.026822881412684</v>
      </c>
      <c r="T84" s="321">
        <f t="shared" ca="1" si="0"/>
        <v>75.291496247992058</v>
      </c>
      <c r="U84" s="321">
        <f t="shared" ca="1" si="0"/>
        <v>75.481213458120379</v>
      </c>
      <c r="V84" s="321">
        <f t="shared" ca="1" si="0"/>
        <v>75.616967957216872</v>
      </c>
      <c r="W84" s="321">
        <f t="shared" ca="1" si="0"/>
        <v>75.713988937009717</v>
      </c>
      <c r="X84" s="321">
        <f t="shared" ca="1" si="0"/>
        <v>75.783266705392705</v>
      </c>
      <c r="Y84" s="321">
        <f t="shared" ca="1" si="0"/>
        <v>75.832703291316818</v>
      </c>
      <c r="Z84" s="321">
        <f t="shared" ca="1" si="0"/>
        <v>75.867965357541308</v>
      </c>
      <c r="AA84" s="321">
        <f t="shared" ca="1" si="0"/>
        <v>75.893108973429548</v>
      </c>
      <c r="AB84" s="321">
        <f t="shared" ca="1" si="0"/>
        <v>75.911033527963312</v>
      </c>
      <c r="AC84" s="321">
        <f t="shared" ca="1" si="0"/>
        <v>75.923809624635581</v>
      </c>
      <c r="AD84" s="321">
        <f t="shared" ca="1" si="0"/>
        <v>75.932914993161745</v>
      </c>
      <c r="AE84" s="321">
        <f t="shared" ca="1" si="0"/>
        <v>75.939403740890029</v>
      </c>
      <c r="AF84" s="321">
        <f t="shared" ca="1" si="0"/>
        <v>75.944027536341892</v>
      </c>
    </row>
    <row r="85" spans="1:32" x14ac:dyDescent="0.25">
      <c r="A85" s="322"/>
      <c r="B85" s="322"/>
      <c r="G85" s="201"/>
      <c r="H85" s="201"/>
      <c r="I85" s="201"/>
      <c r="J85" s="201"/>
      <c r="K85" s="201"/>
      <c r="L85" s="201"/>
      <c r="M85" s="201"/>
      <c r="N85" s="201"/>
      <c r="O85" s="201"/>
      <c r="P85" s="201"/>
      <c r="Q85" s="201"/>
      <c r="R85" s="201"/>
      <c r="S85" s="201"/>
      <c r="T85" s="201"/>
      <c r="U85" s="201"/>
      <c r="V85" s="201"/>
      <c r="W85" s="201"/>
      <c r="X85" s="201"/>
      <c r="Y85" s="201"/>
      <c r="Z85" s="201"/>
      <c r="AA85" s="201"/>
      <c r="AB85" s="201"/>
      <c r="AC85" s="201"/>
      <c r="AD85" s="201"/>
      <c r="AE85" s="201"/>
      <c r="AF85" s="201"/>
    </row>
    <row r="86" spans="1:32" s="202" customFormat="1" ht="12.75" x14ac:dyDescent="0.2">
      <c r="A86" s="335" t="s">
        <v>32</v>
      </c>
      <c r="B86" s="335"/>
      <c r="C86" s="335"/>
      <c r="D86" s="335"/>
      <c r="E86" s="335"/>
      <c r="F86" s="335"/>
      <c r="G86" s="335"/>
      <c r="H86" s="335"/>
      <c r="I86" s="335"/>
      <c r="J86" s="335"/>
      <c r="K86" s="335"/>
      <c r="L86" s="335"/>
      <c r="M86" s="335"/>
      <c r="N86" s="335"/>
      <c r="O86" s="335"/>
      <c r="P86" s="335"/>
      <c r="Q86" s="335"/>
      <c r="R86" s="335"/>
      <c r="S86" s="335"/>
      <c r="T86" s="335"/>
      <c r="U86" s="335"/>
      <c r="V86" s="335"/>
      <c r="W86" s="335"/>
      <c r="X86" s="335"/>
      <c r="Y86" s="335"/>
      <c r="Z86" s="335"/>
      <c r="AA86" s="335"/>
      <c r="AB86" s="335"/>
      <c r="AC86" s="335"/>
      <c r="AD86" s="335"/>
      <c r="AE86" s="335"/>
      <c r="AF86" s="335"/>
    </row>
    <row r="87" spans="1:32" x14ac:dyDescent="0.25">
      <c r="A87" s="322"/>
      <c r="B87" s="322" t="s">
        <v>33</v>
      </c>
      <c r="G87" s="321">
        <f>IF(ISNUMBER(G159),MAX(G123,G159),G123)</f>
        <v>3.853173733845662</v>
      </c>
      <c r="H87" s="321">
        <f t="shared" ref="H87:AF87" si="2">IF(ISNUMBER(H159),MAX(H123,H159),H123)</f>
        <v>3.853173733845662</v>
      </c>
      <c r="I87" s="321">
        <f t="shared" si="2"/>
        <v>3.853173733845662</v>
      </c>
      <c r="J87" s="321">
        <f t="shared" si="2"/>
        <v>3.853173733845662</v>
      </c>
      <c r="K87" s="321">
        <f t="shared" si="2"/>
        <v>3.853173733845662</v>
      </c>
      <c r="L87" s="321">
        <f t="shared" si="2"/>
        <v>3.853173733845662</v>
      </c>
      <c r="M87" s="321">
        <f t="shared" si="2"/>
        <v>3.853173733845662</v>
      </c>
      <c r="N87" s="321">
        <f t="shared" si="2"/>
        <v>3.853173733845662</v>
      </c>
      <c r="O87" s="321">
        <f t="shared" si="2"/>
        <v>3.853173733845662</v>
      </c>
      <c r="P87" s="321">
        <f t="shared" si="2"/>
        <v>3.853173733845662</v>
      </c>
      <c r="Q87" s="321">
        <f t="shared" si="2"/>
        <v>3.853173733845662</v>
      </c>
      <c r="R87" s="321">
        <f t="shared" si="2"/>
        <v>3.853173733845662</v>
      </c>
      <c r="S87" s="321">
        <f t="shared" si="2"/>
        <v>3.853173733845662</v>
      </c>
      <c r="T87" s="321">
        <f t="shared" si="2"/>
        <v>3.853173733845662</v>
      </c>
      <c r="U87" s="321">
        <f t="shared" si="2"/>
        <v>3.853173733845662</v>
      </c>
      <c r="V87" s="321">
        <f t="shared" si="2"/>
        <v>3.853173733845662</v>
      </c>
      <c r="W87" s="321">
        <f t="shared" si="2"/>
        <v>3.853173733845662</v>
      </c>
      <c r="X87" s="321">
        <f t="shared" si="2"/>
        <v>3.853173733845662</v>
      </c>
      <c r="Y87" s="321">
        <f t="shared" si="2"/>
        <v>3.853173733845662</v>
      </c>
      <c r="Z87" s="321">
        <f t="shared" si="2"/>
        <v>3.853173733845662</v>
      </c>
      <c r="AA87" s="321">
        <f t="shared" si="2"/>
        <v>3.853173733845662</v>
      </c>
      <c r="AB87" s="321">
        <f t="shared" si="2"/>
        <v>3.853173733845662</v>
      </c>
      <c r="AC87" s="321">
        <f t="shared" si="2"/>
        <v>3.853173733845662</v>
      </c>
      <c r="AD87" s="321">
        <f t="shared" si="2"/>
        <v>3.853173733845662</v>
      </c>
      <c r="AE87" s="321">
        <f t="shared" si="2"/>
        <v>3.853173733845662</v>
      </c>
      <c r="AF87" s="321">
        <f t="shared" si="2"/>
        <v>3.853173733845662</v>
      </c>
    </row>
    <row r="88" spans="1:32" x14ac:dyDescent="0.25">
      <c r="A88" s="328"/>
      <c r="B88" s="328" t="s">
        <v>34</v>
      </c>
      <c r="G88" s="321">
        <f t="shared" ref="G88:AF88" si="3">IF(ISNUMBER(G160),MAX(G124,G160),G124)</f>
        <v>4.6238084806147945</v>
      </c>
      <c r="H88" s="321">
        <f t="shared" si="3"/>
        <v>4.6469275230178688</v>
      </c>
      <c r="I88" s="321">
        <f t="shared" si="3"/>
        <v>4.670046565420944</v>
      </c>
      <c r="J88" s="321">
        <f t="shared" si="3"/>
        <v>4.6931656078240191</v>
      </c>
      <c r="K88" s="321">
        <f t="shared" si="3"/>
        <v>4.7162846502270881</v>
      </c>
      <c r="L88" s="321">
        <f t="shared" si="3"/>
        <v>4.7394036926301633</v>
      </c>
      <c r="M88" s="321">
        <f t="shared" si="3"/>
        <v>4.7625227350332384</v>
      </c>
      <c r="N88" s="321">
        <f t="shared" si="3"/>
        <v>4.7856417774363127</v>
      </c>
      <c r="O88" s="321">
        <f t="shared" si="3"/>
        <v>4.8087608198393879</v>
      </c>
      <c r="P88" s="321">
        <f t="shared" si="3"/>
        <v>4.8318798622424621</v>
      </c>
      <c r="Q88" s="321">
        <f t="shared" si="3"/>
        <v>4.854998904645532</v>
      </c>
      <c r="R88" s="321">
        <f t="shared" si="3"/>
        <v>4.8781179470486071</v>
      </c>
      <c r="S88" s="321">
        <f t="shared" si="3"/>
        <v>4.9012369894516814</v>
      </c>
      <c r="T88" s="321">
        <f t="shared" si="3"/>
        <v>4.9243560318547566</v>
      </c>
      <c r="U88" s="321">
        <f t="shared" si="3"/>
        <v>4.9474750742578317</v>
      </c>
      <c r="V88" s="321">
        <f t="shared" si="3"/>
        <v>4.970594116660906</v>
      </c>
      <c r="W88" s="321">
        <f t="shared" si="3"/>
        <v>4.9937131590639812</v>
      </c>
      <c r="X88" s="321">
        <f t="shared" si="3"/>
        <v>5.016832201467051</v>
      </c>
      <c r="Y88" s="321">
        <f t="shared" si="3"/>
        <v>5.0399512438701253</v>
      </c>
      <c r="Z88" s="321">
        <f t="shared" si="3"/>
        <v>5.0630702862731995</v>
      </c>
      <c r="AA88" s="321">
        <f t="shared" si="3"/>
        <v>5.0861893286762756</v>
      </c>
      <c r="AB88" s="321">
        <f t="shared" si="3"/>
        <v>5.1093083710793499</v>
      </c>
      <c r="AC88" s="321">
        <f t="shared" si="3"/>
        <v>5.132427413482425</v>
      </c>
      <c r="AD88" s="321">
        <f t="shared" si="3"/>
        <v>5.1555464558854949</v>
      </c>
      <c r="AE88" s="321">
        <f t="shared" si="3"/>
        <v>5.1786654982885691</v>
      </c>
      <c r="AF88" s="321">
        <f t="shared" si="3"/>
        <v>5.2017845406916434</v>
      </c>
    </row>
    <row r="89" spans="1:32" x14ac:dyDescent="0.25">
      <c r="A89" s="322"/>
      <c r="B89" s="328" t="s">
        <v>35</v>
      </c>
      <c r="G89" s="321">
        <f t="shared" ref="G89:AF89" si="4">IF(ISNUMBER(G161),MAX(G125,G161),G125)</f>
        <v>15.412694935382648</v>
      </c>
      <c r="H89" s="321">
        <f t="shared" si="4"/>
        <v>15.489758410059578</v>
      </c>
      <c r="I89" s="321">
        <f t="shared" si="4"/>
        <v>15.566821884736489</v>
      </c>
      <c r="J89" s="321">
        <f t="shared" si="4"/>
        <v>15.643885359413396</v>
      </c>
      <c r="K89" s="321">
        <f t="shared" si="4"/>
        <v>15.720948834090306</v>
      </c>
      <c r="L89" s="321">
        <f t="shared" si="4"/>
        <v>15.798012308767214</v>
      </c>
      <c r="M89" s="321">
        <f t="shared" si="4"/>
        <v>15.875075783444144</v>
      </c>
      <c r="N89" s="321">
        <f t="shared" si="4"/>
        <v>15.952139258121054</v>
      </c>
      <c r="O89" s="321">
        <f t="shared" si="4"/>
        <v>16.029202732797962</v>
      </c>
      <c r="P89" s="321">
        <f t="shared" si="4"/>
        <v>16.106266207474874</v>
      </c>
      <c r="Q89" s="321">
        <f t="shared" si="4"/>
        <v>16.183329682151779</v>
      </c>
      <c r="R89" s="321">
        <f t="shared" si="4"/>
        <v>16.260393156828712</v>
      </c>
      <c r="S89" s="321">
        <f t="shared" si="4"/>
        <v>16.337456631505621</v>
      </c>
      <c r="T89" s="321">
        <f t="shared" si="4"/>
        <v>16.414520106182529</v>
      </c>
      <c r="U89" s="321">
        <f t="shared" si="4"/>
        <v>16.491583580859441</v>
      </c>
      <c r="V89" s="321">
        <f t="shared" si="4"/>
        <v>16.568647055536346</v>
      </c>
      <c r="W89" s="321">
        <f t="shared" si="4"/>
        <v>16.645710530213275</v>
      </c>
      <c r="X89" s="321">
        <f t="shared" si="4"/>
        <v>16.722774004890187</v>
      </c>
      <c r="Y89" s="321">
        <f t="shared" si="4"/>
        <v>16.799837479567095</v>
      </c>
      <c r="Z89" s="321">
        <f t="shared" si="4"/>
        <v>16.876900954244004</v>
      </c>
      <c r="AA89" s="321">
        <f t="shared" si="4"/>
        <v>16.953964428920912</v>
      </c>
      <c r="AB89" s="321">
        <f t="shared" si="4"/>
        <v>17.031027903597842</v>
      </c>
      <c r="AC89" s="321">
        <f t="shared" si="4"/>
        <v>17.108091378274754</v>
      </c>
      <c r="AD89" s="321">
        <f t="shared" si="4"/>
        <v>17.185154852951662</v>
      </c>
      <c r="AE89" s="321">
        <f t="shared" si="4"/>
        <v>17.26221832762857</v>
      </c>
      <c r="AF89" s="321">
        <f t="shared" si="4"/>
        <v>17.339281802305479</v>
      </c>
    </row>
    <row r="90" spans="1:32" x14ac:dyDescent="0.25">
      <c r="A90" s="322"/>
      <c r="B90" s="328" t="s">
        <v>29</v>
      </c>
      <c r="G90" s="321">
        <f t="shared" ref="G90:AF90" si="5">IF(ISNUMBER(G162),MAX(G126,G162),G126)</f>
        <v>38.531737338456622</v>
      </c>
      <c r="H90" s="321">
        <f t="shared" si="5"/>
        <v>50.854259628683849</v>
      </c>
      <c r="I90" s="321">
        <f t="shared" si="5"/>
        <v>56.365975412894585</v>
      </c>
      <c r="J90" s="321">
        <f t="shared" si="5"/>
        <v>61.082833666681132</v>
      </c>
      <c r="K90" s="321">
        <f t="shared" si="5"/>
        <v>64.955650009799342</v>
      </c>
      <c r="L90" s="321">
        <f t="shared" si="5"/>
        <v>68.028732931256258</v>
      </c>
      <c r="M90" s="321">
        <f t="shared" si="5"/>
        <v>70.401829784414204</v>
      </c>
      <c r="N90" s="321">
        <f t="shared" si="5"/>
        <v>72.196198048785163</v>
      </c>
      <c r="O90" s="321">
        <f t="shared" si="5"/>
        <v>73.531486676064972</v>
      </c>
      <c r="P90" s="321">
        <f t="shared" si="5"/>
        <v>74.513391340455954</v>
      </c>
      <c r="Q90" s="321">
        <f t="shared" si="5"/>
        <v>75.229132846507611</v>
      </c>
      <c r="R90" s="321">
        <f t="shared" si="5"/>
        <v>75.747532296911288</v>
      </c>
      <c r="S90" s="321">
        <f t="shared" si="5"/>
        <v>76.121262874454715</v>
      </c>
      <c r="T90" s="321">
        <f t="shared" si="5"/>
        <v>76.389797115136886</v>
      </c>
      <c r="U90" s="321">
        <f t="shared" si="5"/>
        <v>76.582281790208526</v>
      </c>
      <c r="V90" s="321">
        <f t="shared" si="5"/>
        <v>76.72001658311649</v>
      </c>
      <c r="W90" s="321">
        <f t="shared" si="5"/>
        <v>76.818452838625021</v>
      </c>
      <c r="X90" s="321">
        <f t="shared" si="5"/>
        <v>76.888741183724918</v>
      </c>
      <c r="Y90" s="321">
        <f t="shared" si="5"/>
        <v>76.938898916762511</v>
      </c>
      <c r="Z90" s="321">
        <f t="shared" si="5"/>
        <v>76.974675361898846</v>
      </c>
      <c r="AA90" s="321">
        <f t="shared" si="5"/>
        <v>77.000185755663864</v>
      </c>
      <c r="AB90" s="321">
        <f t="shared" si="5"/>
        <v>77.018371781343362</v>
      </c>
      <c r="AC90" s="321">
        <f t="shared" si="5"/>
        <v>77.031334246978304</v>
      </c>
      <c r="AD90" s="321">
        <f t="shared" si="5"/>
        <v>77.04057243839479</v>
      </c>
      <c r="AE90" s="321">
        <f t="shared" si="5"/>
        <v>77.047155839538277</v>
      </c>
      <c r="AF90" s="321">
        <f t="shared" si="5"/>
        <v>77.051847083756712</v>
      </c>
    </row>
    <row r="91" spans="1:32" x14ac:dyDescent="0.25">
      <c r="A91" s="322"/>
      <c r="B91" s="322"/>
    </row>
    <row r="92" spans="1:32" s="202" customFormat="1" ht="12.75" x14ac:dyDescent="0.2">
      <c r="A92" s="335" t="s">
        <v>36</v>
      </c>
      <c r="B92" s="335"/>
      <c r="C92" s="335"/>
      <c r="D92" s="335"/>
      <c r="E92" s="335"/>
      <c r="F92" s="335"/>
      <c r="G92" s="335"/>
      <c r="H92" s="335"/>
      <c r="I92" s="335"/>
      <c r="J92" s="335"/>
      <c r="K92" s="335"/>
      <c r="L92" s="335"/>
      <c r="M92" s="335"/>
      <c r="N92" s="335"/>
      <c r="O92" s="335"/>
      <c r="P92" s="335"/>
      <c r="Q92" s="335"/>
      <c r="R92" s="335"/>
      <c r="S92" s="335"/>
      <c r="T92" s="335"/>
      <c r="U92" s="335"/>
      <c r="V92" s="335"/>
      <c r="W92" s="335"/>
      <c r="X92" s="335"/>
      <c r="Y92" s="335"/>
      <c r="Z92" s="335"/>
      <c r="AA92" s="335"/>
      <c r="AB92" s="335"/>
      <c r="AC92" s="335"/>
      <c r="AD92" s="335"/>
      <c r="AE92" s="335"/>
      <c r="AF92" s="335"/>
    </row>
    <row r="93" spans="1:32" x14ac:dyDescent="0.25">
      <c r="A93" s="322"/>
      <c r="B93" s="322" t="s">
        <v>37</v>
      </c>
      <c r="G93" s="321">
        <f>IF(ISNUMBER(G165),MAX(G129,G165),G129)</f>
        <v>72.048704924528977</v>
      </c>
      <c r="H93" s="321">
        <f t="shared" ref="H93:AF93" si="6">IF(ISNUMBER(H165),MAX(H129,H165),H129)</f>
        <v>75.218847941209305</v>
      </c>
      <c r="I93" s="321">
        <f t="shared" si="6"/>
        <v>78.388990957888311</v>
      </c>
      <c r="J93" s="321">
        <f t="shared" si="6"/>
        <v>81.559133974567331</v>
      </c>
      <c r="K93" s="321">
        <f t="shared" si="6"/>
        <v>84.729276991246337</v>
      </c>
      <c r="L93" s="321">
        <f t="shared" si="6"/>
        <v>87.899420007925357</v>
      </c>
      <c r="M93" s="321">
        <f t="shared" si="6"/>
        <v>91.069563024605685</v>
      </c>
      <c r="N93" s="321">
        <f t="shared" si="6"/>
        <v>94.239706041284691</v>
      </c>
      <c r="O93" s="321">
        <f t="shared" si="6"/>
        <v>97.409849057963697</v>
      </c>
      <c r="P93" s="321">
        <f t="shared" si="6"/>
        <v>100.5799920746427</v>
      </c>
      <c r="Q93" s="321">
        <f t="shared" si="6"/>
        <v>103.75013509132172</v>
      </c>
      <c r="R93" s="321">
        <f t="shared" si="6"/>
        <v>106.92027810800205</v>
      </c>
      <c r="S93" s="321">
        <f t="shared" si="6"/>
        <v>110.09042112468107</v>
      </c>
      <c r="T93" s="321">
        <f t="shared" si="6"/>
        <v>113.26056414136008</v>
      </c>
      <c r="U93" s="321">
        <f t="shared" si="6"/>
        <v>116.43070715803908</v>
      </c>
      <c r="V93" s="321">
        <f t="shared" si="6"/>
        <v>119.6008501747181</v>
      </c>
      <c r="W93" s="321">
        <f t="shared" si="6"/>
        <v>122.77099319139843</v>
      </c>
      <c r="X93" s="321">
        <f t="shared" si="6"/>
        <v>125.94113620807745</v>
      </c>
      <c r="Y93" s="321">
        <f t="shared" si="6"/>
        <v>129.11127922475646</v>
      </c>
      <c r="Z93" s="321">
        <f t="shared" si="6"/>
        <v>132.28142224143545</v>
      </c>
      <c r="AA93" s="321">
        <f t="shared" si="6"/>
        <v>135.45156525811447</v>
      </c>
      <c r="AB93" s="321">
        <f t="shared" si="6"/>
        <v>138.6217082747948</v>
      </c>
      <c r="AC93" s="321">
        <f t="shared" si="6"/>
        <v>141.79185129147382</v>
      </c>
      <c r="AD93" s="321">
        <f t="shared" si="6"/>
        <v>144.96199430815284</v>
      </c>
      <c r="AE93" s="321">
        <f t="shared" si="6"/>
        <v>148.13213732483183</v>
      </c>
      <c r="AF93" s="321">
        <f t="shared" si="6"/>
        <v>151.30228034151085</v>
      </c>
    </row>
    <row r="94" spans="1:32" x14ac:dyDescent="0.25">
      <c r="A94" s="322"/>
      <c r="B94" s="322" t="s">
        <v>39</v>
      </c>
      <c r="G94" s="321">
        <f t="shared" ref="G94:AF94" si="7">IF(ISNUMBER(G166),MAX(G130,G166),G130)</f>
        <v>72.048704924528977</v>
      </c>
      <c r="H94" s="321">
        <f t="shared" si="7"/>
        <v>75.218847941209305</v>
      </c>
      <c r="I94" s="321">
        <f t="shared" si="7"/>
        <v>78.388990957888311</v>
      </c>
      <c r="J94" s="321">
        <f t="shared" si="7"/>
        <v>81.559133974567331</v>
      </c>
      <c r="K94" s="321">
        <f t="shared" si="7"/>
        <v>84.729276991246337</v>
      </c>
      <c r="L94" s="321">
        <f t="shared" si="7"/>
        <v>87.899420007925357</v>
      </c>
      <c r="M94" s="321">
        <f t="shared" si="7"/>
        <v>91.069563024605685</v>
      </c>
      <c r="N94" s="321">
        <f t="shared" si="7"/>
        <v>94.239706041284691</v>
      </c>
      <c r="O94" s="321">
        <f t="shared" si="7"/>
        <v>97.409849057963697</v>
      </c>
      <c r="P94" s="321">
        <f t="shared" si="7"/>
        <v>100.5799920746427</v>
      </c>
      <c r="Q94" s="321">
        <f t="shared" si="7"/>
        <v>103.75013509132172</v>
      </c>
      <c r="R94" s="321">
        <f t="shared" si="7"/>
        <v>106.92027810800205</v>
      </c>
      <c r="S94" s="321">
        <f t="shared" si="7"/>
        <v>110.09042112468107</v>
      </c>
      <c r="T94" s="321">
        <f t="shared" si="7"/>
        <v>113.26056414136008</v>
      </c>
      <c r="U94" s="321">
        <f t="shared" si="7"/>
        <v>116.43070715803908</v>
      </c>
      <c r="V94" s="321">
        <f t="shared" si="7"/>
        <v>119.6008501747181</v>
      </c>
      <c r="W94" s="321">
        <f t="shared" si="7"/>
        <v>122.77099319139843</v>
      </c>
      <c r="X94" s="321">
        <f t="shared" si="7"/>
        <v>125.94113620807745</v>
      </c>
      <c r="Y94" s="321">
        <f t="shared" si="7"/>
        <v>129.11127922475646</v>
      </c>
      <c r="Z94" s="321">
        <f t="shared" si="7"/>
        <v>132.28142224143545</v>
      </c>
      <c r="AA94" s="321">
        <f t="shared" si="7"/>
        <v>135.45156525811447</v>
      </c>
      <c r="AB94" s="321">
        <f t="shared" si="7"/>
        <v>138.6217082747948</v>
      </c>
      <c r="AC94" s="321">
        <f t="shared" si="7"/>
        <v>141.79185129147382</v>
      </c>
      <c r="AD94" s="321">
        <f t="shared" si="7"/>
        <v>144.96199430815284</v>
      </c>
      <c r="AE94" s="321">
        <f t="shared" si="7"/>
        <v>148.13213732483183</v>
      </c>
      <c r="AF94" s="321">
        <f t="shared" si="7"/>
        <v>151.30228034151085</v>
      </c>
    </row>
    <row r="95" spans="1:32" x14ac:dyDescent="0.25">
      <c r="A95" s="322"/>
      <c r="B95" s="322" t="s">
        <v>40</v>
      </c>
      <c r="G95" s="321">
        <f t="shared" ref="G95:AF95" si="8">IF(ISNUMBER(G167),MAX(G131,G167),G131)</f>
        <v>72.048704924528977</v>
      </c>
      <c r="H95" s="321">
        <f t="shared" si="8"/>
        <v>75.218847941209305</v>
      </c>
      <c r="I95" s="321">
        <f t="shared" si="8"/>
        <v>78.388990957888311</v>
      </c>
      <c r="J95" s="321">
        <f t="shared" si="8"/>
        <v>81.559133974567331</v>
      </c>
      <c r="K95" s="321">
        <f t="shared" si="8"/>
        <v>84.729276991246337</v>
      </c>
      <c r="L95" s="321">
        <f t="shared" si="8"/>
        <v>87.899420007925357</v>
      </c>
      <c r="M95" s="321">
        <f t="shared" si="8"/>
        <v>91.069563024605685</v>
      </c>
      <c r="N95" s="321">
        <f t="shared" si="8"/>
        <v>94.239706041284691</v>
      </c>
      <c r="O95" s="321">
        <f t="shared" si="8"/>
        <v>97.409849057963697</v>
      </c>
      <c r="P95" s="321">
        <f t="shared" si="8"/>
        <v>100.5799920746427</v>
      </c>
      <c r="Q95" s="321">
        <f t="shared" si="8"/>
        <v>103.75013509132172</v>
      </c>
      <c r="R95" s="321">
        <f t="shared" si="8"/>
        <v>106.92027810800205</v>
      </c>
      <c r="S95" s="321">
        <f t="shared" si="8"/>
        <v>110.09042112468107</v>
      </c>
      <c r="T95" s="321">
        <f t="shared" si="8"/>
        <v>113.26056414136008</v>
      </c>
      <c r="U95" s="321">
        <f t="shared" si="8"/>
        <v>116.43070715803908</v>
      </c>
      <c r="V95" s="321">
        <f t="shared" si="8"/>
        <v>119.6008501747181</v>
      </c>
      <c r="W95" s="321">
        <f t="shared" si="8"/>
        <v>122.77099319139843</v>
      </c>
      <c r="X95" s="321">
        <f t="shared" si="8"/>
        <v>125.94113620807745</v>
      </c>
      <c r="Y95" s="321">
        <f t="shared" si="8"/>
        <v>129.11127922475646</v>
      </c>
      <c r="Z95" s="321">
        <f t="shared" si="8"/>
        <v>132.28142224143545</v>
      </c>
      <c r="AA95" s="321">
        <f t="shared" si="8"/>
        <v>135.45156525811447</v>
      </c>
      <c r="AB95" s="321">
        <f t="shared" si="8"/>
        <v>138.6217082747948</v>
      </c>
      <c r="AC95" s="321">
        <f t="shared" si="8"/>
        <v>141.79185129147382</v>
      </c>
      <c r="AD95" s="321">
        <f t="shared" si="8"/>
        <v>144.96199430815284</v>
      </c>
      <c r="AE95" s="321">
        <f t="shared" si="8"/>
        <v>148.13213732483183</v>
      </c>
      <c r="AF95" s="321">
        <f t="shared" si="8"/>
        <v>151.30228034151085</v>
      </c>
    </row>
    <row r="96" spans="1:32" x14ac:dyDescent="0.25">
      <c r="A96" s="322"/>
      <c r="B96" s="322" t="s">
        <v>29</v>
      </c>
      <c r="G96" s="321">
        <f t="shared" ref="G96:AF96" si="9">IF(ISNUMBER(G168),MAX(G132,G168),G132)</f>
        <v>36.024352462264488</v>
      </c>
      <c r="H96" s="321">
        <f t="shared" si="9"/>
        <v>47.545008338951646</v>
      </c>
      <c r="I96" s="321">
        <f t="shared" si="9"/>
        <v>52.698058935610455</v>
      </c>
      <c r="J96" s="321">
        <f t="shared" si="9"/>
        <v>57.10797595431071</v>
      </c>
      <c r="K96" s="321">
        <f t="shared" si="9"/>
        <v>60.728775601641033</v>
      </c>
      <c r="L96" s="321">
        <f t="shared" si="9"/>
        <v>63.601883069801822</v>
      </c>
      <c r="M96" s="321">
        <f t="shared" si="9"/>
        <v>65.820554828989017</v>
      </c>
      <c r="N96" s="321">
        <f t="shared" si="9"/>
        <v>67.498157742011216</v>
      </c>
      <c r="O96" s="321">
        <f t="shared" si="9"/>
        <v>68.746554815972686</v>
      </c>
      <c r="P96" s="321">
        <f t="shared" si="9"/>
        <v>69.664563765417569</v>
      </c>
      <c r="Q96" s="321">
        <f t="shared" si="9"/>
        <v>70.333729654808764</v>
      </c>
      <c r="R96" s="321">
        <f t="shared" si="9"/>
        <v>70.818395174911018</v>
      </c>
      <c r="S96" s="321">
        <f t="shared" si="9"/>
        <v>71.167805894004474</v>
      </c>
      <c r="T96" s="321">
        <f t="shared" si="9"/>
        <v>71.418865742397699</v>
      </c>
      <c r="U96" s="321">
        <f t="shared" si="9"/>
        <v>71.598824816587822</v>
      </c>
      <c r="V96" s="321">
        <f t="shared" si="9"/>
        <v>71.727596760672512</v>
      </c>
      <c r="W96" s="321">
        <f t="shared" si="9"/>
        <v>71.819627450396055</v>
      </c>
      <c r="X96" s="321">
        <f t="shared" si="9"/>
        <v>71.885341905356299</v>
      </c>
      <c r="Y96" s="321">
        <f t="shared" si="9"/>
        <v>71.932235712344109</v>
      </c>
      <c r="Z96" s="321">
        <f t="shared" si="9"/>
        <v>71.96568406838675</v>
      </c>
      <c r="AA96" s="321">
        <f t="shared" si="9"/>
        <v>71.989534418252106</v>
      </c>
      <c r="AB96" s="321">
        <f t="shared" si="9"/>
        <v>72.006537020372306</v>
      </c>
      <c r="AC96" s="321">
        <f t="shared" si="9"/>
        <v>72.018655976408766</v>
      </c>
      <c r="AD96" s="321">
        <f t="shared" si="9"/>
        <v>72.027293008805671</v>
      </c>
      <c r="AE96" s="321">
        <f t="shared" si="9"/>
        <v>72.033448006726232</v>
      </c>
      <c r="AF96" s="321">
        <f t="shared" si="9"/>
        <v>72.037833976497765</v>
      </c>
    </row>
    <row r="97" spans="1:32" x14ac:dyDescent="0.25">
      <c r="A97" s="322"/>
      <c r="B97" s="322"/>
    </row>
    <row r="98" spans="1:32" s="202" customFormat="1" ht="12.75" x14ac:dyDescent="0.2">
      <c r="A98" s="335" t="s">
        <v>42</v>
      </c>
      <c r="B98" s="335"/>
      <c r="C98" s="335"/>
      <c r="D98" s="335"/>
      <c r="E98" s="335"/>
      <c r="F98" s="335"/>
      <c r="G98" s="335"/>
      <c r="H98" s="335"/>
      <c r="I98" s="335"/>
      <c r="J98" s="335"/>
      <c r="K98" s="335"/>
      <c r="L98" s="335"/>
      <c r="M98" s="335"/>
      <c r="N98" s="335"/>
      <c r="O98" s="335"/>
      <c r="P98" s="335"/>
      <c r="Q98" s="335"/>
      <c r="R98" s="335"/>
      <c r="S98" s="335"/>
      <c r="T98" s="335"/>
      <c r="U98" s="335"/>
      <c r="V98" s="335"/>
      <c r="W98" s="335"/>
      <c r="X98" s="335"/>
      <c r="Y98" s="335"/>
      <c r="Z98" s="335"/>
      <c r="AA98" s="335"/>
      <c r="AB98" s="335"/>
      <c r="AC98" s="335"/>
      <c r="AD98" s="335"/>
      <c r="AE98" s="335"/>
      <c r="AF98" s="335"/>
    </row>
    <row r="99" spans="1:32" x14ac:dyDescent="0.25">
      <c r="A99" s="322"/>
      <c r="B99" s="328" t="s">
        <v>43</v>
      </c>
      <c r="G99" s="321">
        <f>IF(ISNUMBER(G171),MAX(G135,G171),G135)</f>
        <v>83.029509405610625</v>
      </c>
      <c r="H99" s="321">
        <f t="shared" ref="H99:AF99" si="10">IF(ISNUMBER(H171),MAX(H135,H171),H135)</f>
        <v>84.357981556100199</v>
      </c>
      <c r="I99" s="321">
        <f t="shared" si="10"/>
        <v>85.686453706590271</v>
      </c>
      <c r="J99" s="321">
        <f t="shared" si="10"/>
        <v>87.014925857079845</v>
      </c>
      <c r="K99" s="321">
        <f t="shared" si="10"/>
        <v>88.343398007569405</v>
      </c>
      <c r="L99" s="321">
        <f t="shared" si="10"/>
        <v>89.671870158059477</v>
      </c>
      <c r="M99" s="321">
        <f t="shared" si="10"/>
        <v>91.000342308549051</v>
      </c>
      <c r="N99" s="321">
        <f t="shared" si="10"/>
        <v>92.328814459039123</v>
      </c>
      <c r="O99" s="321">
        <f t="shared" si="10"/>
        <v>93.657286609528697</v>
      </c>
      <c r="P99" s="321">
        <f t="shared" si="10"/>
        <v>94.985758760018257</v>
      </c>
      <c r="Q99" s="321">
        <f t="shared" si="10"/>
        <v>96.314230910508329</v>
      </c>
      <c r="R99" s="321">
        <f t="shared" si="10"/>
        <v>97.642703060997903</v>
      </c>
      <c r="S99" s="321">
        <f t="shared" si="10"/>
        <v>98.97117521148796</v>
      </c>
      <c r="T99" s="321">
        <f t="shared" si="10"/>
        <v>100.29964736197755</v>
      </c>
      <c r="U99" s="321">
        <f t="shared" si="10"/>
        <v>101.62811951246711</v>
      </c>
      <c r="V99" s="321">
        <f t="shared" si="10"/>
        <v>102.95659166295718</v>
      </c>
      <c r="W99" s="321">
        <f t="shared" si="10"/>
        <v>104.28506381344675</v>
      </c>
      <c r="X99" s="321">
        <f t="shared" si="10"/>
        <v>105.61353596393681</v>
      </c>
      <c r="Y99" s="321">
        <f t="shared" si="10"/>
        <v>106.94200811442639</v>
      </c>
      <c r="Z99" s="321">
        <f t="shared" si="10"/>
        <v>108.27048026491596</v>
      </c>
      <c r="AA99" s="321">
        <f t="shared" si="10"/>
        <v>109.59895241540603</v>
      </c>
      <c r="AB99" s="321">
        <f t="shared" si="10"/>
        <v>110.92742456589561</v>
      </c>
      <c r="AC99" s="321">
        <f t="shared" si="10"/>
        <v>112.25589671638566</v>
      </c>
      <c r="AD99" s="321">
        <f t="shared" si="10"/>
        <v>113.58436886687524</v>
      </c>
      <c r="AE99" s="321">
        <f t="shared" si="10"/>
        <v>114.9128410173648</v>
      </c>
      <c r="AF99" s="321">
        <f t="shared" si="10"/>
        <v>116.24131316785488</v>
      </c>
    </row>
    <row r="100" spans="1:32" x14ac:dyDescent="0.25">
      <c r="A100" s="322"/>
      <c r="B100" s="328" t="s">
        <v>44</v>
      </c>
      <c r="G100" s="321">
        <f t="shared" ref="G100:AF100" si="11">IF(ISNUMBER(G172),MAX(G136,G172),G136)</f>
        <v>83.029509405610625</v>
      </c>
      <c r="H100" s="321">
        <f t="shared" si="11"/>
        <v>84.357981556100199</v>
      </c>
      <c r="I100" s="321">
        <f t="shared" si="11"/>
        <v>85.686453706590271</v>
      </c>
      <c r="J100" s="321">
        <f t="shared" si="11"/>
        <v>87.014925857079845</v>
      </c>
      <c r="K100" s="321">
        <f t="shared" si="11"/>
        <v>88.343398007569405</v>
      </c>
      <c r="L100" s="321">
        <f t="shared" si="11"/>
        <v>89.671870158059477</v>
      </c>
      <c r="M100" s="321">
        <f t="shared" si="11"/>
        <v>91.000342308549051</v>
      </c>
      <c r="N100" s="321">
        <f t="shared" si="11"/>
        <v>92.328814459039123</v>
      </c>
      <c r="O100" s="321">
        <f t="shared" si="11"/>
        <v>93.657286609528697</v>
      </c>
      <c r="P100" s="321">
        <f t="shared" si="11"/>
        <v>94.985758760018257</v>
      </c>
      <c r="Q100" s="321">
        <f t="shared" si="11"/>
        <v>96.314230910508329</v>
      </c>
      <c r="R100" s="321">
        <f t="shared" si="11"/>
        <v>97.642703060997903</v>
      </c>
      <c r="S100" s="321">
        <f t="shared" si="11"/>
        <v>98.97117521148796</v>
      </c>
      <c r="T100" s="321">
        <f t="shared" si="11"/>
        <v>100.29964736197755</v>
      </c>
      <c r="U100" s="321">
        <f t="shared" si="11"/>
        <v>101.62811951246711</v>
      </c>
      <c r="V100" s="321">
        <f t="shared" si="11"/>
        <v>102.95659166295718</v>
      </c>
      <c r="W100" s="321">
        <f t="shared" si="11"/>
        <v>104.28506381344675</v>
      </c>
      <c r="X100" s="321">
        <f t="shared" si="11"/>
        <v>105.61353596393681</v>
      </c>
      <c r="Y100" s="321">
        <f t="shared" si="11"/>
        <v>106.94200811442639</v>
      </c>
      <c r="Z100" s="321">
        <f t="shared" si="11"/>
        <v>108.27048026491596</v>
      </c>
      <c r="AA100" s="321">
        <f t="shared" si="11"/>
        <v>109.59895241540603</v>
      </c>
      <c r="AB100" s="321">
        <f t="shared" si="11"/>
        <v>110.92742456589561</v>
      </c>
      <c r="AC100" s="321">
        <f t="shared" si="11"/>
        <v>112.25589671638566</v>
      </c>
      <c r="AD100" s="321">
        <f t="shared" si="11"/>
        <v>113.58436886687524</v>
      </c>
      <c r="AE100" s="321">
        <f t="shared" si="11"/>
        <v>114.9128410173648</v>
      </c>
      <c r="AF100" s="321">
        <f t="shared" si="11"/>
        <v>116.24131316785488</v>
      </c>
    </row>
    <row r="101" spans="1:32" x14ac:dyDescent="0.25">
      <c r="A101" s="322"/>
      <c r="B101" s="328" t="s">
        <v>45</v>
      </c>
      <c r="G101" s="321">
        <f t="shared" ref="G101:AF101" si="12">IF(ISNUMBER(G173),MAX(G137,G173),G137)</f>
        <v>83.029509405610625</v>
      </c>
      <c r="H101" s="321">
        <f t="shared" si="12"/>
        <v>84.357981556100199</v>
      </c>
      <c r="I101" s="321">
        <f t="shared" si="12"/>
        <v>85.686453706590271</v>
      </c>
      <c r="J101" s="321">
        <f t="shared" si="12"/>
        <v>87.014925857079845</v>
      </c>
      <c r="K101" s="321">
        <f t="shared" si="12"/>
        <v>88.343398007569405</v>
      </c>
      <c r="L101" s="321">
        <f t="shared" si="12"/>
        <v>89.671870158059477</v>
      </c>
      <c r="M101" s="321">
        <f t="shared" si="12"/>
        <v>91.000342308549051</v>
      </c>
      <c r="N101" s="321">
        <f t="shared" si="12"/>
        <v>92.328814459039123</v>
      </c>
      <c r="O101" s="321">
        <f t="shared" si="12"/>
        <v>93.657286609528697</v>
      </c>
      <c r="P101" s="321">
        <f t="shared" si="12"/>
        <v>94.985758760018257</v>
      </c>
      <c r="Q101" s="321">
        <f t="shared" si="12"/>
        <v>96.314230910508329</v>
      </c>
      <c r="R101" s="321">
        <f t="shared" si="12"/>
        <v>97.642703060997903</v>
      </c>
      <c r="S101" s="321">
        <f t="shared" si="12"/>
        <v>98.97117521148796</v>
      </c>
      <c r="T101" s="321">
        <f t="shared" si="12"/>
        <v>100.29964736197755</v>
      </c>
      <c r="U101" s="321">
        <f t="shared" si="12"/>
        <v>101.62811951246711</v>
      </c>
      <c r="V101" s="321">
        <f t="shared" si="12"/>
        <v>102.95659166295718</v>
      </c>
      <c r="W101" s="321">
        <f t="shared" si="12"/>
        <v>104.28506381344675</v>
      </c>
      <c r="X101" s="321">
        <f t="shared" si="12"/>
        <v>105.61353596393681</v>
      </c>
      <c r="Y101" s="321">
        <f t="shared" si="12"/>
        <v>106.94200811442639</v>
      </c>
      <c r="Z101" s="321">
        <f t="shared" si="12"/>
        <v>108.27048026491596</v>
      </c>
      <c r="AA101" s="321">
        <f t="shared" si="12"/>
        <v>109.59895241540603</v>
      </c>
      <c r="AB101" s="321">
        <f t="shared" si="12"/>
        <v>110.92742456589561</v>
      </c>
      <c r="AC101" s="321">
        <f t="shared" si="12"/>
        <v>112.25589671638566</v>
      </c>
      <c r="AD101" s="321">
        <f t="shared" si="12"/>
        <v>113.58436886687524</v>
      </c>
      <c r="AE101" s="321">
        <f t="shared" si="12"/>
        <v>114.9128410173648</v>
      </c>
      <c r="AF101" s="321">
        <f t="shared" si="12"/>
        <v>116.24131316785488</v>
      </c>
    </row>
    <row r="102" spans="1:32" x14ac:dyDescent="0.25">
      <c r="A102" s="322"/>
      <c r="B102" s="328" t="s">
        <v>46</v>
      </c>
      <c r="G102" s="321">
        <f t="shared" ref="G102:AF103" si="13">IF(ISNUMBER(G174),MAX(G138,G174),G138)</f>
        <v>83.029509405610625</v>
      </c>
      <c r="H102" s="321">
        <f t="shared" si="13"/>
        <v>84.357981556100199</v>
      </c>
      <c r="I102" s="321">
        <f t="shared" si="13"/>
        <v>85.686453706590271</v>
      </c>
      <c r="J102" s="321">
        <f t="shared" si="13"/>
        <v>87.014925857079845</v>
      </c>
      <c r="K102" s="321">
        <f t="shared" si="13"/>
        <v>88.343398007569405</v>
      </c>
      <c r="L102" s="321">
        <f t="shared" si="13"/>
        <v>89.671870158059477</v>
      </c>
      <c r="M102" s="321">
        <f t="shared" si="13"/>
        <v>91.000342308549051</v>
      </c>
      <c r="N102" s="321">
        <f t="shared" si="13"/>
        <v>92.328814459039123</v>
      </c>
      <c r="O102" s="321">
        <f t="shared" si="13"/>
        <v>93.657286609528697</v>
      </c>
      <c r="P102" s="321">
        <f t="shared" si="13"/>
        <v>94.985758760018257</v>
      </c>
      <c r="Q102" s="321">
        <f t="shared" si="13"/>
        <v>96.314230910508329</v>
      </c>
      <c r="R102" s="321">
        <f t="shared" si="13"/>
        <v>97.642703060997903</v>
      </c>
      <c r="S102" s="321">
        <f t="shared" si="13"/>
        <v>98.97117521148796</v>
      </c>
      <c r="T102" s="321">
        <f t="shared" si="13"/>
        <v>100.29964736197755</v>
      </c>
      <c r="U102" s="321">
        <f t="shared" si="13"/>
        <v>101.62811951246711</v>
      </c>
      <c r="V102" s="321">
        <f t="shared" si="13"/>
        <v>102.95659166295718</v>
      </c>
      <c r="W102" s="321">
        <f t="shared" si="13"/>
        <v>104.28506381344675</v>
      </c>
      <c r="X102" s="321">
        <f t="shared" si="13"/>
        <v>105.61353596393681</v>
      </c>
      <c r="Y102" s="321">
        <f t="shared" si="13"/>
        <v>106.94200811442639</v>
      </c>
      <c r="Z102" s="321">
        <f t="shared" si="13"/>
        <v>108.27048026491596</v>
      </c>
      <c r="AA102" s="321">
        <f t="shared" si="13"/>
        <v>109.59895241540603</v>
      </c>
      <c r="AB102" s="321">
        <f t="shared" si="13"/>
        <v>110.92742456589561</v>
      </c>
      <c r="AC102" s="321">
        <f t="shared" si="13"/>
        <v>112.25589671638566</v>
      </c>
      <c r="AD102" s="321">
        <f t="shared" si="13"/>
        <v>113.58436886687524</v>
      </c>
      <c r="AE102" s="321">
        <f t="shared" si="13"/>
        <v>114.9128410173648</v>
      </c>
      <c r="AF102" s="321">
        <f t="shared" si="13"/>
        <v>116.24131316785488</v>
      </c>
    </row>
    <row r="103" spans="1:32" x14ac:dyDescent="0.25">
      <c r="A103" s="322"/>
      <c r="B103" s="322" t="s">
        <v>29</v>
      </c>
      <c r="G103" s="321">
        <f>IF(ISNUMBER(G175),MAX(G139,G175),G139)</f>
        <v>27.676503135203543</v>
      </c>
      <c r="H103" s="321">
        <f t="shared" si="13"/>
        <v>36.527501049037809</v>
      </c>
      <c r="I103" s="321">
        <f t="shared" si="13"/>
        <v>40.486445797418298</v>
      </c>
      <c r="J103" s="321">
        <f t="shared" si="13"/>
        <v>43.874461788042801</v>
      </c>
      <c r="K103" s="321">
        <f t="shared" si="13"/>
        <v>46.656220957655989</v>
      </c>
      <c r="L103" s="321">
        <f t="shared" si="13"/>
        <v>48.863549123613268</v>
      </c>
      <c r="M103" s="321">
        <f t="shared" si="13"/>
        <v>50.568092625497272</v>
      </c>
      <c r="N103" s="321">
        <f t="shared" si="13"/>
        <v>51.85694805546013</v>
      </c>
      <c r="O103" s="321">
        <f t="shared" si="13"/>
        <v>52.816056635348296</v>
      </c>
      <c r="P103" s="321">
        <f t="shared" si="13"/>
        <v>53.521337253343312</v>
      </c>
      <c r="Q103" s="321">
        <f t="shared" si="13"/>
        <v>54.035438703330705</v>
      </c>
      <c r="R103" s="321">
        <f t="shared" si="13"/>
        <v>54.407793676280903</v>
      </c>
      <c r="S103" s="321">
        <f t="shared" si="13"/>
        <v>54.676236165916031</v>
      </c>
      <c r="T103" s="321">
        <f t="shared" si="13"/>
        <v>54.869118430446882</v>
      </c>
      <c r="U103" s="321">
        <f t="shared" si="13"/>
        <v>55.007375957386422</v>
      </c>
      <c r="V103" s="321">
        <f t="shared" si="13"/>
        <v>55.106307842919115</v>
      </c>
      <c r="W103" s="321">
        <f t="shared" si="13"/>
        <v>55.177012449624726</v>
      </c>
      <c r="X103" s="321">
        <f t="shared" si="13"/>
        <v>55.227499028686502</v>
      </c>
      <c r="Y103" s="321">
        <f t="shared" si="13"/>
        <v>55.263526229938186</v>
      </c>
      <c r="Z103" s="321">
        <f t="shared" si="13"/>
        <v>55.289223667021936</v>
      </c>
      <c r="AA103" s="321">
        <f t="shared" si="13"/>
        <v>55.307547224218851</v>
      </c>
      <c r="AB103" s="321">
        <f t="shared" si="13"/>
        <v>55.32060984821409</v>
      </c>
      <c r="AC103" s="321">
        <f t="shared" si="13"/>
        <v>55.329920503418499</v>
      </c>
      <c r="AD103" s="321">
        <f t="shared" si="13"/>
        <v>55.336556094008564</v>
      </c>
      <c r="AE103" s="321">
        <f t="shared" si="13"/>
        <v>55.341284806882001</v>
      </c>
      <c r="AF103" s="321">
        <f t="shared" si="13"/>
        <v>55.344654424871941</v>
      </c>
    </row>
    <row r="104" spans="1:32" x14ac:dyDescent="0.25">
      <c r="A104" s="322"/>
      <c r="B104" s="322"/>
    </row>
    <row r="105" spans="1:32" s="202" customFormat="1" ht="12.75" x14ac:dyDescent="0.2">
      <c r="A105" s="335" t="s">
        <v>47</v>
      </c>
      <c r="B105" s="335"/>
      <c r="C105" s="335"/>
      <c r="D105" s="335"/>
      <c r="E105" s="335"/>
      <c r="F105" s="335"/>
      <c r="G105" s="335"/>
      <c r="H105" s="335"/>
      <c r="I105" s="335"/>
      <c r="J105" s="335"/>
      <c r="K105" s="335"/>
      <c r="L105" s="335"/>
      <c r="M105" s="335"/>
      <c r="N105" s="335"/>
      <c r="O105" s="335"/>
      <c r="P105" s="335"/>
      <c r="Q105" s="335"/>
      <c r="R105" s="335"/>
      <c r="S105" s="335"/>
      <c r="T105" s="335"/>
      <c r="U105" s="335"/>
      <c r="V105" s="335"/>
      <c r="W105" s="335"/>
      <c r="X105" s="335"/>
      <c r="Y105" s="335"/>
      <c r="Z105" s="335"/>
      <c r="AA105" s="335"/>
      <c r="AB105" s="335"/>
      <c r="AC105" s="335"/>
      <c r="AD105" s="335"/>
      <c r="AE105" s="335"/>
      <c r="AF105" s="335"/>
    </row>
    <row r="106" spans="1:32" x14ac:dyDescent="0.25">
      <c r="A106" s="322"/>
      <c r="B106" s="322" t="s">
        <v>48</v>
      </c>
      <c r="G106" s="321">
        <f>IF(ISNUMBER(G178),MAX(G142,G178),G142)</f>
        <v>1.4824636780330247</v>
      </c>
      <c r="H106" s="321">
        <f t="shared" ref="H106:AF106" si="14">IF(ISNUMBER(H178),MAX(H142,H178),H142)</f>
        <v>1.4898759964231882</v>
      </c>
      <c r="I106" s="321">
        <f t="shared" si="14"/>
        <v>1.4972883148133547</v>
      </c>
      <c r="J106" s="321">
        <f t="shared" si="14"/>
        <v>1.5047006332035182</v>
      </c>
      <c r="K106" s="321">
        <f t="shared" si="14"/>
        <v>1.5121129515936846</v>
      </c>
      <c r="L106" s="321">
        <f t="shared" si="14"/>
        <v>1.5195252699838511</v>
      </c>
      <c r="M106" s="321">
        <f t="shared" si="14"/>
        <v>1.5269375883740144</v>
      </c>
      <c r="N106" s="321">
        <f t="shared" si="14"/>
        <v>1.534349906764181</v>
      </c>
      <c r="O106" s="321">
        <f t="shared" si="14"/>
        <v>1.5417622251543444</v>
      </c>
      <c r="P106" s="321">
        <f t="shared" si="14"/>
        <v>1.5491745435445108</v>
      </c>
      <c r="Q106" s="321">
        <f t="shared" si="14"/>
        <v>1.5565868619346743</v>
      </c>
      <c r="R106" s="321">
        <f t="shared" si="14"/>
        <v>1.5639991803248408</v>
      </c>
      <c r="S106" s="321">
        <f t="shared" si="14"/>
        <v>1.5714114987150043</v>
      </c>
      <c r="T106" s="321">
        <f t="shared" si="14"/>
        <v>1.5788238171051707</v>
      </c>
      <c r="U106" s="321">
        <f t="shared" si="14"/>
        <v>1.5862361354953367</v>
      </c>
      <c r="V106" s="321">
        <f t="shared" si="14"/>
        <v>1.5936484538855005</v>
      </c>
      <c r="W106" s="321">
        <f t="shared" si="14"/>
        <v>1.6010607722756667</v>
      </c>
      <c r="X106" s="321">
        <f t="shared" si="14"/>
        <v>1.6084730906658304</v>
      </c>
      <c r="Y106" s="321">
        <f t="shared" si="14"/>
        <v>1.6158854090559966</v>
      </c>
      <c r="Z106" s="321">
        <f t="shared" si="14"/>
        <v>1.6232977274461604</v>
      </c>
      <c r="AA106" s="321">
        <f t="shared" si="14"/>
        <v>1.6307100458363266</v>
      </c>
      <c r="AB106" s="321">
        <f t="shared" si="14"/>
        <v>1.6381223642264904</v>
      </c>
      <c r="AC106" s="321">
        <f t="shared" si="14"/>
        <v>1.6455346826166568</v>
      </c>
      <c r="AD106" s="321">
        <f t="shared" si="14"/>
        <v>1.652947001006823</v>
      </c>
      <c r="AE106" s="321">
        <f t="shared" si="14"/>
        <v>1.6603593193969868</v>
      </c>
      <c r="AF106" s="321">
        <f t="shared" si="14"/>
        <v>1.6677716377871528</v>
      </c>
    </row>
    <row r="107" spans="1:32" x14ac:dyDescent="0.25">
      <c r="A107" s="322"/>
      <c r="B107" s="328" t="s">
        <v>50</v>
      </c>
      <c r="G107" s="321">
        <f t="shared" ref="G107:AF107" si="15">IF(ISNUMBER(G179),MAX(G143,G179),G143)</f>
        <v>5.9298547121320988</v>
      </c>
      <c r="H107" s="321">
        <f t="shared" si="15"/>
        <v>5.959503985692753</v>
      </c>
      <c r="I107" s="321">
        <f t="shared" si="15"/>
        <v>5.9891532592534187</v>
      </c>
      <c r="J107" s="321">
        <f t="shared" si="15"/>
        <v>6.0188025328140728</v>
      </c>
      <c r="K107" s="321">
        <f t="shared" si="15"/>
        <v>6.0484518063747386</v>
      </c>
      <c r="L107" s="321">
        <f t="shared" si="15"/>
        <v>6.0781010799354043</v>
      </c>
      <c r="M107" s="321">
        <f t="shared" si="15"/>
        <v>6.1077503534960575</v>
      </c>
      <c r="N107" s="321">
        <f t="shared" si="15"/>
        <v>6.1373996270567241</v>
      </c>
      <c r="O107" s="321">
        <f t="shared" si="15"/>
        <v>6.1670489006173774</v>
      </c>
      <c r="P107" s="321">
        <f t="shared" si="15"/>
        <v>6.1966981741780431</v>
      </c>
      <c r="Q107" s="321">
        <f t="shared" si="15"/>
        <v>6.2263474477386973</v>
      </c>
      <c r="R107" s="321">
        <f t="shared" si="15"/>
        <v>6.255996721299363</v>
      </c>
      <c r="S107" s="321">
        <f t="shared" si="15"/>
        <v>6.2856459948600172</v>
      </c>
      <c r="T107" s="321">
        <f t="shared" si="15"/>
        <v>6.3152952684206829</v>
      </c>
      <c r="U107" s="321">
        <f t="shared" si="15"/>
        <v>6.3449445419813468</v>
      </c>
      <c r="V107" s="321">
        <f t="shared" si="15"/>
        <v>6.3745938155420019</v>
      </c>
      <c r="W107" s="321">
        <f t="shared" si="15"/>
        <v>6.4042430891026667</v>
      </c>
      <c r="X107" s="321">
        <f t="shared" si="15"/>
        <v>6.4338923626633218</v>
      </c>
      <c r="Y107" s="321">
        <f t="shared" si="15"/>
        <v>6.4635416362239866</v>
      </c>
      <c r="Z107" s="321">
        <f t="shared" si="15"/>
        <v>6.4931909097846416</v>
      </c>
      <c r="AA107" s="321">
        <f t="shared" si="15"/>
        <v>6.5228401833453065</v>
      </c>
      <c r="AB107" s="321">
        <f t="shared" si="15"/>
        <v>6.5524894569059615</v>
      </c>
      <c r="AC107" s="321">
        <f t="shared" si="15"/>
        <v>6.5821387304666272</v>
      </c>
      <c r="AD107" s="321">
        <f t="shared" si="15"/>
        <v>6.6117880040272921</v>
      </c>
      <c r="AE107" s="321">
        <f t="shared" si="15"/>
        <v>6.6414372775879471</v>
      </c>
      <c r="AF107" s="321">
        <f t="shared" si="15"/>
        <v>6.671086551148611</v>
      </c>
    </row>
    <row r="108" spans="1:32" x14ac:dyDescent="0.25">
      <c r="A108" s="322"/>
      <c r="B108" s="322" t="s">
        <v>51</v>
      </c>
      <c r="G108" s="321">
        <f t="shared" ref="G108:AF108" si="16">IF(ISNUMBER(G180),MAX(G144,G180),G144)</f>
        <v>17.789564136396297</v>
      </c>
      <c r="H108" s="321">
        <f t="shared" si="16"/>
        <v>17.878511957078281</v>
      </c>
      <c r="I108" s="321">
        <f t="shared" si="16"/>
        <v>17.967459777760265</v>
      </c>
      <c r="J108" s="321">
        <f t="shared" si="16"/>
        <v>18.056407598442252</v>
      </c>
      <c r="K108" s="321">
        <f t="shared" si="16"/>
        <v>18.145355419124215</v>
      </c>
      <c r="L108" s="321">
        <f t="shared" si="16"/>
        <v>18.234303239806199</v>
      </c>
      <c r="M108" s="321">
        <f t="shared" si="16"/>
        <v>18.323251060488186</v>
      </c>
      <c r="N108" s="321">
        <f t="shared" si="16"/>
        <v>18.41219888117017</v>
      </c>
      <c r="O108" s="321">
        <f t="shared" si="16"/>
        <v>18.501146701852154</v>
      </c>
      <c r="P108" s="321">
        <f t="shared" si="16"/>
        <v>18.590094522534137</v>
      </c>
      <c r="Q108" s="321">
        <f t="shared" si="16"/>
        <v>18.679042343216103</v>
      </c>
      <c r="R108" s="321">
        <f t="shared" si="16"/>
        <v>18.767990163898087</v>
      </c>
      <c r="S108" s="321">
        <f t="shared" si="16"/>
        <v>18.856937984580071</v>
      </c>
      <c r="T108" s="321">
        <f t="shared" si="16"/>
        <v>18.945885805262058</v>
      </c>
      <c r="U108" s="321">
        <f t="shared" si="16"/>
        <v>19.034833625944042</v>
      </c>
      <c r="V108" s="321">
        <f t="shared" si="16"/>
        <v>19.123781446626026</v>
      </c>
      <c r="W108" s="321">
        <f t="shared" si="16"/>
        <v>19.21272926730801</v>
      </c>
      <c r="X108" s="321">
        <f t="shared" si="16"/>
        <v>19.301677087989976</v>
      </c>
      <c r="Y108" s="321">
        <f t="shared" si="16"/>
        <v>19.39062490867196</v>
      </c>
      <c r="Z108" s="321">
        <f t="shared" si="16"/>
        <v>19.479572729353944</v>
      </c>
      <c r="AA108" s="321">
        <f t="shared" si="16"/>
        <v>19.568520550035931</v>
      </c>
      <c r="AB108" s="321">
        <f t="shared" si="16"/>
        <v>19.657468370717915</v>
      </c>
      <c r="AC108" s="321">
        <f t="shared" si="16"/>
        <v>19.746416191399899</v>
      </c>
      <c r="AD108" s="321">
        <f t="shared" si="16"/>
        <v>19.835364012081865</v>
      </c>
      <c r="AE108" s="321">
        <f t="shared" si="16"/>
        <v>19.924311832763848</v>
      </c>
      <c r="AF108" s="321">
        <f t="shared" si="16"/>
        <v>20.013259653445832</v>
      </c>
    </row>
    <row r="109" spans="1:32" x14ac:dyDescent="0.25">
      <c r="A109" s="322"/>
      <c r="B109" s="322" t="s">
        <v>52</v>
      </c>
      <c r="G109" s="321">
        <f t="shared" ref="G109:AF109" si="17">IF(ISNUMBER(G181),MAX(G145,G181),G145)</f>
        <v>74.123183901651231</v>
      </c>
      <c r="H109" s="321">
        <f t="shared" si="17"/>
        <v>77.384603993324973</v>
      </c>
      <c r="I109" s="321">
        <f t="shared" si="17"/>
        <v>80.64602408499735</v>
      </c>
      <c r="J109" s="321">
        <f t="shared" si="17"/>
        <v>83.907444176669742</v>
      </c>
      <c r="K109" s="321">
        <f t="shared" si="17"/>
        <v>87.168864268342119</v>
      </c>
      <c r="L109" s="321">
        <f t="shared" si="17"/>
        <v>90.430284360014511</v>
      </c>
      <c r="M109" s="321">
        <f t="shared" si="17"/>
        <v>93.691704451688238</v>
      </c>
      <c r="N109" s="321">
        <f t="shared" si="17"/>
        <v>96.95312454336063</v>
      </c>
      <c r="O109" s="321">
        <f t="shared" si="17"/>
        <v>100.21454463503301</v>
      </c>
      <c r="P109" s="321">
        <f t="shared" si="17"/>
        <v>103.47596472670539</v>
      </c>
      <c r="Q109" s="321">
        <f t="shared" si="17"/>
        <v>106.73738481837778</v>
      </c>
      <c r="R109" s="321">
        <f t="shared" si="17"/>
        <v>109.99880491005152</v>
      </c>
      <c r="S109" s="321">
        <f t="shared" si="17"/>
        <v>113.26022500172391</v>
      </c>
      <c r="T109" s="321">
        <f t="shared" si="17"/>
        <v>116.52164509339629</v>
      </c>
      <c r="U109" s="321">
        <f t="shared" si="17"/>
        <v>119.78306518506865</v>
      </c>
      <c r="V109" s="321">
        <f t="shared" si="17"/>
        <v>123.04448527674106</v>
      </c>
      <c r="W109" s="321">
        <f t="shared" si="17"/>
        <v>126.30590536841478</v>
      </c>
      <c r="X109" s="321">
        <f t="shared" si="17"/>
        <v>129.56732546008718</v>
      </c>
      <c r="Y109" s="321">
        <f t="shared" si="17"/>
        <v>132.82874555175957</v>
      </c>
      <c r="Z109" s="321">
        <f t="shared" si="17"/>
        <v>136.09016564343193</v>
      </c>
      <c r="AA109" s="321">
        <f t="shared" si="17"/>
        <v>139.35158573510432</v>
      </c>
      <c r="AB109" s="321">
        <f t="shared" si="17"/>
        <v>142.61300582677805</v>
      </c>
      <c r="AC109" s="321">
        <f t="shared" si="17"/>
        <v>145.87442591845044</v>
      </c>
      <c r="AD109" s="321">
        <f t="shared" si="17"/>
        <v>149.13584601012283</v>
      </c>
      <c r="AE109" s="321">
        <f t="shared" si="17"/>
        <v>152.3972661017952</v>
      </c>
      <c r="AF109" s="321">
        <f t="shared" si="17"/>
        <v>155.65868619346759</v>
      </c>
    </row>
    <row r="110" spans="1:32" x14ac:dyDescent="0.25">
      <c r="A110" s="322"/>
      <c r="B110" s="328" t="s">
        <v>29</v>
      </c>
      <c r="G110" s="321">
        <f>IF(ISNUMBER(G182),MAX(G146,G182),G146)</f>
        <v>37.061591950825616</v>
      </c>
      <c r="H110" s="321">
        <f t="shared" ref="H110:AF111" si="18">IF(ISNUMBER(H182),MAX(H146,H182),H146)</f>
        <v>48.913958972687169</v>
      </c>
      <c r="I110" s="321">
        <f t="shared" si="18"/>
        <v>54.215379968814133</v>
      </c>
      <c r="J110" s="321">
        <f t="shared" si="18"/>
        <v>58.752270541802844</v>
      </c>
      <c r="K110" s="321">
        <f t="shared" si="18"/>
        <v>62.477322899249565</v>
      </c>
      <c r="L110" s="321">
        <f t="shared" si="18"/>
        <v>65.433154977768808</v>
      </c>
      <c r="M110" s="321">
        <f t="shared" si="18"/>
        <v>67.715708356013408</v>
      </c>
      <c r="N110" s="321">
        <f t="shared" si="18"/>
        <v>69.441614038372947</v>
      </c>
      <c r="O110" s="321">
        <f t="shared" si="18"/>
        <v>70.725955873419949</v>
      </c>
      <c r="P110" s="321">
        <f t="shared" si="18"/>
        <v>71.670396807567784</v>
      </c>
      <c r="Q110" s="321">
        <f t="shared" si="18"/>
        <v>72.35882981038182</v>
      </c>
      <c r="R110" s="321">
        <f t="shared" si="18"/>
        <v>72.857450174411412</v>
      </c>
      <c r="S110" s="321">
        <f t="shared" si="18"/>
        <v>73.2169213823353</v>
      </c>
      <c r="T110" s="321">
        <f t="shared" si="18"/>
        <v>73.475209929398915</v>
      </c>
      <c r="U110" s="321">
        <f t="shared" si="18"/>
        <v>73.660350516796541</v>
      </c>
      <c r="V110" s="321">
        <f t="shared" si="18"/>
        <v>73.792830156822831</v>
      </c>
      <c r="W110" s="321">
        <f t="shared" si="18"/>
        <v>73.887510661435925</v>
      </c>
      <c r="X110" s="321">
        <f t="shared" si="18"/>
        <v>73.95511721501822</v>
      </c>
      <c r="Y110" s="321">
        <f t="shared" si="18"/>
        <v>74.003361222774458</v>
      </c>
      <c r="Z110" s="321">
        <f t="shared" si="18"/>
        <v>74.037772648333799</v>
      </c>
      <c r="AA110" s="321">
        <f t="shared" si="18"/>
        <v>74.062309714906192</v>
      </c>
      <c r="AB110" s="321">
        <f t="shared" si="18"/>
        <v>74.079801868374915</v>
      </c>
      <c r="AC110" s="321">
        <f t="shared" si="18"/>
        <v>74.092269762252087</v>
      </c>
      <c r="AD110" s="321">
        <f t="shared" si="18"/>
        <v>74.101155478399107</v>
      </c>
      <c r="AE110" s="321">
        <f t="shared" si="18"/>
        <v>74.10748769551887</v>
      </c>
      <c r="AF110" s="321">
        <f t="shared" si="18"/>
        <v>74.111999949338042</v>
      </c>
    </row>
    <row r="111" spans="1:32" x14ac:dyDescent="0.25">
      <c r="A111" s="322"/>
      <c r="B111" s="328" t="s">
        <v>53</v>
      </c>
      <c r="G111" s="321">
        <f>IF(ISNUMBER(G183),MAX(G147,G183),G147)</f>
        <v>59.298547121320986</v>
      </c>
      <c r="H111" s="321">
        <f t="shared" si="18"/>
        <v>59.595039856927656</v>
      </c>
      <c r="I111" s="321">
        <f t="shared" si="18"/>
        <v>59.891532592534254</v>
      </c>
      <c r="J111" s="321">
        <f t="shared" si="18"/>
        <v>60.188025328140839</v>
      </c>
      <c r="K111" s="321">
        <f t="shared" si="18"/>
        <v>60.48451806374743</v>
      </c>
      <c r="L111" s="321">
        <f t="shared" si="18"/>
        <v>60.781010799354014</v>
      </c>
      <c r="M111" s="321">
        <f t="shared" si="18"/>
        <v>61.077503534960684</v>
      </c>
      <c r="N111" s="321">
        <f t="shared" si="18"/>
        <v>61.373996270567275</v>
      </c>
      <c r="O111" s="321">
        <f t="shared" si="18"/>
        <v>61.67048900617386</v>
      </c>
      <c r="P111" s="321">
        <f t="shared" si="18"/>
        <v>61.966981741780458</v>
      </c>
      <c r="Q111" s="321">
        <f t="shared" si="18"/>
        <v>62.263474477387042</v>
      </c>
      <c r="R111" s="321">
        <f t="shared" si="18"/>
        <v>62.559967212993712</v>
      </c>
      <c r="S111" s="321">
        <f t="shared" si="18"/>
        <v>62.856459948600303</v>
      </c>
      <c r="T111" s="321">
        <f t="shared" si="18"/>
        <v>63.152952684206888</v>
      </c>
      <c r="U111" s="321">
        <f t="shared" si="18"/>
        <v>63.449445419813479</v>
      </c>
      <c r="V111" s="321">
        <f t="shared" si="18"/>
        <v>63.745938155420063</v>
      </c>
      <c r="W111" s="321">
        <f t="shared" si="18"/>
        <v>64.04243089102674</v>
      </c>
      <c r="X111" s="321">
        <f t="shared" si="18"/>
        <v>64.338923626633331</v>
      </c>
      <c r="Y111" s="321">
        <f t="shared" si="18"/>
        <v>64.635416362239908</v>
      </c>
      <c r="Z111" s="321">
        <f t="shared" si="18"/>
        <v>64.9319090978465</v>
      </c>
      <c r="AA111" s="321">
        <f t="shared" si="18"/>
        <v>65.228401833453091</v>
      </c>
      <c r="AB111" s="321">
        <f t="shared" si="18"/>
        <v>65.524894569059754</v>
      </c>
      <c r="AC111" s="321">
        <f t="shared" si="18"/>
        <v>65.821387304666345</v>
      </c>
      <c r="AD111" s="321">
        <f t="shared" si="18"/>
        <v>66.117880040272937</v>
      </c>
      <c r="AE111" s="321">
        <f t="shared" si="18"/>
        <v>66.414372775879528</v>
      </c>
      <c r="AF111" s="321">
        <f t="shared" si="18"/>
        <v>66.710865511486119</v>
      </c>
    </row>
    <row r="113" spans="1:32" x14ac:dyDescent="0.25">
      <c r="A113" s="326" t="s">
        <v>183</v>
      </c>
      <c r="B113" s="327"/>
      <c r="C113" s="327"/>
      <c r="D113" s="327"/>
      <c r="E113" s="327"/>
      <c r="F113" s="327"/>
      <c r="G113" s="331"/>
      <c r="H113" s="327"/>
      <c r="I113" s="327"/>
      <c r="J113" s="327"/>
      <c r="K113" s="327"/>
      <c r="L113" s="327"/>
      <c r="M113" s="327"/>
      <c r="N113" s="327"/>
      <c r="O113" s="327"/>
      <c r="P113" s="327"/>
      <c r="Q113" s="327"/>
      <c r="R113" s="327"/>
      <c r="S113" s="327"/>
      <c r="T113" s="327"/>
      <c r="U113" s="327"/>
      <c r="V113" s="327"/>
      <c r="W113" s="327"/>
      <c r="X113" s="327"/>
      <c r="Y113" s="327"/>
      <c r="Z113" s="327"/>
      <c r="AA113" s="327"/>
      <c r="AB113" s="327"/>
      <c r="AC113" s="327"/>
      <c r="AD113" s="327"/>
      <c r="AE113" s="327"/>
      <c r="AF113" s="327"/>
    </row>
    <row r="114" spans="1:32" x14ac:dyDescent="0.25">
      <c r="A114" s="323" t="s">
        <v>12</v>
      </c>
      <c r="B114" s="322"/>
    </row>
    <row r="115" spans="1:32" x14ac:dyDescent="0.25">
      <c r="A115" s="322"/>
      <c r="B115" s="322" t="s">
        <v>20</v>
      </c>
    </row>
    <row r="116" spans="1:32" s="202" customFormat="1" ht="12.75" x14ac:dyDescent="0.2">
      <c r="A116" s="335" t="s">
        <v>21</v>
      </c>
      <c r="B116" s="335"/>
      <c r="C116" s="335"/>
      <c r="D116" s="335"/>
      <c r="E116" s="335"/>
      <c r="F116" s="335"/>
      <c r="G116" s="335"/>
      <c r="H116" s="335"/>
      <c r="I116" s="335"/>
      <c r="J116" s="335"/>
      <c r="K116" s="335"/>
      <c r="L116" s="335"/>
      <c r="M116" s="335"/>
      <c r="N116" s="335"/>
      <c r="O116" s="335"/>
      <c r="P116" s="335"/>
      <c r="Q116" s="335"/>
      <c r="R116" s="335"/>
      <c r="S116" s="335"/>
      <c r="T116" s="335"/>
      <c r="U116" s="335"/>
      <c r="V116" s="335"/>
      <c r="W116" s="335"/>
      <c r="X116" s="335"/>
      <c r="Y116" s="335"/>
      <c r="Z116" s="335"/>
      <c r="AA116" s="335"/>
      <c r="AB116" s="335"/>
      <c r="AC116" s="335"/>
      <c r="AD116" s="335"/>
      <c r="AE116" s="335"/>
      <c r="AF116" s="335"/>
    </row>
    <row r="117" spans="1:32" x14ac:dyDescent="0.25">
      <c r="A117" s="322"/>
      <c r="B117" s="322" t="s">
        <v>22</v>
      </c>
      <c r="G117" s="321">
        <f t="array" ref="G117:AF147" ca="1">IF(ISNUMBER(Life_Lamp),IF(DailyOpHours=0,0,Life_Lamp/(DailyOpHours*365.25)),"")</f>
        <v>2.0507981747250446</v>
      </c>
      <c r="H117" s="321">
        <f ca="1"/>
        <v>2.0507981747250446</v>
      </c>
      <c r="I117" s="321">
        <f ca="1"/>
        <v>2.0507981747250446</v>
      </c>
      <c r="J117" s="321">
        <f ca="1"/>
        <v>2.0507981747250446</v>
      </c>
      <c r="K117" s="321">
        <f ca="1"/>
        <v>2.0507981747250446</v>
      </c>
      <c r="L117" s="321">
        <f ca="1"/>
        <v>2.0507981747250446</v>
      </c>
      <c r="M117" s="321">
        <f ca="1"/>
        <v>2.0507981747250446</v>
      </c>
      <c r="N117" s="321">
        <f ca="1"/>
        <v>2.0507981747250446</v>
      </c>
      <c r="O117" s="321">
        <f ca="1"/>
        <v>2.0507981747250446</v>
      </c>
      <c r="P117" s="321">
        <f ca="1"/>
        <v>2.0507981747250446</v>
      </c>
      <c r="Q117" s="321">
        <f ca="1"/>
        <v>2.0507981747250446</v>
      </c>
      <c r="R117" s="321">
        <f ca="1"/>
        <v>2.0507981747250446</v>
      </c>
      <c r="S117" s="321">
        <f ca="1"/>
        <v>2.0507981747250446</v>
      </c>
      <c r="T117" s="321">
        <f ca="1"/>
        <v>2.0507981747250446</v>
      </c>
      <c r="U117" s="321">
        <f ca="1"/>
        <v>2.0507981747250446</v>
      </c>
      <c r="V117" s="321">
        <f ca="1"/>
        <v>2.0507981747250446</v>
      </c>
      <c r="W117" s="321">
        <f ca="1"/>
        <v>2.0507981747250446</v>
      </c>
      <c r="X117" s="321">
        <f ca="1"/>
        <v>2.0507981747250446</v>
      </c>
      <c r="Y117" s="321">
        <f ca="1"/>
        <v>2.0507981747250446</v>
      </c>
      <c r="Z117" s="321">
        <f ca="1"/>
        <v>2.0507981747250446</v>
      </c>
      <c r="AA117" s="321">
        <f ca="1"/>
        <v>2.0507981747250446</v>
      </c>
      <c r="AB117" s="321">
        <f ca="1"/>
        <v>2.0507981747250446</v>
      </c>
      <c r="AC117" s="321">
        <f ca="1"/>
        <v>2.0507981747250446</v>
      </c>
      <c r="AD117" s="321">
        <f ca="1"/>
        <v>2.0507981747250446</v>
      </c>
      <c r="AE117" s="321">
        <f ca="1"/>
        <v>2.0507981747250446</v>
      </c>
      <c r="AF117" s="321">
        <f ca="1"/>
        <v>2.0507981747250446</v>
      </c>
    </row>
    <row r="118" spans="1:32" x14ac:dyDescent="0.25">
      <c r="A118" s="322"/>
      <c r="B118" s="322" t="s">
        <v>26</v>
      </c>
      <c r="G118" s="321">
        <f ca="1"/>
        <v>2.2786646385833826</v>
      </c>
      <c r="H118" s="321">
        <f ca="1"/>
        <v>2.2900579617762999</v>
      </c>
      <c r="I118" s="321">
        <f ca="1"/>
        <v>2.3014512849692172</v>
      </c>
      <c r="J118" s="321">
        <f ca="1"/>
        <v>2.312844608162135</v>
      </c>
      <c r="K118" s="321">
        <f ca="1"/>
        <v>2.3242379313550496</v>
      </c>
      <c r="L118" s="321">
        <f ca="1"/>
        <v>2.3356312545479665</v>
      </c>
      <c r="M118" s="321">
        <f ca="1"/>
        <v>2.3470245777408842</v>
      </c>
      <c r="N118" s="321">
        <f ca="1"/>
        <v>2.3584179009338015</v>
      </c>
      <c r="O118" s="321">
        <f ca="1"/>
        <v>2.3698112241267189</v>
      </c>
      <c r="P118" s="321">
        <f ca="1"/>
        <v>2.3812045473196362</v>
      </c>
      <c r="Q118" s="321">
        <f ca="1"/>
        <v>2.3925978705125508</v>
      </c>
      <c r="R118" s="321">
        <f ca="1"/>
        <v>2.4039911937054681</v>
      </c>
      <c r="S118" s="321">
        <f ca="1"/>
        <v>2.4153845168983854</v>
      </c>
      <c r="T118" s="321">
        <f ca="1"/>
        <v>2.4267778400913032</v>
      </c>
      <c r="U118" s="321">
        <f ca="1"/>
        <v>2.4381711632842205</v>
      </c>
      <c r="V118" s="321">
        <f ca="1"/>
        <v>2.4495644864771378</v>
      </c>
      <c r="W118" s="321">
        <f ca="1"/>
        <v>2.4609578096700546</v>
      </c>
      <c r="X118" s="321">
        <f ca="1"/>
        <v>2.4723511328629697</v>
      </c>
      <c r="Y118" s="321">
        <f ca="1"/>
        <v>2.483744456055887</v>
      </c>
      <c r="Z118" s="321">
        <f ca="1"/>
        <v>2.4951377792488043</v>
      </c>
      <c r="AA118" s="321">
        <f ca="1"/>
        <v>2.5065311024417216</v>
      </c>
      <c r="AB118" s="321">
        <f ca="1"/>
        <v>2.5179244256346389</v>
      </c>
      <c r="AC118" s="321">
        <f ca="1"/>
        <v>2.5293177488275562</v>
      </c>
      <c r="AD118" s="321">
        <f ca="1"/>
        <v>2.5407110720204713</v>
      </c>
      <c r="AE118" s="321">
        <f ca="1"/>
        <v>2.5521043952133886</v>
      </c>
      <c r="AF118" s="321">
        <f ca="1"/>
        <v>2.5634977184063055</v>
      </c>
    </row>
    <row r="119" spans="1:32" x14ac:dyDescent="0.25">
      <c r="A119" s="322"/>
      <c r="B119" s="322" t="s">
        <v>27</v>
      </c>
      <c r="G119" s="321">
        <f ca="1"/>
        <v>15.646830518272557</v>
      </c>
      <c r="H119" s="321">
        <f ca="1"/>
        <v>15.725064670863905</v>
      </c>
      <c r="I119" s="321">
        <f ca="1"/>
        <v>15.803298823455274</v>
      </c>
      <c r="J119" s="321">
        <f ca="1"/>
        <v>15.881532976046644</v>
      </c>
      <c r="K119" s="321">
        <f ca="1"/>
        <v>15.95976712863799</v>
      </c>
      <c r="L119" s="321">
        <f ca="1"/>
        <v>16.038001281229363</v>
      </c>
      <c r="M119" s="321">
        <f ca="1"/>
        <v>16.11623543382073</v>
      </c>
      <c r="N119" s="321">
        <f ca="1"/>
        <v>16.19446958641208</v>
      </c>
      <c r="O119" s="321">
        <f ca="1"/>
        <v>16.272703739003447</v>
      </c>
      <c r="P119" s="321">
        <f ca="1"/>
        <v>16.350937891594818</v>
      </c>
      <c r="Q119" s="321">
        <f ca="1"/>
        <v>16.429172044186188</v>
      </c>
      <c r="R119" s="321">
        <f ca="1"/>
        <v>16.507406196777534</v>
      </c>
      <c r="S119" s="321">
        <f ca="1"/>
        <v>16.585640349368905</v>
      </c>
      <c r="T119" s="321">
        <f ca="1"/>
        <v>16.663874501960272</v>
      </c>
      <c r="U119" s="321">
        <f ca="1"/>
        <v>16.742108654551622</v>
      </c>
      <c r="V119" s="321">
        <f ca="1"/>
        <v>16.820342807142989</v>
      </c>
      <c r="W119" s="321">
        <f ca="1"/>
        <v>16.89857695973436</v>
      </c>
      <c r="X119" s="321">
        <f ca="1"/>
        <v>16.976811112325709</v>
      </c>
      <c r="Y119" s="321">
        <f ca="1"/>
        <v>17.055045264917077</v>
      </c>
      <c r="Z119" s="321">
        <f ca="1"/>
        <v>17.133279417508447</v>
      </c>
      <c r="AA119" s="321">
        <f ca="1"/>
        <v>17.211513570099793</v>
      </c>
      <c r="AB119" s="321">
        <f ca="1"/>
        <v>17.289747722691164</v>
      </c>
      <c r="AC119" s="321">
        <f ca="1"/>
        <v>17.367981875282531</v>
      </c>
      <c r="AD119" s="321">
        <f ca="1"/>
        <v>17.446216027873902</v>
      </c>
      <c r="AE119" s="321">
        <f ca="1"/>
        <v>17.524450180465251</v>
      </c>
      <c r="AF119" s="321">
        <f ca="1"/>
        <v>17.602684333056619</v>
      </c>
    </row>
    <row r="120" spans="1:32" x14ac:dyDescent="0.25">
      <c r="A120" s="322"/>
      <c r="B120" s="322" t="s">
        <v>29</v>
      </c>
      <c r="G120" s="321">
        <f ca="1"/>
        <v>37.977743976389711</v>
      </c>
      <c r="H120" s="321">
        <f ca="1"/>
        <v>50.123098144330015</v>
      </c>
      <c r="I120" s="321">
        <f ca="1"/>
        <v>55.555568761596135</v>
      </c>
      <c r="J120" s="321">
        <f ca="1"/>
        <v>60.204609980831265</v>
      </c>
      <c r="K120" s="321">
        <f ca="1"/>
        <v>64.021744574441371</v>
      </c>
      <c r="L120" s="321">
        <f ca="1"/>
        <v>67.050643982328324</v>
      </c>
      <c r="M120" s="321">
        <f ca="1"/>
        <v>69.389621431716762</v>
      </c>
      <c r="N120" s="321">
        <f ca="1"/>
        <v>71.158191012295362</v>
      </c>
      <c r="O120" s="321">
        <f ca="1"/>
        <v>72.474281412683425</v>
      </c>
      <c r="P120" s="321">
        <f ca="1"/>
        <v>73.44206865845203</v>
      </c>
      <c r="Q120" s="321">
        <f ca="1"/>
        <v>74.147519529544098</v>
      </c>
      <c r="R120" s="321">
        <f ca="1"/>
        <v>74.658465647337835</v>
      </c>
      <c r="S120" s="321">
        <f ca="1"/>
        <v>75.026822881412684</v>
      </c>
      <c r="T120" s="321">
        <f ca="1"/>
        <v>75.291496247992058</v>
      </c>
      <c r="U120" s="321">
        <f ca="1"/>
        <v>75.481213458120379</v>
      </c>
      <c r="V120" s="321">
        <f ca="1"/>
        <v>75.616967957216872</v>
      </c>
      <c r="W120" s="321">
        <f ca="1"/>
        <v>75.713988937009717</v>
      </c>
      <c r="X120" s="321">
        <f ca="1"/>
        <v>75.783266705392705</v>
      </c>
      <c r="Y120" s="321">
        <f ca="1"/>
        <v>75.832703291316818</v>
      </c>
      <c r="Z120" s="321">
        <f ca="1"/>
        <v>75.867965357541308</v>
      </c>
      <c r="AA120" s="321">
        <f ca="1"/>
        <v>75.893108973429548</v>
      </c>
      <c r="AB120" s="321">
        <f ca="1"/>
        <v>75.911033527963312</v>
      </c>
      <c r="AC120" s="321">
        <f ca="1"/>
        <v>75.923809624635581</v>
      </c>
      <c r="AD120" s="321">
        <f ca="1"/>
        <v>75.932914993161745</v>
      </c>
      <c r="AE120" s="321">
        <f ca="1"/>
        <v>75.939403740890029</v>
      </c>
      <c r="AF120" s="321">
        <f ca="1"/>
        <v>75.944027536341892</v>
      </c>
    </row>
    <row r="121" spans="1:32" x14ac:dyDescent="0.25">
      <c r="A121" s="322"/>
      <c r="B121" s="322"/>
      <c r="G121" s="321" t="str">
        <v/>
      </c>
      <c r="H121" s="321" t="str">
        <v/>
      </c>
      <c r="I121" s="321" t="str">
        <v/>
      </c>
      <c r="J121" s="321" t="str">
        <v/>
      </c>
      <c r="K121" s="321" t="str">
        <v/>
      </c>
      <c r="L121" s="321" t="str">
        <v/>
      </c>
      <c r="M121" s="321" t="str">
        <v/>
      </c>
      <c r="N121" s="321" t="str">
        <v/>
      </c>
      <c r="O121" s="321" t="str">
        <v/>
      </c>
      <c r="P121" s="321" t="str">
        <v/>
      </c>
      <c r="Q121" s="321" t="str">
        <v/>
      </c>
      <c r="R121" s="321" t="str">
        <v/>
      </c>
      <c r="S121" s="321" t="str">
        <v/>
      </c>
      <c r="T121" s="321" t="str">
        <v/>
      </c>
      <c r="U121" s="321" t="str">
        <v/>
      </c>
      <c r="V121" s="321" t="str">
        <v/>
      </c>
      <c r="W121" s="321" t="str">
        <v/>
      </c>
      <c r="X121" s="321" t="str">
        <v/>
      </c>
      <c r="Y121" s="321" t="str">
        <v/>
      </c>
      <c r="Z121" s="321" t="str">
        <v/>
      </c>
      <c r="AA121" s="321" t="str">
        <v/>
      </c>
      <c r="AB121" s="321" t="str">
        <v/>
      </c>
      <c r="AC121" s="321" t="str">
        <v/>
      </c>
      <c r="AD121" s="321" t="str">
        <v/>
      </c>
      <c r="AE121" s="321" t="str">
        <v/>
      </c>
      <c r="AF121" s="321" t="str">
        <v/>
      </c>
    </row>
    <row r="122" spans="1:32" s="202" customFormat="1" ht="12.75" x14ac:dyDescent="0.2">
      <c r="A122" s="335" t="s">
        <v>32</v>
      </c>
      <c r="B122" s="335"/>
      <c r="C122" s="335"/>
      <c r="D122" s="335"/>
      <c r="E122" s="335"/>
      <c r="F122" s="335"/>
      <c r="G122" s="275" t="str">
        <v/>
      </c>
      <c r="H122" s="275" t="str">
        <v/>
      </c>
      <c r="I122" s="275" t="str">
        <v/>
      </c>
      <c r="J122" s="275" t="str">
        <v/>
      </c>
      <c r="K122" s="275" t="str">
        <v/>
      </c>
      <c r="L122" s="275" t="str">
        <v/>
      </c>
      <c r="M122" s="275" t="str">
        <v/>
      </c>
      <c r="N122" s="275" t="str">
        <v/>
      </c>
      <c r="O122" s="275" t="str">
        <v/>
      </c>
      <c r="P122" s="275" t="str">
        <v/>
      </c>
      <c r="Q122" s="275" t="str">
        <v/>
      </c>
      <c r="R122" s="275" t="str">
        <v/>
      </c>
      <c r="S122" s="275" t="str">
        <v/>
      </c>
      <c r="T122" s="275" t="str">
        <v/>
      </c>
      <c r="U122" s="275" t="str">
        <v/>
      </c>
      <c r="V122" s="275" t="str">
        <v/>
      </c>
      <c r="W122" s="275" t="str">
        <v/>
      </c>
      <c r="X122" s="275" t="str">
        <v/>
      </c>
      <c r="Y122" s="275" t="str">
        <v/>
      </c>
      <c r="Z122" s="275" t="str">
        <v/>
      </c>
      <c r="AA122" s="275" t="str">
        <v/>
      </c>
      <c r="AB122" s="275" t="str">
        <v/>
      </c>
      <c r="AC122" s="275" t="str">
        <v/>
      </c>
      <c r="AD122" s="275" t="str">
        <v/>
      </c>
      <c r="AE122" s="275" t="str">
        <v/>
      </c>
      <c r="AF122" s="275" t="str">
        <v/>
      </c>
    </row>
    <row r="123" spans="1:32" x14ac:dyDescent="0.25">
      <c r="A123" s="322"/>
      <c r="B123" s="322" t="s">
        <v>33</v>
      </c>
      <c r="G123" s="321">
        <v>3.853173733845662</v>
      </c>
      <c r="H123" s="321">
        <v>3.853173733845662</v>
      </c>
      <c r="I123" s="321">
        <v>3.853173733845662</v>
      </c>
      <c r="J123" s="321">
        <v>3.853173733845662</v>
      </c>
      <c r="K123" s="321">
        <v>3.853173733845662</v>
      </c>
      <c r="L123" s="321">
        <v>3.853173733845662</v>
      </c>
      <c r="M123" s="321">
        <v>3.853173733845662</v>
      </c>
      <c r="N123" s="321">
        <v>3.853173733845662</v>
      </c>
      <c r="O123" s="321">
        <v>3.853173733845662</v>
      </c>
      <c r="P123" s="321">
        <v>3.853173733845662</v>
      </c>
      <c r="Q123" s="321">
        <v>3.853173733845662</v>
      </c>
      <c r="R123" s="321">
        <v>3.853173733845662</v>
      </c>
      <c r="S123" s="321">
        <v>3.853173733845662</v>
      </c>
      <c r="T123" s="321">
        <v>3.853173733845662</v>
      </c>
      <c r="U123" s="321">
        <v>3.853173733845662</v>
      </c>
      <c r="V123" s="321">
        <v>3.853173733845662</v>
      </c>
      <c r="W123" s="321">
        <v>3.853173733845662</v>
      </c>
      <c r="X123" s="321">
        <v>3.853173733845662</v>
      </c>
      <c r="Y123" s="321">
        <v>3.853173733845662</v>
      </c>
      <c r="Z123" s="321">
        <v>3.853173733845662</v>
      </c>
      <c r="AA123" s="321">
        <v>3.853173733845662</v>
      </c>
      <c r="AB123" s="321">
        <v>3.853173733845662</v>
      </c>
      <c r="AC123" s="321">
        <v>3.853173733845662</v>
      </c>
      <c r="AD123" s="321">
        <v>3.853173733845662</v>
      </c>
      <c r="AE123" s="321">
        <v>3.853173733845662</v>
      </c>
      <c r="AF123" s="321">
        <v>3.853173733845662</v>
      </c>
    </row>
    <row r="124" spans="1:32" x14ac:dyDescent="0.25">
      <c r="A124" s="328"/>
      <c r="B124" s="328" t="s">
        <v>34</v>
      </c>
      <c r="G124" s="321">
        <v>4.6238084806147945</v>
      </c>
      <c r="H124" s="321">
        <v>4.6469275230178688</v>
      </c>
      <c r="I124" s="321">
        <v>4.670046565420944</v>
      </c>
      <c r="J124" s="321">
        <v>4.6931656078240191</v>
      </c>
      <c r="K124" s="321">
        <v>4.7162846502270881</v>
      </c>
      <c r="L124" s="321">
        <v>4.7394036926301633</v>
      </c>
      <c r="M124" s="321">
        <v>4.7625227350332384</v>
      </c>
      <c r="N124" s="321">
        <v>4.7856417774363127</v>
      </c>
      <c r="O124" s="321">
        <v>4.8087608198393879</v>
      </c>
      <c r="P124" s="321">
        <v>4.8318798622424621</v>
      </c>
      <c r="Q124" s="321">
        <v>4.854998904645532</v>
      </c>
      <c r="R124" s="321">
        <v>4.8781179470486071</v>
      </c>
      <c r="S124" s="321">
        <v>4.9012369894516814</v>
      </c>
      <c r="T124" s="321">
        <v>4.9243560318547566</v>
      </c>
      <c r="U124" s="321">
        <v>4.9474750742578317</v>
      </c>
      <c r="V124" s="321">
        <v>4.970594116660906</v>
      </c>
      <c r="W124" s="321">
        <v>4.9937131590639812</v>
      </c>
      <c r="X124" s="321">
        <v>5.016832201467051</v>
      </c>
      <c r="Y124" s="321">
        <v>5.0399512438701253</v>
      </c>
      <c r="Z124" s="321">
        <v>5.0630702862731995</v>
      </c>
      <c r="AA124" s="321">
        <v>5.0861893286762756</v>
      </c>
      <c r="AB124" s="321">
        <v>5.1093083710793499</v>
      </c>
      <c r="AC124" s="321">
        <v>5.132427413482425</v>
      </c>
      <c r="AD124" s="321">
        <v>5.1555464558854949</v>
      </c>
      <c r="AE124" s="321">
        <v>5.1786654982885691</v>
      </c>
      <c r="AF124" s="321">
        <v>5.2017845406916434</v>
      </c>
    </row>
    <row r="125" spans="1:32" x14ac:dyDescent="0.25">
      <c r="A125" s="322"/>
      <c r="B125" s="328" t="s">
        <v>35</v>
      </c>
      <c r="G125" s="321">
        <v>15.412694935382648</v>
      </c>
      <c r="H125" s="321">
        <v>15.489758410059578</v>
      </c>
      <c r="I125" s="321">
        <v>15.566821884736489</v>
      </c>
      <c r="J125" s="321">
        <v>15.643885359413396</v>
      </c>
      <c r="K125" s="321">
        <v>15.720948834090306</v>
      </c>
      <c r="L125" s="321">
        <v>15.798012308767214</v>
      </c>
      <c r="M125" s="321">
        <v>15.875075783444144</v>
      </c>
      <c r="N125" s="321">
        <v>15.952139258121054</v>
      </c>
      <c r="O125" s="321">
        <v>16.029202732797962</v>
      </c>
      <c r="P125" s="321">
        <v>16.106266207474874</v>
      </c>
      <c r="Q125" s="321">
        <v>16.183329682151779</v>
      </c>
      <c r="R125" s="321">
        <v>16.260393156828712</v>
      </c>
      <c r="S125" s="321">
        <v>16.337456631505621</v>
      </c>
      <c r="T125" s="321">
        <v>16.414520106182529</v>
      </c>
      <c r="U125" s="321">
        <v>16.491583580859441</v>
      </c>
      <c r="V125" s="321">
        <v>16.568647055536346</v>
      </c>
      <c r="W125" s="321">
        <v>16.645710530213275</v>
      </c>
      <c r="X125" s="321">
        <v>16.722774004890187</v>
      </c>
      <c r="Y125" s="321">
        <v>16.799837479567095</v>
      </c>
      <c r="Z125" s="321">
        <v>16.876900954244004</v>
      </c>
      <c r="AA125" s="321">
        <v>16.953964428920912</v>
      </c>
      <c r="AB125" s="321">
        <v>17.031027903597842</v>
      </c>
      <c r="AC125" s="321">
        <v>17.108091378274754</v>
      </c>
      <c r="AD125" s="321">
        <v>17.185154852951662</v>
      </c>
      <c r="AE125" s="321">
        <v>17.26221832762857</v>
      </c>
      <c r="AF125" s="321">
        <v>17.339281802305479</v>
      </c>
    </row>
    <row r="126" spans="1:32" x14ac:dyDescent="0.25">
      <c r="A126" s="322"/>
      <c r="B126" s="328" t="s">
        <v>29</v>
      </c>
      <c r="G126" s="321">
        <v>38.531737338456622</v>
      </c>
      <c r="H126" s="321">
        <v>50.854259628683849</v>
      </c>
      <c r="I126" s="321">
        <v>56.365975412894585</v>
      </c>
      <c r="J126" s="321">
        <v>61.082833666681132</v>
      </c>
      <c r="K126" s="321">
        <v>64.955650009799342</v>
      </c>
      <c r="L126" s="321">
        <v>68.028732931256258</v>
      </c>
      <c r="M126" s="321">
        <v>70.401829784414204</v>
      </c>
      <c r="N126" s="321">
        <v>72.196198048785163</v>
      </c>
      <c r="O126" s="321">
        <v>73.531486676064972</v>
      </c>
      <c r="P126" s="321">
        <v>74.513391340455954</v>
      </c>
      <c r="Q126" s="321">
        <v>75.229132846507611</v>
      </c>
      <c r="R126" s="321">
        <v>75.747532296911288</v>
      </c>
      <c r="S126" s="321">
        <v>76.121262874454715</v>
      </c>
      <c r="T126" s="321">
        <v>76.389797115136886</v>
      </c>
      <c r="U126" s="321">
        <v>76.582281790208526</v>
      </c>
      <c r="V126" s="321">
        <v>76.72001658311649</v>
      </c>
      <c r="W126" s="321">
        <v>76.818452838625021</v>
      </c>
      <c r="X126" s="321">
        <v>76.888741183724918</v>
      </c>
      <c r="Y126" s="321">
        <v>76.938898916762511</v>
      </c>
      <c r="Z126" s="321">
        <v>76.974675361898846</v>
      </c>
      <c r="AA126" s="321">
        <v>77.000185755663864</v>
      </c>
      <c r="AB126" s="321">
        <v>77.018371781343362</v>
      </c>
      <c r="AC126" s="321">
        <v>77.031334246978304</v>
      </c>
      <c r="AD126" s="321">
        <v>77.04057243839479</v>
      </c>
      <c r="AE126" s="321">
        <v>77.047155839538277</v>
      </c>
      <c r="AF126" s="321">
        <v>77.051847083756712</v>
      </c>
    </row>
    <row r="127" spans="1:32" x14ac:dyDescent="0.25">
      <c r="A127" s="322"/>
      <c r="B127" s="322"/>
      <c r="G127" s="321" t="str">
        <v/>
      </c>
      <c r="H127" s="321" t="str">
        <v/>
      </c>
      <c r="I127" s="321" t="str">
        <v/>
      </c>
      <c r="J127" s="321" t="str">
        <v/>
      </c>
      <c r="K127" s="321" t="str">
        <v/>
      </c>
      <c r="L127" s="321" t="str">
        <v/>
      </c>
      <c r="M127" s="321" t="str">
        <v/>
      </c>
      <c r="N127" s="321" t="str">
        <v/>
      </c>
      <c r="O127" s="321" t="str">
        <v/>
      </c>
      <c r="P127" s="321" t="str">
        <v/>
      </c>
      <c r="Q127" s="321" t="str">
        <v/>
      </c>
      <c r="R127" s="321" t="str">
        <v/>
      </c>
      <c r="S127" s="321" t="str">
        <v/>
      </c>
      <c r="T127" s="321" t="str">
        <v/>
      </c>
      <c r="U127" s="321" t="str">
        <v/>
      </c>
      <c r="V127" s="321" t="str">
        <v/>
      </c>
      <c r="W127" s="321" t="str">
        <v/>
      </c>
      <c r="X127" s="321" t="str">
        <v/>
      </c>
      <c r="Y127" s="321" t="str">
        <v/>
      </c>
      <c r="Z127" s="321" t="str">
        <v/>
      </c>
      <c r="AA127" s="321" t="str">
        <v/>
      </c>
      <c r="AB127" s="321" t="str">
        <v/>
      </c>
      <c r="AC127" s="321" t="str">
        <v/>
      </c>
      <c r="AD127" s="321" t="str">
        <v/>
      </c>
      <c r="AE127" s="321" t="str">
        <v/>
      </c>
      <c r="AF127" s="321" t="str">
        <v/>
      </c>
    </row>
    <row r="128" spans="1:32" s="202" customFormat="1" ht="12.75" x14ac:dyDescent="0.2">
      <c r="A128" s="335" t="s">
        <v>36</v>
      </c>
      <c r="B128" s="335"/>
      <c r="C128" s="335"/>
      <c r="D128" s="335"/>
      <c r="E128" s="335"/>
      <c r="F128" s="335"/>
      <c r="G128" s="275" t="str">
        <v/>
      </c>
      <c r="H128" s="275" t="str">
        <v/>
      </c>
      <c r="I128" s="275" t="str">
        <v/>
      </c>
      <c r="J128" s="275" t="str">
        <v/>
      </c>
      <c r="K128" s="275" t="str">
        <v/>
      </c>
      <c r="L128" s="275" t="str">
        <v/>
      </c>
      <c r="M128" s="275" t="str">
        <v/>
      </c>
      <c r="N128" s="275" t="str">
        <v/>
      </c>
      <c r="O128" s="275" t="str">
        <v/>
      </c>
      <c r="P128" s="275" t="str">
        <v/>
      </c>
      <c r="Q128" s="275" t="str">
        <v/>
      </c>
      <c r="R128" s="275" t="str">
        <v/>
      </c>
      <c r="S128" s="275" t="str">
        <v/>
      </c>
      <c r="T128" s="275" t="str">
        <v/>
      </c>
      <c r="U128" s="275" t="str">
        <v/>
      </c>
      <c r="V128" s="275" t="str">
        <v/>
      </c>
      <c r="W128" s="275" t="str">
        <v/>
      </c>
      <c r="X128" s="275" t="str">
        <v/>
      </c>
      <c r="Y128" s="275" t="str">
        <v/>
      </c>
      <c r="Z128" s="275" t="str">
        <v/>
      </c>
      <c r="AA128" s="275" t="str">
        <v/>
      </c>
      <c r="AB128" s="275" t="str">
        <v/>
      </c>
      <c r="AC128" s="275" t="str">
        <v/>
      </c>
      <c r="AD128" s="275" t="str">
        <v/>
      </c>
      <c r="AE128" s="275" t="str">
        <v/>
      </c>
      <c r="AF128" s="275" t="str">
        <v/>
      </c>
    </row>
    <row r="129" spans="1:32" x14ac:dyDescent="0.25">
      <c r="A129" s="322"/>
      <c r="B129" s="322" t="s">
        <v>37</v>
      </c>
      <c r="G129" s="321">
        <v>28.819481969811591</v>
      </c>
      <c r="H129" s="321">
        <v>28.819481969811591</v>
      </c>
      <c r="I129" s="321">
        <v>28.819481969811591</v>
      </c>
      <c r="J129" s="321">
        <v>28.819481969811591</v>
      </c>
      <c r="K129" s="321">
        <v>28.819481969811591</v>
      </c>
      <c r="L129" s="321">
        <v>28.819481969811591</v>
      </c>
      <c r="M129" s="321">
        <v>28.819481969811591</v>
      </c>
      <c r="N129" s="321">
        <v>28.819481969811591</v>
      </c>
      <c r="O129" s="321">
        <v>28.819481969811591</v>
      </c>
      <c r="P129" s="321">
        <v>28.819481969811591</v>
      </c>
      <c r="Q129" s="321">
        <v>28.819481969811591</v>
      </c>
      <c r="R129" s="321">
        <v>28.819481969811591</v>
      </c>
      <c r="S129" s="321">
        <v>28.819481969811591</v>
      </c>
      <c r="T129" s="321">
        <v>28.819481969811591</v>
      </c>
      <c r="U129" s="321">
        <v>28.819481969811591</v>
      </c>
      <c r="V129" s="321">
        <v>28.819481969811591</v>
      </c>
      <c r="W129" s="321">
        <v>28.819481969811591</v>
      </c>
      <c r="X129" s="321">
        <v>28.819481969811591</v>
      </c>
      <c r="Y129" s="321">
        <v>28.819481969811591</v>
      </c>
      <c r="Z129" s="321">
        <v>28.819481969811591</v>
      </c>
      <c r="AA129" s="321">
        <v>28.819481969811591</v>
      </c>
      <c r="AB129" s="321">
        <v>28.819481969811591</v>
      </c>
      <c r="AC129" s="321">
        <v>28.819481969811591</v>
      </c>
      <c r="AD129" s="321">
        <v>28.819481969811591</v>
      </c>
      <c r="AE129" s="321">
        <v>28.819481969811591</v>
      </c>
      <c r="AF129" s="321">
        <v>28.819481969811591</v>
      </c>
    </row>
    <row r="130" spans="1:32" x14ac:dyDescent="0.25">
      <c r="A130" s="322"/>
      <c r="B130" s="322" t="s">
        <v>39</v>
      </c>
      <c r="G130" s="321">
        <v>28.819481969811591</v>
      </c>
      <c r="H130" s="321">
        <v>28.963579379660683</v>
      </c>
      <c r="I130" s="321">
        <v>29.107676789509735</v>
      </c>
      <c r="J130" s="321">
        <v>29.251774199358781</v>
      </c>
      <c r="K130" s="321">
        <v>29.395871609207834</v>
      </c>
      <c r="L130" s="321">
        <v>29.53996901905688</v>
      </c>
      <c r="M130" s="321">
        <v>29.684066428905972</v>
      </c>
      <c r="N130" s="321">
        <v>29.828163838755025</v>
      </c>
      <c r="O130" s="321">
        <v>29.97226124860407</v>
      </c>
      <c r="P130" s="321">
        <v>30.116358658453123</v>
      </c>
      <c r="Q130" s="321">
        <v>30.260456068302172</v>
      </c>
      <c r="R130" s="321">
        <v>30.404553478151261</v>
      </c>
      <c r="S130" s="321">
        <v>30.548650888000314</v>
      </c>
      <c r="T130" s="321">
        <v>30.692748297849359</v>
      </c>
      <c r="U130" s="321">
        <v>30.836845707698412</v>
      </c>
      <c r="V130" s="321">
        <v>30.980943117547461</v>
      </c>
      <c r="W130" s="321">
        <v>31.12504052739655</v>
      </c>
      <c r="X130" s="321">
        <v>31.269137937245603</v>
      </c>
      <c r="Y130" s="321">
        <v>31.413235347094652</v>
      </c>
      <c r="Z130" s="321">
        <v>31.557332756943705</v>
      </c>
      <c r="AA130" s="321">
        <v>31.70143016679275</v>
      </c>
      <c r="AB130" s="321">
        <v>31.845527576641839</v>
      </c>
      <c r="AC130" s="321">
        <v>31.989624986490892</v>
      </c>
      <c r="AD130" s="321">
        <v>32.133722396339941</v>
      </c>
      <c r="AE130" s="321">
        <v>32.277819806188994</v>
      </c>
      <c r="AF130" s="321">
        <v>32.42191721603804</v>
      </c>
    </row>
    <row r="131" spans="1:32" x14ac:dyDescent="0.25">
      <c r="A131" s="322"/>
      <c r="B131" s="322" t="s">
        <v>40</v>
      </c>
      <c r="G131" s="321">
        <v>23.055585575849275</v>
      </c>
      <c r="H131" s="321">
        <v>23.170863503728498</v>
      </c>
      <c r="I131" s="321">
        <v>23.28614143160776</v>
      </c>
      <c r="J131" s="321">
        <v>23.401419359486983</v>
      </c>
      <c r="K131" s="321">
        <v>23.516697287366249</v>
      </c>
      <c r="L131" s="321">
        <v>23.631975215245514</v>
      </c>
      <c r="M131" s="321">
        <v>23.747253143124738</v>
      </c>
      <c r="N131" s="321">
        <v>23.862531071004003</v>
      </c>
      <c r="O131" s="321">
        <v>23.977808998883223</v>
      </c>
      <c r="P131" s="321">
        <v>24.093086926762492</v>
      </c>
      <c r="Q131" s="321">
        <v>24.208364854641712</v>
      </c>
      <c r="R131" s="321">
        <v>24.323642782520977</v>
      </c>
      <c r="S131" s="321">
        <v>24.438920710400197</v>
      </c>
      <c r="T131" s="321">
        <v>24.554198638279466</v>
      </c>
      <c r="U131" s="321">
        <v>24.669476566158728</v>
      </c>
      <c r="V131" s="321">
        <v>24.784754494037951</v>
      </c>
      <c r="W131" s="321">
        <v>24.900032421917214</v>
      </c>
      <c r="X131" s="321">
        <v>25.01531034979644</v>
      </c>
      <c r="Y131" s="321">
        <v>25.130588277675702</v>
      </c>
      <c r="Z131" s="321">
        <v>25.245866205554929</v>
      </c>
      <c r="AA131" s="321">
        <v>25.361144133434191</v>
      </c>
      <c r="AB131" s="321">
        <v>25.476422061313414</v>
      </c>
      <c r="AC131" s="321">
        <v>25.591699989192684</v>
      </c>
      <c r="AD131" s="321">
        <v>25.706977917071946</v>
      </c>
      <c r="AE131" s="321">
        <v>25.822255844951169</v>
      </c>
      <c r="AF131" s="321">
        <v>25.937533772830431</v>
      </c>
    </row>
    <row r="132" spans="1:32" x14ac:dyDescent="0.25">
      <c r="A132" s="322"/>
      <c r="B132" s="322" t="s">
        <v>29</v>
      </c>
      <c r="G132" s="321">
        <v>36.024352462264488</v>
      </c>
      <c r="H132" s="321">
        <v>47.545008338951646</v>
      </c>
      <c r="I132" s="321">
        <v>52.698058935610455</v>
      </c>
      <c r="J132" s="321">
        <v>57.10797595431071</v>
      </c>
      <c r="K132" s="321">
        <v>60.728775601641033</v>
      </c>
      <c r="L132" s="321">
        <v>63.601883069801822</v>
      </c>
      <c r="M132" s="321">
        <v>65.820554828989017</v>
      </c>
      <c r="N132" s="321">
        <v>67.498157742011216</v>
      </c>
      <c r="O132" s="321">
        <v>68.746554815972686</v>
      </c>
      <c r="P132" s="321">
        <v>69.664563765417569</v>
      </c>
      <c r="Q132" s="321">
        <v>70.333729654808764</v>
      </c>
      <c r="R132" s="321">
        <v>70.818395174911018</v>
      </c>
      <c r="S132" s="321">
        <v>71.167805894004474</v>
      </c>
      <c r="T132" s="321">
        <v>71.418865742397699</v>
      </c>
      <c r="U132" s="321">
        <v>71.598824816587822</v>
      </c>
      <c r="V132" s="321">
        <v>71.727596760672512</v>
      </c>
      <c r="W132" s="321">
        <v>71.819627450396055</v>
      </c>
      <c r="X132" s="321">
        <v>71.885341905356299</v>
      </c>
      <c r="Y132" s="321">
        <v>71.932235712344109</v>
      </c>
      <c r="Z132" s="321">
        <v>71.96568406838675</v>
      </c>
      <c r="AA132" s="321">
        <v>71.989534418252106</v>
      </c>
      <c r="AB132" s="321">
        <v>72.006537020372306</v>
      </c>
      <c r="AC132" s="321">
        <v>72.018655976408766</v>
      </c>
      <c r="AD132" s="321">
        <v>72.027293008805671</v>
      </c>
      <c r="AE132" s="321">
        <v>72.033448006726232</v>
      </c>
      <c r="AF132" s="321">
        <v>72.037833976497765</v>
      </c>
    </row>
    <row r="133" spans="1:32" x14ac:dyDescent="0.25">
      <c r="A133" s="322"/>
      <c r="B133" s="322"/>
      <c r="G133" s="321" t="str">
        <v/>
      </c>
      <c r="H133" s="321" t="str">
        <v/>
      </c>
      <c r="I133" s="321" t="str">
        <v/>
      </c>
      <c r="J133" s="321" t="str">
        <v/>
      </c>
      <c r="K133" s="321" t="str">
        <v/>
      </c>
      <c r="L133" s="321" t="str">
        <v/>
      </c>
      <c r="M133" s="321" t="str">
        <v/>
      </c>
      <c r="N133" s="321" t="str">
        <v/>
      </c>
      <c r="O133" s="321" t="str">
        <v/>
      </c>
      <c r="P133" s="321" t="str">
        <v/>
      </c>
      <c r="Q133" s="321" t="str">
        <v/>
      </c>
      <c r="R133" s="321" t="str">
        <v/>
      </c>
      <c r="S133" s="321" t="str">
        <v/>
      </c>
      <c r="T133" s="321" t="str">
        <v/>
      </c>
      <c r="U133" s="321" t="str">
        <v/>
      </c>
      <c r="V133" s="321" t="str">
        <v/>
      </c>
      <c r="W133" s="321" t="str">
        <v/>
      </c>
      <c r="X133" s="321" t="str">
        <v/>
      </c>
      <c r="Y133" s="321" t="str">
        <v/>
      </c>
      <c r="Z133" s="321" t="str">
        <v/>
      </c>
      <c r="AA133" s="321" t="str">
        <v/>
      </c>
      <c r="AB133" s="321" t="str">
        <v/>
      </c>
      <c r="AC133" s="321" t="str">
        <v/>
      </c>
      <c r="AD133" s="321" t="str">
        <v/>
      </c>
      <c r="AE133" s="321" t="str">
        <v/>
      </c>
      <c r="AF133" s="321" t="str">
        <v/>
      </c>
    </row>
    <row r="134" spans="1:32" s="202" customFormat="1" ht="12.75" x14ac:dyDescent="0.2">
      <c r="A134" s="335" t="s">
        <v>42</v>
      </c>
      <c r="B134" s="335"/>
      <c r="C134" s="335"/>
      <c r="D134" s="335"/>
      <c r="E134" s="335"/>
      <c r="F134" s="335"/>
      <c r="G134" s="275" t="str">
        <v/>
      </c>
      <c r="H134" s="275" t="str">
        <v/>
      </c>
      <c r="I134" s="275" t="str">
        <v/>
      </c>
      <c r="J134" s="275" t="str">
        <v/>
      </c>
      <c r="K134" s="275" t="str">
        <v/>
      </c>
      <c r="L134" s="275" t="str">
        <v/>
      </c>
      <c r="M134" s="275" t="str">
        <v/>
      </c>
      <c r="N134" s="275" t="str">
        <v/>
      </c>
      <c r="O134" s="275" t="str">
        <v/>
      </c>
      <c r="P134" s="275" t="str">
        <v/>
      </c>
      <c r="Q134" s="275" t="str">
        <v/>
      </c>
      <c r="R134" s="275" t="str">
        <v/>
      </c>
      <c r="S134" s="275" t="str">
        <v/>
      </c>
      <c r="T134" s="275" t="str">
        <v/>
      </c>
      <c r="U134" s="275" t="str">
        <v/>
      </c>
      <c r="V134" s="275" t="str">
        <v/>
      </c>
      <c r="W134" s="275" t="str">
        <v/>
      </c>
      <c r="X134" s="275" t="str">
        <v/>
      </c>
      <c r="Y134" s="275" t="str">
        <v/>
      </c>
      <c r="Z134" s="275" t="str">
        <v/>
      </c>
      <c r="AA134" s="275" t="str">
        <v/>
      </c>
      <c r="AB134" s="275" t="str">
        <v/>
      </c>
      <c r="AC134" s="275" t="str">
        <v/>
      </c>
      <c r="AD134" s="275" t="str">
        <v/>
      </c>
      <c r="AE134" s="275" t="str">
        <v/>
      </c>
      <c r="AF134" s="275" t="str">
        <v/>
      </c>
    </row>
    <row r="135" spans="1:32" x14ac:dyDescent="0.25">
      <c r="A135" s="322"/>
      <c r="B135" s="328" t="s">
        <v>43</v>
      </c>
      <c r="G135" s="321">
        <v>22.141202508162834</v>
      </c>
      <c r="H135" s="321">
        <v>22.141202508162834</v>
      </c>
      <c r="I135" s="321">
        <v>22.141202508162834</v>
      </c>
      <c r="J135" s="321">
        <v>22.141202508162834</v>
      </c>
      <c r="K135" s="321">
        <v>22.141202508162834</v>
      </c>
      <c r="L135" s="321">
        <v>22.141202508162834</v>
      </c>
      <c r="M135" s="321">
        <v>22.141202508162834</v>
      </c>
      <c r="N135" s="321">
        <v>22.141202508162834</v>
      </c>
      <c r="O135" s="321">
        <v>22.141202508162834</v>
      </c>
      <c r="P135" s="321">
        <v>22.141202508162834</v>
      </c>
      <c r="Q135" s="321">
        <v>22.141202508162834</v>
      </c>
      <c r="R135" s="321">
        <v>22.141202508162834</v>
      </c>
      <c r="S135" s="321">
        <v>22.141202508162834</v>
      </c>
      <c r="T135" s="321">
        <v>22.141202508162834</v>
      </c>
      <c r="U135" s="321">
        <v>22.141202508162834</v>
      </c>
      <c r="V135" s="321">
        <v>22.141202508162834</v>
      </c>
      <c r="W135" s="321">
        <v>22.141202508162834</v>
      </c>
      <c r="X135" s="321">
        <v>22.141202508162834</v>
      </c>
      <c r="Y135" s="321">
        <v>22.141202508162834</v>
      </c>
      <c r="Z135" s="321">
        <v>22.141202508162834</v>
      </c>
      <c r="AA135" s="321">
        <v>22.141202508162834</v>
      </c>
      <c r="AB135" s="321">
        <v>22.141202508162834</v>
      </c>
      <c r="AC135" s="321">
        <v>22.141202508162834</v>
      </c>
      <c r="AD135" s="321">
        <v>22.141202508162834</v>
      </c>
      <c r="AE135" s="321">
        <v>22.141202508162834</v>
      </c>
      <c r="AF135" s="321">
        <v>22.141202508162834</v>
      </c>
    </row>
    <row r="136" spans="1:32" x14ac:dyDescent="0.25">
      <c r="A136" s="322"/>
      <c r="B136" s="328" t="s">
        <v>44</v>
      </c>
      <c r="G136" s="321">
        <v>19.927082257346552</v>
      </c>
      <c r="H136" s="321">
        <v>20.076535374276641</v>
      </c>
      <c r="I136" s="321">
        <v>20.225988491206728</v>
      </c>
      <c r="J136" s="321">
        <v>20.375441608136818</v>
      </c>
      <c r="K136" s="321">
        <v>20.524894725066972</v>
      </c>
      <c r="L136" s="321">
        <v>20.674347841997058</v>
      </c>
      <c r="M136" s="321">
        <v>20.823800958927151</v>
      </c>
      <c r="N136" s="321">
        <v>20.973254075857238</v>
      </c>
      <c r="O136" s="321">
        <v>21.122707192787328</v>
      </c>
      <c r="P136" s="321">
        <v>21.272160309717414</v>
      </c>
      <c r="Q136" s="321">
        <v>21.421613426647568</v>
      </c>
      <c r="R136" s="321">
        <v>21.571066543577658</v>
      </c>
      <c r="S136" s="321">
        <v>21.720519660507744</v>
      </c>
      <c r="T136" s="321">
        <v>21.869972777437834</v>
      </c>
      <c r="U136" s="321">
        <v>22.019425894367924</v>
      </c>
      <c r="V136" s="321">
        <v>22.168879011298014</v>
      </c>
      <c r="W136" s="321">
        <v>22.3183321282281</v>
      </c>
      <c r="X136" s="321">
        <v>22.467785245158254</v>
      </c>
      <c r="Y136" s="321">
        <v>22.617238362088344</v>
      </c>
      <c r="Z136" s="321">
        <v>22.76669147901843</v>
      </c>
      <c r="AA136" s="321">
        <v>22.91614459594852</v>
      </c>
      <c r="AB136" s="321">
        <v>23.06559771287861</v>
      </c>
      <c r="AC136" s="321">
        <v>23.2150508298087</v>
      </c>
      <c r="AD136" s="321">
        <v>23.36450394673885</v>
      </c>
      <c r="AE136" s="321">
        <v>23.513957063668936</v>
      </c>
      <c r="AF136" s="321">
        <v>23.66341018059903</v>
      </c>
    </row>
    <row r="137" spans="1:32" x14ac:dyDescent="0.25">
      <c r="A137" s="322"/>
      <c r="B137" s="328" t="s">
        <v>45</v>
      </c>
      <c r="G137" s="321">
        <v>30.997683511427969</v>
      </c>
      <c r="H137" s="321">
        <v>31.075177720206529</v>
      </c>
      <c r="I137" s="321">
        <v>31.152671928985093</v>
      </c>
      <c r="J137" s="321">
        <v>31.230166137763685</v>
      </c>
      <c r="K137" s="321">
        <v>31.307660346542249</v>
      </c>
      <c r="L137" s="321">
        <v>31.38515455532081</v>
      </c>
      <c r="M137" s="321">
        <v>31.462648764099377</v>
      </c>
      <c r="N137" s="321">
        <v>31.540142972877966</v>
      </c>
      <c r="O137" s="321">
        <v>31.61763718165653</v>
      </c>
      <c r="P137" s="321">
        <v>31.695131390435094</v>
      </c>
      <c r="Q137" s="321">
        <v>31.772625599213654</v>
      </c>
      <c r="R137" s="321">
        <v>31.85011980799225</v>
      </c>
      <c r="S137" s="321">
        <v>31.927614016770811</v>
      </c>
      <c r="T137" s="321">
        <v>32.005108225549371</v>
      </c>
      <c r="U137" s="321">
        <v>32.082602434327931</v>
      </c>
      <c r="V137" s="321">
        <v>32.160096643106499</v>
      </c>
      <c r="W137" s="321">
        <v>32.237590851885088</v>
      </c>
      <c r="X137" s="321">
        <v>32.315085060663655</v>
      </c>
      <c r="Y137" s="321">
        <v>32.392579269442216</v>
      </c>
      <c r="Z137" s="321">
        <v>32.470073478220783</v>
      </c>
      <c r="AA137" s="321">
        <v>32.547567686999372</v>
      </c>
      <c r="AB137" s="321">
        <v>32.625061895777939</v>
      </c>
      <c r="AC137" s="321">
        <v>32.7025561045565</v>
      </c>
      <c r="AD137" s="321">
        <v>32.78005031333506</v>
      </c>
      <c r="AE137" s="321">
        <v>32.857544522113656</v>
      </c>
      <c r="AF137" s="321">
        <v>32.935038730892217</v>
      </c>
    </row>
    <row r="138" spans="1:32" x14ac:dyDescent="0.25">
      <c r="A138" s="322"/>
      <c r="B138" s="328" t="s">
        <v>46</v>
      </c>
      <c r="G138" s="321">
        <v>27.676503135203543</v>
      </c>
      <c r="H138" s="321">
        <v>27.884076908717571</v>
      </c>
      <c r="I138" s="321">
        <v>28.091650682231595</v>
      </c>
      <c r="J138" s="321">
        <v>28.299224455745623</v>
      </c>
      <c r="K138" s="321">
        <v>28.506798229259648</v>
      </c>
      <c r="L138" s="321">
        <v>28.714372002773676</v>
      </c>
      <c r="M138" s="321">
        <v>28.921945776287703</v>
      </c>
      <c r="N138" s="321">
        <v>29.129519549801728</v>
      </c>
      <c r="O138" s="321">
        <v>29.337093323315756</v>
      </c>
      <c r="P138" s="321">
        <v>29.544667096829784</v>
      </c>
      <c r="Q138" s="321">
        <v>29.752240870343808</v>
      </c>
      <c r="R138" s="321">
        <v>29.959814643857836</v>
      </c>
      <c r="S138" s="321">
        <v>30.16738841737186</v>
      </c>
      <c r="T138" s="321">
        <v>30.374962190885888</v>
      </c>
      <c r="U138" s="321">
        <v>30.582535964399916</v>
      </c>
      <c r="V138" s="321">
        <v>30.790109737913941</v>
      </c>
      <c r="W138" s="321">
        <v>30.997683511427969</v>
      </c>
      <c r="X138" s="321">
        <v>31.205257284941993</v>
      </c>
      <c r="Y138" s="321">
        <v>31.412831058456021</v>
      </c>
      <c r="Z138" s="321">
        <v>31.620404831970049</v>
      </c>
      <c r="AA138" s="321">
        <v>31.827978605484073</v>
      </c>
      <c r="AB138" s="321">
        <v>32.035552378998098</v>
      </c>
      <c r="AC138" s="321">
        <v>32.243126152512126</v>
      </c>
      <c r="AD138" s="321">
        <v>32.450699926026154</v>
      </c>
      <c r="AE138" s="321">
        <v>32.658273699540182</v>
      </c>
      <c r="AF138" s="321">
        <v>32.86584747305421</v>
      </c>
    </row>
    <row r="139" spans="1:32" x14ac:dyDescent="0.25">
      <c r="A139" s="322"/>
      <c r="B139" s="322" t="s">
        <v>29</v>
      </c>
      <c r="G139" s="321">
        <v>27.676503135203543</v>
      </c>
      <c r="H139" s="321">
        <v>36.527501049037809</v>
      </c>
      <c r="I139" s="321">
        <v>40.486445797418298</v>
      </c>
      <c r="J139" s="321">
        <v>43.874461788042801</v>
      </c>
      <c r="K139" s="321">
        <v>46.656220957655989</v>
      </c>
      <c r="L139" s="321">
        <v>48.863549123613268</v>
      </c>
      <c r="M139" s="321">
        <v>50.568092625497272</v>
      </c>
      <c r="N139" s="321">
        <v>51.85694805546013</v>
      </c>
      <c r="O139" s="321">
        <v>52.816056635348296</v>
      </c>
      <c r="P139" s="321">
        <v>53.521337253343312</v>
      </c>
      <c r="Q139" s="321">
        <v>54.035438703330705</v>
      </c>
      <c r="R139" s="321">
        <v>54.407793676280903</v>
      </c>
      <c r="S139" s="321">
        <v>54.676236165916031</v>
      </c>
      <c r="T139" s="321">
        <v>54.869118430446882</v>
      </c>
      <c r="U139" s="321">
        <v>55.007375957386422</v>
      </c>
      <c r="V139" s="321">
        <v>55.106307842919115</v>
      </c>
      <c r="W139" s="321">
        <v>55.177012449624726</v>
      </c>
      <c r="X139" s="321">
        <v>55.227499028686502</v>
      </c>
      <c r="Y139" s="321">
        <v>55.263526229938186</v>
      </c>
      <c r="Z139" s="321">
        <v>55.289223667021936</v>
      </c>
      <c r="AA139" s="321">
        <v>55.307547224218851</v>
      </c>
      <c r="AB139" s="321">
        <v>55.32060984821409</v>
      </c>
      <c r="AC139" s="321">
        <v>55.329920503418499</v>
      </c>
      <c r="AD139" s="321">
        <v>55.336556094008564</v>
      </c>
      <c r="AE139" s="321">
        <v>55.341284806882001</v>
      </c>
      <c r="AF139" s="321">
        <v>55.344654424871941</v>
      </c>
    </row>
    <row r="140" spans="1:32" x14ac:dyDescent="0.25">
      <c r="A140" s="322"/>
      <c r="B140" s="322"/>
      <c r="G140" s="321" t="str">
        <v/>
      </c>
      <c r="H140" s="321" t="str">
        <v/>
      </c>
      <c r="I140" s="321" t="str">
        <v/>
      </c>
      <c r="J140" s="321" t="str">
        <v/>
      </c>
      <c r="K140" s="321" t="str">
        <v/>
      </c>
      <c r="L140" s="321" t="str">
        <v/>
      </c>
      <c r="M140" s="321" t="str">
        <v/>
      </c>
      <c r="N140" s="321" t="str">
        <v/>
      </c>
      <c r="O140" s="321" t="str">
        <v/>
      </c>
      <c r="P140" s="321" t="str">
        <v/>
      </c>
      <c r="Q140" s="321" t="str">
        <v/>
      </c>
      <c r="R140" s="321" t="str">
        <v/>
      </c>
      <c r="S140" s="321" t="str">
        <v/>
      </c>
      <c r="T140" s="321" t="str">
        <v/>
      </c>
      <c r="U140" s="321" t="str">
        <v/>
      </c>
      <c r="V140" s="321" t="str">
        <v/>
      </c>
      <c r="W140" s="321" t="str">
        <v/>
      </c>
      <c r="X140" s="321" t="str">
        <v/>
      </c>
      <c r="Y140" s="321" t="str">
        <v/>
      </c>
      <c r="Z140" s="321" t="str">
        <v/>
      </c>
      <c r="AA140" s="321" t="str">
        <v/>
      </c>
      <c r="AB140" s="321" t="str">
        <v/>
      </c>
      <c r="AC140" s="321" t="str">
        <v/>
      </c>
      <c r="AD140" s="321" t="str">
        <v/>
      </c>
      <c r="AE140" s="321" t="str">
        <v/>
      </c>
      <c r="AF140" s="321" t="str">
        <v/>
      </c>
    </row>
    <row r="141" spans="1:32" s="202" customFormat="1" ht="12.75" x14ac:dyDescent="0.2">
      <c r="A141" s="335" t="s">
        <v>47</v>
      </c>
      <c r="B141" s="335"/>
      <c r="C141" s="335"/>
      <c r="D141" s="335"/>
      <c r="E141" s="335"/>
      <c r="F141" s="335"/>
      <c r="G141" s="275" t="str">
        <v/>
      </c>
      <c r="H141" s="275" t="str">
        <v/>
      </c>
      <c r="I141" s="275" t="str">
        <v/>
      </c>
      <c r="J141" s="275" t="str">
        <v/>
      </c>
      <c r="K141" s="275" t="str">
        <v/>
      </c>
      <c r="L141" s="275" t="str">
        <v/>
      </c>
      <c r="M141" s="275" t="str">
        <v/>
      </c>
      <c r="N141" s="275" t="str">
        <v/>
      </c>
      <c r="O141" s="275" t="str">
        <v/>
      </c>
      <c r="P141" s="275" t="str">
        <v/>
      </c>
      <c r="Q141" s="275" t="str">
        <v/>
      </c>
      <c r="R141" s="275" t="str">
        <v/>
      </c>
      <c r="S141" s="275" t="str">
        <v/>
      </c>
      <c r="T141" s="275" t="str">
        <v/>
      </c>
      <c r="U141" s="275" t="str">
        <v/>
      </c>
      <c r="V141" s="275" t="str">
        <v/>
      </c>
      <c r="W141" s="275" t="str">
        <v/>
      </c>
      <c r="X141" s="275" t="str">
        <v/>
      </c>
      <c r="Y141" s="275" t="str">
        <v/>
      </c>
      <c r="Z141" s="275" t="str">
        <v/>
      </c>
      <c r="AA141" s="275" t="str">
        <v/>
      </c>
      <c r="AB141" s="275" t="str">
        <v/>
      </c>
      <c r="AC141" s="275" t="str">
        <v/>
      </c>
      <c r="AD141" s="275" t="str">
        <v/>
      </c>
      <c r="AE141" s="275" t="str">
        <v/>
      </c>
      <c r="AF141" s="275" t="str">
        <v/>
      </c>
    </row>
    <row r="142" spans="1:32" x14ac:dyDescent="0.25">
      <c r="A142" s="322"/>
      <c r="B142" s="322" t="s">
        <v>48</v>
      </c>
      <c r="G142" s="321">
        <v>1.4824636780330247</v>
      </c>
      <c r="H142" s="321">
        <v>1.4898759964231882</v>
      </c>
      <c r="I142" s="321">
        <v>1.4972883148133547</v>
      </c>
      <c r="J142" s="321">
        <v>1.5047006332035182</v>
      </c>
      <c r="K142" s="321">
        <v>1.5121129515936846</v>
      </c>
      <c r="L142" s="321">
        <v>1.5195252699838511</v>
      </c>
      <c r="M142" s="321">
        <v>1.5269375883740144</v>
      </c>
      <c r="N142" s="321">
        <v>1.534349906764181</v>
      </c>
      <c r="O142" s="321">
        <v>1.5417622251543444</v>
      </c>
      <c r="P142" s="321">
        <v>1.5491745435445108</v>
      </c>
      <c r="Q142" s="321">
        <v>1.5565868619346743</v>
      </c>
      <c r="R142" s="321">
        <v>1.5639991803248408</v>
      </c>
      <c r="S142" s="321">
        <v>1.5714114987150043</v>
      </c>
      <c r="T142" s="321">
        <v>1.5788238171051707</v>
      </c>
      <c r="U142" s="321">
        <v>1.5862361354953367</v>
      </c>
      <c r="V142" s="321">
        <v>1.5936484538855005</v>
      </c>
      <c r="W142" s="321">
        <v>1.6010607722756667</v>
      </c>
      <c r="X142" s="321">
        <v>1.6084730906658304</v>
      </c>
      <c r="Y142" s="321">
        <v>1.6158854090559966</v>
      </c>
      <c r="Z142" s="321">
        <v>1.6232977274461604</v>
      </c>
      <c r="AA142" s="321">
        <v>1.6307100458363266</v>
      </c>
      <c r="AB142" s="321">
        <v>1.6381223642264904</v>
      </c>
      <c r="AC142" s="321">
        <v>1.6455346826166568</v>
      </c>
      <c r="AD142" s="321">
        <v>1.652947001006823</v>
      </c>
      <c r="AE142" s="321">
        <v>1.6603593193969868</v>
      </c>
      <c r="AF142" s="321">
        <v>1.6677716377871528</v>
      </c>
    </row>
    <row r="143" spans="1:32" x14ac:dyDescent="0.25">
      <c r="A143" s="322"/>
      <c r="B143" s="328" t="s">
        <v>50</v>
      </c>
      <c r="G143" s="321">
        <v>5.9298547121320988</v>
      </c>
      <c r="H143" s="321">
        <v>5.959503985692753</v>
      </c>
      <c r="I143" s="321">
        <v>5.9891532592534187</v>
      </c>
      <c r="J143" s="321">
        <v>6.0188025328140728</v>
      </c>
      <c r="K143" s="321">
        <v>6.0484518063747386</v>
      </c>
      <c r="L143" s="321">
        <v>6.0781010799354043</v>
      </c>
      <c r="M143" s="321">
        <v>6.1077503534960575</v>
      </c>
      <c r="N143" s="321">
        <v>6.1373996270567241</v>
      </c>
      <c r="O143" s="321">
        <v>6.1670489006173774</v>
      </c>
      <c r="P143" s="321">
        <v>6.1966981741780431</v>
      </c>
      <c r="Q143" s="321">
        <v>6.2263474477386973</v>
      </c>
      <c r="R143" s="321">
        <v>6.255996721299363</v>
      </c>
      <c r="S143" s="321">
        <v>6.2856459948600172</v>
      </c>
      <c r="T143" s="321">
        <v>6.3152952684206829</v>
      </c>
      <c r="U143" s="321">
        <v>6.3449445419813468</v>
      </c>
      <c r="V143" s="321">
        <v>6.3745938155420019</v>
      </c>
      <c r="W143" s="321">
        <v>6.4042430891026667</v>
      </c>
      <c r="X143" s="321">
        <v>6.4338923626633218</v>
      </c>
      <c r="Y143" s="321">
        <v>6.4635416362239866</v>
      </c>
      <c r="Z143" s="321">
        <v>6.4931909097846416</v>
      </c>
      <c r="AA143" s="321">
        <v>6.5228401833453065</v>
      </c>
      <c r="AB143" s="321">
        <v>6.5524894569059615</v>
      </c>
      <c r="AC143" s="321">
        <v>6.5821387304666272</v>
      </c>
      <c r="AD143" s="321">
        <v>6.6117880040272921</v>
      </c>
      <c r="AE143" s="321">
        <v>6.6414372775879471</v>
      </c>
      <c r="AF143" s="321">
        <v>6.671086551148611</v>
      </c>
    </row>
    <row r="144" spans="1:32" x14ac:dyDescent="0.25">
      <c r="A144" s="322"/>
      <c r="B144" s="322" t="s">
        <v>51</v>
      </c>
      <c r="G144" s="321">
        <v>17.789564136396297</v>
      </c>
      <c r="H144" s="321">
        <v>17.878511957078281</v>
      </c>
      <c r="I144" s="321">
        <v>17.967459777760265</v>
      </c>
      <c r="J144" s="321">
        <v>18.056407598442252</v>
      </c>
      <c r="K144" s="321">
        <v>18.145355419124215</v>
      </c>
      <c r="L144" s="321">
        <v>18.234303239806199</v>
      </c>
      <c r="M144" s="321">
        <v>18.323251060488186</v>
      </c>
      <c r="N144" s="321">
        <v>18.41219888117017</v>
      </c>
      <c r="O144" s="321">
        <v>18.501146701852154</v>
      </c>
      <c r="P144" s="321">
        <v>18.590094522534137</v>
      </c>
      <c r="Q144" s="321">
        <v>18.679042343216103</v>
      </c>
      <c r="R144" s="321">
        <v>18.767990163898087</v>
      </c>
      <c r="S144" s="321">
        <v>18.856937984580071</v>
      </c>
      <c r="T144" s="321">
        <v>18.945885805262058</v>
      </c>
      <c r="U144" s="321">
        <v>19.034833625944042</v>
      </c>
      <c r="V144" s="321">
        <v>19.123781446626026</v>
      </c>
      <c r="W144" s="321">
        <v>19.21272926730801</v>
      </c>
      <c r="X144" s="321">
        <v>19.301677087989976</v>
      </c>
      <c r="Y144" s="321">
        <v>19.39062490867196</v>
      </c>
      <c r="Z144" s="321">
        <v>19.479572729353944</v>
      </c>
      <c r="AA144" s="321">
        <v>19.568520550035931</v>
      </c>
      <c r="AB144" s="321">
        <v>19.657468370717915</v>
      </c>
      <c r="AC144" s="321">
        <v>19.746416191399899</v>
      </c>
      <c r="AD144" s="321">
        <v>19.835364012081865</v>
      </c>
      <c r="AE144" s="321">
        <v>19.924311832763848</v>
      </c>
      <c r="AF144" s="321">
        <v>20.013259653445832</v>
      </c>
    </row>
    <row r="145" spans="1:32" x14ac:dyDescent="0.25">
      <c r="A145" s="322"/>
      <c r="B145" s="322" t="s">
        <v>52</v>
      </c>
      <c r="G145" s="321">
        <v>29.649273560660493</v>
      </c>
      <c r="H145" s="321">
        <v>29.797519928463828</v>
      </c>
      <c r="I145" s="321">
        <v>29.945766296267127</v>
      </c>
      <c r="J145" s="321">
        <v>30.094012664070419</v>
      </c>
      <c r="K145" s="321">
        <v>30.242259031873715</v>
      </c>
      <c r="L145" s="321">
        <v>30.390505399677007</v>
      </c>
      <c r="M145" s="321">
        <v>30.538751767480342</v>
      </c>
      <c r="N145" s="321">
        <v>30.686998135283638</v>
      </c>
      <c r="O145" s="321">
        <v>30.83524450308693</v>
      </c>
      <c r="P145" s="321">
        <v>30.983490870890229</v>
      </c>
      <c r="Q145" s="321">
        <v>31.131737238693521</v>
      </c>
      <c r="R145" s="321">
        <v>31.279983606496856</v>
      </c>
      <c r="S145" s="321">
        <v>31.428229974300152</v>
      </c>
      <c r="T145" s="321">
        <v>31.576476342103444</v>
      </c>
      <c r="U145" s="321">
        <v>31.724722709906739</v>
      </c>
      <c r="V145" s="321">
        <v>31.872969077710032</v>
      </c>
      <c r="W145" s="321">
        <v>32.02121544551337</v>
      </c>
      <c r="X145" s="321">
        <v>32.169461813316666</v>
      </c>
      <c r="Y145" s="321">
        <v>32.317708181119954</v>
      </c>
      <c r="Z145" s="321">
        <v>32.46595454892325</v>
      </c>
      <c r="AA145" s="321">
        <v>32.614200916726546</v>
      </c>
      <c r="AB145" s="321">
        <v>32.762447284529877</v>
      </c>
      <c r="AC145" s="321">
        <v>32.910693652333173</v>
      </c>
      <c r="AD145" s="321">
        <v>33.058940020136468</v>
      </c>
      <c r="AE145" s="321">
        <v>33.207186387939764</v>
      </c>
      <c r="AF145" s="321">
        <v>33.35543275574306</v>
      </c>
    </row>
    <row r="146" spans="1:32" x14ac:dyDescent="0.25">
      <c r="A146" s="322"/>
      <c r="B146" s="328" t="s">
        <v>29</v>
      </c>
      <c r="G146" s="321">
        <v>37.061591950825616</v>
      </c>
      <c r="H146" s="321">
        <v>48.913958972687169</v>
      </c>
      <c r="I146" s="321">
        <v>54.215379968814133</v>
      </c>
      <c r="J146" s="321">
        <v>58.752270541802844</v>
      </c>
      <c r="K146" s="321">
        <v>62.477322899249565</v>
      </c>
      <c r="L146" s="321">
        <v>65.433154977768808</v>
      </c>
      <c r="M146" s="321">
        <v>67.715708356013408</v>
      </c>
      <c r="N146" s="321">
        <v>69.441614038372947</v>
      </c>
      <c r="O146" s="321">
        <v>70.725955873419949</v>
      </c>
      <c r="P146" s="321">
        <v>71.670396807567784</v>
      </c>
      <c r="Q146" s="321">
        <v>72.35882981038182</v>
      </c>
      <c r="R146" s="321">
        <v>72.857450174411412</v>
      </c>
      <c r="S146" s="321">
        <v>73.2169213823353</v>
      </c>
      <c r="T146" s="321">
        <v>73.475209929398915</v>
      </c>
      <c r="U146" s="321">
        <v>73.660350516796541</v>
      </c>
      <c r="V146" s="321">
        <v>73.792830156822831</v>
      </c>
      <c r="W146" s="321">
        <v>73.887510661435925</v>
      </c>
      <c r="X146" s="321">
        <v>73.95511721501822</v>
      </c>
      <c r="Y146" s="321">
        <v>74.003361222774458</v>
      </c>
      <c r="Z146" s="321">
        <v>74.037772648333799</v>
      </c>
      <c r="AA146" s="321">
        <v>74.062309714906192</v>
      </c>
      <c r="AB146" s="321">
        <v>74.079801868374915</v>
      </c>
      <c r="AC146" s="321">
        <v>74.092269762252087</v>
      </c>
      <c r="AD146" s="321">
        <v>74.101155478399107</v>
      </c>
      <c r="AE146" s="321">
        <v>74.10748769551887</v>
      </c>
      <c r="AF146" s="321">
        <v>74.111999949338042</v>
      </c>
    </row>
    <row r="147" spans="1:32" x14ac:dyDescent="0.25">
      <c r="A147" s="322"/>
      <c r="B147" s="328" t="s">
        <v>53</v>
      </c>
      <c r="G147" s="321">
        <v>59.298547121320986</v>
      </c>
      <c r="H147" s="321">
        <v>59.595039856927656</v>
      </c>
      <c r="I147" s="321">
        <v>59.891532592534254</v>
      </c>
      <c r="J147" s="321">
        <v>60.188025328140839</v>
      </c>
      <c r="K147" s="321">
        <v>60.48451806374743</v>
      </c>
      <c r="L147" s="321">
        <v>60.781010799354014</v>
      </c>
      <c r="M147" s="321">
        <v>61.077503534960684</v>
      </c>
      <c r="N147" s="321">
        <v>61.373996270567275</v>
      </c>
      <c r="O147" s="321">
        <v>61.67048900617386</v>
      </c>
      <c r="P147" s="321">
        <v>61.966981741780458</v>
      </c>
      <c r="Q147" s="321">
        <v>62.263474477387042</v>
      </c>
      <c r="R147" s="321">
        <v>62.559967212993712</v>
      </c>
      <c r="S147" s="321">
        <v>62.856459948600303</v>
      </c>
      <c r="T147" s="321">
        <v>63.152952684206888</v>
      </c>
      <c r="U147" s="321">
        <v>63.449445419813479</v>
      </c>
      <c r="V147" s="321">
        <v>63.745938155420063</v>
      </c>
      <c r="W147" s="321">
        <v>64.04243089102674</v>
      </c>
      <c r="X147" s="321">
        <v>64.338923626633331</v>
      </c>
      <c r="Y147" s="321">
        <v>64.635416362239908</v>
      </c>
      <c r="Z147" s="321">
        <v>64.9319090978465</v>
      </c>
      <c r="AA147" s="321">
        <v>65.228401833453091</v>
      </c>
      <c r="AB147" s="321">
        <v>65.524894569059754</v>
      </c>
      <c r="AC147" s="321">
        <v>65.821387304666345</v>
      </c>
      <c r="AD147" s="321">
        <v>66.117880040272937</v>
      </c>
      <c r="AE147" s="321">
        <v>66.414372775879528</v>
      </c>
      <c r="AF147" s="321">
        <v>66.710865511486119</v>
      </c>
    </row>
    <row r="149" spans="1:32" x14ac:dyDescent="0.25">
      <c r="A149" s="326" t="s">
        <v>184</v>
      </c>
      <c r="B149" s="327"/>
      <c r="C149" s="327"/>
      <c r="D149" s="327"/>
      <c r="E149" s="327"/>
      <c r="F149" s="327"/>
      <c r="G149" s="331"/>
      <c r="H149" s="327"/>
      <c r="I149" s="327"/>
      <c r="J149" s="327"/>
      <c r="K149" s="327"/>
      <c r="L149" s="327"/>
      <c r="M149" s="327"/>
      <c r="N149" s="327"/>
      <c r="O149" s="327"/>
      <c r="P149" s="327"/>
      <c r="Q149" s="327"/>
      <c r="R149" s="327"/>
      <c r="S149" s="327"/>
      <c r="T149" s="327"/>
      <c r="U149" s="327"/>
      <c r="V149" s="327"/>
      <c r="W149" s="327"/>
      <c r="X149" s="327"/>
      <c r="Y149" s="327"/>
      <c r="Z149" s="327"/>
      <c r="AA149" s="327"/>
      <c r="AB149" s="327"/>
      <c r="AC149" s="327"/>
      <c r="AD149" s="327"/>
      <c r="AE149" s="327"/>
      <c r="AF149" s="327"/>
    </row>
    <row r="150" spans="1:32" x14ac:dyDescent="0.25">
      <c r="A150" s="323" t="s">
        <v>12</v>
      </c>
      <c r="B150" s="322"/>
    </row>
    <row r="151" spans="1:32" x14ac:dyDescent="0.25">
      <c r="A151" s="322"/>
      <c r="B151" s="322" t="s">
        <v>20</v>
      </c>
    </row>
    <row r="152" spans="1:32" s="202" customFormat="1" ht="12.75" x14ac:dyDescent="0.2">
      <c r="A152" s="335" t="s">
        <v>21</v>
      </c>
      <c r="B152" s="335"/>
      <c r="C152" s="335"/>
      <c r="D152" s="335"/>
      <c r="E152" s="335"/>
      <c r="F152" s="335"/>
      <c r="G152" s="335"/>
      <c r="H152" s="335"/>
      <c r="I152" s="335"/>
      <c r="J152" s="335"/>
      <c r="K152" s="335"/>
      <c r="L152" s="335"/>
      <c r="M152" s="335"/>
      <c r="N152" s="335"/>
      <c r="O152" s="335"/>
      <c r="P152" s="335"/>
      <c r="Q152" s="335"/>
      <c r="R152" s="335"/>
      <c r="S152" s="335"/>
      <c r="T152" s="335"/>
      <c r="U152" s="335"/>
      <c r="V152" s="335"/>
      <c r="W152" s="335"/>
      <c r="X152" s="335"/>
      <c r="Y152" s="335"/>
      <c r="Z152" s="335"/>
      <c r="AA152" s="335"/>
      <c r="AB152" s="335"/>
      <c r="AC152" s="335"/>
      <c r="AD152" s="335"/>
      <c r="AE152" s="335"/>
      <c r="AF152" s="335"/>
    </row>
    <row r="153" spans="1:32" x14ac:dyDescent="0.25">
      <c r="A153" s="322"/>
      <c r="B153" s="322" t="s">
        <v>22</v>
      </c>
      <c r="G153" s="321" t="str">
        <f t="array" ref="G153:AF183">IF(ISNUMBER(Life_Ballast),Life_Ballast/(DailyOpHours*365.25),"")</f>
        <v/>
      </c>
      <c r="H153" s="321" t="str">
        <v/>
      </c>
      <c r="I153" s="321" t="str">
        <v/>
      </c>
      <c r="J153" s="321" t="str">
        <v/>
      </c>
      <c r="K153" s="321" t="str">
        <v/>
      </c>
      <c r="L153" s="321" t="str">
        <v/>
      </c>
      <c r="M153" s="321" t="str">
        <v/>
      </c>
      <c r="N153" s="321" t="str">
        <v/>
      </c>
      <c r="O153" s="321" t="str">
        <v/>
      </c>
      <c r="P153" s="321" t="str">
        <v/>
      </c>
      <c r="Q153" s="321" t="str">
        <v/>
      </c>
      <c r="R153" s="321" t="str">
        <v/>
      </c>
      <c r="S153" s="321" t="str">
        <v/>
      </c>
      <c r="T153" s="321" t="str">
        <v/>
      </c>
      <c r="U153" s="321" t="str">
        <v/>
      </c>
      <c r="V153" s="321" t="str">
        <v/>
      </c>
      <c r="W153" s="321" t="str">
        <v/>
      </c>
      <c r="X153" s="321" t="str">
        <v/>
      </c>
      <c r="Y153" s="321" t="str">
        <v/>
      </c>
      <c r="Z153" s="321" t="str">
        <v/>
      </c>
      <c r="AA153" s="321" t="str">
        <v/>
      </c>
      <c r="AB153" s="321" t="str">
        <v/>
      </c>
      <c r="AC153" s="321" t="str">
        <v/>
      </c>
      <c r="AD153" s="321" t="str">
        <v/>
      </c>
      <c r="AE153" s="321" t="str">
        <v/>
      </c>
      <c r="AF153" s="321" t="str">
        <v/>
      </c>
    </row>
    <row r="154" spans="1:32" x14ac:dyDescent="0.25">
      <c r="A154" s="322"/>
      <c r="B154" s="322" t="s">
        <v>26</v>
      </c>
      <c r="G154" s="321" t="str">
        <v/>
      </c>
      <c r="H154" s="321" t="str">
        <v/>
      </c>
      <c r="I154" s="321" t="str">
        <v/>
      </c>
      <c r="J154" s="321" t="str">
        <v/>
      </c>
      <c r="K154" s="321" t="str">
        <v/>
      </c>
      <c r="L154" s="321" t="str">
        <v/>
      </c>
      <c r="M154" s="321" t="str">
        <v/>
      </c>
      <c r="N154" s="321" t="str">
        <v/>
      </c>
      <c r="O154" s="321" t="str">
        <v/>
      </c>
      <c r="P154" s="321" t="str">
        <v/>
      </c>
      <c r="Q154" s="321" t="str">
        <v/>
      </c>
      <c r="R154" s="321" t="str">
        <v/>
      </c>
      <c r="S154" s="321" t="str">
        <v/>
      </c>
      <c r="T154" s="321" t="str">
        <v/>
      </c>
      <c r="U154" s="321" t="str">
        <v/>
      </c>
      <c r="V154" s="321" t="str">
        <v/>
      </c>
      <c r="W154" s="321" t="str">
        <v/>
      </c>
      <c r="X154" s="321" t="str">
        <v/>
      </c>
      <c r="Y154" s="321" t="str">
        <v/>
      </c>
      <c r="Z154" s="321" t="str">
        <v/>
      </c>
      <c r="AA154" s="321" t="str">
        <v/>
      </c>
      <c r="AB154" s="321" t="str">
        <v/>
      </c>
      <c r="AC154" s="321" t="str">
        <v/>
      </c>
      <c r="AD154" s="321" t="str">
        <v/>
      </c>
      <c r="AE154" s="321" t="str">
        <v/>
      </c>
      <c r="AF154" s="321" t="str">
        <v/>
      </c>
    </row>
    <row r="155" spans="1:32" x14ac:dyDescent="0.25">
      <c r="A155" s="322"/>
      <c r="B155" s="322" t="s">
        <v>27</v>
      </c>
      <c r="G155" s="321" t="str">
        <v/>
      </c>
      <c r="H155" s="321" t="str">
        <v/>
      </c>
      <c r="I155" s="321" t="str">
        <v/>
      </c>
      <c r="J155" s="321" t="str">
        <v/>
      </c>
      <c r="K155" s="321" t="str">
        <v/>
      </c>
      <c r="L155" s="321" t="str">
        <v/>
      </c>
      <c r="M155" s="321" t="str">
        <v/>
      </c>
      <c r="N155" s="321" t="str">
        <v/>
      </c>
      <c r="O155" s="321" t="str">
        <v/>
      </c>
      <c r="P155" s="321" t="str">
        <v/>
      </c>
      <c r="Q155" s="321" t="str">
        <v/>
      </c>
      <c r="R155" s="321" t="str">
        <v/>
      </c>
      <c r="S155" s="321" t="str">
        <v/>
      </c>
      <c r="T155" s="321" t="str">
        <v/>
      </c>
      <c r="U155" s="321" t="str">
        <v/>
      </c>
      <c r="V155" s="321" t="str">
        <v/>
      </c>
      <c r="W155" s="321" t="str">
        <v/>
      </c>
      <c r="X155" s="321" t="str">
        <v/>
      </c>
      <c r="Y155" s="321" t="str">
        <v/>
      </c>
      <c r="Z155" s="321" t="str">
        <v/>
      </c>
      <c r="AA155" s="321" t="str">
        <v/>
      </c>
      <c r="AB155" s="321" t="str">
        <v/>
      </c>
      <c r="AC155" s="321" t="str">
        <v/>
      </c>
      <c r="AD155" s="321" t="str">
        <v/>
      </c>
      <c r="AE155" s="321" t="str">
        <v/>
      </c>
      <c r="AF155" s="321" t="str">
        <v/>
      </c>
    </row>
    <row r="156" spans="1:32" x14ac:dyDescent="0.25">
      <c r="A156" s="322"/>
      <c r="B156" s="322" t="s">
        <v>29</v>
      </c>
      <c r="G156" s="321" t="str">
        <v/>
      </c>
      <c r="H156" s="321" t="str">
        <v/>
      </c>
      <c r="I156" s="321" t="str">
        <v/>
      </c>
      <c r="J156" s="321" t="str">
        <v/>
      </c>
      <c r="K156" s="321" t="str">
        <v/>
      </c>
      <c r="L156" s="321" t="str">
        <v/>
      </c>
      <c r="M156" s="321" t="str">
        <v/>
      </c>
      <c r="N156" s="321" t="str">
        <v/>
      </c>
      <c r="O156" s="321" t="str">
        <v/>
      </c>
      <c r="P156" s="321" t="str">
        <v/>
      </c>
      <c r="Q156" s="321" t="str">
        <v/>
      </c>
      <c r="R156" s="321" t="str">
        <v/>
      </c>
      <c r="S156" s="321" t="str">
        <v/>
      </c>
      <c r="T156" s="321" t="str">
        <v/>
      </c>
      <c r="U156" s="321" t="str">
        <v/>
      </c>
      <c r="V156" s="321" t="str">
        <v/>
      </c>
      <c r="W156" s="321" t="str">
        <v/>
      </c>
      <c r="X156" s="321" t="str">
        <v/>
      </c>
      <c r="Y156" s="321" t="str">
        <v/>
      </c>
      <c r="Z156" s="321" t="str">
        <v/>
      </c>
      <c r="AA156" s="321" t="str">
        <v/>
      </c>
      <c r="AB156" s="321" t="str">
        <v/>
      </c>
      <c r="AC156" s="321" t="str">
        <v/>
      </c>
      <c r="AD156" s="321" t="str">
        <v/>
      </c>
      <c r="AE156" s="321" t="str">
        <v/>
      </c>
      <c r="AF156" s="321" t="str">
        <v/>
      </c>
    </row>
    <row r="157" spans="1:32" x14ac:dyDescent="0.25">
      <c r="A157" s="322"/>
      <c r="B157" s="322"/>
      <c r="G157" s="321" t="str">
        <v/>
      </c>
      <c r="H157" s="321" t="str">
        <v/>
      </c>
      <c r="I157" s="321" t="str">
        <v/>
      </c>
      <c r="J157" s="321" t="str">
        <v/>
      </c>
      <c r="K157" s="321" t="str">
        <v/>
      </c>
      <c r="L157" s="321" t="str">
        <v/>
      </c>
      <c r="M157" s="321" t="str">
        <v/>
      </c>
      <c r="N157" s="321" t="str">
        <v/>
      </c>
      <c r="O157" s="321" t="str">
        <v/>
      </c>
      <c r="P157" s="321" t="str">
        <v/>
      </c>
      <c r="Q157" s="321" t="str">
        <v/>
      </c>
      <c r="R157" s="321" t="str">
        <v/>
      </c>
      <c r="S157" s="321" t="str">
        <v/>
      </c>
      <c r="T157" s="321" t="str">
        <v/>
      </c>
      <c r="U157" s="321" t="str">
        <v/>
      </c>
      <c r="V157" s="321" t="str">
        <v/>
      </c>
      <c r="W157" s="321" t="str">
        <v/>
      </c>
      <c r="X157" s="321" t="str">
        <v/>
      </c>
      <c r="Y157" s="321" t="str">
        <v/>
      </c>
      <c r="Z157" s="321" t="str">
        <v/>
      </c>
      <c r="AA157" s="321" t="str">
        <v/>
      </c>
      <c r="AB157" s="321" t="str">
        <v/>
      </c>
      <c r="AC157" s="321" t="str">
        <v/>
      </c>
      <c r="AD157" s="321" t="str">
        <v/>
      </c>
      <c r="AE157" s="321" t="str">
        <v/>
      </c>
      <c r="AF157" s="321" t="str">
        <v/>
      </c>
    </row>
    <row r="158" spans="1:32" s="202" customFormat="1" ht="12.75" x14ac:dyDescent="0.2">
      <c r="A158" s="335" t="s">
        <v>32</v>
      </c>
      <c r="B158" s="335"/>
      <c r="C158" s="335"/>
      <c r="D158" s="335"/>
      <c r="E158" s="335"/>
      <c r="F158" s="335"/>
      <c r="G158" s="275" t="str">
        <v/>
      </c>
      <c r="H158" s="275" t="str">
        <v/>
      </c>
      <c r="I158" s="275" t="str">
        <v/>
      </c>
      <c r="J158" s="275" t="str">
        <v/>
      </c>
      <c r="K158" s="275" t="str">
        <v/>
      </c>
      <c r="L158" s="275" t="str">
        <v/>
      </c>
      <c r="M158" s="275" t="str">
        <v/>
      </c>
      <c r="N158" s="275" t="str">
        <v/>
      </c>
      <c r="O158" s="275" t="str">
        <v/>
      </c>
      <c r="P158" s="275" t="str">
        <v/>
      </c>
      <c r="Q158" s="275" t="str">
        <v/>
      </c>
      <c r="R158" s="275" t="str">
        <v/>
      </c>
      <c r="S158" s="275" t="str">
        <v/>
      </c>
      <c r="T158" s="275" t="str">
        <v/>
      </c>
      <c r="U158" s="275" t="str">
        <v/>
      </c>
      <c r="V158" s="275" t="str">
        <v/>
      </c>
      <c r="W158" s="275" t="str">
        <v/>
      </c>
      <c r="X158" s="275" t="str">
        <v/>
      </c>
      <c r="Y158" s="275" t="str">
        <v/>
      </c>
      <c r="Z158" s="275" t="str">
        <v/>
      </c>
      <c r="AA158" s="275" t="str">
        <v/>
      </c>
      <c r="AB158" s="275" t="str">
        <v/>
      </c>
      <c r="AC158" s="275" t="str">
        <v/>
      </c>
      <c r="AD158" s="275" t="str">
        <v/>
      </c>
      <c r="AE158" s="275" t="str">
        <v/>
      </c>
      <c r="AF158" s="275" t="str">
        <v/>
      </c>
    </row>
    <row r="159" spans="1:32" x14ac:dyDescent="0.25">
      <c r="A159" s="322"/>
      <c r="B159" s="322" t="s">
        <v>33</v>
      </c>
      <c r="G159" s="321" t="str">
        <v/>
      </c>
      <c r="H159" s="321" t="str">
        <v/>
      </c>
      <c r="I159" s="321" t="str">
        <v/>
      </c>
      <c r="J159" s="321" t="str">
        <v/>
      </c>
      <c r="K159" s="321" t="str">
        <v/>
      </c>
      <c r="L159" s="321" t="str">
        <v/>
      </c>
      <c r="M159" s="321" t="str">
        <v/>
      </c>
      <c r="N159" s="321" t="str">
        <v/>
      </c>
      <c r="O159" s="321" t="str">
        <v/>
      </c>
      <c r="P159" s="321" t="str">
        <v/>
      </c>
      <c r="Q159" s="321" t="str">
        <v/>
      </c>
      <c r="R159" s="321" t="str">
        <v/>
      </c>
      <c r="S159" s="321" t="str">
        <v/>
      </c>
      <c r="T159" s="321" t="str">
        <v/>
      </c>
      <c r="U159" s="321" t="str">
        <v/>
      </c>
      <c r="V159" s="321" t="str">
        <v/>
      </c>
      <c r="W159" s="321" t="str">
        <v/>
      </c>
      <c r="X159" s="321" t="str">
        <v/>
      </c>
      <c r="Y159" s="321" t="str">
        <v/>
      </c>
      <c r="Z159" s="321" t="str">
        <v/>
      </c>
      <c r="AA159" s="321" t="str">
        <v/>
      </c>
      <c r="AB159" s="321" t="str">
        <v/>
      </c>
      <c r="AC159" s="321" t="str">
        <v/>
      </c>
      <c r="AD159" s="321" t="str">
        <v/>
      </c>
      <c r="AE159" s="321" t="str">
        <v/>
      </c>
      <c r="AF159" s="321" t="str">
        <v/>
      </c>
    </row>
    <row r="160" spans="1:32" x14ac:dyDescent="0.25">
      <c r="A160" s="328"/>
      <c r="B160" s="328" t="s">
        <v>34</v>
      </c>
      <c r="G160" s="321" t="str">
        <v/>
      </c>
      <c r="H160" s="321" t="str">
        <v/>
      </c>
      <c r="I160" s="321" t="str">
        <v/>
      </c>
      <c r="J160" s="321" t="str">
        <v/>
      </c>
      <c r="K160" s="321" t="str">
        <v/>
      </c>
      <c r="L160" s="321" t="str">
        <v/>
      </c>
      <c r="M160" s="321" t="str">
        <v/>
      </c>
      <c r="N160" s="321" t="str">
        <v/>
      </c>
      <c r="O160" s="321" t="str">
        <v/>
      </c>
      <c r="P160" s="321" t="str">
        <v/>
      </c>
      <c r="Q160" s="321" t="str">
        <v/>
      </c>
      <c r="R160" s="321" t="str">
        <v/>
      </c>
      <c r="S160" s="321" t="str">
        <v/>
      </c>
      <c r="T160" s="321" t="str">
        <v/>
      </c>
      <c r="U160" s="321" t="str">
        <v/>
      </c>
      <c r="V160" s="321" t="str">
        <v/>
      </c>
      <c r="W160" s="321" t="str">
        <v/>
      </c>
      <c r="X160" s="321" t="str">
        <v/>
      </c>
      <c r="Y160" s="321" t="str">
        <v/>
      </c>
      <c r="Z160" s="321" t="str">
        <v/>
      </c>
      <c r="AA160" s="321" t="str">
        <v/>
      </c>
      <c r="AB160" s="321" t="str">
        <v/>
      </c>
      <c r="AC160" s="321" t="str">
        <v/>
      </c>
      <c r="AD160" s="321" t="str">
        <v/>
      </c>
      <c r="AE160" s="321" t="str">
        <v/>
      </c>
      <c r="AF160" s="321" t="str">
        <v/>
      </c>
    </row>
    <row r="161" spans="1:32" x14ac:dyDescent="0.25">
      <c r="A161" s="322"/>
      <c r="B161" s="328" t="s">
        <v>35</v>
      </c>
      <c r="G161" s="321" t="str">
        <v/>
      </c>
      <c r="H161" s="321" t="str">
        <v/>
      </c>
      <c r="I161" s="321" t="str">
        <v/>
      </c>
      <c r="J161" s="321" t="str">
        <v/>
      </c>
      <c r="K161" s="321" t="str">
        <v/>
      </c>
      <c r="L161" s="321" t="str">
        <v/>
      </c>
      <c r="M161" s="321" t="str">
        <v/>
      </c>
      <c r="N161" s="321" t="str">
        <v/>
      </c>
      <c r="O161" s="321" t="str">
        <v/>
      </c>
      <c r="P161" s="321" t="str">
        <v/>
      </c>
      <c r="Q161" s="321" t="str">
        <v/>
      </c>
      <c r="R161" s="321" t="str">
        <v/>
      </c>
      <c r="S161" s="321" t="str">
        <v/>
      </c>
      <c r="T161" s="321" t="str">
        <v/>
      </c>
      <c r="U161" s="321" t="str">
        <v/>
      </c>
      <c r="V161" s="321" t="str">
        <v/>
      </c>
      <c r="W161" s="321" t="str">
        <v/>
      </c>
      <c r="X161" s="321" t="str">
        <v/>
      </c>
      <c r="Y161" s="321" t="str">
        <v/>
      </c>
      <c r="Z161" s="321" t="str">
        <v/>
      </c>
      <c r="AA161" s="321" t="str">
        <v/>
      </c>
      <c r="AB161" s="321" t="str">
        <v/>
      </c>
      <c r="AC161" s="321" t="str">
        <v/>
      </c>
      <c r="AD161" s="321" t="str">
        <v/>
      </c>
      <c r="AE161" s="321" t="str">
        <v/>
      </c>
      <c r="AF161" s="321" t="str">
        <v/>
      </c>
    </row>
    <row r="162" spans="1:32" x14ac:dyDescent="0.25">
      <c r="A162" s="322"/>
      <c r="B162" s="328" t="s">
        <v>29</v>
      </c>
      <c r="G162" s="321" t="str">
        <v/>
      </c>
      <c r="H162" s="321" t="str">
        <v/>
      </c>
      <c r="I162" s="321" t="str">
        <v/>
      </c>
      <c r="J162" s="321" t="str">
        <v/>
      </c>
      <c r="K162" s="321" t="str">
        <v/>
      </c>
      <c r="L162" s="321" t="str">
        <v/>
      </c>
      <c r="M162" s="321" t="str">
        <v/>
      </c>
      <c r="N162" s="321" t="str">
        <v/>
      </c>
      <c r="O162" s="321" t="str">
        <v/>
      </c>
      <c r="P162" s="321" t="str">
        <v/>
      </c>
      <c r="Q162" s="321" t="str">
        <v/>
      </c>
      <c r="R162" s="321" t="str">
        <v/>
      </c>
      <c r="S162" s="321" t="str">
        <v/>
      </c>
      <c r="T162" s="321" t="str">
        <v/>
      </c>
      <c r="U162" s="321" t="str">
        <v/>
      </c>
      <c r="V162" s="321" t="str">
        <v/>
      </c>
      <c r="W162" s="321" t="str">
        <v/>
      </c>
      <c r="X162" s="321" t="str">
        <v/>
      </c>
      <c r="Y162" s="321" t="str">
        <v/>
      </c>
      <c r="Z162" s="321" t="str">
        <v/>
      </c>
      <c r="AA162" s="321" t="str">
        <v/>
      </c>
      <c r="AB162" s="321" t="str">
        <v/>
      </c>
      <c r="AC162" s="321" t="str">
        <v/>
      </c>
      <c r="AD162" s="321" t="str">
        <v/>
      </c>
      <c r="AE162" s="321" t="str">
        <v/>
      </c>
      <c r="AF162" s="321" t="str">
        <v/>
      </c>
    </row>
    <row r="163" spans="1:32" x14ac:dyDescent="0.25">
      <c r="A163" s="322"/>
      <c r="B163" s="322"/>
      <c r="G163" s="321" t="str">
        <v/>
      </c>
      <c r="H163" s="321" t="str">
        <v/>
      </c>
      <c r="I163" s="321" t="str">
        <v/>
      </c>
      <c r="J163" s="321" t="str">
        <v/>
      </c>
      <c r="K163" s="321" t="str">
        <v/>
      </c>
      <c r="L163" s="321" t="str">
        <v/>
      </c>
      <c r="M163" s="321" t="str">
        <v/>
      </c>
      <c r="N163" s="321" t="str">
        <v/>
      </c>
      <c r="O163" s="321" t="str">
        <v/>
      </c>
      <c r="P163" s="321" t="str">
        <v/>
      </c>
      <c r="Q163" s="321" t="str">
        <v/>
      </c>
      <c r="R163" s="321" t="str">
        <v/>
      </c>
      <c r="S163" s="321" t="str">
        <v/>
      </c>
      <c r="T163" s="321" t="str">
        <v/>
      </c>
      <c r="U163" s="321" t="str">
        <v/>
      </c>
      <c r="V163" s="321" t="str">
        <v/>
      </c>
      <c r="W163" s="321" t="str">
        <v/>
      </c>
      <c r="X163" s="321" t="str">
        <v/>
      </c>
      <c r="Y163" s="321" t="str">
        <v/>
      </c>
      <c r="Z163" s="321" t="str">
        <v/>
      </c>
      <c r="AA163" s="321" t="str">
        <v/>
      </c>
      <c r="AB163" s="321" t="str">
        <v/>
      </c>
      <c r="AC163" s="321" t="str">
        <v/>
      </c>
      <c r="AD163" s="321" t="str">
        <v/>
      </c>
      <c r="AE163" s="321" t="str">
        <v/>
      </c>
      <c r="AF163" s="321" t="str">
        <v/>
      </c>
    </row>
    <row r="164" spans="1:32" s="202" customFormat="1" ht="12.75" x14ac:dyDescent="0.2">
      <c r="A164" s="335" t="s">
        <v>36</v>
      </c>
      <c r="B164" s="335"/>
      <c r="C164" s="335"/>
      <c r="D164" s="335"/>
      <c r="E164" s="335"/>
      <c r="F164" s="335"/>
      <c r="G164" s="275" t="str">
        <v/>
      </c>
      <c r="H164" s="275" t="str">
        <v/>
      </c>
      <c r="I164" s="275" t="str">
        <v/>
      </c>
      <c r="J164" s="275" t="str">
        <v/>
      </c>
      <c r="K164" s="275" t="str">
        <v/>
      </c>
      <c r="L164" s="275" t="str">
        <v/>
      </c>
      <c r="M164" s="275" t="str">
        <v/>
      </c>
      <c r="N164" s="275" t="str">
        <v/>
      </c>
      <c r="O164" s="275" t="str">
        <v/>
      </c>
      <c r="P164" s="275" t="str">
        <v/>
      </c>
      <c r="Q164" s="275" t="str">
        <v/>
      </c>
      <c r="R164" s="275" t="str">
        <v/>
      </c>
      <c r="S164" s="275" t="str">
        <v/>
      </c>
      <c r="T164" s="275" t="str">
        <v/>
      </c>
      <c r="U164" s="275" t="str">
        <v/>
      </c>
      <c r="V164" s="275" t="str">
        <v/>
      </c>
      <c r="W164" s="275" t="str">
        <v/>
      </c>
      <c r="X164" s="275" t="str">
        <v/>
      </c>
      <c r="Y164" s="275" t="str">
        <v/>
      </c>
      <c r="Z164" s="275" t="str">
        <v/>
      </c>
      <c r="AA164" s="275" t="str">
        <v/>
      </c>
      <c r="AB164" s="275" t="str">
        <v/>
      </c>
      <c r="AC164" s="275" t="str">
        <v/>
      </c>
      <c r="AD164" s="275" t="str">
        <v/>
      </c>
      <c r="AE164" s="275" t="str">
        <v/>
      </c>
      <c r="AF164" s="275" t="str">
        <v/>
      </c>
    </row>
    <row r="165" spans="1:32" x14ac:dyDescent="0.25">
      <c r="A165" s="322"/>
      <c r="B165" s="322" t="s">
        <v>37</v>
      </c>
      <c r="G165" s="321">
        <v>72.048704924528977</v>
      </c>
      <c r="H165" s="321">
        <v>75.218847941209305</v>
      </c>
      <c r="I165" s="321">
        <v>78.388990957888311</v>
      </c>
      <c r="J165" s="321">
        <v>81.559133974567331</v>
      </c>
      <c r="K165" s="321">
        <v>84.729276991246337</v>
      </c>
      <c r="L165" s="321">
        <v>87.899420007925357</v>
      </c>
      <c r="M165" s="321">
        <v>91.069563024605685</v>
      </c>
      <c r="N165" s="321">
        <v>94.239706041284691</v>
      </c>
      <c r="O165" s="321">
        <v>97.409849057963697</v>
      </c>
      <c r="P165" s="321">
        <v>100.5799920746427</v>
      </c>
      <c r="Q165" s="321">
        <v>103.75013509132172</v>
      </c>
      <c r="R165" s="321">
        <v>106.92027810800205</v>
      </c>
      <c r="S165" s="321">
        <v>110.09042112468107</v>
      </c>
      <c r="T165" s="321">
        <v>113.26056414136008</v>
      </c>
      <c r="U165" s="321">
        <v>116.43070715803908</v>
      </c>
      <c r="V165" s="321">
        <v>119.6008501747181</v>
      </c>
      <c r="W165" s="321">
        <v>122.77099319139843</v>
      </c>
      <c r="X165" s="321">
        <v>125.94113620807745</v>
      </c>
      <c r="Y165" s="321">
        <v>129.11127922475646</v>
      </c>
      <c r="Z165" s="321">
        <v>132.28142224143545</v>
      </c>
      <c r="AA165" s="321">
        <v>135.45156525811447</v>
      </c>
      <c r="AB165" s="321">
        <v>138.6217082747948</v>
      </c>
      <c r="AC165" s="321">
        <v>141.79185129147382</v>
      </c>
      <c r="AD165" s="321">
        <v>144.96199430815284</v>
      </c>
      <c r="AE165" s="321">
        <v>148.13213732483183</v>
      </c>
      <c r="AF165" s="321">
        <v>151.30228034151085</v>
      </c>
    </row>
    <row r="166" spans="1:32" x14ac:dyDescent="0.25">
      <c r="A166" s="322"/>
      <c r="B166" s="322" t="s">
        <v>39</v>
      </c>
      <c r="G166" s="321">
        <v>72.048704924528977</v>
      </c>
      <c r="H166" s="321">
        <v>75.218847941209305</v>
      </c>
      <c r="I166" s="321">
        <v>78.388990957888311</v>
      </c>
      <c r="J166" s="321">
        <v>81.559133974567331</v>
      </c>
      <c r="K166" s="321">
        <v>84.729276991246337</v>
      </c>
      <c r="L166" s="321">
        <v>87.899420007925357</v>
      </c>
      <c r="M166" s="321">
        <v>91.069563024605685</v>
      </c>
      <c r="N166" s="321">
        <v>94.239706041284691</v>
      </c>
      <c r="O166" s="321">
        <v>97.409849057963697</v>
      </c>
      <c r="P166" s="321">
        <v>100.5799920746427</v>
      </c>
      <c r="Q166" s="321">
        <v>103.75013509132172</v>
      </c>
      <c r="R166" s="321">
        <v>106.92027810800205</v>
      </c>
      <c r="S166" s="321">
        <v>110.09042112468107</v>
      </c>
      <c r="T166" s="321">
        <v>113.26056414136008</v>
      </c>
      <c r="U166" s="321">
        <v>116.43070715803908</v>
      </c>
      <c r="V166" s="321">
        <v>119.6008501747181</v>
      </c>
      <c r="W166" s="321">
        <v>122.77099319139843</v>
      </c>
      <c r="X166" s="321">
        <v>125.94113620807745</v>
      </c>
      <c r="Y166" s="321">
        <v>129.11127922475646</v>
      </c>
      <c r="Z166" s="321">
        <v>132.28142224143545</v>
      </c>
      <c r="AA166" s="321">
        <v>135.45156525811447</v>
      </c>
      <c r="AB166" s="321">
        <v>138.6217082747948</v>
      </c>
      <c r="AC166" s="321">
        <v>141.79185129147382</v>
      </c>
      <c r="AD166" s="321">
        <v>144.96199430815284</v>
      </c>
      <c r="AE166" s="321">
        <v>148.13213732483183</v>
      </c>
      <c r="AF166" s="321">
        <v>151.30228034151085</v>
      </c>
    </row>
    <row r="167" spans="1:32" x14ac:dyDescent="0.25">
      <c r="A167" s="322"/>
      <c r="B167" s="322" t="s">
        <v>40</v>
      </c>
      <c r="G167" s="321">
        <v>72.048704924528977</v>
      </c>
      <c r="H167" s="321">
        <v>75.218847941209305</v>
      </c>
      <c r="I167" s="321">
        <v>78.388990957888311</v>
      </c>
      <c r="J167" s="321">
        <v>81.559133974567331</v>
      </c>
      <c r="K167" s="321">
        <v>84.729276991246337</v>
      </c>
      <c r="L167" s="321">
        <v>87.899420007925357</v>
      </c>
      <c r="M167" s="321">
        <v>91.069563024605685</v>
      </c>
      <c r="N167" s="321">
        <v>94.239706041284691</v>
      </c>
      <c r="O167" s="321">
        <v>97.409849057963697</v>
      </c>
      <c r="P167" s="321">
        <v>100.5799920746427</v>
      </c>
      <c r="Q167" s="321">
        <v>103.75013509132172</v>
      </c>
      <c r="R167" s="321">
        <v>106.92027810800205</v>
      </c>
      <c r="S167" s="321">
        <v>110.09042112468107</v>
      </c>
      <c r="T167" s="321">
        <v>113.26056414136008</v>
      </c>
      <c r="U167" s="321">
        <v>116.43070715803908</v>
      </c>
      <c r="V167" s="321">
        <v>119.6008501747181</v>
      </c>
      <c r="W167" s="321">
        <v>122.77099319139843</v>
      </c>
      <c r="X167" s="321">
        <v>125.94113620807745</v>
      </c>
      <c r="Y167" s="321">
        <v>129.11127922475646</v>
      </c>
      <c r="Z167" s="321">
        <v>132.28142224143545</v>
      </c>
      <c r="AA167" s="321">
        <v>135.45156525811447</v>
      </c>
      <c r="AB167" s="321">
        <v>138.6217082747948</v>
      </c>
      <c r="AC167" s="321">
        <v>141.79185129147382</v>
      </c>
      <c r="AD167" s="321">
        <v>144.96199430815284</v>
      </c>
      <c r="AE167" s="321">
        <v>148.13213732483183</v>
      </c>
      <c r="AF167" s="321">
        <v>151.30228034151085</v>
      </c>
    </row>
    <row r="168" spans="1:32" x14ac:dyDescent="0.25">
      <c r="A168" s="322"/>
      <c r="B168" s="322" t="s">
        <v>29</v>
      </c>
      <c r="G168" s="321" t="str">
        <v/>
      </c>
      <c r="H168" s="321" t="str">
        <v/>
      </c>
      <c r="I168" s="321" t="str">
        <v/>
      </c>
      <c r="J168" s="321" t="str">
        <v/>
      </c>
      <c r="K168" s="321" t="str">
        <v/>
      </c>
      <c r="L168" s="321" t="str">
        <v/>
      </c>
      <c r="M168" s="321" t="str">
        <v/>
      </c>
      <c r="N168" s="321" t="str">
        <v/>
      </c>
      <c r="O168" s="321" t="str">
        <v/>
      </c>
      <c r="P168" s="321" t="str">
        <v/>
      </c>
      <c r="Q168" s="321" t="str">
        <v/>
      </c>
      <c r="R168" s="321" t="str">
        <v/>
      </c>
      <c r="S168" s="321" t="str">
        <v/>
      </c>
      <c r="T168" s="321" t="str">
        <v/>
      </c>
      <c r="U168" s="321" t="str">
        <v/>
      </c>
      <c r="V168" s="321" t="str">
        <v/>
      </c>
      <c r="W168" s="321" t="str">
        <v/>
      </c>
      <c r="X168" s="321" t="str">
        <v/>
      </c>
      <c r="Y168" s="321" t="str">
        <v/>
      </c>
      <c r="Z168" s="321" t="str">
        <v/>
      </c>
      <c r="AA168" s="321" t="str">
        <v/>
      </c>
      <c r="AB168" s="321" t="str">
        <v/>
      </c>
      <c r="AC168" s="321" t="str">
        <v/>
      </c>
      <c r="AD168" s="321" t="str">
        <v/>
      </c>
      <c r="AE168" s="321" t="str">
        <v/>
      </c>
      <c r="AF168" s="321" t="str">
        <v/>
      </c>
    </row>
    <row r="169" spans="1:32" x14ac:dyDescent="0.25">
      <c r="A169" s="322"/>
      <c r="B169" s="322"/>
      <c r="G169" s="321" t="str">
        <v/>
      </c>
      <c r="H169" s="321" t="str">
        <v/>
      </c>
      <c r="I169" s="321" t="str">
        <v/>
      </c>
      <c r="J169" s="321" t="str">
        <v/>
      </c>
      <c r="K169" s="321" t="str">
        <v/>
      </c>
      <c r="L169" s="321" t="str">
        <v/>
      </c>
      <c r="M169" s="321" t="str">
        <v/>
      </c>
      <c r="N169" s="321" t="str">
        <v/>
      </c>
      <c r="O169" s="321" t="str">
        <v/>
      </c>
      <c r="P169" s="321" t="str">
        <v/>
      </c>
      <c r="Q169" s="321" t="str">
        <v/>
      </c>
      <c r="R169" s="321" t="str">
        <v/>
      </c>
      <c r="S169" s="321" t="str">
        <v/>
      </c>
      <c r="T169" s="321" t="str">
        <v/>
      </c>
      <c r="U169" s="321" t="str">
        <v/>
      </c>
      <c r="V169" s="321" t="str">
        <v/>
      </c>
      <c r="W169" s="321" t="str">
        <v/>
      </c>
      <c r="X169" s="321" t="str">
        <v/>
      </c>
      <c r="Y169" s="321" t="str">
        <v/>
      </c>
      <c r="Z169" s="321" t="str">
        <v/>
      </c>
      <c r="AA169" s="321" t="str">
        <v/>
      </c>
      <c r="AB169" s="321" t="str">
        <v/>
      </c>
      <c r="AC169" s="321" t="str">
        <v/>
      </c>
      <c r="AD169" s="321" t="str">
        <v/>
      </c>
      <c r="AE169" s="321" t="str">
        <v/>
      </c>
      <c r="AF169" s="321" t="str">
        <v/>
      </c>
    </row>
    <row r="170" spans="1:32" s="202" customFormat="1" ht="12.75" x14ac:dyDescent="0.2">
      <c r="A170" s="335" t="s">
        <v>42</v>
      </c>
      <c r="B170" s="335"/>
      <c r="C170" s="335"/>
      <c r="D170" s="335"/>
      <c r="E170" s="335"/>
      <c r="F170" s="335"/>
      <c r="G170" s="275" t="str">
        <v/>
      </c>
      <c r="H170" s="275" t="str">
        <v/>
      </c>
      <c r="I170" s="275" t="str">
        <v/>
      </c>
      <c r="J170" s="275" t="str">
        <v/>
      </c>
      <c r="K170" s="275" t="str">
        <v/>
      </c>
      <c r="L170" s="275" t="str">
        <v/>
      </c>
      <c r="M170" s="275" t="str">
        <v/>
      </c>
      <c r="N170" s="275" t="str">
        <v/>
      </c>
      <c r="O170" s="275" t="str">
        <v/>
      </c>
      <c r="P170" s="275" t="str">
        <v/>
      </c>
      <c r="Q170" s="275" t="str">
        <v/>
      </c>
      <c r="R170" s="275" t="str">
        <v/>
      </c>
      <c r="S170" s="275" t="str">
        <v/>
      </c>
      <c r="T170" s="275" t="str">
        <v/>
      </c>
      <c r="U170" s="275" t="str">
        <v/>
      </c>
      <c r="V170" s="275" t="str">
        <v/>
      </c>
      <c r="W170" s="275" t="str">
        <v/>
      </c>
      <c r="X170" s="275" t="str">
        <v/>
      </c>
      <c r="Y170" s="275" t="str">
        <v/>
      </c>
      <c r="Z170" s="275" t="str">
        <v/>
      </c>
      <c r="AA170" s="275" t="str">
        <v/>
      </c>
      <c r="AB170" s="275" t="str">
        <v/>
      </c>
      <c r="AC170" s="275" t="str">
        <v/>
      </c>
      <c r="AD170" s="275" t="str">
        <v/>
      </c>
      <c r="AE170" s="275" t="str">
        <v/>
      </c>
      <c r="AF170" s="275" t="str">
        <v/>
      </c>
    </row>
    <row r="171" spans="1:32" x14ac:dyDescent="0.25">
      <c r="A171" s="322"/>
      <c r="B171" s="328" t="s">
        <v>43</v>
      </c>
      <c r="G171" s="321">
        <v>83.029509405610625</v>
      </c>
      <c r="H171" s="321">
        <v>84.357981556100199</v>
      </c>
      <c r="I171" s="321">
        <v>85.686453706590271</v>
      </c>
      <c r="J171" s="321">
        <v>87.014925857079845</v>
      </c>
      <c r="K171" s="321">
        <v>88.343398007569405</v>
      </c>
      <c r="L171" s="321">
        <v>89.671870158059477</v>
      </c>
      <c r="M171" s="321">
        <v>91.000342308549051</v>
      </c>
      <c r="N171" s="321">
        <v>92.328814459039123</v>
      </c>
      <c r="O171" s="321">
        <v>93.657286609528697</v>
      </c>
      <c r="P171" s="321">
        <v>94.985758760018257</v>
      </c>
      <c r="Q171" s="321">
        <v>96.314230910508329</v>
      </c>
      <c r="R171" s="321">
        <v>97.642703060997903</v>
      </c>
      <c r="S171" s="321">
        <v>98.97117521148796</v>
      </c>
      <c r="T171" s="321">
        <v>100.29964736197755</v>
      </c>
      <c r="U171" s="321">
        <v>101.62811951246711</v>
      </c>
      <c r="V171" s="321">
        <v>102.95659166295718</v>
      </c>
      <c r="W171" s="321">
        <v>104.28506381344675</v>
      </c>
      <c r="X171" s="321">
        <v>105.61353596393681</v>
      </c>
      <c r="Y171" s="321">
        <v>106.94200811442639</v>
      </c>
      <c r="Z171" s="321">
        <v>108.27048026491596</v>
      </c>
      <c r="AA171" s="321">
        <v>109.59895241540603</v>
      </c>
      <c r="AB171" s="321">
        <v>110.92742456589561</v>
      </c>
      <c r="AC171" s="321">
        <v>112.25589671638566</v>
      </c>
      <c r="AD171" s="321">
        <v>113.58436886687524</v>
      </c>
      <c r="AE171" s="321">
        <v>114.9128410173648</v>
      </c>
      <c r="AF171" s="321">
        <v>116.24131316785488</v>
      </c>
    </row>
    <row r="172" spans="1:32" x14ac:dyDescent="0.25">
      <c r="A172" s="322"/>
      <c r="B172" s="328" t="s">
        <v>44</v>
      </c>
      <c r="G172" s="321">
        <v>83.029509405610625</v>
      </c>
      <c r="H172" s="321">
        <v>84.357981556100199</v>
      </c>
      <c r="I172" s="321">
        <v>85.686453706590271</v>
      </c>
      <c r="J172" s="321">
        <v>87.014925857079845</v>
      </c>
      <c r="K172" s="321">
        <v>88.343398007569405</v>
      </c>
      <c r="L172" s="321">
        <v>89.671870158059477</v>
      </c>
      <c r="M172" s="321">
        <v>91.000342308549051</v>
      </c>
      <c r="N172" s="321">
        <v>92.328814459039123</v>
      </c>
      <c r="O172" s="321">
        <v>93.657286609528697</v>
      </c>
      <c r="P172" s="321">
        <v>94.985758760018257</v>
      </c>
      <c r="Q172" s="321">
        <v>96.314230910508329</v>
      </c>
      <c r="R172" s="321">
        <v>97.642703060997903</v>
      </c>
      <c r="S172" s="321">
        <v>98.97117521148796</v>
      </c>
      <c r="T172" s="321">
        <v>100.29964736197755</v>
      </c>
      <c r="U172" s="321">
        <v>101.62811951246711</v>
      </c>
      <c r="V172" s="321">
        <v>102.95659166295718</v>
      </c>
      <c r="W172" s="321">
        <v>104.28506381344675</v>
      </c>
      <c r="X172" s="321">
        <v>105.61353596393681</v>
      </c>
      <c r="Y172" s="321">
        <v>106.94200811442639</v>
      </c>
      <c r="Z172" s="321">
        <v>108.27048026491596</v>
      </c>
      <c r="AA172" s="321">
        <v>109.59895241540603</v>
      </c>
      <c r="AB172" s="321">
        <v>110.92742456589561</v>
      </c>
      <c r="AC172" s="321">
        <v>112.25589671638566</v>
      </c>
      <c r="AD172" s="321">
        <v>113.58436886687524</v>
      </c>
      <c r="AE172" s="321">
        <v>114.9128410173648</v>
      </c>
      <c r="AF172" s="321">
        <v>116.24131316785488</v>
      </c>
    </row>
    <row r="173" spans="1:32" x14ac:dyDescent="0.25">
      <c r="A173" s="322"/>
      <c r="B173" s="328" t="s">
        <v>45</v>
      </c>
      <c r="G173" s="321">
        <v>83.029509405610625</v>
      </c>
      <c r="H173" s="321">
        <v>84.357981556100199</v>
      </c>
      <c r="I173" s="321">
        <v>85.686453706590271</v>
      </c>
      <c r="J173" s="321">
        <v>87.014925857079845</v>
      </c>
      <c r="K173" s="321">
        <v>88.343398007569405</v>
      </c>
      <c r="L173" s="321">
        <v>89.671870158059477</v>
      </c>
      <c r="M173" s="321">
        <v>91.000342308549051</v>
      </c>
      <c r="N173" s="321">
        <v>92.328814459039123</v>
      </c>
      <c r="O173" s="321">
        <v>93.657286609528697</v>
      </c>
      <c r="P173" s="321">
        <v>94.985758760018257</v>
      </c>
      <c r="Q173" s="321">
        <v>96.314230910508329</v>
      </c>
      <c r="R173" s="321">
        <v>97.642703060997903</v>
      </c>
      <c r="S173" s="321">
        <v>98.97117521148796</v>
      </c>
      <c r="T173" s="321">
        <v>100.29964736197755</v>
      </c>
      <c r="U173" s="321">
        <v>101.62811951246711</v>
      </c>
      <c r="V173" s="321">
        <v>102.95659166295718</v>
      </c>
      <c r="W173" s="321">
        <v>104.28506381344675</v>
      </c>
      <c r="X173" s="321">
        <v>105.61353596393681</v>
      </c>
      <c r="Y173" s="321">
        <v>106.94200811442639</v>
      </c>
      <c r="Z173" s="321">
        <v>108.27048026491596</v>
      </c>
      <c r="AA173" s="321">
        <v>109.59895241540603</v>
      </c>
      <c r="AB173" s="321">
        <v>110.92742456589561</v>
      </c>
      <c r="AC173" s="321">
        <v>112.25589671638566</v>
      </c>
      <c r="AD173" s="321">
        <v>113.58436886687524</v>
      </c>
      <c r="AE173" s="321">
        <v>114.9128410173648</v>
      </c>
      <c r="AF173" s="321">
        <v>116.24131316785488</v>
      </c>
    </row>
    <row r="174" spans="1:32" x14ac:dyDescent="0.25">
      <c r="A174" s="322"/>
      <c r="B174" s="328" t="s">
        <v>46</v>
      </c>
      <c r="G174" s="321">
        <v>83.029509405610625</v>
      </c>
      <c r="H174" s="321">
        <v>84.357981556100199</v>
      </c>
      <c r="I174" s="321">
        <v>85.686453706590271</v>
      </c>
      <c r="J174" s="321">
        <v>87.014925857079845</v>
      </c>
      <c r="K174" s="321">
        <v>88.343398007569405</v>
      </c>
      <c r="L174" s="321">
        <v>89.671870158059477</v>
      </c>
      <c r="M174" s="321">
        <v>91.000342308549051</v>
      </c>
      <c r="N174" s="321">
        <v>92.328814459039123</v>
      </c>
      <c r="O174" s="321">
        <v>93.657286609528697</v>
      </c>
      <c r="P174" s="321">
        <v>94.985758760018257</v>
      </c>
      <c r="Q174" s="321">
        <v>96.314230910508329</v>
      </c>
      <c r="R174" s="321">
        <v>97.642703060997903</v>
      </c>
      <c r="S174" s="321">
        <v>98.97117521148796</v>
      </c>
      <c r="T174" s="321">
        <v>100.29964736197755</v>
      </c>
      <c r="U174" s="321">
        <v>101.62811951246711</v>
      </c>
      <c r="V174" s="321">
        <v>102.95659166295718</v>
      </c>
      <c r="W174" s="321">
        <v>104.28506381344675</v>
      </c>
      <c r="X174" s="321">
        <v>105.61353596393681</v>
      </c>
      <c r="Y174" s="321">
        <v>106.94200811442639</v>
      </c>
      <c r="Z174" s="321">
        <v>108.27048026491596</v>
      </c>
      <c r="AA174" s="321">
        <v>109.59895241540603</v>
      </c>
      <c r="AB174" s="321">
        <v>110.92742456589561</v>
      </c>
      <c r="AC174" s="321">
        <v>112.25589671638566</v>
      </c>
      <c r="AD174" s="321">
        <v>113.58436886687524</v>
      </c>
      <c r="AE174" s="321">
        <v>114.9128410173648</v>
      </c>
      <c r="AF174" s="321">
        <v>116.24131316785488</v>
      </c>
    </row>
    <row r="175" spans="1:32" x14ac:dyDescent="0.25">
      <c r="A175" s="322"/>
      <c r="B175" s="322" t="s">
        <v>29</v>
      </c>
      <c r="G175" s="321" t="str">
        <v/>
      </c>
      <c r="H175" s="321" t="str">
        <v/>
      </c>
      <c r="I175" s="321" t="str">
        <v/>
      </c>
      <c r="J175" s="321" t="str">
        <v/>
      </c>
      <c r="K175" s="321" t="str">
        <v/>
      </c>
      <c r="L175" s="321" t="str">
        <v/>
      </c>
      <c r="M175" s="321" t="str">
        <v/>
      </c>
      <c r="N175" s="321" t="str">
        <v/>
      </c>
      <c r="O175" s="321" t="str">
        <v/>
      </c>
      <c r="P175" s="321" t="str">
        <v/>
      </c>
      <c r="Q175" s="321" t="str">
        <v/>
      </c>
      <c r="R175" s="321" t="str">
        <v/>
      </c>
      <c r="S175" s="321" t="str">
        <v/>
      </c>
      <c r="T175" s="321" t="str">
        <v/>
      </c>
      <c r="U175" s="321" t="str">
        <v/>
      </c>
      <c r="V175" s="321" t="str">
        <v/>
      </c>
      <c r="W175" s="321" t="str">
        <v/>
      </c>
      <c r="X175" s="321" t="str">
        <v/>
      </c>
      <c r="Y175" s="321" t="str">
        <v/>
      </c>
      <c r="Z175" s="321" t="str">
        <v/>
      </c>
      <c r="AA175" s="321" t="str">
        <v/>
      </c>
      <c r="AB175" s="321" t="str">
        <v/>
      </c>
      <c r="AC175" s="321" t="str">
        <v/>
      </c>
      <c r="AD175" s="321" t="str">
        <v/>
      </c>
      <c r="AE175" s="321" t="str">
        <v/>
      </c>
      <c r="AF175" s="321" t="str">
        <v/>
      </c>
    </row>
    <row r="176" spans="1:32" x14ac:dyDescent="0.25">
      <c r="A176" s="322"/>
      <c r="B176" s="322"/>
      <c r="G176" s="321" t="str">
        <v/>
      </c>
      <c r="H176" s="321" t="str">
        <v/>
      </c>
      <c r="I176" s="321" t="str">
        <v/>
      </c>
      <c r="J176" s="321" t="str">
        <v/>
      </c>
      <c r="K176" s="321" t="str">
        <v/>
      </c>
      <c r="L176" s="321" t="str">
        <v/>
      </c>
      <c r="M176" s="321" t="str">
        <v/>
      </c>
      <c r="N176" s="321" t="str">
        <v/>
      </c>
      <c r="O176" s="321" t="str">
        <v/>
      </c>
      <c r="P176" s="321" t="str">
        <v/>
      </c>
      <c r="Q176" s="321" t="str">
        <v/>
      </c>
      <c r="R176" s="321" t="str">
        <v/>
      </c>
      <c r="S176" s="321" t="str">
        <v/>
      </c>
      <c r="T176" s="321" t="str">
        <v/>
      </c>
      <c r="U176" s="321" t="str">
        <v/>
      </c>
      <c r="V176" s="321" t="str">
        <v/>
      </c>
      <c r="W176" s="321" t="str">
        <v/>
      </c>
      <c r="X176" s="321" t="str">
        <v/>
      </c>
      <c r="Y176" s="321" t="str">
        <v/>
      </c>
      <c r="Z176" s="321" t="str">
        <v/>
      </c>
      <c r="AA176" s="321" t="str">
        <v/>
      </c>
      <c r="AB176" s="321" t="str">
        <v/>
      </c>
      <c r="AC176" s="321" t="str">
        <v/>
      </c>
      <c r="AD176" s="321" t="str">
        <v/>
      </c>
      <c r="AE176" s="321" t="str">
        <v/>
      </c>
      <c r="AF176" s="321" t="str">
        <v/>
      </c>
    </row>
    <row r="177" spans="1:32" s="202" customFormat="1" ht="12.75" x14ac:dyDescent="0.2">
      <c r="A177" s="335" t="s">
        <v>47</v>
      </c>
      <c r="B177" s="335"/>
      <c r="C177" s="335"/>
      <c r="D177" s="335"/>
      <c r="E177" s="335"/>
      <c r="F177" s="335"/>
      <c r="G177" s="275" t="str">
        <v/>
      </c>
      <c r="H177" s="275" t="str">
        <v/>
      </c>
      <c r="I177" s="275" t="str">
        <v/>
      </c>
      <c r="J177" s="275" t="str">
        <v/>
      </c>
      <c r="K177" s="275" t="str">
        <v/>
      </c>
      <c r="L177" s="275" t="str">
        <v/>
      </c>
      <c r="M177" s="275" t="str">
        <v/>
      </c>
      <c r="N177" s="275" t="str">
        <v/>
      </c>
      <c r="O177" s="275" t="str">
        <v/>
      </c>
      <c r="P177" s="275" t="str">
        <v/>
      </c>
      <c r="Q177" s="275" t="str">
        <v/>
      </c>
      <c r="R177" s="275" t="str">
        <v/>
      </c>
      <c r="S177" s="275" t="str">
        <v/>
      </c>
      <c r="T177" s="275" t="str">
        <v/>
      </c>
      <c r="U177" s="275" t="str">
        <v/>
      </c>
      <c r="V177" s="275" t="str">
        <v/>
      </c>
      <c r="W177" s="275" t="str">
        <v/>
      </c>
      <c r="X177" s="275" t="str">
        <v/>
      </c>
      <c r="Y177" s="275" t="str">
        <v/>
      </c>
      <c r="Z177" s="275" t="str">
        <v/>
      </c>
      <c r="AA177" s="275" t="str">
        <v/>
      </c>
      <c r="AB177" s="275" t="str">
        <v/>
      </c>
      <c r="AC177" s="275" t="str">
        <v/>
      </c>
      <c r="AD177" s="275" t="str">
        <v/>
      </c>
      <c r="AE177" s="275" t="str">
        <v/>
      </c>
      <c r="AF177" s="275" t="str">
        <v/>
      </c>
    </row>
    <row r="178" spans="1:32" x14ac:dyDescent="0.25">
      <c r="A178" s="322"/>
      <c r="B178" s="322" t="s">
        <v>48</v>
      </c>
      <c r="G178" s="321" t="str">
        <v/>
      </c>
      <c r="H178" s="321" t="str">
        <v/>
      </c>
      <c r="I178" s="321" t="str">
        <v/>
      </c>
      <c r="J178" s="321" t="str">
        <v/>
      </c>
      <c r="K178" s="321" t="str">
        <v/>
      </c>
      <c r="L178" s="321" t="str">
        <v/>
      </c>
      <c r="M178" s="321" t="str">
        <v/>
      </c>
      <c r="N178" s="321" t="str">
        <v/>
      </c>
      <c r="O178" s="321" t="str">
        <v/>
      </c>
      <c r="P178" s="321" t="str">
        <v/>
      </c>
      <c r="Q178" s="321" t="str">
        <v/>
      </c>
      <c r="R178" s="321" t="str">
        <v/>
      </c>
      <c r="S178" s="321" t="str">
        <v/>
      </c>
      <c r="T178" s="321" t="str">
        <v/>
      </c>
      <c r="U178" s="321" t="str">
        <v/>
      </c>
      <c r="V178" s="321" t="str">
        <v/>
      </c>
      <c r="W178" s="321" t="str">
        <v/>
      </c>
      <c r="X178" s="321" t="str">
        <v/>
      </c>
      <c r="Y178" s="321" t="str">
        <v/>
      </c>
      <c r="Z178" s="321" t="str">
        <v/>
      </c>
      <c r="AA178" s="321" t="str">
        <v/>
      </c>
      <c r="AB178" s="321" t="str">
        <v/>
      </c>
      <c r="AC178" s="321" t="str">
        <v/>
      </c>
      <c r="AD178" s="321" t="str">
        <v/>
      </c>
      <c r="AE178" s="321" t="str">
        <v/>
      </c>
      <c r="AF178" s="321" t="str">
        <v/>
      </c>
    </row>
    <row r="179" spans="1:32" x14ac:dyDescent="0.25">
      <c r="A179" s="322"/>
      <c r="B179" s="328" t="s">
        <v>50</v>
      </c>
      <c r="G179" s="321" t="str">
        <v/>
      </c>
      <c r="H179" s="321" t="str">
        <v/>
      </c>
      <c r="I179" s="321" t="str">
        <v/>
      </c>
      <c r="J179" s="321" t="str">
        <v/>
      </c>
      <c r="K179" s="321" t="str">
        <v/>
      </c>
      <c r="L179" s="321" t="str">
        <v/>
      </c>
      <c r="M179" s="321" t="str">
        <v/>
      </c>
      <c r="N179" s="321" t="str">
        <v/>
      </c>
      <c r="O179" s="321" t="str">
        <v/>
      </c>
      <c r="P179" s="321" t="str">
        <v/>
      </c>
      <c r="Q179" s="321" t="str">
        <v/>
      </c>
      <c r="R179" s="321" t="str">
        <v/>
      </c>
      <c r="S179" s="321" t="str">
        <v/>
      </c>
      <c r="T179" s="321" t="str">
        <v/>
      </c>
      <c r="U179" s="321" t="str">
        <v/>
      </c>
      <c r="V179" s="321" t="str">
        <v/>
      </c>
      <c r="W179" s="321" t="str">
        <v/>
      </c>
      <c r="X179" s="321" t="str">
        <v/>
      </c>
      <c r="Y179" s="321" t="str">
        <v/>
      </c>
      <c r="Z179" s="321" t="str">
        <v/>
      </c>
      <c r="AA179" s="321" t="str">
        <v/>
      </c>
      <c r="AB179" s="321" t="str">
        <v/>
      </c>
      <c r="AC179" s="321" t="str">
        <v/>
      </c>
      <c r="AD179" s="321" t="str">
        <v/>
      </c>
      <c r="AE179" s="321" t="str">
        <v/>
      </c>
      <c r="AF179" s="321" t="str">
        <v/>
      </c>
    </row>
    <row r="180" spans="1:32" x14ac:dyDescent="0.25">
      <c r="A180" s="322"/>
      <c r="B180" s="322" t="s">
        <v>51</v>
      </c>
      <c r="G180" s="321" t="str">
        <v/>
      </c>
      <c r="H180" s="321" t="str">
        <v/>
      </c>
      <c r="I180" s="321" t="str">
        <v/>
      </c>
      <c r="J180" s="321" t="str">
        <v/>
      </c>
      <c r="K180" s="321" t="str">
        <v/>
      </c>
      <c r="L180" s="321" t="str">
        <v/>
      </c>
      <c r="M180" s="321" t="str">
        <v/>
      </c>
      <c r="N180" s="321" t="str">
        <v/>
      </c>
      <c r="O180" s="321" t="str">
        <v/>
      </c>
      <c r="P180" s="321" t="str">
        <v/>
      </c>
      <c r="Q180" s="321" t="str">
        <v/>
      </c>
      <c r="R180" s="321" t="str">
        <v/>
      </c>
      <c r="S180" s="321" t="str">
        <v/>
      </c>
      <c r="T180" s="321" t="str">
        <v/>
      </c>
      <c r="U180" s="321" t="str">
        <v/>
      </c>
      <c r="V180" s="321" t="str">
        <v/>
      </c>
      <c r="W180" s="321" t="str">
        <v/>
      </c>
      <c r="X180" s="321" t="str">
        <v/>
      </c>
      <c r="Y180" s="321" t="str">
        <v/>
      </c>
      <c r="Z180" s="321" t="str">
        <v/>
      </c>
      <c r="AA180" s="321" t="str">
        <v/>
      </c>
      <c r="AB180" s="321" t="str">
        <v/>
      </c>
      <c r="AC180" s="321" t="str">
        <v/>
      </c>
      <c r="AD180" s="321" t="str">
        <v/>
      </c>
      <c r="AE180" s="321" t="str">
        <v/>
      </c>
      <c r="AF180" s="321" t="str">
        <v/>
      </c>
    </row>
    <row r="181" spans="1:32" x14ac:dyDescent="0.25">
      <c r="A181" s="322"/>
      <c r="B181" s="322" t="s">
        <v>52</v>
      </c>
      <c r="G181" s="321">
        <v>74.123183901651231</v>
      </c>
      <c r="H181" s="321">
        <v>77.384603993324973</v>
      </c>
      <c r="I181" s="321">
        <v>80.64602408499735</v>
      </c>
      <c r="J181" s="321">
        <v>83.907444176669742</v>
      </c>
      <c r="K181" s="321">
        <v>87.168864268342119</v>
      </c>
      <c r="L181" s="321">
        <v>90.430284360014511</v>
      </c>
      <c r="M181" s="321">
        <v>93.691704451688238</v>
      </c>
      <c r="N181" s="321">
        <v>96.95312454336063</v>
      </c>
      <c r="O181" s="321">
        <v>100.21454463503301</v>
      </c>
      <c r="P181" s="321">
        <v>103.47596472670539</v>
      </c>
      <c r="Q181" s="321">
        <v>106.73738481837778</v>
      </c>
      <c r="R181" s="321">
        <v>109.99880491005152</v>
      </c>
      <c r="S181" s="321">
        <v>113.26022500172391</v>
      </c>
      <c r="T181" s="321">
        <v>116.52164509339629</v>
      </c>
      <c r="U181" s="321">
        <v>119.78306518506865</v>
      </c>
      <c r="V181" s="321">
        <v>123.04448527674106</v>
      </c>
      <c r="W181" s="321">
        <v>126.30590536841478</v>
      </c>
      <c r="X181" s="321">
        <v>129.56732546008718</v>
      </c>
      <c r="Y181" s="321">
        <v>132.82874555175957</v>
      </c>
      <c r="Z181" s="321">
        <v>136.09016564343193</v>
      </c>
      <c r="AA181" s="321">
        <v>139.35158573510432</v>
      </c>
      <c r="AB181" s="321">
        <v>142.61300582677805</v>
      </c>
      <c r="AC181" s="321">
        <v>145.87442591845044</v>
      </c>
      <c r="AD181" s="321">
        <v>149.13584601012283</v>
      </c>
      <c r="AE181" s="321">
        <v>152.3972661017952</v>
      </c>
      <c r="AF181" s="321">
        <v>155.65868619346759</v>
      </c>
    </row>
    <row r="182" spans="1:32" x14ac:dyDescent="0.25">
      <c r="A182" s="322"/>
      <c r="B182" s="328" t="s">
        <v>29</v>
      </c>
      <c r="G182" s="321" t="str">
        <v/>
      </c>
      <c r="H182" s="321" t="str">
        <v/>
      </c>
      <c r="I182" s="321" t="str">
        <v/>
      </c>
      <c r="J182" s="321" t="str">
        <v/>
      </c>
      <c r="K182" s="321" t="str">
        <v/>
      </c>
      <c r="L182" s="321" t="str">
        <v/>
      </c>
      <c r="M182" s="321" t="str">
        <v/>
      </c>
      <c r="N182" s="321" t="str">
        <v/>
      </c>
      <c r="O182" s="321" t="str">
        <v/>
      </c>
      <c r="P182" s="321" t="str">
        <v/>
      </c>
      <c r="Q182" s="321" t="str">
        <v/>
      </c>
      <c r="R182" s="321" t="str">
        <v/>
      </c>
      <c r="S182" s="321" t="str">
        <v/>
      </c>
      <c r="T182" s="321" t="str">
        <v/>
      </c>
      <c r="U182" s="321" t="str">
        <v/>
      </c>
      <c r="V182" s="321" t="str">
        <v/>
      </c>
      <c r="W182" s="321" t="str">
        <v/>
      </c>
      <c r="X182" s="321" t="str">
        <v/>
      </c>
      <c r="Y182" s="321" t="str">
        <v/>
      </c>
      <c r="Z182" s="321" t="str">
        <v/>
      </c>
      <c r="AA182" s="321" t="str">
        <v/>
      </c>
      <c r="AB182" s="321" t="str">
        <v/>
      </c>
      <c r="AC182" s="321" t="str">
        <v/>
      </c>
      <c r="AD182" s="321" t="str">
        <v/>
      </c>
      <c r="AE182" s="321" t="str">
        <v/>
      </c>
      <c r="AF182" s="321" t="str">
        <v/>
      </c>
    </row>
    <row r="183" spans="1:32" x14ac:dyDescent="0.25">
      <c r="A183" s="322"/>
      <c r="B183" s="328" t="s">
        <v>53</v>
      </c>
      <c r="G183" s="321" t="str">
        <v/>
      </c>
      <c r="H183" s="321" t="str">
        <v/>
      </c>
      <c r="I183" s="321" t="str">
        <v/>
      </c>
      <c r="J183" s="321" t="str">
        <v/>
      </c>
      <c r="K183" s="321" t="str">
        <v/>
      </c>
      <c r="L183" s="321" t="str">
        <v/>
      </c>
      <c r="M183" s="321" t="str">
        <v/>
      </c>
      <c r="N183" s="321" t="str">
        <v/>
      </c>
      <c r="O183" s="321" t="str">
        <v/>
      </c>
      <c r="P183" s="321" t="str">
        <v/>
      </c>
      <c r="Q183" s="321" t="str">
        <v/>
      </c>
      <c r="R183" s="321" t="str">
        <v/>
      </c>
      <c r="S183" s="321" t="str">
        <v/>
      </c>
      <c r="T183" s="321" t="str">
        <v/>
      </c>
      <c r="U183" s="321" t="str">
        <v/>
      </c>
      <c r="V183" s="321" t="str">
        <v/>
      </c>
      <c r="W183" s="321" t="str">
        <v/>
      </c>
      <c r="X183" s="321" t="str">
        <v/>
      </c>
      <c r="Y183" s="321" t="str">
        <v/>
      </c>
      <c r="Z183" s="321" t="str">
        <v/>
      </c>
      <c r="AA183" s="321" t="str">
        <v/>
      </c>
      <c r="AB183" s="321" t="str">
        <v/>
      </c>
      <c r="AC183" s="321" t="str">
        <v/>
      </c>
      <c r="AD183" s="321" t="str">
        <v/>
      </c>
      <c r="AE183" s="321" t="str">
        <v/>
      </c>
      <c r="AF183" s="321" t="str">
        <v/>
      </c>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7030A0"/>
  </sheetPr>
  <dimension ref="A1:AF363"/>
  <sheetViews>
    <sheetView topLeftCell="C1" zoomScale="59" zoomScaleNormal="59" workbookViewId="0">
      <selection activeCell="F37" sqref="F37"/>
    </sheetView>
  </sheetViews>
  <sheetFormatPr defaultRowHeight="15" x14ac:dyDescent="0.25"/>
  <cols>
    <col min="5" max="6" width="9.140625" customWidth="1"/>
    <col min="7" max="7" width="10.28515625" customWidth="1"/>
  </cols>
  <sheetData>
    <row r="1" spans="1:32" ht="18" x14ac:dyDescent="0.4">
      <c r="A1" s="330" t="s">
        <v>559</v>
      </c>
      <c r="B1" s="322"/>
      <c r="C1" s="322"/>
      <c r="D1" s="322"/>
      <c r="G1" s="322"/>
      <c r="H1" s="322"/>
      <c r="I1" s="322"/>
      <c r="J1" s="322"/>
      <c r="K1" s="322"/>
      <c r="L1" s="322"/>
      <c r="M1" s="322"/>
      <c r="N1" s="322"/>
      <c r="O1" s="322"/>
      <c r="P1" s="322"/>
      <c r="Q1" s="322"/>
      <c r="R1" s="322"/>
      <c r="S1" s="322"/>
      <c r="T1" s="322"/>
      <c r="U1" s="322"/>
      <c r="V1" s="322"/>
      <c r="W1" s="322"/>
      <c r="X1" s="322"/>
      <c r="Y1" s="322"/>
      <c r="Z1" s="322"/>
      <c r="AA1" s="322"/>
      <c r="AB1" s="322"/>
      <c r="AC1" s="322"/>
      <c r="AD1" s="322"/>
      <c r="AE1" s="322"/>
      <c r="AF1" s="322"/>
    </row>
    <row r="2" spans="1:32" ht="14.45" x14ac:dyDescent="0.35">
      <c r="A2" s="1040" t="s">
        <v>672</v>
      </c>
      <c r="B2" s="322"/>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row>
    <row r="3" spans="1:32" ht="14.45" x14ac:dyDescent="0.35">
      <c r="A3" s="322" t="s">
        <v>686</v>
      </c>
      <c r="B3" s="322"/>
      <c r="C3" s="322"/>
      <c r="D3" s="322"/>
      <c r="E3" s="322"/>
      <c r="F3" s="322"/>
      <c r="G3" s="323">
        <v>2010</v>
      </c>
      <c r="H3" s="323">
        <v>2011</v>
      </c>
      <c r="I3" s="323">
        <v>2012</v>
      </c>
      <c r="J3" s="323">
        <v>2013</v>
      </c>
      <c r="K3" s="323">
        <v>2014</v>
      </c>
      <c r="L3" s="323">
        <v>2015</v>
      </c>
      <c r="M3" s="323">
        <v>2016</v>
      </c>
      <c r="N3" s="323">
        <v>2017</v>
      </c>
      <c r="O3" s="323">
        <v>2018</v>
      </c>
      <c r="P3" s="323">
        <v>2019</v>
      </c>
      <c r="Q3" s="323">
        <v>2020</v>
      </c>
      <c r="R3" s="323">
        <v>2021</v>
      </c>
      <c r="S3" s="323">
        <v>2022</v>
      </c>
      <c r="T3" s="323">
        <v>2023</v>
      </c>
      <c r="U3" s="323">
        <v>2024</v>
      </c>
      <c r="V3" s="323">
        <v>2025</v>
      </c>
      <c r="W3" s="323">
        <v>2026</v>
      </c>
      <c r="X3" s="323">
        <v>2027</v>
      </c>
      <c r="Y3" s="323">
        <v>2028</v>
      </c>
      <c r="Z3" s="323">
        <v>2029</v>
      </c>
      <c r="AA3" s="323">
        <v>2030</v>
      </c>
      <c r="AB3" s="323">
        <v>2031</v>
      </c>
      <c r="AC3" s="323">
        <v>2032</v>
      </c>
      <c r="AD3" s="323">
        <v>2033</v>
      </c>
      <c r="AE3" s="323">
        <v>2034</v>
      </c>
      <c r="AF3" s="323">
        <v>2035</v>
      </c>
    </row>
    <row r="5" spans="1:32" ht="14.45" x14ac:dyDescent="0.35">
      <c r="A5" s="326" t="s">
        <v>188</v>
      </c>
      <c r="B5" s="327"/>
      <c r="C5" s="327"/>
      <c r="D5" s="327"/>
      <c r="E5" s="327"/>
      <c r="F5" s="327"/>
      <c r="G5" s="866" t="s">
        <v>523</v>
      </c>
      <c r="H5" s="327"/>
      <c r="I5" s="327"/>
      <c r="J5" s="327"/>
      <c r="K5" s="327"/>
      <c r="L5" s="327"/>
      <c r="M5" s="327"/>
      <c r="N5" s="327"/>
      <c r="O5" s="327"/>
      <c r="P5" s="327"/>
      <c r="Q5" s="327"/>
      <c r="R5" s="327"/>
      <c r="S5" s="327"/>
      <c r="T5" s="327"/>
      <c r="U5" s="327"/>
      <c r="V5" s="327"/>
      <c r="W5" s="327"/>
      <c r="X5" s="327"/>
      <c r="Y5" s="327"/>
      <c r="Z5" s="327"/>
      <c r="AA5" s="327"/>
      <c r="AB5" s="327"/>
      <c r="AC5" s="327"/>
      <c r="AD5" s="327"/>
      <c r="AE5" s="327"/>
      <c r="AF5" s="327"/>
    </row>
    <row r="6" spans="1:32" ht="14.45" x14ac:dyDescent="0.35">
      <c r="A6" s="323" t="s">
        <v>12</v>
      </c>
      <c r="B6" s="322"/>
      <c r="G6" s="221"/>
    </row>
    <row r="7" spans="1:32" ht="14.45" x14ac:dyDescent="0.35">
      <c r="A7" s="322"/>
      <c r="B7" s="322" t="s">
        <v>20</v>
      </c>
    </row>
    <row r="8" spans="1:32" s="202" customFormat="1" ht="12.95" x14ac:dyDescent="0.3">
      <c r="A8" s="335" t="s">
        <v>21</v>
      </c>
      <c r="B8" s="335"/>
      <c r="C8" s="335"/>
      <c r="D8" s="335"/>
      <c r="E8" s="335"/>
      <c r="F8" s="335"/>
      <c r="G8" s="335"/>
      <c r="H8" s="335"/>
      <c r="I8" s="335"/>
      <c r="J8" s="335"/>
      <c r="K8" s="335"/>
      <c r="L8" s="335"/>
      <c r="M8" s="335"/>
      <c r="N8" s="335"/>
      <c r="O8" s="335"/>
      <c r="P8" s="335"/>
      <c r="Q8" s="335"/>
      <c r="R8" s="335"/>
      <c r="S8" s="335"/>
      <c r="T8" s="335"/>
      <c r="U8" s="335"/>
      <c r="V8" s="335"/>
      <c r="W8" s="335"/>
      <c r="X8" s="335"/>
      <c r="Y8" s="335"/>
      <c r="Z8" s="335"/>
      <c r="AA8" s="335"/>
      <c r="AB8" s="335"/>
      <c r="AC8" s="335"/>
      <c r="AD8" s="335"/>
      <c r="AE8" s="335"/>
      <c r="AF8" s="335"/>
    </row>
    <row r="9" spans="1:32" ht="14.45" x14ac:dyDescent="0.35">
      <c r="A9" s="322"/>
      <c r="B9" s="322" t="s">
        <v>22</v>
      </c>
      <c r="G9" s="276">
        <f t="array" ref="G9:AF39">IFERROR(IF(ISNUMBER(Perform_Proj!G345:AF375),Perform_Proj!G345:AF375*Lamps_per_Ballast_Com/(Lumens/1000)+Perform_Active!X10:X40,""),1000)</f>
        <v>0.60185853916895371</v>
      </c>
      <c r="H9" s="276">
        <v>0.59884924647310955</v>
      </c>
      <c r="I9" s="276">
        <v>0.59583995377726429</v>
      </c>
      <c r="J9" s="276">
        <v>0.59283066108142013</v>
      </c>
      <c r="K9" s="276">
        <v>0.58982136838557486</v>
      </c>
      <c r="L9" s="276">
        <v>0.5868120756897296</v>
      </c>
      <c r="M9" s="276">
        <v>0.58380278299388544</v>
      </c>
      <c r="N9" s="276">
        <v>0.58079349029804017</v>
      </c>
      <c r="O9" s="276">
        <v>0.57778419760219601</v>
      </c>
      <c r="P9" s="276">
        <v>0.57477490490635086</v>
      </c>
      <c r="Q9" s="276">
        <v>0.5717656122105067</v>
      </c>
      <c r="R9" s="276">
        <v>0.56875631951466143</v>
      </c>
      <c r="S9" s="276">
        <v>0.56574702681881728</v>
      </c>
      <c r="T9" s="276">
        <v>0.56273773412297201</v>
      </c>
      <c r="U9" s="276">
        <v>0.55972844142712674</v>
      </c>
      <c r="V9" s="276">
        <v>0.55671914873128259</v>
      </c>
      <c r="W9" s="276">
        <v>0.55370985603543732</v>
      </c>
      <c r="X9" s="276">
        <v>0.55070056333959316</v>
      </c>
      <c r="Y9" s="276">
        <v>0.5476912706437479</v>
      </c>
      <c r="Z9" s="276">
        <v>0.54468197794790374</v>
      </c>
      <c r="AA9" s="276">
        <v>0.54167268525205858</v>
      </c>
      <c r="AB9" s="276">
        <v>0.53866339255621432</v>
      </c>
      <c r="AC9" s="276">
        <v>0.53565409986036916</v>
      </c>
      <c r="AD9" s="276">
        <v>0.53264480716452389</v>
      </c>
      <c r="AE9" s="276">
        <v>0.52963551446867974</v>
      </c>
      <c r="AF9" s="276">
        <v>0.52662622177283447</v>
      </c>
    </row>
    <row r="10" spans="1:32" ht="14.45" x14ac:dyDescent="0.35">
      <c r="A10" s="322"/>
      <c r="B10" s="322" t="s">
        <v>26</v>
      </c>
      <c r="G10" s="276">
        <v>2.5082508250825111</v>
      </c>
      <c r="H10" s="276">
        <v>2.4957095709570996</v>
      </c>
      <c r="I10" s="276">
        <v>2.4831683168316836</v>
      </c>
      <c r="J10" s="276">
        <v>2.4706270627062721</v>
      </c>
      <c r="K10" s="276">
        <v>2.4580858085808606</v>
      </c>
      <c r="L10" s="276">
        <v>2.445544554455449</v>
      </c>
      <c r="M10" s="276">
        <v>2.4330033003300331</v>
      </c>
      <c r="N10" s="276">
        <v>2.4204620462046216</v>
      </c>
      <c r="O10" s="276">
        <v>2.4079207920792101</v>
      </c>
      <c r="P10" s="276">
        <v>2.3953795379537985</v>
      </c>
      <c r="Q10" s="276">
        <v>2.3828382838283875</v>
      </c>
      <c r="R10" s="276">
        <v>2.3702970297029711</v>
      </c>
      <c r="S10" s="276">
        <v>2.3577557755775596</v>
      </c>
      <c r="T10" s="276">
        <v>2.345214521452148</v>
      </c>
      <c r="U10" s="276">
        <v>2.332673267326737</v>
      </c>
      <c r="V10" s="276">
        <v>2.3201320132013206</v>
      </c>
      <c r="W10" s="276">
        <v>2.307590759075909</v>
      </c>
      <c r="X10" s="276">
        <v>2.2950495049504975</v>
      </c>
      <c r="Y10" s="276">
        <v>2.2825082508250865</v>
      </c>
      <c r="Z10" s="276">
        <v>2.2699669966996701</v>
      </c>
      <c r="AA10" s="276">
        <v>2.2574257425742585</v>
      </c>
      <c r="AB10" s="276">
        <v>2.244884488448847</v>
      </c>
      <c r="AC10" s="276">
        <v>2.232343234323436</v>
      </c>
      <c r="AD10" s="276">
        <v>2.2198019801980196</v>
      </c>
      <c r="AE10" s="276">
        <v>2.207260726072608</v>
      </c>
      <c r="AF10" s="276">
        <v>2.1947194719471965</v>
      </c>
    </row>
    <row r="11" spans="1:32" ht="14.45" x14ac:dyDescent="0.35">
      <c r="A11" s="322"/>
      <c r="B11" s="322" t="s">
        <v>27</v>
      </c>
      <c r="G11" s="276">
        <v>3.3692722371967614</v>
      </c>
      <c r="H11" s="276">
        <v>3.3524258760107766</v>
      </c>
      <c r="I11" s="276">
        <v>3.3355795148247922</v>
      </c>
      <c r="J11" s="276">
        <v>3.3187331536388078</v>
      </c>
      <c r="K11" s="276">
        <v>3.3018867924528275</v>
      </c>
      <c r="L11" s="276">
        <v>3.2850404312668431</v>
      </c>
      <c r="M11" s="276">
        <v>3.2681940700808583</v>
      </c>
      <c r="N11" s="276">
        <v>3.2513477088948739</v>
      </c>
      <c r="O11" s="276">
        <v>3.2345013477088895</v>
      </c>
      <c r="P11" s="276">
        <v>3.2176549865229052</v>
      </c>
      <c r="Q11" s="276">
        <v>3.2008086253369243</v>
      </c>
      <c r="R11" s="276">
        <v>3.18396226415094</v>
      </c>
      <c r="S11" s="276">
        <v>3.1671159029649556</v>
      </c>
      <c r="T11" s="276">
        <v>3.1502695417789712</v>
      </c>
      <c r="U11" s="276">
        <v>3.1334231805929869</v>
      </c>
      <c r="V11" s="276">
        <v>3.116576819407002</v>
      </c>
      <c r="W11" s="276">
        <v>3.0997304582210177</v>
      </c>
      <c r="X11" s="276">
        <v>3.0828840970350373</v>
      </c>
      <c r="Y11" s="276">
        <v>3.0660377358490529</v>
      </c>
      <c r="Z11" s="276">
        <v>3.0491913746630686</v>
      </c>
      <c r="AA11" s="276">
        <v>3.0323450134770837</v>
      </c>
      <c r="AB11" s="276">
        <v>3.0154986522910994</v>
      </c>
      <c r="AC11" s="276">
        <v>2.998652291105115</v>
      </c>
      <c r="AD11" s="276">
        <v>2.9818059299191346</v>
      </c>
      <c r="AE11" s="276">
        <v>2.9649595687331498</v>
      </c>
      <c r="AF11" s="276">
        <v>2.9481132075471654</v>
      </c>
    </row>
    <row r="12" spans="1:32" ht="14.45" x14ac:dyDescent="0.35">
      <c r="A12" s="322"/>
      <c r="B12" s="322" t="s">
        <v>29</v>
      </c>
      <c r="G12" s="276">
        <v>55.155329646773986</v>
      </c>
      <c r="H12" s="276">
        <v>30.953643679604006</v>
      </c>
      <c r="I12" s="276">
        <v>21.520165869313075</v>
      </c>
      <c r="J12" s="276">
        <v>16.497391851598039</v>
      </c>
      <c r="K12" s="276">
        <v>13.378071099176921</v>
      </c>
      <c r="L12" s="276">
        <v>11.252554117006513</v>
      </c>
      <c r="M12" s="276">
        <v>9.7111678707816154</v>
      </c>
      <c r="N12" s="276">
        <v>8.5422078553861791</v>
      </c>
      <c r="O12" s="276">
        <v>7.6252457176183945</v>
      </c>
      <c r="P12" s="276">
        <v>6.8867236082633214</v>
      </c>
      <c r="Q12" s="276">
        <v>6.2791737149410762</v>
      </c>
      <c r="R12" s="276">
        <v>5.7705931532247527</v>
      </c>
      <c r="S12" s="276">
        <v>5.3386202486883549</v>
      </c>
      <c r="T12" s="276">
        <v>4.967158181119177</v>
      </c>
      <c r="U12" s="276">
        <v>4.6443246364914899</v>
      </c>
      <c r="V12" s="276">
        <v>4.3611572297283203</v>
      </c>
      <c r="W12" s="276">
        <v>4.1107684974870606</v>
      </c>
      <c r="X12" s="276">
        <v>3.8877782829617891</v>
      </c>
      <c r="Y12" s="276">
        <v>3.6879227869738203</v>
      </c>
      <c r="Z12" s="276">
        <v>3.5077792984603033</v>
      </c>
      <c r="AA12" s="276">
        <v>3.3445685475253426</v>
      </c>
      <c r="AB12" s="276">
        <v>3.1960102906598928</v>
      </c>
      <c r="AC12" s="276">
        <v>3.0602161202015741</v>
      </c>
      <c r="AD12" s="276">
        <v>2.9356087650814362</v>
      </c>
      <c r="AE12" s="276">
        <v>2.8208605467395804</v>
      </c>
      <c r="AF12" s="276">
        <v>2.7148458875177668</v>
      </c>
    </row>
    <row r="13" spans="1:32" ht="14.45" x14ac:dyDescent="0.35">
      <c r="A13" s="322"/>
      <c r="B13" s="322"/>
      <c r="G13" s="276" t="str">
        <v/>
      </c>
      <c r="H13" s="276" t="str">
        <v/>
      </c>
      <c r="I13" s="276" t="str">
        <v/>
      </c>
      <c r="J13" s="276" t="str">
        <v/>
      </c>
      <c r="K13" s="276" t="str">
        <v/>
      </c>
      <c r="L13" s="276" t="str">
        <v/>
      </c>
      <c r="M13" s="276" t="str">
        <v/>
      </c>
      <c r="N13" s="276" t="str">
        <v/>
      </c>
      <c r="O13" s="276" t="str">
        <v/>
      </c>
      <c r="P13" s="276" t="str">
        <v/>
      </c>
      <c r="Q13" s="276" t="str">
        <v/>
      </c>
      <c r="R13" s="276" t="str">
        <v/>
      </c>
      <c r="S13" s="276" t="str">
        <v/>
      </c>
      <c r="T13" s="276" t="str">
        <v/>
      </c>
      <c r="U13" s="276" t="str">
        <v/>
      </c>
      <c r="V13" s="276" t="str">
        <v/>
      </c>
      <c r="W13" s="276" t="str">
        <v/>
      </c>
      <c r="X13" s="276" t="str">
        <v/>
      </c>
      <c r="Y13" s="276" t="str">
        <v/>
      </c>
      <c r="Z13" s="276" t="str">
        <v/>
      </c>
      <c r="AA13" s="276" t="str">
        <v/>
      </c>
      <c r="AB13" s="276" t="str">
        <v/>
      </c>
      <c r="AC13" s="276" t="str">
        <v/>
      </c>
      <c r="AD13" s="276" t="str">
        <v/>
      </c>
      <c r="AE13" s="276" t="str">
        <v/>
      </c>
      <c r="AF13" s="276" t="str">
        <v/>
      </c>
    </row>
    <row r="14" spans="1:32" s="202" customFormat="1" ht="12.95" x14ac:dyDescent="0.3">
      <c r="A14" s="335" t="s">
        <v>32</v>
      </c>
      <c r="B14" s="335"/>
      <c r="C14" s="335"/>
      <c r="D14" s="335"/>
      <c r="E14" s="335"/>
      <c r="F14" s="335"/>
      <c r="G14" s="274" t="str">
        <v/>
      </c>
      <c r="H14" s="274" t="str">
        <v/>
      </c>
      <c r="I14" s="274" t="str">
        <v/>
      </c>
      <c r="J14" s="274" t="str">
        <v/>
      </c>
      <c r="K14" s="274" t="str">
        <v/>
      </c>
      <c r="L14" s="274" t="str">
        <v/>
      </c>
      <c r="M14" s="274" t="str">
        <v/>
      </c>
      <c r="N14" s="274" t="str">
        <v/>
      </c>
      <c r="O14" s="274" t="str">
        <v/>
      </c>
      <c r="P14" s="274" t="str">
        <v/>
      </c>
      <c r="Q14" s="274" t="str">
        <v/>
      </c>
      <c r="R14" s="274" t="str">
        <v/>
      </c>
      <c r="S14" s="274" t="str">
        <v/>
      </c>
      <c r="T14" s="274" t="str">
        <v/>
      </c>
      <c r="U14" s="274" t="str">
        <v/>
      </c>
      <c r="V14" s="274" t="str">
        <v/>
      </c>
      <c r="W14" s="274" t="str">
        <v/>
      </c>
      <c r="X14" s="274" t="str">
        <v/>
      </c>
      <c r="Y14" s="274" t="str">
        <v/>
      </c>
      <c r="Z14" s="274" t="str">
        <v/>
      </c>
      <c r="AA14" s="274" t="str">
        <v/>
      </c>
      <c r="AB14" s="274" t="str">
        <v/>
      </c>
      <c r="AC14" s="274" t="str">
        <v/>
      </c>
      <c r="AD14" s="274" t="str">
        <v/>
      </c>
      <c r="AE14" s="274" t="str">
        <v/>
      </c>
      <c r="AF14" s="274" t="str">
        <v/>
      </c>
    </row>
    <row r="15" spans="1:32" ht="14.45" x14ac:dyDescent="0.35">
      <c r="A15" s="322"/>
      <c r="B15" s="322" t="s">
        <v>33</v>
      </c>
      <c r="G15" s="276">
        <v>4.3982860872279472</v>
      </c>
      <c r="H15" s="276">
        <v>4.3762946567918037</v>
      </c>
      <c r="I15" s="276">
        <v>4.3543032263556647</v>
      </c>
      <c r="J15" s="276">
        <v>4.3323117959195256</v>
      </c>
      <c r="K15" s="276">
        <v>4.3103203654833866</v>
      </c>
      <c r="L15" s="276">
        <v>4.2883289350472475</v>
      </c>
      <c r="M15" s="276">
        <v>4.2663375046111041</v>
      </c>
      <c r="N15" s="276">
        <v>4.244346074174965</v>
      </c>
      <c r="O15" s="276">
        <v>4.222354643738826</v>
      </c>
      <c r="P15" s="276">
        <v>4.2003632133026878</v>
      </c>
      <c r="Q15" s="276">
        <v>4.1783717828665488</v>
      </c>
      <c r="R15" s="276">
        <v>4.1563803524304097</v>
      </c>
      <c r="S15" s="276">
        <v>4.1343889219942653</v>
      </c>
      <c r="T15" s="276">
        <v>4.1123974915581272</v>
      </c>
      <c r="U15" s="276">
        <v>4.0904060611219881</v>
      </c>
      <c r="V15" s="276">
        <v>4.0684146306858491</v>
      </c>
      <c r="W15" s="276">
        <v>4.04642320024971</v>
      </c>
      <c r="X15" s="276">
        <v>4.024431769813571</v>
      </c>
      <c r="Y15" s="276">
        <v>4.0024403393774275</v>
      </c>
      <c r="Z15" s="276">
        <v>3.9804489089412884</v>
      </c>
      <c r="AA15" s="276">
        <v>3.9584574785051498</v>
      </c>
      <c r="AB15" s="276">
        <v>3.9364660480690108</v>
      </c>
      <c r="AC15" s="276">
        <v>3.9144746176328717</v>
      </c>
      <c r="AD15" s="276">
        <v>3.8924831871967331</v>
      </c>
      <c r="AE15" s="276">
        <v>3.8704917567605892</v>
      </c>
      <c r="AF15" s="276">
        <v>3.8485003263244502</v>
      </c>
    </row>
    <row r="16" spans="1:32" ht="14.45" x14ac:dyDescent="0.35">
      <c r="A16" s="328"/>
      <c r="B16" s="328" t="s">
        <v>34</v>
      </c>
      <c r="G16" s="276">
        <v>4.9091801669121287</v>
      </c>
      <c r="H16" s="276">
        <v>4.884634266077569</v>
      </c>
      <c r="I16" s="276">
        <v>5.8119818812953303</v>
      </c>
      <c r="J16" s="276">
        <v>6.7393294965130908</v>
      </c>
      <c r="K16" s="276">
        <v>7.6666771117308512</v>
      </c>
      <c r="L16" s="276">
        <v>7.6283437261721971</v>
      </c>
      <c r="M16" s="276">
        <v>7.5902020075413352</v>
      </c>
      <c r="N16" s="276">
        <v>7.5522509975036298</v>
      </c>
      <c r="O16" s="276">
        <v>7.5144897425161119</v>
      </c>
      <c r="P16" s="276">
        <v>7.4769172938035311</v>
      </c>
      <c r="Q16" s="276">
        <v>7.4395327073345134</v>
      </c>
      <c r="R16" s="276">
        <v>7.4023350437978408</v>
      </c>
      <c r="S16" s="276">
        <v>7.3653233685788519</v>
      </c>
      <c r="T16" s="276">
        <v>7.3284967517359565</v>
      </c>
      <c r="U16" s="276">
        <v>7.2918542679772766</v>
      </c>
      <c r="V16" s="276">
        <v>7.2553949966373903</v>
      </c>
      <c r="W16" s="276">
        <v>7.2191180216542046</v>
      </c>
      <c r="X16" s="276">
        <v>7.1830224315459335</v>
      </c>
      <c r="Y16" s="276">
        <v>7.1471073193882049</v>
      </c>
      <c r="Z16" s="276">
        <v>7.111371782791263</v>
      </c>
      <c r="AA16" s="276">
        <v>7.0758149238773065</v>
      </c>
      <c r="AB16" s="276">
        <v>7.0404358492579204</v>
      </c>
      <c r="AC16" s="276">
        <v>7.0052336700116298</v>
      </c>
      <c r="AD16" s="276">
        <v>6.9702075016615721</v>
      </c>
      <c r="AE16" s="276">
        <v>6.9353564641532648</v>
      </c>
      <c r="AF16" s="276">
        <v>6.9006796818324982</v>
      </c>
    </row>
    <row r="17" spans="1:32" ht="14.45" x14ac:dyDescent="0.35">
      <c r="A17" s="322"/>
      <c r="B17" s="328" t="s">
        <v>35</v>
      </c>
      <c r="G17" s="276">
        <v>13.894134786596876</v>
      </c>
      <c r="H17" s="276">
        <v>13.824664112663905</v>
      </c>
      <c r="I17" s="276">
        <v>13.755193438730915</v>
      </c>
      <c r="J17" s="276">
        <v>13.685722764797925</v>
      </c>
      <c r="K17" s="276">
        <v>13.616252090864954</v>
      </c>
      <c r="L17" s="276">
        <v>13.546781416931964</v>
      </c>
      <c r="M17" s="276">
        <v>13.477310742998974</v>
      </c>
      <c r="N17" s="276">
        <v>13.407840069066001</v>
      </c>
      <c r="O17" s="276">
        <v>13.338369395133011</v>
      </c>
      <c r="P17" s="276">
        <v>13.268898721200021</v>
      </c>
      <c r="Q17" s="276">
        <v>13.19942804726703</v>
      </c>
      <c r="R17" s="276">
        <v>13.12995737333406</v>
      </c>
      <c r="S17" s="276">
        <v>13.06048669940107</v>
      </c>
      <c r="T17" s="276">
        <v>12.991016025468079</v>
      </c>
      <c r="U17" s="276">
        <v>12.921545351535109</v>
      </c>
      <c r="V17" s="276">
        <v>12.852074677602118</v>
      </c>
      <c r="W17" s="276">
        <v>12.782604003669128</v>
      </c>
      <c r="X17" s="276">
        <v>12.713133329736158</v>
      </c>
      <c r="Y17" s="276">
        <v>12.643662655803167</v>
      </c>
      <c r="Z17" s="276">
        <v>12.574191981870177</v>
      </c>
      <c r="AA17" s="276">
        <v>12.504721307937205</v>
      </c>
      <c r="AB17" s="276">
        <v>12.435250634004214</v>
      </c>
      <c r="AC17" s="276">
        <v>12.365779960071224</v>
      </c>
      <c r="AD17" s="276">
        <v>12.296309286138234</v>
      </c>
      <c r="AE17" s="276">
        <v>12.226838612205263</v>
      </c>
      <c r="AF17" s="276">
        <v>12.157367938272273</v>
      </c>
    </row>
    <row r="18" spans="1:32" ht="14.45" x14ac:dyDescent="0.35">
      <c r="A18" s="322"/>
      <c r="B18" s="328" t="s">
        <v>29</v>
      </c>
      <c r="G18" s="276">
        <v>55.155329646773986</v>
      </c>
      <c r="H18" s="276">
        <v>30.953643679604003</v>
      </c>
      <c r="I18" s="276">
        <v>21.520165869313072</v>
      </c>
      <c r="J18" s="276">
        <v>16.497391851598039</v>
      </c>
      <c r="K18" s="276">
        <v>13.378071099176921</v>
      </c>
      <c r="L18" s="276">
        <v>11.252554117006511</v>
      </c>
      <c r="M18" s="276">
        <v>9.7111678707816171</v>
      </c>
      <c r="N18" s="276">
        <v>8.5422078553861791</v>
      </c>
      <c r="O18" s="276">
        <v>7.6252457176183945</v>
      </c>
      <c r="P18" s="276">
        <v>6.8867236082633196</v>
      </c>
      <c r="Q18" s="276">
        <v>6.2791737149410762</v>
      </c>
      <c r="R18" s="276">
        <v>5.7705931532247519</v>
      </c>
      <c r="S18" s="276">
        <v>5.3386202486883541</v>
      </c>
      <c r="T18" s="276">
        <v>4.9671581811191761</v>
      </c>
      <c r="U18" s="276">
        <v>4.644324636491489</v>
      </c>
      <c r="V18" s="276">
        <v>4.3611572297283203</v>
      </c>
      <c r="W18" s="276">
        <v>4.1107684974870589</v>
      </c>
      <c r="X18" s="276">
        <v>3.8877782829617882</v>
      </c>
      <c r="Y18" s="276">
        <v>3.6879227869738198</v>
      </c>
      <c r="Z18" s="276">
        <v>3.5077792984603029</v>
      </c>
      <c r="AA18" s="276">
        <v>3.3445685475253422</v>
      </c>
      <c r="AB18" s="276">
        <v>3.1960102906598924</v>
      </c>
      <c r="AC18" s="276">
        <v>3.0602161202015736</v>
      </c>
      <c r="AD18" s="276">
        <v>2.9356087650814358</v>
      </c>
      <c r="AE18" s="276">
        <v>2.82086054673958</v>
      </c>
      <c r="AF18" s="276">
        <v>2.7148458875177668</v>
      </c>
    </row>
    <row r="19" spans="1:32" ht="14.45" x14ac:dyDescent="0.35">
      <c r="A19" s="322"/>
      <c r="B19" s="322"/>
      <c r="G19" s="276" t="str">
        <v/>
      </c>
      <c r="H19" s="276" t="str">
        <v/>
      </c>
      <c r="I19" s="276" t="str">
        <v/>
      </c>
      <c r="J19" s="276" t="str">
        <v/>
      </c>
      <c r="K19" s="276" t="str">
        <v/>
      </c>
      <c r="L19" s="276" t="str">
        <v/>
      </c>
      <c r="M19" s="276" t="str">
        <v/>
      </c>
      <c r="N19" s="276" t="str">
        <v/>
      </c>
      <c r="O19" s="276" t="str">
        <v/>
      </c>
      <c r="P19" s="276" t="str">
        <v/>
      </c>
      <c r="Q19" s="276" t="str">
        <v/>
      </c>
      <c r="R19" s="276" t="str">
        <v/>
      </c>
      <c r="S19" s="276" t="str">
        <v/>
      </c>
      <c r="T19" s="276" t="str">
        <v/>
      </c>
      <c r="U19" s="276" t="str">
        <v/>
      </c>
      <c r="V19" s="276" t="str">
        <v/>
      </c>
      <c r="W19" s="276" t="str">
        <v/>
      </c>
      <c r="X19" s="276" t="str">
        <v/>
      </c>
      <c r="Y19" s="276" t="str">
        <v/>
      </c>
      <c r="Z19" s="276" t="str">
        <v/>
      </c>
      <c r="AA19" s="276" t="str">
        <v/>
      </c>
      <c r="AB19" s="276" t="str">
        <v/>
      </c>
      <c r="AC19" s="276" t="str">
        <v/>
      </c>
      <c r="AD19" s="276" t="str">
        <v/>
      </c>
      <c r="AE19" s="276" t="str">
        <v/>
      </c>
      <c r="AF19" s="276" t="str">
        <v/>
      </c>
    </row>
    <row r="20" spans="1:32" s="202" customFormat="1" ht="12.95" x14ac:dyDescent="0.3">
      <c r="A20" s="335" t="s">
        <v>36</v>
      </c>
      <c r="B20" s="335"/>
      <c r="C20" s="335"/>
      <c r="D20" s="335"/>
      <c r="E20" s="335"/>
      <c r="F20" s="335"/>
      <c r="G20" s="274" t="str">
        <v/>
      </c>
      <c r="H20" s="274" t="str">
        <v/>
      </c>
      <c r="I20" s="274" t="str">
        <v/>
      </c>
      <c r="J20" s="274" t="str">
        <v/>
      </c>
      <c r="K20" s="274" t="str">
        <v/>
      </c>
      <c r="L20" s="274" t="str">
        <v/>
      </c>
      <c r="M20" s="274" t="str">
        <v/>
      </c>
      <c r="N20" s="274" t="str">
        <v/>
      </c>
      <c r="O20" s="274" t="str">
        <v/>
      </c>
      <c r="P20" s="274" t="str">
        <v/>
      </c>
      <c r="Q20" s="274" t="str">
        <v/>
      </c>
      <c r="R20" s="274" t="str">
        <v/>
      </c>
      <c r="S20" s="274" t="str">
        <v/>
      </c>
      <c r="T20" s="274" t="str">
        <v/>
      </c>
      <c r="U20" s="274" t="str">
        <v/>
      </c>
      <c r="V20" s="274" t="str">
        <v/>
      </c>
      <c r="W20" s="274" t="str">
        <v/>
      </c>
      <c r="X20" s="274" t="str">
        <v/>
      </c>
      <c r="Y20" s="274" t="str">
        <v/>
      </c>
      <c r="Z20" s="274" t="str">
        <v/>
      </c>
      <c r="AA20" s="274" t="str">
        <v/>
      </c>
      <c r="AB20" s="274" t="str">
        <v/>
      </c>
      <c r="AC20" s="274" t="str">
        <v/>
      </c>
      <c r="AD20" s="274" t="str">
        <v/>
      </c>
      <c r="AE20" s="274" t="str">
        <v/>
      </c>
      <c r="AF20" s="274" t="str">
        <v/>
      </c>
    </row>
    <row r="21" spans="1:32" ht="14.45" x14ac:dyDescent="0.35">
      <c r="A21" s="322"/>
      <c r="B21" s="322" t="s">
        <v>37</v>
      </c>
      <c r="G21" s="276">
        <v>2.4951231683527686</v>
      </c>
      <c r="H21" s="276">
        <v>2.4826475525110041</v>
      </c>
      <c r="I21" s="276">
        <v>2.4701719366692401</v>
      </c>
      <c r="J21" s="276">
        <v>2.4576963208274756</v>
      </c>
      <c r="K21" s="276">
        <v>2.4452207049857115</v>
      </c>
      <c r="L21" s="276">
        <v>2.432745089143947</v>
      </c>
      <c r="M21" s="276">
        <v>2.4202694733021826</v>
      </c>
      <c r="N21" s="276">
        <v>2.4077938574604185</v>
      </c>
      <c r="O21" s="276">
        <v>2.395318241618654</v>
      </c>
      <c r="P21" s="276">
        <v>2.38284262577689</v>
      </c>
      <c r="Q21" s="276">
        <v>2.3703670099351308</v>
      </c>
      <c r="R21" s="276">
        <v>2.3578913940933668</v>
      </c>
      <c r="S21" s="276">
        <v>2.3454157782516023</v>
      </c>
      <c r="T21" s="276">
        <v>2.3329401624098378</v>
      </c>
      <c r="U21" s="276">
        <v>2.3204645465680738</v>
      </c>
      <c r="V21" s="276">
        <v>2.3079889307263093</v>
      </c>
      <c r="W21" s="276">
        <v>2.2955133148845452</v>
      </c>
      <c r="X21" s="276">
        <v>2.2830376990427808</v>
      </c>
      <c r="Y21" s="276">
        <v>2.2705620832010167</v>
      </c>
      <c r="Z21" s="276">
        <v>2.2580864673592522</v>
      </c>
      <c r="AA21" s="276">
        <v>2.2456108515174877</v>
      </c>
      <c r="AB21" s="276">
        <v>2.233135235675729</v>
      </c>
      <c r="AC21" s="276">
        <v>2.2206596198339645</v>
      </c>
      <c r="AD21" s="276">
        <v>2.2081840039922005</v>
      </c>
      <c r="AE21" s="276">
        <v>2.195708388150436</v>
      </c>
      <c r="AF21" s="276">
        <v>2.183232772308672</v>
      </c>
    </row>
    <row r="22" spans="1:32" ht="14.45" x14ac:dyDescent="0.35">
      <c r="A22" s="322"/>
      <c r="B22" s="322" t="s">
        <v>39</v>
      </c>
      <c r="G22" s="276">
        <v>3.2713924339540084</v>
      </c>
      <c r="H22" s="276">
        <v>3.2550354717842356</v>
      </c>
      <c r="I22" s="276">
        <v>3.2386785096144686</v>
      </c>
      <c r="J22" s="276">
        <v>3.2223215474446962</v>
      </c>
      <c r="K22" s="276">
        <v>3.4415555597821581</v>
      </c>
      <c r="L22" s="276">
        <v>3.6607895721196195</v>
      </c>
      <c r="M22" s="276">
        <v>3.8800235844570818</v>
      </c>
      <c r="N22" s="276">
        <v>3.8606234665347965</v>
      </c>
      <c r="O22" s="276">
        <v>3.8413203492021228</v>
      </c>
      <c r="P22" s="276">
        <v>3.822113747456112</v>
      </c>
      <c r="Q22" s="276">
        <v>3.8030031787188316</v>
      </c>
      <c r="R22" s="276">
        <v>3.7839881628252376</v>
      </c>
      <c r="S22" s="276">
        <v>3.7650682220111111</v>
      </c>
      <c r="T22" s="276">
        <v>3.7462428809010557</v>
      </c>
      <c r="U22" s="276">
        <v>3.7275116664965506</v>
      </c>
      <c r="V22" s="276">
        <v>3.7088741081640677</v>
      </c>
      <c r="W22" s="276">
        <v>3.6903297376232476</v>
      </c>
      <c r="X22" s="276">
        <v>3.6718780889351312</v>
      </c>
      <c r="Y22" s="276">
        <v>3.6535186984904553</v>
      </c>
      <c r="Z22" s="276">
        <v>3.6352511049980034</v>
      </c>
      <c r="AA22" s="276">
        <v>3.6170748494730134</v>
      </c>
      <c r="AB22" s="276">
        <v>3.5989894752256486</v>
      </c>
      <c r="AC22" s="276">
        <v>3.5809945278495201</v>
      </c>
      <c r="AD22" s="276">
        <v>3.5630895552102726</v>
      </c>
      <c r="AE22" s="276">
        <v>3.5452741074342211</v>
      </c>
      <c r="AF22" s="276">
        <v>3.5275477368970498</v>
      </c>
    </row>
    <row r="23" spans="1:32" ht="14.45" x14ac:dyDescent="0.35">
      <c r="A23" s="322"/>
      <c r="B23" s="322" t="s">
        <v>40</v>
      </c>
      <c r="G23" s="276">
        <v>1.5758714031630594</v>
      </c>
      <c r="H23" s="276">
        <v>1.5679920461472447</v>
      </c>
      <c r="I23" s="276">
        <v>1.5601126891314299</v>
      </c>
      <c r="J23" s="276">
        <v>1.5522333321156152</v>
      </c>
      <c r="K23" s="276">
        <v>1.5443539750997979</v>
      </c>
      <c r="L23" s="276">
        <v>1.5364746180839832</v>
      </c>
      <c r="M23" s="276">
        <v>1.5285952610681683</v>
      </c>
      <c r="N23" s="276">
        <v>1.5207159040523537</v>
      </c>
      <c r="O23" s="276">
        <v>1.5128365470365364</v>
      </c>
      <c r="P23" s="276">
        <v>1.5049571900207215</v>
      </c>
      <c r="Q23" s="276">
        <v>1.4970778330049068</v>
      </c>
      <c r="R23" s="276">
        <v>1.4891984759890922</v>
      </c>
      <c r="S23" s="276">
        <v>1.4813191189732773</v>
      </c>
      <c r="T23" s="276">
        <v>1.47343976195746</v>
      </c>
      <c r="U23" s="276">
        <v>1.4655604049416453</v>
      </c>
      <c r="V23" s="276">
        <v>1.4576810479258306</v>
      </c>
      <c r="W23" s="276">
        <v>1.4498016909100158</v>
      </c>
      <c r="X23" s="276">
        <v>1.4419223338942011</v>
      </c>
      <c r="Y23" s="276">
        <v>1.4340429768783838</v>
      </c>
      <c r="Z23" s="276">
        <v>1.4261636198625689</v>
      </c>
      <c r="AA23" s="276">
        <v>1.4182842628467542</v>
      </c>
      <c r="AB23" s="276">
        <v>1.4104049058309396</v>
      </c>
      <c r="AC23" s="276">
        <v>1.4025255488151223</v>
      </c>
      <c r="AD23" s="276">
        <v>1.3946461917993074</v>
      </c>
      <c r="AE23" s="276">
        <v>1.3867668347834927</v>
      </c>
      <c r="AF23" s="276">
        <v>1.3788874777676781</v>
      </c>
    </row>
    <row r="24" spans="1:32" ht="14.45" x14ac:dyDescent="0.35">
      <c r="A24" s="322"/>
      <c r="B24" s="322" t="s">
        <v>29</v>
      </c>
      <c r="G24" s="276">
        <v>180.88475965641621</v>
      </c>
      <c r="H24" s="276">
        <v>108.53401257778634</v>
      </c>
      <c r="I24" s="276">
        <v>77.547284636338034</v>
      </c>
      <c r="J24" s="276">
        <v>60.337807351118627</v>
      </c>
      <c r="K24" s="276">
        <v>49.388318732768852</v>
      </c>
      <c r="L24" s="276">
        <v>41.808813167273925</v>
      </c>
      <c r="M24" s="276">
        <v>36.250982020674336</v>
      </c>
      <c r="N24" s="276">
        <v>32.001145833995928</v>
      </c>
      <c r="O24" s="276">
        <v>28.64617726953395</v>
      </c>
      <c r="P24" s="276">
        <v>25.930357134543922</v>
      </c>
      <c r="Q24" s="276">
        <v>23.686925614494996</v>
      </c>
      <c r="R24" s="276">
        <v>21.802493526572075</v>
      </c>
      <c r="S24" s="276">
        <v>20.197272849753819</v>
      </c>
      <c r="T24" s="276">
        <v>18.813488715155085</v>
      </c>
      <c r="U24" s="276">
        <v>17.608277585332416</v>
      </c>
      <c r="V24" s="276">
        <v>16.54916818847364</v>
      </c>
      <c r="W24" s="276">
        <v>15.611112001932259</v>
      </c>
      <c r="X24" s="276">
        <v>14.774476913528423</v>
      </c>
      <c r="Y24" s="276">
        <v>14.023658273383182</v>
      </c>
      <c r="Z24" s="276">
        <v>13.346096501962295</v>
      </c>
      <c r="AA24" s="276">
        <v>12.73156887638881</v>
      </c>
      <c r="AB24" s="276">
        <v>12.171670188466772</v>
      </c>
      <c r="AC24" s="276">
        <v>11.659426010556659</v>
      </c>
      <c r="AD24" s="276">
        <v>11.189000678631562</v>
      </c>
      <c r="AE24" s="276">
        <v>10.755473989930337</v>
      </c>
      <c r="AF24" s="276">
        <v>10.354668462980241</v>
      </c>
    </row>
    <row r="25" spans="1:32" ht="14.45" x14ac:dyDescent="0.35">
      <c r="A25" s="322"/>
      <c r="B25" s="322"/>
      <c r="G25" s="276" t="str">
        <v/>
      </c>
      <c r="H25" s="276" t="str">
        <v/>
      </c>
      <c r="I25" s="276" t="str">
        <v/>
      </c>
      <c r="J25" s="276" t="str">
        <v/>
      </c>
      <c r="K25" s="276" t="str">
        <v/>
      </c>
      <c r="L25" s="276" t="str">
        <v/>
      </c>
      <c r="M25" s="276" t="str">
        <v/>
      </c>
      <c r="N25" s="276" t="str">
        <v/>
      </c>
      <c r="O25" s="276" t="str">
        <v/>
      </c>
      <c r="P25" s="276" t="str">
        <v/>
      </c>
      <c r="Q25" s="276" t="str">
        <v/>
      </c>
      <c r="R25" s="276" t="str">
        <v/>
      </c>
      <c r="S25" s="276" t="str">
        <v/>
      </c>
      <c r="T25" s="276" t="str">
        <v/>
      </c>
      <c r="U25" s="276" t="str">
        <v/>
      </c>
      <c r="V25" s="276" t="str">
        <v/>
      </c>
      <c r="W25" s="276" t="str">
        <v/>
      </c>
      <c r="X25" s="276" t="str">
        <v/>
      </c>
      <c r="Y25" s="276" t="str">
        <v/>
      </c>
      <c r="Z25" s="276" t="str">
        <v/>
      </c>
      <c r="AA25" s="276" t="str">
        <v/>
      </c>
      <c r="AB25" s="276" t="str">
        <v/>
      </c>
      <c r="AC25" s="276" t="str">
        <v/>
      </c>
      <c r="AD25" s="276" t="str">
        <v/>
      </c>
      <c r="AE25" s="276" t="str">
        <v/>
      </c>
      <c r="AF25" s="276" t="str">
        <v/>
      </c>
    </row>
    <row r="26" spans="1:32" s="202" customFormat="1" ht="12.95" x14ac:dyDescent="0.3">
      <c r="A26" s="335" t="s">
        <v>42</v>
      </c>
      <c r="B26" s="335"/>
      <c r="C26" s="335"/>
      <c r="D26" s="335"/>
      <c r="E26" s="335"/>
      <c r="F26" s="335"/>
      <c r="G26" s="274" t="str">
        <v/>
      </c>
      <c r="H26" s="274" t="str">
        <v/>
      </c>
      <c r="I26" s="274" t="str">
        <v/>
      </c>
      <c r="J26" s="274" t="str">
        <v/>
      </c>
      <c r="K26" s="274" t="str">
        <v/>
      </c>
      <c r="L26" s="274" t="str">
        <v/>
      </c>
      <c r="M26" s="274" t="str">
        <v/>
      </c>
      <c r="N26" s="274" t="str">
        <v/>
      </c>
      <c r="O26" s="274" t="str">
        <v/>
      </c>
      <c r="P26" s="274" t="str">
        <v/>
      </c>
      <c r="Q26" s="274" t="str">
        <v/>
      </c>
      <c r="R26" s="274" t="str">
        <v/>
      </c>
      <c r="S26" s="274" t="str">
        <v/>
      </c>
      <c r="T26" s="274" t="str">
        <v/>
      </c>
      <c r="U26" s="274" t="str">
        <v/>
      </c>
      <c r="V26" s="274" t="str">
        <v/>
      </c>
      <c r="W26" s="274" t="str">
        <v/>
      </c>
      <c r="X26" s="274" t="str">
        <v/>
      </c>
      <c r="Y26" s="274" t="str">
        <v/>
      </c>
      <c r="Z26" s="274" t="str">
        <v/>
      </c>
      <c r="AA26" s="274" t="str">
        <v/>
      </c>
      <c r="AB26" s="274" t="str">
        <v/>
      </c>
      <c r="AC26" s="274" t="str">
        <v/>
      </c>
      <c r="AD26" s="274" t="str">
        <v/>
      </c>
      <c r="AE26" s="274" t="str">
        <v/>
      </c>
      <c r="AF26" s="274" t="str">
        <v/>
      </c>
    </row>
    <row r="27" spans="1:32" ht="14.45" x14ac:dyDescent="0.35">
      <c r="A27" s="322"/>
      <c r="B27" s="328" t="s">
        <v>43</v>
      </c>
      <c r="G27" s="276">
        <v>4.995516252667783</v>
      </c>
      <c r="H27" s="276">
        <v>4.9705386714044408</v>
      </c>
      <c r="I27" s="276">
        <v>4.9455610901411058</v>
      </c>
      <c r="J27" s="276">
        <v>4.9205835088777636</v>
      </c>
      <c r="K27" s="276">
        <v>4.8956059276144286</v>
      </c>
      <c r="L27" s="276">
        <v>4.8706283463510864</v>
      </c>
      <c r="M27" s="276">
        <v>4.8456507650877443</v>
      </c>
      <c r="N27" s="276">
        <v>4.8206731838244092</v>
      </c>
      <c r="O27" s="276">
        <v>4.7956956025610671</v>
      </c>
      <c r="P27" s="276">
        <v>4.770718021297732</v>
      </c>
      <c r="Q27" s="276">
        <v>4.7457404400343899</v>
      </c>
      <c r="R27" s="276">
        <v>4.7207628587710548</v>
      </c>
      <c r="S27" s="276">
        <v>4.6957852775077127</v>
      </c>
      <c r="T27" s="276">
        <v>4.6708076962443776</v>
      </c>
      <c r="U27" s="276">
        <v>4.6458301149810355</v>
      </c>
      <c r="V27" s="276">
        <v>4.6208525337177004</v>
      </c>
      <c r="W27" s="276">
        <v>4.5958749524543583</v>
      </c>
      <c r="X27" s="276">
        <v>4.5708973711910161</v>
      </c>
      <c r="Y27" s="276">
        <v>4.5459197899276811</v>
      </c>
      <c r="Z27" s="276">
        <v>4.5209422086643389</v>
      </c>
      <c r="AA27" s="276">
        <v>4.4959646274010039</v>
      </c>
      <c r="AB27" s="276">
        <v>4.4709870461376617</v>
      </c>
      <c r="AC27" s="276">
        <v>4.4460094648743267</v>
      </c>
      <c r="AD27" s="276">
        <v>4.4210318836109845</v>
      </c>
      <c r="AE27" s="276">
        <v>4.3960543023476495</v>
      </c>
      <c r="AF27" s="276">
        <v>4.3710767210843073</v>
      </c>
    </row>
    <row r="28" spans="1:32" ht="14.45" x14ac:dyDescent="0.35">
      <c r="A28" s="322"/>
      <c r="B28" s="328" t="s">
        <v>44</v>
      </c>
      <c r="G28" s="276">
        <v>11.525544979432864</v>
      </c>
      <c r="H28" s="276">
        <v>11.467917254535706</v>
      </c>
      <c r="I28" s="276">
        <v>11.410289529638549</v>
      </c>
      <c r="J28" s="276">
        <v>11.35266180474137</v>
      </c>
      <c r="K28" s="276">
        <v>11.295034079844212</v>
      </c>
      <c r="L28" s="276">
        <v>11.237406354947055</v>
      </c>
      <c r="M28" s="276">
        <v>11.179778630049876</v>
      </c>
      <c r="N28" s="276">
        <v>11.122150905152719</v>
      </c>
      <c r="O28" s="276">
        <v>11.064523180255561</v>
      </c>
      <c r="P28" s="276">
        <v>11.006895455358382</v>
      </c>
      <c r="Q28" s="276">
        <v>10.949267730461225</v>
      </c>
      <c r="R28" s="276">
        <v>10.891640005564067</v>
      </c>
      <c r="S28" s="276">
        <v>10.834012280666888</v>
      </c>
      <c r="T28" s="276">
        <v>10.776384555769731</v>
      </c>
      <c r="U28" s="276">
        <v>10.718756830872573</v>
      </c>
      <c r="V28" s="276">
        <v>10.661129105975395</v>
      </c>
      <c r="W28" s="276">
        <v>10.603501381078237</v>
      </c>
      <c r="X28" s="276">
        <v>10.54587365618108</v>
      </c>
      <c r="Y28" s="276">
        <v>10.488245931283901</v>
      </c>
      <c r="Z28" s="276">
        <v>10.430618206386743</v>
      </c>
      <c r="AA28" s="276">
        <v>10.372990481489586</v>
      </c>
      <c r="AB28" s="276">
        <v>10.315362756592407</v>
      </c>
      <c r="AC28" s="276">
        <v>10.257735031695249</v>
      </c>
      <c r="AD28" s="276">
        <v>10.200107306798092</v>
      </c>
      <c r="AE28" s="276">
        <v>10.142479581900913</v>
      </c>
      <c r="AF28" s="276">
        <v>10.084851857003756</v>
      </c>
    </row>
    <row r="29" spans="1:32" ht="14.45" x14ac:dyDescent="0.35">
      <c r="A29" s="322"/>
      <c r="B29" s="328" t="s">
        <v>45</v>
      </c>
      <c r="G29" s="276">
        <v>3.0828097755897983</v>
      </c>
      <c r="H29" s="276">
        <v>3.067395726711847</v>
      </c>
      <c r="I29" s="276">
        <v>3.0519816778338993</v>
      </c>
      <c r="J29" s="276">
        <v>3.036567628955952</v>
      </c>
      <c r="K29" s="276">
        <v>3.0211535800780003</v>
      </c>
      <c r="L29" s="276">
        <v>3.0057395312000526</v>
      </c>
      <c r="M29" s="276">
        <v>2.9903254823221053</v>
      </c>
      <c r="N29" s="276">
        <v>2.9749114334441535</v>
      </c>
      <c r="O29" s="276">
        <v>2.9594973845662063</v>
      </c>
      <c r="P29" s="276">
        <v>2.9440833356882545</v>
      </c>
      <c r="Q29" s="276">
        <v>2.9286692868103068</v>
      </c>
      <c r="R29" s="276">
        <v>2.9132552379323595</v>
      </c>
      <c r="S29" s="276">
        <v>2.8978411890544078</v>
      </c>
      <c r="T29" s="276">
        <v>2.8824271401764601</v>
      </c>
      <c r="U29" s="276">
        <v>2.8670130912985128</v>
      </c>
      <c r="V29" s="276">
        <v>2.8515990424205611</v>
      </c>
      <c r="W29" s="276">
        <v>2.8361849935426138</v>
      </c>
      <c r="X29" s="276">
        <v>2.820770944664666</v>
      </c>
      <c r="Y29" s="276">
        <v>2.8053568957867143</v>
      </c>
      <c r="Z29" s="276">
        <v>2.789942846908767</v>
      </c>
      <c r="AA29" s="276">
        <v>2.7745287980308153</v>
      </c>
      <c r="AB29" s="276">
        <v>2.759114749152868</v>
      </c>
      <c r="AC29" s="276">
        <v>2.7437007002749203</v>
      </c>
      <c r="AD29" s="276">
        <v>2.7282866513969686</v>
      </c>
      <c r="AE29" s="276">
        <v>2.7128726025190213</v>
      </c>
      <c r="AF29" s="276">
        <v>2.6974585536410736</v>
      </c>
    </row>
    <row r="30" spans="1:32" ht="14.45" x14ac:dyDescent="0.35">
      <c r="A30" s="322"/>
      <c r="B30" s="328" t="s">
        <v>46</v>
      </c>
      <c r="G30" s="276">
        <v>1000</v>
      </c>
      <c r="H30" s="276">
        <v>1000</v>
      </c>
      <c r="I30" s="276">
        <v>1000</v>
      </c>
      <c r="J30" s="276">
        <v>1000</v>
      </c>
      <c r="K30" s="276">
        <v>1000</v>
      </c>
      <c r="L30" s="276">
        <v>1000</v>
      </c>
      <c r="M30" s="276">
        <v>1000</v>
      </c>
      <c r="N30" s="276">
        <v>1000</v>
      </c>
      <c r="O30" s="276">
        <v>1000</v>
      </c>
      <c r="P30" s="276">
        <v>1000</v>
      </c>
      <c r="Q30" s="276">
        <v>1000</v>
      </c>
      <c r="R30" s="276">
        <v>1000</v>
      </c>
      <c r="S30" s="276">
        <v>1000</v>
      </c>
      <c r="T30" s="276">
        <v>1000</v>
      </c>
      <c r="U30" s="276">
        <v>1000</v>
      </c>
      <c r="V30" s="276">
        <v>1000</v>
      </c>
      <c r="W30" s="276">
        <v>1000</v>
      </c>
      <c r="X30" s="276">
        <v>1000</v>
      </c>
      <c r="Y30" s="276">
        <v>1000</v>
      </c>
      <c r="Z30" s="276">
        <v>1000</v>
      </c>
      <c r="AA30" s="276">
        <v>1000</v>
      </c>
      <c r="AB30" s="276">
        <v>1000</v>
      </c>
      <c r="AC30" s="276">
        <v>1000</v>
      </c>
      <c r="AD30" s="276">
        <v>1000</v>
      </c>
      <c r="AE30" s="276">
        <v>1000</v>
      </c>
      <c r="AF30" s="276">
        <v>1000</v>
      </c>
    </row>
    <row r="31" spans="1:32" ht="14.45" x14ac:dyDescent="0.35">
      <c r="A31" s="322"/>
      <c r="B31" s="322" t="s">
        <v>29</v>
      </c>
      <c r="G31" s="276">
        <v>180.88475965641621</v>
      </c>
      <c r="H31" s="276">
        <v>108.53401257778634</v>
      </c>
      <c r="I31" s="276">
        <v>77.547284636338048</v>
      </c>
      <c r="J31" s="276">
        <v>60.337807351118627</v>
      </c>
      <c r="K31" s="276">
        <v>49.388318732768852</v>
      </c>
      <c r="L31" s="276">
        <v>41.808813167273925</v>
      </c>
      <c r="M31" s="276">
        <v>36.250982020674343</v>
      </c>
      <c r="N31" s="276">
        <v>32.00114583399592</v>
      </c>
      <c r="O31" s="276">
        <v>28.646177269533947</v>
      </c>
      <c r="P31" s="276">
        <v>25.930357134543918</v>
      </c>
      <c r="Q31" s="276">
        <v>23.686925614494996</v>
      </c>
      <c r="R31" s="276">
        <v>21.802493526572075</v>
      </c>
      <c r="S31" s="276">
        <v>20.197272849753823</v>
      </c>
      <c r="T31" s="276">
        <v>18.813488715155085</v>
      </c>
      <c r="U31" s="276">
        <v>17.608277585332416</v>
      </c>
      <c r="V31" s="276">
        <v>16.549168188473637</v>
      </c>
      <c r="W31" s="276">
        <v>15.611112001932257</v>
      </c>
      <c r="X31" s="276">
        <v>14.774476913528421</v>
      </c>
      <c r="Y31" s="276">
        <v>14.02365827338318</v>
      </c>
      <c r="Z31" s="276">
        <v>13.346096501962293</v>
      </c>
      <c r="AA31" s="276">
        <v>12.731568876388808</v>
      </c>
      <c r="AB31" s="276">
        <v>12.17167018846677</v>
      </c>
      <c r="AC31" s="276">
        <v>11.659426010556658</v>
      </c>
      <c r="AD31" s="276">
        <v>11.189000678631562</v>
      </c>
      <c r="AE31" s="276">
        <v>10.755473989930337</v>
      </c>
      <c r="AF31" s="276">
        <v>10.354668462980239</v>
      </c>
    </row>
    <row r="32" spans="1:32" ht="14.45" x14ac:dyDescent="0.35">
      <c r="A32" s="322"/>
      <c r="B32" s="322"/>
      <c r="G32" s="276" t="str">
        <v/>
      </c>
      <c r="H32" s="276" t="str">
        <v/>
      </c>
      <c r="I32" s="276" t="str">
        <v/>
      </c>
      <c r="J32" s="276" t="str">
        <v/>
      </c>
      <c r="K32" s="276" t="str">
        <v/>
      </c>
      <c r="L32" s="276" t="str">
        <v/>
      </c>
      <c r="M32" s="276" t="str">
        <v/>
      </c>
      <c r="N32" s="276" t="str">
        <v/>
      </c>
      <c r="O32" s="276" t="str">
        <v/>
      </c>
      <c r="P32" s="276" t="str">
        <v/>
      </c>
      <c r="Q32" s="276" t="str">
        <v/>
      </c>
      <c r="R32" s="276" t="str">
        <v/>
      </c>
      <c r="S32" s="276" t="str">
        <v/>
      </c>
      <c r="T32" s="276" t="str">
        <v/>
      </c>
      <c r="U32" s="276" t="str">
        <v/>
      </c>
      <c r="V32" s="276" t="str">
        <v/>
      </c>
      <c r="W32" s="276" t="str">
        <v/>
      </c>
      <c r="X32" s="276" t="str">
        <v/>
      </c>
      <c r="Y32" s="276" t="str">
        <v/>
      </c>
      <c r="Z32" s="276" t="str">
        <v/>
      </c>
      <c r="AA32" s="276" t="str">
        <v/>
      </c>
      <c r="AB32" s="276" t="str">
        <v/>
      </c>
      <c r="AC32" s="276" t="str">
        <v/>
      </c>
      <c r="AD32" s="276" t="str">
        <v/>
      </c>
      <c r="AE32" s="276" t="str">
        <v/>
      </c>
      <c r="AF32" s="276" t="str">
        <v/>
      </c>
    </row>
    <row r="33" spans="1:32" s="202" customFormat="1" ht="12.95" x14ac:dyDescent="0.3">
      <c r="A33" s="335" t="s">
        <v>47</v>
      </c>
      <c r="B33" s="335"/>
      <c r="C33" s="335"/>
      <c r="D33" s="335"/>
      <c r="E33" s="335"/>
      <c r="F33" s="335"/>
      <c r="G33" s="274" t="str">
        <v/>
      </c>
      <c r="H33" s="274" t="str">
        <v/>
      </c>
      <c r="I33" s="274" t="str">
        <v/>
      </c>
      <c r="J33" s="274" t="str">
        <v/>
      </c>
      <c r="K33" s="274" t="str">
        <v/>
      </c>
      <c r="L33" s="274" t="str">
        <v/>
      </c>
      <c r="M33" s="274" t="str">
        <v/>
      </c>
      <c r="N33" s="274" t="str">
        <v/>
      </c>
      <c r="O33" s="274" t="str">
        <v/>
      </c>
      <c r="P33" s="274" t="str">
        <v/>
      </c>
      <c r="Q33" s="274" t="str">
        <v/>
      </c>
      <c r="R33" s="274" t="str">
        <v/>
      </c>
      <c r="S33" s="274" t="str">
        <v/>
      </c>
      <c r="T33" s="274" t="str">
        <v/>
      </c>
      <c r="U33" s="274" t="str">
        <v/>
      </c>
      <c r="V33" s="274" t="str">
        <v/>
      </c>
      <c r="W33" s="274" t="str">
        <v/>
      </c>
      <c r="X33" s="274" t="str">
        <v/>
      </c>
      <c r="Y33" s="274" t="str">
        <v/>
      </c>
      <c r="Z33" s="274" t="str">
        <v/>
      </c>
      <c r="AA33" s="274" t="str">
        <v/>
      </c>
      <c r="AB33" s="274" t="str">
        <v/>
      </c>
      <c r="AC33" s="274" t="str">
        <v/>
      </c>
      <c r="AD33" s="274" t="str">
        <v/>
      </c>
      <c r="AE33" s="274" t="str">
        <v/>
      </c>
      <c r="AF33" s="274" t="str">
        <v/>
      </c>
    </row>
    <row r="34" spans="1:32" ht="14.45" x14ac:dyDescent="0.35">
      <c r="A34" s="322"/>
      <c r="B34" s="322" t="s">
        <v>48</v>
      </c>
      <c r="G34" s="276">
        <v>1.9843246350434611</v>
      </c>
      <c r="H34" s="276">
        <v>1.9744030118682467</v>
      </c>
      <c r="I34" s="276">
        <v>1.9644813886930286</v>
      </c>
      <c r="J34" s="276">
        <v>1.9545597655178104</v>
      </c>
      <c r="K34" s="276">
        <v>1.9446381423425922</v>
      </c>
      <c r="L34" s="276">
        <v>1.9347165191673776</v>
      </c>
      <c r="M34" s="276">
        <v>1.9247948959921595</v>
      </c>
      <c r="N34" s="276">
        <v>1.9148732728169413</v>
      </c>
      <c r="O34" s="276">
        <v>1.9049516496417234</v>
      </c>
      <c r="P34" s="276">
        <v>1.8950300264665052</v>
      </c>
      <c r="Q34" s="276">
        <v>1.8851084032912906</v>
      </c>
      <c r="R34" s="276">
        <v>1.8751867801160724</v>
      </c>
      <c r="S34" s="276">
        <v>1.8652651569408543</v>
      </c>
      <c r="T34" s="276">
        <v>1.8553435337656361</v>
      </c>
      <c r="U34" s="276">
        <v>1.8454219105904217</v>
      </c>
      <c r="V34" s="276">
        <v>1.8355002874152035</v>
      </c>
      <c r="W34" s="276">
        <v>1.8255786642399854</v>
      </c>
      <c r="X34" s="276">
        <v>1.8156570410647672</v>
      </c>
      <c r="Y34" s="276">
        <v>1.8057354178895491</v>
      </c>
      <c r="Z34" s="276">
        <v>1.7958137947143347</v>
      </c>
      <c r="AA34" s="276">
        <v>1.7858921715391165</v>
      </c>
      <c r="AB34" s="276">
        <v>1.7759705483638983</v>
      </c>
      <c r="AC34" s="276">
        <v>1.7660489251886802</v>
      </c>
      <c r="AD34" s="276">
        <v>1.7561273020134658</v>
      </c>
      <c r="AE34" s="276">
        <v>1.7462056788382476</v>
      </c>
      <c r="AF34" s="276">
        <v>1.7362840556630295</v>
      </c>
    </row>
    <row r="35" spans="1:32" ht="14.45" x14ac:dyDescent="0.35">
      <c r="A35" s="322"/>
      <c r="B35" s="328" t="s">
        <v>50</v>
      </c>
      <c r="G35" s="276">
        <v>4.0849933570295924</v>
      </c>
      <c r="H35" s="276">
        <v>4.0645683902444407</v>
      </c>
      <c r="I35" s="276">
        <v>4.0441434234592952</v>
      </c>
      <c r="J35" s="276">
        <v>4.0237184566741506</v>
      </c>
      <c r="K35" s="276">
        <v>4.0032934898889989</v>
      </c>
      <c r="L35" s="276">
        <v>3.9828685231038534</v>
      </c>
      <c r="M35" s="276">
        <v>3.9624435563187013</v>
      </c>
      <c r="N35" s="276">
        <v>3.9420185895335562</v>
      </c>
      <c r="O35" s="276">
        <v>3.9215936227484045</v>
      </c>
      <c r="P35" s="276">
        <v>3.901168655963259</v>
      </c>
      <c r="Q35" s="276">
        <v>3.880743689178114</v>
      </c>
      <c r="R35" s="276">
        <v>3.8603187223929623</v>
      </c>
      <c r="S35" s="276">
        <v>3.8398937556078168</v>
      </c>
      <c r="T35" s="276">
        <v>3.8194687888226651</v>
      </c>
      <c r="U35" s="276">
        <v>3.79904382203752</v>
      </c>
      <c r="V35" s="276">
        <v>3.778618855252375</v>
      </c>
      <c r="W35" s="276">
        <v>3.7581938884672228</v>
      </c>
      <c r="X35" s="276">
        <v>3.7377689216820777</v>
      </c>
      <c r="Y35" s="276">
        <v>3.7173439548969256</v>
      </c>
      <c r="Z35" s="276">
        <v>3.6969189881117805</v>
      </c>
      <c r="AA35" s="276">
        <v>3.6764940213266288</v>
      </c>
      <c r="AB35" s="276">
        <v>3.6560690545414833</v>
      </c>
      <c r="AC35" s="276">
        <v>3.6356440877563383</v>
      </c>
      <c r="AD35" s="276">
        <v>3.6152191209711866</v>
      </c>
      <c r="AE35" s="276">
        <v>3.5947941541860411</v>
      </c>
      <c r="AF35" s="276">
        <v>3.5743691874008894</v>
      </c>
    </row>
    <row r="36" spans="1:32" ht="14.45" x14ac:dyDescent="0.35">
      <c r="A36" s="322"/>
      <c r="B36" s="322" t="s">
        <v>51</v>
      </c>
      <c r="G36" s="276">
        <v>3.8701822875526886</v>
      </c>
      <c r="H36" s="276">
        <v>3.8508313761149302</v>
      </c>
      <c r="I36" s="276">
        <v>3.8314804646771639</v>
      </c>
      <c r="J36" s="276">
        <v>3.8121295532393979</v>
      </c>
      <c r="K36" s="276">
        <v>3.7927786418016392</v>
      </c>
      <c r="L36" s="276">
        <v>3.7734277303638732</v>
      </c>
      <c r="M36" s="276">
        <v>3.7540768189261144</v>
      </c>
      <c r="N36" s="276">
        <v>3.7347259074883481</v>
      </c>
      <c r="O36" s="276">
        <v>3.7153749960505822</v>
      </c>
      <c r="P36" s="276">
        <v>3.6960240846128234</v>
      </c>
      <c r="Q36" s="276">
        <v>3.6766731731750575</v>
      </c>
      <c r="R36" s="276">
        <v>3.6573222617372911</v>
      </c>
      <c r="S36" s="276">
        <v>3.6379713502995323</v>
      </c>
      <c r="T36" s="276">
        <v>3.6186204388617664</v>
      </c>
      <c r="U36" s="276">
        <v>3.5992695274240001</v>
      </c>
      <c r="V36" s="276">
        <v>3.5799186159862417</v>
      </c>
      <c r="W36" s="276">
        <v>3.5605677045484754</v>
      </c>
      <c r="X36" s="276">
        <v>3.5412167931107095</v>
      </c>
      <c r="Y36" s="276">
        <v>3.5218658816729507</v>
      </c>
      <c r="Z36" s="276">
        <v>3.5025149702351843</v>
      </c>
      <c r="AA36" s="276">
        <v>3.483164058797426</v>
      </c>
      <c r="AB36" s="276">
        <v>3.4638131473596596</v>
      </c>
      <c r="AC36" s="276">
        <v>3.4444622359218937</v>
      </c>
      <c r="AD36" s="276">
        <v>3.4251113244841349</v>
      </c>
      <c r="AE36" s="276">
        <v>3.405760413046369</v>
      </c>
      <c r="AF36" s="276">
        <v>3.3864095016086027</v>
      </c>
    </row>
    <row r="37" spans="1:32" ht="14.45" x14ac:dyDescent="0.35">
      <c r="A37" s="322"/>
      <c r="B37" s="322" t="s">
        <v>52</v>
      </c>
      <c r="G37" s="276">
        <v>4.8484478700027749</v>
      </c>
      <c r="H37" s="276">
        <v>4.824205630652763</v>
      </c>
      <c r="I37" s="276">
        <v>4.7999633913027511</v>
      </c>
      <c r="J37" s="276">
        <v>4.7757211519527383</v>
      </c>
      <c r="K37" s="276">
        <v>4.7514789126027264</v>
      </c>
      <c r="L37" s="276">
        <v>4.7272366732527047</v>
      </c>
      <c r="M37" s="276">
        <v>4.7029944339026928</v>
      </c>
      <c r="N37" s="276">
        <v>4.6787521945526809</v>
      </c>
      <c r="O37" s="276">
        <v>4.654509955202669</v>
      </c>
      <c r="P37" s="276">
        <v>4.6302677158526571</v>
      </c>
      <c r="Q37" s="276">
        <v>4.6060254765026354</v>
      </c>
      <c r="R37" s="276">
        <v>4.5817832371526226</v>
      </c>
      <c r="S37" s="276">
        <v>4.5575409978026107</v>
      </c>
      <c r="T37" s="276">
        <v>4.5332987584525988</v>
      </c>
      <c r="U37" s="276">
        <v>4.5090565191025869</v>
      </c>
      <c r="V37" s="276">
        <v>4.4848142797525652</v>
      </c>
      <c r="W37" s="276">
        <v>4.4605720404025533</v>
      </c>
      <c r="X37" s="276">
        <v>4.4363298010525414</v>
      </c>
      <c r="Y37" s="276">
        <v>4.4120875617025295</v>
      </c>
      <c r="Z37" s="276">
        <v>4.3878453223525176</v>
      </c>
      <c r="AA37" s="276">
        <v>4.363603083002495</v>
      </c>
      <c r="AB37" s="276">
        <v>4.3393608436524831</v>
      </c>
      <c r="AC37" s="276">
        <v>4.3151186043024712</v>
      </c>
      <c r="AD37" s="276">
        <v>4.2908763649524593</v>
      </c>
      <c r="AE37" s="276">
        <v>4.2666341256024474</v>
      </c>
      <c r="AF37" s="276">
        <v>4.2423918862524355</v>
      </c>
    </row>
    <row r="38" spans="1:32" x14ac:dyDescent="0.25">
      <c r="A38" s="322"/>
      <c r="B38" s="328" t="s">
        <v>29</v>
      </c>
      <c r="G38" s="276">
        <v>55.155329646774</v>
      </c>
      <c r="H38" s="276">
        <v>30.953643679604006</v>
      </c>
      <c r="I38" s="276">
        <v>21.520165869313072</v>
      </c>
      <c r="J38" s="276">
        <v>16.497391851598042</v>
      </c>
      <c r="K38" s="276">
        <v>13.378071099176921</v>
      </c>
      <c r="L38" s="276">
        <v>11.252554117006511</v>
      </c>
      <c r="M38" s="276">
        <v>9.7111678707816189</v>
      </c>
      <c r="N38" s="276">
        <v>8.5422078553861773</v>
      </c>
      <c r="O38" s="276">
        <v>7.6252457176183954</v>
      </c>
      <c r="P38" s="276">
        <v>6.8867236082633214</v>
      </c>
      <c r="Q38" s="276">
        <v>6.2791737149410771</v>
      </c>
      <c r="R38" s="276">
        <v>5.7705931532247519</v>
      </c>
      <c r="S38" s="276">
        <v>5.3386202486883541</v>
      </c>
      <c r="T38" s="276">
        <v>4.9671581811191761</v>
      </c>
      <c r="U38" s="276">
        <v>4.6443246364914899</v>
      </c>
      <c r="V38" s="276">
        <v>4.3611572297283203</v>
      </c>
      <c r="W38" s="276">
        <v>4.1107684974870597</v>
      </c>
      <c r="X38" s="276">
        <v>3.8877782829617886</v>
      </c>
      <c r="Y38" s="276">
        <v>3.6879227869738207</v>
      </c>
      <c r="Z38" s="276">
        <v>3.5077792984603038</v>
      </c>
      <c r="AA38" s="276">
        <v>3.3445685475253422</v>
      </c>
      <c r="AB38" s="276">
        <v>3.1960102906598933</v>
      </c>
      <c r="AC38" s="276">
        <v>3.0602161202015736</v>
      </c>
      <c r="AD38" s="276">
        <v>2.9356087650814362</v>
      </c>
      <c r="AE38" s="276">
        <v>2.8208605467395809</v>
      </c>
      <c r="AF38" s="276">
        <v>2.7148458875177668</v>
      </c>
    </row>
    <row r="39" spans="1:32" x14ac:dyDescent="0.25">
      <c r="A39" s="322"/>
      <c r="B39" s="328" t="s">
        <v>53</v>
      </c>
      <c r="G39" s="276">
        <v>7.8173858661663429</v>
      </c>
      <c r="H39" s="276">
        <v>7.77829893683551</v>
      </c>
      <c r="I39" s="276">
        <v>7.7392120075046922</v>
      </c>
      <c r="J39" s="276">
        <v>7.7001250781738584</v>
      </c>
      <c r="K39" s="276">
        <v>7.6610381488430255</v>
      </c>
      <c r="L39" s="276">
        <v>7.6219512195121917</v>
      </c>
      <c r="M39" s="276">
        <v>7.5828642901813588</v>
      </c>
      <c r="N39" s="276">
        <v>7.5437773608505259</v>
      </c>
      <c r="O39" s="276">
        <v>7.5046904315196921</v>
      </c>
      <c r="P39" s="276">
        <v>7.4656035021888592</v>
      </c>
      <c r="Q39" s="276">
        <v>7.4265165728580262</v>
      </c>
      <c r="R39" s="276">
        <v>7.3874296435271924</v>
      </c>
      <c r="S39" s="276">
        <v>7.3483427141963746</v>
      </c>
      <c r="T39" s="276">
        <v>7.3092557848655417</v>
      </c>
      <c r="U39" s="276">
        <v>7.2701688555347079</v>
      </c>
      <c r="V39" s="276">
        <v>7.231081926203875</v>
      </c>
      <c r="W39" s="276">
        <v>7.1919949968730421</v>
      </c>
      <c r="X39" s="276">
        <v>7.1529080675422083</v>
      </c>
      <c r="Y39" s="276">
        <v>7.1138211382113754</v>
      </c>
      <c r="Z39" s="276">
        <v>7.0747342088805416</v>
      </c>
      <c r="AA39" s="276">
        <v>7.0356472795497087</v>
      </c>
      <c r="AB39" s="276">
        <v>6.9965603502188758</v>
      </c>
      <c r="AC39" s="276">
        <v>6.957473420888042</v>
      </c>
      <c r="AD39" s="276">
        <v>6.9183864915572242</v>
      </c>
      <c r="AE39" s="276">
        <v>6.8792995622263913</v>
      </c>
      <c r="AF39" s="276">
        <v>6.8402126328955575</v>
      </c>
    </row>
    <row r="41" spans="1:32" x14ac:dyDescent="0.25">
      <c r="A41" s="326" t="s">
        <v>197</v>
      </c>
      <c r="B41" s="327"/>
      <c r="C41" s="327"/>
      <c r="D41" s="327"/>
      <c r="E41" s="327"/>
      <c r="F41" s="327"/>
      <c r="G41" s="331"/>
      <c r="H41" s="327"/>
      <c r="I41" s="327"/>
      <c r="J41" s="327"/>
      <c r="K41" s="327"/>
      <c r="L41" s="327"/>
      <c r="M41" s="327"/>
      <c r="N41" s="327"/>
      <c r="O41" s="327"/>
      <c r="P41" s="327"/>
      <c r="Q41" s="327"/>
      <c r="R41" s="327"/>
      <c r="S41" s="327"/>
      <c r="T41" s="327"/>
      <c r="U41" s="327"/>
      <c r="V41" s="327"/>
      <c r="W41" s="327"/>
      <c r="X41" s="327"/>
      <c r="Y41" s="327"/>
      <c r="Z41" s="327"/>
      <c r="AA41" s="327"/>
      <c r="AB41" s="327"/>
      <c r="AC41" s="327"/>
      <c r="AD41" s="327"/>
      <c r="AE41" s="327"/>
      <c r="AF41" s="327"/>
    </row>
    <row r="42" spans="1:32" x14ac:dyDescent="0.25">
      <c r="A42" s="323" t="s">
        <v>12</v>
      </c>
      <c r="B42" s="322"/>
      <c r="G42" s="221"/>
    </row>
    <row r="43" spans="1:32" x14ac:dyDescent="0.25">
      <c r="A43" s="322"/>
      <c r="B43" s="322" t="s">
        <v>20</v>
      </c>
    </row>
    <row r="44" spans="1:32" s="202" customFormat="1" ht="12.75" x14ac:dyDescent="0.2">
      <c r="A44" s="335" t="s">
        <v>21</v>
      </c>
      <c r="B44" s="335"/>
      <c r="C44" s="335"/>
      <c r="D44" s="335"/>
      <c r="E44" s="335"/>
      <c r="F44" s="335"/>
      <c r="G44" s="335"/>
      <c r="H44" s="335"/>
      <c r="I44" s="335"/>
      <c r="J44" s="335"/>
      <c r="K44" s="335"/>
      <c r="L44" s="335"/>
      <c r="M44" s="335"/>
      <c r="N44" s="335"/>
      <c r="O44" s="335"/>
      <c r="P44" s="335"/>
      <c r="Q44" s="335"/>
      <c r="R44" s="335"/>
      <c r="S44" s="335"/>
      <c r="T44" s="335"/>
      <c r="U44" s="335"/>
      <c r="V44" s="335"/>
      <c r="W44" s="335"/>
      <c r="X44" s="335"/>
      <c r="Y44" s="335"/>
      <c r="Z44" s="335"/>
      <c r="AA44" s="335"/>
      <c r="AB44" s="335"/>
      <c r="AC44" s="335"/>
      <c r="AD44" s="335"/>
      <c r="AE44" s="335"/>
      <c r="AF44" s="335"/>
    </row>
    <row r="45" spans="1:32" x14ac:dyDescent="0.25">
      <c r="A45" s="322"/>
      <c r="B45" s="322" t="s">
        <v>22</v>
      </c>
      <c r="G45" s="276">
        <f t="array" ref="G45:AF75">IFERROR(IF(ISNUMBER(Perform_Proj!G382:AF412),Perform_Proj!G382:AF412/(Lumens/1000)+Perform_Active!Y10:Y40,""),1000)</f>
        <v>0</v>
      </c>
      <c r="H45" s="276">
        <v>0</v>
      </c>
      <c r="I45" s="276">
        <v>0</v>
      </c>
      <c r="J45" s="276">
        <v>0</v>
      </c>
      <c r="K45" s="276">
        <v>0</v>
      </c>
      <c r="L45" s="276">
        <v>0</v>
      </c>
      <c r="M45" s="276">
        <v>0</v>
      </c>
      <c r="N45" s="276">
        <v>0</v>
      </c>
      <c r="O45" s="276">
        <v>0</v>
      </c>
      <c r="P45" s="276">
        <v>0</v>
      </c>
      <c r="Q45" s="276">
        <v>0</v>
      </c>
      <c r="R45" s="276">
        <v>0</v>
      </c>
      <c r="S45" s="276">
        <v>0</v>
      </c>
      <c r="T45" s="276">
        <v>0</v>
      </c>
      <c r="U45" s="276">
        <v>0</v>
      </c>
      <c r="V45" s="276">
        <v>0</v>
      </c>
      <c r="W45" s="276">
        <v>0</v>
      </c>
      <c r="X45" s="276">
        <v>0</v>
      </c>
      <c r="Y45" s="276">
        <v>0</v>
      </c>
      <c r="Z45" s="276">
        <v>0</v>
      </c>
      <c r="AA45" s="276">
        <v>0</v>
      </c>
      <c r="AB45" s="276">
        <v>0</v>
      </c>
      <c r="AC45" s="276">
        <v>0</v>
      </c>
      <c r="AD45" s="276">
        <v>0</v>
      </c>
      <c r="AE45" s="276">
        <v>0</v>
      </c>
      <c r="AF45" s="276">
        <v>0</v>
      </c>
    </row>
    <row r="46" spans="1:32" x14ac:dyDescent="0.25">
      <c r="A46" s="322"/>
      <c r="B46" s="322" t="s">
        <v>26</v>
      </c>
      <c r="G46" s="276">
        <v>0</v>
      </c>
      <c r="H46" s="276">
        <v>0</v>
      </c>
      <c r="I46" s="276">
        <v>0</v>
      </c>
      <c r="J46" s="276">
        <v>0</v>
      </c>
      <c r="K46" s="276">
        <v>0</v>
      </c>
      <c r="L46" s="276">
        <v>0</v>
      </c>
      <c r="M46" s="276">
        <v>0</v>
      </c>
      <c r="N46" s="276">
        <v>0</v>
      </c>
      <c r="O46" s="276">
        <v>0</v>
      </c>
      <c r="P46" s="276">
        <v>0</v>
      </c>
      <c r="Q46" s="276">
        <v>0</v>
      </c>
      <c r="R46" s="276">
        <v>0</v>
      </c>
      <c r="S46" s="276">
        <v>0</v>
      </c>
      <c r="T46" s="276">
        <v>0</v>
      </c>
      <c r="U46" s="276">
        <v>0</v>
      </c>
      <c r="V46" s="276">
        <v>0</v>
      </c>
      <c r="W46" s="276">
        <v>0</v>
      </c>
      <c r="X46" s="276">
        <v>0</v>
      </c>
      <c r="Y46" s="276">
        <v>0</v>
      </c>
      <c r="Z46" s="276">
        <v>0</v>
      </c>
      <c r="AA46" s="276">
        <v>0</v>
      </c>
      <c r="AB46" s="276">
        <v>0</v>
      </c>
      <c r="AC46" s="276">
        <v>0</v>
      </c>
      <c r="AD46" s="276">
        <v>0</v>
      </c>
      <c r="AE46" s="276">
        <v>0</v>
      </c>
      <c r="AF46" s="276">
        <v>0</v>
      </c>
    </row>
    <row r="47" spans="1:32" x14ac:dyDescent="0.25">
      <c r="A47" s="322"/>
      <c r="B47" s="322" t="s">
        <v>27</v>
      </c>
      <c r="G47" s="276">
        <v>0</v>
      </c>
      <c r="H47" s="276">
        <v>0</v>
      </c>
      <c r="I47" s="276">
        <v>0</v>
      </c>
      <c r="J47" s="276">
        <v>0</v>
      </c>
      <c r="K47" s="276">
        <v>0</v>
      </c>
      <c r="L47" s="276">
        <v>0</v>
      </c>
      <c r="M47" s="276">
        <v>0</v>
      </c>
      <c r="N47" s="276">
        <v>0</v>
      </c>
      <c r="O47" s="276">
        <v>0</v>
      </c>
      <c r="P47" s="276">
        <v>0</v>
      </c>
      <c r="Q47" s="276">
        <v>0</v>
      </c>
      <c r="R47" s="276">
        <v>0</v>
      </c>
      <c r="S47" s="276">
        <v>0</v>
      </c>
      <c r="T47" s="276">
        <v>0</v>
      </c>
      <c r="U47" s="276">
        <v>0</v>
      </c>
      <c r="V47" s="276">
        <v>0</v>
      </c>
      <c r="W47" s="276">
        <v>0</v>
      </c>
      <c r="X47" s="276">
        <v>0</v>
      </c>
      <c r="Y47" s="276">
        <v>0</v>
      </c>
      <c r="Z47" s="276">
        <v>0</v>
      </c>
      <c r="AA47" s="276">
        <v>0</v>
      </c>
      <c r="AB47" s="276">
        <v>0</v>
      </c>
      <c r="AC47" s="276">
        <v>0</v>
      </c>
      <c r="AD47" s="276">
        <v>0</v>
      </c>
      <c r="AE47" s="276">
        <v>0</v>
      </c>
      <c r="AF47" s="276">
        <v>0</v>
      </c>
    </row>
    <row r="48" spans="1:32" x14ac:dyDescent="0.25">
      <c r="A48" s="322"/>
      <c r="B48" s="322" t="s">
        <v>29</v>
      </c>
      <c r="G48" s="276">
        <v>0</v>
      </c>
      <c r="H48" s="276">
        <v>0</v>
      </c>
      <c r="I48" s="276">
        <v>0</v>
      </c>
      <c r="J48" s="276">
        <v>0</v>
      </c>
      <c r="K48" s="276">
        <v>0</v>
      </c>
      <c r="L48" s="276">
        <v>0</v>
      </c>
      <c r="M48" s="276">
        <v>0</v>
      </c>
      <c r="N48" s="276">
        <v>0</v>
      </c>
      <c r="O48" s="276">
        <v>0</v>
      </c>
      <c r="P48" s="276">
        <v>0</v>
      </c>
      <c r="Q48" s="276">
        <v>0</v>
      </c>
      <c r="R48" s="276">
        <v>0</v>
      </c>
      <c r="S48" s="276">
        <v>0</v>
      </c>
      <c r="T48" s="276">
        <v>0</v>
      </c>
      <c r="U48" s="276">
        <v>0</v>
      </c>
      <c r="V48" s="276">
        <v>0</v>
      </c>
      <c r="W48" s="276">
        <v>0</v>
      </c>
      <c r="X48" s="276">
        <v>0</v>
      </c>
      <c r="Y48" s="276">
        <v>0</v>
      </c>
      <c r="Z48" s="276">
        <v>0</v>
      </c>
      <c r="AA48" s="276">
        <v>0</v>
      </c>
      <c r="AB48" s="276">
        <v>0</v>
      </c>
      <c r="AC48" s="276">
        <v>0</v>
      </c>
      <c r="AD48" s="276">
        <v>0</v>
      </c>
      <c r="AE48" s="276">
        <v>0</v>
      </c>
      <c r="AF48" s="276">
        <v>0</v>
      </c>
    </row>
    <row r="49" spans="1:32" x14ac:dyDescent="0.25">
      <c r="A49" s="322"/>
      <c r="B49" s="322"/>
      <c r="G49" s="276" t="str">
        <v/>
      </c>
      <c r="H49" s="276" t="str">
        <v/>
      </c>
      <c r="I49" s="276" t="str">
        <v/>
      </c>
      <c r="J49" s="276" t="str">
        <v/>
      </c>
      <c r="K49" s="276" t="str">
        <v/>
      </c>
      <c r="L49" s="276" t="str">
        <v/>
      </c>
      <c r="M49" s="276" t="str">
        <v/>
      </c>
      <c r="N49" s="276" t="str">
        <v/>
      </c>
      <c r="O49" s="276" t="str">
        <v/>
      </c>
      <c r="P49" s="276" t="str">
        <v/>
      </c>
      <c r="Q49" s="276" t="str">
        <v/>
      </c>
      <c r="R49" s="276" t="str">
        <v/>
      </c>
      <c r="S49" s="276" t="str">
        <v/>
      </c>
      <c r="T49" s="276" t="str">
        <v/>
      </c>
      <c r="U49" s="276" t="str">
        <v/>
      </c>
      <c r="V49" s="276" t="str">
        <v/>
      </c>
      <c r="W49" s="276" t="str">
        <v/>
      </c>
      <c r="X49" s="276" t="str">
        <v/>
      </c>
      <c r="Y49" s="276" t="str">
        <v/>
      </c>
      <c r="Z49" s="276" t="str">
        <v/>
      </c>
      <c r="AA49" s="276" t="str">
        <v/>
      </c>
      <c r="AB49" s="276" t="str">
        <v/>
      </c>
      <c r="AC49" s="276" t="str">
        <v/>
      </c>
      <c r="AD49" s="276" t="str">
        <v/>
      </c>
      <c r="AE49" s="276" t="str">
        <v/>
      </c>
      <c r="AF49" s="276" t="str">
        <v/>
      </c>
    </row>
    <row r="50" spans="1:32" s="202" customFormat="1" ht="12.75" x14ac:dyDescent="0.2">
      <c r="A50" s="335" t="s">
        <v>32</v>
      </c>
      <c r="B50" s="335"/>
      <c r="C50" s="335"/>
      <c r="D50" s="335"/>
      <c r="E50" s="335"/>
      <c r="F50" s="335"/>
      <c r="G50" s="274" t="str">
        <v/>
      </c>
      <c r="H50" s="274" t="str">
        <v/>
      </c>
      <c r="I50" s="274" t="str">
        <v/>
      </c>
      <c r="J50" s="274" t="str">
        <v/>
      </c>
      <c r="K50" s="274" t="str">
        <v/>
      </c>
      <c r="L50" s="274" t="str">
        <v/>
      </c>
      <c r="M50" s="274" t="str">
        <v/>
      </c>
      <c r="N50" s="274" t="str">
        <v/>
      </c>
      <c r="O50" s="274" t="str">
        <v/>
      </c>
      <c r="P50" s="274" t="str">
        <v/>
      </c>
      <c r="Q50" s="274" t="str">
        <v/>
      </c>
      <c r="R50" s="274" t="str">
        <v/>
      </c>
      <c r="S50" s="274" t="str">
        <v/>
      </c>
      <c r="T50" s="274" t="str">
        <v/>
      </c>
      <c r="U50" s="274" t="str">
        <v/>
      </c>
      <c r="V50" s="274" t="str">
        <v/>
      </c>
      <c r="W50" s="274" t="str">
        <v/>
      </c>
      <c r="X50" s="274" t="str">
        <v/>
      </c>
      <c r="Y50" s="274" t="str">
        <v/>
      </c>
      <c r="Z50" s="274" t="str">
        <v/>
      </c>
      <c r="AA50" s="274" t="str">
        <v/>
      </c>
      <c r="AB50" s="274" t="str">
        <v/>
      </c>
      <c r="AC50" s="274" t="str">
        <v/>
      </c>
      <c r="AD50" s="274" t="str">
        <v/>
      </c>
      <c r="AE50" s="274" t="str">
        <v/>
      </c>
      <c r="AF50" s="274" t="str">
        <v/>
      </c>
    </row>
    <row r="51" spans="1:32" x14ac:dyDescent="0.25">
      <c r="A51" s="322"/>
      <c r="B51" s="322" t="s">
        <v>33</v>
      </c>
      <c r="G51" s="276">
        <v>0</v>
      </c>
      <c r="H51" s="276">
        <v>0</v>
      </c>
      <c r="I51" s="276">
        <v>0</v>
      </c>
      <c r="J51" s="276">
        <v>0</v>
      </c>
      <c r="K51" s="276">
        <v>0</v>
      </c>
      <c r="L51" s="276">
        <v>0</v>
      </c>
      <c r="M51" s="276">
        <v>0</v>
      </c>
      <c r="N51" s="276">
        <v>0</v>
      </c>
      <c r="O51" s="276">
        <v>0</v>
      </c>
      <c r="P51" s="276">
        <v>0</v>
      </c>
      <c r="Q51" s="276">
        <v>0</v>
      </c>
      <c r="R51" s="276">
        <v>0</v>
      </c>
      <c r="S51" s="276">
        <v>0</v>
      </c>
      <c r="T51" s="276">
        <v>0</v>
      </c>
      <c r="U51" s="276">
        <v>0</v>
      </c>
      <c r="V51" s="276">
        <v>0</v>
      </c>
      <c r="W51" s="276">
        <v>0</v>
      </c>
      <c r="X51" s="276">
        <v>0</v>
      </c>
      <c r="Y51" s="276">
        <v>0</v>
      </c>
      <c r="Z51" s="276">
        <v>0</v>
      </c>
      <c r="AA51" s="276">
        <v>0</v>
      </c>
      <c r="AB51" s="276">
        <v>0</v>
      </c>
      <c r="AC51" s="276">
        <v>0</v>
      </c>
      <c r="AD51" s="276">
        <v>0</v>
      </c>
      <c r="AE51" s="276">
        <v>0</v>
      </c>
      <c r="AF51" s="276">
        <v>0</v>
      </c>
    </row>
    <row r="52" spans="1:32" x14ac:dyDescent="0.25">
      <c r="A52" s="328"/>
      <c r="B52" s="328" t="s">
        <v>34</v>
      </c>
      <c r="G52" s="276">
        <v>0</v>
      </c>
      <c r="H52" s="276">
        <v>0</v>
      </c>
      <c r="I52" s="276">
        <v>0</v>
      </c>
      <c r="J52" s="276">
        <v>0</v>
      </c>
      <c r="K52" s="276">
        <v>0</v>
      </c>
      <c r="L52" s="276">
        <v>0</v>
      </c>
      <c r="M52" s="276">
        <v>0</v>
      </c>
      <c r="N52" s="276">
        <v>0</v>
      </c>
      <c r="O52" s="276">
        <v>0</v>
      </c>
      <c r="P52" s="276">
        <v>0</v>
      </c>
      <c r="Q52" s="276">
        <v>0</v>
      </c>
      <c r="R52" s="276">
        <v>0</v>
      </c>
      <c r="S52" s="276">
        <v>0</v>
      </c>
      <c r="T52" s="276">
        <v>0</v>
      </c>
      <c r="U52" s="276">
        <v>0</v>
      </c>
      <c r="V52" s="276">
        <v>0</v>
      </c>
      <c r="W52" s="276">
        <v>0</v>
      </c>
      <c r="X52" s="276">
        <v>0</v>
      </c>
      <c r="Y52" s="276">
        <v>0</v>
      </c>
      <c r="Z52" s="276">
        <v>0</v>
      </c>
      <c r="AA52" s="276">
        <v>0</v>
      </c>
      <c r="AB52" s="276">
        <v>0</v>
      </c>
      <c r="AC52" s="276">
        <v>0</v>
      </c>
      <c r="AD52" s="276">
        <v>0</v>
      </c>
      <c r="AE52" s="276">
        <v>0</v>
      </c>
      <c r="AF52" s="276">
        <v>0</v>
      </c>
    </row>
    <row r="53" spans="1:32" x14ac:dyDescent="0.25">
      <c r="A53" s="322"/>
      <c r="B53" s="328" t="s">
        <v>35</v>
      </c>
      <c r="G53" s="276">
        <v>0</v>
      </c>
      <c r="H53" s="276">
        <v>0</v>
      </c>
      <c r="I53" s="276">
        <v>0</v>
      </c>
      <c r="J53" s="276">
        <v>0</v>
      </c>
      <c r="K53" s="276">
        <v>0</v>
      </c>
      <c r="L53" s="276">
        <v>0</v>
      </c>
      <c r="M53" s="276">
        <v>0</v>
      </c>
      <c r="N53" s="276">
        <v>0</v>
      </c>
      <c r="O53" s="276">
        <v>0</v>
      </c>
      <c r="P53" s="276">
        <v>0</v>
      </c>
      <c r="Q53" s="276">
        <v>0</v>
      </c>
      <c r="R53" s="276">
        <v>0</v>
      </c>
      <c r="S53" s="276">
        <v>0</v>
      </c>
      <c r="T53" s="276">
        <v>0</v>
      </c>
      <c r="U53" s="276">
        <v>0</v>
      </c>
      <c r="V53" s="276">
        <v>0</v>
      </c>
      <c r="W53" s="276">
        <v>0</v>
      </c>
      <c r="X53" s="276">
        <v>0</v>
      </c>
      <c r="Y53" s="276">
        <v>0</v>
      </c>
      <c r="Z53" s="276">
        <v>0</v>
      </c>
      <c r="AA53" s="276">
        <v>0</v>
      </c>
      <c r="AB53" s="276">
        <v>0</v>
      </c>
      <c r="AC53" s="276">
        <v>0</v>
      </c>
      <c r="AD53" s="276">
        <v>0</v>
      </c>
      <c r="AE53" s="276">
        <v>0</v>
      </c>
      <c r="AF53" s="276">
        <v>0</v>
      </c>
    </row>
    <row r="54" spans="1:32" x14ac:dyDescent="0.25">
      <c r="A54" s="322"/>
      <c r="B54" s="328" t="s">
        <v>29</v>
      </c>
      <c r="G54" s="276">
        <v>0</v>
      </c>
      <c r="H54" s="276">
        <v>0</v>
      </c>
      <c r="I54" s="276">
        <v>0</v>
      </c>
      <c r="J54" s="276">
        <v>0</v>
      </c>
      <c r="K54" s="276">
        <v>0</v>
      </c>
      <c r="L54" s="276">
        <v>0</v>
      </c>
      <c r="M54" s="276">
        <v>0</v>
      </c>
      <c r="N54" s="276">
        <v>0</v>
      </c>
      <c r="O54" s="276">
        <v>0</v>
      </c>
      <c r="P54" s="276">
        <v>0</v>
      </c>
      <c r="Q54" s="276">
        <v>0</v>
      </c>
      <c r="R54" s="276">
        <v>0</v>
      </c>
      <c r="S54" s="276">
        <v>0</v>
      </c>
      <c r="T54" s="276">
        <v>0</v>
      </c>
      <c r="U54" s="276">
        <v>0</v>
      </c>
      <c r="V54" s="276">
        <v>0</v>
      </c>
      <c r="W54" s="276">
        <v>0</v>
      </c>
      <c r="X54" s="276">
        <v>0</v>
      </c>
      <c r="Y54" s="276">
        <v>0</v>
      </c>
      <c r="Z54" s="276">
        <v>0</v>
      </c>
      <c r="AA54" s="276">
        <v>0</v>
      </c>
      <c r="AB54" s="276">
        <v>0</v>
      </c>
      <c r="AC54" s="276">
        <v>0</v>
      </c>
      <c r="AD54" s="276">
        <v>0</v>
      </c>
      <c r="AE54" s="276">
        <v>0</v>
      </c>
      <c r="AF54" s="276">
        <v>0</v>
      </c>
    </row>
    <row r="55" spans="1:32" x14ac:dyDescent="0.25">
      <c r="A55" s="322"/>
      <c r="B55" s="322"/>
      <c r="G55" s="276" t="str">
        <v/>
      </c>
      <c r="H55" s="276" t="str">
        <v/>
      </c>
      <c r="I55" s="276" t="str">
        <v/>
      </c>
      <c r="J55" s="276" t="str">
        <v/>
      </c>
      <c r="K55" s="276" t="str">
        <v/>
      </c>
      <c r="L55" s="276" t="str">
        <v/>
      </c>
      <c r="M55" s="276" t="str">
        <v/>
      </c>
      <c r="N55" s="276" t="str">
        <v/>
      </c>
      <c r="O55" s="276" t="str">
        <v/>
      </c>
      <c r="P55" s="276" t="str">
        <v/>
      </c>
      <c r="Q55" s="276" t="str">
        <v/>
      </c>
      <c r="R55" s="276" t="str">
        <v/>
      </c>
      <c r="S55" s="276" t="str">
        <v/>
      </c>
      <c r="T55" s="276" t="str">
        <v/>
      </c>
      <c r="U55" s="276" t="str">
        <v/>
      </c>
      <c r="V55" s="276" t="str">
        <v/>
      </c>
      <c r="W55" s="276" t="str">
        <v/>
      </c>
      <c r="X55" s="276" t="str">
        <v/>
      </c>
      <c r="Y55" s="276" t="str">
        <v/>
      </c>
      <c r="Z55" s="276" t="str">
        <v/>
      </c>
      <c r="AA55" s="276" t="str">
        <v/>
      </c>
      <c r="AB55" s="276" t="str">
        <v/>
      </c>
      <c r="AC55" s="276" t="str">
        <v/>
      </c>
      <c r="AD55" s="276" t="str">
        <v/>
      </c>
      <c r="AE55" s="276" t="str">
        <v/>
      </c>
      <c r="AF55" s="276" t="str">
        <v/>
      </c>
    </row>
    <row r="56" spans="1:32" s="202" customFormat="1" ht="12.75" x14ac:dyDescent="0.2">
      <c r="A56" s="335" t="s">
        <v>36</v>
      </c>
      <c r="B56" s="335"/>
      <c r="C56" s="335"/>
      <c r="D56" s="335"/>
      <c r="E56" s="335"/>
      <c r="F56" s="335"/>
      <c r="G56" s="274" t="str">
        <v/>
      </c>
      <c r="H56" s="274" t="str">
        <v/>
      </c>
      <c r="I56" s="274" t="str">
        <v/>
      </c>
      <c r="J56" s="274" t="str">
        <v/>
      </c>
      <c r="K56" s="274" t="str">
        <v/>
      </c>
      <c r="L56" s="274" t="str">
        <v/>
      </c>
      <c r="M56" s="274" t="str">
        <v/>
      </c>
      <c r="N56" s="274" t="str">
        <v/>
      </c>
      <c r="O56" s="274" t="str">
        <v/>
      </c>
      <c r="P56" s="274" t="str">
        <v/>
      </c>
      <c r="Q56" s="274" t="str">
        <v/>
      </c>
      <c r="R56" s="274" t="str">
        <v/>
      </c>
      <c r="S56" s="274" t="str">
        <v/>
      </c>
      <c r="T56" s="274" t="str">
        <v/>
      </c>
      <c r="U56" s="274" t="str">
        <v/>
      </c>
      <c r="V56" s="274" t="str">
        <v/>
      </c>
      <c r="W56" s="274" t="str">
        <v/>
      </c>
      <c r="X56" s="274" t="str">
        <v/>
      </c>
      <c r="Y56" s="274" t="str">
        <v/>
      </c>
      <c r="Z56" s="274" t="str">
        <v/>
      </c>
      <c r="AA56" s="274" t="str">
        <v/>
      </c>
      <c r="AB56" s="274" t="str">
        <v/>
      </c>
      <c r="AC56" s="274" t="str">
        <v/>
      </c>
      <c r="AD56" s="274" t="str">
        <v/>
      </c>
      <c r="AE56" s="274" t="str">
        <v/>
      </c>
      <c r="AF56" s="274" t="str">
        <v/>
      </c>
    </row>
    <row r="57" spans="1:32" x14ac:dyDescent="0.25">
      <c r="A57" s="322"/>
      <c r="B57" s="322" t="s">
        <v>37</v>
      </c>
      <c r="G57" s="276">
        <v>6.048783438430946</v>
      </c>
      <c r="H57" s="276">
        <v>6.0185395212387975</v>
      </c>
      <c r="I57" s="276">
        <v>5.9882956040466384</v>
      </c>
      <c r="J57" s="276">
        <v>5.958051686854489</v>
      </c>
      <c r="K57" s="276">
        <v>5.9278077696623299</v>
      </c>
      <c r="L57" s="276">
        <v>5.8975638524701708</v>
      </c>
      <c r="M57" s="276">
        <v>5.8673199352780214</v>
      </c>
      <c r="N57" s="276">
        <v>5.8370760180858623</v>
      </c>
      <c r="O57" s="276">
        <v>5.8068321008937138</v>
      </c>
      <c r="P57" s="276">
        <v>5.7765881837015538</v>
      </c>
      <c r="Q57" s="276">
        <v>5.7463442665094053</v>
      </c>
      <c r="R57" s="276">
        <v>5.7161003493172462</v>
      </c>
      <c r="S57" s="276">
        <v>5.6858564321250968</v>
      </c>
      <c r="T57" s="276">
        <v>5.6556125149329377</v>
      </c>
      <c r="U57" s="276">
        <v>5.6253685977407786</v>
      </c>
      <c r="V57" s="276">
        <v>5.5951246805486292</v>
      </c>
      <c r="W57" s="276">
        <v>5.5648807633564701</v>
      </c>
      <c r="X57" s="276">
        <v>5.5346368461643216</v>
      </c>
      <c r="Y57" s="276">
        <v>5.5043929289721616</v>
      </c>
      <c r="Z57" s="276">
        <v>5.4741490117800131</v>
      </c>
      <c r="AA57" s="276">
        <v>5.443905094587854</v>
      </c>
      <c r="AB57" s="276">
        <v>5.4136611773957046</v>
      </c>
      <c r="AC57" s="276">
        <v>5.3834172602035455</v>
      </c>
      <c r="AD57" s="276">
        <v>5.3531733430113864</v>
      </c>
      <c r="AE57" s="276">
        <v>5.322929425819237</v>
      </c>
      <c r="AF57" s="276">
        <v>5.2926855086270779</v>
      </c>
    </row>
    <row r="58" spans="1:32" x14ac:dyDescent="0.25">
      <c r="A58" s="322"/>
      <c r="B58" s="322" t="s">
        <v>39</v>
      </c>
      <c r="G58" s="276">
        <v>6.0863115050307171</v>
      </c>
      <c r="H58" s="276">
        <v>6.0558799475055691</v>
      </c>
      <c r="I58" s="276">
        <v>6.0254483899804114</v>
      </c>
      <c r="J58" s="276">
        <v>5.9950168324552635</v>
      </c>
      <c r="K58" s="276">
        <v>5.9645852749301049</v>
      </c>
      <c r="L58" s="276">
        <v>5.9341537174049472</v>
      </c>
      <c r="M58" s="276">
        <v>5.9037221598797993</v>
      </c>
      <c r="N58" s="276">
        <v>5.8732906023546407</v>
      </c>
      <c r="O58" s="276">
        <v>5.8428590448294937</v>
      </c>
      <c r="P58" s="276">
        <v>5.8124274873043351</v>
      </c>
      <c r="Q58" s="276">
        <v>5.7819959297791881</v>
      </c>
      <c r="R58" s="276">
        <v>5.7515643722540295</v>
      </c>
      <c r="S58" s="276">
        <v>5.7211328147288816</v>
      </c>
      <c r="T58" s="276">
        <v>5.6907012572037239</v>
      </c>
      <c r="U58" s="276">
        <v>5.6602696996785653</v>
      </c>
      <c r="V58" s="276">
        <v>5.6298381421534174</v>
      </c>
      <c r="W58" s="276">
        <v>5.5994065846282597</v>
      </c>
      <c r="X58" s="276">
        <v>5.5689750271031118</v>
      </c>
      <c r="Y58" s="276">
        <v>5.5385434695779532</v>
      </c>
      <c r="Z58" s="276">
        <v>5.5081119120528061</v>
      </c>
      <c r="AA58" s="276">
        <v>5.4776803545276476</v>
      </c>
      <c r="AB58" s="276">
        <v>5.4472487970024996</v>
      </c>
      <c r="AC58" s="276">
        <v>5.4168172394773419</v>
      </c>
      <c r="AD58" s="276">
        <v>5.3863856819521834</v>
      </c>
      <c r="AE58" s="276">
        <v>5.3559541244270354</v>
      </c>
      <c r="AF58" s="276">
        <v>5.3255225669018778</v>
      </c>
    </row>
    <row r="59" spans="1:32" x14ac:dyDescent="0.25">
      <c r="A59" s="322"/>
      <c r="B59" s="322" t="s">
        <v>40</v>
      </c>
      <c r="G59" s="276">
        <v>3.5815259162796815</v>
      </c>
      <c r="H59" s="276">
        <v>3.5636182866982793</v>
      </c>
      <c r="I59" s="276">
        <v>3.5457106571168819</v>
      </c>
      <c r="J59" s="276">
        <v>3.5278030275354846</v>
      </c>
      <c r="K59" s="276">
        <v>3.5098953979540872</v>
      </c>
      <c r="L59" s="276">
        <v>3.4919877683726894</v>
      </c>
      <c r="M59" s="276">
        <v>3.4740801387912872</v>
      </c>
      <c r="N59" s="276">
        <v>3.4561725092098898</v>
      </c>
      <c r="O59" s="276">
        <v>3.4382648796284925</v>
      </c>
      <c r="P59" s="276">
        <v>3.4203572500470951</v>
      </c>
      <c r="Q59" s="276">
        <v>3.4024496204656978</v>
      </c>
      <c r="R59" s="276">
        <v>3.3845419908842951</v>
      </c>
      <c r="S59" s="276">
        <v>3.3666343613028977</v>
      </c>
      <c r="T59" s="276">
        <v>3.3487267317215004</v>
      </c>
      <c r="U59" s="276">
        <v>3.330819102140103</v>
      </c>
      <c r="V59" s="276">
        <v>3.3129114725587057</v>
      </c>
      <c r="W59" s="276">
        <v>3.295003842977303</v>
      </c>
      <c r="X59" s="276">
        <v>3.2770962133959056</v>
      </c>
      <c r="Y59" s="276">
        <v>3.2591885838145083</v>
      </c>
      <c r="Z59" s="276">
        <v>3.2412809542331109</v>
      </c>
      <c r="AA59" s="276">
        <v>3.2233733246517136</v>
      </c>
      <c r="AB59" s="276">
        <v>3.2054656950703109</v>
      </c>
      <c r="AC59" s="276">
        <v>3.1875580654889135</v>
      </c>
      <c r="AD59" s="276">
        <v>3.1696504359075162</v>
      </c>
      <c r="AE59" s="276">
        <v>3.1517428063261188</v>
      </c>
      <c r="AF59" s="276">
        <v>3.1338351767447215</v>
      </c>
    </row>
    <row r="60" spans="1:32" x14ac:dyDescent="0.25">
      <c r="A60" s="322"/>
      <c r="B60" s="322" t="s">
        <v>29</v>
      </c>
      <c r="G60" s="276">
        <v>0</v>
      </c>
      <c r="H60" s="276">
        <v>0</v>
      </c>
      <c r="I60" s="276">
        <v>0</v>
      </c>
      <c r="J60" s="276">
        <v>0</v>
      </c>
      <c r="K60" s="276">
        <v>0</v>
      </c>
      <c r="L60" s="276">
        <v>0</v>
      </c>
      <c r="M60" s="276">
        <v>0</v>
      </c>
      <c r="N60" s="276">
        <v>0</v>
      </c>
      <c r="O60" s="276">
        <v>0</v>
      </c>
      <c r="P60" s="276">
        <v>0</v>
      </c>
      <c r="Q60" s="276">
        <v>0</v>
      </c>
      <c r="R60" s="276">
        <v>0</v>
      </c>
      <c r="S60" s="276">
        <v>0</v>
      </c>
      <c r="T60" s="276">
        <v>0</v>
      </c>
      <c r="U60" s="276">
        <v>0</v>
      </c>
      <c r="V60" s="276">
        <v>0</v>
      </c>
      <c r="W60" s="276">
        <v>0</v>
      </c>
      <c r="X60" s="276">
        <v>0</v>
      </c>
      <c r="Y60" s="276">
        <v>0</v>
      </c>
      <c r="Z60" s="276">
        <v>0</v>
      </c>
      <c r="AA60" s="276">
        <v>0</v>
      </c>
      <c r="AB60" s="276">
        <v>0</v>
      </c>
      <c r="AC60" s="276">
        <v>0</v>
      </c>
      <c r="AD60" s="276">
        <v>0</v>
      </c>
      <c r="AE60" s="276">
        <v>0</v>
      </c>
      <c r="AF60" s="276">
        <v>0</v>
      </c>
    </row>
    <row r="61" spans="1:32" x14ac:dyDescent="0.25">
      <c r="A61" s="322"/>
      <c r="B61" s="322"/>
      <c r="G61" s="276" t="str">
        <v/>
      </c>
      <c r="H61" s="276" t="str">
        <v/>
      </c>
      <c r="I61" s="276" t="str">
        <v/>
      </c>
      <c r="J61" s="276" t="str">
        <v/>
      </c>
      <c r="K61" s="276" t="str">
        <v/>
      </c>
      <c r="L61" s="276" t="str">
        <v/>
      </c>
      <c r="M61" s="276" t="str">
        <v/>
      </c>
      <c r="N61" s="276" t="str">
        <v/>
      </c>
      <c r="O61" s="276" t="str">
        <v/>
      </c>
      <c r="P61" s="276" t="str">
        <v/>
      </c>
      <c r="Q61" s="276" t="str">
        <v/>
      </c>
      <c r="R61" s="276" t="str">
        <v/>
      </c>
      <c r="S61" s="276" t="str">
        <v/>
      </c>
      <c r="T61" s="276" t="str">
        <v/>
      </c>
      <c r="U61" s="276" t="str">
        <v/>
      </c>
      <c r="V61" s="276" t="str">
        <v/>
      </c>
      <c r="W61" s="276" t="str">
        <v/>
      </c>
      <c r="X61" s="276" t="str">
        <v/>
      </c>
      <c r="Y61" s="276" t="str">
        <v/>
      </c>
      <c r="Z61" s="276" t="str">
        <v/>
      </c>
      <c r="AA61" s="276" t="str">
        <v/>
      </c>
      <c r="AB61" s="276" t="str">
        <v/>
      </c>
      <c r="AC61" s="276" t="str">
        <v/>
      </c>
      <c r="AD61" s="276" t="str">
        <v/>
      </c>
      <c r="AE61" s="276" t="str">
        <v/>
      </c>
      <c r="AF61" s="276" t="str">
        <v/>
      </c>
    </row>
    <row r="62" spans="1:32" s="202" customFormat="1" ht="12.75" x14ac:dyDescent="0.2">
      <c r="A62" s="335" t="s">
        <v>42</v>
      </c>
      <c r="B62" s="335"/>
      <c r="C62" s="335"/>
      <c r="D62" s="335"/>
      <c r="E62" s="335"/>
      <c r="F62" s="335"/>
      <c r="G62" s="274" t="str">
        <v/>
      </c>
      <c r="H62" s="274" t="str">
        <v/>
      </c>
      <c r="I62" s="274" t="str">
        <v/>
      </c>
      <c r="J62" s="274" t="str">
        <v/>
      </c>
      <c r="K62" s="274" t="str">
        <v/>
      </c>
      <c r="L62" s="274" t="str">
        <v/>
      </c>
      <c r="M62" s="274" t="str">
        <v/>
      </c>
      <c r="N62" s="274" t="str">
        <v/>
      </c>
      <c r="O62" s="274" t="str">
        <v/>
      </c>
      <c r="P62" s="274" t="str">
        <v/>
      </c>
      <c r="Q62" s="274" t="str">
        <v/>
      </c>
      <c r="R62" s="274" t="str">
        <v/>
      </c>
      <c r="S62" s="274" t="str">
        <v/>
      </c>
      <c r="T62" s="274" t="str">
        <v/>
      </c>
      <c r="U62" s="274" t="str">
        <v/>
      </c>
      <c r="V62" s="274" t="str">
        <v/>
      </c>
      <c r="W62" s="274" t="str">
        <v/>
      </c>
      <c r="X62" s="274" t="str">
        <v/>
      </c>
      <c r="Y62" s="274" t="str">
        <v/>
      </c>
      <c r="Z62" s="274" t="str">
        <v/>
      </c>
      <c r="AA62" s="274" t="str">
        <v/>
      </c>
      <c r="AB62" s="274" t="str">
        <v/>
      </c>
      <c r="AC62" s="274" t="str">
        <v/>
      </c>
      <c r="AD62" s="274" t="str">
        <v/>
      </c>
      <c r="AE62" s="274" t="str">
        <v/>
      </c>
      <c r="AF62" s="274" t="str">
        <v/>
      </c>
    </row>
    <row r="63" spans="1:32" x14ac:dyDescent="0.25">
      <c r="A63" s="322"/>
      <c r="B63" s="328" t="s">
        <v>43</v>
      </c>
      <c r="G63" s="276">
        <v>23.077113123737035</v>
      </c>
      <c r="H63" s="276">
        <v>22.961727558118362</v>
      </c>
      <c r="I63" s="276">
        <v>22.846341992499656</v>
      </c>
      <c r="J63" s="276">
        <v>22.730956426880986</v>
      </c>
      <c r="K63" s="276">
        <v>22.615570861262313</v>
      </c>
      <c r="L63" s="276">
        <v>22.500185295643607</v>
      </c>
      <c r="M63" s="276">
        <v>22.384799730024934</v>
      </c>
      <c r="N63" s="276">
        <v>22.269414164406232</v>
      </c>
      <c r="O63" s="276">
        <v>22.154028598787558</v>
      </c>
      <c r="P63" s="276">
        <v>22.038643033168885</v>
      </c>
      <c r="Q63" s="276">
        <v>21.923257467550183</v>
      </c>
      <c r="R63" s="276">
        <v>21.807871901931509</v>
      </c>
      <c r="S63" s="276">
        <v>21.692486336312808</v>
      </c>
      <c r="T63" s="276">
        <v>21.577100770694134</v>
      </c>
      <c r="U63" s="276">
        <v>21.46171520507546</v>
      </c>
      <c r="V63" s="276">
        <v>21.346329639456759</v>
      </c>
      <c r="W63" s="276">
        <v>21.230944073838085</v>
      </c>
      <c r="X63" s="276">
        <v>21.11555850821938</v>
      </c>
      <c r="Y63" s="276">
        <v>21.000172942600706</v>
      </c>
      <c r="Z63" s="276">
        <v>20.884787376982036</v>
      </c>
      <c r="AA63" s="276">
        <v>20.769401811363331</v>
      </c>
      <c r="AB63" s="276">
        <v>20.654016245744657</v>
      </c>
      <c r="AC63" s="276">
        <v>20.538630680125955</v>
      </c>
      <c r="AD63" s="276">
        <v>20.423245114507282</v>
      </c>
      <c r="AE63" s="276">
        <v>20.307859548888608</v>
      </c>
      <c r="AF63" s="276">
        <v>20.192473983269906</v>
      </c>
    </row>
    <row r="64" spans="1:32" x14ac:dyDescent="0.25">
      <c r="A64" s="322"/>
      <c r="B64" s="328" t="s">
        <v>44</v>
      </c>
      <c r="G64" s="276">
        <v>37.756095622280071</v>
      </c>
      <c r="H64" s="276">
        <v>37.567315144168703</v>
      </c>
      <c r="I64" s="276">
        <v>37.378534666057298</v>
      </c>
      <c r="J64" s="276">
        <v>37.189754187945887</v>
      </c>
      <c r="K64" s="276">
        <v>37.000973709834476</v>
      </c>
      <c r="L64" s="276">
        <v>36.812193231723064</v>
      </c>
      <c r="M64" s="276">
        <v>36.623412753611703</v>
      </c>
      <c r="N64" s="276">
        <v>36.434632275500292</v>
      </c>
      <c r="O64" s="276">
        <v>36.245851797388887</v>
      </c>
      <c r="P64" s="276">
        <v>36.057071319277476</v>
      </c>
      <c r="Q64" s="276">
        <v>35.868290841166065</v>
      </c>
      <c r="R64" s="276">
        <v>35.679510363054703</v>
      </c>
      <c r="S64" s="276">
        <v>35.490729884943292</v>
      </c>
      <c r="T64" s="276">
        <v>35.301949406831881</v>
      </c>
      <c r="U64" s="276">
        <v>35.113168928720476</v>
      </c>
      <c r="V64" s="276">
        <v>34.924388450609065</v>
      </c>
      <c r="W64" s="276">
        <v>34.735607972497696</v>
      </c>
      <c r="X64" s="276">
        <v>34.546827494386292</v>
      </c>
      <c r="Y64" s="276">
        <v>34.358047016274881</v>
      </c>
      <c r="Z64" s="276">
        <v>34.16926653816347</v>
      </c>
      <c r="AA64" s="276">
        <v>33.980486060052066</v>
      </c>
      <c r="AB64" s="276">
        <v>33.791705581940697</v>
      </c>
      <c r="AC64" s="276">
        <v>33.602925103829286</v>
      </c>
      <c r="AD64" s="276">
        <v>33.414144625717881</v>
      </c>
      <c r="AE64" s="276">
        <v>33.22536414760647</v>
      </c>
      <c r="AF64" s="276">
        <v>33.036583669495059</v>
      </c>
    </row>
    <row r="65" spans="1:32" x14ac:dyDescent="0.25">
      <c r="A65" s="322"/>
      <c r="B65" s="328" t="s">
        <v>45</v>
      </c>
      <c r="G65" s="276">
        <v>12.478039567863471</v>
      </c>
      <c r="H65" s="276">
        <v>12.415649370024159</v>
      </c>
      <c r="I65" s="276">
        <v>12.353259172184831</v>
      </c>
      <c r="J65" s="276">
        <v>12.290868974345521</v>
      </c>
      <c r="K65" s="276">
        <v>12.228478776506211</v>
      </c>
      <c r="L65" s="276">
        <v>12.166088578666884</v>
      </c>
      <c r="M65" s="276">
        <v>12.103698380827574</v>
      </c>
      <c r="N65" s="276">
        <v>12.041308182988246</v>
      </c>
      <c r="O65" s="276">
        <v>11.978917985148934</v>
      </c>
      <c r="P65" s="276">
        <v>11.916527787309624</v>
      </c>
      <c r="Q65" s="276">
        <v>11.854137589470296</v>
      </c>
      <c r="R65" s="276">
        <v>11.791747391630986</v>
      </c>
      <c r="S65" s="276">
        <v>11.729357193791659</v>
      </c>
      <c r="T65" s="276">
        <v>11.666966995952349</v>
      </c>
      <c r="U65" s="276">
        <v>11.604576798113037</v>
      </c>
      <c r="V65" s="276">
        <v>11.542186600273711</v>
      </c>
      <c r="W65" s="276">
        <v>11.479796402434399</v>
      </c>
      <c r="X65" s="276">
        <v>11.417406204595071</v>
      </c>
      <c r="Y65" s="276">
        <v>11.355016006755761</v>
      </c>
      <c r="Z65" s="276">
        <v>11.292625808916451</v>
      </c>
      <c r="AA65" s="276">
        <v>11.230235611077124</v>
      </c>
      <c r="AB65" s="276">
        <v>11.167845413237812</v>
      </c>
      <c r="AC65" s="276">
        <v>11.105455215398486</v>
      </c>
      <c r="AD65" s="276">
        <v>11.043065017559174</v>
      </c>
      <c r="AE65" s="276">
        <v>10.980674819719864</v>
      </c>
      <c r="AF65" s="276">
        <v>10.918284621880536</v>
      </c>
    </row>
    <row r="66" spans="1:32" x14ac:dyDescent="0.25">
      <c r="A66" s="322"/>
      <c r="B66" s="328" t="s">
        <v>46</v>
      </c>
      <c r="G66" s="276">
        <v>1000</v>
      </c>
      <c r="H66" s="276">
        <v>1000</v>
      </c>
      <c r="I66" s="276">
        <v>1000</v>
      </c>
      <c r="J66" s="276">
        <v>1000</v>
      </c>
      <c r="K66" s="276">
        <v>1000</v>
      </c>
      <c r="L66" s="276">
        <v>1000</v>
      </c>
      <c r="M66" s="276">
        <v>1000</v>
      </c>
      <c r="N66" s="276">
        <v>1000</v>
      </c>
      <c r="O66" s="276">
        <v>1000</v>
      </c>
      <c r="P66" s="276">
        <v>1000</v>
      </c>
      <c r="Q66" s="276">
        <v>1000</v>
      </c>
      <c r="R66" s="276">
        <v>1000</v>
      </c>
      <c r="S66" s="276">
        <v>1000</v>
      </c>
      <c r="T66" s="276">
        <v>1000</v>
      </c>
      <c r="U66" s="276">
        <v>1000</v>
      </c>
      <c r="V66" s="276">
        <v>1000</v>
      </c>
      <c r="W66" s="276">
        <v>1000</v>
      </c>
      <c r="X66" s="276">
        <v>1000</v>
      </c>
      <c r="Y66" s="276">
        <v>1000</v>
      </c>
      <c r="Z66" s="276">
        <v>1000</v>
      </c>
      <c r="AA66" s="276">
        <v>1000</v>
      </c>
      <c r="AB66" s="276">
        <v>1000</v>
      </c>
      <c r="AC66" s="276">
        <v>1000</v>
      </c>
      <c r="AD66" s="276">
        <v>1000</v>
      </c>
      <c r="AE66" s="276">
        <v>1000</v>
      </c>
      <c r="AF66" s="276">
        <v>1000</v>
      </c>
    </row>
    <row r="67" spans="1:32" x14ac:dyDescent="0.25">
      <c r="A67" s="322"/>
      <c r="B67" s="322" t="s">
        <v>29</v>
      </c>
      <c r="G67" s="276">
        <v>0</v>
      </c>
      <c r="H67" s="276">
        <v>0</v>
      </c>
      <c r="I67" s="276">
        <v>0</v>
      </c>
      <c r="J67" s="276">
        <v>0</v>
      </c>
      <c r="K67" s="276">
        <v>0</v>
      </c>
      <c r="L67" s="276">
        <v>0</v>
      </c>
      <c r="M67" s="276">
        <v>0</v>
      </c>
      <c r="N67" s="276">
        <v>0</v>
      </c>
      <c r="O67" s="276">
        <v>0</v>
      </c>
      <c r="P67" s="276">
        <v>0</v>
      </c>
      <c r="Q67" s="276">
        <v>0</v>
      </c>
      <c r="R67" s="276">
        <v>0</v>
      </c>
      <c r="S67" s="276">
        <v>0</v>
      </c>
      <c r="T67" s="276">
        <v>0</v>
      </c>
      <c r="U67" s="276">
        <v>0</v>
      </c>
      <c r="V67" s="276">
        <v>0</v>
      </c>
      <c r="W67" s="276">
        <v>0</v>
      </c>
      <c r="X67" s="276">
        <v>0</v>
      </c>
      <c r="Y67" s="276">
        <v>0</v>
      </c>
      <c r="Z67" s="276">
        <v>0</v>
      </c>
      <c r="AA67" s="276">
        <v>0</v>
      </c>
      <c r="AB67" s="276">
        <v>0</v>
      </c>
      <c r="AC67" s="276">
        <v>0</v>
      </c>
      <c r="AD67" s="276">
        <v>0</v>
      </c>
      <c r="AE67" s="276">
        <v>0</v>
      </c>
      <c r="AF67" s="276">
        <v>0</v>
      </c>
    </row>
    <row r="68" spans="1:32" x14ac:dyDescent="0.25">
      <c r="A68" s="322"/>
      <c r="B68" s="322"/>
      <c r="G68" s="276" t="str">
        <v/>
      </c>
      <c r="H68" s="276" t="str">
        <v/>
      </c>
      <c r="I68" s="276" t="str">
        <v/>
      </c>
      <c r="J68" s="276" t="str">
        <v/>
      </c>
      <c r="K68" s="276" t="str">
        <v/>
      </c>
      <c r="L68" s="276" t="str">
        <v/>
      </c>
      <c r="M68" s="276" t="str">
        <v/>
      </c>
      <c r="N68" s="276" t="str">
        <v/>
      </c>
      <c r="O68" s="276" t="str">
        <v/>
      </c>
      <c r="P68" s="276" t="str">
        <v/>
      </c>
      <c r="Q68" s="276" t="str">
        <v/>
      </c>
      <c r="R68" s="276" t="str">
        <v/>
      </c>
      <c r="S68" s="276" t="str">
        <v/>
      </c>
      <c r="T68" s="276" t="str">
        <v/>
      </c>
      <c r="U68" s="276" t="str">
        <v/>
      </c>
      <c r="V68" s="276" t="str">
        <v/>
      </c>
      <c r="W68" s="276" t="str">
        <v/>
      </c>
      <c r="X68" s="276" t="str">
        <v/>
      </c>
      <c r="Y68" s="276" t="str">
        <v/>
      </c>
      <c r="Z68" s="276" t="str">
        <v/>
      </c>
      <c r="AA68" s="276" t="str">
        <v/>
      </c>
      <c r="AB68" s="276" t="str">
        <v/>
      </c>
      <c r="AC68" s="276" t="str">
        <v/>
      </c>
      <c r="AD68" s="276" t="str">
        <v/>
      </c>
      <c r="AE68" s="276" t="str">
        <v/>
      </c>
      <c r="AF68" s="276" t="str">
        <v/>
      </c>
    </row>
    <row r="69" spans="1:32" s="202" customFormat="1" ht="12.75" x14ac:dyDescent="0.2">
      <c r="A69" s="335" t="s">
        <v>47</v>
      </c>
      <c r="B69" s="335"/>
      <c r="C69" s="335"/>
      <c r="D69" s="335"/>
      <c r="E69" s="335"/>
      <c r="F69" s="335"/>
      <c r="G69" s="274" t="str">
        <v/>
      </c>
      <c r="H69" s="274" t="str">
        <v/>
      </c>
      <c r="I69" s="274" t="str">
        <v/>
      </c>
      <c r="J69" s="274" t="str">
        <v/>
      </c>
      <c r="K69" s="274" t="str">
        <v/>
      </c>
      <c r="L69" s="274" t="str">
        <v/>
      </c>
      <c r="M69" s="274" t="str">
        <v/>
      </c>
      <c r="N69" s="274" t="str">
        <v/>
      </c>
      <c r="O69" s="274" t="str">
        <v/>
      </c>
      <c r="P69" s="274" t="str">
        <v/>
      </c>
      <c r="Q69" s="274" t="str">
        <v/>
      </c>
      <c r="R69" s="274" t="str">
        <v/>
      </c>
      <c r="S69" s="274" t="str">
        <v/>
      </c>
      <c r="T69" s="274" t="str">
        <v/>
      </c>
      <c r="U69" s="274" t="str">
        <v/>
      </c>
      <c r="V69" s="274" t="str">
        <v/>
      </c>
      <c r="W69" s="274" t="str">
        <v/>
      </c>
      <c r="X69" s="274" t="str">
        <v/>
      </c>
      <c r="Y69" s="274" t="str">
        <v/>
      </c>
      <c r="Z69" s="274" t="str">
        <v/>
      </c>
      <c r="AA69" s="274" t="str">
        <v/>
      </c>
      <c r="AB69" s="274" t="str">
        <v/>
      </c>
      <c r="AC69" s="274" t="str">
        <v/>
      </c>
      <c r="AD69" s="274" t="str">
        <v/>
      </c>
      <c r="AE69" s="274" t="str">
        <v/>
      </c>
      <c r="AF69" s="274" t="str">
        <v/>
      </c>
    </row>
    <row r="70" spans="1:32" x14ac:dyDescent="0.25">
      <c r="A70" s="322"/>
      <c r="B70" s="322" t="s">
        <v>48</v>
      </c>
      <c r="G70" s="276">
        <v>0</v>
      </c>
      <c r="H70" s="276">
        <v>0</v>
      </c>
      <c r="I70" s="276">
        <v>0</v>
      </c>
      <c r="J70" s="276">
        <v>0</v>
      </c>
      <c r="K70" s="276">
        <v>0</v>
      </c>
      <c r="L70" s="276">
        <v>0</v>
      </c>
      <c r="M70" s="276">
        <v>0</v>
      </c>
      <c r="N70" s="276">
        <v>0</v>
      </c>
      <c r="O70" s="276">
        <v>0</v>
      </c>
      <c r="P70" s="276">
        <v>0</v>
      </c>
      <c r="Q70" s="276">
        <v>0</v>
      </c>
      <c r="R70" s="276">
        <v>0</v>
      </c>
      <c r="S70" s="276">
        <v>0</v>
      </c>
      <c r="T70" s="276">
        <v>0</v>
      </c>
      <c r="U70" s="276">
        <v>0</v>
      </c>
      <c r="V70" s="276">
        <v>0</v>
      </c>
      <c r="W70" s="276">
        <v>0</v>
      </c>
      <c r="X70" s="276">
        <v>0</v>
      </c>
      <c r="Y70" s="276">
        <v>0</v>
      </c>
      <c r="Z70" s="276">
        <v>0</v>
      </c>
      <c r="AA70" s="276">
        <v>0</v>
      </c>
      <c r="AB70" s="276">
        <v>0</v>
      </c>
      <c r="AC70" s="276">
        <v>0</v>
      </c>
      <c r="AD70" s="276">
        <v>0</v>
      </c>
      <c r="AE70" s="276">
        <v>0</v>
      </c>
      <c r="AF70" s="276">
        <v>0</v>
      </c>
    </row>
    <row r="71" spans="1:32" x14ac:dyDescent="0.25">
      <c r="A71" s="322"/>
      <c r="B71" s="328" t="s">
        <v>50</v>
      </c>
      <c r="G71" s="276">
        <v>0</v>
      </c>
      <c r="H71" s="276">
        <v>0</v>
      </c>
      <c r="I71" s="276">
        <v>0</v>
      </c>
      <c r="J71" s="276">
        <v>0</v>
      </c>
      <c r="K71" s="276">
        <v>0</v>
      </c>
      <c r="L71" s="276">
        <v>0</v>
      </c>
      <c r="M71" s="276">
        <v>0</v>
      </c>
      <c r="N71" s="276">
        <v>0</v>
      </c>
      <c r="O71" s="276">
        <v>0</v>
      </c>
      <c r="P71" s="276">
        <v>0</v>
      </c>
      <c r="Q71" s="276">
        <v>0</v>
      </c>
      <c r="R71" s="276">
        <v>0</v>
      </c>
      <c r="S71" s="276">
        <v>0</v>
      </c>
      <c r="T71" s="276">
        <v>0</v>
      </c>
      <c r="U71" s="276">
        <v>0</v>
      </c>
      <c r="V71" s="276">
        <v>0</v>
      </c>
      <c r="W71" s="276">
        <v>0</v>
      </c>
      <c r="X71" s="276">
        <v>0</v>
      </c>
      <c r="Y71" s="276">
        <v>0</v>
      </c>
      <c r="Z71" s="276">
        <v>0</v>
      </c>
      <c r="AA71" s="276">
        <v>0</v>
      </c>
      <c r="AB71" s="276">
        <v>0</v>
      </c>
      <c r="AC71" s="276">
        <v>0</v>
      </c>
      <c r="AD71" s="276">
        <v>0</v>
      </c>
      <c r="AE71" s="276">
        <v>0</v>
      </c>
      <c r="AF71" s="276">
        <v>0</v>
      </c>
    </row>
    <row r="72" spans="1:32" x14ac:dyDescent="0.25">
      <c r="A72" s="322"/>
      <c r="B72" s="322" t="s">
        <v>51</v>
      </c>
      <c r="G72" s="276">
        <v>0</v>
      </c>
      <c r="H72" s="276">
        <v>0</v>
      </c>
      <c r="I72" s="276">
        <v>0</v>
      </c>
      <c r="J72" s="276">
        <v>0</v>
      </c>
      <c r="K72" s="276">
        <v>0</v>
      </c>
      <c r="L72" s="276">
        <v>0</v>
      </c>
      <c r="M72" s="276">
        <v>0</v>
      </c>
      <c r="N72" s="276">
        <v>0</v>
      </c>
      <c r="O72" s="276">
        <v>0</v>
      </c>
      <c r="P72" s="276">
        <v>0</v>
      </c>
      <c r="Q72" s="276">
        <v>0</v>
      </c>
      <c r="R72" s="276">
        <v>0</v>
      </c>
      <c r="S72" s="276">
        <v>0</v>
      </c>
      <c r="T72" s="276">
        <v>0</v>
      </c>
      <c r="U72" s="276">
        <v>0</v>
      </c>
      <c r="V72" s="276">
        <v>0</v>
      </c>
      <c r="W72" s="276">
        <v>0</v>
      </c>
      <c r="X72" s="276">
        <v>0</v>
      </c>
      <c r="Y72" s="276">
        <v>0</v>
      </c>
      <c r="Z72" s="276">
        <v>0</v>
      </c>
      <c r="AA72" s="276">
        <v>0</v>
      </c>
      <c r="AB72" s="276">
        <v>0</v>
      </c>
      <c r="AC72" s="276">
        <v>0</v>
      </c>
      <c r="AD72" s="276">
        <v>0</v>
      </c>
      <c r="AE72" s="276">
        <v>0</v>
      </c>
      <c r="AF72" s="276">
        <v>0</v>
      </c>
    </row>
    <row r="73" spans="1:32" x14ac:dyDescent="0.25">
      <c r="A73" s="322"/>
      <c r="B73" s="322" t="s">
        <v>52</v>
      </c>
      <c r="G73" s="276">
        <v>10.419618892019407</v>
      </c>
      <c r="H73" s="276">
        <v>10.367520797559319</v>
      </c>
      <c r="I73" s="276">
        <v>10.315422703099209</v>
      </c>
      <c r="J73" s="276">
        <v>10.26332460863912</v>
      </c>
      <c r="K73" s="276">
        <v>10.211226514179032</v>
      </c>
      <c r="L73" s="276">
        <v>10.159128419718922</v>
      </c>
      <c r="M73" s="276">
        <v>10.107030325258833</v>
      </c>
      <c r="N73" s="276">
        <v>10.054932230798723</v>
      </c>
      <c r="O73" s="276">
        <v>10.002834136338635</v>
      </c>
      <c r="P73" s="276">
        <v>9.950736041878546</v>
      </c>
      <c r="Q73" s="276">
        <v>9.8986379474184361</v>
      </c>
      <c r="R73" s="276">
        <v>9.8465398529583474</v>
      </c>
      <c r="S73" s="276">
        <v>9.7944417584982393</v>
      </c>
      <c r="T73" s="276">
        <v>9.7423436640381489</v>
      </c>
      <c r="U73" s="276">
        <v>9.6902455695780603</v>
      </c>
      <c r="V73" s="276">
        <v>9.6381474751179521</v>
      </c>
      <c r="W73" s="276">
        <v>9.5860493806578617</v>
      </c>
      <c r="X73" s="276">
        <v>9.5339512861977536</v>
      </c>
      <c r="Y73" s="276">
        <v>9.4818531917376649</v>
      </c>
      <c r="Z73" s="276">
        <v>9.4297550972775745</v>
      </c>
      <c r="AA73" s="276">
        <v>9.3776570028174664</v>
      </c>
      <c r="AB73" s="276">
        <v>9.3255589083573778</v>
      </c>
      <c r="AC73" s="276">
        <v>9.2734608138972678</v>
      </c>
      <c r="AD73" s="276">
        <v>9.2213627194371792</v>
      </c>
      <c r="AE73" s="276">
        <v>9.1692646249770906</v>
      </c>
      <c r="AF73" s="276">
        <v>9.1171665305169807</v>
      </c>
    </row>
    <row r="74" spans="1:32" x14ac:dyDescent="0.25">
      <c r="A74" s="322"/>
      <c r="B74" s="328" t="s">
        <v>29</v>
      </c>
      <c r="G74" s="276">
        <v>0</v>
      </c>
      <c r="H74" s="276">
        <v>0</v>
      </c>
      <c r="I74" s="276">
        <v>0</v>
      </c>
      <c r="J74" s="276">
        <v>0</v>
      </c>
      <c r="K74" s="276">
        <v>0</v>
      </c>
      <c r="L74" s="276">
        <v>0</v>
      </c>
      <c r="M74" s="276">
        <v>0</v>
      </c>
      <c r="N74" s="276">
        <v>0</v>
      </c>
      <c r="O74" s="276">
        <v>0</v>
      </c>
      <c r="P74" s="276">
        <v>0</v>
      </c>
      <c r="Q74" s="276">
        <v>0</v>
      </c>
      <c r="R74" s="276">
        <v>0</v>
      </c>
      <c r="S74" s="276">
        <v>0</v>
      </c>
      <c r="T74" s="276">
        <v>0</v>
      </c>
      <c r="U74" s="276">
        <v>0</v>
      </c>
      <c r="V74" s="276">
        <v>0</v>
      </c>
      <c r="W74" s="276">
        <v>0</v>
      </c>
      <c r="X74" s="276">
        <v>0</v>
      </c>
      <c r="Y74" s="276">
        <v>0</v>
      </c>
      <c r="Z74" s="276">
        <v>0</v>
      </c>
      <c r="AA74" s="276">
        <v>0</v>
      </c>
      <c r="AB74" s="276">
        <v>0</v>
      </c>
      <c r="AC74" s="276">
        <v>0</v>
      </c>
      <c r="AD74" s="276">
        <v>0</v>
      </c>
      <c r="AE74" s="276">
        <v>0</v>
      </c>
      <c r="AF74" s="276">
        <v>0</v>
      </c>
    </row>
    <row r="75" spans="1:32" x14ac:dyDescent="0.25">
      <c r="A75" s="322"/>
      <c r="B75" s="328" t="s">
        <v>53</v>
      </c>
      <c r="G75" s="276">
        <v>0</v>
      </c>
      <c r="H75" s="276">
        <v>0</v>
      </c>
      <c r="I75" s="276">
        <v>0</v>
      </c>
      <c r="J75" s="276">
        <v>0</v>
      </c>
      <c r="K75" s="276">
        <v>0</v>
      </c>
      <c r="L75" s="276">
        <v>0</v>
      </c>
      <c r="M75" s="276">
        <v>0</v>
      </c>
      <c r="N75" s="276">
        <v>0</v>
      </c>
      <c r="O75" s="276">
        <v>0</v>
      </c>
      <c r="P75" s="276">
        <v>0</v>
      </c>
      <c r="Q75" s="276">
        <v>0</v>
      </c>
      <c r="R75" s="276">
        <v>0</v>
      </c>
      <c r="S75" s="276">
        <v>0</v>
      </c>
      <c r="T75" s="276">
        <v>0</v>
      </c>
      <c r="U75" s="276">
        <v>0</v>
      </c>
      <c r="V75" s="276">
        <v>0</v>
      </c>
      <c r="W75" s="276">
        <v>0</v>
      </c>
      <c r="X75" s="276">
        <v>0</v>
      </c>
      <c r="Y75" s="276">
        <v>0</v>
      </c>
      <c r="Z75" s="276">
        <v>0</v>
      </c>
      <c r="AA75" s="276">
        <v>0</v>
      </c>
      <c r="AB75" s="276">
        <v>0</v>
      </c>
      <c r="AC75" s="276">
        <v>0</v>
      </c>
      <c r="AD75" s="276">
        <v>0</v>
      </c>
      <c r="AE75" s="276">
        <v>0</v>
      </c>
      <c r="AF75" s="276">
        <v>0</v>
      </c>
    </row>
    <row r="77" spans="1:32" x14ac:dyDescent="0.25">
      <c r="A77" s="326" t="s">
        <v>189</v>
      </c>
      <c r="B77" s="327"/>
      <c r="C77" s="327"/>
      <c r="D77" s="327"/>
      <c r="E77" s="327"/>
      <c r="F77" s="273"/>
      <c r="G77" s="354" t="s">
        <v>198</v>
      </c>
      <c r="H77" s="327"/>
      <c r="I77" s="327"/>
      <c r="J77" s="327"/>
      <c r="K77" s="327"/>
      <c r="L77" s="327"/>
      <c r="M77" s="327"/>
      <c r="N77" s="327"/>
      <c r="O77" s="327"/>
      <c r="P77" s="327"/>
      <c r="Q77" s="327"/>
      <c r="R77" s="327"/>
      <c r="S77" s="327"/>
      <c r="T77" s="327"/>
      <c r="U77" s="327"/>
      <c r="V77" s="327"/>
      <c r="W77" s="327"/>
      <c r="X77" s="327"/>
      <c r="Y77" s="327"/>
      <c r="Z77" s="327"/>
      <c r="AA77" s="327"/>
      <c r="AB77" s="327"/>
      <c r="AC77" s="327"/>
      <c r="AD77" s="327"/>
      <c r="AE77" s="327"/>
      <c r="AF77" s="327"/>
    </row>
    <row r="78" spans="1:32" x14ac:dyDescent="0.25">
      <c r="A78" s="323" t="s">
        <v>12</v>
      </c>
      <c r="B78" s="322"/>
      <c r="G78" s="221"/>
    </row>
    <row r="79" spans="1:32" x14ac:dyDescent="0.25">
      <c r="A79" s="322"/>
      <c r="B79" s="322" t="s">
        <v>20</v>
      </c>
    </row>
    <row r="80" spans="1:32" s="202" customFormat="1" ht="12.75" x14ac:dyDescent="0.2">
      <c r="A80" s="335" t="s">
        <v>21</v>
      </c>
      <c r="B80" s="335"/>
      <c r="C80" s="335"/>
      <c r="D80" s="335"/>
      <c r="E80" s="335"/>
      <c r="F80" s="335"/>
      <c r="G80" s="335"/>
      <c r="H80" s="335"/>
      <c r="I80" s="335"/>
      <c r="J80" s="335"/>
      <c r="K80" s="335"/>
      <c r="L80" s="335"/>
      <c r="M80" s="335"/>
      <c r="N80" s="335"/>
      <c r="O80" s="335"/>
      <c r="P80" s="335"/>
      <c r="Q80" s="335"/>
      <c r="R80" s="335"/>
      <c r="S80" s="335"/>
      <c r="T80" s="335"/>
      <c r="U80" s="335"/>
      <c r="V80" s="335"/>
      <c r="W80" s="335"/>
      <c r="X80" s="335"/>
      <c r="Y80" s="335"/>
      <c r="Z80" s="335"/>
      <c r="AA80" s="335"/>
      <c r="AB80" s="335"/>
      <c r="AC80" s="335"/>
      <c r="AD80" s="335"/>
      <c r="AE80" s="335"/>
      <c r="AF80" s="335"/>
    </row>
    <row r="81" spans="1:32" x14ac:dyDescent="0.25">
      <c r="A81" s="322"/>
      <c r="B81" s="322" t="s">
        <v>22</v>
      </c>
      <c r="G81" s="276">
        <f t="array" ref="G81:AF111">IFERROR(IF(ISNUMBER(Lumens),IF(ISNUMBER(Perform_Active!W10:W40),Perform_Active!W10:W40/(Lumens/1000)+Perform_Active!Z10:Z40,),""),1000)</f>
        <v>24.748423130627376</v>
      </c>
      <c r="H81" s="276">
        <v>24.748423130627376</v>
      </c>
      <c r="I81" s="276">
        <v>24.748423130627376</v>
      </c>
      <c r="J81" s="276">
        <v>24.748423130627376</v>
      </c>
      <c r="K81" s="276">
        <v>24.748423130627376</v>
      </c>
      <c r="L81" s="276">
        <v>24.748423130627376</v>
      </c>
      <c r="M81" s="276">
        <v>24.748423130627376</v>
      </c>
      <c r="N81" s="276">
        <v>24.748423130627376</v>
      </c>
      <c r="O81" s="276">
        <v>24.748423130627376</v>
      </c>
      <c r="P81" s="276">
        <v>24.748423130627376</v>
      </c>
      <c r="Q81" s="276">
        <v>24.748423130627376</v>
      </c>
      <c r="R81" s="276">
        <v>24.748423130627376</v>
      </c>
      <c r="S81" s="276">
        <v>24.748423130627376</v>
      </c>
      <c r="T81" s="276">
        <v>24.748423130627376</v>
      </c>
      <c r="U81" s="276">
        <v>24.748423130627376</v>
      </c>
      <c r="V81" s="276">
        <v>24.748423130627376</v>
      </c>
      <c r="W81" s="276">
        <v>24.748423130627376</v>
      </c>
      <c r="X81" s="276">
        <v>24.748423130627376</v>
      </c>
      <c r="Y81" s="276">
        <v>24.748423130627376</v>
      </c>
      <c r="Z81" s="276">
        <v>24.748423130627376</v>
      </c>
      <c r="AA81" s="276">
        <v>24.748423130627376</v>
      </c>
      <c r="AB81" s="276">
        <v>24.748423130627376</v>
      </c>
      <c r="AC81" s="276">
        <v>24.748423130627376</v>
      </c>
      <c r="AD81" s="276">
        <v>24.748423130627376</v>
      </c>
      <c r="AE81" s="276">
        <v>24.748423130627376</v>
      </c>
      <c r="AF81" s="276">
        <v>24.748423130627376</v>
      </c>
    </row>
    <row r="82" spans="1:32" x14ac:dyDescent="0.25">
      <c r="A82" s="322"/>
      <c r="B82" s="322" t="s">
        <v>26</v>
      </c>
      <c r="G82" s="276">
        <v>27.141914191419144</v>
      </c>
      <c r="H82" s="276">
        <v>27.141914191419144</v>
      </c>
      <c r="I82" s="276">
        <v>27.141914191419144</v>
      </c>
      <c r="J82" s="276">
        <v>27.141914191419144</v>
      </c>
      <c r="K82" s="276">
        <v>27.141914191419144</v>
      </c>
      <c r="L82" s="276">
        <v>27.141914191419144</v>
      </c>
      <c r="M82" s="276">
        <v>27.141914191419144</v>
      </c>
      <c r="N82" s="276">
        <v>27.141914191419144</v>
      </c>
      <c r="O82" s="276">
        <v>27.141914191419144</v>
      </c>
      <c r="P82" s="276">
        <v>27.141914191419144</v>
      </c>
      <c r="Q82" s="276">
        <v>27.141914191419144</v>
      </c>
      <c r="R82" s="276">
        <v>27.141914191419144</v>
      </c>
      <c r="S82" s="276">
        <v>27.141914191419144</v>
      </c>
      <c r="T82" s="276">
        <v>27.141914191419144</v>
      </c>
      <c r="U82" s="276">
        <v>27.141914191419144</v>
      </c>
      <c r="V82" s="276">
        <v>27.141914191419144</v>
      </c>
      <c r="W82" s="276">
        <v>27.141914191419144</v>
      </c>
      <c r="X82" s="276">
        <v>27.141914191419144</v>
      </c>
      <c r="Y82" s="276">
        <v>27.141914191419144</v>
      </c>
      <c r="Z82" s="276">
        <v>27.141914191419144</v>
      </c>
      <c r="AA82" s="276">
        <v>27.141914191419144</v>
      </c>
      <c r="AB82" s="276">
        <v>27.141914191419144</v>
      </c>
      <c r="AC82" s="276">
        <v>27.141914191419144</v>
      </c>
      <c r="AD82" s="276">
        <v>27.141914191419144</v>
      </c>
      <c r="AE82" s="276">
        <v>27.141914191419144</v>
      </c>
      <c r="AF82" s="276">
        <v>27.141914191419144</v>
      </c>
    </row>
    <row r="83" spans="1:32" x14ac:dyDescent="0.25">
      <c r="A83" s="322"/>
      <c r="B83" s="322" t="s">
        <v>27</v>
      </c>
      <c r="G83" s="276">
        <v>23.090745732255165</v>
      </c>
      <c r="H83" s="276">
        <v>23.090745732255165</v>
      </c>
      <c r="I83" s="276">
        <v>23.090745732255165</v>
      </c>
      <c r="J83" s="276">
        <v>23.090745732255165</v>
      </c>
      <c r="K83" s="276">
        <v>23.090745732255165</v>
      </c>
      <c r="L83" s="276">
        <v>23.090745732255165</v>
      </c>
      <c r="M83" s="276">
        <v>23.090745732255165</v>
      </c>
      <c r="N83" s="276">
        <v>23.090745732255165</v>
      </c>
      <c r="O83" s="276">
        <v>23.090745732255165</v>
      </c>
      <c r="P83" s="276">
        <v>23.090745732255165</v>
      </c>
      <c r="Q83" s="276">
        <v>23.090745732255165</v>
      </c>
      <c r="R83" s="276">
        <v>23.090745732255165</v>
      </c>
      <c r="S83" s="276">
        <v>23.090745732255165</v>
      </c>
      <c r="T83" s="276">
        <v>23.090745732255165</v>
      </c>
      <c r="U83" s="276">
        <v>23.090745732255165</v>
      </c>
      <c r="V83" s="276">
        <v>23.090745732255165</v>
      </c>
      <c r="W83" s="276">
        <v>23.090745732255165</v>
      </c>
      <c r="X83" s="276">
        <v>23.090745732255165</v>
      </c>
      <c r="Y83" s="276">
        <v>23.090745732255165</v>
      </c>
      <c r="Z83" s="276">
        <v>23.090745732255165</v>
      </c>
      <c r="AA83" s="276">
        <v>23.090745732255165</v>
      </c>
      <c r="AB83" s="276">
        <v>23.090745732255165</v>
      </c>
      <c r="AC83" s="276">
        <v>23.090745732255165</v>
      </c>
      <c r="AD83" s="276">
        <v>23.090745732255165</v>
      </c>
      <c r="AE83" s="276">
        <v>23.090745732255165</v>
      </c>
      <c r="AF83" s="276">
        <v>23.090745732255165</v>
      </c>
    </row>
    <row r="84" spans="1:32" x14ac:dyDescent="0.25">
      <c r="A84" s="322"/>
      <c r="B84" s="322" t="s">
        <v>29</v>
      </c>
      <c r="G84" s="276">
        <v>24.099980812938732</v>
      </c>
      <c r="H84" s="276">
        <v>24.099980812938732</v>
      </c>
      <c r="I84" s="276">
        <v>24.099980812938732</v>
      </c>
      <c r="J84" s="276">
        <v>24.099980812938732</v>
      </c>
      <c r="K84" s="276">
        <v>24.099980812938732</v>
      </c>
      <c r="L84" s="276">
        <v>24.099980812938732</v>
      </c>
      <c r="M84" s="276">
        <v>24.099980812938732</v>
      </c>
      <c r="N84" s="276">
        <v>24.099980812938732</v>
      </c>
      <c r="O84" s="276">
        <v>24.099980812938732</v>
      </c>
      <c r="P84" s="276">
        <v>24.099980812938732</v>
      </c>
      <c r="Q84" s="276">
        <v>24.099980812938732</v>
      </c>
      <c r="R84" s="276">
        <v>24.099980812938732</v>
      </c>
      <c r="S84" s="276">
        <v>24.099980812938732</v>
      </c>
      <c r="T84" s="276">
        <v>24.099980812938732</v>
      </c>
      <c r="U84" s="276">
        <v>24.099980812938732</v>
      </c>
      <c r="V84" s="276">
        <v>24.099980812938732</v>
      </c>
      <c r="W84" s="276">
        <v>24.099980812938732</v>
      </c>
      <c r="X84" s="276">
        <v>24.099980812938732</v>
      </c>
      <c r="Y84" s="276">
        <v>24.099980812938732</v>
      </c>
      <c r="Z84" s="276">
        <v>24.099980812938732</v>
      </c>
      <c r="AA84" s="276">
        <v>24.099980812938732</v>
      </c>
      <c r="AB84" s="276">
        <v>24.099980812938732</v>
      </c>
      <c r="AC84" s="276">
        <v>24.099980812938732</v>
      </c>
      <c r="AD84" s="276">
        <v>24.099980812938732</v>
      </c>
      <c r="AE84" s="276">
        <v>24.099980812938732</v>
      </c>
      <c r="AF84" s="276">
        <v>24.099980812938732</v>
      </c>
    </row>
    <row r="85" spans="1:32" x14ac:dyDescent="0.25">
      <c r="A85" s="322"/>
      <c r="B85" s="322"/>
      <c r="G85" s="276" t="str">
        <v/>
      </c>
      <c r="H85" s="276" t="str">
        <v/>
      </c>
      <c r="I85" s="276" t="str">
        <v/>
      </c>
      <c r="J85" s="276" t="str">
        <v/>
      </c>
      <c r="K85" s="276" t="str">
        <v/>
      </c>
      <c r="L85" s="276" t="str">
        <v/>
      </c>
      <c r="M85" s="276" t="str">
        <v/>
      </c>
      <c r="N85" s="276" t="str">
        <v/>
      </c>
      <c r="O85" s="276" t="str">
        <v/>
      </c>
      <c r="P85" s="276" t="str">
        <v/>
      </c>
      <c r="Q85" s="276" t="str">
        <v/>
      </c>
      <c r="R85" s="276" t="str">
        <v/>
      </c>
      <c r="S85" s="276" t="str">
        <v/>
      </c>
      <c r="T85" s="276" t="str">
        <v/>
      </c>
      <c r="U85" s="276" t="str">
        <v/>
      </c>
      <c r="V85" s="276" t="str">
        <v/>
      </c>
      <c r="W85" s="276" t="str">
        <v/>
      </c>
      <c r="X85" s="276" t="str">
        <v/>
      </c>
      <c r="Y85" s="276" t="str">
        <v/>
      </c>
      <c r="Z85" s="276" t="str">
        <v/>
      </c>
      <c r="AA85" s="276" t="str">
        <v/>
      </c>
      <c r="AB85" s="276" t="str">
        <v/>
      </c>
      <c r="AC85" s="276" t="str">
        <v/>
      </c>
      <c r="AD85" s="276" t="str">
        <v/>
      </c>
      <c r="AE85" s="276" t="str">
        <v/>
      </c>
      <c r="AF85" s="276" t="str">
        <v/>
      </c>
    </row>
    <row r="86" spans="1:32" s="202" customFormat="1" ht="12.75" x14ac:dyDescent="0.2">
      <c r="A86" s="335" t="s">
        <v>32</v>
      </c>
      <c r="B86" s="335"/>
      <c r="C86" s="335"/>
      <c r="D86" s="335"/>
      <c r="E86" s="335"/>
      <c r="F86" s="335"/>
      <c r="G86" s="274" t="str">
        <v/>
      </c>
      <c r="H86" s="274" t="str">
        <v/>
      </c>
      <c r="I86" s="274" t="str">
        <v/>
      </c>
      <c r="J86" s="274" t="str">
        <v/>
      </c>
      <c r="K86" s="274" t="str">
        <v/>
      </c>
      <c r="L86" s="274" t="str">
        <v/>
      </c>
      <c r="M86" s="274" t="str">
        <v/>
      </c>
      <c r="N86" s="274" t="str">
        <v/>
      </c>
      <c r="O86" s="274" t="str">
        <v/>
      </c>
      <c r="P86" s="274" t="str">
        <v/>
      </c>
      <c r="Q86" s="274" t="str">
        <v/>
      </c>
      <c r="R86" s="274" t="str">
        <v/>
      </c>
      <c r="S86" s="274" t="str">
        <v/>
      </c>
      <c r="T86" s="274" t="str">
        <v/>
      </c>
      <c r="U86" s="274" t="str">
        <v/>
      </c>
      <c r="V86" s="274" t="str">
        <v/>
      </c>
      <c r="W86" s="274" t="str">
        <v/>
      </c>
      <c r="X86" s="274" t="str">
        <v/>
      </c>
      <c r="Y86" s="274" t="str">
        <v/>
      </c>
      <c r="Z86" s="274" t="str">
        <v/>
      </c>
      <c r="AA86" s="274" t="str">
        <v/>
      </c>
      <c r="AB86" s="274" t="str">
        <v/>
      </c>
      <c r="AC86" s="274" t="str">
        <v/>
      </c>
      <c r="AD86" s="274" t="str">
        <v/>
      </c>
      <c r="AE86" s="274" t="str">
        <v/>
      </c>
      <c r="AF86" s="274" t="str">
        <v/>
      </c>
    </row>
    <row r="87" spans="1:32" x14ac:dyDescent="0.25">
      <c r="A87" s="322"/>
      <c r="B87" s="322" t="s">
        <v>33</v>
      </c>
      <c r="G87" s="276">
        <v>29.170568372066629</v>
      </c>
      <c r="H87" s="276">
        <v>29.170568372066629</v>
      </c>
      <c r="I87" s="276">
        <v>29.170568372066629</v>
      </c>
      <c r="J87" s="276">
        <v>29.170568372066629</v>
      </c>
      <c r="K87" s="276">
        <v>29.170568372066629</v>
      </c>
      <c r="L87" s="276">
        <v>29.170568372066629</v>
      </c>
      <c r="M87" s="276">
        <v>29.170568372066629</v>
      </c>
      <c r="N87" s="276">
        <v>29.170568372066629</v>
      </c>
      <c r="O87" s="276">
        <v>29.170568372066629</v>
      </c>
      <c r="P87" s="276">
        <v>29.170568372066629</v>
      </c>
      <c r="Q87" s="276">
        <v>29.170568372066629</v>
      </c>
      <c r="R87" s="276">
        <v>29.170568372066629</v>
      </c>
      <c r="S87" s="276">
        <v>29.170568372066629</v>
      </c>
      <c r="T87" s="276">
        <v>29.170568372066629</v>
      </c>
      <c r="U87" s="276">
        <v>29.170568372066629</v>
      </c>
      <c r="V87" s="276">
        <v>29.170568372066629</v>
      </c>
      <c r="W87" s="276">
        <v>29.170568372066629</v>
      </c>
      <c r="X87" s="276">
        <v>29.170568372066629</v>
      </c>
      <c r="Y87" s="276">
        <v>29.170568372066629</v>
      </c>
      <c r="Z87" s="276">
        <v>29.170568372066629</v>
      </c>
      <c r="AA87" s="276">
        <v>29.170568372066629</v>
      </c>
      <c r="AB87" s="276">
        <v>29.170568372066629</v>
      </c>
      <c r="AC87" s="276">
        <v>29.170568372066629</v>
      </c>
      <c r="AD87" s="276">
        <v>29.170568372066629</v>
      </c>
      <c r="AE87" s="276">
        <v>29.170568372066629</v>
      </c>
      <c r="AF87" s="276">
        <v>29.170568372066629</v>
      </c>
    </row>
    <row r="88" spans="1:32" x14ac:dyDescent="0.25">
      <c r="A88" s="328"/>
      <c r="B88" s="328" t="s">
        <v>34</v>
      </c>
      <c r="G88" s="276">
        <v>21.475051964194318</v>
      </c>
      <c r="H88" s="276">
        <v>21.475051964194318</v>
      </c>
      <c r="I88" s="276">
        <v>21.475051964194318</v>
      </c>
      <c r="J88" s="276">
        <v>21.475051964194318</v>
      </c>
      <c r="K88" s="276">
        <v>21.475051964194318</v>
      </c>
      <c r="L88" s="276">
        <v>21.475051964194318</v>
      </c>
      <c r="M88" s="276">
        <v>21.475051964194318</v>
      </c>
      <c r="N88" s="276">
        <v>21.475051964194318</v>
      </c>
      <c r="O88" s="276">
        <v>21.475051964194318</v>
      </c>
      <c r="P88" s="276">
        <v>21.475051964194318</v>
      </c>
      <c r="Q88" s="276">
        <v>21.475051964194318</v>
      </c>
      <c r="R88" s="276">
        <v>21.475051964194318</v>
      </c>
      <c r="S88" s="276">
        <v>21.475051964194318</v>
      </c>
      <c r="T88" s="276">
        <v>21.475051964194318</v>
      </c>
      <c r="U88" s="276">
        <v>21.475051964194318</v>
      </c>
      <c r="V88" s="276">
        <v>21.475051964194318</v>
      </c>
      <c r="W88" s="276">
        <v>21.475051964194318</v>
      </c>
      <c r="X88" s="276">
        <v>21.475051964194318</v>
      </c>
      <c r="Y88" s="276">
        <v>21.475051964194318</v>
      </c>
      <c r="Z88" s="276">
        <v>21.475051964194318</v>
      </c>
      <c r="AA88" s="276">
        <v>21.475051964194318</v>
      </c>
      <c r="AB88" s="276">
        <v>21.475051964194318</v>
      </c>
      <c r="AC88" s="276">
        <v>21.475051964194318</v>
      </c>
      <c r="AD88" s="276">
        <v>21.475051964194318</v>
      </c>
      <c r="AE88" s="276">
        <v>21.475051964194318</v>
      </c>
      <c r="AF88" s="276">
        <v>21.475051964194318</v>
      </c>
    </row>
    <row r="89" spans="1:32" x14ac:dyDescent="0.25">
      <c r="A89" s="322"/>
      <c r="B89" s="328" t="s">
        <v>35</v>
      </c>
      <c r="G89" s="276">
        <v>27.734311768197266</v>
      </c>
      <c r="H89" s="276">
        <v>27.734311768197266</v>
      </c>
      <c r="I89" s="276">
        <v>27.734311768197266</v>
      </c>
      <c r="J89" s="276">
        <v>27.734311768197266</v>
      </c>
      <c r="K89" s="276">
        <v>27.734311768197266</v>
      </c>
      <c r="L89" s="276">
        <v>27.734311768197266</v>
      </c>
      <c r="M89" s="276">
        <v>27.734311768197266</v>
      </c>
      <c r="N89" s="276">
        <v>27.734311768197266</v>
      </c>
      <c r="O89" s="276">
        <v>27.734311768197266</v>
      </c>
      <c r="P89" s="276">
        <v>27.734311768197266</v>
      </c>
      <c r="Q89" s="276">
        <v>27.734311768197266</v>
      </c>
      <c r="R89" s="276">
        <v>27.734311768197266</v>
      </c>
      <c r="S89" s="276">
        <v>27.734311768197266</v>
      </c>
      <c r="T89" s="276">
        <v>27.734311768197266</v>
      </c>
      <c r="U89" s="276">
        <v>27.734311768197266</v>
      </c>
      <c r="V89" s="276">
        <v>27.734311768197266</v>
      </c>
      <c r="W89" s="276">
        <v>27.734311768197266</v>
      </c>
      <c r="X89" s="276">
        <v>27.734311768197266</v>
      </c>
      <c r="Y89" s="276">
        <v>27.734311768197266</v>
      </c>
      <c r="Z89" s="276">
        <v>27.734311768197266</v>
      </c>
      <c r="AA89" s="276">
        <v>27.734311768197266</v>
      </c>
      <c r="AB89" s="276">
        <v>27.734311768197266</v>
      </c>
      <c r="AC89" s="276">
        <v>27.734311768197266</v>
      </c>
      <c r="AD89" s="276">
        <v>27.734311768197266</v>
      </c>
      <c r="AE89" s="276">
        <v>27.734311768197266</v>
      </c>
      <c r="AF89" s="276">
        <v>27.734311768197266</v>
      </c>
    </row>
    <row r="90" spans="1:32" x14ac:dyDescent="0.25">
      <c r="A90" s="322"/>
      <c r="B90" s="328" t="s">
        <v>29</v>
      </c>
      <c r="G90" s="276">
        <v>26.145882461295827</v>
      </c>
      <c r="H90" s="276">
        <v>26.145882461295827</v>
      </c>
      <c r="I90" s="276">
        <v>26.145882461295827</v>
      </c>
      <c r="J90" s="276">
        <v>26.145882461295827</v>
      </c>
      <c r="K90" s="276">
        <v>26.145882461295827</v>
      </c>
      <c r="L90" s="276">
        <v>26.145882461295827</v>
      </c>
      <c r="M90" s="276">
        <v>26.145882461295827</v>
      </c>
      <c r="N90" s="276">
        <v>26.145882461295827</v>
      </c>
      <c r="O90" s="276">
        <v>26.145882461295827</v>
      </c>
      <c r="P90" s="276">
        <v>26.145882461295827</v>
      </c>
      <c r="Q90" s="276">
        <v>26.145882461295827</v>
      </c>
      <c r="R90" s="276">
        <v>26.145882461295827</v>
      </c>
      <c r="S90" s="276">
        <v>26.145882461295827</v>
      </c>
      <c r="T90" s="276">
        <v>26.145882461295827</v>
      </c>
      <c r="U90" s="276">
        <v>26.145882461295827</v>
      </c>
      <c r="V90" s="276">
        <v>26.145882461295827</v>
      </c>
      <c r="W90" s="276">
        <v>26.145882461295827</v>
      </c>
      <c r="X90" s="276">
        <v>26.145882461295827</v>
      </c>
      <c r="Y90" s="276">
        <v>26.145882461295827</v>
      </c>
      <c r="Z90" s="276">
        <v>26.145882461295827</v>
      </c>
      <c r="AA90" s="276">
        <v>26.145882461295827</v>
      </c>
      <c r="AB90" s="276">
        <v>26.145882461295827</v>
      </c>
      <c r="AC90" s="276">
        <v>26.145882461295827</v>
      </c>
      <c r="AD90" s="276">
        <v>26.145882461295827</v>
      </c>
      <c r="AE90" s="276">
        <v>26.145882461295827</v>
      </c>
      <c r="AF90" s="276">
        <v>26.145882461295827</v>
      </c>
    </row>
    <row r="91" spans="1:32" x14ac:dyDescent="0.25">
      <c r="A91" s="322"/>
      <c r="B91" s="322"/>
      <c r="G91" s="276" t="str">
        <v/>
      </c>
      <c r="H91" s="276" t="str">
        <v/>
      </c>
      <c r="I91" s="276" t="str">
        <v/>
      </c>
      <c r="J91" s="276" t="str">
        <v/>
      </c>
      <c r="K91" s="276" t="str">
        <v/>
      </c>
      <c r="L91" s="276" t="str">
        <v/>
      </c>
      <c r="M91" s="276" t="str">
        <v/>
      </c>
      <c r="N91" s="276" t="str">
        <v/>
      </c>
      <c r="O91" s="276" t="str">
        <v/>
      </c>
      <c r="P91" s="276" t="str">
        <v/>
      </c>
      <c r="Q91" s="276" t="str">
        <v/>
      </c>
      <c r="R91" s="276" t="str">
        <v/>
      </c>
      <c r="S91" s="276" t="str">
        <v/>
      </c>
      <c r="T91" s="276" t="str">
        <v/>
      </c>
      <c r="U91" s="276" t="str">
        <v/>
      </c>
      <c r="V91" s="276" t="str">
        <v/>
      </c>
      <c r="W91" s="276" t="str">
        <v/>
      </c>
      <c r="X91" s="276" t="str">
        <v/>
      </c>
      <c r="Y91" s="276" t="str">
        <v/>
      </c>
      <c r="Z91" s="276" t="str">
        <v/>
      </c>
      <c r="AA91" s="276" t="str">
        <v/>
      </c>
      <c r="AB91" s="276" t="str">
        <v/>
      </c>
      <c r="AC91" s="276" t="str">
        <v/>
      </c>
      <c r="AD91" s="276" t="str">
        <v/>
      </c>
      <c r="AE91" s="276" t="str">
        <v/>
      </c>
      <c r="AF91" s="276" t="str">
        <v/>
      </c>
    </row>
    <row r="92" spans="1:32" s="202" customFormat="1" ht="12.75" x14ac:dyDescent="0.2">
      <c r="A92" s="335" t="s">
        <v>36</v>
      </c>
      <c r="B92" s="335"/>
      <c r="C92" s="335"/>
      <c r="D92" s="335"/>
      <c r="E92" s="335"/>
      <c r="F92" s="335"/>
      <c r="G92" s="274" t="str">
        <v/>
      </c>
      <c r="H92" s="274" t="str">
        <v/>
      </c>
      <c r="I92" s="274" t="str">
        <v/>
      </c>
      <c r="J92" s="274" t="str">
        <v/>
      </c>
      <c r="K92" s="274" t="str">
        <v/>
      </c>
      <c r="L92" s="274" t="str">
        <v/>
      </c>
      <c r="M92" s="274" t="str">
        <v/>
      </c>
      <c r="N92" s="274" t="str">
        <v/>
      </c>
      <c r="O92" s="274" t="str">
        <v/>
      </c>
      <c r="P92" s="274" t="str">
        <v/>
      </c>
      <c r="Q92" s="274" t="str">
        <v/>
      </c>
      <c r="R92" s="274" t="str">
        <v/>
      </c>
      <c r="S92" s="274" t="str">
        <v/>
      </c>
      <c r="T92" s="274" t="str">
        <v/>
      </c>
      <c r="U92" s="274" t="str">
        <v/>
      </c>
      <c r="V92" s="274" t="str">
        <v/>
      </c>
      <c r="W92" s="274" t="str">
        <v/>
      </c>
      <c r="X92" s="274" t="str">
        <v/>
      </c>
      <c r="Y92" s="274" t="str">
        <v/>
      </c>
      <c r="Z92" s="274" t="str">
        <v/>
      </c>
      <c r="AA92" s="274" t="str">
        <v/>
      </c>
      <c r="AB92" s="274" t="str">
        <v/>
      </c>
      <c r="AC92" s="274" t="str">
        <v/>
      </c>
      <c r="AD92" s="274" t="str">
        <v/>
      </c>
      <c r="AE92" s="274" t="str">
        <v/>
      </c>
      <c r="AF92" s="274" t="str">
        <v/>
      </c>
    </row>
    <row r="93" spans="1:32" x14ac:dyDescent="0.25">
      <c r="A93" s="322"/>
      <c r="B93" s="322" t="s">
        <v>37</v>
      </c>
      <c r="G93" s="276">
        <v>23.626632823482396</v>
      </c>
      <c r="H93" s="276">
        <v>23.626632823482396</v>
      </c>
      <c r="I93" s="276">
        <v>23.626632823482396</v>
      </c>
      <c r="J93" s="276">
        <v>23.626632823482396</v>
      </c>
      <c r="K93" s="276">
        <v>23.626632823482396</v>
      </c>
      <c r="L93" s="276">
        <v>23.626632823482396</v>
      </c>
      <c r="M93" s="276">
        <v>23.626632823482396</v>
      </c>
      <c r="N93" s="276">
        <v>23.626632823482396</v>
      </c>
      <c r="O93" s="276">
        <v>23.626632823482396</v>
      </c>
      <c r="P93" s="276">
        <v>23.626632823482396</v>
      </c>
      <c r="Q93" s="276">
        <v>23.626632823482396</v>
      </c>
      <c r="R93" s="276">
        <v>23.626632823482396</v>
      </c>
      <c r="S93" s="276">
        <v>23.626632823482396</v>
      </c>
      <c r="T93" s="276">
        <v>23.626632823482396</v>
      </c>
      <c r="U93" s="276">
        <v>23.626632823482396</v>
      </c>
      <c r="V93" s="276">
        <v>23.626632823482396</v>
      </c>
      <c r="W93" s="276">
        <v>23.626632823482396</v>
      </c>
      <c r="X93" s="276">
        <v>23.626632823482396</v>
      </c>
      <c r="Y93" s="276">
        <v>23.626632823482396</v>
      </c>
      <c r="Z93" s="276">
        <v>23.626632823482396</v>
      </c>
      <c r="AA93" s="276">
        <v>23.626632823482396</v>
      </c>
      <c r="AB93" s="276">
        <v>23.626632823482396</v>
      </c>
      <c r="AC93" s="276">
        <v>23.626632823482396</v>
      </c>
      <c r="AD93" s="276">
        <v>23.626632823482396</v>
      </c>
      <c r="AE93" s="276">
        <v>23.626632823482396</v>
      </c>
      <c r="AF93" s="276">
        <v>23.626632823482396</v>
      </c>
    </row>
    <row r="94" spans="1:32" x14ac:dyDescent="0.25">
      <c r="A94" s="322"/>
      <c r="B94" s="322" t="s">
        <v>39</v>
      </c>
      <c r="G94" s="276">
        <v>21.841935686284579</v>
      </c>
      <c r="H94" s="276">
        <v>21.841935686284579</v>
      </c>
      <c r="I94" s="276">
        <v>21.841935686284579</v>
      </c>
      <c r="J94" s="276">
        <v>21.841935686284579</v>
      </c>
      <c r="K94" s="276">
        <v>21.841935686284579</v>
      </c>
      <c r="L94" s="276">
        <v>21.841935686284579</v>
      </c>
      <c r="M94" s="276">
        <v>21.841935686284579</v>
      </c>
      <c r="N94" s="276">
        <v>21.841935686284579</v>
      </c>
      <c r="O94" s="276">
        <v>21.841935686284579</v>
      </c>
      <c r="P94" s="276">
        <v>21.841935686284579</v>
      </c>
      <c r="Q94" s="276">
        <v>21.841935686284579</v>
      </c>
      <c r="R94" s="276">
        <v>21.841935686284579</v>
      </c>
      <c r="S94" s="276">
        <v>21.841935686284579</v>
      </c>
      <c r="T94" s="276">
        <v>21.841935686284579</v>
      </c>
      <c r="U94" s="276">
        <v>21.841935686284579</v>
      </c>
      <c r="V94" s="276">
        <v>21.841935686284579</v>
      </c>
      <c r="W94" s="276">
        <v>21.841935686284579</v>
      </c>
      <c r="X94" s="276">
        <v>21.841935686284579</v>
      </c>
      <c r="Y94" s="276">
        <v>21.841935686284579</v>
      </c>
      <c r="Z94" s="276">
        <v>21.841935686284579</v>
      </c>
      <c r="AA94" s="276">
        <v>21.841935686284579</v>
      </c>
      <c r="AB94" s="276">
        <v>21.841935686284579</v>
      </c>
      <c r="AC94" s="276">
        <v>21.841935686284579</v>
      </c>
      <c r="AD94" s="276">
        <v>21.841935686284579</v>
      </c>
      <c r="AE94" s="276">
        <v>21.841935686284579</v>
      </c>
      <c r="AF94" s="276">
        <v>21.841935686284579</v>
      </c>
    </row>
    <row r="95" spans="1:32" x14ac:dyDescent="0.25">
      <c r="A95" s="322"/>
      <c r="B95" s="322" t="s">
        <v>40</v>
      </c>
      <c r="G95" s="276">
        <v>18.154906764434497</v>
      </c>
      <c r="H95" s="276">
        <v>18.154906764434497</v>
      </c>
      <c r="I95" s="276">
        <v>18.154906764434497</v>
      </c>
      <c r="J95" s="276">
        <v>18.154906764434497</v>
      </c>
      <c r="K95" s="276">
        <v>18.154906764434497</v>
      </c>
      <c r="L95" s="276">
        <v>18.154906764434497</v>
      </c>
      <c r="M95" s="276">
        <v>18.154906764434497</v>
      </c>
      <c r="N95" s="276">
        <v>18.154906764434497</v>
      </c>
      <c r="O95" s="276">
        <v>18.154906764434497</v>
      </c>
      <c r="P95" s="276">
        <v>18.154906764434497</v>
      </c>
      <c r="Q95" s="276">
        <v>18.154906764434497</v>
      </c>
      <c r="R95" s="276">
        <v>18.154906764434497</v>
      </c>
      <c r="S95" s="276">
        <v>18.154906764434497</v>
      </c>
      <c r="T95" s="276">
        <v>18.154906764434497</v>
      </c>
      <c r="U95" s="276">
        <v>18.154906764434497</v>
      </c>
      <c r="V95" s="276">
        <v>18.154906764434497</v>
      </c>
      <c r="W95" s="276">
        <v>18.154906764434497</v>
      </c>
      <c r="X95" s="276">
        <v>18.154906764434497</v>
      </c>
      <c r="Y95" s="276">
        <v>18.154906764434497</v>
      </c>
      <c r="Z95" s="276">
        <v>18.154906764434497</v>
      </c>
      <c r="AA95" s="276">
        <v>18.154906764434497</v>
      </c>
      <c r="AB95" s="276">
        <v>18.154906764434497</v>
      </c>
      <c r="AC95" s="276">
        <v>18.154906764434497</v>
      </c>
      <c r="AD95" s="276">
        <v>18.154906764434497</v>
      </c>
      <c r="AE95" s="276">
        <v>18.154906764434497</v>
      </c>
      <c r="AF95" s="276">
        <v>18.154906764434497</v>
      </c>
    </row>
    <row r="96" spans="1:32" x14ac:dyDescent="0.25">
      <c r="A96" s="322"/>
      <c r="B96" s="322" t="s">
        <v>29</v>
      </c>
      <c r="G96" s="276">
        <v>4.7241845783856906</v>
      </c>
      <c r="H96" s="276">
        <v>4.7241845783856906</v>
      </c>
      <c r="I96" s="276">
        <v>4.7241845783856906</v>
      </c>
      <c r="J96" s="276">
        <v>4.7241845783856906</v>
      </c>
      <c r="K96" s="276">
        <v>4.7241845783856906</v>
      </c>
      <c r="L96" s="276">
        <v>4.7241845783856906</v>
      </c>
      <c r="M96" s="276">
        <v>4.7241845783856906</v>
      </c>
      <c r="N96" s="276">
        <v>4.7241845783856906</v>
      </c>
      <c r="O96" s="276">
        <v>4.7241845783856906</v>
      </c>
      <c r="P96" s="276">
        <v>4.7241845783856906</v>
      </c>
      <c r="Q96" s="276">
        <v>4.7241845783856906</v>
      </c>
      <c r="R96" s="276">
        <v>4.7241845783856906</v>
      </c>
      <c r="S96" s="276">
        <v>4.7241845783856906</v>
      </c>
      <c r="T96" s="276">
        <v>4.7241845783856906</v>
      </c>
      <c r="U96" s="276">
        <v>4.7241845783856906</v>
      </c>
      <c r="V96" s="276">
        <v>4.7241845783856906</v>
      </c>
      <c r="W96" s="276">
        <v>4.7241845783856906</v>
      </c>
      <c r="X96" s="276">
        <v>4.7241845783856906</v>
      </c>
      <c r="Y96" s="276">
        <v>4.7241845783856906</v>
      </c>
      <c r="Z96" s="276">
        <v>4.7241845783856906</v>
      </c>
      <c r="AA96" s="276">
        <v>4.7241845783856906</v>
      </c>
      <c r="AB96" s="276">
        <v>4.7241845783856906</v>
      </c>
      <c r="AC96" s="276">
        <v>4.7241845783856906</v>
      </c>
      <c r="AD96" s="276">
        <v>4.7241845783856906</v>
      </c>
      <c r="AE96" s="276">
        <v>4.7241845783856906</v>
      </c>
      <c r="AF96" s="276">
        <v>4.7241845783856906</v>
      </c>
    </row>
    <row r="97" spans="1:32" x14ac:dyDescent="0.25">
      <c r="A97" s="322"/>
      <c r="B97" s="322"/>
      <c r="G97" s="276" t="str">
        <v/>
      </c>
      <c r="H97" s="276" t="str">
        <v/>
      </c>
      <c r="I97" s="276" t="str">
        <v/>
      </c>
      <c r="J97" s="276" t="str">
        <v/>
      </c>
      <c r="K97" s="276" t="str">
        <v/>
      </c>
      <c r="L97" s="276" t="str">
        <v/>
      </c>
      <c r="M97" s="276" t="str">
        <v/>
      </c>
      <c r="N97" s="276" t="str">
        <v/>
      </c>
      <c r="O97" s="276" t="str">
        <v/>
      </c>
      <c r="P97" s="276" t="str">
        <v/>
      </c>
      <c r="Q97" s="276" t="str">
        <v/>
      </c>
      <c r="R97" s="276" t="str">
        <v/>
      </c>
      <c r="S97" s="276" t="str">
        <v/>
      </c>
      <c r="T97" s="276" t="str">
        <v/>
      </c>
      <c r="U97" s="276" t="str">
        <v/>
      </c>
      <c r="V97" s="276" t="str">
        <v/>
      </c>
      <c r="W97" s="276" t="str">
        <v/>
      </c>
      <c r="X97" s="276" t="str">
        <v/>
      </c>
      <c r="Y97" s="276" t="str">
        <v/>
      </c>
      <c r="Z97" s="276" t="str">
        <v/>
      </c>
      <c r="AA97" s="276" t="str">
        <v/>
      </c>
      <c r="AB97" s="276" t="str">
        <v/>
      </c>
      <c r="AC97" s="276" t="str">
        <v/>
      </c>
      <c r="AD97" s="276" t="str">
        <v/>
      </c>
      <c r="AE97" s="276" t="str">
        <v/>
      </c>
      <c r="AF97" s="276" t="str">
        <v/>
      </c>
    </row>
    <row r="98" spans="1:32" s="202" customFormat="1" ht="12.75" x14ac:dyDescent="0.2">
      <c r="A98" s="335" t="s">
        <v>42</v>
      </c>
      <c r="B98" s="335"/>
      <c r="C98" s="335"/>
      <c r="D98" s="335"/>
      <c r="E98" s="335"/>
      <c r="F98" s="335"/>
      <c r="G98" s="274" t="str">
        <v/>
      </c>
      <c r="H98" s="274" t="str">
        <v/>
      </c>
      <c r="I98" s="274" t="str">
        <v/>
      </c>
      <c r="J98" s="274" t="str">
        <v/>
      </c>
      <c r="K98" s="274" t="str">
        <v/>
      </c>
      <c r="L98" s="274" t="str">
        <v/>
      </c>
      <c r="M98" s="274" t="str">
        <v/>
      </c>
      <c r="N98" s="274" t="str">
        <v/>
      </c>
      <c r="O98" s="274" t="str">
        <v/>
      </c>
      <c r="P98" s="274" t="str">
        <v/>
      </c>
      <c r="Q98" s="274" t="str">
        <v/>
      </c>
      <c r="R98" s="274" t="str">
        <v/>
      </c>
      <c r="S98" s="274" t="str">
        <v/>
      </c>
      <c r="T98" s="274" t="str">
        <v/>
      </c>
      <c r="U98" s="274" t="str">
        <v/>
      </c>
      <c r="V98" s="274" t="str">
        <v/>
      </c>
      <c r="W98" s="274" t="str">
        <v/>
      </c>
      <c r="X98" s="274" t="str">
        <v/>
      </c>
      <c r="Y98" s="274" t="str">
        <v/>
      </c>
      <c r="Z98" s="274" t="str">
        <v/>
      </c>
      <c r="AA98" s="274" t="str">
        <v/>
      </c>
      <c r="AB98" s="274" t="str">
        <v/>
      </c>
      <c r="AC98" s="274" t="str">
        <v/>
      </c>
      <c r="AD98" s="274" t="str">
        <v/>
      </c>
      <c r="AE98" s="274" t="str">
        <v/>
      </c>
      <c r="AF98" s="274" t="str">
        <v/>
      </c>
    </row>
    <row r="99" spans="1:32" x14ac:dyDescent="0.25">
      <c r="A99" s="322"/>
      <c r="B99" s="328" t="s">
        <v>43</v>
      </c>
      <c r="G99" s="276">
        <v>47.511703490046841</v>
      </c>
      <c r="H99" s="276">
        <v>47.511703490046841</v>
      </c>
      <c r="I99" s="276">
        <v>47.511703490046841</v>
      </c>
      <c r="J99" s="276">
        <v>47.511703490046841</v>
      </c>
      <c r="K99" s="276">
        <v>47.511703490046841</v>
      </c>
      <c r="L99" s="276">
        <v>47.511703490046841</v>
      </c>
      <c r="M99" s="276">
        <v>47.511703490046841</v>
      </c>
      <c r="N99" s="276">
        <v>47.511703490046841</v>
      </c>
      <c r="O99" s="276">
        <v>47.511703490046841</v>
      </c>
      <c r="P99" s="276">
        <v>47.511703490046841</v>
      </c>
      <c r="Q99" s="276">
        <v>47.511703490046841</v>
      </c>
      <c r="R99" s="276">
        <v>47.511703490046841</v>
      </c>
      <c r="S99" s="276">
        <v>47.511703490046841</v>
      </c>
      <c r="T99" s="276">
        <v>47.511703490046841</v>
      </c>
      <c r="U99" s="276">
        <v>47.511703490046841</v>
      </c>
      <c r="V99" s="276">
        <v>47.511703490046841</v>
      </c>
      <c r="W99" s="276">
        <v>47.511703490046841</v>
      </c>
      <c r="X99" s="276">
        <v>47.511703490046841</v>
      </c>
      <c r="Y99" s="276">
        <v>47.511703490046841</v>
      </c>
      <c r="Z99" s="276">
        <v>47.511703490046841</v>
      </c>
      <c r="AA99" s="276">
        <v>47.511703490046841</v>
      </c>
      <c r="AB99" s="276">
        <v>47.511703490046841</v>
      </c>
      <c r="AC99" s="276">
        <v>47.511703490046841</v>
      </c>
      <c r="AD99" s="276">
        <v>47.511703490046841</v>
      </c>
      <c r="AE99" s="276">
        <v>47.511703490046841</v>
      </c>
      <c r="AF99" s="276">
        <v>47.511703490046841</v>
      </c>
    </row>
    <row r="100" spans="1:32" x14ac:dyDescent="0.25">
      <c r="A100" s="322"/>
      <c r="B100" s="328" t="s">
        <v>44</v>
      </c>
      <c r="G100" s="276">
        <v>69.550702462094861</v>
      </c>
      <c r="H100" s="276">
        <v>69.550702462094861</v>
      </c>
      <c r="I100" s="276">
        <v>69.550702462094861</v>
      </c>
      <c r="J100" s="276">
        <v>69.550702462094861</v>
      </c>
      <c r="K100" s="276">
        <v>69.550702462094861</v>
      </c>
      <c r="L100" s="276">
        <v>69.550702462094861</v>
      </c>
      <c r="M100" s="276">
        <v>69.550702462094861</v>
      </c>
      <c r="N100" s="276">
        <v>69.550702462094861</v>
      </c>
      <c r="O100" s="276">
        <v>69.550702462094861</v>
      </c>
      <c r="P100" s="276">
        <v>69.550702462094861</v>
      </c>
      <c r="Q100" s="276">
        <v>69.550702462094861</v>
      </c>
      <c r="R100" s="276">
        <v>69.550702462094861</v>
      </c>
      <c r="S100" s="276">
        <v>69.550702462094861</v>
      </c>
      <c r="T100" s="276">
        <v>69.550702462094861</v>
      </c>
      <c r="U100" s="276">
        <v>69.550702462094861</v>
      </c>
      <c r="V100" s="276">
        <v>69.550702462094861</v>
      </c>
      <c r="W100" s="276">
        <v>69.550702462094861</v>
      </c>
      <c r="X100" s="276">
        <v>69.550702462094861</v>
      </c>
      <c r="Y100" s="276">
        <v>69.550702462094861</v>
      </c>
      <c r="Z100" s="276">
        <v>69.550702462094861</v>
      </c>
      <c r="AA100" s="276">
        <v>69.550702462094861</v>
      </c>
      <c r="AB100" s="276">
        <v>69.550702462094861</v>
      </c>
      <c r="AC100" s="276">
        <v>69.550702462094861</v>
      </c>
      <c r="AD100" s="276">
        <v>69.550702462094861</v>
      </c>
      <c r="AE100" s="276">
        <v>69.550702462094861</v>
      </c>
      <c r="AF100" s="276">
        <v>69.550702462094861</v>
      </c>
    </row>
    <row r="101" spans="1:32" x14ac:dyDescent="0.25">
      <c r="A101" s="322"/>
      <c r="B101" s="328" t="s">
        <v>45</v>
      </c>
      <c r="G101" s="276">
        <v>25.690081463248319</v>
      </c>
      <c r="H101" s="276">
        <v>25.690081463248319</v>
      </c>
      <c r="I101" s="276">
        <v>25.690081463248319</v>
      </c>
      <c r="J101" s="276">
        <v>25.690081463248319</v>
      </c>
      <c r="K101" s="276">
        <v>25.690081463248319</v>
      </c>
      <c r="L101" s="276">
        <v>25.690081463248319</v>
      </c>
      <c r="M101" s="276">
        <v>25.690081463248319</v>
      </c>
      <c r="N101" s="276">
        <v>25.690081463248319</v>
      </c>
      <c r="O101" s="276">
        <v>25.690081463248319</v>
      </c>
      <c r="P101" s="276">
        <v>25.690081463248319</v>
      </c>
      <c r="Q101" s="276">
        <v>25.690081463248319</v>
      </c>
      <c r="R101" s="276">
        <v>25.690081463248319</v>
      </c>
      <c r="S101" s="276">
        <v>25.690081463248319</v>
      </c>
      <c r="T101" s="276">
        <v>25.690081463248319</v>
      </c>
      <c r="U101" s="276">
        <v>25.690081463248319</v>
      </c>
      <c r="V101" s="276">
        <v>25.690081463248319</v>
      </c>
      <c r="W101" s="276">
        <v>25.690081463248319</v>
      </c>
      <c r="X101" s="276">
        <v>25.690081463248319</v>
      </c>
      <c r="Y101" s="276">
        <v>25.690081463248319</v>
      </c>
      <c r="Z101" s="276">
        <v>25.690081463248319</v>
      </c>
      <c r="AA101" s="276">
        <v>25.690081463248319</v>
      </c>
      <c r="AB101" s="276">
        <v>25.690081463248319</v>
      </c>
      <c r="AC101" s="276">
        <v>25.690081463248319</v>
      </c>
      <c r="AD101" s="276">
        <v>25.690081463248319</v>
      </c>
      <c r="AE101" s="276">
        <v>25.690081463248319</v>
      </c>
      <c r="AF101" s="276">
        <v>25.690081463248319</v>
      </c>
    </row>
    <row r="102" spans="1:32" x14ac:dyDescent="0.25">
      <c r="A102" s="322"/>
      <c r="B102" s="328" t="s">
        <v>46</v>
      </c>
      <c r="G102" s="276">
        <v>1000</v>
      </c>
      <c r="H102" s="276">
        <v>1000</v>
      </c>
      <c r="I102" s="276">
        <v>1000</v>
      </c>
      <c r="J102" s="276">
        <v>1000</v>
      </c>
      <c r="K102" s="276">
        <v>1000</v>
      </c>
      <c r="L102" s="276">
        <v>1000</v>
      </c>
      <c r="M102" s="276">
        <v>1000</v>
      </c>
      <c r="N102" s="276">
        <v>1000</v>
      </c>
      <c r="O102" s="276">
        <v>1000</v>
      </c>
      <c r="P102" s="276">
        <v>1000</v>
      </c>
      <c r="Q102" s="276">
        <v>1000</v>
      </c>
      <c r="R102" s="276">
        <v>1000</v>
      </c>
      <c r="S102" s="276">
        <v>1000</v>
      </c>
      <c r="T102" s="276">
        <v>1000</v>
      </c>
      <c r="U102" s="276">
        <v>1000</v>
      </c>
      <c r="V102" s="276">
        <v>1000</v>
      </c>
      <c r="W102" s="276">
        <v>1000</v>
      </c>
      <c r="X102" s="276">
        <v>1000</v>
      </c>
      <c r="Y102" s="276">
        <v>1000</v>
      </c>
      <c r="Z102" s="276">
        <v>1000</v>
      </c>
      <c r="AA102" s="276">
        <v>1000</v>
      </c>
      <c r="AB102" s="276">
        <v>1000</v>
      </c>
      <c r="AC102" s="276">
        <v>1000</v>
      </c>
      <c r="AD102" s="276">
        <v>1000</v>
      </c>
      <c r="AE102" s="276">
        <v>1000</v>
      </c>
      <c r="AF102" s="276">
        <v>1000</v>
      </c>
    </row>
    <row r="103" spans="1:32" x14ac:dyDescent="0.25">
      <c r="A103" s="322"/>
      <c r="B103" s="322" t="s">
        <v>29</v>
      </c>
      <c r="G103" s="276">
        <v>0</v>
      </c>
      <c r="H103" s="276">
        <v>0</v>
      </c>
      <c r="I103" s="276">
        <v>0</v>
      </c>
      <c r="J103" s="276">
        <v>0</v>
      </c>
      <c r="K103" s="276">
        <v>0</v>
      </c>
      <c r="L103" s="276">
        <v>0</v>
      </c>
      <c r="M103" s="276">
        <v>0</v>
      </c>
      <c r="N103" s="276">
        <v>0</v>
      </c>
      <c r="O103" s="276">
        <v>0</v>
      </c>
      <c r="P103" s="276">
        <v>0</v>
      </c>
      <c r="Q103" s="276">
        <v>0</v>
      </c>
      <c r="R103" s="276">
        <v>0</v>
      </c>
      <c r="S103" s="276">
        <v>0</v>
      </c>
      <c r="T103" s="276">
        <v>0</v>
      </c>
      <c r="U103" s="276">
        <v>0</v>
      </c>
      <c r="V103" s="276">
        <v>0</v>
      </c>
      <c r="W103" s="276">
        <v>0</v>
      </c>
      <c r="X103" s="276">
        <v>0</v>
      </c>
      <c r="Y103" s="276">
        <v>0</v>
      </c>
      <c r="Z103" s="276">
        <v>0</v>
      </c>
      <c r="AA103" s="276">
        <v>0</v>
      </c>
      <c r="AB103" s="276">
        <v>0</v>
      </c>
      <c r="AC103" s="276">
        <v>0</v>
      </c>
      <c r="AD103" s="276">
        <v>0</v>
      </c>
      <c r="AE103" s="276">
        <v>0</v>
      </c>
      <c r="AF103" s="276">
        <v>0</v>
      </c>
    </row>
    <row r="104" spans="1:32" x14ac:dyDescent="0.25">
      <c r="A104" s="322"/>
      <c r="B104" s="322"/>
      <c r="G104" s="276" t="str">
        <v/>
      </c>
      <c r="H104" s="276" t="str">
        <v/>
      </c>
      <c r="I104" s="276" t="str">
        <v/>
      </c>
      <c r="J104" s="276" t="str">
        <v/>
      </c>
      <c r="K104" s="276" t="str">
        <v/>
      </c>
      <c r="L104" s="276" t="str">
        <v/>
      </c>
      <c r="M104" s="276" t="str">
        <v/>
      </c>
      <c r="N104" s="276" t="str">
        <v/>
      </c>
      <c r="O104" s="276" t="str">
        <v/>
      </c>
      <c r="P104" s="276" t="str">
        <v/>
      </c>
      <c r="Q104" s="276" t="str">
        <v/>
      </c>
      <c r="R104" s="276" t="str">
        <v/>
      </c>
      <c r="S104" s="276" t="str">
        <v/>
      </c>
      <c r="T104" s="276" t="str">
        <v/>
      </c>
      <c r="U104" s="276" t="str">
        <v/>
      </c>
      <c r="V104" s="276" t="str">
        <v/>
      </c>
      <c r="W104" s="276" t="str">
        <v/>
      </c>
      <c r="X104" s="276" t="str">
        <v/>
      </c>
      <c r="Y104" s="276" t="str">
        <v/>
      </c>
      <c r="Z104" s="276" t="str">
        <v/>
      </c>
      <c r="AA104" s="276" t="str">
        <v/>
      </c>
      <c r="AB104" s="276" t="str">
        <v/>
      </c>
      <c r="AC104" s="276" t="str">
        <v/>
      </c>
      <c r="AD104" s="276" t="str">
        <v/>
      </c>
      <c r="AE104" s="276" t="str">
        <v/>
      </c>
      <c r="AF104" s="276" t="str">
        <v/>
      </c>
    </row>
    <row r="105" spans="1:32" s="202" customFormat="1" ht="12.75" x14ac:dyDescent="0.2">
      <c r="A105" s="335" t="s">
        <v>47</v>
      </c>
      <c r="B105" s="335"/>
      <c r="C105" s="335"/>
      <c r="D105" s="335"/>
      <c r="E105" s="335"/>
      <c r="F105" s="335"/>
      <c r="G105" s="274" t="str">
        <v/>
      </c>
      <c r="H105" s="274" t="str">
        <v/>
      </c>
      <c r="I105" s="274" t="str">
        <v/>
      </c>
      <c r="J105" s="274" t="str">
        <v/>
      </c>
      <c r="K105" s="274" t="str">
        <v/>
      </c>
      <c r="L105" s="274" t="str">
        <v/>
      </c>
      <c r="M105" s="274" t="str">
        <v/>
      </c>
      <c r="N105" s="274" t="str">
        <v/>
      </c>
      <c r="O105" s="274" t="str">
        <v/>
      </c>
      <c r="P105" s="274" t="str">
        <v/>
      </c>
      <c r="Q105" s="274" t="str">
        <v/>
      </c>
      <c r="R105" s="274" t="str">
        <v/>
      </c>
      <c r="S105" s="274" t="str">
        <v/>
      </c>
      <c r="T105" s="274" t="str">
        <v/>
      </c>
      <c r="U105" s="274" t="str">
        <v/>
      </c>
      <c r="V105" s="274" t="str">
        <v/>
      </c>
      <c r="W105" s="274" t="str">
        <v/>
      </c>
      <c r="X105" s="274" t="str">
        <v/>
      </c>
      <c r="Y105" s="274" t="str">
        <v/>
      </c>
      <c r="Z105" s="274" t="str">
        <v/>
      </c>
      <c r="AA105" s="274" t="str">
        <v/>
      </c>
      <c r="AB105" s="274" t="str">
        <v/>
      </c>
      <c r="AC105" s="274" t="str">
        <v/>
      </c>
      <c r="AD105" s="274" t="str">
        <v/>
      </c>
      <c r="AE105" s="274" t="str">
        <v/>
      </c>
      <c r="AF105" s="274" t="str">
        <v/>
      </c>
    </row>
    <row r="106" spans="1:32" x14ac:dyDescent="0.25">
      <c r="A106" s="322"/>
      <c r="B106" s="322" t="s">
        <v>48</v>
      </c>
      <c r="G106" s="276">
        <v>40.867954964998283</v>
      </c>
      <c r="H106" s="276">
        <v>40.867954964998283</v>
      </c>
      <c r="I106" s="276">
        <v>40.867954964998283</v>
      </c>
      <c r="J106" s="276">
        <v>40.867954964998283</v>
      </c>
      <c r="K106" s="276">
        <v>40.867954964998283</v>
      </c>
      <c r="L106" s="276">
        <v>40.867954964998283</v>
      </c>
      <c r="M106" s="276">
        <v>40.867954964998283</v>
      </c>
      <c r="N106" s="276">
        <v>40.867954964998283</v>
      </c>
      <c r="O106" s="276">
        <v>40.867954964998283</v>
      </c>
      <c r="P106" s="276">
        <v>40.867954964998283</v>
      </c>
      <c r="Q106" s="276">
        <v>40.867954964998283</v>
      </c>
      <c r="R106" s="276">
        <v>40.867954964998283</v>
      </c>
      <c r="S106" s="276">
        <v>40.867954964998283</v>
      </c>
      <c r="T106" s="276">
        <v>40.867954964998283</v>
      </c>
      <c r="U106" s="276">
        <v>40.867954964998283</v>
      </c>
      <c r="V106" s="276">
        <v>40.867954964998283</v>
      </c>
      <c r="W106" s="276">
        <v>40.867954964998283</v>
      </c>
      <c r="X106" s="276">
        <v>40.867954964998283</v>
      </c>
      <c r="Y106" s="276">
        <v>40.867954964998283</v>
      </c>
      <c r="Z106" s="276">
        <v>40.867954964998283</v>
      </c>
      <c r="AA106" s="276">
        <v>40.867954964998283</v>
      </c>
      <c r="AB106" s="276">
        <v>40.867954964998283</v>
      </c>
      <c r="AC106" s="276">
        <v>40.867954964998283</v>
      </c>
      <c r="AD106" s="276">
        <v>40.867954964998283</v>
      </c>
      <c r="AE106" s="276">
        <v>40.867954964998283</v>
      </c>
      <c r="AF106" s="276">
        <v>40.867954964998283</v>
      </c>
    </row>
    <row r="107" spans="1:32" x14ac:dyDescent="0.25">
      <c r="A107" s="322"/>
      <c r="B107" s="328" t="s">
        <v>50</v>
      </c>
      <c r="G107" s="276">
        <v>19.736413424187155</v>
      </c>
      <c r="H107" s="276">
        <v>19.736413424187155</v>
      </c>
      <c r="I107" s="276">
        <v>19.736413424187155</v>
      </c>
      <c r="J107" s="276">
        <v>19.736413424187155</v>
      </c>
      <c r="K107" s="276">
        <v>19.736413424187155</v>
      </c>
      <c r="L107" s="276">
        <v>19.736413424187155</v>
      </c>
      <c r="M107" s="276">
        <v>19.736413424187155</v>
      </c>
      <c r="N107" s="276">
        <v>19.736413424187155</v>
      </c>
      <c r="O107" s="276">
        <v>19.736413424187155</v>
      </c>
      <c r="P107" s="276">
        <v>19.736413424187155</v>
      </c>
      <c r="Q107" s="276">
        <v>19.736413424187155</v>
      </c>
      <c r="R107" s="276">
        <v>19.736413424187155</v>
      </c>
      <c r="S107" s="276">
        <v>19.736413424187155</v>
      </c>
      <c r="T107" s="276">
        <v>19.736413424187155</v>
      </c>
      <c r="U107" s="276">
        <v>19.736413424187155</v>
      </c>
      <c r="V107" s="276">
        <v>19.736413424187155</v>
      </c>
      <c r="W107" s="276">
        <v>19.736413424187155</v>
      </c>
      <c r="X107" s="276">
        <v>19.736413424187155</v>
      </c>
      <c r="Y107" s="276">
        <v>19.736413424187155</v>
      </c>
      <c r="Z107" s="276">
        <v>19.736413424187155</v>
      </c>
      <c r="AA107" s="276">
        <v>19.736413424187155</v>
      </c>
      <c r="AB107" s="276">
        <v>19.736413424187155</v>
      </c>
      <c r="AC107" s="276">
        <v>19.736413424187155</v>
      </c>
      <c r="AD107" s="276">
        <v>19.736413424187155</v>
      </c>
      <c r="AE107" s="276">
        <v>19.736413424187155</v>
      </c>
      <c r="AF107" s="276">
        <v>19.736413424187155</v>
      </c>
    </row>
    <row r="108" spans="1:32" x14ac:dyDescent="0.25">
      <c r="A108" s="322"/>
      <c r="B108" s="322" t="s">
        <v>51</v>
      </c>
      <c r="G108" s="276">
        <v>24.192745483410683</v>
      </c>
      <c r="H108" s="276">
        <v>24.192745483410683</v>
      </c>
      <c r="I108" s="276">
        <v>24.192745483410683</v>
      </c>
      <c r="J108" s="276">
        <v>24.192745483410683</v>
      </c>
      <c r="K108" s="276">
        <v>24.192745483410683</v>
      </c>
      <c r="L108" s="276">
        <v>24.192745483410683</v>
      </c>
      <c r="M108" s="276">
        <v>24.192745483410683</v>
      </c>
      <c r="N108" s="276">
        <v>24.192745483410683</v>
      </c>
      <c r="O108" s="276">
        <v>24.192745483410683</v>
      </c>
      <c r="P108" s="276">
        <v>24.192745483410683</v>
      </c>
      <c r="Q108" s="276">
        <v>24.192745483410683</v>
      </c>
      <c r="R108" s="276">
        <v>24.192745483410683</v>
      </c>
      <c r="S108" s="276">
        <v>24.192745483410683</v>
      </c>
      <c r="T108" s="276">
        <v>24.192745483410683</v>
      </c>
      <c r="U108" s="276">
        <v>24.192745483410683</v>
      </c>
      <c r="V108" s="276">
        <v>24.192745483410683</v>
      </c>
      <c r="W108" s="276">
        <v>24.192745483410683</v>
      </c>
      <c r="X108" s="276">
        <v>24.192745483410683</v>
      </c>
      <c r="Y108" s="276">
        <v>24.192745483410683</v>
      </c>
      <c r="Z108" s="276">
        <v>24.192745483410683</v>
      </c>
      <c r="AA108" s="276">
        <v>24.192745483410683</v>
      </c>
      <c r="AB108" s="276">
        <v>24.192745483410683</v>
      </c>
      <c r="AC108" s="276">
        <v>24.192745483410683</v>
      </c>
      <c r="AD108" s="276">
        <v>24.192745483410683</v>
      </c>
      <c r="AE108" s="276">
        <v>24.192745483410683</v>
      </c>
      <c r="AF108" s="276">
        <v>24.192745483410683</v>
      </c>
    </row>
    <row r="109" spans="1:32" x14ac:dyDescent="0.25">
      <c r="A109" s="322"/>
      <c r="B109" s="322" t="s">
        <v>52</v>
      </c>
      <c r="G109" s="276">
        <v>53.349072741142919</v>
      </c>
      <c r="H109" s="276">
        <v>53.349072741142919</v>
      </c>
      <c r="I109" s="276">
        <v>53.349072741142919</v>
      </c>
      <c r="J109" s="276">
        <v>53.349072741142919</v>
      </c>
      <c r="K109" s="276">
        <v>53.349072741142919</v>
      </c>
      <c r="L109" s="276">
        <v>53.349072741142919</v>
      </c>
      <c r="M109" s="276">
        <v>53.349072741142919</v>
      </c>
      <c r="N109" s="276">
        <v>53.349072741142919</v>
      </c>
      <c r="O109" s="276">
        <v>53.349072741142919</v>
      </c>
      <c r="P109" s="276">
        <v>53.349072741142919</v>
      </c>
      <c r="Q109" s="276">
        <v>53.349072741142919</v>
      </c>
      <c r="R109" s="276">
        <v>53.349072741142919</v>
      </c>
      <c r="S109" s="276">
        <v>53.349072741142919</v>
      </c>
      <c r="T109" s="276">
        <v>53.349072741142919</v>
      </c>
      <c r="U109" s="276">
        <v>53.349072741142919</v>
      </c>
      <c r="V109" s="276">
        <v>53.349072741142919</v>
      </c>
      <c r="W109" s="276">
        <v>53.349072741142919</v>
      </c>
      <c r="X109" s="276">
        <v>53.349072741142919</v>
      </c>
      <c r="Y109" s="276">
        <v>53.349072741142919</v>
      </c>
      <c r="Z109" s="276">
        <v>53.349072741142919</v>
      </c>
      <c r="AA109" s="276">
        <v>53.349072741142919</v>
      </c>
      <c r="AB109" s="276">
        <v>53.349072741142919</v>
      </c>
      <c r="AC109" s="276">
        <v>53.349072741142919</v>
      </c>
      <c r="AD109" s="276">
        <v>53.349072741142919</v>
      </c>
      <c r="AE109" s="276">
        <v>53.349072741142919</v>
      </c>
      <c r="AF109" s="276">
        <v>53.349072741142919</v>
      </c>
    </row>
    <row r="110" spans="1:32" x14ac:dyDescent="0.25">
      <c r="A110" s="322"/>
      <c r="B110" s="328" t="s">
        <v>29</v>
      </c>
      <c r="G110" s="276">
        <v>15.460922261274996</v>
      </c>
      <c r="H110" s="276">
        <v>15.460922261274996</v>
      </c>
      <c r="I110" s="276">
        <v>15.460922261274996</v>
      </c>
      <c r="J110" s="276">
        <v>15.460922261274996</v>
      </c>
      <c r="K110" s="276">
        <v>15.460922261274996</v>
      </c>
      <c r="L110" s="276">
        <v>15.460922261274996</v>
      </c>
      <c r="M110" s="276">
        <v>15.460922261274996</v>
      </c>
      <c r="N110" s="276">
        <v>15.460922261274996</v>
      </c>
      <c r="O110" s="276">
        <v>15.460922261274996</v>
      </c>
      <c r="P110" s="276">
        <v>15.460922261274996</v>
      </c>
      <c r="Q110" s="276">
        <v>15.460922261274996</v>
      </c>
      <c r="R110" s="276">
        <v>15.460922261274996</v>
      </c>
      <c r="S110" s="276">
        <v>15.460922261274996</v>
      </c>
      <c r="T110" s="276">
        <v>15.460922261274996</v>
      </c>
      <c r="U110" s="276">
        <v>15.460922261274996</v>
      </c>
      <c r="V110" s="276">
        <v>15.460922261274996</v>
      </c>
      <c r="W110" s="276">
        <v>15.460922261274996</v>
      </c>
      <c r="X110" s="276">
        <v>15.460922261274996</v>
      </c>
      <c r="Y110" s="276">
        <v>15.460922261274996</v>
      </c>
      <c r="Z110" s="276">
        <v>15.460922261274996</v>
      </c>
      <c r="AA110" s="276">
        <v>15.460922261274996</v>
      </c>
      <c r="AB110" s="276">
        <v>15.460922261274996</v>
      </c>
      <c r="AC110" s="276">
        <v>15.460922261274996</v>
      </c>
      <c r="AD110" s="276">
        <v>15.460922261274996</v>
      </c>
      <c r="AE110" s="276">
        <v>15.460922261274996</v>
      </c>
      <c r="AF110" s="276">
        <v>15.460922261274996</v>
      </c>
    </row>
    <row r="111" spans="1:32" x14ac:dyDescent="0.25">
      <c r="A111" s="322"/>
      <c r="B111" s="328" t="s">
        <v>53</v>
      </c>
      <c r="G111" s="276">
        <v>24.810523262285351</v>
      </c>
      <c r="H111" s="276">
        <v>24.810523262285351</v>
      </c>
      <c r="I111" s="276">
        <v>24.810523262285351</v>
      </c>
      <c r="J111" s="276">
        <v>24.810523262285351</v>
      </c>
      <c r="K111" s="276">
        <v>24.810523262285351</v>
      </c>
      <c r="L111" s="276">
        <v>24.810523262285351</v>
      </c>
      <c r="M111" s="276">
        <v>24.810523262285351</v>
      </c>
      <c r="N111" s="276">
        <v>24.810523262285351</v>
      </c>
      <c r="O111" s="276">
        <v>24.810523262285351</v>
      </c>
      <c r="P111" s="276">
        <v>24.810523262285351</v>
      </c>
      <c r="Q111" s="276">
        <v>24.810523262285351</v>
      </c>
      <c r="R111" s="276">
        <v>24.810523262285351</v>
      </c>
      <c r="S111" s="276">
        <v>24.810523262285351</v>
      </c>
      <c r="T111" s="276">
        <v>24.810523262285351</v>
      </c>
      <c r="U111" s="276">
        <v>24.810523262285351</v>
      </c>
      <c r="V111" s="276">
        <v>24.810523262285351</v>
      </c>
      <c r="W111" s="276">
        <v>24.810523262285351</v>
      </c>
      <c r="X111" s="276">
        <v>24.810523262285351</v>
      </c>
      <c r="Y111" s="276">
        <v>24.810523262285351</v>
      </c>
      <c r="Z111" s="276">
        <v>24.810523262285351</v>
      </c>
      <c r="AA111" s="276">
        <v>24.810523262285351</v>
      </c>
      <c r="AB111" s="276">
        <v>24.810523262285351</v>
      </c>
      <c r="AC111" s="276">
        <v>24.810523262285351</v>
      </c>
      <c r="AD111" s="276">
        <v>24.810523262285351</v>
      </c>
      <c r="AE111" s="276">
        <v>24.810523262285351</v>
      </c>
      <c r="AF111" s="276">
        <v>24.810523262285351</v>
      </c>
    </row>
    <row r="113" spans="1:32" x14ac:dyDescent="0.25">
      <c r="A113" s="326" t="s">
        <v>190</v>
      </c>
      <c r="B113" s="327"/>
      <c r="C113" s="327"/>
      <c r="D113" s="327"/>
      <c r="E113" s="327"/>
      <c r="F113" s="273"/>
      <c r="G113" s="355" t="s">
        <v>199</v>
      </c>
      <c r="H113" s="327"/>
      <c r="I113" s="327"/>
      <c r="J113" s="327"/>
      <c r="K113" s="327"/>
      <c r="L113" s="327"/>
      <c r="M113" s="327"/>
      <c r="N113" s="327"/>
      <c r="O113" s="327"/>
      <c r="P113" s="327"/>
      <c r="Q113" s="327"/>
      <c r="R113" s="327"/>
      <c r="S113" s="327"/>
      <c r="T113" s="327"/>
      <c r="U113" s="327"/>
      <c r="V113" s="327"/>
      <c r="W113" s="327"/>
      <c r="X113" s="327"/>
      <c r="Y113" s="327"/>
      <c r="Z113" s="327"/>
      <c r="AA113" s="327"/>
      <c r="AB113" s="327"/>
      <c r="AC113" s="327"/>
      <c r="AD113" s="327"/>
      <c r="AE113" s="327"/>
      <c r="AF113" s="327"/>
    </row>
    <row r="114" spans="1:32" x14ac:dyDescent="0.25">
      <c r="A114" s="323" t="s">
        <v>12</v>
      </c>
      <c r="B114" s="322"/>
    </row>
    <row r="115" spans="1:32" x14ac:dyDescent="0.25">
      <c r="A115" s="322"/>
      <c r="B115" s="322" t="s">
        <v>20</v>
      </c>
    </row>
    <row r="116" spans="1:32" s="202" customFormat="1" ht="12.75" x14ac:dyDescent="0.2">
      <c r="A116" s="335" t="s">
        <v>21</v>
      </c>
      <c r="B116" s="335"/>
      <c r="C116" s="335"/>
      <c r="D116" s="335"/>
      <c r="E116" s="335"/>
      <c r="F116" s="335"/>
      <c r="G116" s="335"/>
      <c r="H116" s="335"/>
      <c r="I116" s="335"/>
      <c r="J116" s="335"/>
      <c r="K116" s="335"/>
      <c r="L116" s="335"/>
      <c r="M116" s="335"/>
      <c r="N116" s="335"/>
      <c r="O116" s="335"/>
      <c r="P116" s="335"/>
      <c r="Q116" s="335"/>
      <c r="R116" s="335"/>
      <c r="S116" s="335"/>
      <c r="T116" s="335"/>
      <c r="U116" s="335"/>
      <c r="V116" s="335"/>
      <c r="W116" s="335"/>
      <c r="X116" s="335"/>
      <c r="Y116" s="335"/>
      <c r="Z116" s="335"/>
      <c r="AA116" s="335"/>
      <c r="AB116" s="335"/>
      <c r="AC116" s="335"/>
      <c r="AD116" s="335"/>
      <c r="AE116" s="335"/>
      <c r="AF116" s="335"/>
    </row>
    <row r="117" spans="1:32" x14ac:dyDescent="0.25">
      <c r="A117" s="322"/>
      <c r="B117" s="322" t="s">
        <v>22</v>
      </c>
      <c r="G117" s="276">
        <f t="array" ref="G117:AF147">IF(ISNUMBER(Cost_Lamp),Cost_Lamp+Cost_Ballast,"")</f>
        <v>0.60185853916895371</v>
      </c>
      <c r="H117" s="276">
        <v>0.59884924647310955</v>
      </c>
      <c r="I117" s="276">
        <v>0.59583995377726429</v>
      </c>
      <c r="J117" s="276">
        <v>0.59283066108142013</v>
      </c>
      <c r="K117" s="276">
        <v>0.58982136838557486</v>
      </c>
      <c r="L117" s="276">
        <v>0.5868120756897296</v>
      </c>
      <c r="M117" s="276">
        <v>0.58380278299388544</v>
      </c>
      <c r="N117" s="276">
        <v>0.58079349029804017</v>
      </c>
      <c r="O117" s="276">
        <v>0.57778419760219601</v>
      </c>
      <c r="P117" s="276">
        <v>0.57477490490635086</v>
      </c>
      <c r="Q117" s="276">
        <v>0.5717656122105067</v>
      </c>
      <c r="R117" s="276">
        <v>0.56875631951466143</v>
      </c>
      <c r="S117" s="276">
        <v>0.56574702681881728</v>
      </c>
      <c r="T117" s="276">
        <v>0.56273773412297201</v>
      </c>
      <c r="U117" s="276">
        <v>0.55972844142712674</v>
      </c>
      <c r="V117" s="276">
        <v>0.55671914873128259</v>
      </c>
      <c r="W117" s="276">
        <v>0.55370985603543732</v>
      </c>
      <c r="X117" s="276">
        <v>0.55070056333959316</v>
      </c>
      <c r="Y117" s="276">
        <v>0.5476912706437479</v>
      </c>
      <c r="Z117" s="276">
        <v>0.54468197794790374</v>
      </c>
      <c r="AA117" s="276">
        <v>0.54167268525205858</v>
      </c>
      <c r="AB117" s="276">
        <v>0.53866339255621432</v>
      </c>
      <c r="AC117" s="276">
        <v>0.53565409986036916</v>
      </c>
      <c r="AD117" s="276">
        <v>0.53264480716452389</v>
      </c>
      <c r="AE117" s="276">
        <v>0.52963551446867974</v>
      </c>
      <c r="AF117" s="276">
        <v>0.52662622177283447</v>
      </c>
    </row>
    <row r="118" spans="1:32" x14ac:dyDescent="0.25">
      <c r="A118" s="322"/>
      <c r="B118" s="322" t="s">
        <v>26</v>
      </c>
      <c r="G118" s="276">
        <v>2.5082508250825111</v>
      </c>
      <c r="H118" s="276">
        <v>2.4957095709570996</v>
      </c>
      <c r="I118" s="276">
        <v>2.4831683168316836</v>
      </c>
      <c r="J118" s="276">
        <v>2.4706270627062721</v>
      </c>
      <c r="K118" s="276">
        <v>2.4580858085808606</v>
      </c>
      <c r="L118" s="276">
        <v>2.445544554455449</v>
      </c>
      <c r="M118" s="276">
        <v>2.4330033003300331</v>
      </c>
      <c r="N118" s="276">
        <v>2.4204620462046216</v>
      </c>
      <c r="O118" s="276">
        <v>2.4079207920792101</v>
      </c>
      <c r="P118" s="276">
        <v>2.3953795379537985</v>
      </c>
      <c r="Q118" s="276">
        <v>2.3828382838283875</v>
      </c>
      <c r="R118" s="276">
        <v>2.3702970297029711</v>
      </c>
      <c r="S118" s="276">
        <v>2.3577557755775596</v>
      </c>
      <c r="T118" s="276">
        <v>2.345214521452148</v>
      </c>
      <c r="U118" s="276">
        <v>2.332673267326737</v>
      </c>
      <c r="V118" s="276">
        <v>2.3201320132013206</v>
      </c>
      <c r="W118" s="276">
        <v>2.307590759075909</v>
      </c>
      <c r="X118" s="276">
        <v>2.2950495049504975</v>
      </c>
      <c r="Y118" s="276">
        <v>2.2825082508250865</v>
      </c>
      <c r="Z118" s="276">
        <v>2.2699669966996701</v>
      </c>
      <c r="AA118" s="276">
        <v>2.2574257425742585</v>
      </c>
      <c r="AB118" s="276">
        <v>2.244884488448847</v>
      </c>
      <c r="AC118" s="276">
        <v>2.232343234323436</v>
      </c>
      <c r="AD118" s="276">
        <v>2.2198019801980196</v>
      </c>
      <c r="AE118" s="276">
        <v>2.207260726072608</v>
      </c>
      <c r="AF118" s="276">
        <v>2.1947194719471965</v>
      </c>
    </row>
    <row r="119" spans="1:32" x14ac:dyDescent="0.25">
      <c r="A119" s="322"/>
      <c r="B119" s="322" t="s">
        <v>27</v>
      </c>
      <c r="G119" s="276">
        <v>3.3692722371967614</v>
      </c>
      <c r="H119" s="276">
        <v>3.3524258760107766</v>
      </c>
      <c r="I119" s="276">
        <v>3.3355795148247922</v>
      </c>
      <c r="J119" s="276">
        <v>3.3187331536388078</v>
      </c>
      <c r="K119" s="276">
        <v>3.3018867924528275</v>
      </c>
      <c r="L119" s="276">
        <v>3.2850404312668431</v>
      </c>
      <c r="M119" s="276">
        <v>3.2681940700808583</v>
      </c>
      <c r="N119" s="276">
        <v>3.2513477088948739</v>
      </c>
      <c r="O119" s="276">
        <v>3.2345013477088895</v>
      </c>
      <c r="P119" s="276">
        <v>3.2176549865229052</v>
      </c>
      <c r="Q119" s="276">
        <v>3.2008086253369243</v>
      </c>
      <c r="R119" s="276">
        <v>3.18396226415094</v>
      </c>
      <c r="S119" s="276">
        <v>3.1671159029649556</v>
      </c>
      <c r="T119" s="276">
        <v>3.1502695417789712</v>
      </c>
      <c r="U119" s="276">
        <v>3.1334231805929869</v>
      </c>
      <c r="V119" s="276">
        <v>3.116576819407002</v>
      </c>
      <c r="W119" s="276">
        <v>3.0997304582210177</v>
      </c>
      <c r="X119" s="276">
        <v>3.0828840970350373</v>
      </c>
      <c r="Y119" s="276">
        <v>3.0660377358490529</v>
      </c>
      <c r="Z119" s="276">
        <v>3.0491913746630686</v>
      </c>
      <c r="AA119" s="276">
        <v>3.0323450134770837</v>
      </c>
      <c r="AB119" s="276">
        <v>3.0154986522910994</v>
      </c>
      <c r="AC119" s="276">
        <v>2.998652291105115</v>
      </c>
      <c r="AD119" s="276">
        <v>2.9818059299191346</v>
      </c>
      <c r="AE119" s="276">
        <v>2.9649595687331498</v>
      </c>
      <c r="AF119" s="276">
        <v>2.9481132075471654</v>
      </c>
    </row>
    <row r="120" spans="1:32" x14ac:dyDescent="0.25">
      <c r="A120" s="322"/>
      <c r="B120" s="322" t="s">
        <v>29</v>
      </c>
      <c r="G120" s="276">
        <v>55.155329646773986</v>
      </c>
      <c r="H120" s="276">
        <v>30.953643679604006</v>
      </c>
      <c r="I120" s="276">
        <v>21.520165869313075</v>
      </c>
      <c r="J120" s="276">
        <v>16.497391851598039</v>
      </c>
      <c r="K120" s="276">
        <v>13.378071099176921</v>
      </c>
      <c r="L120" s="276">
        <v>11.252554117006513</v>
      </c>
      <c r="M120" s="276">
        <v>9.7111678707816154</v>
      </c>
      <c r="N120" s="276">
        <v>8.5422078553861791</v>
      </c>
      <c r="O120" s="276">
        <v>7.6252457176183945</v>
      </c>
      <c r="P120" s="276">
        <v>6.8867236082633214</v>
      </c>
      <c r="Q120" s="276">
        <v>6.2791737149410762</v>
      </c>
      <c r="R120" s="276">
        <v>5.7705931532247527</v>
      </c>
      <c r="S120" s="276">
        <v>5.3386202486883549</v>
      </c>
      <c r="T120" s="276">
        <v>4.967158181119177</v>
      </c>
      <c r="U120" s="276">
        <v>4.6443246364914899</v>
      </c>
      <c r="V120" s="276">
        <v>4.3611572297283203</v>
      </c>
      <c r="W120" s="276">
        <v>4.1107684974870606</v>
      </c>
      <c r="X120" s="276">
        <v>3.8877782829617891</v>
      </c>
      <c r="Y120" s="276">
        <v>3.6879227869738203</v>
      </c>
      <c r="Z120" s="276">
        <v>3.5077792984603033</v>
      </c>
      <c r="AA120" s="276">
        <v>3.3445685475253426</v>
      </c>
      <c r="AB120" s="276">
        <v>3.1960102906598928</v>
      </c>
      <c r="AC120" s="276">
        <v>3.0602161202015741</v>
      </c>
      <c r="AD120" s="276">
        <v>2.9356087650814362</v>
      </c>
      <c r="AE120" s="276">
        <v>2.8208605467395804</v>
      </c>
      <c r="AF120" s="276">
        <v>2.7148458875177668</v>
      </c>
    </row>
    <row r="121" spans="1:32" x14ac:dyDescent="0.25">
      <c r="A121" s="322"/>
      <c r="B121" s="322"/>
      <c r="G121" s="276" t="str">
        <v/>
      </c>
      <c r="H121" s="276" t="str">
        <v/>
      </c>
      <c r="I121" s="276" t="str">
        <v/>
      </c>
      <c r="J121" s="276" t="str">
        <v/>
      </c>
      <c r="K121" s="276" t="str">
        <v/>
      </c>
      <c r="L121" s="276" t="str">
        <v/>
      </c>
      <c r="M121" s="276" t="str">
        <v/>
      </c>
      <c r="N121" s="276" t="str">
        <v/>
      </c>
      <c r="O121" s="276" t="str">
        <v/>
      </c>
      <c r="P121" s="276" t="str">
        <v/>
      </c>
      <c r="Q121" s="276" t="str">
        <v/>
      </c>
      <c r="R121" s="276" t="str">
        <v/>
      </c>
      <c r="S121" s="276" t="str">
        <v/>
      </c>
      <c r="T121" s="276" t="str">
        <v/>
      </c>
      <c r="U121" s="276" t="str">
        <v/>
      </c>
      <c r="V121" s="276" t="str">
        <v/>
      </c>
      <c r="W121" s="276" t="str">
        <v/>
      </c>
      <c r="X121" s="276" t="str">
        <v/>
      </c>
      <c r="Y121" s="276" t="str">
        <v/>
      </c>
      <c r="Z121" s="276" t="str">
        <v/>
      </c>
      <c r="AA121" s="276" t="str">
        <v/>
      </c>
      <c r="AB121" s="276" t="str">
        <v/>
      </c>
      <c r="AC121" s="276" t="str">
        <v/>
      </c>
      <c r="AD121" s="276" t="str">
        <v/>
      </c>
      <c r="AE121" s="276" t="str">
        <v/>
      </c>
      <c r="AF121" s="276" t="str">
        <v/>
      </c>
    </row>
    <row r="122" spans="1:32" s="202" customFormat="1" ht="12.75" x14ac:dyDescent="0.2">
      <c r="A122" s="335" t="s">
        <v>32</v>
      </c>
      <c r="B122" s="335"/>
      <c r="C122" s="335"/>
      <c r="D122" s="335"/>
      <c r="E122" s="335"/>
      <c r="F122" s="335"/>
      <c r="G122" s="274" t="str">
        <v/>
      </c>
      <c r="H122" s="274" t="str">
        <v/>
      </c>
      <c r="I122" s="274" t="str">
        <v/>
      </c>
      <c r="J122" s="274" t="str">
        <v/>
      </c>
      <c r="K122" s="274" t="str">
        <v/>
      </c>
      <c r="L122" s="274" t="str">
        <v/>
      </c>
      <c r="M122" s="274" t="str">
        <v/>
      </c>
      <c r="N122" s="274" t="str">
        <v/>
      </c>
      <c r="O122" s="274" t="str">
        <v/>
      </c>
      <c r="P122" s="274" t="str">
        <v/>
      </c>
      <c r="Q122" s="274" t="str">
        <v/>
      </c>
      <c r="R122" s="274" t="str">
        <v/>
      </c>
      <c r="S122" s="274" t="str">
        <v/>
      </c>
      <c r="T122" s="274" t="str">
        <v/>
      </c>
      <c r="U122" s="274" t="str">
        <v/>
      </c>
      <c r="V122" s="274" t="str">
        <v/>
      </c>
      <c r="W122" s="274" t="str">
        <v/>
      </c>
      <c r="X122" s="274" t="str">
        <v/>
      </c>
      <c r="Y122" s="274" t="str">
        <v/>
      </c>
      <c r="Z122" s="274" t="str">
        <v/>
      </c>
      <c r="AA122" s="274" t="str">
        <v/>
      </c>
      <c r="AB122" s="274" t="str">
        <v/>
      </c>
      <c r="AC122" s="274" t="str">
        <v/>
      </c>
      <c r="AD122" s="274" t="str">
        <v/>
      </c>
      <c r="AE122" s="274" t="str">
        <v/>
      </c>
      <c r="AF122" s="274" t="str">
        <v/>
      </c>
    </row>
    <row r="123" spans="1:32" x14ac:dyDescent="0.25">
      <c r="A123" s="322"/>
      <c r="B123" s="322" t="s">
        <v>33</v>
      </c>
      <c r="G123" s="276">
        <v>4.3982860872279472</v>
      </c>
      <c r="H123" s="276">
        <v>4.3762946567918037</v>
      </c>
      <c r="I123" s="276">
        <v>4.3543032263556647</v>
      </c>
      <c r="J123" s="276">
        <v>4.3323117959195256</v>
      </c>
      <c r="K123" s="276">
        <v>4.3103203654833866</v>
      </c>
      <c r="L123" s="276">
        <v>4.2883289350472475</v>
      </c>
      <c r="M123" s="276">
        <v>4.2663375046111041</v>
      </c>
      <c r="N123" s="276">
        <v>4.244346074174965</v>
      </c>
      <c r="O123" s="276">
        <v>4.222354643738826</v>
      </c>
      <c r="P123" s="276">
        <v>4.2003632133026878</v>
      </c>
      <c r="Q123" s="276">
        <v>4.1783717828665488</v>
      </c>
      <c r="R123" s="276">
        <v>4.1563803524304097</v>
      </c>
      <c r="S123" s="276">
        <v>4.1343889219942653</v>
      </c>
      <c r="T123" s="276">
        <v>4.1123974915581272</v>
      </c>
      <c r="U123" s="276">
        <v>4.0904060611219881</v>
      </c>
      <c r="V123" s="276">
        <v>4.0684146306858491</v>
      </c>
      <c r="W123" s="276">
        <v>4.04642320024971</v>
      </c>
      <c r="X123" s="276">
        <v>4.024431769813571</v>
      </c>
      <c r="Y123" s="276">
        <v>4.0024403393774275</v>
      </c>
      <c r="Z123" s="276">
        <v>3.9804489089412884</v>
      </c>
      <c r="AA123" s="276">
        <v>3.9584574785051498</v>
      </c>
      <c r="AB123" s="276">
        <v>3.9364660480690108</v>
      </c>
      <c r="AC123" s="276">
        <v>3.9144746176328717</v>
      </c>
      <c r="AD123" s="276">
        <v>3.8924831871967331</v>
      </c>
      <c r="AE123" s="276">
        <v>3.8704917567605892</v>
      </c>
      <c r="AF123" s="276">
        <v>3.8485003263244502</v>
      </c>
    </row>
    <row r="124" spans="1:32" x14ac:dyDescent="0.25">
      <c r="A124" s="328"/>
      <c r="B124" s="328" t="s">
        <v>34</v>
      </c>
      <c r="G124" s="276">
        <v>4.9091801669121287</v>
      </c>
      <c r="H124" s="276">
        <v>4.884634266077569</v>
      </c>
      <c r="I124" s="276">
        <v>5.8119818812953303</v>
      </c>
      <c r="J124" s="276">
        <v>6.7393294965130908</v>
      </c>
      <c r="K124" s="276">
        <v>7.6666771117308512</v>
      </c>
      <c r="L124" s="276">
        <v>7.6283437261721971</v>
      </c>
      <c r="M124" s="276">
        <v>7.5902020075413352</v>
      </c>
      <c r="N124" s="276">
        <v>7.5522509975036298</v>
      </c>
      <c r="O124" s="276">
        <v>7.5144897425161119</v>
      </c>
      <c r="P124" s="276">
        <v>7.4769172938035311</v>
      </c>
      <c r="Q124" s="276">
        <v>7.4395327073345134</v>
      </c>
      <c r="R124" s="276">
        <v>7.4023350437978408</v>
      </c>
      <c r="S124" s="276">
        <v>7.3653233685788519</v>
      </c>
      <c r="T124" s="276">
        <v>7.3284967517359565</v>
      </c>
      <c r="U124" s="276">
        <v>7.2918542679772766</v>
      </c>
      <c r="V124" s="276">
        <v>7.2553949966373903</v>
      </c>
      <c r="W124" s="276">
        <v>7.2191180216542046</v>
      </c>
      <c r="X124" s="276">
        <v>7.1830224315459335</v>
      </c>
      <c r="Y124" s="276">
        <v>7.1471073193882049</v>
      </c>
      <c r="Z124" s="276">
        <v>7.111371782791263</v>
      </c>
      <c r="AA124" s="276">
        <v>7.0758149238773065</v>
      </c>
      <c r="AB124" s="276">
        <v>7.0404358492579204</v>
      </c>
      <c r="AC124" s="276">
        <v>7.0052336700116298</v>
      </c>
      <c r="AD124" s="276">
        <v>6.9702075016615721</v>
      </c>
      <c r="AE124" s="276">
        <v>6.9353564641532648</v>
      </c>
      <c r="AF124" s="276">
        <v>6.9006796818324982</v>
      </c>
    </row>
    <row r="125" spans="1:32" x14ac:dyDescent="0.25">
      <c r="A125" s="322"/>
      <c r="B125" s="328" t="s">
        <v>35</v>
      </c>
      <c r="G125" s="276">
        <v>13.894134786596876</v>
      </c>
      <c r="H125" s="276">
        <v>13.824664112663905</v>
      </c>
      <c r="I125" s="276">
        <v>13.755193438730915</v>
      </c>
      <c r="J125" s="276">
        <v>13.685722764797925</v>
      </c>
      <c r="K125" s="276">
        <v>13.616252090864954</v>
      </c>
      <c r="L125" s="276">
        <v>13.546781416931964</v>
      </c>
      <c r="M125" s="276">
        <v>13.477310742998974</v>
      </c>
      <c r="N125" s="276">
        <v>13.407840069066001</v>
      </c>
      <c r="O125" s="276">
        <v>13.338369395133011</v>
      </c>
      <c r="P125" s="276">
        <v>13.268898721200021</v>
      </c>
      <c r="Q125" s="276">
        <v>13.19942804726703</v>
      </c>
      <c r="R125" s="276">
        <v>13.12995737333406</v>
      </c>
      <c r="S125" s="276">
        <v>13.06048669940107</v>
      </c>
      <c r="T125" s="276">
        <v>12.991016025468079</v>
      </c>
      <c r="U125" s="276">
        <v>12.921545351535109</v>
      </c>
      <c r="V125" s="276">
        <v>12.852074677602118</v>
      </c>
      <c r="W125" s="276">
        <v>12.782604003669128</v>
      </c>
      <c r="X125" s="276">
        <v>12.713133329736158</v>
      </c>
      <c r="Y125" s="276">
        <v>12.643662655803167</v>
      </c>
      <c r="Z125" s="276">
        <v>12.574191981870177</v>
      </c>
      <c r="AA125" s="276">
        <v>12.504721307937205</v>
      </c>
      <c r="AB125" s="276">
        <v>12.435250634004214</v>
      </c>
      <c r="AC125" s="276">
        <v>12.365779960071224</v>
      </c>
      <c r="AD125" s="276">
        <v>12.296309286138234</v>
      </c>
      <c r="AE125" s="276">
        <v>12.226838612205263</v>
      </c>
      <c r="AF125" s="276">
        <v>12.157367938272273</v>
      </c>
    </row>
    <row r="126" spans="1:32" x14ac:dyDescent="0.25">
      <c r="A126" s="322"/>
      <c r="B126" s="328" t="s">
        <v>29</v>
      </c>
      <c r="G126" s="276">
        <v>55.155329646773986</v>
      </c>
      <c r="H126" s="276">
        <v>30.953643679604003</v>
      </c>
      <c r="I126" s="276">
        <v>21.520165869313072</v>
      </c>
      <c r="J126" s="276">
        <v>16.497391851598039</v>
      </c>
      <c r="K126" s="276">
        <v>13.378071099176921</v>
      </c>
      <c r="L126" s="276">
        <v>11.252554117006511</v>
      </c>
      <c r="M126" s="276">
        <v>9.7111678707816171</v>
      </c>
      <c r="N126" s="276">
        <v>8.5422078553861791</v>
      </c>
      <c r="O126" s="276">
        <v>7.6252457176183945</v>
      </c>
      <c r="P126" s="276">
        <v>6.8867236082633196</v>
      </c>
      <c r="Q126" s="276">
        <v>6.2791737149410762</v>
      </c>
      <c r="R126" s="276">
        <v>5.7705931532247519</v>
      </c>
      <c r="S126" s="276">
        <v>5.3386202486883541</v>
      </c>
      <c r="T126" s="276">
        <v>4.9671581811191761</v>
      </c>
      <c r="U126" s="276">
        <v>4.644324636491489</v>
      </c>
      <c r="V126" s="276">
        <v>4.3611572297283203</v>
      </c>
      <c r="W126" s="276">
        <v>4.1107684974870589</v>
      </c>
      <c r="X126" s="276">
        <v>3.8877782829617882</v>
      </c>
      <c r="Y126" s="276">
        <v>3.6879227869738198</v>
      </c>
      <c r="Z126" s="276">
        <v>3.5077792984603029</v>
      </c>
      <c r="AA126" s="276">
        <v>3.3445685475253422</v>
      </c>
      <c r="AB126" s="276">
        <v>3.1960102906598924</v>
      </c>
      <c r="AC126" s="276">
        <v>3.0602161202015736</v>
      </c>
      <c r="AD126" s="276">
        <v>2.9356087650814358</v>
      </c>
      <c r="AE126" s="276">
        <v>2.82086054673958</v>
      </c>
      <c r="AF126" s="276">
        <v>2.7148458875177668</v>
      </c>
    </row>
    <row r="127" spans="1:32" x14ac:dyDescent="0.25">
      <c r="A127" s="322"/>
      <c r="B127" s="322"/>
      <c r="G127" s="276" t="str">
        <v/>
      </c>
      <c r="H127" s="276" t="str">
        <v/>
      </c>
      <c r="I127" s="276" t="str">
        <v/>
      </c>
      <c r="J127" s="276" t="str">
        <v/>
      </c>
      <c r="K127" s="276" t="str">
        <v/>
      </c>
      <c r="L127" s="276" t="str">
        <v/>
      </c>
      <c r="M127" s="276" t="str">
        <v/>
      </c>
      <c r="N127" s="276" t="str">
        <v/>
      </c>
      <c r="O127" s="276" t="str">
        <v/>
      </c>
      <c r="P127" s="276" t="str">
        <v/>
      </c>
      <c r="Q127" s="276" t="str">
        <v/>
      </c>
      <c r="R127" s="276" t="str">
        <v/>
      </c>
      <c r="S127" s="276" t="str">
        <v/>
      </c>
      <c r="T127" s="276" t="str">
        <v/>
      </c>
      <c r="U127" s="276" t="str">
        <v/>
      </c>
      <c r="V127" s="276" t="str">
        <v/>
      </c>
      <c r="W127" s="276" t="str">
        <v/>
      </c>
      <c r="X127" s="276" t="str">
        <v/>
      </c>
      <c r="Y127" s="276" t="str">
        <v/>
      </c>
      <c r="Z127" s="276" t="str">
        <v/>
      </c>
      <c r="AA127" s="276" t="str">
        <v/>
      </c>
      <c r="AB127" s="276" t="str">
        <v/>
      </c>
      <c r="AC127" s="276" t="str">
        <v/>
      </c>
      <c r="AD127" s="276" t="str">
        <v/>
      </c>
      <c r="AE127" s="276" t="str">
        <v/>
      </c>
      <c r="AF127" s="276" t="str">
        <v/>
      </c>
    </row>
    <row r="128" spans="1:32" s="202" customFormat="1" ht="12.75" x14ac:dyDescent="0.2">
      <c r="A128" s="335" t="s">
        <v>36</v>
      </c>
      <c r="B128" s="335"/>
      <c r="C128" s="335"/>
      <c r="D128" s="335"/>
      <c r="E128" s="335"/>
      <c r="F128" s="335"/>
      <c r="G128" s="274" t="str">
        <v/>
      </c>
      <c r="H128" s="274" t="str">
        <v/>
      </c>
      <c r="I128" s="274" t="str">
        <v/>
      </c>
      <c r="J128" s="274" t="str">
        <v/>
      </c>
      <c r="K128" s="274" t="str">
        <v/>
      </c>
      <c r="L128" s="274" t="str">
        <v/>
      </c>
      <c r="M128" s="274" t="str">
        <v/>
      </c>
      <c r="N128" s="274" t="str">
        <v/>
      </c>
      <c r="O128" s="274" t="str">
        <v/>
      </c>
      <c r="P128" s="274" t="str">
        <v/>
      </c>
      <c r="Q128" s="274" t="str">
        <v/>
      </c>
      <c r="R128" s="274" t="str">
        <v/>
      </c>
      <c r="S128" s="274" t="str">
        <v/>
      </c>
      <c r="T128" s="274" t="str">
        <v/>
      </c>
      <c r="U128" s="274" t="str">
        <v/>
      </c>
      <c r="V128" s="274" t="str">
        <v/>
      </c>
      <c r="W128" s="274" t="str">
        <v/>
      </c>
      <c r="X128" s="274" t="str">
        <v/>
      </c>
      <c r="Y128" s="274" t="str">
        <v/>
      </c>
      <c r="Z128" s="274" t="str">
        <v/>
      </c>
      <c r="AA128" s="274" t="str">
        <v/>
      </c>
      <c r="AB128" s="274" t="str">
        <v/>
      </c>
      <c r="AC128" s="274" t="str">
        <v/>
      </c>
      <c r="AD128" s="274" t="str">
        <v/>
      </c>
      <c r="AE128" s="274" t="str">
        <v/>
      </c>
      <c r="AF128" s="274" t="str">
        <v/>
      </c>
    </row>
    <row r="129" spans="1:32" x14ac:dyDescent="0.25">
      <c r="A129" s="322"/>
      <c r="B129" s="322" t="s">
        <v>37</v>
      </c>
      <c r="G129" s="276">
        <v>8.5439066067837146</v>
      </c>
      <c r="H129" s="276">
        <v>8.5011870737498008</v>
      </c>
      <c r="I129" s="276">
        <v>8.458467540715878</v>
      </c>
      <c r="J129" s="276">
        <v>8.4157480076819642</v>
      </c>
      <c r="K129" s="276">
        <v>8.3730284746480415</v>
      </c>
      <c r="L129" s="276">
        <v>8.3303089416141169</v>
      </c>
      <c r="M129" s="276">
        <v>8.2875894085802031</v>
      </c>
      <c r="N129" s="276">
        <v>8.2448698755462804</v>
      </c>
      <c r="O129" s="276">
        <v>8.2021503425123683</v>
      </c>
      <c r="P129" s="276">
        <v>8.1594308094784438</v>
      </c>
      <c r="Q129" s="276">
        <v>8.116711276444537</v>
      </c>
      <c r="R129" s="276">
        <v>8.0739917434106125</v>
      </c>
      <c r="S129" s="276">
        <v>8.0312722103766987</v>
      </c>
      <c r="T129" s="276">
        <v>7.988552677342776</v>
      </c>
      <c r="U129" s="276">
        <v>7.9458331443088523</v>
      </c>
      <c r="V129" s="276">
        <v>7.9031136112749385</v>
      </c>
      <c r="W129" s="276">
        <v>7.8603940782410149</v>
      </c>
      <c r="X129" s="276">
        <v>7.8176745452071028</v>
      </c>
      <c r="Y129" s="276">
        <v>7.7749550121731783</v>
      </c>
      <c r="Z129" s="276">
        <v>7.7322354791392653</v>
      </c>
      <c r="AA129" s="276">
        <v>7.6895159461053417</v>
      </c>
      <c r="AB129" s="276">
        <v>7.6467964130714332</v>
      </c>
      <c r="AC129" s="276">
        <v>7.6040768800375105</v>
      </c>
      <c r="AD129" s="276">
        <v>7.5613573470035869</v>
      </c>
      <c r="AE129" s="276">
        <v>7.518637813969673</v>
      </c>
      <c r="AF129" s="276">
        <v>7.4759182809357494</v>
      </c>
    </row>
    <row r="130" spans="1:32" x14ac:dyDescent="0.25">
      <c r="A130" s="322"/>
      <c r="B130" s="322" t="s">
        <v>39</v>
      </c>
      <c r="G130" s="276">
        <v>9.3577039389847254</v>
      </c>
      <c r="H130" s="276">
        <v>9.3109154192898043</v>
      </c>
      <c r="I130" s="276">
        <v>9.2641268995948796</v>
      </c>
      <c r="J130" s="276">
        <v>9.2173383798999602</v>
      </c>
      <c r="K130" s="276">
        <v>9.4061408347122626</v>
      </c>
      <c r="L130" s="276">
        <v>9.5949432895245668</v>
      </c>
      <c r="M130" s="276">
        <v>9.7837457443368816</v>
      </c>
      <c r="N130" s="276">
        <v>9.7339140688894368</v>
      </c>
      <c r="O130" s="276">
        <v>9.6841793940316165</v>
      </c>
      <c r="P130" s="276">
        <v>9.634541234760448</v>
      </c>
      <c r="Q130" s="276">
        <v>9.5849991084980193</v>
      </c>
      <c r="R130" s="276">
        <v>9.5355525350792671</v>
      </c>
      <c r="S130" s="276">
        <v>9.4862010367399918</v>
      </c>
      <c r="T130" s="276">
        <v>9.4369441381047796</v>
      </c>
      <c r="U130" s="276">
        <v>9.3877813661751155</v>
      </c>
      <c r="V130" s="276">
        <v>9.3387122503174851</v>
      </c>
      <c r="W130" s="276">
        <v>9.2897363222515068</v>
      </c>
      <c r="X130" s="276">
        <v>9.2408531160382434</v>
      </c>
      <c r="Y130" s="276">
        <v>9.1920621680684089</v>
      </c>
      <c r="Z130" s="276">
        <v>9.1433630170508096</v>
      </c>
      <c r="AA130" s="276">
        <v>9.094755204000661</v>
      </c>
      <c r="AB130" s="276">
        <v>9.0462382722281482</v>
      </c>
      <c r="AC130" s="276">
        <v>8.9978117673268621</v>
      </c>
      <c r="AD130" s="276">
        <v>8.9494752371624564</v>
      </c>
      <c r="AE130" s="276">
        <v>8.901228231861257</v>
      </c>
      <c r="AF130" s="276">
        <v>8.853070303798928</v>
      </c>
    </row>
    <row r="131" spans="1:32" x14ac:dyDescent="0.25">
      <c r="A131" s="322"/>
      <c r="B131" s="322" t="s">
        <v>40</v>
      </c>
      <c r="G131" s="276">
        <v>5.1573973194427412</v>
      </c>
      <c r="H131" s="276">
        <v>5.1316103328455238</v>
      </c>
      <c r="I131" s="276">
        <v>5.1058233462483118</v>
      </c>
      <c r="J131" s="276">
        <v>5.0800363596510998</v>
      </c>
      <c r="K131" s="276">
        <v>5.0542493730538851</v>
      </c>
      <c r="L131" s="276">
        <v>5.0284623864566722</v>
      </c>
      <c r="M131" s="276">
        <v>5.0026753998594558</v>
      </c>
      <c r="N131" s="276">
        <v>4.9768884132622437</v>
      </c>
      <c r="O131" s="276">
        <v>4.9511014266650291</v>
      </c>
      <c r="P131" s="276">
        <v>4.925314440067817</v>
      </c>
      <c r="Q131" s="276">
        <v>4.8995274534706041</v>
      </c>
      <c r="R131" s="276">
        <v>4.8737404668733877</v>
      </c>
      <c r="S131" s="276">
        <v>4.8479534802761748</v>
      </c>
      <c r="T131" s="276">
        <v>4.8221664936789601</v>
      </c>
      <c r="U131" s="276">
        <v>4.7963795070817481</v>
      </c>
      <c r="V131" s="276">
        <v>4.7705925204845361</v>
      </c>
      <c r="W131" s="276">
        <v>4.7448055338873187</v>
      </c>
      <c r="X131" s="276">
        <v>4.7190185472901067</v>
      </c>
      <c r="Y131" s="276">
        <v>4.693231560692892</v>
      </c>
      <c r="Z131" s="276">
        <v>4.66744457409568</v>
      </c>
      <c r="AA131" s="276">
        <v>4.641657587498468</v>
      </c>
      <c r="AB131" s="276">
        <v>4.6158706009012507</v>
      </c>
      <c r="AC131" s="276">
        <v>4.590083614304036</v>
      </c>
      <c r="AD131" s="276">
        <v>4.564296627706824</v>
      </c>
      <c r="AE131" s="276">
        <v>4.5385096411096111</v>
      </c>
      <c r="AF131" s="276">
        <v>4.5127226545124</v>
      </c>
    </row>
    <row r="132" spans="1:32" x14ac:dyDescent="0.25">
      <c r="A132" s="322"/>
      <c r="B132" s="322" t="s">
        <v>29</v>
      </c>
      <c r="G132" s="276">
        <v>180.88475965641621</v>
      </c>
      <c r="H132" s="276">
        <v>108.53401257778634</v>
      </c>
      <c r="I132" s="276">
        <v>77.547284636338034</v>
      </c>
      <c r="J132" s="276">
        <v>60.337807351118627</v>
      </c>
      <c r="K132" s="276">
        <v>49.388318732768852</v>
      </c>
      <c r="L132" s="276">
        <v>41.808813167273925</v>
      </c>
      <c r="M132" s="276">
        <v>36.250982020674336</v>
      </c>
      <c r="N132" s="276">
        <v>32.001145833995928</v>
      </c>
      <c r="O132" s="276">
        <v>28.64617726953395</v>
      </c>
      <c r="P132" s="276">
        <v>25.930357134543922</v>
      </c>
      <c r="Q132" s="276">
        <v>23.686925614494996</v>
      </c>
      <c r="R132" s="276">
        <v>21.802493526572075</v>
      </c>
      <c r="S132" s="276">
        <v>20.197272849753819</v>
      </c>
      <c r="T132" s="276">
        <v>18.813488715155085</v>
      </c>
      <c r="U132" s="276">
        <v>17.608277585332416</v>
      </c>
      <c r="V132" s="276">
        <v>16.54916818847364</v>
      </c>
      <c r="W132" s="276">
        <v>15.611112001932259</v>
      </c>
      <c r="X132" s="276">
        <v>14.774476913528423</v>
      </c>
      <c r="Y132" s="276">
        <v>14.023658273383182</v>
      </c>
      <c r="Z132" s="276">
        <v>13.346096501962295</v>
      </c>
      <c r="AA132" s="276">
        <v>12.73156887638881</v>
      </c>
      <c r="AB132" s="276">
        <v>12.171670188466772</v>
      </c>
      <c r="AC132" s="276">
        <v>11.659426010556659</v>
      </c>
      <c r="AD132" s="276">
        <v>11.189000678631562</v>
      </c>
      <c r="AE132" s="276">
        <v>10.755473989930337</v>
      </c>
      <c r="AF132" s="276">
        <v>10.354668462980241</v>
      </c>
    </row>
    <row r="133" spans="1:32" x14ac:dyDescent="0.25">
      <c r="A133" s="322"/>
      <c r="B133" s="322"/>
      <c r="G133" s="276" t="str">
        <v/>
      </c>
      <c r="H133" s="276" t="str">
        <v/>
      </c>
      <c r="I133" s="276" t="str">
        <v/>
      </c>
      <c r="J133" s="276" t="str">
        <v/>
      </c>
      <c r="K133" s="276" t="str">
        <v/>
      </c>
      <c r="L133" s="276" t="str">
        <v/>
      </c>
      <c r="M133" s="276" t="str">
        <v/>
      </c>
      <c r="N133" s="276" t="str">
        <v/>
      </c>
      <c r="O133" s="276" t="str">
        <v/>
      </c>
      <c r="P133" s="276" t="str">
        <v/>
      </c>
      <c r="Q133" s="276" t="str">
        <v/>
      </c>
      <c r="R133" s="276" t="str">
        <v/>
      </c>
      <c r="S133" s="276" t="str">
        <v/>
      </c>
      <c r="T133" s="276" t="str">
        <v/>
      </c>
      <c r="U133" s="276" t="str">
        <v/>
      </c>
      <c r="V133" s="276" t="str">
        <v/>
      </c>
      <c r="W133" s="276" t="str">
        <v/>
      </c>
      <c r="X133" s="276" t="str">
        <v/>
      </c>
      <c r="Y133" s="276" t="str">
        <v/>
      </c>
      <c r="Z133" s="276" t="str">
        <v/>
      </c>
      <c r="AA133" s="276" t="str">
        <v/>
      </c>
      <c r="AB133" s="276" t="str">
        <v/>
      </c>
      <c r="AC133" s="276" t="str">
        <v/>
      </c>
      <c r="AD133" s="276" t="str">
        <v/>
      </c>
      <c r="AE133" s="276" t="str">
        <v/>
      </c>
      <c r="AF133" s="276" t="str">
        <v/>
      </c>
    </row>
    <row r="134" spans="1:32" s="202" customFormat="1" ht="12.75" x14ac:dyDescent="0.2">
      <c r="A134" s="335" t="s">
        <v>42</v>
      </c>
      <c r="B134" s="335"/>
      <c r="C134" s="335"/>
      <c r="D134" s="335"/>
      <c r="E134" s="335"/>
      <c r="F134" s="335"/>
      <c r="G134" s="274" t="str">
        <v/>
      </c>
      <c r="H134" s="274" t="str">
        <v/>
      </c>
      <c r="I134" s="274" t="str">
        <v/>
      </c>
      <c r="J134" s="274" t="str">
        <v/>
      </c>
      <c r="K134" s="274" t="str">
        <v/>
      </c>
      <c r="L134" s="274" t="str">
        <v/>
      </c>
      <c r="M134" s="274" t="str">
        <v/>
      </c>
      <c r="N134" s="274" t="str">
        <v/>
      </c>
      <c r="O134" s="274" t="str">
        <v/>
      </c>
      <c r="P134" s="274" t="str">
        <v/>
      </c>
      <c r="Q134" s="274" t="str">
        <v/>
      </c>
      <c r="R134" s="274" t="str">
        <v/>
      </c>
      <c r="S134" s="274" t="str">
        <v/>
      </c>
      <c r="T134" s="274" t="str">
        <v/>
      </c>
      <c r="U134" s="274" t="str">
        <v/>
      </c>
      <c r="V134" s="274" t="str">
        <v/>
      </c>
      <c r="W134" s="274" t="str">
        <v/>
      </c>
      <c r="X134" s="274" t="str">
        <v/>
      </c>
      <c r="Y134" s="274" t="str">
        <v/>
      </c>
      <c r="Z134" s="274" t="str">
        <v/>
      </c>
      <c r="AA134" s="274" t="str">
        <v/>
      </c>
      <c r="AB134" s="274" t="str">
        <v/>
      </c>
      <c r="AC134" s="274" t="str">
        <v/>
      </c>
      <c r="AD134" s="274" t="str">
        <v/>
      </c>
      <c r="AE134" s="274" t="str">
        <v/>
      </c>
      <c r="AF134" s="274" t="str">
        <v/>
      </c>
    </row>
    <row r="135" spans="1:32" x14ac:dyDescent="0.25">
      <c r="A135" s="322"/>
      <c r="B135" s="328" t="s">
        <v>43</v>
      </c>
      <c r="G135" s="276">
        <v>28.072629376404819</v>
      </c>
      <c r="H135" s="276">
        <v>27.932266229522803</v>
      </c>
      <c r="I135" s="276">
        <v>27.791903082640761</v>
      </c>
      <c r="J135" s="276">
        <v>27.651539935758748</v>
      </c>
      <c r="K135" s="276">
        <v>27.511176788876742</v>
      </c>
      <c r="L135" s="276">
        <v>27.370813641994694</v>
      </c>
      <c r="M135" s="276">
        <v>27.230450495112677</v>
      </c>
      <c r="N135" s="276">
        <v>27.090087348230639</v>
      </c>
      <c r="O135" s="276">
        <v>26.949724201348626</v>
      </c>
      <c r="P135" s="276">
        <v>26.809361054466617</v>
      </c>
      <c r="Q135" s="276">
        <v>26.668997907584572</v>
      </c>
      <c r="R135" s="276">
        <v>26.528634760702566</v>
      </c>
      <c r="S135" s="276">
        <v>26.388271613820521</v>
      </c>
      <c r="T135" s="276">
        <v>26.247908466938512</v>
      </c>
      <c r="U135" s="276">
        <v>26.107545320056495</v>
      </c>
      <c r="V135" s="276">
        <v>25.967182173174457</v>
      </c>
      <c r="W135" s="276">
        <v>25.826819026292444</v>
      </c>
      <c r="X135" s="276">
        <v>25.686455879410396</v>
      </c>
      <c r="Y135" s="276">
        <v>25.546092732528386</v>
      </c>
      <c r="Z135" s="276">
        <v>25.405729585646377</v>
      </c>
      <c r="AA135" s="276">
        <v>25.265366438764335</v>
      </c>
      <c r="AB135" s="276">
        <v>25.125003291882319</v>
      </c>
      <c r="AC135" s="276">
        <v>24.984640145000281</v>
      </c>
      <c r="AD135" s="276">
        <v>24.844276998118268</v>
      </c>
      <c r="AE135" s="276">
        <v>24.703913851236258</v>
      </c>
      <c r="AF135" s="276">
        <v>24.563550704354213</v>
      </c>
    </row>
    <row r="136" spans="1:32" x14ac:dyDescent="0.25">
      <c r="A136" s="322"/>
      <c r="B136" s="328" t="s">
        <v>44</v>
      </c>
      <c r="G136" s="276">
        <v>49.281640601712937</v>
      </c>
      <c r="H136" s="276">
        <v>49.035232398704409</v>
      </c>
      <c r="I136" s="276">
        <v>48.788824195695845</v>
      </c>
      <c r="J136" s="276">
        <v>48.542415992687253</v>
      </c>
      <c r="K136" s="276">
        <v>48.29600778967869</v>
      </c>
      <c r="L136" s="276">
        <v>48.049599586670119</v>
      </c>
      <c r="M136" s="276">
        <v>47.803191383661577</v>
      </c>
      <c r="N136" s="276">
        <v>47.556783180653014</v>
      </c>
      <c r="O136" s="276">
        <v>47.31037497764445</v>
      </c>
      <c r="P136" s="276">
        <v>47.063966774635858</v>
      </c>
      <c r="Q136" s="276">
        <v>46.817558571627288</v>
      </c>
      <c r="R136" s="276">
        <v>46.571150368618774</v>
      </c>
      <c r="S136" s="276">
        <v>46.324742165610182</v>
      </c>
      <c r="T136" s="276">
        <v>46.078333962601612</v>
      </c>
      <c r="U136" s="276">
        <v>45.831925759593048</v>
      </c>
      <c r="V136" s="276">
        <v>45.585517556584463</v>
      </c>
      <c r="W136" s="276">
        <v>45.339109353575935</v>
      </c>
      <c r="X136" s="276">
        <v>45.092701150567372</v>
      </c>
      <c r="Y136" s="276">
        <v>44.84629294755878</v>
      </c>
      <c r="Z136" s="276">
        <v>44.599884744550209</v>
      </c>
      <c r="AA136" s="276">
        <v>44.353476541541653</v>
      </c>
      <c r="AB136" s="276">
        <v>44.107068338533104</v>
      </c>
      <c r="AC136" s="276">
        <v>43.860660135524533</v>
      </c>
      <c r="AD136" s="276">
        <v>43.61425193251597</v>
      </c>
      <c r="AE136" s="276">
        <v>43.367843729507385</v>
      </c>
      <c r="AF136" s="276">
        <v>43.121435526498814</v>
      </c>
    </row>
    <row r="137" spans="1:32" x14ac:dyDescent="0.25">
      <c r="A137" s="322"/>
      <c r="B137" s="328" t="s">
        <v>45</v>
      </c>
      <c r="G137" s="276">
        <v>15.560849343453269</v>
      </c>
      <c r="H137" s="276">
        <v>15.483045096736006</v>
      </c>
      <c r="I137" s="276">
        <v>15.40524085001873</v>
      </c>
      <c r="J137" s="276">
        <v>15.327436603301473</v>
      </c>
      <c r="K137" s="276">
        <v>15.249632356584211</v>
      </c>
      <c r="L137" s="276">
        <v>15.171828109866937</v>
      </c>
      <c r="M137" s="276">
        <v>15.09402386314968</v>
      </c>
      <c r="N137" s="276">
        <v>15.0162196164324</v>
      </c>
      <c r="O137" s="276">
        <v>14.938415369715141</v>
      </c>
      <c r="P137" s="276">
        <v>14.860611122997879</v>
      </c>
      <c r="Q137" s="276">
        <v>14.782806876280603</v>
      </c>
      <c r="R137" s="276">
        <v>14.705002629563346</v>
      </c>
      <c r="S137" s="276">
        <v>14.627198382846066</v>
      </c>
      <c r="T137" s="276">
        <v>14.549394136128809</v>
      </c>
      <c r="U137" s="276">
        <v>14.47158988941155</v>
      </c>
      <c r="V137" s="276">
        <v>14.393785642694272</v>
      </c>
      <c r="W137" s="276">
        <v>14.315981395977012</v>
      </c>
      <c r="X137" s="276">
        <v>14.238177149259737</v>
      </c>
      <c r="Y137" s="276">
        <v>14.160372902542475</v>
      </c>
      <c r="Z137" s="276">
        <v>14.082568655825218</v>
      </c>
      <c r="AA137" s="276">
        <v>14.004764409107938</v>
      </c>
      <c r="AB137" s="276">
        <v>13.92696016239068</v>
      </c>
      <c r="AC137" s="276">
        <v>13.849155915673407</v>
      </c>
      <c r="AD137" s="276">
        <v>13.771351668956143</v>
      </c>
      <c r="AE137" s="276">
        <v>13.693547422238886</v>
      </c>
      <c r="AF137" s="276">
        <v>13.61574317552161</v>
      </c>
    </row>
    <row r="138" spans="1:32" x14ac:dyDescent="0.25">
      <c r="A138" s="322"/>
      <c r="B138" s="328" t="s">
        <v>46</v>
      </c>
      <c r="G138" s="276">
        <v>2000</v>
      </c>
      <c r="H138" s="276">
        <v>2000</v>
      </c>
      <c r="I138" s="276">
        <v>2000</v>
      </c>
      <c r="J138" s="276">
        <v>2000</v>
      </c>
      <c r="K138" s="276">
        <v>2000</v>
      </c>
      <c r="L138" s="276">
        <v>2000</v>
      </c>
      <c r="M138" s="276">
        <v>2000</v>
      </c>
      <c r="N138" s="276">
        <v>2000</v>
      </c>
      <c r="O138" s="276">
        <v>2000</v>
      </c>
      <c r="P138" s="276">
        <v>2000</v>
      </c>
      <c r="Q138" s="276">
        <v>2000</v>
      </c>
      <c r="R138" s="276">
        <v>2000</v>
      </c>
      <c r="S138" s="276">
        <v>2000</v>
      </c>
      <c r="T138" s="276">
        <v>2000</v>
      </c>
      <c r="U138" s="276">
        <v>2000</v>
      </c>
      <c r="V138" s="276">
        <v>2000</v>
      </c>
      <c r="W138" s="276">
        <v>2000</v>
      </c>
      <c r="X138" s="276">
        <v>2000</v>
      </c>
      <c r="Y138" s="276">
        <v>2000</v>
      </c>
      <c r="Z138" s="276">
        <v>2000</v>
      </c>
      <c r="AA138" s="276">
        <v>2000</v>
      </c>
      <c r="AB138" s="276">
        <v>2000</v>
      </c>
      <c r="AC138" s="276">
        <v>2000</v>
      </c>
      <c r="AD138" s="276">
        <v>2000</v>
      </c>
      <c r="AE138" s="276">
        <v>2000</v>
      </c>
      <c r="AF138" s="276">
        <v>2000</v>
      </c>
    </row>
    <row r="139" spans="1:32" x14ac:dyDescent="0.25">
      <c r="A139" s="322"/>
      <c r="B139" s="322" t="s">
        <v>29</v>
      </c>
      <c r="G139" s="276">
        <v>180.88475965641621</v>
      </c>
      <c r="H139" s="276">
        <v>108.53401257778634</v>
      </c>
      <c r="I139" s="276">
        <v>77.547284636338048</v>
      </c>
      <c r="J139" s="276">
        <v>60.337807351118627</v>
      </c>
      <c r="K139" s="276">
        <v>49.388318732768852</v>
      </c>
      <c r="L139" s="276">
        <v>41.808813167273925</v>
      </c>
      <c r="M139" s="276">
        <v>36.250982020674343</v>
      </c>
      <c r="N139" s="276">
        <v>32.00114583399592</v>
      </c>
      <c r="O139" s="276">
        <v>28.646177269533947</v>
      </c>
      <c r="P139" s="276">
        <v>25.930357134543918</v>
      </c>
      <c r="Q139" s="276">
        <v>23.686925614494996</v>
      </c>
      <c r="R139" s="276">
        <v>21.802493526572075</v>
      </c>
      <c r="S139" s="276">
        <v>20.197272849753823</v>
      </c>
      <c r="T139" s="276">
        <v>18.813488715155085</v>
      </c>
      <c r="U139" s="276">
        <v>17.608277585332416</v>
      </c>
      <c r="V139" s="276">
        <v>16.549168188473637</v>
      </c>
      <c r="W139" s="276">
        <v>15.611112001932257</v>
      </c>
      <c r="X139" s="276">
        <v>14.774476913528421</v>
      </c>
      <c r="Y139" s="276">
        <v>14.02365827338318</v>
      </c>
      <c r="Z139" s="276">
        <v>13.346096501962293</v>
      </c>
      <c r="AA139" s="276">
        <v>12.731568876388808</v>
      </c>
      <c r="AB139" s="276">
        <v>12.17167018846677</v>
      </c>
      <c r="AC139" s="276">
        <v>11.659426010556658</v>
      </c>
      <c r="AD139" s="276">
        <v>11.189000678631562</v>
      </c>
      <c r="AE139" s="276">
        <v>10.755473989930337</v>
      </c>
      <c r="AF139" s="276">
        <v>10.354668462980239</v>
      </c>
    </row>
    <row r="140" spans="1:32" x14ac:dyDescent="0.25">
      <c r="A140" s="322"/>
      <c r="B140" s="322"/>
      <c r="G140" s="276" t="str">
        <v/>
      </c>
      <c r="H140" s="276" t="str">
        <v/>
      </c>
      <c r="I140" s="276" t="str">
        <v/>
      </c>
      <c r="J140" s="276" t="str">
        <v/>
      </c>
      <c r="K140" s="276" t="str">
        <v/>
      </c>
      <c r="L140" s="276" t="str">
        <v/>
      </c>
      <c r="M140" s="276" t="str">
        <v/>
      </c>
      <c r="N140" s="276" t="str">
        <v/>
      </c>
      <c r="O140" s="276" t="str">
        <v/>
      </c>
      <c r="P140" s="276" t="str">
        <v/>
      </c>
      <c r="Q140" s="276" t="str">
        <v/>
      </c>
      <c r="R140" s="276" t="str">
        <v/>
      </c>
      <c r="S140" s="276" t="str">
        <v/>
      </c>
      <c r="T140" s="276" t="str">
        <v/>
      </c>
      <c r="U140" s="276" t="str">
        <v/>
      </c>
      <c r="V140" s="276" t="str">
        <v/>
      </c>
      <c r="W140" s="276" t="str">
        <v/>
      </c>
      <c r="X140" s="276" t="str">
        <v/>
      </c>
      <c r="Y140" s="276" t="str">
        <v/>
      </c>
      <c r="Z140" s="276" t="str">
        <v/>
      </c>
      <c r="AA140" s="276" t="str">
        <v/>
      </c>
      <c r="AB140" s="276" t="str">
        <v/>
      </c>
      <c r="AC140" s="276" t="str">
        <v/>
      </c>
      <c r="AD140" s="276" t="str">
        <v/>
      </c>
      <c r="AE140" s="276" t="str">
        <v/>
      </c>
      <c r="AF140" s="276" t="str">
        <v/>
      </c>
    </row>
    <row r="141" spans="1:32" s="202" customFormat="1" ht="12.75" x14ac:dyDescent="0.2">
      <c r="A141" s="335" t="s">
        <v>47</v>
      </c>
      <c r="B141" s="335"/>
      <c r="C141" s="335"/>
      <c r="D141" s="335"/>
      <c r="E141" s="335"/>
      <c r="F141" s="335"/>
      <c r="G141" s="274" t="str">
        <v/>
      </c>
      <c r="H141" s="274" t="str">
        <v/>
      </c>
      <c r="I141" s="274" t="str">
        <v/>
      </c>
      <c r="J141" s="274" t="str">
        <v/>
      </c>
      <c r="K141" s="274" t="str">
        <v/>
      </c>
      <c r="L141" s="274" t="str">
        <v/>
      </c>
      <c r="M141" s="274" t="str">
        <v/>
      </c>
      <c r="N141" s="274" t="str">
        <v/>
      </c>
      <c r="O141" s="274" t="str">
        <v/>
      </c>
      <c r="P141" s="274" t="str">
        <v/>
      </c>
      <c r="Q141" s="274" t="str">
        <v/>
      </c>
      <c r="R141" s="274" t="str">
        <v/>
      </c>
      <c r="S141" s="274" t="str">
        <v/>
      </c>
      <c r="T141" s="274" t="str">
        <v/>
      </c>
      <c r="U141" s="274" t="str">
        <v/>
      </c>
      <c r="V141" s="274" t="str">
        <v/>
      </c>
      <c r="W141" s="274" t="str">
        <v/>
      </c>
      <c r="X141" s="274" t="str">
        <v/>
      </c>
      <c r="Y141" s="274" t="str">
        <v/>
      </c>
      <c r="Z141" s="274" t="str">
        <v/>
      </c>
      <c r="AA141" s="274" t="str">
        <v/>
      </c>
      <c r="AB141" s="274" t="str">
        <v/>
      </c>
      <c r="AC141" s="274" t="str">
        <v/>
      </c>
      <c r="AD141" s="274" t="str">
        <v/>
      </c>
      <c r="AE141" s="274" t="str">
        <v/>
      </c>
      <c r="AF141" s="274" t="str">
        <v/>
      </c>
    </row>
    <row r="142" spans="1:32" x14ac:dyDescent="0.25">
      <c r="A142" s="322"/>
      <c r="B142" s="322" t="s">
        <v>48</v>
      </c>
      <c r="G142" s="276">
        <v>1.9843246350434611</v>
      </c>
      <c r="H142" s="276">
        <v>1.9744030118682467</v>
      </c>
      <c r="I142" s="276">
        <v>1.9644813886930286</v>
      </c>
      <c r="J142" s="276">
        <v>1.9545597655178104</v>
      </c>
      <c r="K142" s="276">
        <v>1.9446381423425922</v>
      </c>
      <c r="L142" s="276">
        <v>1.9347165191673776</v>
      </c>
      <c r="M142" s="276">
        <v>1.9247948959921595</v>
      </c>
      <c r="N142" s="276">
        <v>1.9148732728169413</v>
      </c>
      <c r="O142" s="276">
        <v>1.9049516496417234</v>
      </c>
      <c r="P142" s="276">
        <v>1.8950300264665052</v>
      </c>
      <c r="Q142" s="276">
        <v>1.8851084032912906</v>
      </c>
      <c r="R142" s="276">
        <v>1.8751867801160724</v>
      </c>
      <c r="S142" s="276">
        <v>1.8652651569408543</v>
      </c>
      <c r="T142" s="276">
        <v>1.8553435337656361</v>
      </c>
      <c r="U142" s="276">
        <v>1.8454219105904217</v>
      </c>
      <c r="V142" s="276">
        <v>1.8355002874152035</v>
      </c>
      <c r="W142" s="276">
        <v>1.8255786642399854</v>
      </c>
      <c r="X142" s="276">
        <v>1.8156570410647672</v>
      </c>
      <c r="Y142" s="276">
        <v>1.8057354178895491</v>
      </c>
      <c r="Z142" s="276">
        <v>1.7958137947143347</v>
      </c>
      <c r="AA142" s="276">
        <v>1.7858921715391165</v>
      </c>
      <c r="AB142" s="276">
        <v>1.7759705483638983</v>
      </c>
      <c r="AC142" s="276">
        <v>1.7660489251886802</v>
      </c>
      <c r="AD142" s="276">
        <v>1.7561273020134658</v>
      </c>
      <c r="AE142" s="276">
        <v>1.7462056788382476</v>
      </c>
      <c r="AF142" s="276">
        <v>1.7362840556630295</v>
      </c>
    </row>
    <row r="143" spans="1:32" x14ac:dyDescent="0.25">
      <c r="A143" s="322"/>
      <c r="B143" s="328" t="s">
        <v>50</v>
      </c>
      <c r="G143" s="276">
        <v>4.0849933570295924</v>
      </c>
      <c r="H143" s="276">
        <v>4.0645683902444407</v>
      </c>
      <c r="I143" s="276">
        <v>4.0441434234592952</v>
      </c>
      <c r="J143" s="276">
        <v>4.0237184566741506</v>
      </c>
      <c r="K143" s="276">
        <v>4.0032934898889989</v>
      </c>
      <c r="L143" s="276">
        <v>3.9828685231038534</v>
      </c>
      <c r="M143" s="276">
        <v>3.9624435563187013</v>
      </c>
      <c r="N143" s="276">
        <v>3.9420185895335562</v>
      </c>
      <c r="O143" s="276">
        <v>3.9215936227484045</v>
      </c>
      <c r="P143" s="276">
        <v>3.901168655963259</v>
      </c>
      <c r="Q143" s="276">
        <v>3.880743689178114</v>
      </c>
      <c r="R143" s="276">
        <v>3.8603187223929623</v>
      </c>
      <c r="S143" s="276">
        <v>3.8398937556078168</v>
      </c>
      <c r="T143" s="276">
        <v>3.8194687888226651</v>
      </c>
      <c r="U143" s="276">
        <v>3.79904382203752</v>
      </c>
      <c r="V143" s="276">
        <v>3.778618855252375</v>
      </c>
      <c r="W143" s="276">
        <v>3.7581938884672228</v>
      </c>
      <c r="X143" s="276">
        <v>3.7377689216820777</v>
      </c>
      <c r="Y143" s="276">
        <v>3.7173439548969256</v>
      </c>
      <c r="Z143" s="276">
        <v>3.6969189881117805</v>
      </c>
      <c r="AA143" s="276">
        <v>3.6764940213266288</v>
      </c>
      <c r="AB143" s="276">
        <v>3.6560690545414833</v>
      </c>
      <c r="AC143" s="276">
        <v>3.6356440877563383</v>
      </c>
      <c r="AD143" s="276">
        <v>3.6152191209711866</v>
      </c>
      <c r="AE143" s="276">
        <v>3.5947941541860411</v>
      </c>
      <c r="AF143" s="276">
        <v>3.5743691874008894</v>
      </c>
    </row>
    <row r="144" spans="1:32" x14ac:dyDescent="0.25">
      <c r="A144" s="322"/>
      <c r="B144" s="322" t="s">
        <v>51</v>
      </c>
      <c r="G144" s="276">
        <v>3.8701822875526886</v>
      </c>
      <c r="H144" s="276">
        <v>3.8508313761149302</v>
      </c>
      <c r="I144" s="276">
        <v>3.8314804646771639</v>
      </c>
      <c r="J144" s="276">
        <v>3.8121295532393979</v>
      </c>
      <c r="K144" s="276">
        <v>3.7927786418016392</v>
      </c>
      <c r="L144" s="276">
        <v>3.7734277303638732</v>
      </c>
      <c r="M144" s="276">
        <v>3.7540768189261144</v>
      </c>
      <c r="N144" s="276">
        <v>3.7347259074883481</v>
      </c>
      <c r="O144" s="276">
        <v>3.7153749960505822</v>
      </c>
      <c r="P144" s="276">
        <v>3.6960240846128234</v>
      </c>
      <c r="Q144" s="276">
        <v>3.6766731731750575</v>
      </c>
      <c r="R144" s="276">
        <v>3.6573222617372911</v>
      </c>
      <c r="S144" s="276">
        <v>3.6379713502995323</v>
      </c>
      <c r="T144" s="276">
        <v>3.6186204388617664</v>
      </c>
      <c r="U144" s="276">
        <v>3.5992695274240001</v>
      </c>
      <c r="V144" s="276">
        <v>3.5799186159862417</v>
      </c>
      <c r="W144" s="276">
        <v>3.5605677045484754</v>
      </c>
      <c r="X144" s="276">
        <v>3.5412167931107095</v>
      </c>
      <c r="Y144" s="276">
        <v>3.5218658816729507</v>
      </c>
      <c r="Z144" s="276">
        <v>3.5025149702351843</v>
      </c>
      <c r="AA144" s="276">
        <v>3.483164058797426</v>
      </c>
      <c r="AB144" s="276">
        <v>3.4638131473596596</v>
      </c>
      <c r="AC144" s="276">
        <v>3.4444622359218937</v>
      </c>
      <c r="AD144" s="276">
        <v>3.4251113244841349</v>
      </c>
      <c r="AE144" s="276">
        <v>3.405760413046369</v>
      </c>
      <c r="AF144" s="276">
        <v>3.3864095016086027</v>
      </c>
    </row>
    <row r="145" spans="1:32" x14ac:dyDescent="0.25">
      <c r="A145" s="322"/>
      <c r="B145" s="322" t="s">
        <v>52</v>
      </c>
      <c r="G145" s="276">
        <v>15.268066762022183</v>
      </c>
      <c r="H145" s="276">
        <v>15.191726428212082</v>
      </c>
      <c r="I145" s="276">
        <v>15.115386094401959</v>
      </c>
      <c r="J145" s="276">
        <v>15.039045760591858</v>
      </c>
      <c r="K145" s="276">
        <v>14.962705426781758</v>
      </c>
      <c r="L145" s="276">
        <v>14.886365092971626</v>
      </c>
      <c r="M145" s="276">
        <v>14.810024759161525</v>
      </c>
      <c r="N145" s="276">
        <v>14.733684425351404</v>
      </c>
      <c r="O145" s="276">
        <v>14.657344091541304</v>
      </c>
      <c r="P145" s="276">
        <v>14.581003757731203</v>
      </c>
      <c r="Q145" s="276">
        <v>14.504663423921071</v>
      </c>
      <c r="R145" s="276">
        <v>14.42832309011097</v>
      </c>
      <c r="S145" s="276">
        <v>14.351982756300849</v>
      </c>
      <c r="T145" s="276">
        <v>14.275642422490748</v>
      </c>
      <c r="U145" s="276">
        <v>14.199302088680646</v>
      </c>
      <c r="V145" s="276">
        <v>14.122961754870516</v>
      </c>
      <c r="W145" s="276">
        <v>14.046621421060415</v>
      </c>
      <c r="X145" s="276">
        <v>13.970281087250296</v>
      </c>
      <c r="Y145" s="276">
        <v>13.893940753440194</v>
      </c>
      <c r="Z145" s="276">
        <v>13.817600419630093</v>
      </c>
      <c r="AA145" s="276">
        <v>13.741260085819961</v>
      </c>
      <c r="AB145" s="276">
        <v>13.664919752009862</v>
      </c>
      <c r="AC145" s="276">
        <v>13.588579418199739</v>
      </c>
      <c r="AD145" s="276">
        <v>13.512239084389638</v>
      </c>
      <c r="AE145" s="276">
        <v>13.435898750579538</v>
      </c>
      <c r="AF145" s="276">
        <v>13.359558416769417</v>
      </c>
    </row>
    <row r="146" spans="1:32" x14ac:dyDescent="0.25">
      <c r="A146" s="322"/>
      <c r="B146" s="328" t="s">
        <v>29</v>
      </c>
      <c r="G146" s="276">
        <v>55.155329646774</v>
      </c>
      <c r="H146" s="276">
        <v>30.953643679604006</v>
      </c>
      <c r="I146" s="276">
        <v>21.520165869313072</v>
      </c>
      <c r="J146" s="276">
        <v>16.497391851598042</v>
      </c>
      <c r="K146" s="276">
        <v>13.378071099176921</v>
      </c>
      <c r="L146" s="276">
        <v>11.252554117006511</v>
      </c>
      <c r="M146" s="276">
        <v>9.7111678707816189</v>
      </c>
      <c r="N146" s="276">
        <v>8.5422078553861773</v>
      </c>
      <c r="O146" s="276">
        <v>7.6252457176183954</v>
      </c>
      <c r="P146" s="276">
        <v>6.8867236082633214</v>
      </c>
      <c r="Q146" s="276">
        <v>6.2791737149410771</v>
      </c>
      <c r="R146" s="276">
        <v>5.7705931532247519</v>
      </c>
      <c r="S146" s="276">
        <v>5.3386202486883541</v>
      </c>
      <c r="T146" s="276">
        <v>4.9671581811191761</v>
      </c>
      <c r="U146" s="276">
        <v>4.6443246364914899</v>
      </c>
      <c r="V146" s="276">
        <v>4.3611572297283203</v>
      </c>
      <c r="W146" s="276">
        <v>4.1107684974870597</v>
      </c>
      <c r="X146" s="276">
        <v>3.8877782829617886</v>
      </c>
      <c r="Y146" s="276">
        <v>3.6879227869738207</v>
      </c>
      <c r="Z146" s="276">
        <v>3.5077792984603038</v>
      </c>
      <c r="AA146" s="276">
        <v>3.3445685475253422</v>
      </c>
      <c r="AB146" s="276">
        <v>3.1960102906598933</v>
      </c>
      <c r="AC146" s="276">
        <v>3.0602161202015736</v>
      </c>
      <c r="AD146" s="276">
        <v>2.9356087650814362</v>
      </c>
      <c r="AE146" s="276">
        <v>2.8208605467395809</v>
      </c>
      <c r="AF146" s="276">
        <v>2.7148458875177668</v>
      </c>
    </row>
    <row r="147" spans="1:32" x14ac:dyDescent="0.25">
      <c r="A147" s="322"/>
      <c r="B147" s="328" t="s">
        <v>53</v>
      </c>
      <c r="G147" s="276">
        <v>7.8173858661663429</v>
      </c>
      <c r="H147" s="276">
        <v>7.77829893683551</v>
      </c>
      <c r="I147" s="276">
        <v>7.7392120075046922</v>
      </c>
      <c r="J147" s="276">
        <v>7.7001250781738584</v>
      </c>
      <c r="K147" s="276">
        <v>7.6610381488430255</v>
      </c>
      <c r="L147" s="276">
        <v>7.6219512195121917</v>
      </c>
      <c r="M147" s="276">
        <v>7.5828642901813588</v>
      </c>
      <c r="N147" s="276">
        <v>7.5437773608505259</v>
      </c>
      <c r="O147" s="276">
        <v>7.5046904315196921</v>
      </c>
      <c r="P147" s="276">
        <v>7.4656035021888592</v>
      </c>
      <c r="Q147" s="276">
        <v>7.4265165728580262</v>
      </c>
      <c r="R147" s="276">
        <v>7.3874296435271924</v>
      </c>
      <c r="S147" s="276">
        <v>7.3483427141963746</v>
      </c>
      <c r="T147" s="276">
        <v>7.3092557848655417</v>
      </c>
      <c r="U147" s="276">
        <v>7.2701688555347079</v>
      </c>
      <c r="V147" s="276">
        <v>7.231081926203875</v>
      </c>
      <c r="W147" s="276">
        <v>7.1919949968730421</v>
      </c>
      <c r="X147" s="276">
        <v>7.1529080675422083</v>
      </c>
      <c r="Y147" s="276">
        <v>7.1138211382113754</v>
      </c>
      <c r="Z147" s="276">
        <v>7.0747342088805416</v>
      </c>
      <c r="AA147" s="276">
        <v>7.0356472795497087</v>
      </c>
      <c r="AB147" s="276">
        <v>6.9965603502188758</v>
      </c>
      <c r="AC147" s="276">
        <v>6.957473420888042</v>
      </c>
      <c r="AD147" s="276">
        <v>6.9183864915572242</v>
      </c>
      <c r="AE147" s="276">
        <v>6.8792995622263913</v>
      </c>
      <c r="AF147" s="276">
        <v>6.8402126328955575</v>
      </c>
    </row>
    <row r="149" spans="1:32" x14ac:dyDescent="0.25">
      <c r="A149" s="326" t="s">
        <v>191</v>
      </c>
      <c r="B149" s="327"/>
      <c r="C149" s="327"/>
      <c r="D149" s="327"/>
      <c r="E149" s="327"/>
      <c r="F149" s="273"/>
      <c r="G149" s="331" t="s">
        <v>192</v>
      </c>
      <c r="H149" s="327"/>
      <c r="I149" s="327"/>
      <c r="J149" s="327"/>
      <c r="K149" s="327"/>
      <c r="L149" s="327"/>
      <c r="M149" s="327"/>
      <c r="N149" s="327"/>
      <c r="O149" s="327"/>
      <c r="P149" s="327"/>
      <c r="Q149" s="327"/>
      <c r="R149" s="327"/>
      <c r="S149" s="327"/>
      <c r="T149" s="327"/>
      <c r="U149" s="327"/>
      <c r="V149" s="327"/>
      <c r="W149" s="327"/>
      <c r="X149" s="327"/>
      <c r="Y149" s="327"/>
      <c r="Z149" s="327"/>
      <c r="AA149" s="327"/>
      <c r="AB149" s="327"/>
      <c r="AC149" s="327"/>
      <c r="AD149" s="327"/>
      <c r="AE149" s="327"/>
      <c r="AF149" s="327"/>
    </row>
    <row r="150" spans="1:32" x14ac:dyDescent="0.25">
      <c r="A150" s="323" t="s">
        <v>12</v>
      </c>
      <c r="B150" s="322"/>
    </row>
    <row r="151" spans="1:32" x14ac:dyDescent="0.25">
      <c r="A151" s="322"/>
      <c r="B151" s="322" t="s">
        <v>20</v>
      </c>
    </row>
    <row r="152" spans="1:32" s="202" customFormat="1" ht="12.75" x14ac:dyDescent="0.2">
      <c r="A152" s="335" t="s">
        <v>21</v>
      </c>
      <c r="B152" s="335"/>
      <c r="C152" s="335"/>
      <c r="D152" s="335"/>
      <c r="E152" s="335"/>
      <c r="F152" s="335"/>
      <c r="G152" s="335"/>
      <c r="H152" s="335"/>
      <c r="I152" s="335"/>
      <c r="J152" s="335"/>
      <c r="K152" s="335"/>
      <c r="L152" s="335"/>
      <c r="M152" s="335"/>
      <c r="N152" s="335"/>
      <c r="O152" s="335"/>
      <c r="P152" s="335"/>
      <c r="Q152" s="335"/>
      <c r="R152" s="335"/>
      <c r="S152" s="335"/>
      <c r="T152" s="335"/>
      <c r="U152" s="335"/>
      <c r="V152" s="335"/>
      <c r="W152" s="335"/>
      <c r="X152" s="335"/>
      <c r="Y152" s="335"/>
      <c r="Z152" s="335"/>
      <c r="AA152" s="335"/>
      <c r="AB152" s="335"/>
      <c r="AC152" s="335"/>
      <c r="AD152" s="335"/>
      <c r="AE152" s="335"/>
      <c r="AF152" s="335"/>
    </row>
    <row r="153" spans="1:32" x14ac:dyDescent="0.25">
      <c r="A153" s="322"/>
      <c r="B153" s="322" t="s">
        <v>22</v>
      </c>
      <c r="G153" s="276">
        <f t="array" ref="G153:AF183">IF(ISNUMBER(Cost_Lamp),Cost_Lamp+Cost_Ballast+Cost_Fixture,"")</f>
        <v>25.350281669796331</v>
      </c>
      <c r="H153" s="276">
        <v>25.347272377100484</v>
      </c>
      <c r="I153" s="276">
        <v>25.344263084404641</v>
      </c>
      <c r="J153" s="276">
        <v>25.341253791708798</v>
      </c>
      <c r="K153" s="276">
        <v>25.338244499012951</v>
      </c>
      <c r="L153" s="276">
        <v>25.335235206317105</v>
      </c>
      <c r="M153" s="276">
        <v>25.332225913621262</v>
      </c>
      <c r="N153" s="276">
        <v>25.329216620925415</v>
      </c>
      <c r="O153" s="276">
        <v>25.326207328229572</v>
      </c>
      <c r="P153" s="276">
        <v>25.323198035533729</v>
      </c>
      <c r="Q153" s="276">
        <v>25.320188742837882</v>
      </c>
      <c r="R153" s="276">
        <v>25.317179450142039</v>
      </c>
      <c r="S153" s="276">
        <v>25.314170157446192</v>
      </c>
      <c r="T153" s="276">
        <v>25.311160864750349</v>
      </c>
      <c r="U153" s="276">
        <v>25.308151572054502</v>
      </c>
      <c r="V153" s="276">
        <v>25.305142279358659</v>
      </c>
      <c r="W153" s="276">
        <v>25.302132986662812</v>
      </c>
      <c r="X153" s="276">
        <v>25.299123693966969</v>
      </c>
      <c r="Y153" s="276">
        <v>25.296114401271126</v>
      </c>
      <c r="Z153" s="276">
        <v>25.293105108575279</v>
      </c>
      <c r="AA153" s="276">
        <v>25.290095815879436</v>
      </c>
      <c r="AB153" s="276">
        <v>25.287086523183589</v>
      </c>
      <c r="AC153" s="276">
        <v>25.284077230487746</v>
      </c>
      <c r="AD153" s="276">
        <v>25.281067937791899</v>
      </c>
      <c r="AE153" s="276">
        <v>25.278058645096056</v>
      </c>
      <c r="AF153" s="276">
        <v>25.27504935240021</v>
      </c>
    </row>
    <row r="154" spans="1:32" x14ac:dyDescent="0.25">
      <c r="A154" s="322"/>
      <c r="B154" s="322" t="s">
        <v>26</v>
      </c>
      <c r="G154" s="276">
        <v>29.650165016501653</v>
      </c>
      <c r="H154" s="276">
        <v>29.637623762376244</v>
      </c>
      <c r="I154" s="276">
        <v>29.625082508250827</v>
      </c>
      <c r="J154" s="276">
        <v>29.612541254125414</v>
      </c>
      <c r="K154" s="276">
        <v>29.600000000000005</v>
      </c>
      <c r="L154" s="276">
        <v>29.587458745874592</v>
      </c>
      <c r="M154" s="276">
        <v>29.574917491749176</v>
      </c>
      <c r="N154" s="276">
        <v>29.562376237623766</v>
      </c>
      <c r="O154" s="276">
        <v>29.549834983498354</v>
      </c>
      <c r="P154" s="276">
        <v>29.537293729372941</v>
      </c>
      <c r="Q154" s="276">
        <v>29.524752475247531</v>
      </c>
      <c r="R154" s="276">
        <v>29.512211221122115</v>
      </c>
      <c r="S154" s="276">
        <v>29.499669966996702</v>
      </c>
      <c r="T154" s="276">
        <v>29.487128712871293</v>
      </c>
      <c r="U154" s="276">
        <v>29.47458745874588</v>
      </c>
      <c r="V154" s="276">
        <v>29.462046204620464</v>
      </c>
      <c r="W154" s="276">
        <v>29.449504950495054</v>
      </c>
      <c r="X154" s="276">
        <v>29.436963696369641</v>
      </c>
      <c r="Y154" s="276">
        <v>29.424422442244229</v>
      </c>
      <c r="Z154" s="276">
        <v>29.411881188118812</v>
      </c>
      <c r="AA154" s="276">
        <v>29.399339933993403</v>
      </c>
      <c r="AB154" s="276">
        <v>29.38679867986799</v>
      </c>
      <c r="AC154" s="276">
        <v>29.374257425742581</v>
      </c>
      <c r="AD154" s="276">
        <v>29.361716171617164</v>
      </c>
      <c r="AE154" s="276">
        <v>29.349174917491752</v>
      </c>
      <c r="AF154" s="276">
        <v>29.336633663366339</v>
      </c>
    </row>
    <row r="155" spans="1:32" x14ac:dyDescent="0.25">
      <c r="A155" s="322"/>
      <c r="B155" s="322" t="s">
        <v>27</v>
      </c>
      <c r="G155" s="276">
        <v>26.460017969451926</v>
      </c>
      <c r="H155" s="276">
        <v>26.443171608265942</v>
      </c>
      <c r="I155" s="276">
        <v>26.426325247079959</v>
      </c>
      <c r="J155" s="276">
        <v>26.409478885893972</v>
      </c>
      <c r="K155" s="276">
        <v>26.392632524707992</v>
      </c>
      <c r="L155" s="276">
        <v>26.375786163522008</v>
      </c>
      <c r="M155" s="276">
        <v>26.358939802336025</v>
      </c>
      <c r="N155" s="276">
        <v>26.342093441150038</v>
      </c>
      <c r="O155" s="276">
        <v>26.325247079964054</v>
      </c>
      <c r="P155" s="276">
        <v>26.308400718778071</v>
      </c>
      <c r="Q155" s="276">
        <v>26.291554357592091</v>
      </c>
      <c r="R155" s="276">
        <v>26.274707996406104</v>
      </c>
      <c r="S155" s="276">
        <v>26.25786163522012</v>
      </c>
      <c r="T155" s="276">
        <v>26.241015274034137</v>
      </c>
      <c r="U155" s="276">
        <v>26.224168912848153</v>
      </c>
      <c r="V155" s="276">
        <v>26.207322551662166</v>
      </c>
      <c r="W155" s="276">
        <v>26.190476190476183</v>
      </c>
      <c r="X155" s="276">
        <v>26.173629829290203</v>
      </c>
      <c r="Y155" s="276">
        <v>26.156783468104219</v>
      </c>
      <c r="Z155" s="276">
        <v>26.139937106918232</v>
      </c>
      <c r="AA155" s="276">
        <v>26.123090745732249</v>
      </c>
      <c r="AB155" s="276">
        <v>26.106244384546265</v>
      </c>
      <c r="AC155" s="276">
        <v>26.089398023360282</v>
      </c>
      <c r="AD155" s="276">
        <v>26.072551662174298</v>
      </c>
      <c r="AE155" s="276">
        <v>26.055705300988315</v>
      </c>
      <c r="AF155" s="276">
        <v>26.038858939802331</v>
      </c>
    </row>
    <row r="156" spans="1:32" x14ac:dyDescent="0.25">
      <c r="A156" s="322"/>
      <c r="B156" s="322" t="s">
        <v>29</v>
      </c>
      <c r="G156" s="276">
        <v>79.255310459712717</v>
      </c>
      <c r="H156" s="276">
        <v>55.053624492542738</v>
      </c>
      <c r="I156" s="276">
        <v>45.620146682251807</v>
      </c>
      <c r="J156" s="276">
        <v>40.597372664536771</v>
      </c>
      <c r="K156" s="276">
        <v>37.478051912115653</v>
      </c>
      <c r="L156" s="276">
        <v>35.352534929945243</v>
      </c>
      <c r="M156" s="276">
        <v>33.811148683720347</v>
      </c>
      <c r="N156" s="276">
        <v>32.642188668324913</v>
      </c>
      <c r="O156" s="276">
        <v>31.725226530557126</v>
      </c>
      <c r="P156" s="276">
        <v>30.986704421202052</v>
      </c>
      <c r="Q156" s="276">
        <v>30.379154527879809</v>
      </c>
      <c r="R156" s="276">
        <v>29.870573966163484</v>
      </c>
      <c r="S156" s="276">
        <v>29.438601061627086</v>
      </c>
      <c r="T156" s="276">
        <v>29.06713899405791</v>
      </c>
      <c r="U156" s="276">
        <v>28.744305449430222</v>
      </c>
      <c r="V156" s="276">
        <v>28.461138042667052</v>
      </c>
      <c r="W156" s="276">
        <v>28.210749310425793</v>
      </c>
      <c r="X156" s="276">
        <v>27.987759095900522</v>
      </c>
      <c r="Y156" s="276">
        <v>27.787903599912553</v>
      </c>
      <c r="Z156" s="276">
        <v>27.607760111399035</v>
      </c>
      <c r="AA156" s="276">
        <v>27.444549360464073</v>
      </c>
      <c r="AB156" s="276">
        <v>27.295991103598624</v>
      </c>
      <c r="AC156" s="276">
        <v>27.160196933140305</v>
      </c>
      <c r="AD156" s="276">
        <v>27.035589578020168</v>
      </c>
      <c r="AE156" s="276">
        <v>26.920841359678313</v>
      </c>
      <c r="AF156" s="276">
        <v>26.8148267004565</v>
      </c>
    </row>
    <row r="157" spans="1:32" x14ac:dyDescent="0.25">
      <c r="A157" s="322"/>
      <c r="B157" s="322"/>
      <c r="G157" s="276" t="str">
        <v/>
      </c>
      <c r="H157" s="276" t="str">
        <v/>
      </c>
      <c r="I157" s="276" t="str">
        <v/>
      </c>
      <c r="J157" s="276" t="str">
        <v/>
      </c>
      <c r="K157" s="276" t="str">
        <v/>
      </c>
      <c r="L157" s="276" t="str">
        <v/>
      </c>
      <c r="M157" s="276" t="str">
        <v/>
      </c>
      <c r="N157" s="276" t="str">
        <v/>
      </c>
      <c r="O157" s="276" t="str">
        <v/>
      </c>
      <c r="P157" s="276" t="str">
        <v/>
      </c>
      <c r="Q157" s="276" t="str">
        <v/>
      </c>
      <c r="R157" s="276" t="str">
        <v/>
      </c>
      <c r="S157" s="276" t="str">
        <v/>
      </c>
      <c r="T157" s="276" t="str">
        <v/>
      </c>
      <c r="U157" s="276" t="str">
        <v/>
      </c>
      <c r="V157" s="276" t="str">
        <v/>
      </c>
      <c r="W157" s="276" t="str">
        <v/>
      </c>
      <c r="X157" s="276" t="str">
        <v/>
      </c>
      <c r="Y157" s="276" t="str">
        <v/>
      </c>
      <c r="Z157" s="276" t="str">
        <v/>
      </c>
      <c r="AA157" s="276" t="str">
        <v/>
      </c>
      <c r="AB157" s="276" t="str">
        <v/>
      </c>
      <c r="AC157" s="276" t="str">
        <v/>
      </c>
      <c r="AD157" s="276" t="str">
        <v/>
      </c>
      <c r="AE157" s="276" t="str">
        <v/>
      </c>
      <c r="AF157" s="276" t="str">
        <v/>
      </c>
    </row>
    <row r="158" spans="1:32" s="202" customFormat="1" ht="12.75" x14ac:dyDescent="0.2">
      <c r="A158" s="335" t="s">
        <v>32</v>
      </c>
      <c r="B158" s="335"/>
      <c r="C158" s="335"/>
      <c r="D158" s="335"/>
      <c r="E158" s="335"/>
      <c r="F158" s="335"/>
      <c r="G158" s="274" t="str">
        <v/>
      </c>
      <c r="H158" s="274" t="str">
        <v/>
      </c>
      <c r="I158" s="274" t="str">
        <v/>
      </c>
      <c r="J158" s="274" t="str">
        <v/>
      </c>
      <c r="K158" s="274" t="str">
        <v/>
      </c>
      <c r="L158" s="274" t="str">
        <v/>
      </c>
      <c r="M158" s="274" t="str">
        <v/>
      </c>
      <c r="N158" s="274" t="str">
        <v/>
      </c>
      <c r="O158" s="274" t="str">
        <v/>
      </c>
      <c r="P158" s="274" t="str">
        <v/>
      </c>
      <c r="Q158" s="274" t="str">
        <v/>
      </c>
      <c r="R158" s="274" t="str">
        <v/>
      </c>
      <c r="S158" s="274" t="str">
        <v/>
      </c>
      <c r="T158" s="274" t="str">
        <v/>
      </c>
      <c r="U158" s="274" t="str">
        <v/>
      </c>
      <c r="V158" s="274" t="str">
        <v/>
      </c>
      <c r="W158" s="274" t="str">
        <v/>
      </c>
      <c r="X158" s="274" t="str">
        <v/>
      </c>
      <c r="Y158" s="274" t="str">
        <v/>
      </c>
      <c r="Z158" s="274" t="str">
        <v/>
      </c>
      <c r="AA158" s="274" t="str">
        <v/>
      </c>
      <c r="AB158" s="274" t="str">
        <v/>
      </c>
      <c r="AC158" s="274" t="str">
        <v/>
      </c>
      <c r="AD158" s="274" t="str">
        <v/>
      </c>
      <c r="AE158" s="274" t="str">
        <v/>
      </c>
      <c r="AF158" s="274" t="str">
        <v/>
      </c>
    </row>
    <row r="159" spans="1:32" x14ac:dyDescent="0.25">
      <c r="A159" s="322"/>
      <c r="B159" s="322" t="s">
        <v>33</v>
      </c>
      <c r="G159" s="276">
        <v>33.568854459294577</v>
      </c>
      <c r="H159" s="276">
        <v>33.546863028858432</v>
      </c>
      <c r="I159" s="276">
        <v>33.524871598422294</v>
      </c>
      <c r="J159" s="276">
        <v>33.502880167986156</v>
      </c>
      <c r="K159" s="276">
        <v>33.480888737550018</v>
      </c>
      <c r="L159" s="276">
        <v>33.45889730711388</v>
      </c>
      <c r="M159" s="276">
        <v>33.436905876677734</v>
      </c>
      <c r="N159" s="276">
        <v>33.414914446241596</v>
      </c>
      <c r="O159" s="276">
        <v>33.392923015805458</v>
      </c>
      <c r="P159" s="276">
        <v>33.37093158536932</v>
      </c>
      <c r="Q159" s="276">
        <v>33.348940154933175</v>
      </c>
      <c r="R159" s="276">
        <v>33.326948724497036</v>
      </c>
      <c r="S159" s="276">
        <v>33.304957294060898</v>
      </c>
      <c r="T159" s="276">
        <v>33.282965863624753</v>
      </c>
      <c r="U159" s="276">
        <v>33.260974433188615</v>
      </c>
      <c r="V159" s="276">
        <v>33.238983002752477</v>
      </c>
      <c r="W159" s="276">
        <v>33.216991572316338</v>
      </c>
      <c r="X159" s="276">
        <v>33.1950001418802</v>
      </c>
      <c r="Y159" s="276">
        <v>33.173008711444055</v>
      </c>
      <c r="Z159" s="276">
        <v>33.151017281007917</v>
      </c>
      <c r="AA159" s="276">
        <v>33.129025850571779</v>
      </c>
      <c r="AB159" s="276">
        <v>33.107034420135641</v>
      </c>
      <c r="AC159" s="276">
        <v>33.085042989699502</v>
      </c>
      <c r="AD159" s="276">
        <v>33.063051559263364</v>
      </c>
      <c r="AE159" s="276">
        <v>33.041060128827219</v>
      </c>
      <c r="AF159" s="276">
        <v>33.019068698391081</v>
      </c>
    </row>
    <row r="160" spans="1:32" x14ac:dyDescent="0.25">
      <c r="A160" s="328"/>
      <c r="B160" s="328" t="s">
        <v>34</v>
      </c>
      <c r="G160" s="276">
        <v>26.384232131106447</v>
      </c>
      <c r="H160" s="276">
        <v>26.359686230271887</v>
      </c>
      <c r="I160" s="276">
        <v>27.287033845489649</v>
      </c>
      <c r="J160" s="276">
        <v>28.214381460707408</v>
      </c>
      <c r="K160" s="276">
        <v>29.14172907592517</v>
      </c>
      <c r="L160" s="276">
        <v>29.103395690366515</v>
      </c>
      <c r="M160" s="276">
        <v>29.065253971735654</v>
      </c>
      <c r="N160" s="276">
        <v>29.027302961697949</v>
      </c>
      <c r="O160" s="276">
        <v>28.98954170671043</v>
      </c>
      <c r="P160" s="276">
        <v>28.951969257997849</v>
      </c>
      <c r="Q160" s="276">
        <v>28.914584671528832</v>
      </c>
      <c r="R160" s="276">
        <v>28.877387007992159</v>
      </c>
      <c r="S160" s="276">
        <v>28.840375332773171</v>
      </c>
      <c r="T160" s="276">
        <v>28.803548715930276</v>
      </c>
      <c r="U160" s="276">
        <v>28.766906232171593</v>
      </c>
      <c r="V160" s="276">
        <v>28.730446960831706</v>
      </c>
      <c r="W160" s="276">
        <v>28.694169985848522</v>
      </c>
      <c r="X160" s="276">
        <v>28.65807439574025</v>
      </c>
      <c r="Y160" s="276">
        <v>28.622159283582523</v>
      </c>
      <c r="Z160" s="276">
        <v>28.586423746985581</v>
      </c>
      <c r="AA160" s="276">
        <v>28.550866888071624</v>
      </c>
      <c r="AB160" s="276">
        <v>28.515487813452239</v>
      </c>
      <c r="AC160" s="276">
        <v>28.480285634205948</v>
      </c>
      <c r="AD160" s="276">
        <v>28.445259465855891</v>
      </c>
      <c r="AE160" s="276">
        <v>28.410408428347584</v>
      </c>
      <c r="AF160" s="276">
        <v>28.375731646026814</v>
      </c>
    </row>
    <row r="161" spans="1:32" x14ac:dyDescent="0.25">
      <c r="A161" s="322"/>
      <c r="B161" s="328" t="s">
        <v>35</v>
      </c>
      <c r="G161" s="276">
        <v>41.628446554794138</v>
      </c>
      <c r="H161" s="276">
        <v>41.558975880861169</v>
      </c>
      <c r="I161" s="276">
        <v>41.489505206928179</v>
      </c>
      <c r="J161" s="276">
        <v>41.420034532995189</v>
      </c>
      <c r="K161" s="276">
        <v>41.35056385906222</v>
      </c>
      <c r="L161" s="276">
        <v>41.28109318512923</v>
      </c>
      <c r="M161" s="276">
        <v>41.211622511196239</v>
      </c>
      <c r="N161" s="276">
        <v>41.14215183726327</v>
      </c>
      <c r="O161" s="276">
        <v>41.072681163330273</v>
      </c>
      <c r="P161" s="276">
        <v>41.00321048939729</v>
      </c>
      <c r="Q161" s="276">
        <v>40.933739815464293</v>
      </c>
      <c r="R161" s="276">
        <v>40.864269141531324</v>
      </c>
      <c r="S161" s="276">
        <v>40.794798467598334</v>
      </c>
      <c r="T161" s="276">
        <v>40.725327793665343</v>
      </c>
      <c r="U161" s="276">
        <v>40.655857119732374</v>
      </c>
      <c r="V161" s="276">
        <v>40.586386445799384</v>
      </c>
      <c r="W161" s="276">
        <v>40.516915771866394</v>
      </c>
      <c r="X161" s="276">
        <v>40.447445097933425</v>
      </c>
      <c r="Y161" s="276">
        <v>40.377974424000435</v>
      </c>
      <c r="Z161" s="276">
        <v>40.308503750067445</v>
      </c>
      <c r="AA161" s="276">
        <v>40.239033076134469</v>
      </c>
      <c r="AB161" s="276">
        <v>40.169562402201478</v>
      </c>
      <c r="AC161" s="276">
        <v>40.100091728268488</v>
      </c>
      <c r="AD161" s="276">
        <v>40.030621054335498</v>
      </c>
      <c r="AE161" s="276">
        <v>39.961150380402529</v>
      </c>
      <c r="AF161" s="276">
        <v>39.891679706469539</v>
      </c>
    </row>
    <row r="162" spans="1:32" x14ac:dyDescent="0.25">
      <c r="A162" s="322"/>
      <c r="B162" s="328" t="s">
        <v>29</v>
      </c>
      <c r="G162" s="276">
        <v>81.301212108069819</v>
      </c>
      <c r="H162" s="276">
        <v>57.099526140899826</v>
      </c>
      <c r="I162" s="276">
        <v>47.666048330608902</v>
      </c>
      <c r="J162" s="276">
        <v>42.643274312893865</v>
      </c>
      <c r="K162" s="276">
        <v>39.523953560472748</v>
      </c>
      <c r="L162" s="276">
        <v>37.398436578302338</v>
      </c>
      <c r="M162" s="276">
        <v>35.857050332077442</v>
      </c>
      <c r="N162" s="276">
        <v>34.688090316682008</v>
      </c>
      <c r="O162" s="276">
        <v>33.771128178914225</v>
      </c>
      <c r="P162" s="276">
        <v>33.032606069559144</v>
      </c>
      <c r="Q162" s="276">
        <v>32.4250561762369</v>
      </c>
      <c r="R162" s="276">
        <v>31.916475614520579</v>
      </c>
      <c r="S162" s="276">
        <v>31.484502709984181</v>
      </c>
      <c r="T162" s="276">
        <v>31.113040642415001</v>
      </c>
      <c r="U162" s="276">
        <v>30.790207097787317</v>
      </c>
      <c r="V162" s="276">
        <v>30.507039691024147</v>
      </c>
      <c r="W162" s="276">
        <v>30.256650958782885</v>
      </c>
      <c r="X162" s="276">
        <v>30.033660744257617</v>
      </c>
      <c r="Y162" s="276">
        <v>29.833805248269648</v>
      </c>
      <c r="Z162" s="276">
        <v>29.65366175975613</v>
      </c>
      <c r="AA162" s="276">
        <v>29.490451008821168</v>
      </c>
      <c r="AB162" s="276">
        <v>29.341892751955719</v>
      </c>
      <c r="AC162" s="276">
        <v>29.2060985814974</v>
      </c>
      <c r="AD162" s="276">
        <v>29.081491226377263</v>
      </c>
      <c r="AE162" s="276">
        <v>28.966743008035408</v>
      </c>
      <c r="AF162" s="276">
        <v>28.860728348813595</v>
      </c>
    </row>
    <row r="163" spans="1:32" x14ac:dyDescent="0.25">
      <c r="A163" s="322"/>
      <c r="B163" s="322"/>
      <c r="G163" s="276" t="str">
        <v/>
      </c>
      <c r="H163" s="276" t="str">
        <v/>
      </c>
      <c r="I163" s="276" t="str">
        <v/>
      </c>
      <c r="J163" s="276" t="str">
        <v/>
      </c>
      <c r="K163" s="276" t="str">
        <v/>
      </c>
      <c r="L163" s="276" t="str">
        <v/>
      </c>
      <c r="M163" s="276" t="str">
        <v/>
      </c>
      <c r="N163" s="276" t="str">
        <v/>
      </c>
      <c r="O163" s="276" t="str">
        <v/>
      </c>
      <c r="P163" s="276" t="str">
        <v/>
      </c>
      <c r="Q163" s="276" t="str">
        <v/>
      </c>
      <c r="R163" s="276" t="str">
        <v/>
      </c>
      <c r="S163" s="276" t="str">
        <v/>
      </c>
      <c r="T163" s="276" t="str">
        <v/>
      </c>
      <c r="U163" s="276" t="str">
        <v/>
      </c>
      <c r="V163" s="276" t="str">
        <v/>
      </c>
      <c r="W163" s="276" t="str">
        <v/>
      </c>
      <c r="X163" s="276" t="str">
        <v/>
      </c>
      <c r="Y163" s="276" t="str">
        <v/>
      </c>
      <c r="Z163" s="276" t="str">
        <v/>
      </c>
      <c r="AA163" s="276" t="str">
        <v/>
      </c>
      <c r="AB163" s="276" t="str">
        <v/>
      </c>
      <c r="AC163" s="276" t="str">
        <v/>
      </c>
      <c r="AD163" s="276" t="str">
        <v/>
      </c>
      <c r="AE163" s="276" t="str">
        <v/>
      </c>
      <c r="AF163" s="276" t="str">
        <v/>
      </c>
    </row>
    <row r="164" spans="1:32" s="202" customFormat="1" ht="12.75" x14ac:dyDescent="0.2">
      <c r="A164" s="335" t="s">
        <v>36</v>
      </c>
      <c r="B164" s="335"/>
      <c r="C164" s="335"/>
      <c r="D164" s="335"/>
      <c r="E164" s="335"/>
      <c r="F164" s="335"/>
      <c r="G164" s="274" t="str">
        <v/>
      </c>
      <c r="H164" s="274" t="str">
        <v/>
      </c>
      <c r="I164" s="274" t="str">
        <v/>
      </c>
      <c r="J164" s="274" t="str">
        <v/>
      </c>
      <c r="K164" s="274" t="str">
        <v/>
      </c>
      <c r="L164" s="274" t="str">
        <v/>
      </c>
      <c r="M164" s="274" t="str">
        <v/>
      </c>
      <c r="N164" s="274" t="str">
        <v/>
      </c>
      <c r="O164" s="274" t="str">
        <v/>
      </c>
      <c r="P164" s="274" t="str">
        <v/>
      </c>
      <c r="Q164" s="274" t="str">
        <v/>
      </c>
      <c r="R164" s="274" t="str">
        <v/>
      </c>
      <c r="S164" s="274" t="str">
        <v/>
      </c>
      <c r="T164" s="274" t="str">
        <v/>
      </c>
      <c r="U164" s="274" t="str">
        <v/>
      </c>
      <c r="V164" s="274" t="str">
        <v/>
      </c>
      <c r="W164" s="274" t="str">
        <v/>
      </c>
      <c r="X164" s="274" t="str">
        <v/>
      </c>
      <c r="Y164" s="274" t="str">
        <v/>
      </c>
      <c r="Z164" s="274" t="str">
        <v/>
      </c>
      <c r="AA164" s="274" t="str">
        <v/>
      </c>
      <c r="AB164" s="274" t="str">
        <v/>
      </c>
      <c r="AC164" s="274" t="str">
        <v/>
      </c>
      <c r="AD164" s="274" t="str">
        <v/>
      </c>
      <c r="AE164" s="274" t="str">
        <v/>
      </c>
      <c r="AF164" s="274" t="str">
        <v/>
      </c>
    </row>
    <row r="165" spans="1:32" x14ac:dyDescent="0.25">
      <c r="A165" s="322"/>
      <c r="B165" s="322" t="s">
        <v>37</v>
      </c>
      <c r="G165" s="276">
        <v>32.170539430266111</v>
      </c>
      <c r="H165" s="276">
        <v>32.1278198972322</v>
      </c>
      <c r="I165" s="276">
        <v>32.085100364198276</v>
      </c>
      <c r="J165" s="276">
        <v>32.042380831164358</v>
      </c>
      <c r="K165" s="276">
        <v>31.999661298130437</v>
      </c>
      <c r="L165" s="276">
        <v>31.956941765096513</v>
      </c>
      <c r="M165" s="276">
        <v>31.914222232062599</v>
      </c>
      <c r="N165" s="276">
        <v>31.871502699028674</v>
      </c>
      <c r="O165" s="276">
        <v>31.828783165994764</v>
      </c>
      <c r="P165" s="276">
        <v>31.78606363296084</v>
      </c>
      <c r="Q165" s="276">
        <v>31.743344099926933</v>
      </c>
      <c r="R165" s="276">
        <v>31.700624566893008</v>
      </c>
      <c r="S165" s="276">
        <v>31.657905033859095</v>
      </c>
      <c r="T165" s="276">
        <v>31.61518550082517</v>
      </c>
      <c r="U165" s="276">
        <v>31.572465967791249</v>
      </c>
      <c r="V165" s="276">
        <v>31.529746434757335</v>
      </c>
      <c r="W165" s="276">
        <v>31.487026901723411</v>
      </c>
      <c r="X165" s="276">
        <v>31.4443073686895</v>
      </c>
      <c r="Y165" s="276">
        <v>31.401587835655576</v>
      </c>
      <c r="Z165" s="276">
        <v>31.358868302621662</v>
      </c>
      <c r="AA165" s="276">
        <v>31.316148769587738</v>
      </c>
      <c r="AB165" s="276">
        <v>31.273429236553831</v>
      </c>
      <c r="AC165" s="276">
        <v>31.230709703519906</v>
      </c>
      <c r="AD165" s="276">
        <v>31.187990170485982</v>
      </c>
      <c r="AE165" s="276">
        <v>31.145270637452068</v>
      </c>
      <c r="AF165" s="276">
        <v>31.102551104418147</v>
      </c>
    </row>
    <row r="166" spans="1:32" x14ac:dyDescent="0.25">
      <c r="A166" s="322"/>
      <c r="B166" s="322" t="s">
        <v>39</v>
      </c>
      <c r="G166" s="276">
        <v>31.199639625269306</v>
      </c>
      <c r="H166" s="276">
        <v>31.152851105574385</v>
      </c>
      <c r="I166" s="276">
        <v>31.106062585879457</v>
      </c>
      <c r="J166" s="276">
        <v>31.059274066184539</v>
      </c>
      <c r="K166" s="276">
        <v>31.24807652099684</v>
      </c>
      <c r="L166" s="276">
        <v>31.436878975809144</v>
      </c>
      <c r="M166" s="276">
        <v>31.625681430621462</v>
      </c>
      <c r="N166" s="276">
        <v>31.575849755174016</v>
      </c>
      <c r="O166" s="276">
        <v>31.526115080316195</v>
      </c>
      <c r="P166" s="276">
        <v>31.476476921045027</v>
      </c>
      <c r="Q166" s="276">
        <v>31.426934794782596</v>
      </c>
      <c r="R166" s="276">
        <v>31.377488221363848</v>
      </c>
      <c r="S166" s="276">
        <v>31.328136723024571</v>
      </c>
      <c r="T166" s="276">
        <v>31.278879824389357</v>
      </c>
      <c r="U166" s="276">
        <v>31.229717052459694</v>
      </c>
      <c r="V166" s="276">
        <v>31.180647936602064</v>
      </c>
      <c r="W166" s="276">
        <v>31.131672008536086</v>
      </c>
      <c r="X166" s="276">
        <v>31.082788802322824</v>
      </c>
      <c r="Y166" s="276">
        <v>31.03399785435299</v>
      </c>
      <c r="Z166" s="276">
        <v>30.985298703335388</v>
      </c>
      <c r="AA166" s="276">
        <v>30.936690890285242</v>
      </c>
      <c r="AB166" s="276">
        <v>30.888173958512727</v>
      </c>
      <c r="AC166" s="276">
        <v>30.839747453611441</v>
      </c>
      <c r="AD166" s="276">
        <v>30.791410923447035</v>
      </c>
      <c r="AE166" s="276">
        <v>30.743163918145836</v>
      </c>
      <c r="AF166" s="276">
        <v>30.695005990083509</v>
      </c>
    </row>
    <row r="167" spans="1:32" x14ac:dyDescent="0.25">
      <c r="A167" s="322"/>
      <c r="B167" s="322" t="s">
        <v>40</v>
      </c>
      <c r="G167" s="276">
        <v>23.312304083877237</v>
      </c>
      <c r="H167" s="276">
        <v>23.286517097280019</v>
      </c>
      <c r="I167" s="276">
        <v>23.260730110682807</v>
      </c>
      <c r="J167" s="276">
        <v>23.234943124085596</v>
      </c>
      <c r="K167" s="276">
        <v>23.209156137488382</v>
      </c>
      <c r="L167" s="276">
        <v>23.183369150891167</v>
      </c>
      <c r="M167" s="276">
        <v>23.157582164293952</v>
      </c>
      <c r="N167" s="276">
        <v>23.131795177696741</v>
      </c>
      <c r="O167" s="276">
        <v>23.106008191099527</v>
      </c>
      <c r="P167" s="276">
        <v>23.080221204502315</v>
      </c>
      <c r="Q167" s="276">
        <v>23.054434217905101</v>
      </c>
      <c r="R167" s="276">
        <v>23.028647231307886</v>
      </c>
      <c r="S167" s="276">
        <v>23.002860244710671</v>
      </c>
      <c r="T167" s="276">
        <v>22.977073258113457</v>
      </c>
      <c r="U167" s="276">
        <v>22.951286271516246</v>
      </c>
      <c r="V167" s="276">
        <v>22.925499284919034</v>
      </c>
      <c r="W167" s="276">
        <v>22.899712298321816</v>
      </c>
      <c r="X167" s="276">
        <v>22.873925311724605</v>
      </c>
      <c r="Y167" s="276">
        <v>22.848138325127387</v>
      </c>
      <c r="Z167" s="276">
        <v>22.822351338530176</v>
      </c>
      <c r="AA167" s="276">
        <v>22.796564351932965</v>
      </c>
      <c r="AB167" s="276">
        <v>22.770777365335746</v>
      </c>
      <c r="AC167" s="276">
        <v>22.744990378738532</v>
      </c>
      <c r="AD167" s="276">
        <v>22.719203392141321</v>
      </c>
      <c r="AE167" s="276">
        <v>22.693416405544106</v>
      </c>
      <c r="AF167" s="276">
        <v>22.667629418946895</v>
      </c>
    </row>
    <row r="168" spans="1:32" x14ac:dyDescent="0.25">
      <c r="A168" s="322"/>
      <c r="B168" s="322" t="s">
        <v>29</v>
      </c>
      <c r="G168" s="276">
        <v>185.6089442348019</v>
      </c>
      <c r="H168" s="276">
        <v>113.25819715617203</v>
      </c>
      <c r="I168" s="276">
        <v>82.271469214723723</v>
      </c>
      <c r="J168" s="276">
        <v>65.061991929504316</v>
      </c>
      <c r="K168" s="276">
        <v>54.112503311154541</v>
      </c>
      <c r="L168" s="276">
        <v>46.532997745659614</v>
      </c>
      <c r="M168" s="276">
        <v>40.975166599060024</v>
      </c>
      <c r="N168" s="276">
        <v>36.725330412381616</v>
      </c>
      <c r="O168" s="276">
        <v>33.370361847919639</v>
      </c>
      <c r="P168" s="276">
        <v>30.654541712929614</v>
      </c>
      <c r="Q168" s="276">
        <v>28.411110192880685</v>
      </c>
      <c r="R168" s="276">
        <v>26.526678104957767</v>
      </c>
      <c r="S168" s="276">
        <v>24.921457428139512</v>
      </c>
      <c r="T168" s="276">
        <v>23.537673293540777</v>
      </c>
      <c r="U168" s="276">
        <v>22.332462163718105</v>
      </c>
      <c r="V168" s="276">
        <v>21.273352766859333</v>
      </c>
      <c r="W168" s="276">
        <v>20.335296580317952</v>
      </c>
      <c r="X168" s="276">
        <v>19.498661491914113</v>
      </c>
      <c r="Y168" s="276">
        <v>18.747842851768873</v>
      </c>
      <c r="Z168" s="276">
        <v>18.070281080347986</v>
      </c>
      <c r="AA168" s="276">
        <v>17.455753454774502</v>
      </c>
      <c r="AB168" s="276">
        <v>16.895854766852462</v>
      </c>
      <c r="AC168" s="276">
        <v>16.38361058894235</v>
      </c>
      <c r="AD168" s="276">
        <v>15.913185257017252</v>
      </c>
      <c r="AE168" s="276">
        <v>15.479658568316028</v>
      </c>
      <c r="AF168" s="276">
        <v>15.078853041365932</v>
      </c>
    </row>
    <row r="169" spans="1:32" x14ac:dyDescent="0.25">
      <c r="A169" s="322"/>
      <c r="B169" s="322"/>
      <c r="G169" s="276" t="str">
        <v/>
      </c>
      <c r="H169" s="276" t="str">
        <v/>
      </c>
      <c r="I169" s="276" t="str">
        <v/>
      </c>
      <c r="J169" s="276" t="str">
        <v/>
      </c>
      <c r="K169" s="276" t="str">
        <v/>
      </c>
      <c r="L169" s="276" t="str">
        <v/>
      </c>
      <c r="M169" s="276" t="str">
        <v/>
      </c>
      <c r="N169" s="276" t="str">
        <v/>
      </c>
      <c r="O169" s="276" t="str">
        <v/>
      </c>
      <c r="P169" s="276" t="str">
        <v/>
      </c>
      <c r="Q169" s="276" t="str">
        <v/>
      </c>
      <c r="R169" s="276" t="str">
        <v/>
      </c>
      <c r="S169" s="276" t="str">
        <v/>
      </c>
      <c r="T169" s="276" t="str">
        <v/>
      </c>
      <c r="U169" s="276" t="str">
        <v/>
      </c>
      <c r="V169" s="276" t="str">
        <v/>
      </c>
      <c r="W169" s="276" t="str">
        <v/>
      </c>
      <c r="X169" s="276" t="str">
        <v/>
      </c>
      <c r="Y169" s="276" t="str">
        <v/>
      </c>
      <c r="Z169" s="276" t="str">
        <v/>
      </c>
      <c r="AA169" s="276" t="str">
        <v/>
      </c>
      <c r="AB169" s="276" t="str">
        <v/>
      </c>
      <c r="AC169" s="276" t="str">
        <v/>
      </c>
      <c r="AD169" s="276" t="str">
        <v/>
      </c>
      <c r="AE169" s="276" t="str">
        <v/>
      </c>
      <c r="AF169" s="276" t="str">
        <v/>
      </c>
    </row>
    <row r="170" spans="1:32" s="202" customFormat="1" ht="12.75" x14ac:dyDescent="0.2">
      <c r="A170" s="335" t="s">
        <v>42</v>
      </c>
      <c r="B170" s="335"/>
      <c r="C170" s="335"/>
      <c r="D170" s="335"/>
      <c r="E170" s="335"/>
      <c r="F170" s="335"/>
      <c r="G170" s="274" t="str">
        <v/>
      </c>
      <c r="H170" s="274" t="str">
        <v/>
      </c>
      <c r="I170" s="274" t="str">
        <v/>
      </c>
      <c r="J170" s="274" t="str">
        <v/>
      </c>
      <c r="K170" s="274" t="str">
        <v/>
      </c>
      <c r="L170" s="274" t="str">
        <v/>
      </c>
      <c r="M170" s="274" t="str">
        <v/>
      </c>
      <c r="N170" s="274" t="str">
        <v/>
      </c>
      <c r="O170" s="274" t="str">
        <v/>
      </c>
      <c r="P170" s="274" t="str">
        <v/>
      </c>
      <c r="Q170" s="274" t="str">
        <v/>
      </c>
      <c r="R170" s="274" t="str">
        <v/>
      </c>
      <c r="S170" s="274" t="str">
        <v/>
      </c>
      <c r="T170" s="274" t="str">
        <v/>
      </c>
      <c r="U170" s="274" t="str">
        <v/>
      </c>
      <c r="V170" s="274" t="str">
        <v/>
      </c>
      <c r="W170" s="274" t="str">
        <v/>
      </c>
      <c r="X170" s="274" t="str">
        <v/>
      </c>
      <c r="Y170" s="274" t="str">
        <v/>
      </c>
      <c r="Z170" s="274" t="str">
        <v/>
      </c>
      <c r="AA170" s="274" t="str">
        <v/>
      </c>
      <c r="AB170" s="274" t="str">
        <v/>
      </c>
      <c r="AC170" s="274" t="str">
        <v/>
      </c>
      <c r="AD170" s="274" t="str">
        <v/>
      </c>
      <c r="AE170" s="274" t="str">
        <v/>
      </c>
      <c r="AF170" s="274" t="str">
        <v/>
      </c>
    </row>
    <row r="171" spans="1:32" x14ac:dyDescent="0.25">
      <c r="A171" s="322"/>
      <c r="B171" s="328" t="s">
        <v>43</v>
      </c>
      <c r="G171" s="276">
        <v>75.58433286645166</v>
      </c>
      <c r="H171" s="276">
        <v>75.443969719569651</v>
      </c>
      <c r="I171" s="276">
        <v>75.303606572687599</v>
      </c>
      <c r="J171" s="276">
        <v>75.163243425805589</v>
      </c>
      <c r="K171" s="276">
        <v>75.02288027892358</v>
      </c>
      <c r="L171" s="276">
        <v>74.882517132041528</v>
      </c>
      <c r="M171" s="276">
        <v>74.742153985159518</v>
      </c>
      <c r="N171" s="276">
        <v>74.601790838277481</v>
      </c>
      <c r="O171" s="276">
        <v>74.461427691395471</v>
      </c>
      <c r="P171" s="276">
        <v>74.321064544513462</v>
      </c>
      <c r="Q171" s="276">
        <v>74.18070139763141</v>
      </c>
      <c r="R171" s="276">
        <v>74.040338250749414</v>
      </c>
      <c r="S171" s="276">
        <v>73.899975103867362</v>
      </c>
      <c r="T171" s="276">
        <v>73.759611956985353</v>
      </c>
      <c r="U171" s="276">
        <v>73.619248810103329</v>
      </c>
      <c r="V171" s="276">
        <v>73.478885663221291</v>
      </c>
      <c r="W171" s="276">
        <v>73.338522516339282</v>
      </c>
      <c r="X171" s="276">
        <v>73.198159369457244</v>
      </c>
      <c r="Y171" s="276">
        <v>73.057796222575234</v>
      </c>
      <c r="Z171" s="276">
        <v>72.917433075693225</v>
      </c>
      <c r="AA171" s="276">
        <v>72.777069928811173</v>
      </c>
      <c r="AB171" s="276">
        <v>72.636706781929163</v>
      </c>
      <c r="AC171" s="276">
        <v>72.496343635047126</v>
      </c>
      <c r="AD171" s="276">
        <v>72.355980488165102</v>
      </c>
      <c r="AE171" s="276">
        <v>72.215617341283092</v>
      </c>
      <c r="AF171" s="276">
        <v>72.075254194401055</v>
      </c>
    </row>
    <row r="172" spans="1:32" x14ac:dyDescent="0.25">
      <c r="A172" s="322"/>
      <c r="B172" s="328" t="s">
        <v>44</v>
      </c>
      <c r="G172" s="276">
        <v>118.8323430638078</v>
      </c>
      <c r="H172" s="276">
        <v>118.58593486079927</v>
      </c>
      <c r="I172" s="276">
        <v>118.33952665779071</v>
      </c>
      <c r="J172" s="276">
        <v>118.09311845478211</v>
      </c>
      <c r="K172" s="276">
        <v>117.84671025177354</v>
      </c>
      <c r="L172" s="276">
        <v>117.60030204876497</v>
      </c>
      <c r="M172" s="276">
        <v>117.35389384575643</v>
      </c>
      <c r="N172" s="276">
        <v>117.10748564274787</v>
      </c>
      <c r="O172" s="276">
        <v>116.86107743973932</v>
      </c>
      <c r="P172" s="276">
        <v>116.61466923673072</v>
      </c>
      <c r="Q172" s="276">
        <v>116.36826103372215</v>
      </c>
      <c r="R172" s="276">
        <v>116.12185283071364</v>
      </c>
      <c r="S172" s="276">
        <v>115.87544462770504</v>
      </c>
      <c r="T172" s="276">
        <v>115.62903642469647</v>
      </c>
      <c r="U172" s="276">
        <v>115.38262822168791</v>
      </c>
      <c r="V172" s="276">
        <v>115.13622001867932</v>
      </c>
      <c r="W172" s="276">
        <v>114.8898118156708</v>
      </c>
      <c r="X172" s="276">
        <v>114.64340361266224</v>
      </c>
      <c r="Y172" s="276">
        <v>114.39699540965364</v>
      </c>
      <c r="Z172" s="276">
        <v>114.15058720664507</v>
      </c>
      <c r="AA172" s="276">
        <v>113.90417900363651</v>
      </c>
      <c r="AB172" s="276">
        <v>113.65777080062796</v>
      </c>
      <c r="AC172" s="276">
        <v>113.41136259761939</v>
      </c>
      <c r="AD172" s="276">
        <v>113.16495439461083</v>
      </c>
      <c r="AE172" s="276">
        <v>112.91854619160225</v>
      </c>
      <c r="AF172" s="276">
        <v>112.67213798859368</v>
      </c>
    </row>
    <row r="173" spans="1:32" x14ac:dyDescent="0.25">
      <c r="A173" s="322"/>
      <c r="B173" s="328" t="s">
        <v>45</v>
      </c>
      <c r="G173" s="276">
        <v>41.250930806701589</v>
      </c>
      <c r="H173" s="276">
        <v>41.173126559984325</v>
      </c>
      <c r="I173" s="276">
        <v>41.095322313267047</v>
      </c>
      <c r="J173" s="276">
        <v>41.01751806654979</v>
      </c>
      <c r="K173" s="276">
        <v>40.939713819832534</v>
      </c>
      <c r="L173" s="276">
        <v>40.861909573115256</v>
      </c>
      <c r="M173" s="276">
        <v>40.784105326397999</v>
      </c>
      <c r="N173" s="276">
        <v>40.706301079680721</v>
      </c>
      <c r="O173" s="276">
        <v>40.628496832963464</v>
      </c>
      <c r="P173" s="276">
        <v>40.5506925862462</v>
      </c>
      <c r="Q173" s="276">
        <v>40.472888339528922</v>
      </c>
      <c r="R173" s="276">
        <v>40.395084092811665</v>
      </c>
      <c r="S173" s="276">
        <v>40.317279846094387</v>
      </c>
      <c r="T173" s="276">
        <v>40.23947559937713</v>
      </c>
      <c r="U173" s="276">
        <v>40.161671352659866</v>
      </c>
      <c r="V173" s="276">
        <v>40.083867105942588</v>
      </c>
      <c r="W173" s="276">
        <v>40.006062859225331</v>
      </c>
      <c r="X173" s="276">
        <v>39.92825861250806</v>
      </c>
      <c r="Y173" s="276">
        <v>39.850454365790796</v>
      </c>
      <c r="Z173" s="276">
        <v>39.772650119073539</v>
      </c>
      <c r="AA173" s="276">
        <v>39.694845872356254</v>
      </c>
      <c r="AB173" s="276">
        <v>39.617041625638997</v>
      </c>
      <c r="AC173" s="276">
        <v>39.539237378921726</v>
      </c>
      <c r="AD173" s="276">
        <v>39.461433132204462</v>
      </c>
      <c r="AE173" s="276">
        <v>39.383628885487205</v>
      </c>
      <c r="AF173" s="276">
        <v>39.305824638769927</v>
      </c>
    </row>
    <row r="174" spans="1:32" x14ac:dyDescent="0.25">
      <c r="A174" s="322"/>
      <c r="B174" s="328" t="s">
        <v>46</v>
      </c>
      <c r="G174" s="276">
        <v>3000</v>
      </c>
      <c r="H174" s="276">
        <v>3000</v>
      </c>
      <c r="I174" s="276">
        <v>3000</v>
      </c>
      <c r="J174" s="276">
        <v>3000</v>
      </c>
      <c r="K174" s="276">
        <v>3000</v>
      </c>
      <c r="L174" s="276">
        <v>3000</v>
      </c>
      <c r="M174" s="276">
        <v>3000</v>
      </c>
      <c r="N174" s="276">
        <v>3000</v>
      </c>
      <c r="O174" s="276">
        <v>3000</v>
      </c>
      <c r="P174" s="276">
        <v>3000</v>
      </c>
      <c r="Q174" s="276">
        <v>3000</v>
      </c>
      <c r="R174" s="276">
        <v>3000</v>
      </c>
      <c r="S174" s="276">
        <v>3000</v>
      </c>
      <c r="T174" s="276">
        <v>3000</v>
      </c>
      <c r="U174" s="276">
        <v>3000</v>
      </c>
      <c r="V174" s="276">
        <v>3000</v>
      </c>
      <c r="W174" s="276">
        <v>3000</v>
      </c>
      <c r="X174" s="276">
        <v>3000</v>
      </c>
      <c r="Y174" s="276">
        <v>3000</v>
      </c>
      <c r="Z174" s="276">
        <v>3000</v>
      </c>
      <c r="AA174" s="276">
        <v>3000</v>
      </c>
      <c r="AB174" s="276">
        <v>3000</v>
      </c>
      <c r="AC174" s="276">
        <v>3000</v>
      </c>
      <c r="AD174" s="276">
        <v>3000</v>
      </c>
      <c r="AE174" s="276">
        <v>3000</v>
      </c>
      <c r="AF174" s="276">
        <v>3000</v>
      </c>
    </row>
    <row r="175" spans="1:32" x14ac:dyDescent="0.25">
      <c r="A175" s="322"/>
      <c r="B175" s="322" t="s">
        <v>29</v>
      </c>
      <c r="G175" s="276">
        <v>180.88475965641621</v>
      </c>
      <c r="H175" s="276">
        <v>108.53401257778634</v>
      </c>
      <c r="I175" s="276">
        <v>77.547284636338048</v>
      </c>
      <c r="J175" s="276">
        <v>60.337807351118627</v>
      </c>
      <c r="K175" s="276">
        <v>49.388318732768852</v>
      </c>
      <c r="L175" s="276">
        <v>41.808813167273925</v>
      </c>
      <c r="M175" s="276">
        <v>36.250982020674343</v>
      </c>
      <c r="N175" s="276">
        <v>32.00114583399592</v>
      </c>
      <c r="O175" s="276">
        <v>28.646177269533947</v>
      </c>
      <c r="P175" s="276">
        <v>25.930357134543918</v>
      </c>
      <c r="Q175" s="276">
        <v>23.686925614494996</v>
      </c>
      <c r="R175" s="276">
        <v>21.802493526572075</v>
      </c>
      <c r="S175" s="276">
        <v>20.197272849753823</v>
      </c>
      <c r="T175" s="276">
        <v>18.813488715155085</v>
      </c>
      <c r="U175" s="276">
        <v>17.608277585332416</v>
      </c>
      <c r="V175" s="276">
        <v>16.549168188473637</v>
      </c>
      <c r="W175" s="276">
        <v>15.611112001932257</v>
      </c>
      <c r="X175" s="276">
        <v>14.774476913528421</v>
      </c>
      <c r="Y175" s="276">
        <v>14.02365827338318</v>
      </c>
      <c r="Z175" s="276">
        <v>13.346096501962293</v>
      </c>
      <c r="AA175" s="276">
        <v>12.731568876388808</v>
      </c>
      <c r="AB175" s="276">
        <v>12.17167018846677</v>
      </c>
      <c r="AC175" s="276">
        <v>11.659426010556658</v>
      </c>
      <c r="AD175" s="276">
        <v>11.189000678631562</v>
      </c>
      <c r="AE175" s="276">
        <v>10.755473989930337</v>
      </c>
      <c r="AF175" s="276">
        <v>10.354668462980239</v>
      </c>
    </row>
    <row r="176" spans="1:32" x14ac:dyDescent="0.25">
      <c r="A176" s="322"/>
      <c r="B176" s="322"/>
      <c r="G176" s="276" t="str">
        <v/>
      </c>
      <c r="H176" s="276" t="str">
        <v/>
      </c>
      <c r="I176" s="276" t="str">
        <v/>
      </c>
      <c r="J176" s="276" t="str">
        <v/>
      </c>
      <c r="K176" s="276" t="str">
        <v/>
      </c>
      <c r="L176" s="276" t="str">
        <v/>
      </c>
      <c r="M176" s="276" t="str">
        <v/>
      </c>
      <c r="N176" s="276" t="str">
        <v/>
      </c>
      <c r="O176" s="276" t="str">
        <v/>
      </c>
      <c r="P176" s="276" t="str">
        <v/>
      </c>
      <c r="Q176" s="276" t="str">
        <v/>
      </c>
      <c r="R176" s="276" t="str">
        <v/>
      </c>
      <c r="S176" s="276" t="str">
        <v/>
      </c>
      <c r="T176" s="276" t="str">
        <v/>
      </c>
      <c r="U176" s="276" t="str">
        <v/>
      </c>
      <c r="V176" s="276" t="str">
        <v/>
      </c>
      <c r="W176" s="276" t="str">
        <v/>
      </c>
      <c r="X176" s="276" t="str">
        <v/>
      </c>
      <c r="Y176" s="276" t="str">
        <v/>
      </c>
      <c r="Z176" s="276" t="str">
        <v/>
      </c>
      <c r="AA176" s="276" t="str">
        <v/>
      </c>
      <c r="AB176" s="276" t="str">
        <v/>
      </c>
      <c r="AC176" s="276" t="str">
        <v/>
      </c>
      <c r="AD176" s="276" t="str">
        <v/>
      </c>
      <c r="AE176" s="276" t="str">
        <v/>
      </c>
      <c r="AF176" s="276" t="str">
        <v/>
      </c>
    </row>
    <row r="177" spans="1:32" s="202" customFormat="1" ht="12.75" x14ac:dyDescent="0.2">
      <c r="A177" s="335" t="s">
        <v>47</v>
      </c>
      <c r="B177" s="335"/>
      <c r="C177" s="335"/>
      <c r="D177" s="335"/>
      <c r="E177" s="335"/>
      <c r="F177" s="335"/>
      <c r="G177" s="274" t="str">
        <v/>
      </c>
      <c r="H177" s="274" t="str">
        <v/>
      </c>
      <c r="I177" s="274" t="str">
        <v/>
      </c>
      <c r="J177" s="274" t="str">
        <v/>
      </c>
      <c r="K177" s="274" t="str">
        <v/>
      </c>
      <c r="L177" s="274" t="str">
        <v/>
      </c>
      <c r="M177" s="274" t="str">
        <v/>
      </c>
      <c r="N177" s="274" t="str">
        <v/>
      </c>
      <c r="O177" s="274" t="str">
        <v/>
      </c>
      <c r="P177" s="274" t="str">
        <v/>
      </c>
      <c r="Q177" s="274" t="str">
        <v/>
      </c>
      <c r="R177" s="274" t="str">
        <v/>
      </c>
      <c r="S177" s="274" t="str">
        <v/>
      </c>
      <c r="T177" s="274" t="str">
        <v/>
      </c>
      <c r="U177" s="274" t="str">
        <v/>
      </c>
      <c r="V177" s="274" t="str">
        <v/>
      </c>
      <c r="W177" s="274" t="str">
        <v/>
      </c>
      <c r="X177" s="274" t="str">
        <v/>
      </c>
      <c r="Y177" s="274" t="str">
        <v/>
      </c>
      <c r="Z177" s="274" t="str">
        <v/>
      </c>
      <c r="AA177" s="274" t="str">
        <v/>
      </c>
      <c r="AB177" s="274" t="str">
        <v/>
      </c>
      <c r="AC177" s="274" t="str">
        <v/>
      </c>
      <c r="AD177" s="274" t="str">
        <v/>
      </c>
      <c r="AE177" s="274" t="str">
        <v/>
      </c>
      <c r="AF177" s="274" t="str">
        <v/>
      </c>
    </row>
    <row r="178" spans="1:32" x14ac:dyDescent="0.25">
      <c r="A178" s="322"/>
      <c r="B178" s="322" t="s">
        <v>48</v>
      </c>
      <c r="G178" s="276">
        <v>42.852279600041747</v>
      </c>
      <c r="H178" s="276">
        <v>42.842357976866531</v>
      </c>
      <c r="I178" s="276">
        <v>42.832436353691314</v>
      </c>
      <c r="J178" s="276">
        <v>42.82251473051609</v>
      </c>
      <c r="K178" s="276">
        <v>42.812593107340874</v>
      </c>
      <c r="L178" s="276">
        <v>42.802671484165664</v>
      </c>
      <c r="M178" s="276">
        <v>42.79274986099044</v>
      </c>
      <c r="N178" s="276">
        <v>42.782828237815224</v>
      </c>
      <c r="O178" s="276">
        <v>42.772906614640007</v>
      </c>
      <c r="P178" s="276">
        <v>42.762984991464791</v>
      </c>
      <c r="Q178" s="276">
        <v>42.753063368289574</v>
      </c>
      <c r="R178" s="276">
        <v>42.743141745114357</v>
      </c>
      <c r="S178" s="276">
        <v>42.733220121939141</v>
      </c>
      <c r="T178" s="276">
        <v>42.723298498763917</v>
      </c>
      <c r="U178" s="276">
        <v>42.713376875588708</v>
      </c>
      <c r="V178" s="276">
        <v>42.703455252413484</v>
      </c>
      <c r="W178" s="276">
        <v>42.693533629238267</v>
      </c>
      <c r="X178" s="276">
        <v>42.683612006063051</v>
      </c>
      <c r="Y178" s="276">
        <v>42.673690382887834</v>
      </c>
      <c r="Z178" s="276">
        <v>42.663768759712617</v>
      </c>
      <c r="AA178" s="276">
        <v>42.653847136537401</v>
      </c>
      <c r="AB178" s="276">
        <v>42.643925513362184</v>
      </c>
      <c r="AC178" s="276">
        <v>42.63400389018696</v>
      </c>
      <c r="AD178" s="276">
        <v>42.624082267011751</v>
      </c>
      <c r="AE178" s="276">
        <v>42.614160643836527</v>
      </c>
      <c r="AF178" s="276">
        <v>42.604239020661311</v>
      </c>
    </row>
    <row r="179" spans="1:32" x14ac:dyDescent="0.25">
      <c r="A179" s="322"/>
      <c r="B179" s="328" t="s">
        <v>50</v>
      </c>
      <c r="G179" s="276">
        <v>23.821406781216748</v>
      </c>
      <c r="H179" s="276">
        <v>23.800981814431594</v>
      </c>
      <c r="I179" s="276">
        <v>23.780556847646452</v>
      </c>
      <c r="J179" s="276">
        <v>23.760131880861305</v>
      </c>
      <c r="K179" s="276">
        <v>23.739706914076155</v>
      </c>
      <c r="L179" s="276">
        <v>23.719281947291009</v>
      </c>
      <c r="M179" s="276">
        <v>23.698856980505855</v>
      </c>
      <c r="N179" s="276">
        <v>23.678432013720712</v>
      </c>
      <c r="O179" s="276">
        <v>23.658007046935559</v>
      </c>
      <c r="P179" s="276">
        <v>23.637582080150416</v>
      </c>
      <c r="Q179" s="276">
        <v>23.61715711336527</v>
      </c>
      <c r="R179" s="276">
        <v>23.596732146580116</v>
      </c>
      <c r="S179" s="276">
        <v>23.576307179794973</v>
      </c>
      <c r="T179" s="276">
        <v>23.55588221300982</v>
      </c>
      <c r="U179" s="276">
        <v>23.535457246224674</v>
      </c>
      <c r="V179" s="276">
        <v>23.515032279439531</v>
      </c>
      <c r="W179" s="276">
        <v>23.494607312654377</v>
      </c>
      <c r="X179" s="276">
        <v>23.474182345869234</v>
      </c>
      <c r="Y179" s="276">
        <v>23.453757379084081</v>
      </c>
      <c r="Z179" s="276">
        <v>23.433332412298935</v>
      </c>
      <c r="AA179" s="276">
        <v>23.412907445513785</v>
      </c>
      <c r="AB179" s="276">
        <v>23.392482478728638</v>
      </c>
      <c r="AC179" s="276">
        <v>23.372057511943495</v>
      </c>
      <c r="AD179" s="276">
        <v>23.351632545158342</v>
      </c>
      <c r="AE179" s="276">
        <v>23.331207578373196</v>
      </c>
      <c r="AF179" s="276">
        <v>23.310782611588046</v>
      </c>
    </row>
    <row r="180" spans="1:32" x14ac:dyDescent="0.25">
      <c r="A180" s="322"/>
      <c r="B180" s="322" t="s">
        <v>51</v>
      </c>
      <c r="G180" s="276">
        <v>28.06292777096337</v>
      </c>
      <c r="H180" s="276">
        <v>28.043576859525611</v>
      </c>
      <c r="I180" s="276">
        <v>28.024225948087846</v>
      </c>
      <c r="J180" s="276">
        <v>28.00487503665008</v>
      </c>
      <c r="K180" s="276">
        <v>27.985524125212322</v>
      </c>
      <c r="L180" s="276">
        <v>27.966173213774557</v>
      </c>
      <c r="M180" s="276">
        <v>27.946822302336798</v>
      </c>
      <c r="N180" s="276">
        <v>27.927471390899029</v>
      </c>
      <c r="O180" s="276">
        <v>27.908120479461264</v>
      </c>
      <c r="P180" s="276">
        <v>27.888769568023505</v>
      </c>
      <c r="Q180" s="276">
        <v>27.86941865658574</v>
      </c>
      <c r="R180" s="276">
        <v>27.850067745147975</v>
      </c>
      <c r="S180" s="276">
        <v>27.830716833710216</v>
      </c>
      <c r="T180" s="276">
        <v>27.811365922272451</v>
      </c>
      <c r="U180" s="276">
        <v>27.792015010834682</v>
      </c>
      <c r="V180" s="276">
        <v>27.772664099396923</v>
      </c>
      <c r="W180" s="276">
        <v>27.753313187959158</v>
      </c>
      <c r="X180" s="276">
        <v>27.733962276521392</v>
      </c>
      <c r="Y180" s="276">
        <v>27.714611365083634</v>
      </c>
      <c r="Z180" s="276">
        <v>27.695260453645865</v>
      </c>
      <c r="AA180" s="276">
        <v>27.67590954220811</v>
      </c>
      <c r="AB180" s="276">
        <v>27.656558630770341</v>
      </c>
      <c r="AC180" s="276">
        <v>27.637207719332576</v>
      </c>
      <c r="AD180" s="276">
        <v>27.617856807894817</v>
      </c>
      <c r="AE180" s="276">
        <v>27.598505896457052</v>
      </c>
      <c r="AF180" s="276">
        <v>27.579154985019287</v>
      </c>
    </row>
    <row r="181" spans="1:32" x14ac:dyDescent="0.25">
      <c r="A181" s="322"/>
      <c r="B181" s="322" t="s">
        <v>52</v>
      </c>
      <c r="G181" s="276">
        <v>68.617139503165106</v>
      </c>
      <c r="H181" s="276">
        <v>68.540799169354997</v>
      </c>
      <c r="I181" s="276">
        <v>68.464458835544875</v>
      </c>
      <c r="J181" s="276">
        <v>68.38811850173478</v>
      </c>
      <c r="K181" s="276">
        <v>68.311778167924672</v>
      </c>
      <c r="L181" s="276">
        <v>68.235437834114549</v>
      </c>
      <c r="M181" s="276">
        <v>68.159097500304441</v>
      </c>
      <c r="N181" s="276">
        <v>68.082757166494318</v>
      </c>
      <c r="O181" s="276">
        <v>68.006416832684224</v>
      </c>
      <c r="P181" s="276">
        <v>67.930076498874115</v>
      </c>
      <c r="Q181" s="276">
        <v>67.853736165063992</v>
      </c>
      <c r="R181" s="276">
        <v>67.777395831253884</v>
      </c>
      <c r="S181" s="276">
        <v>67.701055497443775</v>
      </c>
      <c r="T181" s="276">
        <v>67.624715163633667</v>
      </c>
      <c r="U181" s="276">
        <v>67.548374829823558</v>
      </c>
      <c r="V181" s="276">
        <v>67.472034496013436</v>
      </c>
      <c r="W181" s="276">
        <v>67.395694162203341</v>
      </c>
      <c r="X181" s="276">
        <v>67.319353828393218</v>
      </c>
      <c r="Y181" s="276">
        <v>67.24301349458311</v>
      </c>
      <c r="Z181" s="276">
        <v>67.166673160773016</v>
      </c>
      <c r="AA181" s="276">
        <v>67.090332826962879</v>
      </c>
      <c r="AB181" s="276">
        <v>67.013992493152784</v>
      </c>
      <c r="AC181" s="276">
        <v>66.937652159342662</v>
      </c>
      <c r="AD181" s="276">
        <v>66.861311825532553</v>
      </c>
      <c r="AE181" s="276">
        <v>66.784971491722459</v>
      </c>
      <c r="AF181" s="276">
        <v>66.708631157912336</v>
      </c>
    </row>
    <row r="182" spans="1:32" x14ac:dyDescent="0.25">
      <c r="A182" s="322"/>
      <c r="B182" s="328" t="s">
        <v>29</v>
      </c>
      <c r="G182" s="276">
        <v>70.616251908048994</v>
      </c>
      <c r="H182" s="276">
        <v>46.414565940879001</v>
      </c>
      <c r="I182" s="276">
        <v>36.98108813058807</v>
      </c>
      <c r="J182" s="276">
        <v>31.95831411287304</v>
      </c>
      <c r="K182" s="276">
        <v>28.838993360451916</v>
      </c>
      <c r="L182" s="276">
        <v>26.713476378281506</v>
      </c>
      <c r="M182" s="276">
        <v>25.172090132056617</v>
      </c>
      <c r="N182" s="276">
        <v>24.003130116661175</v>
      </c>
      <c r="O182" s="276">
        <v>23.086167978893393</v>
      </c>
      <c r="P182" s="276">
        <v>22.347645869538319</v>
      </c>
      <c r="Q182" s="276">
        <v>21.740095976216075</v>
      </c>
      <c r="R182" s="276">
        <v>21.231515414499746</v>
      </c>
      <c r="S182" s="276">
        <v>20.799542509963352</v>
      </c>
      <c r="T182" s="276">
        <v>20.428080442394172</v>
      </c>
      <c r="U182" s="276">
        <v>20.105246897766484</v>
      </c>
      <c r="V182" s="276">
        <v>19.822079491003315</v>
      </c>
      <c r="W182" s="276">
        <v>19.571690758762056</v>
      </c>
      <c r="X182" s="276">
        <v>19.348700544236785</v>
      </c>
      <c r="Y182" s="276">
        <v>19.148845048248816</v>
      </c>
      <c r="Z182" s="276">
        <v>18.968701559735301</v>
      </c>
      <c r="AA182" s="276">
        <v>18.805490808800339</v>
      </c>
      <c r="AB182" s="276">
        <v>18.65693255193489</v>
      </c>
      <c r="AC182" s="276">
        <v>18.521138381476568</v>
      </c>
      <c r="AD182" s="276">
        <v>18.396531026356431</v>
      </c>
      <c r="AE182" s="276">
        <v>18.281782808014576</v>
      </c>
      <c r="AF182" s="276">
        <v>18.175768148792763</v>
      </c>
    </row>
    <row r="183" spans="1:32" x14ac:dyDescent="0.25">
      <c r="A183" s="322"/>
      <c r="B183" s="328" t="s">
        <v>53</v>
      </c>
      <c r="G183" s="276">
        <v>32.627909128451691</v>
      </c>
      <c r="H183" s="276">
        <v>32.588822199120862</v>
      </c>
      <c r="I183" s="276">
        <v>32.549735269790041</v>
      </c>
      <c r="J183" s="276">
        <v>32.510648340459213</v>
      </c>
      <c r="K183" s="276">
        <v>32.471561411128377</v>
      </c>
      <c r="L183" s="276">
        <v>32.432474481797541</v>
      </c>
      <c r="M183" s="276">
        <v>32.393387552466706</v>
      </c>
      <c r="N183" s="276">
        <v>32.354300623135877</v>
      </c>
      <c r="O183" s="276">
        <v>32.315213693805042</v>
      </c>
      <c r="P183" s="276">
        <v>32.276126764474213</v>
      </c>
      <c r="Q183" s="276">
        <v>32.237039835143378</v>
      </c>
      <c r="R183" s="276">
        <v>32.197952905812542</v>
      </c>
      <c r="S183" s="276">
        <v>32.158865976481728</v>
      </c>
      <c r="T183" s="276">
        <v>32.119779047150892</v>
      </c>
      <c r="U183" s="276">
        <v>32.080692117820057</v>
      </c>
      <c r="V183" s="276">
        <v>32.041605188489228</v>
      </c>
      <c r="W183" s="276">
        <v>32.002518259158393</v>
      </c>
      <c r="X183" s="276">
        <v>31.963431329827557</v>
      </c>
      <c r="Y183" s="276">
        <v>31.924344400496725</v>
      </c>
      <c r="Z183" s="276">
        <v>31.885257471165893</v>
      </c>
      <c r="AA183" s="276">
        <v>31.846170541835058</v>
      </c>
      <c r="AB183" s="276">
        <v>31.807083612504226</v>
      </c>
      <c r="AC183" s="276">
        <v>31.767996683173394</v>
      </c>
      <c r="AD183" s="276">
        <v>31.728909753842576</v>
      </c>
      <c r="AE183" s="276">
        <v>31.689822824511744</v>
      </c>
      <c r="AF183" s="276">
        <v>31.650735895180908</v>
      </c>
    </row>
    <row r="185" spans="1:32" x14ac:dyDescent="0.25">
      <c r="A185" s="326" t="s">
        <v>202</v>
      </c>
      <c r="B185" s="327"/>
      <c r="C185" s="327"/>
      <c r="D185" s="327"/>
      <c r="E185" s="327"/>
      <c r="F185" s="273"/>
      <c r="G185" s="331" t="s">
        <v>200</v>
      </c>
      <c r="H185" s="327"/>
      <c r="I185" s="327"/>
      <c r="J185" s="327"/>
      <c r="K185" s="327"/>
      <c r="L185" s="327"/>
      <c r="M185" s="327"/>
      <c r="N185" s="327"/>
      <c r="O185" s="327"/>
      <c r="P185" s="327"/>
      <c r="Q185" s="327"/>
      <c r="R185" s="327"/>
      <c r="S185" s="327"/>
      <c r="T185" s="327"/>
      <c r="U185" s="327"/>
      <c r="V185" s="327"/>
      <c r="W185" s="327"/>
      <c r="X185" s="327"/>
      <c r="Y185" s="327"/>
      <c r="Z185" s="327"/>
      <c r="AA185" s="327"/>
      <c r="AB185" s="327"/>
      <c r="AC185" s="327"/>
      <c r="AD185" s="327"/>
      <c r="AE185" s="327"/>
      <c r="AF185" s="327"/>
    </row>
    <row r="186" spans="1:32" x14ac:dyDescent="0.25">
      <c r="A186" s="323" t="s">
        <v>12</v>
      </c>
      <c r="B186" s="322"/>
    </row>
    <row r="187" spans="1:32" x14ac:dyDescent="0.25">
      <c r="A187" s="322"/>
      <c r="B187" s="322" t="s">
        <v>20</v>
      </c>
    </row>
    <row r="188" spans="1:32" s="202" customFormat="1" ht="12.75" x14ac:dyDescent="0.2">
      <c r="A188" s="335" t="s">
        <v>21</v>
      </c>
      <c r="B188" s="335"/>
      <c r="C188" s="335"/>
      <c r="D188" s="335"/>
      <c r="E188" s="335"/>
      <c r="F188" s="335"/>
      <c r="G188" s="335"/>
      <c r="H188" s="335"/>
      <c r="I188" s="335"/>
      <c r="J188" s="335"/>
      <c r="K188" s="335"/>
      <c r="L188" s="335"/>
      <c r="M188" s="335"/>
      <c r="N188" s="335"/>
      <c r="O188" s="335"/>
      <c r="P188" s="335"/>
      <c r="Q188" s="335"/>
      <c r="R188" s="335"/>
      <c r="S188" s="335"/>
      <c r="T188" s="335"/>
      <c r="U188" s="335"/>
      <c r="V188" s="335"/>
      <c r="W188" s="335"/>
      <c r="X188" s="335"/>
      <c r="Y188" s="335"/>
      <c r="Z188" s="335"/>
      <c r="AA188" s="335"/>
      <c r="AB188" s="335"/>
      <c r="AC188" s="335"/>
      <c r="AD188" s="335"/>
      <c r="AE188" s="335"/>
      <c r="AF188" s="335"/>
    </row>
    <row r="189" spans="1:32" x14ac:dyDescent="0.25">
      <c r="A189" s="322"/>
      <c r="B189" s="322" t="s">
        <v>22</v>
      </c>
      <c r="G189" s="276">
        <f t="array" ref="G189:AF219" ca="1">IFERROR(IF(ISNUMBER(Cost_System_Rpl),(Cost_System_Rpl+IF(ISNUMBER(Life_Ballast),Cost_Lamp*(Life_Ballast/Life_Lamp-1),))/Sys_Repl_Rate!G81:AF111,""),)</f>
        <v>0.29347526567291116</v>
      </c>
      <c r="H189" s="276">
        <f ca="1"/>
        <v>0.29200788934454691</v>
      </c>
      <c r="I189" s="276">
        <f ca="1"/>
        <v>0.29054051301618211</v>
      </c>
      <c r="J189" s="276">
        <f ca="1"/>
        <v>0.28907313668781781</v>
      </c>
      <c r="K189" s="276">
        <f ca="1"/>
        <v>0.28760576035945301</v>
      </c>
      <c r="L189" s="276">
        <f ca="1"/>
        <v>0.28613838403108821</v>
      </c>
      <c r="M189" s="276">
        <f ca="1"/>
        <v>0.28467100770272397</v>
      </c>
      <c r="N189" s="276">
        <f ca="1"/>
        <v>0.28320363137435917</v>
      </c>
      <c r="O189" s="276">
        <f ca="1"/>
        <v>0.28173625504599492</v>
      </c>
      <c r="P189" s="276">
        <f ca="1"/>
        <v>0.28026887871763018</v>
      </c>
      <c r="Q189" s="276">
        <f ca="1"/>
        <v>0.27880150238926593</v>
      </c>
      <c r="R189" s="276">
        <f ca="1"/>
        <v>0.27733412606090113</v>
      </c>
      <c r="S189" s="276">
        <f ca="1"/>
        <v>0.27586674973253689</v>
      </c>
      <c r="T189" s="276">
        <f ca="1"/>
        <v>0.27439937340417209</v>
      </c>
      <c r="U189" s="276">
        <f ca="1"/>
        <v>0.27293199707580729</v>
      </c>
      <c r="V189" s="276">
        <f ca="1"/>
        <v>0.27146462074744299</v>
      </c>
      <c r="W189" s="276">
        <f ca="1"/>
        <v>0.26999724441907819</v>
      </c>
      <c r="X189" s="276">
        <f ca="1"/>
        <v>0.26852986809071394</v>
      </c>
      <c r="Y189" s="276">
        <f ca="1"/>
        <v>0.26706249176234914</v>
      </c>
      <c r="Z189" s="276">
        <f ca="1"/>
        <v>0.2655951154339849</v>
      </c>
      <c r="AA189" s="276">
        <f ca="1"/>
        <v>0.26412773910562015</v>
      </c>
      <c r="AB189" s="276">
        <f ca="1"/>
        <v>0.26266036277725585</v>
      </c>
      <c r="AC189" s="276">
        <f ca="1"/>
        <v>0.26119298644889111</v>
      </c>
      <c r="AD189" s="276">
        <f ca="1"/>
        <v>0.25972561012052631</v>
      </c>
      <c r="AE189" s="276">
        <f ca="1"/>
        <v>0.25825823379216206</v>
      </c>
      <c r="AF189" s="276">
        <f ca="1"/>
        <v>0.25679085746379726</v>
      </c>
    </row>
    <row r="190" spans="1:32" x14ac:dyDescent="0.25">
      <c r="A190" s="322"/>
      <c r="B190" s="322" t="s">
        <v>26</v>
      </c>
      <c r="G190" s="276">
        <f ca="1"/>
        <v>1.1007547063361895</v>
      </c>
      <c r="H190" s="276">
        <f ca="1"/>
        <v>1.0898019231885661</v>
      </c>
      <c r="I190" s="276">
        <f ca="1"/>
        <v>1.0789575834384419</v>
      </c>
      <c r="J190" s="276">
        <f ca="1"/>
        <v>1.068220084474035</v>
      </c>
      <c r="K190" s="276">
        <f ca="1"/>
        <v>1.0575878551073197</v>
      </c>
      <c r="L190" s="276">
        <f ca="1"/>
        <v>1.0470593548075957</v>
      </c>
      <c r="M190" s="276">
        <f ca="1"/>
        <v>1.0366330729573814</v>
      </c>
      <c r="N190" s="276">
        <f ca="1"/>
        <v>1.0263075281298764</v>
      </c>
      <c r="O190" s="276">
        <f ca="1"/>
        <v>1.0160812673872512</v>
      </c>
      <c r="P190" s="276">
        <f ca="1"/>
        <v>1.0059528655991012</v>
      </c>
      <c r="Q190" s="276">
        <f ca="1"/>
        <v>0.99592092478036331</v>
      </c>
      <c r="R190" s="276">
        <f ca="1"/>
        <v>0.98598407344805561</v>
      </c>
      <c r="S190" s="276">
        <f ca="1"/>
        <v>0.97614096599624334</v>
      </c>
      <c r="T190" s="276">
        <f ca="1"/>
        <v>0.96639028208857947</v>
      </c>
      <c r="U190" s="276">
        <f ca="1"/>
        <v>0.95673072606790344</v>
      </c>
      <c r="V190" s="276">
        <f ca="1"/>
        <v>0.94716102638230126</v>
      </c>
      <c r="W190" s="276">
        <f ca="1"/>
        <v>0.93767993502712355</v>
      </c>
      <c r="X190" s="276">
        <f ca="1"/>
        <v>0.92828622700240893</v>
      </c>
      <c r="Y190" s="276">
        <f ca="1"/>
        <v>0.91897869978525981</v>
      </c>
      <c r="Z190" s="276">
        <f ca="1"/>
        <v>0.9097561728166671</v>
      </c>
      <c r="AA190" s="276">
        <f ca="1"/>
        <v>0.90061748700233613</v>
      </c>
      <c r="AB190" s="276">
        <f ca="1"/>
        <v>0.89156150422704894</v>
      </c>
      <c r="AC190" s="276">
        <f ca="1"/>
        <v>0.88258710688217001</v>
      </c>
      <c r="AD190" s="276">
        <f ca="1"/>
        <v>0.87369319740585361</v>
      </c>
      <c r="AE190" s="276">
        <f ca="1"/>
        <v>0.86487869783557692</v>
      </c>
      <c r="AF190" s="276">
        <f ca="1"/>
        <v>0.85614254937259171</v>
      </c>
    </row>
    <row r="191" spans="1:32" x14ac:dyDescent="0.25">
      <c r="A191" s="322"/>
      <c r="B191" s="322" t="s">
        <v>27</v>
      </c>
      <c r="G191" s="276">
        <f ca="1"/>
        <v>0.21533257059709854</v>
      </c>
      <c r="H191" s="276">
        <f ca="1"/>
        <v>0.21318995795434148</v>
      </c>
      <c r="I191" s="276">
        <f ca="1"/>
        <v>0.21106855929814611</v>
      </c>
      <c r="J191" s="276">
        <f ca="1"/>
        <v>0.2089680611213221</v>
      </c>
      <c r="K191" s="276">
        <f ca="1"/>
        <v>0.20688815606387931</v>
      </c>
      <c r="L191" s="276">
        <f ca="1"/>
        <v>0.2048285427630939</v>
      </c>
      <c r="M191" s="276">
        <f ca="1"/>
        <v>0.20278892570794721</v>
      </c>
      <c r="N191" s="276">
        <f ca="1"/>
        <v>0.20076901509777803</v>
      </c>
      <c r="O191" s="276">
        <f ca="1"/>
        <v>0.1987685267050141</v>
      </c>
      <c r="P191" s="276">
        <f ca="1"/>
        <v>0.19678718174184598</v>
      </c>
      <c r="Q191" s="276">
        <f ca="1"/>
        <v>0.19482470673070823</v>
      </c>
      <c r="R191" s="276">
        <f ca="1"/>
        <v>0.19288083337844392</v>
      </c>
      <c r="S191" s="276">
        <f ca="1"/>
        <v>0.19095529845403084</v>
      </c>
      <c r="T191" s="276">
        <f ca="1"/>
        <v>0.18904784366975316</v>
      </c>
      <c r="U191" s="276">
        <f ca="1"/>
        <v>0.18715821556570256</v>
      </c>
      <c r="V191" s="276">
        <f ca="1"/>
        <v>0.18528616539750337</v>
      </c>
      <c r="W191" s="276">
        <f ca="1"/>
        <v>0.18343144902715788</v>
      </c>
      <c r="X191" s="276">
        <f ca="1"/>
        <v>0.18159382681690819</v>
      </c>
      <c r="Y191" s="276">
        <f ca="1"/>
        <v>0.17977306352601816</v>
      </c>
      <c r="Z191" s="276">
        <f ca="1"/>
        <v>0.17796892821038737</v>
      </c>
      <c r="AA191" s="276">
        <f ca="1"/>
        <v>0.17618119412489891</v>
      </c>
      <c r="AB191" s="276">
        <f ca="1"/>
        <v>0.17440963862841918</v>
      </c>
      <c r="AC191" s="276">
        <f ca="1"/>
        <v>0.17265404309136723</v>
      </c>
      <c r="AD191" s="276">
        <f ca="1"/>
        <v>0.17091419280576883</v>
      </c>
      <c r="AE191" s="276">
        <f ca="1"/>
        <v>0.16918987689772039</v>
      </c>
      <c r="AF191" s="276">
        <f ca="1"/>
        <v>0.16748088824218779</v>
      </c>
    </row>
    <row r="192" spans="1:32" x14ac:dyDescent="0.25">
      <c r="A192" s="322"/>
      <c r="B192" s="322" t="s">
        <v>29</v>
      </c>
      <c r="G192" s="276">
        <f ca="1"/>
        <v>1.4523066373048217</v>
      </c>
      <c r="H192" s="276">
        <f ca="1"/>
        <v>0.61755248230012927</v>
      </c>
      <c r="I192" s="276">
        <f ca="1"/>
        <v>0.38736289356809372</v>
      </c>
      <c r="J192" s="276">
        <f ca="1"/>
        <v>0.27402207001840384</v>
      </c>
      <c r="K192" s="276">
        <f ca="1"/>
        <v>0.2089613644255125</v>
      </c>
      <c r="L192" s="276">
        <f ca="1"/>
        <v>0.16782171577609611</v>
      </c>
      <c r="M192" s="276">
        <f ca="1"/>
        <v>0.13995130208828049</v>
      </c>
      <c r="N192" s="276">
        <f ca="1"/>
        <v>0.12004532062809437</v>
      </c>
      <c r="O192" s="276">
        <f ca="1"/>
        <v>0.1052131262150594</v>
      </c>
      <c r="P192" s="276">
        <f ca="1"/>
        <v>9.3770828274058526E-2</v>
      </c>
      <c r="Q192" s="276">
        <f ca="1"/>
        <v>8.4684878938386304E-2</v>
      </c>
      <c r="R192" s="276">
        <f ca="1"/>
        <v>7.7293219237630023E-2</v>
      </c>
      <c r="S192" s="276">
        <f ca="1"/>
        <v>7.1156155141029659E-2</v>
      </c>
      <c r="T192" s="276">
        <f ca="1"/>
        <v>6.5972366451033909E-2</v>
      </c>
      <c r="U192" s="276">
        <f ca="1"/>
        <v>6.1529543891982126E-2</v>
      </c>
      <c r="V192" s="276">
        <f ca="1"/>
        <v>5.7674320295357628E-2</v>
      </c>
      <c r="W192" s="276">
        <f ca="1"/>
        <v>5.4293381648495842E-2</v>
      </c>
      <c r="X192" s="276">
        <f ca="1"/>
        <v>5.1301276020147286E-2</v>
      </c>
      <c r="Y192" s="276">
        <f ca="1"/>
        <v>4.8632352888784647E-2</v>
      </c>
      <c r="Z192" s="276">
        <f ca="1"/>
        <v>4.6235315286620227E-2</v>
      </c>
      <c r="AA192" s="276">
        <f ca="1"/>
        <v>4.4069462863832447E-2</v>
      </c>
      <c r="AB192" s="276">
        <f ca="1"/>
        <v>4.2102052127673643E-2</v>
      </c>
      <c r="AC192" s="276">
        <f ca="1"/>
        <v>4.0306408955651275E-2</v>
      </c>
      <c r="AD192" s="276">
        <f ca="1"/>
        <v>3.8660556694627181E-2</v>
      </c>
      <c r="AE192" s="276">
        <f ca="1"/>
        <v>3.7146203522541894E-2</v>
      </c>
      <c r="AF192" s="276">
        <f ca="1"/>
        <v>3.574798408233771E-2</v>
      </c>
    </row>
    <row r="193" spans="1:32" x14ac:dyDescent="0.25">
      <c r="A193" s="322"/>
      <c r="B193" s="322"/>
      <c r="G193" s="276" t="str">
        <v/>
      </c>
      <c r="H193" s="276" t="str">
        <v/>
      </c>
      <c r="I193" s="276" t="str">
        <v/>
      </c>
      <c r="J193" s="276" t="str">
        <v/>
      </c>
      <c r="K193" s="276" t="str">
        <v/>
      </c>
      <c r="L193" s="276" t="str">
        <v/>
      </c>
      <c r="M193" s="276" t="str">
        <v/>
      </c>
      <c r="N193" s="276" t="str">
        <v/>
      </c>
      <c r="O193" s="276" t="str">
        <v/>
      </c>
      <c r="P193" s="276" t="str">
        <v/>
      </c>
      <c r="Q193" s="276" t="str">
        <v/>
      </c>
      <c r="R193" s="276" t="str">
        <v/>
      </c>
      <c r="S193" s="276" t="str">
        <v/>
      </c>
      <c r="T193" s="276" t="str">
        <v/>
      </c>
      <c r="U193" s="276" t="str">
        <v/>
      </c>
      <c r="V193" s="276" t="str">
        <v/>
      </c>
      <c r="W193" s="276" t="str">
        <v/>
      </c>
      <c r="X193" s="276" t="str">
        <v/>
      </c>
      <c r="Y193" s="276" t="str">
        <v/>
      </c>
      <c r="Z193" s="276" t="str">
        <v/>
      </c>
      <c r="AA193" s="276" t="str">
        <v/>
      </c>
      <c r="AB193" s="276" t="str">
        <v/>
      </c>
      <c r="AC193" s="276" t="str">
        <v/>
      </c>
      <c r="AD193" s="276" t="str">
        <v/>
      </c>
      <c r="AE193" s="276" t="str">
        <v/>
      </c>
      <c r="AF193" s="276" t="str">
        <v/>
      </c>
    </row>
    <row r="194" spans="1:32" s="202" customFormat="1" ht="12.75" x14ac:dyDescent="0.2">
      <c r="A194" s="335" t="s">
        <v>32</v>
      </c>
      <c r="B194" s="335"/>
      <c r="C194" s="335"/>
      <c r="D194" s="335"/>
      <c r="E194" s="335"/>
      <c r="F194" s="335"/>
      <c r="G194" s="274" t="str">
        <v/>
      </c>
      <c r="H194" s="274" t="str">
        <v/>
      </c>
      <c r="I194" s="274" t="str">
        <v/>
      </c>
      <c r="J194" s="274" t="str">
        <v/>
      </c>
      <c r="K194" s="274" t="str">
        <v/>
      </c>
      <c r="L194" s="274" t="str">
        <v/>
      </c>
      <c r="M194" s="274" t="str">
        <v/>
      </c>
      <c r="N194" s="274" t="str">
        <v/>
      </c>
      <c r="O194" s="274" t="str">
        <v/>
      </c>
      <c r="P194" s="274" t="str">
        <v/>
      </c>
      <c r="Q194" s="274" t="str">
        <v/>
      </c>
      <c r="R194" s="274" t="str">
        <v/>
      </c>
      <c r="S194" s="274" t="str">
        <v/>
      </c>
      <c r="T194" s="274" t="str">
        <v/>
      </c>
      <c r="U194" s="274" t="str">
        <v/>
      </c>
      <c r="V194" s="274" t="str">
        <v/>
      </c>
      <c r="W194" s="274" t="str">
        <v/>
      </c>
      <c r="X194" s="274" t="str">
        <v/>
      </c>
      <c r="Y194" s="274" t="str">
        <v/>
      </c>
      <c r="Z194" s="274" t="str">
        <v/>
      </c>
      <c r="AA194" s="274" t="str">
        <v/>
      </c>
      <c r="AB194" s="274" t="str">
        <v/>
      </c>
      <c r="AC194" s="274" t="str">
        <v/>
      </c>
      <c r="AD194" s="274" t="str">
        <v/>
      </c>
      <c r="AE194" s="274" t="str">
        <v/>
      </c>
      <c r="AF194" s="274" t="str">
        <v/>
      </c>
    </row>
    <row r="195" spans="1:32" x14ac:dyDescent="0.25">
      <c r="A195" s="322"/>
      <c r="B195" s="322" t="s">
        <v>33</v>
      </c>
      <c r="G195" s="276">
        <v>1.1414710031354427</v>
      </c>
      <c r="H195" s="276">
        <v>1.1357636481197646</v>
      </c>
      <c r="I195" s="276">
        <v>1.1300562931040876</v>
      </c>
      <c r="J195" s="276">
        <v>1.1243489380884104</v>
      </c>
      <c r="K195" s="276">
        <v>1.1186415830727334</v>
      </c>
      <c r="L195" s="276">
        <v>1.1129342280570564</v>
      </c>
      <c r="M195" s="276">
        <v>1.1072268730413781</v>
      </c>
      <c r="N195" s="276">
        <v>1.1015195180257011</v>
      </c>
      <c r="O195" s="276">
        <v>1.0958121630100242</v>
      </c>
      <c r="P195" s="276">
        <v>1.0901048079943474</v>
      </c>
      <c r="Q195" s="276">
        <v>1.0843974529786704</v>
      </c>
      <c r="R195" s="276">
        <v>1.0786900979629932</v>
      </c>
      <c r="S195" s="276">
        <v>1.0729827429473149</v>
      </c>
      <c r="T195" s="276">
        <v>1.0672753879316381</v>
      </c>
      <c r="U195" s="276">
        <v>1.0615680329159609</v>
      </c>
      <c r="V195" s="276">
        <v>1.0558606779002839</v>
      </c>
      <c r="W195" s="276">
        <v>1.0501533228846069</v>
      </c>
      <c r="X195" s="276">
        <v>1.04444596786893</v>
      </c>
      <c r="Y195" s="276">
        <v>1.0387386128532516</v>
      </c>
      <c r="Z195" s="276">
        <v>1.0330312578375747</v>
      </c>
      <c r="AA195" s="276">
        <v>1.0273239028218977</v>
      </c>
      <c r="AB195" s="276">
        <v>1.0216165478062207</v>
      </c>
      <c r="AC195" s="276">
        <v>1.0159091927905437</v>
      </c>
      <c r="AD195" s="276">
        <v>1.0102018377748667</v>
      </c>
      <c r="AE195" s="276">
        <v>1.0044944827591884</v>
      </c>
      <c r="AF195" s="276">
        <v>0.99878712774351142</v>
      </c>
    </row>
    <row r="196" spans="1:32" x14ac:dyDescent="0.25">
      <c r="A196" s="328"/>
      <c r="B196" s="328" t="s">
        <v>34</v>
      </c>
      <c r="G196" s="276">
        <v>1.0617178863470984</v>
      </c>
      <c r="H196" s="276">
        <v>1.0511535292690182</v>
      </c>
      <c r="I196" s="276">
        <v>1.2445233253838992</v>
      </c>
      <c r="J196" s="276">
        <v>1.4359880003547911</v>
      </c>
      <c r="K196" s="276">
        <v>1.6255755706691075</v>
      </c>
      <c r="L196" s="276">
        <v>1.6095577040703188</v>
      </c>
      <c r="M196" s="276">
        <v>1.5937355955715689</v>
      </c>
      <c r="N196" s="276">
        <v>1.5781062078468817</v>
      </c>
      <c r="O196" s="276">
        <v>1.5626665629768408</v>
      </c>
      <c r="P196" s="276">
        <v>1.5474137410224256</v>
      </c>
      <c r="Q196" s="276">
        <v>1.5323448786396134</v>
      </c>
      <c r="R196" s="276">
        <v>1.5174571677333988</v>
      </c>
      <c r="S196" s="276">
        <v>1.5027478541499453</v>
      </c>
      <c r="T196" s="276">
        <v>1.4882142364055837</v>
      </c>
      <c r="U196" s="276">
        <v>1.4738536644514826</v>
      </c>
      <c r="V196" s="276">
        <v>1.4596635384728103</v>
      </c>
      <c r="W196" s="276">
        <v>1.4456413077212773</v>
      </c>
      <c r="X196" s="276">
        <v>1.431784469379987</v>
      </c>
      <c r="Y196" s="276">
        <v>1.418090567459541</v>
      </c>
      <c r="Z196" s="276">
        <v>1.4045571917244244</v>
      </c>
      <c r="AA196" s="276">
        <v>1.3911819766486844</v>
      </c>
      <c r="AB196" s="276">
        <v>1.3779626003999865</v>
      </c>
      <c r="AC196" s="276">
        <v>1.3648967838511483</v>
      </c>
      <c r="AD196" s="276">
        <v>1.3519822896182978</v>
      </c>
      <c r="AE196" s="276">
        <v>1.3392169211248037</v>
      </c>
      <c r="AF196" s="276">
        <v>1.3265985216902054</v>
      </c>
    </row>
    <row r="197" spans="1:32" x14ac:dyDescent="0.25">
      <c r="A197" s="322"/>
      <c r="B197" s="328" t="s">
        <v>35</v>
      </c>
      <c r="G197" s="276">
        <v>0.90147341816909377</v>
      </c>
      <c r="H197" s="276">
        <v>0.89250353341119226</v>
      </c>
      <c r="I197" s="276">
        <v>0.88362245939346784</v>
      </c>
      <c r="J197" s="276">
        <v>0.87482888364192812</v>
      </c>
      <c r="K197" s="276">
        <v>0.86612151941736537</v>
      </c>
      <c r="L197" s="276">
        <v>0.85749910508767524</v>
      </c>
      <c r="M197" s="276">
        <v>0.84896040351846636</v>
      </c>
      <c r="N197" s="276">
        <v>0.84050420148132932</v>
      </c>
      <c r="O197" s="276">
        <v>0.83212930907916371</v>
      </c>
      <c r="P197" s="276">
        <v>0.8238345591880234</v>
      </c>
      <c r="Q197" s="276">
        <v>0.8156188069148943</v>
      </c>
      <c r="R197" s="276">
        <v>0.8074809290708943</v>
      </c>
      <c r="S197" s="276">
        <v>0.7994198236593848</v>
      </c>
      <c r="T197" s="276">
        <v>0.79143440937849974</v>
      </c>
      <c r="U197" s="276">
        <v>0.78352362513762408</v>
      </c>
      <c r="V197" s="276">
        <v>0.77568642958736034</v>
      </c>
      <c r="W197" s="276">
        <v>0.76792180066256077</v>
      </c>
      <c r="X197" s="276">
        <v>0.76022873513799183</v>
      </c>
      <c r="Y197" s="276">
        <v>0.75260624819621613</v>
      </c>
      <c r="Z197" s="276">
        <v>0.74505337300733332</v>
      </c>
      <c r="AA197" s="276">
        <v>0.73756916032016862</v>
      </c>
      <c r="AB197" s="276">
        <v>0.73015267806456008</v>
      </c>
      <c r="AC197" s="276">
        <v>0.72280301096440824</v>
      </c>
      <c r="AD197" s="276">
        <v>0.71551926016111878</v>
      </c>
      <c r="AE197" s="276">
        <v>0.70830054284714561</v>
      </c>
      <c r="AF197" s="276">
        <v>0.70114599190929561</v>
      </c>
    </row>
    <row r="198" spans="1:32" x14ac:dyDescent="0.25">
      <c r="A198" s="322"/>
      <c r="B198" s="328" t="s">
        <v>29</v>
      </c>
      <c r="G198" s="276">
        <v>1.4314259739263346</v>
      </c>
      <c r="H198" s="276">
        <v>0.60867356846042653</v>
      </c>
      <c r="I198" s="276">
        <v>0.38179355030534967</v>
      </c>
      <c r="J198" s="276">
        <v>0.27008229417812479</v>
      </c>
      <c r="K198" s="276">
        <v>0.20595700446625778</v>
      </c>
      <c r="L198" s="276">
        <v>0.16540884464770694</v>
      </c>
      <c r="M198" s="276">
        <v>0.13793914022574891</v>
      </c>
      <c r="N198" s="276">
        <v>0.11831935872321074</v>
      </c>
      <c r="O198" s="276">
        <v>0.10370041545889847</v>
      </c>
      <c r="P198" s="276">
        <v>9.2422630139024076E-2</v>
      </c>
      <c r="Q198" s="276">
        <v>8.346731482008006E-2</v>
      </c>
      <c r="R198" s="276">
        <v>7.6181929341347737E-2</v>
      </c>
      <c r="S198" s="276">
        <v>7.0133101410748189E-2</v>
      </c>
      <c r="T198" s="276">
        <v>6.5023843087742894E-2</v>
      </c>
      <c r="U198" s="276">
        <v>6.0644897591511718E-2</v>
      </c>
      <c r="V198" s="276">
        <v>5.6845102803172037E-2</v>
      </c>
      <c r="W198" s="276">
        <v>5.3512773892005892E-2</v>
      </c>
      <c r="X198" s="276">
        <v>5.0563687519242624E-2</v>
      </c>
      <c r="Y198" s="276">
        <v>4.7933137059365166E-2</v>
      </c>
      <c r="Z198" s="276">
        <v>4.5570563071144744E-2</v>
      </c>
      <c r="AA198" s="276">
        <v>4.3435850377534023E-2</v>
      </c>
      <c r="AB198" s="276">
        <v>4.1496726258163794E-2</v>
      </c>
      <c r="AC198" s="276">
        <v>3.9726900100028009E-2</v>
      </c>
      <c r="AD198" s="276">
        <v>3.8104711221206004E-2</v>
      </c>
      <c r="AE198" s="276">
        <v>3.6612130791880568E-2</v>
      </c>
      <c r="AF198" s="276">
        <v>3.5234014371734422E-2</v>
      </c>
    </row>
    <row r="199" spans="1:32" x14ac:dyDescent="0.25">
      <c r="A199" s="322"/>
      <c r="B199" s="322"/>
      <c r="G199" s="276" t="str">
        <v/>
      </c>
      <c r="H199" s="276" t="str">
        <v/>
      </c>
      <c r="I199" s="276" t="str">
        <v/>
      </c>
      <c r="J199" s="276" t="str">
        <v/>
      </c>
      <c r="K199" s="276" t="str">
        <v/>
      </c>
      <c r="L199" s="276" t="str">
        <v/>
      </c>
      <c r="M199" s="276" t="str">
        <v/>
      </c>
      <c r="N199" s="276" t="str">
        <v/>
      </c>
      <c r="O199" s="276" t="str">
        <v/>
      </c>
      <c r="P199" s="276" t="str">
        <v/>
      </c>
      <c r="Q199" s="276" t="str">
        <v/>
      </c>
      <c r="R199" s="276" t="str">
        <v/>
      </c>
      <c r="S199" s="276" t="str">
        <v/>
      </c>
      <c r="T199" s="276" t="str">
        <v/>
      </c>
      <c r="U199" s="276" t="str">
        <v/>
      </c>
      <c r="V199" s="276" t="str">
        <v/>
      </c>
      <c r="W199" s="276" t="str">
        <v/>
      </c>
      <c r="X199" s="276" t="str">
        <v/>
      </c>
      <c r="Y199" s="276" t="str">
        <v/>
      </c>
      <c r="Z199" s="276" t="str">
        <v/>
      </c>
      <c r="AA199" s="276" t="str">
        <v/>
      </c>
      <c r="AB199" s="276" t="str">
        <v/>
      </c>
      <c r="AC199" s="276" t="str">
        <v/>
      </c>
      <c r="AD199" s="276" t="str">
        <v/>
      </c>
      <c r="AE199" s="276" t="str">
        <v/>
      </c>
      <c r="AF199" s="276" t="str">
        <v/>
      </c>
    </row>
    <row r="200" spans="1:32" s="202" customFormat="1" ht="12.75" x14ac:dyDescent="0.2">
      <c r="A200" s="335" t="s">
        <v>36</v>
      </c>
      <c r="B200" s="335"/>
      <c r="C200" s="335"/>
      <c r="D200" s="335"/>
      <c r="E200" s="335"/>
      <c r="F200" s="335"/>
      <c r="G200" s="274" t="str">
        <v/>
      </c>
      <c r="H200" s="274" t="str">
        <v/>
      </c>
      <c r="I200" s="274" t="str">
        <v/>
      </c>
      <c r="J200" s="274" t="str">
        <v/>
      </c>
      <c r="K200" s="274" t="str">
        <v/>
      </c>
      <c r="L200" s="274" t="str">
        <v/>
      </c>
      <c r="M200" s="274" t="str">
        <v/>
      </c>
      <c r="N200" s="274" t="str">
        <v/>
      </c>
      <c r="O200" s="274" t="str">
        <v/>
      </c>
      <c r="P200" s="274" t="str">
        <v/>
      </c>
      <c r="Q200" s="274" t="str">
        <v/>
      </c>
      <c r="R200" s="274" t="str">
        <v/>
      </c>
      <c r="S200" s="274" t="str">
        <v/>
      </c>
      <c r="T200" s="274" t="str">
        <v/>
      </c>
      <c r="U200" s="274" t="str">
        <v/>
      </c>
      <c r="V200" s="274" t="str">
        <v/>
      </c>
      <c r="W200" s="274" t="str">
        <v/>
      </c>
      <c r="X200" s="274" t="str">
        <v/>
      </c>
      <c r="Y200" s="274" t="str">
        <v/>
      </c>
      <c r="Z200" s="274" t="str">
        <v/>
      </c>
      <c r="AA200" s="274" t="str">
        <v/>
      </c>
      <c r="AB200" s="274" t="str">
        <v/>
      </c>
      <c r="AC200" s="274" t="str">
        <v/>
      </c>
      <c r="AD200" s="274" t="str">
        <v/>
      </c>
      <c r="AE200" s="274" t="str">
        <v/>
      </c>
      <c r="AF200" s="274" t="str">
        <v/>
      </c>
    </row>
    <row r="201" spans="1:32" x14ac:dyDescent="0.25">
      <c r="A201" s="322"/>
      <c r="B201" s="322" t="s">
        <v>37</v>
      </c>
      <c r="G201" s="276">
        <v>0.17053174477158295</v>
      </c>
      <c r="H201" s="276">
        <v>0.16615848255295243</v>
      </c>
      <c r="I201" s="276">
        <v>0.1621039270503368</v>
      </c>
      <c r="J201" s="276">
        <v>0.15833091458306886</v>
      </c>
      <c r="K201" s="276">
        <v>0.1548078433818747</v>
      </c>
      <c r="L201" s="276">
        <v>0.15150767062124476</v>
      </c>
      <c r="M201" s="276">
        <v>0.1484071189323852</v>
      </c>
      <c r="N201" s="276">
        <v>0.14548604306952262</v>
      </c>
      <c r="O201" s="276">
        <v>0.14272692024491104</v>
      </c>
      <c r="P201" s="276">
        <v>0.14011443684748354</v>
      </c>
      <c r="Q201" s="276">
        <v>0.13763515092974865</v>
      </c>
      <c r="R201" s="276">
        <v>0.13527721473744678</v>
      </c>
      <c r="S201" s="276">
        <v>0.13303014517911546</v>
      </c>
      <c r="T201" s="276">
        <v>0.1308846328427411</v>
      </c>
      <c r="U201" s="276">
        <v>0.12883238221266891</v>
      </c>
      <c r="V201" s="276">
        <v>0.12686597729779536</v>
      </c>
      <c r="W201" s="276">
        <v>0.12497876807792843</v>
      </c>
      <c r="X201" s="276">
        <v>0.12316477410012822</v>
      </c>
      <c r="Y201" s="276">
        <v>0.12141860227736682</v>
      </c>
      <c r="Z201" s="276">
        <v>0.11973537650699458</v>
      </c>
      <c r="AA201" s="276">
        <v>0.11811067717256697</v>
      </c>
      <c r="AB201" s="276">
        <v>0.1165404889468778</v>
      </c>
      <c r="AC201" s="276">
        <v>0.1150211555970241</v>
      </c>
      <c r="AD201" s="276">
        <v>0.11354934071962092</v>
      </c>
      <c r="AE201" s="276">
        <v>0.11212199351779895</v>
      </c>
      <c r="AF201" s="276">
        <v>0.1107363188805215</v>
      </c>
    </row>
    <row r="202" spans="1:32" x14ac:dyDescent="0.25">
      <c r="A202" s="322"/>
      <c r="B202" s="322" t="s">
        <v>39</v>
      </c>
      <c r="G202" s="276">
        <v>0.19798818875173549</v>
      </c>
      <c r="H202" s="276">
        <v>0.19289388294924012</v>
      </c>
      <c r="I202" s="276">
        <v>0.18813144421213165</v>
      </c>
      <c r="J202" s="276">
        <v>0.18366331302129732</v>
      </c>
      <c r="K202" s="276">
        <v>0.18747195336662129</v>
      </c>
      <c r="L202" s="276">
        <v>0.19143738242763256</v>
      </c>
      <c r="M202" s="276">
        <v>0.19553716131980753</v>
      </c>
      <c r="N202" s="276">
        <v>0.19175168804218237</v>
      </c>
      <c r="O202" s="276">
        <v>0.18814473440802573</v>
      </c>
      <c r="P202" s="276">
        <v>0.18470065231747149</v>
      </c>
      <c r="Q202" s="276">
        <v>0.18140568158812145</v>
      </c>
      <c r="R202" s="276">
        <v>0.17824767065282016</v>
      </c>
      <c r="S202" s="276">
        <v>0.17521584549789515</v>
      </c>
      <c r="T202" s="276">
        <v>0.17230061739066235</v>
      </c>
      <c r="U202" s="276">
        <v>0.16949342200368842</v>
      </c>
      <c r="V202" s="276">
        <v>0.16678658411082206</v>
      </c>
      <c r="W202" s="276">
        <v>0.16417320323329157</v>
      </c>
      <c r="X202" s="276">
        <v>0.16164705654483544</v>
      </c>
      <c r="Y202" s="276">
        <v>0.15920251606982902</v>
      </c>
      <c r="Z202" s="276">
        <v>0.15683447777703494</v>
      </c>
      <c r="AA202" s="276">
        <v>0.15453830062043444</v>
      </c>
      <c r="AB202" s="276">
        <v>0.1523097539350956</v>
      </c>
      <c r="AC202" s="276">
        <v>0.15014497188077028</v>
      </c>
      <c r="AD202" s="276">
        <v>0.14804041385461286</v>
      </c>
      <c r="AE202" s="276">
        <v>0.14599282997908042</v>
      </c>
      <c r="AF202" s="276">
        <v>0.14399923092089212</v>
      </c>
    </row>
    <row r="203" spans="1:32" x14ac:dyDescent="0.25">
      <c r="A203" s="322"/>
      <c r="B203" s="322" t="s">
        <v>40</v>
      </c>
      <c r="G203" s="276">
        <v>0.11806074876813411</v>
      </c>
      <c r="H203" s="276">
        <v>0.11504751743672706</v>
      </c>
      <c r="I203" s="276">
        <v>0.11222972827790728</v>
      </c>
      <c r="J203" s="276">
        <v>0.10958527690936769</v>
      </c>
      <c r="K203" s="276">
        <v>0.10709535414570667</v>
      </c>
      <c r="L203" s="276">
        <v>0.10474385208686555</v>
      </c>
      <c r="M203" s="276">
        <v>0.10251689424283102</v>
      </c>
      <c r="N203" s="276">
        <v>0.10040246048757023</v>
      </c>
      <c r="O203" s="276">
        <v>9.8390085239341729E-2</v>
      </c>
      <c r="P203" s="276">
        <v>9.6470612711670276E-2</v>
      </c>
      <c r="Q203" s="276">
        <v>9.463599702842504E-2</v>
      </c>
      <c r="R203" s="276">
        <v>9.2879137891795027E-2</v>
      </c>
      <c r="S203" s="276">
        <v>9.1193744636941187E-2</v>
      </c>
      <c r="T203" s="276">
        <v>8.9574223111734588E-2</v>
      </c>
      <c r="U203" s="276">
        <v>8.801558103143875E-2</v>
      </c>
      <c r="V203" s="276">
        <v>8.6513348380607202E-2</v>
      </c>
      <c r="W203" s="276">
        <v>8.5063510142551021E-2</v>
      </c>
      <c r="X203" s="276">
        <v>8.3662449184384841E-2</v>
      </c>
      <c r="Y203" s="276">
        <v>8.2306897552289413E-2</v>
      </c>
      <c r="Z203" s="276">
        <v>8.099389476626076E-2</v>
      </c>
      <c r="AA203" s="276">
        <v>7.9720751967732276E-2</v>
      </c>
      <c r="AB203" s="276">
        <v>7.8485020983240422E-2</v>
      </c>
      <c r="AC203" s="276">
        <v>7.728446753485585E-2</v>
      </c>
      <c r="AD203" s="276">
        <v>7.6117047962685605E-2</v>
      </c>
      <c r="AE203" s="276">
        <v>7.4980888933414439E-2</v>
      </c>
      <c r="AF203" s="276">
        <v>7.3874269697019629E-2</v>
      </c>
    </row>
    <row r="204" spans="1:32" x14ac:dyDescent="0.25">
      <c r="A204" s="322"/>
      <c r="B204" s="322" t="s">
        <v>29</v>
      </c>
      <c r="G204" s="276">
        <v>5.0211800433024578</v>
      </c>
      <c r="H204" s="276">
        <v>2.2827635617190323</v>
      </c>
      <c r="I204" s="276">
        <v>1.4715396772220739</v>
      </c>
      <c r="J204" s="276">
        <v>1.0565565727524986</v>
      </c>
      <c r="K204" s="276">
        <v>0.81326057117862038</v>
      </c>
      <c r="L204" s="276">
        <v>0.65735181333215509</v>
      </c>
      <c r="M204" s="276">
        <v>0.55075473178339873</v>
      </c>
      <c r="N204" s="276">
        <v>0.47410398897566119</v>
      </c>
      <c r="O204" s="276">
        <v>0.41669255057532356</v>
      </c>
      <c r="P204" s="276">
        <v>0.37221731871973768</v>
      </c>
      <c r="Q204" s="276">
        <v>0.33677903519048635</v>
      </c>
      <c r="R204" s="276">
        <v>0.30786483473288434</v>
      </c>
      <c r="S204" s="276">
        <v>0.28379788580014853</v>
      </c>
      <c r="T204" s="276">
        <v>0.26342463604804195</v>
      </c>
      <c r="U204" s="276">
        <v>0.24592970108711865</v>
      </c>
      <c r="V204" s="276">
        <v>0.23072246855965173</v>
      </c>
      <c r="W204" s="276">
        <v>0.21736553858782473</v>
      </c>
      <c r="X204" s="276">
        <v>0.20552836672851035</v>
      </c>
      <c r="Y204" s="276">
        <v>0.19495651893072771</v>
      </c>
      <c r="Z204" s="276">
        <v>0.18545083917051236</v>
      </c>
      <c r="AA204" s="276">
        <v>0.17685305203419777</v>
      </c>
      <c r="AB204" s="276">
        <v>0.16903562776561698</v>
      </c>
      <c r="AC204" s="276">
        <v>0.16189452375195604</v>
      </c>
      <c r="AD204" s="276">
        <v>0.15534390105794554</v>
      </c>
      <c r="AE204" s="276">
        <v>0.14931221935851285</v>
      </c>
      <c r="AF204" s="276">
        <v>0.14373930879651983</v>
      </c>
    </row>
    <row r="205" spans="1:32" x14ac:dyDescent="0.25">
      <c r="A205" s="322"/>
      <c r="B205" s="322"/>
      <c r="G205" s="276" t="str">
        <v/>
      </c>
      <c r="H205" s="276" t="str">
        <v/>
      </c>
      <c r="I205" s="276" t="str">
        <v/>
      </c>
      <c r="J205" s="276" t="str">
        <v/>
      </c>
      <c r="K205" s="276" t="str">
        <v/>
      </c>
      <c r="L205" s="276" t="str">
        <v/>
      </c>
      <c r="M205" s="276" t="str">
        <v/>
      </c>
      <c r="N205" s="276" t="str">
        <v/>
      </c>
      <c r="O205" s="276" t="str">
        <v/>
      </c>
      <c r="P205" s="276" t="str">
        <v/>
      </c>
      <c r="Q205" s="276" t="str">
        <v/>
      </c>
      <c r="R205" s="276" t="str">
        <v/>
      </c>
      <c r="S205" s="276" t="str">
        <v/>
      </c>
      <c r="T205" s="276" t="str">
        <v/>
      </c>
      <c r="U205" s="276" t="str">
        <v/>
      </c>
      <c r="V205" s="276" t="str">
        <v/>
      </c>
      <c r="W205" s="276" t="str">
        <v/>
      </c>
      <c r="X205" s="276" t="str">
        <v/>
      </c>
      <c r="Y205" s="276" t="str">
        <v/>
      </c>
      <c r="Z205" s="276" t="str">
        <v/>
      </c>
      <c r="AA205" s="276" t="str">
        <v/>
      </c>
      <c r="AB205" s="276" t="str">
        <v/>
      </c>
      <c r="AC205" s="276" t="str">
        <v/>
      </c>
      <c r="AD205" s="276" t="str">
        <v/>
      </c>
      <c r="AE205" s="276" t="str">
        <v/>
      </c>
      <c r="AF205" s="276" t="str">
        <v/>
      </c>
    </row>
    <row r="206" spans="1:32" s="202" customFormat="1" ht="12.75" x14ac:dyDescent="0.2">
      <c r="A206" s="335" t="s">
        <v>42</v>
      </c>
      <c r="B206" s="335"/>
      <c r="C206" s="335"/>
      <c r="D206" s="335"/>
      <c r="E206" s="335"/>
      <c r="F206" s="335"/>
      <c r="G206" s="274" t="str">
        <v/>
      </c>
      <c r="H206" s="274" t="str">
        <v/>
      </c>
      <c r="I206" s="274" t="str">
        <v/>
      </c>
      <c r="J206" s="274" t="str">
        <v/>
      </c>
      <c r="K206" s="274" t="str">
        <v/>
      </c>
      <c r="L206" s="274" t="str">
        <v/>
      </c>
      <c r="M206" s="274" t="str">
        <v/>
      </c>
      <c r="N206" s="274" t="str">
        <v/>
      </c>
      <c r="O206" s="274" t="str">
        <v/>
      </c>
      <c r="P206" s="274" t="str">
        <v/>
      </c>
      <c r="Q206" s="274" t="str">
        <v/>
      </c>
      <c r="R206" s="274" t="str">
        <v/>
      </c>
      <c r="S206" s="274" t="str">
        <v/>
      </c>
      <c r="T206" s="274" t="str">
        <v/>
      </c>
      <c r="U206" s="274" t="str">
        <v/>
      </c>
      <c r="V206" s="274" t="str">
        <v/>
      </c>
      <c r="W206" s="274" t="str">
        <v/>
      </c>
      <c r="X206" s="274" t="str">
        <v/>
      </c>
      <c r="Y206" s="274" t="str">
        <v/>
      </c>
      <c r="Z206" s="274" t="str">
        <v/>
      </c>
      <c r="AA206" s="274" t="str">
        <v/>
      </c>
      <c r="AB206" s="274" t="str">
        <v/>
      </c>
      <c r="AC206" s="274" t="str">
        <v/>
      </c>
      <c r="AD206" s="274" t="str">
        <v/>
      </c>
      <c r="AE206" s="274" t="str">
        <v/>
      </c>
      <c r="AF206" s="274" t="str">
        <v/>
      </c>
    </row>
    <row r="207" spans="1:32" x14ac:dyDescent="0.25">
      <c r="A207" s="322"/>
      <c r="B207" s="328" t="s">
        <v>43</v>
      </c>
      <c r="G207" s="276">
        <v>0.50355950999291277</v>
      </c>
      <c r="H207" s="276">
        <v>0.4966866101259787</v>
      </c>
      <c r="I207" s="276">
        <v>0.4899918434612095</v>
      </c>
      <c r="J207" s="276">
        <v>0.48346705122599037</v>
      </c>
      <c r="K207" s="276">
        <v>0.47710456540094165</v>
      </c>
      <c r="L207" s="276">
        <v>0.47089717236783113</v>
      </c>
      <c r="M207" s="276">
        <v>0.46483807974161434</v>
      </c>
      <c r="N207" s="276">
        <v>0.45892088606587533</v>
      </c>
      <c r="O207" s="276">
        <v>0.45313955308740522</v>
      </c>
      <c r="P207" s="276">
        <v>0.44748838035736627</v>
      </c>
      <c r="Q207" s="276">
        <v>0.44196198193444219</v>
      </c>
      <c r="R207" s="276">
        <v>0.43655526498977465</v>
      </c>
      <c r="S207" s="276">
        <v>0.43126341013497399</v>
      </c>
      <c r="T207" s="276">
        <v>0.42608185331349258</v>
      </c>
      <c r="U207" s="276">
        <v>0.42100626911225703</v>
      </c>
      <c r="V207" s="276">
        <v>0.4160325553653218</v>
      </c>
      <c r="W207" s="276">
        <v>0.41115681893430794</v>
      </c>
      <c r="X207" s="276">
        <v>0.40637536256200846</v>
      </c>
      <c r="Y207" s="276">
        <v>0.40168467270586555</v>
      </c>
      <c r="Z207" s="276">
        <v>0.39708140826712313</v>
      </c>
      <c r="AA207" s="276">
        <v>0.3925623901396933</v>
      </c>
      <c r="AB207" s="276">
        <v>0.38812459150999756</v>
      </c>
      <c r="AC207" s="276">
        <v>0.38376512884557062</v>
      </c>
      <c r="AD207" s="276">
        <v>0.3794812535160535</v>
      </c>
      <c r="AE207" s="276">
        <v>0.37527034399537956</v>
      </c>
      <c r="AF207" s="276">
        <v>0.37112989859867251</v>
      </c>
    </row>
    <row r="208" spans="1:32" x14ac:dyDescent="0.25">
      <c r="A208" s="322"/>
      <c r="B208" s="328" t="s">
        <v>44</v>
      </c>
      <c r="G208" s="276">
        <v>1.0331170245051924</v>
      </c>
      <c r="H208" s="276">
        <v>1.0165420513424688</v>
      </c>
      <c r="I208" s="276">
        <v>1.0003645683928193</v>
      </c>
      <c r="J208" s="276">
        <v>0.98456889361502975</v>
      </c>
      <c r="K208" s="276">
        <v>0.96914021585045051</v>
      </c>
      <c r="L208" s="276">
        <v>0.95406453289121551</v>
      </c>
      <c r="M208" s="276">
        <v>0.93932859486374087</v>
      </c>
      <c r="N208" s="276">
        <v>0.92491985239752927</v>
      </c>
      <c r="O208" s="276">
        <v>0.91082640910917045</v>
      </c>
      <c r="P208" s="276">
        <v>0.89703697798368354</v>
      </c>
      <c r="Q208" s="276">
        <v>0.88354084128128452</v>
      </c>
      <c r="R208" s="276">
        <v>0.87032781363784084</v>
      </c>
      <c r="S208" s="276">
        <v>0.85738820806267457</v>
      </c>
      <c r="T208" s="276">
        <v>0.84471280456867093</v>
      </c>
      <c r="U208" s="276">
        <v>0.83229282119701242</v>
      </c>
      <c r="V208" s="276">
        <v>0.82011988722338525</v>
      </c>
      <c r="W208" s="276">
        <v>0.80818601835396542</v>
      </c>
      <c r="X208" s="276">
        <v>0.79648359373862831</v>
      </c>
      <c r="Y208" s="276">
        <v>0.78500533464593092</v>
      </c>
      <c r="Z208" s="276">
        <v>0.77374428465940326</v>
      </c>
      <c r="AA208" s="276">
        <v>0.76269379126831272</v>
      </c>
      <c r="AB208" s="276">
        <v>0.75184748873803753</v>
      </c>
      <c r="AC208" s="276">
        <v>0.74119928215595476</v>
      </c>
      <c r="AD208" s="276">
        <v>0.73074333255843404</v>
      </c>
      <c r="AE208" s="276">
        <v>0.7204740430531148</v>
      </c>
      <c r="AF208" s="276">
        <v>0.71038604585845233</v>
      </c>
    </row>
    <row r="209" spans="1:32" x14ac:dyDescent="0.25">
      <c r="A209" s="322"/>
      <c r="B209" s="328" t="s">
        <v>45</v>
      </c>
      <c r="G209" s="276">
        <v>0.24973730304948447</v>
      </c>
      <c r="H209" s="276">
        <v>0.24588699439023773</v>
      </c>
      <c r="I209" s="276">
        <v>0.24213670591594749</v>
      </c>
      <c r="J209" s="276">
        <v>0.23848199853592381</v>
      </c>
      <c r="K209" s="276">
        <v>0.23491869878778104</v>
      </c>
      <c r="L209" s="276">
        <v>0.23144287917811124</v>
      </c>
      <c r="M209" s="276">
        <v>0.22805084024489711</v>
      </c>
      <c r="N209" s="276">
        <v>0.22473909416824706</v>
      </c>
      <c r="O209" s="276">
        <v>0.22150434977574543</v>
      </c>
      <c r="P209" s="276">
        <v>0.21834349880585638</v>
      </c>
      <c r="Q209" s="276">
        <v>0.21525360330794485</v>
      </c>
      <c r="R209" s="276">
        <v>0.21223188407065507</v>
      </c>
      <c r="S209" s="276">
        <v>0.20927570998202202</v>
      </c>
      <c r="T209" s="276">
        <v>0.20638258823495059</v>
      </c>
      <c r="U209" s="276">
        <v>0.20355015530068968</v>
      </c>
      <c r="V209" s="276">
        <v>0.20077616860095601</v>
      </c>
      <c r="W209" s="276">
        <v>0.19805849881640367</v>
      </c>
      <c r="X209" s="276">
        <v>0.19539512277540361</v>
      </c>
      <c r="Y209" s="276">
        <v>0.19278411687269234</v>
      </c>
      <c r="Z209" s="276">
        <v>0.19022365097236374</v>
      </c>
      <c r="AA209" s="276">
        <v>0.18771198275412335</v>
      </c>
      <c r="AB209" s="276">
        <v>0.18524745246564681</v>
      </c>
      <c r="AC209" s="276">
        <v>0.18282847804739166</v>
      </c>
      <c r="AD209" s="276">
        <v>0.18045355059939111</v>
      </c>
      <c r="AE209" s="276">
        <v>0.17812123016233841</v>
      </c>
      <c r="AF209" s="276">
        <v>0.17583014178783327</v>
      </c>
    </row>
    <row r="210" spans="1:32" x14ac:dyDescent="0.25">
      <c r="A210" s="322"/>
      <c r="B210" s="328" t="s">
        <v>46</v>
      </c>
      <c r="G210" s="276">
        <v>48.175642956764293</v>
      </c>
      <c r="H210" s="276">
        <v>47.717004359810694</v>
      </c>
      <c r="I210" s="276">
        <v>47.268221874226221</v>
      </c>
      <c r="J210" s="276">
        <v>46.828938665185625</v>
      </c>
      <c r="K210" s="276">
        <v>46.398816647989591</v>
      </c>
      <c r="L210" s="276">
        <v>45.977535195796349</v>
      </c>
      <c r="M210" s="276">
        <v>45.564789956444436</v>
      </c>
      <c r="N210" s="276">
        <v>45.160291767579757</v>
      </c>
      <c r="O210" s="276">
        <v>44.763765660515467</v>
      </c>
      <c r="P210" s="276">
        <v>44.374949944310011</v>
      </c>
      <c r="Q210" s="276">
        <v>43.993595362482232</v>
      </c>
      <c r="R210" s="276">
        <v>43.619464315596353</v>
      </c>
      <c r="S210" s="276">
        <v>43.252330143668438</v>
      </c>
      <c r="T210" s="276">
        <v>42.891976462980779</v>
      </c>
      <c r="U210" s="276">
        <v>42.538196552447125</v>
      </c>
      <c r="V210" s="276">
        <v>42.190792785169158</v>
      </c>
      <c r="W210" s="276">
        <v>41.849576101261086</v>
      </c>
      <c r="X210" s="276">
        <v>41.514365518408468</v>
      </c>
      <c r="Y210" s="276">
        <v>41.184987676974991</v>
      </c>
      <c r="Z210" s="276">
        <v>40.861276416776057</v>
      </c>
      <c r="AA210" s="276">
        <v>40.543072382915938</v>
      </c>
      <c r="AB210" s="276">
        <v>40.230222658327953</v>
      </c>
      <c r="AC210" s="276">
        <v>39.922580420878042</v>
      </c>
      <c r="AD210" s="276">
        <v>39.62000462308864</v>
      </c>
      <c r="AE210" s="276">
        <v>39.322359692715068</v>
      </c>
      <c r="AF210" s="276">
        <v>39.029515252566561</v>
      </c>
    </row>
    <row r="211" spans="1:32" x14ac:dyDescent="0.25">
      <c r="A211" s="322"/>
      <c r="B211" s="322" t="s">
        <v>29</v>
      </c>
      <c r="G211" s="276">
        <v>6.5356796981457217</v>
      </c>
      <c r="H211" s="276">
        <v>2.9712958582105164</v>
      </c>
      <c r="I211" s="276">
        <v>1.915388795162726</v>
      </c>
      <c r="J211" s="276">
        <v>1.3752375503227852</v>
      </c>
      <c r="K211" s="276">
        <v>1.0585580597621149</v>
      </c>
      <c r="L211" s="276">
        <v>0.8556237505693145</v>
      </c>
      <c r="M211" s="276">
        <v>0.71687461674985142</v>
      </c>
      <c r="N211" s="276">
        <v>0.6171043039357279</v>
      </c>
      <c r="O211" s="276">
        <v>0.54237629793743192</v>
      </c>
      <c r="P211" s="276">
        <v>0.4844863462921814</v>
      </c>
      <c r="Q211" s="276">
        <v>0.43835908771912963</v>
      </c>
      <c r="R211" s="276">
        <v>0.40072372087524805</v>
      </c>
      <c r="S211" s="276">
        <v>0.36939764449887941</v>
      </c>
      <c r="T211" s="276">
        <v>0.34287936918475215</v>
      </c>
      <c r="U211" s="276">
        <v>0.32010757246397908</v>
      </c>
      <c r="V211" s="276">
        <v>0.30031350014679165</v>
      </c>
      <c r="W211" s="276">
        <v>0.28292782281724338</v>
      </c>
      <c r="X211" s="276">
        <v>0.26752029647140457</v>
      </c>
      <c r="Y211" s="276">
        <v>0.25375974408571261</v>
      </c>
      <c r="Z211" s="276">
        <v>0.24138693974686368</v>
      </c>
      <c r="AA211" s="276">
        <v>0.23019586865377623</v>
      </c>
      <c r="AB211" s="276">
        <v>0.2200205352374601</v>
      </c>
      <c r="AC211" s="276">
        <v>0.21072551531745456</v>
      </c>
      <c r="AD211" s="276">
        <v>0.20219907902514056</v>
      </c>
      <c r="AE211" s="276">
        <v>0.19434810788116783</v>
      </c>
      <c r="AF211" s="276">
        <v>0.18709428346031629</v>
      </c>
    </row>
    <row r="212" spans="1:32" x14ac:dyDescent="0.25">
      <c r="A212" s="322"/>
      <c r="B212" s="322"/>
      <c r="G212" s="276" t="str">
        <v/>
      </c>
      <c r="H212" s="276" t="str">
        <v/>
      </c>
      <c r="I212" s="276" t="str">
        <v/>
      </c>
      <c r="J212" s="276" t="str">
        <v/>
      </c>
      <c r="K212" s="276" t="str">
        <v/>
      </c>
      <c r="L212" s="276" t="str">
        <v/>
      </c>
      <c r="M212" s="276" t="str">
        <v/>
      </c>
      <c r="N212" s="276" t="str">
        <v/>
      </c>
      <c r="O212" s="276" t="str">
        <v/>
      </c>
      <c r="P212" s="276" t="str">
        <v/>
      </c>
      <c r="Q212" s="276" t="str">
        <v/>
      </c>
      <c r="R212" s="276" t="str">
        <v/>
      </c>
      <c r="S212" s="276" t="str">
        <v/>
      </c>
      <c r="T212" s="276" t="str">
        <v/>
      </c>
      <c r="U212" s="276" t="str">
        <v/>
      </c>
      <c r="V212" s="276" t="str">
        <v/>
      </c>
      <c r="W212" s="276" t="str">
        <v/>
      </c>
      <c r="X212" s="276" t="str">
        <v/>
      </c>
      <c r="Y212" s="276" t="str">
        <v/>
      </c>
      <c r="Z212" s="276" t="str">
        <v/>
      </c>
      <c r="AA212" s="276" t="str">
        <v/>
      </c>
      <c r="AB212" s="276" t="str">
        <v/>
      </c>
      <c r="AC212" s="276" t="str">
        <v/>
      </c>
      <c r="AD212" s="276" t="str">
        <v/>
      </c>
      <c r="AE212" s="276" t="str">
        <v/>
      </c>
      <c r="AF212" s="276" t="str">
        <v/>
      </c>
    </row>
    <row r="213" spans="1:32" s="202" customFormat="1" ht="12.75" x14ac:dyDescent="0.2">
      <c r="A213" s="335" t="s">
        <v>47</v>
      </c>
      <c r="B213" s="335"/>
      <c r="C213" s="335"/>
      <c r="D213" s="335"/>
      <c r="E213" s="335"/>
      <c r="F213" s="335"/>
      <c r="G213" s="274" t="str">
        <v/>
      </c>
      <c r="H213" s="274" t="str">
        <v/>
      </c>
      <c r="I213" s="274" t="str">
        <v/>
      </c>
      <c r="J213" s="274" t="str">
        <v/>
      </c>
      <c r="K213" s="274" t="str">
        <v/>
      </c>
      <c r="L213" s="274" t="str">
        <v/>
      </c>
      <c r="M213" s="274" t="str">
        <v/>
      </c>
      <c r="N213" s="274" t="str">
        <v/>
      </c>
      <c r="O213" s="274" t="str">
        <v/>
      </c>
      <c r="P213" s="274" t="str">
        <v/>
      </c>
      <c r="Q213" s="274" t="str">
        <v/>
      </c>
      <c r="R213" s="274" t="str">
        <v/>
      </c>
      <c r="S213" s="274" t="str">
        <v/>
      </c>
      <c r="T213" s="274" t="str">
        <v/>
      </c>
      <c r="U213" s="274" t="str">
        <v/>
      </c>
      <c r="V213" s="274" t="str">
        <v/>
      </c>
      <c r="W213" s="274" t="str">
        <v/>
      </c>
      <c r="X213" s="274" t="str">
        <v/>
      </c>
      <c r="Y213" s="274" t="str">
        <v/>
      </c>
      <c r="Z213" s="274" t="str">
        <v/>
      </c>
      <c r="AA213" s="274" t="str">
        <v/>
      </c>
      <c r="AB213" s="274" t="str">
        <v/>
      </c>
      <c r="AC213" s="274" t="str">
        <v/>
      </c>
      <c r="AD213" s="274" t="str">
        <v/>
      </c>
      <c r="AE213" s="274" t="str">
        <v/>
      </c>
      <c r="AF213" s="274" t="str">
        <v/>
      </c>
    </row>
    <row r="214" spans="1:32" x14ac:dyDescent="0.25">
      <c r="A214" s="322"/>
      <c r="B214" s="322" t="s">
        <v>48</v>
      </c>
      <c r="G214" s="276">
        <v>1.3385317053273911</v>
      </c>
      <c r="H214" s="276">
        <v>1.325212981891301</v>
      </c>
      <c r="I214" s="276">
        <v>1.3120261270040781</v>
      </c>
      <c r="J214" s="276">
        <v>1.298969191869441</v>
      </c>
      <c r="K214" s="276">
        <v>1.2860402659027883</v>
      </c>
      <c r="L214" s="276">
        <v>1.2732374757992271</v>
      </c>
      <c r="M214" s="276">
        <v>1.2605589846287104</v>
      </c>
      <c r="N214" s="276">
        <v>1.2480029909574231</v>
      </c>
      <c r="O214" s="276">
        <v>1.2355677279945165</v>
      </c>
      <c r="P214" s="276">
        <v>1.2232514627633095</v>
      </c>
      <c r="Q214" s="276">
        <v>1.2110524952962138</v>
      </c>
      <c r="R214" s="276">
        <v>1.1989691578524986</v>
      </c>
      <c r="S214" s="276">
        <v>1.1869998141582545</v>
      </c>
      <c r="T214" s="276">
        <v>1.17514285866771</v>
      </c>
      <c r="U214" s="276">
        <v>1.1633967158453042</v>
      </c>
      <c r="V214" s="276">
        <v>1.1517598394677573</v>
      </c>
      <c r="W214" s="276">
        <v>1.1402307119455561</v>
      </c>
      <c r="X214" s="276">
        <v>1.1288078436631928</v>
      </c>
      <c r="Y214" s="276">
        <v>1.1174897723375465</v>
      </c>
      <c r="Z214" s="276">
        <v>1.1062750623938737</v>
      </c>
      <c r="AA214" s="276">
        <v>1.0951623043587759</v>
      </c>
      <c r="AB214" s="276">
        <v>1.0841501142696985</v>
      </c>
      <c r="AC214" s="276">
        <v>1.073237133100341</v>
      </c>
      <c r="AD214" s="276">
        <v>1.0624220262015629</v>
      </c>
      <c r="AE214" s="276">
        <v>1.0517034827572376</v>
      </c>
      <c r="AF214" s="276">
        <v>1.0410802152546381</v>
      </c>
    </row>
    <row r="215" spans="1:32" x14ac:dyDescent="0.25">
      <c r="A215" s="322"/>
      <c r="B215" s="328" t="s">
        <v>50</v>
      </c>
      <c r="G215" s="276">
        <v>0.68888590957750795</v>
      </c>
      <c r="H215" s="276">
        <v>0.68203132341255768</v>
      </c>
      <c r="I215" s="276">
        <v>0.67524460443735923</v>
      </c>
      <c r="J215" s="276">
        <v>0.66852474968851872</v>
      </c>
      <c r="K215" s="276">
        <v>0.661870775868586</v>
      </c>
      <c r="L215" s="276">
        <v>0.65528171886640985</v>
      </c>
      <c r="M215" s="276">
        <v>0.6487566332914394</v>
      </c>
      <c r="N215" s="276">
        <v>0.64229459202154093</v>
      </c>
      <c r="O215" s="276">
        <v>0.63589468576385333</v>
      </c>
      <c r="P215" s="276">
        <v>0.62955602262824861</v>
      </c>
      <c r="Q215" s="276">
        <v>0.62327772771298418</v>
      </c>
      <c r="R215" s="276">
        <v>0.61705894270212769</v>
      </c>
      <c r="S215" s="276">
        <v>0.61089882547439456</v>
      </c>
      <c r="T215" s="276">
        <v>0.60479654972297603</v>
      </c>
      <c r="U215" s="276">
        <v>0.59875130458605808</v>
      </c>
      <c r="V215" s="276">
        <v>0.59276229428762384</v>
      </c>
      <c r="W215" s="276">
        <v>0.58682873778824718</v>
      </c>
      <c r="X215" s="276">
        <v>0.58094986844554874</v>
      </c>
      <c r="Y215" s="276">
        <v>0.5751249336839741</v>
      </c>
      <c r="Z215" s="276">
        <v>0.56935319467364864</v>
      </c>
      <c r="AA215" s="276">
        <v>0.56363392601796058</v>
      </c>
      <c r="AB215" s="276">
        <v>0.55796641544965608</v>
      </c>
      <c r="AC215" s="276">
        <v>0.55234996353511934</v>
      </c>
      <c r="AD215" s="276">
        <v>0.54678388338663131</v>
      </c>
      <c r="AE215" s="276">
        <v>0.54126750038232796</v>
      </c>
      <c r="AF215" s="276">
        <v>0.53580015189361674</v>
      </c>
    </row>
    <row r="216" spans="1:32" x14ac:dyDescent="0.25">
      <c r="A216" s="322"/>
      <c r="B216" s="322" t="s">
        <v>51</v>
      </c>
      <c r="G216" s="276">
        <v>0.2175535194611399</v>
      </c>
      <c r="H216" s="276">
        <v>0.21538880782471093</v>
      </c>
      <c r="I216" s="276">
        <v>0.21324552897676097</v>
      </c>
      <c r="J216" s="276">
        <v>0.21112336617657407</v>
      </c>
      <c r="K216" s="276">
        <v>0.20902200889403671</v>
      </c>
      <c r="L216" s="276">
        <v>0.20694115265815766</v>
      </c>
      <c r="M216" s="276">
        <v>0.2048804989100059</v>
      </c>
      <c r="N216" s="276">
        <v>0.20283975485990358</v>
      </c>
      <c r="O216" s="276">
        <v>0.20081863334874456</v>
      </c>
      <c r="P216" s="276">
        <v>0.19881685271329078</v>
      </c>
      <c r="Q216" s="276">
        <v>0.19683413665531735</v>
      </c>
      <c r="R216" s="276">
        <v>0.19487021411448086</v>
      </c>
      <c r="S216" s="276">
        <v>0.19292481914478476</v>
      </c>
      <c r="T216" s="276">
        <v>0.19099769079452203</v>
      </c>
      <c r="U216" s="276">
        <v>0.18908857298958884</v>
      </c>
      <c r="V216" s="276">
        <v>0.1871972144200508</v>
      </c>
      <c r="W216" s="276">
        <v>0.18532336842985994</v>
      </c>
      <c r="X216" s="276">
        <v>0.18346679290962495</v>
      </c>
      <c r="Y216" s="276">
        <v>0.18162725019232806</v>
      </c>
      <c r="Z216" s="276">
        <v>0.17980450695190112</v>
      </c>
      <c r="AA216" s="276">
        <v>0.17799833410456931</v>
      </c>
      <c r="AB216" s="276">
        <v>0.17620850671286908</v>
      </c>
      <c r="AC216" s="276">
        <v>0.17443480389226532</v>
      </c>
      <c r="AD216" s="276">
        <v>0.1726770087202773</v>
      </c>
      <c r="AE216" s="276">
        <v>0.17093490814803869</v>
      </c>
      <c r="AF216" s="276">
        <v>0.16920829291421996</v>
      </c>
    </row>
    <row r="217" spans="1:32" x14ac:dyDescent="0.25">
      <c r="A217" s="322"/>
      <c r="B217" s="322" t="s">
        <v>52</v>
      </c>
      <c r="G217" s="276">
        <v>0.30409835871235702</v>
      </c>
      <c r="H217" s="276">
        <v>0.29587351542703227</v>
      </c>
      <c r="I217" s="276">
        <v>0.28819842081875757</v>
      </c>
      <c r="J217" s="276">
        <v>0.28101061041206227</v>
      </c>
      <c r="K217" s="276">
        <v>0.27425693719334038</v>
      </c>
      <c r="L217" s="276">
        <v>0.26789189214076647</v>
      </c>
      <c r="M217" s="276">
        <v>0.26187627550914722</v>
      </c>
      <c r="N217" s="276">
        <v>0.25617613627670727</v>
      </c>
      <c r="O217" s="276">
        <v>0.25076191866427383</v>
      </c>
      <c r="P217" s="276">
        <v>0.24560777004100073</v>
      </c>
      <c r="Q217" s="276">
        <v>0.24069097569836753</v>
      </c>
      <c r="R217" s="276">
        <v>0.2359914941618137</v>
      </c>
      <c r="S217" s="276">
        <v>0.23149157277504001</v>
      </c>
      <c r="T217" s="276">
        <v>0.22717542782968647</v>
      </c>
      <c r="U217" s="276">
        <v>0.22302897693884835</v>
      </c>
      <c r="V217" s="276">
        <v>0.21903961396137112</v>
      </c>
      <c r="W217" s="276">
        <v>0.21519601878618952</v>
      </c>
      <c r="X217" s="276">
        <v>0.2114879958346628</v>
      </c>
      <c r="Y217" s="276">
        <v>0.20790633634531591</v>
      </c>
      <c r="Z217" s="276">
        <v>0.20444270045165783</v>
      </c>
      <c r="AA217" s="276">
        <v>0.20108951581065448</v>
      </c>
      <c r="AB217" s="276">
        <v>0.19783989013264863</v>
      </c>
      <c r="AC217" s="276">
        <v>0.19468753543734177</v>
      </c>
      <c r="AD217" s="276">
        <v>0.19162670224103123</v>
      </c>
      <c r="AE217" s="276">
        <v>0.18865212218757565</v>
      </c>
      <c r="AF217" s="276">
        <v>0.18575895788488161</v>
      </c>
    </row>
    <row r="218" spans="1:32" x14ac:dyDescent="0.25">
      <c r="A218" s="322"/>
      <c r="B218" s="328" t="s">
        <v>29</v>
      </c>
      <c r="G218" s="276">
        <v>1.4882072448467858</v>
      </c>
      <c r="H218" s="276">
        <v>0.63281820424488766</v>
      </c>
      <c r="I218" s="276">
        <v>0.39693839426546379</v>
      </c>
      <c r="J218" s="276">
        <v>0.28079581775243867</v>
      </c>
      <c r="K218" s="276">
        <v>0.21412682999798652</v>
      </c>
      <c r="L218" s="276">
        <v>0.17197022091980149</v>
      </c>
      <c r="M218" s="276">
        <v>0.14341085852230076</v>
      </c>
      <c r="N218" s="276">
        <v>0.12301280685477463</v>
      </c>
      <c r="O218" s="276">
        <v>0.10781396480898035</v>
      </c>
      <c r="P218" s="276">
        <v>9.6088816513098224E-2</v>
      </c>
      <c r="Q218" s="276">
        <v>8.6778265090740325E-2</v>
      </c>
      <c r="R218" s="276">
        <v>7.920388566180521E-2</v>
      </c>
      <c r="S218" s="276">
        <v>7.2915115083989013E-2</v>
      </c>
      <c r="T218" s="276">
        <v>6.7603184610047856E-2</v>
      </c>
      <c r="U218" s="276">
        <v>6.3050536739333862E-2</v>
      </c>
      <c r="V218" s="276">
        <v>5.9100013110489041E-2</v>
      </c>
      <c r="W218" s="276">
        <v>5.5635498620642952E-2</v>
      </c>
      <c r="X218" s="276">
        <v>5.2569428991078519E-2</v>
      </c>
      <c r="Y218" s="276">
        <v>4.9834530838024506E-2</v>
      </c>
      <c r="Z218" s="276">
        <v>4.7378239147220558E-2</v>
      </c>
      <c r="AA218" s="276">
        <v>4.5158847467758563E-2</v>
      </c>
      <c r="AB218" s="276">
        <v>4.3142802897051052E-2</v>
      </c>
      <c r="AC218" s="276">
        <v>4.1302771935874304E-2</v>
      </c>
      <c r="AD218" s="276">
        <v>3.9616234674467149E-2</v>
      </c>
      <c r="AE218" s="276">
        <v>3.8064447122124645E-2</v>
      </c>
      <c r="AF218" s="276">
        <v>3.6631664094527186E-2</v>
      </c>
    </row>
    <row r="219" spans="1:32" x14ac:dyDescent="0.25">
      <c r="A219" s="322"/>
      <c r="B219" s="328" t="s">
        <v>53</v>
      </c>
      <c r="G219" s="276">
        <v>0.13183098483294164</v>
      </c>
      <c r="H219" s="276">
        <v>0.1305192337400764</v>
      </c>
      <c r="I219" s="276">
        <v>0.12922047028179437</v>
      </c>
      <c r="J219" s="276">
        <v>0.12793450252260849</v>
      </c>
      <c r="K219" s="276">
        <v>0.12666114229047346</v>
      </c>
      <c r="L219" s="276">
        <v>0.12540020508499339</v>
      </c>
      <c r="M219" s="276">
        <v>0.12415150998830424</v>
      </c>
      <c r="N219" s="276">
        <v>0.12291487957853978</v>
      </c>
      <c r="O219" s="276">
        <v>0.12169013984579227</v>
      </c>
      <c r="P219" s="276">
        <v>0.12047712011048732</v>
      </c>
      <c r="Q219" s="276">
        <v>0.11927565294409007</v>
      </c>
      <c r="R219" s="276">
        <v>0.11808557409206606</v>
      </c>
      <c r="S219" s="276">
        <v>0.11690672239902382</v>
      </c>
      <c r="T219" s="276">
        <v>0.11573893973596297</v>
      </c>
      <c r="U219" s="276">
        <v>0.11458207092956621</v>
      </c>
      <c r="V219" s="276">
        <v>0.11343596369346154</v>
      </c>
      <c r="W219" s="276">
        <v>0.11230046856139471</v>
      </c>
      <c r="X219" s="276">
        <v>0.1111754388222503</v>
      </c>
      <c r="Y219" s="276">
        <v>0.11006073045685955</v>
      </c>
      <c r="Z219" s="276">
        <v>0.1089562020765408</v>
      </c>
      <c r="AA219" s="276">
        <v>0.10786171486331589</v>
      </c>
      <c r="AB219" s="276">
        <v>0.106777132511749</v>
      </c>
      <c r="AC219" s="276">
        <v>0.10570232117235849</v>
      </c>
      <c r="AD219" s="276">
        <v>0.10463714939655021</v>
      </c>
      <c r="AE219" s="276">
        <v>0.1035814880830257</v>
      </c>
      <c r="AF219" s="276">
        <v>0.10253521042562139</v>
      </c>
    </row>
    <row r="221" spans="1:32" x14ac:dyDescent="0.25">
      <c r="A221" s="326" t="s">
        <v>201</v>
      </c>
      <c r="B221" s="327"/>
      <c r="C221" s="327"/>
      <c r="D221" s="327"/>
      <c r="E221" s="327"/>
      <c r="F221" s="273"/>
      <c r="G221" s="866" t="s">
        <v>489</v>
      </c>
      <c r="H221" s="327"/>
      <c r="I221" s="327"/>
      <c r="J221" s="327"/>
      <c r="K221" s="327"/>
      <c r="L221" s="327"/>
      <c r="M221" s="327"/>
      <c r="N221" s="327"/>
      <c r="O221" s="327"/>
      <c r="P221" s="327"/>
      <c r="Q221" s="327"/>
      <c r="R221" s="327"/>
      <c r="S221" s="327"/>
      <c r="T221" s="327"/>
      <c r="U221" s="327"/>
      <c r="V221" s="327"/>
      <c r="W221" s="327"/>
      <c r="X221" s="327"/>
      <c r="Y221" s="327"/>
      <c r="Z221" s="327"/>
      <c r="AA221" s="327"/>
      <c r="AB221" s="327"/>
      <c r="AC221" s="327"/>
      <c r="AD221" s="327"/>
      <c r="AE221" s="327"/>
      <c r="AF221" s="327"/>
    </row>
    <row r="222" spans="1:32" x14ac:dyDescent="0.25">
      <c r="A222" s="323" t="s">
        <v>12</v>
      </c>
      <c r="B222" s="322"/>
    </row>
    <row r="223" spans="1:32" x14ac:dyDescent="0.25">
      <c r="A223" s="322"/>
      <c r="B223" s="322" t="s">
        <v>20</v>
      </c>
    </row>
    <row r="224" spans="1:32" s="202" customFormat="1" ht="12.75" x14ac:dyDescent="0.2">
      <c r="A224" s="335" t="s">
        <v>21</v>
      </c>
      <c r="B224" s="335"/>
      <c r="C224" s="335"/>
      <c r="D224" s="335"/>
      <c r="E224" s="335"/>
      <c r="F224" s="335"/>
      <c r="G224" s="335"/>
      <c r="H224" s="335"/>
      <c r="I224" s="335"/>
      <c r="J224" s="335"/>
      <c r="K224" s="335"/>
      <c r="L224" s="335"/>
      <c r="M224" s="335"/>
      <c r="N224" s="335"/>
      <c r="O224" s="335"/>
      <c r="P224" s="335"/>
      <c r="Q224" s="335"/>
      <c r="R224" s="335"/>
      <c r="S224" s="335"/>
      <c r="T224" s="335"/>
      <c r="U224" s="335"/>
      <c r="V224" s="335"/>
      <c r="W224" s="335"/>
      <c r="X224" s="335"/>
      <c r="Y224" s="335"/>
      <c r="Z224" s="335"/>
      <c r="AA224" s="335"/>
      <c r="AB224" s="335"/>
      <c r="AC224" s="335"/>
      <c r="AD224" s="335"/>
      <c r="AE224" s="335"/>
      <c r="AF224" s="335"/>
    </row>
    <row r="225" spans="1:32" x14ac:dyDescent="0.25">
      <c r="A225" s="322"/>
      <c r="B225" s="322" t="s">
        <v>22</v>
      </c>
      <c r="G225" s="644">
        <f t="array" ref="G225:AF255" ca="1">IFERROR(IF(ISNUMBER(Cost_System_NC),(Cost_System_NC+Cost_Ballast*IF(ISNUMBER(Life_Ballast),(Life_Fixture/Life_Ballast-1),)+Cost_Lamp*IF(ISNUMBER(Life_Fixture),(Life_Fixture/Life_Lamp-1),))/(IF(ISNUMBER(Life_Fixture),Life_Fixture,Life_Lamp)/(DailyOpHours*365.25)),""),1000)</f>
        <v>0.45638925515325762</v>
      </c>
      <c r="H225" s="276">
        <f ca="1"/>
        <v>0.45492187882489338</v>
      </c>
      <c r="I225" s="276">
        <f ca="1"/>
        <v>0.45345450249652863</v>
      </c>
      <c r="J225" s="276">
        <f ca="1"/>
        <v>0.45198712616816433</v>
      </c>
      <c r="K225" s="276">
        <f ca="1"/>
        <v>0.45051974983979953</v>
      </c>
      <c r="L225" s="276">
        <f ca="1"/>
        <v>0.44905237351143473</v>
      </c>
      <c r="M225" s="276">
        <f ca="1"/>
        <v>0.44758499718307043</v>
      </c>
      <c r="N225" s="276">
        <f ca="1"/>
        <v>0.44611762085470569</v>
      </c>
      <c r="O225" s="276">
        <f ca="1"/>
        <v>0.44465024452634144</v>
      </c>
      <c r="P225" s="276">
        <f ca="1"/>
        <v>0.44318286819797664</v>
      </c>
      <c r="Q225" s="276">
        <f ca="1"/>
        <v>0.44171549186961234</v>
      </c>
      <c r="R225" s="276">
        <f ca="1"/>
        <v>0.4402481155412476</v>
      </c>
      <c r="S225" s="276">
        <f ca="1"/>
        <v>0.43878073921288324</v>
      </c>
      <c r="T225" s="276">
        <f ca="1"/>
        <v>0.43731336288451861</v>
      </c>
      <c r="U225" s="276">
        <f ca="1"/>
        <v>0.4358459865561537</v>
      </c>
      <c r="V225" s="276">
        <f ca="1"/>
        <v>0.43437861022778951</v>
      </c>
      <c r="W225" s="276">
        <f ca="1"/>
        <v>0.43291123389942471</v>
      </c>
      <c r="X225" s="276">
        <f ca="1"/>
        <v>0.43144385757106041</v>
      </c>
      <c r="Y225" s="276">
        <f ca="1"/>
        <v>0.42997648124269561</v>
      </c>
      <c r="Z225" s="276">
        <f ca="1"/>
        <v>0.42850910491433142</v>
      </c>
      <c r="AA225" s="276">
        <f ca="1"/>
        <v>0.42704172858596662</v>
      </c>
      <c r="AB225" s="276">
        <f ca="1"/>
        <v>0.42557435225760232</v>
      </c>
      <c r="AC225" s="276">
        <f ca="1"/>
        <v>0.42410697592923752</v>
      </c>
      <c r="AD225" s="276">
        <f ca="1"/>
        <v>0.42263959960087277</v>
      </c>
      <c r="AE225" s="276">
        <f ca="1"/>
        <v>0.42117222327250853</v>
      </c>
      <c r="AF225" s="276">
        <f ca="1"/>
        <v>0.41970484694414373</v>
      </c>
    </row>
    <row r="226" spans="1:32" x14ac:dyDescent="0.25">
      <c r="A226" s="322"/>
      <c r="B226" s="322" t="s">
        <v>26</v>
      </c>
      <c r="G226" s="276">
        <f ca="1"/>
        <v>1.2794245755120215</v>
      </c>
      <c r="H226" s="276">
        <f ca="1"/>
        <v>1.268471792364398</v>
      </c>
      <c r="I226" s="276">
        <f ca="1"/>
        <v>1.2576274526142739</v>
      </c>
      <c r="J226" s="276">
        <f ca="1"/>
        <v>1.2468899536498668</v>
      </c>
      <c r="K226" s="276">
        <f ca="1"/>
        <v>1.2362577242831514</v>
      </c>
      <c r="L226" s="276">
        <f ca="1"/>
        <v>1.2257292239834274</v>
      </c>
      <c r="M226" s="276">
        <f ca="1"/>
        <v>1.2153029421332131</v>
      </c>
      <c r="N226" s="276">
        <f ca="1"/>
        <v>1.2049773973057083</v>
      </c>
      <c r="O226" s="276">
        <f ca="1"/>
        <v>1.1947511365630834</v>
      </c>
      <c r="P226" s="276">
        <f ca="1"/>
        <v>1.1846227347749332</v>
      </c>
      <c r="Q226" s="276">
        <f ca="1"/>
        <v>1.1745907939561953</v>
      </c>
      <c r="R226" s="276">
        <f ca="1"/>
        <v>1.1646539426238876</v>
      </c>
      <c r="S226" s="276">
        <f ca="1"/>
        <v>1.1548108351720752</v>
      </c>
      <c r="T226" s="276">
        <f ca="1"/>
        <v>1.1450601512644114</v>
      </c>
      <c r="U226" s="276">
        <f ca="1"/>
        <v>1.1354005952437354</v>
      </c>
      <c r="V226" s="276">
        <f ca="1"/>
        <v>1.1258308955581333</v>
      </c>
      <c r="W226" s="276">
        <f ca="1"/>
        <v>1.1163498042029556</v>
      </c>
      <c r="X226" s="276">
        <f ca="1"/>
        <v>1.106956096178241</v>
      </c>
      <c r="Y226" s="276">
        <f ca="1"/>
        <v>1.0976485689610918</v>
      </c>
      <c r="Z226" s="276">
        <f ca="1"/>
        <v>1.0884260419924989</v>
      </c>
      <c r="AA226" s="276">
        <f ca="1"/>
        <v>1.0792873561781682</v>
      </c>
      <c r="AB226" s="276">
        <f ca="1"/>
        <v>1.070231373402881</v>
      </c>
      <c r="AC226" s="276">
        <f ca="1"/>
        <v>1.061256976058002</v>
      </c>
      <c r="AD226" s="276">
        <f ca="1"/>
        <v>1.0523630665816857</v>
      </c>
      <c r="AE226" s="276">
        <f ca="1"/>
        <v>1.0435485670114089</v>
      </c>
      <c r="AF226" s="276">
        <f ca="1"/>
        <v>1.0348124185484235</v>
      </c>
    </row>
    <row r="227" spans="1:32" x14ac:dyDescent="0.25">
      <c r="A227" s="322"/>
      <c r="B227" s="322" t="s">
        <v>27</v>
      </c>
      <c r="G227" s="276">
        <f ca="1"/>
        <v>0.36733439663111989</v>
      </c>
      <c r="H227" s="276">
        <f ca="1"/>
        <v>0.36519178398836288</v>
      </c>
      <c r="I227" s="276">
        <f ca="1"/>
        <v>0.36307038533216751</v>
      </c>
      <c r="J227" s="276">
        <f ca="1"/>
        <v>0.36096988715534345</v>
      </c>
      <c r="K227" s="276">
        <f ca="1"/>
        <v>0.35888998209790063</v>
      </c>
      <c r="L227" s="276">
        <f ca="1"/>
        <v>0.35683036879711527</v>
      </c>
      <c r="M227" s="276">
        <f ca="1"/>
        <v>0.35479075174196861</v>
      </c>
      <c r="N227" s="276">
        <f ca="1"/>
        <v>0.35277084113179941</v>
      </c>
      <c r="O227" s="276">
        <f ca="1"/>
        <v>0.35077035273903551</v>
      </c>
      <c r="P227" s="276">
        <f ca="1"/>
        <v>0.34878900777586735</v>
      </c>
      <c r="Q227" s="276">
        <f ca="1"/>
        <v>0.34682653276472963</v>
      </c>
      <c r="R227" s="276">
        <f ca="1"/>
        <v>0.34488265941246526</v>
      </c>
      <c r="S227" s="276">
        <f ca="1"/>
        <v>0.34295712448805221</v>
      </c>
      <c r="T227" s="276">
        <f ca="1"/>
        <v>0.34104966970377454</v>
      </c>
      <c r="U227" s="276">
        <f ca="1"/>
        <v>0.3391600415997239</v>
      </c>
      <c r="V227" s="276">
        <f ca="1"/>
        <v>0.33728799143152471</v>
      </c>
      <c r="W227" s="276">
        <f ca="1"/>
        <v>0.33543327506117926</v>
      </c>
      <c r="X227" s="276">
        <f ca="1"/>
        <v>0.33359565285092957</v>
      </c>
      <c r="Y227" s="276">
        <f ca="1"/>
        <v>0.33177488956003959</v>
      </c>
      <c r="Z227" s="276">
        <f ca="1"/>
        <v>0.32997075424440875</v>
      </c>
      <c r="AA227" s="276">
        <f ca="1"/>
        <v>0.32818302015892031</v>
      </c>
      <c r="AB227" s="276">
        <f ca="1"/>
        <v>0.32641146466244053</v>
      </c>
      <c r="AC227" s="276">
        <f ca="1"/>
        <v>0.32465586912538857</v>
      </c>
      <c r="AD227" s="276">
        <f ca="1"/>
        <v>0.32291601883979026</v>
      </c>
      <c r="AE227" s="276">
        <f ca="1"/>
        <v>0.32119170293174176</v>
      </c>
      <c r="AF227" s="276">
        <f ca="1"/>
        <v>0.31948271427620917</v>
      </c>
    </row>
    <row r="228" spans="1:32" x14ac:dyDescent="0.25">
      <c r="A228" s="322"/>
      <c r="B228" s="322" t="s">
        <v>29</v>
      </c>
      <c r="G228" s="276">
        <f ca="1"/>
        <v>1.610952058870156</v>
      </c>
      <c r="H228" s="276">
        <f ca="1"/>
        <v>0.77619790386546372</v>
      </c>
      <c r="I228" s="276">
        <f ca="1"/>
        <v>0.54600831513342807</v>
      </c>
      <c r="J228" s="276">
        <f ca="1"/>
        <v>0.43266749158373813</v>
      </c>
      <c r="K228" s="276">
        <f ca="1"/>
        <v>0.36760678599084678</v>
      </c>
      <c r="L228" s="276">
        <f ca="1"/>
        <v>0.32646713734143046</v>
      </c>
      <c r="M228" s="276">
        <f ca="1"/>
        <v>0.29859672365361484</v>
      </c>
      <c r="N228" s="276">
        <f ca="1"/>
        <v>0.27869074219342871</v>
      </c>
      <c r="O228" s="276">
        <f ca="1"/>
        <v>0.26385854778039375</v>
      </c>
      <c r="P228" s="276">
        <f ca="1"/>
        <v>0.25241624983939287</v>
      </c>
      <c r="Q228" s="276">
        <f ca="1"/>
        <v>0.24333030050372068</v>
      </c>
      <c r="R228" s="276">
        <f ca="1"/>
        <v>0.23593864080296437</v>
      </c>
      <c r="S228" s="276">
        <f ca="1"/>
        <v>0.22980157670636403</v>
      </c>
      <c r="T228" s="276">
        <f ca="1"/>
        <v>0.22461778801636828</v>
      </c>
      <c r="U228" s="276">
        <f ca="1"/>
        <v>0.22017496545731646</v>
      </c>
      <c r="V228" s="276">
        <f ca="1"/>
        <v>0.21631974186069194</v>
      </c>
      <c r="W228" s="276">
        <f ca="1"/>
        <v>0.21293880321383019</v>
      </c>
      <c r="X228" s="276">
        <f ca="1"/>
        <v>0.20994669758548165</v>
      </c>
      <c r="Y228" s="276">
        <f ca="1"/>
        <v>0.20727777445411902</v>
      </c>
      <c r="Z228" s="276">
        <f ca="1"/>
        <v>0.2048807368519546</v>
      </c>
      <c r="AA228" s="276">
        <f ca="1"/>
        <v>0.20271488442916677</v>
      </c>
      <c r="AB228" s="276">
        <f ca="1"/>
        <v>0.20074747369300799</v>
      </c>
      <c r="AC228" s="276">
        <f ca="1"/>
        <v>0.19895183052098561</v>
      </c>
      <c r="AD228" s="276">
        <f ca="1"/>
        <v>0.19730597825996155</v>
      </c>
      <c r="AE228" s="276">
        <f ca="1"/>
        <v>0.19579162508787626</v>
      </c>
      <c r="AF228" s="276">
        <f ca="1"/>
        <v>0.19439340564767207</v>
      </c>
    </row>
    <row r="229" spans="1:32" x14ac:dyDescent="0.25">
      <c r="A229" s="322"/>
      <c r="B229" s="322"/>
      <c r="G229" s="276" t="str">
        <v/>
      </c>
      <c r="H229" s="276" t="str">
        <v/>
      </c>
      <c r="I229" s="276" t="str">
        <v/>
      </c>
      <c r="J229" s="276" t="str">
        <v/>
      </c>
      <c r="K229" s="276" t="str">
        <v/>
      </c>
      <c r="L229" s="276" t="str">
        <v/>
      </c>
      <c r="M229" s="276" t="str">
        <v/>
      </c>
      <c r="N229" s="276" t="str">
        <v/>
      </c>
      <c r="O229" s="276" t="str">
        <v/>
      </c>
      <c r="P229" s="276" t="str">
        <v/>
      </c>
      <c r="Q229" s="276" t="str">
        <v/>
      </c>
      <c r="R229" s="276" t="str">
        <v/>
      </c>
      <c r="S229" s="276" t="str">
        <v/>
      </c>
      <c r="T229" s="276" t="str">
        <v/>
      </c>
      <c r="U229" s="276" t="str">
        <v/>
      </c>
      <c r="V229" s="276" t="str">
        <v/>
      </c>
      <c r="W229" s="276" t="str">
        <v/>
      </c>
      <c r="X229" s="276" t="str">
        <v/>
      </c>
      <c r="Y229" s="276" t="str">
        <v/>
      </c>
      <c r="Z229" s="276" t="str">
        <v/>
      </c>
      <c r="AA229" s="276" t="str">
        <v/>
      </c>
      <c r="AB229" s="276" t="str">
        <v/>
      </c>
      <c r="AC229" s="276" t="str">
        <v/>
      </c>
      <c r="AD229" s="276" t="str">
        <v/>
      </c>
      <c r="AE229" s="276" t="str">
        <v/>
      </c>
      <c r="AF229" s="276" t="str">
        <v/>
      </c>
    </row>
    <row r="230" spans="1:32" s="202" customFormat="1" ht="12.75" x14ac:dyDescent="0.2">
      <c r="A230" s="335" t="s">
        <v>32</v>
      </c>
      <c r="B230" s="335"/>
      <c r="C230" s="335"/>
      <c r="D230" s="335"/>
      <c r="E230" s="335"/>
      <c r="F230" s="335"/>
      <c r="G230" s="274" t="str">
        <v/>
      </c>
      <c r="H230" s="274" t="str">
        <v/>
      </c>
      <c r="I230" s="274" t="str">
        <v/>
      </c>
      <c r="J230" s="274" t="str">
        <v/>
      </c>
      <c r="K230" s="274" t="str">
        <v/>
      </c>
      <c r="L230" s="274" t="str">
        <v/>
      </c>
      <c r="M230" s="274" t="str">
        <v/>
      </c>
      <c r="N230" s="274" t="str">
        <v/>
      </c>
      <c r="O230" s="274" t="str">
        <v/>
      </c>
      <c r="P230" s="274" t="str">
        <v/>
      </c>
      <c r="Q230" s="274" t="str">
        <v/>
      </c>
      <c r="R230" s="274" t="str">
        <v/>
      </c>
      <c r="S230" s="274" t="str">
        <v/>
      </c>
      <c r="T230" s="274" t="str">
        <v/>
      </c>
      <c r="U230" s="274" t="str">
        <v/>
      </c>
      <c r="V230" s="274" t="str">
        <v/>
      </c>
      <c r="W230" s="274" t="str">
        <v/>
      </c>
      <c r="X230" s="274" t="str">
        <v/>
      </c>
      <c r="Y230" s="274" t="str">
        <v/>
      </c>
      <c r="Z230" s="274" t="str">
        <v/>
      </c>
      <c r="AA230" s="274" t="str">
        <v/>
      </c>
      <c r="AB230" s="274" t="str">
        <v/>
      </c>
      <c r="AC230" s="274" t="str">
        <v/>
      </c>
      <c r="AD230" s="274" t="str">
        <v/>
      </c>
      <c r="AE230" s="274" t="str">
        <v/>
      </c>
      <c r="AF230" s="274" t="str">
        <v/>
      </c>
    </row>
    <row r="231" spans="1:32" x14ac:dyDescent="0.25">
      <c r="A231" s="322"/>
      <c r="B231" s="322" t="s">
        <v>33</v>
      </c>
      <c r="G231" s="276">
        <v>1.3307342597843517</v>
      </c>
      <c r="H231" s="276">
        <v>1.3250269047686734</v>
      </c>
      <c r="I231" s="276">
        <v>1.3193195497529964</v>
      </c>
      <c r="J231" s="276">
        <v>1.3136121947373192</v>
      </c>
      <c r="K231" s="276">
        <v>1.3079048397216424</v>
      </c>
      <c r="L231" s="276">
        <v>1.3021974847059652</v>
      </c>
      <c r="M231" s="276">
        <v>1.2964901296902871</v>
      </c>
      <c r="N231" s="276">
        <v>1.2907827746746099</v>
      </c>
      <c r="O231" s="276">
        <v>1.2850754196589329</v>
      </c>
      <c r="P231" s="276">
        <v>1.2793680646432561</v>
      </c>
      <c r="Q231" s="276">
        <v>1.2736607096275789</v>
      </c>
      <c r="R231" s="276">
        <v>1.2679533546119022</v>
      </c>
      <c r="S231" s="276">
        <v>1.2622459995962236</v>
      </c>
      <c r="T231" s="276">
        <v>1.2565386445805469</v>
      </c>
      <c r="U231" s="276">
        <v>1.2508312895648697</v>
      </c>
      <c r="V231" s="276">
        <v>1.2451239345491927</v>
      </c>
      <c r="W231" s="276">
        <v>1.2394165795335157</v>
      </c>
      <c r="X231" s="276">
        <v>1.2337092245178387</v>
      </c>
      <c r="Y231" s="276">
        <v>1.2280018695021604</v>
      </c>
      <c r="Z231" s="276">
        <v>1.2222945144864834</v>
      </c>
      <c r="AA231" s="276">
        <v>1.2165871594708064</v>
      </c>
      <c r="AB231" s="276">
        <v>1.2108798044551294</v>
      </c>
      <c r="AC231" s="276">
        <v>1.2051724494394525</v>
      </c>
      <c r="AD231" s="276">
        <v>1.1994650944237755</v>
      </c>
      <c r="AE231" s="276">
        <v>1.1937577394080972</v>
      </c>
      <c r="AF231" s="276">
        <v>1.1880503843924202</v>
      </c>
    </row>
    <row r="232" spans="1:32" x14ac:dyDescent="0.25">
      <c r="A232" s="328"/>
      <c r="B232" s="328" t="s">
        <v>34</v>
      </c>
      <c r="G232" s="276">
        <v>1.201051416623458</v>
      </c>
      <c r="H232" s="276">
        <v>1.1904870595453774</v>
      </c>
      <c r="I232" s="276">
        <v>1.3838568556602586</v>
      </c>
      <c r="J232" s="276">
        <v>1.5753215306311505</v>
      </c>
      <c r="K232" s="276">
        <v>1.7649091009454669</v>
      </c>
      <c r="L232" s="276">
        <v>1.7488912343466785</v>
      </c>
      <c r="M232" s="276">
        <v>1.7330691258479283</v>
      </c>
      <c r="N232" s="276">
        <v>1.7174397381232409</v>
      </c>
      <c r="O232" s="276">
        <v>1.7020000932532007</v>
      </c>
      <c r="P232" s="276">
        <v>1.686747271298785</v>
      </c>
      <c r="Q232" s="276">
        <v>1.6716784089159729</v>
      </c>
      <c r="R232" s="276">
        <v>1.6567906980097582</v>
      </c>
      <c r="S232" s="276">
        <v>1.6420813844263047</v>
      </c>
      <c r="T232" s="276">
        <v>1.6275477666819431</v>
      </c>
      <c r="U232" s="276">
        <v>1.6131871947278422</v>
      </c>
      <c r="V232" s="276">
        <v>1.5989970687491695</v>
      </c>
      <c r="W232" s="276">
        <v>1.5849748379976372</v>
      </c>
      <c r="X232" s="276">
        <v>1.5711179996563467</v>
      </c>
      <c r="Y232" s="276">
        <v>1.5574240977359004</v>
      </c>
      <c r="Z232" s="276">
        <v>1.5438907220007838</v>
      </c>
      <c r="AA232" s="276">
        <v>1.5305155069250438</v>
      </c>
      <c r="AB232" s="276">
        <v>1.5172961306763459</v>
      </c>
      <c r="AC232" s="276">
        <v>1.504230314127508</v>
      </c>
      <c r="AD232" s="276">
        <v>1.4913158198946572</v>
      </c>
      <c r="AE232" s="276">
        <v>1.4785504514011631</v>
      </c>
      <c r="AF232" s="276">
        <v>1.4659320519665648</v>
      </c>
    </row>
    <row r="233" spans="1:32" x14ac:dyDescent="0.25">
      <c r="A233" s="322"/>
      <c r="B233" s="328" t="s">
        <v>35</v>
      </c>
      <c r="G233" s="276">
        <v>1.081418015038575</v>
      </c>
      <c r="H233" s="276">
        <v>1.0724481302806734</v>
      </c>
      <c r="I233" s="276">
        <v>1.0635670562629491</v>
      </c>
      <c r="J233" s="276">
        <v>1.0547734805114093</v>
      </c>
      <c r="K233" s="276">
        <v>1.0460661162868468</v>
      </c>
      <c r="L233" s="276">
        <v>1.0374437019571563</v>
      </c>
      <c r="M233" s="276">
        <v>1.0289050003879474</v>
      </c>
      <c r="N233" s="276">
        <v>1.0204487983508106</v>
      </c>
      <c r="O233" s="276">
        <v>1.0120739059486448</v>
      </c>
      <c r="P233" s="276">
        <v>1.0037791560575049</v>
      </c>
      <c r="Q233" s="276">
        <v>0.99556340378437547</v>
      </c>
      <c r="R233" s="276">
        <v>0.98742552594037547</v>
      </c>
      <c r="S233" s="276">
        <v>0.97936442052886585</v>
      </c>
      <c r="T233" s="276">
        <v>0.97137900624798112</v>
      </c>
      <c r="U233" s="276">
        <v>0.96346822200710547</v>
      </c>
      <c r="V233" s="276">
        <v>0.95563102645684161</v>
      </c>
      <c r="W233" s="276">
        <v>0.94786639753204205</v>
      </c>
      <c r="X233" s="276">
        <v>0.94017333200747311</v>
      </c>
      <c r="Y233" s="276">
        <v>0.93255084506569741</v>
      </c>
      <c r="Z233" s="276">
        <v>0.92499796987681437</v>
      </c>
      <c r="AA233" s="276">
        <v>0.91751375718965</v>
      </c>
      <c r="AB233" s="276">
        <v>0.91009727493404113</v>
      </c>
      <c r="AC233" s="276">
        <v>0.90274760783388941</v>
      </c>
      <c r="AD233" s="276">
        <v>0.89546385703060005</v>
      </c>
      <c r="AE233" s="276">
        <v>0.88824513971662689</v>
      </c>
      <c r="AF233" s="276">
        <v>0.88109058877877688</v>
      </c>
    </row>
    <row r="234" spans="1:32" x14ac:dyDescent="0.25">
      <c r="A234" s="322"/>
      <c r="B234" s="328" t="s">
        <v>29</v>
      </c>
      <c r="G234" s="276">
        <v>1.6010645904753016</v>
      </c>
      <c r="H234" s="276">
        <v>0.77831218500939336</v>
      </c>
      <c r="I234" s="276">
        <v>0.55143216685431662</v>
      </c>
      <c r="J234" s="276">
        <v>0.43972091072709174</v>
      </c>
      <c r="K234" s="276">
        <v>0.37559562101522476</v>
      </c>
      <c r="L234" s="276">
        <v>0.33504746119667395</v>
      </c>
      <c r="M234" s="276">
        <v>0.30757775677471583</v>
      </c>
      <c r="N234" s="276">
        <v>0.2879579752721777</v>
      </c>
      <c r="O234" s="276">
        <v>0.27333903200786547</v>
      </c>
      <c r="P234" s="276">
        <v>0.26206124668799102</v>
      </c>
      <c r="Q234" s="276">
        <v>0.25310593136904702</v>
      </c>
      <c r="R234" s="276">
        <v>0.24582054589031471</v>
      </c>
      <c r="S234" s="276">
        <v>0.23977171795971516</v>
      </c>
      <c r="T234" s="276">
        <v>0.2346624596367099</v>
      </c>
      <c r="U234" s="276">
        <v>0.23028351414047871</v>
      </c>
      <c r="V234" s="276">
        <v>0.22648371935213898</v>
      </c>
      <c r="W234" s="276">
        <v>0.2231513904409729</v>
      </c>
      <c r="X234" s="276">
        <v>0.22020230406820959</v>
      </c>
      <c r="Y234" s="276">
        <v>0.21757175360833217</v>
      </c>
      <c r="Z234" s="276">
        <v>0.21520917962011174</v>
      </c>
      <c r="AA234" s="276">
        <v>0.213074466926501</v>
      </c>
      <c r="AB234" s="276">
        <v>0.21113534280713078</v>
      </c>
      <c r="AC234" s="276">
        <v>0.209365516648995</v>
      </c>
      <c r="AD234" s="276">
        <v>0.20774332777017301</v>
      </c>
      <c r="AE234" s="276">
        <v>0.20625074734084756</v>
      </c>
      <c r="AF234" s="276">
        <v>0.2048726309207014</v>
      </c>
    </row>
    <row r="235" spans="1:32" x14ac:dyDescent="0.25">
      <c r="A235" s="322"/>
      <c r="B235" s="322"/>
      <c r="G235" s="276" t="str">
        <v/>
      </c>
      <c r="H235" s="276" t="str">
        <v/>
      </c>
      <c r="I235" s="276" t="str">
        <v/>
      </c>
      <c r="J235" s="276" t="str">
        <v/>
      </c>
      <c r="K235" s="276" t="str">
        <v/>
      </c>
      <c r="L235" s="276" t="str">
        <v/>
      </c>
      <c r="M235" s="276" t="str">
        <v/>
      </c>
      <c r="N235" s="276" t="str">
        <v/>
      </c>
      <c r="O235" s="276" t="str">
        <v/>
      </c>
      <c r="P235" s="276" t="str">
        <v/>
      </c>
      <c r="Q235" s="276" t="str">
        <v/>
      </c>
      <c r="R235" s="276" t="str">
        <v/>
      </c>
      <c r="S235" s="276" t="str">
        <v/>
      </c>
      <c r="T235" s="276" t="str">
        <v/>
      </c>
      <c r="U235" s="276" t="str">
        <v/>
      </c>
      <c r="V235" s="276" t="str">
        <v/>
      </c>
      <c r="W235" s="276" t="str">
        <v/>
      </c>
      <c r="X235" s="276" t="str">
        <v/>
      </c>
      <c r="Y235" s="276" t="str">
        <v/>
      </c>
      <c r="Z235" s="276" t="str">
        <v/>
      </c>
      <c r="AA235" s="276" t="str">
        <v/>
      </c>
      <c r="AB235" s="276" t="str">
        <v/>
      </c>
      <c r="AC235" s="276" t="str">
        <v/>
      </c>
      <c r="AD235" s="276" t="str">
        <v/>
      </c>
      <c r="AE235" s="276" t="str">
        <v/>
      </c>
      <c r="AF235" s="276" t="str">
        <v/>
      </c>
    </row>
    <row r="236" spans="1:32" s="202" customFormat="1" ht="12.75" x14ac:dyDescent="0.2">
      <c r="A236" s="335" t="s">
        <v>36</v>
      </c>
      <c r="B236" s="335"/>
      <c r="C236" s="335"/>
      <c r="D236" s="335"/>
      <c r="E236" s="335"/>
      <c r="F236" s="335"/>
      <c r="G236" s="274" t="str">
        <v/>
      </c>
      <c r="H236" s="274" t="str">
        <v/>
      </c>
      <c r="I236" s="274" t="str">
        <v/>
      </c>
      <c r="J236" s="274" t="str">
        <v/>
      </c>
      <c r="K236" s="274" t="str">
        <v/>
      </c>
      <c r="L236" s="274" t="str">
        <v/>
      </c>
      <c r="M236" s="274" t="str">
        <v/>
      </c>
      <c r="N236" s="274" t="str">
        <v/>
      </c>
      <c r="O236" s="274" t="str">
        <v/>
      </c>
      <c r="P236" s="274" t="str">
        <v/>
      </c>
      <c r="Q236" s="274" t="str">
        <v/>
      </c>
      <c r="R236" s="274" t="str">
        <v/>
      </c>
      <c r="S236" s="274" t="str">
        <v/>
      </c>
      <c r="T236" s="274" t="str">
        <v/>
      </c>
      <c r="U236" s="274" t="str">
        <v/>
      </c>
      <c r="V236" s="274" t="str">
        <v/>
      </c>
      <c r="W236" s="274" t="str">
        <v/>
      </c>
      <c r="X236" s="274" t="str">
        <v/>
      </c>
      <c r="Y236" s="274" t="str">
        <v/>
      </c>
      <c r="Z236" s="274" t="str">
        <v/>
      </c>
      <c r="AA236" s="274" t="str">
        <v/>
      </c>
      <c r="AB236" s="274" t="str">
        <v/>
      </c>
      <c r="AC236" s="274" t="str">
        <v/>
      </c>
      <c r="AD236" s="274" t="str">
        <v/>
      </c>
      <c r="AE236" s="274" t="str">
        <v/>
      </c>
      <c r="AF236" s="274" t="str">
        <v/>
      </c>
    </row>
    <row r="237" spans="1:32" x14ac:dyDescent="0.25">
      <c r="A237" s="322"/>
      <c r="B237" s="322" t="s">
        <v>37</v>
      </c>
      <c r="G237" s="276">
        <v>0.33449466990834487</v>
      </c>
      <c r="H237" s="276">
        <v>0.33012140768971443</v>
      </c>
      <c r="I237" s="276">
        <v>0.32606685218709874</v>
      </c>
      <c r="J237" s="276">
        <v>0.32229383971983078</v>
      </c>
      <c r="K237" s="276">
        <v>0.31877076851863667</v>
      </c>
      <c r="L237" s="276">
        <v>0.31547059575800673</v>
      </c>
      <c r="M237" s="276">
        <v>0.3123700440691472</v>
      </c>
      <c r="N237" s="276">
        <v>0.30944896820628459</v>
      </c>
      <c r="O237" s="276">
        <v>0.30668984538167299</v>
      </c>
      <c r="P237" s="276">
        <v>0.30407736198424551</v>
      </c>
      <c r="Q237" s="276">
        <v>0.30159807606651057</v>
      </c>
      <c r="R237" s="276">
        <v>0.29924013987420872</v>
      </c>
      <c r="S237" s="276">
        <v>0.29699307031587741</v>
      </c>
      <c r="T237" s="276">
        <v>0.29484755797950302</v>
      </c>
      <c r="U237" s="276">
        <v>0.29279530734943088</v>
      </c>
      <c r="V237" s="276">
        <v>0.29082890243455733</v>
      </c>
      <c r="W237" s="276">
        <v>0.28894169321469038</v>
      </c>
      <c r="X237" s="276">
        <v>0.28712769923689019</v>
      </c>
      <c r="Y237" s="276">
        <v>0.28538152741412881</v>
      </c>
      <c r="Z237" s="276">
        <v>0.28369830164375653</v>
      </c>
      <c r="AA237" s="276">
        <v>0.28207360230932893</v>
      </c>
      <c r="AB237" s="276">
        <v>0.28050341408363977</v>
      </c>
      <c r="AC237" s="276">
        <v>0.27898408073378606</v>
      </c>
      <c r="AD237" s="276">
        <v>0.27751226585638289</v>
      </c>
      <c r="AE237" s="276">
        <v>0.27608491865456092</v>
      </c>
      <c r="AF237" s="276">
        <v>0.27469924401728346</v>
      </c>
    </row>
    <row r="238" spans="1:32" x14ac:dyDescent="0.25">
      <c r="A238" s="322"/>
      <c r="B238" s="322" t="s">
        <v>39</v>
      </c>
      <c r="G238" s="276">
        <v>0.34956576193062894</v>
      </c>
      <c r="H238" s="276">
        <v>0.34447145612813357</v>
      </c>
      <c r="I238" s="276">
        <v>0.3397090173910251</v>
      </c>
      <c r="J238" s="276">
        <v>0.33524088620019077</v>
      </c>
      <c r="K238" s="276">
        <v>0.33904952654551468</v>
      </c>
      <c r="L238" s="276">
        <v>0.34301495560652595</v>
      </c>
      <c r="M238" s="276">
        <v>0.34711473449870095</v>
      </c>
      <c r="N238" s="276">
        <v>0.34332926122107582</v>
      </c>
      <c r="O238" s="276">
        <v>0.33972230758691907</v>
      </c>
      <c r="P238" s="276">
        <v>0.33627822549636494</v>
      </c>
      <c r="Q238" s="276">
        <v>0.3329832547670149</v>
      </c>
      <c r="R238" s="276">
        <v>0.32982524383171358</v>
      </c>
      <c r="S238" s="276">
        <v>0.32679341867678857</v>
      </c>
      <c r="T238" s="276">
        <v>0.32387819056955575</v>
      </c>
      <c r="U238" s="276">
        <v>0.32107099518258175</v>
      </c>
      <c r="V238" s="276">
        <v>0.31836415728971545</v>
      </c>
      <c r="W238" s="276">
        <v>0.31575077641218502</v>
      </c>
      <c r="X238" s="276">
        <v>0.31322462972372883</v>
      </c>
      <c r="Y238" s="276">
        <v>0.31078008924872247</v>
      </c>
      <c r="Z238" s="276">
        <v>0.30841205095592833</v>
      </c>
      <c r="AA238" s="276">
        <v>0.30611587379932786</v>
      </c>
      <c r="AB238" s="276">
        <v>0.30388732711398903</v>
      </c>
      <c r="AC238" s="276">
        <v>0.30172254505966367</v>
      </c>
      <c r="AD238" s="276">
        <v>0.29961798703350628</v>
      </c>
      <c r="AE238" s="276">
        <v>0.29757040315797384</v>
      </c>
      <c r="AF238" s="276">
        <v>0.29557680409978554</v>
      </c>
    </row>
    <row r="239" spans="1:32" x14ac:dyDescent="0.25">
      <c r="A239" s="322"/>
      <c r="B239" s="322" t="s">
        <v>40</v>
      </c>
      <c r="G239" s="276">
        <v>0.24405126298661839</v>
      </c>
      <c r="H239" s="276">
        <v>0.2410380316552114</v>
      </c>
      <c r="I239" s="276">
        <v>0.23822024249639159</v>
      </c>
      <c r="J239" s="276">
        <v>0.23557579112785201</v>
      </c>
      <c r="K239" s="276">
        <v>0.23308586836419098</v>
      </c>
      <c r="L239" s="276">
        <v>0.23073436630534985</v>
      </c>
      <c r="M239" s="276">
        <v>0.22850740846131534</v>
      </c>
      <c r="N239" s="276">
        <v>0.22639297470605454</v>
      </c>
      <c r="O239" s="276">
        <v>0.22438059945782607</v>
      </c>
      <c r="P239" s="276">
        <v>0.22246112693015463</v>
      </c>
      <c r="Q239" s="276">
        <v>0.22062651124690935</v>
      </c>
      <c r="R239" s="276">
        <v>0.21886965211027934</v>
      </c>
      <c r="S239" s="276">
        <v>0.2171842588554255</v>
      </c>
      <c r="T239" s="276">
        <v>0.21556473733021891</v>
      </c>
      <c r="U239" s="276">
        <v>0.21400609524992306</v>
      </c>
      <c r="V239" s="276">
        <v>0.21250386259909154</v>
      </c>
      <c r="W239" s="276">
        <v>0.21105402436103532</v>
      </c>
      <c r="X239" s="276">
        <v>0.20965296340286918</v>
      </c>
      <c r="Y239" s="276">
        <v>0.20829741177077371</v>
      </c>
      <c r="Z239" s="276">
        <v>0.20698440898474504</v>
      </c>
      <c r="AA239" s="276">
        <v>0.20571126618621657</v>
      </c>
      <c r="AB239" s="276">
        <v>0.20447553520172471</v>
      </c>
      <c r="AC239" s="276">
        <v>0.20327498175334013</v>
      </c>
      <c r="AD239" s="276">
        <v>0.20210756218116993</v>
      </c>
      <c r="AE239" s="276">
        <v>0.20097140315189876</v>
      </c>
      <c r="AF239" s="276">
        <v>0.19986478391550394</v>
      </c>
    </row>
    <row r="240" spans="1:32" x14ac:dyDescent="0.25">
      <c r="A240" s="322"/>
      <c r="B240" s="322" t="s">
        <v>29</v>
      </c>
      <c r="F240" s="867"/>
      <c r="G240" s="276">
        <v>5.1523186830138661</v>
      </c>
      <c r="H240" s="276">
        <v>2.3821259289460319</v>
      </c>
      <c r="I240" s="276">
        <v>1.5611859502310659</v>
      </c>
      <c r="J240" s="276">
        <v>1.1392802991574631</v>
      </c>
      <c r="K240" s="276">
        <v>0.89105210462521323</v>
      </c>
      <c r="L240" s="276">
        <v>0.73162924586038691</v>
      </c>
      <c r="M240" s="276">
        <v>0.6225284290829699</v>
      </c>
      <c r="N240" s="276">
        <v>0.54409381886764552</v>
      </c>
      <c r="O240" s="276">
        <v>0.48541140624789991</v>
      </c>
      <c r="P240" s="276">
        <v>0.44003062756774114</v>
      </c>
      <c r="Q240" s="276">
        <v>0.40394715781915308</v>
      </c>
      <c r="R240" s="276">
        <v>0.37457327350387953</v>
      </c>
      <c r="S240" s="276">
        <v>0.35017880789042305</v>
      </c>
      <c r="T240" s="276">
        <v>0.32957220825151912</v>
      </c>
      <c r="U240" s="276">
        <v>0.31191101559175566</v>
      </c>
      <c r="V240" s="276">
        <v>0.29658532737183924</v>
      </c>
      <c r="W240" s="276">
        <v>0.28314399979814725</v>
      </c>
      <c r="X240" s="276">
        <v>0.27124669612875885</v>
      </c>
      <c r="Y240" s="276">
        <v>0.26063200547166648</v>
      </c>
      <c r="Z240" s="276">
        <v>0.25109580092612416</v>
      </c>
      <c r="AA240" s="276">
        <v>0.2424762654160019</v>
      </c>
      <c r="AB240" s="276">
        <v>0.23464334581278692</v>
      </c>
      <c r="AC240" s="276">
        <v>0.22749120164515632</v>
      </c>
      <c r="AD240" s="276">
        <v>0.22093271303520726</v>
      </c>
      <c r="AE240" s="276">
        <v>0.21489542700872227</v>
      </c>
      <c r="AF240" s="276">
        <v>0.20931852346206556</v>
      </c>
    </row>
    <row r="241" spans="1:32" x14ac:dyDescent="0.25">
      <c r="A241" s="322"/>
      <c r="B241" s="322"/>
      <c r="G241" s="276" t="str">
        <v/>
      </c>
      <c r="H241" s="276" t="str">
        <v/>
      </c>
      <c r="I241" s="276" t="str">
        <v/>
      </c>
      <c r="J241" s="276" t="str">
        <v/>
      </c>
      <c r="K241" s="276" t="str">
        <v/>
      </c>
      <c r="L241" s="276" t="str">
        <v/>
      </c>
      <c r="M241" s="276" t="str">
        <v/>
      </c>
      <c r="N241" s="276" t="str">
        <v/>
      </c>
      <c r="O241" s="276" t="str">
        <v/>
      </c>
      <c r="P241" s="276" t="str">
        <v/>
      </c>
      <c r="Q241" s="276" t="str">
        <v/>
      </c>
      <c r="R241" s="276" t="str">
        <v/>
      </c>
      <c r="S241" s="276" t="str">
        <v/>
      </c>
      <c r="T241" s="276" t="str">
        <v/>
      </c>
      <c r="U241" s="276" t="str">
        <v/>
      </c>
      <c r="V241" s="276" t="str">
        <v/>
      </c>
      <c r="W241" s="276" t="str">
        <v/>
      </c>
      <c r="X241" s="276" t="str">
        <v/>
      </c>
      <c r="Y241" s="276" t="str">
        <v/>
      </c>
      <c r="Z241" s="276" t="str">
        <v/>
      </c>
      <c r="AA241" s="276" t="str">
        <v/>
      </c>
      <c r="AB241" s="276" t="str">
        <v/>
      </c>
      <c r="AC241" s="276" t="str">
        <v/>
      </c>
      <c r="AD241" s="276" t="str">
        <v/>
      </c>
      <c r="AE241" s="276" t="str">
        <v/>
      </c>
      <c r="AF241" s="276" t="str">
        <v/>
      </c>
    </row>
    <row r="242" spans="1:32" s="202" customFormat="1" ht="12.75" x14ac:dyDescent="0.2">
      <c r="A242" s="335" t="s">
        <v>42</v>
      </c>
      <c r="B242" s="335"/>
      <c r="C242" s="335"/>
      <c r="D242" s="335"/>
      <c r="E242" s="335"/>
      <c r="F242" s="335"/>
      <c r="G242" s="274" t="str">
        <v/>
      </c>
      <c r="H242" s="274" t="str">
        <v/>
      </c>
      <c r="I242" s="274" t="str">
        <v/>
      </c>
      <c r="J242" s="274" t="str">
        <v/>
      </c>
      <c r="K242" s="274" t="str">
        <v/>
      </c>
      <c r="L242" s="274" t="str">
        <v/>
      </c>
      <c r="M242" s="274" t="str">
        <v/>
      </c>
      <c r="N242" s="274" t="str">
        <v/>
      </c>
      <c r="O242" s="274" t="str">
        <v/>
      </c>
      <c r="P242" s="274" t="str">
        <v/>
      </c>
      <c r="Q242" s="274" t="str">
        <v/>
      </c>
      <c r="R242" s="274" t="str">
        <v/>
      </c>
      <c r="S242" s="274" t="str">
        <v/>
      </c>
      <c r="T242" s="274" t="str">
        <v/>
      </c>
      <c r="U242" s="274" t="str">
        <v/>
      </c>
      <c r="V242" s="274" t="str">
        <v/>
      </c>
      <c r="W242" s="274" t="str">
        <v/>
      </c>
      <c r="X242" s="274" t="str">
        <v/>
      </c>
      <c r="Y242" s="274" t="str">
        <v/>
      </c>
      <c r="Z242" s="274" t="str">
        <v/>
      </c>
      <c r="AA242" s="274" t="str">
        <v/>
      </c>
      <c r="AB242" s="274" t="str">
        <v/>
      </c>
      <c r="AC242" s="274" t="str">
        <v/>
      </c>
      <c r="AD242" s="274" t="str">
        <v/>
      </c>
      <c r="AE242" s="274" t="str">
        <v/>
      </c>
      <c r="AF242" s="274" t="str">
        <v/>
      </c>
    </row>
    <row r="243" spans="1:32" x14ac:dyDescent="0.25">
      <c r="A243" s="322"/>
      <c r="B243" s="328" t="s">
        <v>43</v>
      </c>
      <c r="G243" s="276">
        <v>0.93272954691869059</v>
      </c>
      <c r="H243" s="276">
        <v>0.92585664705175652</v>
      </c>
      <c r="I243" s="276">
        <v>0.91916188038698732</v>
      </c>
      <c r="J243" s="276">
        <v>0.91263708815176825</v>
      </c>
      <c r="K243" s="276">
        <v>0.90627460232671941</v>
      </c>
      <c r="L243" s="276">
        <v>0.90006720929360895</v>
      </c>
      <c r="M243" s="276">
        <v>0.89400811666739211</v>
      </c>
      <c r="N243" s="276">
        <v>0.88809092299165315</v>
      </c>
      <c r="O243" s="276">
        <v>0.8823095900131831</v>
      </c>
      <c r="P243" s="276">
        <v>0.8766584172831442</v>
      </c>
      <c r="Q243" s="276">
        <v>0.87113201886021996</v>
      </c>
      <c r="R243" s="276">
        <v>0.86572530191555264</v>
      </c>
      <c r="S243" s="276">
        <v>0.86043344706075175</v>
      </c>
      <c r="T243" s="276">
        <v>0.8552518902392704</v>
      </c>
      <c r="U243" s="276">
        <v>0.85017630603803485</v>
      </c>
      <c r="V243" s="276">
        <v>0.84520259229109951</v>
      </c>
      <c r="W243" s="276">
        <v>0.84032685586008571</v>
      </c>
      <c r="X243" s="276">
        <v>0.83554539948778628</v>
      </c>
      <c r="Y243" s="276">
        <v>0.83085470963164343</v>
      </c>
      <c r="Z243" s="276">
        <v>0.82625144519290095</v>
      </c>
      <c r="AA243" s="276">
        <v>0.82173242706547112</v>
      </c>
      <c r="AB243" s="276">
        <v>0.81729462843577538</v>
      </c>
      <c r="AC243" s="276">
        <v>0.81293516577134839</v>
      </c>
      <c r="AD243" s="276">
        <v>0.80865129044183126</v>
      </c>
      <c r="AE243" s="276">
        <v>0.80444038092115722</v>
      </c>
      <c r="AF243" s="276">
        <v>0.80029993552445033</v>
      </c>
    </row>
    <row r="244" spans="1:32" x14ac:dyDescent="0.25">
      <c r="A244" s="322"/>
      <c r="B244" s="328" t="s">
        <v>44</v>
      </c>
      <c r="G244" s="276">
        <v>1.6613638637313228</v>
      </c>
      <c r="H244" s="276">
        <v>1.6447888905685992</v>
      </c>
      <c r="I244" s="276">
        <v>1.6286114076189497</v>
      </c>
      <c r="J244" s="276">
        <v>1.6128157328411601</v>
      </c>
      <c r="K244" s="276">
        <v>1.597387055076581</v>
      </c>
      <c r="L244" s="276">
        <v>1.5823113721173458</v>
      </c>
      <c r="M244" s="276">
        <v>1.5675754340898711</v>
      </c>
      <c r="N244" s="276">
        <v>1.5531666916236597</v>
      </c>
      <c r="O244" s="276">
        <v>1.5390732483353011</v>
      </c>
      <c r="P244" s="276">
        <v>1.5252838172098142</v>
      </c>
      <c r="Q244" s="276">
        <v>1.5117876805074149</v>
      </c>
      <c r="R244" s="276">
        <v>1.498574652863971</v>
      </c>
      <c r="S244" s="276">
        <v>1.4856350472888049</v>
      </c>
      <c r="T244" s="276">
        <v>1.4729596437948012</v>
      </c>
      <c r="U244" s="276">
        <v>1.4605396604231426</v>
      </c>
      <c r="V244" s="276">
        <v>1.4483667264495157</v>
      </c>
      <c r="W244" s="276">
        <v>1.4364328575800958</v>
      </c>
      <c r="X244" s="276">
        <v>1.4247304329647588</v>
      </c>
      <c r="Y244" s="276">
        <v>1.4132521738720611</v>
      </c>
      <c r="Z244" s="276">
        <v>1.4019911238855338</v>
      </c>
      <c r="AA244" s="276">
        <v>1.3909406304944432</v>
      </c>
      <c r="AB244" s="276">
        <v>1.380094327964168</v>
      </c>
      <c r="AC244" s="276">
        <v>1.3694461213820852</v>
      </c>
      <c r="AD244" s="276">
        <v>1.3589901717845645</v>
      </c>
      <c r="AE244" s="276">
        <v>1.3487208822792451</v>
      </c>
      <c r="AF244" s="276">
        <v>1.3386328850845828</v>
      </c>
    </row>
    <row r="245" spans="1:32" x14ac:dyDescent="0.25">
      <c r="A245" s="322"/>
      <c r="B245" s="328" t="s">
        <v>45</v>
      </c>
      <c r="G245" s="276">
        <v>0.48179408906891696</v>
      </c>
      <c r="H245" s="276">
        <v>0.47794378040967012</v>
      </c>
      <c r="I245" s="276">
        <v>0.47419349193537991</v>
      </c>
      <c r="J245" s="276">
        <v>0.47053878455535625</v>
      </c>
      <c r="K245" s="276">
        <v>0.46697548480721357</v>
      </c>
      <c r="L245" s="276">
        <v>0.46349966519754365</v>
      </c>
      <c r="M245" s="276">
        <v>0.46010762626432949</v>
      </c>
      <c r="N245" s="276">
        <v>0.45679588018767953</v>
      </c>
      <c r="O245" s="276">
        <v>0.45356113579517793</v>
      </c>
      <c r="P245" s="276">
        <v>0.45040028482528888</v>
      </c>
      <c r="Q245" s="276">
        <v>0.44731038932737727</v>
      </c>
      <c r="R245" s="276">
        <v>0.44428867009008749</v>
      </c>
      <c r="S245" s="276">
        <v>0.44133249600145447</v>
      </c>
      <c r="T245" s="276">
        <v>0.43843937425438312</v>
      </c>
      <c r="U245" s="276">
        <v>0.43560694132012212</v>
      </c>
      <c r="V245" s="276">
        <v>0.43283295462038845</v>
      </c>
      <c r="W245" s="276">
        <v>0.43011528483583616</v>
      </c>
      <c r="X245" s="276">
        <v>0.42745190879483602</v>
      </c>
      <c r="Y245" s="276">
        <v>0.42484090289212478</v>
      </c>
      <c r="Z245" s="276">
        <v>0.42228043699179618</v>
      </c>
      <c r="AA245" s="276">
        <v>0.41976876877355579</v>
      </c>
      <c r="AB245" s="276">
        <v>0.41730423848507925</v>
      </c>
      <c r="AC245" s="276">
        <v>0.41488526406682408</v>
      </c>
      <c r="AD245" s="276">
        <v>0.41251033661882364</v>
      </c>
      <c r="AE245" s="276">
        <v>0.41017801618177085</v>
      </c>
      <c r="AF245" s="276">
        <v>0.40788692780726571</v>
      </c>
    </row>
    <row r="246" spans="1:32" x14ac:dyDescent="0.25">
      <c r="A246" s="322"/>
      <c r="B246" s="328" t="s">
        <v>46</v>
      </c>
      <c r="G246" s="276">
        <v>57.208576011157589</v>
      </c>
      <c r="H246" s="276">
        <v>56.749937414203991</v>
      </c>
      <c r="I246" s="276">
        <v>56.301154928619525</v>
      </c>
      <c r="J246" s="276">
        <v>55.861871719578929</v>
      </c>
      <c r="K246" s="276">
        <v>55.431749702382895</v>
      </c>
      <c r="L246" s="276">
        <v>55.010468250189653</v>
      </c>
      <c r="M246" s="276">
        <v>54.59772301083774</v>
      </c>
      <c r="N246" s="276">
        <v>54.193224821973075</v>
      </c>
      <c r="O246" s="276">
        <v>53.796698714908779</v>
      </c>
      <c r="P246" s="276">
        <v>53.407882998703322</v>
      </c>
      <c r="Q246" s="276">
        <v>53.026528416875529</v>
      </c>
      <c r="R246" s="276">
        <v>52.652397369989657</v>
      </c>
      <c r="S246" s="276">
        <v>52.285263198061749</v>
      </c>
      <c r="T246" s="276">
        <v>51.924909517374083</v>
      </c>
      <c r="U246" s="276">
        <v>51.571129606840429</v>
      </c>
      <c r="V246" s="276">
        <v>51.223725839562462</v>
      </c>
      <c r="W246" s="276">
        <v>50.882509155654382</v>
      </c>
      <c r="X246" s="276">
        <v>50.547298572801779</v>
      </c>
      <c r="Y246" s="276">
        <v>50.217920731368281</v>
      </c>
      <c r="Z246" s="276">
        <v>49.894209471169368</v>
      </c>
      <c r="AA246" s="276">
        <v>49.576005437309234</v>
      </c>
      <c r="AB246" s="276">
        <v>49.26315571272125</v>
      </c>
      <c r="AC246" s="276">
        <v>48.955513475271346</v>
      </c>
      <c r="AD246" s="276">
        <v>48.652937677481937</v>
      </c>
      <c r="AE246" s="276">
        <v>48.355292747108379</v>
      </c>
      <c r="AF246" s="276">
        <v>48.062448306959858</v>
      </c>
    </row>
    <row r="247" spans="1:32" x14ac:dyDescent="0.25">
      <c r="A247" s="322"/>
      <c r="B247" s="322" t="s">
        <v>29</v>
      </c>
      <c r="G247" s="276">
        <v>6.5356796981457217</v>
      </c>
      <c r="H247" s="276">
        <v>2.9712958582105164</v>
      </c>
      <c r="I247" s="276">
        <v>1.915388795162726</v>
      </c>
      <c r="J247" s="276">
        <v>1.3752375503227852</v>
      </c>
      <c r="K247" s="276">
        <v>1.0585580597621149</v>
      </c>
      <c r="L247" s="276">
        <v>0.8556237505693145</v>
      </c>
      <c r="M247" s="276">
        <v>0.71687461674985142</v>
      </c>
      <c r="N247" s="276">
        <v>0.6171043039357279</v>
      </c>
      <c r="O247" s="276">
        <v>0.54237629793743192</v>
      </c>
      <c r="P247" s="276">
        <v>0.4844863462921814</v>
      </c>
      <c r="Q247" s="276">
        <v>0.43835908771912963</v>
      </c>
      <c r="R247" s="276">
        <v>0.40072372087524805</v>
      </c>
      <c r="S247" s="276">
        <v>0.36939764449887941</v>
      </c>
      <c r="T247" s="276">
        <v>0.34287936918475215</v>
      </c>
      <c r="U247" s="276">
        <v>0.32010757246397908</v>
      </c>
      <c r="V247" s="276">
        <v>0.30031350014679165</v>
      </c>
      <c r="W247" s="276">
        <v>0.28292782281724338</v>
      </c>
      <c r="X247" s="276">
        <v>0.26752029647140457</v>
      </c>
      <c r="Y247" s="276">
        <v>0.25375974408571261</v>
      </c>
      <c r="Z247" s="276">
        <v>0.24138693974686368</v>
      </c>
      <c r="AA247" s="276">
        <v>0.23019586865377623</v>
      </c>
      <c r="AB247" s="276">
        <v>0.2200205352374601</v>
      </c>
      <c r="AC247" s="276">
        <v>0.21072551531745456</v>
      </c>
      <c r="AD247" s="276">
        <v>0.20219907902514056</v>
      </c>
      <c r="AE247" s="276">
        <v>0.19434810788116783</v>
      </c>
      <c r="AF247" s="276">
        <v>0.18709428346031629</v>
      </c>
    </row>
    <row r="248" spans="1:32" x14ac:dyDescent="0.25">
      <c r="A248" s="322"/>
      <c r="B248" s="322"/>
      <c r="G248" s="276" t="str">
        <v/>
      </c>
      <c r="H248" s="276" t="str">
        <v/>
      </c>
      <c r="I248" s="276" t="str">
        <v/>
      </c>
      <c r="J248" s="276" t="str">
        <v/>
      </c>
      <c r="K248" s="276" t="str">
        <v/>
      </c>
      <c r="L248" s="276" t="str">
        <v/>
      </c>
      <c r="M248" s="276" t="str">
        <v/>
      </c>
      <c r="N248" s="276" t="str">
        <v/>
      </c>
      <c r="O248" s="276" t="str">
        <v/>
      </c>
      <c r="P248" s="276" t="str">
        <v/>
      </c>
      <c r="Q248" s="276" t="str">
        <v/>
      </c>
      <c r="R248" s="276" t="str">
        <v/>
      </c>
      <c r="S248" s="276" t="str">
        <v/>
      </c>
      <c r="T248" s="276" t="str">
        <v/>
      </c>
      <c r="U248" s="276" t="str">
        <v/>
      </c>
      <c r="V248" s="276" t="str">
        <v/>
      </c>
      <c r="W248" s="276" t="str">
        <v/>
      </c>
      <c r="X248" s="276" t="str">
        <v/>
      </c>
      <c r="Y248" s="276" t="str">
        <v/>
      </c>
      <c r="Z248" s="276" t="str">
        <v/>
      </c>
      <c r="AA248" s="276" t="str">
        <v/>
      </c>
      <c r="AB248" s="276" t="str">
        <v/>
      </c>
      <c r="AC248" s="276" t="str">
        <v/>
      </c>
      <c r="AD248" s="276" t="str">
        <v/>
      </c>
      <c r="AE248" s="276" t="str">
        <v/>
      </c>
      <c r="AF248" s="276" t="str">
        <v/>
      </c>
    </row>
    <row r="249" spans="1:32" s="202" customFormat="1" ht="12.75" x14ac:dyDescent="0.2">
      <c r="A249" s="335" t="s">
        <v>47</v>
      </c>
      <c r="B249" s="335"/>
      <c r="C249" s="335"/>
      <c r="D249" s="335"/>
      <c r="E249" s="335"/>
      <c r="F249" s="335"/>
      <c r="G249" s="274" t="str">
        <v/>
      </c>
      <c r="H249" s="274" t="str">
        <v/>
      </c>
      <c r="I249" s="274" t="str">
        <v/>
      </c>
      <c r="J249" s="274" t="str">
        <v/>
      </c>
      <c r="K249" s="274" t="str">
        <v/>
      </c>
      <c r="L249" s="274" t="str">
        <v/>
      </c>
      <c r="M249" s="274" t="str">
        <v/>
      </c>
      <c r="N249" s="274" t="str">
        <v/>
      </c>
      <c r="O249" s="274" t="str">
        <v/>
      </c>
      <c r="P249" s="274" t="str">
        <v/>
      </c>
      <c r="Q249" s="274" t="str">
        <v/>
      </c>
      <c r="R249" s="274" t="str">
        <v/>
      </c>
      <c r="S249" s="274" t="str">
        <v/>
      </c>
      <c r="T249" s="274" t="str">
        <v/>
      </c>
      <c r="U249" s="274" t="str">
        <v/>
      </c>
      <c r="V249" s="274" t="str">
        <v/>
      </c>
      <c r="W249" s="274" t="str">
        <v/>
      </c>
      <c r="X249" s="274" t="str">
        <v/>
      </c>
      <c r="Y249" s="274" t="str">
        <v/>
      </c>
      <c r="Z249" s="274" t="str">
        <v/>
      </c>
      <c r="AA249" s="274" t="str">
        <v/>
      </c>
      <c r="AB249" s="274" t="str">
        <v/>
      </c>
      <c r="AC249" s="274" t="str">
        <v/>
      </c>
      <c r="AD249" s="274" t="str">
        <v/>
      </c>
      <c r="AE249" s="274" t="str">
        <v/>
      </c>
      <c r="AF249" s="274" t="str">
        <v/>
      </c>
    </row>
    <row r="250" spans="1:32" x14ac:dyDescent="0.25">
      <c r="A250" s="322"/>
      <c r="B250" s="322" t="s">
        <v>48</v>
      </c>
      <c r="G250" s="276">
        <v>1.6142076329779296</v>
      </c>
      <c r="H250" s="276">
        <v>1.6008889095418393</v>
      </c>
      <c r="I250" s="276">
        <v>1.5877020546546163</v>
      </c>
      <c r="J250" s="276">
        <v>1.5746451195199793</v>
      </c>
      <c r="K250" s="276">
        <v>1.5617161935533268</v>
      </c>
      <c r="L250" s="276">
        <v>1.5489134034497656</v>
      </c>
      <c r="M250" s="276">
        <v>1.5362349122792487</v>
      </c>
      <c r="N250" s="276">
        <v>1.5236789186079616</v>
      </c>
      <c r="O250" s="276">
        <v>1.5112436556450546</v>
      </c>
      <c r="P250" s="276">
        <v>1.4989273904138476</v>
      </c>
      <c r="Q250" s="276">
        <v>1.4867284229467521</v>
      </c>
      <c r="R250" s="276">
        <v>1.4746450855030366</v>
      </c>
      <c r="S250" s="276">
        <v>1.462675741808793</v>
      </c>
      <c r="T250" s="276">
        <v>1.4508187863182485</v>
      </c>
      <c r="U250" s="276">
        <v>1.4390726434958425</v>
      </c>
      <c r="V250" s="276">
        <v>1.4274357671182956</v>
      </c>
      <c r="W250" s="276">
        <v>1.4159066395960944</v>
      </c>
      <c r="X250" s="276">
        <v>1.404483771313731</v>
      </c>
      <c r="Y250" s="276">
        <v>1.3931656999880848</v>
      </c>
      <c r="Z250" s="276">
        <v>1.381950990044412</v>
      </c>
      <c r="AA250" s="276">
        <v>1.3708382320093142</v>
      </c>
      <c r="AB250" s="276">
        <v>1.3598260419202368</v>
      </c>
      <c r="AC250" s="276">
        <v>1.3489130607508792</v>
      </c>
      <c r="AD250" s="276">
        <v>1.3380979538521012</v>
      </c>
      <c r="AE250" s="276">
        <v>1.3273794104077759</v>
      </c>
      <c r="AF250" s="276">
        <v>1.3167561429051764</v>
      </c>
    </row>
    <row r="251" spans="1:32" x14ac:dyDescent="0.25">
      <c r="A251" s="322"/>
      <c r="B251" s="328" t="s">
        <v>50</v>
      </c>
      <c r="G251" s="276">
        <v>0.82201843563287813</v>
      </c>
      <c r="H251" s="276">
        <v>0.81516384946792797</v>
      </c>
      <c r="I251" s="276">
        <v>0.80837713049272941</v>
      </c>
      <c r="J251" s="276">
        <v>0.8016572757438889</v>
      </c>
      <c r="K251" s="276">
        <v>0.7950033019239563</v>
      </c>
      <c r="L251" s="276">
        <v>0.78841424492178003</v>
      </c>
      <c r="M251" s="276">
        <v>0.78188915934680958</v>
      </c>
      <c r="N251" s="276">
        <v>0.77542711807691123</v>
      </c>
      <c r="O251" s="276">
        <v>0.76902721181922351</v>
      </c>
      <c r="P251" s="276">
        <v>0.76268854868361879</v>
      </c>
      <c r="Q251" s="276">
        <v>0.75641025376835436</v>
      </c>
      <c r="R251" s="276">
        <v>0.75019146875749787</v>
      </c>
      <c r="S251" s="276">
        <v>0.74403135152976485</v>
      </c>
      <c r="T251" s="276">
        <v>0.73792907577834632</v>
      </c>
      <c r="U251" s="276">
        <v>0.73188383064142815</v>
      </c>
      <c r="V251" s="276">
        <v>0.72589482034299413</v>
      </c>
      <c r="W251" s="276">
        <v>0.71996126384361736</v>
      </c>
      <c r="X251" s="276">
        <v>0.71408239450091904</v>
      </c>
      <c r="Y251" s="276">
        <v>0.70825745973934429</v>
      </c>
      <c r="Z251" s="276">
        <v>0.70248572072901883</v>
      </c>
      <c r="AA251" s="276">
        <v>0.69676645207333088</v>
      </c>
      <c r="AB251" s="276">
        <v>0.69109894150502638</v>
      </c>
      <c r="AC251" s="276">
        <v>0.68548248959048963</v>
      </c>
      <c r="AD251" s="276">
        <v>0.67991640944200149</v>
      </c>
      <c r="AE251" s="276">
        <v>0.67440002643769814</v>
      </c>
      <c r="AF251" s="276">
        <v>0.66893267794898692</v>
      </c>
    </row>
    <row r="252" spans="1:32" x14ac:dyDescent="0.25">
      <c r="A252" s="322"/>
      <c r="B252" s="322" t="s">
        <v>51</v>
      </c>
      <c r="G252" s="276">
        <v>0.38074635745033314</v>
      </c>
      <c r="H252" s="276">
        <v>0.37858164581390413</v>
      </c>
      <c r="I252" s="276">
        <v>0.37643836696595417</v>
      </c>
      <c r="J252" s="276">
        <v>0.37431620416576722</v>
      </c>
      <c r="K252" s="276">
        <v>0.37221484688322992</v>
      </c>
      <c r="L252" s="276">
        <v>0.37013399064735086</v>
      </c>
      <c r="M252" s="276">
        <v>0.36807333689919908</v>
      </c>
      <c r="N252" s="276">
        <v>0.36603259284909673</v>
      </c>
      <c r="O252" s="276">
        <v>0.36401147133793776</v>
      </c>
      <c r="P252" s="276">
        <v>0.36200969070248395</v>
      </c>
      <c r="Q252" s="276">
        <v>0.36002697464451056</v>
      </c>
      <c r="R252" s="276">
        <v>0.35806305210367406</v>
      </c>
      <c r="S252" s="276">
        <v>0.35611765713397797</v>
      </c>
      <c r="T252" s="276">
        <v>0.35419052878371526</v>
      </c>
      <c r="U252" s="276">
        <v>0.35228141097878202</v>
      </c>
      <c r="V252" s="276">
        <v>0.35039005240924403</v>
      </c>
      <c r="W252" s="276">
        <v>0.34851620641905312</v>
      </c>
      <c r="X252" s="276">
        <v>0.34665963089881813</v>
      </c>
      <c r="Y252" s="276">
        <v>0.34482008818152127</v>
      </c>
      <c r="Z252" s="276">
        <v>0.34299734494109424</v>
      </c>
      <c r="AA252" s="276">
        <v>0.34119117209376254</v>
      </c>
      <c r="AB252" s="276">
        <v>0.33940134470206229</v>
      </c>
      <c r="AC252" s="276">
        <v>0.33762764188145844</v>
      </c>
      <c r="AD252" s="276">
        <v>0.33586984670947051</v>
      </c>
      <c r="AE252" s="276">
        <v>0.3341277461372319</v>
      </c>
      <c r="AF252" s="276">
        <v>0.33240113090341317</v>
      </c>
    </row>
    <row r="253" spans="1:32" x14ac:dyDescent="0.25">
      <c r="A253" s="322"/>
      <c r="B253" s="322" t="s">
        <v>52</v>
      </c>
      <c r="G253" s="276">
        <v>0.66396601369549968</v>
      </c>
      <c r="H253" s="276">
        <v>0.65574117041017488</v>
      </c>
      <c r="I253" s="276">
        <v>0.64806607580190023</v>
      </c>
      <c r="J253" s="276">
        <v>0.64087826539520498</v>
      </c>
      <c r="K253" s="276">
        <v>0.63412459217648298</v>
      </c>
      <c r="L253" s="276">
        <v>0.62775954712390925</v>
      </c>
      <c r="M253" s="276">
        <v>0.62174393049228993</v>
      </c>
      <c r="N253" s="276">
        <v>0.61604379125984987</v>
      </c>
      <c r="O253" s="276">
        <v>0.61062957364741643</v>
      </c>
      <c r="P253" s="276">
        <v>0.60547542502414342</v>
      </c>
      <c r="Q253" s="276">
        <v>0.60055863068151027</v>
      </c>
      <c r="R253" s="276">
        <v>0.5958591491449563</v>
      </c>
      <c r="S253" s="276">
        <v>0.59135922775818284</v>
      </c>
      <c r="T253" s="276">
        <v>0.58704308281282902</v>
      </c>
      <c r="U253" s="276">
        <v>0.58289663192199093</v>
      </c>
      <c r="V253" s="276">
        <v>0.57890726894451383</v>
      </c>
      <c r="W253" s="276">
        <v>0.57506367376933221</v>
      </c>
      <c r="X253" s="276">
        <v>0.57135565081780548</v>
      </c>
      <c r="Y253" s="276">
        <v>0.56777399132845863</v>
      </c>
      <c r="Z253" s="276">
        <v>0.56431035543480057</v>
      </c>
      <c r="AA253" s="276">
        <v>0.56095717079379714</v>
      </c>
      <c r="AB253" s="276">
        <v>0.55770754511579124</v>
      </c>
      <c r="AC253" s="276">
        <v>0.55455519042048451</v>
      </c>
      <c r="AD253" s="276">
        <v>0.55149435722417395</v>
      </c>
      <c r="AE253" s="276">
        <v>0.54851977717071831</v>
      </c>
      <c r="AF253" s="276">
        <v>0.54562661286802427</v>
      </c>
    </row>
    <row r="254" spans="1:32" x14ac:dyDescent="0.25">
      <c r="A254" s="322"/>
      <c r="B254" s="328" t="s">
        <v>29</v>
      </c>
      <c r="G254" s="276">
        <v>1.9053755705298538</v>
      </c>
      <c r="H254" s="276">
        <v>0.94890225440137055</v>
      </c>
      <c r="I254" s="276">
        <v>0.68211434009796479</v>
      </c>
      <c r="J254" s="276">
        <v>0.54395028171948467</v>
      </c>
      <c r="K254" s="276">
        <v>0.46159137463296002</v>
      </c>
      <c r="L254" s="276">
        <v>0.40825597340304809</v>
      </c>
      <c r="M254" s="276">
        <v>0.37173191779542597</v>
      </c>
      <c r="N254" s="276">
        <v>0.34565916200330848</v>
      </c>
      <c r="O254" s="276">
        <v>0.32641719286496879</v>
      </c>
      <c r="P254" s="276">
        <v>0.31181138747621107</v>
      </c>
      <c r="Q254" s="276">
        <v>0.30044841843333503</v>
      </c>
      <c r="R254" s="276">
        <v>0.29141172747157928</v>
      </c>
      <c r="S254" s="276">
        <v>0.28408108559152773</v>
      </c>
      <c r="T254" s="276">
        <v>0.27802684010053419</v>
      </c>
      <c r="U254" s="276">
        <v>0.27294530580847493</v>
      </c>
      <c r="V254" s="276">
        <v>0.2686179598868601</v>
      </c>
      <c r="W254" s="276">
        <v>0.26488496612698986</v>
      </c>
      <c r="X254" s="276">
        <v>0.26162760972958887</v>
      </c>
      <c r="Y254" s="276">
        <v>0.25875642311170832</v>
      </c>
      <c r="Z254" s="276">
        <v>0.25620302828170216</v>
      </c>
      <c r="AA254" s="276">
        <v>0.25391445231980719</v>
      </c>
      <c r="AB254" s="276">
        <v>0.25184911516211328</v>
      </c>
      <c r="AC254" s="276">
        <v>0.24997396409783851</v>
      </c>
      <c r="AD254" s="276">
        <v>0.24826240437936384</v>
      </c>
      <c r="AE254" s="276">
        <v>0.24669278876552764</v>
      </c>
      <c r="AF254" s="276">
        <v>0.24524730355701468</v>
      </c>
    </row>
    <row r="255" spans="1:32" x14ac:dyDescent="0.25">
      <c r="A255" s="322"/>
      <c r="B255" s="328" t="s">
        <v>53</v>
      </c>
      <c r="G255" s="276">
        <v>0.299191060023483</v>
      </c>
      <c r="H255" s="276">
        <v>0.29787930893061776</v>
      </c>
      <c r="I255" s="276">
        <v>0.29658054547233575</v>
      </c>
      <c r="J255" s="276">
        <v>0.29529457771314993</v>
      </c>
      <c r="K255" s="276">
        <v>0.29402121748101484</v>
      </c>
      <c r="L255" s="276">
        <v>0.2927602802755348</v>
      </c>
      <c r="M255" s="276">
        <v>0.29151158517884557</v>
      </c>
      <c r="N255" s="276">
        <v>0.29027495476908116</v>
      </c>
      <c r="O255" s="276">
        <v>0.28905021503633366</v>
      </c>
      <c r="P255" s="276">
        <v>0.28783719530102875</v>
      </c>
      <c r="Q255" s="276">
        <v>0.28663572813463145</v>
      </c>
      <c r="R255" s="276">
        <v>0.28544564928260746</v>
      </c>
      <c r="S255" s="276">
        <v>0.28426679758956525</v>
      </c>
      <c r="T255" s="276">
        <v>0.2830990149265043</v>
      </c>
      <c r="U255" s="276">
        <v>0.2819421461201076</v>
      </c>
      <c r="V255" s="276">
        <v>0.28079603888400295</v>
      </c>
      <c r="W255" s="276">
        <v>0.27966054375193611</v>
      </c>
      <c r="X255" s="276">
        <v>0.27853551401279164</v>
      </c>
      <c r="Y255" s="276">
        <v>0.2774208056474009</v>
      </c>
      <c r="Z255" s="276">
        <v>0.27631627726708219</v>
      </c>
      <c r="AA255" s="276">
        <v>0.27522179005385727</v>
      </c>
      <c r="AB255" s="276">
        <v>0.27413720770229033</v>
      </c>
      <c r="AC255" s="276">
        <v>0.27306239636289986</v>
      </c>
      <c r="AD255" s="276">
        <v>0.27199722458709158</v>
      </c>
      <c r="AE255" s="276">
        <v>0.27094156327356705</v>
      </c>
      <c r="AF255" s="276">
        <v>0.26989528561616277</v>
      </c>
    </row>
    <row r="257" spans="1:32" x14ac:dyDescent="0.25">
      <c r="A257" s="326" t="s">
        <v>193</v>
      </c>
      <c r="B257" s="327"/>
      <c r="C257" s="327"/>
      <c r="D257" s="327"/>
      <c r="E257" s="327"/>
      <c r="F257" s="273"/>
      <c r="G257" s="355" t="s">
        <v>203</v>
      </c>
      <c r="H257" s="327"/>
      <c r="I257" s="327"/>
      <c r="J257" s="327"/>
      <c r="K257" s="327"/>
      <c r="L257" s="327"/>
      <c r="M257" s="327"/>
      <c r="N257" s="327"/>
      <c r="O257" s="327"/>
      <c r="P257" s="327"/>
      <c r="Q257" s="327"/>
      <c r="R257" s="327"/>
      <c r="S257" s="327"/>
      <c r="T257" s="327"/>
      <c r="U257" s="327"/>
      <c r="V257" s="327"/>
      <c r="W257" s="327"/>
      <c r="X257" s="327"/>
      <c r="Y257" s="327"/>
      <c r="Z257" s="327"/>
      <c r="AA257" s="327"/>
      <c r="AB257" s="327"/>
      <c r="AC257" s="327"/>
      <c r="AD257" s="327"/>
      <c r="AE257" s="327"/>
      <c r="AF257" s="327"/>
    </row>
    <row r="258" spans="1:32" x14ac:dyDescent="0.25">
      <c r="A258" s="323" t="s">
        <v>12</v>
      </c>
      <c r="B258" s="322"/>
    </row>
    <row r="259" spans="1:32" x14ac:dyDescent="0.25">
      <c r="A259" s="322"/>
      <c r="B259" s="322" t="s">
        <v>20</v>
      </c>
    </row>
    <row r="260" spans="1:32" s="202" customFormat="1" ht="12.75" x14ac:dyDescent="0.2">
      <c r="A260" s="335" t="s">
        <v>21</v>
      </c>
      <c r="B260" s="335"/>
      <c r="C260" s="335"/>
      <c r="D260" s="335"/>
      <c r="E260" s="335"/>
      <c r="F260" s="335"/>
      <c r="G260" s="335"/>
      <c r="H260" s="335"/>
      <c r="I260" s="335"/>
      <c r="J260" s="335"/>
      <c r="K260" s="335"/>
      <c r="L260" s="335"/>
      <c r="M260" s="335"/>
      <c r="N260" s="335"/>
      <c r="O260" s="335"/>
      <c r="P260" s="335"/>
      <c r="Q260" s="335"/>
      <c r="R260" s="335"/>
      <c r="S260" s="335"/>
      <c r="T260" s="335"/>
      <c r="U260" s="335"/>
      <c r="V260" s="335"/>
      <c r="W260" s="335"/>
      <c r="X260" s="335"/>
      <c r="Y260" s="335"/>
      <c r="Z260" s="335"/>
      <c r="AA260" s="335"/>
      <c r="AB260" s="335"/>
      <c r="AC260" s="335"/>
      <c r="AD260" s="335"/>
      <c r="AE260" s="335"/>
      <c r="AF260" s="335"/>
    </row>
    <row r="261" spans="1:32" x14ac:dyDescent="0.25">
      <c r="A261" s="322"/>
      <c r="B261" s="322" t="s">
        <v>22</v>
      </c>
      <c r="G261" s="276">
        <f t="array" ref="G261:AF291" ca="1">IFERROR(IF(ISNUMBER(DailyOpHours),IF(DailyOpHours=0,1000,DailyOpHours*365.25*Electricity_Prices!B12:AA12/Perform_Proj!G9:AF39),""),1000)</f>
        <v>4.2660644607192042</v>
      </c>
      <c r="H261" s="276">
        <f ca="1"/>
        <v>4.3022953909478003</v>
      </c>
      <c r="I261" s="276">
        <f ca="1"/>
        <v>4.1599231439931756</v>
      </c>
      <c r="J261" s="276">
        <f ca="1"/>
        <v>4.1333878148116687</v>
      </c>
      <c r="K261" s="276">
        <f ca="1"/>
        <v>4.2114629179803345</v>
      </c>
      <c r="L261" s="276">
        <f ca="1"/>
        <v>4.2487144377928336</v>
      </c>
      <c r="M261" s="276">
        <f ca="1"/>
        <v>4.3875146212037937</v>
      </c>
      <c r="N261" s="276">
        <f ca="1"/>
        <v>4.4900838743861575</v>
      </c>
      <c r="O261" s="276">
        <f ca="1"/>
        <v>4.5753031046421508</v>
      </c>
      <c r="P261" s="276">
        <f ca="1"/>
        <v>4.6273531734212607</v>
      </c>
      <c r="Q261" s="276">
        <f ca="1"/>
        <v>4.699304739086501</v>
      </c>
      <c r="R261" s="276">
        <f ca="1"/>
        <v>4.7967710443493443</v>
      </c>
      <c r="S261" s="276">
        <f ca="1"/>
        <v>4.889644696484619</v>
      </c>
      <c r="T261" s="276">
        <f ca="1"/>
        <v>4.9866007069555103</v>
      </c>
      <c r="U261" s="276">
        <f ca="1"/>
        <v>5.093252318473489</v>
      </c>
      <c r="V261" s="276">
        <f ca="1"/>
        <v>5.1902083289443812</v>
      </c>
      <c r="W261" s="276">
        <f ca="1"/>
        <v>5.2994114144221207</v>
      </c>
      <c r="X261" s="276">
        <f ca="1"/>
        <v>5.4188203957389023</v>
      </c>
      <c r="Y261" s="276">
        <f ca="1"/>
        <v>5.5499661572705818</v>
      </c>
      <c r="Z261" s="276">
        <f ca="1"/>
        <v>5.6821325083861653</v>
      </c>
      <c r="AA261" s="276">
        <f ca="1"/>
        <v>5.8102165011661304</v>
      </c>
      <c r="AB261" s="276">
        <f ca="1"/>
        <v>5.953099042912708</v>
      </c>
      <c r="AC261" s="276">
        <f ca="1"/>
        <v>6.0990433534109965</v>
      </c>
      <c r="AD261" s="276">
        <f ca="1"/>
        <v>6.2506009066207575</v>
      </c>
      <c r="AE261" s="276">
        <f ca="1"/>
        <v>6.4123643556695589</v>
      </c>
      <c r="AF261" s="276">
        <f ca="1"/>
        <v>6.6164822724503827</v>
      </c>
    </row>
    <row r="262" spans="1:32" x14ac:dyDescent="0.25">
      <c r="A262" s="322"/>
      <c r="B262" s="322" t="s">
        <v>26</v>
      </c>
      <c r="G262" s="276">
        <f ca="1"/>
        <v>3.6688154362185155</v>
      </c>
      <c r="H262" s="276">
        <f ca="1"/>
        <v>3.6815662051891653</v>
      </c>
      <c r="I262" s="276">
        <f ca="1"/>
        <v>3.5421127760733961</v>
      </c>
      <c r="J262" s="276">
        <f ca="1"/>
        <v>3.5021808086089035</v>
      </c>
      <c r="K262" s="276">
        <f ca="1"/>
        <v>3.5508412837873449</v>
      </c>
      <c r="L262" s="276">
        <f ca="1"/>
        <v>3.5647750404895975</v>
      </c>
      <c r="M262" s="276">
        <f ca="1"/>
        <v>3.6633617225585104</v>
      </c>
      <c r="N262" s="276">
        <f ca="1"/>
        <v>3.7308909487653086</v>
      </c>
      <c r="O262" s="276">
        <f ca="1"/>
        <v>3.7834237211463955</v>
      </c>
      <c r="P262" s="276">
        <f ca="1"/>
        <v>3.8081566786050614</v>
      </c>
      <c r="Q262" s="276">
        <f ca="1"/>
        <v>3.8489543577279912</v>
      </c>
      <c r="R262" s="276">
        <f ca="1"/>
        <v>3.9101640740667669</v>
      </c>
      <c r="S262" s="276">
        <f ca="1"/>
        <v>3.9670702254497843</v>
      </c>
      <c r="T262" s="276">
        <f ca="1"/>
        <v>4.0267385990438882</v>
      </c>
      <c r="U262" s="276">
        <f ca="1"/>
        <v>4.0936420503618747</v>
      </c>
      <c r="V262" s="276">
        <f ca="1"/>
        <v>4.152166663155505</v>
      </c>
      <c r="W262" s="276">
        <f ca="1"/>
        <v>4.2199016818546555</v>
      </c>
      <c r="X262" s="276">
        <f ca="1"/>
        <v>4.2951018804935064</v>
      </c>
      <c r="Y262" s="276">
        <f ca="1"/>
        <v>4.3788723809657819</v>
      </c>
      <c r="Z262" s="276">
        <f ca="1"/>
        <v>4.4626794129790941</v>
      </c>
      <c r="AA262" s="276">
        <f ca="1"/>
        <v>4.5425329009117021</v>
      </c>
      <c r="AB262" s="276">
        <f ca="1"/>
        <v>4.6331811555700746</v>
      </c>
      <c r="AC262" s="276">
        <f ca="1"/>
        <v>4.7253849404805903</v>
      </c>
      <c r="AD262" s="276">
        <f ca="1"/>
        <v>4.8210912822366403</v>
      </c>
      <c r="AE262" s="276">
        <f ca="1"/>
        <v>4.9237797731034165</v>
      </c>
      <c r="AF262" s="276">
        <f ca="1"/>
        <v>5.0579331149398481</v>
      </c>
    </row>
    <row r="263" spans="1:32" x14ac:dyDescent="0.25">
      <c r="A263" s="322"/>
      <c r="B263" s="322" t="s">
        <v>27</v>
      </c>
      <c r="G263" s="276">
        <f ca="1"/>
        <v>1.0383439913825987</v>
      </c>
      <c r="H263" s="276">
        <f ca="1"/>
        <v>1.0419526995818365</v>
      </c>
      <c r="I263" s="276">
        <f ca="1"/>
        <v>1.0024847479452996</v>
      </c>
      <c r="J263" s="276">
        <f ca="1"/>
        <v>0.99118324771949917</v>
      </c>
      <c r="K263" s="276">
        <f ca="1"/>
        <v>1.004955080317171</v>
      </c>
      <c r="L263" s="276">
        <f ca="1"/>
        <v>1.0088985963649795</v>
      </c>
      <c r="M263" s="276">
        <f ca="1"/>
        <v>1.0368004875165582</v>
      </c>
      <c r="N263" s="276">
        <f ca="1"/>
        <v>1.055912532669427</v>
      </c>
      <c r="O263" s="276">
        <f ca="1"/>
        <v>1.0707802984376587</v>
      </c>
      <c r="P263" s="276">
        <f ca="1"/>
        <v>1.077780192058033</v>
      </c>
      <c r="Q263" s="276">
        <f ca="1"/>
        <v>1.0893267050173543</v>
      </c>
      <c r="R263" s="276">
        <f ca="1"/>
        <v>1.1066502096415356</v>
      </c>
      <c r="S263" s="276">
        <f ca="1"/>
        <v>1.1227557241839003</v>
      </c>
      <c r="T263" s="276">
        <f ca="1"/>
        <v>1.1396429997294009</v>
      </c>
      <c r="U263" s="276">
        <f ca="1"/>
        <v>1.1585779387816606</v>
      </c>
      <c r="V263" s="276">
        <f ca="1"/>
        <v>1.1751415084402368</v>
      </c>
      <c r="W263" s="276">
        <f ca="1"/>
        <v>1.1943117967513164</v>
      </c>
      <c r="X263" s="276">
        <f ca="1"/>
        <v>1.2155948718377854</v>
      </c>
      <c r="Y263" s="276">
        <f ca="1"/>
        <v>1.2393035040469169</v>
      </c>
      <c r="Z263" s="276">
        <f ca="1"/>
        <v>1.2630224753714385</v>
      </c>
      <c r="AA263" s="276">
        <f ca="1"/>
        <v>1.285622519125952</v>
      </c>
      <c r="AB263" s="276">
        <f ca="1"/>
        <v>1.3112776855386983</v>
      </c>
      <c r="AC263" s="276">
        <f ca="1"/>
        <v>1.3373730963624308</v>
      </c>
      <c r="AD263" s="276">
        <f ca="1"/>
        <v>1.3644597968594254</v>
      </c>
      <c r="AE263" s="276">
        <f ca="1"/>
        <v>1.3935225772934181</v>
      </c>
      <c r="AF263" s="276">
        <f ca="1"/>
        <v>1.4314905042282589</v>
      </c>
    </row>
    <row r="264" spans="1:32" x14ac:dyDescent="0.25">
      <c r="A264" s="322"/>
      <c r="B264" s="322" t="s">
        <v>29</v>
      </c>
      <c r="G264" s="276">
        <f ca="1"/>
        <v>1.4924493542558375</v>
      </c>
      <c r="H264" s="276">
        <f ca="1"/>
        <v>1.1498632003473288</v>
      </c>
      <c r="I264" s="276">
        <f ca="1"/>
        <v>0.86972392251778441</v>
      </c>
      <c r="J264" s="276">
        <f ca="1"/>
        <v>0.68719565307644703</v>
      </c>
      <c r="K264" s="276">
        <f ca="1"/>
        <v>0.57307600086365251</v>
      </c>
      <c r="L264" s="276">
        <f ca="1"/>
        <v>0.48718575150692228</v>
      </c>
      <c r="M264" s="276">
        <f ca="1"/>
        <v>0.43757391193849127</v>
      </c>
      <c r="N264" s="276">
        <f ca="1"/>
        <v>0.39937738423805597</v>
      </c>
      <c r="O264" s="276">
        <f ca="1"/>
        <v>0.37090685247992317</v>
      </c>
      <c r="P264" s="276">
        <f ca="1"/>
        <v>0.34809979257747359</v>
      </c>
      <c r="Q264" s="276">
        <f ca="1"/>
        <v>0.33280518637125733</v>
      </c>
      <c r="R264" s="276">
        <f ca="1"/>
        <v>0.32938415968700119</v>
      </c>
      <c r="S264" s="276">
        <f ca="1"/>
        <v>0.32826380166802932</v>
      </c>
      <c r="T264" s="276">
        <f ca="1"/>
        <v>0.32932491925044793</v>
      </c>
      <c r="U264" s="276">
        <f ca="1"/>
        <v>0.33240379713074203</v>
      </c>
      <c r="V264" s="276">
        <f ca="1"/>
        <v>0.33585300922098704</v>
      </c>
      <c r="W264" s="276">
        <f ca="1"/>
        <v>0.34082540876705747</v>
      </c>
      <c r="X264" s="276">
        <f ca="1"/>
        <v>0.3469794876250743</v>
      </c>
      <c r="Y264" s="276">
        <f ca="1"/>
        <v>0.35426380390110856</v>
      </c>
      <c r="Z264" s="276">
        <f ca="1"/>
        <v>0.36188814980548084</v>
      </c>
      <c r="AA264" s="276">
        <f ca="1"/>
        <v>0.36945404560945327</v>
      </c>
      <c r="AB264" s="276">
        <f ca="1"/>
        <v>0.37810762924595043</v>
      </c>
      <c r="AC264" s="276">
        <f ca="1"/>
        <v>0.38706194401476796</v>
      </c>
      <c r="AD264" s="276">
        <f ca="1"/>
        <v>0.3964500061718409</v>
      </c>
      <c r="AE264" s="276">
        <f ca="1"/>
        <v>0.40654174530986958</v>
      </c>
      <c r="AF264" s="276">
        <f ca="1"/>
        <v>0.41935905891013886</v>
      </c>
    </row>
    <row r="265" spans="1:32" x14ac:dyDescent="0.25">
      <c r="A265" s="322"/>
      <c r="B265" s="322"/>
      <c r="G265" s="276" t="str">
        <v/>
      </c>
      <c r="H265" s="276" t="str">
        <v/>
      </c>
      <c r="I265" s="276" t="str">
        <v/>
      </c>
      <c r="J265" s="276" t="str">
        <v/>
      </c>
      <c r="K265" s="276" t="str">
        <v/>
      </c>
      <c r="L265" s="276" t="str">
        <v/>
      </c>
      <c r="M265" s="276" t="str">
        <v/>
      </c>
      <c r="N265" s="276" t="str">
        <v/>
      </c>
      <c r="O265" s="276" t="str">
        <v/>
      </c>
      <c r="P265" s="276" t="str">
        <v/>
      </c>
      <c r="Q265" s="276" t="str">
        <v/>
      </c>
      <c r="R265" s="276" t="str">
        <v/>
      </c>
      <c r="S265" s="276" t="str">
        <v/>
      </c>
      <c r="T265" s="276" t="str">
        <v/>
      </c>
      <c r="U265" s="276" t="str">
        <v/>
      </c>
      <c r="V265" s="276" t="str">
        <v/>
      </c>
      <c r="W265" s="276" t="str">
        <v/>
      </c>
      <c r="X265" s="276" t="str">
        <v/>
      </c>
      <c r="Y265" s="276" t="str">
        <v/>
      </c>
      <c r="Z265" s="276" t="str">
        <v/>
      </c>
      <c r="AA265" s="276" t="str">
        <v/>
      </c>
      <c r="AB265" s="276" t="str">
        <v/>
      </c>
      <c r="AC265" s="276" t="str">
        <v/>
      </c>
      <c r="AD265" s="276" t="str">
        <v/>
      </c>
      <c r="AE265" s="276" t="str">
        <v/>
      </c>
      <c r="AF265" s="276" t="str">
        <v/>
      </c>
    </row>
    <row r="266" spans="1:32" s="202" customFormat="1" ht="12.75" x14ac:dyDescent="0.2">
      <c r="A266" s="335" t="s">
        <v>32</v>
      </c>
      <c r="B266" s="335"/>
      <c r="C266" s="335"/>
      <c r="D266" s="335"/>
      <c r="E266" s="335"/>
      <c r="F266" s="335"/>
      <c r="G266" s="274" t="str">
        <v/>
      </c>
      <c r="H266" s="274" t="str">
        <v/>
      </c>
      <c r="I266" s="274" t="str">
        <v/>
      </c>
      <c r="J266" s="274" t="str">
        <v/>
      </c>
      <c r="K266" s="274" t="str">
        <v/>
      </c>
      <c r="L266" s="274" t="str">
        <v/>
      </c>
      <c r="M266" s="274" t="str">
        <v/>
      </c>
      <c r="N266" s="274" t="str">
        <v/>
      </c>
      <c r="O266" s="274" t="str">
        <v/>
      </c>
      <c r="P266" s="274" t="str">
        <v/>
      </c>
      <c r="Q266" s="274" t="str">
        <v/>
      </c>
      <c r="R266" s="274" t="str">
        <v/>
      </c>
      <c r="S266" s="274" t="str">
        <v/>
      </c>
      <c r="T266" s="274" t="str">
        <v/>
      </c>
      <c r="U266" s="274" t="str">
        <v/>
      </c>
      <c r="V266" s="274" t="str">
        <v/>
      </c>
      <c r="W266" s="274" t="str">
        <v/>
      </c>
      <c r="X266" s="274" t="str">
        <v/>
      </c>
      <c r="Y266" s="274" t="str">
        <v/>
      </c>
      <c r="Z266" s="274" t="str">
        <v/>
      </c>
      <c r="AA266" s="274" t="str">
        <v/>
      </c>
      <c r="AB266" s="274" t="str">
        <v/>
      </c>
      <c r="AC266" s="274" t="str">
        <v/>
      </c>
      <c r="AD266" s="274" t="str">
        <v/>
      </c>
      <c r="AE266" s="274" t="str">
        <v/>
      </c>
      <c r="AF266" s="274" t="str">
        <v/>
      </c>
    </row>
    <row r="267" spans="1:32" x14ac:dyDescent="0.25">
      <c r="A267" s="322"/>
      <c r="B267" s="322" t="s">
        <v>33</v>
      </c>
      <c r="G267" s="276">
        <v>5.3177451871554</v>
      </c>
      <c r="H267" s="276">
        <v>5.3629078556109064</v>
      </c>
      <c r="I267" s="276">
        <v>5.1854376513984235</v>
      </c>
      <c r="J267" s="276">
        <v>5.1523607674591805</v>
      </c>
      <c r="K267" s="276">
        <v>5.2496831375111874</v>
      </c>
      <c r="L267" s="276">
        <v>5.2961179938105101</v>
      </c>
      <c r="M267" s="276">
        <v>5.4691355405696331</v>
      </c>
      <c r="N267" s="276">
        <v>5.5969904188732498</v>
      </c>
      <c r="O267" s="276">
        <v>5.7032181038319756</v>
      </c>
      <c r="P267" s="276">
        <v>5.7680996838666472</v>
      </c>
      <c r="Q267" s="276">
        <v>5.8577889268557506</v>
      </c>
      <c r="R267" s="276">
        <v>5.9792828659402826</v>
      </c>
      <c r="S267" s="276">
        <v>6.0950519597276376</v>
      </c>
      <c r="T267" s="276">
        <v>6.2159098048902601</v>
      </c>
      <c r="U267" s="276">
        <v>6.3488534345691452</v>
      </c>
      <c r="V267" s="276">
        <v>6.4697112797317669</v>
      </c>
      <c r="W267" s="276">
        <v>6.6058353790201956</v>
      </c>
      <c r="X267" s="276">
        <v>6.7546813567467936</v>
      </c>
      <c r="Y267" s="276">
        <v>6.9181574946772892</v>
      </c>
      <c r="Z267" s="276">
        <v>7.082905820451602</v>
      </c>
      <c r="AA267" s="276">
        <v>7.2425653948506437</v>
      </c>
      <c r="AB267" s="276">
        <v>7.420671692985036</v>
      </c>
      <c r="AC267" s="276">
        <v>7.6025945546508789</v>
      </c>
      <c r="AD267" s="276">
        <v>7.7915144494577158</v>
      </c>
      <c r="AE267" s="276">
        <v>7.9931562227027229</v>
      </c>
      <c r="AF267" s="276">
        <v>8.247593791466139</v>
      </c>
    </row>
    <row r="268" spans="1:32" x14ac:dyDescent="0.25">
      <c r="A268" s="328"/>
      <c r="B268" s="328" t="s">
        <v>34</v>
      </c>
      <c r="G268" s="276">
        <v>3.846879497091138</v>
      </c>
      <c r="H268" s="276">
        <v>3.8602491180432006</v>
      </c>
      <c r="I268" s="276">
        <v>3.468380652544174</v>
      </c>
      <c r="J268" s="276">
        <v>3.2185044510485135</v>
      </c>
      <c r="K268" s="276">
        <v>3.0760144549862969</v>
      </c>
      <c r="L268" s="276">
        <v>3.0877837098544485</v>
      </c>
      <c r="M268" s="276">
        <v>3.1727937704378122</v>
      </c>
      <c r="N268" s="276">
        <v>3.230811791945404</v>
      </c>
      <c r="O268" s="276">
        <v>3.2757519965331312</v>
      </c>
      <c r="P268" s="276">
        <v>3.2965352919278734</v>
      </c>
      <c r="Q268" s="276">
        <v>3.3311380353815165</v>
      </c>
      <c r="R268" s="276">
        <v>3.383311213785158</v>
      </c>
      <c r="S268" s="276">
        <v>3.4316595798125751</v>
      </c>
      <c r="T268" s="276">
        <v>3.4822939585030888</v>
      </c>
      <c r="U268" s="276">
        <v>3.5390766185262121</v>
      </c>
      <c r="V268" s="276">
        <v>3.5885045553746249</v>
      </c>
      <c r="W268" s="276">
        <v>3.6457785605025208</v>
      </c>
      <c r="X268" s="276">
        <v>3.7093801607251438</v>
      </c>
      <c r="Y268" s="276">
        <v>3.780252952025509</v>
      </c>
      <c r="Z268" s="276">
        <v>3.8510204238831642</v>
      </c>
      <c r="AA268" s="276">
        <v>3.9182371524804087</v>
      </c>
      <c r="AB268" s="276">
        <v>3.9946197888859283</v>
      </c>
      <c r="AC268" s="276">
        <v>4.0721896873223997</v>
      </c>
      <c r="AD268" s="276">
        <v>4.1526180576378557</v>
      </c>
      <c r="AE268" s="276">
        <v>4.2388919564376897</v>
      </c>
      <c r="AF268" s="276">
        <v>4.3520637388555468</v>
      </c>
    </row>
    <row r="269" spans="1:32" x14ac:dyDescent="0.25">
      <c r="A269" s="322"/>
      <c r="B269" s="328" t="s">
        <v>35</v>
      </c>
      <c r="G269" s="276">
        <v>1.25849190044049</v>
      </c>
      <c r="H269" s="276">
        <v>1.262865720751954</v>
      </c>
      <c r="I269" s="276">
        <v>1.2150298418199423</v>
      </c>
      <c r="J269" s="276">
        <v>1.201332216933553</v>
      </c>
      <c r="K269" s="276">
        <v>1.218023929816981</v>
      </c>
      <c r="L269" s="276">
        <v>1.2228035433618287</v>
      </c>
      <c r="M269" s="276">
        <v>1.2566211455366902</v>
      </c>
      <c r="N269" s="276">
        <v>1.2797852936661658</v>
      </c>
      <c r="O269" s="276">
        <v>1.2978052975880361</v>
      </c>
      <c r="P269" s="276">
        <v>1.3062892966271791</v>
      </c>
      <c r="Q269" s="276">
        <v>1.3202838814258901</v>
      </c>
      <c r="R269" s="276">
        <v>1.341280285736707</v>
      </c>
      <c r="S269" s="276">
        <v>1.3608004638012068</v>
      </c>
      <c r="T269" s="276">
        <v>1.3812681504935711</v>
      </c>
      <c r="U269" s="276">
        <v>1.4042176427912771</v>
      </c>
      <c r="V269" s="276">
        <v>1.4242929920307354</v>
      </c>
      <c r="W269" s="276">
        <v>1.4475277319327573</v>
      </c>
      <c r="X269" s="276">
        <v>1.473323208032276</v>
      </c>
      <c r="Y269" s="276">
        <v>1.5020585037082177</v>
      </c>
      <c r="Z269" s="276">
        <v>1.530806330581028</v>
      </c>
      <c r="AA269" s="276">
        <v>1.5581979967828856</v>
      </c>
      <c r="AB269" s="276">
        <v>1.5892925274999188</v>
      </c>
      <c r="AC269" s="276">
        <v>1.6209206424915648</v>
      </c>
      <c r="AD269" s="276">
        <v>1.6537502186898494</v>
      </c>
      <c r="AE269" s="276">
        <v>1.6889748398982389</v>
      </c>
      <c r="AF269" s="276">
        <v>1.7349926614685145</v>
      </c>
    </row>
    <row r="270" spans="1:32" x14ac:dyDescent="0.25">
      <c r="A270" s="322"/>
      <c r="B270" s="328" t="s">
        <v>29</v>
      </c>
      <c r="G270" s="276">
        <v>1.4709915355175793</v>
      </c>
      <c r="H270" s="276">
        <v>1.1333309434526555</v>
      </c>
      <c r="I270" s="276">
        <v>0.85721939214394205</v>
      </c>
      <c r="J270" s="276">
        <v>0.67731543856907717</v>
      </c>
      <c r="K270" s="276">
        <v>0.56483655145472456</v>
      </c>
      <c r="L270" s="276">
        <v>0.48018119653298807</v>
      </c>
      <c r="M270" s="276">
        <v>0.43128265544781563</v>
      </c>
      <c r="N270" s="276">
        <v>0.39363530160409421</v>
      </c>
      <c r="O270" s="276">
        <v>0.3655741073609034</v>
      </c>
      <c r="P270" s="276">
        <v>0.34309495792050321</v>
      </c>
      <c r="Q270" s="276">
        <v>0.32802025122827055</v>
      </c>
      <c r="R270" s="276">
        <v>0.32464841064890981</v>
      </c>
      <c r="S270" s="276">
        <v>0.32354416067355396</v>
      </c>
      <c r="T270" s="276">
        <v>0.32459002194681968</v>
      </c>
      <c r="U270" s="276">
        <v>0.32762463299602568</v>
      </c>
      <c r="V270" s="276">
        <v>0.33102425374328048</v>
      </c>
      <c r="W270" s="276">
        <v>0.33592516218792795</v>
      </c>
      <c r="X270" s="276">
        <v>0.34199076024875069</v>
      </c>
      <c r="Y270" s="276">
        <v>0.34917034564206684</v>
      </c>
      <c r="Z270" s="276">
        <v>0.35668507185854337</v>
      </c>
      <c r="AA270" s="276">
        <v>0.36414218834595724</v>
      </c>
      <c r="AB270" s="276">
        <v>0.37267135434069065</v>
      </c>
      <c r="AC270" s="276">
        <v>0.38149692768006754</v>
      </c>
      <c r="AD270" s="276">
        <v>0.39075001216738209</v>
      </c>
      <c r="AE270" s="276">
        <v>0.40069665645943825</v>
      </c>
      <c r="AF270" s="276">
        <v>0.41332968803287579</v>
      </c>
    </row>
    <row r="271" spans="1:32" x14ac:dyDescent="0.25">
      <c r="A271" s="322"/>
      <c r="B271" s="322"/>
      <c r="G271" s="276" t="str">
        <v/>
      </c>
      <c r="H271" s="276" t="str">
        <v/>
      </c>
      <c r="I271" s="276" t="str">
        <v/>
      </c>
      <c r="J271" s="276" t="str">
        <v/>
      </c>
      <c r="K271" s="276" t="str">
        <v/>
      </c>
      <c r="L271" s="276" t="str">
        <v/>
      </c>
      <c r="M271" s="276" t="str">
        <v/>
      </c>
      <c r="N271" s="276" t="str">
        <v/>
      </c>
      <c r="O271" s="276" t="str">
        <v/>
      </c>
      <c r="P271" s="276" t="str">
        <v/>
      </c>
      <c r="Q271" s="276" t="str">
        <v/>
      </c>
      <c r="R271" s="276" t="str">
        <v/>
      </c>
      <c r="S271" s="276" t="str">
        <v/>
      </c>
      <c r="T271" s="276" t="str">
        <v/>
      </c>
      <c r="U271" s="276" t="str">
        <v/>
      </c>
      <c r="V271" s="276" t="str">
        <v/>
      </c>
      <c r="W271" s="276" t="str">
        <v/>
      </c>
      <c r="X271" s="276" t="str">
        <v/>
      </c>
      <c r="Y271" s="276" t="str">
        <v/>
      </c>
      <c r="Z271" s="276" t="str">
        <v/>
      </c>
      <c r="AA271" s="276" t="str">
        <v/>
      </c>
      <c r="AB271" s="276" t="str">
        <v/>
      </c>
      <c r="AC271" s="276" t="str">
        <v/>
      </c>
      <c r="AD271" s="276" t="str">
        <v/>
      </c>
      <c r="AE271" s="276" t="str">
        <v/>
      </c>
      <c r="AF271" s="276" t="str">
        <v/>
      </c>
    </row>
    <row r="272" spans="1:32" s="202" customFormat="1" ht="12.75" x14ac:dyDescent="0.2">
      <c r="A272" s="335" t="s">
        <v>36</v>
      </c>
      <c r="B272" s="335"/>
      <c r="C272" s="335"/>
      <c r="D272" s="335"/>
      <c r="E272" s="335"/>
      <c r="F272" s="335"/>
      <c r="G272" s="274" t="str">
        <v/>
      </c>
      <c r="H272" s="274" t="str">
        <v/>
      </c>
      <c r="I272" s="274" t="str">
        <v/>
      </c>
      <c r="J272" s="274" t="str">
        <v/>
      </c>
      <c r="K272" s="274" t="str">
        <v/>
      </c>
      <c r="L272" s="274" t="str">
        <v/>
      </c>
      <c r="M272" s="274" t="str">
        <v/>
      </c>
      <c r="N272" s="274" t="str">
        <v/>
      </c>
      <c r="O272" s="274" t="str">
        <v/>
      </c>
      <c r="P272" s="274" t="str">
        <v/>
      </c>
      <c r="Q272" s="274" t="str">
        <v/>
      </c>
      <c r="R272" s="274" t="str">
        <v/>
      </c>
      <c r="S272" s="274" t="str">
        <v/>
      </c>
      <c r="T272" s="274" t="str">
        <v/>
      </c>
      <c r="U272" s="274" t="str">
        <v/>
      </c>
      <c r="V272" s="274" t="str">
        <v/>
      </c>
      <c r="W272" s="274" t="str">
        <v/>
      </c>
      <c r="X272" s="274" t="str">
        <v/>
      </c>
      <c r="Y272" s="274" t="str">
        <v/>
      </c>
      <c r="Z272" s="274" t="str">
        <v/>
      </c>
      <c r="AA272" s="274" t="str">
        <v/>
      </c>
      <c r="AB272" s="274" t="str">
        <v/>
      </c>
      <c r="AC272" s="274" t="str">
        <v/>
      </c>
      <c r="AD272" s="274" t="str">
        <v/>
      </c>
      <c r="AE272" s="274" t="str">
        <v/>
      </c>
      <c r="AF272" s="274" t="str">
        <v/>
      </c>
    </row>
    <row r="273" spans="1:32" x14ac:dyDescent="0.25">
      <c r="A273" s="322"/>
      <c r="B273" s="322" t="s">
        <v>37</v>
      </c>
      <c r="G273" s="276">
        <v>1.2370215351812366</v>
      </c>
      <c r="H273" s="276">
        <v>1.2475273400852878</v>
      </c>
      <c r="I273" s="276">
        <v>1.2062439658848614</v>
      </c>
      <c r="J273" s="276">
        <v>1.1985495735607676</v>
      </c>
      <c r="K273" s="276">
        <v>1.2211888432835822</v>
      </c>
      <c r="L273" s="276">
        <v>1.2319905863539446</v>
      </c>
      <c r="M273" s="276">
        <v>1.2722381769722815</v>
      </c>
      <c r="N273" s="276">
        <v>1.3019799626865671</v>
      </c>
      <c r="O273" s="276">
        <v>1.3266907995735606</v>
      </c>
      <c r="P273" s="276">
        <v>1.3417836460554371</v>
      </c>
      <c r="Q273" s="276">
        <v>1.3626472867803836</v>
      </c>
      <c r="R273" s="276">
        <v>1.3909093816631131</v>
      </c>
      <c r="S273" s="276">
        <v>1.4178397547974415</v>
      </c>
      <c r="T273" s="276">
        <v>1.4459538805970149</v>
      </c>
      <c r="U273" s="276">
        <v>1.4768794189765457</v>
      </c>
      <c r="V273" s="276">
        <v>1.5049935447761196</v>
      </c>
      <c r="W273" s="276">
        <v>1.5366589285714287</v>
      </c>
      <c r="X273" s="276">
        <v>1.5712836940298507</v>
      </c>
      <c r="Y273" s="276">
        <v>1.6093117484008528</v>
      </c>
      <c r="Z273" s="276">
        <v>1.6476357409381666</v>
      </c>
      <c r="AA273" s="276">
        <v>1.6847759808102345</v>
      </c>
      <c r="AB273" s="276">
        <v>1.7262073240938167</v>
      </c>
      <c r="AC273" s="276">
        <v>1.7685264818763329</v>
      </c>
      <c r="AD273" s="276">
        <v>1.8124732995735608</v>
      </c>
      <c r="AE273" s="276">
        <v>1.8593794989339019</v>
      </c>
      <c r="AF273" s="276">
        <v>1.9185671321961622</v>
      </c>
    </row>
    <row r="274" spans="1:32" x14ac:dyDescent="0.25">
      <c r="A274" s="322"/>
      <c r="B274" s="322" t="s">
        <v>39</v>
      </c>
      <c r="G274" s="276">
        <v>1.1431785221674879</v>
      </c>
      <c r="H274" s="276">
        <v>1.1471515770899205</v>
      </c>
      <c r="I274" s="276">
        <v>1.1036988148075901</v>
      </c>
      <c r="J274" s="276">
        <v>1.0912562789681863</v>
      </c>
      <c r="K274" s="276">
        <v>1.0919818558342937</v>
      </c>
      <c r="L274" s="276">
        <v>1.0822828665520541</v>
      </c>
      <c r="M274" s="276">
        <v>1.0983398342586184</v>
      </c>
      <c r="N274" s="276">
        <v>1.1184241853817194</v>
      </c>
      <c r="O274" s="276">
        <v>1.1339813316791989</v>
      </c>
      <c r="P274" s="276">
        <v>1.1411759755390989</v>
      </c>
      <c r="Q274" s="276">
        <v>1.1531545579051767</v>
      </c>
      <c r="R274" s="276">
        <v>1.1712155742417962</v>
      </c>
      <c r="S274" s="276">
        <v>1.1879525386244196</v>
      </c>
      <c r="T274" s="276">
        <v>1.2054808619642168</v>
      </c>
      <c r="U274" s="276">
        <v>1.225137562623319</v>
      </c>
      <c r="V274" s="276">
        <v>1.2422482467376352</v>
      </c>
      <c r="W274" s="276">
        <v>1.2620750384710353</v>
      </c>
      <c r="X274" s="276">
        <v>1.2840922813495279</v>
      </c>
      <c r="Y274" s="276">
        <v>1.3086266241030906</v>
      </c>
      <c r="Z274" s="276">
        <v>1.3331245079665954</v>
      </c>
      <c r="AA274" s="276">
        <v>1.3563932155752585</v>
      </c>
      <c r="AB274" s="276">
        <v>1.3828349253994363</v>
      </c>
      <c r="AC274" s="276">
        <v>1.4096876348903573</v>
      </c>
      <c r="AD274" s="276">
        <v>1.4375298740377751</v>
      </c>
      <c r="AE274" s="276">
        <v>1.4673956852328032</v>
      </c>
      <c r="AF274" s="276">
        <v>1.5065728539166756</v>
      </c>
    </row>
    <row r="275" spans="1:32" x14ac:dyDescent="0.25">
      <c r="A275" s="322"/>
      <c r="B275" s="322" t="s">
        <v>40</v>
      </c>
      <c r="G275" s="276">
        <v>0.75218864255153661</v>
      </c>
      <c r="H275" s="276">
        <v>0.75480283336332721</v>
      </c>
      <c r="I275" s="276">
        <v>0.72621178337203651</v>
      </c>
      <c r="J275" s="276">
        <v>0.71802484322099658</v>
      </c>
      <c r="K275" s="276">
        <v>0.72800132129864836</v>
      </c>
      <c r="L275" s="276">
        <v>0.73085805086755662</v>
      </c>
      <c r="M275" s="276">
        <v>0.7510705101335664</v>
      </c>
      <c r="N275" s="276">
        <v>0.76491550121477592</v>
      </c>
      <c r="O275" s="276">
        <v>0.77568588621607915</v>
      </c>
      <c r="P275" s="276">
        <v>0.78075669177186102</v>
      </c>
      <c r="Q275" s="276">
        <v>0.78912112203885876</v>
      </c>
      <c r="R275" s="276">
        <v>0.80167047325159779</v>
      </c>
      <c r="S275" s="276">
        <v>0.81333749807357902</v>
      </c>
      <c r="T275" s="276">
        <v>0.82557083979306944</v>
      </c>
      <c r="U275" s="276">
        <v>0.8392875331246793</v>
      </c>
      <c r="V275" s="276">
        <v>0.85128637847910082</v>
      </c>
      <c r="W275" s="276">
        <v>0.8651735615915408</v>
      </c>
      <c r="X275" s="276">
        <v>0.88059127238052226</v>
      </c>
      <c r="Y275" s="276">
        <v>0.89776608537712443</v>
      </c>
      <c r="Z275" s="276">
        <v>0.91494838815094282</v>
      </c>
      <c r="AA275" s="276">
        <v>0.93132012658675412</v>
      </c>
      <c r="AB275" s="276">
        <v>0.94990503193468423</v>
      </c>
      <c r="AC275" s="276">
        <v>0.96880885552997564</v>
      </c>
      <c r="AD275" s="276">
        <v>0.98843078106440807</v>
      </c>
      <c r="AE275" s="276">
        <v>1.0094842022281489</v>
      </c>
      <c r="AF275" s="276">
        <v>1.0369886166212894</v>
      </c>
    </row>
    <row r="276" spans="1:32" x14ac:dyDescent="0.25">
      <c r="A276" s="322"/>
      <c r="B276" s="322" t="s">
        <v>29</v>
      </c>
      <c r="G276" s="276">
        <v>0.83014792893490674</v>
      </c>
      <c r="H276" s="276">
        <v>0.69145114178077705</v>
      </c>
      <c r="I276" s="276">
        <v>0.56703141499713905</v>
      </c>
      <c r="J276" s="276">
        <v>0.4853779548588002</v>
      </c>
      <c r="K276" s="276">
        <v>0.43654506899733547</v>
      </c>
      <c r="L276" s="276">
        <v>0.39721904881143305</v>
      </c>
      <c r="M276" s="276">
        <v>0.37823512613737104</v>
      </c>
      <c r="N276" s="276">
        <v>0.36227247363735293</v>
      </c>
      <c r="O276" s="276">
        <v>0.34962540299017486</v>
      </c>
      <c r="P276" s="276">
        <v>0.33803078396519382</v>
      </c>
      <c r="Q276" s="276">
        <v>0.330527004945323</v>
      </c>
      <c r="R276" s="276">
        <v>0.33263556324833027</v>
      </c>
      <c r="S276" s="276">
        <v>0.33557988333353639</v>
      </c>
      <c r="T276" s="276">
        <v>0.33965795063750182</v>
      </c>
      <c r="U276" s="276">
        <v>0.34502132449872047</v>
      </c>
      <c r="V276" s="276">
        <v>0.35018945836388304</v>
      </c>
      <c r="W276" s="276">
        <v>0.35652488188708864</v>
      </c>
      <c r="X276" s="276">
        <v>0.36379535815486413</v>
      </c>
      <c r="Y276" s="276">
        <v>0.37203532630408098</v>
      </c>
      <c r="Z276" s="276">
        <v>0.3804773066532976</v>
      </c>
      <c r="AA276" s="276">
        <v>0.38874529659859242</v>
      </c>
      <c r="AB276" s="276">
        <v>0.39807674661173648</v>
      </c>
      <c r="AC276" s="276">
        <v>0.40766678541891876</v>
      </c>
      <c r="AD276" s="276">
        <v>0.41767185439135118</v>
      </c>
      <c r="AE276" s="276">
        <v>0.42838825623466609</v>
      </c>
      <c r="AF276" s="276">
        <v>0.44195549130627776</v>
      </c>
    </row>
    <row r="277" spans="1:32" x14ac:dyDescent="0.25">
      <c r="A277" s="322"/>
      <c r="B277" s="322"/>
      <c r="G277" s="276" t="str">
        <v/>
      </c>
      <c r="H277" s="276" t="str">
        <v/>
      </c>
      <c r="I277" s="276" t="str">
        <v/>
      </c>
      <c r="J277" s="276" t="str">
        <v/>
      </c>
      <c r="K277" s="276" t="str">
        <v/>
      </c>
      <c r="L277" s="276" t="str">
        <v/>
      </c>
      <c r="M277" s="276" t="str">
        <v/>
      </c>
      <c r="N277" s="276" t="str">
        <v/>
      </c>
      <c r="O277" s="276" t="str">
        <v/>
      </c>
      <c r="P277" s="276" t="str">
        <v/>
      </c>
      <c r="Q277" s="276" t="str">
        <v/>
      </c>
      <c r="R277" s="276" t="str">
        <v/>
      </c>
      <c r="S277" s="276" t="str">
        <v/>
      </c>
      <c r="T277" s="276" t="str">
        <v/>
      </c>
      <c r="U277" s="276" t="str">
        <v/>
      </c>
      <c r="V277" s="276" t="str">
        <v/>
      </c>
      <c r="W277" s="276" t="str">
        <v/>
      </c>
      <c r="X277" s="276" t="str">
        <v/>
      </c>
      <c r="Y277" s="276" t="str">
        <v/>
      </c>
      <c r="Z277" s="276" t="str">
        <v/>
      </c>
      <c r="AA277" s="276" t="str">
        <v/>
      </c>
      <c r="AB277" s="276" t="str">
        <v/>
      </c>
      <c r="AC277" s="276" t="str">
        <v/>
      </c>
      <c r="AD277" s="276" t="str">
        <v/>
      </c>
      <c r="AE277" s="276" t="str">
        <v/>
      </c>
      <c r="AF277" s="276" t="str">
        <v/>
      </c>
    </row>
    <row r="278" spans="1:32" s="202" customFormat="1" ht="12.75" x14ac:dyDescent="0.2">
      <c r="A278" s="335" t="s">
        <v>42</v>
      </c>
      <c r="B278" s="335"/>
      <c r="C278" s="335"/>
      <c r="D278" s="335"/>
      <c r="E278" s="335"/>
      <c r="F278" s="335"/>
      <c r="G278" s="274" t="str">
        <v/>
      </c>
      <c r="H278" s="274" t="str">
        <v/>
      </c>
      <c r="I278" s="274" t="str">
        <v/>
      </c>
      <c r="J278" s="274" t="str">
        <v/>
      </c>
      <c r="K278" s="274" t="str">
        <v/>
      </c>
      <c r="L278" s="274" t="str">
        <v/>
      </c>
      <c r="M278" s="274" t="str">
        <v/>
      </c>
      <c r="N278" s="274" t="str">
        <v/>
      </c>
      <c r="O278" s="274" t="str">
        <v/>
      </c>
      <c r="P278" s="274" t="str">
        <v/>
      </c>
      <c r="Q278" s="274" t="str">
        <v/>
      </c>
      <c r="R278" s="274" t="str">
        <v/>
      </c>
      <c r="S278" s="274" t="str">
        <v/>
      </c>
      <c r="T278" s="274" t="str">
        <v/>
      </c>
      <c r="U278" s="274" t="str">
        <v/>
      </c>
      <c r="V278" s="274" t="str">
        <v/>
      </c>
      <c r="W278" s="274" t="str">
        <v/>
      </c>
      <c r="X278" s="274" t="str">
        <v/>
      </c>
      <c r="Y278" s="274" t="str">
        <v/>
      </c>
      <c r="Z278" s="274" t="str">
        <v/>
      </c>
      <c r="AA278" s="274" t="str">
        <v/>
      </c>
      <c r="AB278" s="274" t="str">
        <v/>
      </c>
      <c r="AC278" s="274" t="str">
        <v/>
      </c>
      <c r="AD278" s="274" t="str">
        <v/>
      </c>
      <c r="AE278" s="274" t="str">
        <v/>
      </c>
      <c r="AF278" s="274" t="str">
        <v/>
      </c>
    </row>
    <row r="279" spans="1:32" x14ac:dyDescent="0.25">
      <c r="A279" s="322"/>
      <c r="B279" s="328" t="s">
        <v>43</v>
      </c>
      <c r="G279" s="276">
        <v>3.9650995187570497</v>
      </c>
      <c r="H279" s="276">
        <v>3.9987744070144364</v>
      </c>
      <c r="I279" s="276">
        <v>3.8664463249889316</v>
      </c>
      <c r="J279" s="276">
        <v>3.8417830265469024</v>
      </c>
      <c r="K279" s="276">
        <v>3.9143500392705666</v>
      </c>
      <c r="L279" s="276">
        <v>3.9489735159295689</v>
      </c>
      <c r="M279" s="276">
        <v>4.077981538549416</v>
      </c>
      <c r="N279" s="276">
        <v>4.173314672911876</v>
      </c>
      <c r="O279" s="276">
        <v>4.2525218044468547</v>
      </c>
      <c r="P279" s="276">
        <v>4.3008998129292975</v>
      </c>
      <c r="Q279" s="276">
        <v>4.3677752952432618</v>
      </c>
      <c r="R279" s="276">
        <v>4.4583654875976402</v>
      </c>
      <c r="S279" s="276">
        <v>4.5446870321447435</v>
      </c>
      <c r="T279" s="276">
        <v>4.6348029302983127</v>
      </c>
      <c r="U279" s="276">
        <v>4.7339304182672386</v>
      </c>
      <c r="V279" s="276">
        <v>4.8240463164208078</v>
      </c>
      <c r="W279" s="276">
        <v>4.9255452753937758</v>
      </c>
      <c r="X279" s="276">
        <v>5.0365301183829079</v>
      </c>
      <c r="Y279" s="276">
        <v>5.1584237279906304</v>
      </c>
      <c r="Z279" s="276">
        <v>5.2812659259999704</v>
      </c>
      <c r="AA279" s="276">
        <v>5.4003137704028426</v>
      </c>
      <c r="AB279" s="276">
        <v>5.5331161466291565</v>
      </c>
      <c r="AC279" s="276">
        <v>5.6687642880603182</v>
      </c>
      <c r="AD279" s="276">
        <v>5.8096296657003714</v>
      </c>
      <c r="AE279" s="276">
        <v>5.9599809273565896</v>
      </c>
      <c r="AF279" s="276">
        <v>6.149698607679893</v>
      </c>
    </row>
    <row r="280" spans="1:32" x14ac:dyDescent="0.25">
      <c r="A280" s="322"/>
      <c r="B280" s="328" t="s">
        <v>44</v>
      </c>
      <c r="G280" s="276">
        <v>2.3709676714200341</v>
      </c>
      <c r="H280" s="276">
        <v>2.3733040993674597</v>
      </c>
      <c r="I280" s="276">
        <v>2.2778099391208562</v>
      </c>
      <c r="J280" s="276">
        <v>2.2466791612758699</v>
      </c>
      <c r="K280" s="276">
        <v>2.2724481107713022</v>
      </c>
      <c r="L280" s="276">
        <v>2.2759758842731523</v>
      </c>
      <c r="M280" s="276">
        <v>2.3334607768674522</v>
      </c>
      <c r="N280" s="276">
        <v>2.3709946176027521</v>
      </c>
      <c r="O280" s="276">
        <v>2.3989004403213863</v>
      </c>
      <c r="P280" s="276">
        <v>2.4091452376586213</v>
      </c>
      <c r="Q280" s="276">
        <v>2.4295361395468009</v>
      </c>
      <c r="R280" s="276">
        <v>2.4627441916691515</v>
      </c>
      <c r="S280" s="276">
        <v>2.4931535300850229</v>
      </c>
      <c r="T280" s="276">
        <v>2.5252145573472298</v>
      </c>
      <c r="U280" s="276">
        <v>2.5617168945466835</v>
      </c>
      <c r="V280" s="276">
        <v>2.5928834133662866</v>
      </c>
      <c r="W280" s="276">
        <v>2.6297098500189078</v>
      </c>
      <c r="X280" s="276">
        <v>2.6710771069934243</v>
      </c>
      <c r="Y280" s="276">
        <v>2.7176447942124513</v>
      </c>
      <c r="Z280" s="276">
        <v>2.7640975596266526</v>
      </c>
      <c r="AA280" s="276">
        <v>2.8079714902005897</v>
      </c>
      <c r="AB280" s="276">
        <v>2.8583823880854138</v>
      </c>
      <c r="AC280" s="276">
        <v>2.9096048636273539</v>
      </c>
      <c r="AD280" s="276">
        <v>2.962832761063853</v>
      </c>
      <c r="AE280" s="276">
        <v>3.0201909576538948</v>
      </c>
      <c r="AF280" s="276">
        <v>3.0966473762409619</v>
      </c>
    </row>
    <row r="281" spans="1:32" x14ac:dyDescent="0.25">
      <c r="A281" s="322"/>
      <c r="B281" s="328" t="s">
        <v>45</v>
      </c>
      <c r="G281" s="276">
        <v>1.6573097845874687</v>
      </c>
      <c r="H281" s="276">
        <v>1.6672169807367887</v>
      </c>
      <c r="I281" s="276">
        <v>1.6080351072338133</v>
      </c>
      <c r="J281" s="276">
        <v>1.5938130593703326</v>
      </c>
      <c r="K281" s="276">
        <v>1.6198988171159681</v>
      </c>
      <c r="L281" s="276">
        <v>1.6301921278841358</v>
      </c>
      <c r="M281" s="276">
        <v>1.6793020397250646</v>
      </c>
      <c r="N281" s="276">
        <v>1.7143374668874998</v>
      </c>
      <c r="O281" s="276">
        <v>1.7425930585199421</v>
      </c>
      <c r="P281" s="276">
        <v>1.7581082493933347</v>
      </c>
      <c r="Q281" s="276">
        <v>1.7810906530827404</v>
      </c>
      <c r="R281" s="276">
        <v>1.8136080717030716</v>
      </c>
      <c r="S281" s="276">
        <v>1.8442354201603948</v>
      </c>
      <c r="T281" s="276">
        <v>1.8762504738335148</v>
      </c>
      <c r="U281" s="276">
        <v>1.911750105166947</v>
      </c>
      <c r="V281" s="276">
        <v>1.9434481834368076</v>
      </c>
      <c r="W281" s="276">
        <v>1.9795687008811262</v>
      </c>
      <c r="X281" s="276">
        <v>2.0193191975645512</v>
      </c>
      <c r="Y281" s="276">
        <v>2.0632427390825896</v>
      </c>
      <c r="Z281" s="276">
        <v>2.107335128225265</v>
      </c>
      <c r="AA281" s="276">
        <v>2.1497071322981234</v>
      </c>
      <c r="AB281" s="276">
        <v>2.1973401160369384</v>
      </c>
      <c r="AC281" s="276">
        <v>2.2458747982255187</v>
      </c>
      <c r="AD281" s="276">
        <v>2.2962421020294665</v>
      </c>
      <c r="AE281" s="276">
        <v>2.3501122543475375</v>
      </c>
      <c r="AF281" s="276">
        <v>2.4192151609300452</v>
      </c>
    </row>
    <row r="282" spans="1:32" x14ac:dyDescent="0.25">
      <c r="A282" s="322"/>
      <c r="B282" s="328" t="s">
        <v>46</v>
      </c>
      <c r="G282" s="276">
        <v>1000</v>
      </c>
      <c r="H282" s="276">
        <v>1000</v>
      </c>
      <c r="I282" s="276">
        <v>1000</v>
      </c>
      <c r="J282" s="276">
        <v>1000</v>
      </c>
      <c r="K282" s="276">
        <v>1000</v>
      </c>
      <c r="L282" s="276">
        <v>1000</v>
      </c>
      <c r="M282" s="276">
        <v>1000</v>
      </c>
      <c r="N282" s="276">
        <v>1000</v>
      </c>
      <c r="O282" s="276">
        <v>1000</v>
      </c>
      <c r="P282" s="276">
        <v>1000</v>
      </c>
      <c r="Q282" s="276">
        <v>1000</v>
      </c>
      <c r="R282" s="276">
        <v>1000</v>
      </c>
      <c r="S282" s="276">
        <v>1000</v>
      </c>
      <c r="T282" s="276">
        <v>1000</v>
      </c>
      <c r="U282" s="276">
        <v>1000</v>
      </c>
      <c r="V282" s="276">
        <v>1000</v>
      </c>
      <c r="W282" s="276">
        <v>1000</v>
      </c>
      <c r="X282" s="276">
        <v>1000</v>
      </c>
      <c r="Y282" s="276">
        <v>1000</v>
      </c>
      <c r="Z282" s="276">
        <v>1000</v>
      </c>
      <c r="AA282" s="276">
        <v>1000</v>
      </c>
      <c r="AB282" s="276">
        <v>1000</v>
      </c>
      <c r="AC282" s="276">
        <v>1000</v>
      </c>
      <c r="AD282" s="276">
        <v>1000</v>
      </c>
      <c r="AE282" s="276">
        <v>1000</v>
      </c>
      <c r="AF282" s="276">
        <v>1000</v>
      </c>
    </row>
    <row r="283" spans="1:32" x14ac:dyDescent="0.25">
      <c r="A283" s="322"/>
      <c r="B283" s="322" t="s">
        <v>29</v>
      </c>
      <c r="G283" s="276">
        <v>1.0805390204708041</v>
      </c>
      <c r="H283" s="276">
        <v>0.90000819540899502</v>
      </c>
      <c r="I283" s="276">
        <v>0.73806070988249772</v>
      </c>
      <c r="J283" s="276">
        <v>0.63177874884799556</v>
      </c>
      <c r="K283" s="276">
        <v>0.56821677776266255</v>
      </c>
      <c r="L283" s="276">
        <v>0.51702915462998811</v>
      </c>
      <c r="M283" s="276">
        <v>0.49231925836217155</v>
      </c>
      <c r="N283" s="276">
        <v>0.47154191459572353</v>
      </c>
      <c r="O283" s="276">
        <v>0.45508020596210674</v>
      </c>
      <c r="P283" s="276">
        <v>0.43998839178380794</v>
      </c>
      <c r="Q283" s="276">
        <v>0.43022130600385139</v>
      </c>
      <c r="R283" s="276">
        <v>0.43296585242012714</v>
      </c>
      <c r="S283" s="276">
        <v>0.43679824497322661</v>
      </c>
      <c r="T283" s="276">
        <v>0.44210634813948341</v>
      </c>
      <c r="U283" s="276">
        <v>0.44908743492705799</v>
      </c>
      <c r="V283" s="276">
        <v>0.45581439299041132</v>
      </c>
      <c r="W283" s="276">
        <v>0.46406072125243003</v>
      </c>
      <c r="X283" s="276">
        <v>0.47352413497776191</v>
      </c>
      <c r="Y283" s="276">
        <v>0.4842494609134525</v>
      </c>
      <c r="Z283" s="276">
        <v>0.49523773042474289</v>
      </c>
      <c r="AA283" s="276">
        <v>0.505999530153875</v>
      </c>
      <c r="AB283" s="276">
        <v>0.51814555317619548</v>
      </c>
      <c r="AC283" s="276">
        <v>0.53062816112811173</v>
      </c>
      <c r="AD283" s="276">
        <v>0.54365098158022751</v>
      </c>
      <c r="AE283" s="276">
        <v>0.55759968872884813</v>
      </c>
      <c r="AF283" s="276">
        <v>0.57525910385692691</v>
      </c>
    </row>
    <row r="284" spans="1:32" x14ac:dyDescent="0.25">
      <c r="A284" s="322"/>
      <c r="B284" s="322"/>
      <c r="G284" s="276" t="str">
        <v/>
      </c>
      <c r="H284" s="276" t="str">
        <v/>
      </c>
      <c r="I284" s="276" t="str">
        <v/>
      </c>
      <c r="J284" s="276" t="str">
        <v/>
      </c>
      <c r="K284" s="276" t="str">
        <v/>
      </c>
      <c r="L284" s="276" t="str">
        <v/>
      </c>
      <c r="M284" s="276" t="str">
        <v/>
      </c>
      <c r="N284" s="276" t="str">
        <v/>
      </c>
      <c r="O284" s="276" t="str">
        <v/>
      </c>
      <c r="P284" s="276" t="str">
        <v/>
      </c>
      <c r="Q284" s="276" t="str">
        <v/>
      </c>
      <c r="R284" s="276" t="str">
        <v/>
      </c>
      <c r="S284" s="276" t="str">
        <v/>
      </c>
      <c r="T284" s="276" t="str">
        <v/>
      </c>
      <c r="U284" s="276" t="str">
        <v/>
      </c>
      <c r="V284" s="276" t="str">
        <v/>
      </c>
      <c r="W284" s="276" t="str">
        <v/>
      </c>
      <c r="X284" s="276" t="str">
        <v/>
      </c>
      <c r="Y284" s="276" t="str">
        <v/>
      </c>
      <c r="Z284" s="276" t="str">
        <v/>
      </c>
      <c r="AA284" s="276" t="str">
        <v/>
      </c>
      <c r="AB284" s="276" t="str">
        <v/>
      </c>
      <c r="AC284" s="276" t="str">
        <v/>
      </c>
      <c r="AD284" s="276" t="str">
        <v/>
      </c>
      <c r="AE284" s="276" t="str">
        <v/>
      </c>
      <c r="AF284" s="276" t="str">
        <v/>
      </c>
    </row>
    <row r="285" spans="1:32" s="202" customFormat="1" ht="12.75" x14ac:dyDescent="0.2">
      <c r="A285" s="335" t="s">
        <v>47</v>
      </c>
      <c r="B285" s="335"/>
      <c r="C285" s="335"/>
      <c r="D285" s="335"/>
      <c r="E285" s="335"/>
      <c r="F285" s="335"/>
      <c r="G285" s="274" t="str">
        <v/>
      </c>
      <c r="H285" s="274" t="str">
        <v/>
      </c>
      <c r="I285" s="274" t="str">
        <v/>
      </c>
      <c r="J285" s="274" t="str">
        <v/>
      </c>
      <c r="K285" s="274" t="str">
        <v/>
      </c>
      <c r="L285" s="274" t="str">
        <v/>
      </c>
      <c r="M285" s="274" t="str">
        <v/>
      </c>
      <c r="N285" s="274" t="str">
        <v/>
      </c>
      <c r="O285" s="274" t="str">
        <v/>
      </c>
      <c r="P285" s="274" t="str">
        <v/>
      </c>
      <c r="Q285" s="274" t="str">
        <v/>
      </c>
      <c r="R285" s="274" t="str">
        <v/>
      </c>
      <c r="S285" s="274" t="str">
        <v/>
      </c>
      <c r="T285" s="274" t="str">
        <v/>
      </c>
      <c r="U285" s="274" t="str">
        <v/>
      </c>
      <c r="V285" s="274" t="str">
        <v/>
      </c>
      <c r="W285" s="274" t="str">
        <v/>
      </c>
      <c r="X285" s="274" t="str">
        <v/>
      </c>
      <c r="Y285" s="274" t="str">
        <v/>
      </c>
      <c r="Z285" s="274" t="str">
        <v/>
      </c>
      <c r="AA285" s="274" t="str">
        <v/>
      </c>
      <c r="AB285" s="274" t="str">
        <v/>
      </c>
      <c r="AC285" s="274" t="str">
        <v/>
      </c>
      <c r="AD285" s="274" t="str">
        <v/>
      </c>
      <c r="AE285" s="274" t="str">
        <v/>
      </c>
      <c r="AF285" s="274" t="str">
        <v/>
      </c>
    </row>
    <row r="286" spans="1:32" x14ac:dyDescent="0.25">
      <c r="A286" s="322"/>
      <c r="B286" s="322" t="s">
        <v>48</v>
      </c>
      <c r="G286" s="276">
        <v>5.1266011522682948</v>
      </c>
      <c r="H286" s="276">
        <v>5.1572473498996505</v>
      </c>
      <c r="I286" s="276">
        <v>4.9126961148729871</v>
      </c>
      <c r="J286" s="276">
        <v>4.8100873690804988</v>
      </c>
      <c r="K286" s="276">
        <v>4.8304167449814805</v>
      </c>
      <c r="L286" s="276">
        <v>4.8609906010105961</v>
      </c>
      <c r="M286" s="276">
        <v>5.007274893176513</v>
      </c>
      <c r="N286" s="276">
        <v>5.1115537261823505</v>
      </c>
      <c r="O286" s="276">
        <v>5.1955791517853784</v>
      </c>
      <c r="P286" s="276">
        <v>5.2415817191784999</v>
      </c>
      <c r="Q286" s="276">
        <v>5.3098095137008396</v>
      </c>
      <c r="R286" s="276">
        <v>5.4064219870334922</v>
      </c>
      <c r="S286" s="276">
        <v>5.4973561288008606</v>
      </c>
      <c r="T286" s="276">
        <v>5.592381402020103</v>
      </c>
      <c r="U286" s="276">
        <v>5.6977448696680977</v>
      </c>
      <c r="V286" s="276">
        <v>5.7917287803829005</v>
      </c>
      <c r="W286" s="276">
        <v>5.8988408816986553</v>
      </c>
      <c r="X286" s="276">
        <v>6.0167147199654227</v>
      </c>
      <c r="Y286" s="276">
        <v>6.1469632533548841</v>
      </c>
      <c r="Z286" s="276">
        <v>6.2776523041519638</v>
      </c>
      <c r="AA286" s="276">
        <v>6.403152346800197</v>
      </c>
      <c r="AB286" s="276">
        <v>6.5442554931633765</v>
      </c>
      <c r="AC286" s="276">
        <v>6.6879724787370405</v>
      </c>
      <c r="AD286" s="276">
        <v>6.8370718862190252</v>
      </c>
      <c r="AE286" s="276">
        <v>6.9965217027012248</v>
      </c>
      <c r="AF286" s="276">
        <v>7.201231395268322</v>
      </c>
    </row>
    <row r="287" spans="1:32" x14ac:dyDescent="0.25">
      <c r="A287" s="322"/>
      <c r="B287" s="328" t="s">
        <v>50</v>
      </c>
      <c r="G287" s="276">
        <v>3.8103116672264363</v>
      </c>
      <c r="H287" s="276">
        <v>3.8330892465470381</v>
      </c>
      <c r="I287" s="276">
        <v>3.6970245317943671</v>
      </c>
      <c r="J287" s="276">
        <v>3.6643267010025444</v>
      </c>
      <c r="K287" s="276">
        <v>3.7243003209081151</v>
      </c>
      <c r="L287" s="276">
        <v>3.7479656141918967</v>
      </c>
      <c r="M287" s="276">
        <v>3.8608739381541102</v>
      </c>
      <c r="N287" s="276">
        <v>3.9414236930187525</v>
      </c>
      <c r="O287" s="276">
        <v>4.0063859658917593</v>
      </c>
      <c r="P287" s="276">
        <v>4.0420568545535644</v>
      </c>
      <c r="Q287" s="276">
        <v>4.0948955704852654</v>
      </c>
      <c r="R287" s="276">
        <v>4.1696561859775407</v>
      </c>
      <c r="S287" s="276">
        <v>4.2400713517168791</v>
      </c>
      <c r="T287" s="276">
        <v>4.3136769827654717</v>
      </c>
      <c r="U287" s="276">
        <v>4.3952939868463883</v>
      </c>
      <c r="V287" s="276">
        <v>4.4681708615161195</v>
      </c>
      <c r="W287" s="276">
        <v>4.5512153413860119</v>
      </c>
      <c r="X287" s="276">
        <v>4.642605486245742</v>
      </c>
      <c r="Y287" s="276">
        <v>4.7435898551721216</v>
      </c>
      <c r="Z287" s="276">
        <v>4.8449624207290505</v>
      </c>
      <c r="AA287" s="276">
        <v>4.9423796585828415</v>
      </c>
      <c r="AB287" s="276">
        <v>5.0518923853963109</v>
      </c>
      <c r="AC287" s="276">
        <v>5.1634782020783181</v>
      </c>
      <c r="AD287" s="276">
        <v>5.2792773888783264</v>
      </c>
      <c r="AE287" s="276">
        <v>5.4031299551285752</v>
      </c>
      <c r="AF287" s="276">
        <v>5.5620040616108009</v>
      </c>
    </row>
    <row r="288" spans="1:32" x14ac:dyDescent="0.25">
      <c r="A288" s="322"/>
      <c r="B288" s="322" t="s">
        <v>51</v>
      </c>
      <c r="G288" s="276">
        <v>1.0741450033324047</v>
      </c>
      <c r="H288" s="276">
        <v>1.0805661114075458</v>
      </c>
      <c r="I288" s="276">
        <v>1.0422088203915549</v>
      </c>
      <c r="J288" s="276">
        <v>1.0329911461873837</v>
      </c>
      <c r="K288" s="276">
        <v>1.0498979952274303</v>
      </c>
      <c r="L288" s="276">
        <v>1.0565693540960013</v>
      </c>
      <c r="M288" s="276">
        <v>1.0883987482796347</v>
      </c>
      <c r="N288" s="276">
        <v>1.111106107746239</v>
      </c>
      <c r="O288" s="276">
        <v>1.129419281813296</v>
      </c>
      <c r="P288" s="276">
        <v>1.1394750751884324</v>
      </c>
      <c r="Q288" s="276">
        <v>1.154370560822513</v>
      </c>
      <c r="R288" s="276">
        <v>1.1754459343327164</v>
      </c>
      <c r="S288" s="276">
        <v>1.1952963048649492</v>
      </c>
      <c r="T288" s="276">
        <v>1.2160460827605521</v>
      </c>
      <c r="U288" s="276">
        <v>1.239054304863362</v>
      </c>
      <c r="V288" s="276">
        <v>1.2595986428654971</v>
      </c>
      <c r="W288" s="276">
        <v>1.2830092771907224</v>
      </c>
      <c r="X288" s="276">
        <v>1.3087725942178476</v>
      </c>
      <c r="Y288" s="276">
        <v>1.3372405686961415</v>
      </c>
      <c r="Z288" s="276">
        <v>1.3658179776531409</v>
      </c>
      <c r="AA288" s="276">
        <v>1.3932803608957349</v>
      </c>
      <c r="AB288" s="276">
        <v>1.424152520073626</v>
      </c>
      <c r="AC288" s="276">
        <v>1.4556090931573171</v>
      </c>
      <c r="AD288" s="276">
        <v>1.4882534353409371</v>
      </c>
      <c r="AE288" s="276">
        <v>1.5231680635410072</v>
      </c>
      <c r="AF288" s="276">
        <v>1.5679554307017123</v>
      </c>
    </row>
    <row r="289" spans="1:32" x14ac:dyDescent="0.25">
      <c r="A289" s="322"/>
      <c r="B289" s="322" t="s">
        <v>52</v>
      </c>
      <c r="G289" s="276">
        <v>1.2848624441775169</v>
      </c>
      <c r="H289" s="276">
        <v>1.2925431954635715</v>
      </c>
      <c r="I289" s="276">
        <v>1.2466612684109499</v>
      </c>
      <c r="J289" s="276">
        <v>1.2356353423294062</v>
      </c>
      <c r="K289" s="276">
        <v>1.2558588459658262</v>
      </c>
      <c r="L289" s="276">
        <v>1.2638389403062211</v>
      </c>
      <c r="M289" s="276">
        <v>1.301912378324922</v>
      </c>
      <c r="N289" s="276">
        <v>1.3290742915624858</v>
      </c>
      <c r="O289" s="276">
        <v>1.3509800021690141</v>
      </c>
      <c r="P289" s="276">
        <v>1.3630084631440584</v>
      </c>
      <c r="Q289" s="276">
        <v>1.3808260296920007</v>
      </c>
      <c r="R289" s="276">
        <v>1.406035806618082</v>
      </c>
      <c r="S289" s="276">
        <v>1.4297802689772112</v>
      </c>
      <c r="T289" s="276">
        <v>1.4546005774647752</v>
      </c>
      <c r="U289" s="276">
        <v>1.4821223742384706</v>
      </c>
      <c r="V289" s="276">
        <v>1.5066969412266695</v>
      </c>
      <c r="W289" s="276">
        <v>1.5347000923333993</v>
      </c>
      <c r="X289" s="276">
        <v>1.5655174571983805</v>
      </c>
      <c r="Y289" s="276">
        <v>1.599570058248972</v>
      </c>
      <c r="Z289" s="276">
        <v>1.6337535617860532</v>
      </c>
      <c r="AA289" s="276">
        <v>1.6666033025068583</v>
      </c>
      <c r="AB289" s="276">
        <v>1.7035317225761066</v>
      </c>
      <c r="AC289" s="276">
        <v>1.7411592023412865</v>
      </c>
      <c r="AD289" s="276">
        <v>1.7802074585417897</v>
      </c>
      <c r="AE289" s="276">
        <v>1.8219713678720177</v>
      </c>
      <c r="AF289" s="276">
        <v>1.8755447735666397</v>
      </c>
    </row>
    <row r="290" spans="1:32" x14ac:dyDescent="0.25">
      <c r="A290" s="322"/>
      <c r="B290" s="328" t="s">
        <v>29</v>
      </c>
      <c r="G290" s="276">
        <v>1.5293422783581667</v>
      </c>
      <c r="H290" s="276">
        <v>1.1782874920377009</v>
      </c>
      <c r="I290" s="276">
        <v>0.89122325083464238</v>
      </c>
      <c r="J290" s="276">
        <v>0.704182934420437</v>
      </c>
      <c r="K290" s="276">
        <v>0.58724227682098384</v>
      </c>
      <c r="L290" s="276">
        <v>0.49922884489754743</v>
      </c>
      <c r="M290" s="276">
        <v>0.44839061474738195</v>
      </c>
      <c r="N290" s="276">
        <v>0.40924987973203419</v>
      </c>
      <c r="O290" s="276">
        <v>0.38007556451598334</v>
      </c>
      <c r="P290" s="276">
        <v>0.35670472057116137</v>
      </c>
      <c r="Q290" s="276">
        <v>0.34103203604400784</v>
      </c>
      <c r="R290" s="276">
        <v>0.3375264425518702</v>
      </c>
      <c r="S290" s="276">
        <v>0.33637838960091043</v>
      </c>
      <c r="T290" s="276">
        <v>0.33746573770855276</v>
      </c>
      <c r="U290" s="276">
        <v>0.34062072457548292</v>
      </c>
      <c r="V290" s="276">
        <v>0.34415520020883933</v>
      </c>
      <c r="W290" s="276">
        <v>0.34925051605926305</v>
      </c>
      <c r="X290" s="276">
        <v>0.35555672199856492</v>
      </c>
      <c r="Y290" s="276">
        <v>0.36302110450381003</v>
      </c>
      <c r="Z290" s="276">
        <v>0.37083392207321925</v>
      </c>
      <c r="AA290" s="276">
        <v>0.37858684467234976</v>
      </c>
      <c r="AB290" s="276">
        <v>0.38745434243826371</v>
      </c>
      <c r="AC290" s="276">
        <v>0.39663000532466552</v>
      </c>
      <c r="AD290" s="276">
        <v>0.40625013771155305</v>
      </c>
      <c r="AE290" s="276">
        <v>0.41659134177448398</v>
      </c>
      <c r="AF290" s="276">
        <v>0.42972549572615421</v>
      </c>
    </row>
    <row r="291" spans="1:32" x14ac:dyDescent="0.25">
      <c r="A291" s="322"/>
      <c r="B291" s="328" t="s">
        <v>53</v>
      </c>
      <c r="G291" s="276">
        <v>1.1755808354169528</v>
      </c>
      <c r="H291" s="276">
        <v>1.1826083145485968</v>
      </c>
      <c r="I291" s="276">
        <v>1.1406287902971994</v>
      </c>
      <c r="J291" s="276">
        <v>1.1305406540512333</v>
      </c>
      <c r="K291" s="276">
        <v>1.1490440848330241</v>
      </c>
      <c r="L291" s="276">
        <v>1.156345446946843</v>
      </c>
      <c r="M291" s="276">
        <v>1.1911806188176124</v>
      </c>
      <c r="N291" s="276">
        <v>1.2160323255509176</v>
      </c>
      <c r="O291" s="276">
        <v>1.2360748862872226</v>
      </c>
      <c r="P291" s="276">
        <v>1.2470802886677657</v>
      </c>
      <c r="Q291" s="276">
        <v>1.2633824149089419</v>
      </c>
      <c r="R291" s="276">
        <v>1.2864480206893407</v>
      </c>
      <c r="S291" s="276">
        <v>1.3081729415344969</v>
      </c>
      <c r="T291" s="276">
        <v>1.3308822043971029</v>
      </c>
      <c r="U291" s="276">
        <v>1.3560631854351997</v>
      </c>
      <c r="V291" s="276">
        <v>1.3785476078890684</v>
      </c>
      <c r="W291" s="276">
        <v>1.4041690025539491</v>
      </c>
      <c r="X291" s="276">
        <v>1.4323652532090265</v>
      </c>
      <c r="Y291" s="276">
        <v>1.4635215729945275</v>
      </c>
      <c r="Z291" s="276">
        <v>1.4947976615966216</v>
      </c>
      <c r="AA291" s="276">
        <v>1.5248534281222872</v>
      </c>
      <c r="AB291" s="276">
        <v>1.5586409694364267</v>
      </c>
      <c r="AC291" s="276">
        <v>1.5930681132115727</v>
      </c>
      <c r="AD291" s="276">
        <v>1.6287951918990866</v>
      </c>
      <c r="AE291" s="276">
        <v>1.6670069488410035</v>
      </c>
      <c r="AF291" s="276">
        <v>1.7160237671844891</v>
      </c>
    </row>
    <row r="293" spans="1:32" x14ac:dyDescent="0.25">
      <c r="A293" s="344" t="s">
        <v>194</v>
      </c>
      <c r="B293" s="345"/>
      <c r="C293" s="345"/>
      <c r="D293" s="345"/>
      <c r="E293" s="345"/>
      <c r="F293" s="273"/>
      <c r="G293" s="331" t="s">
        <v>195</v>
      </c>
      <c r="H293" s="345"/>
      <c r="I293" s="345"/>
      <c r="J293" s="345"/>
      <c r="K293" s="345"/>
      <c r="L293" s="345"/>
      <c r="M293" s="345"/>
      <c r="N293" s="345"/>
      <c r="O293" s="345"/>
      <c r="P293" s="345"/>
      <c r="Q293" s="345"/>
      <c r="R293" s="345"/>
      <c r="S293" s="345"/>
      <c r="T293" s="345"/>
      <c r="U293" s="345"/>
      <c r="V293" s="345"/>
      <c r="W293" s="345"/>
      <c r="X293" s="345"/>
      <c r="Y293" s="345"/>
      <c r="Z293" s="345"/>
      <c r="AA293" s="345"/>
      <c r="AB293" s="345"/>
      <c r="AC293" s="345"/>
      <c r="AD293" s="345"/>
      <c r="AE293" s="345"/>
      <c r="AF293" s="345"/>
    </row>
    <row r="294" spans="1:32" x14ac:dyDescent="0.25">
      <c r="A294" s="343" t="s">
        <v>12</v>
      </c>
      <c r="B294" s="342"/>
    </row>
    <row r="295" spans="1:32" x14ac:dyDescent="0.25">
      <c r="A295" s="342"/>
      <c r="B295" s="342" t="s">
        <v>20</v>
      </c>
    </row>
    <row r="296" spans="1:32" s="202" customFormat="1" ht="12.75" x14ac:dyDescent="0.2">
      <c r="A296" s="348" t="s">
        <v>21</v>
      </c>
      <c r="B296" s="348"/>
      <c r="C296" s="348"/>
      <c r="D296" s="348"/>
      <c r="E296" s="348"/>
      <c r="F296" s="348"/>
      <c r="G296" s="348"/>
      <c r="H296" s="348"/>
      <c r="I296" s="348"/>
      <c r="J296" s="348"/>
      <c r="K296" s="348"/>
      <c r="L296" s="348"/>
      <c r="M296" s="348"/>
      <c r="N296" s="348"/>
      <c r="O296" s="348"/>
      <c r="P296" s="348"/>
      <c r="Q296" s="348"/>
      <c r="R296" s="348"/>
      <c r="S296" s="348"/>
      <c r="T296" s="348"/>
      <c r="U296" s="348"/>
      <c r="V296" s="348"/>
      <c r="W296" s="348"/>
      <c r="X296" s="348"/>
      <c r="Y296" s="348"/>
      <c r="Z296" s="348"/>
      <c r="AA296" s="348"/>
      <c r="AB296" s="348"/>
      <c r="AC296" s="348"/>
      <c r="AD296" s="348"/>
      <c r="AE296" s="348"/>
      <c r="AF296" s="348"/>
    </row>
    <row r="297" spans="1:32" x14ac:dyDescent="0.25">
      <c r="A297" s="342"/>
      <c r="B297" s="342" t="s">
        <v>22</v>
      </c>
      <c r="G297" s="276">
        <f t="array" ref="G297:AF327" ca="1">IFERROR(IF(ISNUMBER(G261:AF291),G261:AF291+G189:AF219,""),1000)</f>
        <v>4.5595397263921154</v>
      </c>
      <c r="H297" s="276">
        <f ca="1"/>
        <v>4.5943032802923476</v>
      </c>
      <c r="I297" s="276">
        <f ca="1"/>
        <v>4.4504636570093581</v>
      </c>
      <c r="J297" s="276">
        <f ca="1"/>
        <v>4.4224609514994864</v>
      </c>
      <c r="K297" s="276">
        <f ca="1"/>
        <v>4.4990686783397873</v>
      </c>
      <c r="L297" s="276">
        <f ca="1"/>
        <v>4.5348528218239217</v>
      </c>
      <c r="M297" s="276">
        <f ca="1"/>
        <v>4.6721856289065178</v>
      </c>
      <c r="N297" s="276">
        <f ca="1"/>
        <v>4.7732875057605169</v>
      </c>
      <c r="O297" s="276">
        <f ca="1"/>
        <v>4.8570393596881454</v>
      </c>
      <c r="P297" s="276">
        <f ca="1"/>
        <v>4.9076220521388905</v>
      </c>
      <c r="Q297" s="276">
        <f ca="1"/>
        <v>4.9781062414757669</v>
      </c>
      <c r="R297" s="276">
        <f ca="1"/>
        <v>5.0741051704102453</v>
      </c>
      <c r="S297" s="276">
        <f ca="1"/>
        <v>5.1655114462171561</v>
      </c>
      <c r="T297" s="276">
        <f ca="1"/>
        <v>5.2610000803596826</v>
      </c>
      <c r="U297" s="276">
        <f ca="1"/>
        <v>5.3661843155492965</v>
      </c>
      <c r="V297" s="276">
        <f ca="1"/>
        <v>5.4616729496918239</v>
      </c>
      <c r="W297" s="276">
        <f ca="1"/>
        <v>5.5694086588411986</v>
      </c>
      <c r="X297" s="276">
        <f ca="1"/>
        <v>5.6873502638296163</v>
      </c>
      <c r="Y297" s="276">
        <f ca="1"/>
        <v>5.817028649032931</v>
      </c>
      <c r="Z297" s="276">
        <f ca="1"/>
        <v>5.9477276238201506</v>
      </c>
      <c r="AA297" s="276">
        <f ca="1"/>
        <v>6.0743442402717509</v>
      </c>
      <c r="AB297" s="276">
        <f ca="1"/>
        <v>6.2157594056899637</v>
      </c>
      <c r="AC297" s="276">
        <f ca="1"/>
        <v>6.3602363398598873</v>
      </c>
      <c r="AD297" s="276">
        <f ca="1"/>
        <v>6.5103265167412836</v>
      </c>
      <c r="AE297" s="276">
        <f ca="1"/>
        <v>6.670622589461721</v>
      </c>
      <c r="AF297" s="276">
        <f ca="1"/>
        <v>6.87327312991418</v>
      </c>
    </row>
    <row r="298" spans="1:32" x14ac:dyDescent="0.25">
      <c r="A298" s="342"/>
      <c r="B298" s="342" t="s">
        <v>26</v>
      </c>
      <c r="G298" s="276">
        <f ca="1"/>
        <v>4.7695701425547048</v>
      </c>
      <c r="H298" s="276">
        <f ca="1"/>
        <v>4.7713681283777314</v>
      </c>
      <c r="I298" s="276">
        <f ca="1"/>
        <v>4.6210703595118385</v>
      </c>
      <c r="J298" s="276">
        <f ca="1"/>
        <v>4.5704008930829385</v>
      </c>
      <c r="K298" s="276">
        <f ca="1"/>
        <v>4.6084291388946648</v>
      </c>
      <c r="L298" s="276">
        <f ca="1"/>
        <v>4.6118343952971932</v>
      </c>
      <c r="M298" s="276">
        <f ca="1"/>
        <v>4.6999947955158916</v>
      </c>
      <c r="N298" s="276">
        <f ca="1"/>
        <v>4.7571984768951854</v>
      </c>
      <c r="O298" s="276">
        <f ca="1"/>
        <v>4.7995049885336467</v>
      </c>
      <c r="P298" s="276">
        <f ca="1"/>
        <v>4.8141095442041628</v>
      </c>
      <c r="Q298" s="276">
        <f ca="1"/>
        <v>4.8448752825083545</v>
      </c>
      <c r="R298" s="276">
        <f ca="1"/>
        <v>4.8961481475148227</v>
      </c>
      <c r="S298" s="276">
        <f ca="1"/>
        <v>4.9432111914460277</v>
      </c>
      <c r="T298" s="276">
        <f ca="1"/>
        <v>4.9931288811324679</v>
      </c>
      <c r="U298" s="276">
        <f ca="1"/>
        <v>5.0503727764297786</v>
      </c>
      <c r="V298" s="276">
        <f ca="1"/>
        <v>5.0993276895378061</v>
      </c>
      <c r="W298" s="276">
        <f ca="1"/>
        <v>5.157581616881779</v>
      </c>
      <c r="X298" s="276">
        <f ca="1"/>
        <v>5.2233881074959152</v>
      </c>
      <c r="Y298" s="276">
        <f ca="1"/>
        <v>5.2978510807510419</v>
      </c>
      <c r="Z298" s="276">
        <f ca="1"/>
        <v>5.3724355857957615</v>
      </c>
      <c r="AA298" s="276">
        <f ca="1"/>
        <v>5.4431503879140379</v>
      </c>
      <c r="AB298" s="276">
        <f ca="1"/>
        <v>5.5247426597971234</v>
      </c>
      <c r="AC298" s="276">
        <f ca="1"/>
        <v>5.6079720473627601</v>
      </c>
      <c r="AD298" s="276">
        <f ca="1"/>
        <v>5.694784479642494</v>
      </c>
      <c r="AE298" s="276">
        <f ca="1"/>
        <v>5.7886584709389934</v>
      </c>
      <c r="AF298" s="276">
        <f ca="1"/>
        <v>5.9140756643124401</v>
      </c>
    </row>
    <row r="299" spans="1:32" x14ac:dyDescent="0.25">
      <c r="A299" s="342"/>
      <c r="B299" s="342" t="s">
        <v>27</v>
      </c>
      <c r="G299" s="276">
        <f ca="1"/>
        <v>1.2536765619796972</v>
      </c>
      <c r="H299" s="276">
        <f ca="1"/>
        <v>1.2551426575361779</v>
      </c>
      <c r="I299" s="276">
        <f ca="1"/>
        <v>1.2135533072434457</v>
      </c>
      <c r="J299" s="276">
        <f ca="1"/>
        <v>1.2001513088408213</v>
      </c>
      <c r="K299" s="276">
        <f ca="1"/>
        <v>1.2118432363810503</v>
      </c>
      <c r="L299" s="276">
        <f ca="1"/>
        <v>1.2137271391280733</v>
      </c>
      <c r="M299" s="276">
        <f ca="1"/>
        <v>1.2395894132245053</v>
      </c>
      <c r="N299" s="276">
        <f ca="1"/>
        <v>1.2566815477672051</v>
      </c>
      <c r="O299" s="276">
        <f ca="1"/>
        <v>1.2695488251426728</v>
      </c>
      <c r="P299" s="276">
        <f ca="1"/>
        <v>1.2745673737998791</v>
      </c>
      <c r="Q299" s="276">
        <f ca="1"/>
        <v>1.2841514117480626</v>
      </c>
      <c r="R299" s="276">
        <f ca="1"/>
        <v>1.2995310430199796</v>
      </c>
      <c r="S299" s="276">
        <f ca="1"/>
        <v>1.3137110226379312</v>
      </c>
      <c r="T299" s="276">
        <f ca="1"/>
        <v>1.328690843399154</v>
      </c>
      <c r="U299" s="276">
        <f ca="1"/>
        <v>1.3457361543473632</v>
      </c>
      <c r="V299" s="276">
        <f ca="1"/>
        <v>1.3604276738377401</v>
      </c>
      <c r="W299" s="276">
        <f ca="1"/>
        <v>1.3777432457784742</v>
      </c>
      <c r="X299" s="276">
        <f ca="1"/>
        <v>1.3971886986546935</v>
      </c>
      <c r="Y299" s="276">
        <f ca="1"/>
        <v>1.4190765675729351</v>
      </c>
      <c r="Z299" s="276">
        <f ca="1"/>
        <v>1.4409914035818259</v>
      </c>
      <c r="AA299" s="276">
        <f ca="1"/>
        <v>1.461803713250851</v>
      </c>
      <c r="AB299" s="276">
        <f ca="1"/>
        <v>1.4856873241671176</v>
      </c>
      <c r="AC299" s="276">
        <f ca="1"/>
        <v>1.5100271394537981</v>
      </c>
      <c r="AD299" s="276">
        <f ca="1"/>
        <v>1.5353739896651943</v>
      </c>
      <c r="AE299" s="276">
        <f ca="1"/>
        <v>1.5627124541911386</v>
      </c>
      <c r="AF299" s="276">
        <f ca="1"/>
        <v>1.5989713924704467</v>
      </c>
    </row>
    <row r="300" spans="1:32" x14ac:dyDescent="0.25">
      <c r="A300" s="342"/>
      <c r="B300" s="342" t="s">
        <v>29</v>
      </c>
      <c r="G300" s="276">
        <f ca="1"/>
        <v>2.9447559915606591</v>
      </c>
      <c r="H300" s="276">
        <f ca="1"/>
        <v>1.7674156826474581</v>
      </c>
      <c r="I300" s="276">
        <f ca="1"/>
        <v>1.2570868160858781</v>
      </c>
      <c r="J300" s="276">
        <f ca="1"/>
        <v>0.96121772309485087</v>
      </c>
      <c r="K300" s="276">
        <f ca="1"/>
        <v>0.78203736528916501</v>
      </c>
      <c r="L300" s="276">
        <f ca="1"/>
        <v>0.6550074672830184</v>
      </c>
      <c r="M300" s="276">
        <f ca="1"/>
        <v>0.5775252140267717</v>
      </c>
      <c r="N300" s="276">
        <f ca="1"/>
        <v>0.51942270486615039</v>
      </c>
      <c r="O300" s="276">
        <f ca="1"/>
        <v>0.47611997869498257</v>
      </c>
      <c r="P300" s="276">
        <f ca="1"/>
        <v>0.44187062085153211</v>
      </c>
      <c r="Q300" s="276">
        <f ca="1"/>
        <v>0.41749006530964361</v>
      </c>
      <c r="R300" s="276">
        <f ca="1"/>
        <v>0.40667737892463118</v>
      </c>
      <c r="S300" s="276">
        <f ca="1"/>
        <v>0.39941995680905895</v>
      </c>
      <c r="T300" s="276">
        <f ca="1"/>
        <v>0.39529728570148182</v>
      </c>
      <c r="U300" s="276">
        <f ca="1"/>
        <v>0.39393334102272415</v>
      </c>
      <c r="V300" s="276">
        <f ca="1"/>
        <v>0.39352732951634467</v>
      </c>
      <c r="W300" s="276">
        <f ca="1"/>
        <v>0.39511879041555331</v>
      </c>
      <c r="X300" s="276">
        <f ca="1"/>
        <v>0.39828076364522158</v>
      </c>
      <c r="Y300" s="276">
        <f ca="1"/>
        <v>0.40289615678989321</v>
      </c>
      <c r="Z300" s="276">
        <f ca="1"/>
        <v>0.40812346509210107</v>
      </c>
      <c r="AA300" s="276">
        <f ca="1"/>
        <v>0.41352350847328573</v>
      </c>
      <c r="AB300" s="276">
        <f ca="1"/>
        <v>0.42020968137362408</v>
      </c>
      <c r="AC300" s="276">
        <f ca="1"/>
        <v>0.42736835297041925</v>
      </c>
      <c r="AD300" s="276">
        <f ca="1"/>
        <v>0.4351105628664681</v>
      </c>
      <c r="AE300" s="276">
        <f ca="1"/>
        <v>0.44368794883241147</v>
      </c>
      <c r="AF300" s="276">
        <f ca="1"/>
        <v>0.45510704299247656</v>
      </c>
    </row>
    <row r="301" spans="1:32" x14ac:dyDescent="0.25">
      <c r="A301" s="342"/>
      <c r="B301" s="342"/>
      <c r="G301" s="276" t="str">
        <v/>
      </c>
      <c r="H301" s="276" t="str">
        <v/>
      </c>
      <c r="I301" s="276" t="str">
        <v/>
      </c>
      <c r="J301" s="276" t="str">
        <v/>
      </c>
      <c r="K301" s="276" t="str">
        <v/>
      </c>
      <c r="L301" s="276" t="str">
        <v/>
      </c>
      <c r="M301" s="276" t="str">
        <v/>
      </c>
      <c r="N301" s="276" t="str">
        <v/>
      </c>
      <c r="O301" s="276" t="str">
        <v/>
      </c>
      <c r="P301" s="276" t="str">
        <v/>
      </c>
      <c r="Q301" s="276" t="str">
        <v/>
      </c>
      <c r="R301" s="276" t="str">
        <v/>
      </c>
      <c r="S301" s="276" t="str">
        <v/>
      </c>
      <c r="T301" s="276" t="str">
        <v/>
      </c>
      <c r="U301" s="276" t="str">
        <v/>
      </c>
      <c r="V301" s="276" t="str">
        <v/>
      </c>
      <c r="W301" s="276" t="str">
        <v/>
      </c>
      <c r="X301" s="276" t="str">
        <v/>
      </c>
      <c r="Y301" s="276" t="str">
        <v/>
      </c>
      <c r="Z301" s="276" t="str">
        <v/>
      </c>
      <c r="AA301" s="276" t="str">
        <v/>
      </c>
      <c r="AB301" s="276" t="str">
        <v/>
      </c>
      <c r="AC301" s="276" t="str">
        <v/>
      </c>
      <c r="AD301" s="276" t="str">
        <v/>
      </c>
      <c r="AE301" s="276" t="str">
        <v/>
      </c>
      <c r="AF301" s="276" t="str">
        <v/>
      </c>
    </row>
    <row r="302" spans="1:32" s="202" customFormat="1" ht="12.75" x14ac:dyDescent="0.2">
      <c r="A302" s="348" t="s">
        <v>32</v>
      </c>
      <c r="B302" s="348"/>
      <c r="C302" s="348"/>
      <c r="D302" s="348"/>
      <c r="E302" s="348"/>
      <c r="F302" s="348"/>
      <c r="G302" s="274" t="str">
        <v/>
      </c>
      <c r="H302" s="274" t="str">
        <v/>
      </c>
      <c r="I302" s="274" t="str">
        <v/>
      </c>
      <c r="J302" s="274" t="str">
        <v/>
      </c>
      <c r="K302" s="274" t="str">
        <v/>
      </c>
      <c r="L302" s="274" t="str">
        <v/>
      </c>
      <c r="M302" s="274" t="str">
        <v/>
      </c>
      <c r="N302" s="274" t="str">
        <v/>
      </c>
      <c r="O302" s="274" t="str">
        <v/>
      </c>
      <c r="P302" s="274" t="str">
        <v/>
      </c>
      <c r="Q302" s="274" t="str">
        <v/>
      </c>
      <c r="R302" s="274" t="str">
        <v/>
      </c>
      <c r="S302" s="274" t="str">
        <v/>
      </c>
      <c r="T302" s="274" t="str">
        <v/>
      </c>
      <c r="U302" s="274" t="str">
        <v/>
      </c>
      <c r="V302" s="274" t="str">
        <v/>
      </c>
      <c r="W302" s="274" t="str">
        <v/>
      </c>
      <c r="X302" s="274" t="str">
        <v/>
      </c>
      <c r="Y302" s="274" t="str">
        <v/>
      </c>
      <c r="Z302" s="274" t="str">
        <v/>
      </c>
      <c r="AA302" s="274" t="str">
        <v/>
      </c>
      <c r="AB302" s="274" t="str">
        <v/>
      </c>
      <c r="AC302" s="274" t="str">
        <v/>
      </c>
      <c r="AD302" s="274" t="str">
        <v/>
      </c>
      <c r="AE302" s="274" t="str">
        <v/>
      </c>
      <c r="AF302" s="274" t="str">
        <v/>
      </c>
    </row>
    <row r="303" spans="1:32" x14ac:dyDescent="0.25">
      <c r="A303" s="342"/>
      <c r="B303" s="342" t="s">
        <v>33</v>
      </c>
      <c r="G303" s="276">
        <v>6.4592161902908423</v>
      </c>
      <c r="H303" s="276">
        <v>6.4986715037306713</v>
      </c>
      <c r="I303" s="276">
        <v>6.3154939445025109</v>
      </c>
      <c r="J303" s="276">
        <v>6.2767097055475904</v>
      </c>
      <c r="K303" s="276">
        <v>6.3683247205839209</v>
      </c>
      <c r="L303" s="276">
        <v>6.409052221867567</v>
      </c>
      <c r="M303" s="276">
        <v>6.5763624136110117</v>
      </c>
      <c r="N303" s="276">
        <v>6.6985099368989509</v>
      </c>
      <c r="O303" s="276">
        <v>6.7990302668419993</v>
      </c>
      <c r="P303" s="276">
        <v>6.8582044918609943</v>
      </c>
      <c r="Q303" s="276">
        <v>6.9421863798344212</v>
      </c>
      <c r="R303" s="276">
        <v>7.0579729639032758</v>
      </c>
      <c r="S303" s="276">
        <v>7.1680347026749525</v>
      </c>
      <c r="T303" s="276">
        <v>7.2831851928218985</v>
      </c>
      <c r="U303" s="276">
        <v>7.4104214674851061</v>
      </c>
      <c r="V303" s="276">
        <v>7.5255719576320512</v>
      </c>
      <c r="W303" s="276">
        <v>7.6559887019048025</v>
      </c>
      <c r="X303" s="276">
        <v>7.7991273246157231</v>
      </c>
      <c r="Y303" s="276">
        <v>7.9568961075305413</v>
      </c>
      <c r="Z303" s="276">
        <v>8.1159370782891767</v>
      </c>
      <c r="AA303" s="276">
        <v>8.2698892976725418</v>
      </c>
      <c r="AB303" s="276">
        <v>8.4422882407912567</v>
      </c>
      <c r="AC303" s="276">
        <v>8.618503747441423</v>
      </c>
      <c r="AD303" s="276">
        <v>8.8017162872325834</v>
      </c>
      <c r="AE303" s="276">
        <v>8.9976507054619113</v>
      </c>
      <c r="AF303" s="276">
        <v>9.2463809192096509</v>
      </c>
    </row>
    <row r="304" spans="1:32" x14ac:dyDescent="0.25">
      <c r="A304" s="346"/>
      <c r="B304" s="346" t="s">
        <v>34</v>
      </c>
      <c r="G304" s="276">
        <v>4.9085973834382362</v>
      </c>
      <c r="H304" s="276">
        <v>4.9114026473122188</v>
      </c>
      <c r="I304" s="276">
        <v>4.7129039779280735</v>
      </c>
      <c r="J304" s="276">
        <v>4.6544924514033044</v>
      </c>
      <c r="K304" s="276">
        <v>4.7015900256554044</v>
      </c>
      <c r="L304" s="276">
        <v>4.6973414139247671</v>
      </c>
      <c r="M304" s="276">
        <v>4.7665293660093813</v>
      </c>
      <c r="N304" s="276">
        <v>4.8089179997922855</v>
      </c>
      <c r="O304" s="276">
        <v>4.8384185595099716</v>
      </c>
      <c r="P304" s="276">
        <v>4.8439490329502988</v>
      </c>
      <c r="Q304" s="276">
        <v>4.8634829140211302</v>
      </c>
      <c r="R304" s="276">
        <v>4.9007683815185565</v>
      </c>
      <c r="S304" s="276">
        <v>4.9344074339625204</v>
      </c>
      <c r="T304" s="276">
        <v>4.9705081949086729</v>
      </c>
      <c r="U304" s="276">
        <v>5.0129302829776945</v>
      </c>
      <c r="V304" s="276">
        <v>5.0481680938474351</v>
      </c>
      <c r="W304" s="276">
        <v>5.0914198682237979</v>
      </c>
      <c r="X304" s="276">
        <v>5.1411646301051306</v>
      </c>
      <c r="Y304" s="276">
        <v>5.19834351948505</v>
      </c>
      <c r="Z304" s="276">
        <v>5.2555776156075886</v>
      </c>
      <c r="AA304" s="276">
        <v>5.3094191291290933</v>
      </c>
      <c r="AB304" s="276">
        <v>5.372582389285915</v>
      </c>
      <c r="AC304" s="276">
        <v>5.437086471173548</v>
      </c>
      <c r="AD304" s="276">
        <v>5.5046003472561535</v>
      </c>
      <c r="AE304" s="276">
        <v>5.5781088775624932</v>
      </c>
      <c r="AF304" s="276">
        <v>5.6786622605457522</v>
      </c>
    </row>
    <row r="305" spans="1:32" x14ac:dyDescent="0.25">
      <c r="A305" s="342"/>
      <c r="B305" s="346" t="s">
        <v>35</v>
      </c>
      <c r="G305" s="276">
        <v>2.1599653186095837</v>
      </c>
      <c r="H305" s="276">
        <v>2.1553692541631464</v>
      </c>
      <c r="I305" s="276">
        <v>2.0986523012134102</v>
      </c>
      <c r="J305" s="276">
        <v>2.0761611005754812</v>
      </c>
      <c r="K305" s="276">
        <v>2.0841454492343465</v>
      </c>
      <c r="L305" s="276">
        <v>2.080302648449504</v>
      </c>
      <c r="M305" s="276">
        <v>2.1055815490551568</v>
      </c>
      <c r="N305" s="276">
        <v>2.1202894951474951</v>
      </c>
      <c r="O305" s="276">
        <v>2.1299346066671996</v>
      </c>
      <c r="P305" s="276">
        <v>2.1301238558152025</v>
      </c>
      <c r="Q305" s="276">
        <v>2.1359026883407846</v>
      </c>
      <c r="R305" s="276">
        <v>2.1487612148076014</v>
      </c>
      <c r="S305" s="276">
        <v>2.1602202874605916</v>
      </c>
      <c r="T305" s="276">
        <v>2.1727025598720706</v>
      </c>
      <c r="U305" s="276">
        <v>2.1877412679289012</v>
      </c>
      <c r="V305" s="276">
        <v>2.1999794216180959</v>
      </c>
      <c r="W305" s="276">
        <v>2.2154495325953181</v>
      </c>
      <c r="X305" s="276">
        <v>2.233551943170268</v>
      </c>
      <c r="Y305" s="276">
        <v>2.2546647519044338</v>
      </c>
      <c r="Z305" s="276">
        <v>2.2758597035883614</v>
      </c>
      <c r="AA305" s="276">
        <v>2.2957671571030542</v>
      </c>
      <c r="AB305" s="276">
        <v>2.3194452055644788</v>
      </c>
      <c r="AC305" s="276">
        <v>2.3437236534559731</v>
      </c>
      <c r="AD305" s="276">
        <v>2.3692694788509683</v>
      </c>
      <c r="AE305" s="276">
        <v>2.3972753827453843</v>
      </c>
      <c r="AF305" s="276">
        <v>2.4361386533778102</v>
      </c>
    </row>
    <row r="306" spans="1:32" x14ac:dyDescent="0.25">
      <c r="A306" s="342"/>
      <c r="B306" s="346" t="s">
        <v>29</v>
      </c>
      <c r="G306" s="276">
        <v>2.902417509443914</v>
      </c>
      <c r="H306" s="276">
        <v>1.742004511913082</v>
      </c>
      <c r="I306" s="276">
        <v>1.2390129424492917</v>
      </c>
      <c r="J306" s="276">
        <v>0.94739773274720196</v>
      </c>
      <c r="K306" s="276">
        <v>0.77079355592098231</v>
      </c>
      <c r="L306" s="276">
        <v>0.64559004118069496</v>
      </c>
      <c r="M306" s="276">
        <v>0.56922179567356457</v>
      </c>
      <c r="N306" s="276">
        <v>0.51195466032730497</v>
      </c>
      <c r="O306" s="276">
        <v>0.46927452281980186</v>
      </c>
      <c r="P306" s="276">
        <v>0.43551758805952728</v>
      </c>
      <c r="Q306" s="276">
        <v>0.41148756604835063</v>
      </c>
      <c r="R306" s="276">
        <v>0.40083033999025752</v>
      </c>
      <c r="S306" s="276">
        <v>0.39367726208430215</v>
      </c>
      <c r="T306" s="276">
        <v>0.38961386503456258</v>
      </c>
      <c r="U306" s="276">
        <v>0.38826953058753738</v>
      </c>
      <c r="V306" s="276">
        <v>0.38786935654645249</v>
      </c>
      <c r="W306" s="276">
        <v>0.38943793607993382</v>
      </c>
      <c r="X306" s="276">
        <v>0.39255444776799331</v>
      </c>
      <c r="Y306" s="276">
        <v>0.39710348270143203</v>
      </c>
      <c r="Z306" s="276">
        <v>0.40225563492968813</v>
      </c>
      <c r="AA306" s="276">
        <v>0.40757803872349124</v>
      </c>
      <c r="AB306" s="276">
        <v>0.41416808059885446</v>
      </c>
      <c r="AC306" s="276">
        <v>0.42122382778009554</v>
      </c>
      <c r="AD306" s="276">
        <v>0.4288547233885881</v>
      </c>
      <c r="AE306" s="276">
        <v>0.43730878725131883</v>
      </c>
      <c r="AF306" s="276">
        <v>0.44856370240461019</v>
      </c>
    </row>
    <row r="307" spans="1:32" x14ac:dyDescent="0.25">
      <c r="A307" s="342"/>
      <c r="B307" s="342"/>
      <c r="G307" s="276" t="str">
        <v/>
      </c>
      <c r="H307" s="276" t="str">
        <v/>
      </c>
      <c r="I307" s="276" t="str">
        <v/>
      </c>
      <c r="J307" s="276" t="str">
        <v/>
      </c>
      <c r="K307" s="276" t="str">
        <v/>
      </c>
      <c r="L307" s="276" t="str">
        <v/>
      </c>
      <c r="M307" s="276" t="str">
        <v/>
      </c>
      <c r="N307" s="276" t="str">
        <v/>
      </c>
      <c r="O307" s="276" t="str">
        <v/>
      </c>
      <c r="P307" s="276" t="str">
        <v/>
      </c>
      <c r="Q307" s="276" t="str">
        <v/>
      </c>
      <c r="R307" s="276" t="str">
        <v/>
      </c>
      <c r="S307" s="276" t="str">
        <v/>
      </c>
      <c r="T307" s="276" t="str">
        <v/>
      </c>
      <c r="U307" s="276" t="str">
        <v/>
      </c>
      <c r="V307" s="276" t="str">
        <v/>
      </c>
      <c r="W307" s="276" t="str">
        <v/>
      </c>
      <c r="X307" s="276" t="str">
        <v/>
      </c>
      <c r="Y307" s="276" t="str">
        <v/>
      </c>
      <c r="Z307" s="276" t="str">
        <v/>
      </c>
      <c r="AA307" s="276" t="str">
        <v/>
      </c>
      <c r="AB307" s="276" t="str">
        <v/>
      </c>
      <c r="AC307" s="276" t="str">
        <v/>
      </c>
      <c r="AD307" s="276" t="str">
        <v/>
      </c>
      <c r="AE307" s="276" t="str">
        <v/>
      </c>
      <c r="AF307" s="276" t="str">
        <v/>
      </c>
    </row>
    <row r="308" spans="1:32" s="202" customFormat="1" ht="12.75" x14ac:dyDescent="0.2">
      <c r="A308" s="348" t="s">
        <v>36</v>
      </c>
      <c r="B308" s="348"/>
      <c r="C308" s="348"/>
      <c r="D308" s="348"/>
      <c r="E308" s="348"/>
      <c r="F308" s="348"/>
      <c r="G308" s="274" t="str">
        <v/>
      </c>
      <c r="H308" s="274" t="str">
        <v/>
      </c>
      <c r="I308" s="274" t="str">
        <v/>
      </c>
      <c r="J308" s="274" t="str">
        <v/>
      </c>
      <c r="K308" s="274" t="str">
        <v/>
      </c>
      <c r="L308" s="274" t="str">
        <v/>
      </c>
      <c r="M308" s="274" t="str">
        <v/>
      </c>
      <c r="N308" s="274" t="str">
        <v/>
      </c>
      <c r="O308" s="274" t="str">
        <v/>
      </c>
      <c r="P308" s="274" t="str">
        <v/>
      </c>
      <c r="Q308" s="274" t="str">
        <v/>
      </c>
      <c r="R308" s="274" t="str">
        <v/>
      </c>
      <c r="S308" s="274" t="str">
        <v/>
      </c>
      <c r="T308" s="274" t="str">
        <v/>
      </c>
      <c r="U308" s="274" t="str">
        <v/>
      </c>
      <c r="V308" s="274" t="str">
        <v/>
      </c>
      <c r="W308" s="274" t="str">
        <v/>
      </c>
      <c r="X308" s="274" t="str">
        <v/>
      </c>
      <c r="Y308" s="274" t="str">
        <v/>
      </c>
      <c r="Z308" s="274" t="str">
        <v/>
      </c>
      <c r="AA308" s="274" t="str">
        <v/>
      </c>
      <c r="AB308" s="274" t="str">
        <v/>
      </c>
      <c r="AC308" s="274" t="str">
        <v/>
      </c>
      <c r="AD308" s="274" t="str">
        <v/>
      </c>
      <c r="AE308" s="274" t="str">
        <v/>
      </c>
      <c r="AF308" s="274" t="str">
        <v/>
      </c>
    </row>
    <row r="309" spans="1:32" x14ac:dyDescent="0.25">
      <c r="A309" s="342"/>
      <c r="B309" s="342" t="s">
        <v>37</v>
      </c>
      <c r="G309" s="276">
        <v>1.4075532799528196</v>
      </c>
      <c r="H309" s="276">
        <v>1.4136858226382403</v>
      </c>
      <c r="I309" s="276">
        <v>1.3683478929351982</v>
      </c>
      <c r="J309" s="276">
        <v>1.3568804881438365</v>
      </c>
      <c r="K309" s="276">
        <v>1.3759966866654569</v>
      </c>
      <c r="L309" s="276">
        <v>1.3834982569751895</v>
      </c>
      <c r="M309" s="276">
        <v>1.4206452959046667</v>
      </c>
      <c r="N309" s="276">
        <v>1.4474660057560897</v>
      </c>
      <c r="O309" s="276">
        <v>1.4694177198184717</v>
      </c>
      <c r="P309" s="276">
        <v>1.4818980829029207</v>
      </c>
      <c r="Q309" s="276">
        <v>1.5002824377101323</v>
      </c>
      <c r="R309" s="276">
        <v>1.5261865964005599</v>
      </c>
      <c r="S309" s="276">
        <v>1.5508698999765569</v>
      </c>
      <c r="T309" s="276">
        <v>1.576838513439756</v>
      </c>
      <c r="U309" s="276">
        <v>1.6057118011892146</v>
      </c>
      <c r="V309" s="276">
        <v>1.6318595220739149</v>
      </c>
      <c r="W309" s="276">
        <v>1.6616376966493571</v>
      </c>
      <c r="X309" s="276">
        <v>1.694448468129979</v>
      </c>
      <c r="Y309" s="276">
        <v>1.7307303506782197</v>
      </c>
      <c r="Z309" s="276">
        <v>1.7673711174451612</v>
      </c>
      <c r="AA309" s="276">
        <v>1.8028866579828016</v>
      </c>
      <c r="AB309" s="276">
        <v>1.8427478130406945</v>
      </c>
      <c r="AC309" s="276">
        <v>1.8835476374733571</v>
      </c>
      <c r="AD309" s="276">
        <v>1.9260226402931817</v>
      </c>
      <c r="AE309" s="276">
        <v>1.9715014924517007</v>
      </c>
      <c r="AF309" s="276">
        <v>2.0293034510766836</v>
      </c>
    </row>
    <row r="310" spans="1:32" x14ac:dyDescent="0.25">
      <c r="A310" s="342"/>
      <c r="B310" s="342" t="s">
        <v>39</v>
      </c>
      <c r="G310" s="276">
        <v>1.3411667109192233</v>
      </c>
      <c r="H310" s="276">
        <v>1.3400454600391607</v>
      </c>
      <c r="I310" s="276">
        <v>1.2918302590197217</v>
      </c>
      <c r="J310" s="276">
        <v>1.2749195919894836</v>
      </c>
      <c r="K310" s="276">
        <v>1.2794538092009151</v>
      </c>
      <c r="L310" s="276">
        <v>1.2737202489796866</v>
      </c>
      <c r="M310" s="276">
        <v>1.2938769955784259</v>
      </c>
      <c r="N310" s="276">
        <v>1.3101758734239017</v>
      </c>
      <c r="O310" s="276">
        <v>1.3221260660872247</v>
      </c>
      <c r="P310" s="276">
        <v>1.3258766278565703</v>
      </c>
      <c r="Q310" s="276">
        <v>1.3345602394932983</v>
      </c>
      <c r="R310" s="276">
        <v>1.3494632448946164</v>
      </c>
      <c r="S310" s="276">
        <v>1.3631683841223148</v>
      </c>
      <c r="T310" s="276">
        <v>1.377781479354879</v>
      </c>
      <c r="U310" s="276">
        <v>1.3946309846270073</v>
      </c>
      <c r="V310" s="276">
        <v>1.4090348308484573</v>
      </c>
      <c r="W310" s="276">
        <v>1.426248241704327</v>
      </c>
      <c r="X310" s="276">
        <v>1.4457393378943633</v>
      </c>
      <c r="Y310" s="276">
        <v>1.4678291401729195</v>
      </c>
      <c r="Z310" s="276">
        <v>1.4899589857436304</v>
      </c>
      <c r="AA310" s="276">
        <v>1.5109315161956929</v>
      </c>
      <c r="AB310" s="276">
        <v>1.535144679334532</v>
      </c>
      <c r="AC310" s="276">
        <v>1.5598326067711277</v>
      </c>
      <c r="AD310" s="276">
        <v>1.5855702878923879</v>
      </c>
      <c r="AE310" s="276">
        <v>1.6133885152118836</v>
      </c>
      <c r="AF310" s="276">
        <v>1.6505720848375678</v>
      </c>
    </row>
    <row r="311" spans="1:32" x14ac:dyDescent="0.25">
      <c r="A311" s="342"/>
      <c r="B311" s="342" t="s">
        <v>40</v>
      </c>
      <c r="G311" s="276">
        <v>0.87024939131967072</v>
      </c>
      <c r="H311" s="276">
        <v>0.86985035080005424</v>
      </c>
      <c r="I311" s="276">
        <v>0.83844151164994374</v>
      </c>
      <c r="J311" s="276">
        <v>0.82761012013036428</v>
      </c>
      <c r="K311" s="276">
        <v>0.83509667544435506</v>
      </c>
      <c r="L311" s="276">
        <v>0.83560190295442216</v>
      </c>
      <c r="M311" s="276">
        <v>0.85358740437639746</v>
      </c>
      <c r="N311" s="276">
        <v>0.86531796170234609</v>
      </c>
      <c r="O311" s="276">
        <v>0.87407597145542093</v>
      </c>
      <c r="P311" s="276">
        <v>0.87722730448353126</v>
      </c>
      <c r="Q311" s="276">
        <v>0.88375711906728383</v>
      </c>
      <c r="R311" s="276">
        <v>0.89454961114339282</v>
      </c>
      <c r="S311" s="276">
        <v>0.90453124271052021</v>
      </c>
      <c r="T311" s="276">
        <v>0.91514506290480402</v>
      </c>
      <c r="U311" s="276">
        <v>0.9273031141561181</v>
      </c>
      <c r="V311" s="276">
        <v>0.93779972685970803</v>
      </c>
      <c r="W311" s="276">
        <v>0.95023707173409178</v>
      </c>
      <c r="X311" s="276">
        <v>0.96425372156490707</v>
      </c>
      <c r="Y311" s="276">
        <v>0.98007298292941381</v>
      </c>
      <c r="Z311" s="276">
        <v>0.99594228291720355</v>
      </c>
      <c r="AA311" s="276">
        <v>1.0110408785544864</v>
      </c>
      <c r="AB311" s="276">
        <v>1.0283900529179246</v>
      </c>
      <c r="AC311" s="276">
        <v>1.0460933230648315</v>
      </c>
      <c r="AD311" s="276">
        <v>1.0645478290270938</v>
      </c>
      <c r="AE311" s="276">
        <v>1.0844650911615634</v>
      </c>
      <c r="AF311" s="276">
        <v>1.110862886318309</v>
      </c>
    </row>
    <row r="312" spans="1:32" x14ac:dyDescent="0.25">
      <c r="A312" s="342"/>
      <c r="B312" s="342" t="s">
        <v>29</v>
      </c>
      <c r="G312" s="276">
        <v>5.8513279722373648</v>
      </c>
      <c r="H312" s="276">
        <v>2.9742147034998094</v>
      </c>
      <c r="I312" s="276">
        <v>2.0385710922192128</v>
      </c>
      <c r="J312" s="276">
        <v>1.5419345276112988</v>
      </c>
      <c r="K312" s="276">
        <v>1.2498056401759559</v>
      </c>
      <c r="L312" s="276">
        <v>1.0545708621435881</v>
      </c>
      <c r="M312" s="276">
        <v>0.92898985792076982</v>
      </c>
      <c r="N312" s="276">
        <v>0.83637646261301413</v>
      </c>
      <c r="O312" s="276">
        <v>0.76631795356549848</v>
      </c>
      <c r="P312" s="276">
        <v>0.71024810268493144</v>
      </c>
      <c r="Q312" s="276">
        <v>0.6673060401358093</v>
      </c>
      <c r="R312" s="276">
        <v>0.64050039798121461</v>
      </c>
      <c r="S312" s="276">
        <v>0.61937776913368492</v>
      </c>
      <c r="T312" s="276">
        <v>0.60308258668554382</v>
      </c>
      <c r="U312" s="276">
        <v>0.59095102558583912</v>
      </c>
      <c r="V312" s="276">
        <v>0.58091192692353477</v>
      </c>
      <c r="W312" s="276">
        <v>0.57389042047491334</v>
      </c>
      <c r="X312" s="276">
        <v>0.56932372488337446</v>
      </c>
      <c r="Y312" s="276">
        <v>0.56699184523480872</v>
      </c>
      <c r="Z312" s="276">
        <v>0.5659281458238099</v>
      </c>
      <c r="AA312" s="276">
        <v>0.56559834863279024</v>
      </c>
      <c r="AB312" s="276">
        <v>0.5671123743773534</v>
      </c>
      <c r="AC312" s="276">
        <v>0.56956130917087477</v>
      </c>
      <c r="AD312" s="276">
        <v>0.57301575544929673</v>
      </c>
      <c r="AE312" s="276">
        <v>0.57770047559317894</v>
      </c>
      <c r="AF312" s="276">
        <v>0.58569480010279762</v>
      </c>
    </row>
    <row r="313" spans="1:32" x14ac:dyDescent="0.25">
      <c r="A313" s="342"/>
      <c r="B313" s="342"/>
      <c r="G313" s="276" t="str">
        <v/>
      </c>
      <c r="H313" s="276" t="str">
        <v/>
      </c>
      <c r="I313" s="276" t="str">
        <v/>
      </c>
      <c r="J313" s="276" t="str">
        <v/>
      </c>
      <c r="K313" s="276" t="str">
        <v/>
      </c>
      <c r="L313" s="276" t="str">
        <v/>
      </c>
      <c r="M313" s="276" t="str">
        <v/>
      </c>
      <c r="N313" s="276" t="str">
        <v/>
      </c>
      <c r="O313" s="276" t="str">
        <v/>
      </c>
      <c r="P313" s="276" t="str">
        <v/>
      </c>
      <c r="Q313" s="276" t="str">
        <v/>
      </c>
      <c r="R313" s="276" t="str">
        <v/>
      </c>
      <c r="S313" s="276" t="str">
        <v/>
      </c>
      <c r="T313" s="276" t="str">
        <v/>
      </c>
      <c r="U313" s="276" t="str">
        <v/>
      </c>
      <c r="V313" s="276" t="str">
        <v/>
      </c>
      <c r="W313" s="276" t="str">
        <v/>
      </c>
      <c r="X313" s="276" t="str">
        <v/>
      </c>
      <c r="Y313" s="276" t="str">
        <v/>
      </c>
      <c r="Z313" s="276" t="str">
        <v/>
      </c>
      <c r="AA313" s="276" t="str">
        <v/>
      </c>
      <c r="AB313" s="276" t="str">
        <v/>
      </c>
      <c r="AC313" s="276" t="str">
        <v/>
      </c>
      <c r="AD313" s="276" t="str">
        <v/>
      </c>
      <c r="AE313" s="276" t="str">
        <v/>
      </c>
      <c r="AF313" s="276" t="str">
        <v/>
      </c>
    </row>
    <row r="314" spans="1:32" s="202" customFormat="1" ht="12.75" x14ac:dyDescent="0.2">
      <c r="A314" s="348" t="s">
        <v>42</v>
      </c>
      <c r="B314" s="348"/>
      <c r="C314" s="348"/>
      <c r="D314" s="348"/>
      <c r="E314" s="348"/>
      <c r="F314" s="348"/>
      <c r="G314" s="274" t="str">
        <v/>
      </c>
      <c r="H314" s="274" t="str">
        <v/>
      </c>
      <c r="I314" s="274" t="str">
        <v/>
      </c>
      <c r="J314" s="274" t="str">
        <v/>
      </c>
      <c r="K314" s="274" t="str">
        <v/>
      </c>
      <c r="L314" s="274" t="str">
        <v/>
      </c>
      <c r="M314" s="274" t="str">
        <v/>
      </c>
      <c r="N314" s="274" t="str">
        <v/>
      </c>
      <c r="O314" s="274" t="str">
        <v/>
      </c>
      <c r="P314" s="274" t="str">
        <v/>
      </c>
      <c r="Q314" s="274" t="str">
        <v/>
      </c>
      <c r="R314" s="274" t="str">
        <v/>
      </c>
      <c r="S314" s="274" t="str">
        <v/>
      </c>
      <c r="T314" s="274" t="str">
        <v/>
      </c>
      <c r="U314" s="274" t="str">
        <v/>
      </c>
      <c r="V314" s="274" t="str">
        <v/>
      </c>
      <c r="W314" s="274" t="str">
        <v/>
      </c>
      <c r="X314" s="274" t="str">
        <v/>
      </c>
      <c r="Y314" s="274" t="str">
        <v/>
      </c>
      <c r="Z314" s="274" t="str">
        <v/>
      </c>
      <c r="AA314" s="274" t="str">
        <v/>
      </c>
      <c r="AB314" s="274" t="str">
        <v/>
      </c>
      <c r="AC314" s="274" t="str">
        <v/>
      </c>
      <c r="AD314" s="274" t="str">
        <v/>
      </c>
      <c r="AE314" s="274" t="str">
        <v/>
      </c>
      <c r="AF314" s="274" t="str">
        <v/>
      </c>
    </row>
    <row r="315" spans="1:32" x14ac:dyDescent="0.25">
      <c r="A315" s="342"/>
      <c r="B315" s="346" t="s">
        <v>43</v>
      </c>
      <c r="G315" s="276">
        <v>4.4686590287499621</v>
      </c>
      <c r="H315" s="276">
        <v>4.495461017140415</v>
      </c>
      <c r="I315" s="276">
        <v>4.3564381684501408</v>
      </c>
      <c r="J315" s="276">
        <v>4.3252500777728926</v>
      </c>
      <c r="K315" s="276">
        <v>4.3914546046715079</v>
      </c>
      <c r="L315" s="276">
        <v>4.4198706882973999</v>
      </c>
      <c r="M315" s="276">
        <v>4.5428196182910305</v>
      </c>
      <c r="N315" s="276">
        <v>4.6322355589777509</v>
      </c>
      <c r="O315" s="276">
        <v>4.7056613575342601</v>
      </c>
      <c r="P315" s="276">
        <v>4.7483881932866634</v>
      </c>
      <c r="Q315" s="276">
        <v>4.8097372771777041</v>
      </c>
      <c r="R315" s="276">
        <v>4.8949207525874145</v>
      </c>
      <c r="S315" s="276">
        <v>4.9759504422797178</v>
      </c>
      <c r="T315" s="276">
        <v>5.0608847836118054</v>
      </c>
      <c r="U315" s="276">
        <v>5.1549366873794957</v>
      </c>
      <c r="V315" s="276">
        <v>5.24007887178613</v>
      </c>
      <c r="W315" s="276">
        <v>5.3367020943280838</v>
      </c>
      <c r="X315" s="276">
        <v>5.4429054809449164</v>
      </c>
      <c r="Y315" s="276">
        <v>5.560108400696496</v>
      </c>
      <c r="Z315" s="276">
        <v>5.6783473342670936</v>
      </c>
      <c r="AA315" s="276">
        <v>5.7928761605425354</v>
      </c>
      <c r="AB315" s="276">
        <v>5.9212407381391543</v>
      </c>
      <c r="AC315" s="276">
        <v>6.0525294169058892</v>
      </c>
      <c r="AD315" s="276">
        <v>6.1891109192164251</v>
      </c>
      <c r="AE315" s="276">
        <v>6.3352512713519689</v>
      </c>
      <c r="AF315" s="276">
        <v>6.5208285062785656</v>
      </c>
    </row>
    <row r="316" spans="1:32" x14ac:dyDescent="0.25">
      <c r="A316" s="342"/>
      <c r="B316" s="346" t="s">
        <v>44</v>
      </c>
      <c r="G316" s="276">
        <v>3.4040846959252264</v>
      </c>
      <c r="H316" s="276">
        <v>3.3898461507099285</v>
      </c>
      <c r="I316" s="276">
        <v>3.2781745075136755</v>
      </c>
      <c r="J316" s="276">
        <v>3.2312480548908997</v>
      </c>
      <c r="K316" s="276">
        <v>3.2415883266217529</v>
      </c>
      <c r="L316" s="276">
        <v>3.2300404171643677</v>
      </c>
      <c r="M316" s="276">
        <v>3.2727893717311929</v>
      </c>
      <c r="N316" s="276">
        <v>3.2959144700002811</v>
      </c>
      <c r="O316" s="276">
        <v>3.3097268494305565</v>
      </c>
      <c r="P316" s="276">
        <v>3.3061822156423046</v>
      </c>
      <c r="Q316" s="276">
        <v>3.3130769808280855</v>
      </c>
      <c r="R316" s="276">
        <v>3.3330720053069922</v>
      </c>
      <c r="S316" s="276">
        <v>3.3505417381476974</v>
      </c>
      <c r="T316" s="276">
        <v>3.3699273619159005</v>
      </c>
      <c r="U316" s="276">
        <v>3.3940097157436959</v>
      </c>
      <c r="V316" s="276">
        <v>3.4130033005896721</v>
      </c>
      <c r="W316" s="276">
        <v>3.4378958683728733</v>
      </c>
      <c r="X316" s="276">
        <v>3.4675607007320526</v>
      </c>
      <c r="Y316" s="276">
        <v>3.5026501288583822</v>
      </c>
      <c r="Z316" s="276">
        <v>3.537841844286056</v>
      </c>
      <c r="AA316" s="276">
        <v>3.5706652814689024</v>
      </c>
      <c r="AB316" s="276">
        <v>3.6102298768234515</v>
      </c>
      <c r="AC316" s="276">
        <v>3.6508041457833089</v>
      </c>
      <c r="AD316" s="276">
        <v>3.693576093622287</v>
      </c>
      <c r="AE316" s="276">
        <v>3.7406650007070095</v>
      </c>
      <c r="AF316" s="276">
        <v>3.8070334220994142</v>
      </c>
    </row>
    <row r="317" spans="1:32" x14ac:dyDescent="0.25">
      <c r="A317" s="342"/>
      <c r="B317" s="346" t="s">
        <v>45</v>
      </c>
      <c r="G317" s="276">
        <v>1.9070470876369532</v>
      </c>
      <c r="H317" s="276">
        <v>1.9131039751270265</v>
      </c>
      <c r="I317" s="276">
        <v>1.8501718131497609</v>
      </c>
      <c r="J317" s="276">
        <v>1.8322950579062565</v>
      </c>
      <c r="K317" s="276">
        <v>1.8548175159037492</v>
      </c>
      <c r="L317" s="276">
        <v>1.8616350070622469</v>
      </c>
      <c r="M317" s="276">
        <v>1.9073528799699617</v>
      </c>
      <c r="N317" s="276">
        <v>1.9390765610557468</v>
      </c>
      <c r="O317" s="276">
        <v>1.9640974082956875</v>
      </c>
      <c r="P317" s="276">
        <v>1.976451748199191</v>
      </c>
      <c r="Q317" s="276">
        <v>1.9963442563906852</v>
      </c>
      <c r="R317" s="276">
        <v>2.0258399557737268</v>
      </c>
      <c r="S317" s="276">
        <v>2.0535111301424167</v>
      </c>
      <c r="T317" s="276">
        <v>2.0826330620684654</v>
      </c>
      <c r="U317" s="276">
        <v>2.1153002604676368</v>
      </c>
      <c r="V317" s="276">
        <v>2.1442243520377637</v>
      </c>
      <c r="W317" s="276">
        <v>2.1776271996975298</v>
      </c>
      <c r="X317" s="276">
        <v>2.2147143203399549</v>
      </c>
      <c r="Y317" s="276">
        <v>2.2560268559552821</v>
      </c>
      <c r="Z317" s="276">
        <v>2.2975587791976286</v>
      </c>
      <c r="AA317" s="276">
        <v>2.3374191150522465</v>
      </c>
      <c r="AB317" s="276">
        <v>2.382587568502585</v>
      </c>
      <c r="AC317" s="276">
        <v>2.4287032762729104</v>
      </c>
      <c r="AD317" s="276">
        <v>2.4766956526288575</v>
      </c>
      <c r="AE317" s="276">
        <v>2.528233484509876</v>
      </c>
      <c r="AF317" s="276">
        <v>2.5950453027178786</v>
      </c>
    </row>
    <row r="318" spans="1:32" x14ac:dyDescent="0.25">
      <c r="A318" s="342"/>
      <c r="B318" s="346" t="s">
        <v>46</v>
      </c>
      <c r="G318" s="276">
        <v>1048.1756429567642</v>
      </c>
      <c r="H318" s="276">
        <v>1047.7170043598107</v>
      </c>
      <c r="I318" s="276">
        <v>1047.2682218742261</v>
      </c>
      <c r="J318" s="276">
        <v>1046.8289386651857</v>
      </c>
      <c r="K318" s="276">
        <v>1046.3988166479896</v>
      </c>
      <c r="L318" s="276">
        <v>1045.9775351957965</v>
      </c>
      <c r="M318" s="276">
        <v>1045.5647899564444</v>
      </c>
      <c r="N318" s="276">
        <v>1045.1602917675798</v>
      </c>
      <c r="O318" s="276">
        <v>1044.7637656605154</v>
      </c>
      <c r="P318" s="276">
        <v>1044.3749499443099</v>
      </c>
      <c r="Q318" s="276">
        <v>1043.9935953624822</v>
      </c>
      <c r="R318" s="276">
        <v>1043.6194643155964</v>
      </c>
      <c r="S318" s="276">
        <v>1043.2523301436684</v>
      </c>
      <c r="T318" s="276">
        <v>1042.8919764629809</v>
      </c>
      <c r="U318" s="276">
        <v>1042.5381965524471</v>
      </c>
      <c r="V318" s="276">
        <v>1042.1907927851692</v>
      </c>
      <c r="W318" s="276">
        <v>1041.8495761012612</v>
      </c>
      <c r="X318" s="276">
        <v>1041.5143655184086</v>
      </c>
      <c r="Y318" s="276">
        <v>1041.184987676975</v>
      </c>
      <c r="Z318" s="276">
        <v>1040.861276416776</v>
      </c>
      <c r="AA318" s="276">
        <v>1040.5430723829159</v>
      </c>
      <c r="AB318" s="276">
        <v>1040.2302226583279</v>
      </c>
      <c r="AC318" s="276">
        <v>1039.9225804208781</v>
      </c>
      <c r="AD318" s="276">
        <v>1039.6200046230886</v>
      </c>
      <c r="AE318" s="276">
        <v>1039.3223596927151</v>
      </c>
      <c r="AF318" s="276">
        <v>1039.0295152525666</v>
      </c>
    </row>
    <row r="319" spans="1:32" x14ac:dyDescent="0.25">
      <c r="A319" s="342"/>
      <c r="B319" s="342" t="s">
        <v>29</v>
      </c>
      <c r="G319" s="276">
        <v>7.6162187186165262</v>
      </c>
      <c r="H319" s="276">
        <v>3.8713040536195114</v>
      </c>
      <c r="I319" s="276">
        <v>2.6534495050452236</v>
      </c>
      <c r="J319" s="276">
        <v>2.0070162991707807</v>
      </c>
      <c r="K319" s="276">
        <v>1.6267748375247775</v>
      </c>
      <c r="L319" s="276">
        <v>1.3726529051993026</v>
      </c>
      <c r="M319" s="276">
        <v>1.209193875112023</v>
      </c>
      <c r="N319" s="276">
        <v>1.0886462185314514</v>
      </c>
      <c r="O319" s="276">
        <v>0.99745650389953866</v>
      </c>
      <c r="P319" s="276">
        <v>0.92447473807598934</v>
      </c>
      <c r="Q319" s="276">
        <v>0.86858039372298101</v>
      </c>
      <c r="R319" s="276">
        <v>0.83368957329537519</v>
      </c>
      <c r="S319" s="276">
        <v>0.80619588947210596</v>
      </c>
      <c r="T319" s="276">
        <v>0.78498571732423561</v>
      </c>
      <c r="U319" s="276">
        <v>0.76919500739103708</v>
      </c>
      <c r="V319" s="276">
        <v>0.75612789313720297</v>
      </c>
      <c r="W319" s="276">
        <v>0.74698854406967341</v>
      </c>
      <c r="X319" s="276">
        <v>0.74104443144916643</v>
      </c>
      <c r="Y319" s="276">
        <v>0.73800920499916511</v>
      </c>
      <c r="Z319" s="276">
        <v>0.7366246701716066</v>
      </c>
      <c r="AA319" s="276">
        <v>0.73619539880765128</v>
      </c>
      <c r="AB319" s="276">
        <v>0.73816608841365561</v>
      </c>
      <c r="AC319" s="276">
        <v>0.74135367644556627</v>
      </c>
      <c r="AD319" s="276">
        <v>0.74585006060536807</v>
      </c>
      <c r="AE319" s="276">
        <v>0.75194779661001598</v>
      </c>
      <c r="AF319" s="276">
        <v>0.76235338731724323</v>
      </c>
    </row>
    <row r="320" spans="1:32" x14ac:dyDescent="0.25">
      <c r="A320" s="342"/>
      <c r="B320" s="342"/>
      <c r="G320" s="276" t="str">
        <v/>
      </c>
      <c r="H320" s="276" t="str">
        <v/>
      </c>
      <c r="I320" s="276" t="str">
        <v/>
      </c>
      <c r="J320" s="276" t="str">
        <v/>
      </c>
      <c r="K320" s="276" t="str">
        <v/>
      </c>
      <c r="L320" s="276" t="str">
        <v/>
      </c>
      <c r="M320" s="276" t="str">
        <v/>
      </c>
      <c r="N320" s="276" t="str">
        <v/>
      </c>
      <c r="O320" s="276" t="str">
        <v/>
      </c>
      <c r="P320" s="276" t="str">
        <v/>
      </c>
      <c r="Q320" s="276" t="str">
        <v/>
      </c>
      <c r="R320" s="276" t="str">
        <v/>
      </c>
      <c r="S320" s="276" t="str">
        <v/>
      </c>
      <c r="T320" s="276" t="str">
        <v/>
      </c>
      <c r="U320" s="276" t="str">
        <v/>
      </c>
      <c r="V320" s="276" t="str">
        <v/>
      </c>
      <c r="W320" s="276" t="str">
        <v/>
      </c>
      <c r="X320" s="276" t="str">
        <v/>
      </c>
      <c r="Y320" s="276" t="str">
        <v/>
      </c>
      <c r="Z320" s="276" t="str">
        <v/>
      </c>
      <c r="AA320" s="276" t="str">
        <v/>
      </c>
      <c r="AB320" s="276" t="str">
        <v/>
      </c>
      <c r="AC320" s="276" t="str">
        <v/>
      </c>
      <c r="AD320" s="276" t="str">
        <v/>
      </c>
      <c r="AE320" s="276" t="str">
        <v/>
      </c>
      <c r="AF320" s="276" t="str">
        <v/>
      </c>
    </row>
    <row r="321" spans="1:32" s="202" customFormat="1" ht="12.75" x14ac:dyDescent="0.2">
      <c r="A321" s="348" t="s">
        <v>47</v>
      </c>
      <c r="B321" s="348"/>
      <c r="C321" s="348"/>
      <c r="D321" s="348"/>
      <c r="E321" s="348"/>
      <c r="F321" s="348"/>
      <c r="G321" s="274" t="str">
        <v/>
      </c>
      <c r="H321" s="274" t="str">
        <v/>
      </c>
      <c r="I321" s="274" t="str">
        <v/>
      </c>
      <c r="J321" s="274" t="str">
        <v/>
      </c>
      <c r="K321" s="274" t="str">
        <v/>
      </c>
      <c r="L321" s="274" t="str">
        <v/>
      </c>
      <c r="M321" s="274" t="str">
        <v/>
      </c>
      <c r="N321" s="274" t="str">
        <v/>
      </c>
      <c r="O321" s="274" t="str">
        <v/>
      </c>
      <c r="P321" s="274" t="str">
        <v/>
      </c>
      <c r="Q321" s="274" t="str">
        <v/>
      </c>
      <c r="R321" s="274" t="str">
        <v/>
      </c>
      <c r="S321" s="274" t="str">
        <v/>
      </c>
      <c r="T321" s="274" t="str">
        <v/>
      </c>
      <c r="U321" s="274" t="str">
        <v/>
      </c>
      <c r="V321" s="274" t="str">
        <v/>
      </c>
      <c r="W321" s="274" t="str">
        <v/>
      </c>
      <c r="X321" s="274" t="str">
        <v/>
      </c>
      <c r="Y321" s="274" t="str">
        <v/>
      </c>
      <c r="Z321" s="274" t="str">
        <v/>
      </c>
      <c r="AA321" s="274" t="str">
        <v/>
      </c>
      <c r="AB321" s="274" t="str">
        <v/>
      </c>
      <c r="AC321" s="274" t="str">
        <v/>
      </c>
      <c r="AD321" s="274" t="str">
        <v/>
      </c>
      <c r="AE321" s="274" t="str">
        <v/>
      </c>
      <c r="AF321" s="274" t="str">
        <v/>
      </c>
    </row>
    <row r="322" spans="1:32" x14ac:dyDescent="0.25">
      <c r="A322" s="342"/>
      <c r="B322" s="342" t="s">
        <v>48</v>
      </c>
      <c r="G322" s="276">
        <v>6.4651328575956857</v>
      </c>
      <c r="H322" s="276">
        <v>6.4824603317909517</v>
      </c>
      <c r="I322" s="276">
        <v>6.2247222418770649</v>
      </c>
      <c r="J322" s="276">
        <v>6.1090565609499397</v>
      </c>
      <c r="K322" s="276">
        <v>6.1164570108842691</v>
      </c>
      <c r="L322" s="276">
        <v>6.1342280768098227</v>
      </c>
      <c r="M322" s="276">
        <v>6.2678338778052236</v>
      </c>
      <c r="N322" s="276">
        <v>6.3595567171397738</v>
      </c>
      <c r="O322" s="276">
        <v>6.4311468797798952</v>
      </c>
      <c r="P322" s="276">
        <v>6.4648331819418097</v>
      </c>
      <c r="Q322" s="276">
        <v>6.520862008997053</v>
      </c>
      <c r="R322" s="276">
        <v>6.6053911448859903</v>
      </c>
      <c r="S322" s="276">
        <v>6.6843559429591153</v>
      </c>
      <c r="T322" s="276">
        <v>6.7675242606878125</v>
      </c>
      <c r="U322" s="276">
        <v>6.8611415855134021</v>
      </c>
      <c r="V322" s="276">
        <v>6.9434886198506582</v>
      </c>
      <c r="W322" s="276">
        <v>7.039071593644211</v>
      </c>
      <c r="X322" s="276">
        <v>7.1455225636286155</v>
      </c>
      <c r="Y322" s="276">
        <v>7.2644530256924309</v>
      </c>
      <c r="Z322" s="276">
        <v>7.3839273665458371</v>
      </c>
      <c r="AA322" s="276">
        <v>7.4983146511589727</v>
      </c>
      <c r="AB322" s="276">
        <v>7.6284056074330753</v>
      </c>
      <c r="AC322" s="276">
        <v>7.7612096118373817</v>
      </c>
      <c r="AD322" s="276">
        <v>7.8994939124205885</v>
      </c>
      <c r="AE322" s="276">
        <v>8.0482251854584632</v>
      </c>
      <c r="AF322" s="276">
        <v>8.242311610522961</v>
      </c>
    </row>
    <row r="323" spans="1:32" x14ac:dyDescent="0.25">
      <c r="A323" s="342"/>
      <c r="B323" s="346" t="s">
        <v>50</v>
      </c>
      <c r="G323" s="276">
        <v>4.4991975768039438</v>
      </c>
      <c r="H323" s="276">
        <v>4.5151205699595955</v>
      </c>
      <c r="I323" s="276">
        <v>4.3722691362317265</v>
      </c>
      <c r="J323" s="276">
        <v>4.3328514506910629</v>
      </c>
      <c r="K323" s="276">
        <v>4.3861710967767014</v>
      </c>
      <c r="L323" s="276">
        <v>4.4032473330583066</v>
      </c>
      <c r="M323" s="276">
        <v>4.50963057144555</v>
      </c>
      <c r="N323" s="276">
        <v>4.5837182850402938</v>
      </c>
      <c r="O323" s="276">
        <v>4.6422806516556125</v>
      </c>
      <c r="P323" s="276">
        <v>4.6716128771818131</v>
      </c>
      <c r="Q323" s="276">
        <v>4.7181732981982494</v>
      </c>
      <c r="R323" s="276">
        <v>4.7867151286796688</v>
      </c>
      <c r="S323" s="276">
        <v>4.8509701771912734</v>
      </c>
      <c r="T323" s="276">
        <v>4.9184735324884477</v>
      </c>
      <c r="U323" s="276">
        <v>4.994045291432446</v>
      </c>
      <c r="V323" s="276">
        <v>5.0609331558037436</v>
      </c>
      <c r="W323" s="276">
        <v>5.138044079174259</v>
      </c>
      <c r="X323" s="276">
        <v>5.2235553546912907</v>
      </c>
      <c r="Y323" s="276">
        <v>5.3187147888560959</v>
      </c>
      <c r="Z323" s="276">
        <v>5.4143156154026988</v>
      </c>
      <c r="AA323" s="276">
        <v>5.5060135846008018</v>
      </c>
      <c r="AB323" s="276">
        <v>5.6098588008459673</v>
      </c>
      <c r="AC323" s="276">
        <v>5.7158281656134378</v>
      </c>
      <c r="AD323" s="276">
        <v>5.8260612722649574</v>
      </c>
      <c r="AE323" s="276">
        <v>5.9443974555109031</v>
      </c>
      <c r="AF323" s="276">
        <v>6.0978042135044177</v>
      </c>
    </row>
    <row r="324" spans="1:32" x14ac:dyDescent="0.25">
      <c r="A324" s="342"/>
      <c r="B324" s="342" t="s">
        <v>51</v>
      </c>
      <c r="G324" s="276">
        <v>1.2916985227935447</v>
      </c>
      <c r="H324" s="276">
        <v>1.2959549192322566</v>
      </c>
      <c r="I324" s="276">
        <v>1.2554543493683159</v>
      </c>
      <c r="J324" s="276">
        <v>1.2441145123639579</v>
      </c>
      <c r="K324" s="276">
        <v>1.258920004121467</v>
      </c>
      <c r="L324" s="276">
        <v>1.263510506754159</v>
      </c>
      <c r="M324" s="276">
        <v>1.2932792471896406</v>
      </c>
      <c r="N324" s="276">
        <v>1.3139458626061424</v>
      </c>
      <c r="O324" s="276">
        <v>1.3302379151620405</v>
      </c>
      <c r="P324" s="276">
        <v>1.3382919279017231</v>
      </c>
      <c r="Q324" s="276">
        <v>1.3512046974778302</v>
      </c>
      <c r="R324" s="276">
        <v>1.3703161484471973</v>
      </c>
      <c r="S324" s="276">
        <v>1.388221124009734</v>
      </c>
      <c r="T324" s="276">
        <v>1.4070437735550743</v>
      </c>
      <c r="U324" s="276">
        <v>1.4281428778529508</v>
      </c>
      <c r="V324" s="276">
        <v>1.4467958572855479</v>
      </c>
      <c r="W324" s="276">
        <v>1.4683326456205823</v>
      </c>
      <c r="X324" s="276">
        <v>1.4922393871274726</v>
      </c>
      <c r="Y324" s="276">
        <v>1.5188678188884697</v>
      </c>
      <c r="Z324" s="276">
        <v>1.5456224846050421</v>
      </c>
      <c r="AA324" s="276">
        <v>1.5712786950003041</v>
      </c>
      <c r="AB324" s="276">
        <v>1.6003610267864952</v>
      </c>
      <c r="AC324" s="276">
        <v>1.6300438970495825</v>
      </c>
      <c r="AD324" s="276">
        <v>1.6609304440612145</v>
      </c>
      <c r="AE324" s="276">
        <v>1.6941029716890459</v>
      </c>
      <c r="AF324" s="276">
        <v>1.7371637236159323</v>
      </c>
    </row>
    <row r="325" spans="1:32" x14ac:dyDescent="0.25">
      <c r="A325" s="342"/>
      <c r="B325" s="342" t="s">
        <v>52</v>
      </c>
      <c r="G325" s="276">
        <v>1.5889608028898738</v>
      </c>
      <c r="H325" s="276">
        <v>1.5884167108906038</v>
      </c>
      <c r="I325" s="276">
        <v>1.5348596892297075</v>
      </c>
      <c r="J325" s="276">
        <v>1.5166459527414684</v>
      </c>
      <c r="K325" s="276">
        <v>1.5301157831591665</v>
      </c>
      <c r="L325" s="276">
        <v>1.5317308324469876</v>
      </c>
      <c r="M325" s="276">
        <v>1.5637886538340693</v>
      </c>
      <c r="N325" s="276">
        <v>1.585250427839193</v>
      </c>
      <c r="O325" s="276">
        <v>1.6017419208332879</v>
      </c>
      <c r="P325" s="276">
        <v>1.6086162331850591</v>
      </c>
      <c r="Q325" s="276">
        <v>1.6215170053903682</v>
      </c>
      <c r="R325" s="276">
        <v>1.6420273007798958</v>
      </c>
      <c r="S325" s="276">
        <v>1.6612718417522512</v>
      </c>
      <c r="T325" s="276">
        <v>1.6817760052944617</v>
      </c>
      <c r="U325" s="276">
        <v>1.7051513511773189</v>
      </c>
      <c r="V325" s="276">
        <v>1.7257365551880406</v>
      </c>
      <c r="W325" s="276">
        <v>1.7498961111195888</v>
      </c>
      <c r="X325" s="276">
        <v>1.7770054530330432</v>
      </c>
      <c r="Y325" s="276">
        <v>1.807476394594288</v>
      </c>
      <c r="Z325" s="276">
        <v>1.838196262237711</v>
      </c>
      <c r="AA325" s="276">
        <v>1.8676928183175128</v>
      </c>
      <c r="AB325" s="276">
        <v>1.9013716127087552</v>
      </c>
      <c r="AC325" s="276">
        <v>1.9358467377786284</v>
      </c>
      <c r="AD325" s="276">
        <v>1.9718341607828209</v>
      </c>
      <c r="AE325" s="276">
        <v>2.0106234900595936</v>
      </c>
      <c r="AF325" s="276">
        <v>2.0613037314515212</v>
      </c>
    </row>
    <row r="326" spans="1:32" x14ac:dyDescent="0.25">
      <c r="A326" s="342"/>
      <c r="B326" s="346" t="s">
        <v>29</v>
      </c>
      <c r="G326" s="276">
        <v>3.0175495232049525</v>
      </c>
      <c r="H326" s="276">
        <v>1.8111056962825884</v>
      </c>
      <c r="I326" s="276">
        <v>1.2881616451001061</v>
      </c>
      <c r="J326" s="276">
        <v>0.98497875217287567</v>
      </c>
      <c r="K326" s="276">
        <v>0.80136910681897033</v>
      </c>
      <c r="L326" s="276">
        <v>0.67119906581734889</v>
      </c>
      <c r="M326" s="276">
        <v>0.59180147326968269</v>
      </c>
      <c r="N326" s="276">
        <v>0.53226268658680886</v>
      </c>
      <c r="O326" s="276">
        <v>0.48788952932496371</v>
      </c>
      <c r="P326" s="276">
        <v>0.45279353708425962</v>
      </c>
      <c r="Q326" s="276">
        <v>0.42781030113474816</v>
      </c>
      <c r="R326" s="276">
        <v>0.41673032821367539</v>
      </c>
      <c r="S326" s="276">
        <v>0.40929350468489945</v>
      </c>
      <c r="T326" s="276">
        <v>0.40506892231860059</v>
      </c>
      <c r="U326" s="276">
        <v>0.40367126131481679</v>
      </c>
      <c r="V326" s="276">
        <v>0.40325521331932834</v>
      </c>
      <c r="W326" s="276">
        <v>0.40488601467990598</v>
      </c>
      <c r="X326" s="276">
        <v>0.40812615098964344</v>
      </c>
      <c r="Y326" s="276">
        <v>0.41285563534183456</v>
      </c>
      <c r="Z326" s="276">
        <v>0.4182121612204398</v>
      </c>
      <c r="AA326" s="276">
        <v>0.42374569214010832</v>
      </c>
      <c r="AB326" s="276">
        <v>0.43059714533531479</v>
      </c>
      <c r="AC326" s="276">
        <v>0.43793277726053981</v>
      </c>
      <c r="AD326" s="276">
        <v>0.44586637238602023</v>
      </c>
      <c r="AE326" s="276">
        <v>0.45465578889660863</v>
      </c>
      <c r="AF326" s="276">
        <v>0.46635715982068138</v>
      </c>
    </row>
    <row r="327" spans="1:32" x14ac:dyDescent="0.25">
      <c r="A327" s="342"/>
      <c r="B327" s="346" t="s">
        <v>53</v>
      </c>
      <c r="G327" s="276">
        <v>1.3074118202498943</v>
      </c>
      <c r="H327" s="276">
        <v>1.3131275482886733</v>
      </c>
      <c r="I327" s="276">
        <v>1.2698492605789937</v>
      </c>
      <c r="J327" s="276">
        <v>1.2584751565738417</v>
      </c>
      <c r="K327" s="276">
        <v>1.2757052271234977</v>
      </c>
      <c r="L327" s="276">
        <v>1.2817456520318364</v>
      </c>
      <c r="M327" s="276">
        <v>1.3153321288059165</v>
      </c>
      <c r="N327" s="276">
        <v>1.3389472051294573</v>
      </c>
      <c r="O327" s="276">
        <v>1.357765026133015</v>
      </c>
      <c r="P327" s="276">
        <v>1.3675574087782529</v>
      </c>
      <c r="Q327" s="276">
        <v>1.382658067853032</v>
      </c>
      <c r="R327" s="276">
        <v>1.4045335947814068</v>
      </c>
      <c r="S327" s="276">
        <v>1.4250796639335208</v>
      </c>
      <c r="T327" s="276">
        <v>1.4466211441330659</v>
      </c>
      <c r="U327" s="276">
        <v>1.4706452563647658</v>
      </c>
      <c r="V327" s="276">
        <v>1.49198357158253</v>
      </c>
      <c r="W327" s="276">
        <v>1.5164694711153437</v>
      </c>
      <c r="X327" s="276">
        <v>1.5435406920312769</v>
      </c>
      <c r="Y327" s="276">
        <v>1.5735823034513869</v>
      </c>
      <c r="Z327" s="276">
        <v>1.6037538636731625</v>
      </c>
      <c r="AA327" s="276">
        <v>1.6327151429856031</v>
      </c>
      <c r="AB327" s="276">
        <v>1.6654181019481757</v>
      </c>
      <c r="AC327" s="276">
        <v>1.6987704343839312</v>
      </c>
      <c r="AD327" s="276">
        <v>1.7334323412956367</v>
      </c>
      <c r="AE327" s="276">
        <v>1.7705884369240292</v>
      </c>
      <c r="AF327" s="276">
        <v>1.8185589776101105</v>
      </c>
    </row>
    <row r="329" spans="1:32" x14ac:dyDescent="0.25">
      <c r="A329" s="344" t="s">
        <v>196</v>
      </c>
      <c r="B329" s="345"/>
      <c r="C329" s="345"/>
      <c r="D329" s="345"/>
      <c r="E329" s="345"/>
      <c r="F329" s="273"/>
      <c r="G329" s="347" t="s">
        <v>195</v>
      </c>
      <c r="H329" s="345"/>
      <c r="I329" s="345"/>
      <c r="J329" s="345"/>
      <c r="K329" s="345"/>
      <c r="L329" s="345"/>
      <c r="M329" s="345"/>
      <c r="N329" s="345"/>
      <c r="O329" s="345"/>
      <c r="P329" s="345"/>
      <c r="Q329" s="345"/>
      <c r="R329" s="345"/>
      <c r="S329" s="345"/>
      <c r="T329" s="345"/>
      <c r="U329" s="345"/>
      <c r="V329" s="345"/>
      <c r="W329" s="345"/>
      <c r="X329" s="345"/>
      <c r="Y329" s="345"/>
      <c r="Z329" s="345"/>
      <c r="AA329" s="345"/>
      <c r="AB329" s="345"/>
      <c r="AC329" s="345"/>
      <c r="AD329" s="345"/>
      <c r="AE329" s="345"/>
      <c r="AF329" s="345"/>
    </row>
    <row r="330" spans="1:32" x14ac:dyDescent="0.25">
      <c r="A330" s="343" t="s">
        <v>12</v>
      </c>
      <c r="B330" s="342"/>
    </row>
    <row r="331" spans="1:32" x14ac:dyDescent="0.25">
      <c r="A331" s="342"/>
      <c r="B331" s="342" t="s">
        <v>20</v>
      </c>
    </row>
    <row r="332" spans="1:32" s="202" customFormat="1" ht="12.75" x14ac:dyDescent="0.2">
      <c r="A332" s="348" t="s">
        <v>21</v>
      </c>
      <c r="B332" s="348"/>
      <c r="C332" s="348"/>
      <c r="D332" s="348"/>
      <c r="E332" s="348"/>
      <c r="F332" s="348"/>
      <c r="G332" s="348"/>
      <c r="H332" s="348"/>
      <c r="I332" s="348"/>
      <c r="J332" s="348"/>
      <c r="K332" s="348"/>
      <c r="L332" s="348"/>
      <c r="M332" s="348"/>
      <c r="N332" s="348"/>
      <c r="O332" s="348"/>
      <c r="P332" s="348"/>
      <c r="Q332" s="348"/>
      <c r="R332" s="348"/>
      <c r="S332" s="348"/>
      <c r="T332" s="348"/>
      <c r="U332" s="348"/>
      <c r="V332" s="348"/>
      <c r="W332" s="348"/>
      <c r="X332" s="348"/>
      <c r="Y332" s="348"/>
      <c r="Z332" s="348"/>
      <c r="AA332" s="348"/>
      <c r="AB332" s="348"/>
      <c r="AC332" s="348"/>
      <c r="AD332" s="348"/>
      <c r="AE332" s="348"/>
      <c r="AF332" s="348"/>
    </row>
    <row r="333" spans="1:32" x14ac:dyDescent="0.25">
      <c r="A333" s="342"/>
      <c r="B333" s="342" t="s">
        <v>22</v>
      </c>
      <c r="G333" s="276">
        <f t="array" ref="G333:AF363" ca="1">IFERROR(IF(ISNUMBER(G261:AF291),G261:AF291+G225:AF255,""),1000)</f>
        <v>4.7224537158724615</v>
      </c>
      <c r="H333" s="276">
        <f ca="1"/>
        <v>4.7572172697726938</v>
      </c>
      <c r="I333" s="276">
        <f ca="1"/>
        <v>4.6133776464897043</v>
      </c>
      <c r="J333" s="276">
        <f ca="1"/>
        <v>4.5853749409798334</v>
      </c>
      <c r="K333" s="276">
        <f ca="1"/>
        <v>4.6619826678201344</v>
      </c>
      <c r="L333" s="276">
        <f ca="1"/>
        <v>4.6977668113042688</v>
      </c>
      <c r="M333" s="276">
        <f ca="1"/>
        <v>4.835099618386864</v>
      </c>
      <c r="N333" s="276">
        <f ca="1"/>
        <v>4.936201495240863</v>
      </c>
      <c r="O333" s="276">
        <f ca="1"/>
        <v>5.0199533491684925</v>
      </c>
      <c r="P333" s="276">
        <f ca="1"/>
        <v>5.0705360416192375</v>
      </c>
      <c r="Q333" s="276">
        <f ca="1"/>
        <v>5.141020230956113</v>
      </c>
      <c r="R333" s="276">
        <f ca="1"/>
        <v>5.2370191598905915</v>
      </c>
      <c r="S333" s="276">
        <f ca="1"/>
        <v>5.3284254356975023</v>
      </c>
      <c r="T333" s="276">
        <f ca="1"/>
        <v>5.4239140698400288</v>
      </c>
      <c r="U333" s="276">
        <f ca="1"/>
        <v>5.5290983050296427</v>
      </c>
      <c r="V333" s="276">
        <f ca="1"/>
        <v>5.624586939172171</v>
      </c>
      <c r="W333" s="276">
        <f ca="1"/>
        <v>5.7323226483215457</v>
      </c>
      <c r="X333" s="276">
        <f ca="1"/>
        <v>5.8502642533099625</v>
      </c>
      <c r="Y333" s="276">
        <f ca="1"/>
        <v>5.9799426385132772</v>
      </c>
      <c r="Z333" s="276">
        <f ca="1"/>
        <v>6.1106416133004968</v>
      </c>
      <c r="AA333" s="276">
        <f ca="1"/>
        <v>6.2372582297520971</v>
      </c>
      <c r="AB333" s="276">
        <f ca="1"/>
        <v>6.3786733951703098</v>
      </c>
      <c r="AC333" s="276">
        <f ca="1"/>
        <v>6.5231503293402344</v>
      </c>
      <c r="AD333" s="276">
        <f ca="1"/>
        <v>6.6732405062216307</v>
      </c>
      <c r="AE333" s="276">
        <f ca="1"/>
        <v>6.8335365789420672</v>
      </c>
      <c r="AF333" s="276">
        <f ca="1"/>
        <v>7.0361871193945262</v>
      </c>
    </row>
    <row r="334" spans="1:32" x14ac:dyDescent="0.25">
      <c r="A334" s="342"/>
      <c r="B334" s="342" t="s">
        <v>26</v>
      </c>
      <c r="G334" s="276">
        <f ca="1"/>
        <v>4.9482400117305367</v>
      </c>
      <c r="H334" s="276">
        <f ca="1"/>
        <v>4.9500379975535633</v>
      </c>
      <c r="I334" s="276">
        <f ca="1"/>
        <v>4.7997402286876696</v>
      </c>
      <c r="J334" s="276">
        <f ca="1"/>
        <v>4.7490707622587705</v>
      </c>
      <c r="K334" s="276">
        <f ca="1"/>
        <v>4.7870990080704967</v>
      </c>
      <c r="L334" s="276">
        <f ca="1"/>
        <v>4.7905042644730251</v>
      </c>
      <c r="M334" s="276">
        <f ca="1"/>
        <v>4.8786646646917236</v>
      </c>
      <c r="N334" s="276">
        <f ca="1"/>
        <v>4.9358683460710164</v>
      </c>
      <c r="O334" s="276">
        <f ca="1"/>
        <v>4.9781748577094787</v>
      </c>
      <c r="P334" s="276">
        <f ca="1"/>
        <v>4.9927794133799948</v>
      </c>
      <c r="Q334" s="276">
        <f ca="1"/>
        <v>5.0235451516841865</v>
      </c>
      <c r="R334" s="276">
        <f ca="1"/>
        <v>5.0748180166906547</v>
      </c>
      <c r="S334" s="276">
        <f ca="1"/>
        <v>5.1218810606218597</v>
      </c>
      <c r="T334" s="276">
        <f ca="1"/>
        <v>5.1717987503082998</v>
      </c>
      <c r="U334" s="276">
        <f ca="1"/>
        <v>5.2290426456056096</v>
      </c>
      <c r="V334" s="276">
        <f ca="1"/>
        <v>5.2779975587136381</v>
      </c>
      <c r="W334" s="276">
        <f ca="1"/>
        <v>5.3362514860576109</v>
      </c>
      <c r="X334" s="276">
        <f ca="1"/>
        <v>5.4020579766717471</v>
      </c>
      <c r="Y334" s="276">
        <f ca="1"/>
        <v>5.4765209499268739</v>
      </c>
      <c r="Z334" s="276">
        <f ca="1"/>
        <v>5.5511054549715926</v>
      </c>
      <c r="AA334" s="276">
        <f ca="1"/>
        <v>5.6218202570898708</v>
      </c>
      <c r="AB334" s="276">
        <f ca="1"/>
        <v>5.7034125289729554</v>
      </c>
      <c r="AC334" s="276">
        <f ca="1"/>
        <v>5.7866419165385921</v>
      </c>
      <c r="AD334" s="276">
        <f ca="1"/>
        <v>5.873454348818326</v>
      </c>
      <c r="AE334" s="276">
        <f ca="1"/>
        <v>5.9673283401148254</v>
      </c>
      <c r="AF334" s="276">
        <f ca="1"/>
        <v>6.0927455334882712</v>
      </c>
    </row>
    <row r="335" spans="1:32" x14ac:dyDescent="0.25">
      <c r="A335" s="342"/>
      <c r="B335" s="342" t="s">
        <v>27</v>
      </c>
      <c r="G335" s="276">
        <f ca="1"/>
        <v>1.4056783880137185</v>
      </c>
      <c r="H335" s="276">
        <f ca="1"/>
        <v>1.4071444835701994</v>
      </c>
      <c r="I335" s="276">
        <f ca="1"/>
        <v>1.3655551332774671</v>
      </c>
      <c r="J335" s="276">
        <f ca="1"/>
        <v>1.3521531348748426</v>
      </c>
      <c r="K335" s="276">
        <f ca="1"/>
        <v>1.3638450624150715</v>
      </c>
      <c r="L335" s="276">
        <f ca="1"/>
        <v>1.3657289651620947</v>
      </c>
      <c r="M335" s="276">
        <f ca="1"/>
        <v>1.3915912392585268</v>
      </c>
      <c r="N335" s="276">
        <f ca="1"/>
        <v>1.4086833738012263</v>
      </c>
      <c r="O335" s="276">
        <f ca="1"/>
        <v>1.4215506511766942</v>
      </c>
      <c r="P335" s="276">
        <f ca="1"/>
        <v>1.4265691998339003</v>
      </c>
      <c r="Q335" s="276">
        <f ca="1"/>
        <v>1.4361532377820838</v>
      </c>
      <c r="R335" s="276">
        <f ca="1"/>
        <v>1.4515328690540008</v>
      </c>
      <c r="S335" s="276">
        <f ca="1"/>
        <v>1.4657128486719526</v>
      </c>
      <c r="T335" s="276">
        <f ca="1"/>
        <v>1.4806926694331755</v>
      </c>
      <c r="U335" s="276">
        <f ca="1"/>
        <v>1.4977379803813844</v>
      </c>
      <c r="V335" s="276">
        <f ca="1"/>
        <v>1.5124294998717616</v>
      </c>
      <c r="W335" s="276">
        <f ca="1"/>
        <v>1.5297450718124956</v>
      </c>
      <c r="X335" s="276">
        <f ca="1"/>
        <v>1.549190524688715</v>
      </c>
      <c r="Y335" s="276">
        <f ca="1"/>
        <v>1.5710783936069566</v>
      </c>
      <c r="Z335" s="276">
        <f ca="1"/>
        <v>1.5929932296158473</v>
      </c>
      <c r="AA335" s="276">
        <f ca="1"/>
        <v>1.6138055392848725</v>
      </c>
      <c r="AB335" s="276">
        <f ca="1"/>
        <v>1.6376891502011388</v>
      </c>
      <c r="AC335" s="276">
        <f ca="1"/>
        <v>1.6620289654878193</v>
      </c>
      <c r="AD335" s="276">
        <f ca="1"/>
        <v>1.6873758156992156</v>
      </c>
      <c r="AE335" s="276">
        <f ca="1"/>
        <v>1.7147142802251598</v>
      </c>
      <c r="AF335" s="276">
        <f ca="1"/>
        <v>1.750973218504468</v>
      </c>
    </row>
    <row r="336" spans="1:32" x14ac:dyDescent="0.25">
      <c r="A336" s="342"/>
      <c r="B336" s="342" t="s">
        <v>29</v>
      </c>
      <c r="G336" s="276">
        <f ca="1"/>
        <v>3.1034014131259937</v>
      </c>
      <c r="H336" s="276">
        <f ca="1"/>
        <v>1.9260611042127924</v>
      </c>
      <c r="I336" s="276">
        <f ca="1"/>
        <v>1.4157322376512125</v>
      </c>
      <c r="J336" s="276">
        <f ca="1"/>
        <v>1.1198631446601852</v>
      </c>
      <c r="K336" s="276">
        <f ca="1"/>
        <v>0.94068278685449935</v>
      </c>
      <c r="L336" s="276">
        <f ca="1"/>
        <v>0.81365288884835274</v>
      </c>
      <c r="M336" s="276">
        <f ca="1"/>
        <v>0.73617063559210605</v>
      </c>
      <c r="N336" s="276">
        <f ca="1"/>
        <v>0.67806812643148473</v>
      </c>
      <c r="O336" s="276">
        <f ca="1"/>
        <v>0.63476540026031691</v>
      </c>
      <c r="P336" s="276">
        <f ca="1"/>
        <v>0.60051604241686651</v>
      </c>
      <c r="Q336" s="276">
        <f ca="1"/>
        <v>0.57613548687497795</v>
      </c>
      <c r="R336" s="276">
        <f ca="1"/>
        <v>0.56532280048996553</v>
      </c>
      <c r="S336" s="276">
        <f ca="1"/>
        <v>0.55806537837439341</v>
      </c>
      <c r="T336" s="276">
        <f ca="1"/>
        <v>0.55394270726681616</v>
      </c>
      <c r="U336" s="276">
        <f ca="1"/>
        <v>0.55257876258805849</v>
      </c>
      <c r="V336" s="276">
        <f ca="1"/>
        <v>0.55217275108167896</v>
      </c>
      <c r="W336" s="276">
        <f ca="1"/>
        <v>0.55376421198088766</v>
      </c>
      <c r="X336" s="276">
        <f ca="1"/>
        <v>0.55692618521055592</v>
      </c>
      <c r="Y336" s="276">
        <f ca="1"/>
        <v>0.56154157835522756</v>
      </c>
      <c r="Z336" s="276">
        <f ca="1"/>
        <v>0.56676888665743541</v>
      </c>
      <c r="AA336" s="276">
        <f ca="1"/>
        <v>0.57216893003862002</v>
      </c>
      <c r="AB336" s="276">
        <f ca="1"/>
        <v>0.57885510293895837</v>
      </c>
      <c r="AC336" s="276">
        <f ca="1"/>
        <v>0.58601377453575354</v>
      </c>
      <c r="AD336" s="276">
        <f ca="1"/>
        <v>0.59375598443180244</v>
      </c>
      <c r="AE336" s="276">
        <f ca="1"/>
        <v>0.60233337039774582</v>
      </c>
      <c r="AF336" s="276">
        <f ca="1"/>
        <v>0.61375246455781096</v>
      </c>
    </row>
    <row r="337" spans="1:32" x14ac:dyDescent="0.25">
      <c r="A337" s="342"/>
      <c r="B337" s="342"/>
      <c r="G337" s="276" t="str">
        <v/>
      </c>
      <c r="H337" s="276" t="str">
        <v/>
      </c>
      <c r="I337" s="276" t="str">
        <v/>
      </c>
      <c r="J337" s="276" t="str">
        <v/>
      </c>
      <c r="K337" s="276" t="str">
        <v/>
      </c>
      <c r="L337" s="276" t="str">
        <v/>
      </c>
      <c r="M337" s="276" t="str">
        <v/>
      </c>
      <c r="N337" s="276" t="str">
        <v/>
      </c>
      <c r="O337" s="276" t="str">
        <v/>
      </c>
      <c r="P337" s="276" t="str">
        <v/>
      </c>
      <c r="Q337" s="276" t="str">
        <v/>
      </c>
      <c r="R337" s="276" t="str">
        <v/>
      </c>
      <c r="S337" s="276" t="str">
        <v/>
      </c>
      <c r="T337" s="276" t="str">
        <v/>
      </c>
      <c r="U337" s="276" t="str">
        <v/>
      </c>
      <c r="V337" s="276" t="str">
        <v/>
      </c>
      <c r="W337" s="276" t="str">
        <v/>
      </c>
      <c r="X337" s="276" t="str">
        <v/>
      </c>
      <c r="Y337" s="276" t="str">
        <v/>
      </c>
      <c r="Z337" s="276" t="str">
        <v/>
      </c>
      <c r="AA337" s="276" t="str">
        <v/>
      </c>
      <c r="AB337" s="276" t="str">
        <v/>
      </c>
      <c r="AC337" s="276" t="str">
        <v/>
      </c>
      <c r="AD337" s="276" t="str">
        <v/>
      </c>
      <c r="AE337" s="276" t="str">
        <v/>
      </c>
      <c r="AF337" s="276" t="str">
        <v/>
      </c>
    </row>
    <row r="338" spans="1:32" s="202" customFormat="1" ht="12.75" x14ac:dyDescent="0.2">
      <c r="A338" s="348" t="s">
        <v>32</v>
      </c>
      <c r="B338" s="348"/>
      <c r="C338" s="348"/>
      <c r="D338" s="348"/>
      <c r="E338" s="348"/>
      <c r="F338" s="348"/>
      <c r="G338" s="274" t="str">
        <v/>
      </c>
      <c r="H338" s="274" t="str">
        <v/>
      </c>
      <c r="I338" s="274" t="str">
        <v/>
      </c>
      <c r="J338" s="274" t="str">
        <v/>
      </c>
      <c r="K338" s="274" t="str">
        <v/>
      </c>
      <c r="L338" s="274" t="str">
        <v/>
      </c>
      <c r="M338" s="274" t="str">
        <v/>
      </c>
      <c r="N338" s="274" t="str">
        <v/>
      </c>
      <c r="O338" s="274" t="str">
        <v/>
      </c>
      <c r="P338" s="274" t="str">
        <v/>
      </c>
      <c r="Q338" s="274" t="str">
        <v/>
      </c>
      <c r="R338" s="274" t="str">
        <v/>
      </c>
      <c r="S338" s="274" t="str">
        <v/>
      </c>
      <c r="T338" s="274" t="str">
        <v/>
      </c>
      <c r="U338" s="274" t="str">
        <v/>
      </c>
      <c r="V338" s="274" t="str">
        <v/>
      </c>
      <c r="W338" s="274" t="str">
        <v/>
      </c>
      <c r="X338" s="274" t="str">
        <v/>
      </c>
      <c r="Y338" s="274" t="str">
        <v/>
      </c>
      <c r="Z338" s="274" t="str">
        <v/>
      </c>
      <c r="AA338" s="274" t="str">
        <v/>
      </c>
      <c r="AB338" s="274" t="str">
        <v/>
      </c>
      <c r="AC338" s="274" t="str">
        <v/>
      </c>
      <c r="AD338" s="274" t="str">
        <v/>
      </c>
      <c r="AE338" s="274" t="str">
        <v/>
      </c>
      <c r="AF338" s="274" t="str">
        <v/>
      </c>
    </row>
    <row r="339" spans="1:32" x14ac:dyDescent="0.25">
      <c r="A339" s="342"/>
      <c r="B339" s="342" t="s">
        <v>33</v>
      </c>
      <c r="G339" s="276">
        <v>6.6484794469397519</v>
      </c>
      <c r="H339" s="276">
        <v>6.68793476037958</v>
      </c>
      <c r="I339" s="276">
        <v>6.5047572011514196</v>
      </c>
      <c r="J339" s="276">
        <v>6.4659729621964992</v>
      </c>
      <c r="K339" s="276">
        <v>6.5575879772328296</v>
      </c>
      <c r="L339" s="276">
        <v>6.5983154785164757</v>
      </c>
      <c r="M339" s="276">
        <v>6.7656256702599205</v>
      </c>
      <c r="N339" s="276">
        <v>6.8877731935478597</v>
      </c>
      <c r="O339" s="276">
        <v>6.988293523490908</v>
      </c>
      <c r="P339" s="276">
        <v>7.0474677485099031</v>
      </c>
      <c r="Q339" s="276">
        <v>7.13144963648333</v>
      </c>
      <c r="R339" s="276">
        <v>7.2472362205521845</v>
      </c>
      <c r="S339" s="276">
        <v>7.3572979593238612</v>
      </c>
      <c r="T339" s="276">
        <v>7.4724484494708072</v>
      </c>
      <c r="U339" s="276">
        <v>7.5996847241340149</v>
      </c>
      <c r="V339" s="276">
        <v>7.71483521428096</v>
      </c>
      <c r="W339" s="276">
        <v>7.8452519585537113</v>
      </c>
      <c r="X339" s="276">
        <v>7.9883905812646319</v>
      </c>
      <c r="Y339" s="276">
        <v>8.1461593641794501</v>
      </c>
      <c r="Z339" s="276">
        <v>8.3052003349380854</v>
      </c>
      <c r="AA339" s="276">
        <v>8.4591525543214505</v>
      </c>
      <c r="AB339" s="276">
        <v>8.6315514974401655</v>
      </c>
      <c r="AC339" s="276">
        <v>8.8077670040903318</v>
      </c>
      <c r="AD339" s="276">
        <v>8.9909795438814903</v>
      </c>
      <c r="AE339" s="276">
        <v>9.18691396211082</v>
      </c>
      <c r="AF339" s="276">
        <v>9.4356441758585596</v>
      </c>
    </row>
    <row r="340" spans="1:32" x14ac:dyDescent="0.25">
      <c r="A340" s="346"/>
      <c r="B340" s="346" t="s">
        <v>34</v>
      </c>
      <c r="G340" s="276">
        <v>5.0479309137145965</v>
      </c>
      <c r="H340" s="276">
        <v>5.0507361775885782</v>
      </c>
      <c r="I340" s="276">
        <v>4.8522375082044329</v>
      </c>
      <c r="J340" s="276">
        <v>4.7938259816796638</v>
      </c>
      <c r="K340" s="276">
        <v>4.8409235559317638</v>
      </c>
      <c r="L340" s="276">
        <v>4.8366749442011265</v>
      </c>
      <c r="M340" s="276">
        <v>4.9058628962857407</v>
      </c>
      <c r="N340" s="276">
        <v>4.9482515300686449</v>
      </c>
      <c r="O340" s="276">
        <v>4.9777520897863319</v>
      </c>
      <c r="P340" s="276">
        <v>4.9832825632266582</v>
      </c>
      <c r="Q340" s="276">
        <v>5.0028164442974896</v>
      </c>
      <c r="R340" s="276">
        <v>5.040101911794916</v>
      </c>
      <c r="S340" s="276">
        <v>5.0737409642388798</v>
      </c>
      <c r="T340" s="276">
        <v>5.1098417251850314</v>
      </c>
      <c r="U340" s="276">
        <v>5.1522638132540539</v>
      </c>
      <c r="V340" s="276">
        <v>5.1875016241237946</v>
      </c>
      <c r="W340" s="276">
        <v>5.2307533985001582</v>
      </c>
      <c r="X340" s="276">
        <v>5.2804981603814909</v>
      </c>
      <c r="Y340" s="276">
        <v>5.3376770497614094</v>
      </c>
      <c r="Z340" s="276">
        <v>5.394911145883948</v>
      </c>
      <c r="AA340" s="276">
        <v>5.4487526594054527</v>
      </c>
      <c r="AB340" s="276">
        <v>5.5119159195622744</v>
      </c>
      <c r="AC340" s="276">
        <v>5.5764200014499075</v>
      </c>
      <c r="AD340" s="276">
        <v>5.643933877532513</v>
      </c>
      <c r="AE340" s="276">
        <v>5.7174424078388526</v>
      </c>
      <c r="AF340" s="276">
        <v>5.8179957908221116</v>
      </c>
    </row>
    <row r="341" spans="1:32" x14ac:dyDescent="0.25">
      <c r="A341" s="342"/>
      <c r="B341" s="346" t="s">
        <v>35</v>
      </c>
      <c r="G341" s="276">
        <v>2.339909915479065</v>
      </c>
      <c r="H341" s="276">
        <v>2.3353138510326277</v>
      </c>
      <c r="I341" s="276">
        <v>2.2785968980828915</v>
      </c>
      <c r="J341" s="276">
        <v>2.256105697444962</v>
      </c>
      <c r="K341" s="276">
        <v>2.2640900461038278</v>
      </c>
      <c r="L341" s="276">
        <v>2.2602472453189852</v>
      </c>
      <c r="M341" s="276">
        <v>2.2855261459246377</v>
      </c>
      <c r="N341" s="276">
        <v>2.3002340920169764</v>
      </c>
      <c r="O341" s="276">
        <v>2.3098792035366809</v>
      </c>
      <c r="P341" s="276">
        <v>2.3100684526846837</v>
      </c>
      <c r="Q341" s="276">
        <v>2.3158472852102658</v>
      </c>
      <c r="R341" s="276">
        <v>2.3287058116770822</v>
      </c>
      <c r="S341" s="276">
        <v>2.3401648843300729</v>
      </c>
      <c r="T341" s="276">
        <v>2.3526471567415523</v>
      </c>
      <c r="U341" s="276">
        <v>2.3676858647983825</v>
      </c>
      <c r="V341" s="276">
        <v>2.3799240184875772</v>
      </c>
      <c r="W341" s="276">
        <v>2.3953941294647993</v>
      </c>
      <c r="X341" s="276">
        <v>2.4134965400397492</v>
      </c>
      <c r="Y341" s="276">
        <v>2.4346093487739151</v>
      </c>
      <c r="Z341" s="276">
        <v>2.4558043004578423</v>
      </c>
      <c r="AA341" s="276">
        <v>2.4757117539725355</v>
      </c>
      <c r="AB341" s="276">
        <v>2.49938980243396</v>
      </c>
      <c r="AC341" s="276">
        <v>2.5236682503254544</v>
      </c>
      <c r="AD341" s="276">
        <v>2.5492140757204496</v>
      </c>
      <c r="AE341" s="276">
        <v>2.577219979614866</v>
      </c>
      <c r="AF341" s="276">
        <v>2.6160832502472915</v>
      </c>
    </row>
    <row r="342" spans="1:32" x14ac:dyDescent="0.25">
      <c r="A342" s="342"/>
      <c r="B342" s="346" t="s">
        <v>29</v>
      </c>
      <c r="G342" s="276">
        <v>3.0720561259928809</v>
      </c>
      <c r="H342" s="276">
        <v>1.9116431284620488</v>
      </c>
      <c r="I342" s="276">
        <v>1.4086515589982587</v>
      </c>
      <c r="J342" s="276">
        <v>1.117036349296169</v>
      </c>
      <c r="K342" s="276">
        <v>0.94043217246994937</v>
      </c>
      <c r="L342" s="276">
        <v>0.81522865772966202</v>
      </c>
      <c r="M342" s="276">
        <v>0.73886041222253152</v>
      </c>
      <c r="N342" s="276">
        <v>0.68159327687627191</v>
      </c>
      <c r="O342" s="276">
        <v>0.63891313936876881</v>
      </c>
      <c r="P342" s="276">
        <v>0.60515620460849417</v>
      </c>
      <c r="Q342" s="276">
        <v>0.58112618259731752</v>
      </c>
      <c r="R342" s="276">
        <v>0.57046895653922447</v>
      </c>
      <c r="S342" s="276">
        <v>0.56331587863326915</v>
      </c>
      <c r="T342" s="276">
        <v>0.55925248158352958</v>
      </c>
      <c r="U342" s="276">
        <v>0.55790814713650438</v>
      </c>
      <c r="V342" s="276">
        <v>0.55750797309541944</v>
      </c>
      <c r="W342" s="276">
        <v>0.55907655262890088</v>
      </c>
      <c r="X342" s="276">
        <v>0.56219306431696026</v>
      </c>
      <c r="Y342" s="276">
        <v>0.56674209925039898</v>
      </c>
      <c r="Z342" s="276">
        <v>0.57189425147865514</v>
      </c>
      <c r="AA342" s="276">
        <v>0.57721665527245825</v>
      </c>
      <c r="AB342" s="276">
        <v>0.58380669714782141</v>
      </c>
      <c r="AC342" s="276">
        <v>0.59086244432906254</v>
      </c>
      <c r="AD342" s="276">
        <v>0.59849333993755516</v>
      </c>
      <c r="AE342" s="276">
        <v>0.60694740380028578</v>
      </c>
      <c r="AF342" s="276">
        <v>0.61820231895357725</v>
      </c>
    </row>
    <row r="343" spans="1:32" x14ac:dyDescent="0.25">
      <c r="A343" s="342"/>
      <c r="B343" s="342"/>
      <c r="G343" s="276" t="str">
        <v/>
      </c>
      <c r="H343" s="276" t="str">
        <v/>
      </c>
      <c r="I343" s="276" t="str">
        <v/>
      </c>
      <c r="J343" s="276" t="str">
        <v/>
      </c>
      <c r="K343" s="276" t="str">
        <v/>
      </c>
      <c r="L343" s="276" t="str">
        <v/>
      </c>
      <c r="M343" s="276" t="str">
        <v/>
      </c>
      <c r="N343" s="276" t="str">
        <v/>
      </c>
      <c r="O343" s="276" t="str">
        <v/>
      </c>
      <c r="P343" s="276" t="str">
        <v/>
      </c>
      <c r="Q343" s="276" t="str">
        <v/>
      </c>
      <c r="R343" s="276" t="str">
        <v/>
      </c>
      <c r="S343" s="276" t="str">
        <v/>
      </c>
      <c r="T343" s="276" t="str">
        <v/>
      </c>
      <c r="U343" s="276" t="str">
        <v/>
      </c>
      <c r="V343" s="276" t="str">
        <v/>
      </c>
      <c r="W343" s="276" t="str">
        <v/>
      </c>
      <c r="X343" s="276" t="str">
        <v/>
      </c>
      <c r="Y343" s="276" t="str">
        <v/>
      </c>
      <c r="Z343" s="276" t="str">
        <v/>
      </c>
      <c r="AA343" s="276" t="str">
        <v/>
      </c>
      <c r="AB343" s="276" t="str">
        <v/>
      </c>
      <c r="AC343" s="276" t="str">
        <v/>
      </c>
      <c r="AD343" s="276" t="str">
        <v/>
      </c>
      <c r="AE343" s="276" t="str">
        <v/>
      </c>
      <c r="AF343" s="276" t="str">
        <v/>
      </c>
    </row>
    <row r="344" spans="1:32" s="202" customFormat="1" ht="12.75" x14ac:dyDescent="0.2">
      <c r="A344" s="348" t="s">
        <v>36</v>
      </c>
      <c r="B344" s="348"/>
      <c r="C344" s="348"/>
      <c r="D344" s="348"/>
      <c r="E344" s="348"/>
      <c r="F344" s="348"/>
      <c r="G344" s="274" t="str">
        <v/>
      </c>
      <c r="H344" s="274" t="str">
        <v/>
      </c>
      <c r="I344" s="274" t="str">
        <v/>
      </c>
      <c r="J344" s="274" t="str">
        <v/>
      </c>
      <c r="K344" s="274" t="str">
        <v/>
      </c>
      <c r="L344" s="274" t="str">
        <v/>
      </c>
      <c r="M344" s="274" t="str">
        <v/>
      </c>
      <c r="N344" s="274" t="str">
        <v/>
      </c>
      <c r="O344" s="274" t="str">
        <v/>
      </c>
      <c r="P344" s="274" t="str">
        <v/>
      </c>
      <c r="Q344" s="274" t="str">
        <v/>
      </c>
      <c r="R344" s="274" t="str">
        <v/>
      </c>
      <c r="S344" s="274" t="str">
        <v/>
      </c>
      <c r="T344" s="274" t="str">
        <v/>
      </c>
      <c r="U344" s="274" t="str">
        <v/>
      </c>
      <c r="V344" s="274" t="str">
        <v/>
      </c>
      <c r="W344" s="274" t="str">
        <v/>
      </c>
      <c r="X344" s="274" t="str">
        <v/>
      </c>
      <c r="Y344" s="274" t="str">
        <v/>
      </c>
      <c r="Z344" s="274" t="str">
        <v/>
      </c>
      <c r="AA344" s="274" t="str">
        <v/>
      </c>
      <c r="AB344" s="274" t="str">
        <v/>
      </c>
      <c r="AC344" s="274" t="str">
        <v/>
      </c>
      <c r="AD344" s="274" t="str">
        <v/>
      </c>
      <c r="AE344" s="274" t="str">
        <v/>
      </c>
      <c r="AF344" s="274" t="str">
        <v/>
      </c>
    </row>
    <row r="345" spans="1:32" x14ac:dyDescent="0.25">
      <c r="A345" s="342"/>
      <c r="B345" s="342" t="s">
        <v>37</v>
      </c>
      <c r="G345" s="276">
        <v>1.5715162050895815</v>
      </c>
      <c r="H345" s="276">
        <v>1.5776487477750023</v>
      </c>
      <c r="I345" s="276">
        <v>1.5323108180719602</v>
      </c>
      <c r="J345" s="276">
        <v>1.5208434132805984</v>
      </c>
      <c r="K345" s="276">
        <v>1.539959611802219</v>
      </c>
      <c r="L345" s="276">
        <v>1.5474611821119515</v>
      </c>
      <c r="M345" s="276">
        <v>1.5846082210414287</v>
      </c>
      <c r="N345" s="276">
        <v>1.6114289308928518</v>
      </c>
      <c r="O345" s="276">
        <v>1.6333806449552335</v>
      </c>
      <c r="P345" s="276">
        <v>1.6458610080396827</v>
      </c>
      <c r="Q345" s="276">
        <v>1.6642453628468941</v>
      </c>
      <c r="R345" s="276">
        <v>1.6901495215373217</v>
      </c>
      <c r="S345" s="276">
        <v>1.7148328251133189</v>
      </c>
      <c r="T345" s="276">
        <v>1.740801438576518</v>
      </c>
      <c r="U345" s="276">
        <v>1.7696747263259767</v>
      </c>
      <c r="V345" s="276">
        <v>1.795822447210677</v>
      </c>
      <c r="W345" s="276">
        <v>1.8256006217861191</v>
      </c>
      <c r="X345" s="276">
        <v>1.8584113932667408</v>
      </c>
      <c r="Y345" s="276">
        <v>1.8946932758149817</v>
      </c>
      <c r="Z345" s="276">
        <v>1.931334042581923</v>
      </c>
      <c r="AA345" s="276">
        <v>1.9668495831195634</v>
      </c>
      <c r="AB345" s="276">
        <v>2.0067107381774565</v>
      </c>
      <c r="AC345" s="276">
        <v>2.0475105626101189</v>
      </c>
      <c r="AD345" s="276">
        <v>2.0899855654299437</v>
      </c>
      <c r="AE345" s="276">
        <v>2.1354644175884627</v>
      </c>
      <c r="AF345" s="276">
        <v>2.1932663762134457</v>
      </c>
    </row>
    <row r="346" spans="1:32" x14ac:dyDescent="0.25">
      <c r="A346" s="342"/>
      <c r="B346" s="342" t="s">
        <v>39</v>
      </c>
      <c r="G346" s="276">
        <v>1.4927442840981169</v>
      </c>
      <c r="H346" s="276">
        <v>1.4916230332180542</v>
      </c>
      <c r="I346" s="276">
        <v>1.4434078321986152</v>
      </c>
      <c r="J346" s="276">
        <v>1.4264971651683771</v>
      </c>
      <c r="K346" s="276">
        <v>1.4310313823798084</v>
      </c>
      <c r="L346" s="276">
        <v>1.4252978221585799</v>
      </c>
      <c r="M346" s="276">
        <v>1.4454545687573193</v>
      </c>
      <c r="N346" s="276">
        <v>1.4617534466027953</v>
      </c>
      <c r="O346" s="276">
        <v>1.473703639266118</v>
      </c>
      <c r="P346" s="276">
        <v>1.4774542010354639</v>
      </c>
      <c r="Q346" s="276">
        <v>1.4861378126721916</v>
      </c>
      <c r="R346" s="276">
        <v>1.5010408180735098</v>
      </c>
      <c r="S346" s="276">
        <v>1.5147459573012081</v>
      </c>
      <c r="T346" s="276">
        <v>1.5293590525337726</v>
      </c>
      <c r="U346" s="276">
        <v>1.5462085578059006</v>
      </c>
      <c r="V346" s="276">
        <v>1.5606124040273506</v>
      </c>
      <c r="W346" s="276">
        <v>1.5778258148832203</v>
      </c>
      <c r="X346" s="276">
        <v>1.5973169110732568</v>
      </c>
      <c r="Y346" s="276">
        <v>1.6194067133518131</v>
      </c>
      <c r="Z346" s="276">
        <v>1.6415365589225237</v>
      </c>
      <c r="AA346" s="276">
        <v>1.6625090893745864</v>
      </c>
      <c r="AB346" s="276">
        <v>1.6867222525134253</v>
      </c>
      <c r="AC346" s="276">
        <v>1.711410179950021</v>
      </c>
      <c r="AD346" s="276">
        <v>1.7371478610712814</v>
      </c>
      <c r="AE346" s="276">
        <v>1.764966088390777</v>
      </c>
      <c r="AF346" s="276">
        <v>1.8021496580164611</v>
      </c>
    </row>
    <row r="347" spans="1:32" x14ac:dyDescent="0.25">
      <c r="A347" s="342"/>
      <c r="B347" s="342" t="s">
        <v>40</v>
      </c>
      <c r="G347" s="276">
        <v>0.996239905538155</v>
      </c>
      <c r="H347" s="276">
        <v>0.99584086501853863</v>
      </c>
      <c r="I347" s="276">
        <v>0.96443202586842813</v>
      </c>
      <c r="J347" s="276">
        <v>0.95360063434884856</v>
      </c>
      <c r="K347" s="276">
        <v>0.96108718966283935</v>
      </c>
      <c r="L347" s="276">
        <v>0.96159241717290644</v>
      </c>
      <c r="M347" s="276">
        <v>0.97957791859488175</v>
      </c>
      <c r="N347" s="276">
        <v>0.99130847592083049</v>
      </c>
      <c r="O347" s="276">
        <v>1.0000664856739052</v>
      </c>
      <c r="P347" s="276">
        <v>1.0032178187020158</v>
      </c>
      <c r="Q347" s="276">
        <v>1.0097476332857682</v>
      </c>
      <c r="R347" s="276">
        <v>1.0205401253618771</v>
      </c>
      <c r="S347" s="276">
        <v>1.0305217569290046</v>
      </c>
      <c r="T347" s="276">
        <v>1.0411355771232884</v>
      </c>
      <c r="U347" s="276">
        <v>1.0532936283746024</v>
      </c>
      <c r="V347" s="276">
        <v>1.0637902410781923</v>
      </c>
      <c r="W347" s="276">
        <v>1.0762275859525761</v>
      </c>
      <c r="X347" s="276">
        <v>1.0902442357833915</v>
      </c>
      <c r="Y347" s="276">
        <v>1.1060634971478982</v>
      </c>
      <c r="Z347" s="276">
        <v>1.1219327971356878</v>
      </c>
      <c r="AA347" s="276">
        <v>1.1370313927729707</v>
      </c>
      <c r="AB347" s="276">
        <v>1.1543805671364089</v>
      </c>
      <c r="AC347" s="276">
        <v>1.1720838372833158</v>
      </c>
      <c r="AD347" s="276">
        <v>1.1905383432455781</v>
      </c>
      <c r="AE347" s="276">
        <v>1.2104556053800477</v>
      </c>
      <c r="AF347" s="276">
        <v>1.2368534005367933</v>
      </c>
    </row>
    <row r="348" spans="1:32" x14ac:dyDescent="0.25">
      <c r="A348" s="342"/>
      <c r="B348" s="342" t="s">
        <v>29</v>
      </c>
      <c r="G348" s="276">
        <v>5.982466611948773</v>
      </c>
      <c r="H348" s="276">
        <v>3.0735770707268091</v>
      </c>
      <c r="I348" s="276">
        <v>2.1282173652282048</v>
      </c>
      <c r="J348" s="276">
        <v>1.6246582540162633</v>
      </c>
      <c r="K348" s="276">
        <v>1.3275971736225487</v>
      </c>
      <c r="L348" s="276">
        <v>1.1288482946718199</v>
      </c>
      <c r="M348" s="276">
        <v>1.0007635552203409</v>
      </c>
      <c r="N348" s="276">
        <v>0.90636629250499845</v>
      </c>
      <c r="O348" s="276">
        <v>0.83503680923807477</v>
      </c>
      <c r="P348" s="276">
        <v>0.77806141153293495</v>
      </c>
      <c r="Q348" s="276">
        <v>0.73447416276447608</v>
      </c>
      <c r="R348" s="276">
        <v>0.7072088367522098</v>
      </c>
      <c r="S348" s="276">
        <v>0.68575869122395949</v>
      </c>
      <c r="T348" s="276">
        <v>0.66923015888902093</v>
      </c>
      <c r="U348" s="276">
        <v>0.65693234009047607</v>
      </c>
      <c r="V348" s="276">
        <v>0.64677478573572222</v>
      </c>
      <c r="W348" s="276">
        <v>0.63966888168523584</v>
      </c>
      <c r="X348" s="276">
        <v>0.63504205428362304</v>
      </c>
      <c r="Y348" s="276">
        <v>0.63266733177574741</v>
      </c>
      <c r="Z348" s="276">
        <v>0.63157310757942176</v>
      </c>
      <c r="AA348" s="276">
        <v>0.63122156201459434</v>
      </c>
      <c r="AB348" s="276">
        <v>0.63272009242452343</v>
      </c>
      <c r="AC348" s="276">
        <v>0.63515798706407511</v>
      </c>
      <c r="AD348" s="276">
        <v>0.63860456742655847</v>
      </c>
      <c r="AE348" s="276">
        <v>0.64328368324338836</v>
      </c>
      <c r="AF348" s="276">
        <v>0.65127401476834335</v>
      </c>
    </row>
    <row r="349" spans="1:32" x14ac:dyDescent="0.25">
      <c r="A349" s="342"/>
      <c r="B349" s="342"/>
      <c r="G349" s="276" t="str">
        <v/>
      </c>
      <c r="H349" s="276" t="str">
        <v/>
      </c>
      <c r="I349" s="276" t="str">
        <v/>
      </c>
      <c r="J349" s="276" t="str">
        <v/>
      </c>
      <c r="K349" s="276" t="str">
        <v/>
      </c>
      <c r="L349" s="276" t="str">
        <v/>
      </c>
      <c r="M349" s="276" t="str">
        <v/>
      </c>
      <c r="N349" s="276" t="str">
        <v/>
      </c>
      <c r="O349" s="276" t="str">
        <v/>
      </c>
      <c r="P349" s="276" t="str">
        <v/>
      </c>
      <c r="Q349" s="276" t="str">
        <v/>
      </c>
      <c r="R349" s="276" t="str">
        <v/>
      </c>
      <c r="S349" s="276" t="str">
        <v/>
      </c>
      <c r="T349" s="276" t="str">
        <v/>
      </c>
      <c r="U349" s="276" t="str">
        <v/>
      </c>
      <c r="V349" s="276" t="str">
        <v/>
      </c>
      <c r="W349" s="276" t="str">
        <v/>
      </c>
      <c r="X349" s="276" t="str">
        <v/>
      </c>
      <c r="Y349" s="276" t="str">
        <v/>
      </c>
      <c r="Z349" s="276" t="str">
        <v/>
      </c>
      <c r="AA349" s="276" t="str">
        <v/>
      </c>
      <c r="AB349" s="276" t="str">
        <v/>
      </c>
      <c r="AC349" s="276" t="str">
        <v/>
      </c>
      <c r="AD349" s="276" t="str">
        <v/>
      </c>
      <c r="AE349" s="276" t="str">
        <v/>
      </c>
      <c r="AF349" s="276" t="str">
        <v/>
      </c>
    </row>
    <row r="350" spans="1:32" s="202" customFormat="1" ht="12.75" x14ac:dyDescent="0.2">
      <c r="A350" s="348" t="s">
        <v>42</v>
      </c>
      <c r="B350" s="348"/>
      <c r="C350" s="348"/>
      <c r="D350" s="348"/>
      <c r="E350" s="348"/>
      <c r="F350" s="348"/>
      <c r="G350" s="274" t="str">
        <v/>
      </c>
      <c r="H350" s="274" t="str">
        <v/>
      </c>
      <c r="I350" s="274" t="str">
        <v/>
      </c>
      <c r="J350" s="274" t="str">
        <v/>
      </c>
      <c r="K350" s="274" t="str">
        <v/>
      </c>
      <c r="L350" s="274" t="str">
        <v/>
      </c>
      <c r="M350" s="274" t="str">
        <v/>
      </c>
      <c r="N350" s="274" t="str">
        <v/>
      </c>
      <c r="O350" s="274" t="str">
        <v/>
      </c>
      <c r="P350" s="274" t="str">
        <v/>
      </c>
      <c r="Q350" s="274" t="str">
        <v/>
      </c>
      <c r="R350" s="274" t="str">
        <v/>
      </c>
      <c r="S350" s="274" t="str">
        <v/>
      </c>
      <c r="T350" s="274" t="str">
        <v/>
      </c>
      <c r="U350" s="274" t="str">
        <v/>
      </c>
      <c r="V350" s="274" t="str">
        <v/>
      </c>
      <c r="W350" s="274" t="str">
        <v/>
      </c>
      <c r="X350" s="274" t="str">
        <v/>
      </c>
      <c r="Y350" s="274" t="str">
        <v/>
      </c>
      <c r="Z350" s="274" t="str">
        <v/>
      </c>
      <c r="AA350" s="274" t="str">
        <v/>
      </c>
      <c r="AB350" s="274" t="str">
        <v/>
      </c>
      <c r="AC350" s="274" t="str">
        <v/>
      </c>
      <c r="AD350" s="274" t="str">
        <v/>
      </c>
      <c r="AE350" s="274" t="str">
        <v/>
      </c>
      <c r="AF350" s="274" t="str">
        <v/>
      </c>
    </row>
    <row r="351" spans="1:32" x14ac:dyDescent="0.25">
      <c r="A351" s="342"/>
      <c r="B351" s="346" t="s">
        <v>43</v>
      </c>
      <c r="G351" s="276">
        <v>4.8978290656757402</v>
      </c>
      <c r="H351" s="276">
        <v>4.9246310540661931</v>
      </c>
      <c r="I351" s="276">
        <v>4.7856082053759188</v>
      </c>
      <c r="J351" s="276">
        <v>4.7544201146986707</v>
      </c>
      <c r="K351" s="276">
        <v>4.820624641597286</v>
      </c>
      <c r="L351" s="276">
        <v>4.849040725223178</v>
      </c>
      <c r="M351" s="276">
        <v>4.9719896552168077</v>
      </c>
      <c r="N351" s="276">
        <v>5.0614055959035289</v>
      </c>
      <c r="O351" s="276">
        <v>5.1348313944600381</v>
      </c>
      <c r="P351" s="276">
        <v>5.1775582302124414</v>
      </c>
      <c r="Q351" s="276">
        <v>5.2389073141034821</v>
      </c>
      <c r="R351" s="276">
        <v>5.3240907895131926</v>
      </c>
      <c r="S351" s="276">
        <v>5.405120479205495</v>
      </c>
      <c r="T351" s="276">
        <v>5.4900548205375834</v>
      </c>
      <c r="U351" s="276">
        <v>5.5841067243052738</v>
      </c>
      <c r="V351" s="276">
        <v>5.6692489087119071</v>
      </c>
      <c r="W351" s="276">
        <v>5.7658721312538619</v>
      </c>
      <c r="X351" s="276">
        <v>5.8720755178706945</v>
      </c>
      <c r="Y351" s="276">
        <v>5.9892784376222741</v>
      </c>
      <c r="Z351" s="276">
        <v>6.1075173711928716</v>
      </c>
      <c r="AA351" s="276">
        <v>6.2220461974683134</v>
      </c>
      <c r="AB351" s="276">
        <v>6.3504107750649315</v>
      </c>
      <c r="AC351" s="276">
        <v>6.4816994538316663</v>
      </c>
      <c r="AD351" s="276">
        <v>6.6182809561422022</v>
      </c>
      <c r="AE351" s="276">
        <v>6.7644213082777469</v>
      </c>
      <c r="AF351" s="276">
        <v>6.9499985432043436</v>
      </c>
    </row>
    <row r="352" spans="1:32" x14ac:dyDescent="0.25">
      <c r="A352" s="342"/>
      <c r="B352" s="346" t="s">
        <v>44</v>
      </c>
      <c r="G352" s="276">
        <v>4.0323315351513571</v>
      </c>
      <c r="H352" s="276">
        <v>4.0180929899360587</v>
      </c>
      <c r="I352" s="276">
        <v>3.9064213467398057</v>
      </c>
      <c r="J352" s="276">
        <v>3.85949489411703</v>
      </c>
      <c r="K352" s="276">
        <v>3.8698351658478831</v>
      </c>
      <c r="L352" s="276">
        <v>3.858287256390498</v>
      </c>
      <c r="M352" s="276">
        <v>3.9010362109573231</v>
      </c>
      <c r="N352" s="276">
        <v>3.9241613092264118</v>
      </c>
      <c r="O352" s="276">
        <v>3.9379736886566876</v>
      </c>
      <c r="P352" s="276">
        <v>3.9344290548684357</v>
      </c>
      <c r="Q352" s="276">
        <v>3.9413238200542158</v>
      </c>
      <c r="R352" s="276">
        <v>3.9613188445331224</v>
      </c>
      <c r="S352" s="276">
        <v>3.9787885773738276</v>
      </c>
      <c r="T352" s="276">
        <v>3.9981742011420307</v>
      </c>
      <c r="U352" s="276">
        <v>4.0222565549698261</v>
      </c>
      <c r="V352" s="276">
        <v>4.0412501398158023</v>
      </c>
      <c r="W352" s="276">
        <v>4.0661427075990035</v>
      </c>
      <c r="X352" s="276">
        <v>4.0958075399581828</v>
      </c>
      <c r="Y352" s="276">
        <v>4.130896968084512</v>
      </c>
      <c r="Z352" s="276">
        <v>4.1660886835121866</v>
      </c>
      <c r="AA352" s="276">
        <v>4.1989121206950326</v>
      </c>
      <c r="AB352" s="276">
        <v>4.2384767160495818</v>
      </c>
      <c r="AC352" s="276">
        <v>4.2790509850094391</v>
      </c>
      <c r="AD352" s="276">
        <v>4.3218229328484172</v>
      </c>
      <c r="AE352" s="276">
        <v>4.3689118399331397</v>
      </c>
      <c r="AF352" s="276">
        <v>4.4352802613255449</v>
      </c>
    </row>
    <row r="353" spans="1:32" x14ac:dyDescent="0.25">
      <c r="A353" s="342"/>
      <c r="B353" s="346" t="s">
        <v>45</v>
      </c>
      <c r="G353" s="276">
        <v>2.1391038736563859</v>
      </c>
      <c r="H353" s="276">
        <v>2.1451607611464589</v>
      </c>
      <c r="I353" s="276">
        <v>2.0822285991691931</v>
      </c>
      <c r="J353" s="276">
        <v>2.0643518439256887</v>
      </c>
      <c r="K353" s="276">
        <v>2.0868743019231815</v>
      </c>
      <c r="L353" s="276">
        <v>2.0936917930816796</v>
      </c>
      <c r="M353" s="276">
        <v>2.139409665989394</v>
      </c>
      <c r="N353" s="276">
        <v>2.1711333470751795</v>
      </c>
      <c r="O353" s="276">
        <v>2.1961541943151199</v>
      </c>
      <c r="P353" s="276">
        <v>2.2085085342186237</v>
      </c>
      <c r="Q353" s="276">
        <v>2.2284010424101175</v>
      </c>
      <c r="R353" s="276">
        <v>2.257896741793159</v>
      </c>
      <c r="S353" s="276">
        <v>2.2855679161618494</v>
      </c>
      <c r="T353" s="276">
        <v>2.3146898480878981</v>
      </c>
      <c r="U353" s="276">
        <v>2.347357046487069</v>
      </c>
      <c r="V353" s="276">
        <v>2.376281138057196</v>
      </c>
      <c r="W353" s="276">
        <v>2.4096839857169625</v>
      </c>
      <c r="X353" s="276">
        <v>2.4467711063593871</v>
      </c>
      <c r="Y353" s="276">
        <v>2.4880836419747143</v>
      </c>
      <c r="Z353" s="276">
        <v>2.5296155652170613</v>
      </c>
      <c r="AA353" s="276">
        <v>2.5694759010716792</v>
      </c>
      <c r="AB353" s="276">
        <v>2.6146443545220177</v>
      </c>
      <c r="AC353" s="276">
        <v>2.6607600622923426</v>
      </c>
      <c r="AD353" s="276">
        <v>2.7087524386482902</v>
      </c>
      <c r="AE353" s="276">
        <v>2.7602902705293082</v>
      </c>
      <c r="AF353" s="276">
        <v>2.8271020887373108</v>
      </c>
    </row>
    <row r="354" spans="1:32" x14ac:dyDescent="0.25">
      <c r="A354" s="342"/>
      <c r="B354" s="346" t="s">
        <v>46</v>
      </c>
      <c r="G354" s="276">
        <v>1057.2085760111577</v>
      </c>
      <c r="H354" s="276">
        <v>1056.7499374142039</v>
      </c>
      <c r="I354" s="276">
        <v>1056.3011549286196</v>
      </c>
      <c r="J354" s="276">
        <v>1055.8618717195789</v>
      </c>
      <c r="K354" s="276">
        <v>1055.4317497023828</v>
      </c>
      <c r="L354" s="276">
        <v>1055.0104682501897</v>
      </c>
      <c r="M354" s="276">
        <v>1054.5977230108379</v>
      </c>
      <c r="N354" s="276">
        <v>1054.193224821973</v>
      </c>
      <c r="O354" s="276">
        <v>1053.7966987149089</v>
      </c>
      <c r="P354" s="276">
        <v>1053.4078829987034</v>
      </c>
      <c r="Q354" s="276">
        <v>1053.0265284168756</v>
      </c>
      <c r="R354" s="276">
        <v>1052.6523973699896</v>
      </c>
      <c r="S354" s="276">
        <v>1052.2852631980618</v>
      </c>
      <c r="T354" s="276">
        <v>1051.9249095173741</v>
      </c>
      <c r="U354" s="276">
        <v>1051.5711296068405</v>
      </c>
      <c r="V354" s="276">
        <v>1051.2237258395626</v>
      </c>
      <c r="W354" s="276">
        <v>1050.8825091556544</v>
      </c>
      <c r="X354" s="276">
        <v>1050.5472985728018</v>
      </c>
      <c r="Y354" s="276">
        <v>1050.2179207313684</v>
      </c>
      <c r="Z354" s="276">
        <v>1049.8942094711695</v>
      </c>
      <c r="AA354" s="276">
        <v>1049.5760054373093</v>
      </c>
      <c r="AB354" s="276">
        <v>1049.2631557127213</v>
      </c>
      <c r="AC354" s="276">
        <v>1048.9555134752713</v>
      </c>
      <c r="AD354" s="276">
        <v>1048.652937677482</v>
      </c>
      <c r="AE354" s="276">
        <v>1048.3552927471085</v>
      </c>
      <c r="AF354" s="276">
        <v>1048.0624483069598</v>
      </c>
    </row>
    <row r="355" spans="1:32" x14ac:dyDescent="0.25">
      <c r="A355" s="342"/>
      <c r="B355" s="342" t="s">
        <v>29</v>
      </c>
      <c r="G355" s="276">
        <v>7.6162187186165262</v>
      </c>
      <c r="H355" s="276">
        <v>3.8713040536195114</v>
      </c>
      <c r="I355" s="276">
        <v>2.6534495050452236</v>
      </c>
      <c r="J355" s="276">
        <v>2.0070162991707807</v>
      </c>
      <c r="K355" s="276">
        <v>1.6267748375247775</v>
      </c>
      <c r="L355" s="276">
        <v>1.3726529051993026</v>
      </c>
      <c r="M355" s="276">
        <v>1.209193875112023</v>
      </c>
      <c r="N355" s="276">
        <v>1.0886462185314514</v>
      </c>
      <c r="O355" s="276">
        <v>0.99745650389953866</v>
      </c>
      <c r="P355" s="276">
        <v>0.92447473807598934</v>
      </c>
      <c r="Q355" s="276">
        <v>0.86858039372298101</v>
      </c>
      <c r="R355" s="276">
        <v>0.83368957329537519</v>
      </c>
      <c r="S355" s="276">
        <v>0.80619588947210596</v>
      </c>
      <c r="T355" s="276">
        <v>0.78498571732423561</v>
      </c>
      <c r="U355" s="276">
        <v>0.76919500739103708</v>
      </c>
      <c r="V355" s="276">
        <v>0.75612789313720297</v>
      </c>
      <c r="W355" s="276">
        <v>0.74698854406967341</v>
      </c>
      <c r="X355" s="276">
        <v>0.74104443144916643</v>
      </c>
      <c r="Y355" s="276">
        <v>0.73800920499916511</v>
      </c>
      <c r="Z355" s="276">
        <v>0.7366246701716066</v>
      </c>
      <c r="AA355" s="276">
        <v>0.73619539880765128</v>
      </c>
      <c r="AB355" s="276">
        <v>0.73816608841365561</v>
      </c>
      <c r="AC355" s="276">
        <v>0.74135367644556627</v>
      </c>
      <c r="AD355" s="276">
        <v>0.74585006060536807</v>
      </c>
      <c r="AE355" s="276">
        <v>0.75194779661001598</v>
      </c>
      <c r="AF355" s="276">
        <v>0.76235338731724323</v>
      </c>
    </row>
    <row r="356" spans="1:32" x14ac:dyDescent="0.25">
      <c r="A356" s="342"/>
      <c r="B356" s="342"/>
      <c r="G356" s="276" t="str">
        <v/>
      </c>
      <c r="H356" s="276" t="str">
        <v/>
      </c>
      <c r="I356" s="276" t="str">
        <v/>
      </c>
      <c r="J356" s="276" t="str">
        <v/>
      </c>
      <c r="K356" s="276" t="str">
        <v/>
      </c>
      <c r="L356" s="276" t="str">
        <v/>
      </c>
      <c r="M356" s="276" t="str">
        <v/>
      </c>
      <c r="N356" s="276" t="str">
        <v/>
      </c>
      <c r="O356" s="276" t="str">
        <v/>
      </c>
      <c r="P356" s="276" t="str">
        <v/>
      </c>
      <c r="Q356" s="276" t="str">
        <v/>
      </c>
      <c r="R356" s="276" t="str">
        <v/>
      </c>
      <c r="S356" s="276" t="str">
        <v/>
      </c>
      <c r="T356" s="276" t="str">
        <v/>
      </c>
      <c r="U356" s="276" t="str">
        <v/>
      </c>
      <c r="V356" s="276" t="str">
        <v/>
      </c>
      <c r="W356" s="276" t="str">
        <v/>
      </c>
      <c r="X356" s="276" t="str">
        <v/>
      </c>
      <c r="Y356" s="276" t="str">
        <v/>
      </c>
      <c r="Z356" s="276" t="str">
        <v/>
      </c>
      <c r="AA356" s="276" t="str">
        <v/>
      </c>
      <c r="AB356" s="276" t="str">
        <v/>
      </c>
      <c r="AC356" s="276" t="str">
        <v/>
      </c>
      <c r="AD356" s="276" t="str">
        <v/>
      </c>
      <c r="AE356" s="276" t="str">
        <v/>
      </c>
      <c r="AF356" s="276" t="str">
        <v/>
      </c>
    </row>
    <row r="357" spans="1:32" s="202" customFormat="1" ht="12.75" x14ac:dyDescent="0.2">
      <c r="A357" s="348" t="s">
        <v>47</v>
      </c>
      <c r="B357" s="348"/>
      <c r="C357" s="348"/>
      <c r="D357" s="348"/>
      <c r="E357" s="348"/>
      <c r="F357" s="348"/>
      <c r="G357" s="274" t="str">
        <v/>
      </c>
      <c r="H357" s="274" t="str">
        <v/>
      </c>
      <c r="I357" s="274" t="str">
        <v/>
      </c>
      <c r="J357" s="274" t="str">
        <v/>
      </c>
      <c r="K357" s="274" t="str">
        <v/>
      </c>
      <c r="L357" s="274" t="str">
        <v/>
      </c>
      <c r="M357" s="274" t="str">
        <v/>
      </c>
      <c r="N357" s="274" t="str">
        <v/>
      </c>
      <c r="O357" s="274" t="str">
        <v/>
      </c>
      <c r="P357" s="274" t="str">
        <v/>
      </c>
      <c r="Q357" s="274" t="str">
        <v/>
      </c>
      <c r="R357" s="274" t="str">
        <v/>
      </c>
      <c r="S357" s="274" t="str">
        <v/>
      </c>
      <c r="T357" s="274" t="str">
        <v/>
      </c>
      <c r="U357" s="274" t="str">
        <v/>
      </c>
      <c r="V357" s="274" t="str">
        <v/>
      </c>
      <c r="W357" s="274" t="str">
        <v/>
      </c>
      <c r="X357" s="274" t="str">
        <v/>
      </c>
      <c r="Y357" s="274" t="str">
        <v/>
      </c>
      <c r="Z357" s="274" t="str">
        <v/>
      </c>
      <c r="AA357" s="274" t="str">
        <v/>
      </c>
      <c r="AB357" s="274" t="str">
        <v/>
      </c>
      <c r="AC357" s="274" t="str">
        <v/>
      </c>
      <c r="AD357" s="274" t="str">
        <v/>
      </c>
      <c r="AE357" s="274" t="str">
        <v/>
      </c>
      <c r="AF357" s="274" t="str">
        <v/>
      </c>
    </row>
    <row r="358" spans="1:32" x14ac:dyDescent="0.25">
      <c r="A358" s="342"/>
      <c r="B358" s="342" t="s">
        <v>48</v>
      </c>
      <c r="G358" s="276">
        <v>6.7408087852462248</v>
      </c>
      <c r="H358" s="276">
        <v>6.75813625944149</v>
      </c>
      <c r="I358" s="276">
        <v>6.5003981695276032</v>
      </c>
      <c r="J358" s="276">
        <v>6.3847324886004779</v>
      </c>
      <c r="K358" s="276">
        <v>6.3921329385348074</v>
      </c>
      <c r="L358" s="276">
        <v>6.4099040044603619</v>
      </c>
      <c r="M358" s="276">
        <v>6.5435098054557619</v>
      </c>
      <c r="N358" s="276">
        <v>6.6352326447903121</v>
      </c>
      <c r="O358" s="276">
        <v>6.7068228074304326</v>
      </c>
      <c r="P358" s="276">
        <v>6.7405091095923471</v>
      </c>
      <c r="Q358" s="276">
        <v>6.7965379366475922</v>
      </c>
      <c r="R358" s="276">
        <v>6.8810670725365286</v>
      </c>
      <c r="S358" s="276">
        <v>6.9600318706096536</v>
      </c>
      <c r="T358" s="276">
        <v>7.0432001883383517</v>
      </c>
      <c r="U358" s="276">
        <v>7.1368175131639404</v>
      </c>
      <c r="V358" s="276">
        <v>7.2191645475011956</v>
      </c>
      <c r="W358" s="276">
        <v>7.3147475212947501</v>
      </c>
      <c r="X358" s="276">
        <v>7.4211984912791538</v>
      </c>
      <c r="Y358" s="276">
        <v>7.5401289533429692</v>
      </c>
      <c r="Z358" s="276">
        <v>7.6596032941963763</v>
      </c>
      <c r="AA358" s="276">
        <v>7.7739905788095109</v>
      </c>
      <c r="AB358" s="276">
        <v>7.9040815350836136</v>
      </c>
      <c r="AC358" s="276">
        <v>8.0368855394879191</v>
      </c>
      <c r="AD358" s="276">
        <v>8.1751698400711259</v>
      </c>
      <c r="AE358" s="276">
        <v>8.3239011131090006</v>
      </c>
      <c r="AF358" s="276">
        <v>8.5179875381734984</v>
      </c>
    </row>
    <row r="359" spans="1:32" x14ac:dyDescent="0.25">
      <c r="A359" s="342"/>
      <c r="B359" s="346" t="s">
        <v>50</v>
      </c>
      <c r="G359" s="276">
        <v>4.6323301028593145</v>
      </c>
      <c r="H359" s="276">
        <v>4.6482530960149662</v>
      </c>
      <c r="I359" s="276">
        <v>4.5054016622870963</v>
      </c>
      <c r="J359" s="276">
        <v>4.4659839767464335</v>
      </c>
      <c r="K359" s="276">
        <v>4.5193036228320711</v>
      </c>
      <c r="L359" s="276">
        <v>4.5363798591136764</v>
      </c>
      <c r="M359" s="276">
        <v>4.6427630975009198</v>
      </c>
      <c r="N359" s="276">
        <v>4.7168508110956635</v>
      </c>
      <c r="O359" s="276">
        <v>4.7754131777109832</v>
      </c>
      <c r="P359" s="276">
        <v>4.8047454032371828</v>
      </c>
      <c r="Q359" s="276">
        <v>4.85130582425362</v>
      </c>
      <c r="R359" s="276">
        <v>4.9198476547350385</v>
      </c>
      <c r="S359" s="276">
        <v>4.9841027032466441</v>
      </c>
      <c r="T359" s="276">
        <v>5.0516060585438183</v>
      </c>
      <c r="U359" s="276">
        <v>5.1271778174878166</v>
      </c>
      <c r="V359" s="276">
        <v>5.1940656818591133</v>
      </c>
      <c r="W359" s="276">
        <v>5.2711766052296296</v>
      </c>
      <c r="X359" s="276">
        <v>5.3566878807466614</v>
      </c>
      <c r="Y359" s="276">
        <v>5.4518473149114657</v>
      </c>
      <c r="Z359" s="276">
        <v>5.5474481414580694</v>
      </c>
      <c r="AA359" s="276">
        <v>5.6391461106561724</v>
      </c>
      <c r="AB359" s="276">
        <v>5.7429913269013371</v>
      </c>
      <c r="AC359" s="276">
        <v>5.8489606916688075</v>
      </c>
      <c r="AD359" s="276">
        <v>5.959193798320328</v>
      </c>
      <c r="AE359" s="276">
        <v>6.0775299815662738</v>
      </c>
      <c r="AF359" s="276">
        <v>6.2309367395597874</v>
      </c>
    </row>
    <row r="360" spans="1:32" x14ac:dyDescent="0.25">
      <c r="A360" s="342"/>
      <c r="B360" s="342" t="s">
        <v>51</v>
      </c>
      <c r="G360" s="276">
        <v>1.4548913607827378</v>
      </c>
      <c r="H360" s="276">
        <v>1.45914775722145</v>
      </c>
      <c r="I360" s="276">
        <v>1.4186471873575091</v>
      </c>
      <c r="J360" s="276">
        <v>1.407307350353151</v>
      </c>
      <c r="K360" s="276">
        <v>1.4221128421106601</v>
      </c>
      <c r="L360" s="276">
        <v>1.4267033447433521</v>
      </c>
      <c r="M360" s="276">
        <v>1.4564720851788338</v>
      </c>
      <c r="N360" s="276">
        <v>1.4771387005953356</v>
      </c>
      <c r="O360" s="276">
        <v>1.4934307531512339</v>
      </c>
      <c r="P360" s="276">
        <v>1.5014847658909163</v>
      </c>
      <c r="Q360" s="276">
        <v>1.5143975354670236</v>
      </c>
      <c r="R360" s="276">
        <v>1.5335089864363904</v>
      </c>
      <c r="S360" s="276">
        <v>1.5514139619989271</v>
      </c>
      <c r="T360" s="276">
        <v>1.5702366115442674</v>
      </c>
      <c r="U360" s="276">
        <v>1.5913357158421439</v>
      </c>
      <c r="V360" s="276">
        <v>1.6099886952747411</v>
      </c>
      <c r="W360" s="276">
        <v>1.6315254836097757</v>
      </c>
      <c r="X360" s="276">
        <v>1.6554322251166658</v>
      </c>
      <c r="Y360" s="276">
        <v>1.6820606568776628</v>
      </c>
      <c r="Z360" s="276">
        <v>1.7088153225942353</v>
      </c>
      <c r="AA360" s="276">
        <v>1.7344715329894975</v>
      </c>
      <c r="AB360" s="276">
        <v>1.7635538647756883</v>
      </c>
      <c r="AC360" s="276">
        <v>1.7932367350387755</v>
      </c>
      <c r="AD360" s="276">
        <v>1.8241232820504076</v>
      </c>
      <c r="AE360" s="276">
        <v>1.857295809678239</v>
      </c>
      <c r="AF360" s="276">
        <v>1.9003565616051254</v>
      </c>
    </row>
    <row r="361" spans="1:32" x14ac:dyDescent="0.25">
      <c r="A361" s="342"/>
      <c r="B361" s="342" t="s">
        <v>52</v>
      </c>
      <c r="G361" s="276">
        <v>1.9488284578730166</v>
      </c>
      <c r="H361" s="276">
        <v>1.9482843658737465</v>
      </c>
      <c r="I361" s="276">
        <v>1.8947273442128503</v>
      </c>
      <c r="J361" s="276">
        <v>1.8765136077246112</v>
      </c>
      <c r="K361" s="276">
        <v>1.8899834381423091</v>
      </c>
      <c r="L361" s="276">
        <v>1.8915984874301304</v>
      </c>
      <c r="M361" s="276">
        <v>1.9236563088172121</v>
      </c>
      <c r="N361" s="276">
        <v>1.9451180828223356</v>
      </c>
      <c r="O361" s="276">
        <v>1.9616095758164307</v>
      </c>
      <c r="P361" s="276">
        <v>1.9684838881682019</v>
      </c>
      <c r="Q361" s="276">
        <v>1.981384660373511</v>
      </c>
      <c r="R361" s="276">
        <v>2.0018949557630386</v>
      </c>
      <c r="S361" s="276">
        <v>2.0211394967353939</v>
      </c>
      <c r="T361" s="276">
        <v>2.0416436602776042</v>
      </c>
      <c r="U361" s="276">
        <v>2.0650190061604614</v>
      </c>
      <c r="V361" s="276">
        <v>2.0856042101711836</v>
      </c>
      <c r="W361" s="276">
        <v>2.1097637661027315</v>
      </c>
      <c r="X361" s="276">
        <v>2.1368731080161858</v>
      </c>
      <c r="Y361" s="276">
        <v>2.1673440495774305</v>
      </c>
      <c r="Z361" s="276">
        <v>2.1980639172208538</v>
      </c>
      <c r="AA361" s="276">
        <v>2.2275604733006555</v>
      </c>
      <c r="AB361" s="276">
        <v>2.2612392676918978</v>
      </c>
      <c r="AC361" s="276">
        <v>2.2957143927617709</v>
      </c>
      <c r="AD361" s="276">
        <v>2.3317018157659639</v>
      </c>
      <c r="AE361" s="276">
        <v>2.3704911450427359</v>
      </c>
      <c r="AF361" s="276">
        <v>2.421171386434664</v>
      </c>
    </row>
    <row r="362" spans="1:32" x14ac:dyDescent="0.25">
      <c r="A362" s="342"/>
      <c r="B362" s="346" t="s">
        <v>29</v>
      </c>
      <c r="G362" s="276">
        <v>3.4347178488880203</v>
      </c>
      <c r="H362" s="276">
        <v>2.1271897464390714</v>
      </c>
      <c r="I362" s="276">
        <v>1.5733375909326073</v>
      </c>
      <c r="J362" s="276">
        <v>1.2481332161399217</v>
      </c>
      <c r="K362" s="276">
        <v>1.0488336514539438</v>
      </c>
      <c r="L362" s="276">
        <v>0.90748481830059546</v>
      </c>
      <c r="M362" s="276">
        <v>0.82012253254280787</v>
      </c>
      <c r="N362" s="276">
        <v>0.75490904173534268</v>
      </c>
      <c r="O362" s="276">
        <v>0.70649275738095207</v>
      </c>
      <c r="P362" s="276">
        <v>0.66851610804737249</v>
      </c>
      <c r="Q362" s="276">
        <v>0.64148045447734292</v>
      </c>
      <c r="R362" s="276">
        <v>0.62893817002344954</v>
      </c>
      <c r="S362" s="276">
        <v>0.62045947519243816</v>
      </c>
      <c r="T362" s="276">
        <v>0.61549257780908695</v>
      </c>
      <c r="U362" s="276">
        <v>0.61356603038395785</v>
      </c>
      <c r="V362" s="276">
        <v>0.61277316009569938</v>
      </c>
      <c r="W362" s="276">
        <v>0.61413548218625291</v>
      </c>
      <c r="X362" s="276">
        <v>0.61718433172815379</v>
      </c>
      <c r="Y362" s="276">
        <v>0.62177752761551841</v>
      </c>
      <c r="Z362" s="276">
        <v>0.62703695035492135</v>
      </c>
      <c r="AA362" s="276">
        <v>0.63250129699215696</v>
      </c>
      <c r="AB362" s="276">
        <v>0.63930345760037699</v>
      </c>
      <c r="AC362" s="276">
        <v>0.64660396942250409</v>
      </c>
      <c r="AD362" s="276">
        <v>0.65451254209091692</v>
      </c>
      <c r="AE362" s="276">
        <v>0.66328413054001167</v>
      </c>
      <c r="AF362" s="276">
        <v>0.67497279928316889</v>
      </c>
    </row>
    <row r="363" spans="1:32" x14ac:dyDescent="0.25">
      <c r="A363" s="342"/>
      <c r="B363" s="346" t="s">
        <v>53</v>
      </c>
      <c r="G363" s="276">
        <v>1.4747718954404359</v>
      </c>
      <c r="H363" s="276">
        <v>1.4804876234792146</v>
      </c>
      <c r="I363" s="276">
        <v>1.4372093357695352</v>
      </c>
      <c r="J363" s="276">
        <v>1.4258352317643832</v>
      </c>
      <c r="K363" s="276">
        <v>1.443065302314039</v>
      </c>
      <c r="L363" s="276">
        <v>1.4491057272223777</v>
      </c>
      <c r="M363" s="276">
        <v>1.4826922039964581</v>
      </c>
      <c r="N363" s="276">
        <v>1.5063072803199988</v>
      </c>
      <c r="O363" s="276">
        <v>1.5251251013235563</v>
      </c>
      <c r="P363" s="276">
        <v>1.5349174839687945</v>
      </c>
      <c r="Q363" s="276">
        <v>1.5500181430435733</v>
      </c>
      <c r="R363" s="276">
        <v>1.5718936699719481</v>
      </c>
      <c r="S363" s="276">
        <v>1.5924397391240621</v>
      </c>
      <c r="T363" s="276">
        <v>1.6139812193236072</v>
      </c>
      <c r="U363" s="276">
        <v>1.6380053315553074</v>
      </c>
      <c r="V363" s="276">
        <v>1.6593436467730713</v>
      </c>
      <c r="W363" s="276">
        <v>1.6838295463058852</v>
      </c>
      <c r="X363" s="276">
        <v>1.7109007672218182</v>
      </c>
      <c r="Y363" s="276">
        <v>1.7409423786419285</v>
      </c>
      <c r="Z363" s="276">
        <v>1.7711139388637038</v>
      </c>
      <c r="AA363" s="276">
        <v>1.8000752181761444</v>
      </c>
      <c r="AB363" s="276">
        <v>1.832778177138717</v>
      </c>
      <c r="AC363" s="276">
        <v>1.8661305095744725</v>
      </c>
      <c r="AD363" s="276">
        <v>1.9007924164861782</v>
      </c>
      <c r="AE363" s="276">
        <v>1.9379485121145705</v>
      </c>
      <c r="AF363" s="276">
        <v>1.9859190528006518</v>
      </c>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tabColor theme="9"/>
  </sheetPr>
  <dimension ref="A1:AB162"/>
  <sheetViews>
    <sheetView topLeftCell="B1" zoomScale="59" zoomScaleNormal="59" workbookViewId="0">
      <selection activeCell="F37" sqref="F37"/>
    </sheetView>
  </sheetViews>
  <sheetFormatPr defaultColWidth="9.140625" defaultRowHeight="12.75" x14ac:dyDescent="0.2"/>
  <cols>
    <col min="1" max="1" width="9.140625" style="81"/>
    <col min="2" max="3" width="8.85546875" style="81" customWidth="1"/>
    <col min="4" max="4" width="10.5703125" style="81" customWidth="1"/>
    <col min="5" max="5" width="11" style="81" customWidth="1"/>
    <col min="6" max="6" width="13.5703125" style="81" customWidth="1"/>
    <col min="7" max="7" width="7.42578125" style="81" customWidth="1"/>
    <col min="8" max="9" width="8.5703125" style="81" customWidth="1"/>
    <col min="10" max="10" width="10.5703125" style="81" customWidth="1"/>
    <col min="11" max="11" width="7.42578125" style="81" customWidth="1"/>
    <col min="12" max="12" width="8.5703125" style="81" customWidth="1"/>
    <col min="13" max="14" width="5.5703125" style="81" customWidth="1"/>
    <col min="15" max="15" width="6.85546875" style="81" customWidth="1"/>
    <col min="16" max="28" width="5.5703125" style="81" customWidth="1"/>
    <col min="29" max="29" width="8.5703125" style="81" bestFit="1" customWidth="1"/>
    <col min="30" max="30" width="5.5703125" style="81" customWidth="1"/>
    <col min="31" max="31" width="11.85546875" style="81" customWidth="1"/>
    <col min="32" max="33" width="5.5703125" style="81" customWidth="1"/>
    <col min="34" max="16384" width="9.140625" style="81"/>
  </cols>
  <sheetData>
    <row r="1" spans="1:28" ht="18" x14ac:dyDescent="0.4">
      <c r="A1" s="52" t="s">
        <v>98</v>
      </c>
    </row>
    <row r="2" spans="1:28" ht="14.45" x14ac:dyDescent="0.35">
      <c r="A2" s="1040" t="s">
        <v>672</v>
      </c>
    </row>
    <row r="3" spans="1:28" ht="12.95" x14ac:dyDescent="0.3">
      <c r="A3" s="20" t="s">
        <v>99</v>
      </c>
      <c r="B3" s="131"/>
      <c r="C3" s="131"/>
      <c r="D3" s="131"/>
      <c r="E3" s="131"/>
      <c r="F3" s="131"/>
      <c r="G3" s="131"/>
      <c r="H3" s="131"/>
      <c r="I3" s="131"/>
      <c r="J3" s="131"/>
      <c r="K3" s="131"/>
      <c r="L3" s="131"/>
      <c r="M3" s="131"/>
      <c r="N3" s="131"/>
      <c r="O3" s="131"/>
      <c r="P3" s="131"/>
      <c r="Q3" s="131"/>
      <c r="R3" s="131"/>
      <c r="S3" s="131"/>
      <c r="T3" s="131"/>
      <c r="U3" s="131"/>
      <c r="V3" s="131"/>
      <c r="W3" s="131"/>
      <c r="X3" s="131"/>
      <c r="Y3" s="131"/>
      <c r="Z3" s="131"/>
      <c r="AA3" s="132"/>
      <c r="AB3" s="131"/>
    </row>
    <row r="4" spans="1:28" ht="12.6" x14ac:dyDescent="0.25">
      <c r="A4" s="81" t="s">
        <v>689</v>
      </c>
      <c r="B4" s="129"/>
      <c r="C4" s="129"/>
      <c r="D4" s="129"/>
      <c r="E4" s="129"/>
      <c r="F4" s="129"/>
      <c r="G4" s="129"/>
      <c r="H4" s="129"/>
      <c r="I4" s="129"/>
      <c r="J4" s="129"/>
      <c r="K4" s="129"/>
      <c r="L4" s="129"/>
      <c r="M4" s="129"/>
      <c r="N4" s="129"/>
      <c r="O4" s="129"/>
      <c r="P4" s="129"/>
      <c r="Q4" s="129"/>
      <c r="R4" s="129"/>
      <c r="S4" s="129"/>
      <c r="T4" s="129"/>
      <c r="U4" s="129"/>
      <c r="V4" s="129"/>
      <c r="W4" s="129"/>
      <c r="X4" s="129"/>
      <c r="Y4" s="129"/>
      <c r="Z4" s="129"/>
      <c r="AA4" s="129"/>
      <c r="AB4" s="129"/>
    </row>
    <row r="5" spans="1:28" ht="12.95" x14ac:dyDescent="0.3">
      <c r="A5" s="133" t="s">
        <v>100</v>
      </c>
      <c r="B5" s="134"/>
      <c r="C5" s="134"/>
      <c r="D5" s="133"/>
      <c r="E5" s="133"/>
      <c r="F5" s="133"/>
      <c r="G5" s="129"/>
      <c r="H5" s="129"/>
      <c r="I5" s="129"/>
      <c r="J5" s="129"/>
      <c r="K5" s="129"/>
      <c r="L5" s="129"/>
      <c r="M5" s="129"/>
      <c r="N5" s="129"/>
      <c r="O5" s="129"/>
      <c r="P5" s="129"/>
      <c r="Q5" s="129"/>
      <c r="R5" s="129"/>
      <c r="S5" s="129"/>
      <c r="T5" s="129"/>
      <c r="U5" s="129"/>
      <c r="V5" s="129"/>
    </row>
    <row r="6" spans="1:28" ht="12.95" x14ac:dyDescent="0.3">
      <c r="A6" s="1243" t="s">
        <v>101</v>
      </c>
      <c r="B6" s="1243"/>
      <c r="C6" s="1243"/>
      <c r="D6" s="136"/>
      <c r="E6" s="136"/>
      <c r="F6" s="136"/>
      <c r="G6" s="129"/>
      <c r="H6" s="129"/>
      <c r="I6" s="129"/>
      <c r="J6" s="129"/>
      <c r="K6" s="129"/>
      <c r="L6" s="129"/>
      <c r="M6" s="129"/>
      <c r="N6" s="129"/>
      <c r="O6" s="129"/>
      <c r="P6" s="129"/>
      <c r="Q6" s="129"/>
      <c r="R6" s="129"/>
      <c r="S6" s="129"/>
      <c r="T6" s="129"/>
      <c r="U6" s="129"/>
      <c r="V6" s="129"/>
    </row>
    <row r="7" spans="1:28" ht="39" x14ac:dyDescent="0.3">
      <c r="A7" s="137"/>
      <c r="B7" s="138" t="s">
        <v>102</v>
      </c>
      <c r="C7" s="139" t="s">
        <v>103</v>
      </c>
      <c r="D7" s="140" t="s">
        <v>104</v>
      </c>
      <c r="E7" s="140" t="s">
        <v>105</v>
      </c>
      <c r="F7" s="140" t="s">
        <v>106</v>
      </c>
      <c r="G7" s="129"/>
      <c r="H7" s="129"/>
      <c r="I7" s="129"/>
      <c r="J7" s="129"/>
      <c r="K7" s="129"/>
      <c r="L7" s="129"/>
      <c r="M7" s="129"/>
      <c r="N7" s="129"/>
      <c r="O7" s="129"/>
      <c r="P7" s="129"/>
      <c r="Q7" s="129"/>
      <c r="R7" s="129"/>
      <c r="S7" s="129"/>
      <c r="T7" s="129"/>
      <c r="U7" s="129"/>
      <c r="V7" s="129"/>
    </row>
    <row r="8" spans="1:28" ht="12.6" x14ac:dyDescent="0.25">
      <c r="A8" s="137"/>
      <c r="B8" s="137"/>
      <c r="C8" s="137"/>
      <c r="D8" s="129"/>
      <c r="E8" s="129"/>
      <c r="F8" s="129"/>
      <c r="G8" s="129"/>
      <c r="H8" s="129"/>
      <c r="I8" s="129"/>
      <c r="J8" s="129"/>
      <c r="K8" s="129"/>
      <c r="L8" s="129"/>
      <c r="M8" s="129"/>
      <c r="N8" s="129"/>
      <c r="O8" s="129"/>
      <c r="P8" s="129"/>
      <c r="Q8" s="129"/>
      <c r="R8" s="129"/>
      <c r="S8" s="129"/>
      <c r="T8" s="129"/>
      <c r="U8" s="129"/>
      <c r="V8" s="129"/>
    </row>
    <row r="9" spans="1:28" ht="12.95" x14ac:dyDescent="0.3">
      <c r="A9" s="142" t="s">
        <v>107</v>
      </c>
      <c r="B9" s="143"/>
      <c r="C9" s="144"/>
      <c r="D9" s="141">
        <v>5.0000000000000001E-3</v>
      </c>
      <c r="F9" s="141">
        <v>1.0602667223745543E-2</v>
      </c>
      <c r="G9" s="129"/>
      <c r="H9" s="129"/>
      <c r="I9" s="129"/>
      <c r="J9" s="129"/>
      <c r="K9" s="129"/>
      <c r="L9" s="129"/>
      <c r="M9" s="129"/>
      <c r="N9" s="129"/>
      <c r="O9" s="129"/>
      <c r="P9" s="129"/>
      <c r="Q9" s="129"/>
      <c r="R9" s="129"/>
      <c r="S9" s="129"/>
      <c r="T9" s="129"/>
    </row>
    <row r="10" spans="1:28" ht="12.95" x14ac:dyDescent="0.3">
      <c r="A10" s="142" t="s">
        <v>109</v>
      </c>
      <c r="B10" s="143"/>
      <c r="C10" s="144"/>
      <c r="D10" s="141">
        <v>0.25</v>
      </c>
      <c r="F10" s="141">
        <v>0.42101791189844867</v>
      </c>
      <c r="G10" s="129"/>
      <c r="H10" s="129"/>
      <c r="I10" s="129"/>
      <c r="J10" s="129"/>
      <c r="K10" s="129"/>
      <c r="L10" s="129"/>
      <c r="M10" s="129"/>
      <c r="N10" s="129"/>
      <c r="O10" s="129"/>
      <c r="P10" s="129"/>
      <c r="Q10" s="129"/>
      <c r="R10" s="129"/>
      <c r="S10" s="129"/>
      <c r="T10" s="129"/>
    </row>
    <row r="11" spans="1:28" ht="12.6" x14ac:dyDescent="0.25">
      <c r="A11" s="137"/>
      <c r="B11" s="137"/>
      <c r="C11" s="137"/>
      <c r="D11" s="141"/>
      <c r="E11" s="129"/>
      <c r="F11" s="129"/>
      <c r="G11" s="129"/>
      <c r="H11" s="129"/>
      <c r="I11" s="129"/>
      <c r="J11" s="129"/>
      <c r="K11" s="129"/>
      <c r="L11" s="129"/>
      <c r="M11" s="129"/>
      <c r="N11" s="129"/>
      <c r="O11" s="129"/>
      <c r="P11" s="129"/>
      <c r="Q11" s="129"/>
      <c r="R11" s="129"/>
      <c r="S11" s="129"/>
      <c r="T11" s="129"/>
      <c r="U11" s="129"/>
      <c r="V11" s="129"/>
    </row>
    <row r="12" spans="1:28" ht="12.6" x14ac:dyDescent="0.25">
      <c r="A12" s="137"/>
      <c r="B12" s="143"/>
      <c r="C12" s="143"/>
      <c r="D12" s="141"/>
      <c r="G12" s="129"/>
      <c r="H12" s="129"/>
      <c r="I12" s="129"/>
      <c r="J12" s="129"/>
      <c r="K12" s="129"/>
      <c r="L12" s="129"/>
      <c r="M12" s="129"/>
      <c r="N12" s="129"/>
      <c r="O12" s="129"/>
      <c r="P12" s="129"/>
      <c r="Q12" s="129"/>
      <c r="R12" s="129"/>
      <c r="S12" s="129"/>
      <c r="T12" s="129"/>
      <c r="Y12" s="129"/>
    </row>
    <row r="13" spans="1:28" ht="12.95" x14ac:dyDescent="0.3">
      <c r="A13" s="145" t="s">
        <v>110</v>
      </c>
      <c r="B13" s="146" t="s">
        <v>111</v>
      </c>
      <c r="C13" s="146" t="s">
        <v>111</v>
      </c>
      <c r="D13" s="129"/>
      <c r="E13" s="129" t="s">
        <v>111</v>
      </c>
      <c r="F13" s="129" t="s">
        <v>111</v>
      </c>
      <c r="G13" s="1111" t="s">
        <v>750</v>
      </c>
      <c r="H13" s="129"/>
      <c r="I13" s="129"/>
      <c r="J13" s="129"/>
      <c r="K13" s="129"/>
      <c r="L13" s="129"/>
      <c r="M13" s="129"/>
      <c r="N13" s="129"/>
      <c r="O13" s="129"/>
      <c r="P13" s="129"/>
      <c r="Q13" s="129"/>
      <c r="R13" s="129"/>
      <c r="S13" s="129"/>
      <c r="T13" s="129"/>
    </row>
    <row r="14" spans="1:28" ht="12.6" x14ac:dyDescent="0.25">
      <c r="A14" s="148">
        <v>0</v>
      </c>
      <c r="B14" s="149">
        <f>E14</f>
        <v>0</v>
      </c>
      <c r="C14" s="149">
        <f>E14</f>
        <v>0</v>
      </c>
      <c r="D14" s="129">
        <f t="shared" ref="D14:D45" si="0">(1-EXP(-($D$9+$D$10)*$A14))/(1+$D$10/$D$9*EXP(-($D$9+$D$10)*$A14))</f>
        <v>0</v>
      </c>
      <c r="E14" s="135">
        <v>0</v>
      </c>
      <c r="F14" s="129">
        <f t="shared" ref="F14:F45" si="1">(1-EXP(-($F$9+$F$10)*$A14))/(1+$F$10/$F$9*EXP(-($F$9+$F$10)*$A14))</f>
        <v>0</v>
      </c>
      <c r="G14" s="129">
        <f>[3]TechDiff!$H14</f>
        <v>0</v>
      </c>
      <c r="H14" s="129">
        <f>B14-G14</f>
        <v>0</v>
      </c>
      <c r="I14" s="129"/>
      <c r="J14" s="129"/>
      <c r="K14" s="129"/>
      <c r="L14" s="129"/>
      <c r="M14" s="129"/>
      <c r="N14" s="129"/>
      <c r="O14" s="129"/>
      <c r="P14" s="129"/>
      <c r="Q14" s="129"/>
      <c r="R14" s="129"/>
      <c r="S14" s="129"/>
      <c r="T14" s="129"/>
    </row>
    <row r="15" spans="1:28" ht="14.45" x14ac:dyDescent="0.35">
      <c r="A15" s="148">
        <v>1</v>
      </c>
      <c r="B15" s="149">
        <f t="shared" ref="B15:B78" si="2">E15</f>
        <v>1.0701629929633919E-2</v>
      </c>
      <c r="C15" s="149">
        <f t="shared" ref="C15:C78" si="3">E15</f>
        <v>1.0701629929633919E-2</v>
      </c>
      <c r="D15" s="129">
        <f t="shared" si="0"/>
        <v>5.6630728539726217E-3</v>
      </c>
      <c r="E15" s="135">
        <v>1.0701629929633919E-2</v>
      </c>
      <c r="F15" s="129">
        <f t="shared" si="1"/>
        <v>1.3085365680332849E-2</v>
      </c>
      <c r="G15" s="377">
        <f>[3]TechDiff!$H15</f>
        <v>1.0701629929633919E-2</v>
      </c>
      <c r="H15" s="377">
        <f t="shared" ref="H15:H78" si="4">B15-G15</f>
        <v>0</v>
      </c>
      <c r="I15" s="129"/>
      <c r="J15" s="129"/>
      <c r="K15" s="129"/>
      <c r="L15" s="129"/>
      <c r="M15" s="129"/>
      <c r="N15" s="129"/>
      <c r="O15" s="129"/>
      <c r="P15" s="129"/>
      <c r="Q15" s="129"/>
      <c r="R15" s="129"/>
      <c r="S15" s="129"/>
      <c r="T15" s="129"/>
      <c r="W15" s="147"/>
    </row>
    <row r="16" spans="1:28" ht="14.45" x14ac:dyDescent="0.35">
      <c r="A16" s="148">
        <v>2</v>
      </c>
      <c r="B16" s="149">
        <f t="shared" si="2"/>
        <v>2.573359512642789E-2</v>
      </c>
      <c r="C16" s="149">
        <f t="shared" si="3"/>
        <v>2.573359512642789E-2</v>
      </c>
      <c r="D16" s="129">
        <f t="shared" si="0"/>
        <v>1.2876946583647011E-2</v>
      </c>
      <c r="E16" s="135">
        <v>2.573359512642789E-2</v>
      </c>
      <c r="F16" s="129">
        <f t="shared" si="1"/>
        <v>3.2577195904801182E-2</v>
      </c>
      <c r="G16" s="377">
        <f>[3]TechDiff!$H16</f>
        <v>2.573359512642789E-2</v>
      </c>
      <c r="H16" s="377">
        <f t="shared" si="4"/>
        <v>0</v>
      </c>
      <c r="I16" s="129"/>
      <c r="J16" s="129"/>
      <c r="K16" s="129"/>
      <c r="L16" s="129"/>
      <c r="M16" s="129"/>
      <c r="N16" s="129"/>
      <c r="O16" s="129"/>
      <c r="P16" s="129"/>
      <c r="Q16" s="129"/>
      <c r="R16" s="129"/>
      <c r="S16" s="129"/>
      <c r="T16" s="129"/>
      <c r="W16" s="147"/>
    </row>
    <row r="17" spans="1:23" ht="14.45" x14ac:dyDescent="0.35">
      <c r="A17" s="148">
        <v>3</v>
      </c>
      <c r="B17" s="149">
        <f t="shared" si="2"/>
        <v>4.6539757716903177E-2</v>
      </c>
      <c r="C17" s="149">
        <f t="shared" si="3"/>
        <v>4.6539757716903177E-2</v>
      </c>
      <c r="D17" s="129">
        <f t="shared" si="0"/>
        <v>2.2032915273504095E-2</v>
      </c>
      <c r="E17" s="135">
        <v>4.6539757716903177E-2</v>
      </c>
      <c r="F17" s="129">
        <f t="shared" si="1"/>
        <v>6.1128734358068981E-2</v>
      </c>
      <c r="G17" s="377">
        <f>[3]TechDiff!$H17</f>
        <v>4.6539757716903177E-2</v>
      </c>
      <c r="H17" s="377">
        <f t="shared" si="4"/>
        <v>0</v>
      </c>
      <c r="I17" s="129"/>
      <c r="J17" s="129"/>
      <c r="K17" s="129"/>
      <c r="L17" s="129"/>
      <c r="M17" s="129"/>
      <c r="N17" s="129"/>
      <c r="O17" s="129"/>
      <c r="P17" s="129"/>
      <c r="Q17" s="129"/>
      <c r="R17" s="129"/>
      <c r="S17" s="129"/>
      <c r="T17" s="129"/>
      <c r="W17" s="147"/>
    </row>
    <row r="18" spans="1:23" ht="14.45" x14ac:dyDescent="0.35">
      <c r="A18" s="148">
        <v>4</v>
      </c>
      <c r="B18" s="149">
        <f t="shared" si="2"/>
        <v>7.4754332929684128E-2</v>
      </c>
      <c r="C18" s="149">
        <f t="shared" si="3"/>
        <v>7.4754332929684128E-2</v>
      </c>
      <c r="D18" s="129">
        <f t="shared" si="0"/>
        <v>3.3600292191806207E-2</v>
      </c>
      <c r="E18" s="135">
        <v>7.4754332929684128E-2</v>
      </c>
      <c r="F18" s="129">
        <f t="shared" si="1"/>
        <v>0.10193900403919449</v>
      </c>
      <c r="G18" s="377">
        <f>[3]TechDiff!$H18</f>
        <v>7.4754332929684128E-2</v>
      </c>
      <c r="H18" s="377">
        <f t="shared" si="4"/>
        <v>0</v>
      </c>
      <c r="I18" s="129"/>
      <c r="J18" s="129"/>
      <c r="K18" s="129"/>
      <c r="L18" s="129"/>
      <c r="M18" s="129"/>
      <c r="N18" s="129"/>
      <c r="O18" s="129"/>
      <c r="P18" s="129"/>
      <c r="Q18" s="129"/>
      <c r="R18" s="129"/>
      <c r="S18" s="129"/>
      <c r="T18" s="129"/>
      <c r="W18" s="147"/>
    </row>
    <row r="19" spans="1:23" ht="14.45" x14ac:dyDescent="0.35">
      <c r="A19" s="148">
        <v>5</v>
      </c>
      <c r="B19" s="149">
        <f t="shared" si="2"/>
        <v>0.11197478620001509</v>
      </c>
      <c r="C19" s="149">
        <f t="shared" si="3"/>
        <v>0.11197478620001509</v>
      </c>
      <c r="D19" s="129">
        <f t="shared" si="0"/>
        <v>4.8129225648149025E-2</v>
      </c>
      <c r="E19" s="135">
        <v>0.11197478620001509</v>
      </c>
      <c r="F19" s="129">
        <f t="shared" si="1"/>
        <v>0.15827476931216483</v>
      </c>
      <c r="G19" s="377">
        <f>[3]TechDiff!$H19</f>
        <v>0.11197478620001509</v>
      </c>
      <c r="H19" s="377">
        <f t="shared" si="4"/>
        <v>0</v>
      </c>
      <c r="I19" s="129"/>
      <c r="J19" s="129"/>
      <c r="K19" s="129"/>
      <c r="L19" s="129"/>
      <c r="M19" s="129"/>
      <c r="N19" s="129"/>
      <c r="O19" s="129"/>
      <c r="P19" s="129"/>
      <c r="Q19" s="129"/>
      <c r="R19" s="129"/>
      <c r="S19" s="129"/>
      <c r="T19" s="129"/>
      <c r="W19" s="147"/>
    </row>
    <row r="20" spans="1:23" ht="14.45" x14ac:dyDescent="0.35">
      <c r="A20" s="148">
        <v>6</v>
      </c>
      <c r="B20" s="149">
        <f t="shared" si="2"/>
        <v>0.15936056895239697</v>
      </c>
      <c r="C20" s="149">
        <f t="shared" si="3"/>
        <v>0.15936056895239697</v>
      </c>
      <c r="D20" s="129">
        <f t="shared" si="0"/>
        <v>6.6244921247948604E-2</v>
      </c>
      <c r="E20" s="135">
        <v>0.15936056895239697</v>
      </c>
      <c r="F20" s="129">
        <f t="shared" si="1"/>
        <v>0.23241520945724889</v>
      </c>
      <c r="G20" s="377">
        <f>[3]TechDiff!$H20</f>
        <v>0.15936056895239697</v>
      </c>
      <c r="H20" s="377">
        <f t="shared" si="4"/>
        <v>0</v>
      </c>
      <c r="I20" s="129"/>
      <c r="J20" s="129"/>
      <c r="K20" s="129"/>
      <c r="L20" s="129"/>
      <c r="M20" s="129"/>
      <c r="N20" s="129"/>
      <c r="O20" s="129"/>
      <c r="P20" s="129"/>
      <c r="Q20" s="129"/>
      <c r="R20" s="129"/>
      <c r="S20" s="129"/>
      <c r="T20" s="129"/>
      <c r="W20" s="147"/>
    </row>
    <row r="21" spans="1:23" ht="14.45" x14ac:dyDescent="0.35">
      <c r="A21" s="148">
        <v>7</v>
      </c>
      <c r="B21" s="149">
        <f t="shared" si="2"/>
        <v>0.21712504966565391</v>
      </c>
      <c r="C21" s="149">
        <f t="shared" si="3"/>
        <v>0.21712504966565391</v>
      </c>
      <c r="D21" s="129">
        <f t="shared" si="0"/>
        <v>8.8627898069074729E-2</v>
      </c>
      <c r="E21" s="135">
        <v>0.21712504966565391</v>
      </c>
      <c r="F21" s="129">
        <f t="shared" si="1"/>
        <v>0.32408520368542054</v>
      </c>
      <c r="G21" s="377">
        <f>[3]TechDiff!$H21</f>
        <v>0.21712504966565391</v>
      </c>
      <c r="H21" s="377">
        <f t="shared" si="4"/>
        <v>0</v>
      </c>
      <c r="I21" s="129"/>
      <c r="J21" s="129"/>
      <c r="K21" s="129"/>
      <c r="L21" s="129"/>
      <c r="M21" s="129"/>
      <c r="N21" s="129"/>
      <c r="O21" s="129"/>
      <c r="P21" s="129"/>
      <c r="Q21" s="129"/>
      <c r="R21" s="129"/>
      <c r="S21" s="129"/>
      <c r="T21" s="129"/>
      <c r="W21" s="147"/>
    </row>
    <row r="22" spans="1:23" ht="14.45" x14ac:dyDescent="0.35">
      <c r="A22" s="148">
        <v>8</v>
      </c>
      <c r="B22" s="149">
        <f t="shared" si="2"/>
        <v>0.28414080977412093</v>
      </c>
      <c r="C22" s="149">
        <f t="shared" si="3"/>
        <v>0.28414080977412093</v>
      </c>
      <c r="D22" s="129">
        <f t="shared" si="0"/>
        <v>0.11597397378513044</v>
      </c>
      <c r="E22" s="135">
        <v>0.28414080977412093</v>
      </c>
      <c r="F22" s="129">
        <f t="shared" si="1"/>
        <v>0.42907157901747933</v>
      </c>
      <c r="G22" s="377">
        <f>[3]TechDiff!$H22</f>
        <v>0.28414080977412093</v>
      </c>
      <c r="H22" s="377">
        <f t="shared" si="4"/>
        <v>0</v>
      </c>
      <c r="I22" s="129"/>
      <c r="J22" s="129"/>
      <c r="K22" s="129"/>
      <c r="L22" s="129"/>
      <c r="M22" s="129"/>
      <c r="N22" s="129"/>
      <c r="O22" s="129"/>
      <c r="P22" s="129"/>
      <c r="Q22" s="129"/>
      <c r="R22" s="129"/>
      <c r="S22" s="129"/>
      <c r="T22" s="129"/>
      <c r="W22" s="147"/>
    </row>
    <row r="23" spans="1:23" ht="14.45" x14ac:dyDescent="0.35">
      <c r="A23" s="148">
        <v>9</v>
      </c>
      <c r="B23" s="149">
        <f t="shared" si="2"/>
        <v>0.35795009041805559</v>
      </c>
      <c r="C23" s="149">
        <f t="shared" si="3"/>
        <v>0.35795009041805559</v>
      </c>
      <c r="D23" s="129">
        <f t="shared" si="0"/>
        <v>0.14892816029934289</v>
      </c>
      <c r="E23" s="135">
        <v>0.35795009041805559</v>
      </c>
      <c r="F23" s="129">
        <f t="shared" si="1"/>
        <v>0.5392623305896489</v>
      </c>
      <c r="G23" s="377">
        <f>[3]TechDiff!$H23</f>
        <v>0.35795009041805559</v>
      </c>
      <c r="H23" s="377">
        <f t="shared" si="4"/>
        <v>0</v>
      </c>
      <c r="I23" s="129"/>
      <c r="J23" s="129"/>
      <c r="K23" s="129"/>
      <c r="L23" s="129"/>
      <c r="M23" s="129"/>
      <c r="N23" s="129"/>
      <c r="O23" s="129"/>
      <c r="P23" s="129"/>
      <c r="Q23" s="129"/>
      <c r="R23" s="129"/>
      <c r="S23" s="129"/>
      <c r="T23" s="129"/>
      <c r="W23" s="147"/>
    </row>
    <row r="24" spans="1:23" ht="14.45" x14ac:dyDescent="0.35">
      <c r="A24" s="148">
        <v>10</v>
      </c>
      <c r="B24" s="149">
        <f t="shared" si="2"/>
        <v>0.43528730962994305</v>
      </c>
      <c r="C24" s="149">
        <f t="shared" si="3"/>
        <v>0.43528730962994305</v>
      </c>
      <c r="D24" s="129">
        <f t="shared" si="0"/>
        <v>0.18798994176709999</v>
      </c>
      <c r="E24" s="135">
        <v>0.43528730962994305</v>
      </c>
      <c r="F24" s="129">
        <f t="shared" si="1"/>
        <v>0.64481487142010085</v>
      </c>
      <c r="G24" s="377">
        <f>[3]TechDiff!$H24</f>
        <v>0.43528730962994305</v>
      </c>
      <c r="H24" s="377">
        <f t="shared" si="4"/>
        <v>0</v>
      </c>
      <c r="I24" s="129"/>
      <c r="J24" s="129"/>
      <c r="K24" s="129"/>
      <c r="L24" s="129"/>
      <c r="M24" s="129"/>
      <c r="N24" s="129"/>
      <c r="O24" s="129"/>
      <c r="P24" s="129"/>
      <c r="Q24" s="129"/>
      <c r="R24" s="129"/>
      <c r="S24" s="129"/>
      <c r="T24" s="129"/>
      <c r="W24" s="147"/>
    </row>
    <row r="25" spans="1:23" ht="14.45" x14ac:dyDescent="0.35">
      <c r="A25" s="148">
        <v>11</v>
      </c>
      <c r="B25" s="149">
        <f t="shared" si="2"/>
        <v>0.51284484369923866</v>
      </c>
      <c r="C25" s="149">
        <f t="shared" si="3"/>
        <v>0.51284484369923866</v>
      </c>
      <c r="D25" s="129">
        <f t="shared" si="0"/>
        <v>0.2333948350290812</v>
      </c>
      <c r="E25" s="135">
        <v>0.51284484369923866</v>
      </c>
      <c r="F25" s="129">
        <f t="shared" si="1"/>
        <v>0.73743450513809794</v>
      </c>
      <c r="G25" s="377">
        <f>[3]TechDiff!$H25</f>
        <v>0.51284484369923866</v>
      </c>
      <c r="H25" s="377">
        <f t="shared" si="4"/>
        <v>0</v>
      </c>
      <c r="I25" s="129"/>
      <c r="J25" s="129"/>
      <c r="K25" s="129"/>
      <c r="L25" s="129"/>
      <c r="M25" s="129"/>
      <c r="N25" s="129"/>
      <c r="O25" s="129"/>
      <c r="P25" s="129"/>
      <c r="Q25" s="129"/>
      <c r="R25" s="129"/>
      <c r="S25" s="129"/>
      <c r="T25" s="129"/>
      <c r="W25" s="147"/>
    </row>
    <row r="26" spans="1:23" ht="14.45" x14ac:dyDescent="0.35">
      <c r="A26" s="148">
        <v>12</v>
      </c>
      <c r="B26" s="149">
        <f t="shared" si="2"/>
        <v>0.58783004379238735</v>
      </c>
      <c r="C26" s="149">
        <f t="shared" si="3"/>
        <v>0.58783004379238735</v>
      </c>
      <c r="D26" s="129">
        <f t="shared" si="0"/>
        <v>0.28498883139725428</v>
      </c>
      <c r="E26" s="135">
        <v>0.58783004379238735</v>
      </c>
      <c r="F26" s="129">
        <f t="shared" si="1"/>
        <v>0.81265557363673457</v>
      </c>
      <c r="G26" s="377">
        <f>[3]TechDiff!$H26</f>
        <v>0.58783004379238735</v>
      </c>
      <c r="H26" s="377">
        <f t="shared" si="4"/>
        <v>0</v>
      </c>
      <c r="I26" s="129"/>
      <c r="J26" s="129"/>
      <c r="K26" s="129"/>
      <c r="L26" s="129"/>
      <c r="M26" s="129"/>
      <c r="N26" s="129"/>
      <c r="O26" s="129"/>
      <c r="P26" s="129"/>
      <c r="Q26" s="129"/>
      <c r="R26" s="129"/>
      <c r="S26" s="129"/>
      <c r="T26" s="129"/>
      <c r="W26" s="147"/>
    </row>
    <row r="27" spans="1:23" ht="14.45" x14ac:dyDescent="0.35">
      <c r="A27" s="148">
        <v>13</v>
      </c>
      <c r="B27" s="149">
        <f t="shared" si="2"/>
        <v>0.65810308249900329</v>
      </c>
      <c r="C27" s="149">
        <f t="shared" si="3"/>
        <v>0.65810308249900329</v>
      </c>
      <c r="D27" s="129">
        <f t="shared" si="0"/>
        <v>0.34212557973697216</v>
      </c>
      <c r="E27" s="135">
        <v>0.65810308249900329</v>
      </c>
      <c r="F27" s="129">
        <f t="shared" si="1"/>
        <v>0.87000040507526633</v>
      </c>
      <c r="G27" s="377">
        <f>[3]TechDiff!$H27</f>
        <v>0.65810308249900329</v>
      </c>
      <c r="H27" s="377">
        <f t="shared" si="4"/>
        <v>0</v>
      </c>
      <c r="I27" s="129" t="s">
        <v>687</v>
      </c>
      <c r="J27" s="129"/>
      <c r="K27" s="129"/>
      <c r="L27" s="129"/>
      <c r="M27" s="129"/>
      <c r="N27" s="129"/>
      <c r="O27" s="129"/>
      <c r="P27" s="129"/>
      <c r="Q27" s="129"/>
      <c r="R27" s="129"/>
      <c r="S27" s="129"/>
      <c r="T27" s="129"/>
      <c r="W27" s="147"/>
    </row>
    <row r="28" spans="1:23" ht="14.45" x14ac:dyDescent="0.35">
      <c r="A28" s="148">
        <v>14</v>
      </c>
      <c r="B28" s="149">
        <f t="shared" si="2"/>
        <v>0.72206467330281499</v>
      </c>
      <c r="C28" s="149">
        <f t="shared" si="3"/>
        <v>0.72206467330281499</v>
      </c>
      <c r="D28" s="129">
        <f t="shared" si="0"/>
        <v>0.40362451168310121</v>
      </c>
      <c r="E28" s="135">
        <v>0.72206467330281499</v>
      </c>
      <c r="F28" s="129">
        <f t="shared" si="1"/>
        <v>0.91164346379731476</v>
      </c>
      <c r="G28" s="377">
        <f>[3]TechDiff!$H28</f>
        <v>0.72206467330281499</v>
      </c>
      <c r="H28" s="377">
        <f t="shared" si="4"/>
        <v>0</v>
      </c>
      <c r="I28" s="129"/>
      <c r="J28" s="129"/>
      <c r="K28" s="129"/>
      <c r="L28" s="129"/>
      <c r="M28" s="129"/>
      <c r="N28" s="129"/>
      <c r="O28" s="129"/>
      <c r="P28" s="129"/>
      <c r="Q28" s="129"/>
      <c r="R28" s="129"/>
      <c r="S28" s="129"/>
      <c r="T28" s="129"/>
      <c r="W28" s="147"/>
    </row>
    <row r="29" spans="1:23" ht="14.45" x14ac:dyDescent="0.35">
      <c r="A29" s="148">
        <v>15</v>
      </c>
      <c r="B29" s="149">
        <f t="shared" si="2"/>
        <v>0.77856976904215913</v>
      </c>
      <c r="C29" s="149">
        <f t="shared" si="3"/>
        <v>0.77856976904215913</v>
      </c>
      <c r="D29" s="129">
        <f t="shared" si="0"/>
        <v>0.46782312731083936</v>
      </c>
      <c r="E29" s="135">
        <v>0.77856976904215913</v>
      </c>
      <c r="F29" s="129">
        <f t="shared" si="1"/>
        <v>0.94082865303636154</v>
      </c>
      <c r="G29" s="377">
        <f>[3]TechDiff!$H29</f>
        <v>0.77856976904215913</v>
      </c>
      <c r="H29" s="377">
        <f t="shared" si="4"/>
        <v>0</v>
      </c>
      <c r="I29" s="129"/>
      <c r="J29" s="129"/>
      <c r="K29" s="129"/>
      <c r="L29" s="129"/>
      <c r="M29" s="129"/>
      <c r="N29" s="129"/>
      <c r="O29" s="129"/>
      <c r="P29" s="129"/>
      <c r="Q29" s="129"/>
      <c r="R29" s="129"/>
      <c r="S29" s="129"/>
      <c r="T29" s="129"/>
      <c r="W29" s="147"/>
    </row>
    <row r="30" spans="1:23" ht="14.45" x14ac:dyDescent="0.35">
      <c r="A30" s="148">
        <v>16</v>
      </c>
      <c r="B30" s="149">
        <f t="shared" si="2"/>
        <v>0.82696350840215249</v>
      </c>
      <c r="C30" s="149">
        <f t="shared" si="3"/>
        <v>0.82696350840215249</v>
      </c>
      <c r="D30" s="129">
        <f t="shared" si="0"/>
        <v>0.53273369870371201</v>
      </c>
      <c r="E30" s="135">
        <v>0.82696350840215249</v>
      </c>
      <c r="F30" s="129">
        <f t="shared" si="1"/>
        <v>0.96077724851146518</v>
      </c>
      <c r="G30" s="377">
        <f>[3]TechDiff!$H30</f>
        <v>0.82696350840215249</v>
      </c>
      <c r="H30" s="377">
        <f t="shared" si="4"/>
        <v>0</v>
      </c>
      <c r="I30" s="129"/>
      <c r="J30" s="129"/>
      <c r="K30" s="129"/>
      <c r="L30" s="129"/>
      <c r="M30" s="129"/>
      <c r="N30" s="129"/>
      <c r="O30" s="129"/>
      <c r="P30" s="129"/>
      <c r="Q30" s="129"/>
      <c r="R30" s="129"/>
      <c r="S30" s="129"/>
      <c r="T30" s="129"/>
      <c r="W30" s="147"/>
    </row>
    <row r="31" spans="1:23" ht="14.45" x14ac:dyDescent="0.35">
      <c r="A31" s="148">
        <v>17</v>
      </c>
      <c r="B31" s="149">
        <f t="shared" si="2"/>
        <v>0.86714658256559263</v>
      </c>
      <c r="C31" s="149">
        <f t="shared" si="3"/>
        <v>0.86714658256559263</v>
      </c>
      <c r="D31" s="129">
        <f t="shared" si="0"/>
        <v>0.5962793065739046</v>
      </c>
      <c r="E31" s="135">
        <v>0.86714658256559263</v>
      </c>
      <c r="F31" s="129">
        <f t="shared" si="1"/>
        <v>0.97418027581961053</v>
      </c>
      <c r="G31" s="377">
        <f>[3]TechDiff!$H31</f>
        <v>0.86714658256559263</v>
      </c>
      <c r="H31" s="377">
        <f t="shared" si="4"/>
        <v>0</v>
      </c>
      <c r="I31" s="129"/>
      <c r="J31" s="129"/>
      <c r="K31" s="129"/>
      <c r="L31" s="129"/>
      <c r="M31" s="129"/>
      <c r="N31" s="129"/>
      <c r="O31" s="129"/>
      <c r="P31" s="129"/>
      <c r="Q31" s="129"/>
      <c r="R31" s="129"/>
      <c r="S31" s="129"/>
      <c r="T31" s="129"/>
      <c r="W31" s="147"/>
    </row>
    <row r="32" spans="1:23" ht="14.45" x14ac:dyDescent="0.35">
      <c r="A32" s="148">
        <v>18</v>
      </c>
      <c r="B32" s="149">
        <f t="shared" si="2"/>
        <v>0.89955419985356344</v>
      </c>
      <c r="C32" s="149">
        <f t="shared" si="3"/>
        <v>0.89955419985356344</v>
      </c>
      <c r="D32" s="129">
        <f t="shared" si="0"/>
        <v>0.65655277477828644</v>
      </c>
      <c r="E32" s="135">
        <v>0.89955419985356344</v>
      </c>
      <c r="F32" s="129">
        <f t="shared" si="1"/>
        <v>0.98308186796683972</v>
      </c>
      <c r="G32" s="377">
        <f>[3]TechDiff!$H32</f>
        <v>0.89955419985356344</v>
      </c>
      <c r="H32" s="377">
        <f t="shared" si="4"/>
        <v>0</v>
      </c>
      <c r="I32" s="129"/>
      <c r="J32" s="129"/>
      <c r="K32" s="129"/>
      <c r="L32" s="129"/>
      <c r="M32" s="129"/>
      <c r="N32" s="129"/>
      <c r="O32" s="129"/>
      <c r="P32" s="129"/>
      <c r="Q32" s="129"/>
      <c r="R32" s="129"/>
      <c r="S32" s="129"/>
      <c r="T32" s="129"/>
      <c r="W32" s="147"/>
    </row>
    <row r="33" spans="1:23" ht="14.45" x14ac:dyDescent="0.35">
      <c r="A33" s="148">
        <v>19</v>
      </c>
      <c r="B33" s="149">
        <f t="shared" si="2"/>
        <v>0.92502432100062038</v>
      </c>
      <c r="C33" s="149">
        <f t="shared" si="3"/>
        <v>0.92502432100062038</v>
      </c>
      <c r="D33" s="129">
        <f t="shared" si="0"/>
        <v>0.71203243990812337</v>
      </c>
      <c r="E33" s="135">
        <v>0.92502432100062038</v>
      </c>
      <c r="F33" s="129">
        <f t="shared" si="1"/>
        <v>0.98894849036290411</v>
      </c>
      <c r="G33" s="377">
        <f>[3]TechDiff!$H33</f>
        <v>0.92502432100062038</v>
      </c>
      <c r="H33" s="377">
        <f t="shared" si="4"/>
        <v>0</v>
      </c>
      <c r="I33" s="129"/>
      <c r="J33" s="129"/>
      <c r="K33" s="129"/>
      <c r="L33" s="129"/>
      <c r="M33" s="129"/>
      <c r="N33" s="129"/>
      <c r="O33" s="129"/>
      <c r="P33" s="129"/>
      <c r="Q33" s="129"/>
      <c r="R33" s="129"/>
      <c r="S33" s="129"/>
      <c r="T33" s="129"/>
      <c r="W33" s="147"/>
    </row>
    <row r="34" spans="1:23" ht="14.45" x14ac:dyDescent="0.35">
      <c r="A34" s="148">
        <v>20</v>
      </c>
      <c r="B34" s="149">
        <f t="shared" si="2"/>
        <v>0.94461059131409331</v>
      </c>
      <c r="C34" s="149">
        <f t="shared" si="3"/>
        <v>0.94461059131409331</v>
      </c>
      <c r="D34" s="129">
        <f t="shared" si="0"/>
        <v>0.76170663721571541</v>
      </c>
      <c r="E34" s="135">
        <v>0.94461059131409331</v>
      </c>
      <c r="F34" s="129">
        <f t="shared" si="1"/>
        <v>0.99279530789948189</v>
      </c>
      <c r="G34" s="377">
        <f>[3]TechDiff!$H34</f>
        <v>0.94461059131409331</v>
      </c>
      <c r="H34" s="377">
        <f t="shared" si="4"/>
        <v>0</v>
      </c>
      <c r="I34" s="129"/>
      <c r="J34" s="129"/>
      <c r="K34" s="129"/>
      <c r="L34" s="129"/>
      <c r="M34" s="129"/>
      <c r="N34" s="129"/>
      <c r="O34" s="129"/>
      <c r="P34" s="129"/>
      <c r="Q34" s="129"/>
      <c r="R34" s="129"/>
      <c r="S34" s="129"/>
      <c r="T34" s="129"/>
      <c r="W34" s="147"/>
    </row>
    <row r="35" spans="1:23" ht="14.45" x14ac:dyDescent="0.35">
      <c r="A35" s="148">
        <v>21</v>
      </c>
      <c r="B35" s="149">
        <f t="shared" si="2"/>
        <v>0.95940876722590474</v>
      </c>
      <c r="C35" s="149">
        <f t="shared" si="3"/>
        <v>0.95940876722590474</v>
      </c>
      <c r="D35" s="129">
        <f t="shared" si="0"/>
        <v>0.80509353747946322</v>
      </c>
      <c r="E35" s="135">
        <v>0.95940876722590474</v>
      </c>
      <c r="F35" s="129">
        <f t="shared" si="1"/>
        <v>0.99530931569892289</v>
      </c>
      <c r="G35" s="377">
        <f>[3]TechDiff!$H35</f>
        <v>0.95940876722590474</v>
      </c>
      <c r="H35" s="377">
        <f t="shared" si="4"/>
        <v>0</v>
      </c>
      <c r="I35" s="129"/>
      <c r="J35" s="129"/>
      <c r="K35" s="129"/>
      <c r="L35" s="129"/>
      <c r="M35" s="129"/>
      <c r="N35" s="129"/>
      <c r="O35" s="129"/>
      <c r="P35" s="129"/>
      <c r="Q35" s="129"/>
      <c r="R35" s="129"/>
      <c r="S35" s="129"/>
      <c r="T35" s="129"/>
      <c r="W35" s="147"/>
    </row>
    <row r="36" spans="1:23" ht="14.45" x14ac:dyDescent="0.35">
      <c r="A36" s="148">
        <v>22</v>
      </c>
      <c r="B36" s="149">
        <f t="shared" si="2"/>
        <v>0.97043561397505118</v>
      </c>
      <c r="C36" s="149">
        <f t="shared" si="3"/>
        <v>0.97043561397505118</v>
      </c>
      <c r="D36" s="129">
        <f t="shared" si="0"/>
        <v>0.84217574073145229</v>
      </c>
      <c r="E36" s="135">
        <v>0.97043561397505118</v>
      </c>
      <c r="F36" s="129">
        <f t="shared" si="1"/>
        <v>0.99694871416365483</v>
      </c>
      <c r="G36" s="377">
        <f>[3]TechDiff!$H36</f>
        <v>0.97043561397505118</v>
      </c>
      <c r="H36" s="377">
        <f t="shared" si="4"/>
        <v>0</v>
      </c>
      <c r="I36" s="129"/>
      <c r="J36" s="129"/>
      <c r="K36" s="129"/>
      <c r="L36" s="129"/>
      <c r="M36" s="129"/>
      <c r="N36" s="129"/>
      <c r="O36" s="129"/>
      <c r="P36" s="129"/>
      <c r="Q36" s="129"/>
      <c r="R36" s="129"/>
      <c r="S36" s="129"/>
      <c r="T36" s="129"/>
      <c r="W36" s="147"/>
    </row>
    <row r="37" spans="1:23" ht="15" x14ac:dyDescent="0.25">
      <c r="A37" s="148">
        <v>23</v>
      </c>
      <c r="B37" s="149">
        <f t="shared" si="2"/>
        <v>0.97856563119743434</v>
      </c>
      <c r="C37" s="149">
        <f t="shared" si="3"/>
        <v>0.97856563119743434</v>
      </c>
      <c r="D37" s="129">
        <f t="shared" si="0"/>
        <v>0.87328630791186734</v>
      </c>
      <c r="E37" s="135">
        <v>0.97856563119743434</v>
      </c>
      <c r="F37" s="129">
        <f t="shared" si="1"/>
        <v>0.99801625516549386</v>
      </c>
      <c r="G37" s="377">
        <f>[3]TechDiff!$H37</f>
        <v>0.97856563119743434</v>
      </c>
      <c r="H37" s="377">
        <f t="shared" si="4"/>
        <v>0</v>
      </c>
      <c r="I37" s="129"/>
      <c r="J37" s="129"/>
      <c r="K37" s="129"/>
      <c r="L37" s="129"/>
      <c r="M37" s="129"/>
      <c r="N37" s="129"/>
      <c r="O37" s="129"/>
      <c r="P37" s="129"/>
      <c r="Q37" s="129"/>
      <c r="R37" s="129"/>
      <c r="S37" s="129"/>
      <c r="T37" s="129"/>
      <c r="W37" s="147"/>
    </row>
    <row r="38" spans="1:23" ht="15" x14ac:dyDescent="0.25">
      <c r="A38" s="148">
        <v>24</v>
      </c>
      <c r="B38" s="149">
        <f t="shared" si="2"/>
        <v>0.98451232141945333</v>
      </c>
      <c r="C38" s="149">
        <f t="shared" si="3"/>
        <v>0.98451232141945333</v>
      </c>
      <c r="D38" s="129">
        <f t="shared" si="0"/>
        <v>0.89898283529103462</v>
      </c>
      <c r="E38" s="135">
        <v>0.98451232141945333</v>
      </c>
      <c r="F38" s="129">
        <f t="shared" si="1"/>
        <v>0.99871077102198957</v>
      </c>
      <c r="G38" s="377">
        <f>[3]TechDiff!$H38</f>
        <v>0.98451232141945333</v>
      </c>
      <c r="H38" s="377">
        <f t="shared" si="4"/>
        <v>0</v>
      </c>
      <c r="I38" s="129"/>
      <c r="J38" s="129"/>
      <c r="K38" s="129"/>
      <c r="L38" s="129"/>
      <c r="M38" s="129"/>
      <c r="N38" s="129"/>
      <c r="O38" s="129"/>
      <c r="P38" s="129"/>
      <c r="Q38" s="129"/>
      <c r="R38" s="129"/>
      <c r="S38" s="129"/>
      <c r="T38" s="129"/>
      <c r="W38" s="147"/>
    </row>
    <row r="39" spans="1:23" ht="15" x14ac:dyDescent="0.25">
      <c r="A39" s="148">
        <v>25</v>
      </c>
      <c r="B39" s="149">
        <f t="shared" si="2"/>
        <v>0.98883650057565198</v>
      </c>
      <c r="C39" s="149">
        <f t="shared" si="3"/>
        <v>0.98883650057565198</v>
      </c>
      <c r="D39" s="129">
        <f t="shared" si="0"/>
        <v>0.91993537446436968</v>
      </c>
      <c r="E39" s="135">
        <v>0.98883650057565198</v>
      </c>
      <c r="F39" s="129">
        <f t="shared" si="1"/>
        <v>0.99916233356235162</v>
      </c>
      <c r="G39" s="377">
        <f>[3]TechDiff!$H39</f>
        <v>0.98883650057565198</v>
      </c>
      <c r="H39" s="377">
        <f t="shared" si="4"/>
        <v>0</v>
      </c>
      <c r="I39" s="129"/>
      <c r="J39" s="129"/>
      <c r="K39" s="129"/>
      <c r="L39" s="129"/>
      <c r="M39" s="129"/>
      <c r="N39" s="129"/>
      <c r="O39" s="129"/>
      <c r="P39" s="129"/>
      <c r="Q39" s="129"/>
      <c r="R39" s="129"/>
      <c r="S39" s="129"/>
      <c r="T39" s="129"/>
      <c r="W39" s="147"/>
    </row>
    <row r="40" spans="1:23" ht="15" x14ac:dyDescent="0.25">
      <c r="A40" s="148">
        <v>26</v>
      </c>
      <c r="B40" s="149">
        <f t="shared" si="2"/>
        <v>0.99196738407609564</v>
      </c>
      <c r="C40" s="149">
        <f t="shared" si="3"/>
        <v>0.99196738407609564</v>
      </c>
      <c r="D40" s="129">
        <f t="shared" si="0"/>
        <v>0.93684071072496411</v>
      </c>
      <c r="E40" s="135">
        <v>0.99196738407609564</v>
      </c>
      <c r="F40" s="129">
        <f t="shared" si="1"/>
        <v>0.99945581684980145</v>
      </c>
      <c r="G40" s="377">
        <f>[3]TechDiff!$H40</f>
        <v>0.99196738407609564</v>
      </c>
      <c r="H40" s="377">
        <f t="shared" si="4"/>
        <v>0</v>
      </c>
      <c r="I40" s="129"/>
      <c r="J40" s="129"/>
      <c r="K40" s="129"/>
      <c r="L40" s="129"/>
      <c r="M40" s="129"/>
      <c r="N40" s="129"/>
      <c r="O40" s="129"/>
      <c r="P40" s="129"/>
      <c r="Q40" s="129"/>
      <c r="R40" s="129"/>
      <c r="S40" s="129"/>
      <c r="T40" s="129"/>
      <c r="W40" s="147"/>
    </row>
    <row r="41" spans="1:23" ht="15" x14ac:dyDescent="0.25">
      <c r="A41" s="148">
        <v>27</v>
      </c>
      <c r="B41" s="149">
        <f t="shared" si="2"/>
        <v>0.99422726069133227</v>
      </c>
      <c r="C41" s="149">
        <f t="shared" si="3"/>
        <v>0.99422726069133227</v>
      </c>
      <c r="D41" s="129">
        <f t="shared" si="0"/>
        <v>0.95036504416147904</v>
      </c>
      <c r="E41" s="135">
        <v>0.99422726069133227</v>
      </c>
      <c r="F41" s="129">
        <f t="shared" si="1"/>
        <v>0.9996465113505264</v>
      </c>
      <c r="G41" s="377">
        <f>[3]TechDiff!$H41</f>
        <v>0.99422726069133227</v>
      </c>
      <c r="H41" s="377">
        <f t="shared" si="4"/>
        <v>0</v>
      </c>
      <c r="I41" s="129"/>
      <c r="J41" s="129"/>
      <c r="K41" s="129"/>
      <c r="L41" s="129"/>
      <c r="M41" s="129"/>
      <c r="N41" s="129"/>
      <c r="O41" s="129"/>
      <c r="P41" s="129"/>
      <c r="Q41" s="129"/>
      <c r="R41" s="129"/>
      <c r="S41" s="129"/>
      <c r="T41" s="129"/>
      <c r="W41" s="147"/>
    </row>
    <row r="42" spans="1:23" ht="15" x14ac:dyDescent="0.25">
      <c r="A42" s="148">
        <v>28</v>
      </c>
      <c r="B42" s="149">
        <f t="shared" si="2"/>
        <v>0.99585484432697347</v>
      </c>
      <c r="C42" s="149">
        <f t="shared" si="3"/>
        <v>0.99585484432697347</v>
      </c>
      <c r="D42" s="129">
        <f t="shared" si="0"/>
        <v>0.96111110570431846</v>
      </c>
      <c r="E42" s="135">
        <v>0.99585484432697347</v>
      </c>
      <c r="F42" s="129">
        <f t="shared" si="1"/>
        <v>0.99977039701309545</v>
      </c>
      <c r="G42" s="377">
        <f>[3]TechDiff!$H42</f>
        <v>0.99585484432697347</v>
      </c>
      <c r="H42" s="377">
        <f t="shared" si="4"/>
        <v>0</v>
      </c>
      <c r="I42" s="129"/>
      <c r="J42" s="129"/>
      <c r="K42" s="129"/>
      <c r="L42" s="129"/>
      <c r="M42" s="129"/>
      <c r="N42" s="129"/>
      <c r="O42" s="129"/>
      <c r="P42" s="129"/>
      <c r="Q42" s="129"/>
      <c r="R42" s="129"/>
      <c r="S42" s="129"/>
      <c r="T42" s="129"/>
      <c r="W42" s="147"/>
    </row>
    <row r="43" spans="1:23" ht="15" x14ac:dyDescent="0.25">
      <c r="A43" s="148">
        <v>29</v>
      </c>
      <c r="B43" s="149">
        <f t="shared" si="2"/>
        <v>0.99702522404198501</v>
      </c>
      <c r="C43" s="149">
        <f t="shared" si="3"/>
        <v>0.99702522404198501</v>
      </c>
      <c r="D43" s="129">
        <f t="shared" si="0"/>
        <v>0.96960350315321209</v>
      </c>
      <c r="E43" s="135">
        <v>0.99702522404198501</v>
      </c>
      <c r="F43" s="129">
        <f t="shared" si="1"/>
        <v>0.99985087131269645</v>
      </c>
      <c r="G43" s="377">
        <f>[3]TechDiff!$H43</f>
        <v>0.99702522404198501</v>
      </c>
      <c r="H43" s="377">
        <f t="shared" si="4"/>
        <v>0</v>
      </c>
      <c r="I43" s="129"/>
      <c r="J43" s="129"/>
      <c r="K43" s="129"/>
      <c r="L43" s="129"/>
      <c r="M43" s="129"/>
      <c r="N43" s="129"/>
      <c r="O43" s="129"/>
      <c r="P43" s="129"/>
      <c r="Q43" s="129"/>
      <c r="R43" s="129"/>
      <c r="S43" s="129"/>
      <c r="T43" s="129"/>
      <c r="W43" s="147"/>
    </row>
    <row r="44" spans="1:23" ht="15" x14ac:dyDescent="0.25">
      <c r="A44" s="148">
        <v>30</v>
      </c>
      <c r="B44" s="149">
        <f t="shared" si="2"/>
        <v>0.99786592697261467</v>
      </c>
      <c r="C44" s="149">
        <f t="shared" si="3"/>
        <v>0.99786592697261467</v>
      </c>
      <c r="D44" s="129">
        <f t="shared" si="0"/>
        <v>0.97628619041143383</v>
      </c>
      <c r="E44" s="135">
        <v>0.99786592697261467</v>
      </c>
      <c r="F44" s="129">
        <f t="shared" si="1"/>
        <v>0.9999031425780277</v>
      </c>
      <c r="G44" s="377">
        <f>[3]TechDiff!$H44</f>
        <v>0.99786592697261467</v>
      </c>
      <c r="H44" s="377">
        <f t="shared" si="4"/>
        <v>0</v>
      </c>
      <c r="I44" s="129"/>
      <c r="J44" s="129"/>
      <c r="K44" s="129"/>
      <c r="L44" s="129"/>
      <c r="M44" s="129"/>
      <c r="N44" s="129"/>
      <c r="O44" s="129"/>
      <c r="P44" s="129"/>
      <c r="Q44" s="129"/>
      <c r="R44" s="129"/>
      <c r="S44" s="129"/>
      <c r="T44" s="129"/>
      <c r="W44" s="147"/>
    </row>
    <row r="45" spans="1:23" ht="15" x14ac:dyDescent="0.25">
      <c r="A45" s="148">
        <v>31</v>
      </c>
      <c r="B45" s="149">
        <f t="shared" si="2"/>
        <v>0.9984693766950139</v>
      </c>
      <c r="C45" s="149">
        <f t="shared" si="3"/>
        <v>0.9984693766950139</v>
      </c>
      <c r="D45" s="129">
        <f t="shared" si="0"/>
        <v>0.98152711040554985</v>
      </c>
      <c r="E45" s="135">
        <v>0.9984693766950139</v>
      </c>
      <c r="F45" s="129">
        <f t="shared" si="1"/>
        <v>0.99993709330726688</v>
      </c>
      <c r="G45" s="377">
        <f>[3]TechDiff!$H45</f>
        <v>0.9984693766950139</v>
      </c>
      <c r="H45" s="377">
        <f t="shared" si="4"/>
        <v>0</v>
      </c>
      <c r="I45" s="129"/>
      <c r="J45" s="129"/>
      <c r="K45" s="129"/>
      <c r="L45" s="129"/>
      <c r="M45" s="129"/>
      <c r="N45" s="129"/>
      <c r="O45" s="129"/>
      <c r="P45" s="129"/>
      <c r="Q45" s="129"/>
      <c r="R45" s="129"/>
      <c r="S45" s="129"/>
      <c r="T45" s="129"/>
      <c r="W45" s="147"/>
    </row>
    <row r="46" spans="1:23" ht="15" x14ac:dyDescent="0.25">
      <c r="A46" s="148">
        <v>32</v>
      </c>
      <c r="B46" s="149">
        <f t="shared" si="2"/>
        <v>0.99890231984592681</v>
      </c>
      <c r="C46" s="149">
        <f t="shared" si="3"/>
        <v>0.99890231984592681</v>
      </c>
      <c r="D46" s="129">
        <f t="shared" ref="D46:D79" si="5">(1-EXP(-($D$9+$D$10)*$A46))/(1+$D$10/$D$9*EXP(-($D$9+$D$10)*$A46))</f>
        <v>0.9856264605852727</v>
      </c>
      <c r="E46" s="135">
        <v>0.99890231984592681</v>
      </c>
      <c r="F46" s="129">
        <f t="shared" ref="F46:F79" si="6">(1-EXP(-($F$9+$F$10)*$A46))/(1+$F$10/$F$9*EXP(-($F$9+$F$10)*$A46))</f>
        <v>0.99995914400807118</v>
      </c>
      <c r="G46" s="377">
        <f>[3]TechDiff!$H46</f>
        <v>0.99890231984592681</v>
      </c>
      <c r="H46" s="377">
        <f t="shared" si="4"/>
        <v>0</v>
      </c>
      <c r="I46" s="129"/>
      <c r="J46" s="129"/>
      <c r="K46" s="129"/>
      <c r="L46" s="129"/>
      <c r="M46" s="129"/>
      <c r="N46" s="129"/>
      <c r="O46" s="129"/>
      <c r="P46" s="129"/>
      <c r="Q46" s="129"/>
      <c r="R46" s="129"/>
      <c r="S46" s="129"/>
      <c r="T46" s="129"/>
      <c r="W46" s="147"/>
    </row>
    <row r="47" spans="1:23" ht="15" x14ac:dyDescent="0.25">
      <c r="A47" s="148">
        <v>33</v>
      </c>
      <c r="B47" s="149">
        <f t="shared" si="2"/>
        <v>0.99921283993037913</v>
      </c>
      <c r="C47" s="149">
        <f t="shared" si="3"/>
        <v>0.99921283993037913</v>
      </c>
      <c r="D47" s="129">
        <f t="shared" si="5"/>
        <v>0.98882626620860492</v>
      </c>
      <c r="E47" s="135">
        <v>0.99921283993037913</v>
      </c>
      <c r="F47" s="129">
        <f t="shared" si="6"/>
        <v>0.9999734654705541</v>
      </c>
      <c r="G47" s="377">
        <f>[3]TechDiff!$H47</f>
        <v>0.99921283993037913</v>
      </c>
      <c r="H47" s="377">
        <f t="shared" si="4"/>
        <v>0</v>
      </c>
      <c r="I47" s="129"/>
      <c r="J47" s="129"/>
      <c r="K47" s="129"/>
      <c r="L47" s="129"/>
      <c r="M47" s="129"/>
      <c r="N47" s="129"/>
      <c r="O47" s="129"/>
      <c r="P47" s="129"/>
      <c r="Q47" s="129"/>
      <c r="R47" s="129"/>
      <c r="S47" s="129"/>
      <c r="T47" s="129"/>
      <c r="W47" s="147"/>
    </row>
    <row r="48" spans="1:23" ht="15" x14ac:dyDescent="0.25">
      <c r="A48" s="148">
        <v>34</v>
      </c>
      <c r="B48" s="149">
        <f t="shared" si="2"/>
        <v>0.99943551570827049</v>
      </c>
      <c r="C48" s="149">
        <f t="shared" si="3"/>
        <v>0.99943551570827049</v>
      </c>
      <c r="D48" s="129">
        <f t="shared" si="5"/>
        <v>0.99131988670816118</v>
      </c>
      <c r="E48" s="135">
        <v>0.99943551570827049</v>
      </c>
      <c r="F48" s="129">
        <f t="shared" si="6"/>
        <v>0.99998276684100007</v>
      </c>
      <c r="G48" s="377">
        <f>[3]TechDiff!$H48</f>
        <v>0.99943551570827049</v>
      </c>
      <c r="H48" s="377">
        <f t="shared" si="4"/>
        <v>0</v>
      </c>
      <c r="I48" s="129"/>
      <c r="J48" s="129"/>
      <c r="K48" s="129"/>
      <c r="L48" s="129"/>
      <c r="M48" s="129"/>
      <c r="N48" s="129"/>
      <c r="O48" s="129"/>
      <c r="P48" s="129"/>
      <c r="Q48" s="129"/>
      <c r="R48" s="129"/>
      <c r="S48" s="129"/>
      <c r="T48" s="129"/>
      <c r="W48" s="147"/>
    </row>
    <row r="49" spans="1:23" ht="15" x14ac:dyDescent="0.25">
      <c r="A49" s="148">
        <v>35</v>
      </c>
      <c r="B49" s="149">
        <f t="shared" si="2"/>
        <v>0.99959518445151951</v>
      </c>
      <c r="C49" s="149">
        <f t="shared" si="3"/>
        <v>0.99959518445151951</v>
      </c>
      <c r="D49" s="129">
        <f t="shared" si="5"/>
        <v>0.99326072832555046</v>
      </c>
      <c r="E49" s="135">
        <v>0.99959518445151951</v>
      </c>
      <c r="F49" s="129">
        <f t="shared" si="6"/>
        <v>0.99998880775989696</v>
      </c>
      <c r="G49" s="377">
        <f>[3]TechDiff!$H49</f>
        <v>0.99959518445151951</v>
      </c>
      <c r="H49" s="377">
        <f t="shared" si="4"/>
        <v>0</v>
      </c>
      <c r="I49" s="129"/>
      <c r="J49" s="129"/>
      <c r="K49" s="129"/>
      <c r="L49" s="129"/>
      <c r="M49" s="129"/>
      <c r="N49" s="129"/>
      <c r="O49" s="129"/>
      <c r="P49" s="129"/>
      <c r="Q49" s="129"/>
      <c r="R49" s="129"/>
      <c r="S49" s="129"/>
      <c r="T49" s="129"/>
      <c r="W49" s="147"/>
    </row>
    <row r="50" spans="1:23" ht="15" x14ac:dyDescent="0.25">
      <c r="A50" s="148">
        <v>36</v>
      </c>
      <c r="B50" s="149">
        <f t="shared" si="2"/>
        <v>0.99970967191209748</v>
      </c>
      <c r="C50" s="149">
        <f t="shared" si="3"/>
        <v>0.99970967191209748</v>
      </c>
      <c r="D50" s="129">
        <f t="shared" si="5"/>
        <v>0.99476984914628785</v>
      </c>
      <c r="E50" s="135">
        <v>0.99970967191209748</v>
      </c>
      <c r="F50" s="129">
        <f t="shared" si="6"/>
        <v>0.99999273110752518</v>
      </c>
      <c r="G50" s="377">
        <f>[3]TechDiff!$H50</f>
        <v>0.99970967191209748</v>
      </c>
      <c r="H50" s="377">
        <f t="shared" si="4"/>
        <v>0</v>
      </c>
      <c r="I50" s="129"/>
      <c r="J50" s="129"/>
      <c r="K50" s="129"/>
      <c r="L50" s="129"/>
      <c r="M50" s="129"/>
      <c r="N50" s="129"/>
      <c r="O50" s="129"/>
      <c r="P50" s="129"/>
      <c r="Q50" s="129"/>
      <c r="R50" s="129"/>
      <c r="S50" s="129"/>
      <c r="T50" s="129"/>
      <c r="W50" s="147"/>
    </row>
    <row r="51" spans="1:23" ht="15" x14ac:dyDescent="0.25">
      <c r="A51" s="148">
        <v>37</v>
      </c>
      <c r="B51" s="149">
        <f t="shared" si="2"/>
        <v>0.99979176488656052</v>
      </c>
      <c r="C51" s="149">
        <f t="shared" si="3"/>
        <v>0.99979176488656052</v>
      </c>
      <c r="D51" s="129">
        <f t="shared" si="5"/>
        <v>0.99594238677137348</v>
      </c>
      <c r="E51" s="135">
        <v>0.99979176488656052</v>
      </c>
      <c r="F51" s="129">
        <f t="shared" si="6"/>
        <v>0.99999527916427433</v>
      </c>
      <c r="G51" s="377">
        <f>[3]TechDiff!$H51</f>
        <v>0.99979176488656052</v>
      </c>
      <c r="H51" s="377">
        <f t="shared" si="4"/>
        <v>0</v>
      </c>
      <c r="I51" s="129"/>
      <c r="J51" s="129"/>
      <c r="K51" s="129"/>
      <c r="L51" s="129"/>
      <c r="M51" s="129"/>
      <c r="N51" s="129"/>
      <c r="O51" s="129"/>
      <c r="P51" s="129"/>
      <c r="Q51" s="129"/>
      <c r="R51" s="129"/>
      <c r="S51" s="129"/>
      <c r="T51" s="129"/>
      <c r="W51" s="147"/>
    </row>
    <row r="52" spans="1:23" ht="15" x14ac:dyDescent="0.25">
      <c r="A52" s="148">
        <v>38</v>
      </c>
      <c r="B52" s="149">
        <f t="shared" si="2"/>
        <v>0.99985063257548779</v>
      </c>
      <c r="C52" s="149">
        <f t="shared" si="3"/>
        <v>0.99985063257548779</v>
      </c>
      <c r="D52" s="129">
        <f t="shared" si="5"/>
        <v>0.99685287064631256</v>
      </c>
      <c r="E52" s="135">
        <v>0.99985063257548779</v>
      </c>
      <c r="F52" s="129">
        <f t="shared" si="6"/>
        <v>0.99999693402115797</v>
      </c>
      <c r="G52" s="377">
        <f>[3]TechDiff!$H52</f>
        <v>0.99985063257548779</v>
      </c>
      <c r="H52" s="377">
        <f t="shared" si="4"/>
        <v>0</v>
      </c>
      <c r="I52" s="129"/>
      <c r="J52" s="129"/>
      <c r="K52" s="129"/>
      <c r="L52" s="129"/>
      <c r="M52" s="129"/>
      <c r="N52" s="129"/>
      <c r="O52" s="129"/>
      <c r="P52" s="129"/>
      <c r="Q52" s="129"/>
      <c r="R52" s="129"/>
      <c r="S52" s="129"/>
      <c r="T52" s="129"/>
      <c r="W52" s="147"/>
    </row>
    <row r="53" spans="1:23" ht="15" x14ac:dyDescent="0.25">
      <c r="A53" s="148">
        <v>39</v>
      </c>
      <c r="B53" s="149">
        <f t="shared" si="2"/>
        <v>0.99989284880158935</v>
      </c>
      <c r="C53" s="149">
        <f t="shared" si="3"/>
        <v>0.99989284880158935</v>
      </c>
      <c r="D53" s="129">
        <f t="shared" si="5"/>
        <v>0.99755954270029346</v>
      </c>
      <c r="E53" s="135">
        <v>0.99989284880158935</v>
      </c>
      <c r="F53" s="129">
        <f t="shared" si="6"/>
        <v>0.9999980087803334</v>
      </c>
      <c r="G53" s="377">
        <f>[3]TechDiff!$H53</f>
        <v>0.99989284880158935</v>
      </c>
      <c r="H53" s="377">
        <f t="shared" si="4"/>
        <v>0</v>
      </c>
      <c r="I53" s="129"/>
      <c r="J53" s="129"/>
      <c r="K53" s="129"/>
      <c r="L53" s="129"/>
      <c r="M53" s="129"/>
      <c r="N53" s="129"/>
      <c r="O53" s="129"/>
      <c r="P53" s="129"/>
      <c r="Q53" s="129"/>
      <c r="R53" s="129"/>
      <c r="S53" s="129"/>
      <c r="T53" s="129"/>
      <c r="W53" s="147"/>
    </row>
    <row r="54" spans="1:23" ht="15" x14ac:dyDescent="0.25">
      <c r="A54" s="148">
        <v>40</v>
      </c>
      <c r="B54" s="149">
        <f t="shared" si="2"/>
        <v>0.99992312620537604</v>
      </c>
      <c r="C54" s="149">
        <f t="shared" si="3"/>
        <v>0.99992312620537604</v>
      </c>
      <c r="D54" s="129">
        <f t="shared" si="5"/>
        <v>0.99810783037450868</v>
      </c>
      <c r="E54" s="135">
        <v>0.99992312620537604</v>
      </c>
      <c r="F54" s="129">
        <f t="shared" si="6"/>
        <v>0.99999870679006342</v>
      </c>
      <c r="G54" s="377">
        <f>[3]TechDiff!$H54</f>
        <v>0.99992312620537604</v>
      </c>
      <c r="H54" s="377">
        <f t="shared" si="4"/>
        <v>0</v>
      </c>
      <c r="I54" s="129"/>
      <c r="J54" s="129"/>
      <c r="K54" s="129"/>
      <c r="L54" s="129"/>
      <c r="M54" s="129"/>
      <c r="N54" s="129"/>
      <c r="O54" s="129"/>
      <c r="P54" s="129"/>
      <c r="Q54" s="129"/>
      <c r="R54" s="129"/>
      <c r="S54" s="129"/>
      <c r="T54" s="129"/>
      <c r="W54" s="147"/>
    </row>
    <row r="55" spans="1:23" ht="15" x14ac:dyDescent="0.25">
      <c r="A55" s="148">
        <v>41</v>
      </c>
      <c r="B55" s="149">
        <f t="shared" si="2"/>
        <v>0.9999448431048531</v>
      </c>
      <c r="C55" s="149">
        <f t="shared" si="3"/>
        <v>0.9999448431048531</v>
      </c>
      <c r="D55" s="129">
        <f t="shared" si="5"/>
        <v>0.99853311404898937</v>
      </c>
      <c r="E55" s="135">
        <v>0.9999448431048531</v>
      </c>
      <c r="F55" s="129">
        <f t="shared" si="6"/>
        <v>0.99999916011700329</v>
      </c>
      <c r="G55" s="377">
        <f>[3]TechDiff!$H55</f>
        <v>0.9999448431048531</v>
      </c>
      <c r="H55" s="377">
        <f t="shared" si="4"/>
        <v>0</v>
      </c>
      <c r="I55" s="129"/>
      <c r="J55" s="129"/>
      <c r="K55" s="129"/>
      <c r="L55" s="129"/>
      <c r="M55" s="129"/>
      <c r="N55" s="129"/>
      <c r="O55" s="129"/>
      <c r="P55" s="129"/>
      <c r="Q55" s="129"/>
      <c r="R55" s="129"/>
      <c r="S55" s="129"/>
      <c r="T55" s="129"/>
      <c r="W55" s="147"/>
    </row>
    <row r="56" spans="1:23" ht="15" x14ac:dyDescent="0.25">
      <c r="A56" s="148">
        <v>42</v>
      </c>
      <c r="B56" s="149">
        <f t="shared" si="2"/>
        <v>0.99996042135098673</v>
      </c>
      <c r="C56" s="149">
        <f t="shared" si="3"/>
        <v>0.99996042135098673</v>
      </c>
      <c r="D56" s="129">
        <f t="shared" si="5"/>
        <v>0.99886291780485037</v>
      </c>
      <c r="E56" s="135">
        <v>0.99996042135098673</v>
      </c>
      <c r="F56" s="129">
        <f t="shared" si="6"/>
        <v>0.99999945453300421</v>
      </c>
      <c r="G56" s="377">
        <f>[3]TechDiff!$H56</f>
        <v>0.99996042135098673</v>
      </c>
      <c r="H56" s="377">
        <f t="shared" si="4"/>
        <v>0</v>
      </c>
      <c r="I56" s="129"/>
      <c r="J56" s="129"/>
      <c r="K56" s="129"/>
      <c r="L56" s="129"/>
      <c r="M56" s="129"/>
      <c r="N56" s="129"/>
      <c r="O56" s="129"/>
      <c r="P56" s="129"/>
      <c r="Q56" s="129"/>
      <c r="R56" s="129"/>
      <c r="S56" s="129"/>
      <c r="T56" s="129"/>
      <c r="W56" s="147"/>
    </row>
    <row r="57" spans="1:23" ht="15" x14ac:dyDescent="0.25">
      <c r="A57" s="148">
        <v>43</v>
      </c>
      <c r="B57" s="149">
        <f t="shared" si="2"/>
        <v>0.99997159722102513</v>
      </c>
      <c r="C57" s="149">
        <f t="shared" si="3"/>
        <v>0.99997159722102513</v>
      </c>
      <c r="D57" s="129">
        <f t="shared" si="5"/>
        <v>0.99911863509532217</v>
      </c>
      <c r="E57" s="135">
        <v>0.99997159722102513</v>
      </c>
      <c r="F57" s="129">
        <f t="shared" si="6"/>
        <v>0.99999964574325872</v>
      </c>
      <c r="G57" s="377">
        <f>[3]TechDiff!$H57</f>
        <v>0.99997159722102513</v>
      </c>
      <c r="H57" s="377">
        <f t="shared" si="4"/>
        <v>0</v>
      </c>
      <c r="I57" s="129"/>
      <c r="J57" s="129"/>
      <c r="K57" s="129"/>
      <c r="L57" s="129"/>
      <c r="M57" s="129"/>
      <c r="N57" s="129"/>
      <c r="O57" s="129"/>
      <c r="P57" s="129"/>
      <c r="Q57" s="129"/>
      <c r="R57" s="129"/>
      <c r="S57" s="129"/>
      <c r="T57" s="129"/>
      <c r="W57" s="147"/>
    </row>
    <row r="58" spans="1:23" ht="15" x14ac:dyDescent="0.25">
      <c r="A58" s="148">
        <v>44</v>
      </c>
      <c r="B58" s="149">
        <f t="shared" si="2"/>
        <v>0.9999796155873415</v>
      </c>
      <c r="C58" s="149">
        <f t="shared" si="3"/>
        <v>0.9999796155873415</v>
      </c>
      <c r="D58" s="129">
        <f t="shared" si="5"/>
        <v>0.99931688293460086</v>
      </c>
      <c r="E58" s="135">
        <v>0.9999796155873415</v>
      </c>
      <c r="F58" s="129">
        <f t="shared" si="6"/>
        <v>0.99999976992589568</v>
      </c>
      <c r="G58" s="377">
        <f>[3]TechDiff!$H58</f>
        <v>0.9999796155873415</v>
      </c>
      <c r="H58" s="377">
        <f t="shared" si="4"/>
        <v>0</v>
      </c>
      <c r="I58" s="129"/>
      <c r="J58" s="129"/>
      <c r="K58" s="129"/>
      <c r="L58" s="129"/>
      <c r="M58" s="129"/>
      <c r="N58" s="129"/>
      <c r="O58" s="129"/>
      <c r="P58" s="129"/>
      <c r="Q58" s="129"/>
      <c r="R58" s="129"/>
      <c r="S58" s="129"/>
      <c r="T58" s="129"/>
      <c r="W58" s="147"/>
    </row>
    <row r="59" spans="1:23" x14ac:dyDescent="0.2">
      <c r="A59" s="148">
        <v>45</v>
      </c>
      <c r="B59" s="149">
        <f t="shared" si="2"/>
        <v>0.99998536907810021</v>
      </c>
      <c r="C59" s="149">
        <f t="shared" si="3"/>
        <v>0.99998536907810021</v>
      </c>
      <c r="D59" s="129">
        <f t="shared" si="5"/>
        <v>0.9994705615065661</v>
      </c>
      <c r="E59" s="135">
        <v>0.99998536907810021</v>
      </c>
      <c r="F59" s="129">
        <f t="shared" si="6"/>
        <v>0.99999985057703888</v>
      </c>
      <c r="G59" s="377">
        <f>[3]TechDiff!$H59</f>
        <v>0.99998536907810021</v>
      </c>
      <c r="H59" s="377">
        <f t="shared" si="4"/>
        <v>0</v>
      </c>
      <c r="I59" s="129"/>
      <c r="J59" s="129"/>
      <c r="K59" s="129"/>
      <c r="L59" s="129"/>
      <c r="M59" s="129"/>
      <c r="N59" s="129"/>
      <c r="O59" s="129"/>
      <c r="P59" s="129"/>
      <c r="Q59" s="129"/>
      <c r="R59" s="129"/>
      <c r="S59" s="129"/>
      <c r="T59" s="129"/>
    </row>
    <row r="60" spans="1:23" x14ac:dyDescent="0.2">
      <c r="A60" s="148">
        <v>46</v>
      </c>
      <c r="B60" s="149">
        <f t="shared" si="2"/>
        <v>0.99998949781098223</v>
      </c>
      <c r="C60" s="149">
        <f t="shared" si="3"/>
        <v>0.99998949781098223</v>
      </c>
      <c r="D60" s="129">
        <f t="shared" si="5"/>
        <v>0.99958968143875404</v>
      </c>
      <c r="E60" s="135">
        <v>0.99998949781098223</v>
      </c>
      <c r="F60" s="129">
        <f t="shared" si="6"/>
        <v>0.99999990295639418</v>
      </c>
      <c r="G60" s="377">
        <f>[3]TechDiff!$H60</f>
        <v>0.99998949781098223</v>
      </c>
      <c r="H60" s="377">
        <f t="shared" si="4"/>
        <v>0</v>
      </c>
      <c r="I60" s="129"/>
      <c r="J60" s="129"/>
      <c r="K60" s="129"/>
      <c r="L60" s="129"/>
      <c r="M60" s="129"/>
      <c r="N60" s="129"/>
      <c r="O60" s="129"/>
      <c r="P60" s="129"/>
      <c r="Q60" s="129"/>
      <c r="R60" s="129"/>
      <c r="S60" s="129"/>
      <c r="T60" s="129"/>
    </row>
    <row r="61" spans="1:23" x14ac:dyDescent="0.2">
      <c r="A61" s="148">
        <v>47</v>
      </c>
      <c r="B61" s="149">
        <f t="shared" si="2"/>
        <v>0.99999246087225968</v>
      </c>
      <c r="C61" s="149">
        <f t="shared" si="3"/>
        <v>0.99999246087225968</v>
      </c>
      <c r="D61" s="129">
        <f t="shared" si="5"/>
        <v>0.99968200858492606</v>
      </c>
      <c r="E61" s="135">
        <v>0.99999246087225968</v>
      </c>
      <c r="F61" s="129">
        <f t="shared" si="6"/>
        <v>0.99999993697447032</v>
      </c>
      <c r="G61" s="377">
        <f>[3]TechDiff!$H61</f>
        <v>0.99999246087225968</v>
      </c>
      <c r="H61" s="377">
        <f t="shared" si="4"/>
        <v>0</v>
      </c>
      <c r="I61" s="129"/>
      <c r="J61" s="129"/>
      <c r="K61" s="129"/>
      <c r="L61" s="129"/>
      <c r="M61" s="129"/>
      <c r="N61" s="129"/>
      <c r="O61" s="129"/>
      <c r="P61" s="129"/>
      <c r="Q61" s="129"/>
      <c r="R61" s="129"/>
      <c r="S61" s="129"/>
      <c r="T61" s="129"/>
    </row>
    <row r="62" spans="1:23" x14ac:dyDescent="0.2">
      <c r="A62" s="148">
        <v>48</v>
      </c>
      <c r="B62" s="149">
        <f t="shared" si="2"/>
        <v>0.99999458754894088</v>
      </c>
      <c r="C62" s="149">
        <f t="shared" si="3"/>
        <v>0.99999458754894088</v>
      </c>
      <c r="D62" s="129">
        <f t="shared" si="5"/>
        <v>0.99975356591367437</v>
      </c>
      <c r="E62" s="135">
        <v>0.99999458754894088</v>
      </c>
      <c r="F62" s="129">
        <f t="shared" si="6"/>
        <v>0.99999995906770678</v>
      </c>
      <c r="G62" s="377">
        <f>[3]TechDiff!$H62</f>
        <v>0.99999458754894088</v>
      </c>
      <c r="H62" s="377">
        <f t="shared" si="4"/>
        <v>0</v>
      </c>
      <c r="I62" s="129"/>
      <c r="J62" s="129"/>
      <c r="K62" s="129"/>
      <c r="L62" s="129"/>
      <c r="M62" s="129"/>
      <c r="N62" s="129"/>
      <c r="O62" s="129"/>
      <c r="P62" s="129"/>
      <c r="Q62" s="129"/>
      <c r="R62" s="129"/>
      <c r="S62" s="129"/>
      <c r="T62" s="129"/>
    </row>
    <row r="63" spans="1:23" x14ac:dyDescent="0.2">
      <c r="A63" s="148">
        <v>49</v>
      </c>
      <c r="B63" s="149">
        <f t="shared" si="2"/>
        <v>0.99999611405218891</v>
      </c>
      <c r="C63" s="149">
        <f t="shared" si="3"/>
        <v>0.99999611405218891</v>
      </c>
      <c r="D63" s="129">
        <f t="shared" si="5"/>
        <v>0.99980902377543779</v>
      </c>
      <c r="E63" s="135">
        <v>0.99999611405218891</v>
      </c>
      <c r="F63" s="129">
        <f t="shared" si="6"/>
        <v>0.99999997341628644</v>
      </c>
      <c r="G63" s="377">
        <f>[3]TechDiff!$H63</f>
        <v>0.99999611405218891</v>
      </c>
      <c r="H63" s="377">
        <f t="shared" si="4"/>
        <v>0</v>
      </c>
      <c r="I63" s="129"/>
      <c r="J63" s="129"/>
      <c r="K63" s="129"/>
      <c r="L63" s="129"/>
      <c r="M63" s="129"/>
      <c r="N63" s="129"/>
      <c r="O63" s="129"/>
      <c r="P63" s="129"/>
      <c r="Q63" s="129"/>
      <c r="R63" s="129"/>
      <c r="S63" s="129"/>
      <c r="T63" s="129"/>
    </row>
    <row r="64" spans="1:23" x14ac:dyDescent="0.2">
      <c r="A64" s="148">
        <v>50</v>
      </c>
      <c r="B64" s="149">
        <f t="shared" si="2"/>
        <v>0.99999720984345863</v>
      </c>
      <c r="C64" s="149">
        <f t="shared" si="3"/>
        <v>0.99999720984345863</v>
      </c>
      <c r="D64" s="129">
        <f t="shared" si="5"/>
        <v>0.99985200313587486</v>
      </c>
      <c r="E64" s="135">
        <v>0.99999720984345863</v>
      </c>
      <c r="F64" s="129">
        <f t="shared" si="6"/>
        <v>0.9999999827350543</v>
      </c>
      <c r="G64" s="377">
        <f>[3]TechDiff!$H64</f>
        <v>0.99999720984345863</v>
      </c>
      <c r="H64" s="377">
        <f t="shared" si="4"/>
        <v>0</v>
      </c>
      <c r="I64" s="129"/>
      <c r="J64" s="129"/>
      <c r="K64" s="129"/>
      <c r="L64" s="129"/>
      <c r="M64" s="129"/>
      <c r="N64" s="129"/>
      <c r="O64" s="129"/>
      <c r="P64" s="129"/>
      <c r="Q64" s="129"/>
      <c r="R64" s="129"/>
      <c r="S64" s="129"/>
      <c r="T64" s="129"/>
    </row>
    <row r="65" spans="1:28" x14ac:dyDescent="0.2">
      <c r="A65" s="148">
        <v>51</v>
      </c>
      <c r="B65" s="149">
        <f t="shared" si="2"/>
        <v>0.99999799650912424</v>
      </c>
      <c r="C65" s="149">
        <f t="shared" si="3"/>
        <v>0.99999799650912424</v>
      </c>
      <c r="D65" s="129">
        <f t="shared" si="5"/>
        <v>0.99988531104277556</v>
      </c>
      <c r="E65" s="135">
        <v>0.99999799650912424</v>
      </c>
      <c r="F65" s="129">
        <f t="shared" si="6"/>
        <v>0.99999998878718177</v>
      </c>
      <c r="G65" s="377">
        <f>[3]TechDiff!$H65</f>
        <v>0.99999799650912424</v>
      </c>
      <c r="H65" s="377">
        <f t="shared" si="4"/>
        <v>0</v>
      </c>
      <c r="I65" s="129"/>
      <c r="J65" s="129"/>
      <c r="K65" s="129"/>
      <c r="L65" s="129"/>
      <c r="M65" s="129"/>
      <c r="N65" s="129"/>
      <c r="O65" s="129"/>
      <c r="P65" s="129"/>
      <c r="Q65" s="129"/>
      <c r="R65" s="129"/>
      <c r="S65" s="129"/>
      <c r="T65" s="129"/>
    </row>
    <row r="66" spans="1:28" x14ac:dyDescent="0.2">
      <c r="A66" s="148">
        <v>52</v>
      </c>
      <c r="B66" s="149">
        <f t="shared" si="2"/>
        <v>0.99999856129425391</v>
      </c>
      <c r="C66" s="149">
        <f t="shared" si="3"/>
        <v>0.99999856129425391</v>
      </c>
      <c r="D66" s="129">
        <f t="shared" si="5"/>
        <v>0.99991112338558596</v>
      </c>
      <c r="E66" s="135">
        <v>0.99999856129425391</v>
      </c>
      <c r="F66" s="129">
        <f t="shared" si="6"/>
        <v>0.99999999271777051</v>
      </c>
      <c r="G66" s="377">
        <f>[3]TechDiff!$H66</f>
        <v>0.99999856129425391</v>
      </c>
      <c r="H66" s="377">
        <f t="shared" si="4"/>
        <v>0</v>
      </c>
      <c r="I66" s="129"/>
      <c r="J66" s="129"/>
      <c r="K66" s="129"/>
      <c r="L66" s="129"/>
      <c r="M66" s="129"/>
      <c r="N66" s="129"/>
      <c r="O66" s="129"/>
      <c r="P66" s="129"/>
      <c r="Q66" s="129"/>
      <c r="R66" s="129"/>
      <c r="S66" s="129"/>
      <c r="T66" s="129"/>
    </row>
    <row r="67" spans="1:28" x14ac:dyDescent="0.2">
      <c r="A67" s="148">
        <v>53</v>
      </c>
      <c r="B67" s="149">
        <f t="shared" si="2"/>
        <v>0.99999896680791711</v>
      </c>
      <c r="C67" s="149">
        <f t="shared" si="3"/>
        <v>0.99999896680791711</v>
      </c>
      <c r="D67" s="129">
        <f t="shared" si="5"/>
        <v>0.99993112669443596</v>
      </c>
      <c r="E67" s="135">
        <v>0.99999896680791711</v>
      </c>
      <c r="F67" s="129">
        <f t="shared" si="6"/>
        <v>0.99999999527051431</v>
      </c>
      <c r="G67" s="377">
        <f>[3]TechDiff!$H67</f>
        <v>0.99999896680791711</v>
      </c>
      <c r="H67" s="377">
        <f t="shared" si="4"/>
        <v>0</v>
      </c>
      <c r="I67" s="129"/>
      <c r="J67" s="129"/>
      <c r="K67" s="129"/>
      <c r="L67" s="129"/>
      <c r="M67" s="129"/>
      <c r="N67" s="129"/>
      <c r="O67" s="129"/>
      <c r="P67" s="129"/>
      <c r="Q67" s="129"/>
      <c r="R67" s="129"/>
      <c r="S67" s="129"/>
      <c r="T67" s="129"/>
    </row>
    <row r="68" spans="1:28" x14ac:dyDescent="0.2">
      <c r="A68" s="148">
        <v>54</v>
      </c>
      <c r="B68" s="149">
        <f t="shared" si="2"/>
        <v>0.99999925798382638</v>
      </c>
      <c r="C68" s="149">
        <f t="shared" si="3"/>
        <v>0.99999925798382638</v>
      </c>
      <c r="D68" s="129">
        <f t="shared" si="5"/>
        <v>0.99994662812808865</v>
      </c>
      <c r="E68" s="135">
        <v>0.99999925798382638</v>
      </c>
      <c r="F68" s="129">
        <f t="shared" si="6"/>
        <v>0.99999999692840835</v>
      </c>
      <c r="G68" s="377">
        <f>[3]TechDiff!$H68</f>
        <v>0.99999925798382638</v>
      </c>
      <c r="H68" s="377">
        <f t="shared" si="4"/>
        <v>0</v>
      </c>
      <c r="I68" s="129"/>
      <c r="J68" s="129"/>
      <c r="K68" s="129"/>
      <c r="L68" s="129"/>
      <c r="M68" s="129"/>
      <c r="N68" s="129"/>
      <c r="O68" s="129"/>
      <c r="P68" s="129"/>
      <c r="Q68" s="129"/>
      <c r="R68" s="129"/>
      <c r="S68" s="129"/>
      <c r="T68" s="129"/>
    </row>
    <row r="69" spans="1:28" x14ac:dyDescent="0.2">
      <c r="A69" s="148">
        <v>55</v>
      </c>
      <c r="B69" s="149">
        <f t="shared" si="2"/>
        <v>0.99999946707306653</v>
      </c>
      <c r="C69" s="149">
        <f t="shared" si="3"/>
        <v>0.99999946707306653</v>
      </c>
      <c r="D69" s="129">
        <f t="shared" si="5"/>
        <v>0.99995864076881724</v>
      </c>
      <c r="E69" s="135">
        <v>0.99999946707306653</v>
      </c>
      <c r="F69" s="129">
        <f t="shared" si="6"/>
        <v>0.99999999800513717</v>
      </c>
      <c r="G69" s="377">
        <f>[3]TechDiff!$H69</f>
        <v>0.99999946707306653</v>
      </c>
      <c r="H69" s="377">
        <f t="shared" si="4"/>
        <v>0</v>
      </c>
      <c r="I69" s="129"/>
      <c r="J69" s="129"/>
      <c r="K69" s="129"/>
      <c r="L69" s="129"/>
      <c r="M69" s="129"/>
      <c r="N69" s="129"/>
      <c r="O69" s="129"/>
      <c r="P69" s="129"/>
      <c r="Q69" s="129"/>
      <c r="R69" s="129"/>
      <c r="S69" s="129"/>
      <c r="T69" s="129"/>
    </row>
    <row r="70" spans="1:28" x14ac:dyDescent="0.2">
      <c r="A70" s="148">
        <v>56</v>
      </c>
      <c r="B70" s="149">
        <f t="shared" si="2"/>
        <v>0.99999961722567021</v>
      </c>
      <c r="C70" s="149">
        <f t="shared" si="3"/>
        <v>0.99999961722567021</v>
      </c>
      <c r="D70" s="129">
        <f t="shared" si="5"/>
        <v>0.99996794975689918</v>
      </c>
      <c r="E70" s="135">
        <v>0.99999961722567021</v>
      </c>
      <c r="F70" s="129">
        <f t="shared" si="6"/>
        <v>0.99999999870442491</v>
      </c>
      <c r="G70" s="377">
        <f>[3]TechDiff!$H70</f>
        <v>0.99999961722567021</v>
      </c>
      <c r="H70" s="377">
        <f t="shared" si="4"/>
        <v>0</v>
      </c>
      <c r="I70" s="129"/>
      <c r="J70" s="129"/>
      <c r="K70" s="129"/>
      <c r="L70" s="129"/>
      <c r="M70" s="129"/>
      <c r="N70" s="129"/>
      <c r="O70" s="129"/>
      <c r="P70" s="129"/>
      <c r="Q70" s="129"/>
      <c r="R70" s="129"/>
      <c r="S70" s="129"/>
      <c r="T70" s="129"/>
    </row>
    <row r="71" spans="1:28" x14ac:dyDescent="0.2">
      <c r="A71" s="148">
        <v>57</v>
      </c>
      <c r="B71" s="149">
        <f t="shared" si="2"/>
        <v>0.99999972506016011</v>
      </c>
      <c r="C71" s="149">
        <f t="shared" si="3"/>
        <v>0.99999972506016011</v>
      </c>
      <c r="D71" s="129">
        <f t="shared" si="5"/>
        <v>0.99997516356220117</v>
      </c>
      <c r="E71" s="135">
        <v>0.99999972506016011</v>
      </c>
      <c r="F71" s="129">
        <f t="shared" si="6"/>
        <v>0.99999999915858129</v>
      </c>
      <c r="G71" s="377">
        <f>[3]TechDiff!$H71</f>
        <v>0.99999972506016011</v>
      </c>
      <c r="H71" s="377">
        <f t="shared" si="4"/>
        <v>0</v>
      </c>
      <c r="I71" s="129"/>
      <c r="J71" s="129"/>
      <c r="K71" s="129"/>
      <c r="L71" s="129"/>
      <c r="M71" s="129"/>
      <c r="N71" s="129"/>
      <c r="O71" s="129"/>
      <c r="P71" s="129"/>
      <c r="Q71" s="129"/>
      <c r="R71" s="129"/>
      <c r="S71" s="129"/>
      <c r="T71" s="129"/>
    </row>
    <row r="72" spans="1:28" x14ac:dyDescent="0.2">
      <c r="A72" s="148">
        <v>58</v>
      </c>
      <c r="B72" s="149">
        <f t="shared" si="2"/>
        <v>0.99999980250721576</v>
      </c>
      <c r="C72" s="149">
        <f t="shared" si="3"/>
        <v>0.99999980250721576</v>
      </c>
      <c r="D72" s="129">
        <f t="shared" si="5"/>
        <v>0.99998075372911688</v>
      </c>
      <c r="E72" s="135">
        <v>0.99999980250721576</v>
      </c>
      <c r="F72" s="129">
        <f t="shared" si="6"/>
        <v>0.99999999945353568</v>
      </c>
      <c r="G72" s="377">
        <f>[3]TechDiff!$H72</f>
        <v>0.99999980250721576</v>
      </c>
      <c r="H72" s="377">
        <f t="shared" si="4"/>
        <v>0</v>
      </c>
      <c r="I72" s="129"/>
      <c r="J72" s="129"/>
      <c r="K72" s="129"/>
      <c r="L72" s="129"/>
      <c r="M72" s="129"/>
      <c r="N72" s="129"/>
      <c r="O72" s="129"/>
      <c r="P72" s="129"/>
      <c r="Q72" s="129"/>
      <c r="R72" s="129"/>
      <c r="S72" s="129"/>
      <c r="T72" s="129"/>
    </row>
    <row r="73" spans="1:28" x14ac:dyDescent="0.2">
      <c r="A73" s="148">
        <v>59</v>
      </c>
      <c r="B73" s="149">
        <f t="shared" si="2"/>
        <v>0.99999985813264225</v>
      </c>
      <c r="C73" s="149">
        <f t="shared" si="3"/>
        <v>0.99999985813264225</v>
      </c>
      <c r="D73" s="129">
        <f t="shared" si="5"/>
        <v>0.99998508568382605</v>
      </c>
      <c r="E73" s="135">
        <v>0.99999985813264225</v>
      </c>
      <c r="F73" s="129">
        <f t="shared" si="6"/>
        <v>0.99999999964509567</v>
      </c>
      <c r="G73" s="377">
        <f>[3]TechDiff!$H73</f>
        <v>0.99999985813264225</v>
      </c>
      <c r="H73" s="377">
        <f t="shared" si="4"/>
        <v>0</v>
      </c>
      <c r="I73" s="129"/>
      <c r="J73" s="129"/>
      <c r="K73" s="129"/>
      <c r="L73" s="129"/>
      <c r="M73" s="129"/>
      <c r="N73" s="129"/>
      <c r="O73" s="129"/>
      <c r="P73" s="129"/>
      <c r="Q73" s="129"/>
      <c r="R73" s="129"/>
      <c r="S73" s="129"/>
      <c r="T73" s="129"/>
    </row>
    <row r="74" spans="1:28" x14ac:dyDescent="0.2">
      <c r="A74" s="148">
        <v>60</v>
      </c>
      <c r="B74" s="149">
        <f t="shared" si="2"/>
        <v>0.99999989808679191</v>
      </c>
      <c r="C74" s="149">
        <f t="shared" si="3"/>
        <v>0.99999989808679191</v>
      </c>
      <c r="D74" s="129">
        <f t="shared" si="5"/>
        <v>0.99998844261230391</v>
      </c>
      <c r="E74" s="135">
        <v>0.99999989808679191</v>
      </c>
      <c r="F74" s="129">
        <f t="shared" si="6"/>
        <v>0.99999999976950538</v>
      </c>
      <c r="G74" s="377">
        <f>[3]TechDiff!$H74</f>
        <v>0.99999989808679191</v>
      </c>
      <c r="H74" s="377">
        <f t="shared" si="4"/>
        <v>0</v>
      </c>
      <c r="I74" s="129"/>
      <c r="J74" s="129"/>
      <c r="K74" s="129"/>
      <c r="L74" s="129"/>
      <c r="M74" s="129"/>
      <c r="N74" s="129"/>
      <c r="O74" s="129"/>
      <c r="P74" s="129"/>
      <c r="Q74" s="129"/>
      <c r="R74" s="129"/>
      <c r="S74" s="129"/>
      <c r="T74" s="129"/>
    </row>
    <row r="75" spans="1:28" x14ac:dyDescent="0.2">
      <c r="A75" s="148">
        <v>61</v>
      </c>
      <c r="B75" s="149">
        <f t="shared" si="2"/>
        <v>0.99999992678597005</v>
      </c>
      <c r="C75" s="149">
        <f t="shared" si="3"/>
        <v>0.99999992678597005</v>
      </c>
      <c r="D75" s="129">
        <f t="shared" si="5"/>
        <v>0.99999104396675975</v>
      </c>
      <c r="E75" s="135">
        <v>0.99999992678597005</v>
      </c>
      <c r="F75" s="129">
        <f t="shared" si="6"/>
        <v>0.99999999985030397</v>
      </c>
      <c r="G75" s="377">
        <f>[3]TechDiff!$H75</f>
        <v>0.99999992678597005</v>
      </c>
      <c r="H75" s="377">
        <f t="shared" si="4"/>
        <v>0</v>
      </c>
      <c r="I75" s="129"/>
      <c r="J75" s="129"/>
      <c r="K75" s="129"/>
      <c r="L75" s="129"/>
      <c r="M75" s="129"/>
      <c r="N75" s="129"/>
      <c r="O75" s="129"/>
      <c r="P75" s="129"/>
      <c r="Q75" s="129"/>
      <c r="R75" s="129"/>
      <c r="S75" s="129"/>
      <c r="T75" s="129"/>
    </row>
    <row r="76" spans="1:28" x14ac:dyDescent="0.2">
      <c r="A76" s="148">
        <v>62</v>
      </c>
      <c r="B76" s="149">
        <f t="shared" si="2"/>
        <v>0.99999994740152531</v>
      </c>
      <c r="C76" s="149">
        <f t="shared" si="3"/>
        <v>0.99999994740152531</v>
      </c>
      <c r="D76" s="129">
        <f t="shared" si="5"/>
        <v>0.99999305980836983</v>
      </c>
      <c r="E76" s="135">
        <v>0.99999994740152531</v>
      </c>
      <c r="F76" s="129">
        <f t="shared" si="6"/>
        <v>0.99999999990277899</v>
      </c>
      <c r="G76" s="377">
        <f>[3]TechDiff!$H76</f>
        <v>0.99999994740152531</v>
      </c>
      <c r="H76" s="377">
        <f t="shared" si="4"/>
        <v>0</v>
      </c>
      <c r="I76" s="129"/>
      <c r="J76" s="129"/>
      <c r="K76" s="129"/>
      <c r="L76" s="129"/>
      <c r="M76" s="129"/>
      <c r="N76" s="129"/>
      <c r="O76" s="129"/>
      <c r="P76" s="129"/>
      <c r="Q76" s="129"/>
      <c r="R76" s="129"/>
      <c r="S76" s="129"/>
      <c r="T76" s="129"/>
    </row>
    <row r="77" spans="1:28" x14ac:dyDescent="0.2">
      <c r="A77" s="148">
        <v>63</v>
      </c>
      <c r="B77" s="149">
        <f t="shared" si="2"/>
        <v>0.99999996221093224</v>
      </c>
      <c r="C77" s="149">
        <f t="shared" si="3"/>
        <v>0.99999996221093224</v>
      </c>
      <c r="D77" s="129">
        <f t="shared" si="5"/>
        <v>0.99999462192277033</v>
      </c>
      <c r="E77" s="135">
        <v>0.99999996221093224</v>
      </c>
      <c r="F77" s="129">
        <f t="shared" si="6"/>
        <v>0.99999999993685929</v>
      </c>
      <c r="G77" s="377">
        <f>[3]TechDiff!$H77</f>
        <v>0.99999996221093224</v>
      </c>
      <c r="H77" s="377">
        <f t="shared" si="4"/>
        <v>0</v>
      </c>
      <c r="I77" s="129"/>
      <c r="J77" s="129"/>
      <c r="K77" s="129"/>
      <c r="L77" s="129"/>
      <c r="M77" s="129"/>
      <c r="N77" s="129"/>
      <c r="O77" s="129"/>
      <c r="P77" s="129"/>
      <c r="Q77" s="129"/>
      <c r="R77" s="129"/>
      <c r="S77" s="129"/>
      <c r="T77" s="129"/>
    </row>
    <row r="78" spans="1:28" x14ac:dyDescent="0.2">
      <c r="A78" s="148">
        <v>64</v>
      </c>
      <c r="B78" s="149">
        <f t="shared" si="2"/>
        <v>0.99999997284982522</v>
      </c>
      <c r="C78" s="149">
        <f t="shared" si="3"/>
        <v>0.99999997284982522</v>
      </c>
      <c r="D78" s="129">
        <f t="shared" si="5"/>
        <v>0.99999583243428136</v>
      </c>
      <c r="E78" s="135">
        <v>0.99999997284982522</v>
      </c>
      <c r="F78" s="129">
        <f t="shared" si="6"/>
        <v>0.99999999995899291</v>
      </c>
      <c r="G78" s="377">
        <f>[3]TechDiff!$H78</f>
        <v>0.99999997284982522</v>
      </c>
      <c r="H78" s="377">
        <f t="shared" si="4"/>
        <v>0</v>
      </c>
      <c r="I78" s="129"/>
      <c r="J78" s="129"/>
      <c r="K78" s="129"/>
      <c r="L78" s="129"/>
      <c r="M78" s="129"/>
      <c r="N78" s="129"/>
      <c r="O78" s="129"/>
      <c r="P78" s="129"/>
      <c r="Q78" s="129"/>
      <c r="R78" s="129"/>
      <c r="S78" s="129"/>
      <c r="T78" s="129"/>
    </row>
    <row r="79" spans="1:28" x14ac:dyDescent="0.2">
      <c r="A79" s="148">
        <v>65</v>
      </c>
      <c r="B79" s="149">
        <f>E79</f>
        <v>0.99999998049294159</v>
      </c>
      <c r="C79" s="149">
        <f>E79</f>
        <v>0.99999998049294159</v>
      </c>
      <c r="D79" s="129">
        <f t="shared" si="5"/>
        <v>0.99999677048159819</v>
      </c>
      <c r="E79" s="135">
        <v>0.99999998049294159</v>
      </c>
      <c r="F79" s="129">
        <f t="shared" si="6"/>
        <v>0.99999999997336764</v>
      </c>
      <c r="G79" s="377">
        <f>[3]TechDiff!$H79</f>
        <v>0.99999998049294159</v>
      </c>
      <c r="H79" s="377">
        <f>B79-G79</f>
        <v>0</v>
      </c>
      <c r="I79" s="129"/>
      <c r="J79" s="129"/>
      <c r="K79" s="129"/>
      <c r="L79" s="129"/>
      <c r="M79" s="129"/>
      <c r="N79" s="129"/>
      <c r="O79" s="129"/>
      <c r="P79" s="129"/>
      <c r="Q79" s="129"/>
      <c r="R79" s="129"/>
      <c r="S79" s="129"/>
      <c r="T79" s="129"/>
    </row>
    <row r="80" spans="1:28" x14ac:dyDescent="0.2">
      <c r="B80" s="129"/>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29"/>
      <c r="AA80" s="129"/>
      <c r="AB80" s="129"/>
    </row>
    <row r="81" spans="2:28" x14ac:dyDescent="0.2">
      <c r="B81" s="129"/>
      <c r="C81" s="129"/>
      <c r="D81" s="129"/>
      <c r="E81" s="129"/>
      <c r="F81" s="129"/>
      <c r="G81" s="129"/>
      <c r="H81" s="129"/>
      <c r="I81" s="129"/>
      <c r="J81" s="129"/>
      <c r="K81" s="129"/>
      <c r="L81" s="129"/>
      <c r="M81" s="129"/>
      <c r="N81" s="129"/>
      <c r="O81" s="129"/>
      <c r="P81" s="129"/>
      <c r="Q81" s="129"/>
      <c r="R81" s="129"/>
      <c r="S81" s="129"/>
      <c r="T81" s="129"/>
      <c r="U81" s="129"/>
      <c r="V81" s="129"/>
      <c r="W81" s="129"/>
      <c r="X81" s="129"/>
      <c r="Y81" s="129"/>
      <c r="Z81" s="129"/>
      <c r="AA81" s="129"/>
      <c r="AB81" s="129"/>
    </row>
    <row r="82" spans="2:28" x14ac:dyDescent="0.2">
      <c r="B82" s="129"/>
      <c r="C82" s="129"/>
      <c r="D82" s="129"/>
      <c r="E82" s="129"/>
      <c r="F82" s="129"/>
      <c r="G82" s="129"/>
      <c r="H82" s="129"/>
      <c r="I82" s="129"/>
      <c r="J82" s="129"/>
      <c r="K82" s="129"/>
      <c r="L82" s="129"/>
      <c r="M82" s="129"/>
      <c r="N82" s="129"/>
      <c r="O82" s="129"/>
      <c r="P82" s="129"/>
      <c r="Q82" s="129"/>
      <c r="R82" s="129"/>
      <c r="S82" s="129"/>
      <c r="T82" s="129"/>
      <c r="U82" s="129"/>
      <c r="V82" s="129"/>
      <c r="W82" s="129"/>
      <c r="X82" s="129"/>
      <c r="Y82" s="129"/>
      <c r="Z82" s="129"/>
      <c r="AA82" s="129"/>
      <c r="AB82" s="129"/>
    </row>
    <row r="83" spans="2:28" x14ac:dyDescent="0.2">
      <c r="B83" s="129"/>
      <c r="C83" s="129"/>
      <c r="D83" s="129"/>
      <c r="E83" s="129"/>
      <c r="F83" s="129"/>
      <c r="G83" s="129"/>
      <c r="H83" s="129"/>
      <c r="I83" s="129"/>
      <c r="J83" s="129"/>
      <c r="K83" s="129"/>
      <c r="L83" s="129"/>
      <c r="M83" s="129"/>
      <c r="N83" s="129"/>
      <c r="O83" s="129"/>
      <c r="P83" s="129"/>
      <c r="Q83" s="129"/>
      <c r="R83" s="129"/>
      <c r="S83" s="129"/>
      <c r="T83" s="129"/>
      <c r="U83" s="129"/>
      <c r="V83" s="129"/>
      <c r="W83" s="129"/>
      <c r="X83" s="129"/>
      <c r="Y83" s="129"/>
      <c r="Z83" s="129"/>
      <c r="AA83" s="129"/>
      <c r="AB83" s="129"/>
    </row>
    <row r="84" spans="2:28" x14ac:dyDescent="0.2">
      <c r="B84" s="129"/>
      <c r="C84" s="129"/>
      <c r="D84" s="129"/>
      <c r="E84" s="129"/>
      <c r="F84" s="129"/>
      <c r="G84" s="129"/>
      <c r="H84" s="129"/>
      <c r="I84" s="129"/>
      <c r="J84" s="129"/>
      <c r="K84" s="129"/>
      <c r="L84" s="129"/>
      <c r="M84" s="129"/>
      <c r="N84" s="129"/>
      <c r="O84" s="129"/>
      <c r="P84" s="129"/>
      <c r="Q84" s="129"/>
      <c r="R84" s="129"/>
      <c r="S84" s="129"/>
      <c r="T84" s="129"/>
      <c r="U84" s="129"/>
      <c r="V84" s="129"/>
      <c r="W84" s="129"/>
      <c r="X84" s="129"/>
      <c r="Y84" s="129"/>
      <c r="Z84" s="129"/>
      <c r="AA84" s="129"/>
      <c r="AB84" s="129"/>
    </row>
    <row r="85" spans="2:28" x14ac:dyDescent="0.2">
      <c r="B85" s="129"/>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29"/>
      <c r="AA85" s="129"/>
      <c r="AB85" s="129"/>
    </row>
    <row r="86" spans="2:28" x14ac:dyDescent="0.2">
      <c r="B86" s="129"/>
      <c r="C86" s="129"/>
      <c r="D86" s="129"/>
      <c r="E86" s="129"/>
      <c r="F86" s="129"/>
      <c r="G86" s="129"/>
      <c r="H86" s="129"/>
      <c r="I86" s="129"/>
      <c r="J86" s="129"/>
      <c r="K86" s="129"/>
      <c r="L86" s="129"/>
      <c r="M86" s="129"/>
      <c r="N86" s="129"/>
      <c r="O86" s="129"/>
      <c r="P86" s="129"/>
      <c r="Q86" s="129"/>
      <c r="R86" s="129"/>
      <c r="S86" s="129"/>
      <c r="T86" s="129"/>
      <c r="U86" s="129"/>
      <c r="V86" s="129"/>
      <c r="W86" s="129"/>
      <c r="X86" s="129"/>
      <c r="Y86" s="129"/>
      <c r="Z86" s="129"/>
      <c r="AA86" s="129"/>
      <c r="AB86" s="129"/>
    </row>
    <row r="87" spans="2:28" x14ac:dyDescent="0.2">
      <c r="B87" s="129"/>
      <c r="C87" s="129"/>
      <c r="D87" s="129"/>
      <c r="E87" s="129"/>
      <c r="F87" s="129"/>
      <c r="G87" s="129"/>
      <c r="H87" s="129"/>
      <c r="I87" s="129"/>
      <c r="J87" s="129"/>
      <c r="K87" s="129"/>
      <c r="L87" s="129"/>
      <c r="M87" s="129"/>
      <c r="N87" s="129"/>
      <c r="O87" s="129"/>
      <c r="P87" s="129"/>
      <c r="Q87" s="129"/>
      <c r="R87" s="129"/>
      <c r="S87" s="129"/>
      <c r="T87" s="129"/>
      <c r="U87" s="129"/>
      <c r="V87" s="129"/>
      <c r="W87" s="129"/>
      <c r="X87" s="129"/>
      <c r="Y87" s="129"/>
      <c r="Z87" s="129"/>
      <c r="AA87" s="129"/>
      <c r="AB87" s="129"/>
    </row>
    <row r="88" spans="2:28" x14ac:dyDescent="0.2">
      <c r="B88" s="129"/>
      <c r="C88" s="129"/>
      <c r="D88" s="129"/>
      <c r="E88" s="129"/>
      <c r="F88" s="129"/>
      <c r="G88" s="129"/>
      <c r="H88" s="129"/>
      <c r="I88" s="129"/>
      <c r="J88" s="129"/>
      <c r="K88" s="129"/>
      <c r="L88" s="129"/>
      <c r="M88" s="129"/>
      <c r="N88" s="129"/>
      <c r="O88" s="129"/>
      <c r="P88" s="129"/>
      <c r="Q88" s="129"/>
      <c r="R88" s="129"/>
      <c r="S88" s="129"/>
      <c r="T88" s="129"/>
      <c r="U88" s="129"/>
      <c r="V88" s="129"/>
      <c r="W88" s="129"/>
      <c r="X88" s="129"/>
      <c r="Y88" s="129"/>
      <c r="Z88" s="129"/>
      <c r="AA88" s="129"/>
      <c r="AB88" s="129"/>
    </row>
    <row r="89" spans="2:28" x14ac:dyDescent="0.2">
      <c r="B89" s="129"/>
      <c r="C89" s="129"/>
      <c r="D89" s="129"/>
      <c r="E89" s="129"/>
      <c r="F89" s="129"/>
      <c r="G89" s="129"/>
      <c r="H89" s="129"/>
      <c r="I89" s="129"/>
      <c r="J89" s="129"/>
      <c r="K89" s="129"/>
      <c r="L89" s="129"/>
      <c r="M89" s="129"/>
      <c r="N89" s="129"/>
      <c r="O89" s="129"/>
      <c r="P89" s="129"/>
      <c r="Q89" s="129"/>
      <c r="R89" s="129"/>
      <c r="S89" s="129"/>
      <c r="T89" s="129"/>
      <c r="U89" s="129"/>
      <c r="V89" s="129"/>
      <c r="W89" s="129"/>
      <c r="X89" s="129"/>
      <c r="Y89" s="129"/>
      <c r="Z89" s="129"/>
      <c r="AA89" s="129"/>
      <c r="AB89" s="129"/>
    </row>
    <row r="90" spans="2:28" x14ac:dyDescent="0.2">
      <c r="B90" s="129"/>
      <c r="C90" s="129"/>
      <c r="D90" s="129"/>
      <c r="E90" s="129"/>
      <c r="F90" s="129"/>
      <c r="G90" s="129"/>
      <c r="H90" s="129"/>
      <c r="I90" s="129"/>
      <c r="J90" s="129"/>
      <c r="K90" s="129"/>
      <c r="L90" s="129"/>
      <c r="M90" s="129"/>
      <c r="N90" s="129"/>
      <c r="O90" s="129"/>
      <c r="P90" s="129"/>
      <c r="Q90" s="129"/>
      <c r="R90" s="129"/>
      <c r="S90" s="129"/>
      <c r="T90" s="129"/>
      <c r="U90" s="129"/>
      <c r="V90" s="129"/>
      <c r="W90" s="129"/>
      <c r="X90" s="129"/>
      <c r="Y90" s="129"/>
      <c r="Z90" s="129"/>
      <c r="AA90" s="129"/>
      <c r="AB90" s="129"/>
    </row>
    <row r="91" spans="2:28" x14ac:dyDescent="0.2">
      <c r="B91" s="129"/>
      <c r="C91" s="129"/>
      <c r="D91" s="129"/>
      <c r="E91" s="129"/>
      <c r="F91" s="129"/>
      <c r="G91" s="129"/>
      <c r="H91" s="129"/>
      <c r="I91" s="129"/>
      <c r="J91" s="129"/>
      <c r="K91" s="129"/>
      <c r="L91" s="129"/>
      <c r="M91" s="129"/>
      <c r="N91" s="129"/>
      <c r="O91" s="129"/>
      <c r="P91" s="129"/>
      <c r="Q91" s="129"/>
      <c r="R91" s="129"/>
      <c r="S91" s="129"/>
      <c r="T91" s="129"/>
      <c r="U91" s="129"/>
      <c r="V91" s="129"/>
      <c r="W91" s="129"/>
      <c r="X91" s="129"/>
      <c r="Y91" s="129"/>
      <c r="Z91" s="129"/>
      <c r="AA91" s="129"/>
      <c r="AB91" s="129"/>
    </row>
    <row r="92" spans="2:28" x14ac:dyDescent="0.2">
      <c r="B92" s="129"/>
      <c r="C92" s="129"/>
      <c r="D92" s="129"/>
      <c r="E92" s="129"/>
      <c r="F92" s="129"/>
      <c r="G92" s="129"/>
      <c r="H92" s="129"/>
      <c r="I92" s="129"/>
      <c r="J92" s="129"/>
      <c r="K92" s="129"/>
      <c r="L92" s="129"/>
      <c r="M92" s="129"/>
      <c r="N92" s="129"/>
      <c r="O92" s="129"/>
      <c r="P92" s="129"/>
      <c r="Q92" s="129"/>
      <c r="R92" s="129"/>
      <c r="S92" s="129"/>
      <c r="T92" s="129"/>
      <c r="U92" s="129"/>
      <c r="V92" s="129"/>
      <c r="W92" s="129"/>
      <c r="X92" s="129"/>
      <c r="Y92" s="129"/>
      <c r="Z92" s="129"/>
      <c r="AA92" s="129"/>
      <c r="AB92" s="129"/>
    </row>
    <row r="93" spans="2:28" x14ac:dyDescent="0.2">
      <c r="B93" s="129"/>
      <c r="C93" s="129"/>
      <c r="D93" s="129"/>
      <c r="E93" s="129"/>
      <c r="F93" s="129"/>
      <c r="G93" s="129"/>
      <c r="H93" s="129"/>
      <c r="I93" s="129"/>
      <c r="J93" s="129"/>
      <c r="K93" s="129"/>
      <c r="L93" s="129"/>
      <c r="M93" s="129"/>
      <c r="N93" s="129"/>
      <c r="O93" s="129"/>
      <c r="P93" s="129"/>
      <c r="Q93" s="129"/>
      <c r="R93" s="129"/>
      <c r="S93" s="129"/>
      <c r="T93" s="129"/>
      <c r="U93" s="129"/>
      <c r="V93" s="129"/>
      <c r="W93" s="129"/>
      <c r="X93" s="129"/>
      <c r="Y93" s="129"/>
      <c r="Z93" s="129"/>
      <c r="AA93" s="129"/>
      <c r="AB93" s="129"/>
    </row>
    <row r="94" spans="2:28" x14ac:dyDescent="0.2">
      <c r="B94" s="129"/>
      <c r="C94" s="129"/>
      <c r="D94" s="129"/>
      <c r="E94" s="129"/>
      <c r="F94" s="129"/>
      <c r="G94" s="129"/>
      <c r="H94" s="129"/>
      <c r="I94" s="129"/>
      <c r="J94" s="129"/>
      <c r="K94" s="129"/>
      <c r="L94" s="129"/>
      <c r="M94" s="129"/>
      <c r="N94" s="129"/>
      <c r="O94" s="129"/>
      <c r="P94" s="129"/>
      <c r="Q94" s="129"/>
      <c r="R94" s="129"/>
      <c r="S94" s="129"/>
      <c r="T94" s="129"/>
      <c r="U94" s="129"/>
      <c r="V94" s="129"/>
      <c r="W94" s="129"/>
      <c r="X94" s="129"/>
      <c r="Y94" s="129"/>
      <c r="Z94" s="129"/>
      <c r="AA94" s="129"/>
      <c r="AB94" s="129"/>
    </row>
    <row r="95" spans="2:28" x14ac:dyDescent="0.2">
      <c r="B95" s="129"/>
      <c r="C95" s="129"/>
      <c r="D95" s="129"/>
      <c r="E95" s="129"/>
      <c r="F95" s="129"/>
      <c r="G95" s="129"/>
      <c r="H95" s="129"/>
      <c r="I95" s="129"/>
      <c r="J95" s="129"/>
      <c r="K95" s="129"/>
      <c r="L95" s="129"/>
      <c r="M95" s="129"/>
      <c r="N95" s="129"/>
      <c r="O95" s="129"/>
      <c r="P95" s="129"/>
      <c r="Q95" s="129"/>
      <c r="R95" s="129"/>
      <c r="S95" s="129"/>
      <c r="T95" s="129"/>
      <c r="U95" s="129"/>
      <c r="V95" s="129"/>
      <c r="W95" s="129"/>
      <c r="X95" s="129"/>
      <c r="Y95" s="129"/>
      <c r="Z95" s="129"/>
      <c r="AA95" s="129"/>
      <c r="AB95" s="129"/>
    </row>
    <row r="96" spans="2:28" x14ac:dyDescent="0.2">
      <c r="B96" s="129"/>
      <c r="C96" s="129"/>
      <c r="D96" s="129"/>
      <c r="E96" s="129"/>
      <c r="F96" s="129"/>
      <c r="G96" s="129"/>
      <c r="H96" s="129"/>
      <c r="I96" s="129"/>
      <c r="J96" s="129"/>
      <c r="K96" s="129"/>
      <c r="L96" s="129"/>
      <c r="M96" s="129"/>
      <c r="N96" s="129"/>
      <c r="O96" s="129"/>
      <c r="P96" s="129"/>
      <c r="Q96" s="129"/>
      <c r="R96" s="129"/>
      <c r="S96" s="129"/>
      <c r="T96" s="129"/>
      <c r="U96" s="129"/>
      <c r="V96" s="129"/>
      <c r="W96" s="129"/>
      <c r="X96" s="129"/>
      <c r="Y96" s="129"/>
      <c r="Z96" s="129"/>
      <c r="AA96" s="129"/>
      <c r="AB96" s="129"/>
    </row>
    <row r="97" spans="2:28" x14ac:dyDescent="0.2">
      <c r="B97" s="129"/>
      <c r="C97" s="129"/>
      <c r="D97" s="129"/>
      <c r="E97" s="129"/>
      <c r="F97" s="129"/>
      <c r="G97" s="129"/>
      <c r="H97" s="129"/>
      <c r="I97" s="129"/>
      <c r="J97" s="129"/>
      <c r="K97" s="129"/>
      <c r="L97" s="129"/>
      <c r="M97" s="129"/>
      <c r="N97" s="129"/>
      <c r="O97" s="129"/>
      <c r="P97" s="129"/>
      <c r="Q97" s="129"/>
      <c r="R97" s="129"/>
      <c r="S97" s="129"/>
      <c r="T97" s="129"/>
      <c r="U97" s="129"/>
      <c r="V97" s="129"/>
      <c r="W97" s="129"/>
      <c r="X97" s="129"/>
      <c r="Y97" s="129"/>
      <c r="Z97" s="129"/>
      <c r="AA97" s="129"/>
      <c r="AB97" s="129"/>
    </row>
    <row r="98" spans="2:28" x14ac:dyDescent="0.2">
      <c r="B98" s="129"/>
      <c r="C98" s="129"/>
      <c r="D98" s="129"/>
      <c r="E98" s="129"/>
      <c r="F98" s="129"/>
      <c r="G98" s="129"/>
      <c r="H98" s="129"/>
      <c r="I98" s="129"/>
      <c r="J98" s="129"/>
      <c r="K98" s="129"/>
      <c r="L98" s="129"/>
      <c r="M98" s="129"/>
      <c r="N98" s="129"/>
      <c r="O98" s="129"/>
      <c r="P98" s="129"/>
      <c r="Q98" s="129"/>
      <c r="R98" s="129"/>
      <c r="S98" s="129"/>
      <c r="T98" s="129"/>
      <c r="U98" s="129"/>
      <c r="V98" s="129"/>
      <c r="W98" s="129"/>
      <c r="X98" s="129"/>
      <c r="Y98" s="129"/>
      <c r="Z98" s="129"/>
      <c r="AA98" s="129"/>
      <c r="AB98" s="129"/>
    </row>
    <row r="99" spans="2:28" x14ac:dyDescent="0.2">
      <c r="B99" s="129"/>
      <c r="C99" s="129"/>
      <c r="D99" s="129"/>
      <c r="E99" s="129"/>
      <c r="F99" s="129"/>
      <c r="G99" s="129"/>
      <c r="H99" s="129"/>
      <c r="I99" s="129"/>
      <c r="J99" s="129"/>
      <c r="K99" s="129"/>
      <c r="L99" s="129"/>
      <c r="M99" s="129"/>
      <c r="N99" s="129"/>
      <c r="O99" s="129"/>
      <c r="P99" s="129"/>
      <c r="Q99" s="129"/>
      <c r="R99" s="129"/>
      <c r="S99" s="129"/>
      <c r="T99" s="129"/>
      <c r="U99" s="129"/>
      <c r="V99" s="129"/>
      <c r="W99" s="129"/>
      <c r="X99" s="129"/>
      <c r="Y99" s="129"/>
      <c r="Z99" s="129"/>
      <c r="AA99" s="129"/>
      <c r="AB99" s="129"/>
    </row>
    <row r="100" spans="2:28" x14ac:dyDescent="0.2">
      <c r="B100" s="129"/>
      <c r="C100" s="129"/>
      <c r="D100" s="129"/>
      <c r="E100" s="129"/>
      <c r="F100" s="129"/>
      <c r="G100" s="129"/>
      <c r="H100" s="129"/>
      <c r="I100" s="129"/>
      <c r="J100" s="129"/>
      <c r="K100" s="129"/>
      <c r="L100" s="129"/>
      <c r="M100" s="129"/>
      <c r="N100" s="129"/>
      <c r="O100" s="129"/>
      <c r="P100" s="129"/>
      <c r="Q100" s="129"/>
      <c r="R100" s="129"/>
      <c r="S100" s="129"/>
      <c r="T100" s="129"/>
      <c r="U100" s="129"/>
      <c r="V100" s="129"/>
      <c r="W100" s="129"/>
      <c r="X100" s="129"/>
      <c r="Y100" s="129"/>
      <c r="Z100" s="129"/>
      <c r="AA100" s="129"/>
      <c r="AB100" s="129"/>
    </row>
    <row r="101" spans="2:28" x14ac:dyDescent="0.2">
      <c r="B101" s="129"/>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29"/>
    </row>
    <row r="102" spans="2:28" x14ac:dyDescent="0.2">
      <c r="B102" s="129"/>
      <c r="C102" s="129"/>
      <c r="D102" s="129"/>
      <c r="E102" s="129"/>
      <c r="F102" s="129"/>
      <c r="G102" s="129"/>
      <c r="H102" s="129"/>
      <c r="I102" s="129"/>
      <c r="J102" s="129"/>
      <c r="K102" s="129"/>
      <c r="L102" s="129"/>
      <c r="M102" s="129"/>
      <c r="N102" s="129"/>
      <c r="O102" s="129"/>
      <c r="P102" s="129"/>
      <c r="Q102" s="129"/>
      <c r="R102" s="129"/>
      <c r="S102" s="129"/>
      <c r="T102" s="129"/>
      <c r="U102" s="129"/>
      <c r="V102" s="129"/>
      <c r="W102" s="129"/>
      <c r="X102" s="129"/>
      <c r="Y102" s="129"/>
      <c r="Z102" s="129"/>
      <c r="AA102" s="129"/>
      <c r="AB102" s="129"/>
    </row>
    <row r="103" spans="2:28" x14ac:dyDescent="0.2">
      <c r="B103" s="129"/>
      <c r="C103" s="129"/>
      <c r="D103" s="129"/>
      <c r="E103" s="129"/>
      <c r="F103" s="129"/>
      <c r="G103" s="129"/>
      <c r="H103" s="129"/>
      <c r="I103" s="129"/>
      <c r="J103" s="129"/>
      <c r="K103" s="129"/>
      <c r="L103" s="129"/>
      <c r="M103" s="129"/>
      <c r="N103" s="129"/>
      <c r="O103" s="129"/>
      <c r="P103" s="129"/>
      <c r="Q103" s="129"/>
      <c r="R103" s="129"/>
      <c r="S103" s="129"/>
      <c r="T103" s="129"/>
      <c r="U103" s="129"/>
      <c r="V103" s="129"/>
      <c r="W103" s="129"/>
      <c r="X103" s="129"/>
      <c r="Y103" s="129"/>
      <c r="Z103" s="129"/>
      <c r="AA103" s="129"/>
      <c r="AB103" s="129"/>
    </row>
    <row r="104" spans="2:28" x14ac:dyDescent="0.2">
      <c r="B104" s="129"/>
      <c r="C104" s="129"/>
      <c r="D104" s="129"/>
      <c r="E104" s="129"/>
      <c r="F104" s="129"/>
      <c r="G104" s="129"/>
      <c r="H104" s="129"/>
      <c r="I104" s="129"/>
      <c r="J104" s="129"/>
      <c r="K104" s="129"/>
      <c r="L104" s="129"/>
      <c r="M104" s="129"/>
      <c r="N104" s="129"/>
      <c r="O104" s="129"/>
      <c r="P104" s="129"/>
      <c r="Q104" s="129"/>
      <c r="R104" s="129"/>
      <c r="S104" s="129"/>
      <c r="T104" s="129"/>
      <c r="U104" s="129"/>
      <c r="V104" s="129"/>
      <c r="W104" s="129"/>
      <c r="X104" s="129"/>
      <c r="Y104" s="129"/>
      <c r="Z104" s="129"/>
      <c r="AA104" s="129"/>
      <c r="AB104" s="129"/>
    </row>
    <row r="105" spans="2:28" x14ac:dyDescent="0.2">
      <c r="B105" s="129"/>
      <c r="C105" s="129"/>
      <c r="D105" s="129"/>
      <c r="E105" s="129"/>
      <c r="F105" s="129"/>
      <c r="G105" s="129"/>
      <c r="H105" s="129"/>
      <c r="I105" s="129"/>
      <c r="J105" s="129"/>
      <c r="K105" s="129"/>
      <c r="L105" s="129"/>
      <c r="M105" s="129"/>
      <c r="N105" s="129"/>
      <c r="O105" s="129"/>
      <c r="P105" s="129"/>
      <c r="Q105" s="129"/>
      <c r="R105" s="129"/>
      <c r="S105" s="129"/>
      <c r="T105" s="129"/>
      <c r="U105" s="129"/>
      <c r="V105" s="129"/>
      <c r="W105" s="129"/>
      <c r="X105" s="129"/>
      <c r="Y105" s="129"/>
      <c r="Z105" s="129"/>
      <c r="AA105" s="129"/>
      <c r="AB105" s="129"/>
    </row>
    <row r="106" spans="2:28" x14ac:dyDescent="0.2">
      <c r="B106" s="129"/>
      <c r="C106" s="129"/>
      <c r="D106" s="129"/>
      <c r="E106" s="129"/>
      <c r="F106" s="129"/>
      <c r="G106" s="129"/>
      <c r="H106" s="129"/>
      <c r="I106" s="129"/>
      <c r="J106" s="129"/>
      <c r="K106" s="129"/>
      <c r="L106" s="129"/>
      <c r="M106" s="129"/>
      <c r="N106" s="129"/>
      <c r="O106" s="129"/>
      <c r="P106" s="129"/>
      <c r="Q106" s="129"/>
      <c r="R106" s="129"/>
      <c r="S106" s="129"/>
      <c r="T106" s="129"/>
      <c r="U106" s="129"/>
      <c r="V106" s="129"/>
      <c r="W106" s="129"/>
      <c r="X106" s="129"/>
      <c r="Y106" s="129"/>
      <c r="Z106" s="129"/>
      <c r="AA106" s="129"/>
      <c r="AB106" s="129"/>
    </row>
    <row r="107" spans="2:28" x14ac:dyDescent="0.2">
      <c r="B107" s="129"/>
      <c r="C107" s="129"/>
      <c r="D107" s="129"/>
      <c r="E107" s="129"/>
      <c r="F107" s="129"/>
      <c r="G107" s="129"/>
      <c r="H107" s="129"/>
      <c r="I107" s="129"/>
      <c r="J107" s="129"/>
      <c r="K107" s="129"/>
      <c r="L107" s="129"/>
      <c r="M107" s="129"/>
      <c r="N107" s="129"/>
      <c r="O107" s="129"/>
      <c r="P107" s="129"/>
      <c r="Q107" s="129"/>
      <c r="R107" s="129"/>
      <c r="S107" s="129"/>
      <c r="T107" s="129"/>
      <c r="U107" s="129"/>
      <c r="V107" s="129"/>
      <c r="W107" s="129"/>
      <c r="X107" s="129"/>
      <c r="Y107" s="129"/>
      <c r="Z107" s="129"/>
      <c r="AA107" s="129"/>
      <c r="AB107" s="129"/>
    </row>
    <row r="108" spans="2:28" x14ac:dyDescent="0.2">
      <c r="B108" s="129"/>
      <c r="C108" s="129"/>
      <c r="D108" s="129"/>
      <c r="E108" s="129"/>
      <c r="F108" s="129"/>
      <c r="G108" s="129"/>
      <c r="H108" s="129"/>
      <c r="I108" s="129"/>
      <c r="J108" s="129"/>
      <c r="K108" s="129"/>
      <c r="L108" s="129"/>
      <c r="M108" s="129"/>
      <c r="N108" s="129"/>
      <c r="O108" s="129"/>
      <c r="P108" s="129"/>
      <c r="Q108" s="129"/>
      <c r="R108" s="129"/>
      <c r="S108" s="129"/>
      <c r="T108" s="129"/>
      <c r="U108" s="129"/>
      <c r="V108" s="129"/>
      <c r="W108" s="129"/>
      <c r="X108" s="129"/>
      <c r="Y108" s="129"/>
      <c r="Z108" s="129"/>
      <c r="AA108" s="129"/>
      <c r="AB108" s="129"/>
    </row>
    <row r="109" spans="2:28" x14ac:dyDescent="0.2">
      <c r="B109" s="129"/>
      <c r="C109" s="129"/>
      <c r="D109" s="129"/>
      <c r="E109" s="129"/>
      <c r="F109" s="129"/>
      <c r="G109" s="129"/>
      <c r="H109" s="129"/>
      <c r="I109" s="129"/>
      <c r="J109" s="129"/>
      <c r="K109" s="129"/>
      <c r="L109" s="129"/>
      <c r="M109" s="129"/>
      <c r="N109" s="129"/>
      <c r="O109" s="129"/>
      <c r="P109" s="129"/>
      <c r="Q109" s="129"/>
      <c r="R109" s="129"/>
      <c r="S109" s="129"/>
      <c r="T109" s="129"/>
      <c r="U109" s="129"/>
      <c r="V109" s="129"/>
      <c r="W109" s="129"/>
      <c r="X109" s="129"/>
      <c r="Y109" s="129"/>
      <c r="Z109" s="129"/>
      <c r="AA109" s="129"/>
      <c r="AB109" s="129"/>
    </row>
    <row r="110" spans="2:28" x14ac:dyDescent="0.2">
      <c r="B110" s="129"/>
      <c r="C110" s="129"/>
      <c r="D110" s="129"/>
      <c r="E110" s="129"/>
      <c r="F110" s="129"/>
      <c r="G110" s="129"/>
      <c r="H110" s="129"/>
      <c r="I110" s="129"/>
      <c r="J110" s="129"/>
      <c r="K110" s="129"/>
      <c r="L110" s="129"/>
      <c r="M110" s="129"/>
      <c r="N110" s="129"/>
      <c r="O110" s="129"/>
      <c r="P110" s="129"/>
      <c r="Q110" s="129"/>
      <c r="R110" s="129"/>
      <c r="S110" s="129"/>
      <c r="T110" s="129"/>
      <c r="U110" s="129"/>
      <c r="V110" s="129"/>
      <c r="W110" s="129"/>
      <c r="X110" s="129"/>
      <c r="Y110" s="129"/>
      <c r="Z110" s="129"/>
      <c r="AA110" s="129"/>
      <c r="AB110" s="129"/>
    </row>
    <row r="111" spans="2:28" x14ac:dyDescent="0.2">
      <c r="B111" s="129"/>
      <c r="C111" s="129"/>
      <c r="D111" s="129"/>
      <c r="E111" s="129"/>
      <c r="F111" s="129"/>
      <c r="G111" s="129"/>
      <c r="H111" s="129"/>
      <c r="I111" s="129"/>
      <c r="J111" s="129"/>
      <c r="K111" s="129"/>
      <c r="L111" s="129"/>
      <c r="M111" s="129"/>
      <c r="N111" s="129"/>
      <c r="O111" s="129"/>
      <c r="P111" s="129"/>
      <c r="Q111" s="129"/>
      <c r="R111" s="129"/>
      <c r="S111" s="129"/>
      <c r="T111" s="129"/>
      <c r="U111" s="129"/>
      <c r="V111" s="129"/>
      <c r="W111" s="129"/>
      <c r="X111" s="129"/>
      <c r="Y111" s="129"/>
      <c r="Z111" s="129"/>
      <c r="AA111" s="129"/>
      <c r="AB111" s="129"/>
    </row>
    <row r="112" spans="2:28" x14ac:dyDescent="0.2">
      <c r="B112" s="129"/>
      <c r="C112" s="129"/>
      <c r="D112" s="129"/>
      <c r="E112" s="129"/>
      <c r="F112" s="129"/>
      <c r="G112" s="129"/>
      <c r="H112" s="129"/>
      <c r="I112" s="129"/>
      <c r="J112" s="129"/>
      <c r="K112" s="129"/>
      <c r="L112" s="129"/>
      <c r="M112" s="129"/>
      <c r="N112" s="129"/>
      <c r="O112" s="129"/>
      <c r="P112" s="129"/>
      <c r="Q112" s="129"/>
      <c r="R112" s="129"/>
      <c r="S112" s="129"/>
      <c r="T112" s="129"/>
      <c r="U112" s="129"/>
      <c r="V112" s="129"/>
      <c r="W112" s="129"/>
      <c r="X112" s="129"/>
      <c r="Y112" s="129"/>
      <c r="Z112" s="129"/>
      <c r="AA112" s="129"/>
      <c r="AB112" s="129"/>
    </row>
    <row r="113" spans="2:28" x14ac:dyDescent="0.2">
      <c r="B113" s="129"/>
      <c r="C113" s="129"/>
      <c r="D113" s="129"/>
      <c r="E113" s="129"/>
      <c r="F113" s="129"/>
      <c r="G113" s="129"/>
      <c r="H113" s="129"/>
      <c r="I113" s="129"/>
      <c r="J113" s="129"/>
      <c r="K113" s="129"/>
      <c r="L113" s="129"/>
      <c r="M113" s="129"/>
      <c r="N113" s="129"/>
      <c r="O113" s="129"/>
      <c r="P113" s="129"/>
      <c r="Q113" s="129"/>
      <c r="R113" s="129"/>
      <c r="S113" s="129"/>
      <c r="T113" s="129"/>
      <c r="U113" s="129"/>
      <c r="V113" s="129"/>
      <c r="W113" s="129"/>
      <c r="X113" s="129"/>
      <c r="Y113" s="129"/>
      <c r="Z113" s="129"/>
      <c r="AA113" s="129"/>
      <c r="AB113" s="129"/>
    </row>
    <row r="114" spans="2:28" x14ac:dyDescent="0.2">
      <c r="B114" s="129"/>
      <c r="C114" s="129"/>
      <c r="D114" s="129"/>
      <c r="E114" s="129"/>
      <c r="F114" s="129"/>
      <c r="G114" s="129"/>
      <c r="H114" s="129"/>
      <c r="I114" s="129"/>
      <c r="J114" s="129"/>
      <c r="K114" s="129"/>
      <c r="L114" s="129"/>
      <c r="M114" s="129"/>
      <c r="N114" s="129"/>
      <c r="O114" s="129"/>
      <c r="P114" s="129"/>
      <c r="Q114" s="129"/>
      <c r="R114" s="129"/>
      <c r="S114" s="129"/>
      <c r="T114" s="129"/>
      <c r="U114" s="129"/>
      <c r="V114" s="129"/>
      <c r="W114" s="129"/>
      <c r="X114" s="129"/>
      <c r="Y114" s="129"/>
      <c r="Z114" s="129"/>
      <c r="AA114" s="129"/>
      <c r="AB114" s="129"/>
    </row>
    <row r="115" spans="2:28" x14ac:dyDescent="0.2">
      <c r="B115" s="129"/>
      <c r="C115" s="129"/>
      <c r="D115" s="129"/>
      <c r="E115" s="129"/>
      <c r="F115" s="129"/>
      <c r="G115" s="129"/>
      <c r="H115" s="129"/>
      <c r="I115" s="129"/>
      <c r="J115" s="129"/>
      <c r="K115" s="129"/>
      <c r="L115" s="129"/>
      <c r="M115" s="129"/>
      <c r="N115" s="129"/>
      <c r="O115" s="129"/>
      <c r="P115" s="129"/>
      <c r="Q115" s="129"/>
      <c r="R115" s="129"/>
      <c r="S115" s="129"/>
      <c r="T115" s="129"/>
      <c r="U115" s="129"/>
      <c r="V115" s="129"/>
      <c r="W115" s="129"/>
      <c r="X115" s="129"/>
      <c r="Y115" s="129"/>
      <c r="Z115" s="129"/>
      <c r="AA115" s="129"/>
      <c r="AB115" s="129"/>
    </row>
    <row r="116" spans="2:28" x14ac:dyDescent="0.2">
      <c r="B116" s="129"/>
      <c r="C116" s="129"/>
      <c r="D116" s="129"/>
      <c r="E116" s="129"/>
      <c r="F116" s="129"/>
      <c r="G116" s="129"/>
      <c r="H116" s="129"/>
      <c r="I116" s="129"/>
      <c r="J116" s="129"/>
      <c r="K116" s="129"/>
      <c r="L116" s="129"/>
      <c r="M116" s="129"/>
      <c r="N116" s="129"/>
      <c r="O116" s="129"/>
      <c r="P116" s="129"/>
      <c r="Q116" s="129"/>
      <c r="R116" s="129"/>
      <c r="S116" s="129"/>
      <c r="T116" s="129"/>
      <c r="U116" s="129"/>
      <c r="V116" s="129"/>
      <c r="W116" s="129"/>
      <c r="X116" s="129"/>
      <c r="Y116" s="129"/>
      <c r="Z116" s="129"/>
      <c r="AA116" s="129"/>
      <c r="AB116" s="129"/>
    </row>
    <row r="117" spans="2:28" x14ac:dyDescent="0.2">
      <c r="B117" s="129"/>
      <c r="C117" s="129"/>
      <c r="D117" s="129"/>
      <c r="E117" s="129"/>
      <c r="F117" s="129"/>
      <c r="G117" s="129"/>
      <c r="H117" s="129"/>
      <c r="I117" s="129"/>
      <c r="J117" s="129"/>
      <c r="K117" s="129"/>
      <c r="L117" s="129"/>
      <c r="M117" s="129"/>
      <c r="N117" s="129"/>
      <c r="O117" s="129"/>
      <c r="P117" s="129"/>
      <c r="Q117" s="129"/>
      <c r="R117" s="129"/>
      <c r="S117" s="129"/>
      <c r="T117" s="129"/>
      <c r="U117" s="129"/>
      <c r="V117" s="129"/>
      <c r="W117" s="129"/>
      <c r="X117" s="129"/>
      <c r="Y117" s="129"/>
      <c r="Z117" s="129"/>
      <c r="AA117" s="129"/>
      <c r="AB117" s="129"/>
    </row>
    <row r="118" spans="2:28" x14ac:dyDescent="0.2">
      <c r="B118" s="129"/>
      <c r="C118" s="129"/>
      <c r="D118" s="129"/>
      <c r="E118" s="129"/>
      <c r="F118" s="129"/>
      <c r="G118" s="129"/>
      <c r="H118" s="129"/>
      <c r="I118" s="129"/>
      <c r="J118" s="129"/>
      <c r="K118" s="129"/>
      <c r="L118" s="129"/>
      <c r="M118" s="129"/>
      <c r="N118" s="129"/>
      <c r="O118" s="129"/>
      <c r="P118" s="129"/>
      <c r="Q118" s="129"/>
      <c r="R118" s="129"/>
      <c r="S118" s="129"/>
      <c r="T118" s="129"/>
      <c r="U118" s="129"/>
      <c r="V118" s="129"/>
      <c r="W118" s="129"/>
      <c r="X118" s="129"/>
      <c r="Y118" s="129"/>
      <c r="Z118" s="129"/>
      <c r="AA118" s="129"/>
      <c r="AB118" s="129"/>
    </row>
    <row r="119" spans="2:28" x14ac:dyDescent="0.2">
      <c r="B119" s="129"/>
      <c r="C119" s="129"/>
      <c r="D119" s="129"/>
      <c r="E119" s="129"/>
      <c r="F119" s="129"/>
      <c r="G119" s="129"/>
      <c r="H119" s="129"/>
      <c r="I119" s="129"/>
      <c r="J119" s="129"/>
      <c r="K119" s="129"/>
      <c r="L119" s="129"/>
      <c r="M119" s="129"/>
      <c r="N119" s="129"/>
      <c r="O119" s="129"/>
      <c r="P119" s="129"/>
      <c r="Q119" s="129"/>
      <c r="R119" s="129"/>
      <c r="S119" s="129"/>
      <c r="T119" s="129"/>
      <c r="U119" s="129"/>
      <c r="V119" s="129"/>
      <c r="W119" s="129"/>
      <c r="X119" s="129"/>
      <c r="Y119" s="129"/>
      <c r="Z119" s="129"/>
      <c r="AA119" s="129"/>
      <c r="AB119" s="129"/>
    </row>
    <row r="120" spans="2:28" x14ac:dyDescent="0.2">
      <c r="B120" s="129"/>
      <c r="C120" s="129"/>
      <c r="D120" s="129"/>
      <c r="E120" s="129"/>
      <c r="F120" s="129"/>
      <c r="G120" s="129"/>
      <c r="H120" s="129"/>
      <c r="I120" s="129"/>
      <c r="J120" s="129"/>
      <c r="K120" s="129"/>
      <c r="L120" s="129"/>
      <c r="M120" s="129"/>
      <c r="N120" s="129"/>
      <c r="O120" s="129"/>
      <c r="P120" s="129"/>
      <c r="Q120" s="129"/>
      <c r="R120" s="129"/>
      <c r="S120" s="129"/>
      <c r="T120" s="129"/>
      <c r="U120" s="129"/>
      <c r="V120" s="129"/>
      <c r="W120" s="129"/>
      <c r="X120" s="129"/>
      <c r="Y120" s="129"/>
      <c r="Z120" s="129"/>
      <c r="AA120" s="129"/>
      <c r="AB120" s="129"/>
    </row>
    <row r="121" spans="2:28" x14ac:dyDescent="0.2">
      <c r="B121" s="129"/>
      <c r="C121" s="129"/>
      <c r="D121" s="129"/>
      <c r="E121" s="129"/>
      <c r="F121" s="129"/>
      <c r="G121" s="129"/>
      <c r="H121" s="129"/>
      <c r="I121" s="129"/>
      <c r="J121" s="129"/>
      <c r="K121" s="129"/>
      <c r="L121" s="129"/>
      <c r="M121" s="129"/>
      <c r="N121" s="129"/>
      <c r="O121" s="129"/>
      <c r="P121" s="129"/>
      <c r="Q121" s="129"/>
      <c r="R121" s="129"/>
      <c r="S121" s="129"/>
      <c r="T121" s="129"/>
      <c r="U121" s="129"/>
      <c r="V121" s="129"/>
      <c r="W121" s="129"/>
      <c r="X121" s="129"/>
      <c r="Y121" s="129"/>
      <c r="Z121" s="129"/>
      <c r="AA121" s="129"/>
      <c r="AB121" s="129"/>
    </row>
    <row r="122" spans="2:28" x14ac:dyDescent="0.2">
      <c r="B122" s="129"/>
      <c r="C122" s="129"/>
      <c r="D122" s="129"/>
      <c r="E122" s="129"/>
      <c r="F122" s="129"/>
      <c r="G122" s="129"/>
      <c r="H122" s="129"/>
      <c r="I122" s="129"/>
      <c r="J122" s="129"/>
      <c r="K122" s="129"/>
      <c r="L122" s="129"/>
      <c r="M122" s="129"/>
      <c r="N122" s="129"/>
      <c r="O122" s="129"/>
      <c r="P122" s="129"/>
      <c r="Q122" s="129"/>
      <c r="R122" s="129"/>
      <c r="S122" s="129"/>
      <c r="T122" s="129"/>
      <c r="U122" s="129"/>
      <c r="V122" s="129"/>
      <c r="W122" s="129"/>
      <c r="X122" s="129"/>
      <c r="Y122" s="129"/>
      <c r="Z122" s="129"/>
      <c r="AA122" s="129"/>
      <c r="AB122" s="129"/>
    </row>
    <row r="123" spans="2:28" x14ac:dyDescent="0.2">
      <c r="B123" s="129"/>
      <c r="C123" s="129"/>
      <c r="D123" s="129"/>
      <c r="E123" s="129"/>
      <c r="F123" s="129"/>
      <c r="G123" s="129"/>
      <c r="H123" s="129"/>
      <c r="I123" s="129"/>
      <c r="J123" s="129"/>
      <c r="K123" s="129"/>
      <c r="L123" s="129"/>
      <c r="M123" s="129"/>
      <c r="N123" s="129"/>
      <c r="O123" s="129"/>
      <c r="P123" s="129"/>
      <c r="Q123" s="129"/>
      <c r="R123" s="129"/>
      <c r="S123" s="129"/>
      <c r="T123" s="129"/>
      <c r="U123" s="129"/>
      <c r="V123" s="129"/>
      <c r="W123" s="129"/>
      <c r="X123" s="129"/>
      <c r="Y123" s="129"/>
      <c r="Z123" s="129"/>
      <c r="AA123" s="129"/>
      <c r="AB123" s="129"/>
    </row>
    <row r="124" spans="2:28" x14ac:dyDescent="0.2">
      <c r="B124" s="129"/>
      <c r="C124" s="129"/>
      <c r="D124" s="129"/>
      <c r="E124" s="129"/>
      <c r="F124" s="129"/>
      <c r="G124" s="129"/>
      <c r="H124" s="129"/>
      <c r="I124" s="129"/>
      <c r="J124" s="129"/>
      <c r="K124" s="129"/>
      <c r="L124" s="129"/>
      <c r="M124" s="129"/>
      <c r="N124" s="129"/>
      <c r="O124" s="129"/>
      <c r="P124" s="129"/>
      <c r="Q124" s="129"/>
      <c r="R124" s="129"/>
      <c r="S124" s="129"/>
      <c r="T124" s="129"/>
      <c r="U124" s="129"/>
      <c r="V124" s="129"/>
      <c r="W124" s="129"/>
      <c r="X124" s="129"/>
      <c r="Y124" s="129"/>
      <c r="Z124" s="129"/>
      <c r="AA124" s="129"/>
      <c r="AB124" s="129"/>
    </row>
    <row r="125" spans="2:28" x14ac:dyDescent="0.2">
      <c r="B125" s="129"/>
      <c r="C125" s="129"/>
      <c r="D125" s="129"/>
      <c r="E125" s="129"/>
      <c r="F125" s="129"/>
      <c r="G125" s="129"/>
      <c r="H125" s="129"/>
      <c r="I125" s="129"/>
      <c r="J125" s="129"/>
      <c r="K125" s="129"/>
      <c r="L125" s="129"/>
      <c r="M125" s="129"/>
      <c r="N125" s="129"/>
      <c r="O125" s="129"/>
      <c r="P125" s="129"/>
      <c r="Q125" s="129"/>
      <c r="R125" s="129"/>
      <c r="S125" s="129"/>
      <c r="T125" s="129"/>
      <c r="U125" s="129"/>
      <c r="V125" s="129"/>
      <c r="W125" s="129"/>
      <c r="X125" s="129"/>
      <c r="Y125" s="129"/>
      <c r="Z125" s="129"/>
      <c r="AA125" s="129"/>
      <c r="AB125" s="129"/>
    </row>
    <row r="126" spans="2:28" x14ac:dyDescent="0.2">
      <c r="B126" s="129"/>
      <c r="C126" s="129"/>
      <c r="D126" s="129"/>
      <c r="E126" s="129"/>
      <c r="F126" s="129"/>
      <c r="G126" s="129"/>
      <c r="H126" s="129"/>
      <c r="I126" s="129"/>
      <c r="J126" s="129"/>
      <c r="K126" s="129"/>
      <c r="L126" s="129"/>
      <c r="M126" s="129"/>
      <c r="N126" s="129"/>
      <c r="O126" s="129"/>
      <c r="P126" s="129"/>
      <c r="Q126" s="129"/>
      <c r="R126" s="129"/>
      <c r="S126" s="129"/>
      <c r="T126" s="129"/>
      <c r="U126" s="129"/>
      <c r="V126" s="129"/>
      <c r="W126" s="129"/>
      <c r="X126" s="129"/>
      <c r="Y126" s="129"/>
      <c r="Z126" s="129"/>
      <c r="AA126" s="129"/>
      <c r="AB126" s="129"/>
    </row>
    <row r="127" spans="2:28" x14ac:dyDescent="0.2">
      <c r="B127" s="129"/>
      <c r="C127" s="129"/>
      <c r="D127" s="129"/>
      <c r="E127" s="129"/>
      <c r="F127" s="129"/>
      <c r="G127" s="129"/>
      <c r="H127" s="129"/>
      <c r="I127" s="129"/>
      <c r="J127" s="129"/>
      <c r="K127" s="129"/>
      <c r="L127" s="129"/>
      <c r="M127" s="129"/>
      <c r="N127" s="129"/>
      <c r="O127" s="129"/>
      <c r="P127" s="129"/>
      <c r="Q127" s="129"/>
      <c r="R127" s="129"/>
      <c r="S127" s="129"/>
      <c r="T127" s="129"/>
      <c r="U127" s="129"/>
      <c r="V127" s="129"/>
      <c r="W127" s="129"/>
      <c r="X127" s="129"/>
      <c r="Y127" s="129"/>
      <c r="Z127" s="129"/>
      <c r="AA127" s="129"/>
      <c r="AB127" s="129"/>
    </row>
    <row r="128" spans="2:28" x14ac:dyDescent="0.2">
      <c r="B128" s="129"/>
      <c r="C128" s="129"/>
      <c r="D128" s="129"/>
      <c r="E128" s="129"/>
      <c r="F128" s="129"/>
      <c r="G128" s="129"/>
      <c r="H128" s="129"/>
      <c r="I128" s="129"/>
      <c r="J128" s="129"/>
      <c r="K128" s="129"/>
      <c r="L128" s="129"/>
      <c r="M128" s="129"/>
      <c r="N128" s="129"/>
      <c r="O128" s="129"/>
      <c r="P128" s="129"/>
      <c r="Q128" s="129"/>
      <c r="R128" s="129"/>
      <c r="S128" s="129"/>
      <c r="T128" s="129"/>
      <c r="U128" s="129"/>
      <c r="V128" s="129"/>
      <c r="W128" s="129"/>
      <c r="X128" s="129"/>
      <c r="Y128" s="129"/>
      <c r="Z128" s="129"/>
      <c r="AA128" s="129"/>
      <c r="AB128" s="129"/>
    </row>
    <row r="129" spans="2:28" x14ac:dyDescent="0.2">
      <c r="B129" s="129"/>
      <c r="C129" s="129"/>
      <c r="D129" s="129"/>
      <c r="E129" s="129"/>
      <c r="F129" s="129"/>
      <c r="G129" s="129"/>
      <c r="H129" s="129"/>
      <c r="I129" s="129"/>
      <c r="J129" s="129"/>
      <c r="K129" s="129"/>
      <c r="L129" s="129"/>
      <c r="M129" s="129"/>
      <c r="N129" s="129"/>
      <c r="O129" s="129"/>
      <c r="P129" s="129"/>
      <c r="Q129" s="129"/>
      <c r="R129" s="129"/>
      <c r="S129" s="129"/>
      <c r="T129" s="129"/>
      <c r="U129" s="129"/>
      <c r="V129" s="129"/>
      <c r="W129" s="129"/>
      <c r="X129" s="129"/>
      <c r="Y129" s="129"/>
      <c r="Z129" s="129"/>
      <c r="AA129" s="129"/>
      <c r="AB129" s="129"/>
    </row>
    <row r="130" spans="2:28" x14ac:dyDescent="0.2">
      <c r="B130" s="129"/>
      <c r="C130" s="129"/>
      <c r="D130" s="129"/>
      <c r="E130" s="129"/>
      <c r="F130" s="129"/>
      <c r="G130" s="129"/>
      <c r="H130" s="129"/>
      <c r="I130" s="129"/>
      <c r="J130" s="129"/>
      <c r="K130" s="129"/>
      <c r="L130" s="129"/>
      <c r="M130" s="129"/>
      <c r="N130" s="129"/>
      <c r="O130" s="129"/>
      <c r="P130" s="129"/>
      <c r="Q130" s="129"/>
      <c r="R130" s="129"/>
      <c r="S130" s="129"/>
      <c r="T130" s="129"/>
      <c r="U130" s="129"/>
      <c r="V130" s="129"/>
      <c r="W130" s="129"/>
      <c r="X130" s="129"/>
      <c r="Y130" s="129"/>
      <c r="Z130" s="129"/>
      <c r="AA130" s="129"/>
      <c r="AB130" s="129"/>
    </row>
    <row r="131" spans="2:28" x14ac:dyDescent="0.2">
      <c r="B131" s="129"/>
      <c r="C131" s="129"/>
      <c r="D131" s="129"/>
      <c r="E131" s="129"/>
      <c r="F131" s="129"/>
      <c r="G131" s="129"/>
      <c r="H131" s="129"/>
      <c r="I131" s="129"/>
      <c r="J131" s="129"/>
      <c r="K131" s="129"/>
      <c r="L131" s="129"/>
      <c r="M131" s="129"/>
      <c r="N131" s="129"/>
      <c r="O131" s="129"/>
      <c r="P131" s="129"/>
      <c r="Q131" s="129"/>
      <c r="R131" s="129"/>
      <c r="S131" s="129"/>
      <c r="T131" s="129"/>
      <c r="U131" s="129"/>
      <c r="V131" s="129"/>
      <c r="W131" s="129"/>
      <c r="X131" s="129"/>
      <c r="Y131" s="129"/>
      <c r="Z131" s="129"/>
      <c r="AA131" s="129"/>
      <c r="AB131" s="129"/>
    </row>
    <row r="132" spans="2:28" x14ac:dyDescent="0.2">
      <c r="B132" s="129"/>
      <c r="C132" s="129"/>
      <c r="D132" s="129"/>
      <c r="E132" s="129"/>
      <c r="F132" s="129"/>
      <c r="G132" s="129"/>
      <c r="H132" s="129"/>
      <c r="I132" s="129"/>
      <c r="J132" s="129"/>
      <c r="K132" s="129"/>
      <c r="L132" s="129"/>
      <c r="M132" s="129"/>
      <c r="N132" s="129"/>
      <c r="O132" s="129"/>
      <c r="P132" s="129"/>
      <c r="Q132" s="129"/>
      <c r="R132" s="129"/>
      <c r="S132" s="129"/>
      <c r="T132" s="129"/>
      <c r="U132" s="129"/>
      <c r="V132" s="129"/>
      <c r="W132" s="129"/>
      <c r="X132" s="129"/>
      <c r="Y132" s="129"/>
      <c r="Z132" s="129"/>
      <c r="AA132" s="129"/>
      <c r="AB132" s="129"/>
    </row>
    <row r="133" spans="2:28" x14ac:dyDescent="0.2">
      <c r="B133" s="129"/>
      <c r="C133" s="129"/>
      <c r="D133" s="129"/>
      <c r="E133" s="129"/>
      <c r="F133" s="129"/>
      <c r="G133" s="129"/>
      <c r="H133" s="129"/>
      <c r="I133" s="129"/>
      <c r="J133" s="129"/>
      <c r="K133" s="129"/>
      <c r="L133" s="129"/>
      <c r="M133" s="129"/>
      <c r="N133" s="129"/>
      <c r="O133" s="129"/>
      <c r="P133" s="129"/>
      <c r="Q133" s="129"/>
      <c r="R133" s="129"/>
      <c r="S133" s="129"/>
      <c r="T133" s="129"/>
      <c r="U133" s="129"/>
      <c r="V133" s="129"/>
      <c r="W133" s="129"/>
      <c r="X133" s="129"/>
      <c r="Y133" s="129"/>
      <c r="Z133" s="129"/>
      <c r="AA133" s="129"/>
      <c r="AB133" s="129"/>
    </row>
    <row r="134" spans="2:28" x14ac:dyDescent="0.2">
      <c r="B134" s="129"/>
      <c r="C134" s="129"/>
      <c r="D134" s="129"/>
      <c r="E134" s="129"/>
      <c r="F134" s="129"/>
      <c r="G134" s="129"/>
      <c r="H134" s="129"/>
      <c r="I134" s="129"/>
      <c r="J134" s="129"/>
      <c r="K134" s="129"/>
      <c r="L134" s="129"/>
      <c r="M134" s="129"/>
      <c r="N134" s="129"/>
      <c r="O134" s="129"/>
      <c r="P134" s="129"/>
      <c r="Q134" s="129"/>
      <c r="R134" s="129"/>
      <c r="S134" s="129"/>
      <c r="T134" s="129"/>
      <c r="U134" s="129"/>
      <c r="V134" s="129"/>
      <c r="W134" s="129"/>
      <c r="X134" s="129"/>
      <c r="Y134" s="129"/>
      <c r="Z134" s="129"/>
      <c r="AA134" s="129"/>
      <c r="AB134" s="129"/>
    </row>
    <row r="135" spans="2:28" x14ac:dyDescent="0.2">
      <c r="B135" s="129"/>
      <c r="C135" s="129"/>
      <c r="D135" s="129"/>
      <c r="E135" s="129"/>
      <c r="F135" s="129"/>
      <c r="G135" s="129"/>
      <c r="H135" s="129"/>
      <c r="I135" s="129"/>
      <c r="J135" s="129"/>
      <c r="K135" s="129"/>
      <c r="L135" s="129"/>
      <c r="M135" s="129"/>
      <c r="N135" s="129"/>
      <c r="O135" s="129"/>
      <c r="P135" s="129"/>
      <c r="Q135" s="129"/>
      <c r="R135" s="129"/>
      <c r="S135" s="129"/>
      <c r="T135" s="129"/>
      <c r="U135" s="129"/>
      <c r="V135" s="129"/>
      <c r="W135" s="129"/>
      <c r="X135" s="129"/>
      <c r="Y135" s="129"/>
      <c r="Z135" s="129"/>
      <c r="AA135" s="129"/>
      <c r="AB135" s="129"/>
    </row>
    <row r="136" spans="2:28" x14ac:dyDescent="0.2">
      <c r="B136" s="129"/>
      <c r="C136" s="129"/>
      <c r="D136" s="129"/>
      <c r="E136" s="129"/>
      <c r="F136" s="129"/>
      <c r="G136" s="129"/>
      <c r="H136" s="129"/>
      <c r="I136" s="129"/>
      <c r="J136" s="129"/>
      <c r="K136" s="129"/>
      <c r="L136" s="129"/>
      <c r="M136" s="129"/>
      <c r="N136" s="129"/>
      <c r="O136" s="129"/>
      <c r="P136" s="129"/>
      <c r="Q136" s="129"/>
      <c r="R136" s="129"/>
      <c r="S136" s="129"/>
      <c r="T136" s="129"/>
      <c r="U136" s="129"/>
      <c r="V136" s="129"/>
      <c r="W136" s="129"/>
      <c r="X136" s="129"/>
      <c r="Y136" s="129"/>
      <c r="Z136" s="129"/>
      <c r="AA136" s="129"/>
      <c r="AB136" s="129"/>
    </row>
    <row r="137" spans="2:28" x14ac:dyDescent="0.2">
      <c r="B137" s="129"/>
      <c r="C137" s="129"/>
      <c r="D137" s="129"/>
      <c r="E137" s="129"/>
      <c r="F137" s="129"/>
      <c r="G137" s="129"/>
      <c r="H137" s="129"/>
      <c r="I137" s="129"/>
      <c r="J137" s="129"/>
      <c r="K137" s="129"/>
      <c r="L137" s="129"/>
      <c r="M137" s="129"/>
      <c r="N137" s="129"/>
      <c r="O137" s="129"/>
      <c r="P137" s="129"/>
      <c r="Q137" s="129"/>
      <c r="R137" s="129"/>
      <c r="S137" s="129"/>
      <c r="T137" s="129"/>
      <c r="U137" s="129"/>
      <c r="V137" s="129"/>
      <c r="W137" s="129"/>
      <c r="X137" s="129"/>
      <c r="Y137" s="129"/>
      <c r="Z137" s="129"/>
      <c r="AA137" s="129"/>
      <c r="AB137" s="129"/>
    </row>
    <row r="138" spans="2:28" x14ac:dyDescent="0.2">
      <c r="B138" s="129"/>
      <c r="C138" s="129"/>
      <c r="D138" s="129"/>
      <c r="E138" s="129"/>
      <c r="F138" s="129"/>
      <c r="G138" s="129"/>
      <c r="H138" s="129"/>
      <c r="I138" s="129"/>
      <c r="J138" s="129"/>
      <c r="K138" s="129"/>
      <c r="L138" s="129"/>
      <c r="M138" s="129"/>
      <c r="N138" s="129"/>
      <c r="O138" s="129"/>
      <c r="P138" s="129"/>
      <c r="Q138" s="129"/>
      <c r="R138" s="129"/>
      <c r="S138" s="129"/>
      <c r="T138" s="129"/>
      <c r="U138" s="129"/>
      <c r="V138" s="129"/>
      <c r="W138" s="129"/>
      <c r="X138" s="129"/>
      <c r="Y138" s="129"/>
      <c r="Z138" s="129"/>
      <c r="AA138" s="129"/>
      <c r="AB138" s="129"/>
    </row>
    <row r="139" spans="2:28" x14ac:dyDescent="0.2">
      <c r="B139" s="129"/>
      <c r="C139" s="129"/>
      <c r="D139" s="129"/>
      <c r="E139" s="129"/>
      <c r="F139" s="129"/>
      <c r="G139" s="129"/>
      <c r="H139" s="129"/>
      <c r="I139" s="129"/>
      <c r="J139" s="129"/>
      <c r="K139" s="129"/>
      <c r="L139" s="129"/>
      <c r="M139" s="129"/>
      <c r="N139" s="129"/>
      <c r="O139" s="129"/>
      <c r="P139" s="129"/>
      <c r="Q139" s="129"/>
      <c r="R139" s="129"/>
      <c r="S139" s="129"/>
      <c r="T139" s="129"/>
      <c r="U139" s="129"/>
      <c r="V139" s="129"/>
      <c r="W139" s="129"/>
      <c r="X139" s="129"/>
      <c r="Y139" s="129"/>
      <c r="Z139" s="129"/>
      <c r="AA139" s="129"/>
      <c r="AB139" s="129"/>
    </row>
    <row r="140" spans="2:28" x14ac:dyDescent="0.2">
      <c r="B140" s="129"/>
      <c r="C140" s="129"/>
      <c r="D140" s="129"/>
      <c r="E140" s="129"/>
      <c r="F140" s="129"/>
      <c r="G140" s="129"/>
      <c r="H140" s="129"/>
      <c r="I140" s="129"/>
      <c r="J140" s="129"/>
      <c r="K140" s="129"/>
      <c r="L140" s="129"/>
      <c r="M140" s="129"/>
      <c r="N140" s="129"/>
      <c r="O140" s="129"/>
      <c r="P140" s="129"/>
      <c r="Q140" s="129"/>
      <c r="R140" s="129"/>
      <c r="S140" s="129"/>
      <c r="T140" s="129"/>
      <c r="U140" s="129"/>
      <c r="V140" s="129"/>
      <c r="W140" s="129"/>
      <c r="X140" s="129"/>
      <c r="Y140" s="129"/>
      <c r="Z140" s="129"/>
      <c r="AA140" s="129"/>
      <c r="AB140" s="129"/>
    </row>
    <row r="141" spans="2:28" x14ac:dyDescent="0.2">
      <c r="B141" s="129"/>
      <c r="C141" s="129"/>
      <c r="D141" s="129"/>
      <c r="E141" s="129"/>
      <c r="F141" s="129"/>
      <c r="G141" s="129"/>
      <c r="H141" s="129"/>
      <c r="I141" s="129"/>
      <c r="J141" s="129"/>
      <c r="K141" s="129"/>
      <c r="L141" s="129"/>
      <c r="M141" s="129"/>
      <c r="N141" s="129"/>
      <c r="O141" s="129"/>
      <c r="P141" s="129"/>
      <c r="Q141" s="129"/>
      <c r="R141" s="129"/>
      <c r="S141" s="129"/>
      <c r="T141" s="129"/>
      <c r="U141" s="129"/>
      <c r="V141" s="129"/>
      <c r="W141" s="129"/>
      <c r="X141" s="129"/>
      <c r="Y141" s="129"/>
      <c r="Z141" s="129"/>
      <c r="AA141" s="129"/>
      <c r="AB141" s="129"/>
    </row>
    <row r="142" spans="2:28" x14ac:dyDescent="0.2">
      <c r="B142" s="129"/>
      <c r="C142" s="129"/>
      <c r="D142" s="129"/>
      <c r="E142" s="129"/>
      <c r="F142" s="129"/>
      <c r="G142" s="129"/>
      <c r="H142" s="129"/>
      <c r="I142" s="129"/>
      <c r="J142" s="129"/>
      <c r="K142" s="129"/>
      <c r="L142" s="129"/>
      <c r="M142" s="129"/>
      <c r="N142" s="129"/>
      <c r="O142" s="129"/>
      <c r="P142" s="129"/>
      <c r="Q142" s="129"/>
      <c r="R142" s="129"/>
      <c r="S142" s="129"/>
      <c r="T142" s="129"/>
      <c r="U142" s="129"/>
      <c r="V142" s="129"/>
      <c r="W142" s="129"/>
      <c r="X142" s="129"/>
      <c r="Y142" s="129"/>
      <c r="Z142" s="129"/>
      <c r="AA142" s="129"/>
      <c r="AB142" s="129"/>
    </row>
    <row r="143" spans="2:28" x14ac:dyDescent="0.2">
      <c r="B143" s="129"/>
      <c r="C143" s="129"/>
      <c r="D143" s="129"/>
      <c r="E143" s="129"/>
      <c r="F143" s="129"/>
      <c r="G143" s="129"/>
      <c r="H143" s="129"/>
      <c r="I143" s="129"/>
      <c r="J143" s="129"/>
      <c r="K143" s="129"/>
      <c r="L143" s="129"/>
      <c r="M143" s="129"/>
      <c r="N143" s="129"/>
      <c r="O143" s="129"/>
      <c r="P143" s="129"/>
      <c r="Q143" s="129"/>
      <c r="R143" s="129"/>
      <c r="S143" s="129"/>
      <c r="T143" s="129"/>
      <c r="U143" s="129"/>
      <c r="V143" s="129"/>
      <c r="W143" s="129"/>
      <c r="X143" s="129"/>
      <c r="Y143" s="129"/>
      <c r="Z143" s="129"/>
      <c r="AA143" s="129"/>
      <c r="AB143" s="129"/>
    </row>
    <row r="144" spans="2:28" x14ac:dyDescent="0.2">
      <c r="B144" s="129"/>
      <c r="C144" s="129"/>
      <c r="D144" s="129"/>
      <c r="E144" s="129"/>
      <c r="F144" s="129"/>
      <c r="G144" s="129"/>
      <c r="H144" s="129"/>
      <c r="I144" s="129"/>
      <c r="J144" s="129"/>
      <c r="K144" s="129"/>
      <c r="L144" s="129"/>
      <c r="M144" s="129"/>
      <c r="N144" s="129"/>
      <c r="O144" s="129"/>
      <c r="P144" s="129"/>
      <c r="Q144" s="129"/>
      <c r="R144" s="129"/>
      <c r="S144" s="129"/>
      <c r="T144" s="129"/>
      <c r="U144" s="129"/>
      <c r="V144" s="129"/>
      <c r="W144" s="129"/>
      <c r="X144" s="129"/>
      <c r="Y144" s="129"/>
      <c r="Z144" s="129"/>
      <c r="AA144" s="129"/>
      <c r="AB144" s="129"/>
    </row>
    <row r="145" spans="2:28" x14ac:dyDescent="0.2">
      <c r="B145" s="129"/>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c r="Y145" s="129"/>
      <c r="Z145" s="129"/>
      <c r="AA145" s="129"/>
      <c r="AB145" s="129"/>
    </row>
    <row r="146" spans="2:28" x14ac:dyDescent="0.2">
      <c r="B146" s="129"/>
      <c r="C146" s="129"/>
      <c r="D146" s="129"/>
      <c r="E146" s="129"/>
      <c r="F146" s="129"/>
      <c r="G146" s="129"/>
      <c r="H146" s="129"/>
      <c r="I146" s="129"/>
      <c r="J146" s="129"/>
      <c r="K146" s="129"/>
      <c r="L146" s="129"/>
      <c r="M146" s="129"/>
      <c r="N146" s="129"/>
      <c r="O146" s="129"/>
      <c r="P146" s="129"/>
      <c r="Q146" s="129"/>
      <c r="R146" s="129"/>
      <c r="S146" s="129"/>
      <c r="T146" s="129"/>
      <c r="U146" s="129"/>
      <c r="V146" s="129"/>
      <c r="W146" s="129"/>
      <c r="X146" s="129"/>
      <c r="Y146" s="129"/>
      <c r="Z146" s="129"/>
      <c r="AA146" s="129"/>
      <c r="AB146" s="129"/>
    </row>
    <row r="147" spans="2:28" x14ac:dyDescent="0.2">
      <c r="B147" s="129"/>
      <c r="C147" s="129"/>
      <c r="D147" s="129"/>
      <c r="E147" s="129"/>
      <c r="F147" s="129"/>
      <c r="G147" s="129"/>
      <c r="H147" s="129"/>
      <c r="I147" s="129"/>
      <c r="J147" s="129"/>
      <c r="K147" s="129"/>
      <c r="L147" s="129"/>
      <c r="M147" s="129"/>
      <c r="N147" s="129"/>
      <c r="O147" s="129"/>
      <c r="P147" s="129"/>
      <c r="Q147" s="129"/>
      <c r="R147" s="129"/>
      <c r="S147" s="129"/>
      <c r="T147" s="129"/>
      <c r="U147" s="129"/>
      <c r="V147" s="129"/>
      <c r="W147" s="129"/>
      <c r="X147" s="129"/>
      <c r="Y147" s="129"/>
      <c r="Z147" s="129"/>
      <c r="AA147" s="129"/>
      <c r="AB147" s="129"/>
    </row>
    <row r="148" spans="2:28" x14ac:dyDescent="0.2">
      <c r="B148" s="129"/>
      <c r="C148" s="129"/>
      <c r="D148" s="129"/>
      <c r="E148" s="129"/>
      <c r="F148" s="129"/>
      <c r="G148" s="129"/>
      <c r="H148" s="129"/>
      <c r="I148" s="129"/>
      <c r="J148" s="129"/>
      <c r="K148" s="129"/>
      <c r="L148" s="129"/>
      <c r="M148" s="129"/>
      <c r="N148" s="129"/>
      <c r="O148" s="129"/>
      <c r="P148" s="129"/>
      <c r="Q148" s="129"/>
      <c r="R148" s="129"/>
      <c r="S148" s="129"/>
      <c r="T148" s="129"/>
      <c r="U148" s="129"/>
      <c r="V148" s="129"/>
      <c r="W148" s="129"/>
      <c r="X148" s="129"/>
      <c r="Y148" s="129"/>
      <c r="Z148" s="129"/>
      <c r="AA148" s="129"/>
      <c r="AB148" s="129"/>
    </row>
    <row r="149" spans="2:28" x14ac:dyDescent="0.2">
      <c r="B149" s="129"/>
      <c r="C149" s="129"/>
      <c r="D149" s="129"/>
      <c r="E149" s="129"/>
      <c r="F149" s="129"/>
      <c r="G149" s="129"/>
      <c r="H149" s="129"/>
      <c r="I149" s="129"/>
      <c r="J149" s="129"/>
      <c r="K149" s="129"/>
      <c r="L149" s="129"/>
      <c r="M149" s="129"/>
      <c r="N149" s="129"/>
      <c r="O149" s="129"/>
      <c r="P149" s="129"/>
      <c r="Q149" s="129"/>
      <c r="R149" s="129"/>
      <c r="S149" s="129"/>
      <c r="T149" s="129"/>
      <c r="U149" s="129"/>
      <c r="V149" s="129"/>
      <c r="W149" s="129"/>
      <c r="X149" s="129"/>
      <c r="Y149" s="129"/>
      <c r="Z149" s="129"/>
      <c r="AA149" s="129"/>
      <c r="AB149" s="129"/>
    </row>
    <row r="150" spans="2:28" x14ac:dyDescent="0.2">
      <c r="B150" s="129"/>
      <c r="C150" s="129"/>
      <c r="D150" s="129"/>
      <c r="E150" s="129"/>
      <c r="F150" s="129"/>
      <c r="G150" s="129"/>
      <c r="H150" s="129"/>
      <c r="I150" s="129"/>
      <c r="J150" s="129"/>
      <c r="K150" s="129"/>
      <c r="L150" s="129"/>
      <c r="M150" s="129"/>
      <c r="N150" s="129"/>
      <c r="O150" s="129"/>
      <c r="P150" s="129"/>
      <c r="Q150" s="129"/>
      <c r="R150" s="129"/>
      <c r="S150" s="129"/>
      <c r="T150" s="129"/>
      <c r="U150" s="129"/>
      <c r="V150" s="129"/>
      <c r="W150" s="129"/>
      <c r="X150" s="129"/>
      <c r="Y150" s="129"/>
      <c r="Z150" s="129"/>
      <c r="AA150" s="129"/>
      <c r="AB150" s="129"/>
    </row>
    <row r="151" spans="2:28" x14ac:dyDescent="0.2">
      <c r="B151" s="129"/>
      <c r="C151" s="129"/>
      <c r="D151" s="129"/>
      <c r="E151" s="129"/>
      <c r="F151" s="129"/>
      <c r="G151" s="129"/>
      <c r="H151" s="129"/>
      <c r="I151" s="129"/>
      <c r="J151" s="129"/>
      <c r="K151" s="129"/>
      <c r="L151" s="129"/>
      <c r="M151" s="129"/>
      <c r="N151" s="129"/>
      <c r="O151" s="129"/>
      <c r="P151" s="129"/>
      <c r="Q151" s="129"/>
      <c r="R151" s="129"/>
      <c r="S151" s="129"/>
      <c r="T151" s="129"/>
      <c r="U151" s="129"/>
      <c r="V151" s="129"/>
      <c r="W151" s="129"/>
      <c r="X151" s="129"/>
      <c r="Y151" s="129"/>
      <c r="Z151" s="129"/>
      <c r="AA151" s="129"/>
      <c r="AB151" s="129"/>
    </row>
    <row r="152" spans="2:28" x14ac:dyDescent="0.2">
      <c r="B152" s="129"/>
      <c r="C152" s="129"/>
      <c r="D152" s="129"/>
      <c r="E152" s="129"/>
      <c r="F152" s="129"/>
      <c r="G152" s="129"/>
      <c r="H152" s="129"/>
      <c r="I152" s="129"/>
      <c r="J152" s="129"/>
      <c r="K152" s="129"/>
      <c r="L152" s="129"/>
      <c r="M152" s="129"/>
      <c r="N152" s="129"/>
      <c r="O152" s="129"/>
      <c r="P152" s="129"/>
      <c r="Q152" s="129"/>
      <c r="R152" s="129"/>
      <c r="S152" s="129"/>
      <c r="T152" s="129"/>
      <c r="U152" s="129"/>
      <c r="V152" s="129"/>
      <c r="W152" s="129"/>
      <c r="X152" s="129"/>
      <c r="Y152" s="129"/>
      <c r="Z152" s="129"/>
      <c r="AA152" s="129"/>
      <c r="AB152" s="129"/>
    </row>
    <row r="153" spans="2:28" x14ac:dyDescent="0.2">
      <c r="B153" s="129"/>
      <c r="C153" s="129"/>
      <c r="D153" s="129"/>
      <c r="E153" s="129"/>
      <c r="F153" s="129"/>
      <c r="G153" s="129"/>
      <c r="H153" s="129"/>
      <c r="I153" s="129"/>
      <c r="J153" s="129"/>
      <c r="K153" s="129"/>
      <c r="L153" s="129"/>
      <c r="M153" s="129"/>
      <c r="N153" s="129"/>
      <c r="O153" s="129"/>
      <c r="P153" s="129"/>
      <c r="Q153" s="129"/>
      <c r="R153" s="129"/>
      <c r="S153" s="129"/>
      <c r="T153" s="129"/>
      <c r="U153" s="129"/>
      <c r="V153" s="129"/>
      <c r="W153" s="129"/>
      <c r="X153" s="129"/>
      <c r="Y153" s="129"/>
      <c r="Z153" s="129"/>
      <c r="AA153" s="129"/>
      <c r="AB153" s="129"/>
    </row>
    <row r="154" spans="2:28" x14ac:dyDescent="0.2">
      <c r="B154" s="129"/>
      <c r="C154" s="129"/>
      <c r="D154" s="129"/>
      <c r="E154" s="129"/>
      <c r="F154" s="129"/>
      <c r="G154" s="129"/>
      <c r="H154" s="129"/>
      <c r="I154" s="129"/>
      <c r="J154" s="129"/>
      <c r="K154" s="129"/>
      <c r="L154" s="129"/>
      <c r="M154" s="129"/>
      <c r="N154" s="129"/>
      <c r="O154" s="129"/>
      <c r="P154" s="129"/>
      <c r="Q154" s="129"/>
      <c r="R154" s="129"/>
      <c r="S154" s="129"/>
      <c r="T154" s="129"/>
      <c r="U154" s="129"/>
      <c r="V154" s="129"/>
      <c r="W154" s="129"/>
      <c r="X154" s="129"/>
      <c r="Y154" s="129"/>
      <c r="Z154" s="129"/>
      <c r="AA154" s="129"/>
      <c r="AB154" s="129"/>
    </row>
    <row r="155" spans="2:28" x14ac:dyDescent="0.2">
      <c r="B155" s="129"/>
      <c r="C155" s="129"/>
      <c r="D155" s="129"/>
      <c r="E155" s="129"/>
      <c r="F155" s="129"/>
      <c r="G155" s="129"/>
      <c r="H155" s="129"/>
      <c r="I155" s="129"/>
      <c r="J155" s="129"/>
      <c r="K155" s="129"/>
      <c r="L155" s="129"/>
      <c r="M155" s="129"/>
      <c r="N155" s="129"/>
      <c r="O155" s="129"/>
      <c r="P155" s="129"/>
      <c r="Q155" s="129"/>
      <c r="R155" s="129"/>
      <c r="S155" s="129"/>
      <c r="T155" s="129"/>
      <c r="U155" s="129"/>
      <c r="V155" s="129"/>
      <c r="W155" s="129"/>
      <c r="X155" s="129"/>
      <c r="Y155" s="129"/>
      <c r="Z155" s="129"/>
      <c r="AA155" s="129"/>
      <c r="AB155" s="129"/>
    </row>
    <row r="156" spans="2:28" x14ac:dyDescent="0.2">
      <c r="B156" s="129"/>
      <c r="C156" s="129"/>
      <c r="D156" s="129"/>
      <c r="E156" s="129"/>
      <c r="F156" s="129"/>
      <c r="G156" s="129"/>
      <c r="H156" s="129"/>
      <c r="I156" s="129"/>
      <c r="J156" s="129"/>
      <c r="K156" s="129"/>
      <c r="L156" s="129"/>
      <c r="M156" s="129"/>
      <c r="N156" s="129"/>
      <c r="O156" s="129"/>
      <c r="P156" s="129"/>
      <c r="Q156" s="129"/>
      <c r="R156" s="129"/>
      <c r="S156" s="129"/>
      <c r="T156" s="129"/>
      <c r="U156" s="129"/>
      <c r="V156" s="129"/>
      <c r="W156" s="129"/>
      <c r="X156" s="129"/>
      <c r="Y156" s="129"/>
      <c r="Z156" s="129"/>
      <c r="AA156" s="129"/>
      <c r="AB156" s="129"/>
    </row>
    <row r="157" spans="2:28" x14ac:dyDescent="0.2">
      <c r="B157" s="129"/>
      <c r="C157" s="129"/>
      <c r="D157" s="129"/>
      <c r="E157" s="129"/>
      <c r="F157" s="129"/>
      <c r="G157" s="129"/>
      <c r="H157" s="129"/>
      <c r="I157" s="129"/>
      <c r="J157" s="129"/>
      <c r="K157" s="129"/>
      <c r="L157" s="129"/>
      <c r="M157" s="129"/>
      <c r="N157" s="129"/>
      <c r="O157" s="129"/>
      <c r="P157" s="129"/>
      <c r="Q157" s="129"/>
      <c r="R157" s="129"/>
      <c r="S157" s="129"/>
      <c r="T157" s="129"/>
      <c r="U157" s="129"/>
      <c r="V157" s="129"/>
      <c r="W157" s="129"/>
      <c r="X157" s="129"/>
      <c r="Y157" s="129"/>
      <c r="Z157" s="129"/>
      <c r="AA157" s="129"/>
      <c r="AB157" s="129"/>
    </row>
    <row r="158" spans="2:28" x14ac:dyDescent="0.2">
      <c r="B158" s="129"/>
      <c r="C158" s="129"/>
      <c r="D158" s="129"/>
      <c r="E158" s="129"/>
      <c r="F158" s="129"/>
      <c r="G158" s="129"/>
      <c r="H158" s="129"/>
      <c r="I158" s="129"/>
      <c r="J158" s="129"/>
      <c r="K158" s="129"/>
      <c r="L158" s="129"/>
      <c r="M158" s="129"/>
      <c r="N158" s="129"/>
      <c r="O158" s="129"/>
      <c r="P158" s="129"/>
      <c r="Q158" s="129"/>
      <c r="R158" s="129"/>
      <c r="S158" s="129"/>
      <c r="T158" s="129"/>
      <c r="U158" s="129"/>
      <c r="V158" s="129"/>
      <c r="W158" s="129"/>
      <c r="X158" s="129"/>
      <c r="Y158" s="129"/>
      <c r="Z158" s="129"/>
      <c r="AA158" s="129"/>
      <c r="AB158" s="129"/>
    </row>
    <row r="159" spans="2:28" x14ac:dyDescent="0.2">
      <c r="B159" s="129"/>
      <c r="C159" s="129"/>
      <c r="D159" s="129"/>
      <c r="E159" s="129"/>
      <c r="F159" s="129"/>
      <c r="G159" s="129"/>
      <c r="H159" s="129"/>
      <c r="I159" s="129"/>
      <c r="J159" s="129"/>
      <c r="K159" s="129"/>
      <c r="L159" s="129"/>
      <c r="M159" s="129"/>
      <c r="N159" s="129"/>
      <c r="O159" s="129"/>
      <c r="P159" s="129"/>
      <c r="Q159" s="129"/>
      <c r="R159" s="129"/>
      <c r="S159" s="129"/>
      <c r="T159" s="129"/>
      <c r="U159" s="129"/>
      <c r="V159" s="129"/>
      <c r="W159" s="129"/>
      <c r="X159" s="129"/>
      <c r="Y159" s="129"/>
      <c r="Z159" s="129"/>
      <c r="AA159" s="129"/>
      <c r="AB159" s="129"/>
    </row>
    <row r="160" spans="2:28" x14ac:dyDescent="0.2">
      <c r="B160" s="129"/>
      <c r="C160" s="129"/>
      <c r="D160" s="129"/>
      <c r="E160" s="129"/>
      <c r="F160" s="129"/>
      <c r="G160" s="129"/>
      <c r="H160" s="129"/>
      <c r="I160" s="129"/>
      <c r="J160" s="129"/>
      <c r="K160" s="129"/>
      <c r="L160" s="129"/>
      <c r="M160" s="129"/>
      <c r="N160" s="129"/>
      <c r="O160" s="129"/>
      <c r="P160" s="129"/>
      <c r="Q160" s="129"/>
      <c r="R160" s="129"/>
      <c r="S160" s="129"/>
      <c r="T160" s="129"/>
      <c r="U160" s="129"/>
      <c r="V160" s="129"/>
      <c r="W160" s="129"/>
      <c r="X160" s="129"/>
      <c r="Y160" s="129"/>
      <c r="Z160" s="129"/>
      <c r="AA160" s="129"/>
      <c r="AB160" s="129"/>
    </row>
    <row r="161" spans="2:28" x14ac:dyDescent="0.2">
      <c r="B161" s="129"/>
      <c r="C161" s="129"/>
      <c r="D161" s="129"/>
      <c r="E161" s="129"/>
      <c r="F161" s="129"/>
      <c r="G161" s="129"/>
      <c r="H161" s="129"/>
      <c r="I161" s="129"/>
      <c r="J161" s="129"/>
      <c r="K161" s="129"/>
      <c r="L161" s="129"/>
      <c r="M161" s="129"/>
      <c r="N161" s="129"/>
      <c r="O161" s="129"/>
      <c r="P161" s="129"/>
      <c r="Q161" s="129"/>
      <c r="R161" s="129"/>
      <c r="S161" s="129"/>
      <c r="T161" s="129"/>
      <c r="U161" s="129"/>
      <c r="V161" s="129"/>
      <c r="W161" s="129"/>
      <c r="X161" s="129"/>
      <c r="Y161" s="129"/>
      <c r="Z161" s="129"/>
      <c r="AA161" s="129"/>
      <c r="AB161" s="129"/>
    </row>
    <row r="162" spans="2:28" x14ac:dyDescent="0.2">
      <c r="B162" s="129"/>
      <c r="C162" s="129"/>
      <c r="D162" s="129"/>
      <c r="E162" s="129"/>
      <c r="F162" s="129"/>
      <c r="G162" s="129"/>
      <c r="H162" s="129"/>
      <c r="I162" s="129"/>
      <c r="J162" s="129"/>
      <c r="K162" s="129"/>
      <c r="L162" s="129"/>
      <c r="M162" s="129"/>
      <c r="N162" s="129"/>
      <c r="O162" s="129"/>
      <c r="P162" s="129"/>
      <c r="Q162" s="129"/>
      <c r="R162" s="129"/>
      <c r="S162" s="129"/>
      <c r="T162" s="129"/>
      <c r="U162" s="129"/>
      <c r="V162" s="129"/>
      <c r="W162" s="129"/>
      <c r="X162" s="129"/>
      <c r="Y162" s="129"/>
      <c r="Z162" s="129"/>
      <c r="AA162" s="129"/>
      <c r="AB162" s="129"/>
    </row>
  </sheetData>
  <mergeCells count="1">
    <mergeCell ref="A6:C6"/>
  </mergeCells>
  <pageMargins left="0.7" right="0.7" top="0.75" bottom="0.75" header="0.3" footer="0.3"/>
  <pageSetup orientation="portrait" r:id="rId1"/>
  <drawing r:id="rId2"/>
  <legacy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9"/>
  </sheetPr>
  <dimension ref="A1:AH84"/>
  <sheetViews>
    <sheetView topLeftCell="C1" zoomScale="59" zoomScaleNormal="59" workbookViewId="0">
      <selection activeCell="F37" sqref="F37"/>
    </sheetView>
  </sheetViews>
  <sheetFormatPr defaultRowHeight="15" x14ac:dyDescent="0.25"/>
  <cols>
    <col min="9" max="9" width="12" bestFit="1" customWidth="1"/>
  </cols>
  <sheetData>
    <row r="1" spans="1:34" s="539" customFormat="1" ht="18" x14ac:dyDescent="0.4">
      <c r="A1" s="330" t="s">
        <v>279</v>
      </c>
    </row>
    <row r="2" spans="1:34" s="539" customFormat="1" ht="14.45" x14ac:dyDescent="0.35">
      <c r="A2" s="1040" t="s">
        <v>672</v>
      </c>
    </row>
    <row r="3" spans="1:34" ht="14.45" x14ac:dyDescent="0.35">
      <c r="A3" s="647" t="s">
        <v>237</v>
      </c>
      <c r="B3" s="1244" t="s">
        <v>54</v>
      </c>
      <c r="C3" s="1244"/>
      <c r="D3" s="1244" t="s">
        <v>55</v>
      </c>
      <c r="E3" s="1244"/>
      <c r="F3" s="1244" t="s">
        <v>56</v>
      </c>
      <c r="G3" s="1244"/>
      <c r="H3" s="1244" t="s">
        <v>57</v>
      </c>
      <c r="I3" s="1244"/>
      <c r="J3" s="1244" t="s">
        <v>238</v>
      </c>
      <c r="K3" s="1244"/>
      <c r="O3" s="539"/>
      <c r="S3" s="539"/>
      <c r="T3" s="539"/>
      <c r="U3" s="539"/>
      <c r="V3" s="539"/>
      <c r="W3" s="539"/>
      <c r="X3" s="539"/>
      <c r="AB3" s="539"/>
      <c r="AC3" s="539"/>
      <c r="AD3" s="539"/>
    </row>
    <row r="4" spans="1:34" ht="14.45" x14ac:dyDescent="0.35">
      <c r="A4" s="648" t="s">
        <v>159</v>
      </c>
      <c r="B4" s="645" t="s">
        <v>204</v>
      </c>
      <c r="C4" s="645" t="s">
        <v>205</v>
      </c>
      <c r="D4" s="645" t="s">
        <v>204</v>
      </c>
      <c r="E4" s="645" t="s">
        <v>205</v>
      </c>
      <c r="F4" s="645" t="s">
        <v>204</v>
      </c>
      <c r="G4" s="645" t="s">
        <v>205</v>
      </c>
      <c r="H4" s="645" t="s">
        <v>204</v>
      </c>
      <c r="I4" s="645" t="s">
        <v>205</v>
      </c>
      <c r="J4" s="645" t="s">
        <v>204</v>
      </c>
      <c r="K4" s="645" t="s">
        <v>205</v>
      </c>
      <c r="M4" s="201"/>
      <c r="O4" s="201"/>
      <c r="Q4" s="582"/>
      <c r="S4" s="539"/>
      <c r="T4" s="539"/>
      <c r="U4" s="582"/>
      <c r="V4" s="539"/>
      <c r="W4" s="539"/>
      <c r="X4" s="582"/>
      <c r="AA4" s="582"/>
      <c r="AB4" s="539"/>
      <c r="AC4" s="539"/>
      <c r="AD4" s="539"/>
    </row>
    <row r="5" spans="1:34" ht="14.45" x14ac:dyDescent="0.35">
      <c r="A5" s="649" t="s">
        <v>294</v>
      </c>
      <c r="B5" s="646">
        <v>-1.2852505182431</v>
      </c>
      <c r="C5" s="646">
        <v>-1.9500278682494401</v>
      </c>
      <c r="D5" s="646">
        <v>-1</v>
      </c>
      <c r="E5" s="646">
        <v>-2.0499999999999998</v>
      </c>
      <c r="F5" s="646">
        <f>D5</f>
        <v>-1</v>
      </c>
      <c r="G5" s="646">
        <f>E5</f>
        <v>-2.0499999999999998</v>
      </c>
      <c r="H5" s="646">
        <v>-1.5</v>
      </c>
      <c r="I5" s="646">
        <v>-0.75</v>
      </c>
      <c r="J5" s="646">
        <f>IF(Active_Case="Res",B5,IF(Active_Case="Com",D5,IF(Active_Case="Ind",F5,IF(Active_Case="Out",H5))))</f>
        <v>-1.2852505182431</v>
      </c>
      <c r="K5" s="646">
        <f>IF(Active_Case="Res",C5,IF(Active_Case="Com",E5,IF(Active_Case="Ind",G5,IF(Active_Case="Out",I5))))</f>
        <v>-1.9500278682494401</v>
      </c>
      <c r="M5" s="201"/>
      <c r="O5" s="201"/>
      <c r="S5" s="539"/>
      <c r="T5" s="539"/>
      <c r="U5" s="582"/>
      <c r="V5" s="539"/>
      <c r="W5" s="539"/>
      <c r="X5" s="582"/>
      <c r="AA5" s="582"/>
      <c r="AB5" s="539"/>
      <c r="AC5" s="539"/>
      <c r="AD5" s="582"/>
    </row>
    <row r="6" spans="1:34" ht="14.45" x14ac:dyDescent="0.35">
      <c r="A6" t="s">
        <v>688</v>
      </c>
      <c r="F6" s="549"/>
      <c r="G6" s="549"/>
      <c r="H6" s="549"/>
      <c r="I6" s="549"/>
      <c r="J6" s="549"/>
      <c r="K6" s="549"/>
      <c r="L6" s="549"/>
      <c r="M6" s="549"/>
      <c r="Q6" s="201"/>
      <c r="S6" s="201"/>
      <c r="W6" s="539"/>
      <c r="X6" s="539"/>
      <c r="Y6" s="582"/>
      <c r="Z6" s="539"/>
      <c r="AA6" s="539"/>
      <c r="AB6" s="582"/>
      <c r="AE6" s="582"/>
      <c r="AF6" s="539"/>
      <c r="AG6" s="539"/>
      <c r="AH6" s="582"/>
    </row>
    <row r="7" spans="1:34" s="539" customFormat="1" ht="14.45" x14ac:dyDescent="0.35">
      <c r="F7" s="549"/>
      <c r="G7" s="549"/>
      <c r="H7" s="549"/>
      <c r="I7" s="549"/>
      <c r="J7" s="549"/>
      <c r="K7" s="549"/>
      <c r="L7" s="549"/>
      <c r="M7" s="549"/>
      <c r="P7"/>
      <c r="Q7" s="201"/>
      <c r="S7" s="201"/>
    </row>
    <row r="8" spans="1:34" ht="14.45" x14ac:dyDescent="0.35">
      <c r="S8" s="201"/>
      <c r="W8" s="539"/>
      <c r="X8" s="539"/>
      <c r="Y8" s="539"/>
      <c r="Z8" s="539"/>
      <c r="AA8" s="539"/>
      <c r="AB8" s="539"/>
      <c r="AF8" s="539"/>
      <c r="AG8" s="539"/>
      <c r="AH8" s="539"/>
    </row>
    <row r="9" spans="1:34" s="546" customFormat="1" ht="14.45" x14ac:dyDescent="0.35">
      <c r="A9" s="548" t="s">
        <v>251</v>
      </c>
    </row>
    <row r="10" spans="1:34" s="539" customFormat="1" ht="14.45" x14ac:dyDescent="0.35"/>
    <row r="11" spans="1:34" s="539" customFormat="1" ht="14.45" x14ac:dyDescent="0.35"/>
    <row r="12" spans="1:34" s="539" customFormat="1" ht="14.45" x14ac:dyDescent="0.35"/>
    <row r="13" spans="1:34" s="539" customFormat="1" ht="14.45" x14ac:dyDescent="0.35"/>
    <row r="14" spans="1:34" s="539" customFormat="1" ht="14.45" x14ac:dyDescent="0.35"/>
    <row r="15" spans="1:34" s="539" customFormat="1" ht="14.45" x14ac:dyDescent="0.35"/>
    <row r="16" spans="1:34" s="539" customFormat="1" ht="14.45" x14ac:dyDescent="0.35"/>
    <row r="17" s="539" customFormat="1" ht="14.45" x14ac:dyDescent="0.35"/>
    <row r="18" s="539" customFormat="1" ht="14.45" x14ac:dyDescent="0.35"/>
    <row r="19" s="539" customFormat="1" ht="14.45" x14ac:dyDescent="0.35"/>
    <row r="20" s="539" customFormat="1" ht="14.45" x14ac:dyDescent="0.35"/>
    <row r="21" s="539" customFormat="1" ht="14.45" x14ac:dyDescent="0.35"/>
    <row r="22" s="539" customFormat="1" ht="14.45" x14ac:dyDescent="0.35"/>
    <row r="23" s="539" customFormat="1" ht="14.45" x14ac:dyDescent="0.35"/>
    <row r="24" s="539" customFormat="1" ht="14.45" x14ac:dyDescent="0.35"/>
    <row r="25" s="539" customFormat="1" ht="14.45" x14ac:dyDescent="0.35"/>
    <row r="26" s="539" customFormat="1" ht="14.45" x14ac:dyDescent="0.35"/>
    <row r="27" s="539" customFormat="1" ht="14.45" x14ac:dyDescent="0.35"/>
    <row r="28" s="539" customFormat="1" ht="14.45" x14ac:dyDescent="0.35"/>
    <row r="29" s="539" customFormat="1" ht="14.45" x14ac:dyDescent="0.35"/>
    <row r="30" s="539" customFormat="1" ht="14.45" x14ac:dyDescent="0.35"/>
    <row r="31" s="539" customFormat="1" ht="14.45" x14ac:dyDescent="0.35"/>
    <row r="32" s="539" customFormat="1" ht="14.45" x14ac:dyDescent="0.35"/>
    <row r="33" spans="1:17" s="539" customFormat="1" ht="14.45" x14ac:dyDescent="0.35"/>
    <row r="34" spans="1:17" s="539" customFormat="1" ht="14.45" x14ac:dyDescent="0.35"/>
    <row r="35" spans="1:17" s="539" customFormat="1" ht="14.45" x14ac:dyDescent="0.35"/>
    <row r="36" spans="1:17" s="539" customFormat="1" ht="14.45" x14ac:dyDescent="0.35"/>
    <row r="37" spans="1:17" s="539" customFormat="1" ht="14.45" x14ac:dyDescent="0.35"/>
    <row r="38" spans="1:17" s="539" customFormat="1" x14ac:dyDescent="0.25"/>
    <row r="39" spans="1:17" s="539" customFormat="1" x14ac:dyDescent="0.25"/>
    <row r="40" spans="1:17" s="539" customFormat="1" x14ac:dyDescent="0.25"/>
    <row r="41" spans="1:17" s="539" customFormat="1" x14ac:dyDescent="0.25">
      <c r="Q41" s="201"/>
    </row>
    <row r="42" spans="1:17" s="539" customFormat="1" x14ac:dyDescent="0.25"/>
    <row r="43" spans="1:17" s="546" customFormat="1" x14ac:dyDescent="0.25">
      <c r="A43" s="548" t="s">
        <v>252</v>
      </c>
    </row>
    <row r="84" spans="1:1" s="546" customFormat="1" x14ac:dyDescent="0.25">
      <c r="A84" s="548" t="s">
        <v>57</v>
      </c>
    </row>
  </sheetData>
  <mergeCells count="5">
    <mergeCell ref="F3:G3"/>
    <mergeCell ref="H3:I3"/>
    <mergeCell ref="B3:C3"/>
    <mergeCell ref="D3:E3"/>
    <mergeCell ref="J3:K3"/>
  </mergeCells>
  <pageMargins left="0.7" right="0.7" top="0.75" bottom="0.75" header="0.3" footer="0.3"/>
  <pageSetup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9"/>
  </sheetPr>
  <dimension ref="A1:AL475"/>
  <sheetViews>
    <sheetView topLeftCell="C1" zoomScale="59" zoomScaleNormal="59" workbookViewId="0">
      <selection activeCell="F37" sqref="F37"/>
    </sheetView>
  </sheetViews>
  <sheetFormatPr defaultRowHeight="15" x14ac:dyDescent="0.25"/>
  <cols>
    <col min="3" max="3" width="18.42578125" customWidth="1"/>
  </cols>
  <sheetData>
    <row r="1" spans="1:38" ht="18" x14ac:dyDescent="0.4">
      <c r="A1" s="268" t="s">
        <v>283</v>
      </c>
      <c r="B1" s="499"/>
      <c r="C1" s="499"/>
      <c r="D1" s="499"/>
      <c r="E1" s="499"/>
      <c r="F1" s="499"/>
      <c r="G1" s="499"/>
      <c r="H1" s="499"/>
      <c r="I1" s="499"/>
      <c r="J1" s="499"/>
      <c r="K1" s="499"/>
      <c r="L1" s="499"/>
      <c r="M1" s="499"/>
      <c r="N1" s="207"/>
      <c r="O1" s="499"/>
      <c r="P1" s="499"/>
      <c r="Q1" s="499"/>
      <c r="R1" s="499"/>
      <c r="S1" s="499"/>
      <c r="T1" s="499"/>
      <c r="U1" s="499"/>
      <c r="V1" s="499"/>
      <c r="W1" s="499"/>
      <c r="X1" s="499"/>
      <c r="Y1" s="499"/>
      <c r="Z1" s="499"/>
      <c r="AA1" s="499"/>
      <c r="AB1" s="499"/>
      <c r="AC1" s="499"/>
      <c r="AD1" s="499"/>
      <c r="AE1" s="499"/>
      <c r="AF1" s="499"/>
      <c r="AG1" s="499"/>
      <c r="AH1" s="499"/>
      <c r="AI1" s="499"/>
      <c r="AJ1" s="499"/>
      <c r="AK1" s="499"/>
      <c r="AL1" s="499"/>
    </row>
    <row r="2" spans="1:38" ht="15.6" x14ac:dyDescent="0.35">
      <c r="A2" s="269"/>
      <c r="B2" s="499"/>
      <c r="C2" s="499"/>
      <c r="D2" s="499"/>
      <c r="E2" s="499"/>
      <c r="F2" s="499"/>
      <c r="G2" s="499"/>
      <c r="H2" s="499"/>
      <c r="I2" s="499"/>
      <c r="J2" s="499"/>
      <c r="K2" s="499"/>
      <c r="L2" s="499"/>
      <c r="M2" s="499"/>
      <c r="N2" s="207"/>
      <c r="O2" s="499"/>
      <c r="P2" s="499"/>
      <c r="Q2" s="499"/>
      <c r="R2" s="499"/>
      <c r="S2" s="499"/>
      <c r="T2" s="499"/>
      <c r="U2" s="499"/>
      <c r="V2" s="499"/>
      <c r="W2" s="499"/>
      <c r="X2" s="499"/>
      <c r="Y2" s="499"/>
      <c r="Z2" s="499"/>
      <c r="AA2" s="499"/>
      <c r="AB2" s="499"/>
      <c r="AC2" s="499"/>
      <c r="AD2" s="499"/>
      <c r="AE2" s="499"/>
      <c r="AF2" s="499"/>
      <c r="AG2" s="499"/>
      <c r="AH2" s="499"/>
      <c r="AI2" s="499"/>
      <c r="AJ2" s="499"/>
      <c r="AK2" s="499"/>
      <c r="AL2" s="499"/>
    </row>
    <row r="4" spans="1:38" ht="14.45" x14ac:dyDescent="0.35">
      <c r="A4" s="499"/>
      <c r="B4" s="499"/>
      <c r="C4" s="499"/>
      <c r="D4" s="208">
        <v>2001</v>
      </c>
      <c r="E4" s="208">
        <v>2002</v>
      </c>
      <c r="F4" s="208">
        <v>2003</v>
      </c>
      <c r="G4" s="208">
        <v>2004</v>
      </c>
      <c r="H4" s="208">
        <v>2005</v>
      </c>
      <c r="I4" s="208">
        <v>2006</v>
      </c>
      <c r="J4" s="208">
        <v>2007</v>
      </c>
      <c r="K4" s="208">
        <v>2008</v>
      </c>
      <c r="L4" s="208">
        <v>2009</v>
      </c>
      <c r="M4" s="208">
        <v>2010</v>
      </c>
      <c r="N4" s="208">
        <v>2011</v>
      </c>
      <c r="O4" s="208">
        <v>2012</v>
      </c>
      <c r="P4" s="208">
        <v>2013</v>
      </c>
      <c r="Q4" s="208">
        <v>2014</v>
      </c>
      <c r="R4" s="208">
        <v>2015</v>
      </c>
      <c r="S4" s="208">
        <v>2016</v>
      </c>
      <c r="T4" s="208">
        <v>2017</v>
      </c>
      <c r="U4" s="208">
        <v>2018</v>
      </c>
      <c r="V4" s="208">
        <v>2019</v>
      </c>
      <c r="W4" s="208">
        <v>2020</v>
      </c>
      <c r="X4" s="208">
        <v>2021</v>
      </c>
      <c r="Y4" s="208">
        <v>2022</v>
      </c>
      <c r="Z4" s="208">
        <v>2023</v>
      </c>
      <c r="AA4" s="208">
        <v>2024</v>
      </c>
      <c r="AB4" s="208">
        <v>2025</v>
      </c>
      <c r="AC4" s="208">
        <v>2026</v>
      </c>
      <c r="AD4" s="208">
        <v>2027</v>
      </c>
      <c r="AE4" s="208">
        <v>2028</v>
      </c>
      <c r="AF4" s="208">
        <v>2029</v>
      </c>
      <c r="AG4" s="208">
        <v>2030</v>
      </c>
      <c r="AH4" s="208">
        <v>2031</v>
      </c>
      <c r="AI4" s="208">
        <v>2032</v>
      </c>
      <c r="AJ4" s="208">
        <v>2033</v>
      </c>
      <c r="AK4" s="208">
        <v>2034</v>
      </c>
      <c r="AL4" s="208">
        <v>2035</v>
      </c>
    </row>
    <row r="5" spans="1:38" s="545" customFormat="1" ht="14.45" x14ac:dyDescent="0.35">
      <c r="A5" s="541" t="s">
        <v>54</v>
      </c>
      <c r="B5" s="542"/>
      <c r="C5" s="541"/>
      <c r="D5" s="543"/>
      <c r="E5" s="543"/>
      <c r="F5" s="543"/>
      <c r="G5" s="543"/>
      <c r="H5" s="543"/>
      <c r="I5" s="543"/>
      <c r="J5" s="543"/>
      <c r="K5" s="543"/>
      <c r="L5" s="543"/>
      <c r="M5" s="543"/>
      <c r="N5" s="544"/>
      <c r="O5" s="544"/>
      <c r="P5" s="544"/>
      <c r="Q5" s="544"/>
      <c r="R5" s="544"/>
      <c r="S5" s="544"/>
      <c r="T5" s="544"/>
      <c r="U5" s="544"/>
      <c r="V5" s="544"/>
      <c r="W5" s="544"/>
      <c r="X5" s="544"/>
      <c r="Y5" s="544"/>
      <c r="Z5" s="544"/>
      <c r="AA5" s="544"/>
      <c r="AB5" s="544"/>
      <c r="AC5" s="544"/>
      <c r="AD5" s="544"/>
      <c r="AE5" s="544"/>
      <c r="AF5" s="544"/>
      <c r="AG5" s="544"/>
      <c r="AH5" s="544"/>
      <c r="AI5" s="544"/>
      <c r="AJ5" s="544"/>
      <c r="AK5" s="544"/>
      <c r="AL5" s="544"/>
    </row>
    <row r="6" spans="1:38" ht="14.45" x14ac:dyDescent="0.35">
      <c r="A6" s="398" t="s">
        <v>232</v>
      </c>
      <c r="B6" s="399"/>
      <c r="C6" s="398"/>
      <c r="D6" s="394"/>
      <c r="E6" s="394"/>
      <c r="F6" s="394"/>
      <c r="G6" s="394"/>
      <c r="H6" s="394"/>
      <c r="I6" s="394"/>
      <c r="J6" s="394"/>
      <c r="K6" s="394"/>
      <c r="L6" s="394"/>
      <c r="M6" s="394"/>
      <c r="N6" s="407"/>
      <c r="O6" s="407"/>
      <c r="P6" s="407"/>
      <c r="Q6" s="407"/>
      <c r="R6" s="407"/>
      <c r="S6" s="407"/>
      <c r="T6" s="407"/>
      <c r="U6" s="407"/>
      <c r="V6" s="407"/>
      <c r="W6" s="407"/>
      <c r="X6" s="407"/>
      <c r="Y6" s="407"/>
      <c r="Z6" s="407"/>
      <c r="AA6" s="407"/>
      <c r="AB6" s="407"/>
      <c r="AC6" s="407"/>
      <c r="AD6" s="407"/>
      <c r="AE6" s="407"/>
      <c r="AF6" s="407"/>
      <c r="AG6" s="407"/>
      <c r="AH6" s="407"/>
      <c r="AI6" s="407"/>
      <c r="AJ6" s="407"/>
      <c r="AK6" s="407"/>
      <c r="AL6" s="407"/>
    </row>
    <row r="7" spans="1:38" ht="14.45" x14ac:dyDescent="0.35">
      <c r="A7" s="446" t="s">
        <v>12</v>
      </c>
      <c r="B7" s="444"/>
    </row>
    <row r="8" spans="1:38" ht="14.45" x14ac:dyDescent="0.35">
      <c r="A8" s="444"/>
      <c r="B8" s="444" t="s">
        <v>20</v>
      </c>
    </row>
    <row r="9" spans="1:38" s="402" customFormat="1" ht="12.95" x14ac:dyDescent="0.3">
      <c r="A9" s="402" t="s">
        <v>21</v>
      </c>
    </row>
    <row r="10" spans="1:38" ht="14.45" x14ac:dyDescent="0.35">
      <c r="A10" s="444"/>
      <c r="B10" s="444" t="s">
        <v>22</v>
      </c>
      <c r="D10" s="540">
        <v>1671635</v>
      </c>
      <c r="E10" s="540">
        <v>1626678</v>
      </c>
      <c r="F10" s="540">
        <v>1644056</v>
      </c>
      <c r="G10" s="540">
        <v>1566892</v>
      </c>
      <c r="H10" s="540">
        <v>1503235</v>
      </c>
      <c r="I10" s="540">
        <v>1381128</v>
      </c>
      <c r="J10" s="540">
        <v>1117532</v>
      </c>
      <c r="K10" s="540">
        <v>890221</v>
      </c>
      <c r="L10" s="540">
        <v>802237</v>
      </c>
      <c r="M10" s="200">
        <v>742638</v>
      </c>
    </row>
    <row r="11" spans="1:38" ht="14.45" x14ac:dyDescent="0.35">
      <c r="A11" s="444"/>
      <c r="B11" s="444" t="s">
        <v>26</v>
      </c>
      <c r="H11" s="540">
        <v>10389</v>
      </c>
      <c r="I11" s="540">
        <v>10389</v>
      </c>
      <c r="J11" s="540">
        <v>10389</v>
      </c>
      <c r="K11" s="540">
        <v>11909</v>
      </c>
      <c r="L11" s="540">
        <v>11340</v>
      </c>
      <c r="M11" s="200">
        <v>11171</v>
      </c>
    </row>
    <row r="12" spans="1:38" ht="14.45" x14ac:dyDescent="0.35">
      <c r="A12" s="444"/>
      <c r="B12" s="444" t="s">
        <v>27</v>
      </c>
      <c r="D12" s="540">
        <v>73627</v>
      </c>
      <c r="E12" s="540">
        <v>55025</v>
      </c>
      <c r="F12" s="540">
        <v>70113</v>
      </c>
      <c r="G12" s="540">
        <v>99664</v>
      </c>
      <c r="H12" s="540">
        <v>108464</v>
      </c>
      <c r="I12" s="540">
        <v>196917</v>
      </c>
      <c r="J12" s="540">
        <v>423420</v>
      </c>
      <c r="K12" s="540">
        <v>359843</v>
      </c>
      <c r="L12" s="540">
        <v>289687</v>
      </c>
      <c r="M12" s="200">
        <v>342678</v>
      </c>
    </row>
    <row r="13" spans="1:38" ht="14.45" x14ac:dyDescent="0.35">
      <c r="A13" s="444"/>
      <c r="B13" s="444" t="s">
        <v>29</v>
      </c>
      <c r="M13" s="200"/>
    </row>
    <row r="14" spans="1:38" ht="14.45" x14ac:dyDescent="0.35">
      <c r="A14" s="444"/>
      <c r="B14" s="444"/>
      <c r="M14" s="200"/>
    </row>
    <row r="15" spans="1:38" s="402" customFormat="1" ht="12.95" x14ac:dyDescent="0.3">
      <c r="A15" s="402" t="s">
        <v>32</v>
      </c>
      <c r="M15" s="241"/>
    </row>
    <row r="16" spans="1:38" ht="14.45" x14ac:dyDescent="0.35">
      <c r="A16" s="444"/>
      <c r="B16" s="444" t="s">
        <v>33</v>
      </c>
      <c r="D16" s="540">
        <v>107548</v>
      </c>
      <c r="E16" s="540">
        <v>112523</v>
      </c>
      <c r="F16" s="540">
        <v>118626</v>
      </c>
      <c r="G16" s="540">
        <v>127953</v>
      </c>
      <c r="H16" s="540">
        <v>152697</v>
      </c>
      <c r="I16" s="540">
        <v>137881</v>
      </c>
      <c r="J16" s="540">
        <v>129212</v>
      </c>
      <c r="K16" s="540">
        <v>113054</v>
      </c>
      <c r="L16" s="540">
        <v>104707</v>
      </c>
      <c r="M16" s="200">
        <v>98590</v>
      </c>
    </row>
    <row r="17" spans="1:15" ht="14.45" x14ac:dyDescent="0.35">
      <c r="A17" s="445"/>
      <c r="B17" s="445" t="s">
        <v>34</v>
      </c>
      <c r="D17" s="540">
        <v>105603</v>
      </c>
      <c r="E17" s="540">
        <v>105470</v>
      </c>
      <c r="F17" s="540">
        <v>107053</v>
      </c>
      <c r="G17" s="540">
        <v>111711</v>
      </c>
      <c r="H17" s="540">
        <v>111252</v>
      </c>
      <c r="I17" s="540">
        <v>111252</v>
      </c>
      <c r="J17" s="540">
        <v>111252</v>
      </c>
      <c r="K17" s="540">
        <v>107835</v>
      </c>
      <c r="L17" s="540">
        <v>102681</v>
      </c>
      <c r="M17" s="200">
        <v>96101</v>
      </c>
    </row>
    <row r="18" spans="1:15" ht="14.45" x14ac:dyDescent="0.35">
      <c r="A18" s="444"/>
      <c r="B18" s="445" t="s">
        <v>35</v>
      </c>
      <c r="D18" s="540">
        <v>15721</v>
      </c>
      <c r="E18" s="540">
        <v>16112</v>
      </c>
      <c r="F18" s="540">
        <v>16737</v>
      </c>
      <c r="G18" s="540">
        <v>17876</v>
      </c>
      <c r="H18" s="540">
        <v>19382</v>
      </c>
      <c r="I18" s="540">
        <v>18186</v>
      </c>
      <c r="J18" s="540">
        <v>17487</v>
      </c>
      <c r="K18" s="540">
        <v>15736</v>
      </c>
      <c r="L18" s="540">
        <v>14746</v>
      </c>
      <c r="M18" s="200">
        <v>13846</v>
      </c>
    </row>
    <row r="19" spans="1:15" ht="14.45" x14ac:dyDescent="0.35">
      <c r="A19" s="444"/>
      <c r="B19" s="445" t="s">
        <v>29</v>
      </c>
      <c r="M19" s="200"/>
    </row>
    <row r="20" spans="1:15" ht="14.45" x14ac:dyDescent="0.35">
      <c r="A20" s="444"/>
      <c r="B20" s="444"/>
      <c r="M20" s="200"/>
    </row>
    <row r="21" spans="1:15" s="402" customFormat="1" ht="12.95" x14ac:dyDescent="0.3">
      <c r="A21" s="402" t="s">
        <v>36</v>
      </c>
      <c r="M21" s="241"/>
    </row>
    <row r="22" spans="1:15" ht="14.45" x14ac:dyDescent="0.35">
      <c r="A22" s="444"/>
      <c r="B22" s="444" t="s">
        <v>37</v>
      </c>
      <c r="D22" s="540">
        <v>39256</v>
      </c>
      <c r="E22" s="540">
        <v>38150</v>
      </c>
      <c r="F22" s="540">
        <v>34146</v>
      </c>
      <c r="G22" s="540">
        <v>35281</v>
      </c>
      <c r="H22" s="540">
        <v>31120</v>
      </c>
      <c r="I22" s="540">
        <v>28363</v>
      </c>
      <c r="J22" s="540">
        <v>25464</v>
      </c>
      <c r="K22" s="540">
        <v>22839</v>
      </c>
      <c r="L22" s="201">
        <v>21893</v>
      </c>
      <c r="M22" s="205">
        <v>20368</v>
      </c>
      <c r="N22" s="205"/>
      <c r="O22" s="205"/>
    </row>
    <row r="23" spans="1:15" ht="14.45" x14ac:dyDescent="0.35">
      <c r="A23" s="444"/>
      <c r="B23" s="444" t="s">
        <v>39</v>
      </c>
      <c r="D23" s="540">
        <v>4262</v>
      </c>
      <c r="E23" s="540">
        <v>4271</v>
      </c>
      <c r="F23" s="540">
        <v>4481</v>
      </c>
      <c r="G23" s="540">
        <v>4590</v>
      </c>
      <c r="H23" s="540">
        <v>5569</v>
      </c>
      <c r="I23" s="540">
        <v>5973</v>
      </c>
      <c r="J23" s="540">
        <v>6388</v>
      </c>
      <c r="K23" s="203">
        <v>6555</v>
      </c>
      <c r="L23" s="540">
        <v>5684</v>
      </c>
      <c r="M23" s="205">
        <v>6058</v>
      </c>
      <c r="N23" s="205"/>
      <c r="O23" s="205"/>
    </row>
    <row r="24" spans="1:15" ht="14.45" x14ac:dyDescent="0.35">
      <c r="A24" s="444"/>
      <c r="B24" s="444" t="s">
        <v>40</v>
      </c>
      <c r="D24">
        <v>175</v>
      </c>
      <c r="E24">
        <v>190</v>
      </c>
      <c r="F24">
        <v>228</v>
      </c>
      <c r="G24">
        <v>229</v>
      </c>
      <c r="H24">
        <v>297</v>
      </c>
      <c r="I24">
        <v>490</v>
      </c>
      <c r="J24">
        <v>600</v>
      </c>
      <c r="K24">
        <v>659</v>
      </c>
      <c r="L24">
        <v>550</v>
      </c>
      <c r="M24" s="205">
        <v>763</v>
      </c>
      <c r="N24" s="205"/>
      <c r="O24" s="205"/>
    </row>
    <row r="25" spans="1:15" ht="14.45" x14ac:dyDescent="0.35">
      <c r="A25" s="444"/>
      <c r="B25" s="444" t="s">
        <v>29</v>
      </c>
      <c r="M25" s="200"/>
      <c r="N25" s="205"/>
      <c r="O25" s="205"/>
    </row>
    <row r="26" spans="1:15" ht="14.45" x14ac:dyDescent="0.35">
      <c r="A26" s="444"/>
      <c r="B26" s="444"/>
      <c r="M26" s="200"/>
    </row>
    <row r="27" spans="1:15" s="402" customFormat="1" ht="12.95" x14ac:dyDescent="0.3">
      <c r="A27" s="402" t="s">
        <v>42</v>
      </c>
      <c r="M27" s="241"/>
    </row>
    <row r="28" spans="1:15" ht="14.45" x14ac:dyDescent="0.35">
      <c r="A28" s="444"/>
      <c r="B28" s="445" t="s">
        <v>43</v>
      </c>
      <c r="D28">
        <v>8</v>
      </c>
      <c r="E28">
        <v>7</v>
      </c>
      <c r="F28">
        <v>7</v>
      </c>
      <c r="G28">
        <v>7</v>
      </c>
      <c r="H28">
        <v>8</v>
      </c>
      <c r="I28">
        <v>8</v>
      </c>
      <c r="J28">
        <v>6</v>
      </c>
      <c r="K28">
        <v>5</v>
      </c>
      <c r="L28">
        <v>4</v>
      </c>
      <c r="M28" s="200">
        <v>4</v>
      </c>
    </row>
    <row r="29" spans="1:15" ht="14.45" x14ac:dyDescent="0.35">
      <c r="A29" s="444"/>
      <c r="B29" s="445" t="s">
        <v>44</v>
      </c>
      <c r="D29">
        <v>3</v>
      </c>
      <c r="E29">
        <v>3</v>
      </c>
      <c r="F29">
        <v>3</v>
      </c>
      <c r="G29">
        <v>3</v>
      </c>
      <c r="H29">
        <v>3</v>
      </c>
      <c r="I29">
        <v>3</v>
      </c>
      <c r="J29">
        <v>3</v>
      </c>
      <c r="K29">
        <v>4</v>
      </c>
      <c r="L29">
        <v>3</v>
      </c>
      <c r="M29" s="200">
        <v>4</v>
      </c>
    </row>
    <row r="30" spans="1:15" ht="14.45" x14ac:dyDescent="0.35">
      <c r="A30" s="444"/>
      <c r="B30" s="445" t="s">
        <v>45</v>
      </c>
      <c r="D30">
        <v>60</v>
      </c>
      <c r="E30">
        <v>61</v>
      </c>
      <c r="F30">
        <v>61</v>
      </c>
      <c r="G30">
        <v>60</v>
      </c>
      <c r="H30">
        <v>72</v>
      </c>
      <c r="I30">
        <v>64</v>
      </c>
      <c r="J30">
        <v>60</v>
      </c>
      <c r="K30">
        <v>58</v>
      </c>
      <c r="L30">
        <v>54</v>
      </c>
      <c r="M30" s="200">
        <v>65</v>
      </c>
    </row>
    <row r="31" spans="1:15" ht="14.45" x14ac:dyDescent="0.35">
      <c r="A31" s="444"/>
      <c r="B31" s="445" t="s">
        <v>46</v>
      </c>
      <c r="M31" s="200"/>
    </row>
    <row r="32" spans="1:15" ht="14.45" x14ac:dyDescent="0.35">
      <c r="A32" s="444"/>
      <c r="B32" s="444" t="s">
        <v>29</v>
      </c>
      <c r="M32" s="200"/>
    </row>
    <row r="33" spans="1:38" ht="14.45" x14ac:dyDescent="0.35">
      <c r="A33" s="444"/>
      <c r="B33" s="444"/>
      <c r="M33" s="200"/>
    </row>
    <row r="34" spans="1:38" s="402" customFormat="1" ht="12.95" x14ac:dyDescent="0.3">
      <c r="A34" s="402" t="s">
        <v>47</v>
      </c>
      <c r="M34" s="241"/>
    </row>
    <row r="35" spans="1:38" ht="14.45" x14ac:dyDescent="0.35">
      <c r="A35" s="444"/>
      <c r="B35" s="444" t="s">
        <v>48</v>
      </c>
      <c r="M35" s="200"/>
    </row>
    <row r="36" spans="1:38" ht="14.45" x14ac:dyDescent="0.35">
      <c r="A36" s="444"/>
      <c r="B36" s="445" t="s">
        <v>50</v>
      </c>
      <c r="D36" s="540">
        <v>14070</v>
      </c>
      <c r="E36" s="540">
        <v>9850</v>
      </c>
      <c r="F36" s="540">
        <v>9626</v>
      </c>
      <c r="G36" s="540">
        <v>9038</v>
      </c>
      <c r="H36" s="540">
        <v>8371</v>
      </c>
      <c r="I36" s="540">
        <v>8371</v>
      </c>
      <c r="J36" s="540">
        <v>8371</v>
      </c>
      <c r="K36" s="540">
        <v>10025</v>
      </c>
      <c r="L36" s="540">
        <v>9546</v>
      </c>
      <c r="M36" s="200">
        <v>8600</v>
      </c>
    </row>
    <row r="37" spans="1:38" ht="14.45" x14ac:dyDescent="0.35">
      <c r="A37" s="444"/>
      <c r="B37" s="444" t="s">
        <v>51</v>
      </c>
      <c r="M37" s="200"/>
    </row>
    <row r="38" spans="1:38" x14ac:dyDescent="0.25">
      <c r="A38" s="444"/>
      <c r="B38" s="444" t="s">
        <v>52</v>
      </c>
      <c r="M38" s="200"/>
    </row>
    <row r="39" spans="1:38" x14ac:dyDescent="0.25">
      <c r="A39" s="444"/>
      <c r="B39" s="445" t="s">
        <v>29</v>
      </c>
      <c r="M39" s="200"/>
    </row>
    <row r="40" spans="1:38" x14ac:dyDescent="0.25">
      <c r="A40" s="444"/>
      <c r="B40" s="445" t="s">
        <v>53</v>
      </c>
      <c r="M40" s="200"/>
    </row>
    <row r="41" spans="1:38" x14ac:dyDescent="0.25">
      <c r="M41" s="205"/>
    </row>
    <row r="42" spans="1:38" x14ac:dyDescent="0.25">
      <c r="A42" s="398" t="s">
        <v>233</v>
      </c>
      <c r="B42" s="399"/>
      <c r="C42" s="398"/>
      <c r="D42" s="394"/>
      <c r="E42" s="394"/>
      <c r="F42" s="394"/>
      <c r="G42" s="394"/>
      <c r="H42" s="394"/>
      <c r="I42" s="394"/>
      <c r="J42" s="394"/>
      <c r="K42" s="394"/>
      <c r="L42" s="394"/>
      <c r="M42" s="394"/>
      <c r="N42" s="407"/>
      <c r="O42" s="407"/>
      <c r="P42" s="407"/>
      <c r="Q42" s="407"/>
      <c r="R42" s="407"/>
      <c r="S42" s="407"/>
      <c r="T42" s="407"/>
      <c r="U42" s="407"/>
      <c r="V42" s="407"/>
      <c r="W42" s="407"/>
      <c r="X42" s="407"/>
      <c r="Y42" s="407"/>
      <c r="Z42" s="407"/>
      <c r="AA42" s="407"/>
      <c r="AB42" s="407"/>
      <c r="AC42" s="407"/>
      <c r="AD42" s="407"/>
      <c r="AE42" s="407"/>
      <c r="AF42" s="407"/>
      <c r="AG42" s="407"/>
      <c r="AH42" s="407"/>
      <c r="AI42" s="407"/>
      <c r="AJ42" s="407"/>
      <c r="AK42" s="407"/>
      <c r="AL42" s="407"/>
    </row>
    <row r="43" spans="1:38" x14ac:dyDescent="0.25">
      <c r="A43" s="446" t="s">
        <v>12</v>
      </c>
      <c r="B43" s="444"/>
    </row>
    <row r="44" spans="1:38" x14ac:dyDescent="0.25">
      <c r="A44" s="444"/>
      <c r="B44" s="444" t="s">
        <v>20</v>
      </c>
    </row>
    <row r="45" spans="1:38" s="402" customFormat="1" ht="12.75" x14ac:dyDescent="0.2">
      <c r="A45" s="402" t="s">
        <v>21</v>
      </c>
    </row>
    <row r="46" spans="1:38" x14ac:dyDescent="0.25">
      <c r="A46" s="444"/>
      <c r="B46" s="444" t="s">
        <v>22</v>
      </c>
      <c r="D46" s="201">
        <f>D10/SUM(D$10:D$13)</f>
        <v>0.95781321085315552</v>
      </c>
      <c r="E46" s="201">
        <f t="shared" ref="E46:M46" si="0">E10/SUM(E$10:E$13)</f>
        <v>0.96728019156771439</v>
      </c>
      <c r="F46" s="201">
        <f t="shared" si="0"/>
        <v>0.95909796525313429</v>
      </c>
      <c r="G46" s="201">
        <f t="shared" si="0"/>
        <v>0.94019762912257376</v>
      </c>
      <c r="H46" s="201">
        <f t="shared" si="0"/>
        <v>0.92672838958182291</v>
      </c>
      <c r="I46" s="201">
        <f t="shared" si="0"/>
        <v>0.86949032821004835</v>
      </c>
      <c r="J46" s="201">
        <f t="shared" si="0"/>
        <v>0.72036515504972798</v>
      </c>
      <c r="K46" s="201">
        <f t="shared" si="0"/>
        <v>0.70542000502387925</v>
      </c>
      <c r="L46" s="201">
        <f t="shared" si="0"/>
        <v>0.72714871508541923</v>
      </c>
      <c r="M46" s="201">
        <f t="shared" si="0"/>
        <v>0.67728846762433115</v>
      </c>
    </row>
    <row r="47" spans="1:38" x14ac:dyDescent="0.25">
      <c r="A47" s="444"/>
      <c r="B47" s="444" t="s">
        <v>26</v>
      </c>
      <c r="D47" s="201">
        <f t="shared" ref="D47:M49" si="1">D11/SUM(D$10:D$13)</f>
        <v>0</v>
      </c>
      <c r="E47" s="201">
        <f t="shared" si="1"/>
        <v>0</v>
      </c>
      <c r="F47" s="201">
        <f t="shared" si="1"/>
        <v>0</v>
      </c>
      <c r="G47" s="201">
        <f t="shared" si="1"/>
        <v>0</v>
      </c>
      <c r="H47" s="201">
        <f t="shared" si="1"/>
        <v>6.4047080059774809E-3</v>
      </c>
      <c r="I47" s="201">
        <f t="shared" si="1"/>
        <v>6.5404039450175453E-3</v>
      </c>
      <c r="J47" s="201">
        <f t="shared" si="1"/>
        <v>6.6967868444139621E-3</v>
      </c>
      <c r="K47" s="201">
        <f t="shared" si="1"/>
        <v>9.4368104547403152E-3</v>
      </c>
      <c r="L47" s="201">
        <f t="shared" si="1"/>
        <v>1.0278591524784639E-2</v>
      </c>
      <c r="M47" s="201">
        <f t="shared" si="1"/>
        <v>1.0187991284894395E-2</v>
      </c>
    </row>
    <row r="48" spans="1:38" x14ac:dyDescent="0.25">
      <c r="A48" s="444"/>
      <c r="B48" s="444" t="s">
        <v>27</v>
      </c>
      <c r="D48" s="201">
        <f t="shared" si="1"/>
        <v>4.2186789146844428E-2</v>
      </c>
      <c r="E48" s="201">
        <f t="shared" si="1"/>
        <v>3.2719808432285606E-2</v>
      </c>
      <c r="F48" s="201">
        <f t="shared" si="1"/>
        <v>4.0902034746865684E-2</v>
      </c>
      <c r="G48" s="201">
        <f t="shared" si="1"/>
        <v>5.9802370877426264E-2</v>
      </c>
      <c r="H48" s="201">
        <f t="shared" si="1"/>
        <v>6.6866902412199586E-2</v>
      </c>
      <c r="I48" s="201">
        <f t="shared" si="1"/>
        <v>0.12396926784493406</v>
      </c>
      <c r="J48" s="201">
        <f t="shared" si="1"/>
        <v>0.27293805810585808</v>
      </c>
      <c r="K48" s="201">
        <f t="shared" si="1"/>
        <v>0.28514318452138043</v>
      </c>
      <c r="L48" s="201">
        <f t="shared" si="1"/>
        <v>0.26257269338979611</v>
      </c>
      <c r="M48" s="201">
        <f t="shared" si="1"/>
        <v>0.31252354109077446</v>
      </c>
    </row>
    <row r="49" spans="1:15" x14ac:dyDescent="0.25">
      <c r="A49" s="444"/>
      <c r="B49" s="444" t="s">
        <v>29</v>
      </c>
      <c r="D49" s="201">
        <f t="shared" si="1"/>
        <v>0</v>
      </c>
      <c r="E49" s="201">
        <f t="shared" si="1"/>
        <v>0</v>
      </c>
      <c r="F49" s="201">
        <f t="shared" si="1"/>
        <v>0</v>
      </c>
      <c r="G49" s="201">
        <f t="shared" si="1"/>
        <v>0</v>
      </c>
      <c r="H49" s="201">
        <f t="shared" si="1"/>
        <v>0</v>
      </c>
      <c r="I49" s="201">
        <f t="shared" si="1"/>
        <v>0</v>
      </c>
      <c r="J49" s="201">
        <f t="shared" si="1"/>
        <v>0</v>
      </c>
      <c r="K49" s="201">
        <f t="shared" si="1"/>
        <v>0</v>
      </c>
      <c r="L49" s="201">
        <f t="shared" si="1"/>
        <v>0</v>
      </c>
      <c r="M49" s="201">
        <f t="shared" si="1"/>
        <v>0</v>
      </c>
    </row>
    <row r="50" spans="1:15" x14ac:dyDescent="0.25">
      <c r="A50" s="444"/>
      <c r="B50" s="444"/>
      <c r="M50" s="200"/>
    </row>
    <row r="51" spans="1:15" s="402" customFormat="1" ht="12.75" x14ac:dyDescent="0.2">
      <c r="A51" s="402" t="s">
        <v>32</v>
      </c>
      <c r="M51" s="241"/>
    </row>
    <row r="52" spans="1:15" x14ac:dyDescent="0.25">
      <c r="A52" s="444"/>
      <c r="B52" s="444" t="s">
        <v>33</v>
      </c>
      <c r="D52" s="201">
        <f>D16/SUM(D$16:D$19)</f>
        <v>0.46990457548323955</v>
      </c>
      <c r="E52" s="201">
        <f t="shared" ref="E52:M52" si="2">E16/SUM(E$16:E$19)</f>
        <v>0.48065184425791846</v>
      </c>
      <c r="F52" s="201">
        <f t="shared" si="2"/>
        <v>0.48934888786218733</v>
      </c>
      <c r="G52" s="201">
        <f t="shared" si="2"/>
        <v>0.49682767725401877</v>
      </c>
      <c r="H52" s="201">
        <f t="shared" si="2"/>
        <v>0.53893502652374781</v>
      </c>
      <c r="I52" s="201">
        <f t="shared" si="2"/>
        <v>0.5157919938350809</v>
      </c>
      <c r="J52" s="201">
        <f t="shared" si="2"/>
        <v>0.50091684079534482</v>
      </c>
      <c r="K52" s="201">
        <f t="shared" si="2"/>
        <v>0.47777707342842052</v>
      </c>
      <c r="L52" s="201">
        <f t="shared" si="2"/>
        <v>0.47136863334743895</v>
      </c>
      <c r="M52" s="201">
        <f t="shared" si="2"/>
        <v>0.47276982022374925</v>
      </c>
    </row>
    <row r="53" spans="1:15" x14ac:dyDescent="0.25">
      <c r="A53" s="445"/>
      <c r="B53" s="445" t="s">
        <v>34</v>
      </c>
      <c r="D53" s="201">
        <f t="shared" ref="D53:M55" si="3">D17/SUM(D$16:D$19)</f>
        <v>0.4614063756160649</v>
      </c>
      <c r="E53" s="201">
        <f t="shared" si="3"/>
        <v>0.45052433736998354</v>
      </c>
      <c r="F53" s="201">
        <f t="shared" si="3"/>
        <v>0.44160863969374958</v>
      </c>
      <c r="G53" s="201">
        <f t="shared" si="3"/>
        <v>0.43376174574823329</v>
      </c>
      <c r="H53" s="201">
        <f t="shared" si="3"/>
        <v>0.39265735129583418</v>
      </c>
      <c r="I53" s="201">
        <f t="shared" si="3"/>
        <v>0.41617692719185689</v>
      </c>
      <c r="J53" s="201">
        <f t="shared" si="3"/>
        <v>0.43129121422285627</v>
      </c>
      <c r="K53" s="201">
        <f t="shared" si="3"/>
        <v>0.45572107765451664</v>
      </c>
      <c r="L53" s="201">
        <f t="shared" si="3"/>
        <v>0.46224801246094699</v>
      </c>
      <c r="M53" s="201">
        <f t="shared" si="3"/>
        <v>0.46083428839966051</v>
      </c>
    </row>
    <row r="54" spans="1:15" x14ac:dyDescent="0.25">
      <c r="A54" s="444"/>
      <c r="B54" s="445" t="s">
        <v>35</v>
      </c>
      <c r="D54" s="201">
        <f t="shared" si="3"/>
        <v>6.868904890069559E-2</v>
      </c>
      <c r="E54" s="201">
        <f t="shared" si="3"/>
        <v>6.8823818372097986E-2</v>
      </c>
      <c r="F54" s="201">
        <f t="shared" si="3"/>
        <v>6.9042472444063099E-2</v>
      </c>
      <c r="G54" s="201">
        <f t="shared" si="3"/>
        <v>6.9410576997747928E-2</v>
      </c>
      <c r="H54" s="201">
        <f t="shared" si="3"/>
        <v>6.840762218041796E-2</v>
      </c>
      <c r="I54" s="201">
        <f t="shared" si="3"/>
        <v>6.8031078973062153E-2</v>
      </c>
      <c r="J54" s="201">
        <f t="shared" si="3"/>
        <v>6.7791944981798871E-2</v>
      </c>
      <c r="K54" s="201">
        <f t="shared" si="3"/>
        <v>6.6501848917062859E-2</v>
      </c>
      <c r="L54" s="201">
        <f t="shared" si="3"/>
        <v>6.6383354191614077E-2</v>
      </c>
      <c r="M54" s="201">
        <f t="shared" si="3"/>
        <v>6.6395891376590244E-2</v>
      </c>
    </row>
    <row r="55" spans="1:15" x14ac:dyDescent="0.25">
      <c r="A55" s="444"/>
      <c r="B55" s="445" t="s">
        <v>29</v>
      </c>
      <c r="D55" s="201">
        <f t="shared" si="3"/>
        <v>0</v>
      </c>
      <c r="E55" s="201">
        <f t="shared" si="3"/>
        <v>0</v>
      </c>
      <c r="F55" s="201">
        <f t="shared" si="3"/>
        <v>0</v>
      </c>
      <c r="G55" s="201">
        <f t="shared" si="3"/>
        <v>0</v>
      </c>
      <c r="H55" s="201">
        <f t="shared" si="3"/>
        <v>0</v>
      </c>
      <c r="I55" s="201">
        <f t="shared" si="3"/>
        <v>0</v>
      </c>
      <c r="J55" s="201">
        <f t="shared" si="3"/>
        <v>0</v>
      </c>
      <c r="K55" s="201">
        <f t="shared" si="3"/>
        <v>0</v>
      </c>
      <c r="L55" s="201">
        <f t="shared" si="3"/>
        <v>0</v>
      </c>
      <c r="M55" s="201">
        <f t="shared" si="3"/>
        <v>0</v>
      </c>
    </row>
    <row r="56" spans="1:15" x14ac:dyDescent="0.25">
      <c r="A56" s="444"/>
      <c r="B56" s="444"/>
      <c r="M56" s="200"/>
    </row>
    <row r="57" spans="1:15" s="402" customFormat="1" ht="12.75" x14ac:dyDescent="0.2">
      <c r="A57" s="402" t="s">
        <v>36</v>
      </c>
      <c r="M57" s="241"/>
    </row>
    <row r="58" spans="1:15" x14ac:dyDescent="0.25">
      <c r="A58" s="444"/>
      <c r="B58" s="444" t="s">
        <v>37</v>
      </c>
      <c r="D58" s="201">
        <f>D22/SUM(D$22:D$25)</f>
        <v>0.89845055272011531</v>
      </c>
      <c r="E58" s="201">
        <f t="shared" ref="E58:M58" si="4">E22/SUM(E$22:E$25)</f>
        <v>0.89530872309966913</v>
      </c>
      <c r="F58" s="201">
        <f t="shared" si="4"/>
        <v>0.87880581649723333</v>
      </c>
      <c r="G58" s="201">
        <f t="shared" si="4"/>
        <v>0.87982543640897759</v>
      </c>
      <c r="H58" s="201">
        <f t="shared" si="4"/>
        <v>0.84139944843995029</v>
      </c>
      <c r="I58" s="201">
        <f t="shared" si="4"/>
        <v>0.81442026072474583</v>
      </c>
      <c r="J58" s="201">
        <f t="shared" si="4"/>
        <v>0.78466658449402193</v>
      </c>
      <c r="K58" s="201">
        <f t="shared" si="4"/>
        <v>0.75995740857817851</v>
      </c>
      <c r="L58" s="201">
        <f t="shared" si="4"/>
        <v>0.77836242756070684</v>
      </c>
      <c r="M58" s="201">
        <f t="shared" si="4"/>
        <v>0.74912648497554157</v>
      </c>
      <c r="N58" s="201"/>
      <c r="O58" s="201"/>
    </row>
    <row r="59" spans="1:15" x14ac:dyDescent="0.25">
      <c r="A59" s="444"/>
      <c r="B59" s="444" t="s">
        <v>39</v>
      </c>
      <c r="D59" s="201">
        <f t="shared" ref="D59:M61" si="5">D23/SUM(D$22:D$25)</f>
        <v>9.7544229052708667E-2</v>
      </c>
      <c r="E59" s="201">
        <f t="shared" si="5"/>
        <v>0.10023233437375326</v>
      </c>
      <c r="F59" s="201">
        <f t="shared" si="5"/>
        <v>0.11532621284262</v>
      </c>
      <c r="G59" s="201">
        <f t="shared" si="5"/>
        <v>0.11446384039900249</v>
      </c>
      <c r="H59" s="201">
        <f t="shared" si="5"/>
        <v>0.15057048612988699</v>
      </c>
      <c r="I59" s="201">
        <f t="shared" si="5"/>
        <v>0.17150979153506002</v>
      </c>
      <c r="J59" s="201">
        <f t="shared" si="5"/>
        <v>0.1968445704424997</v>
      </c>
      <c r="K59" s="201">
        <f t="shared" si="5"/>
        <v>0.21811466409343494</v>
      </c>
      <c r="L59" s="201">
        <f t="shared" si="5"/>
        <v>0.20208340740214029</v>
      </c>
      <c r="M59" s="201">
        <f t="shared" si="5"/>
        <v>0.22281069550185736</v>
      </c>
      <c r="N59" s="201"/>
      <c r="O59" s="201"/>
    </row>
    <row r="60" spans="1:15" x14ac:dyDescent="0.25">
      <c r="A60" s="444"/>
      <c r="B60" s="444" t="s">
        <v>40</v>
      </c>
      <c r="D60" s="201">
        <f t="shared" si="5"/>
        <v>4.0052182271759782E-3</v>
      </c>
      <c r="E60" s="201">
        <f t="shared" si="5"/>
        <v>4.4589425265776439E-3</v>
      </c>
      <c r="F60" s="201">
        <f t="shared" si="5"/>
        <v>5.8679706601466996E-3</v>
      </c>
      <c r="G60" s="201">
        <f t="shared" si="5"/>
        <v>5.7107231920199503E-3</v>
      </c>
      <c r="H60" s="201">
        <f t="shared" si="5"/>
        <v>8.0300654301627642E-3</v>
      </c>
      <c r="I60" s="201">
        <f t="shared" si="5"/>
        <v>1.4069947740194108E-2</v>
      </c>
      <c r="J60" s="201">
        <f t="shared" si="5"/>
        <v>1.8488845063478369E-2</v>
      </c>
      <c r="K60" s="201">
        <f t="shared" si="5"/>
        <v>2.1927927328386516E-2</v>
      </c>
      <c r="L60" s="201">
        <f t="shared" si="5"/>
        <v>1.9554165037152915E-2</v>
      </c>
      <c r="M60" s="201">
        <f t="shared" si="5"/>
        <v>2.8062819522601052E-2</v>
      </c>
      <c r="N60" s="201"/>
      <c r="O60" s="201"/>
    </row>
    <row r="61" spans="1:15" x14ac:dyDescent="0.25">
      <c r="A61" s="444"/>
      <c r="B61" s="444" t="s">
        <v>29</v>
      </c>
      <c r="D61" s="201">
        <f t="shared" si="5"/>
        <v>0</v>
      </c>
      <c r="E61" s="201">
        <f t="shared" si="5"/>
        <v>0</v>
      </c>
      <c r="F61" s="201">
        <f t="shared" si="5"/>
        <v>0</v>
      </c>
      <c r="G61" s="201">
        <f t="shared" si="5"/>
        <v>0</v>
      </c>
      <c r="H61" s="201">
        <f t="shared" si="5"/>
        <v>0</v>
      </c>
      <c r="I61" s="201">
        <f t="shared" si="5"/>
        <v>0</v>
      </c>
      <c r="J61" s="201">
        <f t="shared" si="5"/>
        <v>0</v>
      </c>
      <c r="K61" s="201">
        <f t="shared" si="5"/>
        <v>0</v>
      </c>
      <c r="L61" s="201">
        <f t="shared" si="5"/>
        <v>0</v>
      </c>
      <c r="M61" s="201">
        <f t="shared" si="5"/>
        <v>0</v>
      </c>
      <c r="N61" s="201"/>
      <c r="O61" s="201"/>
    </row>
    <row r="62" spans="1:15" x14ac:dyDescent="0.25">
      <c r="A62" s="444"/>
      <c r="B62" s="444"/>
      <c r="M62" s="200"/>
    </row>
    <row r="63" spans="1:15" s="402" customFormat="1" ht="12.75" x14ac:dyDescent="0.2">
      <c r="A63" s="402" t="s">
        <v>42</v>
      </c>
      <c r="M63" s="241"/>
    </row>
    <row r="64" spans="1:15" x14ac:dyDescent="0.25">
      <c r="A64" s="444"/>
      <c r="B64" s="445" t="s">
        <v>43</v>
      </c>
      <c r="D64" s="201">
        <f>D28/SUM(D$28:D$32)</f>
        <v>0.11267605633802817</v>
      </c>
      <c r="E64" s="201">
        <f t="shared" ref="E64:M64" si="6">E28/SUM(E$28:E$32)</f>
        <v>9.8591549295774641E-2</v>
      </c>
      <c r="F64" s="201">
        <f t="shared" si="6"/>
        <v>9.8591549295774641E-2</v>
      </c>
      <c r="G64" s="201">
        <f t="shared" si="6"/>
        <v>0.1</v>
      </c>
      <c r="H64" s="201">
        <f t="shared" si="6"/>
        <v>9.6385542168674704E-2</v>
      </c>
      <c r="I64" s="201">
        <f t="shared" si="6"/>
        <v>0.10666666666666667</v>
      </c>
      <c r="J64" s="201">
        <f t="shared" si="6"/>
        <v>8.6956521739130432E-2</v>
      </c>
      <c r="K64" s="201">
        <f t="shared" si="6"/>
        <v>7.4626865671641784E-2</v>
      </c>
      <c r="L64" s="201">
        <f t="shared" si="6"/>
        <v>6.5573770491803282E-2</v>
      </c>
      <c r="M64" s="201">
        <f t="shared" si="6"/>
        <v>5.4794520547945202E-2</v>
      </c>
    </row>
    <row r="65" spans="1:38" x14ac:dyDescent="0.25">
      <c r="A65" s="444"/>
      <c r="B65" s="445" t="s">
        <v>44</v>
      </c>
      <c r="D65" s="201">
        <f t="shared" ref="D65:M68" si="7">D29/SUM(D$28:D$32)</f>
        <v>4.2253521126760563E-2</v>
      </c>
      <c r="E65" s="201">
        <f t="shared" si="7"/>
        <v>4.2253521126760563E-2</v>
      </c>
      <c r="F65" s="201">
        <f t="shared" si="7"/>
        <v>4.2253521126760563E-2</v>
      </c>
      <c r="G65" s="201">
        <f t="shared" si="7"/>
        <v>4.2857142857142858E-2</v>
      </c>
      <c r="H65" s="201">
        <f t="shared" si="7"/>
        <v>3.614457831325301E-2</v>
      </c>
      <c r="I65" s="201">
        <f t="shared" si="7"/>
        <v>0.04</v>
      </c>
      <c r="J65" s="201">
        <f t="shared" si="7"/>
        <v>4.3478260869565216E-2</v>
      </c>
      <c r="K65" s="201">
        <f t="shared" si="7"/>
        <v>5.9701492537313432E-2</v>
      </c>
      <c r="L65" s="201">
        <f t="shared" si="7"/>
        <v>4.9180327868852458E-2</v>
      </c>
      <c r="M65" s="201">
        <f t="shared" si="7"/>
        <v>5.4794520547945202E-2</v>
      </c>
    </row>
    <row r="66" spans="1:38" x14ac:dyDescent="0.25">
      <c r="A66" s="444"/>
      <c r="B66" s="445" t="s">
        <v>45</v>
      </c>
      <c r="D66" s="201">
        <f t="shared" si="7"/>
        <v>0.84507042253521125</v>
      </c>
      <c r="E66" s="201">
        <f t="shared" si="7"/>
        <v>0.85915492957746475</v>
      </c>
      <c r="F66" s="201">
        <f t="shared" si="7"/>
        <v>0.85915492957746475</v>
      </c>
      <c r="G66" s="201">
        <f t="shared" si="7"/>
        <v>0.8571428571428571</v>
      </c>
      <c r="H66" s="201">
        <f t="shared" si="7"/>
        <v>0.86746987951807231</v>
      </c>
      <c r="I66" s="201">
        <f t="shared" si="7"/>
        <v>0.85333333333333339</v>
      </c>
      <c r="J66" s="201">
        <f t="shared" si="7"/>
        <v>0.86956521739130432</v>
      </c>
      <c r="K66" s="201">
        <f t="shared" si="7"/>
        <v>0.86567164179104472</v>
      </c>
      <c r="L66" s="201">
        <f t="shared" si="7"/>
        <v>0.88524590163934425</v>
      </c>
      <c r="M66" s="201">
        <f t="shared" si="7"/>
        <v>0.8904109589041096</v>
      </c>
    </row>
    <row r="67" spans="1:38" x14ac:dyDescent="0.25">
      <c r="A67" s="444"/>
      <c r="B67" s="445" t="s">
        <v>46</v>
      </c>
      <c r="D67" s="201">
        <f t="shared" si="7"/>
        <v>0</v>
      </c>
      <c r="E67" s="201">
        <f t="shared" si="7"/>
        <v>0</v>
      </c>
      <c r="F67" s="201">
        <f t="shared" si="7"/>
        <v>0</v>
      </c>
      <c r="G67" s="201">
        <f t="shared" si="7"/>
        <v>0</v>
      </c>
      <c r="H67" s="201">
        <f t="shared" si="7"/>
        <v>0</v>
      </c>
      <c r="I67" s="201">
        <f t="shared" si="7"/>
        <v>0</v>
      </c>
      <c r="J67" s="201">
        <f t="shared" si="7"/>
        <v>0</v>
      </c>
      <c r="K67" s="201">
        <f t="shared" si="7"/>
        <v>0</v>
      </c>
      <c r="L67" s="201">
        <f t="shared" si="7"/>
        <v>0</v>
      </c>
      <c r="M67" s="201">
        <f t="shared" si="7"/>
        <v>0</v>
      </c>
    </row>
    <row r="68" spans="1:38" x14ac:dyDescent="0.25">
      <c r="A68" s="444"/>
      <c r="B68" s="444" t="s">
        <v>29</v>
      </c>
      <c r="D68" s="201">
        <f t="shared" si="7"/>
        <v>0</v>
      </c>
      <c r="E68" s="201">
        <f t="shared" si="7"/>
        <v>0</v>
      </c>
      <c r="F68" s="201">
        <f t="shared" si="7"/>
        <v>0</v>
      </c>
      <c r="G68" s="201">
        <f t="shared" si="7"/>
        <v>0</v>
      </c>
      <c r="H68" s="201">
        <f t="shared" si="7"/>
        <v>0</v>
      </c>
      <c r="I68" s="201">
        <f t="shared" si="7"/>
        <v>0</v>
      </c>
      <c r="J68" s="201">
        <f t="shared" si="7"/>
        <v>0</v>
      </c>
      <c r="K68" s="201">
        <f t="shared" si="7"/>
        <v>0</v>
      </c>
      <c r="L68" s="201">
        <f t="shared" si="7"/>
        <v>0</v>
      </c>
      <c r="M68" s="201">
        <f t="shared" si="7"/>
        <v>0</v>
      </c>
    </row>
    <row r="69" spans="1:38" x14ac:dyDescent="0.25">
      <c r="A69" s="444"/>
      <c r="B69" s="444"/>
      <c r="M69" s="200"/>
    </row>
    <row r="70" spans="1:38" s="402" customFormat="1" ht="12.75" x14ac:dyDescent="0.2">
      <c r="A70" s="402" t="s">
        <v>47</v>
      </c>
      <c r="M70" s="241"/>
    </row>
    <row r="71" spans="1:38" x14ac:dyDescent="0.25">
      <c r="A71" s="444"/>
      <c r="B71" s="444" t="s">
        <v>48</v>
      </c>
      <c r="M71" s="200"/>
    </row>
    <row r="72" spans="1:38" x14ac:dyDescent="0.25">
      <c r="A72" s="444"/>
      <c r="B72" s="445" t="s">
        <v>50</v>
      </c>
      <c r="M72" s="200"/>
    </row>
    <row r="73" spans="1:38" x14ac:dyDescent="0.25">
      <c r="A73" s="444"/>
      <c r="B73" s="444" t="s">
        <v>51</v>
      </c>
      <c r="M73" s="200"/>
    </row>
    <row r="74" spans="1:38" x14ac:dyDescent="0.25">
      <c r="A74" s="444"/>
      <c r="B74" s="444" t="s">
        <v>52</v>
      </c>
      <c r="M74" s="200"/>
    </row>
    <row r="75" spans="1:38" x14ac:dyDescent="0.25">
      <c r="A75" s="444"/>
      <c r="B75" s="445" t="s">
        <v>29</v>
      </c>
      <c r="M75" s="200"/>
    </row>
    <row r="76" spans="1:38" x14ac:dyDescent="0.25">
      <c r="A76" s="444"/>
      <c r="B76" s="445" t="s">
        <v>53</v>
      </c>
      <c r="M76" s="200"/>
    </row>
    <row r="77" spans="1:38" s="539" customFormat="1" x14ac:dyDescent="0.25">
      <c r="A77" s="550"/>
      <c r="B77" s="552"/>
      <c r="M77" s="200"/>
    </row>
    <row r="78" spans="1:38" s="539" customFormat="1" x14ac:dyDescent="0.25">
      <c r="A78" s="554" t="s">
        <v>248</v>
      </c>
      <c r="B78" s="555"/>
      <c r="C78" s="554"/>
      <c r="D78" s="553"/>
      <c r="E78" s="553"/>
      <c r="F78" s="553"/>
      <c r="G78" s="553"/>
      <c r="H78" s="553"/>
      <c r="I78" s="553"/>
      <c r="J78" s="553"/>
      <c r="K78" s="553"/>
      <c r="L78" s="553"/>
      <c r="M78" s="553"/>
      <c r="N78" s="560"/>
      <c r="O78" s="560"/>
      <c r="P78" s="560"/>
      <c r="Q78" s="560"/>
      <c r="R78" s="560"/>
      <c r="S78" s="560"/>
      <c r="T78" s="560"/>
      <c r="U78" s="560"/>
      <c r="V78" s="560"/>
      <c r="W78" s="560"/>
      <c r="X78" s="560"/>
      <c r="Y78" s="560"/>
      <c r="Z78" s="560"/>
      <c r="AA78" s="560"/>
      <c r="AB78" s="560"/>
      <c r="AC78" s="560"/>
      <c r="AD78" s="560"/>
      <c r="AE78" s="560"/>
      <c r="AF78" s="560"/>
      <c r="AG78" s="560"/>
      <c r="AH78" s="560"/>
      <c r="AI78" s="560"/>
      <c r="AJ78" s="560"/>
      <c r="AK78" s="560"/>
      <c r="AL78" s="560"/>
    </row>
    <row r="79" spans="1:38" s="539" customFormat="1" x14ac:dyDescent="0.25">
      <c r="A79" s="551" t="s">
        <v>12</v>
      </c>
      <c r="B79" s="550"/>
    </row>
    <row r="80" spans="1:38" s="539" customFormat="1" x14ac:dyDescent="0.25">
      <c r="A80" s="550"/>
      <c r="B80" s="550" t="s">
        <v>20</v>
      </c>
    </row>
    <row r="81" spans="1:38" s="556" customFormat="1" ht="12.75" x14ac:dyDescent="0.2">
      <c r="A81" s="556" t="s">
        <v>21</v>
      </c>
    </row>
    <row r="82" spans="1:38" s="539" customFormat="1" x14ac:dyDescent="0.25">
      <c r="A82" s="550"/>
      <c r="B82" s="550" t="s">
        <v>22</v>
      </c>
      <c r="D82" s="540"/>
      <c r="E82" s="540"/>
      <c r="F82" s="540"/>
      <c r="G82" s="540"/>
      <c r="H82" s="540"/>
      <c r="I82" s="540"/>
      <c r="J82" s="540"/>
      <c r="K82" s="540"/>
      <c r="L82" s="540"/>
      <c r="M82" s="200"/>
      <c r="N82" s="540">
        <v>46304.704356797614</v>
      </c>
      <c r="O82" s="540">
        <v>43703.05747078007</v>
      </c>
      <c r="P82" s="540">
        <v>35692.719203965367</v>
      </c>
      <c r="Q82" s="540">
        <v>32339.114632939945</v>
      </c>
      <c r="R82" s="540">
        <v>31087.713922774125</v>
      </c>
      <c r="S82" s="540">
        <v>29439.627761335254</v>
      </c>
      <c r="T82" s="540">
        <v>27691.469863954138</v>
      </c>
      <c r="U82" s="540">
        <v>25751.838217979763</v>
      </c>
      <c r="V82" s="540">
        <v>23666.466251657526</v>
      </c>
      <c r="W82" s="540">
        <v>21283.525222534325</v>
      </c>
      <c r="X82" s="540">
        <v>18645.836342722017</v>
      </c>
      <c r="Y82" s="540">
        <v>15991.203596485479</v>
      </c>
      <c r="Z82" s="540">
        <v>13440.57475422041</v>
      </c>
      <c r="AA82" s="540">
        <v>11102.288645008424</v>
      </c>
      <c r="AB82" s="540">
        <v>9112.261842117563</v>
      </c>
      <c r="AC82" s="540">
        <v>7438.2063063958849</v>
      </c>
      <c r="AD82" s="540">
        <v>6067.8197603952185</v>
      </c>
      <c r="AE82" s="540">
        <v>4967.7898674682929</v>
      </c>
      <c r="AF82" s="540">
        <v>4112.0356951426311</v>
      </c>
      <c r="AG82" s="540">
        <v>3457.9192142997813</v>
      </c>
      <c r="AH82" s="540">
        <v>2937.6422564253294</v>
      </c>
      <c r="AI82" s="540">
        <v>2524.9778290294148</v>
      </c>
      <c r="AJ82" s="540">
        <v>2190.5896597522392</v>
      </c>
      <c r="AK82" s="540">
        <v>1912.3666906825054</v>
      </c>
      <c r="AL82" s="540">
        <v>1653.79370229084</v>
      </c>
    </row>
    <row r="83" spans="1:38" s="539" customFormat="1" x14ac:dyDescent="0.25">
      <c r="A83" s="550"/>
      <c r="B83" s="550" t="s">
        <v>26</v>
      </c>
      <c r="H83" s="540"/>
      <c r="I83" s="540"/>
      <c r="J83" s="540"/>
      <c r="K83" s="540"/>
      <c r="L83" s="540"/>
      <c r="M83" s="200"/>
      <c r="N83" s="540">
        <v>624.96208922426308</v>
      </c>
      <c r="O83" s="540">
        <v>2425.6310968957387</v>
      </c>
      <c r="P83" s="540">
        <v>6960.0090734048417</v>
      </c>
      <c r="Q83" s="540">
        <v>9223.7498333498224</v>
      </c>
      <c r="R83" s="540">
        <v>9060.3775665392022</v>
      </c>
      <c r="S83" s="540">
        <v>8766.6153367949446</v>
      </c>
      <c r="T83" s="540">
        <v>8418.050301403764</v>
      </c>
      <c r="U83" s="540">
        <v>7997.0079397578602</v>
      </c>
      <c r="V83" s="540">
        <v>7515.1636638017253</v>
      </c>
      <c r="W83" s="540">
        <v>6929.6136098801217</v>
      </c>
      <c r="X83" s="540">
        <v>6247.0240037923786</v>
      </c>
      <c r="Y83" s="540">
        <v>5536.224641414502</v>
      </c>
      <c r="Z83" s="540">
        <v>4828.1350130772134</v>
      </c>
      <c r="AA83" s="540">
        <v>4156.7292074067554</v>
      </c>
      <c r="AB83" s="540">
        <v>3569.8869567062902</v>
      </c>
      <c r="AC83" s="540">
        <v>3060.7586950942723</v>
      </c>
      <c r="AD83" s="540">
        <v>2631.0956884657685</v>
      </c>
      <c r="AE83" s="540">
        <v>2275.6393986216885</v>
      </c>
      <c r="AF83" s="540">
        <v>1992.7195519467473</v>
      </c>
      <c r="AG83" s="540">
        <v>1772.9449437088329</v>
      </c>
      <c r="AH83" s="540">
        <v>1594.2554503966571</v>
      </c>
      <c r="AI83" s="540">
        <v>1447.4001139534844</v>
      </c>
      <c r="AJ83" s="540">
        <v>1324.9415563905836</v>
      </c>
      <c r="AK83" s="540">
        <v>1219.2834031642403</v>
      </c>
      <c r="AL83" s="540">
        <v>1113.3847626296938</v>
      </c>
    </row>
    <row r="84" spans="1:38" s="539" customFormat="1" x14ac:dyDescent="0.25">
      <c r="A84" s="550"/>
      <c r="B84" s="550" t="s">
        <v>27</v>
      </c>
      <c r="D84" s="540"/>
      <c r="E84" s="540"/>
      <c r="F84" s="540"/>
      <c r="G84" s="540"/>
      <c r="H84" s="540"/>
      <c r="I84" s="540"/>
      <c r="J84" s="540"/>
      <c r="K84" s="540"/>
      <c r="L84" s="540"/>
      <c r="M84" s="200"/>
      <c r="N84" s="540">
        <v>19368.135441743379</v>
      </c>
      <c r="O84" s="540">
        <v>17792.06239618269</v>
      </c>
      <c r="P84" s="540">
        <v>19731.482481735849</v>
      </c>
      <c r="Q84" s="540">
        <v>18640.387647128668</v>
      </c>
      <c r="R84" s="540">
        <v>18354.750133387002</v>
      </c>
      <c r="S84" s="540">
        <v>18404.953954094886</v>
      </c>
      <c r="T84" s="540">
        <v>18072.000505986678</v>
      </c>
      <c r="U84" s="540">
        <v>17458.440463505933</v>
      </c>
      <c r="V84" s="540">
        <v>16517.07897480164</v>
      </c>
      <c r="W84" s="540">
        <v>15463.405423299893</v>
      </c>
      <c r="X84" s="540">
        <v>14307.23878676723</v>
      </c>
      <c r="Y84" s="540">
        <v>13035.692184639644</v>
      </c>
      <c r="Z84" s="540">
        <v>11737.431218411193</v>
      </c>
      <c r="AA84" s="540">
        <v>10496.017275407561</v>
      </c>
      <c r="AB84" s="540">
        <v>9357.4391071122081</v>
      </c>
      <c r="AC84" s="540">
        <v>8375.4201853454488</v>
      </c>
      <c r="AD84" s="540">
        <v>7548.4025052344286</v>
      </c>
      <c r="AE84" s="540">
        <v>6872.0437416754457</v>
      </c>
      <c r="AF84" s="540">
        <v>6333.566616261428</v>
      </c>
      <c r="AG84" s="540">
        <v>5916.2547633171152</v>
      </c>
      <c r="AH84" s="540">
        <v>5604.037833282765</v>
      </c>
      <c r="AI84" s="540">
        <v>5351.114320638424</v>
      </c>
      <c r="AJ84" s="540">
        <v>5151.5619732254963</v>
      </c>
      <c r="AK84" s="540">
        <v>4992.8919071554346</v>
      </c>
      <c r="AL84" s="540">
        <v>4859.8271493860593</v>
      </c>
    </row>
    <row r="85" spans="1:38" s="539" customFormat="1" x14ac:dyDescent="0.25">
      <c r="A85" s="550"/>
      <c r="B85" s="550" t="s">
        <v>29</v>
      </c>
      <c r="M85" s="200"/>
      <c r="N85" s="540">
        <v>243.08015632454709</v>
      </c>
      <c r="O85" s="540">
        <v>592.51972952373353</v>
      </c>
      <c r="P85" s="540">
        <v>957.11947293777496</v>
      </c>
      <c r="Q85" s="540">
        <v>1544.7968668783074</v>
      </c>
      <c r="R85" s="540">
        <v>2373.5783708747672</v>
      </c>
      <c r="S85" s="540">
        <v>3516.428914060014</v>
      </c>
      <c r="T85" s="540">
        <v>5004.9983585557766</v>
      </c>
      <c r="U85" s="540">
        <v>6887.8295313048302</v>
      </c>
      <c r="V85" s="540">
        <v>9104.2560026455685</v>
      </c>
      <c r="W85" s="540">
        <v>11596.384744954114</v>
      </c>
      <c r="X85" s="540">
        <v>14182.613096898933</v>
      </c>
      <c r="Y85" s="540">
        <v>16670.456765010702</v>
      </c>
      <c r="Z85" s="540">
        <v>18874.94042467705</v>
      </c>
      <c r="AA85" s="540">
        <v>20696.611190812229</v>
      </c>
      <c r="AB85" s="540">
        <v>22070.317798685304</v>
      </c>
      <c r="AC85" s="540">
        <v>23063.915126437343</v>
      </c>
      <c r="AD85" s="540">
        <v>23727.560644576155</v>
      </c>
      <c r="AE85" s="540">
        <v>24158.270736444731</v>
      </c>
      <c r="AF85" s="540">
        <v>24441.986499667844</v>
      </c>
      <c r="AG85" s="540">
        <v>24652.919949537489</v>
      </c>
      <c r="AH85" s="540">
        <v>24894.594882295787</v>
      </c>
      <c r="AI85" s="540">
        <v>25063.929726705057</v>
      </c>
      <c r="AJ85" s="540">
        <v>25223.355921812432</v>
      </c>
      <c r="AK85" s="540">
        <v>25391.146284501399</v>
      </c>
      <c r="AL85" s="540">
        <v>25605.888508249995</v>
      </c>
    </row>
    <row r="86" spans="1:38" s="539" customFormat="1" x14ac:dyDescent="0.25">
      <c r="A86" s="550"/>
      <c r="B86" s="550"/>
      <c r="M86" s="200"/>
      <c r="N86" s="540"/>
      <c r="O86" s="540"/>
      <c r="P86" s="540"/>
      <c r="Q86" s="540"/>
      <c r="R86" s="540"/>
      <c r="S86" s="540"/>
      <c r="T86" s="540"/>
      <c r="U86" s="540"/>
      <c r="V86" s="540"/>
      <c r="W86" s="540"/>
      <c r="X86" s="540"/>
      <c r="Y86" s="540"/>
      <c r="Z86" s="540"/>
      <c r="AA86" s="540"/>
      <c r="AB86" s="540"/>
      <c r="AC86" s="540"/>
      <c r="AD86" s="540"/>
      <c r="AE86" s="540"/>
      <c r="AF86" s="540"/>
      <c r="AG86" s="540"/>
      <c r="AH86" s="540"/>
      <c r="AI86" s="540"/>
      <c r="AJ86" s="540"/>
      <c r="AK86" s="540"/>
      <c r="AL86" s="540"/>
    </row>
    <row r="87" spans="1:38" s="556" customFormat="1" ht="12.75" x14ac:dyDescent="0.2">
      <c r="A87" s="556" t="s">
        <v>32</v>
      </c>
      <c r="M87" s="241"/>
      <c r="N87" s="547"/>
      <c r="O87" s="547"/>
      <c r="P87" s="547"/>
      <c r="Q87" s="547"/>
      <c r="R87" s="547"/>
      <c r="S87" s="547"/>
      <c r="T87" s="547"/>
      <c r="U87" s="547"/>
      <c r="V87" s="547"/>
      <c r="W87" s="547"/>
      <c r="X87" s="547"/>
      <c r="Y87" s="547"/>
      <c r="Z87" s="547"/>
      <c r="AA87" s="547"/>
      <c r="AB87" s="547"/>
      <c r="AC87" s="547"/>
      <c r="AD87" s="547"/>
      <c r="AE87" s="547"/>
      <c r="AF87" s="547"/>
      <c r="AG87" s="547"/>
      <c r="AH87" s="547"/>
      <c r="AI87" s="547"/>
      <c r="AJ87" s="547"/>
      <c r="AK87" s="547"/>
      <c r="AL87" s="547"/>
    </row>
    <row r="88" spans="1:38" s="539" customFormat="1" x14ac:dyDescent="0.25">
      <c r="A88" s="550"/>
      <c r="B88" s="550" t="s">
        <v>33</v>
      </c>
      <c r="D88" s="540"/>
      <c r="E88" s="540"/>
      <c r="F88" s="540"/>
      <c r="G88" s="540"/>
      <c r="H88" s="540"/>
      <c r="I88" s="540"/>
      <c r="J88" s="540"/>
      <c r="K88" s="540"/>
      <c r="L88" s="540"/>
      <c r="M88" s="200"/>
      <c r="N88" s="540">
        <v>4949.1738860203532</v>
      </c>
      <c r="O88" s="540">
        <v>4997.6848020788239</v>
      </c>
      <c r="P88" s="540">
        <v>4926.5293198373347</v>
      </c>
      <c r="Q88" s="540">
        <v>4711.2513742671017</v>
      </c>
      <c r="R88" s="540">
        <v>4436.0838584116345</v>
      </c>
      <c r="S88" s="540">
        <v>4028.9092473232058</v>
      </c>
      <c r="T88" s="540">
        <v>3580.5130316057812</v>
      </c>
      <c r="U88" s="540">
        <v>3113.583400733542</v>
      </c>
      <c r="V88" s="540">
        <v>2663.5105405915006</v>
      </c>
      <c r="W88" s="540">
        <v>2230.2919955017192</v>
      </c>
      <c r="X88" s="540">
        <v>1830.3418341997444</v>
      </c>
      <c r="Y88" s="540">
        <v>1488.3581712685013</v>
      </c>
      <c r="Z88" s="540">
        <v>1202.6547292261255</v>
      </c>
      <c r="AA88" s="540">
        <v>970.05192198103862</v>
      </c>
      <c r="AB88" s="540">
        <v>790.39862522789406</v>
      </c>
      <c r="AC88" s="540">
        <v>649.6193752488299</v>
      </c>
      <c r="AD88" s="540">
        <v>540.40918587919657</v>
      </c>
      <c r="AE88" s="540">
        <v>455.62728227115463</v>
      </c>
      <c r="AF88" s="540">
        <v>391.28168947759923</v>
      </c>
      <c r="AG88" s="540">
        <v>342.85577335715323</v>
      </c>
      <c r="AH88" s="540">
        <v>304.06616864090859</v>
      </c>
      <c r="AI88" s="540">
        <v>272.24649506404279</v>
      </c>
      <c r="AJ88" s="540">
        <v>245.83044991501302</v>
      </c>
      <c r="AK88" s="540">
        <v>222.94139790287545</v>
      </c>
      <c r="AL88" s="540">
        <v>199.89675546455095</v>
      </c>
    </row>
    <row r="89" spans="1:38" s="539" customFormat="1" x14ac:dyDescent="0.25">
      <c r="A89" s="552"/>
      <c r="B89" s="552" t="s">
        <v>34</v>
      </c>
      <c r="D89" s="540"/>
      <c r="E89" s="540"/>
      <c r="F89" s="540"/>
      <c r="G89" s="540"/>
      <c r="H89" s="540"/>
      <c r="I89" s="540"/>
      <c r="J89" s="540"/>
      <c r="K89" s="540"/>
      <c r="L89" s="540"/>
      <c r="M89" s="200"/>
      <c r="N89" s="540">
        <v>5066.4607579409812</v>
      </c>
      <c r="O89" s="540">
        <v>5102.902023922371</v>
      </c>
      <c r="P89" s="540">
        <v>5074.8089999156191</v>
      </c>
      <c r="Q89" s="540">
        <v>4948.6971497709865</v>
      </c>
      <c r="R89" s="540">
        <v>4738.265006586691</v>
      </c>
      <c r="S89" s="540">
        <v>4428.5776755496327</v>
      </c>
      <c r="T89" s="540">
        <v>4039.9513064086177</v>
      </c>
      <c r="U89" s="540">
        <v>3605.2674212111729</v>
      </c>
      <c r="V89" s="540">
        <v>3158.5504034323785</v>
      </c>
      <c r="W89" s="540">
        <v>2718.9583586407343</v>
      </c>
      <c r="X89" s="540">
        <v>2303.9963668485179</v>
      </c>
      <c r="Y89" s="540">
        <v>1937.062434370069</v>
      </c>
      <c r="Z89" s="540">
        <v>1621.2596845620508</v>
      </c>
      <c r="AA89" s="540">
        <v>1357.4731898801017</v>
      </c>
      <c r="AB89" s="540">
        <v>1147.6650079040287</v>
      </c>
      <c r="AC89" s="540">
        <v>980.1725404508793</v>
      </c>
      <c r="AD89" s="540">
        <v>848.01349860987636</v>
      </c>
      <c r="AE89" s="540">
        <v>744.13592824608338</v>
      </c>
      <c r="AF89" s="540">
        <v>664.65924967598005</v>
      </c>
      <c r="AG89" s="540">
        <v>604.85223590613884</v>
      </c>
      <c r="AH89" s="540">
        <v>557.69500357490267</v>
      </c>
      <c r="AI89" s="540">
        <v>518.74246591197925</v>
      </c>
      <c r="AJ89" s="540">
        <v>486.62145777508493</v>
      </c>
      <c r="AK89" s="540">
        <v>458.85882020035825</v>
      </c>
      <c r="AL89" s="540">
        <v>430.19468775459052</v>
      </c>
    </row>
    <row r="90" spans="1:38" s="539" customFormat="1" x14ac:dyDescent="0.25">
      <c r="A90" s="550"/>
      <c r="B90" s="552" t="s">
        <v>35</v>
      </c>
      <c r="D90" s="540"/>
      <c r="E90" s="540"/>
      <c r="F90" s="540"/>
      <c r="G90" s="540"/>
      <c r="H90" s="540"/>
      <c r="I90" s="540"/>
      <c r="J90" s="540"/>
      <c r="K90" s="540"/>
      <c r="L90" s="540"/>
      <c r="M90" s="200"/>
      <c r="N90" s="540">
        <v>1223.4252343177739</v>
      </c>
      <c r="O90" s="540">
        <v>1197.8450454359449</v>
      </c>
      <c r="P90" s="540">
        <v>1192.3135072676039</v>
      </c>
      <c r="Q90" s="540">
        <v>1194.4027248229852</v>
      </c>
      <c r="R90" s="540">
        <v>1163.8771824190214</v>
      </c>
      <c r="S90" s="540">
        <v>1138.953092787928</v>
      </c>
      <c r="T90" s="540">
        <v>1078.7612136241939</v>
      </c>
      <c r="U90" s="540">
        <v>997.42027325846652</v>
      </c>
      <c r="V90" s="540">
        <v>899.91240362928124</v>
      </c>
      <c r="W90" s="540">
        <v>803.96297893003577</v>
      </c>
      <c r="X90" s="540">
        <v>713.05051062125017</v>
      </c>
      <c r="Y90" s="540">
        <v>628.2347805151885</v>
      </c>
      <c r="Z90" s="540">
        <v>552.15587379427348</v>
      </c>
      <c r="AA90" s="540">
        <v>486.75597424939713</v>
      </c>
      <c r="AB90" s="540">
        <v>431.97399115096647</v>
      </c>
      <c r="AC90" s="540">
        <v>387.71409475120691</v>
      </c>
      <c r="AD90" s="540">
        <v>352.50383724292368</v>
      </c>
      <c r="AE90" s="540">
        <v>325.05586625761947</v>
      </c>
      <c r="AF90" s="540">
        <v>304.2946118493677</v>
      </c>
      <c r="AG90" s="540">
        <v>289.08990280242671</v>
      </c>
      <c r="AH90" s="540">
        <v>278.57178542131305</v>
      </c>
      <c r="AI90" s="540">
        <v>270.20132799900341</v>
      </c>
      <c r="AJ90" s="540">
        <v>264.10338118442019</v>
      </c>
      <c r="AK90" s="540">
        <v>259.65763642090849</v>
      </c>
      <c r="AL90" s="540">
        <v>256.10243925625036</v>
      </c>
    </row>
    <row r="91" spans="1:38" s="539" customFormat="1" x14ac:dyDescent="0.25">
      <c r="A91" s="550"/>
      <c r="B91" s="552" t="s">
        <v>29</v>
      </c>
      <c r="M91" s="200"/>
      <c r="N91" s="540">
        <v>90.816951878364137</v>
      </c>
      <c r="O91" s="540">
        <v>260.53398596614574</v>
      </c>
      <c r="P91" s="540">
        <v>579.99138437840168</v>
      </c>
      <c r="Q91" s="540">
        <v>1059.0020459766192</v>
      </c>
      <c r="R91" s="540">
        <v>1665.7694086307579</v>
      </c>
      <c r="S91" s="540">
        <v>2397.6077892168491</v>
      </c>
      <c r="T91" s="540">
        <v>3171.9271397280622</v>
      </c>
      <c r="U91" s="540">
        <v>3934.5078549960167</v>
      </c>
      <c r="V91" s="540">
        <v>4623.377106220616</v>
      </c>
      <c r="W91" s="540">
        <v>5219.6301980737571</v>
      </c>
      <c r="X91" s="540">
        <v>5696.9477515201288</v>
      </c>
      <c r="Y91" s="540">
        <v>6053.5080124543083</v>
      </c>
      <c r="Z91" s="540">
        <v>6295.8738878663071</v>
      </c>
      <c r="AA91" s="540">
        <v>6443.6409666000363</v>
      </c>
      <c r="AB91" s="540">
        <v>6516.8764854255414</v>
      </c>
      <c r="AC91" s="540">
        <v>6539.2324657925983</v>
      </c>
      <c r="AD91" s="540">
        <v>6526.9876688484301</v>
      </c>
      <c r="AE91" s="540">
        <v>6498.4296702523006</v>
      </c>
      <c r="AF91" s="540">
        <v>6469.5725192446025</v>
      </c>
      <c r="AG91" s="540">
        <v>6450.412402709564</v>
      </c>
      <c r="AH91" s="540">
        <v>6456.5188329401617</v>
      </c>
      <c r="AI91" s="540">
        <v>6456.7907922035811</v>
      </c>
      <c r="AJ91" s="540">
        <v>6466.8888642600332</v>
      </c>
      <c r="AK91" s="540">
        <v>6487.0177776843766</v>
      </c>
      <c r="AL91" s="540">
        <v>6523.1424683830883</v>
      </c>
    </row>
    <row r="92" spans="1:38" s="539" customFormat="1" x14ac:dyDescent="0.25">
      <c r="A92" s="550"/>
      <c r="B92" s="550"/>
      <c r="M92" s="200"/>
      <c r="N92" s="540"/>
      <c r="O92" s="540"/>
      <c r="P92" s="540"/>
      <c r="Q92" s="540"/>
      <c r="R92" s="540"/>
      <c r="S92" s="540"/>
      <c r="T92" s="540"/>
      <c r="U92" s="540"/>
      <c r="V92" s="540"/>
      <c r="W92" s="540"/>
      <c r="X92" s="540"/>
      <c r="Y92" s="540"/>
      <c r="Z92" s="540"/>
      <c r="AA92" s="540"/>
      <c r="AB92" s="540"/>
      <c r="AC92" s="540"/>
      <c r="AD92" s="540"/>
      <c r="AE92" s="540"/>
      <c r="AF92" s="540"/>
      <c r="AG92" s="540"/>
      <c r="AH92" s="540"/>
      <c r="AI92" s="540"/>
      <c r="AJ92" s="540"/>
      <c r="AK92" s="540"/>
      <c r="AL92" s="540"/>
    </row>
    <row r="93" spans="1:38" s="556" customFormat="1" ht="12.75" x14ac:dyDescent="0.2">
      <c r="A93" s="556" t="s">
        <v>36</v>
      </c>
      <c r="M93" s="241"/>
      <c r="N93" s="547"/>
      <c r="O93" s="547"/>
      <c r="P93" s="547"/>
      <c r="Q93" s="547"/>
      <c r="R93" s="547"/>
      <c r="S93" s="547"/>
      <c r="T93" s="547"/>
      <c r="U93" s="547"/>
      <c r="V93" s="547"/>
      <c r="W93" s="547"/>
      <c r="X93" s="547"/>
      <c r="Y93" s="547"/>
      <c r="Z93" s="547"/>
      <c r="AA93" s="547"/>
      <c r="AB93" s="547"/>
      <c r="AC93" s="547"/>
      <c r="AD93" s="547"/>
      <c r="AE93" s="547"/>
      <c r="AF93" s="547"/>
      <c r="AG93" s="547"/>
      <c r="AH93" s="547"/>
      <c r="AI93" s="547"/>
      <c r="AJ93" s="547"/>
      <c r="AK93" s="547"/>
      <c r="AL93" s="547"/>
    </row>
    <row r="94" spans="1:38" s="539" customFormat="1" x14ac:dyDescent="0.25">
      <c r="A94" s="550"/>
      <c r="B94" s="550" t="s">
        <v>37</v>
      </c>
      <c r="D94" s="540"/>
      <c r="E94" s="540"/>
      <c r="F94" s="540"/>
      <c r="G94" s="540"/>
      <c r="H94" s="540"/>
      <c r="I94" s="540"/>
      <c r="J94" s="540"/>
      <c r="K94" s="540"/>
      <c r="L94" s="201"/>
      <c r="M94" s="540"/>
      <c r="N94" s="540">
        <v>508.5541762951533</v>
      </c>
      <c r="O94" s="540">
        <v>392.94459448771386</v>
      </c>
      <c r="P94" s="540">
        <v>289.32730061145844</v>
      </c>
      <c r="Q94" s="540">
        <v>192.48655292813157</v>
      </c>
      <c r="R94" s="540">
        <v>170.55650113606526</v>
      </c>
      <c r="S94" s="540">
        <v>151.67735214303028</v>
      </c>
      <c r="T94" s="540">
        <v>136.44437007515765</v>
      </c>
      <c r="U94" s="540">
        <v>122.8043270808547</v>
      </c>
      <c r="V94" s="540">
        <v>110.66283648761281</v>
      </c>
      <c r="W94" s="540">
        <v>99.715920708101024</v>
      </c>
      <c r="X94" s="540">
        <v>89.839264917061826</v>
      </c>
      <c r="Y94" s="540">
        <v>81.037578338944627</v>
      </c>
      <c r="Z94" s="540">
        <v>73.145758469574588</v>
      </c>
      <c r="AA94" s="540">
        <v>66.058175147971042</v>
      </c>
      <c r="AB94" s="540">
        <v>59.741043768963486</v>
      </c>
      <c r="AC94" s="540">
        <v>54.054497979319777</v>
      </c>
      <c r="AD94" s="540">
        <v>48.935355326511683</v>
      </c>
      <c r="AE94" s="540">
        <v>44.323817209973392</v>
      </c>
      <c r="AF94" s="540">
        <v>40.190590540510755</v>
      </c>
      <c r="AG94" s="540">
        <v>36.491892765280724</v>
      </c>
      <c r="AH94" s="540">
        <v>33.157043018636429</v>
      </c>
      <c r="AI94" s="540">
        <v>30.136793430576564</v>
      </c>
      <c r="AJ94" s="540">
        <v>27.407202898090258</v>
      </c>
      <c r="AK94" s="540">
        <v>24.932020211156665</v>
      </c>
      <c r="AL94" s="540">
        <v>22.650354953464227</v>
      </c>
    </row>
    <row r="95" spans="1:38" s="539" customFormat="1" x14ac:dyDescent="0.25">
      <c r="A95" s="550"/>
      <c r="B95" s="550" t="s">
        <v>39</v>
      </c>
      <c r="D95" s="540"/>
      <c r="E95" s="540"/>
      <c r="F95" s="540"/>
      <c r="G95" s="540"/>
      <c r="H95" s="540"/>
      <c r="I95" s="540"/>
      <c r="J95" s="540"/>
      <c r="K95" s="203"/>
      <c r="L95" s="540"/>
      <c r="M95" s="540"/>
      <c r="N95" s="540">
        <v>1895.0870645572804</v>
      </c>
      <c r="O95" s="540">
        <v>1918.4383439545388</v>
      </c>
      <c r="P95" s="540">
        <v>1904.4637444384853</v>
      </c>
      <c r="Q95" s="540">
        <v>1925.7200537732901</v>
      </c>
      <c r="R95" s="540">
        <v>1893.9364533088417</v>
      </c>
      <c r="S95" s="540">
        <v>1848.857923257159</v>
      </c>
      <c r="T95" s="540">
        <v>1743.2096675654052</v>
      </c>
      <c r="U95" s="540">
        <v>1637.4980538035543</v>
      </c>
      <c r="V95" s="540">
        <v>1536.4770480433842</v>
      </c>
      <c r="W95" s="540">
        <v>1440.8297820627995</v>
      </c>
      <c r="X95" s="540">
        <v>1351.3611494322306</v>
      </c>
      <c r="Y95" s="540">
        <v>1272.4191559592382</v>
      </c>
      <c r="Z95" s="540">
        <v>1200.7351255520982</v>
      </c>
      <c r="AA95" s="540">
        <v>1135.9182609660106</v>
      </c>
      <c r="AB95" s="540">
        <v>1079.5650468587601</v>
      </c>
      <c r="AC95" s="540">
        <v>1028.6753471634092</v>
      </c>
      <c r="AD95" s="540">
        <v>982.74478525734798</v>
      </c>
      <c r="AE95" s="540">
        <v>941.4426172910629</v>
      </c>
      <c r="AF95" s="540">
        <v>905.63019984621019</v>
      </c>
      <c r="AG95" s="540">
        <v>875.13014396435437</v>
      </c>
      <c r="AH95" s="540">
        <v>848.85475968927437</v>
      </c>
      <c r="AI95" s="540">
        <v>823.80129769806547</v>
      </c>
      <c r="AJ95" s="540">
        <v>801.03738554054212</v>
      </c>
      <c r="AK95" s="540">
        <v>779.96040188102597</v>
      </c>
      <c r="AL95" s="540">
        <v>758.77674165027679</v>
      </c>
    </row>
    <row r="96" spans="1:38" s="539" customFormat="1" x14ac:dyDescent="0.25">
      <c r="A96" s="550"/>
      <c r="B96" s="550" t="s">
        <v>40</v>
      </c>
      <c r="M96" s="540"/>
      <c r="N96" s="540">
        <v>293.45529821393956</v>
      </c>
      <c r="O96" s="540">
        <v>386.6133060598911</v>
      </c>
      <c r="P96" s="540">
        <v>486.63466874112208</v>
      </c>
      <c r="Q96" s="540">
        <v>551.59488063938761</v>
      </c>
      <c r="R96" s="540">
        <v>597.5055832248795</v>
      </c>
      <c r="S96" s="540">
        <v>633.78948139839008</v>
      </c>
      <c r="T96" s="540">
        <v>676.81016622678578</v>
      </c>
      <c r="U96" s="540">
        <v>706.19426936072261</v>
      </c>
      <c r="V96" s="540">
        <v>722.70125843639164</v>
      </c>
      <c r="W96" s="540">
        <v>727.13998917322306</v>
      </c>
      <c r="X96" s="540">
        <v>721.38841887744081</v>
      </c>
      <c r="Y96" s="540">
        <v>709.96469463508254</v>
      </c>
      <c r="Z96" s="540">
        <v>693.54238554448125</v>
      </c>
      <c r="AA96" s="540">
        <v>674.06613539696559</v>
      </c>
      <c r="AB96" s="540">
        <v>654.30548489141665</v>
      </c>
      <c r="AC96" s="540">
        <v>633.94866965678716</v>
      </c>
      <c r="AD96" s="540">
        <v>613.74480237383364</v>
      </c>
      <c r="AE96" s="540">
        <v>594.27723652681573</v>
      </c>
      <c r="AF96" s="540">
        <v>576.64992743210428</v>
      </c>
      <c r="AG96" s="540">
        <v>561.17243823080742</v>
      </c>
      <c r="AH96" s="540">
        <v>547.48203120237372</v>
      </c>
      <c r="AI96" s="540">
        <v>533.87841198707918</v>
      </c>
      <c r="AJ96" s="540">
        <v>521.17846542085022</v>
      </c>
      <c r="AK96" s="540">
        <v>509.11513731956563</v>
      </c>
      <c r="AL96" s="540">
        <v>496.26252728170869</v>
      </c>
    </row>
    <row r="97" spans="1:38" s="539" customFormat="1" x14ac:dyDescent="0.25">
      <c r="A97" s="550"/>
      <c r="B97" s="550" t="s">
        <v>29</v>
      </c>
      <c r="M97" s="200"/>
      <c r="N97" s="540">
        <v>1.4034745375454688E-2</v>
      </c>
      <c r="O97" s="540">
        <v>0.45332440648939731</v>
      </c>
      <c r="P97" s="540">
        <v>3.4863107460928981</v>
      </c>
      <c r="Q97" s="540">
        <v>12.607999743326983</v>
      </c>
      <c r="R97" s="540">
        <v>31.142307982484933</v>
      </c>
      <c r="S97" s="540">
        <v>61.34103079052138</v>
      </c>
      <c r="T97" s="540">
        <v>105.57823452663958</v>
      </c>
      <c r="U97" s="540">
        <v>161.27411027547333</v>
      </c>
      <c r="V97" s="540">
        <v>225.47123632537384</v>
      </c>
      <c r="W97" s="540">
        <v>296.14831118463178</v>
      </c>
      <c r="X97" s="540">
        <v>368.44112955817809</v>
      </c>
      <c r="Y97" s="540">
        <v>442.40752821152239</v>
      </c>
      <c r="Z97" s="540">
        <v>515.19041803832829</v>
      </c>
      <c r="AA97" s="540">
        <v>585.25443882022205</v>
      </c>
      <c r="AB97" s="540">
        <v>651.52131247771831</v>
      </c>
      <c r="AC97" s="540">
        <v>712.61188948988763</v>
      </c>
      <c r="AD97" s="540">
        <v>767.8816848195155</v>
      </c>
      <c r="AE97" s="540">
        <v>817.83129168281198</v>
      </c>
      <c r="AF97" s="540">
        <v>863.89423676752233</v>
      </c>
      <c r="AG97" s="540">
        <v>906.99095873928263</v>
      </c>
      <c r="AH97" s="540">
        <v>949.61187868507272</v>
      </c>
      <c r="AI97" s="540">
        <v>986.1987785067123</v>
      </c>
      <c r="AJ97" s="540">
        <v>1020.2481156510161</v>
      </c>
      <c r="AK97" s="540">
        <v>1052.3508753934616</v>
      </c>
      <c r="AL97" s="540">
        <v>1084.3748411204353</v>
      </c>
    </row>
    <row r="98" spans="1:38" s="539" customFormat="1" x14ac:dyDescent="0.25">
      <c r="A98" s="550"/>
      <c r="B98" s="550"/>
      <c r="M98" s="200"/>
      <c r="N98" s="540"/>
      <c r="O98" s="540"/>
      <c r="P98" s="540"/>
      <c r="Q98" s="540"/>
      <c r="R98" s="540"/>
      <c r="S98" s="540"/>
      <c r="T98" s="540"/>
      <c r="U98" s="540"/>
      <c r="V98" s="540"/>
      <c r="W98" s="540"/>
      <c r="X98" s="540"/>
      <c r="Y98" s="540"/>
      <c r="Z98" s="540"/>
      <c r="AA98" s="540"/>
      <c r="AB98" s="540"/>
      <c r="AC98" s="540"/>
      <c r="AD98" s="540"/>
      <c r="AE98" s="540"/>
      <c r="AF98" s="540"/>
      <c r="AG98" s="540"/>
      <c r="AH98" s="540"/>
      <c r="AI98" s="540"/>
      <c r="AJ98" s="540"/>
      <c r="AK98" s="540"/>
      <c r="AL98" s="540"/>
    </row>
    <row r="99" spans="1:38" s="556" customFormat="1" ht="12.75" x14ac:dyDescent="0.2">
      <c r="A99" s="556" t="s">
        <v>42</v>
      </c>
      <c r="M99" s="241"/>
      <c r="N99" s="547"/>
      <c r="O99" s="547"/>
      <c r="P99" s="547"/>
      <c r="Q99" s="547"/>
      <c r="R99" s="547"/>
      <c r="S99" s="547"/>
      <c r="T99" s="547"/>
      <c r="U99" s="547"/>
      <c r="V99" s="547"/>
      <c r="W99" s="547"/>
      <c r="X99" s="547"/>
      <c r="Y99" s="547"/>
      <c r="Z99" s="547"/>
      <c r="AA99" s="547"/>
      <c r="AB99" s="547"/>
      <c r="AC99" s="547"/>
      <c r="AD99" s="547"/>
      <c r="AE99" s="547"/>
      <c r="AF99" s="547"/>
      <c r="AG99" s="547"/>
      <c r="AH99" s="547"/>
      <c r="AI99" s="547"/>
      <c r="AJ99" s="547"/>
      <c r="AK99" s="547"/>
      <c r="AL99" s="547"/>
    </row>
    <row r="100" spans="1:38" s="539" customFormat="1" x14ac:dyDescent="0.25">
      <c r="A100" s="550"/>
      <c r="B100" s="552" t="s">
        <v>43</v>
      </c>
      <c r="M100" s="200"/>
      <c r="N100" s="540">
        <v>1.8325595620122612</v>
      </c>
      <c r="O100" s="540">
        <v>1.863733214605686</v>
      </c>
      <c r="P100" s="540">
        <v>1.878992338338525</v>
      </c>
      <c r="Q100" s="540">
        <v>1.8706788626023532</v>
      </c>
      <c r="R100" s="540">
        <v>1.8596430077092747</v>
      </c>
      <c r="S100" s="540">
        <v>1.8403336742254353</v>
      </c>
      <c r="T100" s="540">
        <v>1.8134686708219947</v>
      </c>
      <c r="U100" s="540">
        <v>1.7859172737541902</v>
      </c>
      <c r="V100" s="540">
        <v>1.759876553627834</v>
      </c>
      <c r="W100" s="540">
        <v>1.7360526053601448</v>
      </c>
      <c r="X100" s="540">
        <v>1.713507465571277</v>
      </c>
      <c r="Y100" s="540">
        <v>1.6989286418747116</v>
      </c>
      <c r="Z100" s="540">
        <v>1.6891340894158433</v>
      </c>
      <c r="AA100" s="540">
        <v>1.6839711220245519</v>
      </c>
      <c r="AB100" s="540">
        <v>1.6847597147741642</v>
      </c>
      <c r="AC100" s="540">
        <v>1.6881022417981091</v>
      </c>
      <c r="AD100" s="540">
        <v>1.6930334855898965</v>
      </c>
      <c r="AE100" s="540">
        <v>1.6994311239528956</v>
      </c>
      <c r="AF100" s="540">
        <v>1.7088378695075461</v>
      </c>
      <c r="AG100" s="540">
        <v>1.7215367739372853</v>
      </c>
      <c r="AH100" s="540">
        <v>1.738238313525351</v>
      </c>
      <c r="AI100" s="540">
        <v>1.7520866270026365</v>
      </c>
      <c r="AJ100" s="540">
        <v>1.7663270599225966</v>
      </c>
      <c r="AK100" s="540">
        <v>1.7807422376599031</v>
      </c>
      <c r="AL100" s="540">
        <v>1.7950683990632839</v>
      </c>
    </row>
    <row r="101" spans="1:38" s="539" customFormat="1" x14ac:dyDescent="0.25">
      <c r="A101" s="550"/>
      <c r="B101" s="552" t="s">
        <v>44</v>
      </c>
      <c r="M101" s="200"/>
      <c r="N101" s="540">
        <v>12.31369546783748</v>
      </c>
      <c r="O101" s="540">
        <v>12.732774105629229</v>
      </c>
      <c r="P101" s="540">
        <v>13.01070851024989</v>
      </c>
      <c r="Q101" s="540">
        <v>13.088677584609949</v>
      </c>
      <c r="R101" s="540">
        <v>13.129810394708281</v>
      </c>
      <c r="S101" s="540">
        <v>13.094772277948394</v>
      </c>
      <c r="T101" s="540">
        <v>12.987693583293613</v>
      </c>
      <c r="U101" s="540">
        <v>12.864509222346335</v>
      </c>
      <c r="V101" s="540">
        <v>12.743373226651496</v>
      </c>
      <c r="W101" s="540">
        <v>12.631841576250483</v>
      </c>
      <c r="X101" s="540">
        <v>12.523416126117526</v>
      </c>
      <c r="Y101" s="540">
        <v>12.471219008621743</v>
      </c>
      <c r="Z101" s="540">
        <v>12.450788671971464</v>
      </c>
      <c r="AA101" s="540">
        <v>12.46155645624725</v>
      </c>
      <c r="AB101" s="540">
        <v>12.514110160083135</v>
      </c>
      <c r="AC101" s="540">
        <v>12.582299684471199</v>
      </c>
      <c r="AD101" s="540">
        <v>12.658841629523964</v>
      </c>
      <c r="AE101" s="540">
        <v>12.743178106349674</v>
      </c>
      <c r="AF101" s="540">
        <v>12.847710672294989</v>
      </c>
      <c r="AG101" s="540">
        <v>12.974872820059664</v>
      </c>
      <c r="AH101" s="540">
        <v>13.130916501967324</v>
      </c>
      <c r="AI101" s="540">
        <v>13.26132458799932</v>
      </c>
      <c r="AJ101" s="540">
        <v>13.392289743836979</v>
      </c>
      <c r="AK101" s="540">
        <v>13.522410476085797</v>
      </c>
      <c r="AL101" s="540">
        <v>13.637869121544121</v>
      </c>
    </row>
    <row r="102" spans="1:38" s="539" customFormat="1" x14ac:dyDescent="0.25">
      <c r="A102" s="550"/>
      <c r="B102" s="552" t="s">
        <v>45</v>
      </c>
      <c r="M102" s="200"/>
      <c r="N102" s="540">
        <v>1.1802280289384426</v>
      </c>
      <c r="O102" s="540">
        <v>1.0783450279297611</v>
      </c>
      <c r="P102" s="540">
        <v>0.98538162265357632</v>
      </c>
      <c r="Q102" s="540">
        <v>0.9004139410423766</v>
      </c>
      <c r="R102" s="540">
        <v>0.82296640274408583</v>
      </c>
      <c r="S102" s="540">
        <v>0.75229070336854198</v>
      </c>
      <c r="T102" s="540">
        <v>0.68777301130986801</v>
      </c>
      <c r="U102" s="540">
        <v>0.62894368416951152</v>
      </c>
      <c r="V102" s="540">
        <v>0.57531992918818342</v>
      </c>
      <c r="W102" s="540">
        <v>0.52644785999827015</v>
      </c>
      <c r="X102" s="540">
        <v>0.48189211917397567</v>
      </c>
      <c r="Y102" s="540">
        <v>0.44135576423148304</v>
      </c>
      <c r="Z102" s="540">
        <v>0.40444618447264435</v>
      </c>
      <c r="AA102" s="540">
        <v>0.37084301964303895</v>
      </c>
      <c r="AB102" s="540">
        <v>0.34027340618387542</v>
      </c>
      <c r="AC102" s="540">
        <v>0.31242919136894304</v>
      </c>
      <c r="AD102" s="540">
        <v>0.28705795627879482</v>
      </c>
      <c r="AE102" s="540">
        <v>0.26394026166526185</v>
      </c>
      <c r="AF102" s="540">
        <v>0.24289794351794644</v>
      </c>
      <c r="AG102" s="540">
        <v>0.22375385235858961</v>
      </c>
      <c r="AH102" s="540">
        <v>0.20635348802481818</v>
      </c>
      <c r="AI102" s="540">
        <v>0.19045543096486223</v>
      </c>
      <c r="AJ102" s="540">
        <v>0.17596731588316605</v>
      </c>
      <c r="AK102" s="540">
        <v>0.1627624663405646</v>
      </c>
      <c r="AL102" s="540">
        <v>0.15072566877519608</v>
      </c>
    </row>
    <row r="103" spans="1:38" s="539" customFormat="1" x14ac:dyDescent="0.25">
      <c r="A103" s="550"/>
      <c r="B103" s="552" t="s">
        <v>46</v>
      </c>
      <c r="M103" s="200"/>
      <c r="N103" s="540">
        <v>0</v>
      </c>
      <c r="O103" s="540">
        <v>0</v>
      </c>
      <c r="P103" s="540">
        <v>0</v>
      </c>
      <c r="Q103" s="540">
        <v>0</v>
      </c>
      <c r="R103" s="540">
        <v>0</v>
      </c>
      <c r="S103" s="540">
        <v>0</v>
      </c>
      <c r="T103" s="540">
        <v>0</v>
      </c>
      <c r="U103" s="540">
        <v>0</v>
      </c>
      <c r="V103" s="540">
        <v>0</v>
      </c>
      <c r="W103" s="540">
        <v>0</v>
      </c>
      <c r="X103" s="540">
        <v>0</v>
      </c>
      <c r="Y103" s="540">
        <v>0</v>
      </c>
      <c r="Z103" s="540">
        <v>0</v>
      </c>
      <c r="AA103" s="540">
        <v>0</v>
      </c>
      <c r="AB103" s="540">
        <v>0</v>
      </c>
      <c r="AC103" s="540">
        <v>0</v>
      </c>
      <c r="AD103" s="540">
        <v>0</v>
      </c>
      <c r="AE103" s="540">
        <v>0</v>
      </c>
      <c r="AF103" s="540">
        <v>0</v>
      </c>
      <c r="AG103" s="540">
        <v>0</v>
      </c>
      <c r="AH103" s="540">
        <v>0</v>
      </c>
      <c r="AI103" s="540">
        <v>0</v>
      </c>
      <c r="AJ103" s="540">
        <v>0</v>
      </c>
      <c r="AK103" s="540">
        <v>0</v>
      </c>
      <c r="AL103" s="540">
        <v>0</v>
      </c>
    </row>
    <row r="104" spans="1:38" s="539" customFormat="1" x14ac:dyDescent="0.25">
      <c r="A104" s="550"/>
      <c r="B104" s="550" t="s">
        <v>29</v>
      </c>
      <c r="M104" s="200"/>
      <c r="N104" s="540">
        <v>0.37044620383537435</v>
      </c>
      <c r="O104" s="540">
        <v>0.53520722650653274</v>
      </c>
      <c r="P104" s="540">
        <v>0.73043065067968693</v>
      </c>
      <c r="Q104" s="540">
        <v>0.94589239829374794</v>
      </c>
      <c r="R104" s="540">
        <v>1.1833818294128531</v>
      </c>
      <c r="S104" s="540">
        <v>1.4298026624367499</v>
      </c>
      <c r="T104" s="540">
        <v>1.6733666182546261</v>
      </c>
      <c r="U104" s="540">
        <v>1.9116063919297785</v>
      </c>
      <c r="V104" s="540">
        <v>2.139399033984521</v>
      </c>
      <c r="W104" s="540">
        <v>2.3508978970874184</v>
      </c>
      <c r="X104" s="540">
        <v>2.5377334526974153</v>
      </c>
      <c r="Y104" s="540">
        <v>2.7099973690327159</v>
      </c>
      <c r="Z104" s="540">
        <v>2.8605224491876196</v>
      </c>
      <c r="AA104" s="540">
        <v>2.9905267799886599</v>
      </c>
      <c r="AB104" s="540">
        <v>3.1067449501721351</v>
      </c>
      <c r="AC104" s="540">
        <v>3.2046740059968801</v>
      </c>
      <c r="AD104" s="540">
        <v>3.2859707405505088</v>
      </c>
      <c r="AE104" s="540">
        <v>3.3544769935586345</v>
      </c>
      <c r="AF104" s="540">
        <v>3.4182320196464002</v>
      </c>
      <c r="AG104" s="540">
        <v>3.4810160189464487</v>
      </c>
      <c r="AH104" s="540">
        <v>3.5474554233908484</v>
      </c>
      <c r="AI104" s="540">
        <v>3.5988201130507074</v>
      </c>
      <c r="AJ104" s="540">
        <v>3.6465498576752728</v>
      </c>
      <c r="AK104" s="540">
        <v>3.6911898956851146</v>
      </c>
      <c r="AL104" s="540">
        <v>3.7332268976872167</v>
      </c>
    </row>
    <row r="105" spans="1:38" s="539" customFormat="1" x14ac:dyDescent="0.25">
      <c r="A105" s="550"/>
      <c r="B105" s="550"/>
      <c r="M105" s="200"/>
      <c r="N105" s="540"/>
      <c r="O105" s="540"/>
      <c r="P105" s="540"/>
      <c r="Q105" s="540"/>
      <c r="R105" s="540"/>
      <c r="S105" s="540"/>
      <c r="T105" s="540"/>
      <c r="U105" s="540"/>
      <c r="V105" s="540"/>
      <c r="W105" s="540"/>
      <c r="X105" s="540"/>
      <c r="Y105" s="540"/>
      <c r="Z105" s="540"/>
      <c r="AA105" s="540"/>
      <c r="AB105" s="540"/>
      <c r="AC105" s="540"/>
      <c r="AD105" s="540"/>
      <c r="AE105" s="540"/>
      <c r="AF105" s="540"/>
      <c r="AG105" s="540"/>
      <c r="AH105" s="540"/>
      <c r="AI105" s="540"/>
      <c r="AJ105" s="540"/>
      <c r="AK105" s="540"/>
      <c r="AL105" s="540"/>
    </row>
    <row r="106" spans="1:38" s="556" customFormat="1" ht="12.75" x14ac:dyDescent="0.2">
      <c r="A106" s="556" t="s">
        <v>47</v>
      </c>
      <c r="M106" s="241"/>
      <c r="N106" s="547"/>
      <c r="O106" s="547"/>
      <c r="P106" s="547"/>
      <c r="Q106" s="547"/>
      <c r="R106" s="547"/>
      <c r="S106" s="547"/>
      <c r="T106" s="547"/>
      <c r="U106" s="547"/>
      <c r="V106" s="547"/>
      <c r="W106" s="547"/>
      <c r="X106" s="547"/>
      <c r="Y106" s="547"/>
      <c r="Z106" s="547"/>
      <c r="AA106" s="547"/>
      <c r="AB106" s="547"/>
      <c r="AC106" s="547"/>
      <c r="AD106" s="547"/>
      <c r="AE106" s="547"/>
      <c r="AF106" s="547"/>
      <c r="AG106" s="547"/>
      <c r="AH106" s="547"/>
      <c r="AI106" s="547"/>
      <c r="AJ106" s="547"/>
      <c r="AK106" s="547"/>
      <c r="AL106" s="547"/>
    </row>
    <row r="107" spans="1:38" s="539" customFormat="1" x14ac:dyDescent="0.25">
      <c r="A107" s="550"/>
      <c r="B107" s="550" t="s">
        <v>48</v>
      </c>
      <c r="M107" s="200"/>
      <c r="N107" s="540">
        <v>40247.235252046041</v>
      </c>
      <c r="O107" s="540">
        <v>41035.73451698658</v>
      </c>
      <c r="P107" s="540">
        <v>41203.527648941017</v>
      </c>
      <c r="Q107" s="540">
        <v>39894.653512485274</v>
      </c>
      <c r="R107" s="540">
        <v>36122.231924229054</v>
      </c>
      <c r="S107" s="540">
        <v>29682.804940015511</v>
      </c>
      <c r="T107" s="540">
        <v>21768.160139311265</v>
      </c>
      <c r="U107" s="540">
        <v>14285.826373970869</v>
      </c>
      <c r="V107" s="540">
        <v>8531.7434976937529</v>
      </c>
      <c r="W107" s="540">
        <v>4720.2351718869058</v>
      </c>
      <c r="X107" s="540">
        <v>2485.6760231290377</v>
      </c>
      <c r="Y107" s="540">
        <v>1260.7834302537372</v>
      </c>
      <c r="Z107" s="540">
        <v>622.46596276769048</v>
      </c>
      <c r="AA107" s="540">
        <v>301.51683218849979</v>
      </c>
      <c r="AB107" s="540">
        <v>144.49879529496283</v>
      </c>
      <c r="AC107" s="540">
        <v>68.655080901811033</v>
      </c>
      <c r="AD107" s="540">
        <v>32.428743023105305</v>
      </c>
      <c r="AE107" s="540">
        <v>15.253180175413931</v>
      </c>
      <c r="AF107" s="540">
        <v>7.1637167710221048</v>
      </c>
      <c r="AG107" s="540">
        <v>3.3652660604761504</v>
      </c>
      <c r="AH107" s="540">
        <v>1.5796448641210652</v>
      </c>
      <c r="AI107" s="540">
        <v>0.74086492125303216</v>
      </c>
      <c r="AJ107" s="540">
        <v>0.34742724460720847</v>
      </c>
      <c r="AK107" s="540">
        <v>0.16284538828808609</v>
      </c>
      <c r="AL107" s="540">
        <v>7.6014570290377753E-2</v>
      </c>
    </row>
    <row r="108" spans="1:38" s="539" customFormat="1" x14ac:dyDescent="0.25">
      <c r="A108" s="550"/>
      <c r="B108" s="552" t="s">
        <v>50</v>
      </c>
      <c r="D108" s="540"/>
      <c r="E108" s="540"/>
      <c r="F108" s="540"/>
      <c r="G108" s="540"/>
      <c r="H108" s="540"/>
      <c r="I108" s="540"/>
      <c r="J108" s="540"/>
      <c r="K108" s="540"/>
      <c r="L108" s="540"/>
      <c r="M108" s="200"/>
      <c r="N108" s="540">
        <v>1143.5298857012247</v>
      </c>
      <c r="O108" s="540">
        <v>1165.6408487506719</v>
      </c>
      <c r="P108" s="540">
        <v>1171.7204499146267</v>
      </c>
      <c r="Q108" s="540">
        <v>1141.2308888440227</v>
      </c>
      <c r="R108" s="540">
        <v>1064.0990215221316</v>
      </c>
      <c r="S108" s="540">
        <v>937.86124050159242</v>
      </c>
      <c r="T108" s="540">
        <v>781.35263590620548</v>
      </c>
      <c r="U108" s="540">
        <v>625.04323023523727</v>
      </c>
      <c r="V108" s="540">
        <v>488.48312158326087</v>
      </c>
      <c r="W108" s="540">
        <v>376.43249728710612</v>
      </c>
      <c r="X108" s="540">
        <v>290.21380047834759</v>
      </c>
      <c r="Y108" s="540">
        <v>224.42208949811666</v>
      </c>
      <c r="Z108" s="540">
        <v>174.13453560552023</v>
      </c>
      <c r="AA108" s="540">
        <v>135.65603537707071</v>
      </c>
      <c r="AB108" s="540">
        <v>106.48657295088705</v>
      </c>
      <c r="AC108" s="540">
        <v>83.976026991662422</v>
      </c>
      <c r="AD108" s="540">
        <v>66.321245857332812</v>
      </c>
      <c r="AE108" s="540">
        <v>52.495656225239301</v>
      </c>
      <c r="AF108" s="540">
        <v>41.716059048965668</v>
      </c>
      <c r="AG108" s="540">
        <v>33.292902084476118</v>
      </c>
      <c r="AH108" s="540">
        <v>26.615914810803346</v>
      </c>
      <c r="AI108" s="540">
        <v>21.261042956903847</v>
      </c>
      <c r="AJ108" s="540">
        <v>16.990745079503796</v>
      </c>
      <c r="AK108" s="540">
        <v>13.570838640533088</v>
      </c>
      <c r="AL108" s="540">
        <v>10.782063057040391</v>
      </c>
    </row>
    <row r="109" spans="1:38" s="539" customFormat="1" x14ac:dyDescent="0.25">
      <c r="A109" s="550"/>
      <c r="B109" s="550" t="s">
        <v>51</v>
      </c>
      <c r="M109" s="200"/>
      <c r="N109" s="540">
        <v>774.83779555685032</v>
      </c>
      <c r="O109" s="540">
        <v>785.58387484093873</v>
      </c>
      <c r="P109" s="540">
        <v>779.9624977135087</v>
      </c>
      <c r="Q109" s="540">
        <v>747.03269622871744</v>
      </c>
      <c r="R109" s="540">
        <v>691.25283963675895</v>
      </c>
      <c r="S109" s="540">
        <v>615.18774233318845</v>
      </c>
      <c r="T109" s="540">
        <v>530.38944143940375</v>
      </c>
      <c r="U109" s="540">
        <v>449.24458590501649</v>
      </c>
      <c r="V109" s="540">
        <v>378.35228942562793</v>
      </c>
      <c r="W109" s="540">
        <v>317.83460728437024</v>
      </c>
      <c r="X109" s="540">
        <v>268.52432503263827</v>
      </c>
      <c r="Y109" s="540">
        <v>228.62218997221868</v>
      </c>
      <c r="Z109" s="540">
        <v>195.71161115347306</v>
      </c>
      <c r="AA109" s="540">
        <v>168.39493189912946</v>
      </c>
      <c r="AB109" s="540">
        <v>146.10902015428957</v>
      </c>
      <c r="AC109" s="540">
        <v>127.19977179646811</v>
      </c>
      <c r="AD109" s="540">
        <v>111.02791268657502</v>
      </c>
      <c r="AE109" s="540">
        <v>97.108947084767053</v>
      </c>
      <c r="AF109" s="540">
        <v>85.236026266287993</v>
      </c>
      <c r="AG109" s="540">
        <v>75.157656748409607</v>
      </c>
      <c r="AH109" s="540">
        <v>66.423427362768933</v>
      </c>
      <c r="AI109" s="540">
        <v>58.595569173997795</v>
      </c>
      <c r="AJ109" s="540">
        <v>51.706212057225848</v>
      </c>
      <c r="AK109" s="540">
        <v>45.59934469550641</v>
      </c>
      <c r="AL109" s="540">
        <v>40.013002211938861</v>
      </c>
    </row>
    <row r="110" spans="1:38" s="539" customFormat="1" x14ac:dyDescent="0.25">
      <c r="A110" s="550"/>
      <c r="B110" s="550" t="s">
        <v>52</v>
      </c>
      <c r="M110" s="200"/>
      <c r="N110" s="540">
        <v>1070.5194585288325</v>
      </c>
      <c r="O110" s="540">
        <v>1088.8486204406352</v>
      </c>
      <c r="P110" s="540">
        <v>1091.9489527450983</v>
      </c>
      <c r="Q110" s="540">
        <v>1067.7486702128776</v>
      </c>
      <c r="R110" s="540">
        <v>1023.056765719248</v>
      </c>
      <c r="S110" s="540">
        <v>956.60998887366122</v>
      </c>
      <c r="T110" s="540">
        <v>877.06344802380352</v>
      </c>
      <c r="U110" s="540">
        <v>796.37068967500329</v>
      </c>
      <c r="V110" s="540">
        <v>721.55634423630545</v>
      </c>
      <c r="W110" s="540">
        <v>653.58245279677681</v>
      </c>
      <c r="X110" s="540">
        <v>594.09741970236473</v>
      </c>
      <c r="Y110" s="540">
        <v>543.01721713662664</v>
      </c>
      <c r="Z110" s="540">
        <v>498.05250156964991</v>
      </c>
      <c r="AA110" s="540">
        <v>458.1986840777754</v>
      </c>
      <c r="AB110" s="540">
        <v>423.4629074793724</v>
      </c>
      <c r="AC110" s="540">
        <v>391.9967952532902</v>
      </c>
      <c r="AD110" s="540">
        <v>363.28443327043396</v>
      </c>
      <c r="AE110" s="540">
        <v>336.96761330960953</v>
      </c>
      <c r="AF110" s="540">
        <v>313.16317267437512</v>
      </c>
      <c r="AG110" s="540">
        <v>291.64683413682127</v>
      </c>
      <c r="AH110" s="540">
        <v>271.92164419084406</v>
      </c>
      <c r="AI110" s="540">
        <v>253.18729735448838</v>
      </c>
      <c r="AJ110" s="540">
        <v>235.73322880554684</v>
      </c>
      <c r="AK110" s="540">
        <v>219.38812201353309</v>
      </c>
      <c r="AL110" s="540">
        <v>203.72389937914565</v>
      </c>
    </row>
    <row r="111" spans="1:38" s="539" customFormat="1" x14ac:dyDescent="0.25">
      <c r="A111" s="550"/>
      <c r="B111" s="552" t="s">
        <v>29</v>
      </c>
      <c r="M111" s="200"/>
      <c r="N111" s="540">
        <v>45.88476966492879</v>
      </c>
      <c r="O111" s="540">
        <v>159.52632876571204</v>
      </c>
      <c r="P111" s="540">
        <v>631.99599496825147</v>
      </c>
      <c r="Q111" s="540">
        <v>1894.1020362613981</v>
      </c>
      <c r="R111" s="540">
        <v>4244.630078893284</v>
      </c>
      <c r="S111" s="540">
        <v>7285.2037783808182</v>
      </c>
      <c r="T111" s="540">
        <v>9963.4415661286002</v>
      </c>
      <c r="U111" s="540">
        <v>11385.345135508924</v>
      </c>
      <c r="V111" s="540">
        <v>11494.424180552525</v>
      </c>
      <c r="W111" s="540">
        <v>10872.624623157228</v>
      </c>
      <c r="X111" s="540">
        <v>10050.467939169568</v>
      </c>
      <c r="Y111" s="540">
        <v>9413.0629952330528</v>
      </c>
      <c r="Z111" s="540">
        <v>9012.8419926312035</v>
      </c>
      <c r="AA111" s="540">
        <v>8811.3623975167066</v>
      </c>
      <c r="AB111" s="540">
        <v>8754.8270828336135</v>
      </c>
      <c r="AC111" s="540">
        <v>8774.2861757180508</v>
      </c>
      <c r="AD111" s="540">
        <v>8828.9706691667434</v>
      </c>
      <c r="AE111" s="540">
        <v>8901.0749117656196</v>
      </c>
      <c r="AF111" s="540">
        <v>8992.2818385949722</v>
      </c>
      <c r="AG111" s="540">
        <v>9101.5928337119167</v>
      </c>
      <c r="AH111" s="540">
        <v>9234.5126378321802</v>
      </c>
      <c r="AI111" s="540">
        <v>9340.243693673754</v>
      </c>
      <c r="AJ111" s="540">
        <v>9444.1465302013548</v>
      </c>
      <c r="AK111" s="540">
        <v>9545.7185244418342</v>
      </c>
      <c r="AL111" s="540">
        <v>9645.2193586702033</v>
      </c>
    </row>
    <row r="112" spans="1:38" s="539" customFormat="1" x14ac:dyDescent="0.25">
      <c r="A112" s="550"/>
      <c r="B112" s="552" t="s">
        <v>53</v>
      </c>
      <c r="M112" s="200"/>
      <c r="N112" s="540">
        <v>29.876485209311436</v>
      </c>
      <c r="O112" s="540">
        <v>30.302175581315407</v>
      </c>
      <c r="P112" s="540">
        <v>30.163462765531708</v>
      </c>
      <c r="Q112" s="540">
        <v>29.138649761021743</v>
      </c>
      <c r="R112" s="540">
        <v>27.502305387421575</v>
      </c>
      <c r="S112" s="540">
        <v>25.268746483113066</v>
      </c>
      <c r="T112" s="540">
        <v>22.746661410996417</v>
      </c>
      <c r="U112" s="540">
        <v>20.277606587251888</v>
      </c>
      <c r="V112" s="540">
        <v>18.048568754409477</v>
      </c>
      <c r="W112" s="540">
        <v>16.052859639908331</v>
      </c>
      <c r="X112" s="540">
        <v>14.330498989058292</v>
      </c>
      <c r="Y112" s="540">
        <v>12.869883577531654</v>
      </c>
      <c r="Z112" s="540">
        <v>11.599834308805043</v>
      </c>
      <c r="AA112" s="540">
        <v>10.487800412854543</v>
      </c>
      <c r="AB112" s="540">
        <v>9.5342855324061535</v>
      </c>
      <c r="AC112" s="540">
        <v>8.6814853707035997</v>
      </c>
      <c r="AD112" s="540">
        <v>7.9138381780057623</v>
      </c>
      <c r="AE112" s="540">
        <v>7.2197203778004093</v>
      </c>
      <c r="AF112" s="540">
        <v>6.6017113341556675</v>
      </c>
      <c r="AG112" s="540">
        <v>6.0522727190480508</v>
      </c>
      <c r="AH112" s="540">
        <v>5.5544922032526998</v>
      </c>
      <c r="AI112" s="540">
        <v>5.088567752070027</v>
      </c>
      <c r="AJ112" s="540">
        <v>4.6607277018763202</v>
      </c>
      <c r="AK112" s="540">
        <v>4.2655223829744111</v>
      </c>
      <c r="AL112" s="540">
        <v>3.8896935408257387</v>
      </c>
    </row>
    <row r="113" spans="1:38" s="539" customFormat="1" x14ac:dyDescent="0.25">
      <c r="M113" s="540"/>
    </row>
    <row r="114" spans="1:38" s="539" customFormat="1" x14ac:dyDescent="0.25">
      <c r="A114" s="554" t="s">
        <v>249</v>
      </c>
      <c r="B114" s="555"/>
      <c r="C114" s="554"/>
      <c r="D114" s="553"/>
      <c r="E114" s="553"/>
      <c r="F114" s="553"/>
      <c r="G114" s="553"/>
      <c r="H114" s="553"/>
      <c r="I114" s="553"/>
      <c r="J114" s="553"/>
      <c r="K114" s="553"/>
      <c r="L114" s="553"/>
      <c r="M114" s="553"/>
      <c r="N114" s="560"/>
      <c r="O114" s="560"/>
      <c r="P114" s="560"/>
      <c r="Q114" s="560"/>
      <c r="R114" s="560"/>
      <c r="S114" s="560"/>
      <c r="T114" s="560"/>
      <c r="U114" s="560"/>
      <c r="V114" s="560"/>
      <c r="W114" s="560"/>
      <c r="X114" s="560"/>
      <c r="Y114" s="560"/>
      <c r="Z114" s="560"/>
      <c r="AA114" s="560"/>
      <c r="AB114" s="560"/>
      <c r="AC114" s="560"/>
      <c r="AD114" s="560"/>
      <c r="AE114" s="560"/>
      <c r="AF114" s="560"/>
      <c r="AG114" s="560"/>
      <c r="AH114" s="560"/>
      <c r="AI114" s="560"/>
      <c r="AJ114" s="560"/>
      <c r="AK114" s="560"/>
      <c r="AL114" s="560"/>
    </row>
    <row r="115" spans="1:38" s="539" customFormat="1" x14ac:dyDescent="0.25">
      <c r="A115" s="551" t="s">
        <v>12</v>
      </c>
      <c r="B115" s="550"/>
    </row>
    <row r="116" spans="1:38" s="539" customFormat="1" x14ac:dyDescent="0.25">
      <c r="A116" s="550"/>
      <c r="B116" s="550" t="s">
        <v>20</v>
      </c>
    </row>
    <row r="117" spans="1:38" s="556" customFormat="1" ht="12.75" x14ac:dyDescent="0.2">
      <c r="A117" s="556" t="s">
        <v>21</v>
      </c>
    </row>
    <row r="118" spans="1:38" s="539" customFormat="1" x14ac:dyDescent="0.25">
      <c r="A118" s="550"/>
      <c r="B118" s="550" t="s">
        <v>22</v>
      </c>
      <c r="D118" s="201"/>
      <c r="E118" s="201"/>
      <c r="F118" s="201"/>
      <c r="G118" s="201"/>
      <c r="H118" s="201"/>
      <c r="I118" s="201"/>
      <c r="J118" s="201"/>
      <c r="K118" s="201"/>
      <c r="L118" s="201"/>
      <c r="M118" s="201"/>
      <c r="N118" s="201">
        <f>N82/SUM(N$82:N$85)</f>
        <v>0.69588353707298689</v>
      </c>
      <c r="O118" s="201">
        <f t="shared" ref="O118:AL121" si="8">O82/SUM(O$82:O$85)</f>
        <v>0.67742740371188659</v>
      </c>
      <c r="P118" s="201">
        <f t="shared" si="8"/>
        <v>0.56349809947484697</v>
      </c>
      <c r="Q118" s="201">
        <f t="shared" si="8"/>
        <v>0.52372690582109038</v>
      </c>
      <c r="R118" s="201">
        <f t="shared" si="8"/>
        <v>0.51066922013572946</v>
      </c>
      <c r="S118" s="201">
        <f t="shared" si="8"/>
        <v>0.48961899440105461</v>
      </c>
      <c r="T118" s="201">
        <f t="shared" si="8"/>
        <v>0.4678678577120699</v>
      </c>
      <c r="U118" s="201">
        <f t="shared" si="8"/>
        <v>0.44327027680536174</v>
      </c>
      <c r="V118" s="201">
        <f t="shared" si="8"/>
        <v>0.41664139004499373</v>
      </c>
      <c r="W118" s="201">
        <f t="shared" si="8"/>
        <v>0.38506237334151278</v>
      </c>
      <c r="X118" s="201">
        <f t="shared" si="8"/>
        <v>0.34928604343524478</v>
      </c>
      <c r="Y118" s="201">
        <f t="shared" si="8"/>
        <v>0.31212350326323329</v>
      </c>
      <c r="Z118" s="201">
        <f t="shared" si="8"/>
        <v>0.27496475868401438</v>
      </c>
      <c r="AA118" s="201">
        <f t="shared" si="8"/>
        <v>0.23900743084222029</v>
      </c>
      <c r="AB118" s="201">
        <f t="shared" si="8"/>
        <v>0.20658085064015175</v>
      </c>
      <c r="AC118" s="201">
        <f t="shared" si="8"/>
        <v>0.17736070014362945</v>
      </c>
      <c r="AD118" s="201">
        <f t="shared" si="8"/>
        <v>0.15179082396505045</v>
      </c>
      <c r="AE118" s="201">
        <f t="shared" si="8"/>
        <v>0.12979628804197638</v>
      </c>
      <c r="AF118" s="201">
        <f t="shared" si="8"/>
        <v>0.11149678182370981</v>
      </c>
      <c r="AG118" s="201">
        <f t="shared" si="8"/>
        <v>9.6589817312016879E-2</v>
      </c>
      <c r="AH118" s="201">
        <f t="shared" si="8"/>
        <v>8.3859485454631649E-2</v>
      </c>
      <c r="AI118" s="201">
        <f t="shared" si="8"/>
        <v>7.3427366254432316E-2</v>
      </c>
      <c r="AJ118" s="201">
        <f t="shared" si="8"/>
        <v>6.4637374753158547E-2</v>
      </c>
      <c r="AK118" s="201">
        <f t="shared" si="8"/>
        <v>5.7058851794777384E-2</v>
      </c>
      <c r="AL118" s="201">
        <f t="shared" si="8"/>
        <v>4.9763758046228644E-2</v>
      </c>
    </row>
    <row r="119" spans="1:38" s="539" customFormat="1" x14ac:dyDescent="0.25">
      <c r="A119" s="550"/>
      <c r="B119" s="550" t="s">
        <v>26</v>
      </c>
      <c r="D119" s="201"/>
      <c r="E119" s="201"/>
      <c r="F119" s="201"/>
      <c r="G119" s="201"/>
      <c r="H119" s="201"/>
      <c r="I119" s="201"/>
      <c r="J119" s="201"/>
      <c r="K119" s="201"/>
      <c r="L119" s="201"/>
      <c r="M119" s="201"/>
      <c r="N119" s="201">
        <f>N83/SUM(N$82:N$85)</f>
        <v>9.392152163089227E-3</v>
      </c>
      <c r="O119" s="201">
        <f t="shared" ref="O119:AC119" si="9">O83/SUM(O$82:O$85)</f>
        <v>3.7598947795163637E-2</v>
      </c>
      <c r="P119" s="201">
        <f t="shared" si="9"/>
        <v>0.10988100578102214</v>
      </c>
      <c r="Q119" s="201">
        <f t="shared" si="9"/>
        <v>0.14937718657787941</v>
      </c>
      <c r="R119" s="201">
        <f t="shared" si="9"/>
        <v>0.14883229939433748</v>
      </c>
      <c r="S119" s="201">
        <f t="shared" si="9"/>
        <v>0.14580012425088229</v>
      </c>
      <c r="T119" s="201">
        <f t="shared" si="9"/>
        <v>0.14222918393208867</v>
      </c>
      <c r="U119" s="201">
        <f t="shared" si="9"/>
        <v>0.13765370429347296</v>
      </c>
      <c r="V119" s="201">
        <f t="shared" si="9"/>
        <v>0.13230231340864773</v>
      </c>
      <c r="W119" s="201">
        <f t="shared" si="9"/>
        <v>0.12537084129911619</v>
      </c>
      <c r="X119" s="201">
        <f t="shared" si="9"/>
        <v>0.1170233534942151</v>
      </c>
      <c r="Y119" s="201">
        <f t="shared" si="9"/>
        <v>0.10805852226847426</v>
      </c>
      <c r="Z119" s="201">
        <f t="shared" si="9"/>
        <v>9.8773080991030812E-2</v>
      </c>
      <c r="AA119" s="201">
        <f t="shared" si="9"/>
        <v>8.9485078287509554E-2</v>
      </c>
      <c r="AB119" s="201">
        <f t="shared" si="9"/>
        <v>8.0931638816273313E-2</v>
      </c>
      <c r="AC119" s="201">
        <f t="shared" si="9"/>
        <v>7.2982421133685776E-2</v>
      </c>
      <c r="AD119" s="201">
        <f t="shared" si="8"/>
        <v>6.5818728679096078E-2</v>
      </c>
      <c r="AE119" s="201">
        <f t="shared" si="8"/>
        <v>5.945693250783534E-2</v>
      </c>
      <c r="AF119" s="201">
        <f t="shared" si="8"/>
        <v>5.4032074036152206E-2</v>
      </c>
      <c r="AG119" s="201">
        <f t="shared" si="8"/>
        <v>4.9523548007982462E-2</v>
      </c>
      <c r="AH119" s="201">
        <f t="shared" si="8"/>
        <v>4.551045705483233E-2</v>
      </c>
      <c r="AI119" s="201">
        <f t="shared" si="8"/>
        <v>4.209097484425138E-2</v>
      </c>
      <c r="AJ119" s="201">
        <f t="shared" si="8"/>
        <v>3.90948361895114E-2</v>
      </c>
      <c r="AK119" s="201">
        <f t="shared" si="8"/>
        <v>3.6379482729931363E-2</v>
      </c>
      <c r="AL119" s="201">
        <f t="shared" si="8"/>
        <v>3.3502491793935933E-2</v>
      </c>
    </row>
    <row r="120" spans="1:38" s="539" customFormat="1" x14ac:dyDescent="0.25">
      <c r="A120" s="550"/>
      <c r="B120" s="550" t="s">
        <v>27</v>
      </c>
      <c r="D120" s="201"/>
      <c r="E120" s="201"/>
      <c r="F120" s="201"/>
      <c r="G120" s="201"/>
      <c r="H120" s="201"/>
      <c r="I120" s="201"/>
      <c r="J120" s="201"/>
      <c r="K120" s="201"/>
      <c r="L120" s="201"/>
      <c r="M120" s="201"/>
      <c r="N120" s="201">
        <f>N84/SUM(N$82:N$85)</f>
        <v>0.29107121587162171</v>
      </c>
      <c r="O120" s="201">
        <f t="shared" si="8"/>
        <v>0.27578918577457578</v>
      </c>
      <c r="P120" s="201">
        <f t="shared" si="8"/>
        <v>0.31151038996894731</v>
      </c>
      <c r="Q120" s="201">
        <f t="shared" si="8"/>
        <v>0.30187816384411842</v>
      </c>
      <c r="R120" s="201">
        <f t="shared" si="8"/>
        <v>0.30150836950208576</v>
      </c>
      <c r="S120" s="201">
        <f t="shared" si="8"/>
        <v>0.30609813140493775</v>
      </c>
      <c r="T120" s="201">
        <f t="shared" si="8"/>
        <v>0.30533981052098885</v>
      </c>
      <c r="U120" s="201">
        <f t="shared" si="8"/>
        <v>0.3005147699104842</v>
      </c>
      <c r="V120" s="201">
        <f t="shared" si="8"/>
        <v>0.29077846563013277</v>
      </c>
      <c r="W120" s="201">
        <f t="shared" si="8"/>
        <v>0.27976453759331055</v>
      </c>
      <c r="X120" s="201">
        <f t="shared" si="8"/>
        <v>0.26801258664183158</v>
      </c>
      <c r="Y120" s="201">
        <f t="shared" si="8"/>
        <v>0.25443650239217136</v>
      </c>
      <c r="Z120" s="201">
        <f t="shared" si="8"/>
        <v>0.24012216750829324</v>
      </c>
      <c r="AA120" s="201">
        <f t="shared" si="8"/>
        <v>0.22595576491326383</v>
      </c>
      <c r="AB120" s="201">
        <f t="shared" si="8"/>
        <v>0.2121391773034744</v>
      </c>
      <c r="AC120" s="201">
        <f t="shared" si="8"/>
        <v>0.19970814560395364</v>
      </c>
      <c r="AD120" s="201">
        <f t="shared" si="8"/>
        <v>0.18882865364062107</v>
      </c>
      <c r="AE120" s="201">
        <f t="shared" si="8"/>
        <v>0.17954981847614557</v>
      </c>
      <c r="AF120" s="201">
        <f t="shared" si="8"/>
        <v>0.171733016815346</v>
      </c>
      <c r="AG120" s="201">
        <f t="shared" si="8"/>
        <v>0.16525833350790609</v>
      </c>
      <c r="AH120" s="201">
        <f t="shared" si="8"/>
        <v>0.15997582011202494</v>
      </c>
      <c r="AI120" s="201">
        <f t="shared" si="8"/>
        <v>0.15561254699883464</v>
      </c>
      <c r="AJ120" s="201">
        <f t="shared" si="8"/>
        <v>0.15200630585700772</v>
      </c>
      <c r="AK120" s="201">
        <f t="shared" si="8"/>
        <v>0.14897178493317687</v>
      </c>
      <c r="AL120" s="201">
        <f t="shared" si="8"/>
        <v>0.14623544767012894</v>
      </c>
    </row>
    <row r="121" spans="1:38" s="539" customFormat="1" x14ac:dyDescent="0.25">
      <c r="A121" s="550"/>
      <c r="B121" s="550" t="s">
        <v>29</v>
      </c>
      <c r="D121" s="201"/>
      <c r="E121" s="201"/>
      <c r="F121" s="201"/>
      <c r="G121" s="201"/>
      <c r="H121" s="201"/>
      <c r="I121" s="201"/>
      <c r="J121" s="201"/>
      <c r="K121" s="201"/>
      <c r="L121" s="201"/>
      <c r="M121" s="201"/>
      <c r="N121" s="201">
        <f>N85/SUM(N$82:N$85)</f>
        <v>3.6530948923021922E-3</v>
      </c>
      <c r="O121" s="201">
        <f t="shared" si="8"/>
        <v>9.1844627183739133E-3</v>
      </c>
      <c r="P121" s="201">
        <f t="shared" si="8"/>
        <v>1.5110504775183525E-2</v>
      </c>
      <c r="Q121" s="201">
        <f t="shared" si="8"/>
        <v>2.5017743756911872E-2</v>
      </c>
      <c r="R121" s="201">
        <f t="shared" si="8"/>
        <v>3.8990110967847234E-2</v>
      </c>
      <c r="S121" s="201">
        <f t="shared" si="8"/>
        <v>5.8482749943125203E-2</v>
      </c>
      <c r="T121" s="201">
        <f t="shared" si="8"/>
        <v>8.4563147834852526E-2</v>
      </c>
      <c r="U121" s="201">
        <f t="shared" si="8"/>
        <v>0.11856124899068113</v>
      </c>
      <c r="V121" s="201">
        <f t="shared" si="8"/>
        <v>0.16027783091622574</v>
      </c>
      <c r="W121" s="201">
        <f t="shared" si="8"/>
        <v>0.20980224776606049</v>
      </c>
      <c r="X121" s="201">
        <f t="shared" si="8"/>
        <v>0.26567801642870859</v>
      </c>
      <c r="Y121" s="201">
        <f t="shared" si="8"/>
        <v>0.32538147207612111</v>
      </c>
      <c r="Z121" s="201">
        <f t="shared" si="8"/>
        <v>0.38613999281666161</v>
      </c>
      <c r="AA121" s="201">
        <f t="shared" si="8"/>
        <v>0.44555172595700632</v>
      </c>
      <c r="AB121" s="201">
        <f t="shared" si="8"/>
        <v>0.50034833324010064</v>
      </c>
      <c r="AC121" s="201">
        <f t="shared" si="8"/>
        <v>0.54994873311873116</v>
      </c>
      <c r="AD121" s="201">
        <f t="shared" si="8"/>
        <v>0.59356179371523254</v>
      </c>
      <c r="AE121" s="201">
        <f t="shared" si="8"/>
        <v>0.63119696097404276</v>
      </c>
      <c r="AF121" s="201">
        <f t="shared" si="8"/>
        <v>0.66273812732479198</v>
      </c>
      <c r="AG121" s="201">
        <f t="shared" si="8"/>
        <v>0.68862830117209461</v>
      </c>
      <c r="AH121" s="201">
        <f t="shared" si="8"/>
        <v>0.71065423737851108</v>
      </c>
      <c r="AI121" s="201">
        <f t="shared" si="8"/>
        <v>0.7288691119024816</v>
      </c>
      <c r="AJ121" s="201">
        <f t="shared" si="8"/>
        <v>0.74426148320032237</v>
      </c>
      <c r="AK121" s="201">
        <f t="shared" si="8"/>
        <v>0.7575898805421144</v>
      </c>
      <c r="AL121" s="201">
        <f t="shared" si="8"/>
        <v>0.77049830248970652</v>
      </c>
    </row>
    <row r="122" spans="1:38" s="539" customFormat="1" x14ac:dyDescent="0.25">
      <c r="A122" s="550"/>
      <c r="B122" s="550"/>
      <c r="M122" s="200"/>
      <c r="N122" s="200"/>
      <c r="O122" s="200"/>
      <c r="P122" s="200"/>
      <c r="Q122" s="200"/>
      <c r="R122" s="200"/>
      <c r="S122" s="200"/>
      <c r="T122" s="200"/>
      <c r="U122" s="200"/>
      <c r="V122" s="200"/>
      <c r="W122" s="200"/>
      <c r="X122" s="200"/>
      <c r="Y122" s="200"/>
      <c r="Z122" s="200"/>
      <c r="AA122" s="200"/>
      <c r="AB122" s="200"/>
      <c r="AC122" s="200"/>
      <c r="AD122" s="200"/>
      <c r="AE122" s="200"/>
      <c r="AF122" s="200"/>
      <c r="AG122" s="200"/>
      <c r="AH122" s="200"/>
      <c r="AI122" s="200"/>
      <c r="AJ122" s="200"/>
      <c r="AK122" s="200"/>
      <c r="AL122" s="200"/>
    </row>
    <row r="123" spans="1:38" s="556" customFormat="1" ht="12.75" x14ac:dyDescent="0.2">
      <c r="A123" s="556" t="s">
        <v>32</v>
      </c>
      <c r="M123" s="241"/>
      <c r="N123" s="241"/>
      <c r="O123" s="241"/>
      <c r="P123" s="241"/>
      <c r="Q123" s="241"/>
      <c r="R123" s="241"/>
      <c r="S123" s="241"/>
      <c r="T123" s="241"/>
      <c r="U123" s="241"/>
      <c r="V123" s="241"/>
      <c r="W123" s="241"/>
      <c r="X123" s="241"/>
      <c r="Y123" s="241"/>
      <c r="Z123" s="241"/>
      <c r="AA123" s="241"/>
      <c r="AB123" s="241"/>
      <c r="AC123" s="241"/>
      <c r="AD123" s="241"/>
      <c r="AE123" s="241"/>
      <c r="AF123" s="241"/>
      <c r="AG123" s="241"/>
      <c r="AH123" s="241"/>
      <c r="AI123" s="241"/>
      <c r="AJ123" s="241"/>
      <c r="AK123" s="241"/>
      <c r="AL123" s="241"/>
    </row>
    <row r="124" spans="1:38" s="539" customFormat="1" x14ac:dyDescent="0.25">
      <c r="A124" s="550"/>
      <c r="B124" s="550" t="s">
        <v>33</v>
      </c>
      <c r="D124" s="201"/>
      <c r="E124" s="201"/>
      <c r="F124" s="201"/>
      <c r="G124" s="201"/>
      <c r="H124" s="201"/>
      <c r="I124" s="201"/>
      <c r="J124" s="201"/>
      <c r="K124" s="201"/>
      <c r="L124" s="201"/>
      <c r="M124" s="201"/>
      <c r="N124" s="201">
        <f>N88/SUM(N$88:N$91)</f>
        <v>0.43682503880773133</v>
      </c>
      <c r="O124" s="201">
        <f t="shared" ref="O124:AL127" si="10">O88/SUM(O$88:O$91)</f>
        <v>0.43236435367424386</v>
      </c>
      <c r="P124" s="201">
        <f t="shared" si="10"/>
        <v>0.41843711681933649</v>
      </c>
      <c r="Q124" s="201">
        <f t="shared" si="10"/>
        <v>0.39545972134550783</v>
      </c>
      <c r="R124" s="201">
        <f t="shared" si="10"/>
        <v>0.36955061126556438</v>
      </c>
      <c r="S124" s="201">
        <f t="shared" si="10"/>
        <v>0.33590905362948204</v>
      </c>
      <c r="T124" s="201">
        <f t="shared" si="10"/>
        <v>0.30161460514358679</v>
      </c>
      <c r="U124" s="201">
        <f t="shared" si="10"/>
        <v>0.26724250919551673</v>
      </c>
      <c r="V124" s="201">
        <f t="shared" si="10"/>
        <v>0.23476670477658687</v>
      </c>
      <c r="W124" s="201">
        <f t="shared" si="10"/>
        <v>0.20325560910178567</v>
      </c>
      <c r="X124" s="201">
        <f t="shared" si="10"/>
        <v>0.17358530245971207</v>
      </c>
      <c r="Y124" s="201">
        <f t="shared" si="10"/>
        <v>0.14725775299857863</v>
      </c>
      <c r="Z124" s="201">
        <f t="shared" si="10"/>
        <v>0.12434467232337236</v>
      </c>
      <c r="AA124" s="201">
        <f t="shared" si="10"/>
        <v>0.10478073983103181</v>
      </c>
      <c r="AB124" s="201">
        <f t="shared" si="10"/>
        <v>8.8939604397034744E-2</v>
      </c>
      <c r="AC124" s="201">
        <f t="shared" si="10"/>
        <v>7.5919040537746896E-2</v>
      </c>
      <c r="AD124" s="201">
        <f t="shared" si="10"/>
        <v>6.5362215115256125E-2</v>
      </c>
      <c r="AE124" s="201">
        <f t="shared" si="10"/>
        <v>5.6788377954750252E-2</v>
      </c>
      <c r="AF124" s="201">
        <f t="shared" si="10"/>
        <v>4.9973343658885928E-2</v>
      </c>
      <c r="AG124" s="201">
        <f t="shared" si="10"/>
        <v>4.4600805665244221E-2</v>
      </c>
      <c r="AH124" s="201">
        <f t="shared" si="10"/>
        <v>4.0025286397985992E-2</v>
      </c>
      <c r="AI124" s="201">
        <f t="shared" si="10"/>
        <v>3.6212713509696973E-2</v>
      </c>
      <c r="AJ124" s="201">
        <f t="shared" si="10"/>
        <v>3.2937936543916843E-2</v>
      </c>
      <c r="AK124" s="201">
        <f t="shared" si="10"/>
        <v>3.0011729046568063E-2</v>
      </c>
      <c r="AL124" s="201">
        <f t="shared" si="10"/>
        <v>2.6979036447898602E-2</v>
      </c>
    </row>
    <row r="125" spans="1:38" s="539" customFormat="1" x14ac:dyDescent="0.25">
      <c r="A125" s="552"/>
      <c r="B125" s="552" t="s">
        <v>34</v>
      </c>
      <c r="D125" s="201"/>
      <c r="E125" s="201"/>
      <c r="F125" s="201"/>
      <c r="G125" s="201"/>
      <c r="H125" s="201"/>
      <c r="I125" s="201"/>
      <c r="J125" s="201"/>
      <c r="K125" s="201"/>
      <c r="L125" s="201"/>
      <c r="M125" s="201"/>
      <c r="N125" s="201">
        <f>N89/SUM(N$88:N$91)</f>
        <v>0.44717703765810168</v>
      </c>
      <c r="O125" s="201">
        <f t="shared" ref="O125:AC125" si="11">O89/SUM(O$88:O$91)</f>
        <v>0.4414670037851236</v>
      </c>
      <c r="P125" s="201">
        <f t="shared" si="11"/>
        <v>0.4310313221486371</v>
      </c>
      <c r="Q125" s="201">
        <f t="shared" si="11"/>
        <v>0.41539078270392277</v>
      </c>
      <c r="R125" s="201">
        <f t="shared" si="11"/>
        <v>0.39472399201878727</v>
      </c>
      <c r="S125" s="201">
        <f t="shared" si="11"/>
        <v>0.36923128434994767</v>
      </c>
      <c r="T125" s="201">
        <f t="shared" si="11"/>
        <v>0.34031668292386547</v>
      </c>
      <c r="U125" s="201">
        <f t="shared" si="11"/>
        <v>0.30944432442000219</v>
      </c>
      <c r="V125" s="201">
        <f t="shared" si="11"/>
        <v>0.27840042634856799</v>
      </c>
      <c r="W125" s="201">
        <f t="shared" si="11"/>
        <v>0.24778976852472315</v>
      </c>
      <c r="X125" s="201">
        <f t="shared" si="11"/>
        <v>0.21850558116120317</v>
      </c>
      <c r="Y125" s="201">
        <f t="shared" si="11"/>
        <v>0.19165243085283815</v>
      </c>
      <c r="Z125" s="201">
        <f t="shared" si="11"/>
        <v>0.16762500435821923</v>
      </c>
      <c r="AA125" s="201">
        <f t="shared" si="11"/>
        <v>0.14662828031509026</v>
      </c>
      <c r="AB125" s="201">
        <f t="shared" si="11"/>
        <v>0.12914100369781589</v>
      </c>
      <c r="AC125" s="201">
        <f t="shared" si="11"/>
        <v>0.11454978356206394</v>
      </c>
      <c r="AD125" s="201">
        <f t="shared" si="10"/>
        <v>0.10256679968643263</v>
      </c>
      <c r="AE125" s="201">
        <f t="shared" si="10"/>
        <v>9.2747458256458387E-2</v>
      </c>
      <c r="AF125" s="201">
        <f t="shared" si="10"/>
        <v>8.4888319574730781E-2</v>
      </c>
      <c r="AG125" s="201">
        <f t="shared" si="10"/>
        <v>7.8682930626156583E-2</v>
      </c>
      <c r="AH125" s="201">
        <f t="shared" si="10"/>
        <v>7.3411331292080315E-2</v>
      </c>
      <c r="AI125" s="201">
        <f t="shared" si="10"/>
        <v>6.9000235609884664E-2</v>
      </c>
      <c r="AJ125" s="201">
        <f t="shared" si="10"/>
        <v>6.5200656398120185E-2</v>
      </c>
      <c r="AK125" s="201">
        <f t="shared" si="10"/>
        <v>6.1770253133877143E-2</v>
      </c>
      <c r="AL125" s="201">
        <f t="shared" si="10"/>
        <v>5.8061163292275994E-2</v>
      </c>
    </row>
    <row r="126" spans="1:38" s="539" customFormat="1" x14ac:dyDescent="0.25">
      <c r="A126" s="550"/>
      <c r="B126" s="552" t="s">
        <v>35</v>
      </c>
      <c r="D126" s="201"/>
      <c r="E126" s="201"/>
      <c r="F126" s="201"/>
      <c r="G126" s="201"/>
      <c r="H126" s="201"/>
      <c r="I126" s="201"/>
      <c r="J126" s="201"/>
      <c r="K126" s="201"/>
      <c r="L126" s="201"/>
      <c r="M126" s="201"/>
      <c r="N126" s="201">
        <f>N90/SUM(N$88:N$91)</f>
        <v>0.10798221839987733</v>
      </c>
      <c r="O126" s="201">
        <f t="shared" si="10"/>
        <v>0.10362908414239751</v>
      </c>
      <c r="P126" s="201">
        <f t="shared" si="10"/>
        <v>0.10126971625174054</v>
      </c>
      <c r="Q126" s="201">
        <f t="shared" si="10"/>
        <v>0.10025747539448403</v>
      </c>
      <c r="R126" s="201">
        <f t="shared" si="10"/>
        <v>9.6957482754844962E-2</v>
      </c>
      <c r="S126" s="201">
        <f t="shared" si="10"/>
        <v>9.4959859366639365E-2</v>
      </c>
      <c r="T126" s="201">
        <f t="shared" si="10"/>
        <v>9.0872490790951374E-2</v>
      </c>
      <c r="U126" s="201">
        <f t="shared" si="10"/>
        <v>8.5609750002287474E-2</v>
      </c>
      <c r="V126" s="201">
        <f t="shared" si="10"/>
        <v>7.931992998259596E-2</v>
      </c>
      <c r="W126" s="201">
        <f t="shared" si="10"/>
        <v>7.3268426424563451E-2</v>
      </c>
      <c r="X126" s="201">
        <f t="shared" si="10"/>
        <v>6.7624028606305855E-2</v>
      </c>
      <c r="Y126" s="201">
        <f t="shared" si="10"/>
        <v>6.2157378459094408E-2</v>
      </c>
      <c r="Z126" s="201">
        <f t="shared" si="10"/>
        <v>5.7088405782558679E-2</v>
      </c>
      <c r="AA126" s="201">
        <f t="shared" si="10"/>
        <v>5.2577238334695492E-2</v>
      </c>
      <c r="AB126" s="201">
        <f t="shared" si="10"/>
        <v>4.8607872858708101E-2</v>
      </c>
      <c r="AC126" s="201">
        <f t="shared" si="10"/>
        <v>4.5310967003097766E-2</v>
      </c>
      <c r="AD126" s="201">
        <f t="shared" si="10"/>
        <v>4.2635159136572641E-2</v>
      </c>
      <c r="AE126" s="201">
        <f t="shared" si="10"/>
        <v>4.0514245102778589E-2</v>
      </c>
      <c r="AF126" s="201">
        <f t="shared" si="10"/>
        <v>3.8863610591638301E-2</v>
      </c>
      <c r="AG126" s="201">
        <f t="shared" si="10"/>
        <v>3.7606607724362431E-2</v>
      </c>
      <c r="AH126" s="201">
        <f t="shared" si="10"/>
        <v>3.6669372142660209E-2</v>
      </c>
      <c r="AI126" s="201">
        <f t="shared" si="10"/>
        <v>3.5940676769652562E-2</v>
      </c>
      <c r="AJ126" s="201">
        <f t="shared" si="10"/>
        <v>3.5386260788660175E-2</v>
      </c>
      <c r="AK126" s="201">
        <f t="shared" si="10"/>
        <v>3.4954363354855772E-2</v>
      </c>
      <c r="AL126" s="201">
        <f t="shared" si="10"/>
        <v>3.4564828363687003E-2</v>
      </c>
    </row>
    <row r="127" spans="1:38" s="539" customFormat="1" x14ac:dyDescent="0.25">
      <c r="A127" s="550"/>
      <c r="B127" s="552" t="s">
        <v>29</v>
      </c>
      <c r="D127" s="201"/>
      <c r="E127" s="201"/>
      <c r="F127" s="201"/>
      <c r="G127" s="201"/>
      <c r="H127" s="201"/>
      <c r="I127" s="201"/>
      <c r="J127" s="201"/>
      <c r="K127" s="201"/>
      <c r="L127" s="201"/>
      <c r="M127" s="201"/>
      <c r="N127" s="201">
        <f>N91/SUM(N$88:N$91)</f>
        <v>8.0157051342897873E-3</v>
      </c>
      <c r="O127" s="201">
        <f t="shared" si="10"/>
        <v>2.2539558398234991E-2</v>
      </c>
      <c r="P127" s="201">
        <f t="shared" si="10"/>
        <v>4.9261844780285842E-2</v>
      </c>
      <c r="Q127" s="201">
        <f t="shared" si="10"/>
        <v>8.8892020556085347E-2</v>
      </c>
      <c r="R127" s="201">
        <f t="shared" si="10"/>
        <v>0.13876791396080335</v>
      </c>
      <c r="S127" s="201">
        <f t="shared" si="10"/>
        <v>0.19989980265393098</v>
      </c>
      <c r="T127" s="201">
        <f t="shared" si="10"/>
        <v>0.26719622114159641</v>
      </c>
      <c r="U127" s="201">
        <f t="shared" si="10"/>
        <v>0.33770341638219364</v>
      </c>
      <c r="V127" s="201">
        <f t="shared" si="10"/>
        <v>0.40751293889224921</v>
      </c>
      <c r="W127" s="201">
        <f t="shared" si="10"/>
        <v>0.47568619594892769</v>
      </c>
      <c r="X127" s="201">
        <f t="shared" si="10"/>
        <v>0.54028508777277895</v>
      </c>
      <c r="Y127" s="201">
        <f t="shared" si="10"/>
        <v>0.59893243768948889</v>
      </c>
      <c r="Z127" s="201">
        <f t="shared" si="10"/>
        <v>0.65094191753584985</v>
      </c>
      <c r="AA127" s="201">
        <f t="shared" si="10"/>
        <v>0.69601374151918249</v>
      </c>
      <c r="AB127" s="201">
        <f t="shared" si="10"/>
        <v>0.73331151904644132</v>
      </c>
      <c r="AC127" s="201">
        <f t="shared" si="10"/>
        <v>0.76422020889709141</v>
      </c>
      <c r="AD127" s="201">
        <f t="shared" si="10"/>
        <v>0.78943582606173868</v>
      </c>
      <c r="AE127" s="201">
        <f t="shared" si="10"/>
        <v>0.80994991868601274</v>
      </c>
      <c r="AF127" s="201">
        <f t="shared" si="10"/>
        <v>0.82627472617474507</v>
      </c>
      <c r="AG127" s="201">
        <f t="shared" si="10"/>
        <v>0.83910965598423681</v>
      </c>
      <c r="AH127" s="201">
        <f t="shared" si="10"/>
        <v>0.84989401016727351</v>
      </c>
      <c r="AI127" s="201">
        <f t="shared" si="10"/>
        <v>0.85884637411076581</v>
      </c>
      <c r="AJ127" s="201">
        <f t="shared" si="10"/>
        <v>0.86647514626930289</v>
      </c>
      <c r="AK127" s="201">
        <f t="shared" si="10"/>
        <v>0.873263654464699</v>
      </c>
      <c r="AL127" s="201">
        <f t="shared" si="10"/>
        <v>0.88039497189613847</v>
      </c>
    </row>
    <row r="128" spans="1:38" s="539" customFormat="1" x14ac:dyDescent="0.25">
      <c r="A128" s="550"/>
      <c r="B128" s="550"/>
      <c r="M128" s="200"/>
      <c r="N128" s="200"/>
      <c r="O128" s="200"/>
      <c r="P128" s="200"/>
      <c r="Q128" s="200"/>
      <c r="R128" s="200"/>
      <c r="S128" s="200"/>
      <c r="T128" s="200"/>
      <c r="U128" s="200"/>
      <c r="V128" s="200"/>
      <c r="W128" s="200"/>
      <c r="X128" s="200"/>
      <c r="Y128" s="200"/>
      <c r="Z128" s="200"/>
      <c r="AA128" s="200"/>
      <c r="AB128" s="200"/>
      <c r="AC128" s="200"/>
      <c r="AD128" s="200"/>
      <c r="AE128" s="200"/>
      <c r="AF128" s="200"/>
      <c r="AG128" s="200"/>
      <c r="AH128" s="200"/>
      <c r="AI128" s="200"/>
      <c r="AJ128" s="200"/>
      <c r="AK128" s="200"/>
      <c r="AL128" s="200"/>
    </row>
    <row r="129" spans="1:38" s="556" customFormat="1" ht="12.75" x14ac:dyDescent="0.2">
      <c r="A129" s="556" t="s">
        <v>36</v>
      </c>
      <c r="M129" s="241"/>
      <c r="N129" s="241"/>
      <c r="O129" s="241"/>
      <c r="P129" s="241"/>
      <c r="Q129" s="241"/>
      <c r="R129" s="241"/>
      <c r="S129" s="241"/>
      <c r="T129" s="241"/>
      <c r="U129" s="241"/>
      <c r="V129" s="241"/>
      <c r="W129" s="241"/>
      <c r="X129" s="241"/>
      <c r="Y129" s="241"/>
      <c r="Z129" s="241"/>
      <c r="AA129" s="241"/>
      <c r="AB129" s="241"/>
      <c r="AC129" s="241"/>
      <c r="AD129" s="241"/>
      <c r="AE129" s="241"/>
      <c r="AF129" s="241"/>
      <c r="AG129" s="241"/>
      <c r="AH129" s="241"/>
      <c r="AI129" s="241"/>
      <c r="AJ129" s="241"/>
      <c r="AK129" s="241"/>
      <c r="AL129" s="241"/>
    </row>
    <row r="130" spans="1:38" s="539" customFormat="1" x14ac:dyDescent="0.25">
      <c r="A130" s="550"/>
      <c r="B130" s="550" t="s">
        <v>37</v>
      </c>
      <c r="D130" s="201"/>
      <c r="E130" s="201"/>
      <c r="F130" s="201"/>
      <c r="G130" s="201"/>
      <c r="H130" s="201"/>
      <c r="I130" s="201"/>
      <c r="J130" s="201"/>
      <c r="K130" s="201"/>
      <c r="L130" s="201"/>
      <c r="M130" s="201"/>
      <c r="N130" s="201">
        <f>N94/SUM(N$94:N$97)</f>
        <v>0.18855518243600533</v>
      </c>
      <c r="O130" s="201">
        <f t="shared" ref="O130:AL133" si="12">O94/SUM(O$94:O$97)</f>
        <v>0.14561865413947211</v>
      </c>
      <c r="P130" s="201">
        <f t="shared" si="12"/>
        <v>0.10780059031977883</v>
      </c>
      <c r="Q130" s="201">
        <f t="shared" si="12"/>
        <v>7.1758824987370046E-2</v>
      </c>
      <c r="R130" s="201">
        <f t="shared" si="12"/>
        <v>6.3329959668246366E-2</v>
      </c>
      <c r="S130" s="201">
        <f t="shared" si="12"/>
        <v>5.6267120665089806E-2</v>
      </c>
      <c r="T130" s="201">
        <f t="shared" si="12"/>
        <v>5.1255520237864657E-2</v>
      </c>
      <c r="U130" s="201">
        <f t="shared" si="12"/>
        <v>4.6733272523561048E-2</v>
      </c>
      <c r="V130" s="201">
        <f t="shared" si="12"/>
        <v>4.2639505506373403E-2</v>
      </c>
      <c r="W130" s="201">
        <f t="shared" si="12"/>
        <v>3.8893282711132411E-2</v>
      </c>
      <c r="X130" s="201">
        <f t="shared" si="12"/>
        <v>3.5495140807503919E-2</v>
      </c>
      <c r="Y130" s="201">
        <f t="shared" si="12"/>
        <v>3.233962881140983E-2</v>
      </c>
      <c r="Z130" s="201">
        <f t="shared" si="12"/>
        <v>2.9463205989230738E-2</v>
      </c>
      <c r="AA130" s="201">
        <f t="shared" si="12"/>
        <v>2.6838766256447398E-2</v>
      </c>
      <c r="AB130" s="201">
        <f t="shared" si="12"/>
        <v>2.4432636795419946E-2</v>
      </c>
      <c r="AC130" s="201">
        <f t="shared" si="12"/>
        <v>2.2251147036136818E-2</v>
      </c>
      <c r="AD130" s="201">
        <f t="shared" si="12"/>
        <v>2.0277305321779147E-2</v>
      </c>
      <c r="AE130" s="201">
        <f t="shared" si="12"/>
        <v>1.8484624052234895E-2</v>
      </c>
      <c r="AF130" s="201">
        <f t="shared" si="12"/>
        <v>1.6841761970761673E-2</v>
      </c>
      <c r="AG130" s="201">
        <f t="shared" si="12"/>
        <v>1.5334110482619741E-2</v>
      </c>
      <c r="AH130" s="201">
        <f t="shared" si="12"/>
        <v>1.3936767434543938E-2</v>
      </c>
      <c r="AI130" s="201">
        <f t="shared" si="12"/>
        <v>1.2694439527777882E-2</v>
      </c>
      <c r="AJ130" s="201">
        <f t="shared" si="12"/>
        <v>1.1564849284086302E-2</v>
      </c>
      <c r="AK130" s="201">
        <f t="shared" si="12"/>
        <v>1.0536028627129337E-2</v>
      </c>
      <c r="AL130" s="201">
        <f t="shared" si="12"/>
        <v>9.5892196377493008E-3</v>
      </c>
    </row>
    <row r="131" spans="1:38" s="539" customFormat="1" x14ac:dyDescent="0.25">
      <c r="A131" s="550"/>
      <c r="B131" s="550" t="s">
        <v>39</v>
      </c>
      <c r="D131" s="201"/>
      <c r="E131" s="201"/>
      <c r="F131" s="201"/>
      <c r="G131" s="201"/>
      <c r="H131" s="201"/>
      <c r="I131" s="201"/>
      <c r="J131" s="201"/>
      <c r="K131" s="201"/>
      <c r="L131" s="201"/>
      <c r="M131" s="201"/>
      <c r="N131" s="201">
        <f>N95/SUM(N$94:N$97)</f>
        <v>0.70263602944502512</v>
      </c>
      <c r="O131" s="201">
        <f t="shared" ref="O131:AC131" si="13">O95/SUM(O$94:O$97)</f>
        <v>0.71094096627139725</v>
      </c>
      <c r="P131" s="201">
        <f t="shared" si="13"/>
        <v>0.70958501136672336</v>
      </c>
      <c r="Q131" s="201">
        <f t="shared" si="13"/>
        <v>0.71790681588537342</v>
      </c>
      <c r="R131" s="201">
        <f t="shared" si="13"/>
        <v>0.70324448733023304</v>
      </c>
      <c r="S131" s="201">
        <f t="shared" si="13"/>
        <v>0.68586318518020228</v>
      </c>
      <c r="T131" s="201">
        <f t="shared" si="13"/>
        <v>0.65483917251788237</v>
      </c>
      <c r="U131" s="201">
        <f t="shared" si="13"/>
        <v>0.62315102915565534</v>
      </c>
      <c r="V131" s="201">
        <f t="shared" si="13"/>
        <v>0.59202008216910018</v>
      </c>
      <c r="W131" s="201">
        <f t="shared" si="13"/>
        <v>0.56198247636332688</v>
      </c>
      <c r="X131" s="201">
        <f t="shared" si="13"/>
        <v>0.53391748391050964</v>
      </c>
      <c r="Y131" s="201">
        <f t="shared" si="13"/>
        <v>0.50778372256064463</v>
      </c>
      <c r="Z131" s="201">
        <f t="shared" si="13"/>
        <v>0.48365765948495548</v>
      </c>
      <c r="AA131" s="201">
        <f t="shared" si="13"/>
        <v>0.46151206302939118</v>
      </c>
      <c r="AB131" s="201">
        <f t="shared" si="13"/>
        <v>0.44151589967086768</v>
      </c>
      <c r="AC131" s="201">
        <f t="shared" si="13"/>
        <v>0.42344684083346923</v>
      </c>
      <c r="AD131" s="201">
        <f t="shared" si="12"/>
        <v>0.40721919624548963</v>
      </c>
      <c r="AE131" s="201">
        <f t="shared" si="12"/>
        <v>0.39261539151600067</v>
      </c>
      <c r="AF131" s="201">
        <f t="shared" si="12"/>
        <v>0.3795019693470113</v>
      </c>
      <c r="AG131" s="201">
        <f t="shared" si="12"/>
        <v>0.36773489389916819</v>
      </c>
      <c r="AH131" s="201">
        <f t="shared" si="12"/>
        <v>0.35679573009106091</v>
      </c>
      <c r="AI131" s="201">
        <f t="shared" si="12"/>
        <v>0.3470075799744089</v>
      </c>
      <c r="AJ131" s="201">
        <f t="shared" si="12"/>
        <v>0.33800883180751035</v>
      </c>
      <c r="AK131" s="201">
        <f t="shared" si="12"/>
        <v>0.32960366037921446</v>
      </c>
      <c r="AL131" s="201">
        <f t="shared" si="12"/>
        <v>0.32123456107637877</v>
      </c>
    </row>
    <row r="132" spans="1:38" s="539" customFormat="1" x14ac:dyDescent="0.25">
      <c r="A132" s="550"/>
      <c r="B132" s="550" t="s">
        <v>40</v>
      </c>
      <c r="D132" s="201"/>
      <c r="E132" s="201"/>
      <c r="F132" s="201"/>
      <c r="G132" s="201"/>
      <c r="H132" s="201"/>
      <c r="I132" s="201"/>
      <c r="J132" s="201"/>
      <c r="K132" s="201"/>
      <c r="L132" s="201"/>
      <c r="M132" s="201"/>
      <c r="N132" s="201">
        <f>N96/SUM(N$94:N$97)</f>
        <v>0.10880358449642932</v>
      </c>
      <c r="O132" s="201">
        <f t="shared" si="12"/>
        <v>0.14327238519275121</v>
      </c>
      <c r="P132" s="201">
        <f t="shared" si="12"/>
        <v>0.18131543220946011</v>
      </c>
      <c r="Q132" s="201">
        <f t="shared" si="12"/>
        <v>0.20563410743040156</v>
      </c>
      <c r="R132" s="201">
        <f t="shared" si="12"/>
        <v>0.22186198846208702</v>
      </c>
      <c r="S132" s="201">
        <f t="shared" si="12"/>
        <v>0.23511426539460847</v>
      </c>
      <c r="T132" s="201">
        <f t="shared" si="12"/>
        <v>0.25424469439905162</v>
      </c>
      <c r="U132" s="201">
        <f t="shared" si="12"/>
        <v>0.2687427229081481</v>
      </c>
      <c r="V132" s="201">
        <f t="shared" si="12"/>
        <v>0.27846407399841855</v>
      </c>
      <c r="W132" s="201">
        <f t="shared" si="12"/>
        <v>0.2836143011933937</v>
      </c>
      <c r="X132" s="201">
        <f t="shared" si="12"/>
        <v>0.28501773170780315</v>
      </c>
      <c r="Y132" s="201">
        <f t="shared" si="12"/>
        <v>0.28332528148450975</v>
      </c>
      <c r="Z132" s="201">
        <f t="shared" si="12"/>
        <v>0.27935976870154638</v>
      </c>
      <c r="AA132" s="201">
        <f t="shared" si="12"/>
        <v>0.2738662309211799</v>
      </c>
      <c r="AB132" s="201">
        <f t="shared" si="12"/>
        <v>0.26759506123507559</v>
      </c>
      <c r="AC132" s="201">
        <f t="shared" si="12"/>
        <v>0.26096043047690903</v>
      </c>
      <c r="AD132" s="201">
        <f t="shared" si="12"/>
        <v>0.25431695886035299</v>
      </c>
      <c r="AE132" s="201">
        <f t="shared" si="12"/>
        <v>0.2478349562710386</v>
      </c>
      <c r="AF132" s="201">
        <f t="shared" si="12"/>
        <v>0.24164364563091764</v>
      </c>
      <c r="AG132" s="201">
        <f t="shared" si="12"/>
        <v>0.23580799776490044</v>
      </c>
      <c r="AH132" s="201">
        <f t="shared" si="12"/>
        <v>0.23012093506560816</v>
      </c>
      <c r="AI132" s="201">
        <f t="shared" si="12"/>
        <v>0.22488415138685189</v>
      </c>
      <c r="AJ132" s="201">
        <f t="shared" si="12"/>
        <v>0.21991848001108877</v>
      </c>
      <c r="AK132" s="201">
        <f t="shared" si="12"/>
        <v>0.2151470926091863</v>
      </c>
      <c r="AL132" s="201">
        <f t="shared" si="12"/>
        <v>0.21009694469980197</v>
      </c>
    </row>
    <row r="133" spans="1:38" s="539" customFormat="1" x14ac:dyDescent="0.25">
      <c r="A133" s="550"/>
      <c r="B133" s="550" t="s">
        <v>29</v>
      </c>
      <c r="D133" s="201"/>
      <c r="E133" s="201"/>
      <c r="F133" s="201"/>
      <c r="G133" s="201"/>
      <c r="H133" s="201"/>
      <c r="I133" s="201"/>
      <c r="J133" s="201"/>
      <c r="K133" s="201"/>
      <c r="L133" s="201"/>
      <c r="M133" s="201"/>
      <c r="N133" s="201">
        <f>N97/SUM(N$94:N$97)</f>
        <v>5.2036225402578831E-6</v>
      </c>
      <c r="O133" s="201">
        <f t="shared" si="12"/>
        <v>1.6799439637952578E-4</v>
      </c>
      <c r="P133" s="201">
        <f t="shared" si="12"/>
        <v>1.2989661040376736E-3</v>
      </c>
      <c r="Q133" s="201">
        <f t="shared" si="12"/>
        <v>4.700251696854933E-3</v>
      </c>
      <c r="R133" s="201">
        <f t="shared" si="12"/>
        <v>1.156356453943364E-2</v>
      </c>
      <c r="S133" s="201">
        <f t="shared" si="12"/>
        <v>2.2755428760099533E-2</v>
      </c>
      <c r="T133" s="201">
        <f t="shared" si="12"/>
        <v>3.9660612845201289E-2</v>
      </c>
      <c r="U133" s="201">
        <f t="shared" si="12"/>
        <v>6.1372975412635401E-2</v>
      </c>
      <c r="V133" s="201">
        <f t="shared" si="12"/>
        <v>8.6876338326107791E-2</v>
      </c>
      <c r="W133" s="201">
        <f t="shared" si="12"/>
        <v>0.11550993973214703</v>
      </c>
      <c r="X133" s="201">
        <f t="shared" si="12"/>
        <v>0.14556964357418337</v>
      </c>
      <c r="Y133" s="201">
        <f t="shared" si="12"/>
        <v>0.17655136714343586</v>
      </c>
      <c r="Z133" s="201">
        <f t="shared" si="12"/>
        <v>0.2075193658242675</v>
      </c>
      <c r="AA133" s="201">
        <f t="shared" si="12"/>
        <v>0.23778293979298162</v>
      </c>
      <c r="AB133" s="201">
        <f t="shared" si="12"/>
        <v>0.26645640229863665</v>
      </c>
      <c r="AC133" s="201">
        <f t="shared" si="12"/>
        <v>0.29334158165348495</v>
      </c>
      <c r="AD133" s="201">
        <f t="shared" si="12"/>
        <v>0.31818653957237825</v>
      </c>
      <c r="AE133" s="201">
        <f t="shared" si="12"/>
        <v>0.34106502816072581</v>
      </c>
      <c r="AF133" s="201">
        <f t="shared" si="12"/>
        <v>0.36201262305130932</v>
      </c>
      <c r="AG133" s="201">
        <f t="shared" si="12"/>
        <v>0.38112299785331161</v>
      </c>
      <c r="AH133" s="201">
        <f t="shared" si="12"/>
        <v>0.39914656740878685</v>
      </c>
      <c r="AI133" s="201">
        <f t="shared" si="12"/>
        <v>0.41541382911096131</v>
      </c>
      <c r="AJ133" s="201">
        <f t="shared" si="12"/>
        <v>0.43050783889731448</v>
      </c>
      <c r="AK133" s="201">
        <f t="shared" si="12"/>
        <v>0.44471321838446987</v>
      </c>
      <c r="AL133" s="201">
        <f t="shared" si="12"/>
        <v>0.45907927458607012</v>
      </c>
    </row>
    <row r="134" spans="1:38" s="539" customFormat="1" x14ac:dyDescent="0.25">
      <c r="A134" s="550"/>
      <c r="B134" s="550"/>
      <c r="M134" s="200"/>
      <c r="N134" s="200"/>
      <c r="O134" s="200"/>
      <c r="P134" s="200"/>
      <c r="Q134" s="200"/>
      <c r="R134" s="200"/>
      <c r="S134" s="200"/>
      <c r="T134" s="200"/>
      <c r="U134" s="200"/>
      <c r="V134" s="200"/>
      <c r="W134" s="200"/>
      <c r="X134" s="200"/>
      <c r="Y134" s="200"/>
      <c r="Z134" s="200"/>
      <c r="AA134" s="200"/>
      <c r="AB134" s="200"/>
      <c r="AC134" s="200"/>
      <c r="AD134" s="200"/>
      <c r="AE134" s="200"/>
      <c r="AF134" s="200"/>
      <c r="AG134" s="200"/>
      <c r="AH134" s="200"/>
      <c r="AI134" s="200"/>
      <c r="AJ134" s="200"/>
      <c r="AK134" s="200"/>
      <c r="AL134" s="200"/>
    </row>
    <row r="135" spans="1:38" s="556" customFormat="1" ht="12.75" x14ac:dyDescent="0.2">
      <c r="A135" s="556" t="s">
        <v>42</v>
      </c>
      <c r="M135" s="241"/>
      <c r="N135" s="241"/>
      <c r="O135" s="241"/>
      <c r="P135" s="241"/>
      <c r="Q135" s="241"/>
      <c r="R135" s="241"/>
      <c r="S135" s="241"/>
      <c r="T135" s="241"/>
      <c r="U135" s="241"/>
      <c r="V135" s="241"/>
      <c r="W135" s="241"/>
      <c r="X135" s="241"/>
      <c r="Y135" s="241"/>
      <c r="Z135" s="241"/>
      <c r="AA135" s="241"/>
      <c r="AB135" s="241"/>
      <c r="AC135" s="241"/>
      <c r="AD135" s="241"/>
      <c r="AE135" s="241"/>
      <c r="AF135" s="241"/>
      <c r="AG135" s="241"/>
      <c r="AH135" s="241"/>
      <c r="AI135" s="241"/>
      <c r="AJ135" s="241"/>
      <c r="AK135" s="241"/>
      <c r="AL135" s="241"/>
    </row>
    <row r="136" spans="1:38" s="539" customFormat="1" x14ac:dyDescent="0.25">
      <c r="A136" s="550"/>
      <c r="B136" s="552" t="s">
        <v>43</v>
      </c>
      <c r="D136" s="201"/>
      <c r="E136" s="201"/>
      <c r="F136" s="201"/>
      <c r="G136" s="201"/>
      <c r="H136" s="201"/>
      <c r="I136" s="201"/>
      <c r="J136" s="201"/>
      <c r="K136" s="201"/>
      <c r="L136" s="201"/>
      <c r="M136" s="201"/>
      <c r="N136" s="201">
        <f>N100/SUM(N$100:N$104)</f>
        <v>0.11674637321427098</v>
      </c>
      <c r="O136" s="201">
        <f t="shared" ref="O136:AL140" si="14">O100/SUM(O$100:O$104)</f>
        <v>0.1149738658282191</v>
      </c>
      <c r="P136" s="201">
        <f t="shared" si="14"/>
        <v>0.11315472906753983</v>
      </c>
      <c r="Q136" s="201">
        <f t="shared" si="14"/>
        <v>0.11131241215310354</v>
      </c>
      <c r="R136" s="201">
        <f t="shared" si="14"/>
        <v>0.10941778726848694</v>
      </c>
      <c r="S136" s="201">
        <f t="shared" si="14"/>
        <v>0.10751371413268718</v>
      </c>
      <c r="T136" s="201">
        <f t="shared" si="14"/>
        <v>0.10566581820510046</v>
      </c>
      <c r="U136" s="201">
        <f t="shared" si="14"/>
        <v>0.10388690056400084</v>
      </c>
      <c r="V136" s="201">
        <f t="shared" si="14"/>
        <v>0.10221162437044802</v>
      </c>
      <c r="W136" s="201">
        <f t="shared" si="14"/>
        <v>0.10066850977611765</v>
      </c>
      <c r="X136" s="201">
        <f t="shared" si="14"/>
        <v>9.929606721079591E-2</v>
      </c>
      <c r="Y136" s="201">
        <f t="shared" si="14"/>
        <v>9.8082069393634772E-2</v>
      </c>
      <c r="Z136" s="201">
        <f t="shared" si="14"/>
        <v>9.7049389799494734E-2</v>
      </c>
      <c r="AA136" s="201">
        <f t="shared" si="14"/>
        <v>9.6189009718534849E-2</v>
      </c>
      <c r="AB136" s="201">
        <f t="shared" si="14"/>
        <v>9.5476050437293417E-2</v>
      </c>
      <c r="AC136" s="201">
        <f t="shared" si="14"/>
        <v>9.4903823221112932E-2</v>
      </c>
      <c r="AD136" s="201">
        <f t="shared" si="14"/>
        <v>9.445146837897378E-2</v>
      </c>
      <c r="AE136" s="201">
        <f t="shared" si="14"/>
        <v>9.4093828239206992E-2</v>
      </c>
      <c r="AF136" s="201">
        <f t="shared" si="14"/>
        <v>9.3801077291030655E-2</v>
      </c>
      <c r="AG136" s="201">
        <f t="shared" si="14"/>
        <v>9.3555784137831208E-2</v>
      </c>
      <c r="AH136" s="201">
        <f t="shared" si="14"/>
        <v>9.3338436299146538E-2</v>
      </c>
      <c r="AI136" s="201">
        <f t="shared" si="14"/>
        <v>9.3182780177006264E-2</v>
      </c>
      <c r="AJ136" s="201">
        <f t="shared" si="14"/>
        <v>9.3056982898561999E-2</v>
      </c>
      <c r="AK136" s="201">
        <f t="shared" si="14"/>
        <v>9.2954662545128824E-2</v>
      </c>
      <c r="AL136" s="201">
        <f t="shared" si="14"/>
        <v>9.2927401407375196E-2</v>
      </c>
    </row>
    <row r="137" spans="1:38" s="539" customFormat="1" x14ac:dyDescent="0.25">
      <c r="A137" s="550"/>
      <c r="B137" s="552" t="s">
        <v>44</v>
      </c>
      <c r="D137" s="201"/>
      <c r="E137" s="201"/>
      <c r="F137" s="201"/>
      <c r="G137" s="201"/>
      <c r="H137" s="201"/>
      <c r="I137" s="201"/>
      <c r="J137" s="201"/>
      <c r="K137" s="201"/>
      <c r="L137" s="201"/>
      <c r="M137" s="201"/>
      <c r="N137" s="201">
        <f>N101/SUM(N$100:N$104)</f>
        <v>0.7844652455151212</v>
      </c>
      <c r="O137" s="201">
        <f t="shared" ref="O137:AC137" si="15">O101/SUM(O$100:O$104)</f>
        <v>0.78548595376692121</v>
      </c>
      <c r="P137" s="201">
        <f t="shared" si="15"/>
        <v>0.78351740260732283</v>
      </c>
      <c r="Q137" s="201">
        <f t="shared" si="15"/>
        <v>0.77882543228740586</v>
      </c>
      <c r="R137" s="201">
        <f t="shared" si="15"/>
        <v>0.77253257463292335</v>
      </c>
      <c r="S137" s="201">
        <f t="shared" si="15"/>
        <v>0.76500670668677939</v>
      </c>
      <c r="T137" s="201">
        <f t="shared" si="15"/>
        <v>0.75675708720890245</v>
      </c>
      <c r="U137" s="201">
        <f t="shared" si="15"/>
        <v>0.74832916956852957</v>
      </c>
      <c r="V137" s="201">
        <f t="shared" si="15"/>
        <v>0.74012059241876493</v>
      </c>
      <c r="W137" s="201">
        <f t="shared" si="15"/>
        <v>0.73248279647916614</v>
      </c>
      <c r="X137" s="201">
        <f t="shared" si="15"/>
        <v>0.72571960983732531</v>
      </c>
      <c r="Y137" s="201">
        <f t="shared" si="15"/>
        <v>0.71998489994087733</v>
      </c>
      <c r="Z137" s="201">
        <f t="shared" si="15"/>
        <v>0.71536146876011197</v>
      </c>
      <c r="AA137" s="201">
        <f t="shared" si="15"/>
        <v>0.71180839113021388</v>
      </c>
      <c r="AB137" s="201">
        <f t="shared" si="15"/>
        <v>0.70917995150548907</v>
      </c>
      <c r="AC137" s="201">
        <f t="shared" si="15"/>
        <v>0.70736731188639146</v>
      </c>
      <c r="AD137" s="201">
        <f t="shared" si="14"/>
        <v>0.70621531709919227</v>
      </c>
      <c r="AE137" s="201">
        <f t="shared" si="14"/>
        <v>0.70556222906608623</v>
      </c>
      <c r="AF137" s="201">
        <f t="shared" si="14"/>
        <v>0.70523314311382646</v>
      </c>
      <c r="AG137" s="201">
        <f t="shared" si="14"/>
        <v>0.70511093294457616</v>
      </c>
      <c r="AH137" s="201">
        <f t="shared" si="14"/>
        <v>0.7050927389712115</v>
      </c>
      <c r="AI137" s="201">
        <f t="shared" si="14"/>
        <v>0.7052888110067228</v>
      </c>
      <c r="AJ137" s="201">
        <f t="shared" si="14"/>
        <v>0.7055579376785619</v>
      </c>
      <c r="AK137" s="201">
        <f t="shared" si="14"/>
        <v>0.70586920218901106</v>
      </c>
      <c r="AL137" s="201">
        <f t="shared" si="14"/>
        <v>0.70600749189295875</v>
      </c>
    </row>
    <row r="138" spans="1:38" s="539" customFormat="1" x14ac:dyDescent="0.25">
      <c r="A138" s="550"/>
      <c r="B138" s="552" t="s">
        <v>45</v>
      </c>
      <c r="D138" s="201"/>
      <c r="E138" s="201"/>
      <c r="F138" s="201"/>
      <c r="G138" s="201"/>
      <c r="H138" s="201"/>
      <c r="I138" s="201"/>
      <c r="J138" s="201"/>
      <c r="K138" s="201"/>
      <c r="L138" s="201"/>
      <c r="M138" s="201"/>
      <c r="N138" s="201">
        <f>N102/SUM(N$100:N$104)</f>
        <v>7.5188465794307935E-2</v>
      </c>
      <c r="O138" s="201">
        <f t="shared" si="14"/>
        <v>6.6523199557805029E-2</v>
      </c>
      <c r="P138" s="201">
        <f t="shared" si="14"/>
        <v>5.9340630754296297E-2</v>
      </c>
      <c r="Q138" s="201">
        <f t="shared" si="14"/>
        <v>5.3578008346275102E-2</v>
      </c>
      <c r="R138" s="201">
        <f t="shared" si="14"/>
        <v>4.8421746760678147E-2</v>
      </c>
      <c r="S138" s="201">
        <f t="shared" si="14"/>
        <v>4.3949403719238715E-2</v>
      </c>
      <c r="T138" s="201">
        <f t="shared" si="14"/>
        <v>4.0074636605936992E-2</v>
      </c>
      <c r="U138" s="201">
        <f t="shared" si="14"/>
        <v>3.6585686771663711E-2</v>
      </c>
      <c r="V138" s="201">
        <f t="shared" si="14"/>
        <v>3.3413925751664332E-2</v>
      </c>
      <c r="W138" s="201">
        <f t="shared" si="14"/>
        <v>3.0527140351174948E-2</v>
      </c>
      <c r="X138" s="201">
        <f t="shared" si="14"/>
        <v>2.7925172907197666E-2</v>
      </c>
      <c r="Y138" s="201">
        <f t="shared" si="14"/>
        <v>2.5480226554344832E-2</v>
      </c>
      <c r="Z138" s="201">
        <f t="shared" si="14"/>
        <v>2.3237501188184743E-2</v>
      </c>
      <c r="AA138" s="201">
        <f t="shared" si="14"/>
        <v>2.1182680839330337E-2</v>
      </c>
      <c r="AB138" s="201">
        <f t="shared" si="14"/>
        <v>1.9283438822987414E-2</v>
      </c>
      <c r="AC138" s="201">
        <f t="shared" si="14"/>
        <v>1.756453134924487E-2</v>
      </c>
      <c r="AD138" s="201">
        <f t="shared" si="14"/>
        <v>1.6014476802242657E-2</v>
      </c>
      <c r="AE138" s="201">
        <f t="shared" si="14"/>
        <v>1.4613801816678316E-2</v>
      </c>
      <c r="AF138" s="201">
        <f t="shared" si="14"/>
        <v>1.3333089803496234E-2</v>
      </c>
      <c r="AG138" s="201">
        <f t="shared" si="14"/>
        <v>1.2159755997190776E-2</v>
      </c>
      <c r="AH138" s="201">
        <f t="shared" si="14"/>
        <v>1.1080593349739374E-2</v>
      </c>
      <c r="AI138" s="201">
        <f t="shared" si="14"/>
        <v>1.0129160444239293E-2</v>
      </c>
      <c r="AJ138" s="201">
        <f t="shared" si="14"/>
        <v>9.2706429496489835E-3</v>
      </c>
      <c r="AK138" s="201">
        <f t="shared" si="14"/>
        <v>8.4961932242265375E-3</v>
      </c>
      <c r="AL138" s="201">
        <f t="shared" si="14"/>
        <v>7.8027916551685304E-3</v>
      </c>
    </row>
    <row r="139" spans="1:38" s="539" customFormat="1" x14ac:dyDescent="0.25">
      <c r="A139" s="550"/>
      <c r="B139" s="552" t="s">
        <v>46</v>
      </c>
      <c r="D139" s="201"/>
      <c r="E139" s="201"/>
      <c r="F139" s="201"/>
      <c r="G139" s="201"/>
      <c r="H139" s="201"/>
      <c r="I139" s="201"/>
      <c r="J139" s="201"/>
      <c r="K139" s="201"/>
      <c r="L139" s="201"/>
      <c r="M139" s="201"/>
      <c r="N139" s="201">
        <f>N103/SUM(N$100:N$104)</f>
        <v>0</v>
      </c>
      <c r="O139" s="201">
        <f t="shared" si="14"/>
        <v>0</v>
      </c>
      <c r="P139" s="201">
        <f t="shared" si="14"/>
        <v>0</v>
      </c>
      <c r="Q139" s="201">
        <f t="shared" si="14"/>
        <v>0</v>
      </c>
      <c r="R139" s="201">
        <f t="shared" si="14"/>
        <v>0</v>
      </c>
      <c r="S139" s="201">
        <f t="shared" si="14"/>
        <v>0</v>
      </c>
      <c r="T139" s="201">
        <f t="shared" si="14"/>
        <v>0</v>
      </c>
      <c r="U139" s="201">
        <f t="shared" si="14"/>
        <v>0</v>
      </c>
      <c r="V139" s="201">
        <f t="shared" si="14"/>
        <v>0</v>
      </c>
      <c r="W139" s="201">
        <f t="shared" si="14"/>
        <v>0</v>
      </c>
      <c r="X139" s="201">
        <f t="shared" si="14"/>
        <v>0</v>
      </c>
      <c r="Y139" s="201">
        <f t="shared" si="14"/>
        <v>0</v>
      </c>
      <c r="Z139" s="201">
        <f t="shared" si="14"/>
        <v>0</v>
      </c>
      <c r="AA139" s="201">
        <f t="shared" si="14"/>
        <v>0</v>
      </c>
      <c r="AB139" s="201">
        <f t="shared" si="14"/>
        <v>0</v>
      </c>
      <c r="AC139" s="201">
        <f t="shared" si="14"/>
        <v>0</v>
      </c>
      <c r="AD139" s="201">
        <f t="shared" si="14"/>
        <v>0</v>
      </c>
      <c r="AE139" s="201">
        <f t="shared" si="14"/>
        <v>0</v>
      </c>
      <c r="AF139" s="201">
        <f t="shared" si="14"/>
        <v>0</v>
      </c>
      <c r="AG139" s="201">
        <f t="shared" si="14"/>
        <v>0</v>
      </c>
      <c r="AH139" s="201">
        <f t="shared" si="14"/>
        <v>0</v>
      </c>
      <c r="AI139" s="201">
        <f t="shared" si="14"/>
        <v>0</v>
      </c>
      <c r="AJ139" s="201">
        <f t="shared" si="14"/>
        <v>0</v>
      </c>
      <c r="AK139" s="201">
        <f t="shared" si="14"/>
        <v>0</v>
      </c>
      <c r="AL139" s="201">
        <f t="shared" si="14"/>
        <v>0</v>
      </c>
    </row>
    <row r="140" spans="1:38" s="539" customFormat="1" x14ac:dyDescent="0.25">
      <c r="A140" s="550"/>
      <c r="B140" s="550" t="s">
        <v>29</v>
      </c>
      <c r="D140" s="201"/>
      <c r="E140" s="201"/>
      <c r="F140" s="201"/>
      <c r="G140" s="201"/>
      <c r="H140" s="201"/>
      <c r="I140" s="201"/>
      <c r="J140" s="201"/>
      <c r="K140" s="201"/>
      <c r="L140" s="201"/>
      <c r="M140" s="201"/>
      <c r="N140" s="201">
        <f>N104/SUM(N$100:N$104)</f>
        <v>2.3599915476299891E-2</v>
      </c>
      <c r="O140" s="201">
        <f t="shared" si="14"/>
        <v>3.301698084705456E-2</v>
      </c>
      <c r="P140" s="201">
        <f t="shared" si="14"/>
        <v>4.3987237570841026E-2</v>
      </c>
      <c r="Q140" s="201">
        <f t="shared" si="14"/>
        <v>5.6284147213215431E-2</v>
      </c>
      <c r="R140" s="201">
        <f t="shared" si="14"/>
        <v>6.9627891337911585E-2</v>
      </c>
      <c r="S140" s="201">
        <f t="shared" si="14"/>
        <v>8.3530175461294695E-2</v>
      </c>
      <c r="T140" s="201">
        <f t="shared" si="14"/>
        <v>9.7502457980060145E-2</v>
      </c>
      <c r="U140" s="201">
        <f t="shared" si="14"/>
        <v>0.11119824309580587</v>
      </c>
      <c r="V140" s="201">
        <f t="shared" si="14"/>
        <v>0.12425385745912282</v>
      </c>
      <c r="W140" s="201">
        <f t="shared" si="14"/>
        <v>0.13632155339354113</v>
      </c>
      <c r="X140" s="201">
        <f t="shared" si="14"/>
        <v>0.14705915004468115</v>
      </c>
      <c r="Y140" s="201">
        <f t="shared" si="14"/>
        <v>0.15645280411114301</v>
      </c>
      <c r="Z140" s="201">
        <f t="shared" si="14"/>
        <v>0.16435164025220861</v>
      </c>
      <c r="AA140" s="201">
        <f t="shared" si="14"/>
        <v>0.170819918311921</v>
      </c>
      <c r="AB140" s="201">
        <f t="shared" si="14"/>
        <v>0.17606055923423014</v>
      </c>
      <c r="AC140" s="201">
        <f t="shared" si="14"/>
        <v>0.18016433354325068</v>
      </c>
      <c r="AD140" s="201">
        <f t="shared" si="14"/>
        <v>0.18331873771959112</v>
      </c>
      <c r="AE140" s="201">
        <f t="shared" si="14"/>
        <v>0.1857301408780285</v>
      </c>
      <c r="AF140" s="201">
        <f t="shared" si="14"/>
        <v>0.18763268979164668</v>
      </c>
      <c r="AG140" s="201">
        <f t="shared" si="14"/>
        <v>0.18917352692040168</v>
      </c>
      <c r="AH140" s="201">
        <f t="shared" si="14"/>
        <v>0.19048823137990253</v>
      </c>
      <c r="AI140" s="201">
        <f t="shared" si="14"/>
        <v>0.19139924837203171</v>
      </c>
      <c r="AJ140" s="201">
        <f t="shared" si="14"/>
        <v>0.19211443647322701</v>
      </c>
      <c r="AK140" s="201">
        <f t="shared" si="14"/>
        <v>0.19267994204163361</v>
      </c>
      <c r="AL140" s="201">
        <f t="shared" si="14"/>
        <v>0.19326231504449742</v>
      </c>
    </row>
    <row r="141" spans="1:38" s="539" customFormat="1" x14ac:dyDescent="0.25">
      <c r="A141" s="550"/>
      <c r="B141" s="550"/>
      <c r="M141" s="200"/>
      <c r="N141" s="200"/>
      <c r="O141" s="200"/>
      <c r="P141" s="200"/>
      <c r="Q141" s="200"/>
      <c r="R141" s="200"/>
      <c r="S141" s="200"/>
      <c r="T141" s="200"/>
      <c r="U141" s="200"/>
      <c r="V141" s="200"/>
      <c r="W141" s="200"/>
      <c r="X141" s="200"/>
      <c r="Y141" s="200"/>
      <c r="Z141" s="200"/>
      <c r="AA141" s="200"/>
      <c r="AB141" s="200"/>
      <c r="AC141" s="200"/>
      <c r="AD141" s="200"/>
      <c r="AE141" s="200"/>
      <c r="AF141" s="200"/>
      <c r="AG141" s="200"/>
      <c r="AH141" s="200"/>
      <c r="AI141" s="200"/>
      <c r="AJ141" s="200"/>
      <c r="AK141" s="200"/>
      <c r="AL141" s="200"/>
    </row>
    <row r="142" spans="1:38" s="556" customFormat="1" ht="12.75" x14ac:dyDescent="0.2">
      <c r="A142" s="556" t="s">
        <v>47</v>
      </c>
      <c r="M142" s="241"/>
      <c r="N142" s="241"/>
      <c r="O142" s="241"/>
      <c r="P142" s="241"/>
      <c r="Q142" s="241"/>
      <c r="R142" s="241"/>
      <c r="S142" s="241"/>
      <c r="T142" s="241"/>
      <c r="U142" s="241"/>
      <c r="V142" s="241"/>
      <c r="W142" s="241"/>
      <c r="X142" s="241"/>
      <c r="Y142" s="241"/>
      <c r="Z142" s="241"/>
      <c r="AA142" s="241"/>
      <c r="AB142" s="241"/>
      <c r="AC142" s="241"/>
      <c r="AD142" s="241"/>
      <c r="AE142" s="241"/>
      <c r="AF142" s="241"/>
      <c r="AG142" s="241"/>
      <c r="AH142" s="241"/>
      <c r="AI142" s="241"/>
      <c r="AJ142" s="241"/>
      <c r="AK142" s="241"/>
      <c r="AL142" s="241"/>
    </row>
    <row r="143" spans="1:38" s="539" customFormat="1" x14ac:dyDescent="0.25">
      <c r="A143" s="550"/>
      <c r="B143" s="550" t="s">
        <v>48</v>
      </c>
      <c r="M143" s="200"/>
      <c r="N143" s="200"/>
      <c r="O143" s="200"/>
      <c r="P143" s="200"/>
      <c r="Q143" s="200"/>
      <c r="R143" s="200"/>
      <c r="S143" s="200"/>
      <c r="T143" s="200"/>
      <c r="U143" s="200"/>
      <c r="V143" s="200"/>
      <c r="W143" s="200"/>
      <c r="X143" s="200"/>
      <c r="Y143" s="200"/>
      <c r="Z143" s="200"/>
      <c r="AA143" s="200"/>
      <c r="AB143" s="200"/>
      <c r="AC143" s="200"/>
      <c r="AD143" s="200"/>
      <c r="AE143" s="200"/>
      <c r="AF143" s="200"/>
      <c r="AG143" s="200"/>
      <c r="AH143" s="200"/>
      <c r="AI143" s="200"/>
      <c r="AJ143" s="200"/>
      <c r="AK143" s="200"/>
      <c r="AL143" s="200"/>
    </row>
    <row r="144" spans="1:38" s="539" customFormat="1" x14ac:dyDescent="0.25">
      <c r="A144" s="550"/>
      <c r="B144" s="552" t="s">
        <v>50</v>
      </c>
      <c r="M144" s="200"/>
      <c r="N144" s="200"/>
      <c r="O144" s="200"/>
      <c r="P144" s="200"/>
      <c r="Q144" s="200"/>
      <c r="R144" s="200"/>
      <c r="S144" s="200"/>
      <c r="T144" s="200"/>
      <c r="U144" s="200"/>
      <c r="V144" s="200"/>
      <c r="W144" s="200"/>
      <c r="X144" s="200"/>
      <c r="Y144" s="200"/>
      <c r="Z144" s="200"/>
      <c r="AA144" s="200"/>
      <c r="AB144" s="200"/>
      <c r="AC144" s="200"/>
      <c r="AD144" s="200"/>
      <c r="AE144" s="200"/>
      <c r="AF144" s="200"/>
      <c r="AG144" s="200"/>
      <c r="AH144" s="200"/>
      <c r="AI144" s="200"/>
      <c r="AJ144" s="200"/>
      <c r="AK144" s="200"/>
      <c r="AL144" s="200"/>
    </row>
    <row r="145" spans="1:38" s="539" customFormat="1" x14ac:dyDescent="0.25">
      <c r="A145" s="550"/>
      <c r="B145" s="550" t="s">
        <v>51</v>
      </c>
      <c r="M145" s="200"/>
      <c r="N145" s="200"/>
      <c r="O145" s="200"/>
      <c r="P145" s="200"/>
      <c r="Q145" s="200"/>
      <c r="R145" s="200"/>
      <c r="S145" s="200"/>
      <c r="T145" s="200"/>
      <c r="U145" s="200"/>
      <c r="V145" s="200"/>
      <c r="W145" s="200"/>
      <c r="X145" s="200"/>
      <c r="Y145" s="200"/>
      <c r="Z145" s="200"/>
      <c r="AA145" s="200"/>
      <c r="AB145" s="200"/>
      <c r="AC145" s="200"/>
      <c r="AD145" s="200"/>
      <c r="AE145" s="200"/>
      <c r="AF145" s="200"/>
      <c r="AG145" s="200"/>
      <c r="AH145" s="200"/>
      <c r="AI145" s="200"/>
      <c r="AJ145" s="200"/>
      <c r="AK145" s="200"/>
      <c r="AL145" s="200"/>
    </row>
    <row r="146" spans="1:38" s="539" customFormat="1" x14ac:dyDescent="0.25">
      <c r="A146" s="550"/>
      <c r="B146" s="550" t="s">
        <v>52</v>
      </c>
      <c r="M146" s="200"/>
      <c r="N146" s="200"/>
      <c r="O146" s="200"/>
      <c r="P146" s="200"/>
      <c r="Q146" s="200"/>
      <c r="R146" s="200"/>
      <c r="S146" s="200"/>
      <c r="T146" s="200"/>
      <c r="U146" s="200"/>
      <c r="V146" s="200"/>
      <c r="W146" s="200"/>
      <c r="X146" s="200"/>
      <c r="Y146" s="200"/>
      <c r="Z146" s="200"/>
      <c r="AA146" s="200"/>
      <c r="AB146" s="200"/>
      <c r="AC146" s="200"/>
      <c r="AD146" s="200"/>
      <c r="AE146" s="200"/>
      <c r="AF146" s="200"/>
      <c r="AG146" s="200"/>
      <c r="AH146" s="200"/>
      <c r="AI146" s="200"/>
      <c r="AJ146" s="200"/>
      <c r="AK146" s="200"/>
      <c r="AL146" s="200"/>
    </row>
    <row r="147" spans="1:38" s="539" customFormat="1" x14ac:dyDescent="0.25">
      <c r="A147" s="550"/>
      <c r="B147" s="552" t="s">
        <v>29</v>
      </c>
      <c r="M147" s="200"/>
      <c r="N147" s="200"/>
      <c r="O147" s="200"/>
      <c r="P147" s="200"/>
      <c r="Q147" s="200"/>
      <c r="R147" s="200"/>
      <c r="S147" s="200"/>
      <c r="T147" s="200"/>
      <c r="U147" s="200"/>
      <c r="V147" s="200"/>
      <c r="W147" s="200"/>
      <c r="X147" s="200"/>
      <c r="Y147" s="200"/>
      <c r="Z147" s="200"/>
      <c r="AA147" s="200"/>
      <c r="AB147" s="200"/>
      <c r="AC147" s="200"/>
      <c r="AD147" s="200"/>
      <c r="AE147" s="200"/>
      <c r="AF147" s="200"/>
      <c r="AG147" s="200"/>
      <c r="AH147" s="200"/>
      <c r="AI147" s="200"/>
      <c r="AJ147" s="200"/>
      <c r="AK147" s="200"/>
      <c r="AL147" s="200"/>
    </row>
    <row r="148" spans="1:38" s="539" customFormat="1" x14ac:dyDescent="0.25">
      <c r="A148" s="550"/>
      <c r="B148" s="552" t="s">
        <v>53</v>
      </c>
      <c r="M148" s="200"/>
      <c r="N148" s="200"/>
      <c r="O148" s="200"/>
      <c r="P148" s="200"/>
      <c r="Q148" s="200"/>
      <c r="R148" s="200"/>
      <c r="S148" s="200"/>
      <c r="T148" s="200"/>
      <c r="U148" s="200"/>
      <c r="V148" s="200"/>
      <c r="W148" s="200"/>
      <c r="X148" s="200"/>
      <c r="Y148" s="200"/>
      <c r="Z148" s="200"/>
      <c r="AA148" s="200"/>
      <c r="AB148" s="200"/>
      <c r="AC148" s="200"/>
      <c r="AD148" s="200"/>
      <c r="AE148" s="200"/>
      <c r="AF148" s="200"/>
      <c r="AG148" s="200"/>
      <c r="AH148" s="200"/>
      <c r="AI148" s="200"/>
      <c r="AJ148" s="200"/>
      <c r="AK148" s="200"/>
      <c r="AL148" s="200"/>
    </row>
    <row r="149" spans="1:38" x14ac:dyDescent="0.25">
      <c r="M149" s="205"/>
    </row>
    <row r="150" spans="1:38" s="545" customFormat="1" x14ac:dyDescent="0.25">
      <c r="A150" s="541" t="s">
        <v>244</v>
      </c>
      <c r="B150" s="542"/>
      <c r="C150" s="541"/>
      <c r="D150" s="543"/>
      <c r="E150" s="543"/>
      <c r="F150" s="543"/>
      <c r="G150" s="543"/>
      <c r="H150" s="543"/>
      <c r="I150" s="543"/>
      <c r="J150" s="543"/>
      <c r="K150" s="543"/>
      <c r="L150" s="543"/>
      <c r="M150" s="543"/>
      <c r="N150" s="544"/>
      <c r="O150" s="544"/>
      <c r="P150" s="544"/>
      <c r="Q150" s="544"/>
      <c r="R150" s="544"/>
      <c r="S150" s="544"/>
      <c r="T150" s="544"/>
      <c r="U150" s="544"/>
      <c r="V150" s="544"/>
      <c r="W150" s="544"/>
      <c r="X150" s="544"/>
      <c r="Y150" s="544"/>
      <c r="Z150" s="544"/>
      <c r="AA150" s="544"/>
      <c r="AB150" s="544"/>
      <c r="AC150" s="544"/>
      <c r="AD150" s="544"/>
      <c r="AE150" s="544"/>
      <c r="AF150" s="544"/>
      <c r="AG150" s="544"/>
      <c r="AH150" s="544"/>
      <c r="AI150" s="544"/>
      <c r="AJ150" s="544"/>
      <c r="AK150" s="544"/>
      <c r="AL150" s="544"/>
    </row>
    <row r="151" spans="1:38" x14ac:dyDescent="0.25">
      <c r="A151" s="398" t="s">
        <v>232</v>
      </c>
      <c r="B151" s="399"/>
      <c r="C151" s="398"/>
      <c r="D151" s="394"/>
      <c r="E151" s="394"/>
      <c r="F151" s="394"/>
      <c r="G151" s="394"/>
      <c r="H151" s="394"/>
      <c r="I151" s="394"/>
      <c r="J151" s="394"/>
      <c r="K151" s="394"/>
      <c r="L151" s="394"/>
      <c r="M151" s="394"/>
      <c r="N151" s="407"/>
      <c r="O151" s="407"/>
      <c r="P151" s="407"/>
      <c r="Q151" s="407"/>
      <c r="R151" s="407"/>
      <c r="S151" s="407"/>
      <c r="T151" s="407"/>
      <c r="U151" s="407"/>
      <c r="V151" s="407"/>
      <c r="W151" s="407"/>
      <c r="X151" s="407"/>
      <c r="Y151" s="407"/>
      <c r="Z151" s="407"/>
      <c r="AA151" s="407"/>
      <c r="AB151" s="407"/>
      <c r="AC151" s="407"/>
      <c r="AD151" s="407"/>
      <c r="AE151" s="407"/>
      <c r="AF151" s="407"/>
      <c r="AG151" s="407"/>
      <c r="AH151" s="407"/>
      <c r="AI151" s="407"/>
      <c r="AJ151" s="407"/>
      <c r="AK151" s="407"/>
      <c r="AL151" s="407"/>
    </row>
    <row r="152" spans="1:38" x14ac:dyDescent="0.25">
      <c r="A152" s="500" t="s">
        <v>12</v>
      </c>
      <c r="B152" s="499"/>
    </row>
    <row r="153" spans="1:38" x14ac:dyDescent="0.25">
      <c r="A153" s="499"/>
      <c r="B153" s="499" t="s">
        <v>20</v>
      </c>
    </row>
    <row r="154" spans="1:38" s="507" customFormat="1" ht="12.75" x14ac:dyDescent="0.2">
      <c r="A154" s="507" t="s">
        <v>21</v>
      </c>
    </row>
    <row r="155" spans="1:38" x14ac:dyDescent="0.25">
      <c r="A155" s="499"/>
      <c r="B155" s="499" t="s">
        <v>22</v>
      </c>
      <c r="M155" s="200"/>
    </row>
    <row r="156" spans="1:38" x14ac:dyDescent="0.25">
      <c r="A156" s="499"/>
      <c r="B156" s="499" t="s">
        <v>26</v>
      </c>
      <c r="M156" s="200"/>
    </row>
    <row r="157" spans="1:38" x14ac:dyDescent="0.25">
      <c r="A157" s="499"/>
      <c r="B157" s="499" t="s">
        <v>27</v>
      </c>
      <c r="M157" s="200"/>
    </row>
    <row r="158" spans="1:38" x14ac:dyDescent="0.25">
      <c r="A158" s="499"/>
      <c r="B158" s="499" t="s">
        <v>29</v>
      </c>
      <c r="M158" s="200"/>
    </row>
    <row r="159" spans="1:38" x14ac:dyDescent="0.25">
      <c r="A159" s="499"/>
      <c r="B159" s="499"/>
      <c r="M159" s="200"/>
    </row>
    <row r="160" spans="1:38" s="507" customFormat="1" ht="12.75" x14ac:dyDescent="0.2">
      <c r="A160" s="507" t="s">
        <v>32</v>
      </c>
      <c r="M160" s="241"/>
    </row>
    <row r="161" spans="1:15" x14ac:dyDescent="0.25">
      <c r="A161" s="499"/>
      <c r="B161" s="499" t="s">
        <v>33</v>
      </c>
      <c r="M161" s="200"/>
    </row>
    <row r="162" spans="1:15" x14ac:dyDescent="0.25">
      <c r="A162" s="503"/>
      <c r="B162" s="503" t="s">
        <v>34</v>
      </c>
      <c r="M162" s="200"/>
    </row>
    <row r="163" spans="1:15" x14ac:dyDescent="0.25">
      <c r="A163" s="499"/>
      <c r="B163" s="503" t="s">
        <v>35</v>
      </c>
      <c r="M163" s="200"/>
    </row>
    <row r="164" spans="1:15" x14ac:dyDescent="0.25">
      <c r="A164" s="499"/>
      <c r="B164" s="503" t="s">
        <v>29</v>
      </c>
      <c r="M164" s="200"/>
    </row>
    <row r="165" spans="1:15" x14ac:dyDescent="0.25">
      <c r="A165" s="499"/>
      <c r="B165" s="499"/>
      <c r="M165" s="200"/>
    </row>
    <row r="166" spans="1:15" s="507" customFormat="1" ht="12.75" x14ac:dyDescent="0.2">
      <c r="A166" s="507" t="s">
        <v>36</v>
      </c>
      <c r="M166" s="241"/>
    </row>
    <row r="167" spans="1:15" x14ac:dyDescent="0.25">
      <c r="A167" s="499"/>
      <c r="B167" s="499" t="s">
        <v>37</v>
      </c>
      <c r="L167" s="201"/>
      <c r="M167" s="205">
        <v>440137</v>
      </c>
      <c r="N167" s="205">
        <v>409586</v>
      </c>
      <c r="O167" s="205">
        <v>253111</v>
      </c>
    </row>
    <row r="168" spans="1:15" x14ac:dyDescent="0.25">
      <c r="A168" s="499"/>
      <c r="B168" s="499" t="s">
        <v>39</v>
      </c>
      <c r="K168" s="203"/>
      <c r="M168" s="205">
        <v>2815867</v>
      </c>
      <c r="N168" s="205">
        <v>3281691</v>
      </c>
      <c r="O168" s="205">
        <v>2850962</v>
      </c>
    </row>
    <row r="169" spans="1:15" x14ac:dyDescent="0.25">
      <c r="A169" s="499"/>
      <c r="B169" s="499" t="s">
        <v>40</v>
      </c>
      <c r="M169" s="205">
        <v>334204</v>
      </c>
      <c r="N169" s="205">
        <v>391285</v>
      </c>
      <c r="O169" s="205">
        <v>343133</v>
      </c>
    </row>
    <row r="170" spans="1:15" x14ac:dyDescent="0.25">
      <c r="A170" s="499"/>
      <c r="B170" s="499" t="s">
        <v>29</v>
      </c>
      <c r="M170" s="200">
        <v>0</v>
      </c>
      <c r="N170" s="205">
        <v>0</v>
      </c>
      <c r="O170" s="205">
        <v>0</v>
      </c>
    </row>
    <row r="171" spans="1:15" x14ac:dyDescent="0.25">
      <c r="A171" s="499"/>
      <c r="B171" s="499"/>
      <c r="M171" s="200"/>
    </row>
    <row r="172" spans="1:15" s="507" customFormat="1" ht="12.75" x14ac:dyDescent="0.2">
      <c r="A172" s="507" t="s">
        <v>42</v>
      </c>
      <c r="M172" s="241"/>
    </row>
    <row r="173" spans="1:15" x14ac:dyDescent="0.25">
      <c r="A173" s="499"/>
      <c r="B173" s="503" t="s">
        <v>43</v>
      </c>
      <c r="M173" s="200">
        <v>3342.4000000000005</v>
      </c>
      <c r="N173" s="540">
        <v>5312.95</v>
      </c>
      <c r="O173" s="540">
        <v>3965.4500000000003</v>
      </c>
    </row>
    <row r="174" spans="1:15" x14ac:dyDescent="0.25">
      <c r="A174" s="499"/>
      <c r="B174" s="503" t="s">
        <v>44</v>
      </c>
      <c r="M174" s="200">
        <v>137786.65</v>
      </c>
      <c r="N174" s="540">
        <v>236271.6</v>
      </c>
      <c r="O174" s="540">
        <v>209833.3</v>
      </c>
    </row>
    <row r="175" spans="1:15" x14ac:dyDescent="0.25">
      <c r="A175" s="499"/>
      <c r="B175" s="503" t="s">
        <v>45</v>
      </c>
      <c r="M175" s="200">
        <v>10774.05</v>
      </c>
      <c r="N175" s="540">
        <v>10570.8</v>
      </c>
      <c r="O175" s="540">
        <v>7854.9500000000007</v>
      </c>
    </row>
    <row r="176" spans="1:15" x14ac:dyDescent="0.25">
      <c r="A176" s="499"/>
      <c r="B176" s="503" t="s">
        <v>46</v>
      </c>
      <c r="M176" s="200"/>
    </row>
    <row r="177" spans="1:38" x14ac:dyDescent="0.25">
      <c r="A177" s="499"/>
      <c r="B177" s="499" t="s">
        <v>29</v>
      </c>
      <c r="M177" s="200"/>
    </row>
    <row r="178" spans="1:38" x14ac:dyDescent="0.25">
      <c r="A178" s="499"/>
      <c r="B178" s="499"/>
      <c r="M178" s="200"/>
    </row>
    <row r="179" spans="1:38" s="507" customFormat="1" ht="12.75" x14ac:dyDescent="0.2">
      <c r="A179" s="507" t="s">
        <v>47</v>
      </c>
      <c r="M179" s="241"/>
    </row>
    <row r="180" spans="1:38" x14ac:dyDescent="0.25">
      <c r="A180" s="499"/>
      <c r="B180" s="499" t="s">
        <v>48</v>
      </c>
      <c r="M180" s="200"/>
    </row>
    <row r="181" spans="1:38" x14ac:dyDescent="0.25">
      <c r="A181" s="499"/>
      <c r="B181" s="503" t="s">
        <v>50</v>
      </c>
      <c r="M181" s="200"/>
    </row>
    <row r="182" spans="1:38" x14ac:dyDescent="0.25">
      <c r="A182" s="499"/>
      <c r="B182" s="499" t="s">
        <v>51</v>
      </c>
      <c r="M182" s="200"/>
    </row>
    <row r="183" spans="1:38" x14ac:dyDescent="0.25">
      <c r="A183" s="499"/>
      <c r="B183" s="499" t="s">
        <v>52</v>
      </c>
      <c r="M183" s="200"/>
    </row>
    <row r="184" spans="1:38" x14ac:dyDescent="0.25">
      <c r="A184" s="499"/>
      <c r="B184" s="503" t="s">
        <v>29</v>
      </c>
      <c r="M184" s="200"/>
    </row>
    <row r="185" spans="1:38" x14ac:dyDescent="0.25">
      <c r="A185" s="499"/>
      <c r="B185" s="503" t="s">
        <v>53</v>
      </c>
      <c r="M185" s="200"/>
    </row>
    <row r="186" spans="1:38" x14ac:dyDescent="0.25">
      <c r="M186" s="205"/>
    </row>
    <row r="187" spans="1:38" x14ac:dyDescent="0.25">
      <c r="A187" s="398" t="s">
        <v>233</v>
      </c>
      <c r="B187" s="399"/>
      <c r="C187" s="398"/>
      <c r="D187" s="394"/>
      <c r="E187" s="394"/>
      <c r="F187" s="394"/>
      <c r="G187" s="394"/>
      <c r="H187" s="394"/>
      <c r="I187" s="394"/>
      <c r="J187" s="394"/>
      <c r="K187" s="394"/>
      <c r="L187" s="394"/>
      <c r="M187" s="394"/>
      <c r="N187" s="407"/>
      <c r="O187" s="407"/>
      <c r="P187" s="407"/>
      <c r="Q187" s="407"/>
      <c r="R187" s="407"/>
      <c r="S187" s="407"/>
      <c r="T187" s="407"/>
      <c r="U187" s="407"/>
      <c r="V187" s="407"/>
      <c r="W187" s="407"/>
      <c r="X187" s="407"/>
      <c r="Y187" s="407"/>
      <c r="Z187" s="407"/>
      <c r="AA187" s="407"/>
      <c r="AB187" s="407"/>
      <c r="AC187" s="407"/>
      <c r="AD187" s="407"/>
      <c r="AE187" s="407"/>
      <c r="AF187" s="407"/>
      <c r="AG187" s="407"/>
      <c r="AH187" s="407"/>
      <c r="AI187" s="407"/>
      <c r="AJ187" s="407"/>
      <c r="AK187" s="407"/>
      <c r="AL187" s="407"/>
    </row>
    <row r="188" spans="1:38" x14ac:dyDescent="0.25">
      <c r="A188" s="500" t="s">
        <v>12</v>
      </c>
      <c r="B188" s="499"/>
    </row>
    <row r="189" spans="1:38" x14ac:dyDescent="0.25">
      <c r="A189" s="499"/>
      <c r="B189" s="499" t="s">
        <v>20</v>
      </c>
    </row>
    <row r="190" spans="1:38" s="507" customFormat="1" ht="12.75" x14ac:dyDescent="0.2">
      <c r="A190" s="507" t="s">
        <v>21</v>
      </c>
    </row>
    <row r="191" spans="1:38" x14ac:dyDescent="0.25">
      <c r="A191" s="499"/>
      <c r="B191" s="499" t="s">
        <v>22</v>
      </c>
      <c r="M191" s="200"/>
    </row>
    <row r="192" spans="1:38" x14ac:dyDescent="0.25">
      <c r="A192" s="499"/>
      <c r="B192" s="499" t="s">
        <v>26</v>
      </c>
      <c r="M192" s="200"/>
    </row>
    <row r="193" spans="1:15" x14ac:dyDescent="0.25">
      <c r="A193" s="499"/>
      <c r="B193" s="499" t="s">
        <v>27</v>
      </c>
      <c r="M193" s="200"/>
    </row>
    <row r="194" spans="1:15" x14ac:dyDescent="0.25">
      <c r="A194" s="499"/>
      <c r="B194" s="499" t="s">
        <v>29</v>
      </c>
      <c r="M194" s="200"/>
    </row>
    <row r="195" spans="1:15" x14ac:dyDescent="0.25">
      <c r="A195" s="499"/>
      <c r="B195" s="499"/>
      <c r="M195" s="200"/>
    </row>
    <row r="196" spans="1:15" s="507" customFormat="1" ht="12.75" x14ac:dyDescent="0.2">
      <c r="A196" s="507" t="s">
        <v>32</v>
      </c>
      <c r="M196" s="241"/>
    </row>
    <row r="197" spans="1:15" x14ac:dyDescent="0.25">
      <c r="A197" s="499"/>
      <c r="B197" s="499" t="s">
        <v>33</v>
      </c>
      <c r="M197" s="200"/>
    </row>
    <row r="198" spans="1:15" x14ac:dyDescent="0.25">
      <c r="A198" s="503"/>
      <c r="B198" s="503" t="s">
        <v>34</v>
      </c>
      <c r="M198" s="200"/>
    </row>
    <row r="199" spans="1:15" x14ac:dyDescent="0.25">
      <c r="A199" s="499"/>
      <c r="B199" s="503" t="s">
        <v>35</v>
      </c>
      <c r="M199" s="200"/>
    </row>
    <row r="200" spans="1:15" x14ac:dyDescent="0.25">
      <c r="A200" s="499"/>
      <c r="B200" s="503" t="s">
        <v>29</v>
      </c>
      <c r="M200" s="200"/>
    </row>
    <row r="201" spans="1:15" x14ac:dyDescent="0.25">
      <c r="A201" s="499"/>
      <c r="B201" s="499"/>
      <c r="M201" s="200"/>
    </row>
    <row r="202" spans="1:15" s="507" customFormat="1" ht="12.75" x14ac:dyDescent="0.2">
      <c r="A202" s="507" t="s">
        <v>36</v>
      </c>
      <c r="M202" s="241"/>
    </row>
    <row r="203" spans="1:15" x14ac:dyDescent="0.25">
      <c r="A203" s="499"/>
      <c r="B203" s="499" t="s">
        <v>37</v>
      </c>
      <c r="L203" s="201"/>
      <c r="M203" s="201">
        <f>M167/SUM(M$167:M$170)</f>
        <v>0.12259373273080557</v>
      </c>
      <c r="N203" s="201">
        <f>N167/SUM(M$167:M$170)</f>
        <v>0.11408419790719647</v>
      </c>
      <c r="O203" s="201">
        <f>O167/SUM(M$167:M$170)</f>
        <v>7.0500372123286456E-2</v>
      </c>
    </row>
    <row r="204" spans="1:15" x14ac:dyDescent="0.25">
      <c r="A204" s="499"/>
      <c r="B204" s="499" t="s">
        <v>39</v>
      </c>
      <c r="K204" s="203"/>
      <c r="M204" s="201">
        <f>M168/SUM(M$167:M$170)</f>
        <v>0.78431862443624434</v>
      </c>
      <c r="N204" s="201">
        <f>N168/SUM(M$167:M$170)</f>
        <v>0.91406709583400181</v>
      </c>
      <c r="O204" s="201">
        <f>O168/SUM(M$167:M$170)</f>
        <v>0.79409382409041485</v>
      </c>
    </row>
    <row r="205" spans="1:15" x14ac:dyDescent="0.25">
      <c r="A205" s="499"/>
      <c r="B205" s="499" t="s">
        <v>40</v>
      </c>
      <c r="M205" s="201">
        <f>M169/SUM(M$167:M$170)</f>
        <v>9.3087642832950068E-2</v>
      </c>
      <c r="N205" s="201">
        <f>N169/SUM(M$167:M$170)</f>
        <v>0.10898672166069487</v>
      </c>
      <c r="O205" s="201">
        <f>O169/SUM(M$167:M$170)</f>
        <v>9.5574685366418888E-2</v>
      </c>
    </row>
    <row r="206" spans="1:15" x14ac:dyDescent="0.25">
      <c r="A206" s="499"/>
      <c r="B206" s="499" t="s">
        <v>29</v>
      </c>
      <c r="M206" s="201">
        <f>M170/SUM(M$167:M$170)</f>
        <v>0</v>
      </c>
      <c r="N206" s="201">
        <f>N170/SUM(M$167:M$170)</f>
        <v>0</v>
      </c>
      <c r="O206" s="201">
        <f>O170/SUM(M$167:M$170)</f>
        <v>0</v>
      </c>
    </row>
    <row r="207" spans="1:15" x14ac:dyDescent="0.25">
      <c r="A207" s="499"/>
      <c r="B207" s="499"/>
      <c r="M207" s="200"/>
    </row>
    <row r="208" spans="1:15" s="507" customFormat="1" ht="12.75" x14ac:dyDescent="0.2">
      <c r="A208" s="507" t="s">
        <v>42</v>
      </c>
      <c r="M208" s="241"/>
    </row>
    <row r="209" spans="1:38" x14ac:dyDescent="0.25">
      <c r="A209" s="499"/>
      <c r="B209" s="503" t="s">
        <v>43</v>
      </c>
      <c r="M209" s="201">
        <f>M173/SUM(M$173:M$177)</f>
        <v>2.2003500916044513E-2</v>
      </c>
      <c r="N209" s="201">
        <f>N173/SUM(N$173:N$177)</f>
        <v>2.1070145844615234E-2</v>
      </c>
      <c r="O209" s="201">
        <f>O173/SUM(O$173:O$177)</f>
        <v>1.789029463528017E-2</v>
      </c>
    </row>
    <row r="210" spans="1:38" x14ac:dyDescent="0.25">
      <c r="A210" s="499"/>
      <c r="B210" s="503" t="s">
        <v>44</v>
      </c>
      <c r="M210" s="201">
        <f t="shared" ref="M210:O213" si="16">M174/SUM(M$173:M$177)</f>
        <v>0.90706937514770936</v>
      </c>
      <c r="N210" s="201">
        <f t="shared" si="16"/>
        <v>0.93700807855157542</v>
      </c>
      <c r="O210" s="201">
        <f t="shared" si="16"/>
        <v>0.94667176771693851</v>
      </c>
    </row>
    <row r="211" spans="1:38" x14ac:dyDescent="0.25">
      <c r="A211" s="499"/>
      <c r="B211" s="503" t="s">
        <v>45</v>
      </c>
      <c r="M211" s="201">
        <f t="shared" si="16"/>
        <v>7.09271239362462E-2</v>
      </c>
      <c r="N211" s="201">
        <f t="shared" si="16"/>
        <v>4.1921775603809316E-2</v>
      </c>
      <c r="O211" s="201">
        <f t="shared" si="16"/>
        <v>3.5437937647781199E-2</v>
      </c>
    </row>
    <row r="212" spans="1:38" x14ac:dyDescent="0.25">
      <c r="A212" s="499"/>
      <c r="B212" s="503" t="s">
        <v>46</v>
      </c>
      <c r="M212" s="201">
        <f t="shared" si="16"/>
        <v>0</v>
      </c>
      <c r="N212" s="201">
        <f t="shared" si="16"/>
        <v>0</v>
      </c>
      <c r="O212" s="201">
        <f t="shared" si="16"/>
        <v>0</v>
      </c>
    </row>
    <row r="213" spans="1:38" x14ac:dyDescent="0.25">
      <c r="A213" s="499"/>
      <c r="B213" s="499" t="s">
        <v>29</v>
      </c>
      <c r="M213" s="201">
        <f t="shared" si="16"/>
        <v>0</v>
      </c>
      <c r="N213" s="201">
        <f t="shared" si="16"/>
        <v>0</v>
      </c>
      <c r="O213" s="201">
        <f t="shared" si="16"/>
        <v>0</v>
      </c>
    </row>
    <row r="214" spans="1:38" x14ac:dyDescent="0.25">
      <c r="A214" s="499"/>
      <c r="B214" s="499"/>
      <c r="M214" s="200"/>
    </row>
    <row r="215" spans="1:38" s="507" customFormat="1" ht="12.75" x14ac:dyDescent="0.2">
      <c r="A215" s="507" t="s">
        <v>47</v>
      </c>
      <c r="M215" s="241"/>
    </row>
    <row r="216" spans="1:38" x14ac:dyDescent="0.25">
      <c r="A216" s="499"/>
      <c r="B216" s="499" t="s">
        <v>48</v>
      </c>
      <c r="M216" s="200"/>
    </row>
    <row r="217" spans="1:38" x14ac:dyDescent="0.25">
      <c r="A217" s="499"/>
      <c r="B217" s="503" t="s">
        <v>50</v>
      </c>
      <c r="M217" s="200"/>
    </row>
    <row r="218" spans="1:38" x14ac:dyDescent="0.25">
      <c r="A218" s="499"/>
      <c r="B218" s="499" t="s">
        <v>51</v>
      </c>
      <c r="M218" s="200"/>
    </row>
    <row r="219" spans="1:38" x14ac:dyDescent="0.25">
      <c r="A219" s="499"/>
      <c r="B219" s="499" t="s">
        <v>52</v>
      </c>
      <c r="M219" s="200"/>
    </row>
    <row r="220" spans="1:38" x14ac:dyDescent="0.25">
      <c r="A220" s="499"/>
      <c r="B220" s="503" t="s">
        <v>29</v>
      </c>
      <c r="M220" s="200"/>
    </row>
    <row r="221" spans="1:38" x14ac:dyDescent="0.25">
      <c r="A221" s="499"/>
      <c r="B221" s="503" t="s">
        <v>53</v>
      </c>
      <c r="M221" s="200"/>
    </row>
    <row r="222" spans="1:38" x14ac:dyDescent="0.25">
      <c r="M222" s="205"/>
    </row>
    <row r="223" spans="1:38" s="539" customFormat="1" x14ac:dyDescent="0.25">
      <c r="A223" s="554" t="s">
        <v>247</v>
      </c>
      <c r="B223" s="555"/>
      <c r="C223" s="554"/>
      <c r="D223" s="553"/>
      <c r="E223" s="553"/>
      <c r="F223" s="553"/>
      <c r="G223" s="553"/>
      <c r="H223" s="553"/>
      <c r="I223" s="553"/>
      <c r="J223" s="553"/>
      <c r="K223" s="553"/>
      <c r="L223" s="553"/>
      <c r="M223" s="553"/>
      <c r="N223" s="560"/>
      <c r="O223" s="560"/>
      <c r="P223" s="560"/>
      <c r="Q223" s="560"/>
      <c r="R223" s="560"/>
      <c r="S223" s="560"/>
      <c r="T223" s="560"/>
      <c r="U223" s="560"/>
      <c r="V223" s="560"/>
      <c r="W223" s="560"/>
      <c r="X223" s="560"/>
      <c r="Y223" s="560"/>
      <c r="Z223" s="560"/>
      <c r="AA223" s="560"/>
      <c r="AB223" s="560"/>
      <c r="AC223" s="560"/>
      <c r="AD223" s="560"/>
      <c r="AE223" s="560"/>
      <c r="AF223" s="560"/>
      <c r="AG223" s="560"/>
      <c r="AH223" s="560"/>
      <c r="AI223" s="560"/>
      <c r="AJ223" s="560"/>
      <c r="AK223" s="560"/>
      <c r="AL223" s="560"/>
    </row>
    <row r="224" spans="1:38" s="539" customFormat="1" x14ac:dyDescent="0.25">
      <c r="A224" s="551" t="s">
        <v>12</v>
      </c>
      <c r="B224" s="550"/>
    </row>
    <row r="225" spans="1:38" s="539" customFormat="1" x14ac:dyDescent="0.25">
      <c r="A225" s="550"/>
      <c r="B225" s="550" t="s">
        <v>20</v>
      </c>
    </row>
    <row r="226" spans="1:38" s="556" customFormat="1" ht="12.75" x14ac:dyDescent="0.2">
      <c r="A226" s="556" t="s">
        <v>21</v>
      </c>
    </row>
    <row r="227" spans="1:38" s="539" customFormat="1" x14ac:dyDescent="0.25">
      <c r="A227" s="550"/>
      <c r="B227" s="550" t="s">
        <v>22</v>
      </c>
      <c r="M227" s="200"/>
      <c r="N227" s="540">
        <v>1362.2576643651787</v>
      </c>
      <c r="O227" s="540">
        <v>1131.3554129607869</v>
      </c>
      <c r="P227" s="540">
        <v>844.17575559894601</v>
      </c>
      <c r="Q227" s="540">
        <v>748.17452855314207</v>
      </c>
      <c r="R227" s="540">
        <v>707.83513034861414</v>
      </c>
      <c r="S227" s="540">
        <v>643.25821939609432</v>
      </c>
      <c r="T227" s="540">
        <v>572.23026786507205</v>
      </c>
      <c r="U227" s="540">
        <v>497.52922222400093</v>
      </c>
      <c r="V227" s="540">
        <v>425.32754373001001</v>
      </c>
      <c r="W227" s="540">
        <v>354.43839912466194</v>
      </c>
      <c r="X227" s="540">
        <v>287.49106238933092</v>
      </c>
      <c r="Y227" s="540">
        <v>229.86336073944477</v>
      </c>
      <c r="Z227" s="540">
        <v>182.67031864102401</v>
      </c>
      <c r="AA227" s="540">
        <v>144.79205365904008</v>
      </c>
      <c r="AB227" s="540">
        <v>115.77911095639544</v>
      </c>
      <c r="AC227" s="540">
        <v>93.62366896810353</v>
      </c>
      <c r="AD227" s="540">
        <v>76.730415486642173</v>
      </c>
      <c r="AE227" s="540">
        <v>63.754470021451588</v>
      </c>
      <c r="AF227" s="540">
        <v>53.731658530884907</v>
      </c>
      <c r="AG227" s="540">
        <v>46.028490507531828</v>
      </c>
      <c r="AH227" s="540">
        <v>39.836014282997844</v>
      </c>
      <c r="AI227" s="540">
        <v>34.890051855672517</v>
      </c>
      <c r="AJ227" s="540">
        <v>30.765792902152391</v>
      </c>
      <c r="AK227" s="540">
        <v>27.249807919584619</v>
      </c>
      <c r="AL227" s="540">
        <v>23.881407228336286</v>
      </c>
    </row>
    <row r="228" spans="1:38" s="539" customFormat="1" x14ac:dyDescent="0.25">
      <c r="A228" s="550"/>
      <c r="B228" s="550" t="s">
        <v>26</v>
      </c>
      <c r="M228" s="200"/>
      <c r="N228" s="540">
        <v>17.443881110468293</v>
      </c>
      <c r="O228" s="540">
        <v>59.528769979907445</v>
      </c>
      <c r="P228" s="540">
        <v>158.41747041584796</v>
      </c>
      <c r="Q228" s="540">
        <v>205.36021569740518</v>
      </c>
      <c r="R228" s="540">
        <v>198.47023116081564</v>
      </c>
      <c r="S228" s="540">
        <v>184.66353114839333</v>
      </c>
      <c r="T228" s="540">
        <v>168.50405207896202</v>
      </c>
      <c r="U228" s="540">
        <v>150.31210725042232</v>
      </c>
      <c r="V228" s="540">
        <v>131.7867808954268</v>
      </c>
      <c r="W228" s="540">
        <v>112.81675742440558</v>
      </c>
      <c r="X228" s="540">
        <v>94.132966307772577</v>
      </c>
      <c r="Y228" s="540">
        <v>77.601252297444375</v>
      </c>
      <c r="Z228" s="540">
        <v>63.624387334286396</v>
      </c>
      <c r="AA228" s="540">
        <v>52.160200537343222</v>
      </c>
      <c r="AB228" s="540">
        <v>43.115244908336066</v>
      </c>
      <c r="AC228" s="540">
        <v>36.066938307246367</v>
      </c>
      <c r="AD228" s="540">
        <v>30.65385855530603</v>
      </c>
      <c r="AE228" s="540">
        <v>26.393461866992535</v>
      </c>
      <c r="AF228" s="540">
        <v>23.040945292496975</v>
      </c>
      <c r="AG228" s="540">
        <v>20.434972465900501</v>
      </c>
      <c r="AH228" s="540">
        <v>18.328521621095415</v>
      </c>
      <c r="AI228" s="540">
        <v>16.628996329644618</v>
      </c>
      <c r="AJ228" s="540">
        <v>15.192716730159436</v>
      </c>
      <c r="AK228" s="540">
        <v>13.94791657323478</v>
      </c>
      <c r="AL228" s="540">
        <v>12.704290046599052</v>
      </c>
    </row>
    <row r="229" spans="1:38" s="539" customFormat="1" x14ac:dyDescent="0.25">
      <c r="A229" s="550"/>
      <c r="B229" s="550" t="s">
        <v>27</v>
      </c>
      <c r="M229" s="200"/>
      <c r="N229" s="540">
        <v>970.25127197254858</v>
      </c>
      <c r="O229" s="540">
        <v>777.9996058683156</v>
      </c>
      <c r="P229" s="540">
        <v>807.51034202349035</v>
      </c>
      <c r="Q229" s="540">
        <v>742.05083541268129</v>
      </c>
      <c r="R229" s="540">
        <v>715.43457359482761</v>
      </c>
      <c r="S229" s="540">
        <v>687.57002811881296</v>
      </c>
      <c r="T229" s="540">
        <v>640.52901995433558</v>
      </c>
      <c r="U229" s="540">
        <v>579.79613513666607</v>
      </c>
      <c r="V229" s="540">
        <v>510.17033198949485</v>
      </c>
      <c r="W229" s="540">
        <v>441.36975167889352</v>
      </c>
      <c r="X229" s="540">
        <v>375.44152658556811</v>
      </c>
      <c r="Y229" s="540">
        <v>315.3021296336052</v>
      </c>
      <c r="Z229" s="540">
        <v>263.69281766939486</v>
      </c>
      <c r="AA229" s="540">
        <v>221.36279768506327</v>
      </c>
      <c r="AB229" s="540">
        <v>186.69593219156343</v>
      </c>
      <c r="AC229" s="540">
        <v>159.94797448222158</v>
      </c>
      <c r="AD229" s="540">
        <v>139.76525267157396</v>
      </c>
      <c r="AE229" s="540">
        <v>124.08972271150053</v>
      </c>
      <c r="AF229" s="540">
        <v>111.65600827093475</v>
      </c>
      <c r="AG229" s="540">
        <v>101.88662451668843</v>
      </c>
      <c r="AH229" s="540">
        <v>94.43999961780105</v>
      </c>
      <c r="AI229" s="540">
        <v>88.568025929791034</v>
      </c>
      <c r="AJ229" s="540">
        <v>83.76674346615745</v>
      </c>
      <c r="AK229" s="540">
        <v>79.811514704615405</v>
      </c>
      <c r="AL229" s="540">
        <v>76.412439347986805</v>
      </c>
    </row>
    <row r="230" spans="1:38" s="539" customFormat="1" x14ac:dyDescent="0.25">
      <c r="A230" s="550"/>
      <c r="B230" s="550" t="s">
        <v>29</v>
      </c>
      <c r="M230" s="200"/>
      <c r="N230" s="540">
        <v>3.9896741252414678</v>
      </c>
      <c r="O230" s="540">
        <v>9.6700905518464459</v>
      </c>
      <c r="P230" s="540">
        <v>18.006920539499351</v>
      </c>
      <c r="Q230" s="540">
        <v>37.033284133921946</v>
      </c>
      <c r="R230" s="540">
        <v>71.074551695298027</v>
      </c>
      <c r="S230" s="540">
        <v>122.06240803053217</v>
      </c>
      <c r="T230" s="540">
        <v>186.42486166890231</v>
      </c>
      <c r="U230" s="540">
        <v>255.50852356098846</v>
      </c>
      <c r="V230" s="540">
        <v>319.8680713368048</v>
      </c>
      <c r="W230" s="540">
        <v>375.36431408244107</v>
      </c>
      <c r="X230" s="540">
        <v>415.88379619979679</v>
      </c>
      <c r="Y230" s="540">
        <v>441.63023663720878</v>
      </c>
      <c r="Z230" s="540">
        <v>454.17790153846249</v>
      </c>
      <c r="AA230" s="540">
        <v>457.90169099320326</v>
      </c>
      <c r="AB230" s="540">
        <v>452.67518380554122</v>
      </c>
      <c r="AC230" s="540">
        <v>444.8651746630884</v>
      </c>
      <c r="AD230" s="540">
        <v>437.57214694010503</v>
      </c>
      <c r="AE230" s="540">
        <v>429.37731027222048</v>
      </c>
      <c r="AF230" s="540">
        <v>420.27181415275913</v>
      </c>
      <c r="AG230" s="540">
        <v>411.47182984761622</v>
      </c>
      <c r="AH230" s="540">
        <v>405.00565564585622</v>
      </c>
      <c r="AI230" s="540">
        <v>399.66484635116677</v>
      </c>
      <c r="AJ230" s="540">
        <v>394.92631627914591</v>
      </c>
      <c r="AK230" s="540">
        <v>391.00307211864157</v>
      </c>
      <c r="AL230" s="540">
        <v>388.20318651494046</v>
      </c>
    </row>
    <row r="231" spans="1:38" s="539" customFormat="1" x14ac:dyDescent="0.25">
      <c r="A231" s="550"/>
      <c r="B231" s="550"/>
      <c r="M231" s="200"/>
      <c r="N231" s="540"/>
      <c r="O231" s="540"/>
      <c r="P231" s="540"/>
      <c r="Q231" s="540"/>
      <c r="R231" s="540"/>
      <c r="S231" s="540"/>
      <c r="T231" s="540"/>
      <c r="U231" s="540"/>
      <c r="V231" s="540"/>
      <c r="W231" s="540"/>
      <c r="X231" s="540"/>
      <c r="Y231" s="540"/>
      <c r="Z231" s="540"/>
      <c r="AA231" s="540"/>
      <c r="AB231" s="540"/>
      <c r="AC231" s="540"/>
      <c r="AD231" s="540"/>
      <c r="AE231" s="540"/>
      <c r="AF231" s="540"/>
      <c r="AG231" s="540"/>
      <c r="AH231" s="540"/>
      <c r="AI231" s="540"/>
      <c r="AJ231" s="540"/>
      <c r="AK231" s="540"/>
      <c r="AL231" s="540"/>
    </row>
    <row r="232" spans="1:38" s="556" customFormat="1" ht="12.75" x14ac:dyDescent="0.2">
      <c r="A232" s="556" t="s">
        <v>32</v>
      </c>
      <c r="M232" s="241"/>
      <c r="N232" s="547"/>
      <c r="O232" s="547"/>
      <c r="P232" s="547"/>
      <c r="Q232" s="547"/>
      <c r="R232" s="547"/>
      <c r="S232" s="547"/>
      <c r="T232" s="547"/>
      <c r="U232" s="547"/>
      <c r="V232" s="547"/>
      <c r="W232" s="547"/>
      <c r="X232" s="547"/>
      <c r="Y232" s="547"/>
      <c r="Z232" s="547"/>
      <c r="AA232" s="547"/>
      <c r="AB232" s="547"/>
      <c r="AC232" s="547"/>
      <c r="AD232" s="547"/>
      <c r="AE232" s="547"/>
      <c r="AF232" s="547"/>
      <c r="AG232" s="547"/>
      <c r="AH232" s="547"/>
      <c r="AI232" s="547"/>
      <c r="AJ232" s="547"/>
      <c r="AK232" s="547"/>
      <c r="AL232" s="547"/>
    </row>
    <row r="233" spans="1:38" s="539" customFormat="1" x14ac:dyDescent="0.25">
      <c r="A233" s="550"/>
      <c r="B233" s="550" t="s">
        <v>33</v>
      </c>
      <c r="M233" s="200"/>
      <c r="N233" s="540">
        <v>1211.4490438473597</v>
      </c>
      <c r="O233" s="540">
        <v>1199.6996571018105</v>
      </c>
      <c r="P233" s="540">
        <v>1145.6411790393031</v>
      </c>
      <c r="Q233" s="540">
        <v>1046.1501741757211</v>
      </c>
      <c r="R233" s="540">
        <v>919.30230501277026</v>
      </c>
      <c r="S233" s="540">
        <v>764.90172632360031</v>
      </c>
      <c r="T233" s="540">
        <v>609.88846361471644</v>
      </c>
      <c r="U233" s="540">
        <v>466.79455955869571</v>
      </c>
      <c r="V233" s="540">
        <v>348.29366835087922</v>
      </c>
      <c r="W233" s="540">
        <v>255.20293601339822</v>
      </c>
      <c r="X233" s="540">
        <v>185.15093164484978</v>
      </c>
      <c r="Y233" s="540">
        <v>134.94971049846833</v>
      </c>
      <c r="Z233" s="540">
        <v>100.22298852127767</v>
      </c>
      <c r="AA233" s="540">
        <v>75.842696702301396</v>
      </c>
      <c r="AB233" s="540">
        <v>58.754509446787182</v>
      </c>
      <c r="AC233" s="540">
        <v>46.699132884134755</v>
      </c>
      <c r="AD233" s="540">
        <v>38.048210423671492</v>
      </c>
      <c r="AE233" s="540">
        <v>31.588501277928547</v>
      </c>
      <c r="AF233" s="540">
        <v>26.624182389894351</v>
      </c>
      <c r="AG233" s="540">
        <v>22.882929379078362</v>
      </c>
      <c r="AH233" s="540">
        <v>19.934842697795983</v>
      </c>
      <c r="AI233" s="540">
        <v>17.59412932295168</v>
      </c>
      <c r="AJ233" s="540">
        <v>15.640162169273458</v>
      </c>
      <c r="AK233" s="540">
        <v>13.968836763034103</v>
      </c>
      <c r="AL233" s="540">
        <v>12.339039285915717</v>
      </c>
    </row>
    <row r="234" spans="1:38" s="539" customFormat="1" x14ac:dyDescent="0.25">
      <c r="A234" s="552"/>
      <c r="B234" s="552" t="s">
        <v>34</v>
      </c>
      <c r="M234" s="200"/>
      <c r="N234" s="540">
        <v>842.46093723145862</v>
      </c>
      <c r="O234" s="540">
        <v>838.97624459445387</v>
      </c>
      <c r="P234" s="540">
        <v>810.13936636590154</v>
      </c>
      <c r="Q234" s="540">
        <v>752.78653385715586</v>
      </c>
      <c r="R234" s="540">
        <v>672.08889017361355</v>
      </c>
      <c r="S234" s="540">
        <v>571.88494726596491</v>
      </c>
      <c r="T234" s="540">
        <v>466.17966773414918</v>
      </c>
      <c r="U234" s="540">
        <v>364.81475643452291</v>
      </c>
      <c r="V234" s="540">
        <v>278.02598596394853</v>
      </c>
      <c r="W234" s="540">
        <v>208.58874145157921</v>
      </c>
      <c r="X234" s="540">
        <v>155.31116110705344</v>
      </c>
      <c r="Y234" s="540">
        <v>116.33190815198259</v>
      </c>
      <c r="Z234" s="540">
        <v>88.78331373675735</v>
      </c>
      <c r="AA234" s="540">
        <v>69.147256368559198</v>
      </c>
      <c r="AB234" s="540">
        <v>55.03642916985801</v>
      </c>
      <c r="AC234" s="540">
        <v>44.950194893065422</v>
      </c>
      <c r="AD234" s="540">
        <v>37.694241110363819</v>
      </c>
      <c r="AE234" s="540">
        <v>32.19625433165605</v>
      </c>
      <c r="AF234" s="540">
        <v>27.912302106659897</v>
      </c>
      <c r="AG234" s="540">
        <v>24.661766776755748</v>
      </c>
      <c r="AH234" s="540">
        <v>22.118149099996582</v>
      </c>
      <c r="AI234" s="540">
        <v>20.097077896147479</v>
      </c>
      <c r="AJ234" s="540">
        <v>18.405658547231283</v>
      </c>
      <c r="AK234" s="540">
        <v>16.953765842735191</v>
      </c>
      <c r="AL234" s="540">
        <v>15.51185336173087</v>
      </c>
    </row>
    <row r="235" spans="1:38" s="539" customFormat="1" x14ac:dyDescent="0.25">
      <c r="A235" s="550"/>
      <c r="B235" s="552" t="s">
        <v>35</v>
      </c>
      <c r="M235" s="200"/>
      <c r="N235" s="540">
        <v>392.12862794382806</v>
      </c>
      <c r="O235" s="540">
        <v>375.73614268557009</v>
      </c>
      <c r="P235" s="540">
        <v>361.38089027915038</v>
      </c>
      <c r="Q235" s="540">
        <v>345.80045906328485</v>
      </c>
      <c r="R235" s="540">
        <v>313.7274136543349</v>
      </c>
      <c r="S235" s="540">
        <v>280.14711405927522</v>
      </c>
      <c r="T235" s="540">
        <v>237.60713620846906</v>
      </c>
      <c r="U235" s="540">
        <v>192.67984556386449</v>
      </c>
      <c r="V235" s="540">
        <v>150.83783421163122</v>
      </c>
      <c r="W235" s="540">
        <v>117.18989852761</v>
      </c>
      <c r="X235" s="540">
        <v>91.084742744864627</v>
      </c>
      <c r="Y235" s="540">
        <v>71.300316703288217</v>
      </c>
      <c r="Z235" s="540">
        <v>56.798886071856757</v>
      </c>
      <c r="AA235" s="540">
        <v>46.32692048141476</v>
      </c>
      <c r="AB235" s="540">
        <v>38.353173072547953</v>
      </c>
      <c r="AC235" s="540">
        <v>32.599971347953421</v>
      </c>
      <c r="AD235" s="540">
        <v>28.552979918896646</v>
      </c>
      <c r="AE235" s="540">
        <v>25.452208564159157</v>
      </c>
      <c r="AF235" s="540">
        <v>22.990157980125979</v>
      </c>
      <c r="AG235" s="540">
        <v>21.103693073126394</v>
      </c>
      <c r="AH235" s="540">
        <v>19.734362585563343</v>
      </c>
      <c r="AI235" s="540">
        <v>18.680078976011703</v>
      </c>
      <c r="AJ235" s="540">
        <v>17.839849859482793</v>
      </c>
      <c r="AK235" s="540">
        <v>17.168043768634973</v>
      </c>
      <c r="AL235" s="540">
        <v>16.601582507442988</v>
      </c>
    </row>
    <row r="236" spans="1:38" s="539" customFormat="1" x14ac:dyDescent="0.25">
      <c r="A236" s="550"/>
      <c r="B236" s="552" t="s">
        <v>29</v>
      </c>
      <c r="M236" s="200"/>
      <c r="N236" s="540">
        <v>12.561875546668109</v>
      </c>
      <c r="O236" s="540">
        <v>51.682616580479475</v>
      </c>
      <c r="P236" s="540">
        <v>121.06554502749644</v>
      </c>
      <c r="Q236" s="540">
        <v>213.35249915514225</v>
      </c>
      <c r="R236" s="540">
        <v>312.29036722998916</v>
      </c>
      <c r="S236" s="540">
        <v>409.36682945062734</v>
      </c>
      <c r="T236" s="540">
        <v>484.64487883172774</v>
      </c>
      <c r="U236" s="540">
        <v>528.45874573740355</v>
      </c>
      <c r="V236" s="540">
        <v>541.84711814864988</v>
      </c>
      <c r="W236" s="540">
        <v>535.79970397730676</v>
      </c>
      <c r="X236" s="540">
        <v>517.48415969270513</v>
      </c>
      <c r="Y236" s="540">
        <v>494.06821907718552</v>
      </c>
      <c r="Z236" s="540">
        <v>473.33503773440913</v>
      </c>
      <c r="AA236" s="540">
        <v>456.06045174007994</v>
      </c>
      <c r="AB236" s="540">
        <v>440.17956160087971</v>
      </c>
      <c r="AC236" s="540">
        <v>428.99000017941802</v>
      </c>
      <c r="AD236" s="540">
        <v>421.89297420791087</v>
      </c>
      <c r="AE236" s="540">
        <v>416.21754993703718</v>
      </c>
      <c r="AF236" s="540">
        <v>409.4445341437463</v>
      </c>
      <c r="AG236" s="540">
        <v>403.31905699219482</v>
      </c>
      <c r="AH236" s="540">
        <v>399.35790877789503</v>
      </c>
      <c r="AI236" s="540">
        <v>396.25690218451768</v>
      </c>
      <c r="AJ236" s="540">
        <v>393.14434343848455</v>
      </c>
      <c r="AK236" s="540">
        <v>390.42562609313154</v>
      </c>
      <c r="AL236" s="540">
        <v>388.37987779084398</v>
      </c>
    </row>
    <row r="237" spans="1:38" s="539" customFormat="1" x14ac:dyDescent="0.25">
      <c r="A237" s="550"/>
      <c r="B237" s="550"/>
      <c r="M237" s="200"/>
      <c r="N237" s="540"/>
      <c r="O237" s="540"/>
      <c r="P237" s="540"/>
      <c r="Q237" s="540"/>
      <c r="R237" s="540"/>
      <c r="S237" s="540"/>
      <c r="T237" s="540"/>
      <c r="U237" s="540"/>
      <c r="V237" s="540"/>
      <c r="W237" s="540"/>
      <c r="X237" s="540"/>
      <c r="Y237" s="540"/>
      <c r="Z237" s="540"/>
      <c r="AA237" s="540"/>
      <c r="AB237" s="540"/>
      <c r="AC237" s="540"/>
      <c r="AD237" s="540"/>
      <c r="AE237" s="540"/>
      <c r="AF237" s="540"/>
      <c r="AG237" s="540"/>
      <c r="AH237" s="540"/>
      <c r="AI237" s="540"/>
      <c r="AJ237" s="540"/>
      <c r="AK237" s="540"/>
      <c r="AL237" s="540"/>
    </row>
    <row r="238" spans="1:38" s="556" customFormat="1" ht="12.75" x14ac:dyDescent="0.2">
      <c r="A238" s="556" t="s">
        <v>36</v>
      </c>
      <c r="M238" s="241"/>
      <c r="N238" s="547"/>
      <c r="O238" s="547"/>
      <c r="P238" s="547"/>
      <c r="Q238" s="547"/>
      <c r="R238" s="547"/>
      <c r="S238" s="547"/>
      <c r="T238" s="547"/>
      <c r="U238" s="547"/>
      <c r="V238" s="547"/>
      <c r="W238" s="547"/>
      <c r="X238" s="547"/>
      <c r="Y238" s="547"/>
      <c r="Z238" s="547"/>
      <c r="AA238" s="547"/>
      <c r="AB238" s="547"/>
      <c r="AC238" s="547"/>
      <c r="AD238" s="547"/>
      <c r="AE238" s="547"/>
      <c r="AF238" s="547"/>
      <c r="AG238" s="547"/>
      <c r="AH238" s="547"/>
      <c r="AI238" s="547"/>
      <c r="AJ238" s="547"/>
      <c r="AK238" s="547"/>
      <c r="AL238" s="547"/>
    </row>
    <row r="239" spans="1:38" s="539" customFormat="1" x14ac:dyDescent="0.25">
      <c r="A239" s="550"/>
      <c r="B239" s="550" t="s">
        <v>37</v>
      </c>
      <c r="L239" s="201"/>
      <c r="M239" s="540"/>
      <c r="N239" s="540">
        <v>1802.5821720869158</v>
      </c>
      <c r="O239" s="540">
        <v>1131.9771440517384</v>
      </c>
      <c r="P239" s="540">
        <v>555.1415257590545</v>
      </c>
      <c r="Q239" s="540">
        <v>113.34664529949941</v>
      </c>
      <c r="R239" s="540">
        <v>85.090378583958895</v>
      </c>
      <c r="S239" s="540">
        <v>64.20526590446913</v>
      </c>
      <c r="T239" s="540">
        <v>49.520968151094046</v>
      </c>
      <c r="U239" s="540">
        <v>38.48401224416456</v>
      </c>
      <c r="V239" s="540">
        <v>30.176362327380193</v>
      </c>
      <c r="W239" s="540">
        <v>23.852072419713789</v>
      </c>
      <c r="X239" s="540">
        <v>18.94853360719301</v>
      </c>
      <c r="Y239" s="540">
        <v>15.25830300016446</v>
      </c>
      <c r="Z239" s="540">
        <v>12.38209443809982</v>
      </c>
      <c r="AA239" s="540">
        <v>10.169609490327018</v>
      </c>
      <c r="AB239" s="540">
        <v>8.4103356539626457</v>
      </c>
      <c r="AC239" s="540">
        <v>7.0381014857406274</v>
      </c>
      <c r="AD239" s="540">
        <v>5.9913180129353227</v>
      </c>
      <c r="AE239" s="540">
        <v>5.121026910098724</v>
      </c>
      <c r="AF239" s="540">
        <v>4.427980033886957</v>
      </c>
      <c r="AG239" s="540">
        <v>3.8744670312350582</v>
      </c>
      <c r="AH239" s="540">
        <v>3.4212620388991826</v>
      </c>
      <c r="AI239" s="540">
        <v>3.0469522009509138</v>
      </c>
      <c r="AJ239" s="540">
        <v>2.7282448010400744</v>
      </c>
      <c r="AK239" s="540">
        <v>2.4599512360130258</v>
      </c>
      <c r="AL239" s="540">
        <v>2.2110778077494291</v>
      </c>
    </row>
    <row r="240" spans="1:38" s="539" customFormat="1" x14ac:dyDescent="0.25">
      <c r="A240" s="550"/>
      <c r="B240" s="550" t="s">
        <v>39</v>
      </c>
      <c r="K240" s="203"/>
      <c r="M240" s="540"/>
      <c r="N240" s="540">
        <v>12892.554505356213</v>
      </c>
      <c r="O240" s="540">
        <v>13195.322846694629</v>
      </c>
      <c r="P240" s="540">
        <v>13209.511094459769</v>
      </c>
      <c r="Q240" s="540">
        <v>13235.92585951921</v>
      </c>
      <c r="R240" s="540">
        <v>12759.215494127176</v>
      </c>
      <c r="S240" s="540">
        <v>12212.258542615102</v>
      </c>
      <c r="T240" s="540">
        <v>11596.533255813134</v>
      </c>
      <c r="U240" s="540">
        <v>10962.902394268924</v>
      </c>
      <c r="V240" s="540">
        <v>10325.918888989079</v>
      </c>
      <c r="W240" s="540">
        <v>9707.7040994951185</v>
      </c>
      <c r="X240" s="540">
        <v>9093.9705498241474</v>
      </c>
      <c r="Y240" s="540">
        <v>8535.5766392720197</v>
      </c>
      <c r="Z240" s="540">
        <v>7996.4498521368778</v>
      </c>
      <c r="AA240" s="540">
        <v>7499.7575204143141</v>
      </c>
      <c r="AB240" s="540">
        <v>7017.9086551820292</v>
      </c>
      <c r="AC240" s="540">
        <v>6581.3336783375344</v>
      </c>
      <c r="AD240" s="540">
        <v>6198.1569568039895</v>
      </c>
      <c r="AE240" s="540">
        <v>5831.5766611069848</v>
      </c>
      <c r="AF240" s="540">
        <v>5499.6390514570139</v>
      </c>
      <c r="AG240" s="540">
        <v>5196.6055544649853</v>
      </c>
      <c r="AH240" s="540">
        <v>4923.0198701233385</v>
      </c>
      <c r="AI240" s="540">
        <v>4671.8079395661534</v>
      </c>
      <c r="AJ240" s="540">
        <v>4439.687285216145</v>
      </c>
      <c r="AK240" s="540">
        <v>4230.5686574897109</v>
      </c>
      <c r="AL240" s="540">
        <v>4034.2765993514281</v>
      </c>
    </row>
    <row r="241" spans="1:38" s="539" customFormat="1" x14ac:dyDescent="0.25">
      <c r="A241" s="550"/>
      <c r="B241" s="550" t="s">
        <v>40</v>
      </c>
      <c r="M241" s="540"/>
      <c r="N241" s="540">
        <v>1764.0879560436765</v>
      </c>
      <c r="O241" s="540">
        <v>2179.3929194066964</v>
      </c>
      <c r="P241" s="540">
        <v>2626.3211478496032</v>
      </c>
      <c r="Q241" s="540">
        <v>2966.5692907551029</v>
      </c>
      <c r="R241" s="540">
        <v>3179.1413446232891</v>
      </c>
      <c r="S241" s="540">
        <v>3340.8597260084866</v>
      </c>
      <c r="T241" s="540">
        <v>3531.2919352964336</v>
      </c>
      <c r="U241" s="540">
        <v>3677.1622020698278</v>
      </c>
      <c r="V241" s="540">
        <v>3766.5073335960833</v>
      </c>
      <c r="W241" s="540">
        <v>3809.1647584733096</v>
      </c>
      <c r="X241" s="540">
        <v>3798.1062780161451</v>
      </c>
      <c r="Y241" s="540">
        <v>3765.1839008928573</v>
      </c>
      <c r="Z241" s="540">
        <v>3697.0780249245781</v>
      </c>
      <c r="AA241" s="540">
        <v>3616.2519241819587</v>
      </c>
      <c r="AB241" s="540">
        <v>3509.3054701916999</v>
      </c>
      <c r="AC241" s="540">
        <v>3395.5813940289931</v>
      </c>
      <c r="AD241" s="540">
        <v>3291.3867978191256</v>
      </c>
      <c r="AE241" s="540">
        <v>3176.72606760382</v>
      </c>
      <c r="AF241" s="540">
        <v>3062.9400745029679</v>
      </c>
      <c r="AG241" s="540">
        <v>2953.9356914733071</v>
      </c>
      <c r="AH241" s="540">
        <v>2848.9786529304638</v>
      </c>
      <c r="AI241" s="540">
        <v>2748.9707482941817</v>
      </c>
      <c r="AJ241" s="540">
        <v>2652.1878139838932</v>
      </c>
      <c r="AK241" s="540">
        <v>2560.4615195853785</v>
      </c>
      <c r="AL241" s="540">
        <v>2471.2732877876406</v>
      </c>
    </row>
    <row r="242" spans="1:38" s="539" customFormat="1" x14ac:dyDescent="0.25">
      <c r="A242" s="550"/>
      <c r="B242" s="550" t="s">
        <v>29</v>
      </c>
      <c r="M242" s="200"/>
      <c r="N242" s="540">
        <v>6.2197088686205361E-2</v>
      </c>
      <c r="O242" s="540">
        <v>1.4760930268345724</v>
      </c>
      <c r="P242" s="540">
        <v>9.2393953606367685</v>
      </c>
      <c r="Q242" s="540">
        <v>29.72049176032726</v>
      </c>
      <c r="R242" s="540">
        <v>67.52271809261633</v>
      </c>
      <c r="S242" s="540">
        <v>124.26106688093219</v>
      </c>
      <c r="T242" s="540">
        <v>209.24240051448834</v>
      </c>
      <c r="U242" s="540">
        <v>314.45704818642798</v>
      </c>
      <c r="V242" s="540">
        <v>433.28004915422588</v>
      </c>
      <c r="W242" s="540">
        <v>564.1992336288215</v>
      </c>
      <c r="X242" s="540">
        <v>690.55275928142532</v>
      </c>
      <c r="Y242" s="540">
        <v>826.90218888919492</v>
      </c>
      <c r="Z242" s="540">
        <v>952.81826077964649</v>
      </c>
      <c r="AA242" s="540">
        <v>1082.3402970738673</v>
      </c>
      <c r="AB242" s="540">
        <v>1186.7129223224479</v>
      </c>
      <c r="AC242" s="540">
        <v>1280.7955001454529</v>
      </c>
      <c r="AD242" s="540">
        <v>1383.4676978449129</v>
      </c>
      <c r="AE242" s="540">
        <v>1460.4817058926806</v>
      </c>
      <c r="AF242" s="540">
        <v>1524.0039766997861</v>
      </c>
      <c r="AG242" s="540">
        <v>1578.434901938959</v>
      </c>
      <c r="AH242" s="540">
        <v>1630.6638587620325</v>
      </c>
      <c r="AI242" s="540">
        <v>1675.116657379913</v>
      </c>
      <c r="AJ242" s="540">
        <v>1712.4653737820645</v>
      </c>
      <c r="AK242" s="540">
        <v>1747.4985734977895</v>
      </c>
      <c r="AL242" s="540">
        <v>1782.1664024852307</v>
      </c>
    </row>
    <row r="243" spans="1:38" s="539" customFormat="1" x14ac:dyDescent="0.25">
      <c r="A243" s="550"/>
      <c r="B243" s="550"/>
      <c r="M243" s="200"/>
      <c r="N243" s="540"/>
      <c r="O243" s="540"/>
      <c r="P243" s="540"/>
      <c r="Q243" s="540"/>
      <c r="R243" s="540"/>
      <c r="S243" s="540"/>
      <c r="T243" s="540"/>
      <c r="U243" s="540"/>
      <c r="V243" s="540"/>
      <c r="W243" s="540"/>
      <c r="X243" s="540"/>
      <c r="Y243" s="540"/>
      <c r="Z243" s="540"/>
      <c r="AA243" s="540"/>
      <c r="AB243" s="540"/>
      <c r="AC243" s="540"/>
      <c r="AD243" s="540"/>
      <c r="AE243" s="540"/>
      <c r="AF243" s="540"/>
      <c r="AG243" s="540"/>
      <c r="AH243" s="540"/>
      <c r="AI243" s="540"/>
      <c r="AJ243" s="540"/>
      <c r="AK243" s="540"/>
      <c r="AL243" s="540"/>
    </row>
    <row r="244" spans="1:38" s="556" customFormat="1" ht="12.75" x14ac:dyDescent="0.2">
      <c r="A244" s="556" t="s">
        <v>42</v>
      </c>
      <c r="M244" s="241"/>
      <c r="N244" s="547"/>
      <c r="O244" s="547"/>
      <c r="P244" s="547"/>
      <c r="Q244" s="547"/>
      <c r="R244" s="547"/>
      <c r="S244" s="547"/>
      <c r="T244" s="547"/>
      <c r="U244" s="547"/>
      <c r="V244" s="547"/>
      <c r="W244" s="547"/>
      <c r="X244" s="547"/>
      <c r="Y244" s="547"/>
      <c r="Z244" s="547"/>
      <c r="AA244" s="547"/>
      <c r="AB244" s="547"/>
      <c r="AC244" s="547"/>
      <c r="AD244" s="547"/>
      <c r="AE244" s="547"/>
      <c r="AF244" s="547"/>
      <c r="AG244" s="547"/>
      <c r="AH244" s="547"/>
      <c r="AI244" s="547"/>
      <c r="AJ244" s="547"/>
      <c r="AK244" s="547"/>
      <c r="AL244" s="547"/>
    </row>
    <row r="245" spans="1:38" s="539" customFormat="1" x14ac:dyDescent="0.25">
      <c r="A245" s="550"/>
      <c r="B245" s="552" t="s">
        <v>43</v>
      </c>
      <c r="M245" s="200"/>
      <c r="N245" s="540">
        <v>10.278146543993467</v>
      </c>
      <c r="O245" s="540">
        <v>10.554389738307641</v>
      </c>
      <c r="P245" s="540">
        <v>10.574265142941057</v>
      </c>
      <c r="Q245" s="540">
        <v>10.376527687589796</v>
      </c>
      <c r="R245" s="540">
        <v>10.139730929649122</v>
      </c>
      <c r="S245" s="540">
        <v>9.640768388098957</v>
      </c>
      <c r="T245" s="540">
        <v>9.1736734056349327</v>
      </c>
      <c r="U245" s="540">
        <v>8.6631946022098827</v>
      </c>
      <c r="V245" s="540">
        <v>8.1534398743715357</v>
      </c>
      <c r="W245" s="540">
        <v>7.6186773130042686</v>
      </c>
      <c r="X245" s="540">
        <v>7.0546757380401193</v>
      </c>
      <c r="Y245" s="540">
        <v>6.535369619087354</v>
      </c>
      <c r="Z245" s="540">
        <v>6.0301919551853569</v>
      </c>
      <c r="AA245" s="540">
        <v>5.5634214311440111</v>
      </c>
      <c r="AB245" s="540">
        <v>5.124563633432385</v>
      </c>
      <c r="AC245" s="540">
        <v>4.7124992646453014</v>
      </c>
      <c r="AD245" s="540">
        <v>4.3386044919807194</v>
      </c>
      <c r="AE245" s="540">
        <v>3.9830328647762023</v>
      </c>
      <c r="AF245" s="540">
        <v>3.6539611252727338</v>
      </c>
      <c r="AG245" s="540">
        <v>3.353298148231278</v>
      </c>
      <c r="AH245" s="540">
        <v>3.0739153982032787</v>
      </c>
      <c r="AI245" s="540">
        <v>2.8170319236452852</v>
      </c>
      <c r="AJ245" s="540">
        <v>2.5802109598697167</v>
      </c>
      <c r="AK245" s="540">
        <v>2.3607618560114458</v>
      </c>
      <c r="AL245" s="540">
        <v>2.1516251525734802</v>
      </c>
    </row>
    <row r="246" spans="1:38" s="539" customFormat="1" x14ac:dyDescent="0.25">
      <c r="A246" s="550"/>
      <c r="B246" s="552" t="s">
        <v>44</v>
      </c>
      <c r="M246" s="200"/>
      <c r="N246" s="540">
        <v>316.82601642979506</v>
      </c>
      <c r="O246" s="540">
        <v>316.84787115634413</v>
      </c>
      <c r="P246" s="540">
        <v>314.32306024194679</v>
      </c>
      <c r="Q246" s="540">
        <v>310.54474044785331</v>
      </c>
      <c r="R246" s="540">
        <v>304.6323706362021</v>
      </c>
      <c r="S246" s="540">
        <v>294.61779156958983</v>
      </c>
      <c r="T246" s="540">
        <v>284.43106454207049</v>
      </c>
      <c r="U246" s="540">
        <v>272.26119040066675</v>
      </c>
      <c r="V246" s="540">
        <v>258.89703265542158</v>
      </c>
      <c r="W246" s="540">
        <v>244.94916526252109</v>
      </c>
      <c r="X246" s="540">
        <v>230.23625174897791</v>
      </c>
      <c r="Y246" s="540">
        <v>216.55967971421273</v>
      </c>
      <c r="Z246" s="540">
        <v>202.99709394672658</v>
      </c>
      <c r="AA246" s="540">
        <v>190.6076960967749</v>
      </c>
      <c r="AB246" s="540">
        <v>179.07296619423036</v>
      </c>
      <c r="AC246" s="540">
        <v>167.82458055644429</v>
      </c>
      <c r="AD246" s="540">
        <v>157.86754764634838</v>
      </c>
      <c r="AE246" s="540">
        <v>148.32388159852516</v>
      </c>
      <c r="AF246" s="540">
        <v>139.43337719399395</v>
      </c>
      <c r="AG246" s="540">
        <v>131.28967121239828</v>
      </c>
      <c r="AH246" s="540">
        <v>123.77130021336308</v>
      </c>
      <c r="AI246" s="540">
        <v>116.84651552707538</v>
      </c>
      <c r="AJ246" s="540">
        <v>110.47540509978793</v>
      </c>
      <c r="AK246" s="540">
        <v>104.54378284036966</v>
      </c>
      <c r="AL246" s="540">
        <v>98.883740705470842</v>
      </c>
    </row>
    <row r="247" spans="1:38" s="539" customFormat="1" x14ac:dyDescent="0.25">
      <c r="A247" s="550"/>
      <c r="B247" s="552" t="s">
        <v>45</v>
      </c>
      <c r="M247" s="200"/>
      <c r="N247" s="540">
        <v>10.362006721299604</v>
      </c>
      <c r="O247" s="540">
        <v>9.3267616695287074</v>
      </c>
      <c r="P247" s="540">
        <v>8.4099412422024091</v>
      </c>
      <c r="Q247" s="540">
        <v>7.6066414104383639</v>
      </c>
      <c r="R247" s="540">
        <v>6.8790995831575321</v>
      </c>
      <c r="S247" s="540">
        <v>6.2193960950961147</v>
      </c>
      <c r="T247" s="540">
        <v>5.6313807718298134</v>
      </c>
      <c r="U247" s="540">
        <v>5.0911346672914144</v>
      </c>
      <c r="V247" s="540">
        <v>4.5918708270648692</v>
      </c>
      <c r="W247" s="540">
        <v>4.1411698838835775</v>
      </c>
      <c r="X247" s="540">
        <v>3.7308776703588324</v>
      </c>
      <c r="Y247" s="540">
        <v>3.3684632168384958</v>
      </c>
      <c r="Z247" s="540">
        <v>3.0407888169821771</v>
      </c>
      <c r="AA247" s="540">
        <v>2.752484313867483</v>
      </c>
      <c r="AB247" s="540">
        <v>2.4920434700960867</v>
      </c>
      <c r="AC247" s="540">
        <v>2.2598994463174504</v>
      </c>
      <c r="AD247" s="540">
        <v>2.0573790075321665</v>
      </c>
      <c r="AE247" s="540">
        <v>1.8743610409208629</v>
      </c>
      <c r="AF247" s="540">
        <v>1.7105270144417344</v>
      </c>
      <c r="AG247" s="540">
        <v>1.5646945364738871</v>
      </c>
      <c r="AH247" s="540">
        <v>1.434761389785965</v>
      </c>
      <c r="AI247" s="540">
        <v>1.3184507719746337</v>
      </c>
      <c r="AJ247" s="540">
        <v>1.2148649380765055</v>
      </c>
      <c r="AK247" s="540">
        <v>1.1217826362226713</v>
      </c>
      <c r="AL247" s="540">
        <v>1.0374882195396156</v>
      </c>
    </row>
    <row r="248" spans="1:38" s="539" customFormat="1" x14ac:dyDescent="0.25">
      <c r="A248" s="550"/>
      <c r="B248" s="552" t="s">
        <v>46</v>
      </c>
      <c r="M248" s="200"/>
      <c r="N248" s="540">
        <v>0.17770001572361599</v>
      </c>
      <c r="O248" s="540">
        <v>0.15528303702774224</v>
      </c>
      <c r="P248" s="540">
        <v>0.13575296880246654</v>
      </c>
      <c r="Q248" s="540">
        <v>0.11872999518559295</v>
      </c>
      <c r="R248" s="540">
        <v>0.10388538520248093</v>
      </c>
      <c r="S248" s="540">
        <v>9.0934464277563368E-2</v>
      </c>
      <c r="T248" s="540">
        <v>7.9630575489370817E-2</v>
      </c>
      <c r="U248" s="540">
        <v>6.9505907675552051E-2</v>
      </c>
      <c r="V248" s="540">
        <v>6.0694976259565117E-2</v>
      </c>
      <c r="W248" s="540">
        <v>5.3023703851660477E-2</v>
      </c>
      <c r="X248" s="540">
        <v>4.6341582089644194E-2</v>
      </c>
      <c r="Y248" s="540">
        <v>4.0518409223177482E-2</v>
      </c>
      <c r="Z248" s="540">
        <v>3.5441489589591417E-2</v>
      </c>
      <c r="AA248" s="540">
        <v>3.1013228067144714E-2</v>
      </c>
      <c r="AB248" s="540">
        <v>2.7149062513960938E-2</v>
      </c>
      <c r="AC248" s="540">
        <v>2.3775685616814205E-2</v>
      </c>
      <c r="AD248" s="540">
        <v>2.0829514717671978E-2</v>
      </c>
      <c r="AE248" s="540">
        <v>1.8317537844318561E-2</v>
      </c>
      <c r="AF248" s="540">
        <v>1.6059493735420764E-2</v>
      </c>
      <c r="AG248" s="540">
        <v>1.4085023234739324E-2</v>
      </c>
      <c r="AH248" s="540">
        <v>1.2361726897943199E-2</v>
      </c>
      <c r="AI248" s="540">
        <v>1.0856471221677285E-2</v>
      </c>
      <c r="AJ248" s="540">
        <v>9.5378142526055844E-3</v>
      </c>
      <c r="AK248" s="540">
        <v>8.384663168186474E-3</v>
      </c>
      <c r="AL248" s="540">
        <v>7.3755062472606976E-3</v>
      </c>
    </row>
    <row r="249" spans="1:38" s="539" customFormat="1" x14ac:dyDescent="0.25">
      <c r="A249" s="550"/>
      <c r="B249" s="550" t="s">
        <v>29</v>
      </c>
      <c r="M249" s="200"/>
      <c r="N249" s="540">
        <v>1.1034619339954298E-2</v>
      </c>
      <c r="O249" s="540">
        <v>0.22693380183731646</v>
      </c>
      <c r="P249" s="540">
        <v>1.273927880373444</v>
      </c>
      <c r="Q249" s="540">
        <v>3.9253698031149051</v>
      </c>
      <c r="R249" s="540">
        <v>8.4245795488054291</v>
      </c>
      <c r="S249" s="540">
        <v>14.59742119845065</v>
      </c>
      <c r="T249" s="540">
        <v>22.355015904535644</v>
      </c>
      <c r="U249" s="540">
        <v>30.702814999958036</v>
      </c>
      <c r="V249" s="540">
        <v>38.962315105097389</v>
      </c>
      <c r="W249" s="540">
        <v>47.106413813709963</v>
      </c>
      <c r="X249" s="540">
        <v>54.081273700559095</v>
      </c>
      <c r="Y249" s="540">
        <v>61.04818885036925</v>
      </c>
      <c r="Z249" s="540">
        <v>66.746416903137956</v>
      </c>
      <c r="AA249" s="540">
        <v>72.488031568386575</v>
      </c>
      <c r="AB249" s="540">
        <v>76.654469553507212</v>
      </c>
      <c r="AC249" s="540">
        <v>80.186424478657187</v>
      </c>
      <c r="AD249" s="540">
        <v>84.303399219111867</v>
      </c>
      <c r="AE249" s="540">
        <v>87.220256596040969</v>
      </c>
      <c r="AF249" s="540">
        <v>89.4671971445389</v>
      </c>
      <c r="AG249" s="540">
        <v>91.39055358399338</v>
      </c>
      <c r="AH249" s="540">
        <v>93.203092698735375</v>
      </c>
      <c r="AI249" s="540">
        <v>94.72460753151465</v>
      </c>
      <c r="AJ249" s="540">
        <v>96.161574026920661</v>
      </c>
      <c r="AK249" s="540">
        <v>97.380377918022333</v>
      </c>
      <c r="AL249" s="540">
        <v>98.6442652451627</v>
      </c>
    </row>
    <row r="250" spans="1:38" s="539" customFormat="1" x14ac:dyDescent="0.25">
      <c r="A250" s="550"/>
      <c r="B250" s="550"/>
      <c r="M250" s="200"/>
      <c r="N250" s="540"/>
      <c r="O250" s="540"/>
      <c r="P250" s="540"/>
      <c r="Q250" s="540"/>
      <c r="R250" s="540"/>
      <c r="S250" s="540"/>
      <c r="T250" s="540"/>
      <c r="U250" s="540"/>
      <c r="V250" s="540"/>
      <c r="W250" s="540"/>
      <c r="X250" s="540"/>
      <c r="Y250" s="540"/>
      <c r="Z250" s="540"/>
      <c r="AA250" s="540"/>
      <c r="AB250" s="540"/>
      <c r="AC250" s="540"/>
      <c r="AD250" s="540"/>
      <c r="AE250" s="540"/>
      <c r="AF250" s="540"/>
      <c r="AG250" s="540"/>
      <c r="AH250" s="540"/>
      <c r="AI250" s="540"/>
      <c r="AJ250" s="540"/>
      <c r="AK250" s="540"/>
      <c r="AL250" s="540"/>
    </row>
    <row r="251" spans="1:38" s="556" customFormat="1" ht="12.75" x14ac:dyDescent="0.2">
      <c r="A251" s="556" t="s">
        <v>47</v>
      </c>
      <c r="M251" s="241"/>
      <c r="N251" s="547"/>
      <c r="O251" s="547"/>
      <c r="P251" s="547"/>
      <c r="Q251" s="547"/>
      <c r="R251" s="547"/>
      <c r="S251" s="547"/>
      <c r="T251" s="547"/>
      <c r="U251" s="547"/>
      <c r="V251" s="547"/>
      <c r="W251" s="547"/>
      <c r="X251" s="547"/>
      <c r="Y251" s="547"/>
      <c r="Z251" s="547"/>
      <c r="AA251" s="547"/>
      <c r="AB251" s="547"/>
      <c r="AC251" s="547"/>
      <c r="AD251" s="547"/>
      <c r="AE251" s="547"/>
      <c r="AF251" s="547"/>
      <c r="AG251" s="547"/>
      <c r="AH251" s="547"/>
      <c r="AI251" s="547"/>
      <c r="AJ251" s="547"/>
      <c r="AK251" s="547"/>
      <c r="AL251" s="547"/>
    </row>
    <row r="252" spans="1:38" s="539" customFormat="1" x14ac:dyDescent="0.25">
      <c r="A252" s="550"/>
      <c r="B252" s="550" t="s">
        <v>48</v>
      </c>
      <c r="M252" s="200"/>
      <c r="N252" s="540">
        <v>752.24999834572452</v>
      </c>
      <c r="O252" s="540">
        <v>747.14045607931712</v>
      </c>
      <c r="P252" s="540">
        <v>727.14282134767609</v>
      </c>
      <c r="Q252" s="540">
        <v>672.26827354988018</v>
      </c>
      <c r="R252" s="540">
        <v>565.4118898425545</v>
      </c>
      <c r="S252" s="540">
        <v>415.04483017818296</v>
      </c>
      <c r="T252" s="540">
        <v>259.18992325076221</v>
      </c>
      <c r="U252" s="540">
        <v>136.14250847831866</v>
      </c>
      <c r="V252" s="540">
        <v>60.315608604636829</v>
      </c>
      <c r="W252" s="540">
        <v>22.820171369153709</v>
      </c>
      <c r="X252" s="540">
        <v>7.538946795302258</v>
      </c>
      <c r="Y252" s="540">
        <v>2.2177564637025009</v>
      </c>
      <c r="Z252" s="540">
        <v>0.5908288416294365</v>
      </c>
      <c r="AA252" s="540">
        <v>0.14505745809262091</v>
      </c>
      <c r="AB252" s="540">
        <v>3.3271055777230656E-2</v>
      </c>
      <c r="AC252" s="540">
        <v>7.2211947597847475E-3</v>
      </c>
      <c r="AD252" s="540">
        <v>1.5016034859765691E-3</v>
      </c>
      <c r="AE252" s="540">
        <v>3.0155059675760431E-4</v>
      </c>
      <c r="AF252" s="540">
        <v>5.889780984575626E-5</v>
      </c>
      <c r="AG252" s="540">
        <v>1.1256508053853526E-5</v>
      </c>
      <c r="AH252" s="540">
        <v>2.1164114617990237E-6</v>
      </c>
      <c r="AI252" s="540">
        <v>3.9296748407158962E-7</v>
      </c>
      <c r="AJ252" s="540">
        <v>7.2288157387765349E-8</v>
      </c>
      <c r="AK252" s="540">
        <v>1.3209032407535387E-8</v>
      </c>
      <c r="AL252" s="540">
        <v>2.4027032909013005E-9</v>
      </c>
    </row>
    <row r="253" spans="1:38" s="539" customFormat="1" x14ac:dyDescent="0.25">
      <c r="A253" s="550"/>
      <c r="B253" s="552" t="s">
        <v>50</v>
      </c>
      <c r="M253" s="200"/>
      <c r="N253" s="540">
        <v>1338.5711768017243</v>
      </c>
      <c r="O253" s="540">
        <v>1330.7128120330417</v>
      </c>
      <c r="P253" s="540">
        <v>1302.1921446080244</v>
      </c>
      <c r="Q253" s="540">
        <v>1223.2642836384157</v>
      </c>
      <c r="R253" s="540">
        <v>1063.2545529901511</v>
      </c>
      <c r="S253" s="540">
        <v>818.62804857759227</v>
      </c>
      <c r="T253" s="540">
        <v>542.02723742794853</v>
      </c>
      <c r="U253" s="540">
        <v>303.27749412799676</v>
      </c>
      <c r="V253" s="540">
        <v>143.2874971437671</v>
      </c>
      <c r="W253" s="540">
        <v>57.452935637600682</v>
      </c>
      <c r="X253" s="540">
        <v>19.833301761895758</v>
      </c>
      <c r="Y253" s="540">
        <v>5.9954368354069842</v>
      </c>
      <c r="Z253" s="540">
        <v>1.6095938848020244</v>
      </c>
      <c r="AA253" s="540">
        <v>0.38937220004805806</v>
      </c>
      <c r="AB253" s="540">
        <v>8.5958857450336212E-2</v>
      </c>
      <c r="AC253" s="540">
        <v>1.7596186213476729E-2</v>
      </c>
      <c r="AD253" s="540">
        <v>3.3829080915234021E-3</v>
      </c>
      <c r="AE253" s="540">
        <v>6.2188365847871399E-4</v>
      </c>
      <c r="AF253" s="540">
        <v>1.1030904544060017E-4</v>
      </c>
      <c r="AG253" s="540">
        <v>1.9040778920353382E-5</v>
      </c>
      <c r="AH253" s="540">
        <v>3.2118399168914021E-6</v>
      </c>
      <c r="AI253" s="540">
        <v>5.3197721393816202E-7</v>
      </c>
      <c r="AJ253" s="540">
        <v>8.6800453619234155E-8</v>
      </c>
      <c r="AK253" s="540">
        <v>1.398079556153879E-8</v>
      </c>
      <c r="AL253" s="540">
        <v>2.2139324332151546E-9</v>
      </c>
    </row>
    <row r="254" spans="1:38" s="539" customFormat="1" x14ac:dyDescent="0.25">
      <c r="A254" s="550"/>
      <c r="B254" s="550" t="s">
        <v>51</v>
      </c>
      <c r="M254" s="200"/>
      <c r="N254" s="540">
        <v>1360.6852044585264</v>
      </c>
      <c r="O254" s="540">
        <v>1347.1408618320982</v>
      </c>
      <c r="P254" s="540">
        <v>1303.2720314546189</v>
      </c>
      <c r="Q254" s="540">
        <v>1212.8160480444051</v>
      </c>
      <c r="R254" s="540">
        <v>1063.8313289410712</v>
      </c>
      <c r="S254" s="540">
        <v>869.33032153518059</v>
      </c>
      <c r="T254" s="540">
        <v>671.43210749380967</v>
      </c>
      <c r="U254" s="540">
        <v>492.74073843879199</v>
      </c>
      <c r="V254" s="540">
        <v>348.97427640129331</v>
      </c>
      <c r="W254" s="540">
        <v>241.13766918051269</v>
      </c>
      <c r="X254" s="540">
        <v>164.4666075025344</v>
      </c>
      <c r="Y254" s="540">
        <v>111.95869274093519</v>
      </c>
      <c r="Z254" s="540">
        <v>75.917414955620345</v>
      </c>
      <c r="AA254" s="540">
        <v>51.661026351886221</v>
      </c>
      <c r="AB254" s="540">
        <v>35.198800857284262</v>
      </c>
      <c r="AC254" s="540">
        <v>24.044898582141048</v>
      </c>
      <c r="AD254" s="540">
        <v>16.547430616548926</v>
      </c>
      <c r="AE254" s="540">
        <v>11.38067522088374</v>
      </c>
      <c r="AF254" s="540">
        <v>7.8445202606924243</v>
      </c>
      <c r="AG254" s="540">
        <v>5.4256141716416471</v>
      </c>
      <c r="AH254" s="540">
        <v>3.7607606033502954</v>
      </c>
      <c r="AI254" s="540">
        <v>2.6105913603440882</v>
      </c>
      <c r="AJ254" s="540">
        <v>1.8140721172460066</v>
      </c>
      <c r="AK254" s="540">
        <v>1.2609823228729664</v>
      </c>
      <c r="AL254" s="540">
        <v>0.87292495347560417</v>
      </c>
    </row>
    <row r="255" spans="1:38" s="539" customFormat="1" x14ac:dyDescent="0.25">
      <c r="A255" s="550"/>
      <c r="B255" s="550" t="s">
        <v>52</v>
      </c>
      <c r="M255" s="200"/>
      <c r="N255" s="540">
        <v>139.43152943061412</v>
      </c>
      <c r="O255" s="540">
        <v>138.0752906704075</v>
      </c>
      <c r="P255" s="540">
        <v>135.35110405062977</v>
      </c>
      <c r="Q255" s="540">
        <v>131.18289416804532</v>
      </c>
      <c r="R255" s="540">
        <v>124.71295316865591</v>
      </c>
      <c r="S255" s="540">
        <v>115.39772732620004</v>
      </c>
      <c r="T255" s="540">
        <v>105.0869833856389</v>
      </c>
      <c r="U255" s="540">
        <v>94.219361420423212</v>
      </c>
      <c r="V255" s="540">
        <v>83.724003397038302</v>
      </c>
      <c r="W255" s="540">
        <v>74.054817565925248</v>
      </c>
      <c r="X255" s="540">
        <v>65.311547567412561</v>
      </c>
      <c r="Y255" s="540">
        <v>57.709499955853168</v>
      </c>
      <c r="Z255" s="540">
        <v>50.948759299792194</v>
      </c>
      <c r="AA255" s="540">
        <v>45.054783756142839</v>
      </c>
      <c r="AB255" s="540">
        <v>39.818061087393552</v>
      </c>
      <c r="AC255" s="540">
        <v>35.233753098882076</v>
      </c>
      <c r="AD255" s="540">
        <v>31.264941974126451</v>
      </c>
      <c r="AE255" s="540">
        <v>27.720528187837036</v>
      </c>
      <c r="AF255" s="540">
        <v>24.597008671741921</v>
      </c>
      <c r="AG255" s="540">
        <v>21.847589365027172</v>
      </c>
      <c r="AH255" s="540">
        <v>19.415248501888666</v>
      </c>
      <c r="AI255" s="540">
        <v>17.264882702265023</v>
      </c>
      <c r="AJ255" s="540">
        <v>15.356167579384657</v>
      </c>
      <c r="AK255" s="540">
        <v>13.667102133623001</v>
      </c>
      <c r="AL255" s="540">
        <v>12.162636384497377</v>
      </c>
    </row>
    <row r="256" spans="1:38" s="539" customFormat="1" x14ac:dyDescent="0.25">
      <c r="A256" s="550"/>
      <c r="B256" s="552" t="s">
        <v>29</v>
      </c>
      <c r="M256" s="200"/>
      <c r="N256" s="540">
        <v>0.5175232170260351</v>
      </c>
      <c r="O256" s="540">
        <v>10.075319916200511</v>
      </c>
      <c r="P256" s="540">
        <v>57.056172530954164</v>
      </c>
      <c r="Q256" s="540">
        <v>178.17346815412535</v>
      </c>
      <c r="R256" s="540">
        <v>380.73865393931192</v>
      </c>
      <c r="S256" s="540">
        <v>621.80319057256975</v>
      </c>
      <c r="T256" s="540">
        <v>820.83732594853461</v>
      </c>
      <c r="U256" s="540">
        <v>915.10893598625</v>
      </c>
      <c r="V256" s="540">
        <v>928.92254125089528</v>
      </c>
      <c r="W256" s="540">
        <v>897.68478213821697</v>
      </c>
      <c r="X256" s="540">
        <v>861.40185095797187</v>
      </c>
      <c r="Y256" s="540">
        <v>829.77903636395638</v>
      </c>
      <c r="Z256" s="540">
        <v>807.17013873055544</v>
      </c>
      <c r="AA256" s="540">
        <v>787.96725198533215</v>
      </c>
      <c r="AB256" s="540">
        <v>771.44718437023164</v>
      </c>
      <c r="AC256" s="540">
        <v>753.14953163688131</v>
      </c>
      <c r="AD256" s="540">
        <v>744.51814644065939</v>
      </c>
      <c r="AE256" s="540">
        <v>735.87983998521747</v>
      </c>
      <c r="AF256" s="540">
        <v>724.99410448955314</v>
      </c>
      <c r="AG256" s="540">
        <v>715.63154977193574</v>
      </c>
      <c r="AH256" s="540">
        <v>709.45337533458132</v>
      </c>
      <c r="AI256" s="540">
        <v>703.87579813043908</v>
      </c>
      <c r="AJ256" s="540">
        <v>698.93980415745398</v>
      </c>
      <c r="AK256" s="540">
        <v>694.52705662660969</v>
      </c>
      <c r="AL256" s="540">
        <v>690.54513915769712</v>
      </c>
    </row>
    <row r="257" spans="1:38" s="539" customFormat="1" x14ac:dyDescent="0.25">
      <c r="A257" s="550"/>
      <c r="B257" s="552" t="s">
        <v>53</v>
      </c>
      <c r="M257" s="200"/>
      <c r="N257" s="540">
        <v>0</v>
      </c>
      <c r="O257" s="540">
        <v>0</v>
      </c>
      <c r="P257" s="540">
        <v>0</v>
      </c>
      <c r="Q257" s="540">
        <v>0</v>
      </c>
      <c r="R257" s="540">
        <v>0</v>
      </c>
      <c r="S257" s="540">
        <v>0</v>
      </c>
      <c r="T257" s="540">
        <v>0</v>
      </c>
      <c r="U257" s="540">
        <v>0</v>
      </c>
      <c r="V257" s="540">
        <v>0</v>
      </c>
      <c r="W257" s="540">
        <v>0</v>
      </c>
      <c r="X257" s="540">
        <v>0</v>
      </c>
      <c r="Y257" s="540">
        <v>0</v>
      </c>
      <c r="Z257" s="540">
        <v>0</v>
      </c>
      <c r="AA257" s="540">
        <v>0</v>
      </c>
      <c r="AB257" s="540">
        <v>0</v>
      </c>
      <c r="AC257" s="540">
        <v>0</v>
      </c>
      <c r="AD257" s="540">
        <v>0</v>
      </c>
      <c r="AE257" s="540">
        <v>0</v>
      </c>
      <c r="AF257" s="540">
        <v>0</v>
      </c>
      <c r="AG257" s="540">
        <v>0</v>
      </c>
      <c r="AH257" s="540">
        <v>0</v>
      </c>
      <c r="AI257" s="540">
        <v>0</v>
      </c>
      <c r="AJ257" s="540">
        <v>0</v>
      </c>
      <c r="AK257" s="540">
        <v>0</v>
      </c>
      <c r="AL257" s="540">
        <v>0</v>
      </c>
    </row>
    <row r="258" spans="1:38" s="539" customFormat="1" x14ac:dyDescent="0.25">
      <c r="M258" s="540"/>
    </row>
    <row r="259" spans="1:38" s="539" customFormat="1" x14ac:dyDescent="0.25">
      <c r="A259" s="554" t="s">
        <v>250</v>
      </c>
      <c r="B259" s="555"/>
      <c r="C259" s="554"/>
      <c r="D259" s="553"/>
      <c r="E259" s="553"/>
      <c r="F259" s="553"/>
      <c r="G259" s="553"/>
      <c r="H259" s="553"/>
      <c r="I259" s="553"/>
      <c r="J259" s="553"/>
      <c r="K259" s="553"/>
      <c r="L259" s="553"/>
      <c r="M259" s="553"/>
      <c r="N259" s="560"/>
      <c r="O259" s="560"/>
      <c r="P259" s="560"/>
      <c r="Q259" s="560"/>
      <c r="R259" s="560"/>
      <c r="S259" s="560"/>
      <c r="T259" s="560"/>
      <c r="U259" s="560"/>
      <c r="V259" s="560"/>
      <c r="W259" s="560"/>
      <c r="X259" s="560"/>
      <c r="Y259" s="560"/>
      <c r="Z259" s="560"/>
      <c r="AA259" s="560"/>
      <c r="AB259" s="560"/>
      <c r="AC259" s="560"/>
      <c r="AD259" s="560"/>
      <c r="AE259" s="560"/>
      <c r="AF259" s="560"/>
      <c r="AG259" s="560"/>
      <c r="AH259" s="560"/>
      <c r="AI259" s="560"/>
      <c r="AJ259" s="560"/>
      <c r="AK259" s="560"/>
      <c r="AL259" s="560"/>
    </row>
    <row r="260" spans="1:38" s="539" customFormat="1" x14ac:dyDescent="0.25">
      <c r="A260" s="551" t="s">
        <v>12</v>
      </c>
      <c r="B260" s="550"/>
    </row>
    <row r="261" spans="1:38" s="539" customFormat="1" x14ac:dyDescent="0.25">
      <c r="A261" s="550"/>
      <c r="B261" s="550" t="s">
        <v>20</v>
      </c>
    </row>
    <row r="262" spans="1:38" s="556" customFormat="1" ht="12.75" x14ac:dyDescent="0.2">
      <c r="A262" s="556" t="s">
        <v>21</v>
      </c>
    </row>
    <row r="263" spans="1:38" s="539" customFormat="1" x14ac:dyDescent="0.25">
      <c r="A263" s="550"/>
      <c r="B263" s="550" t="s">
        <v>22</v>
      </c>
      <c r="M263" s="200"/>
      <c r="N263" s="540">
        <v>10.537772496416805</v>
      </c>
      <c r="O263" s="540">
        <v>7.8389899443846538</v>
      </c>
      <c r="P263" s="540">
        <v>5.5783173471825531</v>
      </c>
      <c r="Q263" s="540">
        <v>4.8815807617430673</v>
      </c>
      <c r="R263" s="540">
        <v>4.5550657508088541</v>
      </c>
      <c r="S263" s="540">
        <v>4.0620255998572015</v>
      </c>
      <c r="T263" s="540">
        <v>3.5293535934961757</v>
      </c>
      <c r="U263" s="540">
        <v>2.9939051701608004</v>
      </c>
      <c r="V263" s="540">
        <v>2.4966594634947272</v>
      </c>
      <c r="W263" s="540">
        <v>2.0278923656342895</v>
      </c>
      <c r="X263" s="540">
        <v>1.6126138523118274</v>
      </c>
      <c r="Y263" s="540">
        <v>1.2685429758305455</v>
      </c>
      <c r="Z263" s="540">
        <v>0.99832715679120843</v>
      </c>
      <c r="AA263" s="540">
        <v>0.78678972774706535</v>
      </c>
      <c r="AB263" s="540">
        <v>0.62970330370351812</v>
      </c>
      <c r="AC263" s="540">
        <v>0.51264575500645138</v>
      </c>
      <c r="AD263" s="540">
        <v>0.42333101398046646</v>
      </c>
      <c r="AE263" s="540">
        <v>0.35523618170346916</v>
      </c>
      <c r="AF263" s="540">
        <v>0.30359433774363354</v>
      </c>
      <c r="AG263" s="540">
        <v>0.26418425640444088</v>
      </c>
      <c r="AH263" s="540">
        <v>0.2322594217031855</v>
      </c>
      <c r="AI263" s="540">
        <v>0.20605010564450277</v>
      </c>
      <c r="AJ263" s="540">
        <v>0.18413529073389959</v>
      </c>
      <c r="AK263" s="540">
        <v>0.16517226057742809</v>
      </c>
      <c r="AL263" s="540">
        <v>0.14672394536404496</v>
      </c>
    </row>
    <row r="264" spans="1:38" s="539" customFormat="1" x14ac:dyDescent="0.25">
      <c r="A264" s="550"/>
      <c r="B264" s="550" t="s">
        <v>26</v>
      </c>
      <c r="M264" s="200"/>
      <c r="N264" s="540">
        <v>0.20111114973132277</v>
      </c>
      <c r="O264" s="540">
        <v>0.60938754646674131</v>
      </c>
      <c r="P264" s="540">
        <v>1.5474227877238067</v>
      </c>
      <c r="Q264" s="540">
        <v>1.9952528382549413</v>
      </c>
      <c r="R264" s="540">
        <v>1.9095909913394253</v>
      </c>
      <c r="S264" s="540">
        <v>1.7666995381687975</v>
      </c>
      <c r="T264" s="540">
        <v>1.588412213137762</v>
      </c>
      <c r="U264" s="540">
        <v>1.3931860672865473</v>
      </c>
      <c r="V264" s="540">
        <v>1.1981268938244598</v>
      </c>
      <c r="W264" s="540">
        <v>1.0070433580893823</v>
      </c>
      <c r="X264" s="540">
        <v>0.83210357524861345</v>
      </c>
      <c r="Y264" s="540">
        <v>0.68081793002575297</v>
      </c>
      <c r="Z264" s="540">
        <v>0.55795913893745741</v>
      </c>
      <c r="AA264" s="540">
        <v>0.4589277018178744</v>
      </c>
      <c r="AB264" s="540">
        <v>0.38304851389115391</v>
      </c>
      <c r="AC264" s="540">
        <v>0.32557143584229409</v>
      </c>
      <c r="AD264" s="540">
        <v>0.28101229573202052</v>
      </c>
      <c r="AE264" s="540">
        <v>0.24667187380854944</v>
      </c>
      <c r="AF264" s="540">
        <v>0.22038912609041544</v>
      </c>
      <c r="AG264" s="540">
        <v>0.20023864024807125</v>
      </c>
      <c r="AH264" s="540">
        <v>0.18398441866197701</v>
      </c>
      <c r="AI264" s="540">
        <v>0.17058735922010254</v>
      </c>
      <c r="AJ264" s="540">
        <v>0.1593568571375516</v>
      </c>
      <c r="AK264" s="540">
        <v>0.14956831647792493</v>
      </c>
      <c r="AL264" s="540">
        <v>0.13978446562154856</v>
      </c>
    </row>
    <row r="265" spans="1:38" s="539" customFormat="1" x14ac:dyDescent="0.25">
      <c r="A265" s="550"/>
      <c r="B265" s="550" t="s">
        <v>27</v>
      </c>
      <c r="M265" s="200"/>
      <c r="N265" s="540">
        <v>7.7472511310366174</v>
      </c>
      <c r="O265" s="540">
        <v>5.6053330207836867</v>
      </c>
      <c r="P265" s="540">
        <v>5.5698699113128631</v>
      </c>
      <c r="Q265" s="540">
        <v>5.0383950702599529</v>
      </c>
      <c r="R265" s="540">
        <v>4.7860446019520611</v>
      </c>
      <c r="S265" s="540">
        <v>4.4967542845282047</v>
      </c>
      <c r="T265" s="540">
        <v>4.0731666550342585</v>
      </c>
      <c r="U265" s="540">
        <v>3.5861038088528154</v>
      </c>
      <c r="V265" s="540">
        <v>3.0736380435269242</v>
      </c>
      <c r="W265" s="540">
        <v>2.5870008904941755</v>
      </c>
      <c r="X265" s="540">
        <v>2.1531374364666367</v>
      </c>
      <c r="Y265" s="540">
        <v>1.7736351101963101</v>
      </c>
      <c r="Z265" s="540">
        <v>1.4645595884700762</v>
      </c>
      <c r="AA265" s="540">
        <v>1.2167725282580062</v>
      </c>
      <c r="AB265" s="540">
        <v>1.0236798476207014</v>
      </c>
      <c r="AC265" s="540">
        <v>0.87905830442332533</v>
      </c>
      <c r="AD265" s="540">
        <v>0.76822406628066586</v>
      </c>
      <c r="AE265" s="540">
        <v>0.68413079248400854</v>
      </c>
      <c r="AF265" s="540">
        <v>0.62000471390066925</v>
      </c>
      <c r="AG265" s="540">
        <v>0.57075514952565254</v>
      </c>
      <c r="AH265" s="540">
        <v>0.53273819209872741</v>
      </c>
      <c r="AI265" s="540">
        <v>0.50199660222393117</v>
      </c>
      <c r="AJ265" s="540">
        <v>0.47696832181969656</v>
      </c>
      <c r="AK265" s="540">
        <v>0.45611382534663525</v>
      </c>
      <c r="AL265" s="540">
        <v>0.43795329878128897</v>
      </c>
    </row>
    <row r="266" spans="1:38" s="539" customFormat="1" x14ac:dyDescent="0.25">
      <c r="A266" s="550"/>
      <c r="B266" s="550" t="s">
        <v>29</v>
      </c>
      <c r="M266" s="200"/>
      <c r="N266" s="540">
        <v>3.1062483054352493E-2</v>
      </c>
      <c r="O266" s="540">
        <v>8.8360958966838821E-2</v>
      </c>
      <c r="P266" s="540">
        <v>0.19421461297493123</v>
      </c>
      <c r="Q266" s="540">
        <v>0.42093012476841207</v>
      </c>
      <c r="R266" s="540">
        <v>0.79105936306249136</v>
      </c>
      <c r="S266" s="540">
        <v>1.2874178259426003</v>
      </c>
      <c r="T266" s="540">
        <v>1.8328596563137929</v>
      </c>
      <c r="U266" s="540">
        <v>2.359242733445905</v>
      </c>
      <c r="V266" s="540">
        <v>2.7987594441949817</v>
      </c>
      <c r="W266" s="540">
        <v>3.1247344519883375</v>
      </c>
      <c r="X266" s="540">
        <v>3.329095824852212</v>
      </c>
      <c r="Y266" s="540">
        <v>3.4111287570797688</v>
      </c>
      <c r="Z266" s="540">
        <v>3.414888805806275</v>
      </c>
      <c r="AA266" s="540">
        <v>3.3591375162370469</v>
      </c>
      <c r="AB266" s="540">
        <v>3.269820362155913</v>
      </c>
      <c r="AC266" s="540">
        <v>3.1808799555317377</v>
      </c>
      <c r="AD266" s="540">
        <v>3.0888591342598262</v>
      </c>
      <c r="AE266" s="540">
        <v>3.0049121551034088</v>
      </c>
      <c r="AF266" s="540">
        <v>2.9304962117029207</v>
      </c>
      <c r="AG266" s="540">
        <v>2.8659595225901628</v>
      </c>
      <c r="AH266" s="540">
        <v>2.8149122736841656</v>
      </c>
      <c r="AI266" s="540">
        <v>2.7682505528235914</v>
      </c>
      <c r="AJ266" s="540">
        <v>2.7275398085530718</v>
      </c>
      <c r="AK266" s="540">
        <v>2.6919447195626383</v>
      </c>
      <c r="AL266" s="540">
        <v>2.6629997833083805</v>
      </c>
    </row>
    <row r="267" spans="1:38" s="539" customFormat="1" x14ac:dyDescent="0.25">
      <c r="A267" s="550"/>
      <c r="B267" s="550"/>
      <c r="M267" s="200"/>
      <c r="N267" s="540"/>
      <c r="O267" s="540"/>
      <c r="P267" s="540"/>
      <c r="Q267" s="540"/>
      <c r="R267" s="540"/>
      <c r="S267" s="540"/>
      <c r="T267" s="540"/>
      <c r="U267" s="540"/>
      <c r="V267" s="540"/>
      <c r="W267" s="540"/>
      <c r="X267" s="540"/>
      <c r="Y267" s="540"/>
      <c r="Z267" s="540"/>
      <c r="AA267" s="540"/>
      <c r="AB267" s="540"/>
      <c r="AC267" s="540"/>
      <c r="AD267" s="540"/>
      <c r="AE267" s="540"/>
      <c r="AF267" s="540"/>
      <c r="AG267" s="540"/>
      <c r="AH267" s="540"/>
      <c r="AI267" s="540"/>
      <c r="AJ267" s="540"/>
      <c r="AK267" s="540"/>
      <c r="AL267" s="540"/>
    </row>
    <row r="268" spans="1:38" s="556" customFormat="1" ht="12.75" x14ac:dyDescent="0.2">
      <c r="A268" s="556" t="s">
        <v>32</v>
      </c>
      <c r="M268" s="241"/>
      <c r="N268" s="547"/>
      <c r="O268" s="547"/>
      <c r="P268" s="547"/>
      <c r="Q268" s="547"/>
      <c r="R268" s="547"/>
      <c r="S268" s="547"/>
      <c r="T268" s="547"/>
      <c r="U268" s="547"/>
      <c r="V268" s="547"/>
      <c r="W268" s="547"/>
      <c r="X268" s="547"/>
      <c r="Y268" s="547"/>
      <c r="Z268" s="547"/>
      <c r="AA268" s="547"/>
      <c r="AB268" s="547"/>
      <c r="AC268" s="547"/>
      <c r="AD268" s="547"/>
      <c r="AE268" s="547"/>
      <c r="AF268" s="547"/>
      <c r="AG268" s="547"/>
      <c r="AH268" s="547"/>
      <c r="AI268" s="547"/>
      <c r="AJ268" s="547"/>
      <c r="AK268" s="547"/>
      <c r="AL268" s="547"/>
    </row>
    <row r="269" spans="1:38" s="539" customFormat="1" x14ac:dyDescent="0.25">
      <c r="A269" s="550"/>
      <c r="B269" s="550" t="s">
        <v>33</v>
      </c>
      <c r="M269" s="200"/>
      <c r="N269" s="540">
        <v>2.5467350511407445</v>
      </c>
      <c r="O269" s="540">
        <v>2.702047821726425</v>
      </c>
      <c r="P269" s="540">
        <v>2.6325389667590366</v>
      </c>
      <c r="Q269" s="540">
        <v>2.407840937565263</v>
      </c>
      <c r="R269" s="540">
        <v>2.1058779693750118</v>
      </c>
      <c r="S269" s="540">
        <v>1.7413018225915562</v>
      </c>
      <c r="T269" s="540">
        <v>1.3742719917507671</v>
      </c>
      <c r="U269" s="540">
        <v>1.0435870289044431</v>
      </c>
      <c r="V269" s="540">
        <v>0.77269937640306519</v>
      </c>
      <c r="W269" s="540">
        <v>0.56014932053560096</v>
      </c>
      <c r="X269" s="540">
        <v>0.40523905927207099</v>
      </c>
      <c r="Y269" s="540">
        <v>0.29576324868998455</v>
      </c>
      <c r="Z269" s="540">
        <v>0.22124433599868756</v>
      </c>
      <c r="AA269" s="540">
        <v>0.16886259218000427</v>
      </c>
      <c r="AB269" s="540">
        <v>0.13258403444621822</v>
      </c>
      <c r="AC269" s="540">
        <v>0.10707625443990078</v>
      </c>
      <c r="AD269" s="540">
        <v>8.8190752079807339E-2</v>
      </c>
      <c r="AE269" s="540">
        <v>7.4100933870093047E-2</v>
      </c>
      <c r="AF269" s="540">
        <v>6.3561741881490427E-2</v>
      </c>
      <c r="AG269" s="540">
        <v>5.5679812017362197E-2</v>
      </c>
      <c r="AH269" s="540">
        <v>4.9255919323922544E-2</v>
      </c>
      <c r="AI269" s="540">
        <v>4.4061623633140874E-2</v>
      </c>
      <c r="AJ269" s="540">
        <v>3.9747964918085854E-2</v>
      </c>
      <c r="AK269" s="540">
        <v>3.6023498318622282E-2</v>
      </c>
      <c r="AL269" s="540">
        <v>3.2367048499388623E-2</v>
      </c>
    </row>
    <row r="270" spans="1:38" s="539" customFormat="1" x14ac:dyDescent="0.25">
      <c r="A270" s="552"/>
      <c r="B270" s="552" t="s">
        <v>34</v>
      </c>
      <c r="M270" s="200"/>
      <c r="N270" s="540">
        <v>3.1375979099203475</v>
      </c>
      <c r="O270" s="540">
        <v>3.3195330784247976</v>
      </c>
      <c r="P270" s="540">
        <v>3.2619812901619269</v>
      </c>
      <c r="Q270" s="540">
        <v>3.0407463963326724</v>
      </c>
      <c r="R270" s="540">
        <v>2.701333121819983</v>
      </c>
      <c r="S270" s="540">
        <v>2.2930874213021761</v>
      </c>
      <c r="T270" s="540">
        <v>1.8530722263221844</v>
      </c>
      <c r="U270" s="540">
        <v>1.4397955320323099</v>
      </c>
      <c r="V270" s="540">
        <v>1.0881434702072958</v>
      </c>
      <c r="W270" s="540">
        <v>0.80767158564886243</v>
      </c>
      <c r="X270" s="540">
        <v>0.60031913606486031</v>
      </c>
      <c r="Y270" s="540">
        <v>0.45024889387444922</v>
      </c>
      <c r="Z270" s="540">
        <v>0.34617112111263698</v>
      </c>
      <c r="AA270" s="540">
        <v>0.27184168345058468</v>
      </c>
      <c r="AB270" s="540">
        <v>0.21927167404276532</v>
      </c>
      <c r="AC270" s="540">
        <v>0.18202697809392365</v>
      </c>
      <c r="AD270" s="540">
        <v>0.1542470148463429</v>
      </c>
      <c r="AE270" s="540">
        <v>0.13345865584616234</v>
      </c>
      <c r="AF270" s="540">
        <v>0.11785666359706208</v>
      </c>
      <c r="AG270" s="540">
        <v>0.10620540429837354</v>
      </c>
      <c r="AH270" s="540">
        <v>9.680496927155148E-2</v>
      </c>
      <c r="AI270" s="540">
        <v>8.9257994369849269E-2</v>
      </c>
      <c r="AJ270" s="540">
        <v>8.304661113275387E-2</v>
      </c>
      <c r="AK270" s="540">
        <v>7.7725041961781774E-2</v>
      </c>
      <c r="AL270" s="540">
        <v>7.251033456641795E-2</v>
      </c>
    </row>
    <row r="271" spans="1:38" s="539" customFormat="1" x14ac:dyDescent="0.25">
      <c r="A271" s="550"/>
      <c r="B271" s="552" t="s">
        <v>35</v>
      </c>
      <c r="M271" s="200"/>
      <c r="N271" s="540">
        <v>0.58522353560817464</v>
      </c>
      <c r="O271" s="540">
        <v>0.60499884990441621</v>
      </c>
      <c r="P271" s="540">
        <v>0.59536980347472424</v>
      </c>
      <c r="Q271" s="540">
        <v>0.5678006047372306</v>
      </c>
      <c r="R271" s="540">
        <v>0.51159727919327824</v>
      </c>
      <c r="S271" s="540">
        <v>0.44998964149431825</v>
      </c>
      <c r="T271" s="540">
        <v>0.37442584480082608</v>
      </c>
      <c r="U271" s="540">
        <v>0.29898591289312926</v>
      </c>
      <c r="V271" s="540">
        <v>0.23111498245082057</v>
      </c>
      <c r="W271" s="540">
        <v>0.17656280430929638</v>
      </c>
      <c r="X271" s="540">
        <v>0.13591354874849529</v>
      </c>
      <c r="Y271" s="540">
        <v>0.10554966452790784</v>
      </c>
      <c r="Z271" s="540">
        <v>8.3946938359279466E-2</v>
      </c>
      <c r="AA271" s="540">
        <v>6.8239639511388867E-2</v>
      </c>
      <c r="AB271" s="540">
        <v>5.6748720214666565E-2</v>
      </c>
      <c r="AC271" s="540">
        <v>4.8544591978308148E-2</v>
      </c>
      <c r="AD271" s="540">
        <v>4.2409642932093553E-2</v>
      </c>
      <c r="AE271" s="540">
        <v>3.7841796568503401E-2</v>
      </c>
      <c r="AF271" s="540">
        <v>3.4412420795191218E-2</v>
      </c>
      <c r="AG271" s="540">
        <v>3.1856966980058112E-2</v>
      </c>
      <c r="AH271" s="540">
        <v>2.9881961028583547E-2</v>
      </c>
      <c r="AI271" s="540">
        <v>2.8345037279731686E-2</v>
      </c>
      <c r="AJ271" s="540">
        <v>2.7134735938384436E-2</v>
      </c>
      <c r="AK271" s="540">
        <v>2.6159147205488113E-2</v>
      </c>
      <c r="AL271" s="540">
        <v>2.5323286449278611E-2</v>
      </c>
    </row>
    <row r="272" spans="1:38" s="539" customFormat="1" x14ac:dyDescent="0.25">
      <c r="A272" s="550"/>
      <c r="B272" s="552" t="s">
        <v>29</v>
      </c>
      <c r="M272" s="200"/>
      <c r="N272" s="540">
        <v>5.1977697162650278E-2</v>
      </c>
      <c r="O272" s="540">
        <v>0.18650060582931299</v>
      </c>
      <c r="P272" s="540">
        <v>0.38878169977148902</v>
      </c>
      <c r="Q272" s="540">
        <v>0.63370808926762678</v>
      </c>
      <c r="R272" s="540">
        <v>0.88399459216009491</v>
      </c>
      <c r="S272" s="540">
        <v>1.1176177535534704</v>
      </c>
      <c r="T272" s="540">
        <v>1.2833030465353703</v>
      </c>
      <c r="U272" s="540">
        <v>1.3679104455423354</v>
      </c>
      <c r="V272" s="540">
        <v>1.375988348524992</v>
      </c>
      <c r="W272" s="540">
        <v>1.3312490125217902</v>
      </c>
      <c r="X272" s="540">
        <v>1.2675309313477694</v>
      </c>
      <c r="Y272" s="540">
        <v>1.1966791692155658</v>
      </c>
      <c r="Z272" s="540">
        <v>1.1394256043059672</v>
      </c>
      <c r="AA272" s="540">
        <v>1.0905709154727776</v>
      </c>
      <c r="AB272" s="540">
        <v>1.0507342150774017</v>
      </c>
      <c r="AC272" s="540">
        <v>1.0235078758697735</v>
      </c>
      <c r="AD272" s="540">
        <v>0.99925638631001534</v>
      </c>
      <c r="AE272" s="540">
        <v>0.97900236087868009</v>
      </c>
      <c r="AF272" s="540">
        <v>0.9616684399876646</v>
      </c>
      <c r="AG272" s="540">
        <v>0.94786997229771941</v>
      </c>
      <c r="AH272" s="540">
        <v>0.9349564415894297</v>
      </c>
      <c r="AI272" s="540">
        <v>0.92297076854003834</v>
      </c>
      <c r="AJ272" s="540">
        <v>0.91201375315833433</v>
      </c>
      <c r="AK272" s="540">
        <v>0.90194067310593407</v>
      </c>
      <c r="AL272" s="540">
        <v>0.89332550246218134</v>
      </c>
    </row>
    <row r="273" spans="1:38" s="539" customFormat="1" x14ac:dyDescent="0.25">
      <c r="A273" s="550"/>
      <c r="B273" s="550"/>
      <c r="M273" s="200"/>
      <c r="N273" s="540"/>
      <c r="O273" s="540"/>
      <c r="P273" s="540"/>
      <c r="Q273" s="540"/>
      <c r="R273" s="540"/>
      <c r="S273" s="540"/>
      <c r="T273" s="540"/>
      <c r="U273" s="540"/>
      <c r="V273" s="540"/>
      <c r="W273" s="540"/>
      <c r="X273" s="540"/>
      <c r="Y273" s="540"/>
      <c r="Z273" s="540"/>
      <c r="AA273" s="540"/>
      <c r="AB273" s="540"/>
      <c r="AC273" s="540"/>
      <c r="AD273" s="540"/>
      <c r="AE273" s="540"/>
      <c r="AF273" s="540"/>
      <c r="AG273" s="540"/>
      <c r="AH273" s="540"/>
      <c r="AI273" s="540"/>
      <c r="AJ273" s="540"/>
      <c r="AK273" s="540"/>
      <c r="AL273" s="540"/>
    </row>
    <row r="274" spans="1:38" s="556" customFormat="1" ht="12.75" x14ac:dyDescent="0.2">
      <c r="A274" s="556" t="s">
        <v>36</v>
      </c>
      <c r="M274" s="241"/>
      <c r="N274" s="547"/>
      <c r="O274" s="547"/>
      <c r="P274" s="547"/>
      <c r="Q274" s="547"/>
      <c r="R274" s="547"/>
      <c r="S274" s="547"/>
      <c r="T274" s="547"/>
      <c r="U274" s="547"/>
      <c r="V274" s="547"/>
      <c r="W274" s="547"/>
      <c r="X274" s="547"/>
      <c r="Y274" s="547"/>
      <c r="Z274" s="547"/>
      <c r="AA274" s="547"/>
      <c r="AB274" s="547"/>
      <c r="AC274" s="547"/>
      <c r="AD274" s="547"/>
      <c r="AE274" s="547"/>
      <c r="AF274" s="547"/>
      <c r="AG274" s="547"/>
      <c r="AH274" s="547"/>
      <c r="AI274" s="547"/>
      <c r="AJ274" s="547"/>
      <c r="AK274" s="547"/>
      <c r="AL274" s="547"/>
    </row>
    <row r="275" spans="1:38" s="539" customFormat="1" x14ac:dyDescent="0.25">
      <c r="A275" s="550"/>
      <c r="B275" s="550" t="s">
        <v>37</v>
      </c>
      <c r="L275" s="201"/>
      <c r="M275" s="540"/>
      <c r="N275" s="540">
        <v>159.12610186420241</v>
      </c>
      <c r="O275" s="540">
        <v>99.921274782000523</v>
      </c>
      <c r="P275" s="540">
        <v>48.852593087961417</v>
      </c>
      <c r="Q275" s="540">
        <v>9.8920685954212733</v>
      </c>
      <c r="R275" s="540">
        <v>7.3161453615003493</v>
      </c>
      <c r="S275" s="540">
        <v>5.4654913481314882</v>
      </c>
      <c r="T275" s="540">
        <v>4.1670551672141816</v>
      </c>
      <c r="U275" s="540">
        <v>3.2144730738683109</v>
      </c>
      <c r="V275" s="540">
        <v>2.5143599869475901</v>
      </c>
      <c r="W275" s="540">
        <v>1.9904113649712996</v>
      </c>
      <c r="X275" s="540">
        <v>1.595337786092583</v>
      </c>
      <c r="Y275" s="540">
        <v>1.296835131013665</v>
      </c>
      <c r="Z275" s="540">
        <v>1.0647969440251372</v>
      </c>
      <c r="AA275" s="540">
        <v>0.8893455080927728</v>
      </c>
      <c r="AB275" s="540">
        <v>0.75045113062703939</v>
      </c>
      <c r="AC275" s="540">
        <v>0.64120361029220052</v>
      </c>
      <c r="AD275" s="540">
        <v>0.55645443318738952</v>
      </c>
      <c r="AE275" s="540">
        <v>0.48551419697018422</v>
      </c>
      <c r="AF275" s="540">
        <v>0.42818585387688168</v>
      </c>
      <c r="AG275" s="540">
        <v>0.38340881453626385</v>
      </c>
      <c r="AH275" s="540">
        <v>0.34380842698461878</v>
      </c>
      <c r="AI275" s="540">
        <v>0.31047892119068921</v>
      </c>
      <c r="AJ275" s="540">
        <v>0.28306558996238418</v>
      </c>
      <c r="AK275" s="540">
        <v>0.25800101499127698</v>
      </c>
      <c r="AL275" s="540">
        <v>0.23431280610317942</v>
      </c>
    </row>
    <row r="276" spans="1:38" s="539" customFormat="1" x14ac:dyDescent="0.25">
      <c r="A276" s="550"/>
      <c r="B276" s="550" t="s">
        <v>39</v>
      </c>
      <c r="K276" s="203"/>
      <c r="M276" s="540"/>
      <c r="N276" s="540">
        <v>1249.2008079487623</v>
      </c>
      <c r="O276" s="540">
        <v>1259.8275637787428</v>
      </c>
      <c r="P276" s="540">
        <v>1250.9164534037347</v>
      </c>
      <c r="Q276" s="540">
        <v>1238.2399151603474</v>
      </c>
      <c r="R276" s="540">
        <v>1183.0344528662761</v>
      </c>
      <c r="S276" s="540">
        <v>1124.1687798397884</v>
      </c>
      <c r="T276" s="540">
        <v>1058.8039491305117</v>
      </c>
      <c r="U276" s="540">
        <v>994.7711994569637</v>
      </c>
      <c r="V276" s="540">
        <v>933.13254503131395</v>
      </c>
      <c r="W276" s="540">
        <v>874.45318981586956</v>
      </c>
      <c r="X276" s="540">
        <v>819.42431015214856</v>
      </c>
      <c r="Y276" s="540">
        <v>767.87303872241273</v>
      </c>
      <c r="Z276" s="540">
        <v>718.44653661764085</v>
      </c>
      <c r="AA276" s="540">
        <v>674.18211196543177</v>
      </c>
      <c r="AB276" s="540">
        <v>632.08758220446248</v>
      </c>
      <c r="AC276" s="540">
        <v>593.63910087138561</v>
      </c>
      <c r="AD276" s="540">
        <v>559.31482597021045</v>
      </c>
      <c r="AE276" s="540">
        <v>526.88292800812542</v>
      </c>
      <c r="AF276" s="540">
        <v>497.32049010517545</v>
      </c>
      <c r="AG276" s="540">
        <v>471.09972565324199</v>
      </c>
      <c r="AH276" s="540">
        <v>446.3191096882029</v>
      </c>
      <c r="AI276" s="540">
        <v>423.68449578439919</v>
      </c>
      <c r="AJ276" s="540">
        <v>403.42830118509829</v>
      </c>
      <c r="AK276" s="540">
        <v>384.88181338895396</v>
      </c>
      <c r="AL276" s="540">
        <v>367.01722067646131</v>
      </c>
    </row>
    <row r="277" spans="1:38" s="539" customFormat="1" x14ac:dyDescent="0.25">
      <c r="A277" s="550"/>
      <c r="B277" s="550" t="s">
        <v>40</v>
      </c>
      <c r="M277" s="540"/>
      <c r="N277" s="540">
        <v>147.89610520485442</v>
      </c>
      <c r="O277" s="540">
        <v>173.83779191841023</v>
      </c>
      <c r="P277" s="540">
        <v>203.25534841065016</v>
      </c>
      <c r="Q277" s="540">
        <v>227.2437609935881</v>
      </c>
      <c r="R277" s="540">
        <v>243.22797876022437</v>
      </c>
      <c r="S277" s="540">
        <v>257.19418006588631</v>
      </c>
      <c r="T277" s="540">
        <v>270.72146448305415</v>
      </c>
      <c r="U277" s="540">
        <v>281.30064036058326</v>
      </c>
      <c r="V277" s="540">
        <v>288.74179997350478</v>
      </c>
      <c r="W277" s="540">
        <v>292.94727563989721</v>
      </c>
      <c r="X277" s="540">
        <v>294.27285622593621</v>
      </c>
      <c r="Y277" s="540">
        <v>292.97840629291284</v>
      </c>
      <c r="Z277" s="540">
        <v>288.84423440028189</v>
      </c>
      <c r="AA277" s="540">
        <v>283.72208553861157</v>
      </c>
      <c r="AB277" s="540">
        <v>276.80942271713559</v>
      </c>
      <c r="AC277" s="540">
        <v>269.1999967438482</v>
      </c>
      <c r="AD277" s="540">
        <v>261.53843338844251</v>
      </c>
      <c r="AE277" s="540">
        <v>253.14605637704972</v>
      </c>
      <c r="AF277" s="540">
        <v>244.7550875277677</v>
      </c>
      <c r="AG277" s="540">
        <v>236.83654601249546</v>
      </c>
      <c r="AH277" s="540">
        <v>228.68854322533491</v>
      </c>
      <c r="AI277" s="540">
        <v>220.79501828615403</v>
      </c>
      <c r="AJ277" s="540">
        <v>213.71203331896916</v>
      </c>
      <c r="AK277" s="540">
        <v>206.30510913878476</v>
      </c>
      <c r="AL277" s="540">
        <v>199.04160304338819</v>
      </c>
    </row>
    <row r="278" spans="1:38" s="539" customFormat="1" x14ac:dyDescent="0.25">
      <c r="A278" s="550"/>
      <c r="B278" s="550" t="s">
        <v>29</v>
      </c>
      <c r="M278" s="200"/>
      <c r="N278" s="540">
        <v>1.9469440396908881E-4</v>
      </c>
      <c r="O278" s="540">
        <v>1.258241589640394E-2</v>
      </c>
      <c r="P278" s="540">
        <v>0.13902855166634104</v>
      </c>
      <c r="Q278" s="540">
        <v>0.65184704382408332</v>
      </c>
      <c r="R278" s="540">
        <v>1.9261646604812819</v>
      </c>
      <c r="S278" s="540">
        <v>4.3557184991982503</v>
      </c>
      <c r="T278" s="540">
        <v>8.2690164379713718</v>
      </c>
      <c r="U278" s="540">
        <v>13.658713975184979</v>
      </c>
      <c r="V278" s="540">
        <v>20.316506339252332</v>
      </c>
      <c r="W278" s="540">
        <v>28.050619594837833</v>
      </c>
      <c r="X278" s="540">
        <v>36.389952226316808</v>
      </c>
      <c r="Y278" s="540">
        <v>45.018789599509574</v>
      </c>
      <c r="Z278" s="540">
        <v>53.485155248556566</v>
      </c>
      <c r="AA278" s="540">
        <v>61.844484171184384</v>
      </c>
      <c r="AB278" s="540">
        <v>69.358589908700679</v>
      </c>
      <c r="AC278" s="540">
        <v>76.296510334267126</v>
      </c>
      <c r="AD278" s="540">
        <v>82.780407166913989</v>
      </c>
      <c r="AE278" s="540">
        <v>88.30564638760292</v>
      </c>
      <c r="AF278" s="540">
        <v>93.125397566947086</v>
      </c>
      <c r="AG278" s="540">
        <v>97.622550186965114</v>
      </c>
      <c r="AH278" s="540">
        <v>101.28822393235836</v>
      </c>
      <c r="AI278" s="540">
        <v>104.47301498295803</v>
      </c>
      <c r="AJ278" s="540">
        <v>107.54875298603355</v>
      </c>
      <c r="AK278" s="540">
        <v>110.01483212739582</v>
      </c>
      <c r="AL278" s="540">
        <v>112.45007270220853</v>
      </c>
    </row>
    <row r="279" spans="1:38" s="539" customFormat="1" x14ac:dyDescent="0.25">
      <c r="A279" s="550"/>
      <c r="B279" s="550"/>
      <c r="M279" s="200"/>
      <c r="N279" s="540"/>
      <c r="O279" s="540"/>
      <c r="P279" s="540"/>
      <c r="Q279" s="540"/>
      <c r="R279" s="540"/>
      <c r="S279" s="540"/>
      <c r="T279" s="540"/>
      <c r="U279" s="540"/>
      <c r="V279" s="540"/>
      <c r="W279" s="540"/>
      <c r="X279" s="540"/>
      <c r="Y279" s="540"/>
      <c r="Z279" s="540"/>
      <c r="AA279" s="540"/>
      <c r="AB279" s="540"/>
      <c r="AC279" s="540"/>
      <c r="AD279" s="540"/>
      <c r="AE279" s="540"/>
      <c r="AF279" s="540"/>
      <c r="AG279" s="540"/>
      <c r="AH279" s="540"/>
      <c r="AI279" s="540"/>
      <c r="AJ279" s="540"/>
      <c r="AK279" s="540"/>
      <c r="AL279" s="540"/>
    </row>
    <row r="280" spans="1:38" s="556" customFormat="1" ht="12.75" x14ac:dyDescent="0.2">
      <c r="A280" s="556" t="s">
        <v>42</v>
      </c>
      <c r="M280" s="241"/>
      <c r="N280" s="547"/>
      <c r="O280" s="547"/>
      <c r="P280" s="547"/>
      <c r="Q280" s="547"/>
      <c r="R280" s="547"/>
      <c r="S280" s="547"/>
      <c r="T280" s="547"/>
      <c r="U280" s="547"/>
      <c r="V280" s="547"/>
      <c r="W280" s="547"/>
      <c r="X280" s="547"/>
      <c r="Y280" s="547"/>
      <c r="Z280" s="547"/>
      <c r="AA280" s="547"/>
      <c r="AB280" s="547"/>
      <c r="AC280" s="547"/>
      <c r="AD280" s="547"/>
      <c r="AE280" s="547"/>
      <c r="AF280" s="547"/>
      <c r="AG280" s="547"/>
      <c r="AH280" s="547"/>
      <c r="AI280" s="547"/>
      <c r="AJ280" s="547"/>
      <c r="AK280" s="547"/>
      <c r="AL280" s="547"/>
    </row>
    <row r="281" spans="1:38" s="539" customFormat="1" x14ac:dyDescent="0.25">
      <c r="A281" s="550"/>
      <c r="B281" s="552" t="s">
        <v>43</v>
      </c>
      <c r="M281" s="200"/>
      <c r="N281" s="540">
        <v>31.230188079841469</v>
      </c>
      <c r="O281" s="540">
        <v>33.295098067564979</v>
      </c>
      <c r="P281" s="540">
        <v>34.722590735542596</v>
      </c>
      <c r="Q281" s="540">
        <v>35.607217016081314</v>
      </c>
      <c r="R281" s="540">
        <v>36.055271471502671</v>
      </c>
      <c r="S281" s="540">
        <v>36.081610365951072</v>
      </c>
      <c r="T281" s="540">
        <v>35.880956057518915</v>
      </c>
      <c r="U281" s="540">
        <v>35.440070134929712</v>
      </c>
      <c r="V281" s="540">
        <v>34.892978711445082</v>
      </c>
      <c r="W281" s="540">
        <v>34.22216262192179</v>
      </c>
      <c r="X281" s="540">
        <v>33.504422514913621</v>
      </c>
      <c r="Y281" s="540">
        <v>32.800567220803053</v>
      </c>
      <c r="Z281" s="540">
        <v>32.088419442875406</v>
      </c>
      <c r="AA281" s="540">
        <v>31.404435041482319</v>
      </c>
      <c r="AB281" s="540">
        <v>30.747938775784021</v>
      </c>
      <c r="AC281" s="540">
        <v>30.148655810380308</v>
      </c>
      <c r="AD281" s="540">
        <v>29.584317944738139</v>
      </c>
      <c r="AE281" s="540">
        <v>29.062091595753223</v>
      </c>
      <c r="AF281" s="540">
        <v>28.587960440866024</v>
      </c>
      <c r="AG281" s="540">
        <v>28.136059813760198</v>
      </c>
      <c r="AH281" s="540">
        <v>27.714217593141651</v>
      </c>
      <c r="AI281" s="540">
        <v>27.318935869003685</v>
      </c>
      <c r="AJ281" s="540">
        <v>26.946356811820976</v>
      </c>
      <c r="AK281" s="540">
        <v>26.592829670094559</v>
      </c>
      <c r="AL281" s="540">
        <v>26.259523061661831</v>
      </c>
    </row>
    <row r="282" spans="1:38" s="539" customFormat="1" x14ac:dyDescent="0.25">
      <c r="A282" s="550"/>
      <c r="B282" s="552" t="s">
        <v>44</v>
      </c>
      <c r="M282" s="200"/>
      <c r="N282" s="540">
        <v>151.69141440435573</v>
      </c>
      <c r="O282" s="540">
        <v>149.06659291751544</v>
      </c>
      <c r="P282" s="540">
        <v>145.84161198036972</v>
      </c>
      <c r="Q282" s="540">
        <v>142.1091158005851</v>
      </c>
      <c r="R282" s="540">
        <v>137.63023417850303</v>
      </c>
      <c r="S282" s="540">
        <v>132.73564688237224</v>
      </c>
      <c r="T282" s="540">
        <v>127.82733836339472</v>
      </c>
      <c r="U282" s="540">
        <v>122.79399771026634</v>
      </c>
      <c r="V282" s="540">
        <v>117.9306610181285</v>
      </c>
      <c r="W282" s="540">
        <v>113.14338119860041</v>
      </c>
      <c r="X282" s="540">
        <v>108.59408839799981</v>
      </c>
      <c r="Y282" s="540">
        <v>104.40128363413095</v>
      </c>
      <c r="Z282" s="540">
        <v>100.46534997471397</v>
      </c>
      <c r="AA282" s="540">
        <v>96.852926471887756</v>
      </c>
      <c r="AB282" s="540">
        <v>93.529256567220912</v>
      </c>
      <c r="AC282" s="540">
        <v>90.551901487349937</v>
      </c>
      <c r="AD282" s="540">
        <v>87.833197830049542</v>
      </c>
      <c r="AE282" s="540">
        <v>85.370784111628254</v>
      </c>
      <c r="AF282" s="540">
        <v>83.160490594973666</v>
      </c>
      <c r="AG282" s="540">
        <v>81.111856467080045</v>
      </c>
      <c r="AH282" s="540">
        <v>79.236522521527888</v>
      </c>
      <c r="AI282" s="540">
        <v>77.511032965016767</v>
      </c>
      <c r="AJ282" s="540">
        <v>75.91452826018417</v>
      </c>
      <c r="AK282" s="540">
        <v>74.428841051994283</v>
      </c>
      <c r="AL282" s="540">
        <v>73.057331336791677</v>
      </c>
    </row>
    <row r="283" spans="1:38" s="539" customFormat="1" x14ac:dyDescent="0.25">
      <c r="A283" s="550"/>
      <c r="B283" s="552" t="s">
        <v>45</v>
      </c>
      <c r="M283" s="200"/>
      <c r="N283" s="540">
        <v>16.405751028509876</v>
      </c>
      <c r="O283" s="540">
        <v>13.97927242744691</v>
      </c>
      <c r="P283" s="540">
        <v>11.926939619180978</v>
      </c>
      <c r="Q283" s="540">
        <v>10.189242165580069</v>
      </c>
      <c r="R283" s="540">
        <v>8.7164248864201941</v>
      </c>
      <c r="S283" s="540">
        <v>7.4572174518231646</v>
      </c>
      <c r="T283" s="540">
        <v>6.3898573617615417</v>
      </c>
      <c r="U283" s="540">
        <v>5.4834438886930732</v>
      </c>
      <c r="V283" s="540">
        <v>4.713976965475557</v>
      </c>
      <c r="W283" s="540">
        <v>4.059605002863055</v>
      </c>
      <c r="X283" s="540">
        <v>3.5031729651874506</v>
      </c>
      <c r="Y283" s="540">
        <v>3.0301229419947329</v>
      </c>
      <c r="Z283" s="540">
        <v>2.627243923493261</v>
      </c>
      <c r="AA283" s="540">
        <v>2.2854256890150486</v>
      </c>
      <c r="AB283" s="540">
        <v>1.994763835008168</v>
      </c>
      <c r="AC283" s="540">
        <v>1.7476275026003403</v>
      </c>
      <c r="AD283" s="540">
        <v>1.536972409028021</v>
      </c>
      <c r="AE283" s="540">
        <v>1.3572719008069887</v>
      </c>
      <c r="AF283" s="540">
        <v>1.2034663794320077</v>
      </c>
      <c r="AG283" s="540">
        <v>1.0717758597685416</v>
      </c>
      <c r="AH283" s="540">
        <v>0.95899243505791731</v>
      </c>
      <c r="AI283" s="540">
        <v>0.86224476822108742</v>
      </c>
      <c r="AJ283" s="540">
        <v>0.77911254932132523</v>
      </c>
      <c r="AK283" s="540">
        <v>0.70755377760522309</v>
      </c>
      <c r="AL283" s="540">
        <v>0.64580135791555848</v>
      </c>
    </row>
    <row r="284" spans="1:38" s="539" customFormat="1" x14ac:dyDescent="0.25">
      <c r="A284" s="550"/>
      <c r="B284" s="552" t="s">
        <v>46</v>
      </c>
      <c r="M284" s="200"/>
      <c r="N284" s="540">
        <v>0</v>
      </c>
      <c r="O284" s="540">
        <v>0</v>
      </c>
      <c r="P284" s="540">
        <v>0</v>
      </c>
      <c r="Q284" s="540">
        <v>0</v>
      </c>
      <c r="R284" s="540">
        <v>0</v>
      </c>
      <c r="S284" s="540">
        <v>0</v>
      </c>
      <c r="T284" s="540">
        <v>0</v>
      </c>
      <c r="U284" s="540">
        <v>0</v>
      </c>
      <c r="V284" s="540">
        <v>0</v>
      </c>
      <c r="W284" s="540">
        <v>0</v>
      </c>
      <c r="X284" s="540">
        <v>0</v>
      </c>
      <c r="Y284" s="540">
        <v>0</v>
      </c>
      <c r="Z284" s="540">
        <v>0</v>
      </c>
      <c r="AA284" s="540">
        <v>0</v>
      </c>
      <c r="AB284" s="540">
        <v>0</v>
      </c>
      <c r="AC284" s="540">
        <v>0</v>
      </c>
      <c r="AD284" s="540">
        <v>0</v>
      </c>
      <c r="AE284" s="540">
        <v>0</v>
      </c>
      <c r="AF284" s="540">
        <v>0</v>
      </c>
      <c r="AG284" s="540">
        <v>0</v>
      </c>
      <c r="AH284" s="540">
        <v>0</v>
      </c>
      <c r="AI284" s="540">
        <v>0</v>
      </c>
      <c r="AJ284" s="540">
        <v>0</v>
      </c>
      <c r="AK284" s="540">
        <v>0</v>
      </c>
      <c r="AL284" s="540">
        <v>0</v>
      </c>
    </row>
    <row r="285" spans="1:38" s="539" customFormat="1" x14ac:dyDescent="0.25">
      <c r="A285" s="550"/>
      <c r="B285" s="550" t="s">
        <v>29</v>
      </c>
      <c r="M285" s="200"/>
      <c r="N285" s="540">
        <v>4.2914323764322271</v>
      </c>
      <c r="O285" s="540">
        <v>6.1414425848201217</v>
      </c>
      <c r="P285" s="540">
        <v>8.2140926145015971</v>
      </c>
      <c r="Q285" s="540">
        <v>10.458232261876597</v>
      </c>
      <c r="R285" s="540">
        <v>12.779896836764758</v>
      </c>
      <c r="S285" s="540">
        <v>15.029542503166571</v>
      </c>
      <c r="T285" s="540">
        <v>17.226787203660407</v>
      </c>
      <c r="U285" s="540">
        <v>19.204027828604257</v>
      </c>
      <c r="V285" s="540">
        <v>21.022109157371705</v>
      </c>
      <c r="W285" s="540">
        <v>22.535570380262048</v>
      </c>
      <c r="X285" s="540">
        <v>23.792681147252438</v>
      </c>
      <c r="Y285" s="540">
        <v>24.84797293447776</v>
      </c>
      <c r="Z285" s="540">
        <v>25.603775935288319</v>
      </c>
      <c r="AA285" s="540">
        <v>26.148014322525103</v>
      </c>
      <c r="AB285" s="540">
        <v>26.452773956876509</v>
      </c>
      <c r="AC285" s="540">
        <v>26.644063638964266</v>
      </c>
      <c r="AD285" s="540">
        <v>26.688957947337553</v>
      </c>
      <c r="AE285" s="540">
        <v>26.649480345769359</v>
      </c>
      <c r="AF285" s="540">
        <v>26.598354663666658</v>
      </c>
      <c r="AG285" s="540">
        <v>26.44355762704237</v>
      </c>
      <c r="AH285" s="540">
        <v>26.253094488932422</v>
      </c>
      <c r="AI285" s="540">
        <v>26.035554565809704</v>
      </c>
      <c r="AJ285" s="540">
        <v>25.79820030466669</v>
      </c>
      <c r="AK285" s="540">
        <v>25.546750211476017</v>
      </c>
      <c r="AL285" s="540">
        <v>25.329069145784963</v>
      </c>
    </row>
    <row r="286" spans="1:38" s="539" customFormat="1" x14ac:dyDescent="0.25">
      <c r="A286" s="550"/>
      <c r="B286" s="550"/>
      <c r="M286" s="200"/>
      <c r="N286" s="540"/>
      <c r="O286" s="540"/>
      <c r="P286" s="540"/>
      <c r="Q286" s="540"/>
      <c r="R286" s="540"/>
      <c r="S286" s="540"/>
      <c r="T286" s="540"/>
      <c r="U286" s="540"/>
      <c r="V286" s="540"/>
      <c r="W286" s="540"/>
      <c r="X286" s="540"/>
      <c r="Y286" s="540"/>
      <c r="Z286" s="540"/>
      <c r="AA286" s="540"/>
      <c r="AB286" s="540"/>
      <c r="AC286" s="540"/>
      <c r="AD286" s="540"/>
      <c r="AE286" s="540"/>
      <c r="AF286" s="540"/>
      <c r="AG286" s="540"/>
      <c r="AH286" s="540"/>
      <c r="AI286" s="540"/>
      <c r="AJ286" s="540"/>
      <c r="AK286" s="540"/>
      <c r="AL286" s="540"/>
    </row>
    <row r="287" spans="1:38" s="556" customFormat="1" ht="12.75" x14ac:dyDescent="0.2">
      <c r="A287" s="556" t="s">
        <v>47</v>
      </c>
      <c r="M287" s="241"/>
      <c r="N287" s="547"/>
      <c r="O287" s="547"/>
      <c r="P287" s="547"/>
      <c r="Q287" s="547"/>
      <c r="R287" s="547"/>
      <c r="S287" s="547"/>
      <c r="T287" s="547"/>
      <c r="U287" s="547"/>
      <c r="V287" s="547"/>
      <c r="W287" s="547"/>
      <c r="X287" s="547"/>
      <c r="Y287" s="547"/>
      <c r="Z287" s="547"/>
      <c r="AA287" s="547"/>
      <c r="AB287" s="547"/>
      <c r="AC287" s="547"/>
      <c r="AD287" s="547"/>
      <c r="AE287" s="547"/>
      <c r="AF287" s="547"/>
      <c r="AG287" s="547"/>
      <c r="AH287" s="547"/>
      <c r="AI287" s="547"/>
      <c r="AJ287" s="547"/>
      <c r="AK287" s="547"/>
      <c r="AL287" s="547"/>
    </row>
    <row r="288" spans="1:38" s="539" customFormat="1" x14ac:dyDescent="0.25">
      <c r="A288" s="550"/>
      <c r="B288" s="550" t="s">
        <v>48</v>
      </c>
      <c r="M288" s="200"/>
      <c r="N288" s="540">
        <v>0</v>
      </c>
      <c r="O288" s="540">
        <v>0</v>
      </c>
      <c r="P288" s="540">
        <v>0</v>
      </c>
      <c r="Q288" s="540">
        <v>0</v>
      </c>
      <c r="R288" s="540">
        <v>0</v>
      </c>
      <c r="S288" s="540">
        <v>0</v>
      </c>
      <c r="T288" s="540">
        <v>0</v>
      </c>
      <c r="U288" s="540">
        <v>0</v>
      </c>
      <c r="V288" s="540">
        <v>0</v>
      </c>
      <c r="W288" s="540">
        <v>0</v>
      </c>
      <c r="X288" s="540">
        <v>0</v>
      </c>
      <c r="Y288" s="540">
        <v>0</v>
      </c>
      <c r="Z288" s="540">
        <v>0</v>
      </c>
      <c r="AA288" s="540">
        <v>0</v>
      </c>
      <c r="AB288" s="540">
        <v>0</v>
      </c>
      <c r="AC288" s="540">
        <v>0</v>
      </c>
      <c r="AD288" s="540">
        <v>0</v>
      </c>
      <c r="AE288" s="540">
        <v>0</v>
      </c>
      <c r="AF288" s="540">
        <v>0</v>
      </c>
      <c r="AG288" s="540">
        <v>0</v>
      </c>
      <c r="AH288" s="540">
        <v>0</v>
      </c>
      <c r="AI288" s="540">
        <v>0</v>
      </c>
      <c r="AJ288" s="540">
        <v>0</v>
      </c>
      <c r="AK288" s="540">
        <v>0</v>
      </c>
      <c r="AL288" s="540">
        <v>0</v>
      </c>
    </row>
    <row r="289" spans="1:38" s="539" customFormat="1" x14ac:dyDescent="0.25">
      <c r="A289" s="550"/>
      <c r="B289" s="552" t="s">
        <v>50</v>
      </c>
      <c r="M289" s="200"/>
      <c r="N289" s="540">
        <v>0.27558775163230143</v>
      </c>
      <c r="O289" s="540">
        <v>0.2677793023707935</v>
      </c>
      <c r="P289" s="540">
        <v>0.25390495942458485</v>
      </c>
      <c r="Q289" s="540">
        <v>0.23120920057478017</v>
      </c>
      <c r="R289" s="540">
        <v>0.19969500098337631</v>
      </c>
      <c r="S289" s="540">
        <v>0.16048678755300808</v>
      </c>
      <c r="T289" s="540">
        <v>0.11925917207981949</v>
      </c>
      <c r="U289" s="540">
        <v>8.162478583690469E-2</v>
      </c>
      <c r="V289" s="540">
        <v>5.1643991080770932E-2</v>
      </c>
      <c r="W289" s="540">
        <v>3.0244405781552013E-2</v>
      </c>
      <c r="X289" s="540">
        <v>1.642568788298528E-2</v>
      </c>
      <c r="Y289" s="540">
        <v>8.3336142655378552E-3</v>
      </c>
      <c r="Z289" s="540">
        <v>3.9775412013405703E-3</v>
      </c>
      <c r="AA289" s="540">
        <v>1.7961310183301905E-3</v>
      </c>
      <c r="AB289" s="540">
        <v>7.7465157499584381E-4</v>
      </c>
      <c r="AC289" s="540">
        <v>3.2048208853759276E-4</v>
      </c>
      <c r="AD289" s="540">
        <v>1.276816297745601E-4</v>
      </c>
      <c r="AE289" s="540">
        <v>4.9131809617364267E-5</v>
      </c>
      <c r="AF289" s="540">
        <v>1.8338116176407415E-5</v>
      </c>
      <c r="AG289" s="540">
        <v>6.6674927312685341E-6</v>
      </c>
      <c r="AH289" s="540">
        <v>2.3601551386596125E-6</v>
      </c>
      <c r="AI289" s="540">
        <v>8.1502095235663794E-7</v>
      </c>
      <c r="AJ289" s="540">
        <v>2.7479644529720938E-7</v>
      </c>
      <c r="AK289" s="540">
        <v>9.0423127030100096E-8</v>
      </c>
      <c r="AL289" s="540">
        <v>2.8800702690613568E-8</v>
      </c>
    </row>
    <row r="290" spans="1:38" s="539" customFormat="1" x14ac:dyDescent="0.25">
      <c r="A290" s="550"/>
      <c r="B290" s="550" t="s">
        <v>51</v>
      </c>
      <c r="M290" s="200"/>
      <c r="N290" s="540">
        <v>2.6897579209853486</v>
      </c>
      <c r="O290" s="540">
        <v>2.5841375751831799</v>
      </c>
      <c r="P290" s="540">
        <v>2.4271353286698552</v>
      </c>
      <c r="Q290" s="540">
        <v>2.2103523446814344</v>
      </c>
      <c r="R290" s="540">
        <v>1.9536670089056707</v>
      </c>
      <c r="S290" s="540">
        <v>1.6645671252648175</v>
      </c>
      <c r="T290" s="540">
        <v>1.3736730847021827</v>
      </c>
      <c r="U290" s="540">
        <v>1.1017243808350701</v>
      </c>
      <c r="V290" s="540">
        <v>0.86451779419551855</v>
      </c>
      <c r="W290" s="540">
        <v>0.66412354328404999</v>
      </c>
      <c r="X290" s="540">
        <v>0.50056915464031582</v>
      </c>
      <c r="Y290" s="540">
        <v>0.37236184079367673</v>
      </c>
      <c r="Z290" s="540">
        <v>0.27409179026458019</v>
      </c>
      <c r="AA290" s="540">
        <v>0.19994643666867706</v>
      </c>
      <c r="AB290" s="540">
        <v>0.14522705628317123</v>
      </c>
      <c r="AC290" s="540">
        <v>0.1049092682765045</v>
      </c>
      <c r="AD290" s="540">
        <v>7.5429207813894852E-2</v>
      </c>
      <c r="AE290" s="540">
        <v>5.3995178525366762E-2</v>
      </c>
      <c r="AF290" s="540">
        <v>3.8544339078338687E-2</v>
      </c>
      <c r="AG290" s="540">
        <v>2.7465431871988383E-2</v>
      </c>
      <c r="AH290" s="540">
        <v>1.9485424055447481E-2</v>
      </c>
      <c r="AI290" s="540">
        <v>1.3782867972203419E-2</v>
      </c>
      <c r="AJ290" s="540">
        <v>9.717305275415743E-3</v>
      </c>
      <c r="AK290" s="540">
        <v>6.8229469747674619E-3</v>
      </c>
      <c r="AL290" s="540">
        <v>4.7439926538072703E-3</v>
      </c>
    </row>
    <row r="291" spans="1:38" s="539" customFormat="1" x14ac:dyDescent="0.25">
      <c r="A291" s="550"/>
      <c r="B291" s="550" t="s">
        <v>52</v>
      </c>
      <c r="M291" s="200"/>
      <c r="N291" s="540">
        <v>5.9748977343689704</v>
      </c>
      <c r="O291" s="540">
        <v>5.8408475834438338</v>
      </c>
      <c r="P291" s="540">
        <v>5.6721785983856066</v>
      </c>
      <c r="Q291" s="540">
        <v>5.4581736214887808</v>
      </c>
      <c r="R291" s="540">
        <v>5.2020817261286698</v>
      </c>
      <c r="S291" s="540">
        <v>4.8904763714240476</v>
      </c>
      <c r="T291" s="540">
        <v>4.5526653914310655</v>
      </c>
      <c r="U291" s="540">
        <v>4.2041304953999941</v>
      </c>
      <c r="V291" s="540">
        <v>3.8619176727324143</v>
      </c>
      <c r="W291" s="540">
        <v>3.5292601837392348</v>
      </c>
      <c r="X291" s="540">
        <v>3.2109336432937994</v>
      </c>
      <c r="Y291" s="540">
        <v>2.9138817358986175</v>
      </c>
      <c r="Z291" s="540">
        <v>2.6359182110307353</v>
      </c>
      <c r="AA291" s="540">
        <v>2.3849886373378366</v>
      </c>
      <c r="AB291" s="540">
        <v>2.1548102512360336</v>
      </c>
      <c r="AC291" s="540">
        <v>1.946399493306489</v>
      </c>
      <c r="AD291" s="540">
        <v>1.7590650221162383</v>
      </c>
      <c r="AE291" s="540">
        <v>1.5902338776778111</v>
      </c>
      <c r="AF291" s="540">
        <v>1.4351981531460318</v>
      </c>
      <c r="AG291" s="540">
        <v>1.2963205101153608</v>
      </c>
      <c r="AH291" s="540">
        <v>1.1692371098023153</v>
      </c>
      <c r="AI291" s="540">
        <v>1.0545928184214299</v>
      </c>
      <c r="AJ291" s="540">
        <v>0.95138110209641591</v>
      </c>
      <c r="AK291" s="540">
        <v>0.85726705718858942</v>
      </c>
      <c r="AL291" s="540">
        <v>0.77132081906465966</v>
      </c>
    </row>
    <row r="292" spans="1:38" s="539" customFormat="1" x14ac:dyDescent="0.25">
      <c r="A292" s="550"/>
      <c r="B292" s="552" t="s">
        <v>29</v>
      </c>
      <c r="M292" s="200"/>
      <c r="N292" s="540">
        <v>0</v>
      </c>
      <c r="O292" s="540">
        <v>0</v>
      </c>
      <c r="P292" s="540">
        <v>0</v>
      </c>
      <c r="Q292" s="540">
        <v>0</v>
      </c>
      <c r="R292" s="540">
        <v>0</v>
      </c>
      <c r="S292" s="540">
        <v>0</v>
      </c>
      <c r="T292" s="540">
        <v>0</v>
      </c>
      <c r="U292" s="540">
        <v>0</v>
      </c>
      <c r="V292" s="540">
        <v>0</v>
      </c>
      <c r="W292" s="540">
        <v>0</v>
      </c>
      <c r="X292" s="540">
        <v>0</v>
      </c>
      <c r="Y292" s="540">
        <v>0</v>
      </c>
      <c r="Z292" s="540">
        <v>0</v>
      </c>
      <c r="AA292" s="540">
        <v>0</v>
      </c>
      <c r="AB292" s="540">
        <v>0</v>
      </c>
      <c r="AC292" s="540">
        <v>0</v>
      </c>
      <c r="AD292" s="540">
        <v>0</v>
      </c>
      <c r="AE292" s="540">
        <v>0</v>
      </c>
      <c r="AF292" s="540">
        <v>0</v>
      </c>
      <c r="AG292" s="540">
        <v>0</v>
      </c>
      <c r="AH292" s="540">
        <v>0</v>
      </c>
      <c r="AI292" s="540">
        <v>0</v>
      </c>
      <c r="AJ292" s="540">
        <v>0</v>
      </c>
      <c r="AK292" s="540">
        <v>0</v>
      </c>
      <c r="AL292" s="540">
        <v>0</v>
      </c>
    </row>
    <row r="293" spans="1:38" s="539" customFormat="1" x14ac:dyDescent="0.25">
      <c r="A293" s="550"/>
      <c r="B293" s="552" t="s">
        <v>53</v>
      </c>
      <c r="M293" s="200"/>
      <c r="N293" s="540">
        <v>0</v>
      </c>
      <c r="O293" s="540">
        <v>0</v>
      </c>
      <c r="P293" s="540">
        <v>0</v>
      </c>
      <c r="Q293" s="540">
        <v>0</v>
      </c>
      <c r="R293" s="540">
        <v>0</v>
      </c>
      <c r="S293" s="540">
        <v>0</v>
      </c>
      <c r="T293" s="540">
        <v>0</v>
      </c>
      <c r="U293" s="540">
        <v>0</v>
      </c>
      <c r="V293" s="540">
        <v>0</v>
      </c>
      <c r="W293" s="540">
        <v>0</v>
      </c>
      <c r="X293" s="540">
        <v>0</v>
      </c>
      <c r="Y293" s="540">
        <v>0</v>
      </c>
      <c r="Z293" s="540">
        <v>0</v>
      </c>
      <c r="AA293" s="540">
        <v>0</v>
      </c>
      <c r="AB293" s="540">
        <v>0</v>
      </c>
      <c r="AC293" s="540">
        <v>0</v>
      </c>
      <c r="AD293" s="540">
        <v>0</v>
      </c>
      <c r="AE293" s="540">
        <v>0</v>
      </c>
      <c r="AF293" s="540">
        <v>0</v>
      </c>
      <c r="AG293" s="540">
        <v>0</v>
      </c>
      <c r="AH293" s="540">
        <v>0</v>
      </c>
      <c r="AI293" s="540">
        <v>0</v>
      </c>
      <c r="AJ293" s="540">
        <v>0</v>
      </c>
      <c r="AK293" s="540">
        <v>0</v>
      </c>
      <c r="AL293" s="540">
        <v>0</v>
      </c>
    </row>
    <row r="294" spans="1:38" s="539" customFormat="1" x14ac:dyDescent="0.25">
      <c r="M294" s="540"/>
    </row>
    <row r="295" spans="1:38" s="539" customFormat="1" x14ac:dyDescent="0.25">
      <c r="A295" s="554" t="s">
        <v>249</v>
      </c>
      <c r="B295" s="555"/>
      <c r="C295" s="554"/>
      <c r="D295" s="553"/>
      <c r="E295" s="553"/>
      <c r="F295" s="553"/>
      <c r="G295" s="553"/>
      <c r="H295" s="553"/>
      <c r="I295" s="553"/>
      <c r="J295" s="553"/>
      <c r="K295" s="553"/>
      <c r="L295" s="553"/>
      <c r="M295" s="553"/>
      <c r="N295" s="560"/>
      <c r="O295" s="560"/>
      <c r="P295" s="560"/>
      <c r="Q295" s="560"/>
      <c r="R295" s="560"/>
      <c r="S295" s="560"/>
      <c r="T295" s="560"/>
      <c r="U295" s="560"/>
      <c r="V295" s="560"/>
      <c r="W295" s="560"/>
      <c r="X295" s="560"/>
      <c r="Y295" s="560"/>
      <c r="Z295" s="560"/>
      <c r="AA295" s="560"/>
      <c r="AB295" s="560"/>
      <c r="AC295" s="560"/>
      <c r="AD295" s="560"/>
      <c r="AE295" s="560"/>
      <c r="AF295" s="560"/>
      <c r="AG295" s="560"/>
      <c r="AH295" s="560"/>
      <c r="AI295" s="560"/>
      <c r="AJ295" s="560"/>
      <c r="AK295" s="560"/>
      <c r="AL295" s="560"/>
    </row>
    <row r="296" spans="1:38" s="539" customFormat="1" x14ac:dyDescent="0.25">
      <c r="A296" s="551" t="s">
        <v>12</v>
      </c>
      <c r="B296" s="550"/>
    </row>
    <row r="297" spans="1:38" s="539" customFormat="1" x14ac:dyDescent="0.25">
      <c r="A297" s="550"/>
      <c r="B297" s="550" t="s">
        <v>20</v>
      </c>
    </row>
    <row r="298" spans="1:38" s="556" customFormat="1" ht="12.75" x14ac:dyDescent="0.2">
      <c r="A298" s="556" t="s">
        <v>21</v>
      </c>
    </row>
    <row r="299" spans="1:38" s="539" customFormat="1" x14ac:dyDescent="0.25">
      <c r="A299" s="550"/>
      <c r="B299" s="550" t="s">
        <v>22</v>
      </c>
      <c r="M299" s="200"/>
      <c r="N299" s="201">
        <f>SUM(N263,N227)/SUM(N$227:N$230,N$263:N$266)</f>
        <v>0.57863804528391161</v>
      </c>
      <c r="O299" s="201">
        <f t="shared" ref="O299:AL302" si="17">SUM(O263,O227)/SUM(O$227:O$230,O$263:O$266)</f>
        <v>0.57168500916049902</v>
      </c>
      <c r="P299" s="201">
        <f t="shared" si="17"/>
        <v>0.46157193284341724</v>
      </c>
      <c r="Q299" s="201">
        <f t="shared" si="17"/>
        <v>0.43156190249316589</v>
      </c>
      <c r="R299" s="201">
        <f t="shared" si="17"/>
        <v>0.41785939262695276</v>
      </c>
      <c r="S299" s="201">
        <f t="shared" si="17"/>
        <v>0.39251343984415105</v>
      </c>
      <c r="T299" s="201">
        <f t="shared" si="17"/>
        <v>0.36470212664600599</v>
      </c>
      <c r="U299" s="201">
        <f t="shared" si="17"/>
        <v>0.33513917489311457</v>
      </c>
      <c r="V299" s="201">
        <f t="shared" si="17"/>
        <v>0.30630636792679516</v>
      </c>
      <c r="W299" s="201">
        <f t="shared" si="17"/>
        <v>0.27574564403809598</v>
      </c>
      <c r="X299" s="201">
        <f t="shared" si="17"/>
        <v>0.2448213040688941</v>
      </c>
      <c r="Y299" s="201">
        <f t="shared" si="17"/>
        <v>0.21570246802452028</v>
      </c>
      <c r="Z299" s="201">
        <f t="shared" si="17"/>
        <v>0.18923184248184391</v>
      </c>
      <c r="AA299" s="201">
        <f t="shared" si="17"/>
        <v>0.16504819776630944</v>
      </c>
      <c r="AB299" s="201">
        <f t="shared" si="17"/>
        <v>0.14486424895178224</v>
      </c>
      <c r="AC299" s="201">
        <f t="shared" si="17"/>
        <v>0.12731413485914067</v>
      </c>
      <c r="AD299" s="201">
        <f t="shared" si="17"/>
        <v>0.11193332098564289</v>
      </c>
      <c r="AE299" s="201">
        <f t="shared" si="17"/>
        <v>9.8949098368006749E-2</v>
      </c>
      <c r="AF299" s="201">
        <f t="shared" si="17"/>
        <v>8.8181242297436749E-2</v>
      </c>
      <c r="AG299" s="201">
        <f t="shared" si="17"/>
        <v>7.9305887226522098E-2</v>
      </c>
      <c r="AH299" s="201">
        <f t="shared" si="17"/>
        <v>7.1375353336583652E-2</v>
      </c>
      <c r="AI299" s="201">
        <f t="shared" si="17"/>
        <v>6.458627003375636E-2</v>
      </c>
      <c r="AJ299" s="201">
        <f t="shared" si="17"/>
        <v>5.8595140872703198E-2</v>
      </c>
      <c r="AK299" s="201">
        <f t="shared" si="17"/>
        <v>5.3183906700878948E-2</v>
      </c>
      <c r="AL299" s="201">
        <f t="shared" si="17"/>
        <v>4.7619233533449989E-2</v>
      </c>
    </row>
    <row r="300" spans="1:38" s="539" customFormat="1" x14ac:dyDescent="0.25">
      <c r="A300" s="550"/>
      <c r="B300" s="550" t="s">
        <v>26</v>
      </c>
      <c r="M300" s="200"/>
      <c r="N300" s="201">
        <f>SUM(N264,N228)/SUM(N$227:N$230,N$263:N$266)</f>
        <v>7.4374255306626771E-3</v>
      </c>
      <c r="O300" s="201">
        <f t="shared" ref="O300:AC300" si="18">SUM(O264,O228)/SUM(O$227:O$230,O$263:O$266)</f>
        <v>3.0179294287862316E-2</v>
      </c>
      <c r="P300" s="201">
        <f t="shared" si="18"/>
        <v>8.6890204229411613E-2</v>
      </c>
      <c r="Q300" s="201">
        <f t="shared" si="18"/>
        <v>0.11883141161290683</v>
      </c>
      <c r="R300" s="201">
        <f t="shared" si="18"/>
        <v>0.11753473200171705</v>
      </c>
      <c r="S300" s="201">
        <f t="shared" si="18"/>
        <v>0.11304508348596262</v>
      </c>
      <c r="T300" s="201">
        <f t="shared" si="18"/>
        <v>0.10774128845062217</v>
      </c>
      <c r="U300" s="201">
        <f t="shared" si="18"/>
        <v>0.10157849667029774</v>
      </c>
      <c r="V300" s="201">
        <f t="shared" si="18"/>
        <v>9.5212294652673723E-2</v>
      </c>
      <c r="W300" s="201">
        <f t="shared" si="18"/>
        <v>8.8048766469374318E-2</v>
      </c>
      <c r="X300" s="201">
        <f t="shared" si="18"/>
        <v>8.0419151191706756E-2</v>
      </c>
      <c r="Y300" s="201">
        <f t="shared" si="18"/>
        <v>7.3056274268977817E-2</v>
      </c>
      <c r="Z300" s="201">
        <f t="shared" si="18"/>
        <v>6.612638550896692E-2</v>
      </c>
      <c r="AA300" s="201">
        <f t="shared" si="18"/>
        <v>5.9656280279913855E-2</v>
      </c>
      <c r="AB300" s="201">
        <f t="shared" si="18"/>
        <v>5.4131189698537169E-2</v>
      </c>
      <c r="AC300" s="201">
        <f t="shared" si="18"/>
        <v>4.9218847231510897E-2</v>
      </c>
      <c r="AD300" s="201">
        <f t="shared" si="17"/>
        <v>4.487977558666844E-2</v>
      </c>
      <c r="AE300" s="201">
        <f t="shared" si="17"/>
        <v>4.1117287383944594E-2</v>
      </c>
      <c r="AF300" s="201">
        <f t="shared" si="17"/>
        <v>3.7960650827601493E-2</v>
      </c>
      <c r="AG300" s="201">
        <f t="shared" si="17"/>
        <v>3.535102979520606E-2</v>
      </c>
      <c r="AH300" s="201">
        <f t="shared" si="17"/>
        <v>3.2977129722918323E-2</v>
      </c>
      <c r="AI300" s="201">
        <f t="shared" si="17"/>
        <v>3.0915753828719195E-2</v>
      </c>
      <c r="AJ300" s="201">
        <f t="shared" si="17"/>
        <v>2.9064911198809572E-2</v>
      </c>
      <c r="AK300" s="201">
        <f t="shared" si="17"/>
        <v>2.7348526833299337E-2</v>
      </c>
      <c r="AL300" s="201">
        <f t="shared" si="17"/>
        <v>2.5454538236744415E-2</v>
      </c>
    </row>
    <row r="301" spans="1:38" s="539" customFormat="1" x14ac:dyDescent="0.25">
      <c r="A301" s="550"/>
      <c r="B301" s="550" t="s">
        <v>27</v>
      </c>
      <c r="M301" s="200"/>
      <c r="N301" s="201">
        <f>SUM(N265,N229)/SUM(N$227:N$230,N$263:N$266)</f>
        <v>0.4122297747382922</v>
      </c>
      <c r="O301" s="201">
        <f t="shared" si="17"/>
        <v>0.39323858642967474</v>
      </c>
      <c r="P301" s="201">
        <f t="shared" si="17"/>
        <v>0.44165131645479605</v>
      </c>
      <c r="Q301" s="201">
        <f t="shared" si="17"/>
        <v>0.42814239955200706</v>
      </c>
      <c r="R301" s="201">
        <f t="shared" si="17"/>
        <v>0.42245240280526453</v>
      </c>
      <c r="S301" s="201">
        <f t="shared" si="17"/>
        <v>0.41964625000212674</v>
      </c>
      <c r="T301" s="201">
        <f t="shared" si="17"/>
        <v>0.40830891840166977</v>
      </c>
      <c r="U301" s="201">
        <f t="shared" si="17"/>
        <v>0.3906197965824097</v>
      </c>
      <c r="V301" s="201">
        <f t="shared" si="17"/>
        <v>0.36746377401663233</v>
      </c>
      <c r="W301" s="201">
        <f t="shared" si="17"/>
        <v>0.34342417104995732</v>
      </c>
      <c r="X301" s="201">
        <f t="shared" si="17"/>
        <v>0.31975801642198165</v>
      </c>
      <c r="Y301" s="201">
        <f t="shared" si="17"/>
        <v>0.29590906277591511</v>
      </c>
      <c r="Z301" s="201">
        <f t="shared" si="17"/>
        <v>0.27318881145012508</v>
      </c>
      <c r="AA301" s="201">
        <f t="shared" si="17"/>
        <v>0.25234681131312398</v>
      </c>
      <c r="AB301" s="201">
        <f t="shared" si="17"/>
        <v>0.23360654246349019</v>
      </c>
      <c r="AC301" s="201">
        <f t="shared" si="17"/>
        <v>0.21750962528563597</v>
      </c>
      <c r="AD301" s="201">
        <f t="shared" si="17"/>
        <v>0.20388353740929108</v>
      </c>
      <c r="AE301" s="201">
        <f t="shared" si="17"/>
        <v>0.19258020408013393</v>
      </c>
      <c r="AF301" s="201">
        <f t="shared" si="17"/>
        <v>0.18322553850680653</v>
      </c>
      <c r="AG301" s="201">
        <f t="shared" si="17"/>
        <v>0.17552395576122079</v>
      </c>
      <c r="AH301" s="201">
        <f t="shared" si="17"/>
        <v>0.16917905594043597</v>
      </c>
      <c r="AI301" s="201">
        <f t="shared" si="17"/>
        <v>0.16391280528835134</v>
      </c>
      <c r="AJ301" s="201">
        <f t="shared" si="17"/>
        <v>0.15949220072796513</v>
      </c>
      <c r="AK301" s="201">
        <f t="shared" si="17"/>
        <v>0.15571581809595447</v>
      </c>
      <c r="AL301" s="201">
        <f t="shared" si="17"/>
        <v>0.15230301383527059</v>
      </c>
    </row>
    <row r="302" spans="1:38" s="539" customFormat="1" x14ac:dyDescent="0.25">
      <c r="A302" s="550"/>
      <c r="B302" s="550" t="s">
        <v>29</v>
      </c>
      <c r="M302" s="200"/>
      <c r="N302" s="201">
        <f>SUM(N266,N230)/SUM(N$227:N$230,N$263:N$266)</f>
        <v>1.6947544471334946E-3</v>
      </c>
      <c r="O302" s="201">
        <f t="shared" si="17"/>
        <v>4.8971101219639369E-3</v>
      </c>
      <c r="P302" s="201">
        <f t="shared" si="17"/>
        <v>9.8865464723749824E-3</v>
      </c>
      <c r="Q302" s="201">
        <f t="shared" si="17"/>
        <v>2.1464286341920224E-2</v>
      </c>
      <c r="R302" s="201">
        <f t="shared" si="17"/>
        <v>4.2153472566065914E-2</v>
      </c>
      <c r="S302" s="201">
        <f t="shared" si="17"/>
        <v>7.4795226667759673E-2</v>
      </c>
      <c r="T302" s="201">
        <f t="shared" si="17"/>
        <v>0.11924766650170189</v>
      </c>
      <c r="U302" s="201">
        <f t="shared" si="17"/>
        <v>0.17266253185417796</v>
      </c>
      <c r="V302" s="201">
        <f t="shared" si="17"/>
        <v>0.23101756340389859</v>
      </c>
      <c r="W302" s="201">
        <f t="shared" si="17"/>
        <v>0.29278141844257244</v>
      </c>
      <c r="X302" s="201">
        <f t="shared" si="17"/>
        <v>0.3550015283174176</v>
      </c>
      <c r="Y302" s="201">
        <f t="shared" si="17"/>
        <v>0.41533219493058693</v>
      </c>
      <c r="Z302" s="201">
        <f t="shared" si="17"/>
        <v>0.47145296055906405</v>
      </c>
      <c r="AA302" s="201">
        <f t="shared" si="17"/>
        <v>0.52294871064065263</v>
      </c>
      <c r="AB302" s="201">
        <f t="shared" si="17"/>
        <v>0.56739801888619046</v>
      </c>
      <c r="AC302" s="201">
        <f t="shared" si="17"/>
        <v>0.6059573926237124</v>
      </c>
      <c r="AD302" s="201">
        <f t="shared" si="17"/>
        <v>0.63930336601839755</v>
      </c>
      <c r="AE302" s="201">
        <f t="shared" si="17"/>
        <v>0.66735341016791472</v>
      </c>
      <c r="AF302" s="201">
        <f t="shared" si="17"/>
        <v>0.69063256836815523</v>
      </c>
      <c r="AG302" s="201">
        <f t="shared" si="17"/>
        <v>0.7098191272170512</v>
      </c>
      <c r="AH302" s="201">
        <f t="shared" si="17"/>
        <v>0.72646846100006202</v>
      </c>
      <c r="AI302" s="201">
        <f t="shared" si="17"/>
        <v>0.74058517084917308</v>
      </c>
      <c r="AJ302" s="201">
        <f t="shared" si="17"/>
        <v>0.75284774720052194</v>
      </c>
      <c r="AK302" s="201">
        <f t="shared" si="17"/>
        <v>0.76375174836986714</v>
      </c>
      <c r="AL302" s="201">
        <f t="shared" si="17"/>
        <v>0.77462321439453508</v>
      </c>
    </row>
    <row r="303" spans="1:38" s="539" customFormat="1" x14ac:dyDescent="0.25">
      <c r="A303" s="550"/>
      <c r="B303" s="550"/>
      <c r="M303" s="200"/>
    </row>
    <row r="304" spans="1:38" s="556" customFormat="1" ht="12.75" x14ac:dyDescent="0.2">
      <c r="A304" s="556" t="s">
        <v>32</v>
      </c>
      <c r="M304" s="241"/>
    </row>
    <row r="305" spans="1:38" s="539" customFormat="1" x14ac:dyDescent="0.25">
      <c r="A305" s="550"/>
      <c r="B305" s="550" t="s">
        <v>33</v>
      </c>
      <c r="M305" s="200"/>
      <c r="N305" s="201">
        <f>SUM(N269,N233)/SUM(N$269:N$272,N$233:N$236)</f>
        <v>0.4925087972996654</v>
      </c>
      <c r="O305" s="201">
        <f t="shared" ref="O305:AL308" si="19">SUM(O269,O233)/SUM(O$269:O$272,O$233:O$236)</f>
        <v>0.48622990855396375</v>
      </c>
      <c r="P305" s="201">
        <f t="shared" si="19"/>
        <v>0.46962130934716445</v>
      </c>
      <c r="Q305" s="201">
        <f t="shared" si="19"/>
        <v>0.443413703207094</v>
      </c>
      <c r="R305" s="201">
        <f t="shared" si="19"/>
        <v>0.41437457368693165</v>
      </c>
      <c r="S305" s="201">
        <f t="shared" si="19"/>
        <v>0.37730303753863415</v>
      </c>
      <c r="T305" s="201">
        <f t="shared" si="19"/>
        <v>0.33898678253409159</v>
      </c>
      <c r="U305" s="201">
        <f t="shared" si="19"/>
        <v>0.30049373217224423</v>
      </c>
      <c r="V305" s="201">
        <f t="shared" si="19"/>
        <v>0.2639498014339231</v>
      </c>
      <c r="W305" s="201">
        <f t="shared" si="19"/>
        <v>0.22842987207464541</v>
      </c>
      <c r="X305" s="201">
        <f t="shared" si="19"/>
        <v>0.19502666602257848</v>
      </c>
      <c r="Y305" s="201">
        <f t="shared" si="19"/>
        <v>0.16519572348726205</v>
      </c>
      <c r="Z305" s="201">
        <f t="shared" si="19"/>
        <v>0.13932572035019805</v>
      </c>
      <c r="AA305" s="201">
        <f t="shared" si="19"/>
        <v>0.11712522634872224</v>
      </c>
      <c r="AB305" s="201">
        <f t="shared" si="19"/>
        <v>9.9172748794964322E-2</v>
      </c>
      <c r="AC305" s="201">
        <f t="shared" si="19"/>
        <v>8.4396268910663971E-2</v>
      </c>
      <c r="AD305" s="201">
        <f t="shared" si="19"/>
        <v>7.2300263031735146E-2</v>
      </c>
      <c r="AE305" s="201">
        <f t="shared" si="19"/>
        <v>6.2490467031185541E-2</v>
      </c>
      <c r="AF305" s="201">
        <f t="shared" si="19"/>
        <v>5.4671343895995254E-2</v>
      </c>
      <c r="AG305" s="201">
        <f t="shared" si="19"/>
        <v>4.8484823498832957E-2</v>
      </c>
      <c r="AH305" s="201">
        <f t="shared" si="19"/>
        <v>4.3231654308502475E-2</v>
      </c>
      <c r="AI305" s="201">
        <f t="shared" si="19"/>
        <v>3.8875231250297869E-2</v>
      </c>
      <c r="AJ305" s="201">
        <f t="shared" si="19"/>
        <v>3.5149501992462404E-2</v>
      </c>
      <c r="AK305" s="201">
        <f t="shared" si="19"/>
        <v>3.1861225166236407E-2</v>
      </c>
      <c r="AL305" s="201">
        <f t="shared" si="19"/>
        <v>2.8515013694335296E-2</v>
      </c>
    </row>
    <row r="306" spans="1:38" s="539" customFormat="1" x14ac:dyDescent="0.25">
      <c r="A306" s="552"/>
      <c r="B306" s="552" t="s">
        <v>34</v>
      </c>
      <c r="M306" s="200"/>
      <c r="N306" s="201">
        <f>SUM(N270,N234)/SUM(N$269:N$272,N$233:N$236)</f>
        <v>0.34305285469667118</v>
      </c>
      <c r="O306" s="201">
        <f t="shared" ref="O306:AC306" si="20">SUM(O270,O234)/SUM(O$269:O$272,O$233:O$236)</f>
        <v>0.34060946294093752</v>
      </c>
      <c r="P306" s="201">
        <f t="shared" si="20"/>
        <v>0.33266511278713423</v>
      </c>
      <c r="Q306" s="201">
        <f t="shared" si="20"/>
        <v>0.31962387249115293</v>
      </c>
      <c r="R306" s="201">
        <f t="shared" si="20"/>
        <v>0.30346584311979458</v>
      </c>
      <c r="S306" s="201">
        <f t="shared" si="20"/>
        <v>0.2825814735435877</v>
      </c>
      <c r="T306" s="201">
        <f t="shared" si="20"/>
        <v>0.25955600333202566</v>
      </c>
      <c r="U306" s="201">
        <f t="shared" si="20"/>
        <v>0.23524630910980179</v>
      </c>
      <c r="V306" s="201">
        <f t="shared" si="20"/>
        <v>0.2110547616523919</v>
      </c>
      <c r="W306" s="201">
        <f t="shared" si="20"/>
        <v>0.18701837202398408</v>
      </c>
      <c r="X306" s="201">
        <f t="shared" si="20"/>
        <v>0.16386895715231006</v>
      </c>
      <c r="Y306" s="201">
        <f t="shared" si="20"/>
        <v>0.14264368624756849</v>
      </c>
      <c r="Z306" s="201">
        <f t="shared" si="20"/>
        <v>0.12363108691277361</v>
      </c>
      <c r="AA306" s="201">
        <f t="shared" si="20"/>
        <v>0.10696698828090082</v>
      </c>
      <c r="AB306" s="201">
        <f t="shared" si="20"/>
        <v>9.3057059116497823E-2</v>
      </c>
      <c r="AC306" s="201">
        <f t="shared" si="20"/>
        <v>8.1377902711522718E-2</v>
      </c>
      <c r="AD306" s="201">
        <f t="shared" si="19"/>
        <v>7.1754427854774885E-2</v>
      </c>
      <c r="AE306" s="201">
        <f t="shared" si="19"/>
        <v>6.3807101199672117E-2</v>
      </c>
      <c r="AF306" s="201">
        <f t="shared" si="19"/>
        <v>5.7421355736225525E-2</v>
      </c>
      <c r="AG306" s="201">
        <f t="shared" si="19"/>
        <v>5.2351506999324345E-2</v>
      </c>
      <c r="AH306" s="201">
        <f t="shared" si="19"/>
        <v>4.8057669910571685E-2</v>
      </c>
      <c r="AI306" s="201">
        <f t="shared" si="19"/>
        <v>4.4491437824693399E-2</v>
      </c>
      <c r="AJ306" s="201">
        <f t="shared" si="19"/>
        <v>4.1445950470396231E-2</v>
      </c>
      <c r="AK306" s="201">
        <f t="shared" si="19"/>
        <v>3.8746846156794093E-2</v>
      </c>
      <c r="AL306" s="201">
        <f t="shared" si="19"/>
        <v>3.5920600472171681E-2</v>
      </c>
    </row>
    <row r="307" spans="1:38" s="539" customFormat="1" x14ac:dyDescent="0.25">
      <c r="A307" s="550"/>
      <c r="B307" s="552" t="s">
        <v>35</v>
      </c>
      <c r="M307" s="200"/>
      <c r="N307" s="201">
        <f>SUM(N271,N235)/SUM(N$269:N$272,N$233:N$236)</f>
        <v>0.15932100427115867</v>
      </c>
      <c r="O307" s="201">
        <f t="shared" si="19"/>
        <v>0.1521856781178838</v>
      </c>
      <c r="P307" s="201">
        <f t="shared" si="19"/>
        <v>0.14804115303429308</v>
      </c>
      <c r="Q307" s="201">
        <f t="shared" si="19"/>
        <v>0.14647204110704426</v>
      </c>
      <c r="R307" s="201">
        <f t="shared" si="19"/>
        <v>0.14131918795202084</v>
      </c>
      <c r="S307" s="201">
        <f t="shared" si="19"/>
        <v>0.13809574425641941</v>
      </c>
      <c r="T307" s="201">
        <f t="shared" si="19"/>
        <v>0.1319769704967137</v>
      </c>
      <c r="U307" s="201">
        <f t="shared" si="19"/>
        <v>0.1239508358257215</v>
      </c>
      <c r="V307" s="201">
        <f t="shared" si="19"/>
        <v>0.11423220003183614</v>
      </c>
      <c r="W307" s="201">
        <f t="shared" si="19"/>
        <v>0.10482359372893864</v>
      </c>
      <c r="X307" s="201">
        <f t="shared" si="19"/>
        <v>9.5876415221472985E-2</v>
      </c>
      <c r="Y307" s="201">
        <f t="shared" si="19"/>
        <v>8.7218769168709326E-2</v>
      </c>
      <c r="Z307" s="201">
        <f t="shared" si="19"/>
        <v>7.8901908643869492E-2</v>
      </c>
      <c r="AA307" s="201">
        <f t="shared" si="19"/>
        <v>7.1489700791379632E-2</v>
      </c>
      <c r="AB307" s="201">
        <f t="shared" si="19"/>
        <v>6.4686798074043581E-2</v>
      </c>
      <c r="AC307" s="201">
        <f t="shared" si="19"/>
        <v>5.8868534357116815E-2</v>
      </c>
      <c r="AD307" s="201">
        <f t="shared" si="19"/>
        <v>5.4212094562549447E-2</v>
      </c>
      <c r="AE307" s="201">
        <f t="shared" si="19"/>
        <v>5.0308093473654669E-2</v>
      </c>
      <c r="AF307" s="201">
        <f t="shared" si="19"/>
        <v>4.7167126611782059E-2</v>
      </c>
      <c r="AG307" s="201">
        <f t="shared" si="19"/>
        <v>4.467373783250557E-2</v>
      </c>
      <c r="AH307" s="201">
        <f t="shared" si="19"/>
        <v>4.2756043406180354E-2</v>
      </c>
      <c r="AI307" s="201">
        <f t="shared" si="19"/>
        <v>4.1234064879320964E-2</v>
      </c>
      <c r="AJ307" s="201">
        <f t="shared" si="19"/>
        <v>4.0052245533385024E-2</v>
      </c>
      <c r="AK307" s="201">
        <f t="shared" si="19"/>
        <v>3.9117017980344844E-2</v>
      </c>
      <c r="AL307" s="201">
        <f t="shared" si="19"/>
        <v>3.832356917162693E-2</v>
      </c>
    </row>
    <row r="308" spans="1:38" s="539" customFormat="1" x14ac:dyDescent="0.25">
      <c r="A308" s="550"/>
      <c r="B308" s="552" t="s">
        <v>29</v>
      </c>
      <c r="M308" s="200"/>
      <c r="N308" s="201">
        <f>SUM(N272,N236)/SUM(N$269:N$272,N$233:N$236)</f>
        <v>5.1173437325048379E-3</v>
      </c>
      <c r="O308" s="201">
        <f t="shared" si="19"/>
        <v>2.0974950387214863E-2</v>
      </c>
      <c r="P308" s="201">
        <f t="shared" si="19"/>
        <v>4.9672424831408317E-2</v>
      </c>
      <c r="Q308" s="201">
        <f t="shared" si="19"/>
        <v>9.0490383194708743E-2</v>
      </c>
      <c r="R308" s="201">
        <f t="shared" si="19"/>
        <v>0.14084039524125286</v>
      </c>
      <c r="S308" s="201">
        <f t="shared" si="19"/>
        <v>0.20201974466135869</v>
      </c>
      <c r="T308" s="201">
        <f t="shared" si="19"/>
        <v>0.2694802436371691</v>
      </c>
      <c r="U308" s="201">
        <f t="shared" si="19"/>
        <v>0.34030912289223242</v>
      </c>
      <c r="V308" s="201">
        <f t="shared" si="19"/>
        <v>0.41076323688184874</v>
      </c>
      <c r="W308" s="201">
        <f t="shared" si="19"/>
        <v>0.47972816217243175</v>
      </c>
      <c r="X308" s="201">
        <f t="shared" si="19"/>
        <v>0.5452279616036384</v>
      </c>
      <c r="Y308" s="201">
        <f t="shared" si="19"/>
        <v>0.60494182109646022</v>
      </c>
      <c r="Z308" s="201">
        <f t="shared" si="19"/>
        <v>0.65814128409315875</v>
      </c>
      <c r="AA308" s="201">
        <f t="shared" si="19"/>
        <v>0.70441808457899724</v>
      </c>
      <c r="AB308" s="201">
        <f t="shared" si="19"/>
        <v>0.74308339401449419</v>
      </c>
      <c r="AC308" s="201">
        <f t="shared" si="19"/>
        <v>0.77535729402069642</v>
      </c>
      <c r="AD308" s="201">
        <f t="shared" si="19"/>
        <v>0.80173321455094071</v>
      </c>
      <c r="AE308" s="201">
        <f t="shared" si="19"/>
        <v>0.82339433829548758</v>
      </c>
      <c r="AF308" s="201">
        <f t="shared" si="19"/>
        <v>0.84074017375599719</v>
      </c>
      <c r="AG308" s="201">
        <f t="shared" si="19"/>
        <v>0.85448993166933707</v>
      </c>
      <c r="AH308" s="201">
        <f t="shared" si="19"/>
        <v>0.86595463237474546</v>
      </c>
      <c r="AI308" s="201">
        <f t="shared" si="19"/>
        <v>0.87539926604568774</v>
      </c>
      <c r="AJ308" s="201">
        <f t="shared" si="19"/>
        <v>0.88335230200375636</v>
      </c>
      <c r="AK308" s="201">
        <f t="shared" si="19"/>
        <v>0.89027491069662457</v>
      </c>
      <c r="AL308" s="201">
        <f t="shared" si="19"/>
        <v>0.89724081666186606</v>
      </c>
    </row>
    <row r="309" spans="1:38" s="539" customFormat="1" x14ac:dyDescent="0.25">
      <c r="A309" s="550"/>
      <c r="B309" s="550"/>
      <c r="M309" s="200"/>
    </row>
    <row r="310" spans="1:38" s="556" customFormat="1" ht="12.75" x14ac:dyDescent="0.2">
      <c r="A310" s="556" t="s">
        <v>36</v>
      </c>
      <c r="M310" s="241"/>
    </row>
    <row r="311" spans="1:38" s="539" customFormat="1" x14ac:dyDescent="0.25">
      <c r="A311" s="550"/>
      <c r="B311" s="550" t="s">
        <v>37</v>
      </c>
      <c r="L311" s="201"/>
      <c r="M311" s="201"/>
      <c r="N311" s="201">
        <f>SUM(N275,N239)/SUM(N$275:N$279,N$239:N$242)</f>
        <v>0.10888996589961596</v>
      </c>
      <c r="O311" s="201">
        <f t="shared" ref="O311:AL314" si="21">SUM(O275,O239)/SUM(O$275:O$279,O$239:O$242)</f>
        <v>6.8280359445929251E-2</v>
      </c>
      <c r="P311" s="201">
        <f t="shared" si="21"/>
        <v>3.3736324313790769E-2</v>
      </c>
      <c r="Q311" s="201">
        <f t="shared" si="21"/>
        <v>6.9151357836630574E-3</v>
      </c>
      <c r="R311" s="201">
        <f t="shared" si="21"/>
        <v>5.2723965114516826E-3</v>
      </c>
      <c r="S311" s="201">
        <f t="shared" si="21"/>
        <v>4.0665206063990643E-3</v>
      </c>
      <c r="T311" s="201">
        <f t="shared" si="21"/>
        <v>3.2093650181220946E-3</v>
      </c>
      <c r="U311" s="201">
        <f t="shared" si="21"/>
        <v>2.5603961431573865E-3</v>
      </c>
      <c r="V311" s="201">
        <f t="shared" si="21"/>
        <v>2.0689560815200661E-3</v>
      </c>
      <c r="W311" s="201">
        <f t="shared" si="21"/>
        <v>1.6887905512981203E-3</v>
      </c>
      <c r="X311" s="201">
        <f t="shared" si="21"/>
        <v>1.3924970202957544E-3</v>
      </c>
      <c r="Y311" s="201">
        <f t="shared" si="21"/>
        <v>1.1617568967231063E-3</v>
      </c>
      <c r="Z311" s="201">
        <f t="shared" si="21"/>
        <v>9.8005348216589449E-4</v>
      </c>
      <c r="AA311" s="201">
        <f t="shared" si="21"/>
        <v>8.3595309074812024E-4</v>
      </c>
      <c r="AB311" s="201">
        <f t="shared" si="21"/>
        <v>7.2124549938939618E-4</v>
      </c>
      <c r="AC311" s="201">
        <f t="shared" si="21"/>
        <v>6.2921783441071083E-4</v>
      </c>
      <c r="AD311" s="201">
        <f t="shared" si="21"/>
        <v>5.5568745300601456E-4</v>
      </c>
      <c r="AE311" s="201">
        <f t="shared" si="21"/>
        <v>4.9428517462013651E-4</v>
      </c>
      <c r="AF311" s="201">
        <f t="shared" si="21"/>
        <v>4.4443358428888463E-4</v>
      </c>
      <c r="AG311" s="201">
        <f t="shared" si="21"/>
        <v>4.0401931304293682E-4</v>
      </c>
      <c r="AH311" s="201">
        <f t="shared" si="21"/>
        <v>3.6975083621430051E-4</v>
      </c>
      <c r="AI311" s="201">
        <f t="shared" si="21"/>
        <v>3.4091806760925511E-4</v>
      </c>
      <c r="AJ311" s="201">
        <f t="shared" si="21"/>
        <v>3.1591454881474499E-4</v>
      </c>
      <c r="AK311" s="201">
        <f t="shared" si="21"/>
        <v>2.9407275177227815E-4</v>
      </c>
      <c r="AL311" s="201">
        <f t="shared" si="21"/>
        <v>2.7265920773324165E-4</v>
      </c>
    </row>
    <row r="312" spans="1:38" s="539" customFormat="1" x14ac:dyDescent="0.25">
      <c r="A312" s="550"/>
      <c r="B312" s="550" t="s">
        <v>39</v>
      </c>
      <c r="K312" s="203"/>
      <c r="M312" s="201"/>
      <c r="N312" s="201">
        <f>SUM(N276,N240)/SUM(N$275:N$279,N$239:N$242)</f>
        <v>0.78497668296262824</v>
      </c>
      <c r="O312" s="201">
        <f t="shared" ref="O312:AC312" si="22">SUM(O276,O240)/SUM(O$275:O$279,O$239:O$242)</f>
        <v>0.80120475096193999</v>
      </c>
      <c r="P312" s="201">
        <f t="shared" si="22"/>
        <v>0.80769275436332777</v>
      </c>
      <c r="Q312" s="201">
        <f t="shared" si="22"/>
        <v>0.81217028743500208</v>
      </c>
      <c r="R312" s="201">
        <f t="shared" si="22"/>
        <v>0.79549653902902639</v>
      </c>
      <c r="S312" s="201">
        <f t="shared" si="22"/>
        <v>0.77841634942875459</v>
      </c>
      <c r="T312" s="201">
        <f t="shared" si="22"/>
        <v>0.75651130378336739</v>
      </c>
      <c r="U312" s="201">
        <f t="shared" si="22"/>
        <v>0.73423245753414379</v>
      </c>
      <c r="V312" s="201">
        <f t="shared" si="22"/>
        <v>0.71257168050869713</v>
      </c>
      <c r="W312" s="201">
        <f t="shared" si="22"/>
        <v>0.69153752369304999</v>
      </c>
      <c r="X312" s="201">
        <f t="shared" si="22"/>
        <v>0.67194602902566636</v>
      </c>
      <c r="Y312" s="201">
        <f t="shared" si="22"/>
        <v>0.65286962519334968</v>
      </c>
      <c r="Z312" s="201">
        <f t="shared" si="22"/>
        <v>0.6351701898825135</v>
      </c>
      <c r="AA312" s="201">
        <f t="shared" si="22"/>
        <v>0.61787303594713705</v>
      </c>
      <c r="AB312" s="201">
        <f t="shared" si="22"/>
        <v>0.60229819624690173</v>
      </c>
      <c r="AC312" s="201">
        <f t="shared" si="22"/>
        <v>0.58789444847319761</v>
      </c>
      <c r="AD312" s="201">
        <f t="shared" si="21"/>
        <v>0.57348393131061992</v>
      </c>
      <c r="AE312" s="201">
        <f t="shared" si="21"/>
        <v>0.56057598585305723</v>
      </c>
      <c r="AF312" s="201">
        <f t="shared" si="21"/>
        <v>0.54883838103792659</v>
      </c>
      <c r="AG312" s="201">
        <f t="shared" si="21"/>
        <v>0.53779454280644468</v>
      </c>
      <c r="AH312" s="201">
        <f t="shared" si="21"/>
        <v>0.5272989166319173</v>
      </c>
      <c r="AI312" s="201">
        <f t="shared" si="21"/>
        <v>0.51740314883041172</v>
      </c>
      <c r="AJ312" s="201">
        <f t="shared" si="21"/>
        <v>0.5080880004622409</v>
      </c>
      <c r="AK312" s="201">
        <f t="shared" si="21"/>
        <v>0.4993752999665178</v>
      </c>
      <c r="AL312" s="201">
        <f t="shared" si="21"/>
        <v>0.49074093896164278</v>
      </c>
    </row>
    <row r="313" spans="1:38" s="539" customFormat="1" x14ac:dyDescent="0.25">
      <c r="A313" s="550"/>
      <c r="B313" s="550" t="s">
        <v>40</v>
      </c>
      <c r="M313" s="201"/>
      <c r="N313" s="201">
        <f>SUM(N277,N241)/SUM(N$275:N$279,N$239:N$242)</f>
        <v>0.10612988791173829</v>
      </c>
      <c r="O313" s="201">
        <f t="shared" si="21"/>
        <v>0.13043237686805073</v>
      </c>
      <c r="P313" s="201">
        <f t="shared" si="21"/>
        <v>0.15804708584040764</v>
      </c>
      <c r="Q313" s="201">
        <f t="shared" si="21"/>
        <v>0.17921033271500045</v>
      </c>
      <c r="R313" s="201">
        <f t="shared" si="21"/>
        <v>0.19526855151652048</v>
      </c>
      <c r="S313" s="201">
        <f t="shared" si="21"/>
        <v>0.2100100663315228</v>
      </c>
      <c r="T313" s="201">
        <f t="shared" si="21"/>
        <v>0.22727692415382159</v>
      </c>
      <c r="U313" s="201">
        <f t="shared" si="21"/>
        <v>0.24305997969205803</v>
      </c>
      <c r="V313" s="201">
        <f t="shared" si="21"/>
        <v>0.25665178873397138</v>
      </c>
      <c r="W313" s="201">
        <f t="shared" si="21"/>
        <v>0.2680705191225532</v>
      </c>
      <c r="X313" s="201">
        <f t="shared" si="21"/>
        <v>0.27738811450188078</v>
      </c>
      <c r="Y313" s="201">
        <f t="shared" si="21"/>
        <v>0.28478155911703729</v>
      </c>
      <c r="Z313" s="201">
        <f t="shared" si="21"/>
        <v>0.29050706805639143</v>
      </c>
      <c r="AA313" s="201">
        <f t="shared" si="21"/>
        <v>0.29480139196959376</v>
      </c>
      <c r="AB313" s="201">
        <f t="shared" si="21"/>
        <v>0.29808775063680004</v>
      </c>
      <c r="AC313" s="201">
        <f t="shared" si="21"/>
        <v>0.3002805307842274</v>
      </c>
      <c r="AD313" s="201">
        <f t="shared" si="21"/>
        <v>0.30152482980981377</v>
      </c>
      <c r="AE313" s="201">
        <f t="shared" si="21"/>
        <v>0.30238517998005754</v>
      </c>
      <c r="AF313" s="201">
        <f t="shared" si="21"/>
        <v>0.30271841007335321</v>
      </c>
      <c r="AG313" s="201">
        <f t="shared" si="21"/>
        <v>0.30276448965645208</v>
      </c>
      <c r="AH313" s="201">
        <f t="shared" si="21"/>
        <v>0.30224401632833831</v>
      </c>
      <c r="AI313" s="201">
        <f t="shared" si="21"/>
        <v>0.30155400648960368</v>
      </c>
      <c r="AJ313" s="201">
        <f t="shared" si="21"/>
        <v>0.30065962642513627</v>
      </c>
      <c r="AK313" s="201">
        <f t="shared" si="21"/>
        <v>0.29935429355684284</v>
      </c>
      <c r="AL313" s="201">
        <f t="shared" si="21"/>
        <v>0.29773809484988478</v>
      </c>
    </row>
    <row r="314" spans="1:38" s="539" customFormat="1" x14ac:dyDescent="0.25">
      <c r="A314" s="550"/>
      <c r="B314" s="550" t="s">
        <v>29</v>
      </c>
      <c r="M314" s="201"/>
      <c r="N314" s="201">
        <f>SUM(N278,N242)/SUM(N$275:N$279,N$239:N$242)</f>
        <v>3.4632260175065257E-6</v>
      </c>
      <c r="O314" s="201">
        <f t="shared" si="21"/>
        <v>8.2512724080148012E-5</v>
      </c>
      <c r="P314" s="201">
        <f t="shared" si="21"/>
        <v>5.2383548247397196E-4</v>
      </c>
      <c r="Q314" s="201">
        <f t="shared" si="21"/>
        <v>1.7042440663345916E-3</v>
      </c>
      <c r="R314" s="201">
        <f t="shared" si="21"/>
        <v>3.9625129430013754E-3</v>
      </c>
      <c r="S314" s="201">
        <f t="shared" si="21"/>
        <v>7.5070636333234809E-3</v>
      </c>
      <c r="T314" s="201">
        <f t="shared" si="21"/>
        <v>1.3002407044688911E-2</v>
      </c>
      <c r="U314" s="201">
        <f t="shared" si="21"/>
        <v>2.014716663064087E-2</v>
      </c>
      <c r="V314" s="201">
        <f t="shared" si="21"/>
        <v>2.8707574675811611E-2</v>
      </c>
      <c r="W314" s="201">
        <f t="shared" si="21"/>
        <v>3.8703166633098557E-2</v>
      </c>
      <c r="X314" s="201">
        <f t="shared" si="21"/>
        <v>4.9273359452157037E-2</v>
      </c>
      <c r="Y314" s="201">
        <f t="shared" si="21"/>
        <v>6.1187058792890034E-2</v>
      </c>
      <c r="Z314" s="201">
        <f t="shared" si="21"/>
        <v>7.3342688578929019E-2</v>
      </c>
      <c r="AA314" s="201">
        <f t="shared" si="21"/>
        <v>8.6489618992520959E-2</v>
      </c>
      <c r="AB314" s="201">
        <f t="shared" si="21"/>
        <v>9.8892807616908843E-2</v>
      </c>
      <c r="AC314" s="201">
        <f t="shared" si="21"/>
        <v>0.11119580290816418</v>
      </c>
      <c r="AD314" s="201">
        <f t="shared" si="21"/>
        <v>0.12443555142656032</v>
      </c>
      <c r="AE314" s="201">
        <f t="shared" si="21"/>
        <v>0.13654454899226512</v>
      </c>
      <c r="AF314" s="201">
        <f t="shared" si="21"/>
        <v>0.14799877530443151</v>
      </c>
      <c r="AG314" s="201">
        <f t="shared" si="21"/>
        <v>0.15903694822406034</v>
      </c>
      <c r="AH314" s="201">
        <f t="shared" si="21"/>
        <v>0.17008731620353004</v>
      </c>
      <c r="AI314" s="201">
        <f t="shared" si="21"/>
        <v>0.1807019266123755</v>
      </c>
      <c r="AJ314" s="201">
        <f t="shared" si="21"/>
        <v>0.19093645856380814</v>
      </c>
      <c r="AK314" s="201">
        <f t="shared" si="21"/>
        <v>0.20097633372486698</v>
      </c>
      <c r="AL314" s="201">
        <f t="shared" si="21"/>
        <v>0.21124830698073918</v>
      </c>
    </row>
    <row r="315" spans="1:38" s="539" customFormat="1" x14ac:dyDescent="0.25">
      <c r="A315" s="550"/>
      <c r="B315" s="550"/>
      <c r="M315" s="200"/>
    </row>
    <row r="316" spans="1:38" s="556" customFormat="1" ht="12.75" x14ac:dyDescent="0.2">
      <c r="A316" s="556" t="s">
        <v>42</v>
      </c>
      <c r="M316" s="241"/>
    </row>
    <row r="317" spans="1:38" s="539" customFormat="1" x14ac:dyDescent="0.25">
      <c r="A317" s="550"/>
      <c r="B317" s="552" t="s">
        <v>43</v>
      </c>
      <c r="M317" s="200"/>
      <c r="N317" s="201">
        <f>SUM(N281,N245)/SUM(N$281:N$285,N$245:N$249)</f>
        <v>7.6686407216686042E-2</v>
      </c>
      <c r="O317" s="201">
        <f t="shared" ref="O317:AL321" si="23">SUM(O281,O245)/SUM(O$281:O$285,O$245:O$249)</f>
        <v>8.1263906978250491E-2</v>
      </c>
      <c r="P317" s="201">
        <f t="shared" si="23"/>
        <v>8.4600260066281116E-2</v>
      </c>
      <c r="Q317" s="201">
        <f t="shared" si="23"/>
        <v>8.6608857920255036E-2</v>
      </c>
      <c r="R317" s="201">
        <f t="shared" si="23"/>
        <v>8.7929935818568866E-2</v>
      </c>
      <c r="S317" s="201">
        <f t="shared" si="23"/>
        <v>8.8528568233077018E-2</v>
      </c>
      <c r="T317" s="201">
        <f t="shared" si="23"/>
        <v>8.85167184961132E-2</v>
      </c>
      <c r="U317" s="201">
        <f t="shared" si="23"/>
        <v>8.8257828429711416E-2</v>
      </c>
      <c r="V317" s="201">
        <f t="shared" si="23"/>
        <v>8.798898586358829E-2</v>
      </c>
      <c r="W317" s="201">
        <f t="shared" si="23"/>
        <v>8.7564432298419093E-2</v>
      </c>
      <c r="X317" s="201">
        <f t="shared" si="23"/>
        <v>8.730952715753526E-2</v>
      </c>
      <c r="Y317" s="201">
        <f t="shared" si="23"/>
        <v>8.6904863921807379E-2</v>
      </c>
      <c r="Z317" s="201">
        <f t="shared" si="23"/>
        <v>8.6705188323182067E-2</v>
      </c>
      <c r="AA317" s="201">
        <f t="shared" si="23"/>
        <v>8.634657402086196E-2</v>
      </c>
      <c r="AB317" s="201">
        <f t="shared" si="23"/>
        <v>8.6212097378796718E-2</v>
      </c>
      <c r="AC317" s="201">
        <f t="shared" si="23"/>
        <v>8.6268756327357032E-2</v>
      </c>
      <c r="AD317" s="201">
        <f t="shared" si="23"/>
        <v>8.6048293284488861E-2</v>
      </c>
      <c r="AE317" s="201">
        <f t="shared" si="23"/>
        <v>8.608651443965934E-2</v>
      </c>
      <c r="AF317" s="201">
        <f t="shared" si="23"/>
        <v>8.6247228240405496E-2</v>
      </c>
      <c r="AG317" s="201">
        <f t="shared" si="23"/>
        <v>8.6420062393447059E-2</v>
      </c>
      <c r="AH317" s="201">
        <f t="shared" si="23"/>
        <v>8.6566619102755579E-2</v>
      </c>
      <c r="AI317" s="201">
        <f t="shared" si="23"/>
        <v>8.6735879950114406E-2</v>
      </c>
      <c r="AJ317" s="201">
        <f t="shared" si="23"/>
        <v>8.6873561105945893E-2</v>
      </c>
      <c r="AK317" s="201">
        <f t="shared" si="23"/>
        <v>8.7028461551093297E-2</v>
      </c>
      <c r="AL317" s="201">
        <f t="shared" si="23"/>
        <v>8.7146425529578908E-2</v>
      </c>
    </row>
    <row r="318" spans="1:38" s="539" customFormat="1" x14ac:dyDescent="0.25">
      <c r="A318" s="550"/>
      <c r="B318" s="552" t="s">
        <v>44</v>
      </c>
      <c r="M318" s="200"/>
      <c r="N318" s="201">
        <f>SUM(N282,N246)/SUM(N$281:N$285,N$245:N$249)</f>
        <v>0.86558323321485675</v>
      </c>
      <c r="O318" s="201">
        <f t="shared" ref="O318:AC318" si="24">SUM(O282,O246)/SUM(O$281:O$285,O$245:O$249)</f>
        <v>0.86345431983013532</v>
      </c>
      <c r="P318" s="201">
        <f t="shared" si="24"/>
        <v>0.859442674073435</v>
      </c>
      <c r="Q318" s="201">
        <f t="shared" si="24"/>
        <v>0.85255852422446832</v>
      </c>
      <c r="R318" s="201">
        <f t="shared" si="24"/>
        <v>0.84182531518475467</v>
      </c>
      <c r="S318" s="201">
        <f t="shared" si="24"/>
        <v>0.82745012544395247</v>
      </c>
      <c r="T318" s="201">
        <f t="shared" si="24"/>
        <v>0.80994475889505713</v>
      </c>
      <c r="U318" s="201">
        <f t="shared" si="24"/>
        <v>0.79056988684106766</v>
      </c>
      <c r="V318" s="201">
        <f t="shared" si="24"/>
        <v>0.77025424416086929</v>
      </c>
      <c r="W318" s="201">
        <f t="shared" si="24"/>
        <v>0.74941541780544518</v>
      </c>
      <c r="X318" s="201">
        <f t="shared" si="24"/>
        <v>0.729383000587422</v>
      </c>
      <c r="Y318" s="201">
        <f t="shared" si="24"/>
        <v>0.70909888221382766</v>
      </c>
      <c r="Z318" s="201">
        <f t="shared" si="24"/>
        <v>0.69026041044507092</v>
      </c>
      <c r="AA318" s="201">
        <f t="shared" si="24"/>
        <v>0.67142762099521591</v>
      </c>
      <c r="AB318" s="201">
        <f t="shared" si="24"/>
        <v>0.65514273596783179</v>
      </c>
      <c r="AC318" s="201">
        <f t="shared" si="24"/>
        <v>0.63938838865738445</v>
      </c>
      <c r="AD318" s="201">
        <f t="shared" si="23"/>
        <v>0.62324022484825681</v>
      </c>
      <c r="AE318" s="201">
        <f t="shared" si="23"/>
        <v>0.60880264615611523</v>
      </c>
      <c r="AF318" s="201">
        <f t="shared" si="23"/>
        <v>0.59543920422758079</v>
      </c>
      <c r="AG318" s="201">
        <f t="shared" si="23"/>
        <v>0.58291926106209879</v>
      </c>
      <c r="AH318" s="201">
        <f t="shared" si="23"/>
        <v>0.57079462630979594</v>
      </c>
      <c r="AI318" s="201">
        <f t="shared" si="23"/>
        <v>0.55939046356164279</v>
      </c>
      <c r="AJ318" s="201">
        <f t="shared" si="23"/>
        <v>0.54839957662825711</v>
      </c>
      <c r="AK318" s="201">
        <f t="shared" si="23"/>
        <v>0.5379544055206773</v>
      </c>
      <c r="AL318" s="201">
        <f t="shared" si="23"/>
        <v>0.52740036119692213</v>
      </c>
    </row>
    <row r="319" spans="1:38" s="539" customFormat="1" x14ac:dyDescent="0.25">
      <c r="A319" s="550"/>
      <c r="B319" s="552" t="s">
        <v>45</v>
      </c>
      <c r="M319" s="200"/>
      <c r="N319" s="201">
        <f>SUM(N283,N247)/SUM(N$281:N$285,N$245:N$249)</f>
        <v>4.9453277026941425E-2</v>
      </c>
      <c r="O319" s="201">
        <f t="shared" si="23"/>
        <v>4.3191824617730461E-2</v>
      </c>
      <c r="P319" s="201">
        <f t="shared" si="23"/>
        <v>3.7982888137436104E-2</v>
      </c>
      <c r="Q319" s="201">
        <f t="shared" si="23"/>
        <v>3.3517956445981503E-2</v>
      </c>
      <c r="R319" s="201">
        <f t="shared" si="23"/>
        <v>2.9685320800691164E-2</v>
      </c>
      <c r="S319" s="201">
        <f t="shared" si="23"/>
        <v>2.6480927908384917E-2</v>
      </c>
      <c r="T319" s="201">
        <f t="shared" si="23"/>
        <v>2.3617563045681321E-2</v>
      </c>
      <c r="U319" s="201">
        <f t="shared" si="23"/>
        <v>2.1161456991292901E-2</v>
      </c>
      <c r="V319" s="201">
        <f t="shared" si="23"/>
        <v>1.9021608225877694E-2</v>
      </c>
      <c r="W319" s="201">
        <f t="shared" si="23"/>
        <v>1.7162566489629195E-2</v>
      </c>
      <c r="X319" s="201">
        <f t="shared" si="23"/>
        <v>1.5572376300975002E-2</v>
      </c>
      <c r="Y319" s="201">
        <f t="shared" si="23"/>
        <v>1.4136392929669733E-2</v>
      </c>
      <c r="Z319" s="201">
        <f t="shared" si="23"/>
        <v>1.2892595720574603E-2</v>
      </c>
      <c r="AA319" s="201">
        <f t="shared" si="23"/>
        <v>1.1767148828238053E-2</v>
      </c>
      <c r="AB319" s="201">
        <f t="shared" si="23"/>
        <v>1.0783108016689769E-2</v>
      </c>
      <c r="AC319" s="201">
        <f t="shared" si="23"/>
        <v>9.9171804573733435E-3</v>
      </c>
      <c r="AD319" s="201">
        <f t="shared" si="23"/>
        <v>9.1173691015756838E-3</v>
      </c>
      <c r="AE319" s="201">
        <f t="shared" si="23"/>
        <v>8.4187915900885181E-3</v>
      </c>
      <c r="AF319" s="201">
        <f t="shared" si="23"/>
        <v>7.7949402865742611E-3</v>
      </c>
      <c r="AG319" s="201">
        <f t="shared" si="23"/>
        <v>7.2355853179591877E-3</v>
      </c>
      <c r="AH319" s="201">
        <f t="shared" si="23"/>
        <v>6.7304885177440765E-3</v>
      </c>
      <c r="AI319" s="201">
        <f t="shared" si="23"/>
        <v>6.276372070861575E-3</v>
      </c>
      <c r="AJ319" s="201">
        <f t="shared" si="23"/>
        <v>5.8667138840775967E-3</v>
      </c>
      <c r="AK319" s="201">
        <f t="shared" si="23"/>
        <v>5.4986039853221385E-3</v>
      </c>
      <c r="AL319" s="201">
        <f t="shared" si="23"/>
        <v>5.1632080724183403E-3</v>
      </c>
    </row>
    <row r="320" spans="1:38" s="539" customFormat="1" x14ac:dyDescent="0.25">
      <c r="A320" s="550"/>
      <c r="B320" s="552" t="s">
        <v>46</v>
      </c>
      <c r="M320" s="200"/>
      <c r="N320" s="201">
        <f>SUM(N284,N248)/SUM(N$281:N$285,N$245:N$249)</f>
        <v>3.2829974730828459E-4</v>
      </c>
      <c r="O320" s="201">
        <f t="shared" si="23"/>
        <v>2.8777773487773014E-4</v>
      </c>
      <c r="P320" s="201">
        <f t="shared" si="23"/>
        <v>2.5354378891700855E-4</v>
      </c>
      <c r="Q320" s="201">
        <f t="shared" si="23"/>
        <v>2.2362400779161941E-4</v>
      </c>
      <c r="R320" s="201">
        <f t="shared" si="23"/>
        <v>1.9774076801679514E-4</v>
      </c>
      <c r="S320" s="201">
        <f t="shared" si="23"/>
        <v>1.7606909668542757E-4</v>
      </c>
      <c r="T320" s="201">
        <f t="shared" si="23"/>
        <v>1.5644645884926384E-4</v>
      </c>
      <c r="U320" s="201">
        <f t="shared" si="23"/>
        <v>1.3909266153066418E-4</v>
      </c>
      <c r="V320" s="201">
        <f t="shared" si="23"/>
        <v>1.2406350129795331E-4</v>
      </c>
      <c r="W320" s="201">
        <f t="shared" si="23"/>
        <v>1.1096790918517091E-4</v>
      </c>
      <c r="X320" s="201">
        <f t="shared" si="23"/>
        <v>9.9757188750720878E-5</v>
      </c>
      <c r="Y320" s="201">
        <f t="shared" si="23"/>
        <v>8.9517299516747806E-5</v>
      </c>
      <c r="Z320" s="201">
        <f t="shared" si="23"/>
        <v>8.0615765281417189E-5</v>
      </c>
      <c r="AA320" s="201">
        <f t="shared" si="23"/>
        <v>7.2438227380277909E-5</v>
      </c>
      <c r="AB320" s="201">
        <f t="shared" si="23"/>
        <v>6.5247124231715038E-5</v>
      </c>
      <c r="AC320" s="201">
        <f t="shared" si="23"/>
        <v>5.8836226871386454E-5</v>
      </c>
      <c r="AD320" s="201">
        <f t="shared" si="23"/>
        <v>5.2835783672333195E-5</v>
      </c>
      <c r="AE320" s="201">
        <f t="shared" si="23"/>
        <v>4.7719384080923887E-5</v>
      </c>
      <c r="AF320" s="201">
        <f t="shared" si="23"/>
        <v>4.295918959987945E-5</v>
      </c>
      <c r="AG320" s="201">
        <f t="shared" si="23"/>
        <v>3.8655236738346728E-5</v>
      </c>
      <c r="AH320" s="201">
        <f t="shared" si="23"/>
        <v>3.47573171821547E-5</v>
      </c>
      <c r="AI320" s="201">
        <f t="shared" si="23"/>
        <v>3.1246568586888637E-5</v>
      </c>
      <c r="AJ320" s="201">
        <f t="shared" si="23"/>
        <v>2.8062316477071796E-5</v>
      </c>
      <c r="AK320" s="201">
        <f t="shared" si="23"/>
        <v>2.5202549932136975E-5</v>
      </c>
      <c r="AL320" s="201">
        <f t="shared" si="23"/>
        <v>2.262312670622024E-5</v>
      </c>
    </row>
    <row r="321" spans="1:38" s="539" customFormat="1" x14ac:dyDescent="0.25">
      <c r="A321" s="550"/>
      <c r="B321" s="550" t="s">
        <v>29</v>
      </c>
      <c r="M321" s="200"/>
      <c r="N321" s="201">
        <f>SUM(N285,N249)/SUM(N$281:N$285,N$245:N$249)</f>
        <v>7.9487827942072778E-3</v>
      </c>
      <c r="O321" s="201">
        <f t="shared" si="23"/>
        <v>1.1802170839005954E-2</v>
      </c>
      <c r="P321" s="201">
        <f t="shared" si="23"/>
        <v>1.7720633933930877E-2</v>
      </c>
      <c r="Q321" s="201">
        <f t="shared" si="23"/>
        <v>2.7091037401503364E-2</v>
      </c>
      <c r="R321" s="201">
        <f t="shared" si="23"/>
        <v>4.0361687427968557E-2</v>
      </c>
      <c r="S321" s="201">
        <f t="shared" si="23"/>
        <v>5.7364309317900243E-2</v>
      </c>
      <c r="T321" s="201">
        <f t="shared" si="23"/>
        <v>7.7764513104299118E-2</v>
      </c>
      <c r="U321" s="201">
        <f t="shared" si="23"/>
        <v>9.9871735076397364E-2</v>
      </c>
      <c r="V321" s="201">
        <f t="shared" si="23"/>
        <v>0.12261109824836659</v>
      </c>
      <c r="W321" s="201">
        <f t="shared" si="23"/>
        <v>0.14574661549732129</v>
      </c>
      <c r="X321" s="201">
        <f t="shared" si="23"/>
        <v>0.16763533876531697</v>
      </c>
      <c r="Y321" s="201">
        <f t="shared" si="23"/>
        <v>0.1897703436351785</v>
      </c>
      <c r="Z321" s="201">
        <f t="shared" si="23"/>
        <v>0.21006118974589108</v>
      </c>
      <c r="AA321" s="201">
        <f t="shared" si="23"/>
        <v>0.23038621792830369</v>
      </c>
      <c r="AB321" s="201">
        <f t="shared" si="23"/>
        <v>0.24779681151245003</v>
      </c>
      <c r="AC321" s="201">
        <f t="shared" si="23"/>
        <v>0.26436683833101382</v>
      </c>
      <c r="AD321" s="201">
        <f t="shared" si="23"/>
        <v>0.28154127698200626</v>
      </c>
      <c r="AE321" s="201">
        <f t="shared" si="23"/>
        <v>0.29664432843005595</v>
      </c>
      <c r="AF321" s="201">
        <f t="shared" si="23"/>
        <v>0.31047566805583965</v>
      </c>
      <c r="AG321" s="201">
        <f t="shared" si="23"/>
        <v>0.32338643598975658</v>
      </c>
      <c r="AH321" s="201">
        <f t="shared" si="23"/>
        <v>0.3358735087525222</v>
      </c>
      <c r="AI321" s="201">
        <f t="shared" si="23"/>
        <v>0.34756603784879442</v>
      </c>
      <c r="AJ321" s="201">
        <f t="shared" si="23"/>
        <v>0.35883208606524231</v>
      </c>
      <c r="AK321" s="201">
        <f t="shared" si="23"/>
        <v>0.36949332639297516</v>
      </c>
      <c r="AL321" s="201">
        <f t="shared" si="23"/>
        <v>0.38026738207437455</v>
      </c>
    </row>
    <row r="322" spans="1:38" s="539" customFormat="1" x14ac:dyDescent="0.25">
      <c r="A322" s="550"/>
      <c r="B322" s="550"/>
      <c r="M322" s="200"/>
    </row>
    <row r="323" spans="1:38" s="556" customFormat="1" ht="12.75" x14ac:dyDescent="0.2">
      <c r="A323" s="556" t="s">
        <v>47</v>
      </c>
      <c r="M323" s="241"/>
    </row>
    <row r="324" spans="1:38" s="539" customFormat="1" x14ac:dyDescent="0.25">
      <c r="A324" s="550"/>
      <c r="B324" s="550" t="s">
        <v>48</v>
      </c>
      <c r="M324" s="200"/>
      <c r="N324" s="201">
        <f t="shared" ref="N324:N329" si="25">SUM(N288,N252)/SUM(N$288:N$292,N$252:N$256)</f>
        <v>0.20893536880712463</v>
      </c>
      <c r="O324" s="201">
        <f t="shared" ref="O324:AL329" si="26">SUM(O288,O252)/SUM(O$288:O$292,O$252:O$256)</f>
        <v>0.20859138781086964</v>
      </c>
      <c r="P324" s="201">
        <f t="shared" si="26"/>
        <v>0.20579314855113601</v>
      </c>
      <c r="Q324" s="201">
        <f t="shared" si="26"/>
        <v>0.19624805892395242</v>
      </c>
      <c r="R324" s="201">
        <f t="shared" si="26"/>
        <v>0.17639878923614646</v>
      </c>
      <c r="S324" s="201">
        <f t="shared" si="26"/>
        <v>0.1457873355859057</v>
      </c>
      <c r="T324" s="201">
        <f t="shared" si="26"/>
        <v>0.10778834583404046</v>
      </c>
      <c r="U324" s="201">
        <f t="shared" si="26"/>
        <v>6.9928681768792647E-2</v>
      </c>
      <c r="V324" s="201">
        <f t="shared" si="26"/>
        <v>3.8417536005884434E-2</v>
      </c>
      <c r="W324" s="201">
        <f t="shared" si="26"/>
        <v>1.7589508729456391E-2</v>
      </c>
      <c r="X324" s="201">
        <f t="shared" si="26"/>
        <v>6.7175264332594532E-3</v>
      </c>
      <c r="Y324" s="201">
        <f t="shared" si="26"/>
        <v>2.1937242159026813E-3</v>
      </c>
      <c r="Z324" s="201">
        <f t="shared" si="26"/>
        <v>6.2910971263669985E-4</v>
      </c>
      <c r="AA324" s="201">
        <f t="shared" si="26"/>
        <v>1.6338901566559E-4</v>
      </c>
      <c r="AB324" s="201">
        <f t="shared" si="26"/>
        <v>3.9193873745802078E-5</v>
      </c>
      <c r="AC324" s="201">
        <f t="shared" si="26"/>
        <v>8.8657504135907643E-6</v>
      </c>
      <c r="AD324" s="201">
        <f t="shared" si="26"/>
        <v>1.8907833812000909E-6</v>
      </c>
      <c r="AE324" s="201">
        <f t="shared" si="26"/>
        <v>3.8828277912667203E-7</v>
      </c>
      <c r="AF324" s="201">
        <f t="shared" si="26"/>
        <v>7.7608469680226891E-8</v>
      </c>
      <c r="AG324" s="201">
        <f t="shared" si="26"/>
        <v>1.5125068310459522E-8</v>
      </c>
      <c r="AH324" s="201">
        <f t="shared" si="26"/>
        <v>2.8841090448872454E-9</v>
      </c>
      <c r="AI324" s="201">
        <f t="shared" si="26"/>
        <v>5.4215898296621955E-10</v>
      </c>
      <c r="AJ324" s="201">
        <f t="shared" si="26"/>
        <v>1.0081030051780797E-10</v>
      </c>
      <c r="AK324" s="201">
        <f t="shared" si="26"/>
        <v>1.8595909877210434E-11</v>
      </c>
      <c r="AL324" s="201">
        <f t="shared" si="26"/>
        <v>3.4112021196229192E-12</v>
      </c>
    </row>
    <row r="325" spans="1:38" s="539" customFormat="1" x14ac:dyDescent="0.25">
      <c r="A325" s="550"/>
      <c r="B325" s="552" t="s">
        <v>50</v>
      </c>
      <c r="M325" s="200"/>
      <c r="N325" s="201">
        <f t="shared" si="25"/>
        <v>0.37186100783428594</v>
      </c>
      <c r="O325" s="201">
        <f t="shared" ref="O325:AC325" si="27">SUM(O289,O253)/SUM(O$288:O$292,O$252:O$256)</f>
        <v>0.371591561448671</v>
      </c>
      <c r="P325" s="201">
        <f t="shared" si="27"/>
        <v>0.36861324280380436</v>
      </c>
      <c r="Q325" s="201">
        <f t="shared" si="27"/>
        <v>0.35716190250058127</v>
      </c>
      <c r="R325" s="201">
        <f t="shared" si="27"/>
        <v>0.33177944278092547</v>
      </c>
      <c r="S325" s="201">
        <f t="shared" si="27"/>
        <v>0.28760507371679422</v>
      </c>
      <c r="T325" s="201">
        <f t="shared" si="27"/>
        <v>0.22546043972434973</v>
      </c>
      <c r="U325" s="201">
        <f t="shared" si="27"/>
        <v>0.15581836654321049</v>
      </c>
      <c r="V325" s="201">
        <f t="shared" si="27"/>
        <v>9.1298699341603451E-2</v>
      </c>
      <c r="W325" s="201">
        <f t="shared" si="27"/>
        <v>4.4307331475025739E-2</v>
      </c>
      <c r="X325" s="201">
        <f t="shared" si="27"/>
        <v>1.7686962444140506E-2</v>
      </c>
      <c r="Y325" s="201">
        <f t="shared" si="27"/>
        <v>5.9387118638714077E-3</v>
      </c>
      <c r="Z325" s="201">
        <f t="shared" si="27"/>
        <v>1.7181176418744272E-3</v>
      </c>
      <c r="AA325" s="201">
        <f t="shared" si="27"/>
        <v>4.4060201669658276E-4</v>
      </c>
      <c r="AB325" s="201">
        <f t="shared" si="27"/>
        <v>1.0217355965588788E-4</v>
      </c>
      <c r="AC325" s="201">
        <f t="shared" si="27"/>
        <v>2.1997012224814571E-5</v>
      </c>
      <c r="AD325" s="201">
        <f t="shared" si="26"/>
        <v>4.4204510479843288E-6</v>
      </c>
      <c r="AE325" s="201">
        <f t="shared" si="26"/>
        <v>8.6401338147164441E-7</v>
      </c>
      <c r="AF325" s="201">
        <f t="shared" si="26"/>
        <v>1.6951579978860899E-7</v>
      </c>
      <c r="AG325" s="201">
        <f t="shared" si="26"/>
        <v>3.454351589448001E-8</v>
      </c>
      <c r="AH325" s="201">
        <f t="shared" si="26"/>
        <v>7.5931555030047986E-9</v>
      </c>
      <c r="AI325" s="201">
        <f t="shared" si="26"/>
        <v>1.8583907969411282E-9</v>
      </c>
      <c r="AJ325" s="201">
        <f t="shared" si="26"/>
        <v>5.042692103844338E-10</v>
      </c>
      <c r="AK325" s="201">
        <f t="shared" si="26"/>
        <v>1.4698169218161713E-10</v>
      </c>
      <c r="AL325" s="201">
        <f t="shared" si="26"/>
        <v>4.4032565100474562E-11</v>
      </c>
    </row>
    <row r="326" spans="1:38" s="539" customFormat="1" x14ac:dyDescent="0.25">
      <c r="A326" s="550"/>
      <c r="B326" s="550" t="s">
        <v>51</v>
      </c>
      <c r="M326" s="200"/>
      <c r="N326" s="201">
        <f t="shared" si="25"/>
        <v>0.37867364734276299</v>
      </c>
      <c r="O326" s="201">
        <f t="shared" si="26"/>
        <v>0.37682474359212237</v>
      </c>
      <c r="P326" s="201">
        <f t="shared" si="26"/>
        <v>0.369533927454466</v>
      </c>
      <c r="Q326" s="201">
        <f t="shared" si="26"/>
        <v>0.35468961127469195</v>
      </c>
      <c r="R326" s="201">
        <f t="shared" si="26"/>
        <v>0.33250659607455169</v>
      </c>
      <c r="S326" s="201">
        <f t="shared" si="26"/>
        <v>0.30594291241318466</v>
      </c>
      <c r="T326" s="201">
        <f t="shared" si="26"/>
        <v>0.27979722840527105</v>
      </c>
      <c r="U326" s="201">
        <f t="shared" si="26"/>
        <v>0.25365885212795369</v>
      </c>
      <c r="V326" s="201">
        <f t="shared" si="26"/>
        <v>0.22282697270548929</v>
      </c>
      <c r="W326" s="201">
        <f t="shared" si="26"/>
        <v>0.18637786172204185</v>
      </c>
      <c r="X326" s="201">
        <f t="shared" si="26"/>
        <v>0.14699286251831456</v>
      </c>
      <c r="Y326" s="201">
        <f t="shared" si="26"/>
        <v>0.11111380292064418</v>
      </c>
      <c r="Z326" s="201">
        <f t="shared" si="26"/>
        <v>8.1128092498104473E-2</v>
      </c>
      <c r="AA326" s="201">
        <f t="shared" si="26"/>
        <v>5.841487509019698E-2</v>
      </c>
      <c r="AB326" s="201">
        <f t="shared" si="26"/>
        <v>4.1635870439088611E-2</v>
      </c>
      <c r="AC326" s="201">
        <f t="shared" si="26"/>
        <v>2.964968762930292E-2</v>
      </c>
      <c r="AD326" s="201">
        <f t="shared" si="26"/>
        <v>2.0931109575497028E-2</v>
      </c>
      <c r="AE326" s="201">
        <f t="shared" si="26"/>
        <v>1.4723517873350382E-2</v>
      </c>
      <c r="AF326" s="201">
        <f t="shared" si="26"/>
        <v>1.0387357044018513E-2</v>
      </c>
      <c r="AG326" s="201">
        <f t="shared" si="26"/>
        <v>7.3271569754069397E-3</v>
      </c>
      <c r="AH326" s="201">
        <f t="shared" si="26"/>
        <v>5.1514754840121463E-3</v>
      </c>
      <c r="AI326" s="201">
        <f t="shared" si="26"/>
        <v>3.6207272108231517E-3</v>
      </c>
      <c r="AJ326" s="201">
        <f t="shared" si="26"/>
        <v>2.5433870001602987E-3</v>
      </c>
      <c r="AK326" s="201">
        <f t="shared" si="26"/>
        <v>1.7848387234246973E-3</v>
      </c>
      <c r="AL326" s="201">
        <f t="shared" si="26"/>
        <v>1.2460573807433336E-3</v>
      </c>
    </row>
    <row r="327" spans="1:38" s="539" customFormat="1" x14ac:dyDescent="0.25">
      <c r="A327" s="550"/>
      <c r="B327" s="550" t="s">
        <v>52</v>
      </c>
      <c r="M327" s="200"/>
      <c r="N327" s="201">
        <f t="shared" si="25"/>
        <v>4.0386235365173814E-2</v>
      </c>
      <c r="O327" s="201">
        <f t="shared" si="26"/>
        <v>4.0179415747719757E-2</v>
      </c>
      <c r="P327" s="201">
        <f t="shared" si="26"/>
        <v>3.9911863946575719E-2</v>
      </c>
      <c r="Q327" s="201">
        <f t="shared" si="26"/>
        <v>3.988815979875724E-2</v>
      </c>
      <c r="R327" s="201">
        <f t="shared" si="26"/>
        <v>4.0531257426145002E-2</v>
      </c>
      <c r="S327" s="201">
        <f t="shared" si="26"/>
        <v>4.2252054343051834E-2</v>
      </c>
      <c r="T327" s="201">
        <f t="shared" si="26"/>
        <v>4.5595431455380843E-2</v>
      </c>
      <c r="U327" s="201">
        <f t="shared" si="26"/>
        <v>5.0554563168277653E-2</v>
      </c>
      <c r="V327" s="201">
        <f t="shared" si="26"/>
        <v>5.5787139583762621E-2</v>
      </c>
      <c r="W327" s="201">
        <f t="shared" si="26"/>
        <v>5.9800857354173148E-2</v>
      </c>
      <c r="X327" s="201">
        <f t="shared" si="26"/>
        <v>6.105648326000547E-2</v>
      </c>
      <c r="Y327" s="201">
        <f t="shared" si="26"/>
        <v>5.9966449266968355E-2</v>
      </c>
      <c r="Z327" s="201">
        <f t="shared" si="26"/>
        <v>5.7056525841890283E-2</v>
      </c>
      <c r="AA327" s="201">
        <f t="shared" si="26"/>
        <v>5.3434947893690819E-2</v>
      </c>
      <c r="AB327" s="201">
        <f t="shared" si="26"/>
        <v>4.9444761567225874E-2</v>
      </c>
      <c r="AC327" s="201">
        <f t="shared" si="26"/>
        <v>4.5647564452532395E-2</v>
      </c>
      <c r="AD327" s="201">
        <f t="shared" si="26"/>
        <v>4.1583043854298528E-2</v>
      </c>
      <c r="AE327" s="201">
        <f t="shared" si="26"/>
        <v>3.7741142864548959E-2</v>
      </c>
      <c r="AF327" s="201">
        <f t="shared" si="26"/>
        <v>3.4302119881360608E-2</v>
      </c>
      <c r="AG327" s="201">
        <f t="shared" si="26"/>
        <v>3.1097851674597533E-2</v>
      </c>
      <c r="AH327" s="201">
        <f t="shared" si="26"/>
        <v>2.8051209421519823E-2</v>
      </c>
      <c r="AI327" s="201">
        <f t="shared" si="26"/>
        <v>2.5274529367830673E-2</v>
      </c>
      <c r="AJ327" s="201">
        <f t="shared" si="26"/>
        <v>2.2741883908734533E-2</v>
      </c>
      <c r="AK327" s="201">
        <f t="shared" si="26"/>
        <v>2.0447664307461547E-2</v>
      </c>
      <c r="AL327" s="201">
        <f t="shared" si="26"/>
        <v>1.8362792607385388E-2</v>
      </c>
    </row>
    <row r="328" spans="1:38" s="539" customFormat="1" x14ac:dyDescent="0.25">
      <c r="A328" s="550"/>
      <c r="B328" s="552" t="s">
        <v>29</v>
      </c>
      <c r="M328" s="200"/>
      <c r="N328" s="201">
        <f t="shared" si="25"/>
        <v>1.4374065065253687E-4</v>
      </c>
      <c r="O328" s="201">
        <f t="shared" si="26"/>
        <v>2.8128914006172478E-3</v>
      </c>
      <c r="P328" s="201">
        <f t="shared" si="26"/>
        <v>1.6147817244017988E-2</v>
      </c>
      <c r="Q328" s="201">
        <f t="shared" si="26"/>
        <v>5.2012267502017359E-2</v>
      </c>
      <c r="R328" s="201">
        <f t="shared" si="26"/>
        <v>0.11878391448223131</v>
      </c>
      <c r="S328" s="201">
        <f t="shared" si="26"/>
        <v>0.21841262394106364</v>
      </c>
      <c r="T328" s="201">
        <f t="shared" si="26"/>
        <v>0.3413585545809581</v>
      </c>
      <c r="U328" s="201">
        <f t="shared" si="26"/>
        <v>0.4700395363917656</v>
      </c>
      <c r="V328" s="201">
        <f t="shared" si="26"/>
        <v>0.59166965236326019</v>
      </c>
      <c r="W328" s="201">
        <f t="shared" si="26"/>
        <v>0.69192444071930281</v>
      </c>
      <c r="X328" s="201">
        <f t="shared" si="26"/>
        <v>0.76754616534427988</v>
      </c>
      <c r="Y328" s="201">
        <f t="shared" si="26"/>
        <v>0.82078731173261332</v>
      </c>
      <c r="Z328" s="201">
        <f t="shared" si="26"/>
        <v>0.85946815430549417</v>
      </c>
      <c r="AA328" s="201">
        <f t="shared" si="26"/>
        <v>0.88754618598375001</v>
      </c>
      <c r="AB328" s="201">
        <f t="shared" si="26"/>
        <v>0.90877800056028379</v>
      </c>
      <c r="AC328" s="201">
        <f t="shared" si="26"/>
        <v>0.92467188515552634</v>
      </c>
      <c r="AD328" s="201">
        <f t="shared" si="26"/>
        <v>0.93747953533577533</v>
      </c>
      <c r="AE328" s="201">
        <f t="shared" si="26"/>
        <v>0.94753408696593999</v>
      </c>
      <c r="AF328" s="201">
        <f t="shared" si="26"/>
        <v>0.95531027595035134</v>
      </c>
      <c r="AG328" s="201">
        <f t="shared" si="26"/>
        <v>0.96157494168141133</v>
      </c>
      <c r="AH328" s="201">
        <f t="shared" si="26"/>
        <v>0.96679730461720348</v>
      </c>
      <c r="AI328" s="201">
        <f t="shared" si="26"/>
        <v>0.97110474102079636</v>
      </c>
      <c r="AJ328" s="201">
        <f t="shared" si="26"/>
        <v>0.97471472848602558</v>
      </c>
      <c r="AK328" s="201">
        <f t="shared" si="26"/>
        <v>0.97776749680353625</v>
      </c>
      <c r="AL328" s="201">
        <f t="shared" si="26"/>
        <v>0.98039114996442744</v>
      </c>
    </row>
    <row r="329" spans="1:38" s="539" customFormat="1" x14ac:dyDescent="0.25">
      <c r="A329" s="550"/>
      <c r="B329" s="552" t="s">
        <v>53</v>
      </c>
      <c r="M329" s="200"/>
      <c r="N329" s="201">
        <f t="shared" si="25"/>
        <v>0</v>
      </c>
      <c r="O329" s="201">
        <f t="shared" si="26"/>
        <v>0</v>
      </c>
      <c r="P329" s="201">
        <f t="shared" si="26"/>
        <v>0</v>
      </c>
      <c r="Q329" s="201">
        <f t="shared" si="26"/>
        <v>0</v>
      </c>
      <c r="R329" s="201">
        <f t="shared" si="26"/>
        <v>0</v>
      </c>
      <c r="S329" s="201">
        <f t="shared" si="26"/>
        <v>0</v>
      </c>
      <c r="T329" s="201">
        <f t="shared" si="26"/>
        <v>0</v>
      </c>
      <c r="U329" s="201">
        <f t="shared" si="26"/>
        <v>0</v>
      </c>
      <c r="V329" s="201">
        <f t="shared" si="26"/>
        <v>0</v>
      </c>
      <c r="W329" s="201">
        <f t="shared" si="26"/>
        <v>0</v>
      </c>
      <c r="X329" s="201">
        <f t="shared" si="26"/>
        <v>0</v>
      </c>
      <c r="Y329" s="201">
        <f t="shared" si="26"/>
        <v>0</v>
      </c>
      <c r="Z329" s="201">
        <f t="shared" si="26"/>
        <v>0</v>
      </c>
      <c r="AA329" s="201">
        <f t="shared" si="26"/>
        <v>0</v>
      </c>
      <c r="AB329" s="201">
        <f t="shared" si="26"/>
        <v>0</v>
      </c>
      <c r="AC329" s="201">
        <f t="shared" si="26"/>
        <v>0</v>
      </c>
      <c r="AD329" s="201">
        <f t="shared" si="26"/>
        <v>0</v>
      </c>
      <c r="AE329" s="201">
        <f t="shared" si="26"/>
        <v>0</v>
      </c>
      <c r="AF329" s="201">
        <f t="shared" si="26"/>
        <v>0</v>
      </c>
      <c r="AG329" s="201">
        <f t="shared" si="26"/>
        <v>0</v>
      </c>
      <c r="AH329" s="201">
        <f t="shared" si="26"/>
        <v>0</v>
      </c>
      <c r="AI329" s="201">
        <f t="shared" si="26"/>
        <v>0</v>
      </c>
      <c r="AJ329" s="201">
        <f t="shared" si="26"/>
        <v>0</v>
      </c>
      <c r="AK329" s="201">
        <f t="shared" si="26"/>
        <v>0</v>
      </c>
      <c r="AL329" s="201">
        <f t="shared" si="26"/>
        <v>0</v>
      </c>
    </row>
    <row r="330" spans="1:38" s="539" customFormat="1" x14ac:dyDescent="0.25">
      <c r="M330" s="540"/>
    </row>
    <row r="331" spans="1:38" s="545" customFormat="1" x14ac:dyDescent="0.25">
      <c r="A331" s="541" t="s">
        <v>57</v>
      </c>
      <c r="B331" s="542"/>
      <c r="C331" s="541"/>
      <c r="D331" s="543"/>
      <c r="E331" s="543"/>
      <c r="F331" s="543"/>
      <c r="G331" s="543"/>
      <c r="H331" s="543"/>
      <c r="I331" s="543"/>
      <c r="J331" s="543"/>
      <c r="K331" s="543"/>
      <c r="L331" s="543"/>
      <c r="M331" s="543"/>
      <c r="N331" s="544"/>
      <c r="O331" s="544"/>
      <c r="P331" s="544"/>
      <c r="Q331" s="544"/>
      <c r="R331" s="544"/>
      <c r="S331" s="544"/>
      <c r="T331" s="544"/>
      <c r="U331" s="544"/>
      <c r="V331" s="544"/>
      <c r="W331" s="544"/>
      <c r="X331" s="544"/>
      <c r="Y331" s="544"/>
      <c r="Z331" s="544"/>
      <c r="AA331" s="544"/>
      <c r="AB331" s="544"/>
      <c r="AC331" s="544"/>
      <c r="AD331" s="544"/>
      <c r="AE331" s="544"/>
      <c r="AF331" s="544"/>
      <c r="AG331" s="544"/>
      <c r="AH331" s="544"/>
      <c r="AI331" s="544"/>
      <c r="AJ331" s="544"/>
      <c r="AK331" s="544"/>
      <c r="AL331" s="544"/>
    </row>
    <row r="332" spans="1:38" x14ac:dyDescent="0.25">
      <c r="A332" s="398" t="s">
        <v>232</v>
      </c>
      <c r="B332" s="399"/>
      <c r="C332" s="398"/>
      <c r="D332" s="394"/>
      <c r="E332" s="394"/>
      <c r="F332" s="394"/>
      <c r="G332" s="394"/>
      <c r="H332" s="394"/>
      <c r="I332" s="394"/>
      <c r="J332" s="394"/>
      <c r="K332" s="394"/>
      <c r="L332" s="394"/>
      <c r="M332" s="394"/>
      <c r="N332" s="407"/>
      <c r="O332" s="407"/>
      <c r="P332" s="407"/>
      <c r="Q332" s="407"/>
      <c r="R332" s="407"/>
      <c r="S332" s="407"/>
      <c r="T332" s="407"/>
      <c r="U332" s="407"/>
      <c r="V332" s="407"/>
      <c r="W332" s="407"/>
      <c r="X332" s="407"/>
      <c r="Y332" s="407"/>
      <c r="Z332" s="407"/>
      <c r="AA332" s="407"/>
      <c r="AB332" s="407"/>
      <c r="AC332" s="407"/>
      <c r="AD332" s="407"/>
      <c r="AE332" s="407"/>
      <c r="AF332" s="407"/>
      <c r="AG332" s="407"/>
      <c r="AH332" s="407"/>
      <c r="AI332" s="407"/>
      <c r="AJ332" s="407"/>
      <c r="AK332" s="407"/>
      <c r="AL332" s="407"/>
    </row>
    <row r="333" spans="1:38" x14ac:dyDescent="0.25">
      <c r="A333" s="500" t="s">
        <v>12</v>
      </c>
      <c r="B333" s="499"/>
    </row>
    <row r="334" spans="1:38" x14ac:dyDescent="0.25">
      <c r="A334" s="499"/>
      <c r="B334" s="499" t="s">
        <v>20</v>
      </c>
    </row>
    <row r="335" spans="1:38" s="507" customFormat="1" ht="12.75" x14ac:dyDescent="0.2">
      <c r="A335" s="507" t="s">
        <v>21</v>
      </c>
    </row>
    <row r="336" spans="1:38" x14ac:dyDescent="0.25">
      <c r="A336" s="499"/>
      <c r="B336" s="499" t="s">
        <v>22</v>
      </c>
      <c r="M336" s="200"/>
    </row>
    <row r="337" spans="1:15" x14ac:dyDescent="0.25">
      <c r="A337" s="499"/>
      <c r="B337" s="499" t="s">
        <v>26</v>
      </c>
      <c r="M337" s="200"/>
    </row>
    <row r="338" spans="1:15" x14ac:dyDescent="0.25">
      <c r="A338" s="499"/>
      <c r="B338" s="499" t="s">
        <v>27</v>
      </c>
      <c r="M338" s="200"/>
    </row>
    <row r="339" spans="1:15" x14ac:dyDescent="0.25">
      <c r="A339" s="499"/>
      <c r="B339" s="499" t="s">
        <v>29</v>
      </c>
      <c r="M339" s="200"/>
    </row>
    <row r="340" spans="1:15" x14ac:dyDescent="0.25">
      <c r="A340" s="499"/>
      <c r="B340" s="499"/>
      <c r="M340" s="200"/>
    </row>
    <row r="341" spans="1:15" s="507" customFormat="1" ht="12.75" x14ac:dyDescent="0.2">
      <c r="A341" s="507" t="s">
        <v>32</v>
      </c>
      <c r="M341" s="241"/>
    </row>
    <row r="342" spans="1:15" x14ac:dyDescent="0.25">
      <c r="A342" s="499"/>
      <c r="B342" s="499" t="s">
        <v>33</v>
      </c>
      <c r="M342" s="200"/>
    </row>
    <row r="343" spans="1:15" x14ac:dyDescent="0.25">
      <c r="A343" s="503"/>
      <c r="B343" s="503" t="s">
        <v>34</v>
      </c>
      <c r="M343" s="200"/>
    </row>
    <row r="344" spans="1:15" x14ac:dyDescent="0.25">
      <c r="A344" s="499"/>
      <c r="B344" s="503" t="s">
        <v>35</v>
      </c>
      <c r="M344" s="200"/>
    </row>
    <row r="345" spans="1:15" x14ac:dyDescent="0.25">
      <c r="A345" s="499"/>
      <c r="B345" s="503" t="s">
        <v>29</v>
      </c>
      <c r="M345" s="200"/>
    </row>
    <row r="346" spans="1:15" x14ac:dyDescent="0.25">
      <c r="A346" s="499"/>
      <c r="B346" s="499"/>
      <c r="M346" s="200"/>
    </row>
    <row r="347" spans="1:15" s="507" customFormat="1" ht="12.75" x14ac:dyDescent="0.2">
      <c r="A347" s="507" t="s">
        <v>36</v>
      </c>
      <c r="M347" s="241"/>
    </row>
    <row r="348" spans="1:15" x14ac:dyDescent="0.25">
      <c r="A348" s="499"/>
      <c r="B348" s="499" t="s">
        <v>37</v>
      </c>
      <c r="L348" s="201"/>
      <c r="M348" s="205"/>
      <c r="N348" s="205"/>
      <c r="O348" s="205"/>
    </row>
    <row r="349" spans="1:15" x14ac:dyDescent="0.25">
      <c r="A349" s="499"/>
      <c r="B349" s="499" t="s">
        <v>39</v>
      </c>
      <c r="K349" s="203"/>
      <c r="M349" s="205"/>
      <c r="N349" s="205"/>
      <c r="O349" s="205"/>
    </row>
    <row r="350" spans="1:15" x14ac:dyDescent="0.25">
      <c r="A350" s="499"/>
      <c r="B350" s="499" t="s">
        <v>40</v>
      </c>
      <c r="M350" s="205"/>
      <c r="N350" s="205"/>
      <c r="O350" s="205"/>
    </row>
    <row r="351" spans="1:15" x14ac:dyDescent="0.25">
      <c r="A351" s="499"/>
      <c r="B351" s="499" t="s">
        <v>29</v>
      </c>
      <c r="M351" s="200"/>
      <c r="N351" s="205"/>
      <c r="O351" s="205"/>
    </row>
    <row r="352" spans="1:15" x14ac:dyDescent="0.25">
      <c r="A352" s="499"/>
      <c r="B352" s="499"/>
      <c r="M352" s="200"/>
    </row>
    <row r="353" spans="1:38" s="507" customFormat="1" ht="12.75" x14ac:dyDescent="0.2">
      <c r="A353" s="507" t="s">
        <v>42</v>
      </c>
      <c r="M353" s="241"/>
    </row>
    <row r="354" spans="1:38" x14ac:dyDescent="0.25">
      <c r="A354" s="499"/>
      <c r="B354" s="503" t="s">
        <v>43</v>
      </c>
      <c r="M354" s="540">
        <v>3752.6000000000004</v>
      </c>
      <c r="N354" s="540">
        <v>5947.05</v>
      </c>
      <c r="O354" s="540">
        <v>4869.55</v>
      </c>
    </row>
    <row r="355" spans="1:38" x14ac:dyDescent="0.25">
      <c r="A355" s="499"/>
      <c r="B355" s="503" t="s">
        <v>44</v>
      </c>
      <c r="M355" s="540">
        <v>137504.35</v>
      </c>
      <c r="N355" s="540">
        <v>285313.40000000002</v>
      </c>
      <c r="O355" s="540">
        <v>286536.7</v>
      </c>
    </row>
    <row r="356" spans="1:38" x14ac:dyDescent="0.25">
      <c r="A356" s="499"/>
      <c r="B356" s="503" t="s">
        <v>45</v>
      </c>
      <c r="M356" s="540">
        <v>91013.95</v>
      </c>
      <c r="N356" s="540">
        <v>109487.19999999998</v>
      </c>
      <c r="O356" s="540">
        <v>87836.05</v>
      </c>
    </row>
    <row r="357" spans="1:38" x14ac:dyDescent="0.25">
      <c r="A357" s="499"/>
      <c r="B357" s="503" t="s">
        <v>46</v>
      </c>
      <c r="M357" s="200"/>
    </row>
    <row r="358" spans="1:38" x14ac:dyDescent="0.25">
      <c r="A358" s="499"/>
      <c r="B358" s="499" t="s">
        <v>29</v>
      </c>
      <c r="M358" s="200"/>
    </row>
    <row r="359" spans="1:38" x14ac:dyDescent="0.25">
      <c r="A359" s="499"/>
      <c r="B359" s="499"/>
      <c r="M359" s="200"/>
    </row>
    <row r="360" spans="1:38" s="507" customFormat="1" ht="12.75" x14ac:dyDescent="0.2">
      <c r="A360" s="507" t="s">
        <v>47</v>
      </c>
      <c r="M360" s="241"/>
    </row>
    <row r="361" spans="1:38" x14ac:dyDescent="0.25">
      <c r="A361" s="499"/>
      <c r="B361" s="499" t="s">
        <v>48</v>
      </c>
      <c r="M361" s="200"/>
    </row>
    <row r="362" spans="1:38" x14ac:dyDescent="0.25">
      <c r="A362" s="499"/>
      <c r="B362" s="503" t="s">
        <v>50</v>
      </c>
      <c r="M362" s="200"/>
    </row>
    <row r="363" spans="1:38" x14ac:dyDescent="0.25">
      <c r="A363" s="499"/>
      <c r="B363" s="499" t="s">
        <v>51</v>
      </c>
      <c r="M363" s="200"/>
    </row>
    <row r="364" spans="1:38" x14ac:dyDescent="0.25">
      <c r="A364" s="499"/>
      <c r="B364" s="499" t="s">
        <v>52</v>
      </c>
      <c r="M364" s="200"/>
    </row>
    <row r="365" spans="1:38" x14ac:dyDescent="0.25">
      <c r="A365" s="499"/>
      <c r="B365" s="503" t="s">
        <v>29</v>
      </c>
      <c r="M365" s="200"/>
    </row>
    <row r="366" spans="1:38" x14ac:dyDescent="0.25">
      <c r="A366" s="499"/>
      <c r="B366" s="503" t="s">
        <v>53</v>
      </c>
      <c r="M366" s="200"/>
    </row>
    <row r="367" spans="1:38" x14ac:dyDescent="0.25">
      <c r="M367" s="205"/>
    </row>
    <row r="368" spans="1:38" x14ac:dyDescent="0.25">
      <c r="A368" s="398" t="s">
        <v>233</v>
      </c>
      <c r="B368" s="399"/>
      <c r="C368" s="398"/>
      <c r="D368" s="394"/>
      <c r="E368" s="394"/>
      <c r="F368" s="394"/>
      <c r="G368" s="394"/>
      <c r="H368" s="394"/>
      <c r="I368" s="394"/>
      <c r="J368" s="394"/>
      <c r="K368" s="394"/>
      <c r="L368" s="394"/>
      <c r="M368" s="394"/>
      <c r="N368" s="407"/>
      <c r="O368" s="407"/>
      <c r="P368" s="407"/>
      <c r="Q368" s="407"/>
      <c r="R368" s="407"/>
      <c r="S368" s="407"/>
      <c r="T368" s="407"/>
      <c r="U368" s="407"/>
      <c r="V368" s="407"/>
      <c r="W368" s="407"/>
      <c r="X368" s="407"/>
      <c r="Y368" s="407"/>
      <c r="Z368" s="407"/>
      <c r="AA368" s="407"/>
      <c r="AB368" s="407"/>
      <c r="AC368" s="407"/>
      <c r="AD368" s="407"/>
      <c r="AE368" s="407"/>
      <c r="AF368" s="407"/>
      <c r="AG368" s="407"/>
      <c r="AH368" s="407"/>
      <c r="AI368" s="407"/>
      <c r="AJ368" s="407"/>
      <c r="AK368" s="407"/>
      <c r="AL368" s="407"/>
    </row>
    <row r="369" spans="1:13" x14ac:dyDescent="0.25">
      <c r="A369" s="500" t="s">
        <v>12</v>
      </c>
      <c r="B369" s="499"/>
    </row>
    <row r="370" spans="1:13" x14ac:dyDescent="0.25">
      <c r="A370" s="499"/>
      <c r="B370" s="499" t="s">
        <v>20</v>
      </c>
    </row>
    <row r="371" spans="1:13" s="507" customFormat="1" ht="12.75" x14ac:dyDescent="0.2">
      <c r="A371" s="507" t="s">
        <v>21</v>
      </c>
    </row>
    <row r="372" spans="1:13" x14ac:dyDescent="0.25">
      <c r="A372" s="499"/>
      <c r="B372" s="499" t="s">
        <v>22</v>
      </c>
      <c r="M372" s="200"/>
    </row>
    <row r="373" spans="1:13" x14ac:dyDescent="0.25">
      <c r="A373" s="499"/>
      <c r="B373" s="499" t="s">
        <v>26</v>
      </c>
      <c r="M373" s="200"/>
    </row>
    <row r="374" spans="1:13" x14ac:dyDescent="0.25">
      <c r="A374" s="499"/>
      <c r="B374" s="499" t="s">
        <v>27</v>
      </c>
      <c r="M374" s="200"/>
    </row>
    <row r="375" spans="1:13" x14ac:dyDescent="0.25">
      <c r="A375" s="499"/>
      <c r="B375" s="499" t="s">
        <v>29</v>
      </c>
      <c r="M375" s="200"/>
    </row>
    <row r="376" spans="1:13" x14ac:dyDescent="0.25">
      <c r="A376" s="499"/>
      <c r="B376" s="499"/>
      <c r="M376" s="200"/>
    </row>
    <row r="377" spans="1:13" s="507" customFormat="1" ht="12.75" x14ac:dyDescent="0.2">
      <c r="A377" s="507" t="s">
        <v>32</v>
      </c>
      <c r="M377" s="241"/>
    </row>
    <row r="378" spans="1:13" x14ac:dyDescent="0.25">
      <c r="A378" s="499"/>
      <c r="B378" s="499" t="s">
        <v>33</v>
      </c>
      <c r="M378" s="200"/>
    </row>
    <row r="379" spans="1:13" x14ac:dyDescent="0.25">
      <c r="A379" s="503"/>
      <c r="B379" s="503" t="s">
        <v>34</v>
      </c>
      <c r="M379" s="200"/>
    </row>
    <row r="380" spans="1:13" x14ac:dyDescent="0.25">
      <c r="A380" s="499"/>
      <c r="B380" s="503" t="s">
        <v>35</v>
      </c>
      <c r="M380" s="200"/>
    </row>
    <row r="381" spans="1:13" x14ac:dyDescent="0.25">
      <c r="A381" s="499"/>
      <c r="B381" s="503" t="s">
        <v>29</v>
      </c>
      <c r="M381" s="200"/>
    </row>
    <row r="382" spans="1:13" x14ac:dyDescent="0.25">
      <c r="A382" s="499"/>
      <c r="B382" s="499"/>
      <c r="M382" s="200"/>
    </row>
    <row r="383" spans="1:13" s="507" customFormat="1" ht="12.75" x14ac:dyDescent="0.2">
      <c r="A383" s="507" t="s">
        <v>36</v>
      </c>
      <c r="M383" s="241"/>
    </row>
    <row r="384" spans="1:13" x14ac:dyDescent="0.25">
      <c r="A384" s="499"/>
      <c r="B384" s="499" t="s">
        <v>37</v>
      </c>
      <c r="L384" s="201"/>
    </row>
    <row r="385" spans="1:15" x14ac:dyDescent="0.25">
      <c r="A385" s="499"/>
      <c r="B385" s="499" t="s">
        <v>39</v>
      </c>
      <c r="K385" s="203"/>
    </row>
    <row r="386" spans="1:15" x14ac:dyDescent="0.25">
      <c r="A386" s="499"/>
      <c r="B386" s="499" t="s">
        <v>40</v>
      </c>
    </row>
    <row r="387" spans="1:15" x14ac:dyDescent="0.25">
      <c r="A387" s="499"/>
      <c r="B387" s="499" t="s">
        <v>29</v>
      </c>
    </row>
    <row r="388" spans="1:15" x14ac:dyDescent="0.25">
      <c r="A388" s="499"/>
      <c r="B388" s="499"/>
      <c r="M388" s="200"/>
    </row>
    <row r="389" spans="1:15" s="507" customFormat="1" ht="12.75" x14ac:dyDescent="0.2">
      <c r="A389" s="507" t="s">
        <v>42</v>
      </c>
      <c r="M389" s="241"/>
    </row>
    <row r="390" spans="1:15" x14ac:dyDescent="0.25">
      <c r="A390" s="499"/>
      <c r="B390" s="503" t="s">
        <v>43</v>
      </c>
      <c r="M390" s="201">
        <f>M354/SUM($M$354:$M$358)</f>
        <v>1.6156134926932301E-2</v>
      </c>
      <c r="N390" s="201">
        <f>N354/SUM($N$354:$N$358)</f>
        <v>1.4839887395471938E-2</v>
      </c>
      <c r="O390" s="201">
        <f>O354/SUM($O$354:$O$358)</f>
        <v>1.2840207962033771E-2</v>
      </c>
    </row>
    <row r="391" spans="1:15" x14ac:dyDescent="0.25">
      <c r="A391" s="499"/>
      <c r="B391" s="503" t="s">
        <v>44</v>
      </c>
      <c r="M391" s="201">
        <f>M355/SUM($M$354:$M$358)</f>
        <v>0.59199990183875806</v>
      </c>
      <c r="N391" s="201">
        <f>N355/SUM($N$354:$N$358)</f>
        <v>0.71195277127638801</v>
      </c>
      <c r="O391" s="201">
        <f>O355/SUM($O$354:$O$358)</f>
        <v>0.75555047525025565</v>
      </c>
    </row>
    <row r="392" spans="1:15" x14ac:dyDescent="0.25">
      <c r="A392" s="499"/>
      <c r="B392" s="503" t="s">
        <v>45</v>
      </c>
      <c r="M392" s="201">
        <f>M356/SUM($M$354:$M$358)</f>
        <v>0.39184396323430953</v>
      </c>
      <c r="N392" s="201">
        <f>N356/SUM($N$354:$N$358)</f>
        <v>0.27320734132814001</v>
      </c>
      <c r="O392" s="201">
        <f>O356/SUM($O$354:$O$358)</f>
        <v>0.23160931678771066</v>
      </c>
    </row>
    <row r="393" spans="1:15" x14ac:dyDescent="0.25">
      <c r="A393" s="499"/>
      <c r="B393" s="503" t="s">
        <v>46</v>
      </c>
      <c r="M393" s="201">
        <f>M357/SUM($M$354:$M$358)</f>
        <v>0</v>
      </c>
      <c r="N393" s="201">
        <f>N357/SUM($N$354:$N$358)</f>
        <v>0</v>
      </c>
      <c r="O393" s="201">
        <f>O357/SUM($O$354:$O$358)</f>
        <v>0</v>
      </c>
    </row>
    <row r="394" spans="1:15" x14ac:dyDescent="0.25">
      <c r="A394" s="499"/>
      <c r="B394" s="499" t="s">
        <v>29</v>
      </c>
      <c r="M394" s="201">
        <f>M358/SUM($M$354:$M$358)</f>
        <v>0</v>
      </c>
      <c r="N394" s="201">
        <f>N358/SUM($N$354:$N$358)</f>
        <v>0</v>
      </c>
      <c r="O394" s="201">
        <f>O358/SUM($O$354:$O$358)</f>
        <v>0</v>
      </c>
    </row>
    <row r="395" spans="1:15" x14ac:dyDescent="0.25">
      <c r="A395" s="499"/>
      <c r="B395" s="499"/>
      <c r="M395" s="200"/>
    </row>
    <row r="396" spans="1:15" s="507" customFormat="1" ht="12.75" x14ac:dyDescent="0.2">
      <c r="A396" s="507" t="s">
        <v>47</v>
      </c>
      <c r="M396" s="241"/>
    </row>
    <row r="397" spans="1:15" x14ac:dyDescent="0.25">
      <c r="A397" s="499"/>
      <c r="B397" s="499" t="s">
        <v>48</v>
      </c>
      <c r="M397" s="200"/>
    </row>
    <row r="398" spans="1:15" x14ac:dyDescent="0.25">
      <c r="A398" s="499"/>
      <c r="B398" s="503" t="s">
        <v>50</v>
      </c>
      <c r="M398" s="200"/>
    </row>
    <row r="399" spans="1:15" x14ac:dyDescent="0.25">
      <c r="A399" s="499"/>
      <c r="B399" s="499" t="s">
        <v>51</v>
      </c>
      <c r="M399" s="200"/>
    </row>
    <row r="400" spans="1:15" x14ac:dyDescent="0.25">
      <c r="A400" s="499"/>
      <c r="B400" s="499" t="s">
        <v>52</v>
      </c>
      <c r="M400" s="200"/>
    </row>
    <row r="401" spans="1:38" x14ac:dyDescent="0.25">
      <c r="A401" s="499"/>
      <c r="B401" s="503" t="s">
        <v>29</v>
      </c>
      <c r="M401" s="200"/>
    </row>
    <row r="402" spans="1:38" x14ac:dyDescent="0.25">
      <c r="A402" s="499"/>
      <c r="B402" s="503" t="s">
        <v>53</v>
      </c>
      <c r="M402" s="200"/>
    </row>
    <row r="403" spans="1:38" x14ac:dyDescent="0.25">
      <c r="M403" s="205"/>
    </row>
    <row r="404" spans="1:38" s="539" customFormat="1" x14ac:dyDescent="0.25">
      <c r="A404" s="554" t="s">
        <v>248</v>
      </c>
      <c r="B404" s="555"/>
      <c r="C404" s="554"/>
      <c r="D404" s="553"/>
      <c r="E404" s="553"/>
      <c r="F404" s="553"/>
      <c r="G404" s="553"/>
      <c r="H404" s="553"/>
      <c r="I404" s="553"/>
      <c r="J404" s="553"/>
      <c r="K404" s="553"/>
      <c r="L404" s="553"/>
      <c r="M404" s="553"/>
      <c r="N404" s="560"/>
      <c r="O404" s="560"/>
      <c r="P404" s="560"/>
      <c r="Q404" s="560"/>
      <c r="R404" s="560"/>
      <c r="S404" s="560"/>
      <c r="T404" s="560"/>
      <c r="U404" s="560"/>
      <c r="V404" s="560"/>
      <c r="W404" s="560"/>
      <c r="X404" s="560"/>
      <c r="Y404" s="560"/>
      <c r="Z404" s="560"/>
      <c r="AA404" s="560"/>
      <c r="AB404" s="560"/>
      <c r="AC404" s="560"/>
      <c r="AD404" s="560"/>
      <c r="AE404" s="560"/>
      <c r="AF404" s="560"/>
      <c r="AG404" s="560"/>
      <c r="AH404" s="560"/>
      <c r="AI404" s="560"/>
      <c r="AJ404" s="560"/>
      <c r="AK404" s="560"/>
      <c r="AL404" s="560"/>
    </row>
    <row r="405" spans="1:38" s="539" customFormat="1" x14ac:dyDescent="0.25">
      <c r="A405" s="551" t="s">
        <v>12</v>
      </c>
      <c r="B405" s="550"/>
    </row>
    <row r="406" spans="1:38" s="539" customFormat="1" x14ac:dyDescent="0.25">
      <c r="A406" s="550"/>
      <c r="B406" s="550" t="s">
        <v>20</v>
      </c>
    </row>
    <row r="407" spans="1:38" s="556" customFormat="1" ht="12.75" x14ac:dyDescent="0.2">
      <c r="A407" s="556" t="s">
        <v>21</v>
      </c>
    </row>
    <row r="408" spans="1:38" s="539" customFormat="1" x14ac:dyDescent="0.25">
      <c r="A408" s="550"/>
      <c r="B408" s="550" t="s">
        <v>22</v>
      </c>
      <c r="M408" s="200"/>
      <c r="N408" s="539">
        <v>0</v>
      </c>
      <c r="O408" s="539">
        <v>0</v>
      </c>
      <c r="P408" s="539">
        <v>0</v>
      </c>
      <c r="Q408" s="539">
        <v>0</v>
      </c>
      <c r="R408" s="539">
        <v>0</v>
      </c>
      <c r="S408" s="539">
        <v>0</v>
      </c>
      <c r="T408" s="539">
        <v>0</v>
      </c>
      <c r="U408" s="539">
        <v>0</v>
      </c>
      <c r="V408" s="539">
        <v>0</v>
      </c>
      <c r="W408" s="539">
        <v>0</v>
      </c>
      <c r="X408" s="539">
        <v>0</v>
      </c>
      <c r="Y408" s="539">
        <v>0</v>
      </c>
      <c r="Z408" s="539">
        <v>0</v>
      </c>
      <c r="AA408" s="539">
        <v>0</v>
      </c>
      <c r="AB408" s="539">
        <v>0</v>
      </c>
      <c r="AC408" s="539">
        <v>0</v>
      </c>
      <c r="AD408" s="539">
        <v>0</v>
      </c>
      <c r="AE408" s="539">
        <v>0</v>
      </c>
      <c r="AF408" s="539">
        <v>0</v>
      </c>
      <c r="AG408" s="539">
        <v>0</v>
      </c>
      <c r="AH408" s="539">
        <v>0</v>
      </c>
      <c r="AI408" s="539">
        <v>0</v>
      </c>
      <c r="AJ408" s="539">
        <v>0</v>
      </c>
      <c r="AK408" s="539">
        <v>0</v>
      </c>
      <c r="AL408" s="539">
        <v>0</v>
      </c>
    </row>
    <row r="409" spans="1:38" s="539" customFormat="1" x14ac:dyDescent="0.25">
      <c r="A409" s="550"/>
      <c r="B409" s="550" t="s">
        <v>26</v>
      </c>
      <c r="M409" s="200"/>
      <c r="N409" s="539">
        <v>0</v>
      </c>
      <c r="O409" s="539">
        <v>0</v>
      </c>
      <c r="P409" s="539">
        <v>0</v>
      </c>
      <c r="Q409" s="539">
        <v>0</v>
      </c>
      <c r="R409" s="539">
        <v>0</v>
      </c>
      <c r="S409" s="539">
        <v>0</v>
      </c>
      <c r="T409" s="539">
        <v>0</v>
      </c>
      <c r="U409" s="539">
        <v>0</v>
      </c>
      <c r="V409" s="539">
        <v>0</v>
      </c>
      <c r="W409" s="539">
        <v>0</v>
      </c>
      <c r="X409" s="539">
        <v>0</v>
      </c>
      <c r="Y409" s="539">
        <v>0</v>
      </c>
      <c r="Z409" s="539">
        <v>0</v>
      </c>
      <c r="AA409" s="539">
        <v>0</v>
      </c>
      <c r="AB409" s="539">
        <v>0</v>
      </c>
      <c r="AC409" s="539">
        <v>0</v>
      </c>
      <c r="AD409" s="539">
        <v>0</v>
      </c>
      <c r="AE409" s="539">
        <v>0</v>
      </c>
      <c r="AF409" s="539">
        <v>0</v>
      </c>
      <c r="AG409" s="539">
        <v>0</v>
      </c>
      <c r="AH409" s="539">
        <v>0</v>
      </c>
      <c r="AI409" s="539">
        <v>0</v>
      </c>
      <c r="AJ409" s="539">
        <v>0</v>
      </c>
      <c r="AK409" s="539">
        <v>0</v>
      </c>
      <c r="AL409" s="539">
        <v>0</v>
      </c>
    </row>
    <row r="410" spans="1:38" s="539" customFormat="1" x14ac:dyDescent="0.25">
      <c r="A410" s="550"/>
      <c r="B410" s="550" t="s">
        <v>27</v>
      </c>
      <c r="M410" s="200"/>
      <c r="N410" s="539">
        <v>0</v>
      </c>
      <c r="O410" s="539">
        <v>0</v>
      </c>
      <c r="P410" s="539">
        <v>0</v>
      </c>
      <c r="Q410" s="539">
        <v>0</v>
      </c>
      <c r="R410" s="539">
        <v>0</v>
      </c>
      <c r="S410" s="539">
        <v>0</v>
      </c>
      <c r="T410" s="539">
        <v>0</v>
      </c>
      <c r="U410" s="539">
        <v>0</v>
      </c>
      <c r="V410" s="539">
        <v>0</v>
      </c>
      <c r="W410" s="539">
        <v>0</v>
      </c>
      <c r="X410" s="539">
        <v>0</v>
      </c>
      <c r="Y410" s="539">
        <v>0</v>
      </c>
      <c r="Z410" s="539">
        <v>0</v>
      </c>
      <c r="AA410" s="539">
        <v>0</v>
      </c>
      <c r="AB410" s="539">
        <v>0</v>
      </c>
      <c r="AC410" s="539">
        <v>0</v>
      </c>
      <c r="AD410" s="539">
        <v>0</v>
      </c>
      <c r="AE410" s="539">
        <v>0</v>
      </c>
      <c r="AF410" s="539">
        <v>0</v>
      </c>
      <c r="AG410" s="539">
        <v>0</v>
      </c>
      <c r="AH410" s="539">
        <v>0</v>
      </c>
      <c r="AI410" s="539">
        <v>0</v>
      </c>
      <c r="AJ410" s="539">
        <v>0</v>
      </c>
      <c r="AK410" s="539">
        <v>0</v>
      </c>
      <c r="AL410" s="539">
        <v>0</v>
      </c>
    </row>
    <row r="411" spans="1:38" s="539" customFormat="1" x14ac:dyDescent="0.25">
      <c r="A411" s="550"/>
      <c r="B411" s="550" t="s">
        <v>29</v>
      </c>
      <c r="M411" s="200"/>
      <c r="N411" s="539">
        <v>0</v>
      </c>
      <c r="O411" s="539">
        <v>0</v>
      </c>
      <c r="P411" s="539">
        <v>0</v>
      </c>
      <c r="Q411" s="539">
        <v>0</v>
      </c>
      <c r="R411" s="539">
        <v>0</v>
      </c>
      <c r="S411" s="539">
        <v>0</v>
      </c>
      <c r="T411" s="539">
        <v>0</v>
      </c>
      <c r="U411" s="539">
        <v>0</v>
      </c>
      <c r="V411" s="539">
        <v>0</v>
      </c>
      <c r="W411" s="539">
        <v>0</v>
      </c>
      <c r="X411" s="539">
        <v>0</v>
      </c>
      <c r="Y411" s="539">
        <v>0</v>
      </c>
      <c r="Z411" s="539">
        <v>0</v>
      </c>
      <c r="AA411" s="539">
        <v>0</v>
      </c>
      <c r="AB411" s="539">
        <v>0</v>
      </c>
      <c r="AC411" s="539">
        <v>0</v>
      </c>
      <c r="AD411" s="539">
        <v>0</v>
      </c>
      <c r="AE411" s="539">
        <v>0</v>
      </c>
      <c r="AF411" s="539">
        <v>0</v>
      </c>
      <c r="AG411" s="539">
        <v>0</v>
      </c>
      <c r="AH411" s="539">
        <v>0</v>
      </c>
      <c r="AI411" s="539">
        <v>0</v>
      </c>
      <c r="AJ411" s="539">
        <v>0</v>
      </c>
      <c r="AK411" s="539">
        <v>0</v>
      </c>
      <c r="AL411" s="539">
        <v>0</v>
      </c>
    </row>
    <row r="412" spans="1:38" s="539" customFormat="1" x14ac:dyDescent="0.25">
      <c r="A412" s="550"/>
      <c r="B412" s="550"/>
      <c r="M412" s="200"/>
    </row>
    <row r="413" spans="1:38" s="556" customFormat="1" ht="12.75" x14ac:dyDescent="0.2">
      <c r="A413" s="556" t="s">
        <v>32</v>
      </c>
      <c r="M413" s="241"/>
    </row>
    <row r="414" spans="1:38" s="539" customFormat="1" x14ac:dyDescent="0.25">
      <c r="A414" s="550"/>
      <c r="B414" s="550" t="s">
        <v>33</v>
      </c>
      <c r="M414" s="200"/>
      <c r="N414" s="539">
        <v>0</v>
      </c>
      <c r="O414" s="539">
        <v>0</v>
      </c>
      <c r="P414" s="539">
        <v>0</v>
      </c>
      <c r="Q414" s="539">
        <v>0</v>
      </c>
      <c r="R414" s="539">
        <v>0</v>
      </c>
      <c r="S414" s="539">
        <v>0</v>
      </c>
      <c r="T414" s="539">
        <v>0</v>
      </c>
      <c r="U414" s="539">
        <v>0</v>
      </c>
      <c r="V414" s="539">
        <v>0</v>
      </c>
      <c r="W414" s="539">
        <v>0</v>
      </c>
      <c r="X414" s="539">
        <v>0</v>
      </c>
      <c r="Y414" s="539">
        <v>0</v>
      </c>
      <c r="Z414" s="539">
        <v>0</v>
      </c>
      <c r="AA414" s="539">
        <v>0</v>
      </c>
      <c r="AB414" s="539">
        <v>0</v>
      </c>
      <c r="AC414" s="539">
        <v>0</v>
      </c>
      <c r="AD414" s="539">
        <v>0</v>
      </c>
      <c r="AE414" s="539">
        <v>0</v>
      </c>
      <c r="AF414" s="539">
        <v>0</v>
      </c>
      <c r="AG414" s="539">
        <v>0</v>
      </c>
      <c r="AH414" s="539">
        <v>0</v>
      </c>
      <c r="AI414" s="539">
        <v>0</v>
      </c>
      <c r="AJ414" s="539">
        <v>0</v>
      </c>
      <c r="AK414" s="539">
        <v>0</v>
      </c>
      <c r="AL414" s="539">
        <v>0</v>
      </c>
    </row>
    <row r="415" spans="1:38" s="539" customFormat="1" x14ac:dyDescent="0.25">
      <c r="A415" s="552"/>
      <c r="B415" s="552" t="s">
        <v>34</v>
      </c>
      <c r="M415" s="200"/>
      <c r="N415" s="539">
        <v>0</v>
      </c>
      <c r="O415" s="539">
        <v>0</v>
      </c>
      <c r="P415" s="539">
        <v>0</v>
      </c>
      <c r="Q415" s="539">
        <v>0</v>
      </c>
      <c r="R415" s="539">
        <v>0</v>
      </c>
      <c r="S415" s="539">
        <v>0</v>
      </c>
      <c r="T415" s="539">
        <v>0</v>
      </c>
      <c r="U415" s="539">
        <v>0</v>
      </c>
      <c r="V415" s="539">
        <v>0</v>
      </c>
      <c r="W415" s="539">
        <v>0</v>
      </c>
      <c r="X415" s="539">
        <v>0</v>
      </c>
      <c r="Y415" s="539">
        <v>0</v>
      </c>
      <c r="Z415" s="539">
        <v>0</v>
      </c>
      <c r="AA415" s="539">
        <v>0</v>
      </c>
      <c r="AB415" s="539">
        <v>0</v>
      </c>
      <c r="AC415" s="539">
        <v>0</v>
      </c>
      <c r="AD415" s="539">
        <v>0</v>
      </c>
      <c r="AE415" s="539">
        <v>0</v>
      </c>
      <c r="AF415" s="539">
        <v>0</v>
      </c>
      <c r="AG415" s="539">
        <v>0</v>
      </c>
      <c r="AH415" s="539">
        <v>0</v>
      </c>
      <c r="AI415" s="539">
        <v>0</v>
      </c>
      <c r="AJ415" s="539">
        <v>0</v>
      </c>
      <c r="AK415" s="539">
        <v>0</v>
      </c>
      <c r="AL415" s="539">
        <v>0</v>
      </c>
    </row>
    <row r="416" spans="1:38" s="539" customFormat="1" x14ac:dyDescent="0.25">
      <c r="A416" s="550"/>
      <c r="B416" s="552" t="s">
        <v>35</v>
      </c>
      <c r="M416" s="200"/>
      <c r="N416" s="539">
        <v>0</v>
      </c>
      <c r="O416" s="539">
        <v>0</v>
      </c>
      <c r="P416" s="539">
        <v>0</v>
      </c>
      <c r="Q416" s="539">
        <v>0</v>
      </c>
      <c r="R416" s="539">
        <v>0</v>
      </c>
      <c r="S416" s="539">
        <v>0</v>
      </c>
      <c r="T416" s="539">
        <v>0</v>
      </c>
      <c r="U416" s="539">
        <v>0</v>
      </c>
      <c r="V416" s="539">
        <v>0</v>
      </c>
      <c r="W416" s="539">
        <v>0</v>
      </c>
      <c r="X416" s="539">
        <v>0</v>
      </c>
      <c r="Y416" s="539">
        <v>0</v>
      </c>
      <c r="Z416" s="539">
        <v>0</v>
      </c>
      <c r="AA416" s="539">
        <v>0</v>
      </c>
      <c r="AB416" s="539">
        <v>0</v>
      </c>
      <c r="AC416" s="539">
        <v>0</v>
      </c>
      <c r="AD416" s="539">
        <v>0</v>
      </c>
      <c r="AE416" s="539">
        <v>0</v>
      </c>
      <c r="AF416" s="539">
        <v>0</v>
      </c>
      <c r="AG416" s="539">
        <v>0</v>
      </c>
      <c r="AH416" s="539">
        <v>0</v>
      </c>
      <c r="AI416" s="539">
        <v>0</v>
      </c>
      <c r="AJ416" s="539">
        <v>0</v>
      </c>
      <c r="AK416" s="539">
        <v>0</v>
      </c>
      <c r="AL416" s="539">
        <v>0</v>
      </c>
    </row>
    <row r="417" spans="1:38" s="539" customFormat="1" x14ac:dyDescent="0.25">
      <c r="A417" s="550"/>
      <c r="B417" s="552" t="s">
        <v>29</v>
      </c>
      <c r="M417" s="200"/>
      <c r="N417" s="539">
        <v>0</v>
      </c>
      <c r="O417" s="539">
        <v>0</v>
      </c>
      <c r="P417" s="539">
        <v>0</v>
      </c>
      <c r="Q417" s="539">
        <v>0</v>
      </c>
      <c r="R417" s="539">
        <v>0</v>
      </c>
      <c r="S417" s="539">
        <v>0</v>
      </c>
      <c r="T417" s="539">
        <v>0</v>
      </c>
      <c r="U417" s="539">
        <v>0</v>
      </c>
      <c r="V417" s="539">
        <v>0</v>
      </c>
      <c r="W417" s="539">
        <v>0</v>
      </c>
      <c r="X417" s="539">
        <v>0</v>
      </c>
      <c r="Y417" s="539">
        <v>0</v>
      </c>
      <c r="Z417" s="539">
        <v>0</v>
      </c>
      <c r="AA417" s="539">
        <v>0</v>
      </c>
      <c r="AB417" s="539">
        <v>0</v>
      </c>
      <c r="AC417" s="539">
        <v>0</v>
      </c>
      <c r="AD417" s="539">
        <v>0</v>
      </c>
      <c r="AE417" s="539">
        <v>0</v>
      </c>
      <c r="AF417" s="539">
        <v>0</v>
      </c>
      <c r="AG417" s="539">
        <v>0</v>
      </c>
      <c r="AH417" s="539">
        <v>0</v>
      </c>
      <c r="AI417" s="539">
        <v>0</v>
      </c>
      <c r="AJ417" s="539">
        <v>0</v>
      </c>
      <c r="AK417" s="539">
        <v>0</v>
      </c>
      <c r="AL417" s="539">
        <v>0</v>
      </c>
    </row>
    <row r="418" spans="1:38" s="539" customFormat="1" x14ac:dyDescent="0.25">
      <c r="A418" s="550"/>
      <c r="B418" s="550"/>
      <c r="M418" s="200"/>
    </row>
    <row r="419" spans="1:38" s="556" customFormat="1" ht="12.75" x14ac:dyDescent="0.2">
      <c r="A419" s="556" t="s">
        <v>36</v>
      </c>
      <c r="M419" s="241"/>
    </row>
    <row r="420" spans="1:38" s="539" customFormat="1" x14ac:dyDescent="0.25">
      <c r="A420" s="550"/>
      <c r="B420" s="550" t="s">
        <v>37</v>
      </c>
      <c r="L420" s="201"/>
      <c r="M420" s="540"/>
      <c r="N420" s="540">
        <v>0</v>
      </c>
      <c r="O420" s="540">
        <v>0</v>
      </c>
      <c r="P420" s="539">
        <v>0</v>
      </c>
      <c r="Q420" s="539">
        <v>0</v>
      </c>
      <c r="R420" s="539">
        <v>0</v>
      </c>
      <c r="S420" s="539">
        <v>0</v>
      </c>
      <c r="T420" s="539">
        <v>0</v>
      </c>
      <c r="U420" s="539">
        <v>0</v>
      </c>
      <c r="V420" s="539">
        <v>0</v>
      </c>
      <c r="W420" s="539">
        <v>0</v>
      </c>
      <c r="X420" s="539">
        <v>0</v>
      </c>
      <c r="Y420" s="539">
        <v>0</v>
      </c>
      <c r="Z420" s="539">
        <v>0</v>
      </c>
      <c r="AA420" s="539">
        <v>0</v>
      </c>
      <c r="AB420" s="539">
        <v>0</v>
      </c>
      <c r="AC420" s="539">
        <v>0</v>
      </c>
      <c r="AD420" s="539">
        <v>0</v>
      </c>
      <c r="AE420" s="539">
        <v>0</v>
      </c>
      <c r="AF420" s="539">
        <v>0</v>
      </c>
      <c r="AG420" s="539">
        <v>0</v>
      </c>
      <c r="AH420" s="539">
        <v>0</v>
      </c>
      <c r="AI420" s="539">
        <v>0</v>
      </c>
      <c r="AJ420" s="539">
        <v>0</v>
      </c>
      <c r="AK420" s="539">
        <v>0</v>
      </c>
      <c r="AL420" s="539">
        <v>0</v>
      </c>
    </row>
    <row r="421" spans="1:38" s="539" customFormat="1" x14ac:dyDescent="0.25">
      <c r="A421" s="550"/>
      <c r="B421" s="550" t="s">
        <v>39</v>
      </c>
      <c r="K421" s="203"/>
      <c r="M421" s="540"/>
      <c r="N421" s="540">
        <v>0</v>
      </c>
      <c r="O421" s="540">
        <v>0</v>
      </c>
      <c r="P421" s="539">
        <v>0</v>
      </c>
      <c r="Q421" s="539">
        <v>0</v>
      </c>
      <c r="R421" s="539">
        <v>0</v>
      </c>
      <c r="S421" s="539">
        <v>0</v>
      </c>
      <c r="T421" s="539">
        <v>0</v>
      </c>
      <c r="U421" s="539">
        <v>0</v>
      </c>
      <c r="V421" s="539">
        <v>0</v>
      </c>
      <c r="W421" s="539">
        <v>0</v>
      </c>
      <c r="X421" s="539">
        <v>0</v>
      </c>
      <c r="Y421" s="539">
        <v>0</v>
      </c>
      <c r="Z421" s="539">
        <v>0</v>
      </c>
      <c r="AA421" s="539">
        <v>0</v>
      </c>
      <c r="AB421" s="539">
        <v>0</v>
      </c>
      <c r="AC421" s="539">
        <v>0</v>
      </c>
      <c r="AD421" s="539">
        <v>0</v>
      </c>
      <c r="AE421" s="539">
        <v>0</v>
      </c>
      <c r="AF421" s="539">
        <v>0</v>
      </c>
      <c r="AG421" s="539">
        <v>0</v>
      </c>
      <c r="AH421" s="539">
        <v>0</v>
      </c>
      <c r="AI421" s="539">
        <v>0</v>
      </c>
      <c r="AJ421" s="539">
        <v>0</v>
      </c>
      <c r="AK421" s="539">
        <v>0</v>
      </c>
      <c r="AL421" s="539">
        <v>0</v>
      </c>
    </row>
    <row r="422" spans="1:38" s="539" customFormat="1" x14ac:dyDescent="0.25">
      <c r="A422" s="550"/>
      <c r="B422" s="550" t="s">
        <v>40</v>
      </c>
      <c r="M422" s="540"/>
      <c r="N422" s="540">
        <v>0</v>
      </c>
      <c r="O422" s="540">
        <v>0</v>
      </c>
      <c r="P422" s="539">
        <v>0</v>
      </c>
      <c r="Q422" s="539">
        <v>0</v>
      </c>
      <c r="R422" s="539">
        <v>0</v>
      </c>
      <c r="S422" s="539">
        <v>0</v>
      </c>
      <c r="T422" s="539">
        <v>0</v>
      </c>
      <c r="U422" s="539">
        <v>0</v>
      </c>
      <c r="V422" s="539">
        <v>0</v>
      </c>
      <c r="W422" s="539">
        <v>0</v>
      </c>
      <c r="X422" s="539">
        <v>0</v>
      </c>
      <c r="Y422" s="539">
        <v>0</v>
      </c>
      <c r="Z422" s="539">
        <v>0</v>
      </c>
      <c r="AA422" s="539">
        <v>0</v>
      </c>
      <c r="AB422" s="539">
        <v>0</v>
      </c>
      <c r="AC422" s="539">
        <v>0</v>
      </c>
      <c r="AD422" s="539">
        <v>0</v>
      </c>
      <c r="AE422" s="539">
        <v>0</v>
      </c>
      <c r="AF422" s="539">
        <v>0</v>
      </c>
      <c r="AG422" s="539">
        <v>0</v>
      </c>
      <c r="AH422" s="539">
        <v>0</v>
      </c>
      <c r="AI422" s="539">
        <v>0</v>
      </c>
      <c r="AJ422" s="539">
        <v>0</v>
      </c>
      <c r="AK422" s="539">
        <v>0</v>
      </c>
      <c r="AL422" s="539">
        <v>0</v>
      </c>
    </row>
    <row r="423" spans="1:38" s="539" customFormat="1" x14ac:dyDescent="0.25">
      <c r="A423" s="550"/>
      <c r="B423" s="550" t="s">
        <v>29</v>
      </c>
      <c r="M423" s="200"/>
      <c r="N423" s="540">
        <v>0</v>
      </c>
      <c r="O423" s="540">
        <v>0</v>
      </c>
      <c r="P423" s="539">
        <v>0</v>
      </c>
      <c r="Q423" s="539">
        <v>0</v>
      </c>
      <c r="R423" s="539">
        <v>0</v>
      </c>
      <c r="S423" s="539">
        <v>0</v>
      </c>
      <c r="T423" s="539">
        <v>0</v>
      </c>
      <c r="U423" s="539">
        <v>0</v>
      </c>
      <c r="V423" s="539">
        <v>0</v>
      </c>
      <c r="W423" s="539">
        <v>0</v>
      </c>
      <c r="X423" s="539">
        <v>0</v>
      </c>
      <c r="Y423" s="539">
        <v>0</v>
      </c>
      <c r="Z423" s="539">
        <v>0</v>
      </c>
      <c r="AA423" s="539">
        <v>0</v>
      </c>
      <c r="AB423" s="539">
        <v>0</v>
      </c>
      <c r="AC423" s="539">
        <v>0</v>
      </c>
      <c r="AD423" s="539">
        <v>0</v>
      </c>
      <c r="AE423" s="539">
        <v>0</v>
      </c>
      <c r="AF423" s="539">
        <v>0</v>
      </c>
      <c r="AG423" s="539">
        <v>0</v>
      </c>
      <c r="AH423" s="539">
        <v>0</v>
      </c>
      <c r="AI423" s="539">
        <v>0</v>
      </c>
      <c r="AJ423" s="539">
        <v>0</v>
      </c>
      <c r="AK423" s="539">
        <v>0</v>
      </c>
      <c r="AL423" s="539">
        <v>0</v>
      </c>
    </row>
    <row r="424" spans="1:38" s="539" customFormat="1" x14ac:dyDescent="0.25">
      <c r="A424" s="550"/>
      <c r="B424" s="550"/>
      <c r="M424" s="200"/>
    </row>
    <row r="425" spans="1:38" s="556" customFormat="1" ht="12.75" x14ac:dyDescent="0.2">
      <c r="A425" s="556" t="s">
        <v>42</v>
      </c>
      <c r="M425" s="241"/>
    </row>
    <row r="426" spans="1:38" s="539" customFormat="1" x14ac:dyDescent="0.25">
      <c r="A426" s="550"/>
      <c r="B426" s="552" t="s">
        <v>43</v>
      </c>
      <c r="M426" s="540"/>
      <c r="N426" s="540">
        <v>57.044632903600714</v>
      </c>
      <c r="O426" s="540">
        <v>59.319899461195021</v>
      </c>
      <c r="P426" s="539">
        <v>60.128431021057764</v>
      </c>
      <c r="Q426" s="539">
        <v>60.059661901613694</v>
      </c>
      <c r="R426" s="539">
        <v>59.483054621463808</v>
      </c>
      <c r="S426" s="539">
        <v>57.960465068873887</v>
      </c>
      <c r="T426" s="539">
        <v>56.433063952233027</v>
      </c>
      <c r="U426" s="539">
        <v>54.644615867782711</v>
      </c>
      <c r="V426" s="539">
        <v>52.670063860498523</v>
      </c>
      <c r="W426" s="539">
        <v>50.526258861722447</v>
      </c>
      <c r="X426" s="539">
        <v>48.250879004801924</v>
      </c>
      <c r="Y426" s="539">
        <v>46.123839665391998</v>
      </c>
      <c r="Z426" s="539">
        <v>44.017716369259837</v>
      </c>
      <c r="AA426" s="539">
        <v>42.136500390338824</v>
      </c>
      <c r="AB426" s="539">
        <v>40.287221269373624</v>
      </c>
      <c r="AC426" s="539">
        <v>38.543145052936005</v>
      </c>
      <c r="AD426" s="539">
        <v>37.036246777110733</v>
      </c>
      <c r="AE426" s="539">
        <v>35.52837233234186</v>
      </c>
      <c r="AF426" s="539">
        <v>34.113211190646936</v>
      </c>
      <c r="AG426" s="539">
        <v>32.780071939438045</v>
      </c>
      <c r="AH426" s="539">
        <v>31.551513782306213</v>
      </c>
      <c r="AI426" s="539">
        <v>30.396892427789336</v>
      </c>
      <c r="AJ426" s="539">
        <v>29.321185572142117</v>
      </c>
      <c r="AK426" s="539">
        <v>28.291570200551661</v>
      </c>
      <c r="AL426" s="539">
        <v>27.268992785940664</v>
      </c>
    </row>
    <row r="427" spans="1:38" s="539" customFormat="1" x14ac:dyDescent="0.25">
      <c r="A427" s="550"/>
      <c r="B427" s="552" t="s">
        <v>44</v>
      </c>
      <c r="M427" s="540"/>
      <c r="N427" s="540">
        <v>640.49986336414781</v>
      </c>
      <c r="O427" s="540">
        <v>693.44816366943087</v>
      </c>
      <c r="P427" s="539">
        <v>725.82308627299778</v>
      </c>
      <c r="Q427" s="539">
        <v>745.84247948983079</v>
      </c>
      <c r="R427" s="539">
        <v>754.65958103140224</v>
      </c>
      <c r="S427" s="539">
        <v>749.33620842096389</v>
      </c>
      <c r="T427" s="539">
        <v>740.4355118269184</v>
      </c>
      <c r="U427" s="539">
        <v>725.53531000845817</v>
      </c>
      <c r="V427" s="539">
        <v>705.59359194008323</v>
      </c>
      <c r="W427" s="539">
        <v>682.24984623850662</v>
      </c>
      <c r="X427" s="539">
        <v>656.38187092724127</v>
      </c>
      <c r="Y427" s="539">
        <v>631.52975425404486</v>
      </c>
      <c r="Z427" s="539">
        <v>606.31928572993468</v>
      </c>
      <c r="AA427" s="539">
        <v>583.91086124309197</v>
      </c>
      <c r="AB427" s="539">
        <v>561.41258267843932</v>
      </c>
      <c r="AC427" s="539">
        <v>540.2626646565019</v>
      </c>
      <c r="AD427" s="539">
        <v>522.49768236393243</v>
      </c>
      <c r="AE427" s="539">
        <v>504.87255633411553</v>
      </c>
      <c r="AF427" s="539">
        <v>488.42906852960579</v>
      </c>
      <c r="AG427" s="539">
        <v>473.10255219780902</v>
      </c>
      <c r="AH427" s="539">
        <v>459.37754662810238</v>
      </c>
      <c r="AI427" s="539">
        <v>446.66698497560128</v>
      </c>
      <c r="AJ427" s="539">
        <v>435.00740229413299</v>
      </c>
      <c r="AK427" s="539">
        <v>424.06585960857501</v>
      </c>
      <c r="AL427" s="539">
        <v>413.71689917149729</v>
      </c>
    </row>
    <row r="428" spans="1:38" s="539" customFormat="1" x14ac:dyDescent="0.25">
      <c r="A428" s="550"/>
      <c r="B428" s="552" t="s">
        <v>45</v>
      </c>
      <c r="M428" s="540"/>
      <c r="N428" s="540">
        <v>253.93414022026556</v>
      </c>
      <c r="O428" s="540">
        <v>220.80318337333443</v>
      </c>
      <c r="P428" s="539">
        <v>192.10205592590879</v>
      </c>
      <c r="Q428" s="539">
        <v>167.25121266113072</v>
      </c>
      <c r="R428" s="539">
        <v>145.70821697068092</v>
      </c>
      <c r="S428" s="539">
        <v>127.00719061278609</v>
      </c>
      <c r="T428" s="539">
        <v>110.79646552323001</v>
      </c>
      <c r="U428" s="539">
        <v>96.59916421245245</v>
      </c>
      <c r="V428" s="539">
        <v>84.272786733011415</v>
      </c>
      <c r="W428" s="539">
        <v>73.567983188528757</v>
      </c>
      <c r="X428" s="539">
        <v>64.265499457990757</v>
      </c>
      <c r="Y428" s="539">
        <v>56.191670729575534</v>
      </c>
      <c r="Z428" s="539">
        <v>49.171526469573323</v>
      </c>
      <c r="AA428" s="539">
        <v>43.0800887403255</v>
      </c>
      <c r="AB428" s="539">
        <v>37.776080851674102</v>
      </c>
      <c r="AC428" s="539">
        <v>33.162251804048637</v>
      </c>
      <c r="AD428" s="539">
        <v>29.158326766101816</v>
      </c>
      <c r="AE428" s="539">
        <v>25.675036247073354</v>
      </c>
      <c r="AF428" s="539">
        <v>22.647368958072889</v>
      </c>
      <c r="AG428" s="539">
        <v>20.012374951815296</v>
      </c>
      <c r="AH428" s="539">
        <v>17.714183067481347</v>
      </c>
      <c r="AI428" s="539">
        <v>15.711609425756125</v>
      </c>
      <c r="AJ428" s="539">
        <v>13.966266702281818</v>
      </c>
      <c r="AK428" s="539">
        <v>12.441904799824583</v>
      </c>
      <c r="AL428" s="539">
        <v>11.105893276772257</v>
      </c>
    </row>
    <row r="429" spans="1:38" s="539" customFormat="1" x14ac:dyDescent="0.25">
      <c r="A429" s="550"/>
      <c r="B429" s="552" t="s">
        <v>46</v>
      </c>
      <c r="M429" s="200"/>
      <c r="N429" s="539">
        <v>5.7494749661132838</v>
      </c>
      <c r="O429" s="539">
        <v>4.9986040368630285</v>
      </c>
      <c r="P429" s="539">
        <v>4.3478692299639867</v>
      </c>
      <c r="Q429" s="539">
        <v>3.7836253124699186</v>
      </c>
      <c r="R429" s="539">
        <v>3.2941280817487417</v>
      </c>
      <c r="S429" s="539">
        <v>2.8692634452006414</v>
      </c>
      <c r="T429" s="539">
        <v>2.491179656819559</v>
      </c>
      <c r="U429" s="539">
        <v>2.1639567569066753</v>
      </c>
      <c r="V429" s="539">
        <v>1.8874033265961556</v>
      </c>
      <c r="W429" s="539">
        <v>1.6409875557291933</v>
      </c>
      <c r="X429" s="539">
        <v>1.4273994509322054</v>
      </c>
      <c r="Y429" s="539">
        <v>1.2421739966926626</v>
      </c>
      <c r="Z429" s="539">
        <v>1.0814665311535165</v>
      </c>
      <c r="AA429" s="539">
        <v>0.94196466425278824</v>
      </c>
      <c r="AB429" s="539">
        <v>0.82081298186561735</v>
      </c>
      <c r="AC429" s="539">
        <v>0.71554863781872136</v>
      </c>
      <c r="AD429" s="539">
        <v>0.62404622389892361</v>
      </c>
      <c r="AE429" s="539">
        <v>0.54447055144189027</v>
      </c>
      <c r="AF429" s="539">
        <v>0.47540606570706456</v>
      </c>
      <c r="AG429" s="539">
        <v>0.4152673668107934</v>
      </c>
      <c r="AH429" s="539">
        <v>0.36300282887122304</v>
      </c>
      <c r="AI429" s="539">
        <v>0.3175432125612333</v>
      </c>
      <c r="AJ429" s="539">
        <v>0.2779701222258808</v>
      </c>
      <c r="AK429" s="539">
        <v>0.24349386508018891</v>
      </c>
      <c r="AL429" s="539">
        <v>0.21336913804193736</v>
      </c>
    </row>
    <row r="430" spans="1:38" s="539" customFormat="1" x14ac:dyDescent="0.25">
      <c r="A430" s="550"/>
      <c r="B430" s="550" t="s">
        <v>29</v>
      </c>
      <c r="M430" s="200"/>
      <c r="N430" s="539">
        <v>4.5473616649338853</v>
      </c>
      <c r="O430" s="539">
        <v>13.734254731317096</v>
      </c>
      <c r="P430" s="539">
        <v>26.824404785432076</v>
      </c>
      <c r="Q430" s="539">
        <v>43.1643482796689</v>
      </c>
      <c r="R430" s="539">
        <v>61.474497592940445</v>
      </c>
      <c r="S430" s="539">
        <v>80.273712240366962</v>
      </c>
      <c r="T430" s="539">
        <v>100.49173072131212</v>
      </c>
      <c r="U430" s="539">
        <v>120.17906172631322</v>
      </c>
      <c r="V430" s="539">
        <v>138.1450922513686</v>
      </c>
      <c r="W430" s="539">
        <v>154.25039550244315</v>
      </c>
      <c r="X430" s="539">
        <v>167.6084813679947</v>
      </c>
      <c r="Y430" s="539">
        <v>180.12924910300603</v>
      </c>
      <c r="Z430" s="539">
        <v>189.83439974613054</v>
      </c>
      <c r="AA430" s="539">
        <v>199.83559602199659</v>
      </c>
      <c r="AB430" s="539">
        <v>206.22922897087534</v>
      </c>
      <c r="AC430" s="539">
        <v>211.26968249061559</v>
      </c>
      <c r="AD430" s="539">
        <v>217.87679667433321</v>
      </c>
      <c r="AE430" s="539">
        <v>221.46691247123692</v>
      </c>
      <c r="AF430" s="539">
        <v>224.00457914627015</v>
      </c>
      <c r="AG430" s="539">
        <v>225.58929490390733</v>
      </c>
      <c r="AH430" s="539">
        <v>227.52691669969585</v>
      </c>
      <c r="AI430" s="539">
        <v>228.90782940435128</v>
      </c>
      <c r="AJ430" s="539">
        <v>230.23284705445471</v>
      </c>
      <c r="AK430" s="539">
        <v>231.12119916658449</v>
      </c>
      <c r="AL430" s="539">
        <v>232.07324691448503</v>
      </c>
    </row>
    <row r="431" spans="1:38" s="539" customFormat="1" x14ac:dyDescent="0.25">
      <c r="A431" s="550"/>
      <c r="B431" s="550"/>
      <c r="M431" s="200"/>
    </row>
    <row r="432" spans="1:38" s="556" customFormat="1" ht="12.75" x14ac:dyDescent="0.2">
      <c r="A432" s="556" t="s">
        <v>47</v>
      </c>
      <c r="M432" s="241"/>
    </row>
    <row r="433" spans="1:38" s="539" customFormat="1" x14ac:dyDescent="0.25">
      <c r="A433" s="550"/>
      <c r="B433" s="550" t="s">
        <v>48</v>
      </c>
      <c r="M433" s="200"/>
      <c r="N433" s="539">
        <v>622.0205727621468</v>
      </c>
      <c r="O433" s="539">
        <v>582.32398171769273</v>
      </c>
      <c r="P433" s="539">
        <v>525.03499373299223</v>
      </c>
      <c r="Q433" s="539">
        <v>452.15971507981874</v>
      </c>
      <c r="R433" s="539">
        <v>369.07664764157795</v>
      </c>
      <c r="S433" s="539">
        <v>283.68483695026015</v>
      </c>
      <c r="T433" s="539">
        <v>205.35505518430344</v>
      </c>
      <c r="U433" s="539">
        <v>140.04385385193089</v>
      </c>
      <c r="V433" s="539">
        <v>90.229955755421443</v>
      </c>
      <c r="W433" s="539">
        <v>55.209907150295031</v>
      </c>
      <c r="X433" s="539">
        <v>32.244355010627373</v>
      </c>
      <c r="Y433" s="539">
        <v>18.113204904847791</v>
      </c>
      <c r="Z433" s="539">
        <v>9.8415514591943083</v>
      </c>
      <c r="AA433" s="539">
        <v>5.20887901407065</v>
      </c>
      <c r="AB433" s="539">
        <v>2.6976655399295875</v>
      </c>
      <c r="AC433" s="539">
        <v>1.3738355270757205</v>
      </c>
      <c r="AD433" s="539">
        <v>0.69187044958438004</v>
      </c>
      <c r="AE433" s="539">
        <v>0.34536242882532869</v>
      </c>
      <c r="AF433" s="539">
        <v>0.17127572178315623</v>
      </c>
      <c r="AG433" s="539">
        <v>8.4563365738021049E-2</v>
      </c>
      <c r="AH433" s="539">
        <v>4.1650751603007047E-2</v>
      </c>
      <c r="AI433" s="539">
        <v>2.0486784540845421E-2</v>
      </c>
      <c r="AJ433" s="539">
        <v>1.0071797289526225E-2</v>
      </c>
      <c r="AK433" s="539">
        <v>4.9521574452848129E-3</v>
      </c>
      <c r="AL433" s="539">
        <v>2.4363992435053822E-3</v>
      </c>
    </row>
    <row r="434" spans="1:38" s="539" customFormat="1" x14ac:dyDescent="0.25">
      <c r="A434" s="550"/>
      <c r="B434" s="552" t="s">
        <v>50</v>
      </c>
      <c r="M434" s="200"/>
      <c r="N434" s="539">
        <v>135.04527414235676</v>
      </c>
      <c r="O434" s="539">
        <v>126.32185369104096</v>
      </c>
      <c r="P434" s="539">
        <v>113.6762809052359</v>
      </c>
      <c r="Q434" s="539">
        <v>97.920330036510776</v>
      </c>
      <c r="R434" s="539">
        <v>80.190240361933249</v>
      </c>
      <c r="S434" s="539">
        <v>62.087765249412662</v>
      </c>
      <c r="T434" s="539">
        <v>45.515877117297542</v>
      </c>
      <c r="U434" s="539">
        <v>31.628777384792063</v>
      </c>
      <c r="V434" s="539">
        <v>20.910827031727639</v>
      </c>
      <c r="W434" s="539">
        <v>13.230129979657388</v>
      </c>
      <c r="X434" s="539">
        <v>8.05295686963027</v>
      </c>
      <c r="Y434" s="539">
        <v>4.7537136993177835</v>
      </c>
      <c r="Z434" s="539">
        <v>2.7356628420515632</v>
      </c>
      <c r="AA434" s="539">
        <v>1.545575025069597</v>
      </c>
      <c r="AB434" s="539">
        <v>0.86050877279168625</v>
      </c>
      <c r="AC434" s="539">
        <v>0.47428562796015905</v>
      </c>
      <c r="AD434" s="539">
        <v>0.26013915755645689</v>
      </c>
      <c r="AE434" s="539">
        <v>0.1421823800535873</v>
      </c>
      <c r="AF434" s="539">
        <v>7.7591845514841079E-2</v>
      </c>
      <c r="AG434" s="539">
        <v>4.2349564095364993E-2</v>
      </c>
      <c r="AH434" s="539">
        <v>2.3157421472678838E-2</v>
      </c>
      <c r="AI434" s="539">
        <v>1.2694142683695593E-2</v>
      </c>
      <c r="AJ434" s="539">
        <v>6.9800077689773704E-3</v>
      </c>
      <c r="AK434" s="539">
        <v>3.8514494775864238E-3</v>
      </c>
      <c r="AL434" s="539">
        <v>2.1332102005355287E-3</v>
      </c>
    </row>
    <row r="435" spans="1:38" s="539" customFormat="1" x14ac:dyDescent="0.25">
      <c r="A435" s="550"/>
      <c r="B435" s="550" t="s">
        <v>51</v>
      </c>
      <c r="M435" s="200"/>
      <c r="N435" s="539">
        <v>133.55778361929944</v>
      </c>
      <c r="O435" s="539">
        <v>125.90997537311461</v>
      </c>
      <c r="P435" s="539">
        <v>116.25394533875654</v>
      </c>
      <c r="Q435" s="539">
        <v>105.53166218690426</v>
      </c>
      <c r="R435" s="539">
        <v>94.020827396136383</v>
      </c>
      <c r="S435" s="539">
        <v>81.9113428659617</v>
      </c>
      <c r="T435" s="539">
        <v>70.776324244191954</v>
      </c>
      <c r="U435" s="539">
        <v>60.355482573681705</v>
      </c>
      <c r="V435" s="539">
        <v>50.945475560648205</v>
      </c>
      <c r="W435" s="539">
        <v>42.675878487294852</v>
      </c>
      <c r="X435" s="539">
        <v>35.414632875359501</v>
      </c>
      <c r="Y435" s="539">
        <v>29.397268889853752</v>
      </c>
      <c r="Z435" s="539">
        <v>24.29954769032495</v>
      </c>
      <c r="AA435" s="539">
        <v>20.123830422044975</v>
      </c>
      <c r="AB435" s="539">
        <v>16.623744305025447</v>
      </c>
      <c r="AC435" s="539">
        <v>13.730650519247115</v>
      </c>
      <c r="AD435" s="539">
        <v>11.395561597134186</v>
      </c>
      <c r="AE435" s="539">
        <v>9.4339027707656591</v>
      </c>
      <c r="AF435" s="539">
        <v>7.8065179768994115</v>
      </c>
      <c r="AG435" s="539">
        <v>6.4641458368381715</v>
      </c>
      <c r="AH435" s="539">
        <v>5.3590829055608351</v>
      </c>
      <c r="AI435" s="539">
        <v>4.4427995870516508</v>
      </c>
      <c r="AJ435" s="539">
        <v>3.6831522558809286</v>
      </c>
      <c r="AK435" s="539">
        <v>3.0524753072384057</v>
      </c>
      <c r="AL435" s="539">
        <v>2.5289003723796024</v>
      </c>
    </row>
    <row r="436" spans="1:38" s="539" customFormat="1" x14ac:dyDescent="0.25">
      <c r="A436" s="550"/>
      <c r="B436" s="550" t="s">
        <v>52</v>
      </c>
      <c r="M436" s="200"/>
      <c r="N436" s="539">
        <v>370.98736061130768</v>
      </c>
      <c r="O436" s="539">
        <v>362.18568684537138</v>
      </c>
      <c r="P436" s="539">
        <v>349.94778038964535</v>
      </c>
      <c r="Q436" s="539">
        <v>335.78227417858085</v>
      </c>
      <c r="R436" s="539">
        <v>319.27134868257923</v>
      </c>
      <c r="S436" s="539">
        <v>300.14558534393569</v>
      </c>
      <c r="T436" s="539">
        <v>281.48804264760747</v>
      </c>
      <c r="U436" s="539">
        <v>262.29485637852014</v>
      </c>
      <c r="V436" s="539">
        <v>243.12929611222353</v>
      </c>
      <c r="W436" s="539">
        <v>224.92021407109726</v>
      </c>
      <c r="X436" s="539">
        <v>206.36199236155963</v>
      </c>
      <c r="Y436" s="539">
        <v>189.84092236073917</v>
      </c>
      <c r="Z436" s="539">
        <v>173.98201010420286</v>
      </c>
      <c r="AA436" s="539">
        <v>159.72051389347956</v>
      </c>
      <c r="AB436" s="539">
        <v>146.62127769680836</v>
      </c>
      <c r="AC436" s="539">
        <v>134.38905387517079</v>
      </c>
      <c r="AD436" s="539">
        <v>123.538809481692</v>
      </c>
      <c r="AE436" s="539">
        <v>113.46431268557207</v>
      </c>
      <c r="AF436" s="539">
        <v>104.29357484484409</v>
      </c>
      <c r="AG436" s="539">
        <v>95.783128815401966</v>
      </c>
      <c r="AH436" s="539">
        <v>88.061127819389341</v>
      </c>
      <c r="AI436" s="539">
        <v>81.046345309024659</v>
      </c>
      <c r="AJ436" s="539">
        <v>74.534392370697219</v>
      </c>
      <c r="AK436" s="539">
        <v>68.567689979856809</v>
      </c>
      <c r="AL436" s="539">
        <v>63.100580830052536</v>
      </c>
    </row>
    <row r="437" spans="1:38" s="539" customFormat="1" x14ac:dyDescent="0.25">
      <c r="A437" s="550"/>
      <c r="B437" s="552" t="s">
        <v>29</v>
      </c>
      <c r="M437" s="200"/>
      <c r="N437" s="539">
        <v>70.054550764906409</v>
      </c>
      <c r="O437" s="539">
        <v>80.384669705043947</v>
      </c>
      <c r="P437" s="539">
        <v>96.167539215232978</v>
      </c>
      <c r="Q437" s="539">
        <v>115.50221976094116</v>
      </c>
      <c r="R437" s="539">
        <v>135.52611120938201</v>
      </c>
      <c r="S437" s="539">
        <v>153.50950971045415</v>
      </c>
      <c r="T437" s="539">
        <v>169.87637864604946</v>
      </c>
      <c r="U437" s="539">
        <v>182.37366228288997</v>
      </c>
      <c r="V437" s="539">
        <v>188.56029285634409</v>
      </c>
      <c r="W437" s="539">
        <v>195.14873072385009</v>
      </c>
      <c r="X437" s="539">
        <v>198.61452205925963</v>
      </c>
      <c r="Y437" s="539">
        <v>201.61269766519587</v>
      </c>
      <c r="Z437" s="539">
        <v>204.36520011309196</v>
      </c>
      <c r="AA437" s="539">
        <v>206.83802979320487</v>
      </c>
      <c r="AB437" s="539">
        <v>209.2289114881205</v>
      </c>
      <c r="AC437" s="539">
        <v>209.79447538721067</v>
      </c>
      <c r="AD437" s="539">
        <v>213.1857728214118</v>
      </c>
      <c r="AE437" s="539">
        <v>214.1934663677975</v>
      </c>
      <c r="AF437" s="539">
        <v>214.81700036161052</v>
      </c>
      <c r="AG437" s="539">
        <v>215.44228829240825</v>
      </c>
      <c r="AH437" s="539">
        <v>216.1425074649998</v>
      </c>
      <c r="AI437" s="539">
        <v>216.81760306701156</v>
      </c>
      <c r="AJ437" s="539">
        <v>217.48626884766841</v>
      </c>
      <c r="AK437" s="539">
        <v>217.81343321355862</v>
      </c>
      <c r="AL437" s="539">
        <v>218.26088477187005</v>
      </c>
    </row>
    <row r="438" spans="1:38" s="539" customFormat="1" x14ac:dyDescent="0.25">
      <c r="A438" s="550"/>
      <c r="B438" s="552" t="s">
        <v>53</v>
      </c>
      <c r="M438" s="200"/>
      <c r="N438" s="539">
        <v>0</v>
      </c>
      <c r="O438" s="539">
        <v>0</v>
      </c>
      <c r="P438" s="539">
        <v>0</v>
      </c>
      <c r="Q438" s="539">
        <v>0</v>
      </c>
      <c r="R438" s="539">
        <v>0</v>
      </c>
      <c r="S438" s="539">
        <v>0</v>
      </c>
      <c r="T438" s="539">
        <v>0</v>
      </c>
      <c r="U438" s="539">
        <v>0</v>
      </c>
      <c r="V438" s="539">
        <v>0</v>
      </c>
      <c r="W438" s="539">
        <v>0</v>
      </c>
      <c r="X438" s="539">
        <v>0</v>
      </c>
      <c r="Y438" s="539">
        <v>0</v>
      </c>
      <c r="Z438" s="539">
        <v>0</v>
      </c>
      <c r="AA438" s="539">
        <v>0</v>
      </c>
      <c r="AB438" s="539">
        <v>0</v>
      </c>
      <c r="AC438" s="539">
        <v>0</v>
      </c>
      <c r="AD438" s="539">
        <v>0</v>
      </c>
      <c r="AE438" s="539">
        <v>0</v>
      </c>
      <c r="AF438" s="539">
        <v>0</v>
      </c>
      <c r="AG438" s="539">
        <v>0</v>
      </c>
      <c r="AH438" s="539">
        <v>0</v>
      </c>
      <c r="AI438" s="539">
        <v>0</v>
      </c>
      <c r="AJ438" s="539">
        <v>0</v>
      </c>
      <c r="AK438" s="539">
        <v>0</v>
      </c>
      <c r="AL438" s="539">
        <v>0</v>
      </c>
    </row>
    <row r="439" spans="1:38" s="539" customFormat="1" x14ac:dyDescent="0.25">
      <c r="M439" s="540"/>
    </row>
    <row r="440" spans="1:38" s="539" customFormat="1" x14ac:dyDescent="0.25">
      <c r="A440" s="554" t="s">
        <v>233</v>
      </c>
      <c r="B440" s="555"/>
      <c r="C440" s="554"/>
      <c r="D440" s="553"/>
      <c r="E440" s="553"/>
      <c r="F440" s="553"/>
      <c r="G440" s="553"/>
      <c r="H440" s="553"/>
      <c r="I440" s="553"/>
      <c r="J440" s="553"/>
      <c r="K440" s="553"/>
      <c r="L440" s="553"/>
      <c r="M440" s="553"/>
      <c r="N440" s="560"/>
      <c r="O440" s="560"/>
      <c r="P440" s="560"/>
      <c r="Q440" s="560"/>
      <c r="R440" s="560"/>
      <c r="S440" s="560"/>
      <c r="T440" s="560"/>
      <c r="U440" s="560"/>
      <c r="V440" s="560"/>
      <c r="W440" s="560"/>
      <c r="X440" s="560"/>
      <c r="Y440" s="560"/>
      <c r="Z440" s="560"/>
      <c r="AA440" s="560"/>
      <c r="AB440" s="560"/>
      <c r="AC440" s="560"/>
      <c r="AD440" s="560"/>
      <c r="AE440" s="560"/>
      <c r="AF440" s="560"/>
      <c r="AG440" s="560"/>
      <c r="AH440" s="560"/>
      <c r="AI440" s="560"/>
      <c r="AJ440" s="560"/>
      <c r="AK440" s="560"/>
      <c r="AL440" s="560"/>
    </row>
    <row r="441" spans="1:38" s="539" customFormat="1" x14ac:dyDescent="0.25">
      <c r="A441" s="551" t="s">
        <v>12</v>
      </c>
      <c r="B441" s="550"/>
    </row>
    <row r="442" spans="1:38" s="539" customFormat="1" x14ac:dyDescent="0.25">
      <c r="A442" s="550"/>
      <c r="B442" s="550" t="s">
        <v>20</v>
      </c>
    </row>
    <row r="443" spans="1:38" s="556" customFormat="1" ht="12.75" x14ac:dyDescent="0.2">
      <c r="A443" s="556" t="s">
        <v>21</v>
      </c>
    </row>
    <row r="444" spans="1:38" s="539" customFormat="1" x14ac:dyDescent="0.25">
      <c r="A444" s="550"/>
      <c r="B444" s="550" t="s">
        <v>22</v>
      </c>
      <c r="M444" s="200"/>
    </row>
    <row r="445" spans="1:38" s="539" customFormat="1" x14ac:dyDescent="0.25">
      <c r="A445" s="550"/>
      <c r="B445" s="550" t="s">
        <v>26</v>
      </c>
      <c r="M445" s="200"/>
    </row>
    <row r="446" spans="1:38" s="539" customFormat="1" x14ac:dyDescent="0.25">
      <c r="A446" s="550"/>
      <c r="B446" s="550" t="s">
        <v>27</v>
      </c>
      <c r="M446" s="200"/>
    </row>
    <row r="447" spans="1:38" s="539" customFormat="1" x14ac:dyDescent="0.25">
      <c r="A447" s="550"/>
      <c r="B447" s="550" t="s">
        <v>29</v>
      </c>
      <c r="M447" s="200"/>
    </row>
    <row r="448" spans="1:38" s="539" customFormat="1" x14ac:dyDescent="0.25">
      <c r="A448" s="550"/>
      <c r="B448" s="550"/>
      <c r="M448" s="200"/>
    </row>
    <row r="449" spans="1:38" s="556" customFormat="1" ht="12.75" x14ac:dyDescent="0.2">
      <c r="A449" s="556" t="s">
        <v>32</v>
      </c>
      <c r="M449" s="241"/>
    </row>
    <row r="450" spans="1:38" s="539" customFormat="1" x14ac:dyDescent="0.25">
      <c r="A450" s="550"/>
      <c r="B450" s="550" t="s">
        <v>33</v>
      </c>
      <c r="M450" s="200"/>
    </row>
    <row r="451" spans="1:38" s="539" customFormat="1" x14ac:dyDescent="0.25">
      <c r="A451" s="552"/>
      <c r="B451" s="552" t="s">
        <v>34</v>
      </c>
      <c r="M451" s="200"/>
    </row>
    <row r="452" spans="1:38" s="539" customFormat="1" x14ac:dyDescent="0.25">
      <c r="A452" s="550"/>
      <c r="B452" s="552" t="s">
        <v>35</v>
      </c>
      <c r="M452" s="200"/>
    </row>
    <row r="453" spans="1:38" s="539" customFormat="1" x14ac:dyDescent="0.25">
      <c r="A453" s="550"/>
      <c r="B453" s="552" t="s">
        <v>29</v>
      </c>
      <c r="M453" s="200"/>
    </row>
    <row r="454" spans="1:38" s="539" customFormat="1" x14ac:dyDescent="0.25">
      <c r="A454" s="550"/>
      <c r="B454" s="550"/>
      <c r="M454" s="200"/>
    </row>
    <row r="455" spans="1:38" s="556" customFormat="1" ht="12.75" x14ac:dyDescent="0.2">
      <c r="A455" s="556" t="s">
        <v>36</v>
      </c>
      <c r="M455" s="241"/>
    </row>
    <row r="456" spans="1:38" s="539" customFormat="1" x14ac:dyDescent="0.25">
      <c r="A456" s="550"/>
      <c r="B456" s="550" t="s">
        <v>37</v>
      </c>
      <c r="L456" s="201"/>
    </row>
    <row r="457" spans="1:38" s="539" customFormat="1" x14ac:dyDescent="0.25">
      <c r="A457" s="550"/>
      <c r="B457" s="550" t="s">
        <v>39</v>
      </c>
      <c r="K457" s="203"/>
    </row>
    <row r="458" spans="1:38" s="539" customFormat="1" x14ac:dyDescent="0.25">
      <c r="A458" s="550"/>
      <c r="B458" s="550" t="s">
        <v>40</v>
      </c>
    </row>
    <row r="459" spans="1:38" s="539" customFormat="1" x14ac:dyDescent="0.25">
      <c r="A459" s="550"/>
      <c r="B459" s="550" t="s">
        <v>29</v>
      </c>
    </row>
    <row r="460" spans="1:38" s="539" customFormat="1" x14ac:dyDescent="0.25">
      <c r="A460" s="550"/>
      <c r="B460" s="550"/>
      <c r="M460" s="200"/>
    </row>
    <row r="461" spans="1:38" s="556" customFormat="1" ht="12.75" x14ac:dyDescent="0.2">
      <c r="A461" s="556" t="s">
        <v>42</v>
      </c>
      <c r="M461" s="241"/>
    </row>
    <row r="462" spans="1:38" s="539" customFormat="1" x14ac:dyDescent="0.25">
      <c r="A462" s="550"/>
      <c r="B462" s="552" t="s">
        <v>43</v>
      </c>
      <c r="M462" s="201"/>
      <c r="N462" s="201">
        <f>N426/SUM(N$426:N$430)</f>
        <v>5.9311798333350693E-2</v>
      </c>
      <c r="O462" s="201">
        <f t="shared" ref="O462:AL466" si="28">O426/SUM(O$426:O$430)</f>
        <v>5.9779959738175702E-2</v>
      </c>
      <c r="P462" s="201">
        <f t="shared" si="28"/>
        <v>5.957876642356276E-2</v>
      </c>
      <c r="Q462" s="201">
        <f t="shared" si="28"/>
        <v>5.8876172664419441E-2</v>
      </c>
      <c r="R462" s="201">
        <f t="shared" si="28"/>
        <v>5.8053800343770223E-2</v>
      </c>
      <c r="S462" s="201">
        <f t="shared" si="28"/>
        <v>5.6966578303923862E-2</v>
      </c>
      <c r="T462" s="201">
        <f t="shared" si="28"/>
        <v>5.5838498320207049E-2</v>
      </c>
      <c r="U462" s="201">
        <f t="shared" si="28"/>
        <v>5.4692630058890933E-2</v>
      </c>
      <c r="V462" s="201">
        <f t="shared" si="28"/>
        <v>5.3604446281120391E-2</v>
      </c>
      <c r="W462" s="201">
        <f t="shared" si="28"/>
        <v>5.2509245778474746E-2</v>
      </c>
      <c r="X462" s="201">
        <f t="shared" si="28"/>
        <v>5.1443782085264546E-2</v>
      </c>
      <c r="Y462" s="201">
        <f t="shared" si="28"/>
        <v>5.0396633150177117E-2</v>
      </c>
      <c r="Z462" s="201">
        <f t="shared" si="28"/>
        <v>4.9434535513675132E-2</v>
      </c>
      <c r="AA462" s="201">
        <f t="shared" si="28"/>
        <v>4.8438047665680439E-2</v>
      </c>
      <c r="AB462" s="201">
        <f t="shared" si="28"/>
        <v>4.7591243216777927E-2</v>
      </c>
      <c r="AC462" s="201">
        <f t="shared" si="28"/>
        <v>4.677831303926392E-2</v>
      </c>
      <c r="AD462" s="201">
        <f t="shared" si="28"/>
        <v>4.5882759443710966E-2</v>
      </c>
      <c r="AE462" s="201">
        <f t="shared" si="28"/>
        <v>4.508176971167116E-2</v>
      </c>
      <c r="AF462" s="201">
        <f t="shared" si="28"/>
        <v>4.4321887844556596E-2</v>
      </c>
      <c r="AG462" s="201">
        <f t="shared" si="28"/>
        <v>4.3596344011900455E-2</v>
      </c>
      <c r="AH462" s="201">
        <f t="shared" si="28"/>
        <v>4.2837872572520683E-2</v>
      </c>
      <c r="AI462" s="201">
        <f t="shared" si="28"/>
        <v>4.2100908925663531E-2</v>
      </c>
      <c r="AJ462" s="201">
        <f t="shared" si="28"/>
        <v>4.1367030119760222E-2</v>
      </c>
      <c r="AK462" s="201">
        <f t="shared" si="28"/>
        <v>4.0639230234913476E-2</v>
      </c>
      <c r="AL462" s="201">
        <f t="shared" si="28"/>
        <v>3.9844905588298438E-2</v>
      </c>
    </row>
    <row r="463" spans="1:38" s="539" customFormat="1" x14ac:dyDescent="0.25">
      <c r="A463" s="550"/>
      <c r="B463" s="552" t="s">
        <v>44</v>
      </c>
      <c r="M463" s="201"/>
      <c r="N463" s="201">
        <f>N427/SUM(N$426:N$430)</f>
        <v>0.66595570511586366</v>
      </c>
      <c r="O463" s="201">
        <f t="shared" ref="O463:AC463" si="29">O427/SUM(O$426:O$430)</f>
        <v>0.69882625697618361</v>
      </c>
      <c r="P463" s="201">
        <f t="shared" si="29"/>
        <v>0.71918796794720763</v>
      </c>
      <c r="Q463" s="201">
        <f t="shared" si="29"/>
        <v>0.731145484548959</v>
      </c>
      <c r="R463" s="201">
        <f t="shared" si="29"/>
        <v>0.73652667845510489</v>
      </c>
      <c r="S463" s="201">
        <f t="shared" si="29"/>
        <v>0.73648684050850077</v>
      </c>
      <c r="T463" s="201">
        <f t="shared" si="29"/>
        <v>0.73263445554479834</v>
      </c>
      <c r="U463" s="201">
        <f t="shared" si="29"/>
        <v>0.72617281089445207</v>
      </c>
      <c r="V463" s="201">
        <f t="shared" si="29"/>
        <v>0.7181110297422939</v>
      </c>
      <c r="W463" s="201">
        <f t="shared" si="29"/>
        <v>0.70902587417973517</v>
      </c>
      <c r="X463" s="201">
        <f t="shared" si="29"/>
        <v>0.69981659669534257</v>
      </c>
      <c r="Y463" s="201">
        <f t="shared" si="29"/>
        <v>0.6900330410358978</v>
      </c>
      <c r="Z463" s="201">
        <f t="shared" si="29"/>
        <v>0.68093292281683615</v>
      </c>
      <c r="AA463" s="201">
        <f t="shared" si="29"/>
        <v>0.67123519673898513</v>
      </c>
      <c r="AB463" s="201">
        <f t="shared" si="29"/>
        <v>0.663195969475322</v>
      </c>
      <c r="AC463" s="201">
        <f t="shared" si="29"/>
        <v>0.65569574086439497</v>
      </c>
      <c r="AD463" s="201">
        <f t="shared" si="28"/>
        <v>0.64730196917839633</v>
      </c>
      <c r="AE463" s="201">
        <f t="shared" si="28"/>
        <v>0.64063020127939119</v>
      </c>
      <c r="AF463" s="201">
        <f t="shared" si="28"/>
        <v>0.63459573695383598</v>
      </c>
      <c r="AG463" s="201">
        <f t="shared" si="28"/>
        <v>0.62920977283484758</v>
      </c>
      <c r="AH463" s="201">
        <f t="shared" si="28"/>
        <v>0.62370246134331242</v>
      </c>
      <c r="AI463" s="201">
        <f t="shared" si="28"/>
        <v>0.61865159733784469</v>
      </c>
      <c r="AJ463" s="201">
        <f t="shared" si="28"/>
        <v>0.61371885078606636</v>
      </c>
      <c r="AK463" s="201">
        <f t="shared" si="28"/>
        <v>0.60914646946896334</v>
      </c>
      <c r="AL463" s="201">
        <f t="shared" si="28"/>
        <v>0.60451483914987025</v>
      </c>
    </row>
    <row r="464" spans="1:38" s="539" customFormat="1" x14ac:dyDescent="0.25">
      <c r="A464" s="550"/>
      <c r="B464" s="552" t="s">
        <v>45</v>
      </c>
      <c r="M464" s="201"/>
      <c r="N464" s="201">
        <f>N428/SUM(N$426:N$430)</f>
        <v>0.26402642541585197</v>
      </c>
      <c r="O464" s="201">
        <f t="shared" si="28"/>
        <v>0.22251564031651255</v>
      </c>
      <c r="P464" s="201">
        <f t="shared" si="28"/>
        <v>0.19034595323945255</v>
      </c>
      <c r="Q464" s="201">
        <f t="shared" si="28"/>
        <v>0.16395548964463441</v>
      </c>
      <c r="R464" s="201">
        <f t="shared" si="28"/>
        <v>0.14220715110031279</v>
      </c>
      <c r="S464" s="201">
        <f t="shared" si="28"/>
        <v>0.12482931357792217</v>
      </c>
      <c r="T464" s="201">
        <f t="shared" si="28"/>
        <v>0.10962913974049697</v>
      </c>
      <c r="U464" s="201">
        <f t="shared" si="28"/>
        <v>9.6684042304424275E-2</v>
      </c>
      <c r="V464" s="201">
        <f t="shared" si="28"/>
        <v>8.5767810750234943E-2</v>
      </c>
      <c r="W464" s="201">
        <f t="shared" si="28"/>
        <v>7.6455280832194675E-2</v>
      </c>
      <c r="X464" s="201">
        <f t="shared" si="28"/>
        <v>6.8518137242402244E-2</v>
      </c>
      <c r="Y464" s="201">
        <f t="shared" si="28"/>
        <v>6.1397122104272589E-2</v>
      </c>
      <c r="Z464" s="201">
        <f t="shared" si="28"/>
        <v>5.5222573364103231E-2</v>
      </c>
      <c r="AA464" s="201">
        <f t="shared" si="28"/>
        <v>4.9522750406772696E-2</v>
      </c>
      <c r="AB464" s="201">
        <f t="shared" si="28"/>
        <v>4.4624836236977869E-2</v>
      </c>
      <c r="AC464" s="201">
        <f t="shared" si="28"/>
        <v>4.0247732608382832E-2</v>
      </c>
      <c r="AD464" s="201">
        <f t="shared" si="28"/>
        <v>3.6123112064827254E-2</v>
      </c>
      <c r="AE464" s="201">
        <f t="shared" si="28"/>
        <v>3.2578922012019888E-2</v>
      </c>
      <c r="AF464" s="201">
        <f t="shared" si="28"/>
        <v>2.9424792093721484E-2</v>
      </c>
      <c r="AG464" s="201">
        <f t="shared" si="28"/>
        <v>2.6615755587918833E-2</v>
      </c>
      <c r="AH464" s="201">
        <f t="shared" si="28"/>
        <v>2.4050760993807485E-2</v>
      </c>
      <c r="AI464" s="201">
        <f t="shared" si="28"/>
        <v>2.1761205987774784E-2</v>
      </c>
      <c r="AJ464" s="201">
        <f t="shared" si="28"/>
        <v>1.9703943208995149E-2</v>
      </c>
      <c r="AK464" s="201">
        <f t="shared" si="28"/>
        <v>1.7872088050845867E-2</v>
      </c>
      <c r="AL464" s="201">
        <f t="shared" si="28"/>
        <v>1.6227708612503642E-2</v>
      </c>
    </row>
    <row r="465" spans="1:38" s="539" customFormat="1" x14ac:dyDescent="0.25">
      <c r="A465" s="550"/>
      <c r="B465" s="552" t="s">
        <v>46</v>
      </c>
      <c r="M465" s="201"/>
      <c r="N465" s="201">
        <f>N429/SUM(N$426:N$430)</f>
        <v>5.9779804401411864E-3</v>
      </c>
      <c r="O465" s="201">
        <f t="shared" si="28"/>
        <v>5.037371114666663E-3</v>
      </c>
      <c r="P465" s="201">
        <f t="shared" si="28"/>
        <v>4.3081231439666299E-3</v>
      </c>
      <c r="Q465" s="201">
        <f t="shared" si="28"/>
        <v>3.709068118954256E-3</v>
      </c>
      <c r="R465" s="201">
        <f t="shared" si="28"/>
        <v>3.2149770246607781E-3</v>
      </c>
      <c r="S465" s="201">
        <f t="shared" si="28"/>
        <v>2.8200622705732269E-3</v>
      </c>
      <c r="T465" s="201">
        <f t="shared" si="28"/>
        <v>2.4649331675557313E-3</v>
      </c>
      <c r="U465" s="201">
        <f t="shared" si="28"/>
        <v>2.1658581452068042E-3</v>
      </c>
      <c r="V465" s="201">
        <f t="shared" si="28"/>
        <v>1.9208864166046589E-3</v>
      </c>
      <c r="W465" s="201">
        <f t="shared" si="28"/>
        <v>1.7053908368521802E-3</v>
      </c>
      <c r="X465" s="201">
        <f t="shared" si="28"/>
        <v>1.5218546856954629E-3</v>
      </c>
      <c r="Y465" s="201">
        <f t="shared" si="28"/>
        <v>1.3572457903365102E-3</v>
      </c>
      <c r="Z465" s="201">
        <f t="shared" si="28"/>
        <v>1.2145517771225197E-3</v>
      </c>
      <c r="AA465" s="201">
        <f t="shared" si="28"/>
        <v>1.0828362318605058E-3</v>
      </c>
      <c r="AB465" s="201">
        <f t="shared" si="28"/>
        <v>9.6962533092723961E-4</v>
      </c>
      <c r="AC465" s="201">
        <f t="shared" si="28"/>
        <v>8.6843349520989083E-4</v>
      </c>
      <c r="AD465" s="201">
        <f t="shared" si="28"/>
        <v>7.7310649065569855E-4</v>
      </c>
      <c r="AE465" s="201">
        <f t="shared" si="28"/>
        <v>6.9087589449026601E-4</v>
      </c>
      <c r="AF465" s="201">
        <f t="shared" si="28"/>
        <v>6.1767548669436248E-4</v>
      </c>
      <c r="AG465" s="201">
        <f t="shared" si="28"/>
        <v>5.5229100820300902E-4</v>
      </c>
      <c r="AH465" s="201">
        <f t="shared" si="28"/>
        <v>4.9285333927053692E-4</v>
      </c>
      <c r="AI465" s="201">
        <f t="shared" si="28"/>
        <v>4.3981002017762412E-4</v>
      </c>
      <c r="AJ465" s="201">
        <f t="shared" si="28"/>
        <v>3.9216689892090792E-4</v>
      </c>
      <c r="AK465" s="201">
        <f t="shared" si="28"/>
        <v>3.4976507749965056E-4</v>
      </c>
      <c r="AL465" s="201">
        <f t="shared" si="28"/>
        <v>3.1177070702519312E-4</v>
      </c>
    </row>
    <row r="466" spans="1:38" s="539" customFormat="1" x14ac:dyDescent="0.25">
      <c r="A466" s="550"/>
      <c r="B466" s="550" t="s">
        <v>29</v>
      </c>
      <c r="M466" s="201"/>
      <c r="N466" s="201">
        <f>N430/SUM(N$426:N$430)</f>
        <v>4.7280906947924969E-3</v>
      </c>
      <c r="O466" s="201">
        <f t="shared" si="28"/>
        <v>1.3840771854461351E-2</v>
      </c>
      <c r="P466" s="201">
        <f t="shared" si="28"/>
        <v>2.6579189245810497E-2</v>
      </c>
      <c r="Q466" s="201">
        <f t="shared" si="28"/>
        <v>4.2313785023032922E-2</v>
      </c>
      <c r="R466" s="201">
        <f t="shared" si="28"/>
        <v>5.9997393076151394E-2</v>
      </c>
      <c r="S466" s="201">
        <f t="shared" si="28"/>
        <v>7.8897205339079984E-2</v>
      </c>
      <c r="T466" s="201">
        <f t="shared" si="28"/>
        <v>9.943297322694189E-2</v>
      </c>
      <c r="U466" s="201">
        <f t="shared" si="28"/>
        <v>0.12028465859702589</v>
      </c>
      <c r="V466" s="201">
        <f t="shared" si="28"/>
        <v>0.14059582680974594</v>
      </c>
      <c r="W466" s="201">
        <f t="shared" si="28"/>
        <v>0.16030420837274331</v>
      </c>
      <c r="X466" s="201">
        <f t="shared" si="28"/>
        <v>0.17869962929129521</v>
      </c>
      <c r="Y466" s="201">
        <f t="shared" si="28"/>
        <v>0.19681595791931591</v>
      </c>
      <c r="Z466" s="201">
        <f t="shared" si="28"/>
        <v>0.21319541652826299</v>
      </c>
      <c r="AA466" s="201">
        <f t="shared" si="28"/>
        <v>0.22972116895670119</v>
      </c>
      <c r="AB466" s="201">
        <f t="shared" si="28"/>
        <v>0.24361832573999487</v>
      </c>
      <c r="AC466" s="201">
        <f t="shared" si="28"/>
        <v>0.25640977999274844</v>
      </c>
      <c r="AD466" s="201">
        <f t="shared" si="28"/>
        <v>0.2699190528224098</v>
      </c>
      <c r="AE466" s="201">
        <f t="shared" si="28"/>
        <v>0.28101823110242752</v>
      </c>
      <c r="AF466" s="201">
        <f t="shared" si="28"/>
        <v>0.2910399076211917</v>
      </c>
      <c r="AG466" s="201">
        <f t="shared" si="28"/>
        <v>0.30002583655713011</v>
      </c>
      <c r="AH466" s="201">
        <f t="shared" si="28"/>
        <v>0.30891605175108888</v>
      </c>
      <c r="AI466" s="201">
        <f t="shared" si="28"/>
        <v>0.31704647772853933</v>
      </c>
      <c r="AJ466" s="201">
        <f t="shared" si="28"/>
        <v>0.32481800898625729</v>
      </c>
      <c r="AK466" s="201">
        <f t="shared" si="28"/>
        <v>0.33199244716777765</v>
      </c>
      <c r="AL466" s="201">
        <f t="shared" si="28"/>
        <v>0.33910077594230248</v>
      </c>
    </row>
    <row r="467" spans="1:38" s="539" customFormat="1" x14ac:dyDescent="0.25">
      <c r="A467" s="550"/>
      <c r="B467" s="550"/>
      <c r="M467" s="200"/>
    </row>
    <row r="468" spans="1:38" s="556" customFormat="1" ht="12.75" x14ac:dyDescent="0.2">
      <c r="A468" s="556" t="s">
        <v>47</v>
      </c>
      <c r="M468" s="241"/>
    </row>
    <row r="469" spans="1:38" s="539" customFormat="1" x14ac:dyDescent="0.25">
      <c r="A469" s="550"/>
      <c r="B469" s="550" t="s">
        <v>48</v>
      </c>
      <c r="M469" s="200"/>
    </row>
    <row r="470" spans="1:38" s="539" customFormat="1" x14ac:dyDescent="0.25">
      <c r="A470" s="550"/>
      <c r="B470" s="552" t="s">
        <v>50</v>
      </c>
      <c r="M470" s="200"/>
    </row>
    <row r="471" spans="1:38" s="539" customFormat="1" x14ac:dyDescent="0.25">
      <c r="A471" s="550"/>
      <c r="B471" s="550" t="s">
        <v>51</v>
      </c>
      <c r="M471" s="200"/>
    </row>
    <row r="472" spans="1:38" s="539" customFormat="1" x14ac:dyDescent="0.25">
      <c r="A472" s="550"/>
      <c r="B472" s="550" t="s">
        <v>52</v>
      </c>
      <c r="M472" s="200"/>
    </row>
    <row r="473" spans="1:38" s="539" customFormat="1" x14ac:dyDescent="0.25">
      <c r="A473" s="550"/>
      <c r="B473" s="552" t="s">
        <v>29</v>
      </c>
      <c r="M473" s="200"/>
    </row>
    <row r="474" spans="1:38" s="539" customFormat="1" x14ac:dyDescent="0.25">
      <c r="A474" s="550"/>
      <c r="B474" s="552" t="s">
        <v>53</v>
      </c>
      <c r="M474" s="200"/>
    </row>
    <row r="475" spans="1:38" s="539" customFormat="1" x14ac:dyDescent="0.25">
      <c r="M475" s="540"/>
    </row>
  </sheetData>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B0F0"/>
  </sheetPr>
  <dimension ref="A1:BE82"/>
  <sheetViews>
    <sheetView topLeftCell="B1" zoomScale="59" zoomScaleNormal="59" workbookViewId="0">
      <selection activeCell="F37" sqref="F37"/>
    </sheetView>
  </sheetViews>
  <sheetFormatPr defaultRowHeight="15" x14ac:dyDescent="0.25"/>
  <cols>
    <col min="1" max="1" width="26.140625" customWidth="1"/>
    <col min="2" max="2" width="9.140625" customWidth="1"/>
  </cols>
  <sheetData>
    <row r="1" spans="1:32" ht="18" x14ac:dyDescent="0.4">
      <c r="A1" s="268" t="s">
        <v>284</v>
      </c>
      <c r="B1" s="252"/>
      <c r="C1" s="252"/>
      <c r="D1" s="252"/>
      <c r="E1" s="252"/>
      <c r="F1" s="252"/>
      <c r="G1" s="252"/>
      <c r="H1" s="252"/>
      <c r="I1" s="252"/>
      <c r="J1" s="252"/>
      <c r="K1" s="252"/>
      <c r="L1" s="252"/>
      <c r="M1" s="252"/>
      <c r="N1" s="252"/>
      <c r="O1" s="252"/>
      <c r="P1" s="252"/>
      <c r="Q1" s="252"/>
      <c r="R1" s="252"/>
      <c r="S1" s="252"/>
      <c r="T1" s="252"/>
      <c r="U1" s="252"/>
      <c r="V1" s="252"/>
      <c r="W1" s="252"/>
      <c r="X1" s="252"/>
      <c r="Y1" s="252"/>
      <c r="Z1" s="252"/>
      <c r="AA1" s="252"/>
      <c r="AB1" s="252"/>
      <c r="AC1" s="252"/>
      <c r="AD1" s="252"/>
      <c r="AE1" s="252"/>
      <c r="AF1" s="252"/>
    </row>
    <row r="2" spans="1:32" ht="14.45" x14ac:dyDescent="0.35">
      <c r="A2" s="1040" t="s">
        <v>675</v>
      </c>
      <c r="B2" s="252"/>
      <c r="C2" s="252"/>
      <c r="D2" s="252"/>
      <c r="E2" s="252"/>
      <c r="F2" s="252"/>
      <c r="G2" s="252"/>
      <c r="H2" s="252"/>
      <c r="I2" s="252"/>
      <c r="J2" s="252"/>
      <c r="K2" s="252"/>
      <c r="L2" s="252"/>
      <c r="M2" s="252"/>
      <c r="N2" s="252"/>
      <c r="O2" s="252"/>
      <c r="P2" s="252"/>
      <c r="Q2" s="252"/>
      <c r="R2" s="252"/>
      <c r="S2" s="252"/>
      <c r="T2" s="252"/>
      <c r="U2" s="252"/>
      <c r="V2" s="252"/>
      <c r="W2" s="252"/>
      <c r="X2" s="252"/>
      <c r="Y2" s="252"/>
      <c r="Z2" s="252"/>
      <c r="AA2" s="252"/>
      <c r="AB2" s="252"/>
      <c r="AC2" s="252"/>
      <c r="AD2" s="252"/>
      <c r="AE2" s="252"/>
      <c r="AF2" s="252"/>
    </row>
    <row r="3" spans="1:32" ht="14.45" x14ac:dyDescent="0.35">
      <c r="A3" s="252"/>
      <c r="B3" s="261" t="s">
        <v>158</v>
      </c>
      <c r="C3" s="252"/>
      <c r="D3" s="263"/>
      <c r="E3" s="262"/>
      <c r="F3" s="262"/>
      <c r="G3" s="262">
        <v>2010</v>
      </c>
      <c r="H3" s="262">
        <v>2011</v>
      </c>
      <c r="I3" s="262">
        <v>2012</v>
      </c>
      <c r="J3" s="262">
        <v>2013</v>
      </c>
      <c r="K3" s="262">
        <v>2014</v>
      </c>
      <c r="L3" s="262">
        <v>2015</v>
      </c>
      <c r="M3" s="262">
        <v>2016</v>
      </c>
      <c r="N3" s="262">
        <v>2017</v>
      </c>
      <c r="O3" s="262">
        <v>2018</v>
      </c>
      <c r="P3" s="262">
        <v>2019</v>
      </c>
      <c r="Q3" s="262">
        <v>2020</v>
      </c>
      <c r="R3" s="262">
        <v>2021</v>
      </c>
      <c r="S3" s="262">
        <v>2022</v>
      </c>
      <c r="T3" s="262">
        <v>2023</v>
      </c>
      <c r="U3" s="262">
        <v>2024</v>
      </c>
      <c r="V3" s="262">
        <v>2025</v>
      </c>
      <c r="W3" s="262">
        <v>2026</v>
      </c>
      <c r="X3" s="262">
        <v>2027</v>
      </c>
      <c r="Y3" s="262">
        <v>2028</v>
      </c>
      <c r="Z3" s="262">
        <v>2029</v>
      </c>
      <c r="AA3" s="262">
        <v>2030</v>
      </c>
      <c r="AB3" s="262">
        <v>2031</v>
      </c>
      <c r="AC3" s="262">
        <v>2032</v>
      </c>
      <c r="AD3" s="262">
        <v>2033</v>
      </c>
      <c r="AE3" s="262">
        <v>2034</v>
      </c>
      <c r="AF3" s="262">
        <v>2035</v>
      </c>
    </row>
    <row r="4" spans="1:32" s="221" customFormat="1" ht="14.45" x14ac:dyDescent="0.35">
      <c r="A4"/>
      <c r="B4"/>
      <c r="C4"/>
      <c r="D4"/>
      <c r="E4"/>
      <c r="F4"/>
      <c r="G4"/>
      <c r="H4"/>
      <c r="I4"/>
      <c r="J4"/>
      <c r="K4"/>
      <c r="L4"/>
      <c r="M4"/>
      <c r="N4"/>
      <c r="O4"/>
      <c r="P4"/>
      <c r="Q4"/>
      <c r="R4"/>
      <c r="S4"/>
      <c r="T4"/>
      <c r="U4"/>
      <c r="V4"/>
      <c r="W4"/>
      <c r="X4"/>
      <c r="Y4"/>
      <c r="Z4"/>
      <c r="AA4"/>
      <c r="AB4"/>
      <c r="AC4"/>
      <c r="AD4"/>
      <c r="AE4"/>
      <c r="AF4"/>
    </row>
    <row r="5" spans="1:32" s="221" customFormat="1" ht="14.45" x14ac:dyDescent="0.35">
      <c r="A5" s="264" t="s">
        <v>173</v>
      </c>
      <c r="B5" s="265"/>
      <c r="C5" s="264"/>
      <c r="D5" s="265"/>
      <c r="E5" s="265"/>
      <c r="F5" s="265"/>
      <c r="G5" s="265"/>
      <c r="H5" s="828" t="s">
        <v>690</v>
      </c>
      <c r="I5" s="265"/>
      <c r="J5" s="265"/>
      <c r="K5" s="265"/>
      <c r="L5" s="265"/>
      <c r="M5" s="265"/>
      <c r="N5" s="265"/>
      <c r="O5" s="265"/>
      <c r="P5" s="265"/>
      <c r="Q5" s="265"/>
      <c r="R5" s="265"/>
      <c r="S5" s="265"/>
      <c r="T5" s="265"/>
      <c r="U5" s="265"/>
      <c r="V5" s="265"/>
      <c r="W5" s="265"/>
      <c r="X5" s="265"/>
      <c r="Y5" s="265"/>
      <c r="Z5" s="265"/>
      <c r="AA5" s="265"/>
      <c r="AB5" s="265"/>
      <c r="AC5" s="265"/>
      <c r="AD5" s="265"/>
      <c r="AE5" s="265"/>
      <c r="AF5" s="265"/>
    </row>
    <row r="6" spans="1:32" ht="14.45" x14ac:dyDescent="0.35">
      <c r="A6" s="253" t="s">
        <v>12</v>
      </c>
      <c r="B6" s="252"/>
    </row>
    <row r="7" spans="1:32" ht="14.45" x14ac:dyDescent="0.35">
      <c r="A7" s="252"/>
      <c r="B7" s="252" t="s">
        <v>20</v>
      </c>
      <c r="H7" s="150"/>
      <c r="J7" s="201"/>
    </row>
    <row r="8" spans="1:32" s="202" customFormat="1" ht="12.95" x14ac:dyDescent="0.3">
      <c r="A8" s="267" t="s">
        <v>21</v>
      </c>
      <c r="B8" s="267"/>
      <c r="C8" s="267"/>
      <c r="D8" s="267"/>
      <c r="E8" s="267"/>
      <c r="F8" s="267"/>
      <c r="G8" s="267"/>
      <c r="H8" s="267"/>
      <c r="I8" s="267"/>
      <c r="J8" s="267"/>
      <c r="K8" s="267"/>
      <c r="L8" s="267"/>
      <c r="M8" s="267"/>
      <c r="N8" s="267"/>
      <c r="O8" s="267"/>
      <c r="P8" s="267"/>
      <c r="Q8" s="267"/>
      <c r="R8" s="267"/>
      <c r="S8" s="267"/>
      <c r="T8" s="267"/>
      <c r="U8" s="267"/>
      <c r="V8" s="267"/>
      <c r="W8" s="267"/>
      <c r="X8" s="267"/>
      <c r="Y8" s="267"/>
      <c r="Z8" s="267"/>
      <c r="AA8" s="267"/>
      <c r="AB8" s="267"/>
      <c r="AC8" s="267"/>
      <c r="AD8" s="267"/>
      <c r="AE8" s="267"/>
      <c r="AF8" s="267"/>
    </row>
    <row r="9" spans="1:32" s="221" customFormat="1" ht="14.45" x14ac:dyDescent="0.35">
      <c r="A9" s="252"/>
      <c r="B9" s="252" t="s">
        <v>22</v>
      </c>
      <c r="C9"/>
      <c r="D9" s="201"/>
      <c r="E9" s="201"/>
      <c r="F9" s="201"/>
      <c r="G9" s="201"/>
      <c r="H9" s="199">
        <f>IF(Tech_Specs!$K9="lamp+ballast",IF(Sys_Repl_Rate!G9&gt;=1,0,IF(Lamp_Repl_Rate!G10&gt;=1,System_Total_Mkt!G9*(1-Retrofit_Rate)*(1-Sys_Repl_Rate!G9),System_Total_Mkt!G9*(1-Retrofit_Rate)*(1-Sys_Repl_Rate!G9)*Lamp_Repl_Rate!G10)),0)</f>
        <v>0</v>
      </c>
      <c r="I9" s="199">
        <f>IF(Tech_Specs!$K9="lamp+ballast",IF(Sys_Repl_Rate!H9&gt;=1,0,IF(Lamp_Repl_Rate!H10&gt;=1,System_Total_Mkt!H9*(1-Retrofit_Rate)*(1-Sys_Repl_Rate!H9),System_Total_Mkt!H9*(1-Retrofit_Rate)*(1-Sys_Repl_Rate!H9)*Lamp_Repl_Rate!H10)),0)</f>
        <v>0</v>
      </c>
      <c r="J9" s="199">
        <f>IF(Tech_Specs!$K9="lamp+ballast",IF(Sys_Repl_Rate!I9&gt;=1,0,IF(Lamp_Repl_Rate!I10&gt;=1,System_Total_Mkt!I9*(1-Retrofit_Rate)*(1-Sys_Repl_Rate!I9),System_Total_Mkt!I9*(1-Retrofit_Rate)*(1-Sys_Repl_Rate!I9)*Lamp_Repl_Rate!I10)),0)</f>
        <v>0</v>
      </c>
      <c r="K9" s="199">
        <f>IF(Tech_Specs!$K9="lamp+ballast",IF(Sys_Repl_Rate!J9&gt;=1,0,IF(Lamp_Repl_Rate!J10&gt;=1,System_Total_Mkt!J9*(1-Retrofit_Rate)*(1-Sys_Repl_Rate!J9),System_Total_Mkt!J9*(1-Retrofit_Rate)*(1-Sys_Repl_Rate!J9)*Lamp_Repl_Rate!J10)),0)</f>
        <v>0</v>
      </c>
      <c r="L9" s="199">
        <f>IF(Tech_Specs!$K9="lamp+ballast",IF(Sys_Repl_Rate!K9&gt;=1,0,IF(Lamp_Repl_Rate!K10&gt;=1,System_Total_Mkt!K9*(1-Retrofit_Rate)*(1-Sys_Repl_Rate!K9),System_Total_Mkt!K9*(1-Retrofit_Rate)*(1-Sys_Repl_Rate!K9)*Lamp_Repl_Rate!K10)),0)</f>
        <v>0</v>
      </c>
      <c r="M9" s="199">
        <f>IF(Tech_Specs!$K9="lamp+ballast",IF(Sys_Repl_Rate!L9&gt;=1,0,IF(Lamp_Repl_Rate!L10&gt;=1,System_Total_Mkt!L9*(1-Retrofit_Rate)*(1-Sys_Repl_Rate!L9),System_Total_Mkt!L9*(1-Retrofit_Rate)*(1-Sys_Repl_Rate!L9)*Lamp_Repl_Rate!L10)),0)</f>
        <v>0</v>
      </c>
      <c r="N9" s="199">
        <f>IF(Tech_Specs!$K9="lamp+ballast",IF(Sys_Repl_Rate!M9&gt;=1,0,IF(Lamp_Repl_Rate!M10&gt;=1,System_Total_Mkt!M9*(1-Retrofit_Rate)*(1-Sys_Repl_Rate!M9),System_Total_Mkt!M9*(1-Retrofit_Rate)*(1-Sys_Repl_Rate!M9)*Lamp_Repl_Rate!M10)),0)</f>
        <v>0</v>
      </c>
      <c r="O9" s="199">
        <f>IF(Tech_Specs!$K9="lamp+ballast",IF(Sys_Repl_Rate!N9&gt;=1,0,IF(Lamp_Repl_Rate!N10&gt;=1,System_Total_Mkt!N9*(1-Retrofit_Rate)*(1-Sys_Repl_Rate!N9),System_Total_Mkt!N9*(1-Retrofit_Rate)*(1-Sys_Repl_Rate!N9)*Lamp_Repl_Rate!N10)),0)</f>
        <v>0</v>
      </c>
      <c r="P9" s="199">
        <f>IF(Tech_Specs!$K9="lamp+ballast",IF(Sys_Repl_Rate!O9&gt;=1,0,IF(Lamp_Repl_Rate!O10&gt;=1,System_Total_Mkt!O9*(1-Retrofit_Rate)*(1-Sys_Repl_Rate!O9),System_Total_Mkt!O9*(1-Retrofit_Rate)*(1-Sys_Repl_Rate!O9)*Lamp_Repl_Rate!O10)),0)</f>
        <v>0</v>
      </c>
      <c r="Q9" s="199">
        <f>IF(Tech_Specs!$K9="lamp+ballast",IF(Sys_Repl_Rate!P9&gt;=1,0,IF(Lamp_Repl_Rate!P10&gt;=1,System_Total_Mkt!P9*(1-Retrofit_Rate)*(1-Sys_Repl_Rate!P9),System_Total_Mkt!P9*(1-Retrofit_Rate)*(1-Sys_Repl_Rate!P9)*Lamp_Repl_Rate!P10)),0)</f>
        <v>0</v>
      </c>
      <c r="R9" s="199">
        <f>IF(Tech_Specs!$K9="lamp+ballast",IF(Sys_Repl_Rate!Q9&gt;=1,0,IF(Lamp_Repl_Rate!Q10&gt;=1,System_Total_Mkt!Q9*(1-Retrofit_Rate)*(1-Sys_Repl_Rate!Q9),System_Total_Mkt!Q9*(1-Retrofit_Rate)*(1-Sys_Repl_Rate!Q9)*Lamp_Repl_Rate!Q10)),0)</f>
        <v>0</v>
      </c>
      <c r="S9" s="199">
        <f>IF(Tech_Specs!$K9="lamp+ballast",IF(Sys_Repl_Rate!R9&gt;=1,0,IF(Lamp_Repl_Rate!R10&gt;=1,System_Total_Mkt!R9*(1-Retrofit_Rate)*(1-Sys_Repl_Rate!R9),System_Total_Mkt!R9*(1-Retrofit_Rate)*(1-Sys_Repl_Rate!R9)*Lamp_Repl_Rate!R10)),0)</f>
        <v>0</v>
      </c>
      <c r="T9" s="199">
        <f>IF(Tech_Specs!$K9="lamp+ballast",IF(Sys_Repl_Rate!S9&gt;=1,0,IF(Lamp_Repl_Rate!S10&gt;=1,System_Total_Mkt!S9*(1-Retrofit_Rate)*(1-Sys_Repl_Rate!S9),System_Total_Mkt!S9*(1-Retrofit_Rate)*(1-Sys_Repl_Rate!S9)*Lamp_Repl_Rate!S10)),0)</f>
        <v>0</v>
      </c>
      <c r="U9" s="199">
        <f>IF(Tech_Specs!$K9="lamp+ballast",IF(Sys_Repl_Rate!T9&gt;=1,0,IF(Lamp_Repl_Rate!T10&gt;=1,System_Total_Mkt!T9*(1-Retrofit_Rate)*(1-Sys_Repl_Rate!T9),System_Total_Mkt!T9*(1-Retrofit_Rate)*(1-Sys_Repl_Rate!T9)*Lamp_Repl_Rate!T10)),0)</f>
        <v>0</v>
      </c>
      <c r="V9" s="199">
        <f>IF(Tech_Specs!$K9="lamp+ballast",IF(Sys_Repl_Rate!U9&gt;=1,0,IF(Lamp_Repl_Rate!U10&gt;=1,System_Total_Mkt!U9*(1-Retrofit_Rate)*(1-Sys_Repl_Rate!U9),System_Total_Mkt!U9*(1-Retrofit_Rate)*(1-Sys_Repl_Rate!U9)*Lamp_Repl_Rate!U10)),0)</f>
        <v>0</v>
      </c>
      <c r="W9" s="199">
        <f>IF(Tech_Specs!$K9="lamp+ballast",IF(Sys_Repl_Rate!V9&gt;=1,0,IF(Lamp_Repl_Rate!V10&gt;=1,System_Total_Mkt!V9*(1-Retrofit_Rate)*(1-Sys_Repl_Rate!V9),System_Total_Mkt!V9*(1-Retrofit_Rate)*(1-Sys_Repl_Rate!V9)*Lamp_Repl_Rate!V10)),0)</f>
        <v>0</v>
      </c>
      <c r="X9" s="199">
        <f>IF(Tech_Specs!$K9="lamp+ballast",IF(Sys_Repl_Rate!W9&gt;=1,0,IF(Lamp_Repl_Rate!W10&gt;=1,System_Total_Mkt!W9*(1-Retrofit_Rate)*(1-Sys_Repl_Rate!W9),System_Total_Mkt!W9*(1-Retrofit_Rate)*(1-Sys_Repl_Rate!W9)*Lamp_Repl_Rate!W10)),0)</f>
        <v>0</v>
      </c>
      <c r="Y9" s="199">
        <f>IF(Tech_Specs!$K9="lamp+ballast",IF(Sys_Repl_Rate!X9&gt;=1,0,IF(Lamp_Repl_Rate!X10&gt;=1,System_Total_Mkt!X9*(1-Retrofit_Rate)*(1-Sys_Repl_Rate!X9),System_Total_Mkt!X9*(1-Retrofit_Rate)*(1-Sys_Repl_Rate!X9)*Lamp_Repl_Rate!X10)),0)</f>
        <v>0</v>
      </c>
      <c r="Z9" s="199">
        <f>IF(Tech_Specs!$K9="lamp+ballast",IF(Sys_Repl_Rate!Y9&gt;=1,0,IF(Lamp_Repl_Rate!Y10&gt;=1,System_Total_Mkt!Y9*(1-Retrofit_Rate)*(1-Sys_Repl_Rate!Y9),System_Total_Mkt!Y9*(1-Retrofit_Rate)*(1-Sys_Repl_Rate!Y9)*Lamp_Repl_Rate!Y10)),0)</f>
        <v>0</v>
      </c>
      <c r="AA9" s="199">
        <f>IF(Tech_Specs!$K9="lamp+ballast",IF(Sys_Repl_Rate!Z9&gt;=1,0,IF(Lamp_Repl_Rate!Z10&gt;=1,System_Total_Mkt!Z9*(1-Retrofit_Rate)*(1-Sys_Repl_Rate!Z9),System_Total_Mkt!Z9*(1-Retrofit_Rate)*(1-Sys_Repl_Rate!Z9)*Lamp_Repl_Rate!Z10)),0)</f>
        <v>0</v>
      </c>
      <c r="AB9" s="199">
        <f>IF(Tech_Specs!$K9="lamp+ballast",IF(Sys_Repl_Rate!AA9&gt;=1,0,IF(Lamp_Repl_Rate!AA10&gt;=1,System_Total_Mkt!AA9*(1-Retrofit_Rate)*(1-Sys_Repl_Rate!AA9),System_Total_Mkt!AA9*(1-Retrofit_Rate)*(1-Sys_Repl_Rate!AA9)*Lamp_Repl_Rate!AA10)),0)</f>
        <v>0</v>
      </c>
      <c r="AC9" s="199">
        <f>IF(Tech_Specs!$K9="lamp+ballast",IF(Sys_Repl_Rate!AB9&gt;=1,0,IF(Lamp_Repl_Rate!AB10&gt;=1,System_Total_Mkt!AB9*(1-Retrofit_Rate)*(1-Sys_Repl_Rate!AB9),System_Total_Mkt!AB9*(1-Retrofit_Rate)*(1-Sys_Repl_Rate!AB9)*Lamp_Repl_Rate!AB10)),0)</f>
        <v>0</v>
      </c>
      <c r="AD9" s="199">
        <f>IF(Tech_Specs!$K9="lamp+ballast",IF(Sys_Repl_Rate!AC9&gt;=1,0,IF(Lamp_Repl_Rate!AC10&gt;=1,System_Total_Mkt!AC9*(1-Retrofit_Rate)*(1-Sys_Repl_Rate!AC9),System_Total_Mkt!AC9*(1-Retrofit_Rate)*(1-Sys_Repl_Rate!AC9)*Lamp_Repl_Rate!AC10)),0)</f>
        <v>0</v>
      </c>
      <c r="AE9" s="199">
        <f>IF(Tech_Specs!$K9="lamp+ballast",IF(Sys_Repl_Rate!AD9&gt;=1,0,IF(Lamp_Repl_Rate!AD10&gt;=1,System_Total_Mkt!AD9*(1-Retrofit_Rate)*(1-Sys_Repl_Rate!AD9),System_Total_Mkt!AD9*(1-Retrofit_Rate)*(1-Sys_Repl_Rate!AD9)*Lamp_Repl_Rate!AD10)),0)</f>
        <v>0</v>
      </c>
      <c r="AF9" s="199">
        <f>IF(Tech_Specs!$K9="lamp+ballast",IF(Sys_Repl_Rate!AE9&gt;=1,0,IF(Lamp_Repl_Rate!AE10&gt;=1,System_Total_Mkt!AE9*(1-Retrofit_Rate)*(1-Sys_Repl_Rate!AE9),System_Total_Mkt!AE9*(1-Retrofit_Rate)*(1-Sys_Repl_Rate!AE9)*Lamp_Repl_Rate!AE10)),0)</f>
        <v>0</v>
      </c>
    </row>
    <row r="10" spans="1:32" s="221" customFormat="1" ht="14.45" x14ac:dyDescent="0.35">
      <c r="A10" s="252"/>
      <c r="B10" s="252" t="s">
        <v>26</v>
      </c>
      <c r="C10"/>
      <c r="D10" s="201"/>
      <c r="E10" s="201"/>
      <c r="F10" s="201"/>
      <c r="G10" s="201"/>
      <c r="H10" s="199">
        <f>IF(Tech_Specs!$K10="lamp+ballast",IF(Sys_Repl_Rate!G10&gt;=1,0,IF(Lamp_Repl_Rate!G11&gt;=1,System_Total_Mkt!G10*(1-Retrofit_Rate)*(1-Sys_Repl_Rate!G10),System_Total_Mkt!G10*(1-Retrofit_Rate)*(1-Sys_Repl_Rate!G10)*Lamp_Repl_Rate!G11)),0)</f>
        <v>0</v>
      </c>
      <c r="I10" s="199">
        <f>IF(Tech_Specs!$K10="lamp+ballast",IF(Sys_Repl_Rate!H10&gt;=1,0,IF(Lamp_Repl_Rate!H11&gt;=1,System_Total_Mkt!H10*(1-Retrofit_Rate)*(1-Sys_Repl_Rate!H10),System_Total_Mkt!H10*(1-Retrofit_Rate)*(1-Sys_Repl_Rate!H10)*Lamp_Repl_Rate!H11)),0)</f>
        <v>0</v>
      </c>
      <c r="J10" s="199">
        <f>IF(Tech_Specs!$K10="lamp+ballast",IF(Sys_Repl_Rate!I10&gt;=1,0,IF(Lamp_Repl_Rate!I11&gt;=1,System_Total_Mkt!I10*(1-Retrofit_Rate)*(1-Sys_Repl_Rate!I10),System_Total_Mkt!I10*(1-Retrofit_Rate)*(1-Sys_Repl_Rate!I10)*Lamp_Repl_Rate!I11)),0)</f>
        <v>0</v>
      </c>
      <c r="K10" s="199">
        <f>IF(Tech_Specs!$K10="lamp+ballast",IF(Sys_Repl_Rate!J10&gt;=1,0,IF(Lamp_Repl_Rate!J11&gt;=1,System_Total_Mkt!J10*(1-Retrofit_Rate)*(1-Sys_Repl_Rate!J10),System_Total_Mkt!J10*(1-Retrofit_Rate)*(1-Sys_Repl_Rate!J10)*Lamp_Repl_Rate!J11)),0)</f>
        <v>0</v>
      </c>
      <c r="L10" s="199">
        <f>IF(Tech_Specs!$K10="lamp+ballast",IF(Sys_Repl_Rate!K10&gt;=1,0,IF(Lamp_Repl_Rate!K11&gt;=1,System_Total_Mkt!K10*(1-Retrofit_Rate)*(1-Sys_Repl_Rate!K10),System_Total_Mkt!K10*(1-Retrofit_Rate)*(1-Sys_Repl_Rate!K10)*Lamp_Repl_Rate!K11)),0)</f>
        <v>0</v>
      </c>
      <c r="M10" s="199">
        <f>IF(Tech_Specs!$K10="lamp+ballast",IF(Sys_Repl_Rate!L10&gt;=1,0,IF(Lamp_Repl_Rate!L11&gt;=1,System_Total_Mkt!L10*(1-Retrofit_Rate)*(1-Sys_Repl_Rate!L10),System_Total_Mkt!L10*(1-Retrofit_Rate)*(1-Sys_Repl_Rate!L10)*Lamp_Repl_Rate!L11)),0)</f>
        <v>0</v>
      </c>
      <c r="N10" s="199">
        <f>IF(Tech_Specs!$K10="lamp+ballast",IF(Sys_Repl_Rate!M10&gt;=1,0,IF(Lamp_Repl_Rate!M11&gt;=1,System_Total_Mkt!M10*(1-Retrofit_Rate)*(1-Sys_Repl_Rate!M10),System_Total_Mkt!M10*(1-Retrofit_Rate)*(1-Sys_Repl_Rate!M10)*Lamp_Repl_Rate!M11)),0)</f>
        <v>0</v>
      </c>
      <c r="O10" s="199">
        <f>IF(Tech_Specs!$K10="lamp+ballast",IF(Sys_Repl_Rate!N10&gt;=1,0,IF(Lamp_Repl_Rate!N11&gt;=1,System_Total_Mkt!N10*(1-Retrofit_Rate)*(1-Sys_Repl_Rate!N10),System_Total_Mkt!N10*(1-Retrofit_Rate)*(1-Sys_Repl_Rate!N10)*Lamp_Repl_Rate!N11)),0)</f>
        <v>0</v>
      </c>
      <c r="P10" s="199">
        <f>IF(Tech_Specs!$K10="lamp+ballast",IF(Sys_Repl_Rate!O10&gt;=1,0,IF(Lamp_Repl_Rate!O11&gt;=1,System_Total_Mkt!O10*(1-Retrofit_Rate)*(1-Sys_Repl_Rate!O10),System_Total_Mkt!O10*(1-Retrofit_Rate)*(1-Sys_Repl_Rate!O10)*Lamp_Repl_Rate!O11)),0)</f>
        <v>0</v>
      </c>
      <c r="Q10" s="199">
        <f>IF(Tech_Specs!$K10="lamp+ballast",IF(Sys_Repl_Rate!P10&gt;=1,0,IF(Lamp_Repl_Rate!P11&gt;=1,System_Total_Mkt!P10*(1-Retrofit_Rate)*(1-Sys_Repl_Rate!P10),System_Total_Mkt!P10*(1-Retrofit_Rate)*(1-Sys_Repl_Rate!P10)*Lamp_Repl_Rate!P11)),0)</f>
        <v>0</v>
      </c>
      <c r="R10" s="199">
        <f>IF(Tech_Specs!$K10="lamp+ballast",IF(Sys_Repl_Rate!Q10&gt;=1,0,IF(Lamp_Repl_Rate!Q11&gt;=1,System_Total_Mkt!Q10*(1-Retrofit_Rate)*(1-Sys_Repl_Rate!Q10),System_Total_Mkt!Q10*(1-Retrofit_Rate)*(1-Sys_Repl_Rate!Q10)*Lamp_Repl_Rate!Q11)),0)</f>
        <v>0</v>
      </c>
      <c r="S10" s="199">
        <f>IF(Tech_Specs!$K10="lamp+ballast",IF(Sys_Repl_Rate!R10&gt;=1,0,IF(Lamp_Repl_Rate!R11&gt;=1,System_Total_Mkt!R10*(1-Retrofit_Rate)*(1-Sys_Repl_Rate!R10),System_Total_Mkt!R10*(1-Retrofit_Rate)*(1-Sys_Repl_Rate!R10)*Lamp_Repl_Rate!R11)),0)</f>
        <v>0</v>
      </c>
      <c r="T10" s="199">
        <f>IF(Tech_Specs!$K10="lamp+ballast",IF(Sys_Repl_Rate!S10&gt;=1,0,IF(Lamp_Repl_Rate!S11&gt;=1,System_Total_Mkt!S10*(1-Retrofit_Rate)*(1-Sys_Repl_Rate!S10),System_Total_Mkt!S10*(1-Retrofit_Rate)*(1-Sys_Repl_Rate!S10)*Lamp_Repl_Rate!S11)),0)</f>
        <v>0</v>
      </c>
      <c r="U10" s="199">
        <f>IF(Tech_Specs!$K10="lamp+ballast",IF(Sys_Repl_Rate!T10&gt;=1,0,IF(Lamp_Repl_Rate!T11&gt;=1,System_Total_Mkt!T10*(1-Retrofit_Rate)*(1-Sys_Repl_Rate!T10),System_Total_Mkt!T10*(1-Retrofit_Rate)*(1-Sys_Repl_Rate!T10)*Lamp_Repl_Rate!T11)),0)</f>
        <v>0</v>
      </c>
      <c r="V10" s="199">
        <f>IF(Tech_Specs!$K10="lamp+ballast",IF(Sys_Repl_Rate!U10&gt;=1,0,IF(Lamp_Repl_Rate!U11&gt;=1,System_Total_Mkt!U10*(1-Retrofit_Rate)*(1-Sys_Repl_Rate!U10),System_Total_Mkt!U10*(1-Retrofit_Rate)*(1-Sys_Repl_Rate!U10)*Lamp_Repl_Rate!U11)),0)</f>
        <v>0</v>
      </c>
      <c r="W10" s="199">
        <f>IF(Tech_Specs!$K10="lamp+ballast",IF(Sys_Repl_Rate!V10&gt;=1,0,IF(Lamp_Repl_Rate!V11&gt;=1,System_Total_Mkt!V10*(1-Retrofit_Rate)*(1-Sys_Repl_Rate!V10),System_Total_Mkt!V10*(1-Retrofit_Rate)*(1-Sys_Repl_Rate!V10)*Lamp_Repl_Rate!V11)),0)</f>
        <v>0</v>
      </c>
      <c r="X10" s="199">
        <f>IF(Tech_Specs!$K10="lamp+ballast",IF(Sys_Repl_Rate!W10&gt;=1,0,IF(Lamp_Repl_Rate!W11&gt;=1,System_Total_Mkt!W10*(1-Retrofit_Rate)*(1-Sys_Repl_Rate!W10),System_Total_Mkt!W10*(1-Retrofit_Rate)*(1-Sys_Repl_Rate!W10)*Lamp_Repl_Rate!W11)),0)</f>
        <v>0</v>
      </c>
      <c r="Y10" s="199">
        <f>IF(Tech_Specs!$K10="lamp+ballast",IF(Sys_Repl_Rate!X10&gt;=1,0,IF(Lamp_Repl_Rate!X11&gt;=1,System_Total_Mkt!X10*(1-Retrofit_Rate)*(1-Sys_Repl_Rate!X10),System_Total_Mkt!X10*(1-Retrofit_Rate)*(1-Sys_Repl_Rate!X10)*Lamp_Repl_Rate!X11)),0)</f>
        <v>0</v>
      </c>
      <c r="Z10" s="199">
        <f>IF(Tech_Specs!$K10="lamp+ballast",IF(Sys_Repl_Rate!Y10&gt;=1,0,IF(Lamp_Repl_Rate!Y11&gt;=1,System_Total_Mkt!Y10*(1-Retrofit_Rate)*(1-Sys_Repl_Rate!Y10),System_Total_Mkt!Y10*(1-Retrofit_Rate)*(1-Sys_Repl_Rate!Y10)*Lamp_Repl_Rate!Y11)),0)</f>
        <v>0</v>
      </c>
      <c r="AA10" s="199">
        <f>IF(Tech_Specs!$K10="lamp+ballast",IF(Sys_Repl_Rate!Z10&gt;=1,0,IF(Lamp_Repl_Rate!Z11&gt;=1,System_Total_Mkt!Z10*(1-Retrofit_Rate)*(1-Sys_Repl_Rate!Z10),System_Total_Mkt!Z10*(1-Retrofit_Rate)*(1-Sys_Repl_Rate!Z10)*Lamp_Repl_Rate!Z11)),0)</f>
        <v>0</v>
      </c>
      <c r="AB10" s="199">
        <f>IF(Tech_Specs!$K10="lamp+ballast",IF(Sys_Repl_Rate!AA10&gt;=1,0,IF(Lamp_Repl_Rate!AA11&gt;=1,System_Total_Mkt!AA10*(1-Retrofit_Rate)*(1-Sys_Repl_Rate!AA10),System_Total_Mkt!AA10*(1-Retrofit_Rate)*(1-Sys_Repl_Rate!AA10)*Lamp_Repl_Rate!AA11)),0)</f>
        <v>0</v>
      </c>
      <c r="AC10" s="199">
        <f>IF(Tech_Specs!$K10="lamp+ballast",IF(Sys_Repl_Rate!AB10&gt;=1,0,IF(Lamp_Repl_Rate!AB11&gt;=1,System_Total_Mkt!AB10*(1-Retrofit_Rate)*(1-Sys_Repl_Rate!AB10),System_Total_Mkt!AB10*(1-Retrofit_Rate)*(1-Sys_Repl_Rate!AB10)*Lamp_Repl_Rate!AB11)),0)</f>
        <v>0</v>
      </c>
      <c r="AD10" s="199">
        <f>IF(Tech_Specs!$K10="lamp+ballast",IF(Sys_Repl_Rate!AC10&gt;=1,0,IF(Lamp_Repl_Rate!AC11&gt;=1,System_Total_Mkt!AC10*(1-Retrofit_Rate)*(1-Sys_Repl_Rate!AC10),System_Total_Mkt!AC10*(1-Retrofit_Rate)*(1-Sys_Repl_Rate!AC10)*Lamp_Repl_Rate!AC11)),0)</f>
        <v>0</v>
      </c>
      <c r="AE10" s="199">
        <f>IF(Tech_Specs!$K10="lamp+ballast",IF(Sys_Repl_Rate!AD10&gt;=1,0,IF(Lamp_Repl_Rate!AD11&gt;=1,System_Total_Mkt!AD10*(1-Retrofit_Rate)*(1-Sys_Repl_Rate!AD10),System_Total_Mkt!AD10*(1-Retrofit_Rate)*(1-Sys_Repl_Rate!AD10)*Lamp_Repl_Rate!AD11)),0)</f>
        <v>0</v>
      </c>
      <c r="AF10" s="199">
        <f>IF(Tech_Specs!$K10="lamp+ballast",IF(Sys_Repl_Rate!AE10&gt;=1,0,IF(Lamp_Repl_Rate!AE11&gt;=1,System_Total_Mkt!AE10*(1-Retrofit_Rate)*(1-Sys_Repl_Rate!AE10),System_Total_Mkt!AE10*(1-Retrofit_Rate)*(1-Sys_Repl_Rate!AE10)*Lamp_Repl_Rate!AE11)),0)</f>
        <v>0</v>
      </c>
    </row>
    <row r="11" spans="1:32" s="221" customFormat="1" ht="14.45" x14ac:dyDescent="0.35">
      <c r="A11" s="252"/>
      <c r="B11" s="252" t="s">
        <v>27</v>
      </c>
      <c r="C11"/>
      <c r="D11" s="201"/>
      <c r="E11" s="201"/>
      <c r="F11" s="201"/>
      <c r="G11" s="201"/>
      <c r="H11" s="199">
        <f>IF(Tech_Specs!$K11="lamp+ballast",IF(Sys_Repl_Rate!G11&gt;=1,0,IF(Lamp_Repl_Rate!G12&gt;=1,System_Total_Mkt!G11*(1-Retrofit_Rate)*(1-Sys_Repl_Rate!G11),System_Total_Mkt!G11*(1-Retrofit_Rate)*(1-Sys_Repl_Rate!G11)*Lamp_Repl_Rate!G12)),0)</f>
        <v>0</v>
      </c>
      <c r="I11" s="199">
        <f>IF(Tech_Specs!$K11="lamp+ballast",IF(Sys_Repl_Rate!H11&gt;=1,0,IF(Lamp_Repl_Rate!H12&gt;=1,System_Total_Mkt!H11*(1-Retrofit_Rate)*(1-Sys_Repl_Rate!H11),System_Total_Mkt!H11*(1-Retrofit_Rate)*(1-Sys_Repl_Rate!H11)*Lamp_Repl_Rate!H12)),0)</f>
        <v>0</v>
      </c>
      <c r="J11" s="199">
        <f>IF(Tech_Specs!$K11="lamp+ballast",IF(Sys_Repl_Rate!I11&gt;=1,0,IF(Lamp_Repl_Rate!I12&gt;=1,System_Total_Mkt!I11*(1-Retrofit_Rate)*(1-Sys_Repl_Rate!I11),System_Total_Mkt!I11*(1-Retrofit_Rate)*(1-Sys_Repl_Rate!I11)*Lamp_Repl_Rate!I12)),0)</f>
        <v>0</v>
      </c>
      <c r="K11" s="199">
        <f>IF(Tech_Specs!$K11="lamp+ballast",IF(Sys_Repl_Rate!J11&gt;=1,0,IF(Lamp_Repl_Rate!J12&gt;=1,System_Total_Mkt!J11*(1-Retrofit_Rate)*(1-Sys_Repl_Rate!J11),System_Total_Mkt!J11*(1-Retrofit_Rate)*(1-Sys_Repl_Rate!J11)*Lamp_Repl_Rate!J12)),0)</f>
        <v>0</v>
      </c>
      <c r="L11" s="199">
        <f>IF(Tech_Specs!$K11="lamp+ballast",IF(Sys_Repl_Rate!K11&gt;=1,0,IF(Lamp_Repl_Rate!K12&gt;=1,System_Total_Mkt!K11*(1-Retrofit_Rate)*(1-Sys_Repl_Rate!K11),System_Total_Mkt!K11*(1-Retrofit_Rate)*(1-Sys_Repl_Rate!K11)*Lamp_Repl_Rate!K12)),0)</f>
        <v>0</v>
      </c>
      <c r="M11" s="199">
        <f>IF(Tech_Specs!$K11="lamp+ballast",IF(Sys_Repl_Rate!L11&gt;=1,0,IF(Lamp_Repl_Rate!L12&gt;=1,System_Total_Mkt!L11*(1-Retrofit_Rate)*(1-Sys_Repl_Rate!L11),System_Total_Mkt!L11*(1-Retrofit_Rate)*(1-Sys_Repl_Rate!L11)*Lamp_Repl_Rate!L12)),0)</f>
        <v>0</v>
      </c>
      <c r="N11" s="199">
        <f>IF(Tech_Specs!$K11="lamp+ballast",IF(Sys_Repl_Rate!M11&gt;=1,0,IF(Lamp_Repl_Rate!M12&gt;=1,System_Total_Mkt!M11*(1-Retrofit_Rate)*(1-Sys_Repl_Rate!M11),System_Total_Mkt!M11*(1-Retrofit_Rate)*(1-Sys_Repl_Rate!M11)*Lamp_Repl_Rate!M12)),0)</f>
        <v>0</v>
      </c>
      <c r="O11" s="199">
        <f>IF(Tech_Specs!$K11="lamp+ballast",IF(Sys_Repl_Rate!N11&gt;=1,0,IF(Lamp_Repl_Rate!N12&gt;=1,System_Total_Mkt!N11*(1-Retrofit_Rate)*(1-Sys_Repl_Rate!N11),System_Total_Mkt!N11*(1-Retrofit_Rate)*(1-Sys_Repl_Rate!N11)*Lamp_Repl_Rate!N12)),0)</f>
        <v>0</v>
      </c>
      <c r="P11" s="199">
        <f>IF(Tech_Specs!$K11="lamp+ballast",IF(Sys_Repl_Rate!O11&gt;=1,0,IF(Lamp_Repl_Rate!O12&gt;=1,System_Total_Mkt!O11*(1-Retrofit_Rate)*(1-Sys_Repl_Rate!O11),System_Total_Mkt!O11*(1-Retrofit_Rate)*(1-Sys_Repl_Rate!O11)*Lamp_Repl_Rate!O12)),0)</f>
        <v>0</v>
      </c>
      <c r="Q11" s="199">
        <f>IF(Tech_Specs!$K11="lamp+ballast",IF(Sys_Repl_Rate!P11&gt;=1,0,IF(Lamp_Repl_Rate!P12&gt;=1,System_Total_Mkt!P11*(1-Retrofit_Rate)*(1-Sys_Repl_Rate!P11),System_Total_Mkt!P11*(1-Retrofit_Rate)*(1-Sys_Repl_Rate!P11)*Lamp_Repl_Rate!P12)),0)</f>
        <v>0</v>
      </c>
      <c r="R11" s="199">
        <f>IF(Tech_Specs!$K11="lamp+ballast",IF(Sys_Repl_Rate!Q11&gt;=1,0,IF(Lamp_Repl_Rate!Q12&gt;=1,System_Total_Mkt!Q11*(1-Retrofit_Rate)*(1-Sys_Repl_Rate!Q11),System_Total_Mkt!Q11*(1-Retrofit_Rate)*(1-Sys_Repl_Rate!Q11)*Lamp_Repl_Rate!Q12)),0)</f>
        <v>0</v>
      </c>
      <c r="S11" s="199">
        <f>IF(Tech_Specs!$K11="lamp+ballast",IF(Sys_Repl_Rate!R11&gt;=1,0,IF(Lamp_Repl_Rate!R12&gt;=1,System_Total_Mkt!R11*(1-Retrofit_Rate)*(1-Sys_Repl_Rate!R11),System_Total_Mkt!R11*(1-Retrofit_Rate)*(1-Sys_Repl_Rate!R11)*Lamp_Repl_Rate!R12)),0)</f>
        <v>0</v>
      </c>
      <c r="T11" s="199">
        <f>IF(Tech_Specs!$K11="lamp+ballast",IF(Sys_Repl_Rate!S11&gt;=1,0,IF(Lamp_Repl_Rate!S12&gt;=1,System_Total_Mkt!S11*(1-Retrofit_Rate)*(1-Sys_Repl_Rate!S11),System_Total_Mkt!S11*(1-Retrofit_Rate)*(1-Sys_Repl_Rate!S11)*Lamp_Repl_Rate!S12)),0)</f>
        <v>0</v>
      </c>
      <c r="U11" s="199">
        <f>IF(Tech_Specs!$K11="lamp+ballast",IF(Sys_Repl_Rate!T11&gt;=1,0,IF(Lamp_Repl_Rate!T12&gt;=1,System_Total_Mkt!T11*(1-Retrofit_Rate)*(1-Sys_Repl_Rate!T11),System_Total_Mkt!T11*(1-Retrofit_Rate)*(1-Sys_Repl_Rate!T11)*Lamp_Repl_Rate!T12)),0)</f>
        <v>0</v>
      </c>
      <c r="V11" s="199">
        <f>IF(Tech_Specs!$K11="lamp+ballast",IF(Sys_Repl_Rate!U11&gt;=1,0,IF(Lamp_Repl_Rate!U12&gt;=1,System_Total_Mkt!U11*(1-Retrofit_Rate)*(1-Sys_Repl_Rate!U11),System_Total_Mkt!U11*(1-Retrofit_Rate)*(1-Sys_Repl_Rate!U11)*Lamp_Repl_Rate!U12)),0)</f>
        <v>0</v>
      </c>
      <c r="W11" s="199">
        <f>IF(Tech_Specs!$K11="lamp+ballast",IF(Sys_Repl_Rate!V11&gt;=1,0,IF(Lamp_Repl_Rate!V12&gt;=1,System_Total_Mkt!V11*(1-Retrofit_Rate)*(1-Sys_Repl_Rate!V11),System_Total_Mkt!V11*(1-Retrofit_Rate)*(1-Sys_Repl_Rate!V11)*Lamp_Repl_Rate!V12)),0)</f>
        <v>0</v>
      </c>
      <c r="X11" s="199">
        <f>IF(Tech_Specs!$K11="lamp+ballast",IF(Sys_Repl_Rate!W11&gt;=1,0,IF(Lamp_Repl_Rate!W12&gt;=1,System_Total_Mkt!W11*(1-Retrofit_Rate)*(1-Sys_Repl_Rate!W11),System_Total_Mkt!W11*(1-Retrofit_Rate)*(1-Sys_Repl_Rate!W11)*Lamp_Repl_Rate!W12)),0)</f>
        <v>0</v>
      </c>
      <c r="Y11" s="199">
        <f>IF(Tech_Specs!$K11="lamp+ballast",IF(Sys_Repl_Rate!X11&gt;=1,0,IF(Lamp_Repl_Rate!X12&gt;=1,System_Total_Mkt!X11*(1-Retrofit_Rate)*(1-Sys_Repl_Rate!X11),System_Total_Mkt!X11*(1-Retrofit_Rate)*(1-Sys_Repl_Rate!X11)*Lamp_Repl_Rate!X12)),0)</f>
        <v>0</v>
      </c>
      <c r="Z11" s="199">
        <f>IF(Tech_Specs!$K11="lamp+ballast",IF(Sys_Repl_Rate!Y11&gt;=1,0,IF(Lamp_Repl_Rate!Y12&gt;=1,System_Total_Mkt!Y11*(1-Retrofit_Rate)*(1-Sys_Repl_Rate!Y11),System_Total_Mkt!Y11*(1-Retrofit_Rate)*(1-Sys_Repl_Rate!Y11)*Lamp_Repl_Rate!Y12)),0)</f>
        <v>0</v>
      </c>
      <c r="AA11" s="199">
        <f>IF(Tech_Specs!$K11="lamp+ballast",IF(Sys_Repl_Rate!Z11&gt;=1,0,IF(Lamp_Repl_Rate!Z12&gt;=1,System_Total_Mkt!Z11*(1-Retrofit_Rate)*(1-Sys_Repl_Rate!Z11),System_Total_Mkt!Z11*(1-Retrofit_Rate)*(1-Sys_Repl_Rate!Z11)*Lamp_Repl_Rate!Z12)),0)</f>
        <v>0</v>
      </c>
      <c r="AB11" s="199">
        <f>IF(Tech_Specs!$K11="lamp+ballast",IF(Sys_Repl_Rate!AA11&gt;=1,0,IF(Lamp_Repl_Rate!AA12&gt;=1,System_Total_Mkt!AA11*(1-Retrofit_Rate)*(1-Sys_Repl_Rate!AA11),System_Total_Mkt!AA11*(1-Retrofit_Rate)*(1-Sys_Repl_Rate!AA11)*Lamp_Repl_Rate!AA12)),0)</f>
        <v>0</v>
      </c>
      <c r="AC11" s="199">
        <f>IF(Tech_Specs!$K11="lamp+ballast",IF(Sys_Repl_Rate!AB11&gt;=1,0,IF(Lamp_Repl_Rate!AB12&gt;=1,System_Total_Mkt!AB11*(1-Retrofit_Rate)*(1-Sys_Repl_Rate!AB11),System_Total_Mkt!AB11*(1-Retrofit_Rate)*(1-Sys_Repl_Rate!AB11)*Lamp_Repl_Rate!AB12)),0)</f>
        <v>0</v>
      </c>
      <c r="AD11" s="199">
        <f>IF(Tech_Specs!$K11="lamp+ballast",IF(Sys_Repl_Rate!AC11&gt;=1,0,IF(Lamp_Repl_Rate!AC12&gt;=1,System_Total_Mkt!AC11*(1-Retrofit_Rate)*(1-Sys_Repl_Rate!AC11),System_Total_Mkt!AC11*(1-Retrofit_Rate)*(1-Sys_Repl_Rate!AC11)*Lamp_Repl_Rate!AC12)),0)</f>
        <v>0</v>
      </c>
      <c r="AE11" s="199">
        <f>IF(Tech_Specs!$K11="lamp+ballast",IF(Sys_Repl_Rate!AD11&gt;=1,0,IF(Lamp_Repl_Rate!AD12&gt;=1,System_Total_Mkt!AD11*(1-Retrofit_Rate)*(1-Sys_Repl_Rate!AD11),System_Total_Mkt!AD11*(1-Retrofit_Rate)*(1-Sys_Repl_Rate!AD11)*Lamp_Repl_Rate!AD12)),0)</f>
        <v>0</v>
      </c>
      <c r="AF11" s="199">
        <f>IF(Tech_Specs!$K11="lamp+ballast",IF(Sys_Repl_Rate!AE11&gt;=1,0,IF(Lamp_Repl_Rate!AE12&gt;=1,System_Total_Mkt!AE11*(1-Retrofit_Rate)*(1-Sys_Repl_Rate!AE11),System_Total_Mkt!AE11*(1-Retrofit_Rate)*(1-Sys_Repl_Rate!AE11)*Lamp_Repl_Rate!AE12)),0)</f>
        <v>0</v>
      </c>
    </row>
    <row r="12" spans="1:32" s="221" customFormat="1" ht="14.45" x14ac:dyDescent="0.35">
      <c r="A12" s="252"/>
      <c r="B12" s="252" t="s">
        <v>29</v>
      </c>
      <c r="C12"/>
      <c r="D12" s="201"/>
      <c r="E12" s="201"/>
      <c r="F12" s="201"/>
      <c r="G12" s="201"/>
      <c r="H12" s="199">
        <f>IF(Tech_Specs!$K12="lamp+ballast",IF(Sys_Repl_Rate!G12&gt;=1,0,IF(Lamp_Repl_Rate!G13&gt;=1,System_Total_Mkt!G12*(1-Retrofit_Rate)*(1-Sys_Repl_Rate!G12),System_Total_Mkt!G12*(1-Retrofit_Rate)*(1-Sys_Repl_Rate!G12)*Lamp_Repl_Rate!G13)),0)</f>
        <v>0</v>
      </c>
      <c r="I12" s="199">
        <f>IF(Tech_Specs!$K12="lamp+ballast",IF(Sys_Repl_Rate!H12&gt;=1,0,IF(Lamp_Repl_Rate!H13&gt;=1,System_Total_Mkt!H12*(1-Retrofit_Rate)*(1-Sys_Repl_Rate!H12),System_Total_Mkt!H12*(1-Retrofit_Rate)*(1-Sys_Repl_Rate!H12)*Lamp_Repl_Rate!H13)),0)</f>
        <v>0</v>
      </c>
      <c r="J12" s="199">
        <f>IF(Tech_Specs!$K12="lamp+ballast",IF(Sys_Repl_Rate!I12&gt;=1,0,IF(Lamp_Repl_Rate!I13&gt;=1,System_Total_Mkt!I12*(1-Retrofit_Rate)*(1-Sys_Repl_Rate!I12),System_Total_Mkt!I12*(1-Retrofit_Rate)*(1-Sys_Repl_Rate!I12)*Lamp_Repl_Rate!I13)),0)</f>
        <v>0</v>
      </c>
      <c r="K12" s="199">
        <f>IF(Tech_Specs!$K12="lamp+ballast",IF(Sys_Repl_Rate!J12&gt;=1,0,IF(Lamp_Repl_Rate!J13&gt;=1,System_Total_Mkt!J12*(1-Retrofit_Rate)*(1-Sys_Repl_Rate!J12),System_Total_Mkt!J12*(1-Retrofit_Rate)*(1-Sys_Repl_Rate!J12)*Lamp_Repl_Rate!J13)),0)</f>
        <v>0</v>
      </c>
      <c r="L12" s="199">
        <f>IF(Tech_Specs!$K12="lamp+ballast",IF(Sys_Repl_Rate!K12&gt;=1,0,IF(Lamp_Repl_Rate!K13&gt;=1,System_Total_Mkt!K12*(1-Retrofit_Rate)*(1-Sys_Repl_Rate!K12),System_Total_Mkt!K12*(1-Retrofit_Rate)*(1-Sys_Repl_Rate!K12)*Lamp_Repl_Rate!K13)),0)</f>
        <v>0</v>
      </c>
      <c r="M12" s="199">
        <f>IF(Tech_Specs!$K12="lamp+ballast",IF(Sys_Repl_Rate!L12&gt;=1,0,IF(Lamp_Repl_Rate!L13&gt;=1,System_Total_Mkt!L12*(1-Retrofit_Rate)*(1-Sys_Repl_Rate!L12),System_Total_Mkt!L12*(1-Retrofit_Rate)*(1-Sys_Repl_Rate!L12)*Lamp_Repl_Rate!L13)),0)</f>
        <v>0</v>
      </c>
      <c r="N12" s="199">
        <f>IF(Tech_Specs!$K12="lamp+ballast",IF(Sys_Repl_Rate!M12&gt;=1,0,IF(Lamp_Repl_Rate!M13&gt;=1,System_Total_Mkt!M12*(1-Retrofit_Rate)*(1-Sys_Repl_Rate!M12),System_Total_Mkt!M12*(1-Retrofit_Rate)*(1-Sys_Repl_Rate!M12)*Lamp_Repl_Rate!M13)),0)</f>
        <v>0</v>
      </c>
      <c r="O12" s="199">
        <f>IF(Tech_Specs!$K12="lamp+ballast",IF(Sys_Repl_Rate!N12&gt;=1,0,IF(Lamp_Repl_Rate!N13&gt;=1,System_Total_Mkt!N12*(1-Retrofit_Rate)*(1-Sys_Repl_Rate!N12),System_Total_Mkt!N12*(1-Retrofit_Rate)*(1-Sys_Repl_Rate!N12)*Lamp_Repl_Rate!N13)),0)</f>
        <v>0</v>
      </c>
      <c r="P12" s="199">
        <f>IF(Tech_Specs!$K12="lamp+ballast",IF(Sys_Repl_Rate!O12&gt;=1,0,IF(Lamp_Repl_Rate!O13&gt;=1,System_Total_Mkt!O12*(1-Retrofit_Rate)*(1-Sys_Repl_Rate!O12),System_Total_Mkt!O12*(1-Retrofit_Rate)*(1-Sys_Repl_Rate!O12)*Lamp_Repl_Rate!O13)),0)</f>
        <v>0</v>
      </c>
      <c r="Q12" s="199">
        <f>IF(Tech_Specs!$K12="lamp+ballast",IF(Sys_Repl_Rate!P12&gt;=1,0,IF(Lamp_Repl_Rate!P13&gt;=1,System_Total_Mkt!P12*(1-Retrofit_Rate)*(1-Sys_Repl_Rate!P12),System_Total_Mkt!P12*(1-Retrofit_Rate)*(1-Sys_Repl_Rate!P12)*Lamp_Repl_Rate!P13)),0)</f>
        <v>0</v>
      </c>
      <c r="R12" s="199">
        <f>IF(Tech_Specs!$K12="lamp+ballast",IF(Sys_Repl_Rate!Q12&gt;=1,0,IF(Lamp_Repl_Rate!Q13&gt;=1,System_Total_Mkt!Q12*(1-Retrofit_Rate)*(1-Sys_Repl_Rate!Q12),System_Total_Mkt!Q12*(1-Retrofit_Rate)*(1-Sys_Repl_Rate!Q12)*Lamp_Repl_Rate!Q13)),0)</f>
        <v>0</v>
      </c>
      <c r="S12" s="199">
        <f>IF(Tech_Specs!$K12="lamp+ballast",IF(Sys_Repl_Rate!R12&gt;=1,0,IF(Lamp_Repl_Rate!R13&gt;=1,System_Total_Mkt!R12*(1-Retrofit_Rate)*(1-Sys_Repl_Rate!R12),System_Total_Mkt!R12*(1-Retrofit_Rate)*(1-Sys_Repl_Rate!R12)*Lamp_Repl_Rate!R13)),0)</f>
        <v>0</v>
      </c>
      <c r="T12" s="199">
        <f>IF(Tech_Specs!$K12="lamp+ballast",IF(Sys_Repl_Rate!S12&gt;=1,0,IF(Lamp_Repl_Rate!S13&gt;=1,System_Total_Mkt!S12*(1-Retrofit_Rate)*(1-Sys_Repl_Rate!S12),System_Total_Mkt!S12*(1-Retrofit_Rate)*(1-Sys_Repl_Rate!S12)*Lamp_Repl_Rate!S13)),0)</f>
        <v>0</v>
      </c>
      <c r="U12" s="199">
        <f>IF(Tech_Specs!$K12="lamp+ballast",IF(Sys_Repl_Rate!T12&gt;=1,0,IF(Lamp_Repl_Rate!T13&gt;=1,System_Total_Mkt!T12*(1-Retrofit_Rate)*(1-Sys_Repl_Rate!T12),System_Total_Mkt!T12*(1-Retrofit_Rate)*(1-Sys_Repl_Rate!T12)*Lamp_Repl_Rate!T13)),0)</f>
        <v>0</v>
      </c>
      <c r="V12" s="199">
        <f>IF(Tech_Specs!$K12="lamp+ballast",IF(Sys_Repl_Rate!U12&gt;=1,0,IF(Lamp_Repl_Rate!U13&gt;=1,System_Total_Mkt!U12*(1-Retrofit_Rate)*(1-Sys_Repl_Rate!U12),System_Total_Mkt!U12*(1-Retrofit_Rate)*(1-Sys_Repl_Rate!U12)*Lamp_Repl_Rate!U13)),0)</f>
        <v>0</v>
      </c>
      <c r="W12" s="199">
        <f>IF(Tech_Specs!$K12="lamp+ballast",IF(Sys_Repl_Rate!V12&gt;=1,0,IF(Lamp_Repl_Rate!V13&gt;=1,System_Total_Mkt!V12*(1-Retrofit_Rate)*(1-Sys_Repl_Rate!V12),System_Total_Mkt!V12*(1-Retrofit_Rate)*(1-Sys_Repl_Rate!V12)*Lamp_Repl_Rate!V13)),0)</f>
        <v>0</v>
      </c>
      <c r="X12" s="199">
        <f>IF(Tech_Specs!$K12="lamp+ballast",IF(Sys_Repl_Rate!W12&gt;=1,0,IF(Lamp_Repl_Rate!W13&gt;=1,System_Total_Mkt!W12*(1-Retrofit_Rate)*(1-Sys_Repl_Rate!W12),System_Total_Mkt!W12*(1-Retrofit_Rate)*(1-Sys_Repl_Rate!W12)*Lamp_Repl_Rate!W13)),0)</f>
        <v>0</v>
      </c>
      <c r="Y12" s="199">
        <f>IF(Tech_Specs!$K12="lamp+ballast",IF(Sys_Repl_Rate!X12&gt;=1,0,IF(Lamp_Repl_Rate!X13&gt;=1,System_Total_Mkt!X12*(1-Retrofit_Rate)*(1-Sys_Repl_Rate!X12),System_Total_Mkt!X12*(1-Retrofit_Rate)*(1-Sys_Repl_Rate!X12)*Lamp_Repl_Rate!X13)),0)</f>
        <v>0</v>
      </c>
      <c r="Z12" s="199">
        <f>IF(Tech_Specs!$K12="lamp+ballast",IF(Sys_Repl_Rate!Y12&gt;=1,0,IF(Lamp_Repl_Rate!Y13&gt;=1,System_Total_Mkt!Y12*(1-Retrofit_Rate)*(1-Sys_Repl_Rate!Y12),System_Total_Mkt!Y12*(1-Retrofit_Rate)*(1-Sys_Repl_Rate!Y12)*Lamp_Repl_Rate!Y13)),0)</f>
        <v>0</v>
      </c>
      <c r="AA12" s="199">
        <f>IF(Tech_Specs!$K12="lamp+ballast",IF(Sys_Repl_Rate!Z12&gt;=1,0,IF(Lamp_Repl_Rate!Z13&gt;=1,System_Total_Mkt!Z12*(1-Retrofit_Rate)*(1-Sys_Repl_Rate!Z12),System_Total_Mkt!Z12*(1-Retrofit_Rate)*(1-Sys_Repl_Rate!Z12)*Lamp_Repl_Rate!Z13)),0)</f>
        <v>0</v>
      </c>
      <c r="AB12" s="199">
        <f>IF(Tech_Specs!$K12="lamp+ballast",IF(Sys_Repl_Rate!AA12&gt;=1,0,IF(Lamp_Repl_Rate!AA13&gt;=1,System_Total_Mkt!AA12*(1-Retrofit_Rate)*(1-Sys_Repl_Rate!AA12),System_Total_Mkt!AA12*(1-Retrofit_Rate)*(1-Sys_Repl_Rate!AA12)*Lamp_Repl_Rate!AA13)),0)</f>
        <v>0</v>
      </c>
      <c r="AC12" s="199">
        <f>IF(Tech_Specs!$K12="lamp+ballast",IF(Sys_Repl_Rate!AB12&gt;=1,0,IF(Lamp_Repl_Rate!AB13&gt;=1,System_Total_Mkt!AB12*(1-Retrofit_Rate)*(1-Sys_Repl_Rate!AB12),System_Total_Mkt!AB12*(1-Retrofit_Rate)*(1-Sys_Repl_Rate!AB12)*Lamp_Repl_Rate!AB13)),0)</f>
        <v>0</v>
      </c>
      <c r="AD12" s="199">
        <f>IF(Tech_Specs!$K12="lamp+ballast",IF(Sys_Repl_Rate!AC12&gt;=1,0,IF(Lamp_Repl_Rate!AC13&gt;=1,System_Total_Mkt!AC12*(1-Retrofit_Rate)*(1-Sys_Repl_Rate!AC12),System_Total_Mkt!AC12*(1-Retrofit_Rate)*(1-Sys_Repl_Rate!AC12)*Lamp_Repl_Rate!AC13)),0)</f>
        <v>0</v>
      </c>
      <c r="AE12" s="199">
        <f>IF(Tech_Specs!$K12="lamp+ballast",IF(Sys_Repl_Rate!AD12&gt;=1,0,IF(Lamp_Repl_Rate!AD13&gt;=1,System_Total_Mkt!AD12*(1-Retrofit_Rate)*(1-Sys_Repl_Rate!AD12),System_Total_Mkt!AD12*(1-Retrofit_Rate)*(1-Sys_Repl_Rate!AD12)*Lamp_Repl_Rate!AD13)),0)</f>
        <v>0</v>
      </c>
      <c r="AF12" s="199">
        <f>IF(Tech_Specs!$K12="lamp+ballast",IF(Sys_Repl_Rate!AE12&gt;=1,0,IF(Lamp_Repl_Rate!AE13&gt;=1,System_Total_Mkt!AE12*(1-Retrofit_Rate)*(1-Sys_Repl_Rate!AE12),System_Total_Mkt!AE12*(1-Retrofit_Rate)*(1-Sys_Repl_Rate!AE12)*Lamp_Repl_Rate!AE13)),0)</f>
        <v>0</v>
      </c>
    </row>
    <row r="13" spans="1:32" s="221" customFormat="1" ht="14.45" x14ac:dyDescent="0.35">
      <c r="A13" s="252"/>
      <c r="B13" s="252"/>
      <c r="C13"/>
      <c r="D13"/>
      <c r="E13"/>
      <c r="F13"/>
      <c r="G13"/>
      <c r="H13"/>
      <c r="I13"/>
      <c r="J13"/>
      <c r="K13"/>
      <c r="L13"/>
      <c r="M13"/>
      <c r="N13"/>
      <c r="O13"/>
      <c r="P13"/>
      <c r="Q13"/>
      <c r="R13"/>
      <c r="S13"/>
      <c r="T13"/>
      <c r="U13"/>
      <c r="V13"/>
      <c r="W13"/>
      <c r="X13"/>
      <c r="Y13"/>
      <c r="Z13"/>
      <c r="AA13"/>
      <c r="AB13"/>
      <c r="AC13"/>
      <c r="AD13"/>
      <c r="AE13"/>
      <c r="AF13"/>
    </row>
    <row r="14" spans="1:32" s="202" customFormat="1" ht="12.95" x14ac:dyDescent="0.3">
      <c r="A14" s="267" t="s">
        <v>32</v>
      </c>
      <c r="B14" s="267"/>
      <c r="C14" s="267"/>
      <c r="D14" s="267"/>
      <c r="E14" s="267"/>
      <c r="F14" s="267"/>
      <c r="G14" s="267"/>
      <c r="H14" s="267"/>
      <c r="I14" s="267"/>
      <c r="J14" s="267"/>
      <c r="K14" s="267"/>
      <c r="L14" s="267"/>
      <c r="M14" s="267"/>
      <c r="N14" s="267"/>
      <c r="O14" s="267"/>
      <c r="P14" s="267"/>
      <c r="Q14" s="267"/>
      <c r="R14" s="267"/>
      <c r="S14" s="267"/>
      <c r="T14" s="267"/>
      <c r="U14" s="267"/>
      <c r="V14" s="267"/>
      <c r="W14" s="267"/>
      <c r="X14" s="267"/>
      <c r="Y14" s="267"/>
      <c r="Z14" s="267"/>
      <c r="AA14" s="267"/>
      <c r="AB14" s="267"/>
      <c r="AC14" s="267"/>
      <c r="AD14" s="267"/>
      <c r="AE14" s="267"/>
      <c r="AF14" s="267"/>
    </row>
    <row r="15" spans="1:32" s="221" customFormat="1" ht="14.45" x14ac:dyDescent="0.35">
      <c r="A15" s="252"/>
      <c r="B15" s="252" t="s">
        <v>33</v>
      </c>
      <c r="C15"/>
      <c r="D15"/>
      <c r="E15"/>
      <c r="F15"/>
      <c r="G15" s="201"/>
      <c r="H15" s="199">
        <f>IF(Tech_Specs!$K15="lamp+ballast",IF(Sys_Repl_Rate!G15&gt;=1,0,IF(Lamp_Repl_Rate!G16&gt;=1,System_Total_Mkt!G15*(1-Retrofit_Rate)*(1-Sys_Repl_Rate!G15),System_Total_Mkt!G15*(1-Retrofit_Rate)*(1-Sys_Repl_Rate!G15)*Lamp_Repl_Rate!G16)),0)</f>
        <v>0</v>
      </c>
      <c r="I15" s="199">
        <f>IF(Tech_Specs!$K15="lamp+ballast",IF(Sys_Repl_Rate!H15&gt;=1,0,IF(Lamp_Repl_Rate!H16&gt;=1,System_Total_Mkt!H15*(1-Retrofit_Rate)*(1-Sys_Repl_Rate!H15),System_Total_Mkt!H15*(1-Retrofit_Rate)*(1-Sys_Repl_Rate!H15)*Lamp_Repl_Rate!H16)),0)</f>
        <v>0</v>
      </c>
      <c r="J15" s="199">
        <f>IF(Tech_Specs!$K15="lamp+ballast",IF(Sys_Repl_Rate!I15&gt;=1,0,IF(Lamp_Repl_Rate!I16&gt;=1,System_Total_Mkt!I15*(1-Retrofit_Rate)*(1-Sys_Repl_Rate!I15),System_Total_Mkt!I15*(1-Retrofit_Rate)*(1-Sys_Repl_Rate!I15)*Lamp_Repl_Rate!I16)),0)</f>
        <v>0</v>
      </c>
      <c r="K15" s="199">
        <f>IF(Tech_Specs!$K15="lamp+ballast",IF(Sys_Repl_Rate!J15&gt;=1,0,IF(Lamp_Repl_Rate!J16&gt;=1,System_Total_Mkt!J15*(1-Retrofit_Rate)*(1-Sys_Repl_Rate!J15),System_Total_Mkt!J15*(1-Retrofit_Rate)*(1-Sys_Repl_Rate!J15)*Lamp_Repl_Rate!J16)),0)</f>
        <v>0</v>
      </c>
      <c r="L15" s="199">
        <f>IF(Tech_Specs!$K15="lamp+ballast",IF(Sys_Repl_Rate!K15&gt;=1,0,IF(Lamp_Repl_Rate!K16&gt;=1,System_Total_Mkt!K15*(1-Retrofit_Rate)*(1-Sys_Repl_Rate!K15),System_Total_Mkt!K15*(1-Retrofit_Rate)*(1-Sys_Repl_Rate!K15)*Lamp_Repl_Rate!K16)),0)</f>
        <v>0</v>
      </c>
      <c r="M15" s="199">
        <f>IF(Tech_Specs!$K15="lamp+ballast",IF(Sys_Repl_Rate!L15&gt;=1,0,IF(Lamp_Repl_Rate!L16&gt;=1,System_Total_Mkt!L15*(1-Retrofit_Rate)*(1-Sys_Repl_Rate!L15),System_Total_Mkt!L15*(1-Retrofit_Rate)*(1-Sys_Repl_Rate!L15)*Lamp_Repl_Rate!L16)),0)</f>
        <v>0</v>
      </c>
      <c r="N15" s="199">
        <f>IF(Tech_Specs!$K15="lamp+ballast",IF(Sys_Repl_Rate!M15&gt;=1,0,IF(Lamp_Repl_Rate!M16&gt;=1,System_Total_Mkt!M15*(1-Retrofit_Rate)*(1-Sys_Repl_Rate!M15),System_Total_Mkt!M15*(1-Retrofit_Rate)*(1-Sys_Repl_Rate!M15)*Lamp_Repl_Rate!M16)),0)</f>
        <v>0</v>
      </c>
      <c r="O15" s="199">
        <f>IF(Tech_Specs!$K15="lamp+ballast",IF(Sys_Repl_Rate!N15&gt;=1,0,IF(Lamp_Repl_Rate!N16&gt;=1,System_Total_Mkt!N15*(1-Retrofit_Rate)*(1-Sys_Repl_Rate!N15),System_Total_Mkt!N15*(1-Retrofit_Rate)*(1-Sys_Repl_Rate!N15)*Lamp_Repl_Rate!N16)),0)</f>
        <v>0</v>
      </c>
      <c r="P15" s="199">
        <f>IF(Tech_Specs!$K15="lamp+ballast",IF(Sys_Repl_Rate!O15&gt;=1,0,IF(Lamp_Repl_Rate!O16&gt;=1,System_Total_Mkt!O15*(1-Retrofit_Rate)*(1-Sys_Repl_Rate!O15),System_Total_Mkt!O15*(1-Retrofit_Rate)*(1-Sys_Repl_Rate!O15)*Lamp_Repl_Rate!O16)),0)</f>
        <v>0</v>
      </c>
      <c r="Q15" s="199">
        <f>IF(Tech_Specs!$K15="lamp+ballast",IF(Sys_Repl_Rate!P15&gt;=1,0,IF(Lamp_Repl_Rate!P16&gt;=1,System_Total_Mkt!P15*(1-Retrofit_Rate)*(1-Sys_Repl_Rate!P15),System_Total_Mkt!P15*(1-Retrofit_Rate)*(1-Sys_Repl_Rate!P15)*Lamp_Repl_Rate!P16)),0)</f>
        <v>0</v>
      </c>
      <c r="R15" s="199">
        <f>IF(Tech_Specs!$K15="lamp+ballast",IF(Sys_Repl_Rate!Q15&gt;=1,0,IF(Lamp_Repl_Rate!Q16&gt;=1,System_Total_Mkt!Q15*(1-Retrofit_Rate)*(1-Sys_Repl_Rate!Q15),System_Total_Mkt!Q15*(1-Retrofit_Rate)*(1-Sys_Repl_Rate!Q15)*Lamp_Repl_Rate!Q16)),0)</f>
        <v>0</v>
      </c>
      <c r="S15" s="199">
        <f>IF(Tech_Specs!$K15="lamp+ballast",IF(Sys_Repl_Rate!R15&gt;=1,0,IF(Lamp_Repl_Rate!R16&gt;=1,System_Total_Mkt!R15*(1-Retrofit_Rate)*(1-Sys_Repl_Rate!R15),System_Total_Mkt!R15*(1-Retrofit_Rate)*(1-Sys_Repl_Rate!R15)*Lamp_Repl_Rate!R16)),0)</f>
        <v>0</v>
      </c>
      <c r="T15" s="199">
        <f>IF(Tech_Specs!$K15="lamp+ballast",IF(Sys_Repl_Rate!S15&gt;=1,0,IF(Lamp_Repl_Rate!S16&gt;=1,System_Total_Mkt!S15*(1-Retrofit_Rate)*(1-Sys_Repl_Rate!S15),System_Total_Mkt!S15*(1-Retrofit_Rate)*(1-Sys_Repl_Rate!S15)*Lamp_Repl_Rate!S16)),0)</f>
        <v>0</v>
      </c>
      <c r="U15" s="199">
        <f>IF(Tech_Specs!$K15="lamp+ballast",IF(Sys_Repl_Rate!T15&gt;=1,0,IF(Lamp_Repl_Rate!T16&gt;=1,System_Total_Mkt!T15*(1-Retrofit_Rate)*(1-Sys_Repl_Rate!T15),System_Total_Mkt!T15*(1-Retrofit_Rate)*(1-Sys_Repl_Rate!T15)*Lamp_Repl_Rate!T16)),0)</f>
        <v>0</v>
      </c>
      <c r="V15" s="199">
        <f>IF(Tech_Specs!$K15="lamp+ballast",IF(Sys_Repl_Rate!U15&gt;=1,0,IF(Lamp_Repl_Rate!U16&gt;=1,System_Total_Mkt!U15*(1-Retrofit_Rate)*(1-Sys_Repl_Rate!U15),System_Total_Mkt!U15*(1-Retrofit_Rate)*(1-Sys_Repl_Rate!U15)*Lamp_Repl_Rate!U16)),0)</f>
        <v>0</v>
      </c>
      <c r="W15" s="199">
        <f>IF(Tech_Specs!$K15="lamp+ballast",IF(Sys_Repl_Rate!V15&gt;=1,0,IF(Lamp_Repl_Rate!V16&gt;=1,System_Total_Mkt!V15*(1-Retrofit_Rate)*(1-Sys_Repl_Rate!V15),System_Total_Mkt!V15*(1-Retrofit_Rate)*(1-Sys_Repl_Rate!V15)*Lamp_Repl_Rate!V16)),0)</f>
        <v>0</v>
      </c>
      <c r="X15" s="199">
        <f>IF(Tech_Specs!$K15="lamp+ballast",IF(Sys_Repl_Rate!W15&gt;=1,0,IF(Lamp_Repl_Rate!W16&gt;=1,System_Total_Mkt!W15*(1-Retrofit_Rate)*(1-Sys_Repl_Rate!W15),System_Total_Mkt!W15*(1-Retrofit_Rate)*(1-Sys_Repl_Rate!W15)*Lamp_Repl_Rate!W16)),0)</f>
        <v>0</v>
      </c>
      <c r="Y15" s="199">
        <f>IF(Tech_Specs!$K15="lamp+ballast",IF(Sys_Repl_Rate!X15&gt;=1,0,IF(Lamp_Repl_Rate!X16&gt;=1,System_Total_Mkt!X15*(1-Retrofit_Rate)*(1-Sys_Repl_Rate!X15),System_Total_Mkt!X15*(1-Retrofit_Rate)*(1-Sys_Repl_Rate!X15)*Lamp_Repl_Rate!X16)),0)</f>
        <v>0</v>
      </c>
      <c r="Z15" s="199">
        <f>IF(Tech_Specs!$K15="lamp+ballast",IF(Sys_Repl_Rate!Y15&gt;=1,0,IF(Lamp_Repl_Rate!Y16&gt;=1,System_Total_Mkt!Y15*(1-Retrofit_Rate)*(1-Sys_Repl_Rate!Y15),System_Total_Mkt!Y15*(1-Retrofit_Rate)*(1-Sys_Repl_Rate!Y15)*Lamp_Repl_Rate!Y16)),0)</f>
        <v>0</v>
      </c>
      <c r="AA15" s="199">
        <f>IF(Tech_Specs!$K15="lamp+ballast",IF(Sys_Repl_Rate!Z15&gt;=1,0,IF(Lamp_Repl_Rate!Z16&gt;=1,System_Total_Mkt!Z15*(1-Retrofit_Rate)*(1-Sys_Repl_Rate!Z15),System_Total_Mkt!Z15*(1-Retrofit_Rate)*(1-Sys_Repl_Rate!Z15)*Lamp_Repl_Rate!Z16)),0)</f>
        <v>0</v>
      </c>
      <c r="AB15" s="199">
        <f>IF(Tech_Specs!$K15="lamp+ballast",IF(Sys_Repl_Rate!AA15&gt;=1,0,IF(Lamp_Repl_Rate!AA16&gt;=1,System_Total_Mkt!AA15*(1-Retrofit_Rate)*(1-Sys_Repl_Rate!AA15),System_Total_Mkt!AA15*(1-Retrofit_Rate)*(1-Sys_Repl_Rate!AA15)*Lamp_Repl_Rate!AA16)),0)</f>
        <v>0</v>
      </c>
      <c r="AC15" s="199">
        <f>IF(Tech_Specs!$K15="lamp+ballast",IF(Sys_Repl_Rate!AB15&gt;=1,0,IF(Lamp_Repl_Rate!AB16&gt;=1,System_Total_Mkt!AB15*(1-Retrofit_Rate)*(1-Sys_Repl_Rate!AB15),System_Total_Mkt!AB15*(1-Retrofit_Rate)*(1-Sys_Repl_Rate!AB15)*Lamp_Repl_Rate!AB16)),0)</f>
        <v>0</v>
      </c>
      <c r="AD15" s="199">
        <f>IF(Tech_Specs!$K15="lamp+ballast",IF(Sys_Repl_Rate!AC15&gt;=1,0,IF(Lamp_Repl_Rate!AC16&gt;=1,System_Total_Mkt!AC15*(1-Retrofit_Rate)*(1-Sys_Repl_Rate!AC15),System_Total_Mkt!AC15*(1-Retrofit_Rate)*(1-Sys_Repl_Rate!AC15)*Lamp_Repl_Rate!AC16)),0)</f>
        <v>0</v>
      </c>
      <c r="AE15" s="199">
        <f>IF(Tech_Specs!$K15="lamp+ballast",IF(Sys_Repl_Rate!AD15&gt;=1,0,IF(Lamp_Repl_Rate!AD16&gt;=1,System_Total_Mkt!AD15*(1-Retrofit_Rate)*(1-Sys_Repl_Rate!AD15),System_Total_Mkt!AD15*(1-Retrofit_Rate)*(1-Sys_Repl_Rate!AD15)*Lamp_Repl_Rate!AD16)),0)</f>
        <v>0</v>
      </c>
      <c r="AF15" s="199">
        <f>IF(Tech_Specs!$K15="lamp+ballast",IF(Sys_Repl_Rate!AE15&gt;=1,0,IF(Lamp_Repl_Rate!AE16&gt;=1,System_Total_Mkt!AE15*(1-Retrofit_Rate)*(1-Sys_Repl_Rate!AE15),System_Total_Mkt!AE15*(1-Retrofit_Rate)*(1-Sys_Repl_Rate!AE15)*Lamp_Repl_Rate!AE16)),0)</f>
        <v>0</v>
      </c>
    </row>
    <row r="16" spans="1:32" s="221" customFormat="1" ht="14.45" x14ac:dyDescent="0.35">
      <c r="A16" s="257"/>
      <c r="B16" s="257" t="s">
        <v>34</v>
      </c>
      <c r="C16"/>
      <c r="D16"/>
      <c r="E16"/>
      <c r="F16"/>
      <c r="G16" s="201"/>
      <c r="H16" s="199">
        <f>IF(Tech_Specs!$K16="lamp+ballast",IF(Sys_Repl_Rate!G16&gt;=1,0,IF(Lamp_Repl_Rate!G17&gt;=1,System_Total_Mkt!G16*(1-Retrofit_Rate)*(1-Sys_Repl_Rate!G16),System_Total_Mkt!G16*(1-Retrofit_Rate)*(1-Sys_Repl_Rate!G16)*Lamp_Repl_Rate!G17)),0)</f>
        <v>0</v>
      </c>
      <c r="I16" s="199">
        <f>IF(Tech_Specs!$K16="lamp+ballast",IF(Sys_Repl_Rate!H16&gt;=1,0,IF(Lamp_Repl_Rate!H17&gt;=1,System_Total_Mkt!H16*(1-Retrofit_Rate)*(1-Sys_Repl_Rate!H16),System_Total_Mkt!H16*(1-Retrofit_Rate)*(1-Sys_Repl_Rate!H16)*Lamp_Repl_Rate!H17)),0)</f>
        <v>0</v>
      </c>
      <c r="J16" s="199">
        <f>IF(Tech_Specs!$K16="lamp+ballast",IF(Sys_Repl_Rate!I16&gt;=1,0,IF(Lamp_Repl_Rate!I17&gt;=1,System_Total_Mkt!I16*(1-Retrofit_Rate)*(1-Sys_Repl_Rate!I16),System_Total_Mkt!I16*(1-Retrofit_Rate)*(1-Sys_Repl_Rate!I16)*Lamp_Repl_Rate!I17)),0)</f>
        <v>0</v>
      </c>
      <c r="K16" s="199">
        <f>IF(Tech_Specs!$K16="lamp+ballast",IF(Sys_Repl_Rate!J16&gt;=1,0,IF(Lamp_Repl_Rate!J17&gt;=1,System_Total_Mkt!J16*(1-Retrofit_Rate)*(1-Sys_Repl_Rate!J16),System_Total_Mkt!J16*(1-Retrofit_Rate)*(1-Sys_Repl_Rate!J16)*Lamp_Repl_Rate!J17)),0)</f>
        <v>0</v>
      </c>
      <c r="L16" s="199">
        <f>IF(Tech_Specs!$K16="lamp+ballast",IF(Sys_Repl_Rate!K16&gt;=1,0,IF(Lamp_Repl_Rate!K17&gt;=1,System_Total_Mkt!K16*(1-Retrofit_Rate)*(1-Sys_Repl_Rate!K16),System_Total_Mkt!K16*(1-Retrofit_Rate)*(1-Sys_Repl_Rate!K16)*Lamp_Repl_Rate!K17)),0)</f>
        <v>0</v>
      </c>
      <c r="M16" s="199">
        <f>IF(Tech_Specs!$K16="lamp+ballast",IF(Sys_Repl_Rate!L16&gt;=1,0,IF(Lamp_Repl_Rate!L17&gt;=1,System_Total_Mkt!L16*(1-Retrofit_Rate)*(1-Sys_Repl_Rate!L16),System_Total_Mkt!L16*(1-Retrofit_Rate)*(1-Sys_Repl_Rate!L16)*Lamp_Repl_Rate!L17)),0)</f>
        <v>0</v>
      </c>
      <c r="N16" s="199">
        <f>IF(Tech_Specs!$K16="lamp+ballast",IF(Sys_Repl_Rate!M16&gt;=1,0,IF(Lamp_Repl_Rate!M17&gt;=1,System_Total_Mkt!M16*(1-Retrofit_Rate)*(1-Sys_Repl_Rate!M16),System_Total_Mkt!M16*(1-Retrofit_Rate)*(1-Sys_Repl_Rate!M16)*Lamp_Repl_Rate!M17)),0)</f>
        <v>0</v>
      </c>
      <c r="O16" s="199">
        <f>IF(Tech_Specs!$K16="lamp+ballast",IF(Sys_Repl_Rate!N16&gt;=1,0,IF(Lamp_Repl_Rate!N17&gt;=1,System_Total_Mkt!N16*(1-Retrofit_Rate)*(1-Sys_Repl_Rate!N16),System_Total_Mkt!N16*(1-Retrofit_Rate)*(1-Sys_Repl_Rate!N16)*Lamp_Repl_Rate!N17)),0)</f>
        <v>0</v>
      </c>
      <c r="P16" s="199">
        <f>IF(Tech_Specs!$K16="lamp+ballast",IF(Sys_Repl_Rate!O16&gt;=1,0,IF(Lamp_Repl_Rate!O17&gt;=1,System_Total_Mkt!O16*(1-Retrofit_Rate)*(1-Sys_Repl_Rate!O16),System_Total_Mkt!O16*(1-Retrofit_Rate)*(1-Sys_Repl_Rate!O16)*Lamp_Repl_Rate!O17)),0)</f>
        <v>0</v>
      </c>
      <c r="Q16" s="199">
        <f>IF(Tech_Specs!$K16="lamp+ballast",IF(Sys_Repl_Rate!P16&gt;=1,0,IF(Lamp_Repl_Rate!P17&gt;=1,System_Total_Mkt!P16*(1-Retrofit_Rate)*(1-Sys_Repl_Rate!P16),System_Total_Mkt!P16*(1-Retrofit_Rate)*(1-Sys_Repl_Rate!P16)*Lamp_Repl_Rate!P17)),0)</f>
        <v>0</v>
      </c>
      <c r="R16" s="199">
        <f>IF(Tech_Specs!$K16="lamp+ballast",IF(Sys_Repl_Rate!Q16&gt;=1,0,IF(Lamp_Repl_Rate!Q17&gt;=1,System_Total_Mkt!Q16*(1-Retrofit_Rate)*(1-Sys_Repl_Rate!Q16),System_Total_Mkt!Q16*(1-Retrofit_Rate)*(1-Sys_Repl_Rate!Q16)*Lamp_Repl_Rate!Q17)),0)</f>
        <v>0</v>
      </c>
      <c r="S16" s="199">
        <f>IF(Tech_Specs!$K16="lamp+ballast",IF(Sys_Repl_Rate!R16&gt;=1,0,IF(Lamp_Repl_Rate!R17&gt;=1,System_Total_Mkt!R16*(1-Retrofit_Rate)*(1-Sys_Repl_Rate!R16),System_Total_Mkt!R16*(1-Retrofit_Rate)*(1-Sys_Repl_Rate!R16)*Lamp_Repl_Rate!R17)),0)</f>
        <v>0</v>
      </c>
      <c r="T16" s="199">
        <f>IF(Tech_Specs!$K16="lamp+ballast",IF(Sys_Repl_Rate!S16&gt;=1,0,IF(Lamp_Repl_Rate!S17&gt;=1,System_Total_Mkt!S16*(1-Retrofit_Rate)*(1-Sys_Repl_Rate!S16),System_Total_Mkt!S16*(1-Retrofit_Rate)*(1-Sys_Repl_Rate!S16)*Lamp_Repl_Rate!S17)),0)</f>
        <v>0</v>
      </c>
      <c r="U16" s="199">
        <f>IF(Tech_Specs!$K16="lamp+ballast",IF(Sys_Repl_Rate!T16&gt;=1,0,IF(Lamp_Repl_Rate!T17&gt;=1,System_Total_Mkt!T16*(1-Retrofit_Rate)*(1-Sys_Repl_Rate!T16),System_Total_Mkt!T16*(1-Retrofit_Rate)*(1-Sys_Repl_Rate!T16)*Lamp_Repl_Rate!T17)),0)</f>
        <v>0</v>
      </c>
      <c r="V16" s="199">
        <f>IF(Tech_Specs!$K16="lamp+ballast",IF(Sys_Repl_Rate!U16&gt;=1,0,IF(Lamp_Repl_Rate!U17&gt;=1,System_Total_Mkt!U16*(1-Retrofit_Rate)*(1-Sys_Repl_Rate!U16),System_Total_Mkt!U16*(1-Retrofit_Rate)*(1-Sys_Repl_Rate!U16)*Lamp_Repl_Rate!U17)),0)</f>
        <v>0</v>
      </c>
      <c r="W16" s="199">
        <f>IF(Tech_Specs!$K16="lamp+ballast",IF(Sys_Repl_Rate!V16&gt;=1,0,IF(Lamp_Repl_Rate!V17&gt;=1,System_Total_Mkt!V16*(1-Retrofit_Rate)*(1-Sys_Repl_Rate!V16),System_Total_Mkt!V16*(1-Retrofit_Rate)*(1-Sys_Repl_Rate!V16)*Lamp_Repl_Rate!V17)),0)</f>
        <v>0</v>
      </c>
      <c r="X16" s="199">
        <f>IF(Tech_Specs!$K16="lamp+ballast",IF(Sys_Repl_Rate!W16&gt;=1,0,IF(Lamp_Repl_Rate!W17&gt;=1,System_Total_Mkt!W16*(1-Retrofit_Rate)*(1-Sys_Repl_Rate!W16),System_Total_Mkt!W16*(1-Retrofit_Rate)*(1-Sys_Repl_Rate!W16)*Lamp_Repl_Rate!W17)),0)</f>
        <v>0</v>
      </c>
      <c r="Y16" s="199">
        <f>IF(Tech_Specs!$K16="lamp+ballast",IF(Sys_Repl_Rate!X16&gt;=1,0,IF(Lamp_Repl_Rate!X17&gt;=1,System_Total_Mkt!X16*(1-Retrofit_Rate)*(1-Sys_Repl_Rate!X16),System_Total_Mkt!X16*(1-Retrofit_Rate)*(1-Sys_Repl_Rate!X16)*Lamp_Repl_Rate!X17)),0)</f>
        <v>0</v>
      </c>
      <c r="Z16" s="199">
        <f>IF(Tech_Specs!$K16="lamp+ballast",IF(Sys_Repl_Rate!Y16&gt;=1,0,IF(Lamp_Repl_Rate!Y17&gt;=1,System_Total_Mkt!Y16*(1-Retrofit_Rate)*(1-Sys_Repl_Rate!Y16),System_Total_Mkt!Y16*(1-Retrofit_Rate)*(1-Sys_Repl_Rate!Y16)*Lamp_Repl_Rate!Y17)),0)</f>
        <v>0</v>
      </c>
      <c r="AA16" s="199">
        <f>IF(Tech_Specs!$K16="lamp+ballast",IF(Sys_Repl_Rate!Z16&gt;=1,0,IF(Lamp_Repl_Rate!Z17&gt;=1,System_Total_Mkt!Z16*(1-Retrofit_Rate)*(1-Sys_Repl_Rate!Z16),System_Total_Mkt!Z16*(1-Retrofit_Rate)*(1-Sys_Repl_Rate!Z16)*Lamp_Repl_Rate!Z17)),0)</f>
        <v>0</v>
      </c>
      <c r="AB16" s="199">
        <f>IF(Tech_Specs!$K16="lamp+ballast",IF(Sys_Repl_Rate!AA16&gt;=1,0,IF(Lamp_Repl_Rate!AA17&gt;=1,System_Total_Mkt!AA16*(1-Retrofit_Rate)*(1-Sys_Repl_Rate!AA16),System_Total_Mkt!AA16*(1-Retrofit_Rate)*(1-Sys_Repl_Rate!AA16)*Lamp_Repl_Rate!AA17)),0)</f>
        <v>0</v>
      </c>
      <c r="AC16" s="199">
        <f>IF(Tech_Specs!$K16="lamp+ballast",IF(Sys_Repl_Rate!AB16&gt;=1,0,IF(Lamp_Repl_Rate!AB17&gt;=1,System_Total_Mkt!AB16*(1-Retrofit_Rate)*(1-Sys_Repl_Rate!AB16),System_Total_Mkt!AB16*(1-Retrofit_Rate)*(1-Sys_Repl_Rate!AB16)*Lamp_Repl_Rate!AB17)),0)</f>
        <v>0</v>
      </c>
      <c r="AD16" s="199">
        <f>IF(Tech_Specs!$K16="lamp+ballast",IF(Sys_Repl_Rate!AC16&gt;=1,0,IF(Lamp_Repl_Rate!AC17&gt;=1,System_Total_Mkt!AC16*(1-Retrofit_Rate)*(1-Sys_Repl_Rate!AC16),System_Total_Mkt!AC16*(1-Retrofit_Rate)*(1-Sys_Repl_Rate!AC16)*Lamp_Repl_Rate!AC17)),0)</f>
        <v>0</v>
      </c>
      <c r="AE16" s="199">
        <f>IF(Tech_Specs!$K16="lamp+ballast",IF(Sys_Repl_Rate!AD16&gt;=1,0,IF(Lamp_Repl_Rate!AD17&gt;=1,System_Total_Mkt!AD16*(1-Retrofit_Rate)*(1-Sys_Repl_Rate!AD16),System_Total_Mkt!AD16*(1-Retrofit_Rate)*(1-Sys_Repl_Rate!AD16)*Lamp_Repl_Rate!AD17)),0)</f>
        <v>0</v>
      </c>
      <c r="AF16" s="199">
        <f>IF(Tech_Specs!$K16="lamp+ballast",IF(Sys_Repl_Rate!AE16&gt;=1,0,IF(Lamp_Repl_Rate!AE17&gt;=1,System_Total_Mkt!AE16*(1-Retrofit_Rate)*(1-Sys_Repl_Rate!AE16),System_Total_Mkt!AE16*(1-Retrofit_Rate)*(1-Sys_Repl_Rate!AE16)*Lamp_Repl_Rate!AE17)),0)</f>
        <v>0</v>
      </c>
    </row>
    <row r="17" spans="1:32" s="221" customFormat="1" ht="14.45" x14ac:dyDescent="0.35">
      <c r="A17" s="252"/>
      <c r="B17" s="257" t="s">
        <v>35</v>
      </c>
      <c r="C17"/>
      <c r="D17"/>
      <c r="E17"/>
      <c r="F17"/>
      <c r="G17" s="201"/>
      <c r="H17" s="199">
        <f>IF(Tech_Specs!$K17="lamp+ballast",IF(Sys_Repl_Rate!G17&gt;=1,0,IF(Lamp_Repl_Rate!G18&gt;=1,System_Total_Mkt!G17*(1-Retrofit_Rate)*(1-Sys_Repl_Rate!G17),System_Total_Mkt!G17*(1-Retrofit_Rate)*(1-Sys_Repl_Rate!G17)*Lamp_Repl_Rate!G18)),0)</f>
        <v>0</v>
      </c>
      <c r="I17" s="199">
        <f>IF(Tech_Specs!$K17="lamp+ballast",IF(Sys_Repl_Rate!H17&gt;=1,0,IF(Lamp_Repl_Rate!H18&gt;=1,System_Total_Mkt!H17*(1-Retrofit_Rate)*(1-Sys_Repl_Rate!H17),System_Total_Mkt!H17*(1-Retrofit_Rate)*(1-Sys_Repl_Rate!H17)*Lamp_Repl_Rate!H18)),0)</f>
        <v>0</v>
      </c>
      <c r="J17" s="199">
        <f>IF(Tech_Specs!$K17="lamp+ballast",IF(Sys_Repl_Rate!I17&gt;=1,0,IF(Lamp_Repl_Rate!I18&gt;=1,System_Total_Mkt!I17*(1-Retrofit_Rate)*(1-Sys_Repl_Rate!I17),System_Total_Mkt!I17*(1-Retrofit_Rate)*(1-Sys_Repl_Rate!I17)*Lamp_Repl_Rate!I18)),0)</f>
        <v>0</v>
      </c>
      <c r="K17" s="199">
        <f>IF(Tech_Specs!$K17="lamp+ballast",IF(Sys_Repl_Rate!J17&gt;=1,0,IF(Lamp_Repl_Rate!J18&gt;=1,System_Total_Mkt!J17*(1-Retrofit_Rate)*(1-Sys_Repl_Rate!J17),System_Total_Mkt!J17*(1-Retrofit_Rate)*(1-Sys_Repl_Rate!J17)*Lamp_Repl_Rate!J18)),0)</f>
        <v>0</v>
      </c>
      <c r="L17" s="199">
        <f>IF(Tech_Specs!$K17="lamp+ballast",IF(Sys_Repl_Rate!K17&gt;=1,0,IF(Lamp_Repl_Rate!K18&gt;=1,System_Total_Mkt!K17*(1-Retrofit_Rate)*(1-Sys_Repl_Rate!K17),System_Total_Mkt!K17*(1-Retrofit_Rate)*(1-Sys_Repl_Rate!K17)*Lamp_Repl_Rate!K18)),0)</f>
        <v>0</v>
      </c>
      <c r="M17" s="199">
        <f>IF(Tech_Specs!$K17="lamp+ballast",IF(Sys_Repl_Rate!L17&gt;=1,0,IF(Lamp_Repl_Rate!L18&gt;=1,System_Total_Mkt!L17*(1-Retrofit_Rate)*(1-Sys_Repl_Rate!L17),System_Total_Mkt!L17*(1-Retrofit_Rate)*(1-Sys_Repl_Rate!L17)*Lamp_Repl_Rate!L18)),0)</f>
        <v>0</v>
      </c>
      <c r="N17" s="199">
        <f>IF(Tech_Specs!$K17="lamp+ballast",IF(Sys_Repl_Rate!M17&gt;=1,0,IF(Lamp_Repl_Rate!M18&gt;=1,System_Total_Mkt!M17*(1-Retrofit_Rate)*(1-Sys_Repl_Rate!M17),System_Total_Mkt!M17*(1-Retrofit_Rate)*(1-Sys_Repl_Rate!M17)*Lamp_Repl_Rate!M18)),0)</f>
        <v>0</v>
      </c>
      <c r="O17" s="199">
        <f>IF(Tech_Specs!$K17="lamp+ballast",IF(Sys_Repl_Rate!N17&gt;=1,0,IF(Lamp_Repl_Rate!N18&gt;=1,System_Total_Mkt!N17*(1-Retrofit_Rate)*(1-Sys_Repl_Rate!N17),System_Total_Mkt!N17*(1-Retrofit_Rate)*(1-Sys_Repl_Rate!N17)*Lamp_Repl_Rate!N18)),0)</f>
        <v>0</v>
      </c>
      <c r="P17" s="199">
        <f>IF(Tech_Specs!$K17="lamp+ballast",IF(Sys_Repl_Rate!O17&gt;=1,0,IF(Lamp_Repl_Rate!O18&gt;=1,System_Total_Mkt!O17*(1-Retrofit_Rate)*(1-Sys_Repl_Rate!O17),System_Total_Mkt!O17*(1-Retrofit_Rate)*(1-Sys_Repl_Rate!O17)*Lamp_Repl_Rate!O18)),0)</f>
        <v>0</v>
      </c>
      <c r="Q17" s="199">
        <f>IF(Tech_Specs!$K17="lamp+ballast",IF(Sys_Repl_Rate!P17&gt;=1,0,IF(Lamp_Repl_Rate!P18&gt;=1,System_Total_Mkt!P17*(1-Retrofit_Rate)*(1-Sys_Repl_Rate!P17),System_Total_Mkt!P17*(1-Retrofit_Rate)*(1-Sys_Repl_Rate!P17)*Lamp_Repl_Rate!P18)),0)</f>
        <v>0</v>
      </c>
      <c r="R17" s="199">
        <f>IF(Tech_Specs!$K17="lamp+ballast",IF(Sys_Repl_Rate!Q17&gt;=1,0,IF(Lamp_Repl_Rate!Q18&gt;=1,System_Total_Mkt!Q17*(1-Retrofit_Rate)*(1-Sys_Repl_Rate!Q17),System_Total_Mkt!Q17*(1-Retrofit_Rate)*(1-Sys_Repl_Rate!Q17)*Lamp_Repl_Rate!Q18)),0)</f>
        <v>0</v>
      </c>
      <c r="S17" s="199">
        <f>IF(Tech_Specs!$K17="lamp+ballast",IF(Sys_Repl_Rate!R17&gt;=1,0,IF(Lamp_Repl_Rate!R18&gt;=1,System_Total_Mkt!R17*(1-Retrofit_Rate)*(1-Sys_Repl_Rate!R17),System_Total_Mkt!R17*(1-Retrofit_Rate)*(1-Sys_Repl_Rate!R17)*Lamp_Repl_Rate!R18)),0)</f>
        <v>0</v>
      </c>
      <c r="T17" s="199">
        <f>IF(Tech_Specs!$K17="lamp+ballast",IF(Sys_Repl_Rate!S17&gt;=1,0,IF(Lamp_Repl_Rate!S18&gt;=1,System_Total_Mkt!S17*(1-Retrofit_Rate)*(1-Sys_Repl_Rate!S17),System_Total_Mkt!S17*(1-Retrofit_Rate)*(1-Sys_Repl_Rate!S17)*Lamp_Repl_Rate!S18)),0)</f>
        <v>0</v>
      </c>
      <c r="U17" s="199">
        <f>IF(Tech_Specs!$K17="lamp+ballast",IF(Sys_Repl_Rate!T17&gt;=1,0,IF(Lamp_Repl_Rate!T18&gt;=1,System_Total_Mkt!T17*(1-Retrofit_Rate)*(1-Sys_Repl_Rate!T17),System_Total_Mkt!T17*(1-Retrofit_Rate)*(1-Sys_Repl_Rate!T17)*Lamp_Repl_Rate!T18)),0)</f>
        <v>0</v>
      </c>
      <c r="V17" s="199">
        <f>IF(Tech_Specs!$K17="lamp+ballast",IF(Sys_Repl_Rate!U17&gt;=1,0,IF(Lamp_Repl_Rate!U18&gt;=1,System_Total_Mkt!U17*(1-Retrofit_Rate)*(1-Sys_Repl_Rate!U17),System_Total_Mkt!U17*(1-Retrofit_Rate)*(1-Sys_Repl_Rate!U17)*Lamp_Repl_Rate!U18)),0)</f>
        <v>0</v>
      </c>
      <c r="W17" s="199">
        <f>IF(Tech_Specs!$K17="lamp+ballast",IF(Sys_Repl_Rate!V17&gt;=1,0,IF(Lamp_Repl_Rate!V18&gt;=1,System_Total_Mkt!V17*(1-Retrofit_Rate)*(1-Sys_Repl_Rate!V17),System_Total_Mkt!V17*(1-Retrofit_Rate)*(1-Sys_Repl_Rate!V17)*Lamp_Repl_Rate!V18)),0)</f>
        <v>0</v>
      </c>
      <c r="X17" s="199">
        <f>IF(Tech_Specs!$K17="lamp+ballast",IF(Sys_Repl_Rate!W17&gt;=1,0,IF(Lamp_Repl_Rate!W18&gt;=1,System_Total_Mkt!W17*(1-Retrofit_Rate)*(1-Sys_Repl_Rate!W17),System_Total_Mkt!W17*(1-Retrofit_Rate)*(1-Sys_Repl_Rate!W17)*Lamp_Repl_Rate!W18)),0)</f>
        <v>0</v>
      </c>
      <c r="Y17" s="199">
        <f>IF(Tech_Specs!$K17="lamp+ballast",IF(Sys_Repl_Rate!X17&gt;=1,0,IF(Lamp_Repl_Rate!X18&gt;=1,System_Total_Mkt!X17*(1-Retrofit_Rate)*(1-Sys_Repl_Rate!X17),System_Total_Mkt!X17*(1-Retrofit_Rate)*(1-Sys_Repl_Rate!X17)*Lamp_Repl_Rate!X18)),0)</f>
        <v>0</v>
      </c>
      <c r="Z17" s="199">
        <f>IF(Tech_Specs!$K17="lamp+ballast",IF(Sys_Repl_Rate!Y17&gt;=1,0,IF(Lamp_Repl_Rate!Y18&gt;=1,System_Total_Mkt!Y17*(1-Retrofit_Rate)*(1-Sys_Repl_Rate!Y17),System_Total_Mkt!Y17*(1-Retrofit_Rate)*(1-Sys_Repl_Rate!Y17)*Lamp_Repl_Rate!Y18)),0)</f>
        <v>0</v>
      </c>
      <c r="AA17" s="199">
        <f>IF(Tech_Specs!$K17="lamp+ballast",IF(Sys_Repl_Rate!Z17&gt;=1,0,IF(Lamp_Repl_Rate!Z18&gt;=1,System_Total_Mkt!Z17*(1-Retrofit_Rate)*(1-Sys_Repl_Rate!Z17),System_Total_Mkt!Z17*(1-Retrofit_Rate)*(1-Sys_Repl_Rate!Z17)*Lamp_Repl_Rate!Z18)),0)</f>
        <v>0</v>
      </c>
      <c r="AB17" s="199">
        <f>IF(Tech_Specs!$K17="lamp+ballast",IF(Sys_Repl_Rate!AA17&gt;=1,0,IF(Lamp_Repl_Rate!AA18&gt;=1,System_Total_Mkt!AA17*(1-Retrofit_Rate)*(1-Sys_Repl_Rate!AA17),System_Total_Mkt!AA17*(1-Retrofit_Rate)*(1-Sys_Repl_Rate!AA17)*Lamp_Repl_Rate!AA18)),0)</f>
        <v>0</v>
      </c>
      <c r="AC17" s="199">
        <f>IF(Tech_Specs!$K17="lamp+ballast",IF(Sys_Repl_Rate!AB17&gt;=1,0,IF(Lamp_Repl_Rate!AB18&gt;=1,System_Total_Mkt!AB17*(1-Retrofit_Rate)*(1-Sys_Repl_Rate!AB17),System_Total_Mkt!AB17*(1-Retrofit_Rate)*(1-Sys_Repl_Rate!AB17)*Lamp_Repl_Rate!AB18)),0)</f>
        <v>0</v>
      </c>
      <c r="AD17" s="199">
        <f>IF(Tech_Specs!$K17="lamp+ballast",IF(Sys_Repl_Rate!AC17&gt;=1,0,IF(Lamp_Repl_Rate!AC18&gt;=1,System_Total_Mkt!AC17*(1-Retrofit_Rate)*(1-Sys_Repl_Rate!AC17),System_Total_Mkt!AC17*(1-Retrofit_Rate)*(1-Sys_Repl_Rate!AC17)*Lamp_Repl_Rate!AC18)),0)</f>
        <v>0</v>
      </c>
      <c r="AE17" s="199">
        <f>IF(Tech_Specs!$K17="lamp+ballast",IF(Sys_Repl_Rate!AD17&gt;=1,0,IF(Lamp_Repl_Rate!AD18&gt;=1,System_Total_Mkt!AD17*(1-Retrofit_Rate)*(1-Sys_Repl_Rate!AD17),System_Total_Mkt!AD17*(1-Retrofit_Rate)*(1-Sys_Repl_Rate!AD17)*Lamp_Repl_Rate!AD18)),0)</f>
        <v>0</v>
      </c>
      <c r="AF17" s="199">
        <f>IF(Tech_Specs!$K17="lamp+ballast",IF(Sys_Repl_Rate!AE17&gt;=1,0,IF(Lamp_Repl_Rate!AE18&gt;=1,System_Total_Mkt!AE17*(1-Retrofit_Rate)*(1-Sys_Repl_Rate!AE17),System_Total_Mkt!AE17*(1-Retrofit_Rate)*(1-Sys_Repl_Rate!AE17)*Lamp_Repl_Rate!AE18)),0)</f>
        <v>0</v>
      </c>
    </row>
    <row r="18" spans="1:32" s="221" customFormat="1" ht="14.45" x14ac:dyDescent="0.35">
      <c r="A18" s="252"/>
      <c r="B18" s="257" t="s">
        <v>29</v>
      </c>
      <c r="C18"/>
      <c r="D18"/>
      <c r="E18"/>
      <c r="F18"/>
      <c r="G18" s="201"/>
      <c r="H18" s="199">
        <f>IF(Tech_Specs!$K18="lamp+ballast",IF(Sys_Repl_Rate!G18&gt;=1,0,IF(Lamp_Repl_Rate!G19&gt;=1,System_Total_Mkt!G18*(1-Retrofit_Rate)*(1-Sys_Repl_Rate!G18),System_Total_Mkt!G18*(1-Retrofit_Rate)*(1-Sys_Repl_Rate!G18)*Lamp_Repl_Rate!G19)),0)</f>
        <v>0</v>
      </c>
      <c r="I18" s="199">
        <f>IF(Tech_Specs!$K18="lamp+ballast",IF(Sys_Repl_Rate!H18&gt;=1,0,IF(Lamp_Repl_Rate!H19&gt;=1,System_Total_Mkt!H18*(1-Retrofit_Rate)*(1-Sys_Repl_Rate!H18),System_Total_Mkt!H18*(1-Retrofit_Rate)*(1-Sys_Repl_Rate!H18)*Lamp_Repl_Rate!H19)),0)</f>
        <v>0</v>
      </c>
      <c r="J18" s="199">
        <f>IF(Tech_Specs!$K18="lamp+ballast",IF(Sys_Repl_Rate!I18&gt;=1,0,IF(Lamp_Repl_Rate!I19&gt;=1,System_Total_Mkt!I18*(1-Retrofit_Rate)*(1-Sys_Repl_Rate!I18),System_Total_Mkt!I18*(1-Retrofit_Rate)*(1-Sys_Repl_Rate!I18)*Lamp_Repl_Rate!I19)),0)</f>
        <v>0</v>
      </c>
      <c r="K18" s="199">
        <f>IF(Tech_Specs!$K18="lamp+ballast",IF(Sys_Repl_Rate!J18&gt;=1,0,IF(Lamp_Repl_Rate!J19&gt;=1,System_Total_Mkt!J18*(1-Retrofit_Rate)*(1-Sys_Repl_Rate!J18),System_Total_Mkt!J18*(1-Retrofit_Rate)*(1-Sys_Repl_Rate!J18)*Lamp_Repl_Rate!J19)),0)</f>
        <v>0</v>
      </c>
      <c r="L18" s="199">
        <f>IF(Tech_Specs!$K18="lamp+ballast",IF(Sys_Repl_Rate!K18&gt;=1,0,IF(Lamp_Repl_Rate!K19&gt;=1,System_Total_Mkt!K18*(1-Retrofit_Rate)*(1-Sys_Repl_Rate!K18),System_Total_Mkt!K18*(1-Retrofit_Rate)*(1-Sys_Repl_Rate!K18)*Lamp_Repl_Rate!K19)),0)</f>
        <v>0</v>
      </c>
      <c r="M18" s="199">
        <f>IF(Tech_Specs!$K18="lamp+ballast",IF(Sys_Repl_Rate!L18&gt;=1,0,IF(Lamp_Repl_Rate!L19&gt;=1,System_Total_Mkt!L18*(1-Retrofit_Rate)*(1-Sys_Repl_Rate!L18),System_Total_Mkt!L18*(1-Retrofit_Rate)*(1-Sys_Repl_Rate!L18)*Lamp_Repl_Rate!L19)),0)</f>
        <v>0</v>
      </c>
      <c r="N18" s="199">
        <f>IF(Tech_Specs!$K18="lamp+ballast",IF(Sys_Repl_Rate!M18&gt;=1,0,IF(Lamp_Repl_Rate!M19&gt;=1,System_Total_Mkt!M18*(1-Retrofit_Rate)*(1-Sys_Repl_Rate!M18),System_Total_Mkt!M18*(1-Retrofit_Rate)*(1-Sys_Repl_Rate!M18)*Lamp_Repl_Rate!M19)),0)</f>
        <v>0</v>
      </c>
      <c r="O18" s="199">
        <f>IF(Tech_Specs!$K18="lamp+ballast",IF(Sys_Repl_Rate!N18&gt;=1,0,IF(Lamp_Repl_Rate!N19&gt;=1,System_Total_Mkt!N18*(1-Retrofit_Rate)*(1-Sys_Repl_Rate!N18),System_Total_Mkt!N18*(1-Retrofit_Rate)*(1-Sys_Repl_Rate!N18)*Lamp_Repl_Rate!N19)),0)</f>
        <v>0</v>
      </c>
      <c r="P18" s="199">
        <f>IF(Tech_Specs!$K18="lamp+ballast",IF(Sys_Repl_Rate!O18&gt;=1,0,IF(Lamp_Repl_Rate!O19&gt;=1,System_Total_Mkt!O18*(1-Retrofit_Rate)*(1-Sys_Repl_Rate!O18),System_Total_Mkt!O18*(1-Retrofit_Rate)*(1-Sys_Repl_Rate!O18)*Lamp_Repl_Rate!O19)),0)</f>
        <v>0</v>
      </c>
      <c r="Q18" s="199">
        <f>IF(Tech_Specs!$K18="lamp+ballast",IF(Sys_Repl_Rate!P18&gt;=1,0,IF(Lamp_Repl_Rate!P19&gt;=1,System_Total_Mkt!P18*(1-Retrofit_Rate)*(1-Sys_Repl_Rate!P18),System_Total_Mkt!P18*(1-Retrofit_Rate)*(1-Sys_Repl_Rate!P18)*Lamp_Repl_Rate!P19)),0)</f>
        <v>0</v>
      </c>
      <c r="R18" s="199">
        <f>IF(Tech_Specs!$K18="lamp+ballast",IF(Sys_Repl_Rate!Q18&gt;=1,0,IF(Lamp_Repl_Rate!Q19&gt;=1,System_Total_Mkt!Q18*(1-Retrofit_Rate)*(1-Sys_Repl_Rate!Q18),System_Total_Mkt!Q18*(1-Retrofit_Rate)*(1-Sys_Repl_Rate!Q18)*Lamp_Repl_Rate!Q19)),0)</f>
        <v>0</v>
      </c>
      <c r="S18" s="199">
        <f>IF(Tech_Specs!$K18="lamp+ballast",IF(Sys_Repl_Rate!R18&gt;=1,0,IF(Lamp_Repl_Rate!R19&gt;=1,System_Total_Mkt!R18*(1-Retrofit_Rate)*(1-Sys_Repl_Rate!R18),System_Total_Mkt!R18*(1-Retrofit_Rate)*(1-Sys_Repl_Rate!R18)*Lamp_Repl_Rate!R19)),0)</f>
        <v>0</v>
      </c>
      <c r="T18" s="199">
        <f>IF(Tech_Specs!$K18="lamp+ballast",IF(Sys_Repl_Rate!S18&gt;=1,0,IF(Lamp_Repl_Rate!S19&gt;=1,System_Total_Mkt!S18*(1-Retrofit_Rate)*(1-Sys_Repl_Rate!S18),System_Total_Mkt!S18*(1-Retrofit_Rate)*(1-Sys_Repl_Rate!S18)*Lamp_Repl_Rate!S19)),0)</f>
        <v>0</v>
      </c>
      <c r="U18" s="199">
        <f>IF(Tech_Specs!$K18="lamp+ballast",IF(Sys_Repl_Rate!T18&gt;=1,0,IF(Lamp_Repl_Rate!T19&gt;=1,System_Total_Mkt!T18*(1-Retrofit_Rate)*(1-Sys_Repl_Rate!T18),System_Total_Mkt!T18*(1-Retrofit_Rate)*(1-Sys_Repl_Rate!T18)*Lamp_Repl_Rate!T19)),0)</f>
        <v>0</v>
      </c>
      <c r="V18" s="199">
        <f>IF(Tech_Specs!$K18="lamp+ballast",IF(Sys_Repl_Rate!U18&gt;=1,0,IF(Lamp_Repl_Rate!U19&gt;=1,System_Total_Mkt!U18*(1-Retrofit_Rate)*(1-Sys_Repl_Rate!U18),System_Total_Mkt!U18*(1-Retrofit_Rate)*(1-Sys_Repl_Rate!U18)*Lamp_Repl_Rate!U19)),0)</f>
        <v>0</v>
      </c>
      <c r="W18" s="199">
        <f>IF(Tech_Specs!$K18="lamp+ballast",IF(Sys_Repl_Rate!V18&gt;=1,0,IF(Lamp_Repl_Rate!V19&gt;=1,System_Total_Mkt!V18*(1-Retrofit_Rate)*(1-Sys_Repl_Rate!V18),System_Total_Mkt!V18*(1-Retrofit_Rate)*(1-Sys_Repl_Rate!V18)*Lamp_Repl_Rate!V19)),0)</f>
        <v>0</v>
      </c>
      <c r="X18" s="199">
        <f>IF(Tech_Specs!$K18="lamp+ballast",IF(Sys_Repl_Rate!W18&gt;=1,0,IF(Lamp_Repl_Rate!W19&gt;=1,System_Total_Mkt!W18*(1-Retrofit_Rate)*(1-Sys_Repl_Rate!W18),System_Total_Mkt!W18*(1-Retrofit_Rate)*(1-Sys_Repl_Rate!W18)*Lamp_Repl_Rate!W19)),0)</f>
        <v>0</v>
      </c>
      <c r="Y18" s="199">
        <f>IF(Tech_Specs!$K18="lamp+ballast",IF(Sys_Repl_Rate!X18&gt;=1,0,IF(Lamp_Repl_Rate!X19&gt;=1,System_Total_Mkt!X18*(1-Retrofit_Rate)*(1-Sys_Repl_Rate!X18),System_Total_Mkt!X18*(1-Retrofit_Rate)*(1-Sys_Repl_Rate!X18)*Lamp_Repl_Rate!X19)),0)</f>
        <v>0</v>
      </c>
      <c r="Z18" s="199">
        <f>IF(Tech_Specs!$K18="lamp+ballast",IF(Sys_Repl_Rate!Y18&gt;=1,0,IF(Lamp_Repl_Rate!Y19&gt;=1,System_Total_Mkt!Y18*(1-Retrofit_Rate)*(1-Sys_Repl_Rate!Y18),System_Total_Mkt!Y18*(1-Retrofit_Rate)*(1-Sys_Repl_Rate!Y18)*Lamp_Repl_Rate!Y19)),0)</f>
        <v>0</v>
      </c>
      <c r="AA18" s="199">
        <f>IF(Tech_Specs!$K18="lamp+ballast",IF(Sys_Repl_Rate!Z18&gt;=1,0,IF(Lamp_Repl_Rate!Z19&gt;=1,System_Total_Mkt!Z18*(1-Retrofit_Rate)*(1-Sys_Repl_Rate!Z18),System_Total_Mkt!Z18*(1-Retrofit_Rate)*(1-Sys_Repl_Rate!Z18)*Lamp_Repl_Rate!Z19)),0)</f>
        <v>0</v>
      </c>
      <c r="AB18" s="199">
        <f>IF(Tech_Specs!$K18="lamp+ballast",IF(Sys_Repl_Rate!AA18&gt;=1,0,IF(Lamp_Repl_Rate!AA19&gt;=1,System_Total_Mkt!AA18*(1-Retrofit_Rate)*(1-Sys_Repl_Rate!AA18),System_Total_Mkt!AA18*(1-Retrofit_Rate)*(1-Sys_Repl_Rate!AA18)*Lamp_Repl_Rate!AA19)),0)</f>
        <v>0</v>
      </c>
      <c r="AC18" s="199">
        <f>IF(Tech_Specs!$K18="lamp+ballast",IF(Sys_Repl_Rate!AB18&gt;=1,0,IF(Lamp_Repl_Rate!AB19&gt;=1,System_Total_Mkt!AB18*(1-Retrofit_Rate)*(1-Sys_Repl_Rate!AB18),System_Total_Mkt!AB18*(1-Retrofit_Rate)*(1-Sys_Repl_Rate!AB18)*Lamp_Repl_Rate!AB19)),0)</f>
        <v>0</v>
      </c>
      <c r="AD18" s="199">
        <f>IF(Tech_Specs!$K18="lamp+ballast",IF(Sys_Repl_Rate!AC18&gt;=1,0,IF(Lamp_Repl_Rate!AC19&gt;=1,System_Total_Mkt!AC18*(1-Retrofit_Rate)*(1-Sys_Repl_Rate!AC18),System_Total_Mkt!AC18*(1-Retrofit_Rate)*(1-Sys_Repl_Rate!AC18)*Lamp_Repl_Rate!AC19)),0)</f>
        <v>0</v>
      </c>
      <c r="AE18" s="199">
        <f>IF(Tech_Specs!$K18="lamp+ballast",IF(Sys_Repl_Rate!AD18&gt;=1,0,IF(Lamp_Repl_Rate!AD19&gt;=1,System_Total_Mkt!AD18*(1-Retrofit_Rate)*(1-Sys_Repl_Rate!AD18),System_Total_Mkt!AD18*(1-Retrofit_Rate)*(1-Sys_Repl_Rate!AD18)*Lamp_Repl_Rate!AD19)),0)</f>
        <v>0</v>
      </c>
      <c r="AF18" s="199">
        <f>IF(Tech_Specs!$K18="lamp+ballast",IF(Sys_Repl_Rate!AE18&gt;=1,0,IF(Lamp_Repl_Rate!AE19&gt;=1,System_Total_Mkt!AE18*(1-Retrofit_Rate)*(1-Sys_Repl_Rate!AE18),System_Total_Mkt!AE18*(1-Retrofit_Rate)*(1-Sys_Repl_Rate!AE18)*Lamp_Repl_Rate!AE19)),0)</f>
        <v>0</v>
      </c>
    </row>
    <row r="19" spans="1:32" s="221" customFormat="1" ht="14.45" x14ac:dyDescent="0.35">
      <c r="A19" s="252"/>
      <c r="B19" s="252"/>
      <c r="C19"/>
      <c r="D19"/>
      <c r="E19"/>
      <c r="F19"/>
      <c r="G19"/>
      <c r="H19"/>
      <c r="I19"/>
      <c r="J19"/>
      <c r="K19"/>
      <c r="L19"/>
      <c r="M19"/>
      <c r="N19"/>
      <c r="O19"/>
      <c r="P19"/>
      <c r="Q19"/>
      <c r="R19"/>
      <c r="S19"/>
      <c r="T19"/>
      <c r="U19"/>
      <c r="V19"/>
      <c r="W19"/>
      <c r="X19"/>
      <c r="Y19"/>
      <c r="Z19"/>
      <c r="AA19"/>
      <c r="AB19"/>
      <c r="AC19"/>
      <c r="AD19"/>
      <c r="AE19"/>
      <c r="AF19"/>
    </row>
    <row r="20" spans="1:32" s="202" customFormat="1" ht="12.95" x14ac:dyDescent="0.3">
      <c r="A20" s="267" t="s">
        <v>36</v>
      </c>
      <c r="B20" s="267"/>
      <c r="C20" s="267"/>
      <c r="D20" s="267"/>
      <c r="E20" s="267"/>
      <c r="F20" s="267"/>
      <c r="G20" s="267"/>
      <c r="H20" s="267"/>
      <c r="I20" s="267"/>
      <c r="J20" s="267"/>
      <c r="K20" s="267"/>
      <c r="L20" s="267"/>
      <c r="M20" s="267"/>
      <c r="N20" s="267"/>
      <c r="O20" s="267"/>
      <c r="P20" s="267"/>
      <c r="Q20" s="267"/>
      <c r="R20" s="267"/>
      <c r="S20" s="267"/>
      <c r="T20" s="267"/>
      <c r="U20" s="267"/>
      <c r="V20" s="267"/>
      <c r="W20" s="267"/>
      <c r="X20" s="267"/>
      <c r="Y20" s="267"/>
      <c r="Z20" s="267"/>
      <c r="AA20" s="267"/>
      <c r="AB20" s="267"/>
      <c r="AC20" s="267"/>
      <c r="AD20" s="267"/>
      <c r="AE20" s="267"/>
      <c r="AF20" s="267"/>
    </row>
    <row r="21" spans="1:32" s="221" customFormat="1" ht="14.45" x14ac:dyDescent="0.35">
      <c r="A21" s="252"/>
      <c r="B21" s="252" t="s">
        <v>37</v>
      </c>
      <c r="C21"/>
      <c r="D21"/>
      <c r="E21"/>
      <c r="F21"/>
      <c r="G21" s="201"/>
      <c r="H21" s="199">
        <f>IF(Tech_Specs!$K21="lamp+ballast",IF(Sys_Repl_Rate!G21&gt;=1,0,IF(Lamp_Repl_Rate!G22&gt;=1,System_Total_Mkt!G21*(1-Retrofit_Rate)*(1-Sys_Repl_Rate!G21),System_Total_Mkt!G21*(1-Retrofit_Rate)*(1-Sys_Repl_Rate!G21)*Lamp_Repl_Rate!G22)),0)</f>
        <v>0.63527681724942031</v>
      </c>
      <c r="I21" s="199">
        <f>IF(Tech_Specs!$K21="lamp+ballast",IF(Sys_Repl_Rate!H21&gt;=1,0,IF(Lamp_Repl_Rate!H22&gt;=1,System_Total_Mkt!H21*(1-Retrofit_Rate)*(1-Sys_Repl_Rate!H21),System_Total_Mkt!H21*(1-Retrofit_Rate)*(1-Sys_Repl_Rate!H21)*Lamp_Repl_Rate!H22)),0)</f>
        <v>0.59753054064585465</v>
      </c>
      <c r="J21" s="199">
        <f>IF(Tech_Specs!$K21="lamp+ballast",IF(Sys_Repl_Rate!I21&gt;=1,0,IF(Lamp_Repl_Rate!I22&gt;=1,System_Total_Mkt!I21*(1-Retrofit_Rate)*(1-Sys_Repl_Rate!I21),System_Total_Mkt!I21*(1-Retrofit_Rate)*(1-Sys_Repl_Rate!I21)*Lamp_Repl_Rate!I22)),0)</f>
        <v>0.55870756102829899</v>
      </c>
      <c r="K21" s="199">
        <f>IF(Tech_Specs!$K21="lamp+ballast",IF(Sys_Repl_Rate!J21&gt;=1,0,IF(Lamp_Repl_Rate!J22&gt;=1,System_Total_Mkt!J21*(1-Retrofit_Rate)*(1-Sys_Repl_Rate!J21),System_Total_Mkt!J21*(1-Retrofit_Rate)*(1-Sys_Repl_Rate!J21)*Lamp_Repl_Rate!J22)),0)</f>
        <v>0.51923295605987363</v>
      </c>
      <c r="L21" s="199">
        <f>IF(Tech_Specs!$K21="lamp+ballast",IF(Sys_Repl_Rate!K21&gt;=1,0,IF(Lamp_Repl_Rate!K22&gt;=1,System_Total_Mkt!K21*(1-Retrofit_Rate)*(1-Sys_Repl_Rate!K21),System_Total_Mkt!K21*(1-Retrofit_Rate)*(1-Sys_Repl_Rate!K21)*Lamp_Repl_Rate!K22)),0)</f>
        <v>0.47954629846124691</v>
      </c>
      <c r="M21" s="199">
        <f>IF(Tech_Specs!$K21="lamp+ballast",IF(Sys_Repl_Rate!L21&gt;=1,0,IF(Lamp_Repl_Rate!L22&gt;=1,System_Total_Mkt!L21*(1-Retrofit_Rate)*(1-Sys_Repl_Rate!L21),System_Total_Mkt!L21*(1-Retrofit_Rate)*(1-Sys_Repl_Rate!L21)*Lamp_Repl_Rate!L22)),0)</f>
        <v>0.44268453695641674</v>
      </c>
      <c r="N21" s="199">
        <f>IF(Tech_Specs!$K21="lamp+ballast",IF(Sys_Repl_Rate!M21&gt;=1,0,IF(Lamp_Repl_Rate!M22&gt;=1,System_Total_Mkt!M21*(1-Retrofit_Rate)*(1-Sys_Repl_Rate!M21),System_Total_Mkt!M21*(1-Retrofit_Rate)*(1-Sys_Repl_Rate!M21)*Lamp_Repl_Rate!M22)),0)</f>
        <v>0.40846844578653202</v>
      </c>
      <c r="O21" s="199">
        <f>IF(Tech_Specs!$K21="lamp+ballast",IF(Sys_Repl_Rate!N21&gt;=1,0,IF(Lamp_Repl_Rate!N22&gt;=1,System_Total_Mkt!N21*(1-Retrofit_Rate)*(1-Sys_Repl_Rate!N21),System_Total_Mkt!N21*(1-Retrofit_Rate)*(1-Sys_Repl_Rate!N21)*Lamp_Repl_Rate!N22)),0)</f>
        <v>0.37680686078697456</v>
      </c>
      <c r="P21" s="199">
        <f>IF(Tech_Specs!$K21="lamp+ballast",IF(Sys_Repl_Rate!O21&gt;=1,0,IF(Lamp_Repl_Rate!O22&gt;=1,System_Total_Mkt!O21*(1-Retrofit_Rate)*(1-Sys_Repl_Rate!O21),System_Total_Mkt!O21*(1-Retrofit_Rate)*(1-Sys_Repl_Rate!O21)*Lamp_Repl_Rate!O22)),0)</f>
        <v>0.34767091426116259</v>
      </c>
      <c r="Q21" s="199">
        <f>IF(Tech_Specs!$K21="lamp+ballast",IF(Sys_Repl_Rate!P21&gt;=1,0,IF(Lamp_Repl_Rate!P22&gt;=1,System_Total_Mkt!P21*(1-Retrofit_Rate)*(1-Sys_Repl_Rate!P21),System_Total_Mkt!P21*(1-Retrofit_Rate)*(1-Sys_Repl_Rate!P21)*Lamp_Repl_Rate!P22)),0)</f>
        <v>0.32085265718195621</v>
      </c>
      <c r="R21" s="199">
        <f>IF(Tech_Specs!$K21="lamp+ballast",IF(Sys_Repl_Rate!Q21&gt;=1,0,IF(Lamp_Repl_Rate!Q22&gt;=1,System_Total_Mkt!Q21*(1-Retrofit_Rate)*(1-Sys_Repl_Rate!Q21),System_Total_Mkt!Q21*(1-Retrofit_Rate)*(1-Sys_Repl_Rate!Q21)*Lamp_Repl_Rate!Q22)),0)</f>
        <v>0.29616137764913003</v>
      </c>
      <c r="S21" s="199">
        <f>IF(Tech_Specs!$K21="lamp+ballast",IF(Sys_Repl_Rate!R21&gt;=1,0,IF(Lamp_Repl_Rate!R22&gt;=1,System_Total_Mkt!R21*(1-Retrofit_Rate)*(1-Sys_Repl_Rate!R21),System_Total_Mkt!R21*(1-Retrofit_Rate)*(1-Sys_Repl_Rate!R21)*Lamp_Repl_Rate!R22)),0)</f>
        <v>0.27342254841617308</v>
      </c>
      <c r="T21" s="199">
        <f>IF(Tech_Specs!$K21="lamp+ballast",IF(Sys_Repl_Rate!S21&gt;=1,0,IF(Lamp_Repl_Rate!S22&gt;=1,System_Total_Mkt!S21*(1-Retrofit_Rate)*(1-Sys_Repl_Rate!S21),System_Total_Mkt!S21*(1-Retrofit_Rate)*(1-Sys_Repl_Rate!S21)*Lamp_Repl_Rate!S22)),0)</f>
        <v>0.25247682610589139</v>
      </c>
      <c r="U21" s="199">
        <f>IF(Tech_Specs!$K21="lamp+ballast",IF(Sys_Repl_Rate!T21&gt;=1,0,IF(Lamp_Repl_Rate!T22&gt;=1,System_Total_Mkt!T21*(1-Retrofit_Rate)*(1-Sys_Repl_Rate!T21),System_Total_Mkt!T21*(1-Retrofit_Rate)*(1-Sys_Repl_Rate!T21)*Lamp_Repl_Rate!T22)),0)</f>
        <v>0.23317814505976711</v>
      </c>
      <c r="V21" s="199">
        <f>IF(Tech_Specs!$K21="lamp+ballast",IF(Sys_Repl_Rate!U21&gt;=1,0,IF(Lamp_Repl_Rate!U22&gt;=1,System_Total_Mkt!U21*(1-Retrofit_Rate)*(1-Sys_Repl_Rate!U21),System_Total_Mkt!U21*(1-Retrofit_Rate)*(1-Sys_Repl_Rate!U21)*Lamp_Repl_Rate!U22)),0)</f>
        <v>0.21539275730808535</v>
      </c>
      <c r="W21" s="199">
        <f>IF(Tech_Specs!$K21="lamp+ballast",IF(Sys_Repl_Rate!V21&gt;=1,0,IF(Lamp_Repl_Rate!V22&gt;=1,System_Total_Mkt!V21*(1-Retrofit_Rate)*(1-Sys_Repl_Rate!V21),System_Total_Mkt!V21*(1-Retrofit_Rate)*(1-Sys_Repl_Rate!V21)*Lamp_Repl_Rate!V22)),0)</f>
        <v>0.19899833349184115</v>
      </c>
      <c r="X21" s="199">
        <f>IF(Tech_Specs!$K21="lamp+ballast",IF(Sys_Repl_Rate!W21&gt;=1,0,IF(Lamp_Repl_Rate!W22&gt;=1,System_Total_Mkt!W21*(1-Retrofit_Rate)*(1-Sys_Repl_Rate!W21),System_Total_Mkt!W21*(1-Retrofit_Rate)*(1-Sys_Repl_Rate!W21)*Lamp_Repl_Rate!W22)),0)</f>
        <v>0.18388263133540822</v>
      </c>
      <c r="Y21" s="199">
        <f>IF(Tech_Specs!$K21="lamp+ballast",IF(Sys_Repl_Rate!X21&gt;=1,0,IF(Lamp_Repl_Rate!X22&gt;=1,System_Total_Mkt!X21*(1-Retrofit_Rate)*(1-Sys_Repl_Rate!X21),System_Total_Mkt!X21*(1-Retrofit_Rate)*(1-Sys_Repl_Rate!X21)*Lamp_Repl_Rate!X22)),0)</f>
        <v>0.16994281966120101</v>
      </c>
      <c r="Z21" s="199">
        <f>IF(Tech_Specs!$K21="lamp+ballast",IF(Sys_Repl_Rate!Y21&gt;=1,0,IF(Lamp_Repl_Rate!Y22&gt;=1,System_Total_Mkt!Y21*(1-Retrofit_Rate)*(1-Sys_Repl_Rate!Y21),System_Total_Mkt!Y21*(1-Retrofit_Rate)*(1-Sys_Repl_Rate!Y21)*Lamp_Repl_Rate!Y22)),0)</f>
        <v>0.15708465110901126</v>
      </c>
      <c r="AA21" s="199">
        <f>IF(Tech_Specs!$K21="lamp+ballast",IF(Sys_Repl_Rate!Z21&gt;=1,0,IF(Lamp_Repl_Rate!Z22&gt;=1,System_Total_Mkt!Z21*(1-Retrofit_Rate)*(1-Sys_Repl_Rate!Z21),System_Total_Mkt!Z21*(1-Retrofit_Rate)*(1-Sys_Repl_Rate!Z21)*Lamp_Repl_Rate!Z22)),0)</f>
        <v>0.14522178266802432</v>
      </c>
      <c r="AB21" s="199">
        <f>IF(Tech_Specs!$K21="lamp+ballast",IF(Sys_Repl_Rate!AA21&gt;=1,0,IF(Lamp_Repl_Rate!AA22&gt;=1,System_Total_Mkt!AA21*(1-Retrofit_Rate)*(1-Sys_Repl_Rate!AA21),System_Total_Mkt!AA21*(1-Retrofit_Rate)*(1-Sys_Repl_Rate!AA21)*Lamp_Repl_Rate!AA22)),0)</f>
        <v>0.13427502822329523</v>
      </c>
      <c r="AC21" s="199">
        <f>IF(Tech_Specs!$K21="lamp+ballast",IF(Sys_Repl_Rate!AB21&gt;=1,0,IF(Lamp_Repl_Rate!AB22&gt;=1,System_Total_Mkt!AB21*(1-Retrofit_Rate)*(1-Sys_Repl_Rate!AB21),System_Total_Mkt!AB21*(1-Retrofit_Rate)*(1-Sys_Repl_Rate!AB21)*Lamp_Repl_Rate!AB22)),0)</f>
        <v>0.12417165888543527</v>
      </c>
      <c r="AD21" s="199">
        <f>IF(Tech_Specs!$K21="lamp+ballast",IF(Sys_Repl_Rate!AC21&gt;=1,0,IF(Lamp_Repl_Rate!AC22&gt;=1,System_Total_Mkt!AC21*(1-Retrofit_Rate)*(1-Sys_Repl_Rate!AC21),System_Total_Mkt!AC21*(1-Retrofit_Rate)*(1-Sys_Repl_Rate!AC21)*Lamp_Repl_Rate!AC22)),0)</f>
        <v>0.11484486629778112</v>
      </c>
      <c r="AE21" s="199">
        <f>IF(Tech_Specs!$K21="lamp+ballast",IF(Sys_Repl_Rate!AD21&gt;=1,0,IF(Lamp_Repl_Rate!AD22&gt;=1,System_Total_Mkt!AD21*(1-Retrofit_Rate)*(1-Sys_Repl_Rate!AD21),System_Total_Mkt!AD21*(1-Retrofit_Rate)*(1-Sys_Repl_Rate!AD21)*Lamp_Repl_Rate!AD22)),0)</f>
        <v>0.10623335166283122</v>
      </c>
      <c r="AF21" s="199">
        <f>IF(Tech_Specs!$K21="lamp+ballast",IF(Sys_Repl_Rate!AE21&gt;=1,0,IF(Lamp_Repl_Rate!AE22&gt;=1,System_Total_Mkt!AE21*(1-Retrofit_Rate)*(1-Sys_Repl_Rate!AE21),System_Total_Mkt!AE21*(1-Retrofit_Rate)*(1-Sys_Repl_Rate!AE21)*Lamp_Repl_Rate!AE22)),0)</f>
        <v>9.82807992492431E-2</v>
      </c>
    </row>
    <row r="22" spans="1:32" s="221" customFormat="1" ht="14.45" x14ac:dyDescent="0.35">
      <c r="A22" s="252"/>
      <c r="B22" s="252" t="s">
        <v>39</v>
      </c>
      <c r="C22"/>
      <c r="D22"/>
      <c r="E22"/>
      <c r="F22"/>
      <c r="G22" s="201"/>
      <c r="H22" s="199">
        <f>IF(Tech_Specs!$K22="lamp+ballast",IF(Sys_Repl_Rate!G22&gt;=1,0,IF(Lamp_Repl_Rate!G23&gt;=1,System_Total_Mkt!G22*(1-Retrofit_Rate)*(1-Sys_Repl_Rate!G22),System_Total_Mkt!G22*(1-Retrofit_Rate)*(1-Sys_Repl_Rate!G22)*Lamp_Repl_Rate!G23)),0)</f>
        <v>0.11941071041661037</v>
      </c>
      <c r="I22" s="199">
        <f>IF(Tech_Specs!$K22="lamp+ballast",IF(Sys_Repl_Rate!H22&gt;=1,0,IF(Lamp_Repl_Rate!H23&gt;=1,System_Total_Mkt!H22*(1-Retrofit_Rate)*(1-Sys_Repl_Rate!H22),System_Total_Mkt!H22*(1-Retrofit_Rate)*(1-Sys_Repl_Rate!H22)*Lamp_Repl_Rate!H23)),0)</f>
        <v>0.15896394800531172</v>
      </c>
      <c r="J22" s="199">
        <f>IF(Tech_Specs!$K22="lamp+ballast",IF(Sys_Repl_Rate!I22&gt;=1,0,IF(Lamp_Repl_Rate!I23&gt;=1,System_Total_Mkt!I22*(1-Retrofit_Rate)*(1-Sys_Repl_Rate!I22),System_Total_Mkt!I22*(1-Retrofit_Rate)*(1-Sys_Repl_Rate!I22)*Lamp_Repl_Rate!I23)),0)</f>
        <v>0.19610401104423728</v>
      </c>
      <c r="K22" s="199">
        <f>IF(Tech_Specs!$K22="lamp+ballast",IF(Sys_Repl_Rate!J22&gt;=1,0,IF(Lamp_Repl_Rate!J23&gt;=1,System_Total_Mkt!J22*(1-Retrofit_Rate)*(1-Sys_Repl_Rate!J22),System_Total_Mkt!J22*(1-Retrofit_Rate)*(1-Sys_Repl_Rate!J22)*Lamp_Repl_Rate!J23)),0)</f>
        <v>0.22990013471968807</v>
      </c>
      <c r="L22" s="199">
        <f>IF(Tech_Specs!$K22="lamp+ballast",IF(Sys_Repl_Rate!K22&gt;=1,0,IF(Lamp_Repl_Rate!K23&gt;=1,System_Total_Mkt!K22*(1-Retrofit_Rate)*(1-Sys_Repl_Rate!K22),System_Total_Mkt!K22*(1-Retrofit_Rate)*(1-Sys_Repl_Rate!K22)*Lamp_Repl_Rate!K23)),0)</f>
        <v>0.25913334537583099</v>
      </c>
      <c r="M22" s="199">
        <f>IF(Tech_Specs!$K22="lamp+ballast",IF(Sys_Repl_Rate!L22&gt;=1,0,IF(Lamp_Repl_Rate!L23&gt;=1,System_Total_Mkt!L22*(1-Retrofit_Rate)*(1-Sys_Repl_Rate!L22),System_Total_Mkt!L22*(1-Retrofit_Rate)*(1-Sys_Repl_Rate!L22)*Lamp_Repl_Rate!L23)),0)</f>
        <v>0.28244183663952338</v>
      </c>
      <c r="N22" s="199">
        <f>IF(Tech_Specs!$K22="lamp+ballast",IF(Sys_Repl_Rate!M22&gt;=1,0,IF(Lamp_Repl_Rate!M23&gt;=1,System_Total_Mkt!M22*(1-Retrofit_Rate)*(1-Sys_Repl_Rate!M22),System_Total_Mkt!M22*(1-Retrofit_Rate)*(1-Sys_Repl_Rate!M22)*Lamp_Repl_Rate!M23)),0)</f>
        <v>0.29999584487826919</v>
      </c>
      <c r="O22" s="199">
        <f>IF(Tech_Specs!$K22="lamp+ballast",IF(Sys_Repl_Rate!N22&gt;=1,0,IF(Lamp_Repl_Rate!N23&gt;=1,System_Total_Mkt!N22*(1-Retrofit_Rate)*(1-Sys_Repl_Rate!N22),System_Total_Mkt!N22*(1-Retrofit_Rate)*(1-Sys_Repl_Rate!N22)*Lamp_Repl_Rate!N23)),0)</f>
        <v>0.31230826088490121</v>
      </c>
      <c r="P22" s="199">
        <f>IF(Tech_Specs!$K22="lamp+ballast",IF(Sys_Repl_Rate!O22&gt;=1,0,IF(Lamp_Repl_Rate!O23&gt;=1,System_Total_Mkt!O22*(1-Retrofit_Rate)*(1-Sys_Repl_Rate!O22),System_Total_Mkt!O22*(1-Retrofit_Rate)*(1-Sys_Repl_Rate!O22)*Lamp_Repl_Rate!O23)),0)</f>
        <v>0.32002392258578605</v>
      </c>
      <c r="Q22" s="199">
        <f>IF(Tech_Specs!$K22="lamp+ballast",IF(Sys_Repl_Rate!P22&gt;=1,0,IF(Lamp_Repl_Rate!P23&gt;=1,System_Total_Mkt!P22*(1-Retrofit_Rate)*(1-Sys_Repl_Rate!P22),System_Total_Mkt!P22*(1-Retrofit_Rate)*(1-Sys_Repl_Rate!P22)*Lamp_Repl_Rate!P23)),0)</f>
        <v>0.32396958561158051</v>
      </c>
      <c r="R22" s="199">
        <f>IF(Tech_Specs!$K22="lamp+ballast",IF(Sys_Repl_Rate!Q22&gt;=1,0,IF(Lamp_Repl_Rate!Q23&gt;=1,System_Total_Mkt!Q22*(1-Retrofit_Rate)*(1-Sys_Repl_Rate!Q22),System_Total_Mkt!Q22*(1-Retrofit_Rate)*(1-Sys_Repl_Rate!Q22)*Lamp_Repl_Rate!Q23)),0)</f>
        <v>0.32480779074755328</v>
      </c>
      <c r="S22" s="199">
        <f>IF(Tech_Specs!$K22="lamp+ballast",IF(Sys_Repl_Rate!R22&gt;=1,0,IF(Lamp_Repl_Rate!R23&gt;=1,System_Total_Mkt!R22*(1-Retrofit_Rate)*(1-Sys_Repl_Rate!R22),System_Total_Mkt!R22*(1-Retrofit_Rate)*(1-Sys_Repl_Rate!R22)*Lamp_Repl_Rate!R23)),0)</f>
        <v>0.32310844550442602</v>
      </c>
      <c r="T22" s="199">
        <f>IF(Tech_Specs!$K22="lamp+ballast",IF(Sys_Repl_Rate!S22&gt;=1,0,IF(Lamp_Repl_Rate!S23&gt;=1,System_Total_Mkt!S22*(1-Retrofit_Rate)*(1-Sys_Repl_Rate!S22),System_Total_Mkt!S22*(1-Retrofit_Rate)*(1-Sys_Repl_Rate!S22)*Lamp_Repl_Rate!S23)),0)</f>
        <v>0.31949508275697008</v>
      </c>
      <c r="U22" s="199">
        <f>IF(Tech_Specs!$K22="lamp+ballast",IF(Sys_Repl_Rate!T22&gt;=1,0,IF(Lamp_Repl_Rate!T23&gt;=1,System_Total_Mkt!T22*(1-Retrofit_Rate)*(1-Sys_Repl_Rate!T22),System_Total_Mkt!T22*(1-Retrofit_Rate)*(1-Sys_Repl_Rate!T22)*Lamp_Repl_Rate!T23)),0)</f>
        <v>0.31440787060778785</v>
      </c>
      <c r="V22" s="199">
        <f>IF(Tech_Specs!$K22="lamp+ballast",IF(Sys_Repl_Rate!U22&gt;=1,0,IF(Lamp_Repl_Rate!U23&gt;=1,System_Total_Mkt!U22*(1-Retrofit_Rate)*(1-Sys_Repl_Rate!U22),System_Total_Mkt!U22*(1-Retrofit_Rate)*(1-Sys_Repl_Rate!U22)*Lamp_Repl_Rate!U23)),0)</f>
        <v>0.30820378375990276</v>
      </c>
      <c r="W22" s="199">
        <f>IF(Tech_Specs!$K22="lamp+ballast",IF(Sys_Repl_Rate!V22&gt;=1,0,IF(Lamp_Repl_Rate!V23&gt;=1,System_Total_Mkt!V22*(1-Retrofit_Rate)*(1-Sys_Repl_Rate!V22),System_Total_Mkt!V22*(1-Retrofit_Rate)*(1-Sys_Repl_Rate!V22)*Lamp_Repl_Rate!V23)),0)</f>
        <v>0.30123370461565768</v>
      </c>
      <c r="X22" s="199">
        <f>IF(Tech_Specs!$K22="lamp+ballast",IF(Sys_Repl_Rate!W22&gt;=1,0,IF(Lamp_Repl_Rate!W23&gt;=1,System_Total_Mkt!W22*(1-Retrofit_Rate)*(1-Sys_Repl_Rate!W22),System_Total_Mkt!W22*(1-Retrofit_Rate)*(1-Sys_Repl_Rate!W22)*Lamp_Repl_Rate!W23)),0)</f>
        <v>0.29371369275005715</v>
      </c>
      <c r="Y22" s="199">
        <f>IF(Tech_Specs!$K22="lamp+ballast",IF(Sys_Repl_Rate!X22&gt;=1,0,IF(Lamp_Repl_Rate!X23&gt;=1,System_Total_Mkt!X22*(1-Retrofit_Rate)*(1-Sys_Repl_Rate!X22),System_Total_Mkt!X22*(1-Retrofit_Rate)*(1-Sys_Repl_Rate!X22)*Lamp_Repl_Rate!X23)),0)</f>
        <v>0.28581992618244562</v>
      </c>
      <c r="Z22" s="199">
        <f>IF(Tech_Specs!$K22="lamp+ballast",IF(Sys_Repl_Rate!Y22&gt;=1,0,IF(Lamp_Repl_Rate!Y23&gt;=1,System_Total_Mkt!Y22*(1-Retrofit_Rate)*(1-Sys_Repl_Rate!Y22),System_Total_Mkt!Y22*(1-Retrofit_Rate)*(1-Sys_Repl_Rate!Y22)*Lamp_Repl_Rate!Y23)),0)</f>
        <v>0.2776962309313637</v>
      </c>
      <c r="AA22" s="199">
        <f>IF(Tech_Specs!$K22="lamp+ballast",IF(Sys_Repl_Rate!Z22&gt;=1,0,IF(Lamp_Repl_Rate!Z23&gt;=1,System_Total_Mkt!Z22*(1-Retrofit_Rate)*(1-Sys_Repl_Rate!Z22),System_Total_Mkt!Z22*(1-Retrofit_Rate)*(1-Sys_Repl_Rate!Z22)*Lamp_Repl_Rate!Z23)),0)</f>
        <v>0.26948971181228415</v>
      </c>
      <c r="AB22" s="199">
        <f>IF(Tech_Specs!$K22="lamp+ballast",IF(Sys_Repl_Rate!AA22&gt;=1,0,IF(Lamp_Repl_Rate!AA23&gt;=1,System_Total_Mkt!AA22*(1-Retrofit_Rate)*(1-Sys_Repl_Rate!AA22),System_Total_Mkt!AA22*(1-Retrofit_Rate)*(1-Sys_Repl_Rate!AA22)*Lamp_Repl_Rate!AA23)),0)</f>
        <v>0.26132566718629113</v>
      </c>
      <c r="AC22" s="199">
        <f>IF(Tech_Specs!$K22="lamp+ballast",IF(Sys_Repl_Rate!AB22&gt;=1,0,IF(Lamp_Repl_Rate!AB23&gt;=1,System_Total_Mkt!AB22*(1-Retrofit_Rate)*(1-Sys_Repl_Rate!AB22),System_Total_Mkt!AB22*(1-Retrofit_Rate)*(1-Sys_Repl_Rate!AB22)*Lamp_Repl_Rate!AB23)),0)</f>
        <v>0.25328055257192383</v>
      </c>
      <c r="AD22" s="199">
        <f>IF(Tech_Specs!$K22="lamp+ballast",IF(Sys_Repl_Rate!AC22&gt;=1,0,IF(Lamp_Repl_Rate!AC23&gt;=1,System_Total_Mkt!AC22*(1-Retrofit_Rate)*(1-Sys_Repl_Rate!AC22),System_Total_Mkt!AC22*(1-Retrofit_Rate)*(1-Sys_Repl_Rate!AC22)*Lamp_Repl_Rate!AC23)),0)</f>
        <v>0.24537173500032317</v>
      </c>
      <c r="AE22" s="199">
        <f>IF(Tech_Specs!$K22="lamp+ballast",IF(Sys_Repl_Rate!AD22&gt;=1,0,IF(Lamp_Repl_Rate!AD23&gt;=1,System_Total_Mkt!AD22*(1-Retrofit_Rate)*(1-Sys_Repl_Rate!AD22),System_Total_Mkt!AD22*(1-Retrofit_Rate)*(1-Sys_Repl_Rate!AD22)*Lamp_Repl_Rate!AD23)),0)</f>
        <v>0.23763282815245126</v>
      </c>
      <c r="AF22" s="199">
        <f>IF(Tech_Specs!$K22="lamp+ballast",IF(Sys_Repl_Rate!AE22&gt;=1,0,IF(Lamp_Repl_Rate!AE23&gt;=1,System_Total_Mkt!AE22*(1-Retrofit_Rate)*(1-Sys_Repl_Rate!AE22),System_Total_Mkt!AE22*(1-Retrofit_Rate)*(1-Sys_Repl_Rate!AE22)*Lamp_Repl_Rate!AE23)),0)</f>
        <v>0.23008013714119449</v>
      </c>
    </row>
    <row r="23" spans="1:32" s="221" customFormat="1" ht="14.45" x14ac:dyDescent="0.35">
      <c r="A23" s="252"/>
      <c r="B23" s="252" t="s">
        <v>40</v>
      </c>
      <c r="C23"/>
      <c r="D23"/>
      <c r="E23"/>
      <c r="F23"/>
      <c r="G23" s="201"/>
      <c r="H23" s="199">
        <f>IF(Tech_Specs!$K23="lamp+ballast",IF(Sys_Repl_Rate!G23&gt;=1,0,IF(Lamp_Repl_Rate!G24&gt;=1,System_Total_Mkt!G23*(1-Retrofit_Rate)*(1-Sys_Repl_Rate!G23),System_Total_Mkt!G23*(1-Retrofit_Rate)*(1-Sys_Repl_Rate!G23)*Lamp_Repl_Rate!G24)),0)</f>
        <v>0</v>
      </c>
      <c r="I23" s="199">
        <f>IF(Tech_Specs!$K23="lamp+ballast",IF(Sys_Repl_Rate!H23&gt;=1,0,IF(Lamp_Repl_Rate!H24&gt;=1,System_Total_Mkt!H23*(1-Retrofit_Rate)*(1-Sys_Repl_Rate!H23),System_Total_Mkt!H23*(1-Retrofit_Rate)*(1-Sys_Repl_Rate!H23)*Lamp_Repl_Rate!H24)),0)</f>
        <v>2.0761084869584476E-2</v>
      </c>
      <c r="J23" s="199">
        <f>IF(Tech_Specs!$K23="lamp+ballast",IF(Sys_Repl_Rate!I23&gt;=1,0,IF(Lamp_Repl_Rate!I24&gt;=1,System_Total_Mkt!I23*(1-Retrofit_Rate)*(1-Sys_Repl_Rate!I23),System_Total_Mkt!I23*(1-Retrofit_Rate)*(1-Sys_Repl_Rate!I23)*Lamp_Repl_Rate!I24)),0)</f>
        <v>4.6421820628908227E-2</v>
      </c>
      <c r="K23" s="199">
        <f>IF(Tech_Specs!$K23="lamp+ballast",IF(Sys_Repl_Rate!J23&gt;=1,0,IF(Lamp_Repl_Rate!J24&gt;=1,System_Total_Mkt!J23*(1-Retrofit_Rate)*(1-Sys_Repl_Rate!J23),System_Total_Mkt!J23*(1-Retrofit_Rate)*(1-Sys_Repl_Rate!J23)*Lamp_Repl_Rate!J24)),0)</f>
        <v>7.7069933188854384E-2</v>
      </c>
      <c r="L23" s="199">
        <f>IF(Tech_Specs!$K23="lamp+ballast",IF(Sys_Repl_Rate!K23&gt;=1,0,IF(Lamp_Repl_Rate!K24&gt;=1,System_Total_Mkt!K23*(1-Retrofit_Rate)*(1-Sys_Repl_Rate!K23),System_Total_Mkt!K23*(1-Retrofit_Rate)*(1-Sys_Repl_Rate!K23)*Lamp_Repl_Rate!K24)),0)</f>
        <v>0.1121619053256389</v>
      </c>
      <c r="M23" s="199">
        <f>IF(Tech_Specs!$K23="lamp+ballast",IF(Sys_Repl_Rate!L23&gt;=1,0,IF(Lamp_Repl_Rate!L24&gt;=1,System_Total_Mkt!L23*(1-Retrofit_Rate)*(1-Sys_Repl_Rate!L23),System_Total_Mkt!L23*(1-Retrofit_Rate)*(1-Sys_Repl_Rate!L23)*Lamp_Repl_Rate!L24)),0)</f>
        <v>0.14933374800095603</v>
      </c>
      <c r="N23" s="199">
        <f>IF(Tech_Specs!$K23="lamp+ballast",IF(Sys_Repl_Rate!M23&gt;=1,0,IF(Lamp_Repl_Rate!M24&gt;=1,System_Total_Mkt!M23*(1-Retrofit_Rate)*(1-Sys_Repl_Rate!M23),System_Total_Mkt!M23*(1-Retrofit_Rate)*(1-Sys_Repl_Rate!M23)*Lamp_Repl_Rate!M24)),0)</f>
        <v>0.18755249761638895</v>
      </c>
      <c r="O23" s="199">
        <f>IF(Tech_Specs!$K23="lamp+ballast",IF(Sys_Repl_Rate!N23&gt;=1,0,IF(Lamp_Repl_Rate!N24&gt;=1,System_Total_Mkt!N23*(1-Retrofit_Rate)*(1-Sys_Repl_Rate!N23),System_Total_Mkt!N23*(1-Retrofit_Rate)*(1-Sys_Repl_Rate!N23)*Lamp_Repl_Rate!N24)),0)</f>
        <v>0.22524889833854392</v>
      </c>
      <c r="P23" s="199">
        <f>IF(Tech_Specs!$K23="lamp+ballast",IF(Sys_Repl_Rate!O23&gt;=1,0,IF(Lamp_Repl_Rate!O24&gt;=1,System_Total_Mkt!O23*(1-Retrofit_Rate)*(1-Sys_Repl_Rate!O23),System_Total_Mkt!O23*(1-Retrofit_Rate)*(1-Sys_Repl_Rate!O23)*Lamp_Repl_Rate!O24)),0)</f>
        <v>0.26122083638614435</v>
      </c>
      <c r="Q23" s="199">
        <f>IF(Tech_Specs!$K23="lamp+ballast",IF(Sys_Repl_Rate!P23&gt;=1,0,IF(Lamp_Repl_Rate!P24&gt;=1,System_Total_Mkt!P23*(1-Retrofit_Rate)*(1-Sys_Repl_Rate!P23),System_Total_Mkt!P23*(1-Retrofit_Rate)*(1-Sys_Repl_Rate!P23)*Lamp_Repl_Rate!P24)),0)</f>
        <v>0.294529765645905</v>
      </c>
      <c r="R23" s="199">
        <f>IF(Tech_Specs!$K23="lamp+ballast",IF(Sys_Repl_Rate!Q23&gt;=1,0,IF(Lamp_Repl_Rate!Q24&gt;=1,System_Total_Mkt!Q23*(1-Retrofit_Rate)*(1-Sys_Repl_Rate!Q23),System_Total_Mkt!Q23*(1-Retrofit_Rate)*(1-Sys_Repl_Rate!Q23)*Lamp_Repl_Rate!Q24)),0)</f>
        <v>0.32448015008601105</v>
      </c>
      <c r="S23" s="199">
        <f>IF(Tech_Specs!$K23="lamp+ballast",IF(Sys_Repl_Rate!R23&gt;=1,0,IF(Lamp_Repl_Rate!R24&gt;=1,System_Total_Mkt!R23*(1-Retrofit_Rate)*(1-Sys_Repl_Rate!R23),System_Total_Mkt!R23*(1-Retrofit_Rate)*(1-Sys_Repl_Rate!R23)*Lamp_Repl_Rate!R24)),0)</f>
        <v>0.35060316341398551</v>
      </c>
      <c r="T23" s="199">
        <f>IF(Tech_Specs!$K23="lamp+ballast",IF(Sys_Repl_Rate!S23&gt;=1,0,IF(Lamp_Repl_Rate!S24&gt;=1,System_Total_Mkt!S23*(1-Retrofit_Rate)*(1-Sys_Repl_Rate!S23),System_Total_Mkt!S23*(1-Retrofit_Rate)*(1-Sys_Repl_Rate!S23)*Lamp_Repl_Rate!S24)),0)</f>
        <v>0.37286980215978793</v>
      </c>
      <c r="U23" s="199">
        <f>IF(Tech_Specs!$K23="lamp+ballast",IF(Sys_Repl_Rate!T23&gt;=1,0,IF(Lamp_Repl_Rate!T24&gt;=1,System_Total_Mkt!T23*(1-Retrofit_Rate)*(1-Sys_Repl_Rate!T23),System_Total_Mkt!T23*(1-Retrofit_Rate)*(1-Sys_Repl_Rate!T23)*Lamp_Repl_Rate!T24)),0)</f>
        <v>0.39129757823041772</v>
      </c>
      <c r="V23" s="199">
        <f>IF(Tech_Specs!$K23="lamp+ballast",IF(Sys_Repl_Rate!U23&gt;=1,0,IF(Lamp_Repl_Rate!U24&gt;=1,System_Total_Mkt!U23*(1-Retrofit_Rate)*(1-Sys_Repl_Rate!U23),System_Total_Mkt!U23*(1-Retrofit_Rate)*(1-Sys_Repl_Rate!U23)*Lamp_Repl_Rate!U24)),0)</f>
        <v>0.40607377857987198</v>
      </c>
      <c r="W23" s="199">
        <f>IF(Tech_Specs!$K23="lamp+ballast",IF(Sys_Repl_Rate!V23&gt;=1,0,IF(Lamp_Repl_Rate!V24&gt;=1,System_Total_Mkt!V23*(1-Retrofit_Rate)*(1-Sys_Repl_Rate!V23),System_Total_Mkt!V23*(1-Retrofit_Rate)*(1-Sys_Repl_Rate!V23)*Lamp_Repl_Rate!V24)),0)</f>
        <v>0.41758928075397528</v>
      </c>
      <c r="X23" s="199">
        <f>IF(Tech_Specs!$K23="lamp+ballast",IF(Sys_Repl_Rate!W23&gt;=1,0,IF(Lamp_Repl_Rate!W24&gt;=1,System_Total_Mkt!W23*(1-Retrofit_Rate)*(1-Sys_Repl_Rate!W23),System_Total_Mkt!W23*(1-Retrofit_Rate)*(1-Sys_Repl_Rate!W23)*Lamp_Repl_Rate!W24)),0)</f>
        <v>0.42617182446523166</v>
      </c>
      <c r="Y23" s="199">
        <f>IF(Tech_Specs!$K23="lamp+ballast",IF(Sys_Repl_Rate!X23&gt;=1,0,IF(Lamp_Repl_Rate!X24&gt;=1,System_Total_Mkt!X23*(1-Retrofit_Rate)*(1-Sys_Repl_Rate!X23),System_Total_Mkt!X23*(1-Retrofit_Rate)*(1-Sys_Repl_Rate!X23)*Lamp_Repl_Rate!X24)),0)</f>
        <v>0.43217267666153519</v>
      </c>
      <c r="Z23" s="199">
        <f>IF(Tech_Specs!$K23="lamp+ballast",IF(Sys_Repl_Rate!Y23&gt;=1,0,IF(Lamp_Repl_Rate!Y24&gt;=1,System_Total_Mkt!Y23*(1-Retrofit_Rate)*(1-Sys_Repl_Rate!Y23),System_Total_Mkt!Y23*(1-Retrofit_Rate)*(1-Sys_Repl_Rate!Y23)*Lamp_Repl_Rate!Y24)),0)</f>
        <v>0.4359534258650119</v>
      </c>
      <c r="AA23" s="199">
        <f>IF(Tech_Specs!$K23="lamp+ballast",IF(Sys_Repl_Rate!Z23&gt;=1,0,IF(Lamp_Repl_Rate!Z24&gt;=1,System_Total_Mkt!Z23*(1-Retrofit_Rate)*(1-Sys_Repl_Rate!Z23),System_Total_Mkt!Z23*(1-Retrofit_Rate)*(1-Sys_Repl_Rate!Z23)*Lamp_Repl_Rate!Z24)),0)</f>
        <v>0.43792207497739088</v>
      </c>
      <c r="AB23" s="199">
        <f>IF(Tech_Specs!$K23="lamp+ballast",IF(Sys_Repl_Rate!AA23&gt;=1,0,IF(Lamp_Repl_Rate!AA24&gt;=1,System_Total_Mkt!AA23*(1-Retrofit_Rate)*(1-Sys_Repl_Rate!AA23),System_Total_Mkt!AA23*(1-Retrofit_Rate)*(1-Sys_Repl_Rate!AA23)*Lamp_Repl_Rate!AA24)),0)</f>
        <v>0.43846055457704036</v>
      </c>
      <c r="AC23" s="199">
        <f>IF(Tech_Specs!$K23="lamp+ballast",IF(Sys_Repl_Rate!AB23&gt;=1,0,IF(Lamp_Repl_Rate!AB24&gt;=1,System_Total_Mkt!AB23*(1-Retrofit_Rate)*(1-Sys_Repl_Rate!AB23),System_Total_Mkt!AB23*(1-Retrofit_Rate)*(1-Sys_Repl_Rate!AB23)*Lamp_Repl_Rate!AB24)),0)</f>
        <v>0.4378861688125924</v>
      </c>
      <c r="AD23" s="199">
        <f>IF(Tech_Specs!$K23="lamp+ballast",IF(Sys_Repl_Rate!AC23&gt;=1,0,IF(Lamp_Repl_Rate!AC24&gt;=1,System_Total_Mkt!AC23*(1-Retrofit_Rate)*(1-Sys_Repl_Rate!AC23),System_Total_Mkt!AC23*(1-Retrofit_Rate)*(1-Sys_Repl_Rate!AC23)*Lamp_Repl_Rate!AC24)),0)</f>
        <v>0.43631776323701549</v>
      </c>
      <c r="AE23" s="199">
        <f>IF(Tech_Specs!$K23="lamp+ballast",IF(Sys_Repl_Rate!AD23&gt;=1,0,IF(Lamp_Repl_Rate!AD24&gt;=1,System_Total_Mkt!AD23*(1-Retrofit_Rate)*(1-Sys_Repl_Rate!AD23),System_Total_Mkt!AD23*(1-Retrofit_Rate)*(1-Sys_Repl_Rate!AD23)*Lamp_Repl_Rate!AD24)),0)</f>
        <v>0.43393700016837428</v>
      </c>
      <c r="AF23" s="199">
        <f>IF(Tech_Specs!$K23="lamp+ballast",IF(Sys_Repl_Rate!AE23&gt;=1,0,IF(Lamp_Repl_Rate!AE24&gt;=1,System_Total_Mkt!AE23*(1-Retrofit_Rate)*(1-Sys_Repl_Rate!AE23),System_Total_Mkt!AE23*(1-Retrofit_Rate)*(1-Sys_Repl_Rate!AE23)*Lamp_Repl_Rate!AE24)),0)</f>
        <v>0.42987050470693944</v>
      </c>
    </row>
    <row r="24" spans="1:32" s="221" customFormat="1" ht="14.45" x14ac:dyDescent="0.35">
      <c r="A24" s="252"/>
      <c r="B24" s="252" t="s">
        <v>29</v>
      </c>
      <c r="C24"/>
      <c r="D24"/>
      <c r="E24"/>
      <c r="F24"/>
      <c r="G24" s="201"/>
      <c r="H24" s="199">
        <f>IF(Tech_Specs!$K24="lamp+ballast",IF(Sys_Repl_Rate!G24&gt;=1,0,IF(Lamp_Repl_Rate!G25&gt;=1,System_Total_Mkt!G24*(1-Retrofit_Rate)*(1-Sys_Repl_Rate!G24),System_Total_Mkt!G24*(1-Retrofit_Rate)*(1-Sys_Repl_Rate!G24)*Lamp_Repl_Rate!G25)),0)</f>
        <v>0</v>
      </c>
      <c r="I24" s="199">
        <f>IF(Tech_Specs!$K24="lamp+ballast",IF(Sys_Repl_Rate!H24&gt;=1,0,IF(Lamp_Repl_Rate!H25&gt;=1,System_Total_Mkt!H24*(1-Retrofit_Rate)*(1-Sys_Repl_Rate!H24),System_Total_Mkt!H24*(1-Retrofit_Rate)*(1-Sys_Repl_Rate!H24)*Lamp_Repl_Rate!H25)),0)</f>
        <v>0</v>
      </c>
      <c r="J24" s="199">
        <f>IF(Tech_Specs!$K24="lamp+ballast",IF(Sys_Repl_Rate!I24&gt;=1,0,IF(Lamp_Repl_Rate!I25&gt;=1,System_Total_Mkt!I24*(1-Retrofit_Rate)*(1-Sys_Repl_Rate!I24),System_Total_Mkt!I24*(1-Retrofit_Rate)*(1-Sys_Repl_Rate!I24)*Lamp_Repl_Rate!I25)),0)</f>
        <v>0</v>
      </c>
      <c r="K24" s="199">
        <f>IF(Tech_Specs!$K24="lamp+ballast",IF(Sys_Repl_Rate!J24&gt;=1,0,IF(Lamp_Repl_Rate!J25&gt;=1,System_Total_Mkt!J24*(1-Retrofit_Rate)*(1-Sys_Repl_Rate!J24),System_Total_Mkt!J24*(1-Retrofit_Rate)*(1-Sys_Repl_Rate!J24)*Lamp_Repl_Rate!J25)),0)</f>
        <v>0</v>
      </c>
      <c r="L24" s="199">
        <f>IF(Tech_Specs!$K24="lamp+ballast",IF(Sys_Repl_Rate!K24&gt;=1,0,IF(Lamp_Repl_Rate!K25&gt;=1,System_Total_Mkt!K24*(1-Retrofit_Rate)*(1-Sys_Repl_Rate!K24),System_Total_Mkt!K24*(1-Retrofit_Rate)*(1-Sys_Repl_Rate!K24)*Lamp_Repl_Rate!K25)),0)</f>
        <v>0</v>
      </c>
      <c r="M24" s="199">
        <f>IF(Tech_Specs!$K24="lamp+ballast",IF(Sys_Repl_Rate!L24&gt;=1,0,IF(Lamp_Repl_Rate!L25&gt;=1,System_Total_Mkt!L24*(1-Retrofit_Rate)*(1-Sys_Repl_Rate!L24),System_Total_Mkt!L24*(1-Retrofit_Rate)*(1-Sys_Repl_Rate!L24)*Lamp_Repl_Rate!L25)),0)</f>
        <v>0</v>
      </c>
      <c r="N24" s="199">
        <f>IF(Tech_Specs!$K24="lamp+ballast",IF(Sys_Repl_Rate!M24&gt;=1,0,IF(Lamp_Repl_Rate!M25&gt;=1,System_Total_Mkt!M24*(1-Retrofit_Rate)*(1-Sys_Repl_Rate!M24),System_Total_Mkt!M24*(1-Retrofit_Rate)*(1-Sys_Repl_Rate!M24)*Lamp_Repl_Rate!M25)),0)</f>
        <v>0</v>
      </c>
      <c r="O24" s="199">
        <f>IF(Tech_Specs!$K24="lamp+ballast",IF(Sys_Repl_Rate!N24&gt;=1,0,IF(Lamp_Repl_Rate!N25&gt;=1,System_Total_Mkt!N24*(1-Retrofit_Rate)*(1-Sys_Repl_Rate!N24),System_Total_Mkt!N24*(1-Retrofit_Rate)*(1-Sys_Repl_Rate!N24)*Lamp_Repl_Rate!N25)),0)</f>
        <v>0</v>
      </c>
      <c r="P24" s="199">
        <f>IF(Tech_Specs!$K24="lamp+ballast",IF(Sys_Repl_Rate!O24&gt;=1,0,IF(Lamp_Repl_Rate!O25&gt;=1,System_Total_Mkt!O24*(1-Retrofit_Rate)*(1-Sys_Repl_Rate!O24),System_Total_Mkt!O24*(1-Retrofit_Rate)*(1-Sys_Repl_Rate!O24)*Lamp_Repl_Rate!O25)),0)</f>
        <v>0</v>
      </c>
      <c r="Q24" s="199">
        <f>IF(Tech_Specs!$K24="lamp+ballast",IF(Sys_Repl_Rate!P24&gt;=1,0,IF(Lamp_Repl_Rate!P25&gt;=1,System_Total_Mkt!P24*(1-Retrofit_Rate)*(1-Sys_Repl_Rate!P24),System_Total_Mkt!P24*(1-Retrofit_Rate)*(1-Sys_Repl_Rate!P24)*Lamp_Repl_Rate!P25)),0)</f>
        <v>0</v>
      </c>
      <c r="R24" s="199">
        <f>IF(Tech_Specs!$K24="lamp+ballast",IF(Sys_Repl_Rate!Q24&gt;=1,0,IF(Lamp_Repl_Rate!Q25&gt;=1,System_Total_Mkt!Q24*(1-Retrofit_Rate)*(1-Sys_Repl_Rate!Q24),System_Total_Mkt!Q24*(1-Retrofit_Rate)*(1-Sys_Repl_Rate!Q24)*Lamp_Repl_Rate!Q25)),0)</f>
        <v>0</v>
      </c>
      <c r="S24" s="199">
        <f>IF(Tech_Specs!$K24="lamp+ballast",IF(Sys_Repl_Rate!R24&gt;=1,0,IF(Lamp_Repl_Rate!R25&gt;=1,System_Total_Mkt!R24*(1-Retrofit_Rate)*(1-Sys_Repl_Rate!R24),System_Total_Mkt!R24*(1-Retrofit_Rate)*(1-Sys_Repl_Rate!R24)*Lamp_Repl_Rate!R25)),0)</f>
        <v>0</v>
      </c>
      <c r="T24" s="199">
        <f>IF(Tech_Specs!$K24="lamp+ballast",IF(Sys_Repl_Rate!S24&gt;=1,0,IF(Lamp_Repl_Rate!S25&gt;=1,System_Total_Mkt!S24*(1-Retrofit_Rate)*(1-Sys_Repl_Rate!S24),System_Total_Mkt!S24*(1-Retrofit_Rate)*(1-Sys_Repl_Rate!S24)*Lamp_Repl_Rate!S25)),0)</f>
        <v>0</v>
      </c>
      <c r="U24" s="199">
        <f>IF(Tech_Specs!$K24="lamp+ballast",IF(Sys_Repl_Rate!T24&gt;=1,0,IF(Lamp_Repl_Rate!T25&gt;=1,System_Total_Mkt!T24*(1-Retrofit_Rate)*(1-Sys_Repl_Rate!T24),System_Total_Mkt!T24*(1-Retrofit_Rate)*(1-Sys_Repl_Rate!T24)*Lamp_Repl_Rate!T25)),0)</f>
        <v>0</v>
      </c>
      <c r="V24" s="199">
        <f>IF(Tech_Specs!$K24="lamp+ballast",IF(Sys_Repl_Rate!U24&gt;=1,0,IF(Lamp_Repl_Rate!U25&gt;=1,System_Total_Mkt!U24*(1-Retrofit_Rate)*(1-Sys_Repl_Rate!U24),System_Total_Mkt!U24*(1-Retrofit_Rate)*(1-Sys_Repl_Rate!U24)*Lamp_Repl_Rate!U25)),0)</f>
        <v>0</v>
      </c>
      <c r="W24" s="199">
        <f>IF(Tech_Specs!$K24="lamp+ballast",IF(Sys_Repl_Rate!V24&gt;=1,0,IF(Lamp_Repl_Rate!V25&gt;=1,System_Total_Mkt!V24*(1-Retrofit_Rate)*(1-Sys_Repl_Rate!V24),System_Total_Mkt!V24*(1-Retrofit_Rate)*(1-Sys_Repl_Rate!V24)*Lamp_Repl_Rate!V25)),0)</f>
        <v>0</v>
      </c>
      <c r="X24" s="199">
        <f>IF(Tech_Specs!$K24="lamp+ballast",IF(Sys_Repl_Rate!W24&gt;=1,0,IF(Lamp_Repl_Rate!W25&gt;=1,System_Total_Mkt!W24*(1-Retrofit_Rate)*(1-Sys_Repl_Rate!W24),System_Total_Mkt!W24*(1-Retrofit_Rate)*(1-Sys_Repl_Rate!W24)*Lamp_Repl_Rate!W25)),0)</f>
        <v>0</v>
      </c>
      <c r="Y24" s="199">
        <f>IF(Tech_Specs!$K24="lamp+ballast",IF(Sys_Repl_Rate!X24&gt;=1,0,IF(Lamp_Repl_Rate!X25&gt;=1,System_Total_Mkt!X24*(1-Retrofit_Rate)*(1-Sys_Repl_Rate!X24),System_Total_Mkt!X24*(1-Retrofit_Rate)*(1-Sys_Repl_Rate!X24)*Lamp_Repl_Rate!X25)),0)</f>
        <v>0</v>
      </c>
      <c r="Z24" s="199">
        <f>IF(Tech_Specs!$K24="lamp+ballast",IF(Sys_Repl_Rate!Y24&gt;=1,0,IF(Lamp_Repl_Rate!Y25&gt;=1,System_Total_Mkt!Y24*(1-Retrofit_Rate)*(1-Sys_Repl_Rate!Y24),System_Total_Mkt!Y24*(1-Retrofit_Rate)*(1-Sys_Repl_Rate!Y24)*Lamp_Repl_Rate!Y25)),0)</f>
        <v>0</v>
      </c>
      <c r="AA24" s="199">
        <f>IF(Tech_Specs!$K24="lamp+ballast",IF(Sys_Repl_Rate!Z24&gt;=1,0,IF(Lamp_Repl_Rate!Z25&gt;=1,System_Total_Mkt!Z24*(1-Retrofit_Rate)*(1-Sys_Repl_Rate!Z24),System_Total_Mkt!Z24*(1-Retrofit_Rate)*(1-Sys_Repl_Rate!Z24)*Lamp_Repl_Rate!Z25)),0)</f>
        <v>0</v>
      </c>
      <c r="AB24" s="199">
        <f>IF(Tech_Specs!$K24="lamp+ballast",IF(Sys_Repl_Rate!AA24&gt;=1,0,IF(Lamp_Repl_Rate!AA25&gt;=1,System_Total_Mkt!AA24*(1-Retrofit_Rate)*(1-Sys_Repl_Rate!AA24),System_Total_Mkt!AA24*(1-Retrofit_Rate)*(1-Sys_Repl_Rate!AA24)*Lamp_Repl_Rate!AA25)),0)</f>
        <v>0</v>
      </c>
      <c r="AC24" s="199">
        <f>IF(Tech_Specs!$K24="lamp+ballast",IF(Sys_Repl_Rate!AB24&gt;=1,0,IF(Lamp_Repl_Rate!AB25&gt;=1,System_Total_Mkt!AB24*(1-Retrofit_Rate)*(1-Sys_Repl_Rate!AB24),System_Total_Mkt!AB24*(1-Retrofit_Rate)*(1-Sys_Repl_Rate!AB24)*Lamp_Repl_Rate!AB25)),0)</f>
        <v>0</v>
      </c>
      <c r="AD24" s="199">
        <f>IF(Tech_Specs!$K24="lamp+ballast",IF(Sys_Repl_Rate!AC24&gt;=1,0,IF(Lamp_Repl_Rate!AC25&gt;=1,System_Total_Mkt!AC24*(1-Retrofit_Rate)*(1-Sys_Repl_Rate!AC24),System_Total_Mkt!AC24*(1-Retrofit_Rate)*(1-Sys_Repl_Rate!AC24)*Lamp_Repl_Rate!AC25)),0)</f>
        <v>0</v>
      </c>
      <c r="AE24" s="199">
        <f>IF(Tech_Specs!$K24="lamp+ballast",IF(Sys_Repl_Rate!AD24&gt;=1,0,IF(Lamp_Repl_Rate!AD25&gt;=1,System_Total_Mkt!AD24*(1-Retrofit_Rate)*(1-Sys_Repl_Rate!AD24),System_Total_Mkt!AD24*(1-Retrofit_Rate)*(1-Sys_Repl_Rate!AD24)*Lamp_Repl_Rate!AD25)),0)</f>
        <v>0</v>
      </c>
      <c r="AF24" s="199">
        <f>IF(Tech_Specs!$K24="lamp+ballast",IF(Sys_Repl_Rate!AE24&gt;=1,0,IF(Lamp_Repl_Rate!AE25&gt;=1,System_Total_Mkt!AE24*(1-Retrofit_Rate)*(1-Sys_Repl_Rate!AE24),System_Total_Mkt!AE24*(1-Retrofit_Rate)*(1-Sys_Repl_Rate!AE24)*Lamp_Repl_Rate!AE25)),0)</f>
        <v>0</v>
      </c>
    </row>
    <row r="25" spans="1:32" s="221" customFormat="1" ht="14.45" x14ac:dyDescent="0.35">
      <c r="A25" s="252"/>
      <c r="B25" s="252"/>
      <c r="C25"/>
      <c r="D25"/>
      <c r="E25"/>
      <c r="F25"/>
      <c r="G25"/>
      <c r="H25"/>
      <c r="I25"/>
      <c r="J25"/>
      <c r="K25"/>
      <c r="L25"/>
      <c r="M25"/>
      <c r="N25"/>
      <c r="O25"/>
      <c r="P25"/>
      <c r="Q25"/>
      <c r="R25"/>
      <c r="S25"/>
      <c r="T25"/>
      <c r="U25"/>
      <c r="V25"/>
      <c r="W25"/>
      <c r="X25"/>
      <c r="Y25"/>
      <c r="Z25"/>
      <c r="AA25"/>
      <c r="AB25"/>
      <c r="AC25"/>
      <c r="AD25"/>
      <c r="AE25"/>
      <c r="AF25"/>
    </row>
    <row r="26" spans="1:32" s="202" customFormat="1" ht="12.95" x14ac:dyDescent="0.3">
      <c r="A26" s="267" t="s">
        <v>42</v>
      </c>
      <c r="B26" s="267"/>
      <c r="C26" s="267"/>
      <c r="D26" s="267"/>
      <c r="E26" s="267"/>
      <c r="F26" s="267"/>
      <c r="G26" s="267"/>
      <c r="H26" s="267"/>
      <c r="I26" s="267"/>
      <c r="J26" s="267"/>
      <c r="K26" s="267"/>
      <c r="L26" s="267"/>
      <c r="M26" s="267"/>
      <c r="N26" s="267"/>
      <c r="O26" s="267"/>
      <c r="P26" s="267"/>
      <c r="Q26" s="267"/>
      <c r="R26" s="267"/>
      <c r="S26" s="267"/>
      <c r="T26" s="267"/>
      <c r="U26" s="267"/>
      <c r="V26" s="267"/>
      <c r="W26" s="267"/>
      <c r="X26" s="267"/>
      <c r="Y26" s="267"/>
      <c r="Z26" s="267"/>
      <c r="AA26" s="267"/>
      <c r="AB26" s="267"/>
      <c r="AC26" s="267"/>
      <c r="AD26" s="267"/>
      <c r="AE26" s="267"/>
      <c r="AF26" s="267"/>
    </row>
    <row r="27" spans="1:32" s="221" customFormat="1" ht="14.45" x14ac:dyDescent="0.35">
      <c r="A27" s="252"/>
      <c r="B27" s="257" t="s">
        <v>43</v>
      </c>
      <c r="C27"/>
      <c r="D27"/>
      <c r="E27"/>
      <c r="F27"/>
      <c r="G27" s="201"/>
      <c r="H27" s="199">
        <f>IF(Tech_Specs!$K27="lamp+ballast",IF(Sys_Repl_Rate!G27&gt;=1,0,IF(Lamp_Repl_Rate!G28&gt;=1,System_Total_Mkt!G27*(1-Retrofit_Rate)*(1-Sys_Repl_Rate!G27),System_Total_Mkt!G27*(1-Retrofit_Rate)*(1-Sys_Repl_Rate!G27)*Lamp_Repl_Rate!G28)),0)</f>
        <v>1.1331709661981547E-3</v>
      </c>
      <c r="I27" s="199">
        <f>IF(Tech_Specs!$K27="lamp+ballast",IF(Sys_Repl_Rate!H27&gt;=1,0,IF(Lamp_Repl_Rate!H28&gt;=1,System_Total_Mkt!H27*(1-Retrofit_Rate)*(1-Sys_Repl_Rate!H27),System_Total_Mkt!H27*(1-Retrofit_Rate)*(1-Sys_Repl_Rate!H27)*Lamp_Repl_Rate!H28)),0)</f>
        <v>1.0747068724034456E-3</v>
      </c>
      <c r="J27" s="199">
        <f>IF(Tech_Specs!$K27="lamp+ballast",IF(Sys_Repl_Rate!I27&gt;=1,0,IF(Lamp_Repl_Rate!I28&gt;=1,System_Total_Mkt!I27*(1-Retrofit_Rate)*(1-Sys_Repl_Rate!I27),System_Total_Mkt!I27*(1-Retrofit_Rate)*(1-Sys_Repl_Rate!I27)*Lamp_Repl_Rate!I28)),0)</f>
        <v>1.0198600917536585E-3</v>
      </c>
      <c r="K27" s="199">
        <f>IF(Tech_Specs!$K27="lamp+ballast",IF(Sys_Repl_Rate!J27&gt;=1,0,IF(Lamp_Repl_Rate!J28&gt;=1,System_Total_Mkt!J27*(1-Retrofit_Rate)*(1-Sys_Repl_Rate!J27),System_Total_Mkt!J27*(1-Retrofit_Rate)*(1-Sys_Repl_Rate!J27)*Lamp_Repl_Rate!J28)),0)</f>
        <v>9.6828738797592956E-4</v>
      </c>
      <c r="L27" s="199">
        <f>IF(Tech_Specs!$K27="lamp+ballast",IF(Sys_Repl_Rate!K27&gt;=1,0,IF(Lamp_Repl_Rate!K28&gt;=1,System_Total_Mkt!K27*(1-Retrofit_Rate)*(1-Sys_Repl_Rate!K27),System_Total_Mkt!K27*(1-Retrofit_Rate)*(1-Sys_Repl_Rate!K27)*Lamp_Repl_Rate!K28)),0)</f>
        <v>9.1959975228051295E-4</v>
      </c>
      <c r="M27" s="199">
        <f>IF(Tech_Specs!$K27="lamp+ballast",IF(Sys_Repl_Rate!L27&gt;=1,0,IF(Lamp_Repl_Rate!L28&gt;=1,System_Total_Mkt!L27*(1-Retrofit_Rate)*(1-Sys_Repl_Rate!L27),System_Total_Mkt!L27*(1-Retrofit_Rate)*(1-Sys_Repl_Rate!L27)*Lamp_Repl_Rate!L28)),0)</f>
        <v>8.7363043174378419E-4</v>
      </c>
      <c r="N27" s="199">
        <f>IF(Tech_Specs!$K27="lamp+ballast",IF(Sys_Repl_Rate!M27&gt;=1,0,IF(Lamp_Repl_Rate!M28&gt;=1,System_Total_Mkt!M27*(1-Retrofit_Rate)*(1-Sys_Repl_Rate!M27),System_Total_Mkt!M27*(1-Retrofit_Rate)*(1-Sys_Repl_Rate!M27)*Lamp_Repl_Rate!M28)),0)</f>
        <v>8.3016370084999054E-4</v>
      </c>
      <c r="O27" s="199">
        <f>IF(Tech_Specs!$K27="lamp+ballast",IF(Sys_Repl_Rate!N27&gt;=1,0,IF(Lamp_Repl_Rate!N28&gt;=1,System_Total_Mkt!N27*(1-Retrofit_Rate)*(1-Sys_Repl_Rate!N27),System_Total_Mkt!N27*(1-Retrofit_Rate)*(1-Sys_Repl_Rate!N27)*Lamp_Repl_Rate!N28)),0)</f>
        <v>7.8900327339447626E-4</v>
      </c>
      <c r="P27" s="199">
        <f>IF(Tech_Specs!$K27="lamp+ballast",IF(Sys_Repl_Rate!O27&gt;=1,0,IF(Lamp_Repl_Rate!O28&gt;=1,System_Total_Mkt!O27*(1-Retrofit_Rate)*(1-Sys_Repl_Rate!O27),System_Total_Mkt!O27*(1-Retrofit_Rate)*(1-Sys_Repl_Rate!O27)*Lamp_Repl_Rate!O28)),0)</f>
        <v>7.5002499678178739E-4</v>
      </c>
      <c r="Q27" s="199">
        <f>IF(Tech_Specs!$K27="lamp+ballast",IF(Sys_Repl_Rate!P27&gt;=1,0,IF(Lamp_Repl_Rate!P28&gt;=1,System_Total_Mkt!P27*(1-Retrofit_Rate)*(1-Sys_Repl_Rate!P27),System_Total_Mkt!P27*(1-Retrofit_Rate)*(1-Sys_Repl_Rate!P27)*Lamp_Repl_Rate!P28)),0)</f>
        <v>7.1312725402998816E-4</v>
      </c>
      <c r="R27" s="199">
        <f>IF(Tech_Specs!$K27="lamp+ballast",IF(Sys_Repl_Rate!Q27&gt;=1,0,IF(Lamp_Repl_Rate!Q28&gt;=1,System_Total_Mkt!Q27*(1-Retrofit_Rate)*(1-Sys_Repl_Rate!Q27),System_Total_Mkt!Q27*(1-Retrofit_Rate)*(1-Sys_Repl_Rate!Q27)*Lamp_Repl_Rate!Q28)),0)</f>
        <v>6.7821573256262755E-4</v>
      </c>
      <c r="S27" s="199">
        <f>IF(Tech_Specs!$K27="lamp+ballast",IF(Sys_Repl_Rate!R27&gt;=1,0,IF(Lamp_Repl_Rate!R28&gt;=1,System_Total_Mkt!R27*(1-Retrofit_Rate)*(1-Sys_Repl_Rate!R27),System_Total_Mkt!R27*(1-Retrofit_Rate)*(1-Sys_Repl_Rate!R27)*Lamp_Repl_Rate!R28)),0)</f>
        <v>6.4519029416167898E-4</v>
      </c>
      <c r="T27" s="199">
        <f>IF(Tech_Specs!$K27="lamp+ballast",IF(Sys_Repl_Rate!S27&gt;=1,0,IF(Lamp_Repl_Rate!S28&gt;=1,System_Total_Mkt!S27*(1-Retrofit_Rate)*(1-Sys_Repl_Rate!S27),System_Total_Mkt!S27*(1-Retrofit_Rate)*(1-Sys_Repl_Rate!S27)*Lamp_Repl_Rate!S28)),0)</f>
        <v>6.1401265376964209E-4</v>
      </c>
      <c r="U27" s="199">
        <f>IF(Tech_Specs!$K27="lamp+ballast",IF(Sys_Repl_Rate!T27&gt;=1,0,IF(Lamp_Repl_Rate!T28&gt;=1,System_Total_Mkt!T27*(1-Retrofit_Rate)*(1-Sys_Repl_Rate!T27),System_Total_Mkt!T27*(1-Retrofit_Rate)*(1-Sys_Repl_Rate!T27)*Lamp_Repl_Rate!T28)),0)</f>
        <v>5.8461423401586442E-4</v>
      </c>
      <c r="V27" s="199">
        <f>IF(Tech_Specs!$K27="lamp+ballast",IF(Sys_Repl_Rate!U27&gt;=1,0,IF(Lamp_Repl_Rate!U28&gt;=1,System_Total_Mkt!U27*(1-Retrofit_Rate)*(1-Sys_Repl_Rate!U27),System_Total_Mkt!U27*(1-Retrofit_Rate)*(1-Sys_Repl_Rate!U27)*Lamp_Repl_Rate!U28)),0)</f>
        <v>5.5692707021898517E-4</v>
      </c>
      <c r="W27" s="199">
        <f>IF(Tech_Specs!$K27="lamp+ballast",IF(Sys_Repl_Rate!V27&gt;=1,0,IF(Lamp_Repl_Rate!V28&gt;=1,System_Total_Mkt!V27*(1-Retrofit_Rate)*(1-Sys_Repl_Rate!V27),System_Total_Mkt!V27*(1-Retrofit_Rate)*(1-Sys_Repl_Rate!V27)*Lamp_Repl_Rate!V28)),0)</f>
        <v>5.3089688669297099E-4</v>
      </c>
      <c r="X27" s="199">
        <f>IF(Tech_Specs!$K27="lamp+ballast",IF(Sys_Repl_Rate!W27&gt;=1,0,IF(Lamp_Repl_Rate!W28&gt;=1,System_Total_Mkt!W27*(1-Retrofit_Rate)*(1-Sys_Repl_Rate!W27),System_Total_Mkt!W27*(1-Retrofit_Rate)*(1-Sys_Repl_Rate!W27)*Lamp_Repl_Rate!W28)),0)</f>
        <v>5.0644170136162118E-4</v>
      </c>
      <c r="Y27" s="199">
        <f>IF(Tech_Specs!$K27="lamp+ballast",IF(Sys_Repl_Rate!X27&gt;=1,0,IF(Lamp_Repl_Rate!X28&gt;=1,System_Total_Mkt!X27*(1-Retrofit_Rate)*(1-Sys_Repl_Rate!X27),System_Total_Mkt!X27*(1-Retrofit_Rate)*(1-Sys_Repl_Rate!X27)*Lamp_Repl_Rate!X28)),0)</f>
        <v>4.8347638788757643E-4</v>
      </c>
      <c r="Z27" s="199">
        <f>IF(Tech_Specs!$K27="lamp+ballast",IF(Sys_Repl_Rate!Y27&gt;=1,0,IF(Lamp_Repl_Rate!Y28&gt;=1,System_Total_Mkt!Y27*(1-Retrofit_Rate)*(1-Sys_Repl_Rate!Y27),System_Total_Mkt!Y27*(1-Retrofit_Rate)*(1-Sys_Repl_Rate!Y27)*Lamp_Repl_Rate!Y28)),0)</f>
        <v>4.6192024182415922E-4</v>
      </c>
      <c r="AA27" s="199">
        <f>IF(Tech_Specs!$K27="lamp+ballast",IF(Sys_Repl_Rate!Z27&gt;=1,0,IF(Lamp_Repl_Rate!Z28&gt;=1,System_Total_Mkt!Z27*(1-Retrofit_Rate)*(1-Sys_Repl_Rate!Z27),System_Total_Mkt!Z27*(1-Retrofit_Rate)*(1-Sys_Repl_Rate!Z27)*Lamp_Repl_Rate!Z28)),0)</f>
        <v>4.4171052929116157E-4</v>
      </c>
      <c r="AB27" s="199">
        <f>IF(Tech_Specs!$K27="lamp+ballast",IF(Sys_Repl_Rate!AA27&gt;=1,0,IF(Lamp_Repl_Rate!AA28&gt;=1,System_Total_Mkt!AA27*(1-Retrofit_Rate)*(1-Sys_Repl_Rate!AA27),System_Total_Mkt!AA27*(1-Retrofit_Rate)*(1-Sys_Repl_Rate!AA27)*Lamp_Repl_Rate!AA28)),0)</f>
        <v>4.2278985323316378E-4</v>
      </c>
      <c r="AC27" s="199">
        <f>IF(Tech_Specs!$K27="lamp+ballast",IF(Sys_Repl_Rate!AB27&gt;=1,0,IF(Lamp_Repl_Rate!AB28&gt;=1,System_Total_Mkt!AB27*(1-Retrofit_Rate)*(1-Sys_Repl_Rate!AB27),System_Total_Mkt!AB27*(1-Retrofit_Rate)*(1-Sys_Repl_Rate!AB27)*Lamp_Repl_Rate!AB28)),0)</f>
        <v>4.0510896119138695E-4</v>
      </c>
      <c r="AD27" s="199">
        <f>IF(Tech_Specs!$K27="lamp+ballast",IF(Sys_Repl_Rate!AC27&gt;=1,0,IF(Lamp_Repl_Rate!AC28&gt;=1,System_Total_Mkt!AC27*(1-Retrofit_Rate)*(1-Sys_Repl_Rate!AC27),System_Total_Mkt!AC27*(1-Retrofit_Rate)*(1-Sys_Repl_Rate!AC27)*Lamp_Repl_Rate!AC28)),0)</f>
        <v>3.8856364308426013E-4</v>
      </c>
      <c r="AE27" s="199">
        <f>IF(Tech_Specs!$K27="lamp+ballast",IF(Sys_Repl_Rate!AD27&gt;=1,0,IF(Lamp_Repl_Rate!AD28&gt;=1,System_Total_Mkt!AD27*(1-Retrofit_Rate)*(1-Sys_Repl_Rate!AD27),System_Total_Mkt!AD27*(1-Retrofit_Rate)*(1-Sys_Repl_Rate!AD27)*Lamp_Repl_Rate!AD28)),0)</f>
        <v>3.7308532874487382E-4</v>
      </c>
      <c r="AF27" s="199">
        <f>IF(Tech_Specs!$K27="lamp+ballast",IF(Sys_Repl_Rate!AE27&gt;=1,0,IF(Lamp_Repl_Rate!AE28&gt;=1,System_Total_Mkt!AE27*(1-Retrofit_Rate)*(1-Sys_Repl_Rate!AE27),System_Total_Mkt!AE27*(1-Retrofit_Rate)*(1-Sys_Repl_Rate!AE27)*Lamp_Repl_Rate!AE28)),0)</f>
        <v>3.586081120119266E-4</v>
      </c>
    </row>
    <row r="28" spans="1:32" s="221" customFormat="1" ht="14.45" x14ac:dyDescent="0.35">
      <c r="A28" s="252"/>
      <c r="B28" s="257" t="s">
        <v>44</v>
      </c>
      <c r="C28"/>
      <c r="D28"/>
      <c r="E28"/>
      <c r="F28"/>
      <c r="G28" s="201"/>
      <c r="H28" s="199">
        <f>IF(Tech_Specs!$K28="lamp+ballast",IF(Sys_Repl_Rate!G28&gt;=1,0,IF(Lamp_Repl_Rate!G29&gt;=1,System_Total_Mkt!G28*(1-Retrofit_Rate)*(1-Sys_Repl_Rate!G28),System_Total_Mkt!G28*(1-Retrofit_Rate)*(1-Sys_Repl_Rate!G28)*Lamp_Repl_Rate!G29)),0)</f>
        <v>1.878872473418537E-4</v>
      </c>
      <c r="I28" s="199">
        <f>IF(Tech_Specs!$K28="lamp+ballast",IF(Sys_Repl_Rate!H28&gt;=1,0,IF(Lamp_Repl_Rate!H29&gt;=1,System_Total_Mkt!H28*(1-Retrofit_Rate)*(1-Sys_Repl_Rate!H28),System_Total_Mkt!H28*(1-Retrofit_Rate)*(1-Sys_Repl_Rate!H28)*Lamp_Repl_Rate!H29)),0)</f>
        <v>1.3281994926159612E-3</v>
      </c>
      <c r="J28" s="199">
        <f>IF(Tech_Specs!$K28="lamp+ballast",IF(Sys_Repl_Rate!I28&gt;=1,0,IF(Lamp_Repl_Rate!I29&gt;=1,System_Total_Mkt!I28*(1-Retrofit_Rate)*(1-Sys_Repl_Rate!I28),System_Total_Mkt!I28*(1-Retrofit_Rate)*(1-Sys_Repl_Rate!I28)*Lamp_Repl_Rate!I29)),0)</f>
        <v>2.3837291335620176E-3</v>
      </c>
      <c r="K28" s="199">
        <f>IF(Tech_Specs!$K28="lamp+ballast",IF(Sys_Repl_Rate!J28&gt;=1,0,IF(Lamp_Repl_Rate!J29&gt;=1,System_Total_Mkt!J28*(1-Retrofit_Rate)*(1-Sys_Repl_Rate!J28),System_Total_Mkt!J28*(1-Retrofit_Rate)*(1-Sys_Repl_Rate!J28)*Lamp_Repl_Rate!J29)),0)</f>
        <v>3.3491745557476297E-3</v>
      </c>
      <c r="L28" s="199">
        <f>IF(Tech_Specs!$K28="lamp+ballast",IF(Sys_Repl_Rate!K28&gt;=1,0,IF(Lamp_Repl_Rate!K29&gt;=1,System_Total_Mkt!K28*(1-Retrofit_Rate)*(1-Sys_Repl_Rate!K28),System_Total_Mkt!K28*(1-Retrofit_Rate)*(1-Sys_Repl_Rate!K28)*Lamp_Repl_Rate!K29)),0)</f>
        <v>4.2126375229685044E-3</v>
      </c>
      <c r="M28" s="199">
        <f>IF(Tech_Specs!$K28="lamp+ballast",IF(Sys_Repl_Rate!L28&gt;=1,0,IF(Lamp_Repl_Rate!L29&gt;=1,System_Total_Mkt!L28*(1-Retrofit_Rate)*(1-Sys_Repl_Rate!L28),System_Total_Mkt!L28*(1-Retrofit_Rate)*(1-Sys_Repl_Rate!L28)*Lamp_Repl_Rate!L29)),0)</f>
        <v>4.9829487744786757E-3</v>
      </c>
      <c r="N28" s="199">
        <f>IF(Tech_Specs!$K28="lamp+ballast",IF(Sys_Repl_Rate!M28&gt;=1,0,IF(Lamp_Repl_Rate!M29&gt;=1,System_Total_Mkt!M28*(1-Retrofit_Rate)*(1-Sys_Repl_Rate!M28),System_Total_Mkt!M28*(1-Retrofit_Rate)*(1-Sys_Repl_Rate!M28)*Lamp_Repl_Rate!M29)),0)</f>
        <v>5.6626090135007134E-3</v>
      </c>
      <c r="O28" s="199">
        <f>IF(Tech_Specs!$K28="lamp+ballast",IF(Sys_Repl_Rate!N28&gt;=1,0,IF(Lamp_Repl_Rate!N29&gt;=1,System_Total_Mkt!N28*(1-Retrofit_Rate)*(1-Sys_Repl_Rate!N28),System_Total_Mkt!N28*(1-Retrofit_Rate)*(1-Sys_Repl_Rate!N28)*Lamp_Repl_Rate!N29)),0)</f>
        <v>6.2541146950056206E-3</v>
      </c>
      <c r="P28" s="199">
        <f>IF(Tech_Specs!$K28="lamp+ballast",IF(Sys_Repl_Rate!O28&gt;=1,0,IF(Lamp_Repl_Rate!O29&gt;=1,System_Total_Mkt!O28*(1-Retrofit_Rate)*(1-Sys_Repl_Rate!O28),System_Total_Mkt!O28*(1-Retrofit_Rate)*(1-Sys_Repl_Rate!O28)*Lamp_Repl_Rate!O29)),0)</f>
        <v>6.7659165252454412E-3</v>
      </c>
      <c r="Q28" s="199">
        <f>IF(Tech_Specs!$K28="lamp+ballast",IF(Sys_Repl_Rate!P28&gt;=1,0,IF(Lamp_Repl_Rate!P29&gt;=1,System_Total_Mkt!P28*(1-Retrofit_Rate)*(1-Sys_Repl_Rate!P28),System_Total_Mkt!P28*(1-Retrofit_Rate)*(1-Sys_Repl_Rate!P28)*Lamp_Repl_Rate!P29)),0)</f>
        <v>7.2072898954376489E-3</v>
      </c>
      <c r="R28" s="199">
        <f>IF(Tech_Specs!$K28="lamp+ballast",IF(Sys_Repl_Rate!Q28&gt;=1,0,IF(Lamp_Repl_Rate!Q29&gt;=1,System_Total_Mkt!Q28*(1-Retrofit_Rate)*(1-Sys_Repl_Rate!Q28),System_Total_Mkt!Q28*(1-Retrofit_Rate)*(1-Sys_Repl_Rate!Q28)*Lamp_Repl_Rate!Q29)),0)</f>
        <v>7.587049131458635E-3</v>
      </c>
      <c r="S28" s="199">
        <f>IF(Tech_Specs!$K28="lamp+ballast",IF(Sys_Repl_Rate!R28&gt;=1,0,IF(Lamp_Repl_Rate!R29&gt;=1,System_Total_Mkt!R28*(1-Retrofit_Rate)*(1-Sys_Repl_Rate!R28),System_Total_Mkt!R28*(1-Retrofit_Rate)*(1-Sys_Repl_Rate!R28)*Lamp_Repl_Rate!R29)),0)</f>
        <v>7.9121718010540364E-3</v>
      </c>
      <c r="T28" s="199">
        <f>IF(Tech_Specs!$K28="lamp+ballast",IF(Sys_Repl_Rate!S28&gt;=1,0,IF(Lamp_Repl_Rate!S29&gt;=1,System_Total_Mkt!S28*(1-Retrofit_Rate)*(1-Sys_Repl_Rate!S28),System_Total_Mkt!S28*(1-Retrofit_Rate)*(1-Sys_Repl_Rate!S28)*Lamp_Repl_Rate!S29)),0)</f>
        <v>8.1946183580429589E-3</v>
      </c>
      <c r="U28" s="199">
        <f>IF(Tech_Specs!$K28="lamp+ballast",IF(Sys_Repl_Rate!T28&gt;=1,0,IF(Lamp_Repl_Rate!T29&gt;=1,System_Total_Mkt!T28*(1-Retrofit_Rate)*(1-Sys_Repl_Rate!T28),System_Total_Mkt!T28*(1-Retrofit_Rate)*(1-Sys_Repl_Rate!T28)*Lamp_Repl_Rate!T29)),0)</f>
        <v>8.4421955800163592E-3</v>
      </c>
      <c r="V28" s="199">
        <f>IF(Tech_Specs!$K28="lamp+ballast",IF(Sys_Repl_Rate!U28&gt;=1,0,IF(Lamp_Repl_Rate!U29&gt;=1,System_Total_Mkt!U28*(1-Retrofit_Rate)*(1-Sys_Repl_Rate!U28),System_Total_Mkt!U28*(1-Retrofit_Rate)*(1-Sys_Repl_Rate!U28)*Lamp_Repl_Rate!U29)),0)</f>
        <v>8.6617638606692297E-3</v>
      </c>
      <c r="W28" s="199">
        <f>IF(Tech_Specs!$K28="lamp+ballast",IF(Sys_Repl_Rate!V28&gt;=1,0,IF(Lamp_Repl_Rate!V29&gt;=1,System_Total_Mkt!V28*(1-Retrofit_Rate)*(1-Sys_Repl_Rate!V28),System_Total_Mkt!V28*(1-Retrofit_Rate)*(1-Sys_Repl_Rate!V28)*Lamp_Repl_Rate!V29)),0)</f>
        <v>8.8605566781650141E-3</v>
      </c>
      <c r="X28" s="199">
        <f>IF(Tech_Specs!$K28="lamp+ballast",IF(Sys_Repl_Rate!W28&gt;=1,0,IF(Lamp_Repl_Rate!W29&gt;=1,System_Total_Mkt!W28*(1-Retrofit_Rate)*(1-Sys_Repl_Rate!W28),System_Total_Mkt!W28*(1-Retrofit_Rate)*(1-Sys_Repl_Rate!W28)*Lamp_Repl_Rate!W29)),0)</f>
        <v>9.0422197268869367E-3</v>
      </c>
      <c r="Y28" s="199">
        <f>IF(Tech_Specs!$K28="lamp+ballast",IF(Sys_Repl_Rate!X28&gt;=1,0,IF(Lamp_Repl_Rate!X29&gt;=1,System_Total_Mkt!X28*(1-Retrofit_Rate)*(1-Sys_Repl_Rate!X28),System_Total_Mkt!X28*(1-Retrofit_Rate)*(1-Sys_Repl_Rate!X28)*Lamp_Repl_Rate!X29)),0)</f>
        <v>9.2092920625163055E-3</v>
      </c>
      <c r="Z28" s="199">
        <f>IF(Tech_Specs!$K28="lamp+ballast",IF(Sys_Repl_Rate!Y28&gt;=1,0,IF(Lamp_Repl_Rate!Y29&gt;=1,System_Total_Mkt!Y28*(1-Retrofit_Rate)*(1-Sys_Repl_Rate!Y28),System_Total_Mkt!Y28*(1-Retrofit_Rate)*(1-Sys_Repl_Rate!Y28)*Lamp_Repl_Rate!Y29)),0)</f>
        <v>9.3640284955474468E-3</v>
      </c>
      <c r="AA28" s="199">
        <f>IF(Tech_Specs!$K28="lamp+ballast",IF(Sys_Repl_Rate!Z28&gt;=1,0,IF(Lamp_Repl_Rate!Z29&gt;=1,System_Total_Mkt!Z28*(1-Retrofit_Rate)*(1-Sys_Repl_Rate!Z28),System_Total_Mkt!Z28*(1-Retrofit_Rate)*(1-Sys_Repl_Rate!Z28)*Lamp_Repl_Rate!Z29)),0)</f>
        <v>9.5097558989970434E-3</v>
      </c>
      <c r="AB28" s="199">
        <f>IF(Tech_Specs!$K28="lamp+ballast",IF(Sys_Repl_Rate!AA28&gt;=1,0,IF(Lamp_Repl_Rate!AA29&gt;=1,System_Total_Mkt!AA28*(1-Retrofit_Rate)*(1-Sys_Repl_Rate!AA28),System_Total_Mkt!AA28*(1-Retrofit_Rate)*(1-Sys_Repl_Rate!AA28)*Lamp_Repl_Rate!AA29)),0)</f>
        <v>9.6161290615923451E-3</v>
      </c>
      <c r="AC28" s="199">
        <f>IF(Tech_Specs!$K28="lamp+ballast",IF(Sys_Repl_Rate!AB28&gt;=1,0,IF(Lamp_Repl_Rate!AB29&gt;=1,System_Total_Mkt!AB28*(1-Retrofit_Rate)*(1-Sys_Repl_Rate!AB28),System_Total_Mkt!AB28*(1-Retrofit_Rate)*(1-Sys_Repl_Rate!AB28)*Lamp_Repl_Rate!AB29)),0)</f>
        <v>9.7533241010070333E-3</v>
      </c>
      <c r="AD28" s="199">
        <f>IF(Tech_Specs!$K28="lamp+ballast",IF(Sys_Repl_Rate!AC28&gt;=1,0,IF(Lamp_Repl_Rate!AC29&gt;=1,System_Total_Mkt!AC28*(1-Retrofit_Rate)*(1-Sys_Repl_Rate!AC28),System_Total_Mkt!AC28*(1-Retrofit_Rate)*(1-Sys_Repl_Rate!AC28)*Lamp_Repl_Rate!AC29)),0)</f>
        <v>9.8516518392611236E-3</v>
      </c>
      <c r="AE28" s="199">
        <f>IF(Tech_Specs!$K28="lamp+ballast",IF(Sys_Repl_Rate!AD28&gt;=1,0,IF(Lamp_Repl_Rate!AD29&gt;=1,System_Total_Mkt!AD28*(1-Retrofit_Rate)*(1-Sys_Repl_Rate!AD28),System_Total_Mkt!AD28*(1-Retrofit_Rate)*(1-Sys_Repl_Rate!AD28)*Lamp_Repl_Rate!AD29)),0)</f>
        <v>9.9452201229035773E-3</v>
      </c>
      <c r="AF28" s="199">
        <f>IF(Tech_Specs!$K28="lamp+ballast",IF(Sys_Repl_Rate!AE28&gt;=1,0,IF(Lamp_Repl_Rate!AE29&gt;=1,System_Total_Mkt!AE28*(1-Retrofit_Rate)*(1-Sys_Repl_Rate!AE28),System_Total_Mkt!AE28*(1-Retrofit_Rate)*(1-Sys_Repl_Rate!AE28)*Lamp_Repl_Rate!AE29)),0)</f>
        <v>1.0034398317434953E-2</v>
      </c>
    </row>
    <row r="29" spans="1:32" s="221" customFormat="1" ht="14.45" x14ac:dyDescent="0.35">
      <c r="A29" s="252"/>
      <c r="B29" s="257" t="s">
        <v>45</v>
      </c>
      <c r="C29"/>
      <c r="D29"/>
      <c r="E29"/>
      <c r="F29"/>
      <c r="G29" s="201"/>
      <c r="H29" s="199">
        <f>IF(Tech_Specs!$K29="lamp+ballast",IF(Sys_Repl_Rate!G29&gt;=1,0,IF(Lamp_Repl_Rate!G30&gt;=1,System_Total_Mkt!G29*(1-Retrofit_Rate)*(1-Sys_Repl_Rate!G29),System_Total_Mkt!G29*(1-Retrofit_Rate)*(1-Sys_Repl_Rate!G29)*Lamp_Repl_Rate!G30)),0)</f>
        <v>8.5964679376095057E-3</v>
      </c>
      <c r="I29" s="199">
        <f>IF(Tech_Specs!$K29="lamp+ballast",IF(Sys_Repl_Rate!H29&gt;=1,0,IF(Lamp_Repl_Rate!H30&gt;=1,System_Total_Mkt!H29*(1-Retrofit_Rate)*(1-Sys_Repl_Rate!H29),System_Total_Mkt!H29*(1-Retrofit_Rate)*(1-Sys_Repl_Rate!H29)*Lamp_Repl_Rate!H30)),0)</f>
        <v>8.0632292707345787E-3</v>
      </c>
      <c r="J29" s="199">
        <f>IF(Tech_Specs!$K29="lamp+ballast",IF(Sys_Repl_Rate!I29&gt;=1,0,IF(Lamp_Repl_Rate!I30&gt;=1,System_Total_Mkt!I29*(1-Retrofit_Rate)*(1-Sys_Repl_Rate!I29),System_Total_Mkt!I29*(1-Retrofit_Rate)*(1-Sys_Repl_Rate!I29)*Lamp_Repl_Rate!I30)),0)</f>
        <v>7.5640288057745282E-3</v>
      </c>
      <c r="K29" s="199">
        <f>IF(Tech_Specs!$K29="lamp+ballast",IF(Sys_Repl_Rate!J29&gt;=1,0,IF(Lamp_Repl_Rate!J30&gt;=1,System_Total_Mkt!J29*(1-Retrofit_Rate)*(1-Sys_Repl_Rate!J29),System_Total_Mkt!J29*(1-Retrofit_Rate)*(1-Sys_Repl_Rate!J29)*Lamp_Repl_Rate!J30)),0)</f>
        <v>7.0965971824887269E-3</v>
      </c>
      <c r="L29" s="199">
        <f>IF(Tech_Specs!$K29="lamp+ballast",IF(Sys_Repl_Rate!K29&gt;=1,0,IF(Lamp_Repl_Rate!K30&gt;=1,System_Total_Mkt!K29*(1-Retrofit_Rate)*(1-Sys_Repl_Rate!K29),System_Total_Mkt!K29*(1-Retrofit_Rate)*(1-Sys_Repl_Rate!K29)*Lamp_Repl_Rate!K30)),0)</f>
        <v>6.6587916617419094E-3</v>
      </c>
      <c r="M29" s="199">
        <f>IF(Tech_Specs!$K29="lamp+ballast",IF(Sys_Repl_Rate!L29&gt;=1,0,IF(Lamp_Repl_Rate!L30&gt;=1,System_Total_Mkt!L29*(1-Retrofit_Rate)*(1-Sys_Repl_Rate!L29),System_Total_Mkt!L29*(1-Retrofit_Rate)*(1-Sys_Repl_Rate!L29)*Lamp_Repl_Rate!L30)),0)</f>
        <v>6.2486865182519932E-3</v>
      </c>
      <c r="N29" s="199">
        <f>IF(Tech_Specs!$K29="lamp+ballast",IF(Sys_Repl_Rate!M29&gt;=1,0,IF(Lamp_Repl_Rate!M30&gt;=1,System_Total_Mkt!M29*(1-Retrofit_Rate)*(1-Sys_Repl_Rate!M29),System_Total_Mkt!M29*(1-Retrofit_Rate)*(1-Sys_Repl_Rate!M29)*Lamp_Repl_Rate!M30)),0)</f>
        <v>5.8644644004702262E-3</v>
      </c>
      <c r="O29" s="199">
        <f>IF(Tech_Specs!$K29="lamp+ballast",IF(Sys_Repl_Rate!N29&gt;=1,0,IF(Lamp_Repl_Rate!N30&gt;=1,System_Total_Mkt!N29*(1-Retrofit_Rate)*(1-Sys_Repl_Rate!N29),System_Total_Mkt!N29*(1-Retrofit_Rate)*(1-Sys_Repl_Rate!N29)*Lamp_Repl_Rate!N30)),0)</f>
        <v>5.5044294416645772E-3</v>
      </c>
      <c r="P29" s="199">
        <f>IF(Tech_Specs!$K29="lamp+ballast",IF(Sys_Repl_Rate!O29&gt;=1,0,IF(Lamp_Repl_Rate!O30&gt;=1,System_Total_Mkt!O29*(1-Retrofit_Rate)*(1-Sys_Repl_Rate!O29),System_Total_Mkt!O29*(1-Retrofit_Rate)*(1-Sys_Repl_Rate!O29)*Lamp_Repl_Rate!O30)),0)</f>
        <v>5.1670219103068567E-3</v>
      </c>
      <c r="Q29" s="199">
        <f>IF(Tech_Specs!$K29="lamp+ballast",IF(Sys_Repl_Rate!P29&gt;=1,0,IF(Lamp_Repl_Rate!P30&gt;=1,System_Total_Mkt!P29*(1-Retrofit_Rate)*(1-Sys_Repl_Rate!P29),System_Total_Mkt!P29*(1-Retrofit_Rate)*(1-Sys_Repl_Rate!P29)*Lamp_Repl_Rate!P30)),0)</f>
        <v>4.850791221743412E-3</v>
      </c>
      <c r="R29" s="199">
        <f>IF(Tech_Specs!$K29="lamp+ballast",IF(Sys_Repl_Rate!Q29&gt;=1,0,IF(Lamp_Repl_Rate!Q30&gt;=1,System_Total_Mkt!Q29*(1-Retrofit_Rate)*(1-Sys_Repl_Rate!Q29),System_Total_Mkt!Q29*(1-Retrofit_Rate)*(1-Sys_Repl_Rate!Q29)*Lamp_Repl_Rate!Q30)),0)</f>
        <v>4.5543841072814371E-3</v>
      </c>
      <c r="S29" s="199">
        <f>IF(Tech_Specs!$K29="lamp+ballast",IF(Sys_Repl_Rate!R29&gt;=1,0,IF(Lamp_Repl_Rate!R30&gt;=1,System_Total_Mkt!R29*(1-Retrofit_Rate)*(1-Sys_Repl_Rate!R29),System_Total_Mkt!R29*(1-Retrofit_Rate)*(1-Sys_Repl_Rate!R29)*Lamp_Repl_Rate!R30)),0)</f>
        <v>4.2765324737326091E-3</v>
      </c>
      <c r="T29" s="199">
        <f>IF(Tech_Specs!$K29="lamp+ballast",IF(Sys_Repl_Rate!S29&gt;=1,0,IF(Lamp_Repl_Rate!S30&gt;=1,System_Total_Mkt!S29*(1-Retrofit_Rate)*(1-Sys_Repl_Rate!S29),System_Total_Mkt!S29*(1-Retrofit_Rate)*(1-Sys_Repl_Rate!S29)*Lamp_Repl_Rate!S30)),0)</f>
        <v>4.0160727301813866E-3</v>
      </c>
      <c r="U29" s="199">
        <f>IF(Tech_Specs!$K29="lamp+ballast",IF(Sys_Repl_Rate!T29&gt;=1,0,IF(Lamp_Repl_Rate!T30&gt;=1,System_Total_Mkt!T29*(1-Retrofit_Rate)*(1-Sys_Repl_Rate!T29),System_Total_Mkt!T29*(1-Retrofit_Rate)*(1-Sys_Repl_Rate!T29)*Lamp_Repl_Rate!T30)),0)</f>
        <v>3.7719057007759419E-3</v>
      </c>
      <c r="V29" s="199">
        <f>IF(Tech_Specs!$K29="lamp+ballast",IF(Sys_Repl_Rate!U29&gt;=1,0,IF(Lamp_Repl_Rate!U30&gt;=1,System_Total_Mkt!U29*(1-Retrofit_Rate)*(1-Sys_Repl_Rate!U29),System_Total_Mkt!U29*(1-Retrofit_Rate)*(1-Sys_Repl_Rate!U29)*Lamp_Repl_Rate!U30)),0)</f>
        <v>3.543003201970072E-3</v>
      </c>
      <c r="W29" s="199">
        <f>IF(Tech_Specs!$K29="lamp+ballast",IF(Sys_Repl_Rate!V29&gt;=1,0,IF(Lamp_Repl_Rate!V30&gt;=1,System_Total_Mkt!V29*(1-Retrofit_Rate)*(1-Sys_Repl_Rate!V29),System_Total_Mkt!V29*(1-Retrofit_Rate)*(1-Sys_Repl_Rate!V29)*Lamp_Repl_Rate!V30)),0)</f>
        <v>3.328407915375118E-3</v>
      </c>
      <c r="X29" s="199">
        <f>IF(Tech_Specs!$K29="lamp+ballast",IF(Sys_Repl_Rate!W29&gt;=1,0,IF(Lamp_Repl_Rate!W30&gt;=1,System_Total_Mkt!W29*(1-Retrofit_Rate)*(1-Sys_Repl_Rate!W29),System_Total_Mkt!W29*(1-Retrofit_Rate)*(1-Sys_Repl_Rate!W29)*Lamp_Repl_Rate!W30)),0)</f>
        <v>3.1272137440110596E-3</v>
      </c>
      <c r="Y29" s="199">
        <f>IF(Tech_Specs!$K29="lamp+ballast",IF(Sys_Repl_Rate!X29&gt;=1,0,IF(Lamp_Repl_Rate!X30&gt;=1,System_Total_Mkt!X29*(1-Retrofit_Rate)*(1-Sys_Repl_Rate!X29),System_Total_Mkt!X29*(1-Retrofit_Rate)*(1-Sys_Repl_Rate!X29)*Lamp_Repl_Rate!X30)),0)</f>
        <v>2.9385707117315953E-3</v>
      </c>
      <c r="Z29" s="199">
        <f>IF(Tech_Specs!$K29="lamp+ballast",IF(Sys_Repl_Rate!Y29&gt;=1,0,IF(Lamp_Repl_Rate!Y30&gt;=1,System_Total_Mkt!Y29*(1-Retrofit_Rate)*(1-Sys_Repl_Rate!Y29),System_Total_Mkt!Y29*(1-Retrofit_Rate)*(1-Sys_Repl_Rate!Y29)*Lamp_Repl_Rate!Y30)),0)</f>
        <v>2.7616840163259631E-3</v>
      </c>
      <c r="AA29" s="199">
        <f>IF(Tech_Specs!$K29="lamp+ballast",IF(Sys_Repl_Rate!Z29&gt;=1,0,IF(Lamp_Repl_Rate!Z30&gt;=1,System_Total_Mkt!Z29*(1-Retrofit_Rate)*(1-Sys_Repl_Rate!Z29),System_Total_Mkt!Z29*(1-Retrofit_Rate)*(1-Sys_Repl_Rate!Z29)*Lamp_Repl_Rate!Z30)),0)</f>
        <v>2.5958154080283542E-3</v>
      </c>
      <c r="AB29" s="199">
        <f>IF(Tech_Specs!$K29="lamp+ballast",IF(Sys_Repl_Rate!AA29&gt;=1,0,IF(Lamp_Repl_Rate!AA30&gt;=1,System_Total_Mkt!AA29*(1-Retrofit_Rate)*(1-Sys_Repl_Rate!AA29),System_Total_Mkt!AA29*(1-Retrofit_Rate)*(1-Sys_Repl_Rate!AA29)*Lamp_Repl_Rate!AA30)),0)</f>
        <v>2.4402751277232521E-3</v>
      </c>
      <c r="AC29" s="199">
        <f>IF(Tech_Specs!$K29="lamp+ballast",IF(Sys_Repl_Rate!AB29&gt;=1,0,IF(Lamp_Repl_Rate!AB30&gt;=1,System_Total_Mkt!AB29*(1-Retrofit_Rate)*(1-Sys_Repl_Rate!AB29),System_Total_Mkt!AB29*(1-Retrofit_Rate)*(1-Sys_Repl_Rate!AB29)*Lamp_Repl_Rate!AB30)),0)</f>
        <v>2.294420130974752E-3</v>
      </c>
      <c r="AD29" s="199">
        <f>IF(Tech_Specs!$K29="lamp+ballast",IF(Sys_Repl_Rate!AC29&gt;=1,0,IF(Lamp_Repl_Rate!AC30&gt;=1,System_Total_Mkt!AC29*(1-Retrofit_Rate)*(1-Sys_Repl_Rate!AC29),System_Total_Mkt!AC29*(1-Retrofit_Rate)*(1-Sys_Repl_Rate!AC29)*Lamp_Repl_Rate!AC30)),0)</f>
        <v>2.1576270490032985E-3</v>
      </c>
      <c r="AE29" s="199">
        <f>IF(Tech_Specs!$K29="lamp+ballast",IF(Sys_Repl_Rate!AD29&gt;=1,0,IF(Lamp_Repl_Rate!AD30&gt;=1,System_Total_Mkt!AD29*(1-Retrofit_Rate)*(1-Sys_Repl_Rate!AD29),System_Total_Mkt!AD29*(1-Retrofit_Rate)*(1-Sys_Repl_Rate!AD29)*Lamp_Repl_Rate!AD30)),0)</f>
        <v>2.0293238512518585E-3</v>
      </c>
      <c r="AF29" s="199">
        <f>IF(Tech_Specs!$K29="lamp+ballast",IF(Sys_Repl_Rate!AE29&gt;=1,0,IF(Lamp_Repl_Rate!AE30&gt;=1,System_Total_Mkt!AE29*(1-Retrofit_Rate)*(1-Sys_Repl_Rate!AE29),System_Total_Mkt!AE29*(1-Retrofit_Rate)*(1-Sys_Repl_Rate!AE29)*Lamp_Repl_Rate!AE30)),0)</f>
        <v>1.9089749006163702E-3</v>
      </c>
    </row>
    <row r="30" spans="1:32" s="221" customFormat="1" ht="14.45" x14ac:dyDescent="0.35">
      <c r="A30" s="252"/>
      <c r="B30" s="257" t="s">
        <v>46</v>
      </c>
      <c r="C30"/>
      <c r="D30"/>
      <c r="E30"/>
      <c r="F30"/>
      <c r="G30" s="201"/>
      <c r="H30" s="199">
        <f>IF(Tech_Specs!$K30="lamp+ballast",IF(Sys_Repl_Rate!G30&gt;=1,0,IF(Lamp_Repl_Rate!G31&gt;=1,System_Total_Mkt!G30*(1-Retrofit_Rate)*(1-Sys_Repl_Rate!G30),System_Total_Mkt!G30*(1-Retrofit_Rate)*(1-Sys_Repl_Rate!G30)*Lamp_Repl_Rate!G31)),0)</f>
        <v>0</v>
      </c>
      <c r="I30" s="199">
        <f>IF(Tech_Specs!$K30="lamp+ballast",IF(Sys_Repl_Rate!H30&gt;=1,0,IF(Lamp_Repl_Rate!H31&gt;=1,System_Total_Mkt!H30*(1-Retrofit_Rate)*(1-Sys_Repl_Rate!H30),System_Total_Mkt!H30*(1-Retrofit_Rate)*(1-Sys_Repl_Rate!H30)*Lamp_Repl_Rate!H31)),0)</f>
        <v>0</v>
      </c>
      <c r="J30" s="199">
        <f>IF(Tech_Specs!$K30="lamp+ballast",IF(Sys_Repl_Rate!I30&gt;=1,0,IF(Lamp_Repl_Rate!I31&gt;=1,System_Total_Mkt!I30*(1-Retrofit_Rate)*(1-Sys_Repl_Rate!I30),System_Total_Mkt!I30*(1-Retrofit_Rate)*(1-Sys_Repl_Rate!I30)*Lamp_Repl_Rate!I31)),0)</f>
        <v>0</v>
      </c>
      <c r="K30" s="199">
        <f>IF(Tech_Specs!$K30="lamp+ballast",IF(Sys_Repl_Rate!J30&gt;=1,0,IF(Lamp_Repl_Rate!J31&gt;=1,System_Total_Mkt!J30*(1-Retrofit_Rate)*(1-Sys_Repl_Rate!J30),System_Total_Mkt!J30*(1-Retrofit_Rate)*(1-Sys_Repl_Rate!J30)*Lamp_Repl_Rate!J31)),0)</f>
        <v>0</v>
      </c>
      <c r="L30" s="199">
        <f>IF(Tech_Specs!$K30="lamp+ballast",IF(Sys_Repl_Rate!K30&gt;=1,0,IF(Lamp_Repl_Rate!K31&gt;=1,System_Total_Mkt!K30*(1-Retrofit_Rate)*(1-Sys_Repl_Rate!K30),System_Total_Mkt!K30*(1-Retrofit_Rate)*(1-Sys_Repl_Rate!K30)*Lamp_Repl_Rate!K31)),0)</f>
        <v>0</v>
      </c>
      <c r="M30" s="199">
        <f>IF(Tech_Specs!$K30="lamp+ballast",IF(Sys_Repl_Rate!L30&gt;=1,0,IF(Lamp_Repl_Rate!L31&gt;=1,System_Total_Mkt!L30*(1-Retrofit_Rate)*(1-Sys_Repl_Rate!L30),System_Total_Mkt!L30*(1-Retrofit_Rate)*(1-Sys_Repl_Rate!L30)*Lamp_Repl_Rate!L31)),0)</f>
        <v>0</v>
      </c>
      <c r="N30" s="199">
        <f>IF(Tech_Specs!$K30="lamp+ballast",IF(Sys_Repl_Rate!M30&gt;=1,0,IF(Lamp_Repl_Rate!M31&gt;=1,System_Total_Mkt!M30*(1-Retrofit_Rate)*(1-Sys_Repl_Rate!M30),System_Total_Mkt!M30*(1-Retrofit_Rate)*(1-Sys_Repl_Rate!M30)*Lamp_Repl_Rate!M31)),0)</f>
        <v>0</v>
      </c>
      <c r="O30" s="199">
        <f>IF(Tech_Specs!$K30="lamp+ballast",IF(Sys_Repl_Rate!N30&gt;=1,0,IF(Lamp_Repl_Rate!N31&gt;=1,System_Total_Mkt!N30*(1-Retrofit_Rate)*(1-Sys_Repl_Rate!N30),System_Total_Mkt!N30*(1-Retrofit_Rate)*(1-Sys_Repl_Rate!N30)*Lamp_Repl_Rate!N31)),0)</f>
        <v>0</v>
      </c>
      <c r="P30" s="199">
        <f>IF(Tech_Specs!$K30="lamp+ballast",IF(Sys_Repl_Rate!O30&gt;=1,0,IF(Lamp_Repl_Rate!O31&gt;=1,System_Total_Mkt!O30*(1-Retrofit_Rate)*(1-Sys_Repl_Rate!O30),System_Total_Mkt!O30*(1-Retrofit_Rate)*(1-Sys_Repl_Rate!O30)*Lamp_Repl_Rate!O31)),0)</f>
        <v>0</v>
      </c>
      <c r="Q30" s="199">
        <f>IF(Tech_Specs!$K30="lamp+ballast",IF(Sys_Repl_Rate!P30&gt;=1,0,IF(Lamp_Repl_Rate!P31&gt;=1,System_Total_Mkt!P30*(1-Retrofit_Rate)*(1-Sys_Repl_Rate!P30),System_Total_Mkt!P30*(1-Retrofit_Rate)*(1-Sys_Repl_Rate!P30)*Lamp_Repl_Rate!P31)),0)</f>
        <v>0</v>
      </c>
      <c r="R30" s="199">
        <f>IF(Tech_Specs!$K30="lamp+ballast",IF(Sys_Repl_Rate!Q30&gt;=1,0,IF(Lamp_Repl_Rate!Q31&gt;=1,System_Total_Mkt!Q30*(1-Retrofit_Rate)*(1-Sys_Repl_Rate!Q30),System_Total_Mkt!Q30*(1-Retrofit_Rate)*(1-Sys_Repl_Rate!Q30)*Lamp_Repl_Rate!Q31)),0)</f>
        <v>0</v>
      </c>
      <c r="S30" s="199">
        <f>IF(Tech_Specs!$K30="lamp+ballast",IF(Sys_Repl_Rate!R30&gt;=1,0,IF(Lamp_Repl_Rate!R31&gt;=1,System_Total_Mkt!R30*(1-Retrofit_Rate)*(1-Sys_Repl_Rate!R30),System_Total_Mkt!R30*(1-Retrofit_Rate)*(1-Sys_Repl_Rate!R30)*Lamp_Repl_Rate!R31)),0)</f>
        <v>0</v>
      </c>
      <c r="T30" s="199">
        <f>IF(Tech_Specs!$K30="lamp+ballast",IF(Sys_Repl_Rate!S30&gt;=1,0,IF(Lamp_Repl_Rate!S31&gt;=1,System_Total_Mkt!S30*(1-Retrofit_Rate)*(1-Sys_Repl_Rate!S30),System_Total_Mkt!S30*(1-Retrofit_Rate)*(1-Sys_Repl_Rate!S30)*Lamp_Repl_Rate!S31)),0)</f>
        <v>0</v>
      </c>
      <c r="U30" s="199">
        <f>IF(Tech_Specs!$K30="lamp+ballast",IF(Sys_Repl_Rate!T30&gt;=1,0,IF(Lamp_Repl_Rate!T31&gt;=1,System_Total_Mkt!T30*(1-Retrofit_Rate)*(1-Sys_Repl_Rate!T30),System_Total_Mkt!T30*(1-Retrofit_Rate)*(1-Sys_Repl_Rate!T30)*Lamp_Repl_Rate!T31)),0)</f>
        <v>0</v>
      </c>
      <c r="V30" s="199">
        <f>IF(Tech_Specs!$K30="lamp+ballast",IF(Sys_Repl_Rate!U30&gt;=1,0,IF(Lamp_Repl_Rate!U31&gt;=1,System_Total_Mkt!U30*(1-Retrofit_Rate)*(1-Sys_Repl_Rate!U30),System_Total_Mkt!U30*(1-Retrofit_Rate)*(1-Sys_Repl_Rate!U30)*Lamp_Repl_Rate!U31)),0)</f>
        <v>0</v>
      </c>
      <c r="W30" s="199">
        <f>IF(Tech_Specs!$K30="lamp+ballast",IF(Sys_Repl_Rate!V30&gt;=1,0,IF(Lamp_Repl_Rate!V31&gt;=1,System_Total_Mkt!V30*(1-Retrofit_Rate)*(1-Sys_Repl_Rate!V30),System_Total_Mkt!V30*(1-Retrofit_Rate)*(1-Sys_Repl_Rate!V30)*Lamp_Repl_Rate!V31)),0)</f>
        <v>0</v>
      </c>
      <c r="X30" s="199">
        <f>IF(Tech_Specs!$K30="lamp+ballast",IF(Sys_Repl_Rate!W30&gt;=1,0,IF(Lamp_Repl_Rate!W31&gt;=1,System_Total_Mkt!W30*(1-Retrofit_Rate)*(1-Sys_Repl_Rate!W30),System_Total_Mkt!W30*(1-Retrofit_Rate)*(1-Sys_Repl_Rate!W30)*Lamp_Repl_Rate!W31)),0)</f>
        <v>0</v>
      </c>
      <c r="Y30" s="199">
        <f>IF(Tech_Specs!$K30="lamp+ballast",IF(Sys_Repl_Rate!X30&gt;=1,0,IF(Lamp_Repl_Rate!X31&gt;=1,System_Total_Mkt!X30*(1-Retrofit_Rate)*(1-Sys_Repl_Rate!X30),System_Total_Mkt!X30*(1-Retrofit_Rate)*(1-Sys_Repl_Rate!X30)*Lamp_Repl_Rate!X31)),0)</f>
        <v>0</v>
      </c>
      <c r="Z30" s="199">
        <f>IF(Tech_Specs!$K30="lamp+ballast",IF(Sys_Repl_Rate!Y30&gt;=1,0,IF(Lamp_Repl_Rate!Y31&gt;=1,System_Total_Mkt!Y30*(1-Retrofit_Rate)*(1-Sys_Repl_Rate!Y30),System_Total_Mkt!Y30*(1-Retrofit_Rate)*(1-Sys_Repl_Rate!Y30)*Lamp_Repl_Rate!Y31)),0)</f>
        <v>0</v>
      </c>
      <c r="AA30" s="199">
        <f>IF(Tech_Specs!$K30="lamp+ballast",IF(Sys_Repl_Rate!Z30&gt;=1,0,IF(Lamp_Repl_Rate!Z31&gt;=1,System_Total_Mkt!Z30*(1-Retrofit_Rate)*(1-Sys_Repl_Rate!Z30),System_Total_Mkt!Z30*(1-Retrofit_Rate)*(1-Sys_Repl_Rate!Z30)*Lamp_Repl_Rate!Z31)),0)</f>
        <v>0</v>
      </c>
      <c r="AB30" s="199">
        <f>IF(Tech_Specs!$K30="lamp+ballast",IF(Sys_Repl_Rate!AA30&gt;=1,0,IF(Lamp_Repl_Rate!AA31&gt;=1,System_Total_Mkt!AA30*(1-Retrofit_Rate)*(1-Sys_Repl_Rate!AA30),System_Total_Mkt!AA30*(1-Retrofit_Rate)*(1-Sys_Repl_Rate!AA30)*Lamp_Repl_Rate!AA31)),0)</f>
        <v>0</v>
      </c>
      <c r="AC30" s="199">
        <f>IF(Tech_Specs!$K30="lamp+ballast",IF(Sys_Repl_Rate!AB30&gt;=1,0,IF(Lamp_Repl_Rate!AB31&gt;=1,System_Total_Mkt!AB30*(1-Retrofit_Rate)*(1-Sys_Repl_Rate!AB30),System_Total_Mkt!AB30*(1-Retrofit_Rate)*(1-Sys_Repl_Rate!AB30)*Lamp_Repl_Rate!AB31)),0)</f>
        <v>0</v>
      </c>
      <c r="AD30" s="199">
        <f>IF(Tech_Specs!$K30="lamp+ballast",IF(Sys_Repl_Rate!AC30&gt;=1,0,IF(Lamp_Repl_Rate!AC31&gt;=1,System_Total_Mkt!AC30*(1-Retrofit_Rate)*(1-Sys_Repl_Rate!AC30),System_Total_Mkt!AC30*(1-Retrofit_Rate)*(1-Sys_Repl_Rate!AC30)*Lamp_Repl_Rate!AC31)),0)</f>
        <v>0</v>
      </c>
      <c r="AE30" s="199">
        <f>IF(Tech_Specs!$K30="lamp+ballast",IF(Sys_Repl_Rate!AD30&gt;=1,0,IF(Lamp_Repl_Rate!AD31&gt;=1,System_Total_Mkt!AD30*(1-Retrofit_Rate)*(1-Sys_Repl_Rate!AD30),System_Total_Mkt!AD30*(1-Retrofit_Rate)*(1-Sys_Repl_Rate!AD30)*Lamp_Repl_Rate!AD31)),0)</f>
        <v>0</v>
      </c>
      <c r="AF30" s="199">
        <f>IF(Tech_Specs!$K30="lamp+ballast",IF(Sys_Repl_Rate!AE30&gt;=1,0,IF(Lamp_Repl_Rate!AE31&gt;=1,System_Total_Mkt!AE30*(1-Retrofit_Rate)*(1-Sys_Repl_Rate!AE30),System_Total_Mkt!AE30*(1-Retrofit_Rate)*(1-Sys_Repl_Rate!AE30)*Lamp_Repl_Rate!AE31)),0)</f>
        <v>0</v>
      </c>
    </row>
    <row r="31" spans="1:32" s="221" customFormat="1" ht="14.45" x14ac:dyDescent="0.35">
      <c r="A31" s="252"/>
      <c r="B31" s="252" t="s">
        <v>29</v>
      </c>
      <c r="C31"/>
      <c r="D31"/>
      <c r="E31"/>
      <c r="F31"/>
      <c r="G31"/>
      <c r="H31" s="199">
        <f>IF(Tech_Specs!$K31="lamp+ballast",IF(Sys_Repl_Rate!G31&gt;=1,0,IF(Lamp_Repl_Rate!G32&gt;=1,System_Total_Mkt!G31*(1-Retrofit_Rate)*(1-Sys_Repl_Rate!G31),System_Total_Mkt!G31*(1-Retrofit_Rate)*(1-Sys_Repl_Rate!G31)*Lamp_Repl_Rate!G32)),0)</f>
        <v>0</v>
      </c>
      <c r="I31" s="199">
        <f>IF(Tech_Specs!$K31="lamp+ballast",IF(Sys_Repl_Rate!H31&gt;=1,0,IF(Lamp_Repl_Rate!H32&gt;=1,System_Total_Mkt!H31*(1-Retrofit_Rate)*(1-Sys_Repl_Rate!H31),System_Total_Mkt!H31*(1-Retrofit_Rate)*(1-Sys_Repl_Rate!H31)*Lamp_Repl_Rate!H32)),0)</f>
        <v>0</v>
      </c>
      <c r="J31" s="199">
        <f>IF(Tech_Specs!$K31="lamp+ballast",IF(Sys_Repl_Rate!I31&gt;=1,0,IF(Lamp_Repl_Rate!I32&gt;=1,System_Total_Mkt!I31*(1-Retrofit_Rate)*(1-Sys_Repl_Rate!I31),System_Total_Mkt!I31*(1-Retrofit_Rate)*(1-Sys_Repl_Rate!I31)*Lamp_Repl_Rate!I32)),0)</f>
        <v>0</v>
      </c>
      <c r="K31" s="199">
        <f>IF(Tech_Specs!$K31="lamp+ballast",IF(Sys_Repl_Rate!J31&gt;=1,0,IF(Lamp_Repl_Rate!J32&gt;=1,System_Total_Mkt!J31*(1-Retrofit_Rate)*(1-Sys_Repl_Rate!J31),System_Total_Mkt!J31*(1-Retrofit_Rate)*(1-Sys_Repl_Rate!J31)*Lamp_Repl_Rate!J32)),0)</f>
        <v>0</v>
      </c>
      <c r="L31" s="199">
        <f>IF(Tech_Specs!$K31="lamp+ballast",IF(Sys_Repl_Rate!K31&gt;=1,0,IF(Lamp_Repl_Rate!K32&gt;=1,System_Total_Mkt!K31*(1-Retrofit_Rate)*(1-Sys_Repl_Rate!K31),System_Total_Mkt!K31*(1-Retrofit_Rate)*(1-Sys_Repl_Rate!K31)*Lamp_Repl_Rate!K32)),0)</f>
        <v>0</v>
      </c>
      <c r="M31" s="199">
        <f>IF(Tech_Specs!$K31="lamp+ballast",IF(Sys_Repl_Rate!L31&gt;=1,0,IF(Lamp_Repl_Rate!L32&gt;=1,System_Total_Mkt!L31*(1-Retrofit_Rate)*(1-Sys_Repl_Rate!L31),System_Total_Mkt!L31*(1-Retrofit_Rate)*(1-Sys_Repl_Rate!L31)*Lamp_Repl_Rate!L32)),0)</f>
        <v>0</v>
      </c>
      <c r="N31" s="199">
        <f>IF(Tech_Specs!$K31="lamp+ballast",IF(Sys_Repl_Rate!M31&gt;=1,0,IF(Lamp_Repl_Rate!M32&gt;=1,System_Total_Mkt!M31*(1-Retrofit_Rate)*(1-Sys_Repl_Rate!M31),System_Total_Mkt!M31*(1-Retrofit_Rate)*(1-Sys_Repl_Rate!M31)*Lamp_Repl_Rate!M32)),0)</f>
        <v>0</v>
      </c>
      <c r="O31" s="199">
        <f>IF(Tech_Specs!$K31="lamp+ballast",IF(Sys_Repl_Rate!N31&gt;=1,0,IF(Lamp_Repl_Rate!N32&gt;=1,System_Total_Mkt!N31*(1-Retrofit_Rate)*(1-Sys_Repl_Rate!N31),System_Total_Mkt!N31*(1-Retrofit_Rate)*(1-Sys_Repl_Rate!N31)*Lamp_Repl_Rate!N32)),0)</f>
        <v>0</v>
      </c>
      <c r="P31" s="199">
        <f>IF(Tech_Specs!$K31="lamp+ballast",IF(Sys_Repl_Rate!O31&gt;=1,0,IF(Lamp_Repl_Rate!O32&gt;=1,System_Total_Mkt!O31*(1-Retrofit_Rate)*(1-Sys_Repl_Rate!O31),System_Total_Mkt!O31*(1-Retrofit_Rate)*(1-Sys_Repl_Rate!O31)*Lamp_Repl_Rate!O32)),0)</f>
        <v>0</v>
      </c>
      <c r="Q31" s="199">
        <f>IF(Tech_Specs!$K31="lamp+ballast",IF(Sys_Repl_Rate!P31&gt;=1,0,IF(Lamp_Repl_Rate!P32&gt;=1,System_Total_Mkt!P31*(1-Retrofit_Rate)*(1-Sys_Repl_Rate!P31),System_Total_Mkt!P31*(1-Retrofit_Rate)*(1-Sys_Repl_Rate!P31)*Lamp_Repl_Rate!P32)),0)</f>
        <v>0</v>
      </c>
      <c r="R31" s="199">
        <f>IF(Tech_Specs!$K31="lamp+ballast",IF(Sys_Repl_Rate!Q31&gt;=1,0,IF(Lamp_Repl_Rate!Q32&gt;=1,System_Total_Mkt!Q31*(1-Retrofit_Rate)*(1-Sys_Repl_Rate!Q31),System_Total_Mkt!Q31*(1-Retrofit_Rate)*(1-Sys_Repl_Rate!Q31)*Lamp_Repl_Rate!Q32)),0)</f>
        <v>0</v>
      </c>
      <c r="S31" s="199">
        <f>IF(Tech_Specs!$K31="lamp+ballast",IF(Sys_Repl_Rate!R31&gt;=1,0,IF(Lamp_Repl_Rate!R32&gt;=1,System_Total_Mkt!R31*(1-Retrofit_Rate)*(1-Sys_Repl_Rate!R31),System_Total_Mkt!R31*(1-Retrofit_Rate)*(1-Sys_Repl_Rate!R31)*Lamp_Repl_Rate!R32)),0)</f>
        <v>0</v>
      </c>
      <c r="T31" s="199">
        <f>IF(Tech_Specs!$K31="lamp+ballast",IF(Sys_Repl_Rate!S31&gt;=1,0,IF(Lamp_Repl_Rate!S32&gt;=1,System_Total_Mkt!S31*(1-Retrofit_Rate)*(1-Sys_Repl_Rate!S31),System_Total_Mkt!S31*(1-Retrofit_Rate)*(1-Sys_Repl_Rate!S31)*Lamp_Repl_Rate!S32)),0)</f>
        <v>0</v>
      </c>
      <c r="U31" s="199">
        <f>IF(Tech_Specs!$K31="lamp+ballast",IF(Sys_Repl_Rate!T31&gt;=1,0,IF(Lamp_Repl_Rate!T32&gt;=1,System_Total_Mkt!T31*(1-Retrofit_Rate)*(1-Sys_Repl_Rate!T31),System_Total_Mkt!T31*(1-Retrofit_Rate)*(1-Sys_Repl_Rate!T31)*Lamp_Repl_Rate!T32)),0)</f>
        <v>0</v>
      </c>
      <c r="V31" s="199">
        <f>IF(Tech_Specs!$K31="lamp+ballast",IF(Sys_Repl_Rate!U31&gt;=1,0,IF(Lamp_Repl_Rate!U32&gt;=1,System_Total_Mkt!U31*(1-Retrofit_Rate)*(1-Sys_Repl_Rate!U31),System_Total_Mkt!U31*(1-Retrofit_Rate)*(1-Sys_Repl_Rate!U31)*Lamp_Repl_Rate!U32)),0)</f>
        <v>0</v>
      </c>
      <c r="W31" s="199">
        <f>IF(Tech_Specs!$K31="lamp+ballast",IF(Sys_Repl_Rate!V31&gt;=1,0,IF(Lamp_Repl_Rate!V32&gt;=1,System_Total_Mkt!V31*(1-Retrofit_Rate)*(1-Sys_Repl_Rate!V31),System_Total_Mkt!V31*(1-Retrofit_Rate)*(1-Sys_Repl_Rate!V31)*Lamp_Repl_Rate!V32)),0)</f>
        <v>0</v>
      </c>
      <c r="X31" s="199">
        <f>IF(Tech_Specs!$K31="lamp+ballast",IF(Sys_Repl_Rate!W31&gt;=1,0,IF(Lamp_Repl_Rate!W32&gt;=1,System_Total_Mkt!W31*(1-Retrofit_Rate)*(1-Sys_Repl_Rate!W31),System_Total_Mkt!W31*(1-Retrofit_Rate)*(1-Sys_Repl_Rate!W31)*Lamp_Repl_Rate!W32)),0)</f>
        <v>0</v>
      </c>
      <c r="Y31" s="199">
        <f>IF(Tech_Specs!$K31="lamp+ballast",IF(Sys_Repl_Rate!X31&gt;=1,0,IF(Lamp_Repl_Rate!X32&gt;=1,System_Total_Mkt!X31*(1-Retrofit_Rate)*(1-Sys_Repl_Rate!X31),System_Total_Mkt!X31*(1-Retrofit_Rate)*(1-Sys_Repl_Rate!X31)*Lamp_Repl_Rate!X32)),0)</f>
        <v>0</v>
      </c>
      <c r="Z31" s="199">
        <f>IF(Tech_Specs!$K31="lamp+ballast",IF(Sys_Repl_Rate!Y31&gt;=1,0,IF(Lamp_Repl_Rate!Y32&gt;=1,System_Total_Mkt!Y31*(1-Retrofit_Rate)*(1-Sys_Repl_Rate!Y31),System_Total_Mkt!Y31*(1-Retrofit_Rate)*(1-Sys_Repl_Rate!Y31)*Lamp_Repl_Rate!Y32)),0)</f>
        <v>0</v>
      </c>
      <c r="AA31" s="199">
        <f>IF(Tech_Specs!$K31="lamp+ballast",IF(Sys_Repl_Rate!Z31&gt;=1,0,IF(Lamp_Repl_Rate!Z32&gt;=1,System_Total_Mkt!Z31*(1-Retrofit_Rate)*(1-Sys_Repl_Rate!Z31),System_Total_Mkt!Z31*(1-Retrofit_Rate)*(1-Sys_Repl_Rate!Z31)*Lamp_Repl_Rate!Z32)),0)</f>
        <v>0</v>
      </c>
      <c r="AB31" s="199">
        <f>IF(Tech_Specs!$K31="lamp+ballast",IF(Sys_Repl_Rate!AA31&gt;=1,0,IF(Lamp_Repl_Rate!AA32&gt;=1,System_Total_Mkt!AA31*(1-Retrofit_Rate)*(1-Sys_Repl_Rate!AA31),System_Total_Mkt!AA31*(1-Retrofit_Rate)*(1-Sys_Repl_Rate!AA31)*Lamp_Repl_Rate!AA32)),0)</f>
        <v>0</v>
      </c>
      <c r="AC31" s="199">
        <f>IF(Tech_Specs!$K31="lamp+ballast",IF(Sys_Repl_Rate!AB31&gt;=1,0,IF(Lamp_Repl_Rate!AB32&gt;=1,System_Total_Mkt!AB31*(1-Retrofit_Rate)*(1-Sys_Repl_Rate!AB31),System_Total_Mkt!AB31*(1-Retrofit_Rate)*(1-Sys_Repl_Rate!AB31)*Lamp_Repl_Rate!AB32)),0)</f>
        <v>0</v>
      </c>
      <c r="AD31" s="199">
        <f>IF(Tech_Specs!$K31="lamp+ballast",IF(Sys_Repl_Rate!AC31&gt;=1,0,IF(Lamp_Repl_Rate!AC32&gt;=1,System_Total_Mkt!AC31*(1-Retrofit_Rate)*(1-Sys_Repl_Rate!AC31),System_Total_Mkt!AC31*(1-Retrofit_Rate)*(1-Sys_Repl_Rate!AC31)*Lamp_Repl_Rate!AC32)),0)</f>
        <v>0</v>
      </c>
      <c r="AE31" s="199">
        <f>IF(Tech_Specs!$K31="lamp+ballast",IF(Sys_Repl_Rate!AD31&gt;=1,0,IF(Lamp_Repl_Rate!AD32&gt;=1,System_Total_Mkt!AD31*(1-Retrofit_Rate)*(1-Sys_Repl_Rate!AD31),System_Total_Mkt!AD31*(1-Retrofit_Rate)*(1-Sys_Repl_Rate!AD31)*Lamp_Repl_Rate!AD32)),0)</f>
        <v>0</v>
      </c>
      <c r="AF31" s="199">
        <f>IF(Tech_Specs!$K31="lamp+ballast",IF(Sys_Repl_Rate!AE31&gt;=1,0,IF(Lamp_Repl_Rate!AE32&gt;=1,System_Total_Mkt!AE31*(1-Retrofit_Rate)*(1-Sys_Repl_Rate!AE31),System_Total_Mkt!AE31*(1-Retrofit_Rate)*(1-Sys_Repl_Rate!AE31)*Lamp_Repl_Rate!AE32)),0)</f>
        <v>0</v>
      </c>
    </row>
    <row r="32" spans="1:32" s="221" customFormat="1" ht="14.45" x14ac:dyDescent="0.35">
      <c r="A32" s="252"/>
      <c r="B32" s="252"/>
      <c r="C32"/>
      <c r="D32"/>
      <c r="E32"/>
      <c r="F32"/>
      <c r="G32"/>
      <c r="H32"/>
      <c r="I32"/>
      <c r="J32"/>
      <c r="K32"/>
      <c r="L32"/>
      <c r="M32"/>
      <c r="N32"/>
      <c r="O32"/>
      <c r="P32"/>
      <c r="Q32"/>
      <c r="R32"/>
      <c r="S32"/>
      <c r="T32"/>
      <c r="U32"/>
      <c r="V32"/>
      <c r="W32"/>
      <c r="X32"/>
      <c r="Y32"/>
      <c r="Z32"/>
      <c r="AA32"/>
      <c r="AB32"/>
      <c r="AC32"/>
      <c r="AD32"/>
      <c r="AE32"/>
      <c r="AF32"/>
    </row>
    <row r="33" spans="1:57" s="202" customFormat="1" ht="12.95" x14ac:dyDescent="0.3">
      <c r="A33" s="267" t="s">
        <v>47</v>
      </c>
      <c r="B33" s="267"/>
      <c r="C33" s="267"/>
      <c r="D33" s="267"/>
      <c r="E33" s="267"/>
      <c r="F33" s="267"/>
      <c r="G33" s="267"/>
      <c r="H33" s="267"/>
      <c r="I33" s="267"/>
      <c r="J33" s="267"/>
      <c r="K33" s="267"/>
      <c r="L33" s="267"/>
      <c r="M33" s="267"/>
      <c r="N33" s="267"/>
      <c r="O33" s="267"/>
      <c r="P33" s="267"/>
      <c r="Q33" s="267"/>
      <c r="R33" s="267"/>
      <c r="S33" s="267"/>
      <c r="T33" s="267"/>
      <c r="U33" s="267"/>
      <c r="V33" s="267"/>
      <c r="W33" s="267"/>
      <c r="X33" s="267"/>
      <c r="Y33" s="267"/>
      <c r="Z33" s="267"/>
      <c r="AA33" s="267"/>
      <c r="AB33" s="267"/>
      <c r="AC33" s="267"/>
      <c r="AD33" s="267"/>
      <c r="AE33" s="267"/>
      <c r="AF33" s="267"/>
    </row>
    <row r="34" spans="1:57" s="221" customFormat="1" ht="14.45" x14ac:dyDescent="0.35">
      <c r="A34" s="252"/>
      <c r="B34" s="252" t="s">
        <v>48</v>
      </c>
      <c r="C34"/>
      <c r="D34"/>
      <c r="E34"/>
      <c r="F34"/>
      <c r="G34" s="201"/>
      <c r="H34" s="199">
        <f>IF(Tech_Specs!$K34="lamp+ballast",IF(Sys_Repl_Rate!G34&gt;=1,0,IF(Lamp_Repl_Rate!G35&gt;=1,System_Total_Mkt!G34*(1-Retrofit_Rate)*(1-Sys_Repl_Rate!G34),System_Total_Mkt!G34*(1-Retrofit_Rate)*(1-Sys_Repl_Rate!G34)*Lamp_Repl_Rate!G35)),0)</f>
        <v>0</v>
      </c>
      <c r="I34" s="199">
        <f>IF(Tech_Specs!$K34="lamp+ballast",IF(Sys_Repl_Rate!H34&gt;=1,0,IF(Lamp_Repl_Rate!H35&gt;=1,System_Total_Mkt!H34*(1-Retrofit_Rate)*(1-Sys_Repl_Rate!H34),System_Total_Mkt!H34*(1-Retrofit_Rate)*(1-Sys_Repl_Rate!H34)*Lamp_Repl_Rate!H35)),0)</f>
        <v>0</v>
      </c>
      <c r="J34" s="199">
        <f>IF(Tech_Specs!$K34="lamp+ballast",IF(Sys_Repl_Rate!I34&gt;=1,0,IF(Lamp_Repl_Rate!I35&gt;=1,System_Total_Mkt!I34*(1-Retrofit_Rate)*(1-Sys_Repl_Rate!I34),System_Total_Mkt!I34*(1-Retrofit_Rate)*(1-Sys_Repl_Rate!I34)*Lamp_Repl_Rate!I35)),0)</f>
        <v>0</v>
      </c>
      <c r="K34" s="199">
        <f>IF(Tech_Specs!$K34="lamp+ballast",IF(Sys_Repl_Rate!J34&gt;=1,0,IF(Lamp_Repl_Rate!J35&gt;=1,System_Total_Mkt!J34*(1-Retrofit_Rate)*(1-Sys_Repl_Rate!J34),System_Total_Mkt!J34*(1-Retrofit_Rate)*(1-Sys_Repl_Rate!J34)*Lamp_Repl_Rate!J35)),0)</f>
        <v>0</v>
      </c>
      <c r="L34" s="199">
        <f>IF(Tech_Specs!$K34="lamp+ballast",IF(Sys_Repl_Rate!K34&gt;=1,0,IF(Lamp_Repl_Rate!K35&gt;=1,System_Total_Mkt!K34*(1-Retrofit_Rate)*(1-Sys_Repl_Rate!K34),System_Total_Mkt!K34*(1-Retrofit_Rate)*(1-Sys_Repl_Rate!K34)*Lamp_Repl_Rate!K35)),0)</f>
        <v>0</v>
      </c>
      <c r="M34" s="199">
        <f>IF(Tech_Specs!$K34="lamp+ballast",IF(Sys_Repl_Rate!L34&gt;=1,0,IF(Lamp_Repl_Rate!L35&gt;=1,System_Total_Mkt!L34*(1-Retrofit_Rate)*(1-Sys_Repl_Rate!L34),System_Total_Mkt!L34*(1-Retrofit_Rate)*(1-Sys_Repl_Rate!L34)*Lamp_Repl_Rate!L35)),0)</f>
        <v>0</v>
      </c>
      <c r="N34" s="199">
        <f>IF(Tech_Specs!$K34="lamp+ballast",IF(Sys_Repl_Rate!M34&gt;=1,0,IF(Lamp_Repl_Rate!M35&gt;=1,System_Total_Mkt!M34*(1-Retrofit_Rate)*(1-Sys_Repl_Rate!M34),System_Total_Mkt!M34*(1-Retrofit_Rate)*(1-Sys_Repl_Rate!M34)*Lamp_Repl_Rate!M35)),0)</f>
        <v>0</v>
      </c>
      <c r="O34" s="199">
        <f>IF(Tech_Specs!$K34="lamp+ballast",IF(Sys_Repl_Rate!N34&gt;=1,0,IF(Lamp_Repl_Rate!N35&gt;=1,System_Total_Mkt!N34*(1-Retrofit_Rate)*(1-Sys_Repl_Rate!N34),System_Total_Mkt!N34*(1-Retrofit_Rate)*(1-Sys_Repl_Rate!N34)*Lamp_Repl_Rate!N35)),0)</f>
        <v>0</v>
      </c>
      <c r="P34" s="199">
        <f>IF(Tech_Specs!$K34="lamp+ballast",IF(Sys_Repl_Rate!O34&gt;=1,0,IF(Lamp_Repl_Rate!O35&gt;=1,System_Total_Mkt!O34*(1-Retrofit_Rate)*(1-Sys_Repl_Rate!O34),System_Total_Mkt!O34*(1-Retrofit_Rate)*(1-Sys_Repl_Rate!O34)*Lamp_Repl_Rate!O35)),0)</f>
        <v>0</v>
      </c>
      <c r="Q34" s="199">
        <f>IF(Tech_Specs!$K34="lamp+ballast",IF(Sys_Repl_Rate!P34&gt;=1,0,IF(Lamp_Repl_Rate!P35&gt;=1,System_Total_Mkt!P34*(1-Retrofit_Rate)*(1-Sys_Repl_Rate!P34),System_Total_Mkt!P34*(1-Retrofit_Rate)*(1-Sys_Repl_Rate!P34)*Lamp_Repl_Rate!P35)),0)</f>
        <v>0</v>
      </c>
      <c r="R34" s="199">
        <f>IF(Tech_Specs!$K34="lamp+ballast",IF(Sys_Repl_Rate!Q34&gt;=1,0,IF(Lamp_Repl_Rate!Q35&gt;=1,System_Total_Mkt!Q34*(1-Retrofit_Rate)*(1-Sys_Repl_Rate!Q34),System_Total_Mkt!Q34*(1-Retrofit_Rate)*(1-Sys_Repl_Rate!Q34)*Lamp_Repl_Rate!Q35)),0)</f>
        <v>0</v>
      </c>
      <c r="S34" s="199">
        <f>IF(Tech_Specs!$K34="lamp+ballast",IF(Sys_Repl_Rate!R34&gt;=1,0,IF(Lamp_Repl_Rate!R35&gt;=1,System_Total_Mkt!R34*(1-Retrofit_Rate)*(1-Sys_Repl_Rate!R34),System_Total_Mkt!R34*(1-Retrofit_Rate)*(1-Sys_Repl_Rate!R34)*Lamp_Repl_Rate!R35)),0)</f>
        <v>0</v>
      </c>
      <c r="T34" s="199">
        <f>IF(Tech_Specs!$K34="lamp+ballast",IF(Sys_Repl_Rate!S34&gt;=1,0,IF(Lamp_Repl_Rate!S35&gt;=1,System_Total_Mkt!S34*(1-Retrofit_Rate)*(1-Sys_Repl_Rate!S34),System_Total_Mkt!S34*(1-Retrofit_Rate)*(1-Sys_Repl_Rate!S34)*Lamp_Repl_Rate!S35)),0)</f>
        <v>0</v>
      </c>
      <c r="U34" s="199">
        <f>IF(Tech_Specs!$K34="lamp+ballast",IF(Sys_Repl_Rate!T34&gt;=1,0,IF(Lamp_Repl_Rate!T35&gt;=1,System_Total_Mkt!T34*(1-Retrofit_Rate)*(1-Sys_Repl_Rate!T34),System_Total_Mkt!T34*(1-Retrofit_Rate)*(1-Sys_Repl_Rate!T34)*Lamp_Repl_Rate!T35)),0)</f>
        <v>0</v>
      </c>
      <c r="V34" s="199">
        <f>IF(Tech_Specs!$K34="lamp+ballast",IF(Sys_Repl_Rate!U34&gt;=1,0,IF(Lamp_Repl_Rate!U35&gt;=1,System_Total_Mkt!U34*(1-Retrofit_Rate)*(1-Sys_Repl_Rate!U34),System_Total_Mkt!U34*(1-Retrofit_Rate)*(1-Sys_Repl_Rate!U34)*Lamp_Repl_Rate!U35)),0)</f>
        <v>0</v>
      </c>
      <c r="W34" s="199">
        <f>IF(Tech_Specs!$K34="lamp+ballast",IF(Sys_Repl_Rate!V34&gt;=1,0,IF(Lamp_Repl_Rate!V35&gt;=1,System_Total_Mkt!V34*(1-Retrofit_Rate)*(1-Sys_Repl_Rate!V34),System_Total_Mkt!V34*(1-Retrofit_Rate)*(1-Sys_Repl_Rate!V34)*Lamp_Repl_Rate!V35)),0)</f>
        <v>0</v>
      </c>
      <c r="X34" s="199">
        <f>IF(Tech_Specs!$K34="lamp+ballast",IF(Sys_Repl_Rate!W34&gt;=1,0,IF(Lamp_Repl_Rate!W35&gt;=1,System_Total_Mkt!W34*(1-Retrofit_Rate)*(1-Sys_Repl_Rate!W34),System_Total_Mkt!W34*(1-Retrofit_Rate)*(1-Sys_Repl_Rate!W34)*Lamp_Repl_Rate!W35)),0)</f>
        <v>0</v>
      </c>
      <c r="Y34" s="199">
        <f>IF(Tech_Specs!$K34="lamp+ballast",IF(Sys_Repl_Rate!X34&gt;=1,0,IF(Lamp_Repl_Rate!X35&gt;=1,System_Total_Mkt!X34*(1-Retrofit_Rate)*(1-Sys_Repl_Rate!X34),System_Total_Mkt!X34*(1-Retrofit_Rate)*(1-Sys_Repl_Rate!X34)*Lamp_Repl_Rate!X35)),0)</f>
        <v>0</v>
      </c>
      <c r="Z34" s="199">
        <f>IF(Tech_Specs!$K34="lamp+ballast",IF(Sys_Repl_Rate!Y34&gt;=1,0,IF(Lamp_Repl_Rate!Y35&gt;=1,System_Total_Mkt!Y34*(1-Retrofit_Rate)*(1-Sys_Repl_Rate!Y34),System_Total_Mkt!Y34*(1-Retrofit_Rate)*(1-Sys_Repl_Rate!Y34)*Lamp_Repl_Rate!Y35)),0)</f>
        <v>0</v>
      </c>
      <c r="AA34" s="199">
        <f>IF(Tech_Specs!$K34="lamp+ballast",IF(Sys_Repl_Rate!Z34&gt;=1,0,IF(Lamp_Repl_Rate!Z35&gt;=1,System_Total_Mkt!Z34*(1-Retrofit_Rate)*(1-Sys_Repl_Rate!Z34),System_Total_Mkt!Z34*(1-Retrofit_Rate)*(1-Sys_Repl_Rate!Z34)*Lamp_Repl_Rate!Z35)),0)</f>
        <v>0</v>
      </c>
      <c r="AB34" s="199">
        <f>IF(Tech_Specs!$K34="lamp+ballast",IF(Sys_Repl_Rate!AA34&gt;=1,0,IF(Lamp_Repl_Rate!AA35&gt;=1,System_Total_Mkt!AA34*(1-Retrofit_Rate)*(1-Sys_Repl_Rate!AA34),System_Total_Mkt!AA34*(1-Retrofit_Rate)*(1-Sys_Repl_Rate!AA34)*Lamp_Repl_Rate!AA35)),0)</f>
        <v>0</v>
      </c>
      <c r="AC34" s="199">
        <f>IF(Tech_Specs!$K34="lamp+ballast",IF(Sys_Repl_Rate!AB34&gt;=1,0,IF(Lamp_Repl_Rate!AB35&gt;=1,System_Total_Mkt!AB34*(1-Retrofit_Rate)*(1-Sys_Repl_Rate!AB34),System_Total_Mkt!AB34*(1-Retrofit_Rate)*(1-Sys_Repl_Rate!AB34)*Lamp_Repl_Rate!AB35)),0)</f>
        <v>0</v>
      </c>
      <c r="AD34" s="199">
        <f>IF(Tech_Specs!$K34="lamp+ballast",IF(Sys_Repl_Rate!AC34&gt;=1,0,IF(Lamp_Repl_Rate!AC35&gt;=1,System_Total_Mkt!AC34*(1-Retrofit_Rate)*(1-Sys_Repl_Rate!AC34),System_Total_Mkt!AC34*(1-Retrofit_Rate)*(1-Sys_Repl_Rate!AC34)*Lamp_Repl_Rate!AC35)),0)</f>
        <v>0</v>
      </c>
      <c r="AE34" s="199">
        <f>IF(Tech_Specs!$K34="lamp+ballast",IF(Sys_Repl_Rate!AD34&gt;=1,0,IF(Lamp_Repl_Rate!AD35&gt;=1,System_Total_Mkt!AD34*(1-Retrofit_Rate)*(1-Sys_Repl_Rate!AD34),System_Total_Mkt!AD34*(1-Retrofit_Rate)*(1-Sys_Repl_Rate!AD34)*Lamp_Repl_Rate!AD35)),0)</f>
        <v>0</v>
      </c>
      <c r="AF34" s="199">
        <f>IF(Tech_Specs!$K34="lamp+ballast",IF(Sys_Repl_Rate!AE34&gt;=1,0,IF(Lamp_Repl_Rate!AE35&gt;=1,System_Total_Mkt!AE34*(1-Retrofit_Rate)*(1-Sys_Repl_Rate!AE34),System_Total_Mkt!AE34*(1-Retrofit_Rate)*(1-Sys_Repl_Rate!AE34)*Lamp_Repl_Rate!AE35)),0)</f>
        <v>0</v>
      </c>
    </row>
    <row r="35" spans="1:57" s="221" customFormat="1" ht="14.45" x14ac:dyDescent="0.35">
      <c r="A35" s="252"/>
      <c r="B35" s="257" t="s">
        <v>50</v>
      </c>
      <c r="C35"/>
      <c r="D35"/>
      <c r="E35"/>
      <c r="F35"/>
      <c r="G35" s="201"/>
      <c r="H35" s="199">
        <f>IF(Tech_Specs!$K35="lamp+ballast",IF(Sys_Repl_Rate!G35&gt;=1,0,IF(Lamp_Repl_Rate!G36&gt;=1,System_Total_Mkt!G35*(1-Retrofit_Rate)*(1-Sys_Repl_Rate!G35),System_Total_Mkt!G35*(1-Retrofit_Rate)*(1-Sys_Repl_Rate!G35)*Lamp_Repl_Rate!G36)),0)</f>
        <v>0</v>
      </c>
      <c r="I35" s="199">
        <f>IF(Tech_Specs!$K35="lamp+ballast",IF(Sys_Repl_Rate!H35&gt;=1,0,IF(Lamp_Repl_Rate!H36&gt;=1,System_Total_Mkt!H35*(1-Retrofit_Rate)*(1-Sys_Repl_Rate!H35),System_Total_Mkt!H35*(1-Retrofit_Rate)*(1-Sys_Repl_Rate!H35)*Lamp_Repl_Rate!H36)),0)</f>
        <v>0</v>
      </c>
      <c r="J35" s="199">
        <f>IF(Tech_Specs!$K35="lamp+ballast",IF(Sys_Repl_Rate!I35&gt;=1,0,IF(Lamp_Repl_Rate!I36&gt;=1,System_Total_Mkt!I35*(1-Retrofit_Rate)*(1-Sys_Repl_Rate!I35),System_Total_Mkt!I35*(1-Retrofit_Rate)*(1-Sys_Repl_Rate!I35)*Lamp_Repl_Rate!I36)),0)</f>
        <v>0</v>
      </c>
      <c r="K35" s="199">
        <f>IF(Tech_Specs!$K35="lamp+ballast",IF(Sys_Repl_Rate!J35&gt;=1,0,IF(Lamp_Repl_Rate!J36&gt;=1,System_Total_Mkt!J35*(1-Retrofit_Rate)*(1-Sys_Repl_Rate!J35),System_Total_Mkt!J35*(1-Retrofit_Rate)*(1-Sys_Repl_Rate!J35)*Lamp_Repl_Rate!J36)),0)</f>
        <v>0</v>
      </c>
      <c r="L35" s="199">
        <f>IF(Tech_Specs!$K35="lamp+ballast",IF(Sys_Repl_Rate!K35&gt;=1,0,IF(Lamp_Repl_Rate!K36&gt;=1,System_Total_Mkt!K35*(1-Retrofit_Rate)*(1-Sys_Repl_Rate!K35),System_Total_Mkt!K35*(1-Retrofit_Rate)*(1-Sys_Repl_Rate!K35)*Lamp_Repl_Rate!K36)),0)</f>
        <v>0</v>
      </c>
      <c r="M35" s="199">
        <f>IF(Tech_Specs!$K35="lamp+ballast",IF(Sys_Repl_Rate!L35&gt;=1,0,IF(Lamp_Repl_Rate!L36&gt;=1,System_Total_Mkt!L35*(1-Retrofit_Rate)*(1-Sys_Repl_Rate!L35),System_Total_Mkt!L35*(1-Retrofit_Rate)*(1-Sys_Repl_Rate!L35)*Lamp_Repl_Rate!L36)),0)</f>
        <v>0</v>
      </c>
      <c r="N35" s="199">
        <f>IF(Tech_Specs!$K35="lamp+ballast",IF(Sys_Repl_Rate!M35&gt;=1,0,IF(Lamp_Repl_Rate!M36&gt;=1,System_Total_Mkt!M35*(1-Retrofit_Rate)*(1-Sys_Repl_Rate!M35),System_Total_Mkt!M35*(1-Retrofit_Rate)*(1-Sys_Repl_Rate!M35)*Lamp_Repl_Rate!M36)),0)</f>
        <v>0</v>
      </c>
      <c r="O35" s="199">
        <f>IF(Tech_Specs!$K35="lamp+ballast",IF(Sys_Repl_Rate!N35&gt;=1,0,IF(Lamp_Repl_Rate!N36&gt;=1,System_Total_Mkt!N35*(1-Retrofit_Rate)*(1-Sys_Repl_Rate!N35),System_Total_Mkt!N35*(1-Retrofit_Rate)*(1-Sys_Repl_Rate!N35)*Lamp_Repl_Rate!N36)),0)</f>
        <v>0</v>
      </c>
      <c r="P35" s="199">
        <f>IF(Tech_Specs!$K35="lamp+ballast",IF(Sys_Repl_Rate!O35&gt;=1,0,IF(Lamp_Repl_Rate!O36&gt;=1,System_Total_Mkt!O35*(1-Retrofit_Rate)*(1-Sys_Repl_Rate!O35),System_Total_Mkt!O35*(1-Retrofit_Rate)*(1-Sys_Repl_Rate!O35)*Lamp_Repl_Rate!O36)),0)</f>
        <v>0</v>
      </c>
      <c r="Q35" s="199">
        <f>IF(Tech_Specs!$K35="lamp+ballast",IF(Sys_Repl_Rate!P35&gt;=1,0,IF(Lamp_Repl_Rate!P36&gt;=1,System_Total_Mkt!P35*(1-Retrofit_Rate)*(1-Sys_Repl_Rate!P35),System_Total_Mkt!P35*(1-Retrofit_Rate)*(1-Sys_Repl_Rate!P35)*Lamp_Repl_Rate!P36)),0)</f>
        <v>0</v>
      </c>
      <c r="R35" s="199">
        <f>IF(Tech_Specs!$K35="lamp+ballast",IF(Sys_Repl_Rate!Q35&gt;=1,0,IF(Lamp_Repl_Rate!Q36&gt;=1,System_Total_Mkt!Q35*(1-Retrofit_Rate)*(1-Sys_Repl_Rate!Q35),System_Total_Mkt!Q35*(1-Retrofit_Rate)*(1-Sys_Repl_Rate!Q35)*Lamp_Repl_Rate!Q36)),0)</f>
        <v>0</v>
      </c>
      <c r="S35" s="199">
        <f>IF(Tech_Specs!$K35="lamp+ballast",IF(Sys_Repl_Rate!R35&gt;=1,0,IF(Lamp_Repl_Rate!R36&gt;=1,System_Total_Mkt!R35*(1-Retrofit_Rate)*(1-Sys_Repl_Rate!R35),System_Total_Mkt!R35*(1-Retrofit_Rate)*(1-Sys_Repl_Rate!R35)*Lamp_Repl_Rate!R36)),0)</f>
        <v>0</v>
      </c>
      <c r="T35" s="199">
        <f>IF(Tech_Specs!$K35="lamp+ballast",IF(Sys_Repl_Rate!S35&gt;=1,0,IF(Lamp_Repl_Rate!S36&gt;=1,System_Total_Mkt!S35*(1-Retrofit_Rate)*(1-Sys_Repl_Rate!S35),System_Total_Mkt!S35*(1-Retrofit_Rate)*(1-Sys_Repl_Rate!S35)*Lamp_Repl_Rate!S36)),0)</f>
        <v>0</v>
      </c>
      <c r="U35" s="199">
        <f>IF(Tech_Specs!$K35="lamp+ballast",IF(Sys_Repl_Rate!T35&gt;=1,0,IF(Lamp_Repl_Rate!T36&gt;=1,System_Total_Mkt!T35*(1-Retrofit_Rate)*(1-Sys_Repl_Rate!T35),System_Total_Mkt!T35*(1-Retrofit_Rate)*(1-Sys_Repl_Rate!T35)*Lamp_Repl_Rate!T36)),0)</f>
        <v>0</v>
      </c>
      <c r="V35" s="199">
        <f>IF(Tech_Specs!$K35="lamp+ballast",IF(Sys_Repl_Rate!U35&gt;=1,0,IF(Lamp_Repl_Rate!U36&gt;=1,System_Total_Mkt!U35*(1-Retrofit_Rate)*(1-Sys_Repl_Rate!U35),System_Total_Mkt!U35*(1-Retrofit_Rate)*(1-Sys_Repl_Rate!U35)*Lamp_Repl_Rate!U36)),0)</f>
        <v>0</v>
      </c>
      <c r="W35" s="199">
        <f>IF(Tech_Specs!$K35="lamp+ballast",IF(Sys_Repl_Rate!V35&gt;=1,0,IF(Lamp_Repl_Rate!V36&gt;=1,System_Total_Mkt!V35*(1-Retrofit_Rate)*(1-Sys_Repl_Rate!V35),System_Total_Mkt!V35*(1-Retrofit_Rate)*(1-Sys_Repl_Rate!V35)*Lamp_Repl_Rate!V36)),0)</f>
        <v>0</v>
      </c>
      <c r="X35" s="199">
        <f>IF(Tech_Specs!$K35="lamp+ballast",IF(Sys_Repl_Rate!W35&gt;=1,0,IF(Lamp_Repl_Rate!W36&gt;=1,System_Total_Mkt!W35*(1-Retrofit_Rate)*(1-Sys_Repl_Rate!W35),System_Total_Mkt!W35*(1-Retrofit_Rate)*(1-Sys_Repl_Rate!W35)*Lamp_Repl_Rate!W36)),0)</f>
        <v>0</v>
      </c>
      <c r="Y35" s="199">
        <f>IF(Tech_Specs!$K35="lamp+ballast",IF(Sys_Repl_Rate!X35&gt;=1,0,IF(Lamp_Repl_Rate!X36&gt;=1,System_Total_Mkt!X35*(1-Retrofit_Rate)*(1-Sys_Repl_Rate!X35),System_Total_Mkt!X35*(1-Retrofit_Rate)*(1-Sys_Repl_Rate!X35)*Lamp_Repl_Rate!X36)),0)</f>
        <v>0</v>
      </c>
      <c r="Z35" s="199">
        <f>IF(Tech_Specs!$K35="lamp+ballast",IF(Sys_Repl_Rate!Y35&gt;=1,0,IF(Lamp_Repl_Rate!Y36&gt;=1,System_Total_Mkt!Y35*(1-Retrofit_Rate)*(1-Sys_Repl_Rate!Y35),System_Total_Mkt!Y35*(1-Retrofit_Rate)*(1-Sys_Repl_Rate!Y35)*Lamp_Repl_Rate!Y36)),0)</f>
        <v>0</v>
      </c>
      <c r="AA35" s="199">
        <f>IF(Tech_Specs!$K35="lamp+ballast",IF(Sys_Repl_Rate!Z35&gt;=1,0,IF(Lamp_Repl_Rate!Z36&gt;=1,System_Total_Mkt!Z35*(1-Retrofit_Rate)*(1-Sys_Repl_Rate!Z35),System_Total_Mkt!Z35*(1-Retrofit_Rate)*(1-Sys_Repl_Rate!Z35)*Lamp_Repl_Rate!Z36)),0)</f>
        <v>0</v>
      </c>
      <c r="AB35" s="199">
        <f>IF(Tech_Specs!$K35="lamp+ballast",IF(Sys_Repl_Rate!AA35&gt;=1,0,IF(Lamp_Repl_Rate!AA36&gt;=1,System_Total_Mkt!AA35*(1-Retrofit_Rate)*(1-Sys_Repl_Rate!AA35),System_Total_Mkt!AA35*(1-Retrofit_Rate)*(1-Sys_Repl_Rate!AA35)*Lamp_Repl_Rate!AA36)),0)</f>
        <v>0</v>
      </c>
      <c r="AC35" s="199">
        <f>IF(Tech_Specs!$K35="lamp+ballast",IF(Sys_Repl_Rate!AB35&gt;=1,0,IF(Lamp_Repl_Rate!AB36&gt;=1,System_Total_Mkt!AB35*(1-Retrofit_Rate)*(1-Sys_Repl_Rate!AB35),System_Total_Mkt!AB35*(1-Retrofit_Rate)*(1-Sys_Repl_Rate!AB35)*Lamp_Repl_Rate!AB36)),0)</f>
        <v>0</v>
      </c>
      <c r="AD35" s="199">
        <f>IF(Tech_Specs!$K35="lamp+ballast",IF(Sys_Repl_Rate!AC35&gt;=1,0,IF(Lamp_Repl_Rate!AC36&gt;=1,System_Total_Mkt!AC35*(1-Retrofit_Rate)*(1-Sys_Repl_Rate!AC35),System_Total_Mkt!AC35*(1-Retrofit_Rate)*(1-Sys_Repl_Rate!AC35)*Lamp_Repl_Rate!AC36)),0)</f>
        <v>0</v>
      </c>
      <c r="AE35" s="199">
        <f>IF(Tech_Specs!$K35="lamp+ballast",IF(Sys_Repl_Rate!AD35&gt;=1,0,IF(Lamp_Repl_Rate!AD36&gt;=1,System_Total_Mkt!AD35*(1-Retrofit_Rate)*(1-Sys_Repl_Rate!AD35),System_Total_Mkt!AD35*(1-Retrofit_Rate)*(1-Sys_Repl_Rate!AD35)*Lamp_Repl_Rate!AD36)),0)</f>
        <v>0</v>
      </c>
      <c r="AF35" s="199">
        <f>IF(Tech_Specs!$K35="lamp+ballast",IF(Sys_Repl_Rate!AE35&gt;=1,0,IF(Lamp_Repl_Rate!AE36&gt;=1,System_Total_Mkt!AE35*(1-Retrofit_Rate)*(1-Sys_Repl_Rate!AE35),System_Total_Mkt!AE35*(1-Retrofit_Rate)*(1-Sys_Repl_Rate!AE35)*Lamp_Repl_Rate!AE36)),0)</f>
        <v>0</v>
      </c>
    </row>
    <row r="36" spans="1:57" s="221" customFormat="1" ht="14.45" x14ac:dyDescent="0.35">
      <c r="A36" s="252"/>
      <c r="B36" s="252" t="s">
        <v>51</v>
      </c>
      <c r="C36"/>
      <c r="D36"/>
      <c r="E36"/>
      <c r="F36"/>
      <c r="G36" s="201"/>
      <c r="H36" s="199">
        <f>IF(Tech_Specs!$K36="lamp+ballast",IF(Sys_Repl_Rate!G36&gt;=1,0,IF(Lamp_Repl_Rate!G37&gt;=1,System_Total_Mkt!G36*(1-Retrofit_Rate)*(1-Sys_Repl_Rate!G36),System_Total_Mkt!G36*(1-Retrofit_Rate)*(1-Sys_Repl_Rate!G36)*Lamp_Repl_Rate!G37)),0)</f>
        <v>0</v>
      </c>
      <c r="I36" s="199">
        <f>IF(Tech_Specs!$K36="lamp+ballast",IF(Sys_Repl_Rate!H36&gt;=1,0,IF(Lamp_Repl_Rate!H37&gt;=1,System_Total_Mkt!H36*(1-Retrofit_Rate)*(1-Sys_Repl_Rate!H36),System_Total_Mkt!H36*(1-Retrofit_Rate)*(1-Sys_Repl_Rate!H36)*Lamp_Repl_Rate!H37)),0)</f>
        <v>0</v>
      </c>
      <c r="J36" s="199">
        <f>IF(Tech_Specs!$K36="lamp+ballast",IF(Sys_Repl_Rate!I36&gt;=1,0,IF(Lamp_Repl_Rate!I37&gt;=1,System_Total_Mkt!I36*(1-Retrofit_Rate)*(1-Sys_Repl_Rate!I36),System_Total_Mkt!I36*(1-Retrofit_Rate)*(1-Sys_Repl_Rate!I36)*Lamp_Repl_Rate!I37)),0)</f>
        <v>0</v>
      </c>
      <c r="K36" s="199">
        <f>IF(Tech_Specs!$K36="lamp+ballast",IF(Sys_Repl_Rate!J36&gt;=1,0,IF(Lamp_Repl_Rate!J37&gt;=1,System_Total_Mkt!J36*(1-Retrofit_Rate)*(1-Sys_Repl_Rate!J36),System_Total_Mkt!J36*(1-Retrofit_Rate)*(1-Sys_Repl_Rate!J36)*Lamp_Repl_Rate!J37)),0)</f>
        <v>0</v>
      </c>
      <c r="L36" s="199">
        <f>IF(Tech_Specs!$K36="lamp+ballast",IF(Sys_Repl_Rate!K36&gt;=1,0,IF(Lamp_Repl_Rate!K37&gt;=1,System_Total_Mkt!K36*(1-Retrofit_Rate)*(1-Sys_Repl_Rate!K36),System_Total_Mkt!K36*(1-Retrofit_Rate)*(1-Sys_Repl_Rate!K36)*Lamp_Repl_Rate!K37)),0)</f>
        <v>0</v>
      </c>
      <c r="M36" s="199">
        <f>IF(Tech_Specs!$K36="lamp+ballast",IF(Sys_Repl_Rate!L36&gt;=1,0,IF(Lamp_Repl_Rate!L37&gt;=1,System_Total_Mkt!L36*(1-Retrofit_Rate)*(1-Sys_Repl_Rate!L36),System_Total_Mkt!L36*(1-Retrofit_Rate)*(1-Sys_Repl_Rate!L36)*Lamp_Repl_Rate!L37)),0)</f>
        <v>0</v>
      </c>
      <c r="N36" s="199">
        <f>IF(Tech_Specs!$K36="lamp+ballast",IF(Sys_Repl_Rate!M36&gt;=1,0,IF(Lamp_Repl_Rate!M37&gt;=1,System_Total_Mkt!M36*(1-Retrofit_Rate)*(1-Sys_Repl_Rate!M36),System_Total_Mkt!M36*(1-Retrofit_Rate)*(1-Sys_Repl_Rate!M36)*Lamp_Repl_Rate!M37)),0)</f>
        <v>0</v>
      </c>
      <c r="O36" s="199">
        <f>IF(Tech_Specs!$K36="lamp+ballast",IF(Sys_Repl_Rate!N36&gt;=1,0,IF(Lamp_Repl_Rate!N37&gt;=1,System_Total_Mkt!N36*(1-Retrofit_Rate)*(1-Sys_Repl_Rate!N36),System_Total_Mkt!N36*(1-Retrofit_Rate)*(1-Sys_Repl_Rate!N36)*Lamp_Repl_Rate!N37)),0)</f>
        <v>0</v>
      </c>
      <c r="P36" s="199">
        <f>IF(Tech_Specs!$K36="lamp+ballast",IF(Sys_Repl_Rate!O36&gt;=1,0,IF(Lamp_Repl_Rate!O37&gt;=1,System_Total_Mkt!O36*(1-Retrofit_Rate)*(1-Sys_Repl_Rate!O36),System_Total_Mkt!O36*(1-Retrofit_Rate)*(1-Sys_Repl_Rate!O36)*Lamp_Repl_Rate!O37)),0)</f>
        <v>0</v>
      </c>
      <c r="Q36" s="199">
        <f>IF(Tech_Specs!$K36="lamp+ballast",IF(Sys_Repl_Rate!P36&gt;=1,0,IF(Lamp_Repl_Rate!P37&gt;=1,System_Total_Mkt!P36*(1-Retrofit_Rate)*(1-Sys_Repl_Rate!P36),System_Total_Mkt!P36*(1-Retrofit_Rate)*(1-Sys_Repl_Rate!P36)*Lamp_Repl_Rate!P37)),0)</f>
        <v>0</v>
      </c>
      <c r="R36" s="199">
        <f>IF(Tech_Specs!$K36="lamp+ballast",IF(Sys_Repl_Rate!Q36&gt;=1,0,IF(Lamp_Repl_Rate!Q37&gt;=1,System_Total_Mkt!Q36*(1-Retrofit_Rate)*(1-Sys_Repl_Rate!Q36),System_Total_Mkt!Q36*(1-Retrofit_Rate)*(1-Sys_Repl_Rate!Q36)*Lamp_Repl_Rate!Q37)),0)</f>
        <v>0</v>
      </c>
      <c r="S36" s="199">
        <f>IF(Tech_Specs!$K36="lamp+ballast",IF(Sys_Repl_Rate!R36&gt;=1,0,IF(Lamp_Repl_Rate!R37&gt;=1,System_Total_Mkt!R36*(1-Retrofit_Rate)*(1-Sys_Repl_Rate!R36),System_Total_Mkt!R36*(1-Retrofit_Rate)*(1-Sys_Repl_Rate!R36)*Lamp_Repl_Rate!R37)),0)</f>
        <v>0</v>
      </c>
      <c r="T36" s="199">
        <f>IF(Tech_Specs!$K36="lamp+ballast",IF(Sys_Repl_Rate!S36&gt;=1,0,IF(Lamp_Repl_Rate!S37&gt;=1,System_Total_Mkt!S36*(1-Retrofit_Rate)*(1-Sys_Repl_Rate!S36),System_Total_Mkt!S36*(1-Retrofit_Rate)*(1-Sys_Repl_Rate!S36)*Lamp_Repl_Rate!S37)),0)</f>
        <v>0</v>
      </c>
      <c r="U36" s="199">
        <f>IF(Tech_Specs!$K36="lamp+ballast",IF(Sys_Repl_Rate!T36&gt;=1,0,IF(Lamp_Repl_Rate!T37&gt;=1,System_Total_Mkt!T36*(1-Retrofit_Rate)*(1-Sys_Repl_Rate!T36),System_Total_Mkt!T36*(1-Retrofit_Rate)*(1-Sys_Repl_Rate!T36)*Lamp_Repl_Rate!T37)),0)</f>
        <v>0</v>
      </c>
      <c r="V36" s="199">
        <f>IF(Tech_Specs!$K36="lamp+ballast",IF(Sys_Repl_Rate!U36&gt;=1,0,IF(Lamp_Repl_Rate!U37&gt;=1,System_Total_Mkt!U36*(1-Retrofit_Rate)*(1-Sys_Repl_Rate!U36),System_Total_Mkt!U36*(1-Retrofit_Rate)*(1-Sys_Repl_Rate!U36)*Lamp_Repl_Rate!U37)),0)</f>
        <v>0</v>
      </c>
      <c r="W36" s="199">
        <f>IF(Tech_Specs!$K36="lamp+ballast",IF(Sys_Repl_Rate!V36&gt;=1,0,IF(Lamp_Repl_Rate!V37&gt;=1,System_Total_Mkt!V36*(1-Retrofit_Rate)*(1-Sys_Repl_Rate!V36),System_Total_Mkt!V36*(1-Retrofit_Rate)*(1-Sys_Repl_Rate!V36)*Lamp_Repl_Rate!V37)),0)</f>
        <v>0</v>
      </c>
      <c r="X36" s="199">
        <f>IF(Tech_Specs!$K36="lamp+ballast",IF(Sys_Repl_Rate!W36&gt;=1,0,IF(Lamp_Repl_Rate!W37&gt;=1,System_Total_Mkt!W36*(1-Retrofit_Rate)*(1-Sys_Repl_Rate!W36),System_Total_Mkt!W36*(1-Retrofit_Rate)*(1-Sys_Repl_Rate!W36)*Lamp_Repl_Rate!W37)),0)</f>
        <v>0</v>
      </c>
      <c r="Y36" s="199">
        <f>IF(Tech_Specs!$K36="lamp+ballast",IF(Sys_Repl_Rate!X36&gt;=1,0,IF(Lamp_Repl_Rate!X37&gt;=1,System_Total_Mkt!X36*(1-Retrofit_Rate)*(1-Sys_Repl_Rate!X36),System_Total_Mkt!X36*(1-Retrofit_Rate)*(1-Sys_Repl_Rate!X36)*Lamp_Repl_Rate!X37)),0)</f>
        <v>0</v>
      </c>
      <c r="Z36" s="199">
        <f>IF(Tech_Specs!$K36="lamp+ballast",IF(Sys_Repl_Rate!Y36&gt;=1,0,IF(Lamp_Repl_Rate!Y37&gt;=1,System_Total_Mkt!Y36*(1-Retrofit_Rate)*(1-Sys_Repl_Rate!Y36),System_Total_Mkt!Y36*(1-Retrofit_Rate)*(1-Sys_Repl_Rate!Y36)*Lamp_Repl_Rate!Y37)),0)</f>
        <v>0</v>
      </c>
      <c r="AA36" s="199">
        <f>IF(Tech_Specs!$K36="lamp+ballast",IF(Sys_Repl_Rate!Z36&gt;=1,0,IF(Lamp_Repl_Rate!Z37&gt;=1,System_Total_Mkt!Z36*(1-Retrofit_Rate)*(1-Sys_Repl_Rate!Z36),System_Total_Mkt!Z36*(1-Retrofit_Rate)*(1-Sys_Repl_Rate!Z36)*Lamp_Repl_Rate!Z37)),0)</f>
        <v>0</v>
      </c>
      <c r="AB36" s="199">
        <f>IF(Tech_Specs!$K36="lamp+ballast",IF(Sys_Repl_Rate!AA36&gt;=1,0,IF(Lamp_Repl_Rate!AA37&gt;=1,System_Total_Mkt!AA36*(1-Retrofit_Rate)*(1-Sys_Repl_Rate!AA36),System_Total_Mkt!AA36*(1-Retrofit_Rate)*(1-Sys_Repl_Rate!AA36)*Lamp_Repl_Rate!AA37)),0)</f>
        <v>0</v>
      </c>
      <c r="AC36" s="199">
        <f>IF(Tech_Specs!$K36="lamp+ballast",IF(Sys_Repl_Rate!AB36&gt;=1,0,IF(Lamp_Repl_Rate!AB37&gt;=1,System_Total_Mkt!AB36*(1-Retrofit_Rate)*(1-Sys_Repl_Rate!AB36),System_Total_Mkt!AB36*(1-Retrofit_Rate)*(1-Sys_Repl_Rate!AB36)*Lamp_Repl_Rate!AB37)),0)</f>
        <v>0</v>
      </c>
      <c r="AD36" s="199">
        <f>IF(Tech_Specs!$K36="lamp+ballast",IF(Sys_Repl_Rate!AC36&gt;=1,0,IF(Lamp_Repl_Rate!AC37&gt;=1,System_Total_Mkt!AC36*(1-Retrofit_Rate)*(1-Sys_Repl_Rate!AC36),System_Total_Mkt!AC36*(1-Retrofit_Rate)*(1-Sys_Repl_Rate!AC36)*Lamp_Repl_Rate!AC37)),0)</f>
        <v>0</v>
      </c>
      <c r="AE36" s="199">
        <f>IF(Tech_Specs!$K36="lamp+ballast",IF(Sys_Repl_Rate!AD36&gt;=1,0,IF(Lamp_Repl_Rate!AD37&gt;=1,System_Total_Mkt!AD36*(1-Retrofit_Rate)*(1-Sys_Repl_Rate!AD36),System_Total_Mkt!AD36*(1-Retrofit_Rate)*(1-Sys_Repl_Rate!AD36)*Lamp_Repl_Rate!AD37)),0)</f>
        <v>0</v>
      </c>
      <c r="AF36" s="199">
        <f>IF(Tech_Specs!$K36="lamp+ballast",IF(Sys_Repl_Rate!AE36&gt;=1,0,IF(Lamp_Repl_Rate!AE37&gt;=1,System_Total_Mkt!AE36*(1-Retrofit_Rate)*(1-Sys_Repl_Rate!AE36),System_Total_Mkt!AE36*(1-Retrofit_Rate)*(1-Sys_Repl_Rate!AE36)*Lamp_Repl_Rate!AE37)),0)</f>
        <v>0</v>
      </c>
    </row>
    <row r="37" spans="1:57" s="221" customFormat="1" ht="14.45" x14ac:dyDescent="0.35">
      <c r="A37" s="252"/>
      <c r="B37" s="252" t="s">
        <v>52</v>
      </c>
      <c r="C37"/>
      <c r="D37"/>
      <c r="E37"/>
      <c r="F37"/>
      <c r="G37" s="201"/>
      <c r="H37" s="199">
        <f>IF(Tech_Specs!$K37="lamp+ballast",IF(Sys_Repl_Rate!G37&gt;=1,0,IF(Lamp_Repl_Rate!G38&gt;=1,System_Total_Mkt!G37*(1-Retrofit_Rate)*(1-Sys_Repl_Rate!G37),System_Total_Mkt!G37*(1-Retrofit_Rate)*(1-Sys_Repl_Rate!G37)*Lamp_Repl_Rate!G38)),0)</f>
        <v>0.1171684754693597</v>
      </c>
      <c r="I37" s="199">
        <f>IF(Tech_Specs!$K37="lamp+ballast",IF(Sys_Repl_Rate!H37&gt;=1,0,IF(Lamp_Repl_Rate!H38&gt;=1,System_Total_Mkt!H37*(1-Retrofit_Rate)*(1-Sys_Repl_Rate!H37),System_Total_Mkt!H37*(1-Retrofit_Rate)*(1-Sys_Repl_Rate!H37)*Lamp_Repl_Rate!H38)),0)</f>
        <v>0.11913676789061814</v>
      </c>
      <c r="J37" s="199">
        <f>IF(Tech_Specs!$K37="lamp+ballast",IF(Sys_Repl_Rate!I37&gt;=1,0,IF(Lamp_Repl_Rate!I38&gt;=1,System_Total_Mkt!I37*(1-Retrofit_Rate)*(1-Sys_Repl_Rate!I37),System_Total_Mkt!I37*(1-Retrofit_Rate)*(1-Sys_Repl_Rate!I37)*Lamp_Repl_Rate!I38)),0)</f>
        <v>0.12014120303919547</v>
      </c>
      <c r="K37" s="199">
        <f>IF(Tech_Specs!$K37="lamp+ballast",IF(Sys_Repl_Rate!J37&gt;=1,0,IF(Lamp_Repl_Rate!J38&gt;=1,System_Total_Mkt!J37*(1-Retrofit_Rate)*(1-Sys_Repl_Rate!J37),System_Total_Mkt!J37*(1-Retrofit_Rate)*(1-Sys_Repl_Rate!J37)*Lamp_Repl_Rate!J38)),0)</f>
        <v>0.11984206758023973</v>
      </c>
      <c r="L37" s="199">
        <f>IF(Tech_Specs!$K37="lamp+ballast",IF(Sys_Repl_Rate!K37&gt;=1,0,IF(Lamp_Repl_Rate!K38&gt;=1,System_Total_Mkt!K37*(1-Retrofit_Rate)*(1-Sys_Repl_Rate!K37),System_Total_Mkt!K37*(1-Retrofit_Rate)*(1-Sys_Repl_Rate!K37)*Lamp_Repl_Rate!K38)),0)</f>
        <v>0.11814370086458191</v>
      </c>
      <c r="M37" s="199">
        <f>IF(Tech_Specs!$K37="lamp+ballast",IF(Sys_Repl_Rate!L37&gt;=1,0,IF(Lamp_Repl_Rate!L38&gt;=1,System_Total_Mkt!L37*(1-Retrofit_Rate)*(1-Sys_Repl_Rate!L37),System_Total_Mkt!L37*(1-Retrofit_Rate)*(1-Sys_Repl_Rate!L37)*Lamp_Repl_Rate!L38)),0)</f>
        <v>0.11531131663349729</v>
      </c>
      <c r="N37" s="199">
        <f>IF(Tech_Specs!$K37="lamp+ballast",IF(Sys_Repl_Rate!M37&gt;=1,0,IF(Lamp_Repl_Rate!M38&gt;=1,System_Total_Mkt!M37*(1-Retrofit_Rate)*(1-Sys_Repl_Rate!M37),System_Total_Mkt!M37*(1-Retrofit_Rate)*(1-Sys_Repl_Rate!M37)*Lamp_Repl_Rate!M38)),0)</f>
        <v>0.11161825818659676</v>
      </c>
      <c r="O37" s="199">
        <f>IF(Tech_Specs!$K37="lamp+ballast",IF(Sys_Repl_Rate!N37&gt;=1,0,IF(Lamp_Repl_Rate!N38&gt;=1,System_Total_Mkt!N37*(1-Retrofit_Rate)*(1-Sys_Repl_Rate!N37),System_Total_Mkt!N37*(1-Retrofit_Rate)*(1-Sys_Repl_Rate!N37)*Lamp_Repl_Rate!N38)),0)</f>
        <v>0.10736263546584544</v>
      </c>
      <c r="P37" s="199">
        <f>IF(Tech_Specs!$K37="lamp+ballast",IF(Sys_Repl_Rate!O37&gt;=1,0,IF(Lamp_Repl_Rate!O38&gt;=1,System_Total_Mkt!O37*(1-Retrofit_Rate)*(1-Sys_Repl_Rate!O37),System_Total_Mkt!O37*(1-Retrofit_Rate)*(1-Sys_Repl_Rate!O37)*Lamp_Repl_Rate!O38)),0)</f>
        <v>0.10279632583933224</v>
      </c>
      <c r="Q37" s="199">
        <f>IF(Tech_Specs!$K37="lamp+ballast",IF(Sys_Repl_Rate!P37&gt;=1,0,IF(Lamp_Repl_Rate!P38&gt;=1,System_Total_Mkt!P37*(1-Retrofit_Rate)*(1-Sys_Repl_Rate!P37),System_Total_Mkt!P37*(1-Retrofit_Rate)*(1-Sys_Repl_Rate!P37)*Lamp_Repl_Rate!P38)),0)</f>
        <v>9.8104481263321067E-2</v>
      </c>
      <c r="R37" s="199">
        <f>IF(Tech_Specs!$K37="lamp+ballast",IF(Sys_Repl_Rate!Q37&gt;=1,0,IF(Lamp_Repl_Rate!Q38&gt;=1,System_Total_Mkt!Q37*(1-Retrofit_Rate)*(1-Sys_Repl_Rate!Q37),System_Total_Mkt!Q37*(1-Retrofit_Rate)*(1-Sys_Repl_Rate!Q37)*Lamp_Repl_Rate!Q38)),0)</f>
        <v>9.3403006224564031E-2</v>
      </c>
      <c r="S37" s="199">
        <f>IF(Tech_Specs!$K37="lamp+ballast",IF(Sys_Repl_Rate!R37&gt;=1,0,IF(Lamp_Repl_Rate!R38&gt;=1,System_Total_Mkt!R37*(1-Retrofit_Rate)*(1-Sys_Repl_Rate!R37),System_Total_Mkt!R37*(1-Retrofit_Rate)*(1-Sys_Repl_Rate!R37)*Lamp_Repl_Rate!R38)),0)</f>
        <v>8.8768874134758077E-2</v>
      </c>
      <c r="T37" s="199">
        <f>IF(Tech_Specs!$K37="lamp+ballast",IF(Sys_Repl_Rate!S37&gt;=1,0,IF(Lamp_Repl_Rate!S38&gt;=1,System_Total_Mkt!S37*(1-Retrofit_Rate)*(1-Sys_Repl_Rate!S37),System_Total_Mkt!S37*(1-Retrofit_Rate)*(1-Sys_Repl_Rate!S37)*Lamp_Repl_Rate!S38)),0)</f>
        <v>8.4258573869442868E-2</v>
      </c>
      <c r="U37" s="199">
        <f>IF(Tech_Specs!$K37="lamp+ballast",IF(Sys_Repl_Rate!T37&gt;=1,0,IF(Lamp_Repl_Rate!T38&gt;=1,System_Total_Mkt!T37*(1-Retrofit_Rate)*(1-Sys_Repl_Rate!T37),System_Total_Mkt!T37*(1-Retrofit_Rate)*(1-Sys_Repl_Rate!T37)*Lamp_Repl_Rate!T38)),0)</f>
        <v>7.9902711382902364E-2</v>
      </c>
      <c r="V37" s="199">
        <f>IF(Tech_Specs!$K37="lamp+ballast",IF(Sys_Repl_Rate!U37&gt;=1,0,IF(Lamp_Repl_Rate!U38&gt;=1,System_Total_Mkt!U37*(1-Retrofit_Rate)*(1-Sys_Repl_Rate!U37),System_Total_Mkt!U37*(1-Retrofit_Rate)*(1-Sys_Repl_Rate!U37)*Lamp_Repl_Rate!U38)),0)</f>
        <v>7.5718858809654649E-2</v>
      </c>
      <c r="W37" s="199">
        <f>IF(Tech_Specs!$K37="lamp+ballast",IF(Sys_Repl_Rate!V37&gt;=1,0,IF(Lamp_Repl_Rate!V38&gt;=1,System_Total_Mkt!V37*(1-Retrofit_Rate)*(1-Sys_Repl_Rate!V37),System_Total_Mkt!V37*(1-Retrofit_Rate)*(1-Sys_Repl_Rate!V37)*Lamp_Repl_Rate!V38)),0)</f>
        <v>7.1718999706889858E-2</v>
      </c>
      <c r="X37" s="199">
        <f>IF(Tech_Specs!$K37="lamp+ballast",IF(Sys_Repl_Rate!W37&gt;=1,0,IF(Lamp_Repl_Rate!W38&gt;=1,System_Total_Mkt!W37*(1-Retrofit_Rate)*(1-Sys_Repl_Rate!W37),System_Total_Mkt!W37*(1-Retrofit_Rate)*(1-Sys_Repl_Rate!W37)*Lamp_Repl_Rate!W38)),0)</f>
        <v>6.7904646529192855E-2</v>
      </c>
      <c r="Y37" s="199">
        <f>IF(Tech_Specs!$K37="lamp+ballast",IF(Sys_Repl_Rate!X37&gt;=1,0,IF(Lamp_Repl_Rate!X38&gt;=1,System_Total_Mkt!X37*(1-Retrofit_Rate)*(1-Sys_Repl_Rate!X37),System_Total_Mkt!X37*(1-Retrofit_Rate)*(1-Sys_Repl_Rate!X37)*Lamp_Repl_Rate!X38)),0)</f>
        <v>6.4273852430133963E-2</v>
      </c>
      <c r="Z37" s="199">
        <f>IF(Tech_Specs!$K37="lamp+ballast",IF(Sys_Repl_Rate!Y37&gt;=1,0,IF(Lamp_Repl_Rate!Y38&gt;=1,System_Total_Mkt!Y37*(1-Retrofit_Rate)*(1-Sys_Repl_Rate!Y37),System_Total_Mkt!Y37*(1-Retrofit_Rate)*(1-Sys_Repl_Rate!Y37)*Lamp_Repl_Rate!Y38)),0)</f>
        <v>6.0822605297159923E-2</v>
      </c>
      <c r="AA37" s="199">
        <f>IF(Tech_Specs!$K37="lamp+ballast",IF(Sys_Repl_Rate!Z37&gt;=1,0,IF(Lamp_Repl_Rate!Z38&gt;=1,System_Total_Mkt!Z37*(1-Retrofit_Rate)*(1-Sys_Repl_Rate!Z37),System_Total_Mkt!Z37*(1-Retrofit_Rate)*(1-Sys_Repl_Rate!Z37)*Lamp_Repl_Rate!Z38)),0)</f>
        <v>5.7546945792991251E-2</v>
      </c>
      <c r="AB37" s="199">
        <f>IF(Tech_Specs!$K37="lamp+ballast",IF(Sys_Repl_Rate!AA37&gt;=1,0,IF(Lamp_Repl_Rate!AA38&gt;=1,System_Total_Mkt!AA37*(1-Retrofit_Rate)*(1-Sys_Repl_Rate!AA37),System_Total_Mkt!AA37*(1-Retrofit_Rate)*(1-Sys_Repl_Rate!AA37)*Lamp_Repl_Rate!AA38)),0)</f>
        <v>5.444191630087105E-2</v>
      </c>
      <c r="AC37" s="199">
        <f>IF(Tech_Specs!$K37="lamp+ballast",IF(Sys_Repl_Rate!AB37&gt;=1,0,IF(Lamp_Repl_Rate!AB38&gt;=1,System_Total_Mkt!AB37*(1-Retrofit_Rate)*(1-Sys_Repl_Rate!AB37),System_Total_Mkt!AB37*(1-Retrofit_Rate)*(1-Sys_Repl_Rate!AB37)*Lamp_Repl_Rate!AB38)),0)</f>
        <v>5.1500988532920407E-2</v>
      </c>
      <c r="AD37" s="199">
        <f>IF(Tech_Specs!$K37="lamp+ballast",IF(Sys_Repl_Rate!AC37&gt;=1,0,IF(Lamp_Repl_Rate!AC38&gt;=1,System_Total_Mkt!AC37*(1-Retrofit_Rate)*(1-Sys_Repl_Rate!AC37),System_Total_Mkt!AC37*(1-Retrofit_Rate)*(1-Sys_Repl_Rate!AC37)*Lamp_Repl_Rate!AC38)),0)</f>
        <v>4.8715021358975923E-2</v>
      </c>
      <c r="AE37" s="199">
        <f>IF(Tech_Specs!$K37="lamp+ballast",IF(Sys_Repl_Rate!AD37&gt;=1,0,IF(Lamp_Repl_Rate!AD38&gt;=1,System_Total_Mkt!AD37*(1-Retrofit_Rate)*(1-Sys_Repl_Rate!AD37),System_Total_Mkt!AD37*(1-Retrofit_Rate)*(1-Sys_Repl_Rate!AD37)*Lamp_Repl_Rate!AD38)),0)</f>
        <v>4.6076633229231938E-2</v>
      </c>
      <c r="AF37" s="199">
        <f>IF(Tech_Specs!$K37="lamp+ballast",IF(Sys_Repl_Rate!AE37&gt;=1,0,IF(Lamp_Repl_Rate!AE38&gt;=1,System_Total_Mkt!AE37*(1-Retrofit_Rate)*(1-Sys_Repl_Rate!AE37),System_Total_Mkt!AE37*(1-Retrofit_Rate)*(1-Sys_Repl_Rate!AE37)*Lamp_Repl_Rate!AE38)),0)</f>
        <v>4.3578377390914885E-2</v>
      </c>
    </row>
    <row r="38" spans="1:57" s="221" customFormat="1" x14ac:dyDescent="0.25">
      <c r="A38" s="252"/>
      <c r="B38" s="257" t="s">
        <v>29</v>
      </c>
      <c r="C38"/>
      <c r="D38"/>
      <c r="E38"/>
      <c r="F38"/>
      <c r="G38"/>
      <c r="H38" s="199">
        <f>IF(Tech_Specs!$K38="lamp+ballast",IF(Sys_Repl_Rate!G38&gt;=1,0,IF(Lamp_Repl_Rate!G39&gt;=1,System_Total_Mkt!G38*(1-Retrofit_Rate)*(1-Sys_Repl_Rate!G38),System_Total_Mkt!G38*(1-Retrofit_Rate)*(1-Sys_Repl_Rate!G38)*Lamp_Repl_Rate!G39)),0)</f>
        <v>0</v>
      </c>
      <c r="I38" s="199">
        <f>IF(Tech_Specs!$K38="lamp+ballast",IF(Sys_Repl_Rate!H38&gt;=1,0,IF(Lamp_Repl_Rate!H39&gt;=1,System_Total_Mkt!H38*(1-Retrofit_Rate)*(1-Sys_Repl_Rate!H38),System_Total_Mkt!H38*(1-Retrofit_Rate)*(1-Sys_Repl_Rate!H38)*Lamp_Repl_Rate!H39)),0)</f>
        <v>0</v>
      </c>
      <c r="J38" s="199">
        <f>IF(Tech_Specs!$K38="lamp+ballast",IF(Sys_Repl_Rate!I38&gt;=1,0,IF(Lamp_Repl_Rate!I39&gt;=1,System_Total_Mkt!I38*(1-Retrofit_Rate)*(1-Sys_Repl_Rate!I38),System_Total_Mkt!I38*(1-Retrofit_Rate)*(1-Sys_Repl_Rate!I38)*Lamp_Repl_Rate!I39)),0)</f>
        <v>0</v>
      </c>
      <c r="K38" s="199">
        <f>IF(Tech_Specs!$K38="lamp+ballast",IF(Sys_Repl_Rate!J38&gt;=1,0,IF(Lamp_Repl_Rate!J39&gt;=1,System_Total_Mkt!J38*(1-Retrofit_Rate)*(1-Sys_Repl_Rate!J38),System_Total_Mkt!J38*(1-Retrofit_Rate)*(1-Sys_Repl_Rate!J38)*Lamp_Repl_Rate!J39)),0)</f>
        <v>0</v>
      </c>
      <c r="L38" s="199">
        <f>IF(Tech_Specs!$K38="lamp+ballast",IF(Sys_Repl_Rate!K38&gt;=1,0,IF(Lamp_Repl_Rate!K39&gt;=1,System_Total_Mkt!K38*(1-Retrofit_Rate)*(1-Sys_Repl_Rate!K38),System_Total_Mkt!K38*(1-Retrofit_Rate)*(1-Sys_Repl_Rate!K38)*Lamp_Repl_Rate!K39)),0)</f>
        <v>0</v>
      </c>
      <c r="M38" s="199">
        <f>IF(Tech_Specs!$K38="lamp+ballast",IF(Sys_Repl_Rate!L38&gt;=1,0,IF(Lamp_Repl_Rate!L39&gt;=1,System_Total_Mkt!L38*(1-Retrofit_Rate)*(1-Sys_Repl_Rate!L38),System_Total_Mkt!L38*(1-Retrofit_Rate)*(1-Sys_Repl_Rate!L38)*Lamp_Repl_Rate!L39)),0)</f>
        <v>0</v>
      </c>
      <c r="N38" s="199">
        <f>IF(Tech_Specs!$K38="lamp+ballast",IF(Sys_Repl_Rate!M38&gt;=1,0,IF(Lamp_Repl_Rate!M39&gt;=1,System_Total_Mkt!M38*(1-Retrofit_Rate)*(1-Sys_Repl_Rate!M38),System_Total_Mkt!M38*(1-Retrofit_Rate)*(1-Sys_Repl_Rate!M38)*Lamp_Repl_Rate!M39)),0)</f>
        <v>0</v>
      </c>
      <c r="O38" s="199">
        <f>IF(Tech_Specs!$K38="lamp+ballast",IF(Sys_Repl_Rate!N38&gt;=1,0,IF(Lamp_Repl_Rate!N39&gt;=1,System_Total_Mkt!N38*(1-Retrofit_Rate)*(1-Sys_Repl_Rate!N38),System_Total_Mkt!N38*(1-Retrofit_Rate)*(1-Sys_Repl_Rate!N38)*Lamp_Repl_Rate!N39)),0)</f>
        <v>0</v>
      </c>
      <c r="P38" s="199">
        <f>IF(Tech_Specs!$K38="lamp+ballast",IF(Sys_Repl_Rate!O38&gt;=1,0,IF(Lamp_Repl_Rate!O39&gt;=1,System_Total_Mkt!O38*(1-Retrofit_Rate)*(1-Sys_Repl_Rate!O38),System_Total_Mkt!O38*(1-Retrofit_Rate)*(1-Sys_Repl_Rate!O38)*Lamp_Repl_Rate!O39)),0)</f>
        <v>0</v>
      </c>
      <c r="Q38" s="199">
        <f>IF(Tech_Specs!$K38="lamp+ballast",IF(Sys_Repl_Rate!P38&gt;=1,0,IF(Lamp_Repl_Rate!P39&gt;=1,System_Total_Mkt!P38*(1-Retrofit_Rate)*(1-Sys_Repl_Rate!P38),System_Total_Mkt!P38*(1-Retrofit_Rate)*(1-Sys_Repl_Rate!P38)*Lamp_Repl_Rate!P39)),0)</f>
        <v>0</v>
      </c>
      <c r="R38" s="199">
        <f>IF(Tech_Specs!$K38="lamp+ballast",IF(Sys_Repl_Rate!Q38&gt;=1,0,IF(Lamp_Repl_Rate!Q39&gt;=1,System_Total_Mkt!Q38*(1-Retrofit_Rate)*(1-Sys_Repl_Rate!Q38),System_Total_Mkt!Q38*(1-Retrofit_Rate)*(1-Sys_Repl_Rate!Q38)*Lamp_Repl_Rate!Q39)),0)</f>
        <v>0</v>
      </c>
      <c r="S38" s="199">
        <f>IF(Tech_Specs!$K38="lamp+ballast",IF(Sys_Repl_Rate!R38&gt;=1,0,IF(Lamp_Repl_Rate!R39&gt;=1,System_Total_Mkt!R38*(1-Retrofit_Rate)*(1-Sys_Repl_Rate!R38),System_Total_Mkt!R38*(1-Retrofit_Rate)*(1-Sys_Repl_Rate!R38)*Lamp_Repl_Rate!R39)),0)</f>
        <v>0</v>
      </c>
      <c r="T38" s="199">
        <f>IF(Tech_Specs!$K38="lamp+ballast",IF(Sys_Repl_Rate!S38&gt;=1,0,IF(Lamp_Repl_Rate!S39&gt;=1,System_Total_Mkt!S38*(1-Retrofit_Rate)*(1-Sys_Repl_Rate!S38),System_Total_Mkt!S38*(1-Retrofit_Rate)*(1-Sys_Repl_Rate!S38)*Lamp_Repl_Rate!S39)),0)</f>
        <v>0</v>
      </c>
      <c r="U38" s="199">
        <f>IF(Tech_Specs!$K38="lamp+ballast",IF(Sys_Repl_Rate!T38&gt;=1,0,IF(Lamp_Repl_Rate!T39&gt;=1,System_Total_Mkt!T38*(1-Retrofit_Rate)*(1-Sys_Repl_Rate!T38),System_Total_Mkt!T38*(1-Retrofit_Rate)*(1-Sys_Repl_Rate!T38)*Lamp_Repl_Rate!T39)),0)</f>
        <v>0</v>
      </c>
      <c r="V38" s="199">
        <f>IF(Tech_Specs!$K38="lamp+ballast",IF(Sys_Repl_Rate!U38&gt;=1,0,IF(Lamp_Repl_Rate!U39&gt;=1,System_Total_Mkt!U38*(1-Retrofit_Rate)*(1-Sys_Repl_Rate!U38),System_Total_Mkt!U38*(1-Retrofit_Rate)*(1-Sys_Repl_Rate!U38)*Lamp_Repl_Rate!U39)),0)</f>
        <v>0</v>
      </c>
      <c r="W38" s="199">
        <f>IF(Tech_Specs!$K38="lamp+ballast",IF(Sys_Repl_Rate!V38&gt;=1,0,IF(Lamp_Repl_Rate!V39&gt;=1,System_Total_Mkt!V38*(1-Retrofit_Rate)*(1-Sys_Repl_Rate!V38),System_Total_Mkt!V38*(1-Retrofit_Rate)*(1-Sys_Repl_Rate!V38)*Lamp_Repl_Rate!V39)),0)</f>
        <v>0</v>
      </c>
      <c r="X38" s="199">
        <f>IF(Tech_Specs!$K38="lamp+ballast",IF(Sys_Repl_Rate!W38&gt;=1,0,IF(Lamp_Repl_Rate!W39&gt;=1,System_Total_Mkt!W38*(1-Retrofit_Rate)*(1-Sys_Repl_Rate!W38),System_Total_Mkt!W38*(1-Retrofit_Rate)*(1-Sys_Repl_Rate!W38)*Lamp_Repl_Rate!W39)),0)</f>
        <v>0</v>
      </c>
      <c r="Y38" s="199">
        <f>IF(Tech_Specs!$K38="lamp+ballast",IF(Sys_Repl_Rate!X38&gt;=1,0,IF(Lamp_Repl_Rate!X39&gt;=1,System_Total_Mkt!X38*(1-Retrofit_Rate)*(1-Sys_Repl_Rate!X38),System_Total_Mkt!X38*(1-Retrofit_Rate)*(1-Sys_Repl_Rate!X38)*Lamp_Repl_Rate!X39)),0)</f>
        <v>0</v>
      </c>
      <c r="Z38" s="199">
        <f>IF(Tech_Specs!$K38="lamp+ballast",IF(Sys_Repl_Rate!Y38&gt;=1,0,IF(Lamp_Repl_Rate!Y39&gt;=1,System_Total_Mkt!Y38*(1-Retrofit_Rate)*(1-Sys_Repl_Rate!Y38),System_Total_Mkt!Y38*(1-Retrofit_Rate)*(1-Sys_Repl_Rate!Y38)*Lamp_Repl_Rate!Y39)),0)</f>
        <v>0</v>
      </c>
      <c r="AA38" s="199">
        <f>IF(Tech_Specs!$K38="lamp+ballast",IF(Sys_Repl_Rate!Z38&gt;=1,0,IF(Lamp_Repl_Rate!Z39&gt;=1,System_Total_Mkt!Z38*(1-Retrofit_Rate)*(1-Sys_Repl_Rate!Z38),System_Total_Mkt!Z38*(1-Retrofit_Rate)*(1-Sys_Repl_Rate!Z38)*Lamp_Repl_Rate!Z39)),0)</f>
        <v>0</v>
      </c>
      <c r="AB38" s="199">
        <f>IF(Tech_Specs!$K38="lamp+ballast",IF(Sys_Repl_Rate!AA38&gt;=1,0,IF(Lamp_Repl_Rate!AA39&gt;=1,System_Total_Mkt!AA38*(1-Retrofit_Rate)*(1-Sys_Repl_Rate!AA38),System_Total_Mkt!AA38*(1-Retrofit_Rate)*(1-Sys_Repl_Rate!AA38)*Lamp_Repl_Rate!AA39)),0)</f>
        <v>0</v>
      </c>
      <c r="AC38" s="199">
        <f>IF(Tech_Specs!$K38="lamp+ballast",IF(Sys_Repl_Rate!AB38&gt;=1,0,IF(Lamp_Repl_Rate!AB39&gt;=1,System_Total_Mkt!AB38*(1-Retrofit_Rate)*(1-Sys_Repl_Rate!AB38),System_Total_Mkt!AB38*(1-Retrofit_Rate)*(1-Sys_Repl_Rate!AB38)*Lamp_Repl_Rate!AB39)),0)</f>
        <v>0</v>
      </c>
      <c r="AD38" s="199">
        <f>IF(Tech_Specs!$K38="lamp+ballast",IF(Sys_Repl_Rate!AC38&gt;=1,0,IF(Lamp_Repl_Rate!AC39&gt;=1,System_Total_Mkt!AC38*(1-Retrofit_Rate)*(1-Sys_Repl_Rate!AC38),System_Total_Mkt!AC38*(1-Retrofit_Rate)*(1-Sys_Repl_Rate!AC38)*Lamp_Repl_Rate!AC39)),0)</f>
        <v>0</v>
      </c>
      <c r="AE38" s="199">
        <f>IF(Tech_Specs!$K38="lamp+ballast",IF(Sys_Repl_Rate!AD38&gt;=1,0,IF(Lamp_Repl_Rate!AD39&gt;=1,System_Total_Mkt!AD38*(1-Retrofit_Rate)*(1-Sys_Repl_Rate!AD38),System_Total_Mkt!AD38*(1-Retrofit_Rate)*(1-Sys_Repl_Rate!AD38)*Lamp_Repl_Rate!AD39)),0)</f>
        <v>0</v>
      </c>
      <c r="AF38" s="199">
        <f>IF(Tech_Specs!$K38="lamp+ballast",IF(Sys_Repl_Rate!AE38&gt;=1,0,IF(Lamp_Repl_Rate!AE39&gt;=1,System_Total_Mkt!AE38*(1-Retrofit_Rate)*(1-Sys_Repl_Rate!AE38),System_Total_Mkt!AE38*(1-Retrofit_Rate)*(1-Sys_Repl_Rate!AE38)*Lamp_Repl_Rate!AE39)),0)</f>
        <v>0</v>
      </c>
    </row>
    <row r="39" spans="1:57" s="221" customFormat="1" x14ac:dyDescent="0.25">
      <c r="A39" s="252"/>
      <c r="B39" s="257" t="s">
        <v>53</v>
      </c>
      <c r="C39"/>
      <c r="D39"/>
      <c r="E39"/>
      <c r="F39"/>
      <c r="G39" s="201"/>
      <c r="H39" s="199">
        <f>IF(Tech_Specs!$K39="lamp+ballast",IF(Sys_Repl_Rate!G39&gt;=1,0,IF(Lamp_Repl_Rate!G40&gt;=1,System_Total_Mkt!G39*(1-Retrofit_Rate)*(1-Sys_Repl_Rate!G39),System_Total_Mkt!G39*(1-Retrofit_Rate)*(1-Sys_Repl_Rate!G39)*Lamp_Repl_Rate!G40)),0)</f>
        <v>2.0596962706327417E-3</v>
      </c>
      <c r="I39" s="199">
        <f>IF(Tech_Specs!$K39="lamp+ballast",IF(Sys_Repl_Rate!H39&gt;=1,0,IF(Lamp_Repl_Rate!H40&gt;=1,System_Total_Mkt!H39*(1-Retrofit_Rate)*(1-Sys_Repl_Rate!H39),System_Total_Mkt!H39*(1-Retrofit_Rate)*(1-Sys_Repl_Rate!H39)*Lamp_Repl_Rate!H40)),0)</f>
        <v>2.0989620010981747E-3</v>
      </c>
      <c r="J39" s="199">
        <f>IF(Tech_Specs!$K39="lamp+ballast",IF(Sys_Repl_Rate!I39&gt;=1,0,IF(Lamp_Repl_Rate!I40&gt;=1,System_Total_Mkt!I39*(1-Retrofit_Rate)*(1-Sys_Repl_Rate!I39),System_Total_Mkt!I39*(1-Retrofit_Rate)*(1-Sys_Repl_Rate!I39)*Lamp_Repl_Rate!I40)),0)</f>
        <v>2.1304065418155924E-3</v>
      </c>
      <c r="K39" s="199">
        <f>IF(Tech_Specs!$K39="lamp+ballast",IF(Sys_Repl_Rate!J39&gt;=1,0,IF(Lamp_Repl_Rate!J40&gt;=1,System_Total_Mkt!J39*(1-Retrofit_Rate)*(1-Sys_Repl_Rate!J39),System_Total_Mkt!J39*(1-Retrofit_Rate)*(1-Sys_Repl_Rate!J39)*Lamp_Repl_Rate!J40)),0)</f>
        <v>2.1500171536843358E-3</v>
      </c>
      <c r="L39" s="199">
        <f>IF(Tech_Specs!$K39="lamp+ballast",IF(Sys_Repl_Rate!K39&gt;=1,0,IF(Lamp_Repl_Rate!K40&gt;=1,System_Total_Mkt!K39*(1-Retrofit_Rate)*(1-Sys_Repl_Rate!K39),System_Total_Mkt!K39*(1-Retrofit_Rate)*(1-Sys_Repl_Rate!K39)*Lamp_Repl_Rate!K40)),0)</f>
        <v>2.1539735001565381E-3</v>
      </c>
      <c r="M39" s="199">
        <f>IF(Tech_Specs!$K39="lamp+ballast",IF(Sys_Repl_Rate!L39&gt;=1,0,IF(Lamp_Repl_Rate!L40&gt;=1,System_Total_Mkt!L39*(1-Retrofit_Rate)*(1-Sys_Repl_Rate!L39),System_Total_Mkt!L39*(1-Retrofit_Rate)*(1-Sys_Repl_Rate!L39)*Lamp_Repl_Rate!L40)),0)</f>
        <v>2.1427833445249391E-3</v>
      </c>
      <c r="N39" s="199">
        <f>IF(Tech_Specs!$K39="lamp+ballast",IF(Sys_Repl_Rate!M39&gt;=1,0,IF(Lamp_Repl_Rate!M40&gt;=1,System_Total_Mkt!M39*(1-Retrofit_Rate)*(1-Sys_Repl_Rate!M39),System_Total_Mkt!M39*(1-Retrofit_Rate)*(1-Sys_Repl_Rate!M39)*Lamp_Repl_Rate!M40)),0)</f>
        <v>2.1167428249962415E-3</v>
      </c>
      <c r="O39" s="199">
        <f>IF(Tech_Specs!$K39="lamp+ballast",IF(Sys_Repl_Rate!N39&gt;=1,0,IF(Lamp_Repl_Rate!N40&gt;=1,System_Total_Mkt!N39*(1-Retrofit_Rate)*(1-Sys_Repl_Rate!N39),System_Total_Mkt!N39*(1-Retrofit_Rate)*(1-Sys_Repl_Rate!N39)*Lamp_Repl_Rate!N40)),0)</f>
        <v>2.0774983419849587E-3</v>
      </c>
      <c r="P39" s="199">
        <f>IF(Tech_Specs!$K39="lamp+ballast",IF(Sys_Repl_Rate!O39&gt;=1,0,IF(Lamp_Repl_Rate!O40&gt;=1,System_Total_Mkt!O39*(1-Retrofit_Rate)*(1-Sys_Repl_Rate!O39),System_Total_Mkt!O39*(1-Retrofit_Rate)*(1-Sys_Repl_Rate!O39)*Lamp_Repl_Rate!O40)),0)</f>
        <v>2.0277179171696667E-3</v>
      </c>
      <c r="Q39" s="199">
        <f>IF(Tech_Specs!$K39="lamp+ballast",IF(Sys_Repl_Rate!P39&gt;=1,0,IF(Lamp_Repl_Rate!P40&gt;=1,System_Total_Mkt!P39*(1-Retrofit_Rate)*(1-Sys_Repl_Rate!P39),System_Total_Mkt!P39*(1-Retrofit_Rate)*(1-Sys_Repl_Rate!P39)*Lamp_Repl_Rate!P40)),0)</f>
        <v>1.9701611009325807E-3</v>
      </c>
      <c r="R39" s="199">
        <f>IF(Tech_Specs!$K39="lamp+ballast",IF(Sys_Repl_Rate!Q39&gt;=1,0,IF(Lamp_Repl_Rate!Q40&gt;=1,System_Total_Mkt!Q39*(1-Retrofit_Rate)*(1-Sys_Repl_Rate!Q39),System_Total_Mkt!Q39*(1-Retrofit_Rate)*(1-Sys_Repl_Rate!Q39)*Lamp_Repl_Rate!Q40)),0)</f>
        <v>1.9069653727363572E-3</v>
      </c>
      <c r="S39" s="199">
        <f>IF(Tech_Specs!$K39="lamp+ballast",IF(Sys_Repl_Rate!R39&gt;=1,0,IF(Lamp_Repl_Rate!R40&gt;=1,System_Total_Mkt!R39*(1-Retrofit_Rate)*(1-Sys_Repl_Rate!R39),System_Total_Mkt!R39*(1-Retrofit_Rate)*(1-Sys_Repl_Rate!R39)*Lamp_Repl_Rate!R40)),0)</f>
        <v>1.8399032815303036E-3</v>
      </c>
      <c r="T39" s="199">
        <f>IF(Tech_Specs!$K39="lamp+ballast",IF(Sys_Repl_Rate!S39&gt;=1,0,IF(Lamp_Repl_Rate!S40&gt;=1,System_Total_Mkt!S39*(1-Retrofit_Rate)*(1-Sys_Repl_Rate!S39),System_Total_Mkt!S39*(1-Retrofit_Rate)*(1-Sys_Repl_Rate!S39)*Lamp_Repl_Rate!S40)),0)</f>
        <v>1.7707773552542666E-3</v>
      </c>
      <c r="U39" s="199">
        <f>IF(Tech_Specs!$K39="lamp+ballast",IF(Sys_Repl_Rate!T39&gt;=1,0,IF(Lamp_Repl_Rate!T40&gt;=1,System_Total_Mkt!T39*(1-Retrofit_Rate)*(1-Sys_Repl_Rate!T39),System_Total_Mkt!T39*(1-Retrofit_Rate)*(1-Sys_Repl_Rate!T39)*Lamp_Repl_Rate!T40)),0)</f>
        <v>1.7007580675703323E-3</v>
      </c>
      <c r="V39" s="199">
        <f>IF(Tech_Specs!$K39="lamp+ballast",IF(Sys_Repl_Rate!U39&gt;=1,0,IF(Lamp_Repl_Rate!U40&gt;=1,System_Total_Mkt!U39*(1-Retrofit_Rate)*(1-Sys_Repl_Rate!U39),System_Total_Mkt!U39*(1-Retrofit_Rate)*(1-Sys_Repl_Rate!U39)*Lamp_Repl_Rate!U40)),0)</f>
        <v>1.6307412922132454E-3</v>
      </c>
      <c r="W39" s="199">
        <f>IF(Tech_Specs!$K39="lamp+ballast",IF(Sys_Repl_Rate!V39&gt;=1,0,IF(Lamp_Repl_Rate!V40&gt;=1,System_Total_Mkt!V39*(1-Retrofit_Rate)*(1-Sys_Repl_Rate!V39),System_Total_Mkt!V39*(1-Retrofit_Rate)*(1-Sys_Repl_Rate!V39)*Lamp_Repl_Rate!V40)),0)</f>
        <v>1.5615557775729302E-3</v>
      </c>
      <c r="X39" s="199">
        <f>IF(Tech_Specs!$K39="lamp+ballast",IF(Sys_Repl_Rate!W39&gt;=1,0,IF(Lamp_Repl_Rate!W40&gt;=1,System_Total_Mkt!W39*(1-Retrofit_Rate)*(1-Sys_Repl_Rate!W39),System_Total_Mkt!W39*(1-Retrofit_Rate)*(1-Sys_Repl_Rate!W39)*Lamp_Repl_Rate!W40)),0)</f>
        <v>1.493623017132364E-3</v>
      </c>
      <c r="Y39" s="199">
        <f>IF(Tech_Specs!$K39="lamp+ballast",IF(Sys_Repl_Rate!X39&gt;=1,0,IF(Lamp_Repl_Rate!X40&gt;=1,System_Total_Mkt!X39*(1-Retrofit_Rate)*(1-Sys_Repl_Rate!X39),System_Total_Mkt!X39*(1-Retrofit_Rate)*(1-Sys_Repl_Rate!X39)*Lamp_Repl_Rate!X40)),0)</f>
        <v>1.4272422143775717E-3</v>
      </c>
      <c r="Z39" s="199">
        <f>IF(Tech_Specs!$K39="lamp+ballast",IF(Sys_Repl_Rate!Y39&gt;=1,0,IF(Lamp_Repl_Rate!Y40&gt;=1,System_Total_Mkt!Y39*(1-Retrofit_Rate)*(1-Sys_Repl_Rate!Y39),System_Total_Mkt!Y39*(1-Retrofit_Rate)*(1-Sys_Repl_Rate!Y39)*Lamp_Repl_Rate!Y40)),0)</f>
        <v>1.3626354763240074E-3</v>
      </c>
      <c r="AA39" s="199">
        <f>IF(Tech_Specs!$K39="lamp+ballast",IF(Sys_Repl_Rate!Z39&gt;=1,0,IF(Lamp_Repl_Rate!Z40&gt;=1,System_Total_Mkt!Z39*(1-Retrofit_Rate)*(1-Sys_Repl_Rate!Z39),System_Total_Mkt!Z39*(1-Retrofit_Rate)*(1-Sys_Repl_Rate!Z39)*Lamp_Repl_Rate!Z40)),0)</f>
        <v>1.3000417481204298E-3</v>
      </c>
      <c r="AB39" s="199">
        <f>IF(Tech_Specs!$K39="lamp+ballast",IF(Sys_Repl_Rate!AA39&gt;=1,0,IF(Lamp_Repl_Rate!AA40&gt;=1,System_Total_Mkt!AA39*(1-Retrofit_Rate)*(1-Sys_Repl_Rate!AA39),System_Total_Mkt!AA39*(1-Retrofit_Rate)*(1-Sys_Repl_Rate!AA39)*Lamp_Repl_Rate!AA40)),0)</f>
        <v>1.2396424762890505E-3</v>
      </c>
      <c r="AC39" s="199">
        <f>IF(Tech_Specs!$K39="lamp+ballast",IF(Sys_Repl_Rate!AB39&gt;=1,0,IF(Lamp_Repl_Rate!AB40&gt;=1,System_Total_Mkt!AB39*(1-Retrofit_Rate)*(1-Sys_Repl_Rate!AB39),System_Total_Mkt!AB39*(1-Retrofit_Rate)*(1-Sys_Repl_Rate!AB39)*Lamp_Repl_Rate!AB40)),0)</f>
        <v>1.1815288979853673E-3</v>
      </c>
      <c r="AD39" s="199">
        <f>IF(Tech_Specs!$K39="lamp+ballast",IF(Sys_Repl_Rate!AC39&gt;=1,0,IF(Lamp_Repl_Rate!AC40&gt;=1,System_Total_Mkt!AC39*(1-Retrofit_Rate)*(1-Sys_Repl_Rate!AC39),System_Total_Mkt!AC39*(1-Retrofit_Rate)*(1-Sys_Repl_Rate!AC39)*Lamp_Repl_Rate!AC40)),0)</f>
        <v>1.1255916765816585E-3</v>
      </c>
      <c r="AE39" s="199">
        <f>IF(Tech_Specs!$K39="lamp+ballast",IF(Sys_Repl_Rate!AD39&gt;=1,0,IF(Lamp_Repl_Rate!AD40&gt;=1,System_Total_Mkt!AD39*(1-Retrofit_Rate)*(1-Sys_Repl_Rate!AD39),System_Total_Mkt!AD39*(1-Retrofit_Rate)*(1-Sys_Repl_Rate!AD39)*Lamp_Repl_Rate!AD40)),0)</f>
        <v>1.0718171323194331E-3</v>
      </c>
      <c r="AF39" s="199">
        <f>IF(Tech_Specs!$K39="lamp+ballast",IF(Sys_Repl_Rate!AE39&gt;=1,0,IF(Lamp_Repl_Rate!AE40&gt;=1,System_Total_Mkt!AE39*(1-Retrofit_Rate)*(1-Sys_Repl_Rate!AE39),System_Total_Mkt!AE39*(1-Retrofit_Rate)*(1-Sys_Repl_Rate!AE39)*Lamp_Repl_Rate!AE40)),0)</f>
        <v>1.0201664917508925E-3</v>
      </c>
    </row>
    <row r="41" spans="1:57" x14ac:dyDescent="0.25">
      <c r="A41" s="264" t="s">
        <v>172</v>
      </c>
      <c r="B41" s="265"/>
      <c r="C41" s="264"/>
      <c r="D41" s="265"/>
      <c r="E41" s="265"/>
      <c r="F41" s="265"/>
      <c r="G41" s="265"/>
      <c r="H41" s="828" t="s">
        <v>418</v>
      </c>
      <c r="I41" s="265"/>
      <c r="J41" s="265"/>
      <c r="K41" s="265"/>
      <c r="L41" s="265"/>
      <c r="M41" s="265"/>
      <c r="N41" s="265"/>
      <c r="O41" s="265"/>
      <c r="P41" s="265"/>
      <c r="Q41" s="265"/>
      <c r="R41" s="265"/>
      <c r="S41" s="265"/>
      <c r="T41" s="265"/>
      <c r="U41" s="265"/>
      <c r="V41" s="265"/>
      <c r="W41" s="265"/>
      <c r="X41" s="265"/>
      <c r="Y41" s="265"/>
      <c r="Z41" s="265"/>
      <c r="AA41" s="265"/>
      <c r="AB41" s="265"/>
      <c r="AC41" s="265"/>
      <c r="AD41" s="265"/>
      <c r="AE41" s="265"/>
      <c r="AF41" s="265"/>
      <c r="AG41" s="252"/>
      <c r="AH41" s="252"/>
      <c r="AI41" s="252"/>
      <c r="AJ41" s="252"/>
      <c r="AK41" s="252"/>
      <c r="AL41" s="252"/>
      <c r="AM41" s="252"/>
      <c r="AN41" s="252"/>
      <c r="AO41" s="252"/>
      <c r="AP41" s="252"/>
      <c r="AQ41" s="252"/>
      <c r="AR41" s="252"/>
      <c r="AS41" s="252"/>
      <c r="AT41" s="252"/>
      <c r="AU41" s="252"/>
      <c r="AV41" s="252"/>
      <c r="AW41" s="252"/>
      <c r="AX41" s="252"/>
      <c r="AY41" s="252"/>
      <c r="AZ41" s="252"/>
      <c r="BA41" s="252"/>
      <c r="BB41" s="252"/>
      <c r="BC41" s="252"/>
      <c r="BD41" s="252"/>
      <c r="BE41" s="252"/>
    </row>
    <row r="42" spans="1:57" x14ac:dyDescent="0.25">
      <c r="A42" s="253" t="s">
        <v>12</v>
      </c>
    </row>
    <row r="43" spans="1:57" x14ac:dyDescent="0.25">
      <c r="A43" s="252"/>
      <c r="B43" s="252" t="s">
        <v>20</v>
      </c>
    </row>
    <row r="44" spans="1:57" x14ac:dyDescent="0.25">
      <c r="A44" s="267" t="s">
        <v>21</v>
      </c>
      <c r="B44" s="267"/>
      <c r="C44" s="267"/>
      <c r="D44" s="267"/>
      <c r="E44" s="267"/>
      <c r="F44" s="267"/>
      <c r="G44" s="267"/>
      <c r="H44" s="267"/>
      <c r="I44" s="267"/>
      <c r="J44" s="267"/>
      <c r="K44" s="267"/>
      <c r="L44" s="267"/>
      <c r="M44" s="267"/>
      <c r="N44" s="267"/>
      <c r="O44" s="267"/>
      <c r="P44" s="267"/>
      <c r="Q44" s="267"/>
      <c r="R44" s="267"/>
      <c r="S44" s="267"/>
      <c r="T44" s="267"/>
      <c r="U44" s="267"/>
      <c r="V44" s="267"/>
      <c r="W44" s="267"/>
      <c r="X44" s="267"/>
      <c r="Y44" s="267"/>
      <c r="Z44" s="267"/>
      <c r="AA44" s="267"/>
      <c r="AB44" s="267"/>
      <c r="AC44" s="267"/>
      <c r="AD44" s="267"/>
      <c r="AE44" s="267"/>
      <c r="AF44" s="267"/>
    </row>
    <row r="45" spans="1:57" x14ac:dyDescent="0.25">
      <c r="A45" s="252"/>
      <c r="B45" s="252" t="s">
        <v>22</v>
      </c>
      <c r="H45" s="199">
        <f>H9*INDEX(Standards_Acceptance!$G$9:$AF$39,MATCH($B45,Standards_Acceptance!$B$9:$B$39,FALSE),MATCH(H$3,Standards_Acceptance!$G$7:$AF$7,FALSE))</f>
        <v>0</v>
      </c>
      <c r="I45" s="199">
        <f>I9*INDEX(Standards_Acceptance!$G$9:$AF$39,MATCH($B45,Standards_Acceptance!$B$9:$B$39,FALSE),MATCH(I$3,Standards_Acceptance!$G$7:$AF$7,FALSE))</f>
        <v>0</v>
      </c>
      <c r="J45" s="199">
        <f>J9*INDEX(Standards_Acceptance!$G$9:$AF$39,MATCH($B45,Standards_Acceptance!$B$9:$B$39,FALSE),MATCH(J$3,Standards_Acceptance!$G$7:$AF$7,FALSE))</f>
        <v>0</v>
      </c>
      <c r="K45" s="199">
        <f>K9*INDEX(Standards_Acceptance!$G$9:$AF$39,MATCH($B45,Standards_Acceptance!$B$9:$B$39,FALSE),MATCH(K$3,Standards_Acceptance!$G$7:$AF$7,FALSE))</f>
        <v>0</v>
      </c>
      <c r="L45" s="199">
        <f>L9*INDEX(Standards_Acceptance!$G$9:$AF$39,MATCH($B45,Standards_Acceptance!$B$9:$B$39,FALSE),MATCH(L$3,Standards_Acceptance!$G$7:$AF$7,FALSE))</f>
        <v>0</v>
      </c>
      <c r="M45" s="199">
        <f>M9*INDEX(Standards_Acceptance!$G$9:$AF$39,MATCH($B45,Standards_Acceptance!$B$9:$B$39,FALSE),MATCH(M$3,Standards_Acceptance!$G$7:$AF$7,FALSE))</f>
        <v>0</v>
      </c>
      <c r="N45" s="199">
        <f>N9*INDEX(Standards_Acceptance!$G$9:$AF$39,MATCH($B45,Standards_Acceptance!$B$9:$B$39,FALSE),MATCH(N$3,Standards_Acceptance!$G$7:$AF$7,FALSE))</f>
        <v>0</v>
      </c>
      <c r="O45" s="199">
        <f>O9*INDEX(Standards_Acceptance!$G$9:$AF$39,MATCH($B45,Standards_Acceptance!$B$9:$B$39,FALSE),MATCH(O$3,Standards_Acceptance!$G$7:$AF$7,FALSE))</f>
        <v>0</v>
      </c>
      <c r="P45" s="199">
        <f>P9*INDEX(Standards_Acceptance!$G$9:$AF$39,MATCH($B45,Standards_Acceptance!$B$9:$B$39,FALSE),MATCH(P$3,Standards_Acceptance!$G$7:$AF$7,FALSE))</f>
        <v>0</v>
      </c>
      <c r="Q45" s="199">
        <f>Q9*INDEX(Standards_Acceptance!$G$9:$AF$39,MATCH($B45,Standards_Acceptance!$B$9:$B$39,FALSE),MATCH(Q$3,Standards_Acceptance!$G$7:$AF$7,FALSE))</f>
        <v>0</v>
      </c>
      <c r="R45" s="199">
        <f>R9*INDEX(Standards_Acceptance!$G$9:$AF$39,MATCH($B45,Standards_Acceptance!$B$9:$B$39,FALSE),MATCH(R$3,Standards_Acceptance!$G$7:$AF$7,FALSE))</f>
        <v>0</v>
      </c>
      <c r="S45" s="199">
        <f>S9*INDEX(Standards_Acceptance!$G$9:$AF$39,MATCH($B45,Standards_Acceptance!$B$9:$B$39,FALSE),MATCH(S$3,Standards_Acceptance!$G$7:$AF$7,FALSE))</f>
        <v>0</v>
      </c>
      <c r="T45" s="199">
        <f>T9*INDEX(Standards_Acceptance!$G$9:$AF$39,MATCH($B45,Standards_Acceptance!$B$9:$B$39,FALSE),MATCH(T$3,Standards_Acceptance!$G$7:$AF$7,FALSE))</f>
        <v>0</v>
      </c>
      <c r="U45" s="199">
        <f>U9*INDEX(Standards_Acceptance!$G$9:$AF$39,MATCH($B45,Standards_Acceptance!$B$9:$B$39,FALSE),MATCH(U$3,Standards_Acceptance!$G$7:$AF$7,FALSE))</f>
        <v>0</v>
      </c>
      <c r="V45" s="199">
        <f>V9*INDEX(Standards_Acceptance!$G$9:$AF$39,MATCH($B45,Standards_Acceptance!$B$9:$B$39,FALSE),MATCH(V$3,Standards_Acceptance!$G$7:$AF$7,FALSE))</f>
        <v>0</v>
      </c>
      <c r="W45" s="199">
        <f>W9*INDEX(Standards_Acceptance!$G$9:$AF$39,MATCH($B45,Standards_Acceptance!$B$9:$B$39,FALSE),MATCH(W$3,Standards_Acceptance!$G$7:$AF$7,FALSE))</f>
        <v>0</v>
      </c>
      <c r="X45" s="199">
        <f>X9*INDEX(Standards_Acceptance!$G$9:$AF$39,MATCH($B45,Standards_Acceptance!$B$9:$B$39,FALSE),MATCH(X$3,Standards_Acceptance!$G$7:$AF$7,FALSE))</f>
        <v>0</v>
      </c>
      <c r="Y45" s="199">
        <f>Y9*INDEX(Standards_Acceptance!$G$9:$AF$39,MATCH($B45,Standards_Acceptance!$B$9:$B$39,FALSE),MATCH(Y$3,Standards_Acceptance!$G$7:$AF$7,FALSE))</f>
        <v>0</v>
      </c>
      <c r="Z45" s="199">
        <f>Z9*INDEX(Standards_Acceptance!$G$9:$AF$39,MATCH($B45,Standards_Acceptance!$B$9:$B$39,FALSE),MATCH(Z$3,Standards_Acceptance!$G$7:$AF$7,FALSE))</f>
        <v>0</v>
      </c>
      <c r="AA45" s="199">
        <f>AA9*INDEX(Standards_Acceptance!$G$9:$AF$39,MATCH($B45,Standards_Acceptance!$B$9:$B$39,FALSE),MATCH(AA$3,Standards_Acceptance!$G$7:$AF$7,FALSE))</f>
        <v>0</v>
      </c>
      <c r="AB45" s="199">
        <f>AB9*INDEX(Standards_Acceptance!$G$9:$AF$39,MATCH($B45,Standards_Acceptance!$B$9:$B$39,FALSE),MATCH(AB$3,Standards_Acceptance!$G$7:$AF$7,FALSE))</f>
        <v>0</v>
      </c>
      <c r="AC45" s="199">
        <f>AC9*INDEX(Standards_Acceptance!$G$9:$AF$39,MATCH($B45,Standards_Acceptance!$B$9:$B$39,FALSE),MATCH(AC$3,Standards_Acceptance!$G$7:$AF$7,FALSE))</f>
        <v>0</v>
      </c>
      <c r="AD45" s="199">
        <f>AD9*INDEX(Standards_Acceptance!$G$9:$AF$39,MATCH($B45,Standards_Acceptance!$B$9:$B$39,FALSE),MATCH(AD$3,Standards_Acceptance!$G$7:$AF$7,FALSE))</f>
        <v>0</v>
      </c>
      <c r="AE45" s="199">
        <f>AE9*INDEX(Standards_Acceptance!$G$9:$AF$39,MATCH($B45,Standards_Acceptance!$B$9:$B$39,FALSE),MATCH(AE$3,Standards_Acceptance!$G$7:$AF$7,FALSE))</f>
        <v>0</v>
      </c>
      <c r="AF45" s="199">
        <f>AF9*INDEX(Standards_Acceptance!$G$9:$AF$39,MATCH($B45,Standards_Acceptance!$B$9:$B$39,FALSE),MATCH(AF$3,Standards_Acceptance!$G$7:$AF$7,FALSE))</f>
        <v>0</v>
      </c>
    </row>
    <row r="46" spans="1:57" x14ac:dyDescent="0.25">
      <c r="A46" s="252"/>
      <c r="B46" s="252" t="s">
        <v>26</v>
      </c>
      <c r="H46" s="199">
        <f>H10*INDEX(Standards_Acceptance!$G$9:$AF$39,MATCH($B46,Standards_Acceptance!$B$9:$B$39,FALSE),MATCH(H$3,Standards_Acceptance!$G$7:$AF$7,FALSE))</f>
        <v>0</v>
      </c>
      <c r="I46" s="199">
        <f>I10*INDEX(Standards_Acceptance!$G$9:$AF$39,MATCH($B46,Standards_Acceptance!$B$9:$B$39,FALSE),MATCH(I$3,Standards_Acceptance!$G$7:$AF$7,FALSE))</f>
        <v>0</v>
      </c>
      <c r="J46" s="199">
        <f>J10*INDEX(Standards_Acceptance!$G$9:$AF$39,MATCH($B46,Standards_Acceptance!$B$9:$B$39,FALSE),MATCH(J$3,Standards_Acceptance!$G$7:$AF$7,FALSE))</f>
        <v>0</v>
      </c>
      <c r="K46" s="199">
        <f>K10*INDEX(Standards_Acceptance!$G$9:$AF$39,MATCH($B46,Standards_Acceptance!$B$9:$B$39,FALSE),MATCH(K$3,Standards_Acceptance!$G$7:$AF$7,FALSE))</f>
        <v>0</v>
      </c>
      <c r="L46" s="199">
        <f>L10*INDEX(Standards_Acceptance!$G$9:$AF$39,MATCH($B46,Standards_Acceptance!$B$9:$B$39,FALSE),MATCH(L$3,Standards_Acceptance!$G$7:$AF$7,FALSE))</f>
        <v>0</v>
      </c>
      <c r="M46" s="199">
        <f>M10*INDEX(Standards_Acceptance!$G$9:$AF$39,MATCH($B46,Standards_Acceptance!$B$9:$B$39,FALSE),MATCH(M$3,Standards_Acceptance!$G$7:$AF$7,FALSE))</f>
        <v>0</v>
      </c>
      <c r="N46" s="199">
        <f>N10*INDEX(Standards_Acceptance!$G$9:$AF$39,MATCH($B46,Standards_Acceptance!$B$9:$B$39,FALSE),MATCH(N$3,Standards_Acceptance!$G$7:$AF$7,FALSE))</f>
        <v>0</v>
      </c>
      <c r="O46" s="199">
        <f>O10*INDEX(Standards_Acceptance!$G$9:$AF$39,MATCH($B46,Standards_Acceptance!$B$9:$B$39,FALSE),MATCH(O$3,Standards_Acceptance!$G$7:$AF$7,FALSE))</f>
        <v>0</v>
      </c>
      <c r="P46" s="199">
        <f>P10*INDEX(Standards_Acceptance!$G$9:$AF$39,MATCH($B46,Standards_Acceptance!$B$9:$B$39,FALSE),MATCH(P$3,Standards_Acceptance!$G$7:$AF$7,FALSE))</f>
        <v>0</v>
      </c>
      <c r="Q46" s="199">
        <f>Q10*INDEX(Standards_Acceptance!$G$9:$AF$39,MATCH($B46,Standards_Acceptance!$B$9:$B$39,FALSE),MATCH(Q$3,Standards_Acceptance!$G$7:$AF$7,FALSE))</f>
        <v>0</v>
      </c>
      <c r="R46" s="199">
        <f>R10*INDEX(Standards_Acceptance!$G$9:$AF$39,MATCH($B46,Standards_Acceptance!$B$9:$B$39,FALSE),MATCH(R$3,Standards_Acceptance!$G$7:$AF$7,FALSE))</f>
        <v>0</v>
      </c>
      <c r="S46" s="199">
        <f>S10*INDEX(Standards_Acceptance!$G$9:$AF$39,MATCH($B46,Standards_Acceptance!$B$9:$B$39,FALSE),MATCH(S$3,Standards_Acceptance!$G$7:$AF$7,FALSE))</f>
        <v>0</v>
      </c>
      <c r="T46" s="199">
        <f>T10*INDEX(Standards_Acceptance!$G$9:$AF$39,MATCH($B46,Standards_Acceptance!$B$9:$B$39,FALSE),MATCH(T$3,Standards_Acceptance!$G$7:$AF$7,FALSE))</f>
        <v>0</v>
      </c>
      <c r="U46" s="199">
        <f>U10*INDEX(Standards_Acceptance!$G$9:$AF$39,MATCH($B46,Standards_Acceptance!$B$9:$B$39,FALSE),MATCH(U$3,Standards_Acceptance!$G$7:$AF$7,FALSE))</f>
        <v>0</v>
      </c>
      <c r="V46" s="199">
        <f>V10*INDEX(Standards_Acceptance!$G$9:$AF$39,MATCH($B46,Standards_Acceptance!$B$9:$B$39,FALSE),MATCH(V$3,Standards_Acceptance!$G$7:$AF$7,FALSE))</f>
        <v>0</v>
      </c>
      <c r="W46" s="199">
        <f>W10*INDEX(Standards_Acceptance!$G$9:$AF$39,MATCH($B46,Standards_Acceptance!$B$9:$B$39,FALSE),MATCH(W$3,Standards_Acceptance!$G$7:$AF$7,FALSE))</f>
        <v>0</v>
      </c>
      <c r="X46" s="199">
        <f>X10*INDEX(Standards_Acceptance!$G$9:$AF$39,MATCH($B46,Standards_Acceptance!$B$9:$B$39,FALSE),MATCH(X$3,Standards_Acceptance!$G$7:$AF$7,FALSE))</f>
        <v>0</v>
      </c>
      <c r="Y46" s="199">
        <f>Y10*INDEX(Standards_Acceptance!$G$9:$AF$39,MATCH($B46,Standards_Acceptance!$B$9:$B$39,FALSE),MATCH(Y$3,Standards_Acceptance!$G$7:$AF$7,FALSE))</f>
        <v>0</v>
      </c>
      <c r="Z46" s="199">
        <f>Z10*INDEX(Standards_Acceptance!$G$9:$AF$39,MATCH($B46,Standards_Acceptance!$B$9:$B$39,FALSE),MATCH(Z$3,Standards_Acceptance!$G$7:$AF$7,FALSE))</f>
        <v>0</v>
      </c>
      <c r="AA46" s="199">
        <f>AA10*INDEX(Standards_Acceptance!$G$9:$AF$39,MATCH($B46,Standards_Acceptance!$B$9:$B$39,FALSE),MATCH(AA$3,Standards_Acceptance!$G$7:$AF$7,FALSE))</f>
        <v>0</v>
      </c>
      <c r="AB46" s="199">
        <f>AB10*INDEX(Standards_Acceptance!$G$9:$AF$39,MATCH($B46,Standards_Acceptance!$B$9:$B$39,FALSE),MATCH(AB$3,Standards_Acceptance!$G$7:$AF$7,FALSE))</f>
        <v>0</v>
      </c>
      <c r="AC46" s="199">
        <f>AC10*INDEX(Standards_Acceptance!$G$9:$AF$39,MATCH($B46,Standards_Acceptance!$B$9:$B$39,FALSE),MATCH(AC$3,Standards_Acceptance!$G$7:$AF$7,FALSE))</f>
        <v>0</v>
      </c>
      <c r="AD46" s="199">
        <f>AD10*INDEX(Standards_Acceptance!$G$9:$AF$39,MATCH($B46,Standards_Acceptance!$B$9:$B$39,FALSE),MATCH(AD$3,Standards_Acceptance!$G$7:$AF$7,FALSE))</f>
        <v>0</v>
      </c>
      <c r="AE46" s="199">
        <f>AE10*INDEX(Standards_Acceptance!$G$9:$AF$39,MATCH($B46,Standards_Acceptance!$B$9:$B$39,FALSE),MATCH(AE$3,Standards_Acceptance!$G$7:$AF$7,FALSE))</f>
        <v>0</v>
      </c>
      <c r="AF46" s="199">
        <f>AF10*INDEX(Standards_Acceptance!$G$9:$AF$39,MATCH($B46,Standards_Acceptance!$B$9:$B$39,FALSE),MATCH(AF$3,Standards_Acceptance!$G$7:$AF$7,FALSE))</f>
        <v>0</v>
      </c>
    </row>
    <row r="47" spans="1:57" x14ac:dyDescent="0.25">
      <c r="A47" s="252"/>
      <c r="B47" s="252" t="s">
        <v>27</v>
      </c>
      <c r="H47" s="199">
        <f>H11*INDEX(Standards_Acceptance!$G$9:$AF$39,MATCH($B47,Standards_Acceptance!$B$9:$B$39,FALSE),MATCH(H$3,Standards_Acceptance!$G$7:$AF$7,FALSE))</f>
        <v>0</v>
      </c>
      <c r="I47" s="199">
        <f>I11*INDEX(Standards_Acceptance!$G$9:$AF$39,MATCH($B47,Standards_Acceptance!$B$9:$B$39,FALSE),MATCH(I$3,Standards_Acceptance!$G$7:$AF$7,FALSE))</f>
        <v>0</v>
      </c>
      <c r="J47" s="199">
        <f>J11*INDEX(Standards_Acceptance!$G$9:$AF$39,MATCH($B47,Standards_Acceptance!$B$9:$B$39,FALSE),MATCH(J$3,Standards_Acceptance!$G$7:$AF$7,FALSE))</f>
        <v>0</v>
      </c>
      <c r="K47" s="199">
        <f>K11*INDEX(Standards_Acceptance!$G$9:$AF$39,MATCH($B47,Standards_Acceptance!$B$9:$B$39,FALSE),MATCH(K$3,Standards_Acceptance!$G$7:$AF$7,FALSE))</f>
        <v>0</v>
      </c>
      <c r="L47" s="199">
        <f>L11*INDEX(Standards_Acceptance!$G$9:$AF$39,MATCH($B47,Standards_Acceptance!$B$9:$B$39,FALSE),MATCH(L$3,Standards_Acceptance!$G$7:$AF$7,FALSE))</f>
        <v>0</v>
      </c>
      <c r="M47" s="199">
        <f>M11*INDEX(Standards_Acceptance!$G$9:$AF$39,MATCH($B47,Standards_Acceptance!$B$9:$B$39,FALSE),MATCH(M$3,Standards_Acceptance!$G$7:$AF$7,FALSE))</f>
        <v>0</v>
      </c>
      <c r="N47" s="199">
        <f>N11*INDEX(Standards_Acceptance!$G$9:$AF$39,MATCH($B47,Standards_Acceptance!$B$9:$B$39,FALSE),MATCH(N$3,Standards_Acceptance!$G$7:$AF$7,FALSE))</f>
        <v>0</v>
      </c>
      <c r="O47" s="199">
        <f>O11*INDEX(Standards_Acceptance!$G$9:$AF$39,MATCH($B47,Standards_Acceptance!$B$9:$B$39,FALSE),MATCH(O$3,Standards_Acceptance!$G$7:$AF$7,FALSE))</f>
        <v>0</v>
      </c>
      <c r="P47" s="199">
        <f>P11*INDEX(Standards_Acceptance!$G$9:$AF$39,MATCH($B47,Standards_Acceptance!$B$9:$B$39,FALSE),MATCH(P$3,Standards_Acceptance!$G$7:$AF$7,FALSE))</f>
        <v>0</v>
      </c>
      <c r="Q47" s="199">
        <f>Q11*INDEX(Standards_Acceptance!$G$9:$AF$39,MATCH($B47,Standards_Acceptance!$B$9:$B$39,FALSE),MATCH(Q$3,Standards_Acceptance!$G$7:$AF$7,FALSE))</f>
        <v>0</v>
      </c>
      <c r="R47" s="199">
        <f>R11*INDEX(Standards_Acceptance!$G$9:$AF$39,MATCH($B47,Standards_Acceptance!$B$9:$B$39,FALSE),MATCH(R$3,Standards_Acceptance!$G$7:$AF$7,FALSE))</f>
        <v>0</v>
      </c>
      <c r="S47" s="199">
        <f>S11*INDEX(Standards_Acceptance!$G$9:$AF$39,MATCH($B47,Standards_Acceptance!$B$9:$B$39,FALSE),MATCH(S$3,Standards_Acceptance!$G$7:$AF$7,FALSE))</f>
        <v>0</v>
      </c>
      <c r="T47" s="199">
        <f>T11*INDEX(Standards_Acceptance!$G$9:$AF$39,MATCH($B47,Standards_Acceptance!$B$9:$B$39,FALSE),MATCH(T$3,Standards_Acceptance!$G$7:$AF$7,FALSE))</f>
        <v>0</v>
      </c>
      <c r="U47" s="199">
        <f>U11*INDEX(Standards_Acceptance!$G$9:$AF$39,MATCH($B47,Standards_Acceptance!$B$9:$B$39,FALSE),MATCH(U$3,Standards_Acceptance!$G$7:$AF$7,FALSE))</f>
        <v>0</v>
      </c>
      <c r="V47" s="199">
        <f>V11*INDEX(Standards_Acceptance!$G$9:$AF$39,MATCH($B47,Standards_Acceptance!$B$9:$B$39,FALSE),MATCH(V$3,Standards_Acceptance!$G$7:$AF$7,FALSE))</f>
        <v>0</v>
      </c>
      <c r="W47" s="199">
        <f>W11*INDEX(Standards_Acceptance!$G$9:$AF$39,MATCH($B47,Standards_Acceptance!$B$9:$B$39,FALSE),MATCH(W$3,Standards_Acceptance!$G$7:$AF$7,FALSE))</f>
        <v>0</v>
      </c>
      <c r="X47" s="199">
        <f>X11*INDEX(Standards_Acceptance!$G$9:$AF$39,MATCH($B47,Standards_Acceptance!$B$9:$B$39,FALSE),MATCH(X$3,Standards_Acceptance!$G$7:$AF$7,FALSE))</f>
        <v>0</v>
      </c>
      <c r="Y47" s="199">
        <f>Y11*INDEX(Standards_Acceptance!$G$9:$AF$39,MATCH($B47,Standards_Acceptance!$B$9:$B$39,FALSE),MATCH(Y$3,Standards_Acceptance!$G$7:$AF$7,FALSE))</f>
        <v>0</v>
      </c>
      <c r="Z47" s="199">
        <f>Z11*INDEX(Standards_Acceptance!$G$9:$AF$39,MATCH($B47,Standards_Acceptance!$B$9:$B$39,FALSE),MATCH(Z$3,Standards_Acceptance!$G$7:$AF$7,FALSE))</f>
        <v>0</v>
      </c>
      <c r="AA47" s="199">
        <f>AA11*INDEX(Standards_Acceptance!$G$9:$AF$39,MATCH($B47,Standards_Acceptance!$B$9:$B$39,FALSE),MATCH(AA$3,Standards_Acceptance!$G$7:$AF$7,FALSE))</f>
        <v>0</v>
      </c>
      <c r="AB47" s="199">
        <f>AB11*INDEX(Standards_Acceptance!$G$9:$AF$39,MATCH($B47,Standards_Acceptance!$B$9:$B$39,FALSE),MATCH(AB$3,Standards_Acceptance!$G$7:$AF$7,FALSE))</f>
        <v>0</v>
      </c>
      <c r="AC47" s="199">
        <f>AC11*INDEX(Standards_Acceptance!$G$9:$AF$39,MATCH($B47,Standards_Acceptance!$B$9:$B$39,FALSE),MATCH(AC$3,Standards_Acceptance!$G$7:$AF$7,FALSE))</f>
        <v>0</v>
      </c>
      <c r="AD47" s="199">
        <f>AD11*INDEX(Standards_Acceptance!$G$9:$AF$39,MATCH($B47,Standards_Acceptance!$B$9:$B$39,FALSE),MATCH(AD$3,Standards_Acceptance!$G$7:$AF$7,FALSE))</f>
        <v>0</v>
      </c>
      <c r="AE47" s="199">
        <f>AE11*INDEX(Standards_Acceptance!$G$9:$AF$39,MATCH($B47,Standards_Acceptance!$B$9:$B$39,FALSE),MATCH(AE$3,Standards_Acceptance!$G$7:$AF$7,FALSE))</f>
        <v>0</v>
      </c>
      <c r="AF47" s="199">
        <f>AF11*INDEX(Standards_Acceptance!$G$9:$AF$39,MATCH($B47,Standards_Acceptance!$B$9:$B$39,FALSE),MATCH(AF$3,Standards_Acceptance!$G$7:$AF$7,FALSE))</f>
        <v>0</v>
      </c>
    </row>
    <row r="48" spans="1:57" x14ac:dyDescent="0.25">
      <c r="A48" s="252"/>
      <c r="B48" s="252" t="s">
        <v>29</v>
      </c>
      <c r="H48" s="199">
        <f>H12*INDEX(Standards_Acceptance!$G$9:$AF$39,MATCH($B48,Standards_Acceptance!$B$9:$B$39,FALSE),MATCH(H$3,Standards_Acceptance!$G$7:$AF$7,FALSE))</f>
        <v>0</v>
      </c>
      <c r="I48" s="199">
        <f>I12*INDEX(Standards_Acceptance!$G$9:$AF$39,MATCH($B48,Standards_Acceptance!$B$9:$B$39,FALSE),MATCH(I$3,Standards_Acceptance!$G$7:$AF$7,FALSE))</f>
        <v>0</v>
      </c>
      <c r="J48" s="199">
        <f>J12*INDEX(Standards_Acceptance!$G$9:$AF$39,MATCH($B48,Standards_Acceptance!$B$9:$B$39,FALSE),MATCH(J$3,Standards_Acceptance!$G$7:$AF$7,FALSE))</f>
        <v>0</v>
      </c>
      <c r="K48" s="199">
        <f>K12*INDEX(Standards_Acceptance!$G$9:$AF$39,MATCH($B48,Standards_Acceptance!$B$9:$B$39,FALSE),MATCH(K$3,Standards_Acceptance!$G$7:$AF$7,FALSE))</f>
        <v>0</v>
      </c>
      <c r="L48" s="199">
        <f>L12*INDEX(Standards_Acceptance!$G$9:$AF$39,MATCH($B48,Standards_Acceptance!$B$9:$B$39,FALSE),MATCH(L$3,Standards_Acceptance!$G$7:$AF$7,FALSE))</f>
        <v>0</v>
      </c>
      <c r="M48" s="199">
        <f>M12*INDEX(Standards_Acceptance!$G$9:$AF$39,MATCH($B48,Standards_Acceptance!$B$9:$B$39,FALSE),MATCH(M$3,Standards_Acceptance!$G$7:$AF$7,FALSE))</f>
        <v>0</v>
      </c>
      <c r="N48" s="199">
        <f>N12*INDEX(Standards_Acceptance!$G$9:$AF$39,MATCH($B48,Standards_Acceptance!$B$9:$B$39,FALSE),MATCH(N$3,Standards_Acceptance!$G$7:$AF$7,FALSE))</f>
        <v>0</v>
      </c>
      <c r="O48" s="199">
        <f>O12*INDEX(Standards_Acceptance!$G$9:$AF$39,MATCH($B48,Standards_Acceptance!$B$9:$B$39,FALSE),MATCH(O$3,Standards_Acceptance!$G$7:$AF$7,FALSE))</f>
        <v>0</v>
      </c>
      <c r="P48" s="199">
        <f>P12*INDEX(Standards_Acceptance!$G$9:$AF$39,MATCH($B48,Standards_Acceptance!$B$9:$B$39,FALSE),MATCH(P$3,Standards_Acceptance!$G$7:$AF$7,FALSE))</f>
        <v>0</v>
      </c>
      <c r="Q48" s="199">
        <f>Q12*INDEX(Standards_Acceptance!$G$9:$AF$39,MATCH($B48,Standards_Acceptance!$B$9:$B$39,FALSE),MATCH(Q$3,Standards_Acceptance!$G$7:$AF$7,FALSE))</f>
        <v>0</v>
      </c>
      <c r="R48" s="199">
        <f>R12*INDEX(Standards_Acceptance!$G$9:$AF$39,MATCH($B48,Standards_Acceptance!$B$9:$B$39,FALSE),MATCH(R$3,Standards_Acceptance!$G$7:$AF$7,FALSE))</f>
        <v>0</v>
      </c>
      <c r="S48" s="199">
        <f>S12*INDEX(Standards_Acceptance!$G$9:$AF$39,MATCH($B48,Standards_Acceptance!$B$9:$B$39,FALSE),MATCH(S$3,Standards_Acceptance!$G$7:$AF$7,FALSE))</f>
        <v>0</v>
      </c>
      <c r="T48" s="199">
        <f>T12*INDEX(Standards_Acceptance!$G$9:$AF$39,MATCH($B48,Standards_Acceptance!$B$9:$B$39,FALSE),MATCH(T$3,Standards_Acceptance!$G$7:$AF$7,FALSE))</f>
        <v>0</v>
      </c>
      <c r="U48" s="199">
        <f>U12*INDEX(Standards_Acceptance!$G$9:$AF$39,MATCH($B48,Standards_Acceptance!$B$9:$B$39,FALSE),MATCH(U$3,Standards_Acceptance!$G$7:$AF$7,FALSE))</f>
        <v>0</v>
      </c>
      <c r="V48" s="199">
        <f>V12*INDEX(Standards_Acceptance!$G$9:$AF$39,MATCH($B48,Standards_Acceptance!$B$9:$B$39,FALSE),MATCH(V$3,Standards_Acceptance!$G$7:$AF$7,FALSE))</f>
        <v>0</v>
      </c>
      <c r="W48" s="199">
        <f>W12*INDEX(Standards_Acceptance!$G$9:$AF$39,MATCH($B48,Standards_Acceptance!$B$9:$B$39,FALSE),MATCH(W$3,Standards_Acceptance!$G$7:$AF$7,FALSE))</f>
        <v>0</v>
      </c>
      <c r="X48" s="199">
        <f>X12*INDEX(Standards_Acceptance!$G$9:$AF$39,MATCH($B48,Standards_Acceptance!$B$9:$B$39,FALSE),MATCH(X$3,Standards_Acceptance!$G$7:$AF$7,FALSE))</f>
        <v>0</v>
      </c>
      <c r="Y48" s="199">
        <f>Y12*INDEX(Standards_Acceptance!$G$9:$AF$39,MATCH($B48,Standards_Acceptance!$B$9:$B$39,FALSE),MATCH(Y$3,Standards_Acceptance!$G$7:$AF$7,FALSE))</f>
        <v>0</v>
      </c>
      <c r="Z48" s="199">
        <f>Z12*INDEX(Standards_Acceptance!$G$9:$AF$39,MATCH($B48,Standards_Acceptance!$B$9:$B$39,FALSE),MATCH(Z$3,Standards_Acceptance!$G$7:$AF$7,FALSE))</f>
        <v>0</v>
      </c>
      <c r="AA48" s="199">
        <f>AA12*INDEX(Standards_Acceptance!$G$9:$AF$39,MATCH($B48,Standards_Acceptance!$B$9:$B$39,FALSE),MATCH(AA$3,Standards_Acceptance!$G$7:$AF$7,FALSE))</f>
        <v>0</v>
      </c>
      <c r="AB48" s="199">
        <f>AB12*INDEX(Standards_Acceptance!$G$9:$AF$39,MATCH($B48,Standards_Acceptance!$B$9:$B$39,FALSE),MATCH(AB$3,Standards_Acceptance!$G$7:$AF$7,FALSE))</f>
        <v>0</v>
      </c>
      <c r="AC48" s="199">
        <f>AC12*INDEX(Standards_Acceptance!$G$9:$AF$39,MATCH($B48,Standards_Acceptance!$B$9:$B$39,FALSE),MATCH(AC$3,Standards_Acceptance!$G$7:$AF$7,FALSE))</f>
        <v>0</v>
      </c>
      <c r="AD48" s="199">
        <f>AD12*INDEX(Standards_Acceptance!$G$9:$AF$39,MATCH($B48,Standards_Acceptance!$B$9:$B$39,FALSE),MATCH(AD$3,Standards_Acceptance!$G$7:$AF$7,FALSE))</f>
        <v>0</v>
      </c>
      <c r="AE48" s="199">
        <f>AE12*INDEX(Standards_Acceptance!$G$9:$AF$39,MATCH($B48,Standards_Acceptance!$B$9:$B$39,FALSE),MATCH(AE$3,Standards_Acceptance!$G$7:$AF$7,FALSE))</f>
        <v>0</v>
      </c>
      <c r="AF48" s="199">
        <f>AF12*INDEX(Standards_Acceptance!$G$9:$AF$39,MATCH($B48,Standards_Acceptance!$B$9:$B$39,FALSE),MATCH(AF$3,Standards_Acceptance!$G$7:$AF$7,FALSE))</f>
        <v>0</v>
      </c>
    </row>
    <row r="49" spans="1:32" x14ac:dyDescent="0.25">
      <c r="A49" s="252"/>
      <c r="B49" s="252"/>
    </row>
    <row r="50" spans="1:32" x14ac:dyDescent="0.25">
      <c r="A50" s="267" t="s">
        <v>32</v>
      </c>
      <c r="B50" s="267"/>
      <c r="C50" s="267"/>
      <c r="D50" s="267"/>
      <c r="E50" s="267"/>
      <c r="F50" s="267"/>
      <c r="G50" s="267"/>
      <c r="H50" s="267"/>
      <c r="I50" s="267"/>
      <c r="J50" s="267"/>
      <c r="K50" s="267"/>
      <c r="L50" s="267"/>
      <c r="M50" s="267"/>
      <c r="N50" s="267"/>
      <c r="O50" s="267"/>
      <c r="P50" s="267"/>
      <c r="Q50" s="267"/>
      <c r="R50" s="267"/>
      <c r="S50" s="267"/>
      <c r="T50" s="267"/>
      <c r="U50" s="267"/>
      <c r="V50" s="267"/>
      <c r="W50" s="267"/>
      <c r="X50" s="267"/>
      <c r="Y50" s="267"/>
      <c r="Z50" s="267"/>
      <c r="AA50" s="267"/>
      <c r="AB50" s="267"/>
      <c r="AC50" s="267"/>
      <c r="AD50" s="267"/>
      <c r="AE50" s="267"/>
      <c r="AF50" s="267"/>
    </row>
    <row r="51" spans="1:32" x14ac:dyDescent="0.25">
      <c r="A51" s="252"/>
      <c r="B51" s="252" t="s">
        <v>33</v>
      </c>
      <c r="H51" s="199">
        <f>H15*INDEX(Standards_Acceptance!$G$9:$AF$39,MATCH($B51,Standards_Acceptance!$B$9:$B$39,FALSE),MATCH(H$3,Standards_Acceptance!$G$7:$AF$7,FALSE))</f>
        <v>0</v>
      </c>
      <c r="I51" s="199">
        <f>I15*INDEX(Standards_Acceptance!$G$9:$AF$39,MATCH($B51,Standards_Acceptance!$B$9:$B$39,FALSE),MATCH(I$3,Standards_Acceptance!$G$7:$AF$7,FALSE))</f>
        <v>0</v>
      </c>
      <c r="J51" s="199">
        <f>J15*INDEX(Standards_Acceptance!$G$9:$AF$39,MATCH($B51,Standards_Acceptance!$B$9:$B$39,FALSE),MATCH(J$3,Standards_Acceptance!$G$7:$AF$7,FALSE))</f>
        <v>0</v>
      </c>
      <c r="K51" s="199">
        <f>K15*INDEX(Standards_Acceptance!$G$9:$AF$39,MATCH($B51,Standards_Acceptance!$B$9:$B$39,FALSE),MATCH(K$3,Standards_Acceptance!$G$7:$AF$7,FALSE))</f>
        <v>0</v>
      </c>
      <c r="L51" s="199">
        <f>L15*INDEX(Standards_Acceptance!$G$9:$AF$39,MATCH($B51,Standards_Acceptance!$B$9:$B$39,FALSE),MATCH(L$3,Standards_Acceptance!$G$7:$AF$7,FALSE))</f>
        <v>0</v>
      </c>
      <c r="M51" s="199">
        <f>M15*INDEX(Standards_Acceptance!$G$9:$AF$39,MATCH($B51,Standards_Acceptance!$B$9:$B$39,FALSE),MATCH(M$3,Standards_Acceptance!$G$7:$AF$7,FALSE))</f>
        <v>0</v>
      </c>
      <c r="N51" s="199">
        <f>N15*INDEX(Standards_Acceptance!$G$9:$AF$39,MATCH($B51,Standards_Acceptance!$B$9:$B$39,FALSE),MATCH(N$3,Standards_Acceptance!$G$7:$AF$7,FALSE))</f>
        <v>0</v>
      </c>
      <c r="O51" s="199">
        <f>O15*INDEX(Standards_Acceptance!$G$9:$AF$39,MATCH($B51,Standards_Acceptance!$B$9:$B$39,FALSE),MATCH(O$3,Standards_Acceptance!$G$7:$AF$7,FALSE))</f>
        <v>0</v>
      </c>
      <c r="P51" s="199">
        <f>P15*INDEX(Standards_Acceptance!$G$9:$AF$39,MATCH($B51,Standards_Acceptance!$B$9:$B$39,FALSE),MATCH(P$3,Standards_Acceptance!$G$7:$AF$7,FALSE))</f>
        <v>0</v>
      </c>
      <c r="Q51" s="199">
        <f>Q15*INDEX(Standards_Acceptance!$G$9:$AF$39,MATCH($B51,Standards_Acceptance!$B$9:$B$39,FALSE),MATCH(Q$3,Standards_Acceptance!$G$7:$AF$7,FALSE))</f>
        <v>0</v>
      </c>
      <c r="R51" s="199">
        <f>R15*INDEX(Standards_Acceptance!$G$9:$AF$39,MATCH($B51,Standards_Acceptance!$B$9:$B$39,FALSE),MATCH(R$3,Standards_Acceptance!$G$7:$AF$7,FALSE))</f>
        <v>0</v>
      </c>
      <c r="S51" s="199">
        <f>S15*INDEX(Standards_Acceptance!$G$9:$AF$39,MATCH($B51,Standards_Acceptance!$B$9:$B$39,FALSE),MATCH(S$3,Standards_Acceptance!$G$7:$AF$7,FALSE))</f>
        <v>0</v>
      </c>
      <c r="T51" s="199">
        <f>T15*INDEX(Standards_Acceptance!$G$9:$AF$39,MATCH($B51,Standards_Acceptance!$B$9:$B$39,FALSE),MATCH(T$3,Standards_Acceptance!$G$7:$AF$7,FALSE))</f>
        <v>0</v>
      </c>
      <c r="U51" s="199">
        <f>U15*INDEX(Standards_Acceptance!$G$9:$AF$39,MATCH($B51,Standards_Acceptance!$B$9:$B$39,FALSE),MATCH(U$3,Standards_Acceptance!$G$7:$AF$7,FALSE))</f>
        <v>0</v>
      </c>
      <c r="V51" s="199">
        <f>V15*INDEX(Standards_Acceptance!$G$9:$AF$39,MATCH($B51,Standards_Acceptance!$B$9:$B$39,FALSE),MATCH(V$3,Standards_Acceptance!$G$7:$AF$7,FALSE))</f>
        <v>0</v>
      </c>
      <c r="W51" s="199">
        <f>W15*INDEX(Standards_Acceptance!$G$9:$AF$39,MATCH($B51,Standards_Acceptance!$B$9:$B$39,FALSE),MATCH(W$3,Standards_Acceptance!$G$7:$AF$7,FALSE))</f>
        <v>0</v>
      </c>
      <c r="X51" s="199">
        <f>X15*INDEX(Standards_Acceptance!$G$9:$AF$39,MATCH($B51,Standards_Acceptance!$B$9:$B$39,FALSE),MATCH(X$3,Standards_Acceptance!$G$7:$AF$7,FALSE))</f>
        <v>0</v>
      </c>
      <c r="Y51" s="199">
        <f>Y15*INDEX(Standards_Acceptance!$G$9:$AF$39,MATCH($B51,Standards_Acceptance!$B$9:$B$39,FALSE),MATCH(Y$3,Standards_Acceptance!$G$7:$AF$7,FALSE))</f>
        <v>0</v>
      </c>
      <c r="Z51" s="199">
        <f>Z15*INDEX(Standards_Acceptance!$G$9:$AF$39,MATCH($B51,Standards_Acceptance!$B$9:$B$39,FALSE),MATCH(Z$3,Standards_Acceptance!$G$7:$AF$7,FALSE))</f>
        <v>0</v>
      </c>
      <c r="AA51" s="199">
        <f>AA15*INDEX(Standards_Acceptance!$G$9:$AF$39,MATCH($B51,Standards_Acceptance!$B$9:$B$39,FALSE),MATCH(AA$3,Standards_Acceptance!$G$7:$AF$7,FALSE))</f>
        <v>0</v>
      </c>
      <c r="AB51" s="199">
        <f>AB15*INDEX(Standards_Acceptance!$G$9:$AF$39,MATCH($B51,Standards_Acceptance!$B$9:$B$39,FALSE),MATCH(AB$3,Standards_Acceptance!$G$7:$AF$7,FALSE))</f>
        <v>0</v>
      </c>
      <c r="AC51" s="199">
        <f>AC15*INDEX(Standards_Acceptance!$G$9:$AF$39,MATCH($B51,Standards_Acceptance!$B$9:$B$39,FALSE),MATCH(AC$3,Standards_Acceptance!$G$7:$AF$7,FALSE))</f>
        <v>0</v>
      </c>
      <c r="AD51" s="199">
        <f>AD15*INDEX(Standards_Acceptance!$G$9:$AF$39,MATCH($B51,Standards_Acceptance!$B$9:$B$39,FALSE),MATCH(AD$3,Standards_Acceptance!$G$7:$AF$7,FALSE))</f>
        <v>0</v>
      </c>
      <c r="AE51" s="199">
        <f>AE15*INDEX(Standards_Acceptance!$G$9:$AF$39,MATCH($B51,Standards_Acceptance!$B$9:$B$39,FALSE),MATCH(AE$3,Standards_Acceptance!$G$7:$AF$7,FALSE))</f>
        <v>0</v>
      </c>
      <c r="AF51" s="199">
        <f>AF15*INDEX(Standards_Acceptance!$G$9:$AF$39,MATCH($B51,Standards_Acceptance!$B$9:$B$39,FALSE),MATCH(AF$3,Standards_Acceptance!$G$7:$AF$7,FALSE))</f>
        <v>0</v>
      </c>
    </row>
    <row r="52" spans="1:32" x14ac:dyDescent="0.25">
      <c r="A52" s="257"/>
      <c r="B52" s="257" t="s">
        <v>34</v>
      </c>
      <c r="H52" s="199">
        <f>H16*INDEX(Standards_Acceptance!$G$9:$AF$39,MATCH($B52,Standards_Acceptance!$B$9:$B$39,FALSE),MATCH(H$3,Standards_Acceptance!$G$7:$AF$7,FALSE))</f>
        <v>0</v>
      </c>
      <c r="I52" s="199">
        <f>I16*INDEX(Standards_Acceptance!$G$9:$AF$39,MATCH($B52,Standards_Acceptance!$B$9:$B$39,FALSE),MATCH(I$3,Standards_Acceptance!$G$7:$AF$7,FALSE))</f>
        <v>0</v>
      </c>
      <c r="J52" s="199">
        <f>J16*INDEX(Standards_Acceptance!$G$9:$AF$39,MATCH($B52,Standards_Acceptance!$B$9:$B$39,FALSE),MATCH(J$3,Standards_Acceptance!$G$7:$AF$7,FALSE))</f>
        <v>0</v>
      </c>
      <c r="K52" s="199">
        <f>K16*INDEX(Standards_Acceptance!$G$9:$AF$39,MATCH($B52,Standards_Acceptance!$B$9:$B$39,FALSE),MATCH(K$3,Standards_Acceptance!$G$7:$AF$7,FALSE))</f>
        <v>0</v>
      </c>
      <c r="L52" s="199">
        <f>L16*INDEX(Standards_Acceptance!$G$9:$AF$39,MATCH($B52,Standards_Acceptance!$B$9:$B$39,FALSE),MATCH(L$3,Standards_Acceptance!$G$7:$AF$7,FALSE))</f>
        <v>0</v>
      </c>
      <c r="M52" s="199">
        <f>M16*INDEX(Standards_Acceptance!$G$9:$AF$39,MATCH($B52,Standards_Acceptance!$B$9:$B$39,FALSE),MATCH(M$3,Standards_Acceptance!$G$7:$AF$7,FALSE))</f>
        <v>0</v>
      </c>
      <c r="N52" s="199">
        <f>N16*INDEX(Standards_Acceptance!$G$9:$AF$39,MATCH($B52,Standards_Acceptance!$B$9:$B$39,FALSE),MATCH(N$3,Standards_Acceptance!$G$7:$AF$7,FALSE))</f>
        <v>0</v>
      </c>
      <c r="O52" s="199">
        <f>O16*INDEX(Standards_Acceptance!$G$9:$AF$39,MATCH($B52,Standards_Acceptance!$B$9:$B$39,FALSE),MATCH(O$3,Standards_Acceptance!$G$7:$AF$7,FALSE))</f>
        <v>0</v>
      </c>
      <c r="P52" s="199">
        <f>P16*INDEX(Standards_Acceptance!$G$9:$AF$39,MATCH($B52,Standards_Acceptance!$B$9:$B$39,FALSE),MATCH(P$3,Standards_Acceptance!$G$7:$AF$7,FALSE))</f>
        <v>0</v>
      </c>
      <c r="Q52" s="199">
        <f>Q16*INDEX(Standards_Acceptance!$G$9:$AF$39,MATCH($B52,Standards_Acceptance!$B$9:$B$39,FALSE),MATCH(Q$3,Standards_Acceptance!$G$7:$AF$7,FALSE))</f>
        <v>0</v>
      </c>
      <c r="R52" s="199">
        <f>R16*INDEX(Standards_Acceptance!$G$9:$AF$39,MATCH($B52,Standards_Acceptance!$B$9:$B$39,FALSE),MATCH(R$3,Standards_Acceptance!$G$7:$AF$7,FALSE))</f>
        <v>0</v>
      </c>
      <c r="S52" s="199">
        <f>S16*INDEX(Standards_Acceptance!$G$9:$AF$39,MATCH($B52,Standards_Acceptance!$B$9:$B$39,FALSE),MATCH(S$3,Standards_Acceptance!$G$7:$AF$7,FALSE))</f>
        <v>0</v>
      </c>
      <c r="T52" s="199">
        <f>T16*INDEX(Standards_Acceptance!$G$9:$AF$39,MATCH($B52,Standards_Acceptance!$B$9:$B$39,FALSE),MATCH(T$3,Standards_Acceptance!$G$7:$AF$7,FALSE))</f>
        <v>0</v>
      </c>
      <c r="U52" s="199">
        <f>U16*INDEX(Standards_Acceptance!$G$9:$AF$39,MATCH($B52,Standards_Acceptance!$B$9:$B$39,FALSE),MATCH(U$3,Standards_Acceptance!$G$7:$AF$7,FALSE))</f>
        <v>0</v>
      </c>
      <c r="V52" s="199">
        <f>V16*INDEX(Standards_Acceptance!$G$9:$AF$39,MATCH($B52,Standards_Acceptance!$B$9:$B$39,FALSE),MATCH(V$3,Standards_Acceptance!$G$7:$AF$7,FALSE))</f>
        <v>0</v>
      </c>
      <c r="W52" s="199">
        <f>W16*INDEX(Standards_Acceptance!$G$9:$AF$39,MATCH($B52,Standards_Acceptance!$B$9:$B$39,FALSE),MATCH(W$3,Standards_Acceptance!$G$7:$AF$7,FALSE))</f>
        <v>0</v>
      </c>
      <c r="X52" s="199">
        <f>X16*INDEX(Standards_Acceptance!$G$9:$AF$39,MATCH($B52,Standards_Acceptance!$B$9:$B$39,FALSE),MATCH(X$3,Standards_Acceptance!$G$7:$AF$7,FALSE))</f>
        <v>0</v>
      </c>
      <c r="Y52" s="199">
        <f>Y16*INDEX(Standards_Acceptance!$G$9:$AF$39,MATCH($B52,Standards_Acceptance!$B$9:$B$39,FALSE),MATCH(Y$3,Standards_Acceptance!$G$7:$AF$7,FALSE))</f>
        <v>0</v>
      </c>
      <c r="Z52" s="199">
        <f>Z16*INDEX(Standards_Acceptance!$G$9:$AF$39,MATCH($B52,Standards_Acceptance!$B$9:$B$39,FALSE),MATCH(Z$3,Standards_Acceptance!$G$7:$AF$7,FALSE))</f>
        <v>0</v>
      </c>
      <c r="AA52" s="199">
        <f>AA16*INDEX(Standards_Acceptance!$G$9:$AF$39,MATCH($B52,Standards_Acceptance!$B$9:$B$39,FALSE),MATCH(AA$3,Standards_Acceptance!$G$7:$AF$7,FALSE))</f>
        <v>0</v>
      </c>
      <c r="AB52" s="199">
        <f>AB16*INDEX(Standards_Acceptance!$G$9:$AF$39,MATCH($B52,Standards_Acceptance!$B$9:$B$39,FALSE),MATCH(AB$3,Standards_Acceptance!$G$7:$AF$7,FALSE))</f>
        <v>0</v>
      </c>
      <c r="AC52" s="199">
        <f>AC16*INDEX(Standards_Acceptance!$G$9:$AF$39,MATCH($B52,Standards_Acceptance!$B$9:$B$39,FALSE),MATCH(AC$3,Standards_Acceptance!$G$7:$AF$7,FALSE))</f>
        <v>0</v>
      </c>
      <c r="AD52" s="199">
        <f>AD16*INDEX(Standards_Acceptance!$G$9:$AF$39,MATCH($B52,Standards_Acceptance!$B$9:$B$39,FALSE),MATCH(AD$3,Standards_Acceptance!$G$7:$AF$7,FALSE))</f>
        <v>0</v>
      </c>
      <c r="AE52" s="199">
        <f>AE16*INDEX(Standards_Acceptance!$G$9:$AF$39,MATCH($B52,Standards_Acceptance!$B$9:$B$39,FALSE),MATCH(AE$3,Standards_Acceptance!$G$7:$AF$7,FALSE))</f>
        <v>0</v>
      </c>
      <c r="AF52" s="199">
        <f>AF16*INDEX(Standards_Acceptance!$G$9:$AF$39,MATCH($B52,Standards_Acceptance!$B$9:$B$39,FALSE),MATCH(AF$3,Standards_Acceptance!$G$7:$AF$7,FALSE))</f>
        <v>0</v>
      </c>
    </row>
    <row r="53" spans="1:32" x14ac:dyDescent="0.25">
      <c r="A53" s="252"/>
      <c r="B53" s="257" t="s">
        <v>35</v>
      </c>
      <c r="H53" s="199">
        <f>H17*INDEX(Standards_Acceptance!$G$9:$AF$39,MATCH($B53,Standards_Acceptance!$B$9:$B$39,FALSE),MATCH(H$3,Standards_Acceptance!$G$7:$AF$7,FALSE))</f>
        <v>0</v>
      </c>
      <c r="I53" s="199">
        <f>I17*INDEX(Standards_Acceptance!$G$9:$AF$39,MATCH($B53,Standards_Acceptance!$B$9:$B$39,FALSE),MATCH(I$3,Standards_Acceptance!$G$7:$AF$7,FALSE))</f>
        <v>0</v>
      </c>
      <c r="J53" s="199">
        <f>J17*INDEX(Standards_Acceptance!$G$9:$AF$39,MATCH($B53,Standards_Acceptance!$B$9:$B$39,FALSE),MATCH(J$3,Standards_Acceptance!$G$7:$AF$7,FALSE))</f>
        <v>0</v>
      </c>
      <c r="K53" s="199">
        <f>K17*INDEX(Standards_Acceptance!$G$9:$AF$39,MATCH($B53,Standards_Acceptance!$B$9:$B$39,FALSE),MATCH(K$3,Standards_Acceptance!$G$7:$AF$7,FALSE))</f>
        <v>0</v>
      </c>
      <c r="L53" s="199">
        <f>L17*INDEX(Standards_Acceptance!$G$9:$AF$39,MATCH($B53,Standards_Acceptance!$B$9:$B$39,FALSE),MATCH(L$3,Standards_Acceptance!$G$7:$AF$7,FALSE))</f>
        <v>0</v>
      </c>
      <c r="M53" s="199">
        <f>M17*INDEX(Standards_Acceptance!$G$9:$AF$39,MATCH($B53,Standards_Acceptance!$B$9:$B$39,FALSE),MATCH(M$3,Standards_Acceptance!$G$7:$AF$7,FALSE))</f>
        <v>0</v>
      </c>
      <c r="N53" s="199">
        <f>N17*INDEX(Standards_Acceptance!$G$9:$AF$39,MATCH($B53,Standards_Acceptance!$B$9:$B$39,FALSE),MATCH(N$3,Standards_Acceptance!$G$7:$AF$7,FALSE))</f>
        <v>0</v>
      </c>
      <c r="O53" s="199">
        <f>O17*INDEX(Standards_Acceptance!$G$9:$AF$39,MATCH($B53,Standards_Acceptance!$B$9:$B$39,FALSE),MATCH(O$3,Standards_Acceptance!$G$7:$AF$7,FALSE))</f>
        <v>0</v>
      </c>
      <c r="P53" s="199">
        <f>P17*INDEX(Standards_Acceptance!$G$9:$AF$39,MATCH($B53,Standards_Acceptance!$B$9:$B$39,FALSE),MATCH(P$3,Standards_Acceptance!$G$7:$AF$7,FALSE))</f>
        <v>0</v>
      </c>
      <c r="Q53" s="199">
        <f>Q17*INDEX(Standards_Acceptance!$G$9:$AF$39,MATCH($B53,Standards_Acceptance!$B$9:$B$39,FALSE),MATCH(Q$3,Standards_Acceptance!$G$7:$AF$7,FALSE))</f>
        <v>0</v>
      </c>
      <c r="R53" s="199">
        <f>R17*INDEX(Standards_Acceptance!$G$9:$AF$39,MATCH($B53,Standards_Acceptance!$B$9:$B$39,FALSE),MATCH(R$3,Standards_Acceptance!$G$7:$AF$7,FALSE))</f>
        <v>0</v>
      </c>
      <c r="S53" s="199">
        <f>S17*INDEX(Standards_Acceptance!$G$9:$AF$39,MATCH($B53,Standards_Acceptance!$B$9:$B$39,FALSE),MATCH(S$3,Standards_Acceptance!$G$7:$AF$7,FALSE))</f>
        <v>0</v>
      </c>
      <c r="T53" s="199">
        <f>T17*INDEX(Standards_Acceptance!$G$9:$AF$39,MATCH($B53,Standards_Acceptance!$B$9:$B$39,FALSE),MATCH(T$3,Standards_Acceptance!$G$7:$AF$7,FALSE))</f>
        <v>0</v>
      </c>
      <c r="U53" s="199">
        <f>U17*INDEX(Standards_Acceptance!$G$9:$AF$39,MATCH($B53,Standards_Acceptance!$B$9:$B$39,FALSE),MATCH(U$3,Standards_Acceptance!$G$7:$AF$7,FALSE))</f>
        <v>0</v>
      </c>
      <c r="V53" s="199">
        <f>V17*INDEX(Standards_Acceptance!$G$9:$AF$39,MATCH($B53,Standards_Acceptance!$B$9:$B$39,FALSE),MATCH(V$3,Standards_Acceptance!$G$7:$AF$7,FALSE))</f>
        <v>0</v>
      </c>
      <c r="W53" s="199">
        <f>W17*INDEX(Standards_Acceptance!$G$9:$AF$39,MATCH($B53,Standards_Acceptance!$B$9:$B$39,FALSE),MATCH(W$3,Standards_Acceptance!$G$7:$AF$7,FALSE))</f>
        <v>0</v>
      </c>
      <c r="X53" s="199">
        <f>X17*INDEX(Standards_Acceptance!$G$9:$AF$39,MATCH($B53,Standards_Acceptance!$B$9:$B$39,FALSE),MATCH(X$3,Standards_Acceptance!$G$7:$AF$7,FALSE))</f>
        <v>0</v>
      </c>
      <c r="Y53" s="199">
        <f>Y17*INDEX(Standards_Acceptance!$G$9:$AF$39,MATCH($B53,Standards_Acceptance!$B$9:$B$39,FALSE),MATCH(Y$3,Standards_Acceptance!$G$7:$AF$7,FALSE))</f>
        <v>0</v>
      </c>
      <c r="Z53" s="199">
        <f>Z17*INDEX(Standards_Acceptance!$G$9:$AF$39,MATCH($B53,Standards_Acceptance!$B$9:$B$39,FALSE),MATCH(Z$3,Standards_Acceptance!$G$7:$AF$7,FALSE))</f>
        <v>0</v>
      </c>
      <c r="AA53" s="199">
        <f>AA17*INDEX(Standards_Acceptance!$G$9:$AF$39,MATCH($B53,Standards_Acceptance!$B$9:$B$39,FALSE),MATCH(AA$3,Standards_Acceptance!$G$7:$AF$7,FALSE))</f>
        <v>0</v>
      </c>
      <c r="AB53" s="199">
        <f>AB17*INDEX(Standards_Acceptance!$G$9:$AF$39,MATCH($B53,Standards_Acceptance!$B$9:$B$39,FALSE),MATCH(AB$3,Standards_Acceptance!$G$7:$AF$7,FALSE))</f>
        <v>0</v>
      </c>
      <c r="AC53" s="199">
        <f>AC17*INDEX(Standards_Acceptance!$G$9:$AF$39,MATCH($B53,Standards_Acceptance!$B$9:$B$39,FALSE),MATCH(AC$3,Standards_Acceptance!$G$7:$AF$7,FALSE))</f>
        <v>0</v>
      </c>
      <c r="AD53" s="199">
        <f>AD17*INDEX(Standards_Acceptance!$G$9:$AF$39,MATCH($B53,Standards_Acceptance!$B$9:$B$39,FALSE),MATCH(AD$3,Standards_Acceptance!$G$7:$AF$7,FALSE))</f>
        <v>0</v>
      </c>
      <c r="AE53" s="199">
        <f>AE17*INDEX(Standards_Acceptance!$G$9:$AF$39,MATCH($B53,Standards_Acceptance!$B$9:$B$39,FALSE),MATCH(AE$3,Standards_Acceptance!$G$7:$AF$7,FALSE))</f>
        <v>0</v>
      </c>
      <c r="AF53" s="199">
        <f>AF17*INDEX(Standards_Acceptance!$G$9:$AF$39,MATCH($B53,Standards_Acceptance!$B$9:$B$39,FALSE),MATCH(AF$3,Standards_Acceptance!$G$7:$AF$7,FALSE))</f>
        <v>0</v>
      </c>
    </row>
    <row r="54" spans="1:32" x14ac:dyDescent="0.25">
      <c r="A54" s="252"/>
      <c r="B54" s="257" t="s">
        <v>29</v>
      </c>
      <c r="H54" s="199">
        <f>H18*INDEX(Standards_Acceptance!$G$9:$AF$39,MATCH($B54,Standards_Acceptance!$B$9:$B$39,FALSE),MATCH(H$3,Standards_Acceptance!$G$7:$AF$7,FALSE))</f>
        <v>0</v>
      </c>
      <c r="I54" s="199">
        <f>I18*INDEX(Standards_Acceptance!$G$9:$AF$39,MATCH($B54,Standards_Acceptance!$B$9:$B$39,FALSE),MATCH(I$3,Standards_Acceptance!$G$7:$AF$7,FALSE))</f>
        <v>0</v>
      </c>
      <c r="J54" s="199">
        <f>J18*INDEX(Standards_Acceptance!$G$9:$AF$39,MATCH($B54,Standards_Acceptance!$B$9:$B$39,FALSE),MATCH(J$3,Standards_Acceptance!$G$7:$AF$7,FALSE))</f>
        <v>0</v>
      </c>
      <c r="K54" s="199">
        <f>K18*INDEX(Standards_Acceptance!$G$9:$AF$39,MATCH($B54,Standards_Acceptance!$B$9:$B$39,FALSE),MATCH(K$3,Standards_Acceptance!$G$7:$AF$7,FALSE))</f>
        <v>0</v>
      </c>
      <c r="L54" s="199">
        <f>L18*INDEX(Standards_Acceptance!$G$9:$AF$39,MATCH($B54,Standards_Acceptance!$B$9:$B$39,FALSE),MATCH(L$3,Standards_Acceptance!$G$7:$AF$7,FALSE))</f>
        <v>0</v>
      </c>
      <c r="M54" s="199">
        <f>M18*INDEX(Standards_Acceptance!$G$9:$AF$39,MATCH($B54,Standards_Acceptance!$B$9:$B$39,FALSE),MATCH(M$3,Standards_Acceptance!$G$7:$AF$7,FALSE))</f>
        <v>0</v>
      </c>
      <c r="N54" s="199">
        <f>N18*INDEX(Standards_Acceptance!$G$9:$AF$39,MATCH($B54,Standards_Acceptance!$B$9:$B$39,FALSE),MATCH(N$3,Standards_Acceptance!$G$7:$AF$7,FALSE))</f>
        <v>0</v>
      </c>
      <c r="O54" s="199">
        <f>O18*INDEX(Standards_Acceptance!$G$9:$AF$39,MATCH($B54,Standards_Acceptance!$B$9:$B$39,FALSE),MATCH(O$3,Standards_Acceptance!$G$7:$AF$7,FALSE))</f>
        <v>0</v>
      </c>
      <c r="P54" s="199">
        <f>P18*INDEX(Standards_Acceptance!$G$9:$AF$39,MATCH($B54,Standards_Acceptance!$B$9:$B$39,FALSE),MATCH(P$3,Standards_Acceptance!$G$7:$AF$7,FALSE))</f>
        <v>0</v>
      </c>
      <c r="Q54" s="199">
        <f>Q18*INDEX(Standards_Acceptance!$G$9:$AF$39,MATCH($B54,Standards_Acceptance!$B$9:$B$39,FALSE),MATCH(Q$3,Standards_Acceptance!$G$7:$AF$7,FALSE))</f>
        <v>0</v>
      </c>
      <c r="R54" s="199">
        <f>R18*INDEX(Standards_Acceptance!$G$9:$AF$39,MATCH($B54,Standards_Acceptance!$B$9:$B$39,FALSE),MATCH(R$3,Standards_Acceptance!$G$7:$AF$7,FALSE))</f>
        <v>0</v>
      </c>
      <c r="S54" s="199">
        <f>S18*INDEX(Standards_Acceptance!$G$9:$AF$39,MATCH($B54,Standards_Acceptance!$B$9:$B$39,FALSE),MATCH(S$3,Standards_Acceptance!$G$7:$AF$7,FALSE))</f>
        <v>0</v>
      </c>
      <c r="T54" s="199">
        <f>T18*INDEX(Standards_Acceptance!$G$9:$AF$39,MATCH($B54,Standards_Acceptance!$B$9:$B$39,FALSE),MATCH(T$3,Standards_Acceptance!$G$7:$AF$7,FALSE))</f>
        <v>0</v>
      </c>
      <c r="U54" s="199">
        <f>U18*INDEX(Standards_Acceptance!$G$9:$AF$39,MATCH($B54,Standards_Acceptance!$B$9:$B$39,FALSE),MATCH(U$3,Standards_Acceptance!$G$7:$AF$7,FALSE))</f>
        <v>0</v>
      </c>
      <c r="V54" s="199">
        <f>V18*INDEX(Standards_Acceptance!$G$9:$AF$39,MATCH($B54,Standards_Acceptance!$B$9:$B$39,FALSE),MATCH(V$3,Standards_Acceptance!$G$7:$AF$7,FALSE))</f>
        <v>0</v>
      </c>
      <c r="W54" s="199">
        <f>W18*INDEX(Standards_Acceptance!$G$9:$AF$39,MATCH($B54,Standards_Acceptance!$B$9:$B$39,FALSE),MATCH(W$3,Standards_Acceptance!$G$7:$AF$7,FALSE))</f>
        <v>0</v>
      </c>
      <c r="X54" s="199">
        <f>X18*INDEX(Standards_Acceptance!$G$9:$AF$39,MATCH($B54,Standards_Acceptance!$B$9:$B$39,FALSE),MATCH(X$3,Standards_Acceptance!$G$7:$AF$7,FALSE))</f>
        <v>0</v>
      </c>
      <c r="Y54" s="199">
        <f>Y18*INDEX(Standards_Acceptance!$G$9:$AF$39,MATCH($B54,Standards_Acceptance!$B$9:$B$39,FALSE),MATCH(Y$3,Standards_Acceptance!$G$7:$AF$7,FALSE))</f>
        <v>0</v>
      </c>
      <c r="Z54" s="199">
        <f>Z18*INDEX(Standards_Acceptance!$G$9:$AF$39,MATCH($B54,Standards_Acceptance!$B$9:$B$39,FALSE),MATCH(Z$3,Standards_Acceptance!$G$7:$AF$7,FALSE))</f>
        <v>0</v>
      </c>
      <c r="AA54" s="199">
        <f>AA18*INDEX(Standards_Acceptance!$G$9:$AF$39,MATCH($B54,Standards_Acceptance!$B$9:$B$39,FALSE),MATCH(AA$3,Standards_Acceptance!$G$7:$AF$7,FALSE))</f>
        <v>0</v>
      </c>
      <c r="AB54" s="199">
        <f>AB18*INDEX(Standards_Acceptance!$G$9:$AF$39,MATCH($B54,Standards_Acceptance!$B$9:$B$39,FALSE),MATCH(AB$3,Standards_Acceptance!$G$7:$AF$7,FALSE))</f>
        <v>0</v>
      </c>
      <c r="AC54" s="199">
        <f>AC18*INDEX(Standards_Acceptance!$G$9:$AF$39,MATCH($B54,Standards_Acceptance!$B$9:$B$39,FALSE),MATCH(AC$3,Standards_Acceptance!$G$7:$AF$7,FALSE))</f>
        <v>0</v>
      </c>
      <c r="AD54" s="199">
        <f>AD18*INDEX(Standards_Acceptance!$G$9:$AF$39,MATCH($B54,Standards_Acceptance!$B$9:$B$39,FALSE),MATCH(AD$3,Standards_Acceptance!$G$7:$AF$7,FALSE))</f>
        <v>0</v>
      </c>
      <c r="AE54" s="199">
        <f>AE18*INDEX(Standards_Acceptance!$G$9:$AF$39,MATCH($B54,Standards_Acceptance!$B$9:$B$39,FALSE),MATCH(AE$3,Standards_Acceptance!$G$7:$AF$7,FALSE))</f>
        <v>0</v>
      </c>
      <c r="AF54" s="199">
        <f>AF18*INDEX(Standards_Acceptance!$G$9:$AF$39,MATCH($B54,Standards_Acceptance!$B$9:$B$39,FALSE),MATCH(AF$3,Standards_Acceptance!$G$7:$AF$7,FALSE))</f>
        <v>0</v>
      </c>
    </row>
    <row r="55" spans="1:32" x14ac:dyDescent="0.25">
      <c r="A55" s="252"/>
      <c r="B55" s="252"/>
    </row>
    <row r="56" spans="1:32" x14ac:dyDescent="0.25">
      <c r="A56" s="267" t="s">
        <v>36</v>
      </c>
      <c r="B56" s="267"/>
      <c r="C56" s="267"/>
      <c r="D56" s="267"/>
      <c r="E56" s="267"/>
      <c r="F56" s="267"/>
      <c r="G56" s="267"/>
      <c r="H56" s="267"/>
      <c r="I56" s="267"/>
      <c r="J56" s="267"/>
      <c r="K56" s="267"/>
      <c r="L56" s="267"/>
      <c r="M56" s="267"/>
      <c r="N56" s="267"/>
      <c r="O56" s="267"/>
      <c r="P56" s="267"/>
      <c r="Q56" s="267"/>
      <c r="R56" s="267"/>
      <c r="S56" s="267"/>
      <c r="T56" s="267"/>
      <c r="U56" s="267"/>
      <c r="V56" s="267"/>
      <c r="W56" s="267"/>
      <c r="X56" s="267"/>
      <c r="Y56" s="267"/>
      <c r="Z56" s="267"/>
      <c r="AA56" s="267"/>
      <c r="AB56" s="267"/>
      <c r="AC56" s="267"/>
      <c r="AD56" s="267"/>
      <c r="AE56" s="267"/>
      <c r="AF56" s="267"/>
    </row>
    <row r="57" spans="1:32" x14ac:dyDescent="0.25">
      <c r="A57" s="252"/>
      <c r="B57" s="252" t="s">
        <v>37</v>
      </c>
      <c r="E57" s="199"/>
      <c r="H57" s="199">
        <f>H21*INDEX(Standards_Acceptance!$G$9:$AF$39,MATCH($B57,Standards_Acceptance!$B$9:$B$39,FALSE),MATCH(H$3,Standards_Acceptance!$G$7:$AF$7,FALSE))</f>
        <v>0.63527681724942031</v>
      </c>
      <c r="I57" s="199">
        <f>I21*INDEX(Standards_Acceptance!$G$9:$AF$39,MATCH($B57,Standards_Acceptance!$B$9:$B$39,FALSE),MATCH(I$3,Standards_Acceptance!$G$7:$AF$7,FALSE))</f>
        <v>0.49794211720487891</v>
      </c>
      <c r="J57" s="199">
        <f>J21*INDEX(Standards_Acceptance!$G$9:$AF$39,MATCH($B57,Standards_Acceptance!$B$9:$B$39,FALSE),MATCH(J$3,Standards_Acceptance!$G$7:$AF$7,FALSE))</f>
        <v>0.37247170735219937</v>
      </c>
      <c r="K57" s="199">
        <f>K21*INDEX(Standards_Acceptance!$G$9:$AF$39,MATCH($B57,Standards_Acceptance!$B$9:$B$39,FALSE),MATCH(K$3,Standards_Acceptance!$G$7:$AF$7,FALSE))</f>
        <v>0.25961647802993681</v>
      </c>
      <c r="L57" s="199">
        <f>L21*INDEX(Standards_Acceptance!$G$9:$AF$39,MATCH($B57,Standards_Acceptance!$B$9:$B$39,FALSE),MATCH(L$3,Standards_Acceptance!$G$7:$AF$7,FALSE))</f>
        <v>0.23977314923062346</v>
      </c>
      <c r="M57" s="199">
        <f>M21*INDEX(Standards_Acceptance!$G$9:$AF$39,MATCH($B57,Standards_Acceptance!$B$9:$B$39,FALSE),MATCH(M$3,Standards_Acceptance!$G$7:$AF$7,FALSE))</f>
        <v>0.22134226847820837</v>
      </c>
      <c r="N57" s="199">
        <f>N21*INDEX(Standards_Acceptance!$G$9:$AF$39,MATCH($B57,Standards_Acceptance!$B$9:$B$39,FALSE),MATCH(N$3,Standards_Acceptance!$G$7:$AF$7,FALSE))</f>
        <v>0.20423422289326601</v>
      </c>
      <c r="O57" s="199">
        <f>O21*INDEX(Standards_Acceptance!$G$9:$AF$39,MATCH($B57,Standards_Acceptance!$B$9:$B$39,FALSE),MATCH(O$3,Standards_Acceptance!$G$7:$AF$7,FALSE))</f>
        <v>0.18840343039348728</v>
      </c>
      <c r="P57" s="199">
        <f>P21*INDEX(Standards_Acceptance!$G$9:$AF$39,MATCH($B57,Standards_Acceptance!$B$9:$B$39,FALSE),MATCH(P$3,Standards_Acceptance!$G$7:$AF$7,FALSE))</f>
        <v>0.17383545713058129</v>
      </c>
      <c r="Q57" s="199">
        <f>Q21*INDEX(Standards_Acceptance!$G$9:$AF$39,MATCH($B57,Standards_Acceptance!$B$9:$B$39,FALSE),MATCH(Q$3,Standards_Acceptance!$G$7:$AF$7,FALSE))</f>
        <v>0.16042632859097811</v>
      </c>
      <c r="R57" s="199">
        <f>R21*INDEX(Standards_Acceptance!$G$9:$AF$39,MATCH($B57,Standards_Acceptance!$B$9:$B$39,FALSE),MATCH(R$3,Standards_Acceptance!$G$7:$AF$7,FALSE))</f>
        <v>0.14808068882456502</v>
      </c>
      <c r="S57" s="199">
        <f>S21*INDEX(Standards_Acceptance!$G$9:$AF$39,MATCH($B57,Standards_Acceptance!$B$9:$B$39,FALSE),MATCH(S$3,Standards_Acceptance!$G$7:$AF$7,FALSE))</f>
        <v>0.13671127420808654</v>
      </c>
      <c r="T57" s="199">
        <f>T21*INDEX(Standards_Acceptance!$G$9:$AF$39,MATCH($B57,Standards_Acceptance!$B$9:$B$39,FALSE),MATCH(T$3,Standards_Acceptance!$G$7:$AF$7,FALSE))</f>
        <v>0.1262384130529457</v>
      </c>
      <c r="U57" s="199">
        <f>U21*INDEX(Standards_Acceptance!$G$9:$AF$39,MATCH($B57,Standards_Acceptance!$B$9:$B$39,FALSE),MATCH(U$3,Standards_Acceptance!$G$7:$AF$7,FALSE))</f>
        <v>0.11658907252988356</v>
      </c>
      <c r="V57" s="199">
        <f>V21*INDEX(Standards_Acceptance!$G$9:$AF$39,MATCH($B57,Standards_Acceptance!$B$9:$B$39,FALSE),MATCH(V$3,Standards_Acceptance!$G$7:$AF$7,FALSE))</f>
        <v>0.10769637865404268</v>
      </c>
      <c r="W57" s="199">
        <f>W21*INDEX(Standards_Acceptance!$G$9:$AF$39,MATCH($B57,Standards_Acceptance!$B$9:$B$39,FALSE),MATCH(W$3,Standards_Acceptance!$G$7:$AF$7,FALSE))</f>
        <v>9.9499166745920575E-2</v>
      </c>
      <c r="X57" s="199">
        <f>X21*INDEX(Standards_Acceptance!$G$9:$AF$39,MATCH($B57,Standards_Acceptance!$B$9:$B$39,FALSE),MATCH(X$3,Standards_Acceptance!$G$7:$AF$7,FALSE))</f>
        <v>9.194131566770411E-2</v>
      </c>
      <c r="Y57" s="199">
        <f>Y21*INDEX(Standards_Acceptance!$G$9:$AF$39,MATCH($B57,Standards_Acceptance!$B$9:$B$39,FALSE),MATCH(Y$3,Standards_Acceptance!$G$7:$AF$7,FALSE))</f>
        <v>8.4971409830600503E-2</v>
      </c>
      <c r="Z57" s="199">
        <f>Z21*INDEX(Standards_Acceptance!$G$9:$AF$39,MATCH($B57,Standards_Acceptance!$B$9:$B$39,FALSE),MATCH(Z$3,Standards_Acceptance!$G$7:$AF$7,FALSE))</f>
        <v>7.8542325554505632E-2</v>
      </c>
      <c r="AA57" s="199">
        <f>AA21*INDEX(Standards_Acceptance!$G$9:$AF$39,MATCH($B57,Standards_Acceptance!$B$9:$B$39,FALSE),MATCH(AA$3,Standards_Acceptance!$G$7:$AF$7,FALSE))</f>
        <v>7.2610891334012162E-2</v>
      </c>
      <c r="AB57" s="199">
        <f>AB21*INDEX(Standards_Acceptance!$G$9:$AF$39,MATCH($B57,Standards_Acceptance!$B$9:$B$39,FALSE),MATCH(AB$3,Standards_Acceptance!$G$7:$AF$7,FALSE))</f>
        <v>6.7137514111647617E-2</v>
      </c>
      <c r="AC57" s="199">
        <f>AC21*INDEX(Standards_Acceptance!$G$9:$AF$39,MATCH($B57,Standards_Acceptance!$B$9:$B$39,FALSE),MATCH(AC$3,Standards_Acceptance!$G$7:$AF$7,FALSE))</f>
        <v>6.2085829442717635E-2</v>
      </c>
      <c r="AD57" s="199">
        <f>AD21*INDEX(Standards_Acceptance!$G$9:$AF$39,MATCH($B57,Standards_Acceptance!$B$9:$B$39,FALSE),MATCH(AD$3,Standards_Acceptance!$G$7:$AF$7,FALSE))</f>
        <v>5.7422433148890561E-2</v>
      </c>
      <c r="AE57" s="199">
        <f>AE21*INDEX(Standards_Acceptance!$G$9:$AF$39,MATCH($B57,Standards_Acceptance!$B$9:$B$39,FALSE),MATCH(AE$3,Standards_Acceptance!$G$7:$AF$7,FALSE))</f>
        <v>5.3116675831415612E-2</v>
      </c>
      <c r="AF57" s="199">
        <f>AF21*INDEX(Standards_Acceptance!$G$9:$AF$39,MATCH($B57,Standards_Acceptance!$B$9:$B$39,FALSE),MATCH(AF$3,Standards_Acceptance!$G$7:$AF$7,FALSE))</f>
        <v>4.914039962462155E-2</v>
      </c>
    </row>
    <row r="58" spans="1:32" x14ac:dyDescent="0.25">
      <c r="A58" s="252"/>
      <c r="B58" s="252" t="s">
        <v>39</v>
      </c>
      <c r="H58" s="199">
        <f>H22*INDEX(Standards_Acceptance!$G$9:$AF$39,MATCH($B58,Standards_Acceptance!$B$9:$B$39,FALSE),MATCH(H$3,Standards_Acceptance!$G$7:$AF$7,FALSE))</f>
        <v>0.11941071041661037</v>
      </c>
      <c r="I58" s="199">
        <f>I22*INDEX(Standards_Acceptance!$G$9:$AF$39,MATCH($B58,Standards_Acceptance!$B$9:$B$39,FALSE),MATCH(I$3,Standards_Acceptance!$G$7:$AF$7,FALSE))</f>
        <v>0.15896394800531172</v>
      </c>
      <c r="J58" s="199">
        <f>J22*INDEX(Standards_Acceptance!$G$9:$AF$39,MATCH($B58,Standards_Acceptance!$B$9:$B$39,FALSE),MATCH(J$3,Standards_Acceptance!$G$7:$AF$7,FALSE))</f>
        <v>0.19610401104423728</v>
      </c>
      <c r="K58" s="199">
        <f>K22*INDEX(Standards_Acceptance!$G$9:$AF$39,MATCH($B58,Standards_Acceptance!$B$9:$B$39,FALSE),MATCH(K$3,Standards_Acceptance!$G$7:$AF$7,FALSE))</f>
        <v>0.22990013471968807</v>
      </c>
      <c r="L58" s="199">
        <f>L22*INDEX(Standards_Acceptance!$G$9:$AF$39,MATCH($B58,Standards_Acceptance!$B$9:$B$39,FALSE),MATCH(L$3,Standards_Acceptance!$G$7:$AF$7,FALSE))</f>
        <v>0.25913334537583099</v>
      </c>
      <c r="M58" s="199">
        <f>M22*INDEX(Standards_Acceptance!$G$9:$AF$39,MATCH($B58,Standards_Acceptance!$B$9:$B$39,FALSE),MATCH(M$3,Standards_Acceptance!$G$7:$AF$7,FALSE))</f>
        <v>0.28244183663952338</v>
      </c>
      <c r="N58" s="199">
        <f>N22*INDEX(Standards_Acceptance!$G$9:$AF$39,MATCH($B58,Standards_Acceptance!$B$9:$B$39,FALSE),MATCH(N$3,Standards_Acceptance!$G$7:$AF$7,FALSE))</f>
        <v>0.29999584487826919</v>
      </c>
      <c r="O58" s="199">
        <f>O22*INDEX(Standards_Acceptance!$G$9:$AF$39,MATCH($B58,Standards_Acceptance!$B$9:$B$39,FALSE),MATCH(O$3,Standards_Acceptance!$G$7:$AF$7,FALSE))</f>
        <v>0.31230826088490121</v>
      </c>
      <c r="P58" s="199">
        <f>P22*INDEX(Standards_Acceptance!$G$9:$AF$39,MATCH($B58,Standards_Acceptance!$B$9:$B$39,FALSE),MATCH(P$3,Standards_Acceptance!$G$7:$AF$7,FALSE))</f>
        <v>0.32002392258578605</v>
      </c>
      <c r="Q58" s="199">
        <f>Q22*INDEX(Standards_Acceptance!$G$9:$AF$39,MATCH($B58,Standards_Acceptance!$B$9:$B$39,FALSE),MATCH(Q$3,Standards_Acceptance!$G$7:$AF$7,FALSE))</f>
        <v>0.32396958561158051</v>
      </c>
      <c r="R58" s="199">
        <f>R22*INDEX(Standards_Acceptance!$G$9:$AF$39,MATCH($B58,Standards_Acceptance!$B$9:$B$39,FALSE),MATCH(R$3,Standards_Acceptance!$G$7:$AF$7,FALSE))</f>
        <v>0.32480779074755328</v>
      </c>
      <c r="S58" s="199">
        <f>S22*INDEX(Standards_Acceptance!$G$9:$AF$39,MATCH($B58,Standards_Acceptance!$B$9:$B$39,FALSE),MATCH(S$3,Standards_Acceptance!$G$7:$AF$7,FALSE))</f>
        <v>0.32310844550442602</v>
      </c>
      <c r="T58" s="199">
        <f>T22*INDEX(Standards_Acceptance!$G$9:$AF$39,MATCH($B58,Standards_Acceptance!$B$9:$B$39,FALSE),MATCH(T$3,Standards_Acceptance!$G$7:$AF$7,FALSE))</f>
        <v>0.31949508275697008</v>
      </c>
      <c r="U58" s="199">
        <f>U22*INDEX(Standards_Acceptance!$G$9:$AF$39,MATCH($B58,Standards_Acceptance!$B$9:$B$39,FALSE),MATCH(U$3,Standards_Acceptance!$G$7:$AF$7,FALSE))</f>
        <v>0.31440787060778785</v>
      </c>
      <c r="V58" s="199">
        <f>V22*INDEX(Standards_Acceptance!$G$9:$AF$39,MATCH($B58,Standards_Acceptance!$B$9:$B$39,FALSE),MATCH(V$3,Standards_Acceptance!$G$7:$AF$7,FALSE))</f>
        <v>0.30820378375990276</v>
      </c>
      <c r="W58" s="199">
        <f>W22*INDEX(Standards_Acceptance!$G$9:$AF$39,MATCH($B58,Standards_Acceptance!$B$9:$B$39,FALSE),MATCH(W$3,Standards_Acceptance!$G$7:$AF$7,FALSE))</f>
        <v>0.30123370461565768</v>
      </c>
      <c r="X58" s="199">
        <f>X22*INDEX(Standards_Acceptance!$G$9:$AF$39,MATCH($B58,Standards_Acceptance!$B$9:$B$39,FALSE),MATCH(X$3,Standards_Acceptance!$G$7:$AF$7,FALSE))</f>
        <v>0.29371369275005715</v>
      </c>
      <c r="Y58" s="199">
        <f>Y22*INDEX(Standards_Acceptance!$G$9:$AF$39,MATCH($B58,Standards_Acceptance!$B$9:$B$39,FALSE),MATCH(Y$3,Standards_Acceptance!$G$7:$AF$7,FALSE))</f>
        <v>0.28581992618244562</v>
      </c>
      <c r="Z58" s="199">
        <f>Z22*INDEX(Standards_Acceptance!$G$9:$AF$39,MATCH($B58,Standards_Acceptance!$B$9:$B$39,FALSE),MATCH(Z$3,Standards_Acceptance!$G$7:$AF$7,FALSE))</f>
        <v>0.2776962309313637</v>
      </c>
      <c r="AA58" s="199">
        <f>AA22*INDEX(Standards_Acceptance!$G$9:$AF$39,MATCH($B58,Standards_Acceptance!$B$9:$B$39,FALSE),MATCH(AA$3,Standards_Acceptance!$G$7:$AF$7,FALSE))</f>
        <v>0.26948971181228415</v>
      </c>
      <c r="AB58" s="199">
        <f>AB22*INDEX(Standards_Acceptance!$G$9:$AF$39,MATCH($B58,Standards_Acceptance!$B$9:$B$39,FALSE),MATCH(AB$3,Standards_Acceptance!$G$7:$AF$7,FALSE))</f>
        <v>0.26132566718629113</v>
      </c>
      <c r="AC58" s="199">
        <f>AC22*INDEX(Standards_Acceptance!$G$9:$AF$39,MATCH($B58,Standards_Acceptance!$B$9:$B$39,FALSE),MATCH(AC$3,Standards_Acceptance!$G$7:$AF$7,FALSE))</f>
        <v>0.25328055257192383</v>
      </c>
      <c r="AD58" s="199">
        <f>AD22*INDEX(Standards_Acceptance!$G$9:$AF$39,MATCH($B58,Standards_Acceptance!$B$9:$B$39,FALSE),MATCH(AD$3,Standards_Acceptance!$G$7:$AF$7,FALSE))</f>
        <v>0.24537173500032317</v>
      </c>
      <c r="AE58" s="199">
        <f>AE22*INDEX(Standards_Acceptance!$G$9:$AF$39,MATCH($B58,Standards_Acceptance!$B$9:$B$39,FALSE),MATCH(AE$3,Standards_Acceptance!$G$7:$AF$7,FALSE))</f>
        <v>0.23763282815245126</v>
      </c>
      <c r="AF58" s="199">
        <f>AF22*INDEX(Standards_Acceptance!$G$9:$AF$39,MATCH($B58,Standards_Acceptance!$B$9:$B$39,FALSE),MATCH(AF$3,Standards_Acceptance!$G$7:$AF$7,FALSE))</f>
        <v>0.23008013714119449</v>
      </c>
    </row>
    <row r="59" spans="1:32" x14ac:dyDescent="0.25">
      <c r="A59" s="252"/>
      <c r="B59" s="252" t="s">
        <v>40</v>
      </c>
      <c r="H59" s="199">
        <f>H23*INDEX(Standards_Acceptance!$G$9:$AF$39,MATCH($B59,Standards_Acceptance!$B$9:$B$39,FALSE),MATCH(H$3,Standards_Acceptance!$G$7:$AF$7,FALSE))</f>
        <v>0</v>
      </c>
      <c r="I59" s="199">
        <f>I23*INDEX(Standards_Acceptance!$G$9:$AF$39,MATCH($B59,Standards_Acceptance!$B$9:$B$39,FALSE),MATCH(I$3,Standards_Acceptance!$G$7:$AF$7,FALSE))</f>
        <v>2.0761084869584476E-2</v>
      </c>
      <c r="J59" s="199">
        <f>J23*INDEX(Standards_Acceptance!$G$9:$AF$39,MATCH($B59,Standards_Acceptance!$B$9:$B$39,FALSE),MATCH(J$3,Standards_Acceptance!$G$7:$AF$7,FALSE))</f>
        <v>4.6421820628908227E-2</v>
      </c>
      <c r="K59" s="199">
        <f>K23*INDEX(Standards_Acceptance!$G$9:$AF$39,MATCH($B59,Standards_Acceptance!$B$9:$B$39,FALSE),MATCH(K$3,Standards_Acceptance!$G$7:$AF$7,FALSE))</f>
        <v>7.7069933188854384E-2</v>
      </c>
      <c r="L59" s="199">
        <f>L23*INDEX(Standards_Acceptance!$G$9:$AF$39,MATCH($B59,Standards_Acceptance!$B$9:$B$39,FALSE),MATCH(L$3,Standards_Acceptance!$G$7:$AF$7,FALSE))</f>
        <v>0.1121619053256389</v>
      </c>
      <c r="M59" s="199">
        <f>M23*INDEX(Standards_Acceptance!$G$9:$AF$39,MATCH($B59,Standards_Acceptance!$B$9:$B$39,FALSE),MATCH(M$3,Standards_Acceptance!$G$7:$AF$7,FALSE))</f>
        <v>0.14933374800095603</v>
      </c>
      <c r="N59" s="199">
        <f>N23*INDEX(Standards_Acceptance!$G$9:$AF$39,MATCH($B59,Standards_Acceptance!$B$9:$B$39,FALSE),MATCH(N$3,Standards_Acceptance!$G$7:$AF$7,FALSE))</f>
        <v>0.18755249761638895</v>
      </c>
      <c r="O59" s="199">
        <f>O23*INDEX(Standards_Acceptance!$G$9:$AF$39,MATCH($B59,Standards_Acceptance!$B$9:$B$39,FALSE),MATCH(O$3,Standards_Acceptance!$G$7:$AF$7,FALSE))</f>
        <v>0.22524889833854392</v>
      </c>
      <c r="P59" s="199">
        <f>P23*INDEX(Standards_Acceptance!$G$9:$AF$39,MATCH($B59,Standards_Acceptance!$B$9:$B$39,FALSE),MATCH(P$3,Standards_Acceptance!$G$7:$AF$7,FALSE))</f>
        <v>0.26122083638614435</v>
      </c>
      <c r="Q59" s="199">
        <f>Q23*INDEX(Standards_Acceptance!$G$9:$AF$39,MATCH($B59,Standards_Acceptance!$B$9:$B$39,FALSE),MATCH(Q$3,Standards_Acceptance!$G$7:$AF$7,FALSE))</f>
        <v>0.294529765645905</v>
      </c>
      <c r="R59" s="199">
        <f>R23*INDEX(Standards_Acceptance!$G$9:$AF$39,MATCH($B59,Standards_Acceptance!$B$9:$B$39,FALSE),MATCH(R$3,Standards_Acceptance!$G$7:$AF$7,FALSE))</f>
        <v>0.32448015008601105</v>
      </c>
      <c r="S59" s="199">
        <f>S23*INDEX(Standards_Acceptance!$G$9:$AF$39,MATCH($B59,Standards_Acceptance!$B$9:$B$39,FALSE),MATCH(S$3,Standards_Acceptance!$G$7:$AF$7,FALSE))</f>
        <v>0.35060316341398551</v>
      </c>
      <c r="T59" s="199">
        <f>T23*INDEX(Standards_Acceptance!$G$9:$AF$39,MATCH($B59,Standards_Acceptance!$B$9:$B$39,FALSE),MATCH(T$3,Standards_Acceptance!$G$7:$AF$7,FALSE))</f>
        <v>0.37286980215978793</v>
      </c>
      <c r="U59" s="199">
        <f>U23*INDEX(Standards_Acceptance!$G$9:$AF$39,MATCH($B59,Standards_Acceptance!$B$9:$B$39,FALSE),MATCH(U$3,Standards_Acceptance!$G$7:$AF$7,FALSE))</f>
        <v>0.39129757823041772</v>
      </c>
      <c r="V59" s="199">
        <f>V23*INDEX(Standards_Acceptance!$G$9:$AF$39,MATCH($B59,Standards_Acceptance!$B$9:$B$39,FALSE),MATCH(V$3,Standards_Acceptance!$G$7:$AF$7,FALSE))</f>
        <v>0.40607377857987198</v>
      </c>
      <c r="W59" s="199">
        <f>W23*INDEX(Standards_Acceptance!$G$9:$AF$39,MATCH($B59,Standards_Acceptance!$B$9:$B$39,FALSE),MATCH(W$3,Standards_Acceptance!$G$7:$AF$7,FALSE))</f>
        <v>0.41758928075397528</v>
      </c>
      <c r="X59" s="199">
        <f>X23*INDEX(Standards_Acceptance!$G$9:$AF$39,MATCH($B59,Standards_Acceptance!$B$9:$B$39,FALSE),MATCH(X$3,Standards_Acceptance!$G$7:$AF$7,FALSE))</f>
        <v>0.42617182446523166</v>
      </c>
      <c r="Y59" s="199">
        <f>Y23*INDEX(Standards_Acceptance!$G$9:$AF$39,MATCH($B59,Standards_Acceptance!$B$9:$B$39,FALSE),MATCH(Y$3,Standards_Acceptance!$G$7:$AF$7,FALSE))</f>
        <v>0.43217267666153519</v>
      </c>
      <c r="Z59" s="199">
        <f>Z23*INDEX(Standards_Acceptance!$G$9:$AF$39,MATCH($B59,Standards_Acceptance!$B$9:$B$39,FALSE),MATCH(Z$3,Standards_Acceptance!$G$7:$AF$7,FALSE))</f>
        <v>0.4359534258650119</v>
      </c>
      <c r="AA59" s="199">
        <f>AA23*INDEX(Standards_Acceptance!$G$9:$AF$39,MATCH($B59,Standards_Acceptance!$B$9:$B$39,FALSE),MATCH(AA$3,Standards_Acceptance!$G$7:$AF$7,FALSE))</f>
        <v>0.43792207497739088</v>
      </c>
      <c r="AB59" s="199">
        <f>AB23*INDEX(Standards_Acceptance!$G$9:$AF$39,MATCH($B59,Standards_Acceptance!$B$9:$B$39,FALSE),MATCH(AB$3,Standards_Acceptance!$G$7:$AF$7,FALSE))</f>
        <v>0.43846055457704036</v>
      </c>
      <c r="AC59" s="199">
        <f>AC23*INDEX(Standards_Acceptance!$G$9:$AF$39,MATCH($B59,Standards_Acceptance!$B$9:$B$39,FALSE),MATCH(AC$3,Standards_Acceptance!$G$7:$AF$7,FALSE))</f>
        <v>0.4378861688125924</v>
      </c>
      <c r="AD59" s="199">
        <f>AD23*INDEX(Standards_Acceptance!$G$9:$AF$39,MATCH($B59,Standards_Acceptance!$B$9:$B$39,FALSE),MATCH(AD$3,Standards_Acceptance!$G$7:$AF$7,FALSE))</f>
        <v>0.43631776323701549</v>
      </c>
      <c r="AE59" s="199">
        <f>AE23*INDEX(Standards_Acceptance!$G$9:$AF$39,MATCH($B59,Standards_Acceptance!$B$9:$B$39,FALSE),MATCH(AE$3,Standards_Acceptance!$G$7:$AF$7,FALSE))</f>
        <v>0.43393700016837428</v>
      </c>
      <c r="AF59" s="199">
        <f>AF23*INDEX(Standards_Acceptance!$G$9:$AF$39,MATCH($B59,Standards_Acceptance!$B$9:$B$39,FALSE),MATCH(AF$3,Standards_Acceptance!$G$7:$AF$7,FALSE))</f>
        <v>0.42987050470693944</v>
      </c>
    </row>
    <row r="60" spans="1:32" x14ac:dyDescent="0.25">
      <c r="A60" s="252"/>
      <c r="B60" s="252" t="s">
        <v>29</v>
      </c>
      <c r="H60" s="199">
        <f>H24*INDEX(Standards_Acceptance!$G$9:$AF$39,MATCH($B60,Standards_Acceptance!$B$9:$B$39,FALSE),MATCH(H$3,Standards_Acceptance!$G$7:$AF$7,FALSE))</f>
        <v>0</v>
      </c>
      <c r="I60" s="199">
        <f>I24*INDEX(Standards_Acceptance!$G$9:$AF$39,MATCH($B60,Standards_Acceptance!$B$9:$B$39,FALSE),MATCH(I$3,Standards_Acceptance!$G$7:$AF$7,FALSE))</f>
        <v>0</v>
      </c>
      <c r="J60" s="199">
        <f>J24*INDEX(Standards_Acceptance!$G$9:$AF$39,MATCH($B60,Standards_Acceptance!$B$9:$B$39,FALSE),MATCH(J$3,Standards_Acceptance!$G$7:$AF$7,FALSE))</f>
        <v>0</v>
      </c>
      <c r="K60" s="199">
        <f>K24*INDEX(Standards_Acceptance!$G$9:$AF$39,MATCH($B60,Standards_Acceptance!$B$9:$B$39,FALSE),MATCH(K$3,Standards_Acceptance!$G$7:$AF$7,FALSE))</f>
        <v>0</v>
      </c>
      <c r="L60" s="199">
        <f>L24*INDEX(Standards_Acceptance!$G$9:$AF$39,MATCH($B60,Standards_Acceptance!$B$9:$B$39,FALSE),MATCH(L$3,Standards_Acceptance!$G$7:$AF$7,FALSE))</f>
        <v>0</v>
      </c>
      <c r="M60" s="199">
        <f>M24*INDEX(Standards_Acceptance!$G$9:$AF$39,MATCH($B60,Standards_Acceptance!$B$9:$B$39,FALSE),MATCH(M$3,Standards_Acceptance!$G$7:$AF$7,FALSE))</f>
        <v>0</v>
      </c>
      <c r="N60" s="199">
        <f>N24*INDEX(Standards_Acceptance!$G$9:$AF$39,MATCH($B60,Standards_Acceptance!$B$9:$B$39,FALSE),MATCH(N$3,Standards_Acceptance!$G$7:$AF$7,FALSE))</f>
        <v>0</v>
      </c>
      <c r="O60" s="199">
        <f>O24*INDEX(Standards_Acceptance!$G$9:$AF$39,MATCH($B60,Standards_Acceptance!$B$9:$B$39,FALSE),MATCH(O$3,Standards_Acceptance!$G$7:$AF$7,FALSE))</f>
        <v>0</v>
      </c>
      <c r="P60" s="199">
        <f>P24*INDEX(Standards_Acceptance!$G$9:$AF$39,MATCH($B60,Standards_Acceptance!$B$9:$B$39,FALSE),MATCH(P$3,Standards_Acceptance!$G$7:$AF$7,FALSE))</f>
        <v>0</v>
      </c>
      <c r="Q60" s="199">
        <f>Q24*INDEX(Standards_Acceptance!$G$9:$AF$39,MATCH($B60,Standards_Acceptance!$B$9:$B$39,FALSE),MATCH(Q$3,Standards_Acceptance!$G$7:$AF$7,FALSE))</f>
        <v>0</v>
      </c>
      <c r="R60" s="199">
        <f>R24*INDEX(Standards_Acceptance!$G$9:$AF$39,MATCH($B60,Standards_Acceptance!$B$9:$B$39,FALSE),MATCH(R$3,Standards_Acceptance!$G$7:$AF$7,FALSE))</f>
        <v>0</v>
      </c>
      <c r="S60" s="199">
        <f>S24*INDEX(Standards_Acceptance!$G$9:$AF$39,MATCH($B60,Standards_Acceptance!$B$9:$B$39,FALSE),MATCH(S$3,Standards_Acceptance!$G$7:$AF$7,FALSE))</f>
        <v>0</v>
      </c>
      <c r="T60" s="199">
        <f>T24*INDEX(Standards_Acceptance!$G$9:$AF$39,MATCH($B60,Standards_Acceptance!$B$9:$B$39,FALSE),MATCH(T$3,Standards_Acceptance!$G$7:$AF$7,FALSE))</f>
        <v>0</v>
      </c>
      <c r="U60" s="199">
        <f>U24*INDEX(Standards_Acceptance!$G$9:$AF$39,MATCH($B60,Standards_Acceptance!$B$9:$B$39,FALSE),MATCH(U$3,Standards_Acceptance!$G$7:$AF$7,FALSE))</f>
        <v>0</v>
      </c>
      <c r="V60" s="199">
        <f>V24*INDEX(Standards_Acceptance!$G$9:$AF$39,MATCH($B60,Standards_Acceptance!$B$9:$B$39,FALSE),MATCH(V$3,Standards_Acceptance!$G$7:$AF$7,FALSE))</f>
        <v>0</v>
      </c>
      <c r="W60" s="199">
        <f>W24*INDEX(Standards_Acceptance!$G$9:$AF$39,MATCH($B60,Standards_Acceptance!$B$9:$B$39,FALSE),MATCH(W$3,Standards_Acceptance!$G$7:$AF$7,FALSE))</f>
        <v>0</v>
      </c>
      <c r="X60" s="199">
        <f>X24*INDEX(Standards_Acceptance!$G$9:$AF$39,MATCH($B60,Standards_Acceptance!$B$9:$B$39,FALSE),MATCH(X$3,Standards_Acceptance!$G$7:$AF$7,FALSE))</f>
        <v>0</v>
      </c>
      <c r="Y60" s="199">
        <f>Y24*INDEX(Standards_Acceptance!$G$9:$AF$39,MATCH($B60,Standards_Acceptance!$B$9:$B$39,FALSE),MATCH(Y$3,Standards_Acceptance!$G$7:$AF$7,FALSE))</f>
        <v>0</v>
      </c>
      <c r="Z60" s="199">
        <f>Z24*INDEX(Standards_Acceptance!$G$9:$AF$39,MATCH($B60,Standards_Acceptance!$B$9:$B$39,FALSE),MATCH(Z$3,Standards_Acceptance!$G$7:$AF$7,FALSE))</f>
        <v>0</v>
      </c>
      <c r="AA60" s="199">
        <f>AA24*INDEX(Standards_Acceptance!$G$9:$AF$39,MATCH($B60,Standards_Acceptance!$B$9:$B$39,FALSE),MATCH(AA$3,Standards_Acceptance!$G$7:$AF$7,FALSE))</f>
        <v>0</v>
      </c>
      <c r="AB60" s="199">
        <f>AB24*INDEX(Standards_Acceptance!$G$9:$AF$39,MATCH($B60,Standards_Acceptance!$B$9:$B$39,FALSE),MATCH(AB$3,Standards_Acceptance!$G$7:$AF$7,FALSE))</f>
        <v>0</v>
      </c>
      <c r="AC60" s="199">
        <f>AC24*INDEX(Standards_Acceptance!$G$9:$AF$39,MATCH($B60,Standards_Acceptance!$B$9:$B$39,FALSE),MATCH(AC$3,Standards_Acceptance!$G$7:$AF$7,FALSE))</f>
        <v>0</v>
      </c>
      <c r="AD60" s="199">
        <f>AD24*INDEX(Standards_Acceptance!$G$9:$AF$39,MATCH($B60,Standards_Acceptance!$B$9:$B$39,FALSE),MATCH(AD$3,Standards_Acceptance!$G$7:$AF$7,FALSE))</f>
        <v>0</v>
      </c>
      <c r="AE60" s="199">
        <f>AE24*INDEX(Standards_Acceptance!$G$9:$AF$39,MATCH($B60,Standards_Acceptance!$B$9:$B$39,FALSE),MATCH(AE$3,Standards_Acceptance!$G$7:$AF$7,FALSE))</f>
        <v>0</v>
      </c>
      <c r="AF60" s="199">
        <f>AF24*INDEX(Standards_Acceptance!$G$9:$AF$39,MATCH($B60,Standards_Acceptance!$B$9:$B$39,FALSE),MATCH(AF$3,Standards_Acceptance!$G$7:$AF$7,FALSE))</f>
        <v>0</v>
      </c>
    </row>
    <row r="61" spans="1:32" x14ac:dyDescent="0.25">
      <c r="A61" s="252"/>
      <c r="B61" s="252"/>
    </row>
    <row r="62" spans="1:32" x14ac:dyDescent="0.25">
      <c r="A62" s="267" t="s">
        <v>42</v>
      </c>
      <c r="B62" s="267"/>
      <c r="C62" s="267"/>
      <c r="D62" s="267"/>
      <c r="E62" s="267"/>
      <c r="F62" s="26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row>
    <row r="63" spans="1:32" x14ac:dyDescent="0.25">
      <c r="A63" s="252"/>
      <c r="B63" s="257" t="s">
        <v>43</v>
      </c>
      <c r="H63" s="199">
        <f>H27*INDEX(Standards_Acceptance!$G$9:$AF$39,MATCH($B63,Standards_Acceptance!$B$9:$B$39,FALSE),MATCH(H$3,Standards_Acceptance!$G$7:$AF$7,FALSE))</f>
        <v>1.1331709661981547E-3</v>
      </c>
      <c r="I63" s="199">
        <f>I27*INDEX(Standards_Acceptance!$G$9:$AF$39,MATCH($B63,Standards_Acceptance!$B$9:$B$39,FALSE),MATCH(I$3,Standards_Acceptance!$G$7:$AF$7,FALSE))</f>
        <v>1.0747068724034456E-3</v>
      </c>
      <c r="J63" s="199">
        <f>J27*INDEX(Standards_Acceptance!$G$9:$AF$39,MATCH($B63,Standards_Acceptance!$B$9:$B$39,FALSE),MATCH(J$3,Standards_Acceptance!$G$7:$AF$7,FALSE))</f>
        <v>1.0198600917536585E-3</v>
      </c>
      <c r="K63" s="199">
        <f>K27*INDEX(Standards_Acceptance!$G$9:$AF$39,MATCH($B63,Standards_Acceptance!$B$9:$B$39,FALSE),MATCH(K$3,Standards_Acceptance!$G$7:$AF$7,FALSE))</f>
        <v>9.6828738797592956E-4</v>
      </c>
      <c r="L63" s="199">
        <f>L27*INDEX(Standards_Acceptance!$G$9:$AF$39,MATCH($B63,Standards_Acceptance!$B$9:$B$39,FALSE),MATCH(L$3,Standards_Acceptance!$G$7:$AF$7,FALSE))</f>
        <v>9.1959975228051295E-4</v>
      </c>
      <c r="M63" s="199">
        <f>M27*INDEX(Standards_Acceptance!$G$9:$AF$39,MATCH($B63,Standards_Acceptance!$B$9:$B$39,FALSE),MATCH(M$3,Standards_Acceptance!$G$7:$AF$7,FALSE))</f>
        <v>8.7363043174378419E-4</v>
      </c>
      <c r="N63" s="199">
        <f>N27*INDEX(Standards_Acceptance!$G$9:$AF$39,MATCH($B63,Standards_Acceptance!$B$9:$B$39,FALSE),MATCH(N$3,Standards_Acceptance!$G$7:$AF$7,FALSE))</f>
        <v>8.3016370084999054E-4</v>
      </c>
      <c r="O63" s="199">
        <f>O27*INDEX(Standards_Acceptance!$G$9:$AF$39,MATCH($B63,Standards_Acceptance!$B$9:$B$39,FALSE),MATCH(O$3,Standards_Acceptance!$G$7:$AF$7,FALSE))</f>
        <v>7.8900327339447626E-4</v>
      </c>
      <c r="P63" s="199">
        <f>P27*INDEX(Standards_Acceptance!$G$9:$AF$39,MATCH($B63,Standards_Acceptance!$B$9:$B$39,FALSE),MATCH(P$3,Standards_Acceptance!$G$7:$AF$7,FALSE))</f>
        <v>7.5002499678178739E-4</v>
      </c>
      <c r="Q63" s="199">
        <f>Q27*INDEX(Standards_Acceptance!$G$9:$AF$39,MATCH($B63,Standards_Acceptance!$B$9:$B$39,FALSE),MATCH(Q$3,Standards_Acceptance!$G$7:$AF$7,FALSE))</f>
        <v>7.1312725402998816E-4</v>
      </c>
      <c r="R63" s="199">
        <f>R27*INDEX(Standards_Acceptance!$G$9:$AF$39,MATCH($B63,Standards_Acceptance!$B$9:$B$39,FALSE),MATCH(R$3,Standards_Acceptance!$G$7:$AF$7,FALSE))</f>
        <v>6.7821573256262755E-4</v>
      </c>
      <c r="S63" s="199">
        <f>S27*INDEX(Standards_Acceptance!$G$9:$AF$39,MATCH($B63,Standards_Acceptance!$B$9:$B$39,FALSE),MATCH(S$3,Standards_Acceptance!$G$7:$AF$7,FALSE))</f>
        <v>6.4519029416167898E-4</v>
      </c>
      <c r="T63" s="199">
        <f>T27*INDEX(Standards_Acceptance!$G$9:$AF$39,MATCH($B63,Standards_Acceptance!$B$9:$B$39,FALSE),MATCH(T$3,Standards_Acceptance!$G$7:$AF$7,FALSE))</f>
        <v>6.1401265376964209E-4</v>
      </c>
      <c r="U63" s="199">
        <f>U27*INDEX(Standards_Acceptance!$G$9:$AF$39,MATCH($B63,Standards_Acceptance!$B$9:$B$39,FALSE),MATCH(U$3,Standards_Acceptance!$G$7:$AF$7,FALSE))</f>
        <v>5.8461423401586442E-4</v>
      </c>
      <c r="V63" s="199">
        <f>V27*INDEX(Standards_Acceptance!$G$9:$AF$39,MATCH($B63,Standards_Acceptance!$B$9:$B$39,FALSE),MATCH(V$3,Standards_Acceptance!$G$7:$AF$7,FALSE))</f>
        <v>5.5692707021898517E-4</v>
      </c>
      <c r="W63" s="199">
        <f>W27*INDEX(Standards_Acceptance!$G$9:$AF$39,MATCH($B63,Standards_Acceptance!$B$9:$B$39,FALSE),MATCH(W$3,Standards_Acceptance!$G$7:$AF$7,FALSE))</f>
        <v>5.3089688669297099E-4</v>
      </c>
      <c r="X63" s="199">
        <f>X27*INDEX(Standards_Acceptance!$G$9:$AF$39,MATCH($B63,Standards_Acceptance!$B$9:$B$39,FALSE),MATCH(X$3,Standards_Acceptance!$G$7:$AF$7,FALSE))</f>
        <v>5.0644170136162118E-4</v>
      </c>
      <c r="Y63" s="199">
        <f>Y27*INDEX(Standards_Acceptance!$G$9:$AF$39,MATCH($B63,Standards_Acceptance!$B$9:$B$39,FALSE),MATCH(Y$3,Standards_Acceptance!$G$7:$AF$7,FALSE))</f>
        <v>4.8347638788757643E-4</v>
      </c>
      <c r="Z63" s="199">
        <f>Z27*INDEX(Standards_Acceptance!$G$9:$AF$39,MATCH($B63,Standards_Acceptance!$B$9:$B$39,FALSE),MATCH(Z$3,Standards_Acceptance!$G$7:$AF$7,FALSE))</f>
        <v>4.6192024182415922E-4</v>
      </c>
      <c r="AA63" s="199">
        <f>AA27*INDEX(Standards_Acceptance!$G$9:$AF$39,MATCH($B63,Standards_Acceptance!$B$9:$B$39,FALSE),MATCH(AA$3,Standards_Acceptance!$G$7:$AF$7,FALSE))</f>
        <v>4.4171052929116157E-4</v>
      </c>
      <c r="AB63" s="199">
        <f>AB27*INDEX(Standards_Acceptance!$G$9:$AF$39,MATCH($B63,Standards_Acceptance!$B$9:$B$39,FALSE),MATCH(AB$3,Standards_Acceptance!$G$7:$AF$7,FALSE))</f>
        <v>4.2278985323316378E-4</v>
      </c>
      <c r="AC63" s="199">
        <f>AC27*INDEX(Standards_Acceptance!$G$9:$AF$39,MATCH($B63,Standards_Acceptance!$B$9:$B$39,FALSE),MATCH(AC$3,Standards_Acceptance!$G$7:$AF$7,FALSE))</f>
        <v>4.0510896119138695E-4</v>
      </c>
      <c r="AD63" s="199">
        <f>AD27*INDEX(Standards_Acceptance!$G$9:$AF$39,MATCH($B63,Standards_Acceptance!$B$9:$B$39,FALSE),MATCH(AD$3,Standards_Acceptance!$G$7:$AF$7,FALSE))</f>
        <v>3.8856364308426013E-4</v>
      </c>
      <c r="AE63" s="199">
        <f>AE27*INDEX(Standards_Acceptance!$G$9:$AF$39,MATCH($B63,Standards_Acceptance!$B$9:$B$39,FALSE),MATCH(AE$3,Standards_Acceptance!$G$7:$AF$7,FALSE))</f>
        <v>3.7308532874487382E-4</v>
      </c>
      <c r="AF63" s="199">
        <f>AF27*INDEX(Standards_Acceptance!$G$9:$AF$39,MATCH($B63,Standards_Acceptance!$B$9:$B$39,FALSE),MATCH(AF$3,Standards_Acceptance!$G$7:$AF$7,FALSE))</f>
        <v>3.586081120119266E-4</v>
      </c>
    </row>
    <row r="64" spans="1:32" x14ac:dyDescent="0.25">
      <c r="A64" s="252"/>
      <c r="B64" s="257" t="s">
        <v>44</v>
      </c>
      <c r="H64" s="199">
        <f>H28*INDEX(Standards_Acceptance!$G$9:$AF$39,MATCH($B64,Standards_Acceptance!$B$9:$B$39,FALSE),MATCH(H$3,Standards_Acceptance!$G$7:$AF$7,FALSE))</f>
        <v>1.878872473418537E-4</v>
      </c>
      <c r="I64" s="199">
        <f>I28*INDEX(Standards_Acceptance!$G$9:$AF$39,MATCH($B64,Standards_Acceptance!$B$9:$B$39,FALSE),MATCH(I$3,Standards_Acceptance!$G$7:$AF$7,FALSE))</f>
        <v>1.3281994926159612E-3</v>
      </c>
      <c r="J64" s="199">
        <f>J28*INDEX(Standards_Acceptance!$G$9:$AF$39,MATCH($B64,Standards_Acceptance!$B$9:$B$39,FALSE),MATCH(J$3,Standards_Acceptance!$G$7:$AF$7,FALSE))</f>
        <v>2.3837291335620176E-3</v>
      </c>
      <c r="K64" s="199">
        <f>K28*INDEX(Standards_Acceptance!$G$9:$AF$39,MATCH($B64,Standards_Acceptance!$B$9:$B$39,FALSE),MATCH(K$3,Standards_Acceptance!$G$7:$AF$7,FALSE))</f>
        <v>3.3491745557476297E-3</v>
      </c>
      <c r="L64" s="199">
        <f>L28*INDEX(Standards_Acceptance!$G$9:$AF$39,MATCH($B64,Standards_Acceptance!$B$9:$B$39,FALSE),MATCH(L$3,Standards_Acceptance!$G$7:$AF$7,FALSE))</f>
        <v>4.2126375229685044E-3</v>
      </c>
      <c r="M64" s="199">
        <f>M28*INDEX(Standards_Acceptance!$G$9:$AF$39,MATCH($B64,Standards_Acceptance!$B$9:$B$39,FALSE),MATCH(M$3,Standards_Acceptance!$G$7:$AF$7,FALSE))</f>
        <v>4.9829487744786757E-3</v>
      </c>
      <c r="N64" s="199">
        <f>N28*INDEX(Standards_Acceptance!$G$9:$AF$39,MATCH($B64,Standards_Acceptance!$B$9:$B$39,FALSE),MATCH(N$3,Standards_Acceptance!$G$7:$AF$7,FALSE))</f>
        <v>5.6626090135007134E-3</v>
      </c>
      <c r="O64" s="199">
        <f>O28*INDEX(Standards_Acceptance!$G$9:$AF$39,MATCH($B64,Standards_Acceptance!$B$9:$B$39,FALSE),MATCH(O$3,Standards_Acceptance!$G$7:$AF$7,FALSE))</f>
        <v>6.2541146950056206E-3</v>
      </c>
      <c r="P64" s="199">
        <f>P28*INDEX(Standards_Acceptance!$G$9:$AF$39,MATCH($B64,Standards_Acceptance!$B$9:$B$39,FALSE),MATCH(P$3,Standards_Acceptance!$G$7:$AF$7,FALSE))</f>
        <v>6.7659165252454412E-3</v>
      </c>
      <c r="Q64" s="199">
        <f>Q28*INDEX(Standards_Acceptance!$G$9:$AF$39,MATCH($B64,Standards_Acceptance!$B$9:$B$39,FALSE),MATCH(Q$3,Standards_Acceptance!$G$7:$AF$7,FALSE))</f>
        <v>7.2072898954376489E-3</v>
      </c>
      <c r="R64" s="199">
        <f>R28*INDEX(Standards_Acceptance!$G$9:$AF$39,MATCH($B64,Standards_Acceptance!$B$9:$B$39,FALSE),MATCH(R$3,Standards_Acceptance!$G$7:$AF$7,FALSE))</f>
        <v>7.587049131458635E-3</v>
      </c>
      <c r="S64" s="199">
        <f>S28*INDEX(Standards_Acceptance!$G$9:$AF$39,MATCH($B64,Standards_Acceptance!$B$9:$B$39,FALSE),MATCH(S$3,Standards_Acceptance!$G$7:$AF$7,FALSE))</f>
        <v>7.9121718010540364E-3</v>
      </c>
      <c r="T64" s="199">
        <f>T28*INDEX(Standards_Acceptance!$G$9:$AF$39,MATCH($B64,Standards_Acceptance!$B$9:$B$39,FALSE),MATCH(T$3,Standards_Acceptance!$G$7:$AF$7,FALSE))</f>
        <v>8.1946183580429589E-3</v>
      </c>
      <c r="U64" s="199">
        <f>U28*INDEX(Standards_Acceptance!$G$9:$AF$39,MATCH($B64,Standards_Acceptance!$B$9:$B$39,FALSE),MATCH(U$3,Standards_Acceptance!$G$7:$AF$7,FALSE))</f>
        <v>8.4421955800163592E-3</v>
      </c>
      <c r="V64" s="199">
        <f>V28*INDEX(Standards_Acceptance!$G$9:$AF$39,MATCH($B64,Standards_Acceptance!$B$9:$B$39,FALSE),MATCH(V$3,Standards_Acceptance!$G$7:$AF$7,FALSE))</f>
        <v>8.6617638606692297E-3</v>
      </c>
      <c r="W64" s="199">
        <f>W28*INDEX(Standards_Acceptance!$G$9:$AF$39,MATCH($B64,Standards_Acceptance!$B$9:$B$39,FALSE),MATCH(W$3,Standards_Acceptance!$G$7:$AF$7,FALSE))</f>
        <v>8.8605566781650141E-3</v>
      </c>
      <c r="X64" s="199">
        <f>X28*INDEX(Standards_Acceptance!$G$9:$AF$39,MATCH($B64,Standards_Acceptance!$B$9:$B$39,FALSE),MATCH(X$3,Standards_Acceptance!$G$7:$AF$7,FALSE))</f>
        <v>9.0422197268869367E-3</v>
      </c>
      <c r="Y64" s="199">
        <f>Y28*INDEX(Standards_Acceptance!$G$9:$AF$39,MATCH($B64,Standards_Acceptance!$B$9:$B$39,FALSE),MATCH(Y$3,Standards_Acceptance!$G$7:$AF$7,FALSE))</f>
        <v>9.2092920625163055E-3</v>
      </c>
      <c r="Z64" s="199">
        <f>Z28*INDEX(Standards_Acceptance!$G$9:$AF$39,MATCH($B64,Standards_Acceptance!$B$9:$B$39,FALSE),MATCH(Z$3,Standards_Acceptance!$G$7:$AF$7,FALSE))</f>
        <v>9.3640284955474468E-3</v>
      </c>
      <c r="AA64" s="199">
        <f>AA28*INDEX(Standards_Acceptance!$G$9:$AF$39,MATCH($B64,Standards_Acceptance!$B$9:$B$39,FALSE),MATCH(AA$3,Standards_Acceptance!$G$7:$AF$7,FALSE))</f>
        <v>9.5097558989970434E-3</v>
      </c>
      <c r="AB64" s="199">
        <f>AB28*INDEX(Standards_Acceptance!$G$9:$AF$39,MATCH($B64,Standards_Acceptance!$B$9:$B$39,FALSE),MATCH(AB$3,Standards_Acceptance!$G$7:$AF$7,FALSE))</f>
        <v>9.6161290615923451E-3</v>
      </c>
      <c r="AC64" s="199">
        <f>AC28*INDEX(Standards_Acceptance!$G$9:$AF$39,MATCH($B64,Standards_Acceptance!$B$9:$B$39,FALSE),MATCH(AC$3,Standards_Acceptance!$G$7:$AF$7,FALSE))</f>
        <v>9.7533241010070333E-3</v>
      </c>
      <c r="AD64" s="199">
        <f>AD28*INDEX(Standards_Acceptance!$G$9:$AF$39,MATCH($B64,Standards_Acceptance!$B$9:$B$39,FALSE),MATCH(AD$3,Standards_Acceptance!$G$7:$AF$7,FALSE))</f>
        <v>9.8516518392611236E-3</v>
      </c>
      <c r="AE64" s="199">
        <f>AE28*INDEX(Standards_Acceptance!$G$9:$AF$39,MATCH($B64,Standards_Acceptance!$B$9:$B$39,FALSE),MATCH(AE$3,Standards_Acceptance!$G$7:$AF$7,FALSE))</f>
        <v>9.9452201229035773E-3</v>
      </c>
      <c r="AF64" s="199">
        <f>AF28*INDEX(Standards_Acceptance!$G$9:$AF$39,MATCH($B64,Standards_Acceptance!$B$9:$B$39,FALSE),MATCH(AF$3,Standards_Acceptance!$G$7:$AF$7,FALSE))</f>
        <v>1.0034398317434953E-2</v>
      </c>
    </row>
    <row r="65" spans="1:32" x14ac:dyDescent="0.25">
      <c r="A65" s="252"/>
      <c r="B65" s="257" t="s">
        <v>45</v>
      </c>
      <c r="H65" s="199">
        <f>H29*INDEX(Standards_Acceptance!$G$9:$AF$39,MATCH($B65,Standards_Acceptance!$B$9:$B$39,FALSE),MATCH(H$3,Standards_Acceptance!$G$7:$AF$7,FALSE))</f>
        <v>8.5964679376095057E-3</v>
      </c>
      <c r="I65" s="199">
        <f>I29*INDEX(Standards_Acceptance!$G$9:$AF$39,MATCH($B65,Standards_Acceptance!$B$9:$B$39,FALSE),MATCH(I$3,Standards_Acceptance!$G$7:$AF$7,FALSE))</f>
        <v>8.0632292707345787E-3</v>
      </c>
      <c r="J65" s="199">
        <f>J29*INDEX(Standards_Acceptance!$G$9:$AF$39,MATCH($B65,Standards_Acceptance!$B$9:$B$39,FALSE),MATCH(J$3,Standards_Acceptance!$G$7:$AF$7,FALSE))</f>
        <v>7.5640288057745282E-3</v>
      </c>
      <c r="K65" s="199">
        <f>K29*INDEX(Standards_Acceptance!$G$9:$AF$39,MATCH($B65,Standards_Acceptance!$B$9:$B$39,FALSE),MATCH(K$3,Standards_Acceptance!$G$7:$AF$7,FALSE))</f>
        <v>7.0965971824887269E-3</v>
      </c>
      <c r="L65" s="199">
        <f>L29*INDEX(Standards_Acceptance!$G$9:$AF$39,MATCH($B65,Standards_Acceptance!$B$9:$B$39,FALSE),MATCH(L$3,Standards_Acceptance!$G$7:$AF$7,FALSE))</f>
        <v>6.6587916617419094E-3</v>
      </c>
      <c r="M65" s="199">
        <f>M29*INDEX(Standards_Acceptance!$G$9:$AF$39,MATCH($B65,Standards_Acceptance!$B$9:$B$39,FALSE),MATCH(M$3,Standards_Acceptance!$G$7:$AF$7,FALSE))</f>
        <v>6.2486865182519932E-3</v>
      </c>
      <c r="N65" s="199">
        <f>N29*INDEX(Standards_Acceptance!$G$9:$AF$39,MATCH($B65,Standards_Acceptance!$B$9:$B$39,FALSE),MATCH(N$3,Standards_Acceptance!$G$7:$AF$7,FALSE))</f>
        <v>5.8644644004702262E-3</v>
      </c>
      <c r="O65" s="199">
        <f>O29*INDEX(Standards_Acceptance!$G$9:$AF$39,MATCH($B65,Standards_Acceptance!$B$9:$B$39,FALSE),MATCH(O$3,Standards_Acceptance!$G$7:$AF$7,FALSE))</f>
        <v>5.5044294416645772E-3</v>
      </c>
      <c r="P65" s="199">
        <f>P29*INDEX(Standards_Acceptance!$G$9:$AF$39,MATCH($B65,Standards_Acceptance!$B$9:$B$39,FALSE),MATCH(P$3,Standards_Acceptance!$G$7:$AF$7,FALSE))</f>
        <v>5.1670219103068567E-3</v>
      </c>
      <c r="Q65" s="199">
        <f>Q29*INDEX(Standards_Acceptance!$G$9:$AF$39,MATCH($B65,Standards_Acceptance!$B$9:$B$39,FALSE),MATCH(Q$3,Standards_Acceptance!$G$7:$AF$7,FALSE))</f>
        <v>4.850791221743412E-3</v>
      </c>
      <c r="R65" s="199">
        <f>R29*INDEX(Standards_Acceptance!$G$9:$AF$39,MATCH($B65,Standards_Acceptance!$B$9:$B$39,FALSE),MATCH(R$3,Standards_Acceptance!$G$7:$AF$7,FALSE))</f>
        <v>4.5543841072814371E-3</v>
      </c>
      <c r="S65" s="199">
        <f>S29*INDEX(Standards_Acceptance!$G$9:$AF$39,MATCH($B65,Standards_Acceptance!$B$9:$B$39,FALSE),MATCH(S$3,Standards_Acceptance!$G$7:$AF$7,FALSE))</f>
        <v>4.2765324737326091E-3</v>
      </c>
      <c r="T65" s="199">
        <f>T29*INDEX(Standards_Acceptance!$G$9:$AF$39,MATCH($B65,Standards_Acceptance!$B$9:$B$39,FALSE),MATCH(T$3,Standards_Acceptance!$G$7:$AF$7,FALSE))</f>
        <v>4.0160727301813866E-3</v>
      </c>
      <c r="U65" s="199">
        <f>U29*INDEX(Standards_Acceptance!$G$9:$AF$39,MATCH($B65,Standards_Acceptance!$B$9:$B$39,FALSE),MATCH(U$3,Standards_Acceptance!$G$7:$AF$7,FALSE))</f>
        <v>3.7719057007759419E-3</v>
      </c>
      <c r="V65" s="199">
        <f>V29*INDEX(Standards_Acceptance!$G$9:$AF$39,MATCH($B65,Standards_Acceptance!$B$9:$B$39,FALSE),MATCH(V$3,Standards_Acceptance!$G$7:$AF$7,FALSE))</f>
        <v>3.543003201970072E-3</v>
      </c>
      <c r="W65" s="199">
        <f>W29*INDEX(Standards_Acceptance!$G$9:$AF$39,MATCH($B65,Standards_Acceptance!$B$9:$B$39,FALSE),MATCH(W$3,Standards_Acceptance!$G$7:$AF$7,FALSE))</f>
        <v>3.328407915375118E-3</v>
      </c>
      <c r="X65" s="199">
        <f>X29*INDEX(Standards_Acceptance!$G$9:$AF$39,MATCH($B65,Standards_Acceptance!$B$9:$B$39,FALSE),MATCH(X$3,Standards_Acceptance!$G$7:$AF$7,FALSE))</f>
        <v>3.1272137440110596E-3</v>
      </c>
      <c r="Y65" s="199">
        <f>Y29*INDEX(Standards_Acceptance!$G$9:$AF$39,MATCH($B65,Standards_Acceptance!$B$9:$B$39,FALSE),MATCH(Y$3,Standards_Acceptance!$G$7:$AF$7,FALSE))</f>
        <v>2.9385707117315953E-3</v>
      </c>
      <c r="Z65" s="199">
        <f>Z29*INDEX(Standards_Acceptance!$G$9:$AF$39,MATCH($B65,Standards_Acceptance!$B$9:$B$39,FALSE),MATCH(Z$3,Standards_Acceptance!$G$7:$AF$7,FALSE))</f>
        <v>2.7616840163259631E-3</v>
      </c>
      <c r="AA65" s="199">
        <f>AA29*INDEX(Standards_Acceptance!$G$9:$AF$39,MATCH($B65,Standards_Acceptance!$B$9:$B$39,FALSE),MATCH(AA$3,Standards_Acceptance!$G$7:$AF$7,FALSE))</f>
        <v>2.5958154080283542E-3</v>
      </c>
      <c r="AB65" s="199">
        <f>AB29*INDEX(Standards_Acceptance!$G$9:$AF$39,MATCH($B65,Standards_Acceptance!$B$9:$B$39,FALSE),MATCH(AB$3,Standards_Acceptance!$G$7:$AF$7,FALSE))</f>
        <v>2.4402751277232521E-3</v>
      </c>
      <c r="AC65" s="199">
        <f>AC29*INDEX(Standards_Acceptance!$G$9:$AF$39,MATCH($B65,Standards_Acceptance!$B$9:$B$39,FALSE),MATCH(AC$3,Standards_Acceptance!$G$7:$AF$7,FALSE))</f>
        <v>2.294420130974752E-3</v>
      </c>
      <c r="AD65" s="199">
        <f>AD29*INDEX(Standards_Acceptance!$G$9:$AF$39,MATCH($B65,Standards_Acceptance!$B$9:$B$39,FALSE),MATCH(AD$3,Standards_Acceptance!$G$7:$AF$7,FALSE))</f>
        <v>2.1576270490032985E-3</v>
      </c>
      <c r="AE65" s="199">
        <f>AE29*INDEX(Standards_Acceptance!$G$9:$AF$39,MATCH($B65,Standards_Acceptance!$B$9:$B$39,FALSE),MATCH(AE$3,Standards_Acceptance!$G$7:$AF$7,FALSE))</f>
        <v>2.0293238512518585E-3</v>
      </c>
      <c r="AF65" s="199">
        <f>AF29*INDEX(Standards_Acceptance!$G$9:$AF$39,MATCH($B65,Standards_Acceptance!$B$9:$B$39,FALSE),MATCH(AF$3,Standards_Acceptance!$G$7:$AF$7,FALSE))</f>
        <v>1.9089749006163702E-3</v>
      </c>
    </row>
    <row r="66" spans="1:32" x14ac:dyDescent="0.25">
      <c r="A66" s="252"/>
      <c r="B66" s="257" t="s">
        <v>46</v>
      </c>
      <c r="H66" s="199">
        <f>H30*INDEX(Standards_Acceptance!$G$9:$AF$39,MATCH($B66,Standards_Acceptance!$B$9:$B$39,FALSE),MATCH(H$3,Standards_Acceptance!$G$7:$AF$7,FALSE))</f>
        <v>0</v>
      </c>
      <c r="I66" s="199">
        <f>I30*INDEX(Standards_Acceptance!$G$9:$AF$39,MATCH($B66,Standards_Acceptance!$B$9:$B$39,FALSE),MATCH(I$3,Standards_Acceptance!$G$7:$AF$7,FALSE))</f>
        <v>0</v>
      </c>
      <c r="J66" s="199">
        <f>J30*INDEX(Standards_Acceptance!$G$9:$AF$39,MATCH($B66,Standards_Acceptance!$B$9:$B$39,FALSE),MATCH(J$3,Standards_Acceptance!$G$7:$AF$7,FALSE))</f>
        <v>0</v>
      </c>
      <c r="K66" s="199">
        <f>K30*INDEX(Standards_Acceptance!$G$9:$AF$39,MATCH($B66,Standards_Acceptance!$B$9:$B$39,FALSE),MATCH(K$3,Standards_Acceptance!$G$7:$AF$7,FALSE))</f>
        <v>0</v>
      </c>
      <c r="L66" s="199">
        <f>L30*INDEX(Standards_Acceptance!$G$9:$AF$39,MATCH($B66,Standards_Acceptance!$B$9:$B$39,FALSE),MATCH(L$3,Standards_Acceptance!$G$7:$AF$7,FALSE))</f>
        <v>0</v>
      </c>
      <c r="M66" s="199">
        <f>M30*INDEX(Standards_Acceptance!$G$9:$AF$39,MATCH($B66,Standards_Acceptance!$B$9:$B$39,FALSE),MATCH(M$3,Standards_Acceptance!$G$7:$AF$7,FALSE))</f>
        <v>0</v>
      </c>
      <c r="N66" s="199">
        <f>N30*INDEX(Standards_Acceptance!$G$9:$AF$39,MATCH($B66,Standards_Acceptance!$B$9:$B$39,FALSE),MATCH(N$3,Standards_Acceptance!$G$7:$AF$7,FALSE))</f>
        <v>0</v>
      </c>
      <c r="O66" s="199">
        <f>O30*INDEX(Standards_Acceptance!$G$9:$AF$39,MATCH($B66,Standards_Acceptance!$B$9:$B$39,FALSE),MATCH(O$3,Standards_Acceptance!$G$7:$AF$7,FALSE))</f>
        <v>0</v>
      </c>
      <c r="P66" s="199">
        <f>P30*INDEX(Standards_Acceptance!$G$9:$AF$39,MATCH($B66,Standards_Acceptance!$B$9:$B$39,FALSE),MATCH(P$3,Standards_Acceptance!$G$7:$AF$7,FALSE))</f>
        <v>0</v>
      </c>
      <c r="Q66" s="199">
        <f>Q30*INDEX(Standards_Acceptance!$G$9:$AF$39,MATCH($B66,Standards_Acceptance!$B$9:$B$39,FALSE),MATCH(Q$3,Standards_Acceptance!$G$7:$AF$7,FALSE))</f>
        <v>0</v>
      </c>
      <c r="R66" s="199">
        <f>R30*INDEX(Standards_Acceptance!$G$9:$AF$39,MATCH($B66,Standards_Acceptance!$B$9:$B$39,FALSE),MATCH(R$3,Standards_Acceptance!$G$7:$AF$7,FALSE))</f>
        <v>0</v>
      </c>
      <c r="S66" s="199">
        <f>S30*INDEX(Standards_Acceptance!$G$9:$AF$39,MATCH($B66,Standards_Acceptance!$B$9:$B$39,FALSE),MATCH(S$3,Standards_Acceptance!$G$7:$AF$7,FALSE))</f>
        <v>0</v>
      </c>
      <c r="T66" s="199">
        <f>T30*INDEX(Standards_Acceptance!$G$9:$AF$39,MATCH($B66,Standards_Acceptance!$B$9:$B$39,FALSE),MATCH(T$3,Standards_Acceptance!$G$7:$AF$7,FALSE))</f>
        <v>0</v>
      </c>
      <c r="U66" s="199">
        <f>U30*INDEX(Standards_Acceptance!$G$9:$AF$39,MATCH($B66,Standards_Acceptance!$B$9:$B$39,FALSE),MATCH(U$3,Standards_Acceptance!$G$7:$AF$7,FALSE))</f>
        <v>0</v>
      </c>
      <c r="V66" s="199">
        <f>V30*INDEX(Standards_Acceptance!$G$9:$AF$39,MATCH($B66,Standards_Acceptance!$B$9:$B$39,FALSE),MATCH(V$3,Standards_Acceptance!$G$7:$AF$7,FALSE))</f>
        <v>0</v>
      </c>
      <c r="W66" s="199">
        <f>W30*INDEX(Standards_Acceptance!$G$9:$AF$39,MATCH($B66,Standards_Acceptance!$B$9:$B$39,FALSE),MATCH(W$3,Standards_Acceptance!$G$7:$AF$7,FALSE))</f>
        <v>0</v>
      </c>
      <c r="X66" s="199">
        <f>X30*INDEX(Standards_Acceptance!$G$9:$AF$39,MATCH($B66,Standards_Acceptance!$B$9:$B$39,FALSE),MATCH(X$3,Standards_Acceptance!$G$7:$AF$7,FALSE))</f>
        <v>0</v>
      </c>
      <c r="Y66" s="199">
        <f>Y30*INDEX(Standards_Acceptance!$G$9:$AF$39,MATCH($B66,Standards_Acceptance!$B$9:$B$39,FALSE),MATCH(Y$3,Standards_Acceptance!$G$7:$AF$7,FALSE))</f>
        <v>0</v>
      </c>
      <c r="Z66" s="199">
        <f>Z30*INDEX(Standards_Acceptance!$G$9:$AF$39,MATCH($B66,Standards_Acceptance!$B$9:$B$39,FALSE),MATCH(Z$3,Standards_Acceptance!$G$7:$AF$7,FALSE))</f>
        <v>0</v>
      </c>
      <c r="AA66" s="199">
        <f>AA30*INDEX(Standards_Acceptance!$G$9:$AF$39,MATCH($B66,Standards_Acceptance!$B$9:$B$39,FALSE),MATCH(AA$3,Standards_Acceptance!$G$7:$AF$7,FALSE))</f>
        <v>0</v>
      </c>
      <c r="AB66" s="199">
        <f>AB30*INDEX(Standards_Acceptance!$G$9:$AF$39,MATCH($B66,Standards_Acceptance!$B$9:$B$39,FALSE),MATCH(AB$3,Standards_Acceptance!$G$7:$AF$7,FALSE))</f>
        <v>0</v>
      </c>
      <c r="AC66" s="199">
        <f>AC30*INDEX(Standards_Acceptance!$G$9:$AF$39,MATCH($B66,Standards_Acceptance!$B$9:$B$39,FALSE),MATCH(AC$3,Standards_Acceptance!$G$7:$AF$7,FALSE))</f>
        <v>0</v>
      </c>
      <c r="AD66" s="199">
        <f>AD30*INDEX(Standards_Acceptance!$G$9:$AF$39,MATCH($B66,Standards_Acceptance!$B$9:$B$39,FALSE),MATCH(AD$3,Standards_Acceptance!$G$7:$AF$7,FALSE))</f>
        <v>0</v>
      </c>
      <c r="AE66" s="199">
        <f>AE30*INDEX(Standards_Acceptance!$G$9:$AF$39,MATCH($B66,Standards_Acceptance!$B$9:$B$39,FALSE),MATCH(AE$3,Standards_Acceptance!$G$7:$AF$7,FALSE))</f>
        <v>0</v>
      </c>
      <c r="AF66" s="199">
        <f>AF30*INDEX(Standards_Acceptance!$G$9:$AF$39,MATCH($B66,Standards_Acceptance!$B$9:$B$39,FALSE),MATCH(AF$3,Standards_Acceptance!$G$7:$AF$7,FALSE))</f>
        <v>0</v>
      </c>
    </row>
    <row r="67" spans="1:32" x14ac:dyDescent="0.25">
      <c r="A67" s="252"/>
      <c r="B67" s="252" t="s">
        <v>29</v>
      </c>
      <c r="H67" s="199">
        <f>H31*INDEX(Standards_Acceptance!$G$9:$AF$39,MATCH($B67,Standards_Acceptance!$B$9:$B$39,FALSE),MATCH(H$3,Standards_Acceptance!$G$7:$AF$7,FALSE))</f>
        <v>0</v>
      </c>
      <c r="I67" s="199">
        <f>I31*INDEX(Standards_Acceptance!$G$9:$AF$39,MATCH($B67,Standards_Acceptance!$B$9:$B$39,FALSE),MATCH(I$3,Standards_Acceptance!$G$7:$AF$7,FALSE))</f>
        <v>0</v>
      </c>
      <c r="J67" s="199">
        <f>J31*INDEX(Standards_Acceptance!$G$9:$AF$39,MATCH($B67,Standards_Acceptance!$B$9:$B$39,FALSE),MATCH(J$3,Standards_Acceptance!$G$7:$AF$7,FALSE))</f>
        <v>0</v>
      </c>
      <c r="K67" s="199">
        <f>K31*INDEX(Standards_Acceptance!$G$9:$AF$39,MATCH($B67,Standards_Acceptance!$B$9:$B$39,FALSE),MATCH(K$3,Standards_Acceptance!$G$7:$AF$7,FALSE))</f>
        <v>0</v>
      </c>
      <c r="L67" s="199">
        <f>L31*INDEX(Standards_Acceptance!$G$9:$AF$39,MATCH($B67,Standards_Acceptance!$B$9:$B$39,FALSE),MATCH(L$3,Standards_Acceptance!$G$7:$AF$7,FALSE))</f>
        <v>0</v>
      </c>
      <c r="M67" s="199">
        <f>M31*INDEX(Standards_Acceptance!$G$9:$AF$39,MATCH($B67,Standards_Acceptance!$B$9:$B$39,FALSE),MATCH(M$3,Standards_Acceptance!$G$7:$AF$7,FALSE))</f>
        <v>0</v>
      </c>
      <c r="N67" s="199">
        <f>N31*INDEX(Standards_Acceptance!$G$9:$AF$39,MATCH($B67,Standards_Acceptance!$B$9:$B$39,FALSE),MATCH(N$3,Standards_Acceptance!$G$7:$AF$7,FALSE))</f>
        <v>0</v>
      </c>
      <c r="O67" s="199">
        <f>O31*INDEX(Standards_Acceptance!$G$9:$AF$39,MATCH($B67,Standards_Acceptance!$B$9:$B$39,FALSE),MATCH(O$3,Standards_Acceptance!$G$7:$AF$7,FALSE))</f>
        <v>0</v>
      </c>
      <c r="P67" s="199">
        <f>P31*INDEX(Standards_Acceptance!$G$9:$AF$39,MATCH($B67,Standards_Acceptance!$B$9:$B$39,FALSE),MATCH(P$3,Standards_Acceptance!$G$7:$AF$7,FALSE))</f>
        <v>0</v>
      </c>
      <c r="Q67" s="199">
        <f>Q31*INDEX(Standards_Acceptance!$G$9:$AF$39,MATCH($B67,Standards_Acceptance!$B$9:$B$39,FALSE),MATCH(Q$3,Standards_Acceptance!$G$7:$AF$7,FALSE))</f>
        <v>0</v>
      </c>
      <c r="R67" s="199">
        <f>R31*INDEX(Standards_Acceptance!$G$9:$AF$39,MATCH($B67,Standards_Acceptance!$B$9:$B$39,FALSE),MATCH(R$3,Standards_Acceptance!$G$7:$AF$7,FALSE))</f>
        <v>0</v>
      </c>
      <c r="S67" s="199">
        <f>S31*INDEX(Standards_Acceptance!$G$9:$AF$39,MATCH($B67,Standards_Acceptance!$B$9:$B$39,FALSE),MATCH(S$3,Standards_Acceptance!$G$7:$AF$7,FALSE))</f>
        <v>0</v>
      </c>
      <c r="T67" s="199">
        <f>T31*INDEX(Standards_Acceptance!$G$9:$AF$39,MATCH($B67,Standards_Acceptance!$B$9:$B$39,FALSE),MATCH(T$3,Standards_Acceptance!$G$7:$AF$7,FALSE))</f>
        <v>0</v>
      </c>
      <c r="U67" s="199">
        <f>U31*INDEX(Standards_Acceptance!$G$9:$AF$39,MATCH($B67,Standards_Acceptance!$B$9:$B$39,FALSE),MATCH(U$3,Standards_Acceptance!$G$7:$AF$7,FALSE))</f>
        <v>0</v>
      </c>
      <c r="V67" s="199">
        <f>V31*INDEX(Standards_Acceptance!$G$9:$AF$39,MATCH($B67,Standards_Acceptance!$B$9:$B$39,FALSE),MATCH(V$3,Standards_Acceptance!$G$7:$AF$7,FALSE))</f>
        <v>0</v>
      </c>
      <c r="W67" s="199">
        <f>W31*INDEX(Standards_Acceptance!$G$9:$AF$39,MATCH($B67,Standards_Acceptance!$B$9:$B$39,FALSE),MATCH(W$3,Standards_Acceptance!$G$7:$AF$7,FALSE))</f>
        <v>0</v>
      </c>
      <c r="X67" s="199">
        <f>X31*INDEX(Standards_Acceptance!$G$9:$AF$39,MATCH($B67,Standards_Acceptance!$B$9:$B$39,FALSE),MATCH(X$3,Standards_Acceptance!$G$7:$AF$7,FALSE))</f>
        <v>0</v>
      </c>
      <c r="Y67" s="199">
        <f>Y31*INDEX(Standards_Acceptance!$G$9:$AF$39,MATCH($B67,Standards_Acceptance!$B$9:$B$39,FALSE),MATCH(Y$3,Standards_Acceptance!$G$7:$AF$7,FALSE))</f>
        <v>0</v>
      </c>
      <c r="Z67" s="199">
        <f>Z31*INDEX(Standards_Acceptance!$G$9:$AF$39,MATCH($B67,Standards_Acceptance!$B$9:$B$39,FALSE),MATCH(Z$3,Standards_Acceptance!$G$7:$AF$7,FALSE))</f>
        <v>0</v>
      </c>
      <c r="AA67" s="199">
        <f>AA31*INDEX(Standards_Acceptance!$G$9:$AF$39,MATCH($B67,Standards_Acceptance!$B$9:$B$39,FALSE),MATCH(AA$3,Standards_Acceptance!$G$7:$AF$7,FALSE))</f>
        <v>0</v>
      </c>
      <c r="AB67" s="199">
        <f>AB31*INDEX(Standards_Acceptance!$G$9:$AF$39,MATCH($B67,Standards_Acceptance!$B$9:$B$39,FALSE),MATCH(AB$3,Standards_Acceptance!$G$7:$AF$7,FALSE))</f>
        <v>0</v>
      </c>
      <c r="AC67" s="199">
        <f>AC31*INDEX(Standards_Acceptance!$G$9:$AF$39,MATCH($B67,Standards_Acceptance!$B$9:$B$39,FALSE),MATCH(AC$3,Standards_Acceptance!$G$7:$AF$7,FALSE))</f>
        <v>0</v>
      </c>
      <c r="AD67" s="199">
        <f>AD31*INDEX(Standards_Acceptance!$G$9:$AF$39,MATCH($B67,Standards_Acceptance!$B$9:$B$39,FALSE),MATCH(AD$3,Standards_Acceptance!$G$7:$AF$7,FALSE))</f>
        <v>0</v>
      </c>
      <c r="AE67" s="199">
        <f>AE31*INDEX(Standards_Acceptance!$G$9:$AF$39,MATCH($B67,Standards_Acceptance!$B$9:$B$39,FALSE),MATCH(AE$3,Standards_Acceptance!$G$7:$AF$7,FALSE))</f>
        <v>0</v>
      </c>
      <c r="AF67" s="199">
        <f>AF31*INDEX(Standards_Acceptance!$G$9:$AF$39,MATCH($B67,Standards_Acceptance!$B$9:$B$39,FALSE),MATCH(AF$3,Standards_Acceptance!$G$7:$AF$7,FALSE))</f>
        <v>0</v>
      </c>
    </row>
    <row r="68" spans="1:32" x14ac:dyDescent="0.25">
      <c r="A68" s="252"/>
      <c r="B68" s="252"/>
    </row>
    <row r="69" spans="1:32" x14ac:dyDescent="0.25">
      <c r="A69" s="267" t="s">
        <v>47</v>
      </c>
      <c r="B69" s="267"/>
      <c r="C69" s="267"/>
      <c r="D69" s="267"/>
      <c r="E69" s="267"/>
      <c r="F69" s="267"/>
      <c r="G69" s="267"/>
      <c r="H69" s="267"/>
      <c r="I69" s="267"/>
      <c r="J69" s="267"/>
      <c r="K69" s="267"/>
      <c r="L69" s="267"/>
      <c r="M69" s="267"/>
      <c r="N69" s="267"/>
      <c r="O69" s="267"/>
      <c r="P69" s="267"/>
      <c r="Q69" s="267"/>
      <c r="R69" s="267"/>
      <c r="S69" s="267"/>
      <c r="T69" s="267"/>
      <c r="U69" s="267"/>
      <c r="V69" s="267"/>
      <c r="W69" s="267"/>
      <c r="X69" s="267"/>
      <c r="Y69" s="267"/>
      <c r="Z69" s="267"/>
      <c r="AA69" s="267"/>
      <c r="AB69" s="267"/>
      <c r="AC69" s="267"/>
      <c r="AD69" s="267"/>
      <c r="AE69" s="267"/>
      <c r="AF69" s="267"/>
    </row>
    <row r="70" spans="1:32" x14ac:dyDescent="0.25">
      <c r="A70" s="252"/>
      <c r="B70" s="252" t="s">
        <v>48</v>
      </c>
      <c r="H70" s="199">
        <f>H34*INDEX(Standards_Acceptance!$G$9:$AF$39,MATCH($B70,Standards_Acceptance!$B$9:$B$39,FALSE),MATCH(H$3,Standards_Acceptance!$G$7:$AF$7,FALSE))</f>
        <v>0</v>
      </c>
      <c r="I70" s="199">
        <f>I34*INDEX(Standards_Acceptance!$G$9:$AF$39,MATCH($B70,Standards_Acceptance!$B$9:$B$39,FALSE),MATCH(I$3,Standards_Acceptance!$G$7:$AF$7,FALSE))</f>
        <v>0</v>
      </c>
      <c r="J70" s="199">
        <f>J34*INDEX(Standards_Acceptance!$G$9:$AF$39,MATCH($B70,Standards_Acceptance!$B$9:$B$39,FALSE),MATCH(J$3,Standards_Acceptance!$G$7:$AF$7,FALSE))</f>
        <v>0</v>
      </c>
      <c r="K70" s="199">
        <f>K34*INDEX(Standards_Acceptance!$G$9:$AF$39,MATCH($B70,Standards_Acceptance!$B$9:$B$39,FALSE),MATCH(K$3,Standards_Acceptance!$G$7:$AF$7,FALSE))</f>
        <v>0</v>
      </c>
      <c r="L70" s="199">
        <f>L34*INDEX(Standards_Acceptance!$G$9:$AF$39,MATCH($B70,Standards_Acceptance!$B$9:$B$39,FALSE),MATCH(L$3,Standards_Acceptance!$G$7:$AF$7,FALSE))</f>
        <v>0</v>
      </c>
      <c r="M70" s="199">
        <f>M34*INDEX(Standards_Acceptance!$G$9:$AF$39,MATCH($B70,Standards_Acceptance!$B$9:$B$39,FALSE),MATCH(M$3,Standards_Acceptance!$G$7:$AF$7,FALSE))</f>
        <v>0</v>
      </c>
      <c r="N70" s="199">
        <f>N34*INDEX(Standards_Acceptance!$G$9:$AF$39,MATCH($B70,Standards_Acceptance!$B$9:$B$39,FALSE),MATCH(N$3,Standards_Acceptance!$G$7:$AF$7,FALSE))</f>
        <v>0</v>
      </c>
      <c r="O70" s="199">
        <f>O34*INDEX(Standards_Acceptance!$G$9:$AF$39,MATCH($B70,Standards_Acceptance!$B$9:$B$39,FALSE),MATCH(O$3,Standards_Acceptance!$G$7:$AF$7,FALSE))</f>
        <v>0</v>
      </c>
      <c r="P70" s="199">
        <f>P34*INDEX(Standards_Acceptance!$G$9:$AF$39,MATCH($B70,Standards_Acceptance!$B$9:$B$39,FALSE),MATCH(P$3,Standards_Acceptance!$G$7:$AF$7,FALSE))</f>
        <v>0</v>
      </c>
      <c r="Q70" s="199">
        <f>Q34*INDEX(Standards_Acceptance!$G$9:$AF$39,MATCH($B70,Standards_Acceptance!$B$9:$B$39,FALSE),MATCH(Q$3,Standards_Acceptance!$G$7:$AF$7,FALSE))</f>
        <v>0</v>
      </c>
      <c r="R70" s="199">
        <f>R34*INDEX(Standards_Acceptance!$G$9:$AF$39,MATCH($B70,Standards_Acceptance!$B$9:$B$39,FALSE),MATCH(R$3,Standards_Acceptance!$G$7:$AF$7,FALSE))</f>
        <v>0</v>
      </c>
      <c r="S70" s="199">
        <f>S34*INDEX(Standards_Acceptance!$G$9:$AF$39,MATCH($B70,Standards_Acceptance!$B$9:$B$39,FALSE),MATCH(S$3,Standards_Acceptance!$G$7:$AF$7,FALSE))</f>
        <v>0</v>
      </c>
      <c r="T70" s="199">
        <f>T34*INDEX(Standards_Acceptance!$G$9:$AF$39,MATCH($B70,Standards_Acceptance!$B$9:$B$39,FALSE),MATCH(T$3,Standards_Acceptance!$G$7:$AF$7,FALSE))</f>
        <v>0</v>
      </c>
      <c r="U70" s="199">
        <f>U34*INDEX(Standards_Acceptance!$G$9:$AF$39,MATCH($B70,Standards_Acceptance!$B$9:$B$39,FALSE),MATCH(U$3,Standards_Acceptance!$G$7:$AF$7,FALSE))</f>
        <v>0</v>
      </c>
      <c r="V70" s="199">
        <f>V34*INDEX(Standards_Acceptance!$G$9:$AF$39,MATCH($B70,Standards_Acceptance!$B$9:$B$39,FALSE),MATCH(V$3,Standards_Acceptance!$G$7:$AF$7,FALSE))</f>
        <v>0</v>
      </c>
      <c r="W70" s="199">
        <f>W34*INDEX(Standards_Acceptance!$G$9:$AF$39,MATCH($B70,Standards_Acceptance!$B$9:$B$39,FALSE),MATCH(W$3,Standards_Acceptance!$G$7:$AF$7,FALSE))</f>
        <v>0</v>
      </c>
      <c r="X70" s="199">
        <f>X34*INDEX(Standards_Acceptance!$G$9:$AF$39,MATCH($B70,Standards_Acceptance!$B$9:$B$39,FALSE),MATCH(X$3,Standards_Acceptance!$G$7:$AF$7,FALSE))</f>
        <v>0</v>
      </c>
      <c r="Y70" s="199">
        <f>Y34*INDEX(Standards_Acceptance!$G$9:$AF$39,MATCH($B70,Standards_Acceptance!$B$9:$B$39,FALSE),MATCH(Y$3,Standards_Acceptance!$G$7:$AF$7,FALSE))</f>
        <v>0</v>
      </c>
      <c r="Z70" s="199">
        <f>Z34*INDEX(Standards_Acceptance!$G$9:$AF$39,MATCH($B70,Standards_Acceptance!$B$9:$B$39,FALSE),MATCH(Z$3,Standards_Acceptance!$G$7:$AF$7,FALSE))</f>
        <v>0</v>
      </c>
      <c r="AA70" s="199">
        <f>AA34*INDEX(Standards_Acceptance!$G$9:$AF$39,MATCH($B70,Standards_Acceptance!$B$9:$B$39,FALSE),MATCH(AA$3,Standards_Acceptance!$G$7:$AF$7,FALSE))</f>
        <v>0</v>
      </c>
      <c r="AB70" s="199">
        <f>AB34*INDEX(Standards_Acceptance!$G$9:$AF$39,MATCH($B70,Standards_Acceptance!$B$9:$B$39,FALSE),MATCH(AB$3,Standards_Acceptance!$G$7:$AF$7,FALSE))</f>
        <v>0</v>
      </c>
      <c r="AC70" s="199">
        <f>AC34*INDEX(Standards_Acceptance!$G$9:$AF$39,MATCH($B70,Standards_Acceptance!$B$9:$B$39,FALSE),MATCH(AC$3,Standards_Acceptance!$G$7:$AF$7,FALSE))</f>
        <v>0</v>
      </c>
      <c r="AD70" s="199">
        <f>AD34*INDEX(Standards_Acceptance!$G$9:$AF$39,MATCH($B70,Standards_Acceptance!$B$9:$B$39,FALSE),MATCH(AD$3,Standards_Acceptance!$G$7:$AF$7,FALSE))</f>
        <v>0</v>
      </c>
      <c r="AE70" s="199">
        <f>AE34*INDEX(Standards_Acceptance!$G$9:$AF$39,MATCH($B70,Standards_Acceptance!$B$9:$B$39,FALSE),MATCH(AE$3,Standards_Acceptance!$G$7:$AF$7,FALSE))</f>
        <v>0</v>
      </c>
      <c r="AF70" s="199">
        <f>AF34*INDEX(Standards_Acceptance!$G$9:$AF$39,MATCH($B70,Standards_Acceptance!$B$9:$B$39,FALSE),MATCH(AF$3,Standards_Acceptance!$G$7:$AF$7,FALSE))</f>
        <v>0</v>
      </c>
    </row>
    <row r="71" spans="1:32" x14ac:dyDescent="0.25">
      <c r="A71" s="252"/>
      <c r="B71" s="257" t="s">
        <v>50</v>
      </c>
      <c r="H71" s="199">
        <f>H35*INDEX(Standards_Acceptance!$G$9:$AF$39,MATCH($B71,Standards_Acceptance!$B$9:$B$39,FALSE),MATCH(H$3,Standards_Acceptance!$G$7:$AF$7,FALSE))</f>
        <v>0</v>
      </c>
      <c r="I71" s="199">
        <f>I35*INDEX(Standards_Acceptance!$G$9:$AF$39,MATCH($B71,Standards_Acceptance!$B$9:$B$39,FALSE),MATCH(I$3,Standards_Acceptance!$G$7:$AF$7,FALSE))</f>
        <v>0</v>
      </c>
      <c r="J71" s="199">
        <f>J35*INDEX(Standards_Acceptance!$G$9:$AF$39,MATCH($B71,Standards_Acceptance!$B$9:$B$39,FALSE),MATCH(J$3,Standards_Acceptance!$G$7:$AF$7,FALSE))</f>
        <v>0</v>
      </c>
      <c r="K71" s="199">
        <f>K35*INDEX(Standards_Acceptance!$G$9:$AF$39,MATCH($B71,Standards_Acceptance!$B$9:$B$39,FALSE),MATCH(K$3,Standards_Acceptance!$G$7:$AF$7,FALSE))</f>
        <v>0</v>
      </c>
      <c r="L71" s="199">
        <f>L35*INDEX(Standards_Acceptance!$G$9:$AF$39,MATCH($B71,Standards_Acceptance!$B$9:$B$39,FALSE),MATCH(L$3,Standards_Acceptance!$G$7:$AF$7,FALSE))</f>
        <v>0</v>
      </c>
      <c r="M71" s="199">
        <f>M35*INDEX(Standards_Acceptance!$G$9:$AF$39,MATCH($B71,Standards_Acceptance!$B$9:$B$39,FALSE),MATCH(M$3,Standards_Acceptance!$G$7:$AF$7,FALSE))</f>
        <v>0</v>
      </c>
      <c r="N71" s="199">
        <f>N35*INDEX(Standards_Acceptance!$G$9:$AF$39,MATCH($B71,Standards_Acceptance!$B$9:$B$39,FALSE),MATCH(N$3,Standards_Acceptance!$G$7:$AF$7,FALSE))</f>
        <v>0</v>
      </c>
      <c r="O71" s="199">
        <f>O35*INDEX(Standards_Acceptance!$G$9:$AF$39,MATCH($B71,Standards_Acceptance!$B$9:$B$39,FALSE),MATCH(O$3,Standards_Acceptance!$G$7:$AF$7,FALSE))</f>
        <v>0</v>
      </c>
      <c r="P71" s="199">
        <f>P35*INDEX(Standards_Acceptance!$G$9:$AF$39,MATCH($B71,Standards_Acceptance!$B$9:$B$39,FALSE),MATCH(P$3,Standards_Acceptance!$G$7:$AF$7,FALSE))</f>
        <v>0</v>
      </c>
      <c r="Q71" s="199">
        <f>Q35*INDEX(Standards_Acceptance!$G$9:$AF$39,MATCH($B71,Standards_Acceptance!$B$9:$B$39,FALSE),MATCH(Q$3,Standards_Acceptance!$G$7:$AF$7,FALSE))</f>
        <v>0</v>
      </c>
      <c r="R71" s="199">
        <f>R35*INDEX(Standards_Acceptance!$G$9:$AF$39,MATCH($B71,Standards_Acceptance!$B$9:$B$39,FALSE),MATCH(R$3,Standards_Acceptance!$G$7:$AF$7,FALSE))</f>
        <v>0</v>
      </c>
      <c r="S71" s="199">
        <f>S35*INDEX(Standards_Acceptance!$G$9:$AF$39,MATCH($B71,Standards_Acceptance!$B$9:$B$39,FALSE),MATCH(S$3,Standards_Acceptance!$G$7:$AF$7,FALSE))</f>
        <v>0</v>
      </c>
      <c r="T71" s="199">
        <f>T35*INDEX(Standards_Acceptance!$G$9:$AF$39,MATCH($B71,Standards_Acceptance!$B$9:$B$39,FALSE),MATCH(T$3,Standards_Acceptance!$G$7:$AF$7,FALSE))</f>
        <v>0</v>
      </c>
      <c r="U71" s="199">
        <f>U35*INDEX(Standards_Acceptance!$G$9:$AF$39,MATCH($B71,Standards_Acceptance!$B$9:$B$39,FALSE),MATCH(U$3,Standards_Acceptance!$G$7:$AF$7,FALSE))</f>
        <v>0</v>
      </c>
      <c r="V71" s="199">
        <f>V35*INDEX(Standards_Acceptance!$G$9:$AF$39,MATCH($B71,Standards_Acceptance!$B$9:$B$39,FALSE),MATCH(V$3,Standards_Acceptance!$G$7:$AF$7,FALSE))</f>
        <v>0</v>
      </c>
      <c r="W71" s="199">
        <f>W35*INDEX(Standards_Acceptance!$G$9:$AF$39,MATCH($B71,Standards_Acceptance!$B$9:$B$39,FALSE),MATCH(W$3,Standards_Acceptance!$G$7:$AF$7,FALSE))</f>
        <v>0</v>
      </c>
      <c r="X71" s="199">
        <f>X35*INDEX(Standards_Acceptance!$G$9:$AF$39,MATCH($B71,Standards_Acceptance!$B$9:$B$39,FALSE),MATCH(X$3,Standards_Acceptance!$G$7:$AF$7,FALSE))</f>
        <v>0</v>
      </c>
      <c r="Y71" s="199">
        <f>Y35*INDEX(Standards_Acceptance!$G$9:$AF$39,MATCH($B71,Standards_Acceptance!$B$9:$B$39,FALSE),MATCH(Y$3,Standards_Acceptance!$G$7:$AF$7,FALSE))</f>
        <v>0</v>
      </c>
      <c r="Z71" s="199">
        <f>Z35*INDEX(Standards_Acceptance!$G$9:$AF$39,MATCH($B71,Standards_Acceptance!$B$9:$B$39,FALSE),MATCH(Z$3,Standards_Acceptance!$G$7:$AF$7,FALSE))</f>
        <v>0</v>
      </c>
      <c r="AA71" s="199">
        <f>AA35*INDEX(Standards_Acceptance!$G$9:$AF$39,MATCH($B71,Standards_Acceptance!$B$9:$B$39,FALSE),MATCH(AA$3,Standards_Acceptance!$G$7:$AF$7,FALSE))</f>
        <v>0</v>
      </c>
      <c r="AB71" s="199">
        <f>AB35*INDEX(Standards_Acceptance!$G$9:$AF$39,MATCH($B71,Standards_Acceptance!$B$9:$B$39,FALSE),MATCH(AB$3,Standards_Acceptance!$G$7:$AF$7,FALSE))</f>
        <v>0</v>
      </c>
      <c r="AC71" s="199">
        <f>AC35*INDEX(Standards_Acceptance!$G$9:$AF$39,MATCH($B71,Standards_Acceptance!$B$9:$B$39,FALSE),MATCH(AC$3,Standards_Acceptance!$G$7:$AF$7,FALSE))</f>
        <v>0</v>
      </c>
      <c r="AD71" s="199">
        <f>AD35*INDEX(Standards_Acceptance!$G$9:$AF$39,MATCH($B71,Standards_Acceptance!$B$9:$B$39,FALSE),MATCH(AD$3,Standards_Acceptance!$G$7:$AF$7,FALSE))</f>
        <v>0</v>
      </c>
      <c r="AE71" s="199">
        <f>AE35*INDEX(Standards_Acceptance!$G$9:$AF$39,MATCH($B71,Standards_Acceptance!$B$9:$B$39,FALSE),MATCH(AE$3,Standards_Acceptance!$G$7:$AF$7,FALSE))</f>
        <v>0</v>
      </c>
      <c r="AF71" s="199">
        <f>AF35*INDEX(Standards_Acceptance!$G$9:$AF$39,MATCH($B71,Standards_Acceptance!$B$9:$B$39,FALSE),MATCH(AF$3,Standards_Acceptance!$G$7:$AF$7,FALSE))</f>
        <v>0</v>
      </c>
    </row>
    <row r="72" spans="1:32" x14ac:dyDescent="0.25">
      <c r="A72" s="252"/>
      <c r="B72" s="252" t="s">
        <v>51</v>
      </c>
      <c r="H72" s="199">
        <f>H36*INDEX(Standards_Acceptance!$G$9:$AF$39,MATCH($B72,Standards_Acceptance!$B$9:$B$39,FALSE),MATCH(H$3,Standards_Acceptance!$G$7:$AF$7,FALSE))</f>
        <v>0</v>
      </c>
      <c r="I72" s="199">
        <f>I36*INDEX(Standards_Acceptance!$G$9:$AF$39,MATCH($B72,Standards_Acceptance!$B$9:$B$39,FALSE),MATCH(I$3,Standards_Acceptance!$G$7:$AF$7,FALSE))</f>
        <v>0</v>
      </c>
      <c r="J72" s="199">
        <f>J36*INDEX(Standards_Acceptance!$G$9:$AF$39,MATCH($B72,Standards_Acceptance!$B$9:$B$39,FALSE),MATCH(J$3,Standards_Acceptance!$G$7:$AF$7,FALSE))</f>
        <v>0</v>
      </c>
      <c r="K72" s="199">
        <f>K36*INDEX(Standards_Acceptance!$G$9:$AF$39,MATCH($B72,Standards_Acceptance!$B$9:$B$39,FALSE),MATCH(K$3,Standards_Acceptance!$G$7:$AF$7,FALSE))</f>
        <v>0</v>
      </c>
      <c r="L72" s="199">
        <f>L36*INDEX(Standards_Acceptance!$G$9:$AF$39,MATCH($B72,Standards_Acceptance!$B$9:$B$39,FALSE),MATCH(L$3,Standards_Acceptance!$G$7:$AF$7,FALSE))</f>
        <v>0</v>
      </c>
      <c r="M72" s="199">
        <f>M36*INDEX(Standards_Acceptance!$G$9:$AF$39,MATCH($B72,Standards_Acceptance!$B$9:$B$39,FALSE),MATCH(M$3,Standards_Acceptance!$G$7:$AF$7,FALSE))</f>
        <v>0</v>
      </c>
      <c r="N72" s="199">
        <f>N36*INDEX(Standards_Acceptance!$G$9:$AF$39,MATCH($B72,Standards_Acceptance!$B$9:$B$39,FALSE),MATCH(N$3,Standards_Acceptance!$G$7:$AF$7,FALSE))</f>
        <v>0</v>
      </c>
      <c r="O72" s="199">
        <f>O36*INDEX(Standards_Acceptance!$G$9:$AF$39,MATCH($B72,Standards_Acceptance!$B$9:$B$39,FALSE),MATCH(O$3,Standards_Acceptance!$G$7:$AF$7,FALSE))</f>
        <v>0</v>
      </c>
      <c r="P72" s="199">
        <f>P36*INDEX(Standards_Acceptance!$G$9:$AF$39,MATCH($B72,Standards_Acceptance!$B$9:$B$39,FALSE),MATCH(P$3,Standards_Acceptance!$G$7:$AF$7,FALSE))</f>
        <v>0</v>
      </c>
      <c r="Q72" s="199">
        <f>Q36*INDEX(Standards_Acceptance!$G$9:$AF$39,MATCH($B72,Standards_Acceptance!$B$9:$B$39,FALSE),MATCH(Q$3,Standards_Acceptance!$G$7:$AF$7,FALSE))</f>
        <v>0</v>
      </c>
      <c r="R72" s="199">
        <f>R36*INDEX(Standards_Acceptance!$G$9:$AF$39,MATCH($B72,Standards_Acceptance!$B$9:$B$39,FALSE),MATCH(R$3,Standards_Acceptance!$G$7:$AF$7,FALSE))</f>
        <v>0</v>
      </c>
      <c r="S72" s="199">
        <f>S36*INDEX(Standards_Acceptance!$G$9:$AF$39,MATCH($B72,Standards_Acceptance!$B$9:$B$39,FALSE),MATCH(S$3,Standards_Acceptance!$G$7:$AF$7,FALSE))</f>
        <v>0</v>
      </c>
      <c r="T72" s="199">
        <f>T36*INDEX(Standards_Acceptance!$G$9:$AF$39,MATCH($B72,Standards_Acceptance!$B$9:$B$39,FALSE),MATCH(T$3,Standards_Acceptance!$G$7:$AF$7,FALSE))</f>
        <v>0</v>
      </c>
      <c r="U72" s="199">
        <f>U36*INDEX(Standards_Acceptance!$G$9:$AF$39,MATCH($B72,Standards_Acceptance!$B$9:$B$39,FALSE),MATCH(U$3,Standards_Acceptance!$G$7:$AF$7,FALSE))</f>
        <v>0</v>
      </c>
      <c r="V72" s="199">
        <f>V36*INDEX(Standards_Acceptance!$G$9:$AF$39,MATCH($B72,Standards_Acceptance!$B$9:$B$39,FALSE),MATCH(V$3,Standards_Acceptance!$G$7:$AF$7,FALSE))</f>
        <v>0</v>
      </c>
      <c r="W72" s="199">
        <f>W36*INDEX(Standards_Acceptance!$G$9:$AF$39,MATCH($B72,Standards_Acceptance!$B$9:$B$39,FALSE),MATCH(W$3,Standards_Acceptance!$G$7:$AF$7,FALSE))</f>
        <v>0</v>
      </c>
      <c r="X72" s="199">
        <f>X36*INDEX(Standards_Acceptance!$G$9:$AF$39,MATCH($B72,Standards_Acceptance!$B$9:$B$39,FALSE),MATCH(X$3,Standards_Acceptance!$G$7:$AF$7,FALSE))</f>
        <v>0</v>
      </c>
      <c r="Y72" s="199">
        <f>Y36*INDEX(Standards_Acceptance!$G$9:$AF$39,MATCH($B72,Standards_Acceptance!$B$9:$B$39,FALSE),MATCH(Y$3,Standards_Acceptance!$G$7:$AF$7,FALSE))</f>
        <v>0</v>
      </c>
      <c r="Z72" s="199">
        <f>Z36*INDEX(Standards_Acceptance!$G$9:$AF$39,MATCH($B72,Standards_Acceptance!$B$9:$B$39,FALSE),MATCH(Z$3,Standards_Acceptance!$G$7:$AF$7,FALSE))</f>
        <v>0</v>
      </c>
      <c r="AA72" s="199">
        <f>AA36*INDEX(Standards_Acceptance!$G$9:$AF$39,MATCH($B72,Standards_Acceptance!$B$9:$B$39,FALSE),MATCH(AA$3,Standards_Acceptance!$G$7:$AF$7,FALSE))</f>
        <v>0</v>
      </c>
      <c r="AB72" s="199">
        <f>AB36*INDEX(Standards_Acceptance!$G$9:$AF$39,MATCH($B72,Standards_Acceptance!$B$9:$B$39,FALSE),MATCH(AB$3,Standards_Acceptance!$G$7:$AF$7,FALSE))</f>
        <v>0</v>
      </c>
      <c r="AC72" s="199">
        <f>AC36*INDEX(Standards_Acceptance!$G$9:$AF$39,MATCH($B72,Standards_Acceptance!$B$9:$B$39,FALSE),MATCH(AC$3,Standards_Acceptance!$G$7:$AF$7,FALSE))</f>
        <v>0</v>
      </c>
      <c r="AD72" s="199">
        <f>AD36*INDEX(Standards_Acceptance!$G$9:$AF$39,MATCH($B72,Standards_Acceptance!$B$9:$B$39,FALSE),MATCH(AD$3,Standards_Acceptance!$G$7:$AF$7,FALSE))</f>
        <v>0</v>
      </c>
      <c r="AE72" s="199">
        <f>AE36*INDEX(Standards_Acceptance!$G$9:$AF$39,MATCH($B72,Standards_Acceptance!$B$9:$B$39,FALSE),MATCH(AE$3,Standards_Acceptance!$G$7:$AF$7,FALSE))</f>
        <v>0</v>
      </c>
      <c r="AF72" s="199">
        <f>AF36*INDEX(Standards_Acceptance!$G$9:$AF$39,MATCH($B72,Standards_Acceptance!$B$9:$B$39,FALSE),MATCH(AF$3,Standards_Acceptance!$G$7:$AF$7,FALSE))</f>
        <v>0</v>
      </c>
    </row>
    <row r="73" spans="1:32" x14ac:dyDescent="0.25">
      <c r="A73" s="252"/>
      <c r="B73" s="252" t="s">
        <v>52</v>
      </c>
      <c r="H73" s="199">
        <f>H37*INDEX(Standards_Acceptance!$G$9:$AF$39,MATCH($B73,Standards_Acceptance!$B$9:$B$39,FALSE),MATCH(H$3,Standards_Acceptance!$G$7:$AF$7,FALSE))</f>
        <v>0.1171684754693597</v>
      </c>
      <c r="I73" s="199">
        <f>I37*INDEX(Standards_Acceptance!$G$9:$AF$39,MATCH($B73,Standards_Acceptance!$B$9:$B$39,FALSE),MATCH(I$3,Standards_Acceptance!$G$7:$AF$7,FALSE))</f>
        <v>0.11913676789061814</v>
      </c>
      <c r="J73" s="199">
        <f>J37*INDEX(Standards_Acceptance!$G$9:$AF$39,MATCH($B73,Standards_Acceptance!$B$9:$B$39,FALSE),MATCH(J$3,Standards_Acceptance!$G$7:$AF$7,FALSE))</f>
        <v>0.12014120303919547</v>
      </c>
      <c r="K73" s="199">
        <f>K37*INDEX(Standards_Acceptance!$G$9:$AF$39,MATCH($B73,Standards_Acceptance!$B$9:$B$39,FALSE),MATCH(K$3,Standards_Acceptance!$G$7:$AF$7,FALSE))</f>
        <v>0.11984206758023973</v>
      </c>
      <c r="L73" s="199">
        <f>L37*INDEX(Standards_Acceptance!$G$9:$AF$39,MATCH($B73,Standards_Acceptance!$B$9:$B$39,FALSE),MATCH(L$3,Standards_Acceptance!$G$7:$AF$7,FALSE))</f>
        <v>0.11814370086458191</v>
      </c>
      <c r="M73" s="199">
        <f>M37*INDEX(Standards_Acceptance!$G$9:$AF$39,MATCH($B73,Standards_Acceptance!$B$9:$B$39,FALSE),MATCH(M$3,Standards_Acceptance!$G$7:$AF$7,FALSE))</f>
        <v>0.11531131663349729</v>
      </c>
      <c r="N73" s="199">
        <f>N37*INDEX(Standards_Acceptance!$G$9:$AF$39,MATCH($B73,Standards_Acceptance!$B$9:$B$39,FALSE),MATCH(N$3,Standards_Acceptance!$G$7:$AF$7,FALSE))</f>
        <v>0.11161825818659676</v>
      </c>
      <c r="O73" s="199">
        <f>O37*INDEX(Standards_Acceptance!$G$9:$AF$39,MATCH($B73,Standards_Acceptance!$B$9:$B$39,FALSE),MATCH(O$3,Standards_Acceptance!$G$7:$AF$7,FALSE))</f>
        <v>0.10736263546584544</v>
      </c>
      <c r="P73" s="199">
        <f>P37*INDEX(Standards_Acceptance!$G$9:$AF$39,MATCH($B73,Standards_Acceptance!$B$9:$B$39,FALSE),MATCH(P$3,Standards_Acceptance!$G$7:$AF$7,FALSE))</f>
        <v>0.10279632583933224</v>
      </c>
      <c r="Q73" s="199">
        <f>Q37*INDEX(Standards_Acceptance!$G$9:$AF$39,MATCH($B73,Standards_Acceptance!$B$9:$B$39,FALSE),MATCH(Q$3,Standards_Acceptance!$G$7:$AF$7,FALSE))</f>
        <v>9.8104481263321067E-2</v>
      </c>
      <c r="R73" s="199">
        <f>R37*INDEX(Standards_Acceptance!$G$9:$AF$39,MATCH($B73,Standards_Acceptance!$B$9:$B$39,FALSE),MATCH(R$3,Standards_Acceptance!$G$7:$AF$7,FALSE))</f>
        <v>9.3403006224564031E-2</v>
      </c>
      <c r="S73" s="199">
        <f>S37*INDEX(Standards_Acceptance!$G$9:$AF$39,MATCH($B73,Standards_Acceptance!$B$9:$B$39,FALSE),MATCH(S$3,Standards_Acceptance!$G$7:$AF$7,FALSE))</f>
        <v>8.8768874134758077E-2</v>
      </c>
      <c r="T73" s="199">
        <f>T37*INDEX(Standards_Acceptance!$G$9:$AF$39,MATCH($B73,Standards_Acceptance!$B$9:$B$39,FALSE),MATCH(T$3,Standards_Acceptance!$G$7:$AF$7,FALSE))</f>
        <v>8.4258573869442868E-2</v>
      </c>
      <c r="U73" s="199">
        <f>U37*INDEX(Standards_Acceptance!$G$9:$AF$39,MATCH($B73,Standards_Acceptance!$B$9:$B$39,FALSE),MATCH(U$3,Standards_Acceptance!$G$7:$AF$7,FALSE))</f>
        <v>7.9902711382902364E-2</v>
      </c>
      <c r="V73" s="199">
        <f>V37*INDEX(Standards_Acceptance!$G$9:$AF$39,MATCH($B73,Standards_Acceptance!$B$9:$B$39,FALSE),MATCH(V$3,Standards_Acceptance!$G$7:$AF$7,FALSE))</f>
        <v>7.5718858809654649E-2</v>
      </c>
      <c r="W73" s="199">
        <f>W37*INDEX(Standards_Acceptance!$G$9:$AF$39,MATCH($B73,Standards_Acceptance!$B$9:$B$39,FALSE),MATCH(W$3,Standards_Acceptance!$G$7:$AF$7,FALSE))</f>
        <v>7.1718999706889858E-2</v>
      </c>
      <c r="X73" s="199">
        <f>X37*INDEX(Standards_Acceptance!$G$9:$AF$39,MATCH($B73,Standards_Acceptance!$B$9:$B$39,FALSE),MATCH(X$3,Standards_Acceptance!$G$7:$AF$7,FALSE))</f>
        <v>6.7904646529192855E-2</v>
      </c>
      <c r="Y73" s="199">
        <f>Y37*INDEX(Standards_Acceptance!$G$9:$AF$39,MATCH($B73,Standards_Acceptance!$B$9:$B$39,FALSE),MATCH(Y$3,Standards_Acceptance!$G$7:$AF$7,FALSE))</f>
        <v>6.4273852430133963E-2</v>
      </c>
      <c r="Z73" s="199">
        <f>Z37*INDEX(Standards_Acceptance!$G$9:$AF$39,MATCH($B73,Standards_Acceptance!$B$9:$B$39,FALSE),MATCH(Z$3,Standards_Acceptance!$G$7:$AF$7,FALSE))</f>
        <v>6.0822605297159923E-2</v>
      </c>
      <c r="AA73" s="199">
        <f>AA37*INDEX(Standards_Acceptance!$G$9:$AF$39,MATCH($B73,Standards_Acceptance!$B$9:$B$39,FALSE),MATCH(AA$3,Standards_Acceptance!$G$7:$AF$7,FALSE))</f>
        <v>5.7546945792991251E-2</v>
      </c>
      <c r="AB73" s="199">
        <f>AB37*INDEX(Standards_Acceptance!$G$9:$AF$39,MATCH($B73,Standards_Acceptance!$B$9:$B$39,FALSE),MATCH(AB$3,Standards_Acceptance!$G$7:$AF$7,FALSE))</f>
        <v>5.444191630087105E-2</v>
      </c>
      <c r="AC73" s="199">
        <f>AC37*INDEX(Standards_Acceptance!$G$9:$AF$39,MATCH($B73,Standards_Acceptance!$B$9:$B$39,FALSE),MATCH(AC$3,Standards_Acceptance!$G$7:$AF$7,FALSE))</f>
        <v>5.1500988532920407E-2</v>
      </c>
      <c r="AD73" s="199">
        <f>AD37*INDEX(Standards_Acceptance!$G$9:$AF$39,MATCH($B73,Standards_Acceptance!$B$9:$B$39,FALSE),MATCH(AD$3,Standards_Acceptance!$G$7:$AF$7,FALSE))</f>
        <v>4.8715021358975923E-2</v>
      </c>
      <c r="AE73" s="199">
        <f>AE37*INDEX(Standards_Acceptance!$G$9:$AF$39,MATCH($B73,Standards_Acceptance!$B$9:$B$39,FALSE),MATCH(AE$3,Standards_Acceptance!$G$7:$AF$7,FALSE))</f>
        <v>4.6076633229231938E-2</v>
      </c>
      <c r="AF73" s="199">
        <f>AF37*INDEX(Standards_Acceptance!$G$9:$AF$39,MATCH($B73,Standards_Acceptance!$B$9:$B$39,FALSE),MATCH(AF$3,Standards_Acceptance!$G$7:$AF$7,FALSE))</f>
        <v>4.3578377390914885E-2</v>
      </c>
    </row>
    <row r="74" spans="1:32" x14ac:dyDescent="0.25">
      <c r="A74" s="252"/>
      <c r="B74" s="257" t="s">
        <v>29</v>
      </c>
      <c r="H74" s="199">
        <f>H38*INDEX(Standards_Acceptance!$G$9:$AF$39,MATCH($B74,Standards_Acceptance!$B$9:$B$39,FALSE),MATCH(H$3,Standards_Acceptance!$G$7:$AF$7,FALSE))</f>
        <v>0</v>
      </c>
      <c r="I74" s="199">
        <f>I38*INDEX(Standards_Acceptance!$G$9:$AF$39,MATCH($B74,Standards_Acceptance!$B$9:$B$39,FALSE),MATCH(I$3,Standards_Acceptance!$G$7:$AF$7,FALSE))</f>
        <v>0</v>
      </c>
      <c r="J74" s="199">
        <f>J38*INDEX(Standards_Acceptance!$G$9:$AF$39,MATCH($B74,Standards_Acceptance!$B$9:$B$39,FALSE),MATCH(J$3,Standards_Acceptance!$G$7:$AF$7,FALSE))</f>
        <v>0</v>
      </c>
      <c r="K74" s="199">
        <f>K38*INDEX(Standards_Acceptance!$G$9:$AF$39,MATCH($B74,Standards_Acceptance!$B$9:$B$39,FALSE),MATCH(K$3,Standards_Acceptance!$G$7:$AF$7,FALSE))</f>
        <v>0</v>
      </c>
      <c r="L74" s="199">
        <f>L38*INDEX(Standards_Acceptance!$G$9:$AF$39,MATCH($B74,Standards_Acceptance!$B$9:$B$39,FALSE),MATCH(L$3,Standards_Acceptance!$G$7:$AF$7,FALSE))</f>
        <v>0</v>
      </c>
      <c r="M74" s="199">
        <f>M38*INDEX(Standards_Acceptance!$G$9:$AF$39,MATCH($B74,Standards_Acceptance!$B$9:$B$39,FALSE),MATCH(M$3,Standards_Acceptance!$G$7:$AF$7,FALSE))</f>
        <v>0</v>
      </c>
      <c r="N74" s="199">
        <f>N38*INDEX(Standards_Acceptance!$G$9:$AF$39,MATCH($B74,Standards_Acceptance!$B$9:$B$39,FALSE),MATCH(N$3,Standards_Acceptance!$G$7:$AF$7,FALSE))</f>
        <v>0</v>
      </c>
      <c r="O74" s="199">
        <f>O38*INDEX(Standards_Acceptance!$G$9:$AF$39,MATCH($B74,Standards_Acceptance!$B$9:$B$39,FALSE),MATCH(O$3,Standards_Acceptance!$G$7:$AF$7,FALSE))</f>
        <v>0</v>
      </c>
      <c r="P74" s="199">
        <f>P38*INDEX(Standards_Acceptance!$G$9:$AF$39,MATCH($B74,Standards_Acceptance!$B$9:$B$39,FALSE),MATCH(P$3,Standards_Acceptance!$G$7:$AF$7,FALSE))</f>
        <v>0</v>
      </c>
      <c r="Q74" s="199">
        <f>Q38*INDEX(Standards_Acceptance!$G$9:$AF$39,MATCH($B74,Standards_Acceptance!$B$9:$B$39,FALSE),MATCH(Q$3,Standards_Acceptance!$G$7:$AF$7,FALSE))</f>
        <v>0</v>
      </c>
      <c r="R74" s="199">
        <f>R38*INDEX(Standards_Acceptance!$G$9:$AF$39,MATCH($B74,Standards_Acceptance!$B$9:$B$39,FALSE),MATCH(R$3,Standards_Acceptance!$G$7:$AF$7,FALSE))</f>
        <v>0</v>
      </c>
      <c r="S74" s="199">
        <f>S38*INDEX(Standards_Acceptance!$G$9:$AF$39,MATCH($B74,Standards_Acceptance!$B$9:$B$39,FALSE),MATCH(S$3,Standards_Acceptance!$G$7:$AF$7,FALSE))</f>
        <v>0</v>
      </c>
      <c r="T74" s="199">
        <f>T38*INDEX(Standards_Acceptance!$G$9:$AF$39,MATCH($B74,Standards_Acceptance!$B$9:$B$39,FALSE),MATCH(T$3,Standards_Acceptance!$G$7:$AF$7,FALSE))</f>
        <v>0</v>
      </c>
      <c r="U74" s="199">
        <f>U38*INDEX(Standards_Acceptance!$G$9:$AF$39,MATCH($B74,Standards_Acceptance!$B$9:$B$39,FALSE),MATCH(U$3,Standards_Acceptance!$G$7:$AF$7,FALSE))</f>
        <v>0</v>
      </c>
      <c r="V74" s="199">
        <f>V38*INDEX(Standards_Acceptance!$G$9:$AF$39,MATCH($B74,Standards_Acceptance!$B$9:$B$39,FALSE),MATCH(V$3,Standards_Acceptance!$G$7:$AF$7,FALSE))</f>
        <v>0</v>
      </c>
      <c r="W74" s="199">
        <f>W38*INDEX(Standards_Acceptance!$G$9:$AF$39,MATCH($B74,Standards_Acceptance!$B$9:$B$39,FALSE),MATCH(W$3,Standards_Acceptance!$G$7:$AF$7,FALSE))</f>
        <v>0</v>
      </c>
      <c r="X74" s="199">
        <f>X38*INDEX(Standards_Acceptance!$G$9:$AF$39,MATCH($B74,Standards_Acceptance!$B$9:$B$39,FALSE),MATCH(X$3,Standards_Acceptance!$G$7:$AF$7,FALSE))</f>
        <v>0</v>
      </c>
      <c r="Y74" s="199">
        <f>Y38*INDEX(Standards_Acceptance!$G$9:$AF$39,MATCH($B74,Standards_Acceptance!$B$9:$B$39,FALSE),MATCH(Y$3,Standards_Acceptance!$G$7:$AF$7,FALSE))</f>
        <v>0</v>
      </c>
      <c r="Z74" s="199">
        <f>Z38*INDEX(Standards_Acceptance!$G$9:$AF$39,MATCH($B74,Standards_Acceptance!$B$9:$B$39,FALSE),MATCH(Z$3,Standards_Acceptance!$G$7:$AF$7,FALSE))</f>
        <v>0</v>
      </c>
      <c r="AA74" s="199">
        <f>AA38*INDEX(Standards_Acceptance!$G$9:$AF$39,MATCH($B74,Standards_Acceptance!$B$9:$B$39,FALSE),MATCH(AA$3,Standards_Acceptance!$G$7:$AF$7,FALSE))</f>
        <v>0</v>
      </c>
      <c r="AB74" s="199">
        <f>AB38*INDEX(Standards_Acceptance!$G$9:$AF$39,MATCH($B74,Standards_Acceptance!$B$9:$B$39,FALSE),MATCH(AB$3,Standards_Acceptance!$G$7:$AF$7,FALSE))</f>
        <v>0</v>
      </c>
      <c r="AC74" s="199">
        <f>AC38*INDEX(Standards_Acceptance!$G$9:$AF$39,MATCH($B74,Standards_Acceptance!$B$9:$B$39,FALSE),MATCH(AC$3,Standards_Acceptance!$G$7:$AF$7,FALSE))</f>
        <v>0</v>
      </c>
      <c r="AD74" s="199">
        <f>AD38*INDEX(Standards_Acceptance!$G$9:$AF$39,MATCH($B74,Standards_Acceptance!$B$9:$B$39,FALSE),MATCH(AD$3,Standards_Acceptance!$G$7:$AF$7,FALSE))</f>
        <v>0</v>
      </c>
      <c r="AE74" s="199">
        <f>AE38*INDEX(Standards_Acceptance!$G$9:$AF$39,MATCH($B74,Standards_Acceptance!$B$9:$B$39,FALSE),MATCH(AE$3,Standards_Acceptance!$G$7:$AF$7,FALSE))</f>
        <v>0</v>
      </c>
      <c r="AF74" s="199">
        <f>AF38*INDEX(Standards_Acceptance!$G$9:$AF$39,MATCH($B74,Standards_Acceptance!$B$9:$B$39,FALSE),MATCH(AF$3,Standards_Acceptance!$G$7:$AF$7,FALSE))</f>
        <v>0</v>
      </c>
    </row>
    <row r="75" spans="1:32" x14ac:dyDescent="0.25">
      <c r="A75" s="252"/>
      <c r="B75" s="257" t="s">
        <v>53</v>
      </c>
      <c r="H75" s="199">
        <f>H39*INDEX(Standards_Acceptance!$G$9:$AF$39,MATCH($B75,Standards_Acceptance!$B$9:$B$39,FALSE),MATCH(H$3,Standards_Acceptance!$G$7:$AF$7,FALSE))</f>
        <v>2.0596962706327417E-3</v>
      </c>
      <c r="I75" s="199">
        <f>I39*INDEX(Standards_Acceptance!$G$9:$AF$39,MATCH($B75,Standards_Acceptance!$B$9:$B$39,FALSE),MATCH(I$3,Standards_Acceptance!$G$7:$AF$7,FALSE))</f>
        <v>2.0989620010981747E-3</v>
      </c>
      <c r="J75" s="199">
        <f>J39*INDEX(Standards_Acceptance!$G$9:$AF$39,MATCH($B75,Standards_Acceptance!$B$9:$B$39,FALSE),MATCH(J$3,Standards_Acceptance!$G$7:$AF$7,FALSE))</f>
        <v>2.1304065418155924E-3</v>
      </c>
      <c r="K75" s="199">
        <f>K39*INDEX(Standards_Acceptance!$G$9:$AF$39,MATCH($B75,Standards_Acceptance!$B$9:$B$39,FALSE),MATCH(K$3,Standards_Acceptance!$G$7:$AF$7,FALSE))</f>
        <v>2.1500171536843358E-3</v>
      </c>
      <c r="L75" s="199">
        <f>L39*INDEX(Standards_Acceptance!$G$9:$AF$39,MATCH($B75,Standards_Acceptance!$B$9:$B$39,FALSE),MATCH(L$3,Standards_Acceptance!$G$7:$AF$7,FALSE))</f>
        <v>2.1539735001565381E-3</v>
      </c>
      <c r="M75" s="199">
        <f>M39*INDEX(Standards_Acceptance!$G$9:$AF$39,MATCH($B75,Standards_Acceptance!$B$9:$B$39,FALSE),MATCH(M$3,Standards_Acceptance!$G$7:$AF$7,FALSE))</f>
        <v>2.1427833445249391E-3</v>
      </c>
      <c r="N75" s="199">
        <f>N39*INDEX(Standards_Acceptance!$G$9:$AF$39,MATCH($B75,Standards_Acceptance!$B$9:$B$39,FALSE),MATCH(N$3,Standards_Acceptance!$G$7:$AF$7,FALSE))</f>
        <v>2.1167428249962415E-3</v>
      </c>
      <c r="O75" s="199">
        <f>O39*INDEX(Standards_Acceptance!$G$9:$AF$39,MATCH($B75,Standards_Acceptance!$B$9:$B$39,FALSE),MATCH(O$3,Standards_Acceptance!$G$7:$AF$7,FALSE))</f>
        <v>2.0774983419849587E-3</v>
      </c>
      <c r="P75" s="199">
        <f>P39*INDEX(Standards_Acceptance!$G$9:$AF$39,MATCH($B75,Standards_Acceptance!$B$9:$B$39,FALSE),MATCH(P$3,Standards_Acceptance!$G$7:$AF$7,FALSE))</f>
        <v>2.0277179171696667E-3</v>
      </c>
      <c r="Q75" s="199">
        <f>Q39*INDEX(Standards_Acceptance!$G$9:$AF$39,MATCH($B75,Standards_Acceptance!$B$9:$B$39,FALSE),MATCH(Q$3,Standards_Acceptance!$G$7:$AF$7,FALSE))</f>
        <v>1.9701611009325807E-3</v>
      </c>
      <c r="R75" s="199">
        <f>R39*INDEX(Standards_Acceptance!$G$9:$AF$39,MATCH($B75,Standards_Acceptance!$B$9:$B$39,FALSE),MATCH(R$3,Standards_Acceptance!$G$7:$AF$7,FALSE))</f>
        <v>1.9069653727363572E-3</v>
      </c>
      <c r="S75" s="199">
        <f>S39*INDEX(Standards_Acceptance!$G$9:$AF$39,MATCH($B75,Standards_Acceptance!$B$9:$B$39,FALSE),MATCH(S$3,Standards_Acceptance!$G$7:$AF$7,FALSE))</f>
        <v>1.8399032815303036E-3</v>
      </c>
      <c r="T75" s="199">
        <f>T39*INDEX(Standards_Acceptance!$G$9:$AF$39,MATCH($B75,Standards_Acceptance!$B$9:$B$39,FALSE),MATCH(T$3,Standards_Acceptance!$G$7:$AF$7,FALSE))</f>
        <v>1.7707773552542666E-3</v>
      </c>
      <c r="U75" s="199">
        <f>U39*INDEX(Standards_Acceptance!$G$9:$AF$39,MATCH($B75,Standards_Acceptance!$B$9:$B$39,FALSE),MATCH(U$3,Standards_Acceptance!$G$7:$AF$7,FALSE))</f>
        <v>1.7007580675703323E-3</v>
      </c>
      <c r="V75" s="199">
        <f>V39*INDEX(Standards_Acceptance!$G$9:$AF$39,MATCH($B75,Standards_Acceptance!$B$9:$B$39,FALSE),MATCH(V$3,Standards_Acceptance!$G$7:$AF$7,FALSE))</f>
        <v>1.6307412922132454E-3</v>
      </c>
      <c r="W75" s="199">
        <f>W39*INDEX(Standards_Acceptance!$G$9:$AF$39,MATCH($B75,Standards_Acceptance!$B$9:$B$39,FALSE),MATCH(W$3,Standards_Acceptance!$G$7:$AF$7,FALSE))</f>
        <v>1.5615557775729302E-3</v>
      </c>
      <c r="X75" s="199">
        <f>X39*INDEX(Standards_Acceptance!$G$9:$AF$39,MATCH($B75,Standards_Acceptance!$B$9:$B$39,FALSE),MATCH(X$3,Standards_Acceptance!$G$7:$AF$7,FALSE))</f>
        <v>1.493623017132364E-3</v>
      </c>
      <c r="Y75" s="199">
        <f>Y39*INDEX(Standards_Acceptance!$G$9:$AF$39,MATCH($B75,Standards_Acceptance!$B$9:$B$39,FALSE),MATCH(Y$3,Standards_Acceptance!$G$7:$AF$7,FALSE))</f>
        <v>1.4272422143775717E-3</v>
      </c>
      <c r="Z75" s="199">
        <f>Z39*INDEX(Standards_Acceptance!$G$9:$AF$39,MATCH($B75,Standards_Acceptance!$B$9:$B$39,FALSE),MATCH(Z$3,Standards_Acceptance!$G$7:$AF$7,FALSE))</f>
        <v>1.3626354763240074E-3</v>
      </c>
      <c r="AA75" s="199">
        <f>AA39*INDEX(Standards_Acceptance!$G$9:$AF$39,MATCH($B75,Standards_Acceptance!$B$9:$B$39,FALSE),MATCH(AA$3,Standards_Acceptance!$G$7:$AF$7,FALSE))</f>
        <v>1.3000417481204298E-3</v>
      </c>
      <c r="AB75" s="199">
        <f>AB39*INDEX(Standards_Acceptance!$G$9:$AF$39,MATCH($B75,Standards_Acceptance!$B$9:$B$39,FALSE),MATCH(AB$3,Standards_Acceptance!$G$7:$AF$7,FALSE))</f>
        <v>1.2396424762890505E-3</v>
      </c>
      <c r="AC75" s="199">
        <f>AC39*INDEX(Standards_Acceptance!$G$9:$AF$39,MATCH($B75,Standards_Acceptance!$B$9:$B$39,FALSE),MATCH(AC$3,Standards_Acceptance!$G$7:$AF$7,FALSE))</f>
        <v>1.1815288979853673E-3</v>
      </c>
      <c r="AD75" s="199">
        <f>AD39*INDEX(Standards_Acceptance!$G$9:$AF$39,MATCH($B75,Standards_Acceptance!$B$9:$B$39,FALSE),MATCH(AD$3,Standards_Acceptance!$G$7:$AF$7,FALSE))</f>
        <v>1.1255916765816585E-3</v>
      </c>
      <c r="AE75" s="199">
        <f>AE39*INDEX(Standards_Acceptance!$G$9:$AF$39,MATCH($B75,Standards_Acceptance!$B$9:$B$39,FALSE),MATCH(AE$3,Standards_Acceptance!$G$7:$AF$7,FALSE))</f>
        <v>1.0718171323194331E-3</v>
      </c>
      <c r="AF75" s="199">
        <f>AF39*INDEX(Standards_Acceptance!$G$9:$AF$39,MATCH($B75,Standards_Acceptance!$B$9:$B$39,FALSE),MATCH(AF$3,Standards_Acceptance!$G$7:$AF$7,FALSE))</f>
        <v>1.0201664917508925E-3</v>
      </c>
    </row>
    <row r="77" spans="1:32" x14ac:dyDescent="0.25">
      <c r="G77" t="s">
        <v>238</v>
      </c>
      <c r="H77" s="853">
        <f>SUM(H45:H75)</f>
        <v>0.88383322555717259</v>
      </c>
      <c r="I77" s="853">
        <f t="shared" ref="I77:AF77" si="0">SUM(I45:I75)</f>
        <v>0.80936901560724528</v>
      </c>
      <c r="J77" s="853">
        <f t="shared" si="0"/>
        <v>0.7482367666374462</v>
      </c>
      <c r="K77" s="853">
        <f t="shared" si="0"/>
        <v>0.69999268979861562</v>
      </c>
      <c r="L77" s="853">
        <f t="shared" si="0"/>
        <v>0.74315710323382267</v>
      </c>
      <c r="M77" s="853">
        <f t="shared" si="0"/>
        <v>0.78267721882118435</v>
      </c>
      <c r="N77" s="853">
        <f t="shared" si="0"/>
        <v>0.81787480351433794</v>
      </c>
      <c r="O77" s="853">
        <f t="shared" si="0"/>
        <v>0.84794827083482749</v>
      </c>
      <c r="P77" s="853">
        <f t="shared" si="0"/>
        <v>0.87258722329134764</v>
      </c>
      <c r="Q77" s="853">
        <f t="shared" si="0"/>
        <v>0.89177153058392822</v>
      </c>
      <c r="R77" s="853">
        <f t="shared" si="0"/>
        <v>0.90549825022673258</v>
      </c>
      <c r="S77" s="853">
        <f t="shared" si="0"/>
        <v>0.91386555511173484</v>
      </c>
      <c r="T77" s="853">
        <f t="shared" si="0"/>
        <v>0.91745735293639474</v>
      </c>
      <c r="U77" s="853">
        <f t="shared" si="0"/>
        <v>0.91669670633336997</v>
      </c>
      <c r="V77" s="853">
        <f t="shared" si="0"/>
        <v>0.91208523522854368</v>
      </c>
      <c r="W77" s="853">
        <f t="shared" si="0"/>
        <v>0.90432256908024933</v>
      </c>
      <c r="X77" s="853">
        <f t="shared" si="0"/>
        <v>0.89390097760157772</v>
      </c>
      <c r="Y77" s="853">
        <f t="shared" si="0"/>
        <v>0.88129644648122851</v>
      </c>
      <c r="Z77" s="853">
        <f t="shared" si="0"/>
        <v>0.86696485587806249</v>
      </c>
      <c r="AA77" s="853">
        <f t="shared" si="0"/>
        <v>0.85141694750111552</v>
      </c>
      <c r="AB77" s="853">
        <f t="shared" si="0"/>
        <v>0.83508448869468799</v>
      </c>
      <c r="AC77" s="853">
        <f t="shared" si="0"/>
        <v>0.81838792145131289</v>
      </c>
      <c r="AD77" s="853">
        <f t="shared" si="0"/>
        <v>0.80135038695313554</v>
      </c>
      <c r="AE77" s="853">
        <f t="shared" si="0"/>
        <v>0.78418258381669292</v>
      </c>
      <c r="AF77" s="853">
        <f t="shared" si="0"/>
        <v>0.7659915666854844</v>
      </c>
    </row>
    <row r="78" spans="1:32" x14ac:dyDescent="0.25">
      <c r="G78" t="s">
        <v>13</v>
      </c>
      <c r="H78" s="853">
        <v>0.88383322555717259</v>
      </c>
      <c r="I78" s="853">
        <v>0.80891358609747011</v>
      </c>
      <c r="J78" s="853">
        <v>0.74779897978633536</v>
      </c>
      <c r="K78" s="853">
        <v>0.70037692057729639</v>
      </c>
      <c r="L78" s="853">
        <v>0.74566095064096427</v>
      </c>
      <c r="M78" s="853">
        <v>0.7885674617016375</v>
      </c>
      <c r="N78" s="853">
        <v>0.82835852592393133</v>
      </c>
      <c r="O78" s="853">
        <v>0.86399900585746803</v>
      </c>
      <c r="P78" s="853">
        <v>0.89490863111572794</v>
      </c>
      <c r="Q78" s="853">
        <v>0.92086317295497855</v>
      </c>
      <c r="R78" s="853">
        <v>0.94169002766194898</v>
      </c>
      <c r="S78" s="853">
        <v>0.95733961776830712</v>
      </c>
      <c r="T78" s="853">
        <v>0.96831452592876988</v>
      </c>
      <c r="U78" s="853">
        <v>0.9749183436619776</v>
      </c>
      <c r="V78" s="853">
        <v>0.97753372950355899</v>
      </c>
      <c r="W78" s="853">
        <v>0.97676732623338092</v>
      </c>
      <c r="X78" s="853">
        <v>0.97299257465874811</v>
      </c>
      <c r="Y78" s="853">
        <v>0.96658232615601136</v>
      </c>
      <c r="Z78" s="853">
        <v>0.95791843894579909</v>
      </c>
      <c r="AA78" s="853">
        <v>0.94748467049327068</v>
      </c>
      <c r="AB78" s="853">
        <v>0.93571010570832625</v>
      </c>
      <c r="AC78" s="853">
        <v>0.92303361443474152</v>
      </c>
      <c r="AD78" s="853">
        <v>0.90944200504267325</v>
      </c>
      <c r="AE78" s="853">
        <v>0.89516332955817701</v>
      </c>
      <c r="AF78" s="853">
        <v>0.87938567822206726</v>
      </c>
    </row>
    <row r="79" spans="1:32" x14ac:dyDescent="0.25">
      <c r="G79" t="s">
        <v>751</v>
      </c>
      <c r="H79" s="853">
        <v>95.219839472075591</v>
      </c>
      <c r="I79" s="853">
        <v>90.442772596621992</v>
      </c>
      <c r="J79" s="853">
        <v>87.763949880254515</v>
      </c>
      <c r="K79" s="853">
        <v>87.282155608992881</v>
      </c>
      <c r="L79" s="853">
        <v>91.287067533375094</v>
      </c>
      <c r="M79" s="853">
        <v>94.263614593175646</v>
      </c>
      <c r="N79" s="853">
        <v>96.130124258983685</v>
      </c>
      <c r="O79" s="853">
        <v>97.266908814928556</v>
      </c>
      <c r="P79" s="853">
        <v>97.853105405516359</v>
      </c>
      <c r="Q79" s="853">
        <v>97.807982050747341</v>
      </c>
      <c r="R79" s="853">
        <v>97.241308854423963</v>
      </c>
      <c r="S79" s="853">
        <v>96.125871768922821</v>
      </c>
      <c r="T79" s="853">
        <v>94.566339584582693</v>
      </c>
      <c r="U79" s="853">
        <v>92.632895782198744</v>
      </c>
      <c r="V79" s="853">
        <v>90.548051174732535</v>
      </c>
      <c r="W79" s="853">
        <v>88.376092643868176</v>
      </c>
      <c r="X79" s="853">
        <v>85.812998000747882</v>
      </c>
      <c r="Y79" s="853">
        <v>83.261332054608388</v>
      </c>
      <c r="Z79" s="853">
        <v>80.718832511706395</v>
      </c>
      <c r="AA79" s="853">
        <v>78.163057677978017</v>
      </c>
      <c r="AB79" s="853">
        <v>75.715731647068509</v>
      </c>
      <c r="AC79" s="853">
        <v>73.352886370208807</v>
      </c>
      <c r="AD79" s="853">
        <v>71.053700583200822</v>
      </c>
      <c r="AE79" s="853">
        <v>68.900515505623375</v>
      </c>
      <c r="AF79" s="853">
        <v>66.830061334783167</v>
      </c>
    </row>
    <row r="80" spans="1:32" x14ac:dyDescent="0.25">
      <c r="G80" t="s">
        <v>15</v>
      </c>
      <c r="H80" s="853">
        <v>27.292499981063646</v>
      </c>
      <c r="I80" s="853">
        <v>26.393468174109895</v>
      </c>
      <c r="J80" s="853">
        <v>25.629431884254476</v>
      </c>
      <c r="K80" s="853">
        <v>25.034069987475917</v>
      </c>
      <c r="L80" s="853">
        <v>24.784628654852586</v>
      </c>
      <c r="M80" s="853">
        <v>24.408311711434511</v>
      </c>
      <c r="N80" s="853">
        <v>23.911600972623827</v>
      </c>
      <c r="O80" s="853">
        <v>23.345358748121331</v>
      </c>
      <c r="P80" s="853">
        <v>22.724018823677358</v>
      </c>
      <c r="Q80" s="853">
        <v>22.069309496739024</v>
      </c>
      <c r="R80" s="853">
        <v>21.390300621045025</v>
      </c>
      <c r="S80" s="853">
        <v>20.700540432886484</v>
      </c>
      <c r="T80" s="853">
        <v>20.022762371445779</v>
      </c>
      <c r="U80" s="853">
        <v>19.35109764100724</v>
      </c>
      <c r="V80" s="853">
        <v>18.698515816559198</v>
      </c>
      <c r="W80" s="853">
        <v>18.072571456334177</v>
      </c>
      <c r="X80" s="853">
        <v>17.468140220093037</v>
      </c>
      <c r="Y80" s="853">
        <v>16.897840663078206</v>
      </c>
      <c r="Z80" s="853">
        <v>16.357017946490807</v>
      </c>
      <c r="AA80" s="853">
        <v>15.835697008596544</v>
      </c>
      <c r="AB80" s="853">
        <v>15.350836957700134</v>
      </c>
      <c r="AC80" s="853">
        <v>14.894230238258622</v>
      </c>
      <c r="AD80" s="853">
        <v>14.460436880730136</v>
      </c>
      <c r="AE80" s="853">
        <v>14.054961233881611</v>
      </c>
      <c r="AF80" s="853">
        <v>13.672919806299467</v>
      </c>
    </row>
    <row r="81" spans="7:32" x14ac:dyDescent="0.25">
      <c r="G81" t="s">
        <v>16</v>
      </c>
      <c r="H81" s="853">
        <v>31.175196960531373</v>
      </c>
      <c r="I81" s="853">
        <v>32.698605111794251</v>
      </c>
      <c r="J81" s="853">
        <v>34.123732019121562</v>
      </c>
      <c r="K81" s="853">
        <v>35.375939514177574</v>
      </c>
      <c r="L81" s="853">
        <v>36.400476751626066</v>
      </c>
      <c r="M81" s="853">
        <v>37.097977425409766</v>
      </c>
      <c r="N81" s="853">
        <v>37.491430461053596</v>
      </c>
      <c r="O81" s="853">
        <v>37.620479842280204</v>
      </c>
      <c r="P81" s="853">
        <v>37.558378190379848</v>
      </c>
      <c r="Q81" s="853">
        <v>37.277663248042472</v>
      </c>
      <c r="R81" s="853">
        <v>36.819752729195272</v>
      </c>
      <c r="S81" s="853">
        <v>36.1924337798118</v>
      </c>
      <c r="T81" s="853">
        <v>35.433088911518354</v>
      </c>
      <c r="U81" s="853">
        <v>34.579499995288877</v>
      </c>
      <c r="V81" s="853">
        <v>33.665698043303124</v>
      </c>
      <c r="W81" s="853">
        <v>32.718100715095396</v>
      </c>
      <c r="X81" s="853">
        <v>31.750317332772582</v>
      </c>
      <c r="Y81" s="853">
        <v>30.807811937578684</v>
      </c>
      <c r="Z81" s="853">
        <v>29.894962535500891</v>
      </c>
      <c r="AA81" s="853">
        <v>29.004550784624513</v>
      </c>
      <c r="AB81" s="853">
        <v>28.154636681091382</v>
      </c>
      <c r="AC81" s="853">
        <v>27.345461747790143</v>
      </c>
      <c r="AD81" s="853">
        <v>26.580421228138928</v>
      </c>
      <c r="AE81" s="853">
        <v>25.850961551661936</v>
      </c>
      <c r="AF81" s="853">
        <v>25.170949055634075</v>
      </c>
    </row>
    <row r="82" spans="7:32" x14ac:dyDescent="0.25">
      <c r="G82" t="s">
        <v>752</v>
      </c>
      <c r="H82" s="853">
        <f>SUM(H78:H81)</f>
        <v>154.57136963922778</v>
      </c>
      <c r="I82" s="853">
        <f t="shared" ref="I82:AF82" si="1">SUM(I78:I81)</f>
        <v>150.3437594686236</v>
      </c>
      <c r="J82" s="853">
        <f t="shared" si="1"/>
        <v>148.26491276341687</v>
      </c>
      <c r="K82" s="853">
        <f t="shared" si="1"/>
        <v>148.39254203122368</v>
      </c>
      <c r="L82" s="853">
        <f t="shared" si="1"/>
        <v>153.21783389049472</v>
      </c>
      <c r="M82" s="853">
        <f t="shared" si="1"/>
        <v>156.55847119172154</v>
      </c>
      <c r="N82" s="853">
        <f t="shared" si="1"/>
        <v>158.36151421858506</v>
      </c>
      <c r="O82" s="853">
        <f t="shared" si="1"/>
        <v>159.09674641118755</v>
      </c>
      <c r="P82" s="853">
        <f t="shared" si="1"/>
        <v>159.03041105068928</v>
      </c>
      <c r="Q82" s="853">
        <f t="shared" si="1"/>
        <v>158.07581796848382</v>
      </c>
      <c r="R82" s="853">
        <f t="shared" si="1"/>
        <v>156.39305223232623</v>
      </c>
      <c r="S82" s="853">
        <f t="shared" si="1"/>
        <v>153.97618559938942</v>
      </c>
      <c r="T82" s="853">
        <f t="shared" si="1"/>
        <v>150.99050539347559</v>
      </c>
      <c r="U82" s="853">
        <f t="shared" si="1"/>
        <v>147.53841176215684</v>
      </c>
      <c r="V82" s="853">
        <f t="shared" si="1"/>
        <v>143.88979876409843</v>
      </c>
      <c r="W82" s="853">
        <f t="shared" si="1"/>
        <v>140.14353214153113</v>
      </c>
      <c r="X82" s="853">
        <f t="shared" si="1"/>
        <v>136.00444812827226</v>
      </c>
      <c r="Y82" s="853">
        <f t="shared" si="1"/>
        <v>131.93356698142131</v>
      </c>
      <c r="Z82" s="853">
        <f t="shared" si="1"/>
        <v>127.9287314326439</v>
      </c>
      <c r="AA82" s="853">
        <f t="shared" si="1"/>
        <v>123.95079014169234</v>
      </c>
      <c r="AB82" s="853">
        <f t="shared" si="1"/>
        <v>120.15691539156836</v>
      </c>
      <c r="AC82" s="853">
        <f t="shared" si="1"/>
        <v>116.51561197069232</v>
      </c>
      <c r="AD82" s="853">
        <f t="shared" si="1"/>
        <v>113.00400069711256</v>
      </c>
      <c r="AE82" s="853">
        <f t="shared" si="1"/>
        <v>109.7016016207251</v>
      </c>
      <c r="AF82" s="853">
        <f t="shared" si="1"/>
        <v>106.55331587493876</v>
      </c>
    </row>
  </sheetData>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B0F0"/>
  </sheetPr>
  <dimension ref="A1:BD372"/>
  <sheetViews>
    <sheetView topLeftCell="C1" zoomScale="59" zoomScaleNormal="59" workbookViewId="0">
      <selection activeCell="F37" sqref="F37"/>
    </sheetView>
  </sheetViews>
  <sheetFormatPr defaultRowHeight="15" x14ac:dyDescent="0.25"/>
  <cols>
    <col min="6" max="6" width="12.42578125" bestFit="1" customWidth="1"/>
    <col min="7" max="7" width="13" bestFit="1" customWidth="1"/>
  </cols>
  <sheetData>
    <row r="1" spans="1:31" ht="18" x14ac:dyDescent="0.4">
      <c r="A1" s="226" t="s">
        <v>285</v>
      </c>
      <c r="B1" s="222"/>
      <c r="C1" s="222"/>
      <c r="D1" s="222"/>
      <c r="E1" s="222"/>
      <c r="F1" s="222"/>
      <c r="G1" s="222"/>
      <c r="H1" s="222"/>
      <c r="I1" s="222"/>
      <c r="J1" s="222"/>
      <c r="K1" s="222"/>
      <c r="L1" s="222"/>
      <c r="M1" s="222"/>
      <c r="N1" s="222"/>
      <c r="O1" s="222"/>
      <c r="P1" s="222"/>
      <c r="Q1" s="222"/>
      <c r="R1" s="222"/>
      <c r="S1" s="222"/>
      <c r="T1" s="222"/>
      <c r="U1" s="222"/>
      <c r="V1" s="222"/>
      <c r="W1" s="222"/>
      <c r="X1" s="222"/>
      <c r="Y1" s="222"/>
      <c r="Z1" s="222"/>
      <c r="AA1" s="222"/>
      <c r="AB1" s="222"/>
      <c r="AC1" s="222"/>
      <c r="AD1" s="222"/>
      <c r="AE1" s="222"/>
    </row>
    <row r="2" spans="1:31" ht="14.45" x14ac:dyDescent="0.35">
      <c r="A2" s="1040" t="s">
        <v>675</v>
      </c>
      <c r="B2" s="222"/>
      <c r="C2" s="222"/>
      <c r="D2" s="222"/>
      <c r="E2" s="222"/>
      <c r="F2" s="222"/>
      <c r="G2" s="222"/>
      <c r="H2" s="222"/>
      <c r="I2" s="222"/>
      <c r="J2" s="222"/>
      <c r="K2" s="222"/>
      <c r="L2" s="222"/>
      <c r="M2" s="222"/>
      <c r="N2" s="222"/>
      <c r="O2" s="222"/>
      <c r="P2" s="222"/>
      <c r="Q2" s="222"/>
      <c r="R2" s="222"/>
      <c r="S2" s="222"/>
      <c r="T2" s="222"/>
      <c r="U2" s="222"/>
      <c r="V2" s="222"/>
      <c r="W2" s="222"/>
      <c r="X2" s="222"/>
      <c r="Y2" s="222"/>
      <c r="Z2" s="222"/>
      <c r="AA2" s="222"/>
      <c r="AB2" s="222"/>
      <c r="AC2" s="222"/>
      <c r="AD2" s="222"/>
      <c r="AE2" s="222"/>
    </row>
    <row r="3" spans="1:31" ht="14.45" x14ac:dyDescent="0.35">
      <c r="A3" s="222"/>
      <c r="B3" s="223" t="s">
        <v>158</v>
      </c>
      <c r="C3" s="222"/>
      <c r="D3" s="225"/>
      <c r="E3" s="224"/>
      <c r="F3" s="224">
        <v>2010</v>
      </c>
      <c r="G3" s="224">
        <v>2011</v>
      </c>
      <c r="H3" s="224">
        <v>2012</v>
      </c>
      <c r="I3" s="224">
        <v>2013</v>
      </c>
      <c r="J3" s="224">
        <v>2014</v>
      </c>
      <c r="K3" s="224">
        <v>2015</v>
      </c>
      <c r="L3" s="224">
        <v>2016</v>
      </c>
      <c r="M3" s="224">
        <v>2017</v>
      </c>
      <c r="N3" s="224">
        <v>2018</v>
      </c>
      <c r="O3" s="224">
        <v>2019</v>
      </c>
      <c r="P3" s="224">
        <v>2020</v>
      </c>
      <c r="Q3" s="224">
        <v>2021</v>
      </c>
      <c r="R3" s="224">
        <v>2022</v>
      </c>
      <c r="S3" s="224">
        <v>2023</v>
      </c>
      <c r="T3" s="224">
        <v>2024</v>
      </c>
      <c r="U3" s="224">
        <v>2025</v>
      </c>
      <c r="V3" s="224">
        <v>2026</v>
      </c>
      <c r="W3" s="224">
        <v>2027</v>
      </c>
      <c r="X3" s="224">
        <v>2028</v>
      </c>
      <c r="Y3" s="224">
        <v>2029</v>
      </c>
      <c r="Z3" s="224">
        <v>2030</v>
      </c>
      <c r="AA3" s="224">
        <v>2031</v>
      </c>
      <c r="AB3" s="224">
        <v>2032</v>
      </c>
      <c r="AC3" s="224">
        <v>2033</v>
      </c>
      <c r="AD3" s="224">
        <v>2034</v>
      </c>
      <c r="AE3" s="224">
        <v>2035</v>
      </c>
    </row>
    <row r="4" spans="1:31" ht="14.45" x14ac:dyDescent="0.35">
      <c r="A4" s="356"/>
      <c r="B4" s="359"/>
      <c r="C4" s="356"/>
      <c r="D4" s="361"/>
      <c r="E4" s="360"/>
      <c r="F4" s="360"/>
      <c r="G4" s="360"/>
      <c r="H4" s="360"/>
      <c r="I4" s="360"/>
      <c r="J4" s="360"/>
      <c r="K4" s="360"/>
      <c r="L4" s="360"/>
      <c r="M4" s="360"/>
      <c r="N4" s="360"/>
      <c r="O4" s="360"/>
      <c r="P4" s="360"/>
      <c r="Q4" s="360"/>
      <c r="R4" s="360"/>
      <c r="S4" s="360"/>
      <c r="T4" s="360"/>
      <c r="U4" s="360"/>
      <c r="V4" s="360"/>
      <c r="W4" s="360"/>
      <c r="X4" s="360"/>
      <c r="Y4" s="360"/>
      <c r="Z4" s="360"/>
      <c r="AA4" s="360"/>
      <c r="AB4" s="360"/>
      <c r="AC4" s="360"/>
      <c r="AD4" s="360"/>
      <c r="AE4" s="360"/>
    </row>
    <row r="5" spans="1:31" ht="14.45" x14ac:dyDescent="0.35">
      <c r="A5" s="362" t="s">
        <v>206</v>
      </c>
      <c r="B5" s="363"/>
      <c r="C5" s="362"/>
      <c r="D5" s="363"/>
      <c r="E5" s="363"/>
      <c r="F5" s="829" t="s">
        <v>436</v>
      </c>
      <c r="G5" s="365"/>
      <c r="H5" s="365"/>
      <c r="I5" s="365"/>
      <c r="J5" s="365"/>
      <c r="K5" s="365"/>
      <c r="L5" s="365"/>
      <c r="M5" s="365"/>
      <c r="N5" s="365"/>
      <c r="O5" s="365"/>
      <c r="P5" s="365"/>
      <c r="Q5" s="365"/>
      <c r="R5" s="365"/>
      <c r="S5" s="365"/>
      <c r="T5" s="365"/>
      <c r="U5" s="365"/>
      <c r="V5" s="365"/>
      <c r="W5" s="365"/>
      <c r="X5" s="365"/>
      <c r="Y5" s="365"/>
      <c r="Z5" s="365"/>
      <c r="AA5" s="365"/>
      <c r="AB5" s="365"/>
      <c r="AC5" s="365"/>
      <c r="AD5" s="365"/>
      <c r="AE5" s="365"/>
    </row>
    <row r="6" spans="1:31" ht="14.45" x14ac:dyDescent="0.35">
      <c r="A6" s="357" t="s">
        <v>12</v>
      </c>
      <c r="B6" s="356"/>
    </row>
    <row r="7" spans="1:31" ht="14.45" x14ac:dyDescent="0.35">
      <c r="A7" s="356"/>
      <c r="B7" s="356" t="s">
        <v>20</v>
      </c>
    </row>
    <row r="8" spans="1:31" s="202" customFormat="1" ht="12.95" x14ac:dyDescent="0.3">
      <c r="A8" s="364" t="s">
        <v>21</v>
      </c>
      <c r="B8" s="364"/>
      <c r="C8" s="364"/>
      <c r="D8" s="364"/>
      <c r="E8" s="364"/>
      <c r="F8" s="364"/>
      <c r="G8" s="364"/>
      <c r="H8" s="364"/>
      <c r="I8" s="364"/>
      <c r="J8" s="364"/>
      <c r="K8" s="364"/>
      <c r="L8" s="364"/>
      <c r="M8" s="364"/>
      <c r="N8" s="364"/>
      <c r="O8" s="364"/>
      <c r="P8" s="364"/>
      <c r="Q8" s="364"/>
      <c r="R8" s="364"/>
      <c r="S8" s="364"/>
      <c r="T8" s="364"/>
      <c r="U8" s="364"/>
      <c r="V8" s="364"/>
      <c r="W8" s="364"/>
      <c r="X8" s="364"/>
      <c r="Y8" s="364"/>
      <c r="Z8" s="364"/>
      <c r="AA8" s="364"/>
      <c r="AB8" s="364"/>
      <c r="AC8" s="364"/>
      <c r="AD8" s="364"/>
      <c r="AE8" s="364"/>
    </row>
    <row r="9" spans="1:31" s="221" customFormat="1" ht="14.45" x14ac:dyDescent="0.35">
      <c r="A9" s="356"/>
      <c r="B9" s="356" t="s">
        <v>22</v>
      </c>
      <c r="C9"/>
      <c r="D9" s="201"/>
      <c r="E9" s="201"/>
      <c r="F9" s="276">
        <f t="array" ref="F9:AE39">Cost_System_Rpl</f>
        <v>0.60185853916895371</v>
      </c>
      <c r="G9" s="276">
        <v>0.59884924647310955</v>
      </c>
      <c r="H9" s="276">
        <v>0.59583995377726429</v>
      </c>
      <c r="I9" s="276">
        <v>0.59283066108142013</v>
      </c>
      <c r="J9" s="276">
        <v>0.58982136838557486</v>
      </c>
      <c r="K9" s="276">
        <v>0.5868120756897296</v>
      </c>
      <c r="L9" s="276">
        <v>0.58380278299388544</v>
      </c>
      <c r="M9" s="276">
        <v>0.58079349029804017</v>
      </c>
      <c r="N9" s="276">
        <v>0.57778419760219601</v>
      </c>
      <c r="O9" s="276">
        <v>0.57477490490635086</v>
      </c>
      <c r="P9" s="276">
        <v>0.5717656122105067</v>
      </c>
      <c r="Q9" s="276">
        <v>0.56875631951466143</v>
      </c>
      <c r="R9" s="276">
        <v>0.56574702681881728</v>
      </c>
      <c r="S9" s="276">
        <v>0.56273773412297201</v>
      </c>
      <c r="T9" s="276">
        <v>0.55972844142712674</v>
      </c>
      <c r="U9" s="276">
        <v>0.55671914873128259</v>
      </c>
      <c r="V9" s="276">
        <v>0.55370985603543732</v>
      </c>
      <c r="W9" s="276">
        <v>0.55070056333959316</v>
      </c>
      <c r="X9" s="276">
        <v>0.5476912706437479</v>
      </c>
      <c r="Y9" s="276">
        <v>0.54468197794790374</v>
      </c>
      <c r="Z9" s="276">
        <v>0.54167268525205858</v>
      </c>
      <c r="AA9" s="276">
        <v>0.53866339255621432</v>
      </c>
      <c r="AB9" s="276">
        <v>0.53565409986036916</v>
      </c>
      <c r="AC9" s="276">
        <v>0.53264480716452389</v>
      </c>
      <c r="AD9" s="276">
        <v>0.52963551446867974</v>
      </c>
      <c r="AE9" s="276">
        <v>0.52662622177283447</v>
      </c>
    </row>
    <row r="10" spans="1:31" s="221" customFormat="1" ht="14.45" x14ac:dyDescent="0.35">
      <c r="A10" s="356"/>
      <c r="B10" s="356" t="s">
        <v>26</v>
      </c>
      <c r="C10"/>
      <c r="D10" s="201"/>
      <c r="E10" s="201"/>
      <c r="F10" s="276">
        <v>2.5082508250825111</v>
      </c>
      <c r="G10" s="276">
        <v>2.4957095709570996</v>
      </c>
      <c r="H10" s="276">
        <v>2.4831683168316836</v>
      </c>
      <c r="I10" s="276">
        <v>2.4706270627062721</v>
      </c>
      <c r="J10" s="276">
        <v>2.4580858085808606</v>
      </c>
      <c r="K10" s="276">
        <v>2.445544554455449</v>
      </c>
      <c r="L10" s="276">
        <v>2.4330033003300331</v>
      </c>
      <c r="M10" s="276">
        <v>2.4204620462046216</v>
      </c>
      <c r="N10" s="276">
        <v>2.4079207920792101</v>
      </c>
      <c r="O10" s="276">
        <v>2.3953795379537985</v>
      </c>
      <c r="P10" s="276">
        <v>2.3828382838283875</v>
      </c>
      <c r="Q10" s="276">
        <v>2.3702970297029711</v>
      </c>
      <c r="R10" s="276">
        <v>2.3577557755775596</v>
      </c>
      <c r="S10" s="276">
        <v>2.345214521452148</v>
      </c>
      <c r="T10" s="276">
        <v>2.332673267326737</v>
      </c>
      <c r="U10" s="276">
        <v>2.3201320132013206</v>
      </c>
      <c r="V10" s="276">
        <v>2.307590759075909</v>
      </c>
      <c r="W10" s="276">
        <v>2.2950495049504975</v>
      </c>
      <c r="X10" s="276">
        <v>2.2825082508250865</v>
      </c>
      <c r="Y10" s="276">
        <v>2.2699669966996701</v>
      </c>
      <c r="Z10" s="276">
        <v>2.2574257425742585</v>
      </c>
      <c r="AA10" s="276">
        <v>2.244884488448847</v>
      </c>
      <c r="AB10" s="276">
        <v>2.232343234323436</v>
      </c>
      <c r="AC10" s="276">
        <v>2.2198019801980196</v>
      </c>
      <c r="AD10" s="276">
        <v>2.207260726072608</v>
      </c>
      <c r="AE10" s="276">
        <v>2.1947194719471965</v>
      </c>
    </row>
    <row r="11" spans="1:31" s="221" customFormat="1" ht="14.45" x14ac:dyDescent="0.35">
      <c r="A11" s="356"/>
      <c r="B11" s="356" t="s">
        <v>27</v>
      </c>
      <c r="C11"/>
      <c r="D11" s="201"/>
      <c r="E11" s="201"/>
      <c r="F11" s="276">
        <v>3.3692722371967614</v>
      </c>
      <c r="G11" s="276">
        <v>3.3524258760107766</v>
      </c>
      <c r="H11" s="276">
        <v>3.3355795148247922</v>
      </c>
      <c r="I11" s="276">
        <v>3.3187331536388078</v>
      </c>
      <c r="J11" s="276">
        <v>3.3018867924528275</v>
      </c>
      <c r="K11" s="276">
        <v>3.2850404312668431</v>
      </c>
      <c r="L11" s="276">
        <v>3.2681940700808583</v>
      </c>
      <c r="M11" s="276">
        <v>3.2513477088948739</v>
      </c>
      <c r="N11" s="276">
        <v>3.2345013477088895</v>
      </c>
      <c r="O11" s="276">
        <v>3.2176549865229052</v>
      </c>
      <c r="P11" s="276">
        <v>3.2008086253369243</v>
      </c>
      <c r="Q11" s="276">
        <v>3.18396226415094</v>
      </c>
      <c r="R11" s="276">
        <v>3.1671159029649556</v>
      </c>
      <c r="S11" s="276">
        <v>3.1502695417789712</v>
      </c>
      <c r="T11" s="276">
        <v>3.1334231805929869</v>
      </c>
      <c r="U11" s="276">
        <v>3.116576819407002</v>
      </c>
      <c r="V11" s="276">
        <v>3.0997304582210177</v>
      </c>
      <c r="W11" s="276">
        <v>3.0828840970350373</v>
      </c>
      <c r="X11" s="276">
        <v>3.0660377358490529</v>
      </c>
      <c r="Y11" s="276">
        <v>3.0491913746630686</v>
      </c>
      <c r="Z11" s="276">
        <v>3.0323450134770837</v>
      </c>
      <c r="AA11" s="276">
        <v>3.0154986522910994</v>
      </c>
      <c r="AB11" s="276">
        <v>2.998652291105115</v>
      </c>
      <c r="AC11" s="276">
        <v>2.9818059299191346</v>
      </c>
      <c r="AD11" s="276">
        <v>2.9649595687331498</v>
      </c>
      <c r="AE11" s="276">
        <v>2.9481132075471654</v>
      </c>
    </row>
    <row r="12" spans="1:31" s="221" customFormat="1" ht="14.45" x14ac:dyDescent="0.35">
      <c r="A12" s="356"/>
      <c r="B12" s="356" t="s">
        <v>29</v>
      </c>
      <c r="C12"/>
      <c r="D12" s="201"/>
      <c r="E12" s="201"/>
      <c r="F12" s="276">
        <v>55.155329646773986</v>
      </c>
      <c r="G12" s="276">
        <v>30.953643679604006</v>
      </c>
      <c r="H12" s="276">
        <v>21.520165869313075</v>
      </c>
      <c r="I12" s="276">
        <v>16.497391851598039</v>
      </c>
      <c r="J12" s="276">
        <v>13.378071099176921</v>
      </c>
      <c r="K12" s="276">
        <v>11.252554117006513</v>
      </c>
      <c r="L12" s="276">
        <v>9.7111678707816154</v>
      </c>
      <c r="M12" s="276">
        <v>8.5422078553861791</v>
      </c>
      <c r="N12" s="276">
        <v>7.6252457176183945</v>
      </c>
      <c r="O12" s="276">
        <v>6.8867236082633214</v>
      </c>
      <c r="P12" s="276">
        <v>6.2791737149410762</v>
      </c>
      <c r="Q12" s="276">
        <v>5.7705931532247527</v>
      </c>
      <c r="R12" s="276">
        <v>5.3386202486883549</v>
      </c>
      <c r="S12" s="276">
        <v>4.967158181119177</v>
      </c>
      <c r="T12" s="276">
        <v>4.6443246364914899</v>
      </c>
      <c r="U12" s="276">
        <v>4.3611572297283203</v>
      </c>
      <c r="V12" s="276">
        <v>4.1107684974870606</v>
      </c>
      <c r="W12" s="276">
        <v>3.8877782829617891</v>
      </c>
      <c r="X12" s="276">
        <v>3.6879227869738203</v>
      </c>
      <c r="Y12" s="276">
        <v>3.5077792984603033</v>
      </c>
      <c r="Z12" s="276">
        <v>3.3445685475253426</v>
      </c>
      <c r="AA12" s="276">
        <v>3.1960102906598928</v>
      </c>
      <c r="AB12" s="276">
        <v>3.0602161202015741</v>
      </c>
      <c r="AC12" s="276">
        <v>2.9356087650814362</v>
      </c>
      <c r="AD12" s="276">
        <v>2.8208605467395804</v>
      </c>
      <c r="AE12" s="276">
        <v>2.7148458875177668</v>
      </c>
    </row>
    <row r="13" spans="1:31" s="221" customFormat="1" ht="14.45" x14ac:dyDescent="0.35">
      <c r="A13" s="356"/>
      <c r="B13" s="356"/>
      <c r="C13"/>
      <c r="D13"/>
      <c r="E13"/>
      <c r="F13" s="276" t="str">
        <v/>
      </c>
      <c r="G13" s="276" t="str">
        <v/>
      </c>
      <c r="H13" s="276" t="str">
        <v/>
      </c>
      <c r="I13" s="276" t="str">
        <v/>
      </c>
      <c r="J13" s="276" t="str">
        <v/>
      </c>
      <c r="K13" s="276" t="str">
        <v/>
      </c>
      <c r="L13" s="276" t="str">
        <v/>
      </c>
      <c r="M13" s="276" t="str">
        <v/>
      </c>
      <c r="N13" s="276" t="str">
        <v/>
      </c>
      <c r="O13" s="276" t="str">
        <v/>
      </c>
      <c r="P13" s="276" t="str">
        <v/>
      </c>
      <c r="Q13" s="276" t="str">
        <v/>
      </c>
      <c r="R13" s="276" t="str">
        <v/>
      </c>
      <c r="S13" s="276" t="str">
        <v/>
      </c>
      <c r="T13" s="276" t="str">
        <v/>
      </c>
      <c r="U13" s="276" t="str">
        <v/>
      </c>
      <c r="V13" s="276" t="str">
        <v/>
      </c>
      <c r="W13" s="276" t="str">
        <v/>
      </c>
      <c r="X13" s="276" t="str">
        <v/>
      </c>
      <c r="Y13" s="276" t="str">
        <v/>
      </c>
      <c r="Z13" s="276" t="str">
        <v/>
      </c>
      <c r="AA13" s="276" t="str">
        <v/>
      </c>
      <c r="AB13" s="276" t="str">
        <v/>
      </c>
      <c r="AC13" s="276" t="str">
        <v/>
      </c>
      <c r="AD13" s="276" t="str">
        <v/>
      </c>
      <c r="AE13" s="276" t="str">
        <v/>
      </c>
    </row>
    <row r="14" spans="1:31" s="202" customFormat="1" ht="12.95" x14ac:dyDescent="0.3">
      <c r="A14" s="364" t="s">
        <v>32</v>
      </c>
      <c r="B14" s="364"/>
      <c r="C14" s="364"/>
      <c r="D14" s="364"/>
      <c r="E14" s="364"/>
      <c r="F14" s="274" t="str">
        <v/>
      </c>
      <c r="G14" s="274" t="str">
        <v/>
      </c>
      <c r="H14" s="274" t="str">
        <v/>
      </c>
      <c r="I14" s="274" t="str">
        <v/>
      </c>
      <c r="J14" s="274" t="str">
        <v/>
      </c>
      <c r="K14" s="274" t="str">
        <v/>
      </c>
      <c r="L14" s="274" t="str">
        <v/>
      </c>
      <c r="M14" s="274" t="str">
        <v/>
      </c>
      <c r="N14" s="274" t="str">
        <v/>
      </c>
      <c r="O14" s="274" t="str">
        <v/>
      </c>
      <c r="P14" s="274" t="str">
        <v/>
      </c>
      <c r="Q14" s="274" t="str">
        <v/>
      </c>
      <c r="R14" s="274" t="str">
        <v/>
      </c>
      <c r="S14" s="274" t="str">
        <v/>
      </c>
      <c r="T14" s="274" t="str">
        <v/>
      </c>
      <c r="U14" s="274" t="str">
        <v/>
      </c>
      <c r="V14" s="274" t="str">
        <v/>
      </c>
      <c r="W14" s="274" t="str">
        <v/>
      </c>
      <c r="X14" s="274" t="str">
        <v/>
      </c>
      <c r="Y14" s="274" t="str">
        <v/>
      </c>
      <c r="Z14" s="274" t="str">
        <v/>
      </c>
      <c r="AA14" s="274" t="str">
        <v/>
      </c>
      <c r="AB14" s="274" t="str">
        <v/>
      </c>
      <c r="AC14" s="274" t="str">
        <v/>
      </c>
      <c r="AD14" s="274" t="str">
        <v/>
      </c>
      <c r="AE14" s="274" t="str">
        <v/>
      </c>
    </row>
    <row r="15" spans="1:31" s="221" customFormat="1" ht="14.45" x14ac:dyDescent="0.35">
      <c r="A15" s="356"/>
      <c r="B15" s="356" t="s">
        <v>33</v>
      </c>
      <c r="C15"/>
      <c r="D15"/>
      <c r="E15"/>
      <c r="F15" s="276">
        <v>4.3982860872279472</v>
      </c>
      <c r="G15" s="901">
        <v>4.3762946567918037</v>
      </c>
      <c r="H15" s="276">
        <v>4.3543032263556647</v>
      </c>
      <c r="I15" s="276">
        <v>4.3323117959195256</v>
      </c>
      <c r="J15" s="276">
        <v>4.3103203654833866</v>
      </c>
      <c r="K15" s="276">
        <v>4.2883289350472475</v>
      </c>
      <c r="L15" s="276">
        <v>4.2663375046111041</v>
      </c>
      <c r="M15" s="276">
        <v>4.244346074174965</v>
      </c>
      <c r="N15" s="276">
        <v>4.222354643738826</v>
      </c>
      <c r="O15" s="276">
        <v>4.2003632133026878</v>
      </c>
      <c r="P15" s="276">
        <v>4.1783717828665488</v>
      </c>
      <c r="Q15" s="276">
        <v>4.1563803524304097</v>
      </c>
      <c r="R15" s="276">
        <v>4.1343889219942653</v>
      </c>
      <c r="S15" s="276">
        <v>4.1123974915581272</v>
      </c>
      <c r="T15" s="276">
        <v>4.0904060611219881</v>
      </c>
      <c r="U15" s="276">
        <v>4.0684146306858491</v>
      </c>
      <c r="V15" s="276">
        <v>4.04642320024971</v>
      </c>
      <c r="W15" s="276">
        <v>4.024431769813571</v>
      </c>
      <c r="X15" s="276">
        <v>4.0024403393774275</v>
      </c>
      <c r="Y15" s="276">
        <v>3.9804489089412884</v>
      </c>
      <c r="Z15" s="276">
        <v>3.9584574785051498</v>
      </c>
      <c r="AA15" s="276">
        <v>3.9364660480690108</v>
      </c>
      <c r="AB15" s="276">
        <v>3.9144746176328717</v>
      </c>
      <c r="AC15" s="276">
        <v>3.8924831871967331</v>
      </c>
      <c r="AD15" s="276">
        <v>3.8704917567605892</v>
      </c>
      <c r="AE15" s="276">
        <v>3.8485003263244502</v>
      </c>
    </row>
    <row r="16" spans="1:31" s="221" customFormat="1" ht="14.45" x14ac:dyDescent="0.35">
      <c r="A16" s="358"/>
      <c r="B16" s="358" t="s">
        <v>34</v>
      </c>
      <c r="C16"/>
      <c r="D16"/>
      <c r="E16"/>
      <c r="F16" s="276">
        <v>4.9091801669121287</v>
      </c>
      <c r="G16" s="901">
        <v>4.884634266077569</v>
      </c>
      <c r="H16" s="276">
        <v>5.8119818812953303</v>
      </c>
      <c r="I16" s="276">
        <v>6.7393294965130908</v>
      </c>
      <c r="J16" s="276">
        <v>7.6666771117308512</v>
      </c>
      <c r="K16" s="276">
        <v>7.6283437261721971</v>
      </c>
      <c r="L16" s="276">
        <v>7.5902020075413352</v>
      </c>
      <c r="M16" s="276">
        <v>7.5522509975036298</v>
      </c>
      <c r="N16" s="276">
        <v>7.5144897425161119</v>
      </c>
      <c r="O16" s="276">
        <v>7.4769172938035311</v>
      </c>
      <c r="P16" s="276">
        <v>7.4395327073345134</v>
      </c>
      <c r="Q16" s="276">
        <v>7.4023350437978408</v>
      </c>
      <c r="R16" s="276">
        <v>7.3653233685788519</v>
      </c>
      <c r="S16" s="276">
        <v>7.3284967517359565</v>
      </c>
      <c r="T16" s="276">
        <v>7.2918542679772766</v>
      </c>
      <c r="U16" s="276">
        <v>7.2553949966373903</v>
      </c>
      <c r="V16" s="276">
        <v>7.2191180216542046</v>
      </c>
      <c r="W16" s="276">
        <v>7.1830224315459335</v>
      </c>
      <c r="X16" s="276">
        <v>7.1471073193882049</v>
      </c>
      <c r="Y16" s="276">
        <v>7.111371782791263</v>
      </c>
      <c r="Z16" s="276">
        <v>7.0758149238773065</v>
      </c>
      <c r="AA16" s="276">
        <v>7.0404358492579204</v>
      </c>
      <c r="AB16" s="276">
        <v>7.0052336700116298</v>
      </c>
      <c r="AC16" s="276">
        <v>6.9702075016615721</v>
      </c>
      <c r="AD16" s="276">
        <v>6.9353564641532648</v>
      </c>
      <c r="AE16" s="276">
        <v>6.9006796818324982</v>
      </c>
    </row>
    <row r="17" spans="1:31" s="221" customFormat="1" ht="14.45" x14ac:dyDescent="0.35">
      <c r="A17" s="356"/>
      <c r="B17" s="358" t="s">
        <v>35</v>
      </c>
      <c r="C17"/>
      <c r="D17"/>
      <c r="E17"/>
      <c r="F17" s="276">
        <v>13.894134786596876</v>
      </c>
      <c r="G17" s="901">
        <v>13.824664112663905</v>
      </c>
      <c r="H17" s="276">
        <v>13.755193438730915</v>
      </c>
      <c r="I17" s="276">
        <v>13.685722764797925</v>
      </c>
      <c r="J17" s="276">
        <v>13.616252090864954</v>
      </c>
      <c r="K17" s="276">
        <v>13.546781416931964</v>
      </c>
      <c r="L17" s="276">
        <v>13.477310742998974</v>
      </c>
      <c r="M17" s="276">
        <v>13.407840069066001</v>
      </c>
      <c r="N17" s="276">
        <v>13.338369395133011</v>
      </c>
      <c r="O17" s="276">
        <v>13.268898721200021</v>
      </c>
      <c r="P17" s="276">
        <v>13.19942804726703</v>
      </c>
      <c r="Q17" s="276">
        <v>13.12995737333406</v>
      </c>
      <c r="R17" s="276">
        <v>13.06048669940107</v>
      </c>
      <c r="S17" s="276">
        <v>12.991016025468079</v>
      </c>
      <c r="T17" s="276">
        <v>12.921545351535109</v>
      </c>
      <c r="U17" s="276">
        <v>12.852074677602118</v>
      </c>
      <c r="V17" s="276">
        <v>12.782604003669128</v>
      </c>
      <c r="W17" s="276">
        <v>12.713133329736158</v>
      </c>
      <c r="X17" s="276">
        <v>12.643662655803167</v>
      </c>
      <c r="Y17" s="276">
        <v>12.574191981870177</v>
      </c>
      <c r="Z17" s="276">
        <v>12.504721307937205</v>
      </c>
      <c r="AA17" s="276">
        <v>12.435250634004214</v>
      </c>
      <c r="AB17" s="276">
        <v>12.365779960071224</v>
      </c>
      <c r="AC17" s="276">
        <v>12.296309286138234</v>
      </c>
      <c r="AD17" s="276">
        <v>12.226838612205263</v>
      </c>
      <c r="AE17" s="276">
        <v>12.157367938272273</v>
      </c>
    </row>
    <row r="18" spans="1:31" s="221" customFormat="1" ht="14.45" x14ac:dyDescent="0.35">
      <c r="A18" s="356"/>
      <c r="B18" s="358" t="s">
        <v>29</v>
      </c>
      <c r="C18"/>
      <c r="D18"/>
      <c r="E18"/>
      <c r="F18" s="276">
        <v>55.155329646773986</v>
      </c>
      <c r="G18" s="901">
        <v>30.953643679604003</v>
      </c>
      <c r="H18" s="276">
        <v>21.520165869313072</v>
      </c>
      <c r="I18" s="276">
        <v>16.497391851598039</v>
      </c>
      <c r="J18" s="276">
        <v>13.378071099176921</v>
      </c>
      <c r="K18" s="276">
        <v>11.252554117006511</v>
      </c>
      <c r="L18" s="276">
        <v>9.7111678707816171</v>
      </c>
      <c r="M18" s="276">
        <v>8.5422078553861791</v>
      </c>
      <c r="N18" s="276">
        <v>7.6252457176183945</v>
      </c>
      <c r="O18" s="276">
        <v>6.8867236082633196</v>
      </c>
      <c r="P18" s="276">
        <v>6.2791737149410762</v>
      </c>
      <c r="Q18" s="276">
        <v>5.7705931532247519</v>
      </c>
      <c r="R18" s="276">
        <v>5.3386202486883541</v>
      </c>
      <c r="S18" s="276">
        <v>4.9671581811191761</v>
      </c>
      <c r="T18" s="276">
        <v>4.644324636491489</v>
      </c>
      <c r="U18" s="276">
        <v>4.3611572297283203</v>
      </c>
      <c r="V18" s="276">
        <v>4.1107684974870589</v>
      </c>
      <c r="W18" s="276">
        <v>3.8877782829617882</v>
      </c>
      <c r="X18" s="276">
        <v>3.6879227869738198</v>
      </c>
      <c r="Y18" s="276">
        <v>3.5077792984603029</v>
      </c>
      <c r="Z18" s="276">
        <v>3.3445685475253422</v>
      </c>
      <c r="AA18" s="276">
        <v>3.1960102906598924</v>
      </c>
      <c r="AB18" s="276">
        <v>3.0602161202015736</v>
      </c>
      <c r="AC18" s="276">
        <v>2.9356087650814358</v>
      </c>
      <c r="AD18" s="276">
        <v>2.82086054673958</v>
      </c>
      <c r="AE18" s="276">
        <v>2.7148458875177668</v>
      </c>
    </row>
    <row r="19" spans="1:31" s="221" customFormat="1" ht="14.45" x14ac:dyDescent="0.35">
      <c r="A19" s="356"/>
      <c r="B19" s="356"/>
      <c r="C19"/>
      <c r="D19"/>
      <c r="E19"/>
      <c r="F19" s="276" t="str">
        <v/>
      </c>
      <c r="G19" s="276" t="str">
        <v/>
      </c>
      <c r="H19" s="276" t="str">
        <v/>
      </c>
      <c r="I19" s="276" t="str">
        <v/>
      </c>
      <c r="J19" s="276" t="str">
        <v/>
      </c>
      <c r="K19" s="276" t="str">
        <v/>
      </c>
      <c r="L19" s="276" t="str">
        <v/>
      </c>
      <c r="M19" s="276" t="str">
        <v/>
      </c>
      <c r="N19" s="276" t="str">
        <v/>
      </c>
      <c r="O19" s="276" t="str">
        <v/>
      </c>
      <c r="P19" s="276" t="str">
        <v/>
      </c>
      <c r="Q19" s="276" t="str">
        <v/>
      </c>
      <c r="R19" s="276" t="str">
        <v/>
      </c>
      <c r="S19" s="276" t="str">
        <v/>
      </c>
      <c r="T19" s="276" t="str">
        <v/>
      </c>
      <c r="U19" s="276" t="str">
        <v/>
      </c>
      <c r="V19" s="276" t="str">
        <v/>
      </c>
      <c r="W19" s="276" t="str">
        <v/>
      </c>
      <c r="X19" s="276" t="str">
        <v/>
      </c>
      <c r="Y19" s="276" t="str">
        <v/>
      </c>
      <c r="Z19" s="276" t="str">
        <v/>
      </c>
      <c r="AA19" s="276" t="str">
        <v/>
      </c>
      <c r="AB19" s="276" t="str">
        <v/>
      </c>
      <c r="AC19" s="276" t="str">
        <v/>
      </c>
      <c r="AD19" s="276" t="str">
        <v/>
      </c>
      <c r="AE19" s="276" t="str">
        <v/>
      </c>
    </row>
    <row r="20" spans="1:31" s="202" customFormat="1" ht="12.95" x14ac:dyDescent="0.3">
      <c r="A20" s="364" t="s">
        <v>36</v>
      </c>
      <c r="B20" s="364"/>
      <c r="C20" s="364"/>
      <c r="D20" s="364"/>
      <c r="E20" s="364"/>
      <c r="F20" s="274" t="str">
        <v/>
      </c>
      <c r="G20" s="274" t="str">
        <v/>
      </c>
      <c r="H20" s="274" t="str">
        <v/>
      </c>
      <c r="I20" s="274" t="str">
        <v/>
      </c>
      <c r="J20" s="274" t="str">
        <v/>
      </c>
      <c r="K20" s="274" t="str">
        <v/>
      </c>
      <c r="L20" s="274" t="str">
        <v/>
      </c>
      <c r="M20" s="274" t="str">
        <v/>
      </c>
      <c r="N20" s="274" t="str">
        <v/>
      </c>
      <c r="O20" s="274" t="str">
        <v/>
      </c>
      <c r="P20" s="274" t="str">
        <v/>
      </c>
      <c r="Q20" s="274" t="str">
        <v/>
      </c>
      <c r="R20" s="274" t="str">
        <v/>
      </c>
      <c r="S20" s="274" t="str">
        <v/>
      </c>
      <c r="T20" s="274" t="str">
        <v/>
      </c>
      <c r="U20" s="274" t="str">
        <v/>
      </c>
      <c r="V20" s="274" t="str">
        <v/>
      </c>
      <c r="W20" s="274" t="str">
        <v/>
      </c>
      <c r="X20" s="274" t="str">
        <v/>
      </c>
      <c r="Y20" s="274" t="str">
        <v/>
      </c>
      <c r="Z20" s="274" t="str">
        <v/>
      </c>
      <c r="AA20" s="274" t="str">
        <v/>
      </c>
      <c r="AB20" s="274" t="str">
        <v/>
      </c>
      <c r="AC20" s="274" t="str">
        <v/>
      </c>
      <c r="AD20" s="274" t="str">
        <v/>
      </c>
      <c r="AE20" s="274" t="str">
        <v/>
      </c>
    </row>
    <row r="21" spans="1:31" s="221" customFormat="1" ht="14.45" x14ac:dyDescent="0.35">
      <c r="A21" s="356"/>
      <c r="B21" s="356" t="s">
        <v>37</v>
      </c>
      <c r="C21"/>
      <c r="D21"/>
      <c r="E21"/>
      <c r="F21" s="276">
        <v>8.5439066067837146</v>
      </c>
      <c r="G21" s="276">
        <v>8.5011870737498008</v>
      </c>
      <c r="H21" s="276">
        <v>8.458467540715878</v>
      </c>
      <c r="I21" s="276">
        <v>8.4157480076819642</v>
      </c>
      <c r="J21" s="276">
        <v>8.3730284746480415</v>
      </c>
      <c r="K21" s="276">
        <v>8.3303089416141169</v>
      </c>
      <c r="L21" s="276">
        <v>8.2875894085802031</v>
      </c>
      <c r="M21" s="276">
        <v>8.2448698755462804</v>
      </c>
      <c r="N21" s="276">
        <v>8.2021503425123683</v>
      </c>
      <c r="O21" s="276">
        <v>8.1594308094784438</v>
      </c>
      <c r="P21" s="276">
        <v>8.116711276444537</v>
      </c>
      <c r="Q21" s="276">
        <v>8.0739917434106125</v>
      </c>
      <c r="R21" s="276">
        <v>8.0312722103766987</v>
      </c>
      <c r="S21" s="276">
        <v>7.988552677342776</v>
      </c>
      <c r="T21" s="276">
        <v>7.9458331443088523</v>
      </c>
      <c r="U21" s="276">
        <v>7.9031136112749385</v>
      </c>
      <c r="V21" s="276">
        <v>7.8603940782410149</v>
      </c>
      <c r="W21" s="276">
        <v>7.8176745452071028</v>
      </c>
      <c r="X21" s="276">
        <v>7.7749550121731783</v>
      </c>
      <c r="Y21" s="276">
        <v>7.7322354791392653</v>
      </c>
      <c r="Z21" s="276">
        <v>7.6895159461053417</v>
      </c>
      <c r="AA21" s="276">
        <v>7.6467964130714332</v>
      </c>
      <c r="AB21" s="276">
        <v>7.6040768800375105</v>
      </c>
      <c r="AC21" s="276">
        <v>7.5613573470035869</v>
      </c>
      <c r="AD21" s="276">
        <v>7.518637813969673</v>
      </c>
      <c r="AE21" s="276">
        <v>7.4759182809357494</v>
      </c>
    </row>
    <row r="22" spans="1:31" s="221" customFormat="1" ht="14.45" x14ac:dyDescent="0.35">
      <c r="A22" s="356"/>
      <c r="B22" s="356" t="s">
        <v>39</v>
      </c>
      <c r="C22"/>
      <c r="D22"/>
      <c r="E22"/>
      <c r="F22" s="276">
        <v>9.3577039389847254</v>
      </c>
      <c r="G22" s="276">
        <v>9.3109154192898043</v>
      </c>
      <c r="H22" s="276">
        <v>9.2641268995948796</v>
      </c>
      <c r="I22" s="276">
        <v>9.2173383798999602</v>
      </c>
      <c r="J22" s="276">
        <v>9.4061408347122626</v>
      </c>
      <c r="K22" s="276">
        <v>9.5949432895245668</v>
      </c>
      <c r="L22" s="276">
        <v>9.7837457443368816</v>
      </c>
      <c r="M22" s="276">
        <v>9.7339140688894368</v>
      </c>
      <c r="N22" s="276">
        <v>9.6841793940316165</v>
      </c>
      <c r="O22" s="276">
        <v>9.634541234760448</v>
      </c>
      <c r="P22" s="276">
        <v>9.5849991084980193</v>
      </c>
      <c r="Q22" s="276">
        <v>9.5355525350792671</v>
      </c>
      <c r="R22" s="276">
        <v>9.4862010367399918</v>
      </c>
      <c r="S22" s="276">
        <v>9.4369441381047796</v>
      </c>
      <c r="T22" s="276">
        <v>9.3877813661751155</v>
      </c>
      <c r="U22" s="276">
        <v>9.3387122503174851</v>
      </c>
      <c r="V22" s="276">
        <v>9.2897363222515068</v>
      </c>
      <c r="W22" s="276">
        <v>9.2408531160382434</v>
      </c>
      <c r="X22" s="276">
        <v>9.1920621680684089</v>
      </c>
      <c r="Y22" s="276">
        <v>9.1433630170508096</v>
      </c>
      <c r="Z22" s="276">
        <v>9.094755204000661</v>
      </c>
      <c r="AA22" s="276">
        <v>9.0462382722281482</v>
      </c>
      <c r="AB22" s="276">
        <v>8.9978117673268621</v>
      </c>
      <c r="AC22" s="276">
        <v>8.9494752371624564</v>
      </c>
      <c r="AD22" s="276">
        <v>8.901228231861257</v>
      </c>
      <c r="AE22" s="276">
        <v>8.853070303798928</v>
      </c>
    </row>
    <row r="23" spans="1:31" s="221" customFormat="1" ht="14.45" x14ac:dyDescent="0.35">
      <c r="A23" s="356"/>
      <c r="B23" s="356" t="s">
        <v>40</v>
      </c>
      <c r="C23"/>
      <c r="D23"/>
      <c r="E23"/>
      <c r="F23" s="276">
        <v>5.1573973194427412</v>
      </c>
      <c r="G23" s="276">
        <v>5.1316103328455238</v>
      </c>
      <c r="H23" s="276">
        <v>5.1058233462483118</v>
      </c>
      <c r="I23" s="276">
        <v>5.0800363596510998</v>
      </c>
      <c r="J23" s="276">
        <v>5.0542493730538851</v>
      </c>
      <c r="K23" s="276">
        <v>5.0284623864566722</v>
      </c>
      <c r="L23" s="276">
        <v>5.0026753998594558</v>
      </c>
      <c r="M23" s="276">
        <v>4.9768884132622437</v>
      </c>
      <c r="N23" s="276">
        <v>4.9511014266650291</v>
      </c>
      <c r="O23" s="276">
        <v>4.925314440067817</v>
      </c>
      <c r="P23" s="276">
        <v>4.8995274534706041</v>
      </c>
      <c r="Q23" s="276">
        <v>4.8737404668733877</v>
      </c>
      <c r="R23" s="276">
        <v>4.8479534802761748</v>
      </c>
      <c r="S23" s="276">
        <v>4.8221664936789601</v>
      </c>
      <c r="T23" s="276">
        <v>4.7963795070817481</v>
      </c>
      <c r="U23" s="276">
        <v>4.7705925204845361</v>
      </c>
      <c r="V23" s="276">
        <v>4.7448055338873187</v>
      </c>
      <c r="W23" s="276">
        <v>4.7190185472901067</v>
      </c>
      <c r="X23" s="276">
        <v>4.693231560692892</v>
      </c>
      <c r="Y23" s="276">
        <v>4.66744457409568</v>
      </c>
      <c r="Z23" s="276">
        <v>4.641657587498468</v>
      </c>
      <c r="AA23" s="276">
        <v>4.6158706009012507</v>
      </c>
      <c r="AB23" s="276">
        <v>4.590083614304036</v>
      </c>
      <c r="AC23" s="276">
        <v>4.564296627706824</v>
      </c>
      <c r="AD23" s="276">
        <v>4.5385096411096111</v>
      </c>
      <c r="AE23" s="276">
        <v>4.5127226545124</v>
      </c>
    </row>
    <row r="24" spans="1:31" s="221" customFormat="1" ht="14.45" x14ac:dyDescent="0.35">
      <c r="A24" s="356"/>
      <c r="B24" s="356" t="s">
        <v>29</v>
      </c>
      <c r="C24"/>
      <c r="D24"/>
      <c r="E24"/>
      <c r="F24" s="276">
        <v>180.88475965641621</v>
      </c>
      <c r="G24" s="276">
        <v>108.53401257778634</v>
      </c>
      <c r="H24" s="276">
        <v>77.547284636338034</v>
      </c>
      <c r="I24" s="276">
        <v>60.337807351118627</v>
      </c>
      <c r="J24" s="276">
        <v>49.388318732768852</v>
      </c>
      <c r="K24" s="276">
        <v>41.808813167273925</v>
      </c>
      <c r="L24" s="276">
        <v>36.250982020674336</v>
      </c>
      <c r="M24" s="276">
        <v>32.001145833995928</v>
      </c>
      <c r="N24" s="276">
        <v>28.64617726953395</v>
      </c>
      <c r="O24" s="276">
        <v>25.930357134543922</v>
      </c>
      <c r="P24" s="276">
        <v>23.686925614494996</v>
      </c>
      <c r="Q24" s="276">
        <v>21.802493526572075</v>
      </c>
      <c r="R24" s="276">
        <v>20.197272849753819</v>
      </c>
      <c r="S24" s="276">
        <v>18.813488715155085</v>
      </c>
      <c r="T24" s="276">
        <v>17.608277585332416</v>
      </c>
      <c r="U24" s="276">
        <v>16.54916818847364</v>
      </c>
      <c r="V24" s="276">
        <v>15.611112001932259</v>
      </c>
      <c r="W24" s="276">
        <v>14.774476913528423</v>
      </c>
      <c r="X24" s="276">
        <v>14.023658273383182</v>
      </c>
      <c r="Y24" s="276">
        <v>13.346096501962295</v>
      </c>
      <c r="Z24" s="276">
        <v>12.73156887638881</v>
      </c>
      <c r="AA24" s="276">
        <v>12.171670188466772</v>
      </c>
      <c r="AB24" s="276">
        <v>11.659426010556659</v>
      </c>
      <c r="AC24" s="276">
        <v>11.189000678631562</v>
      </c>
      <c r="AD24" s="276">
        <v>10.755473989930337</v>
      </c>
      <c r="AE24" s="276">
        <v>10.354668462980241</v>
      </c>
    </row>
    <row r="25" spans="1:31" s="221" customFormat="1" ht="14.45" x14ac:dyDescent="0.35">
      <c r="A25" s="356"/>
      <c r="B25" s="356"/>
      <c r="C25"/>
      <c r="D25"/>
      <c r="E25"/>
      <c r="F25" s="276" t="str">
        <v/>
      </c>
      <c r="G25" s="276" t="str">
        <v/>
      </c>
      <c r="H25" s="276" t="str">
        <v/>
      </c>
      <c r="I25" s="276" t="str">
        <v/>
      </c>
      <c r="J25" s="276" t="str">
        <v/>
      </c>
      <c r="K25" s="276" t="str">
        <v/>
      </c>
      <c r="L25" s="276" t="str">
        <v/>
      </c>
      <c r="M25" s="276" t="str">
        <v/>
      </c>
      <c r="N25" s="276" t="str">
        <v/>
      </c>
      <c r="O25" s="276" t="str">
        <v/>
      </c>
      <c r="P25" s="276" t="str">
        <v/>
      </c>
      <c r="Q25" s="276" t="str">
        <v/>
      </c>
      <c r="R25" s="276" t="str">
        <v/>
      </c>
      <c r="S25" s="276" t="str">
        <v/>
      </c>
      <c r="T25" s="276" t="str">
        <v/>
      </c>
      <c r="U25" s="276" t="str">
        <v/>
      </c>
      <c r="V25" s="276" t="str">
        <v/>
      </c>
      <c r="W25" s="276" t="str">
        <v/>
      </c>
      <c r="X25" s="276" t="str">
        <v/>
      </c>
      <c r="Y25" s="276" t="str">
        <v/>
      </c>
      <c r="Z25" s="276" t="str">
        <v/>
      </c>
      <c r="AA25" s="276" t="str">
        <v/>
      </c>
      <c r="AB25" s="276" t="str">
        <v/>
      </c>
      <c r="AC25" s="276" t="str">
        <v/>
      </c>
      <c r="AD25" s="276" t="str">
        <v/>
      </c>
      <c r="AE25" s="276" t="str">
        <v/>
      </c>
    </row>
    <row r="26" spans="1:31" s="202" customFormat="1" ht="12.95" x14ac:dyDescent="0.3">
      <c r="A26" s="364" t="s">
        <v>42</v>
      </c>
      <c r="B26" s="364"/>
      <c r="C26" s="364"/>
      <c r="D26" s="364"/>
      <c r="E26" s="364"/>
      <c r="F26" s="274" t="str">
        <v/>
      </c>
      <c r="G26" s="274" t="str">
        <v/>
      </c>
      <c r="H26" s="274" t="str">
        <v/>
      </c>
      <c r="I26" s="274" t="str">
        <v/>
      </c>
      <c r="J26" s="274" t="str">
        <v/>
      </c>
      <c r="K26" s="274" t="str">
        <v/>
      </c>
      <c r="L26" s="274" t="str">
        <v/>
      </c>
      <c r="M26" s="274" t="str">
        <v/>
      </c>
      <c r="N26" s="274" t="str">
        <v/>
      </c>
      <c r="O26" s="274" t="str">
        <v/>
      </c>
      <c r="P26" s="274" t="str">
        <v/>
      </c>
      <c r="Q26" s="274" t="str">
        <v/>
      </c>
      <c r="R26" s="274" t="str">
        <v/>
      </c>
      <c r="S26" s="274" t="str">
        <v/>
      </c>
      <c r="T26" s="274" t="str">
        <v/>
      </c>
      <c r="U26" s="274" t="str">
        <v/>
      </c>
      <c r="V26" s="274" t="str">
        <v/>
      </c>
      <c r="W26" s="274" t="str">
        <v/>
      </c>
      <c r="X26" s="274" t="str">
        <v/>
      </c>
      <c r="Y26" s="274" t="str">
        <v/>
      </c>
      <c r="Z26" s="274" t="str">
        <v/>
      </c>
      <c r="AA26" s="274" t="str">
        <v/>
      </c>
      <c r="AB26" s="274" t="str">
        <v/>
      </c>
      <c r="AC26" s="274" t="str">
        <v/>
      </c>
      <c r="AD26" s="274" t="str">
        <v/>
      </c>
      <c r="AE26" s="274" t="str">
        <v/>
      </c>
    </row>
    <row r="27" spans="1:31" s="221" customFormat="1" ht="14.45" x14ac:dyDescent="0.35">
      <c r="A27" s="356"/>
      <c r="B27" s="358" t="s">
        <v>43</v>
      </c>
      <c r="C27"/>
      <c r="D27"/>
      <c r="E27"/>
      <c r="F27" s="276">
        <v>28.072629376404819</v>
      </c>
      <c r="G27" s="276">
        <v>27.932266229522803</v>
      </c>
      <c r="H27" s="276">
        <v>27.791903082640761</v>
      </c>
      <c r="I27" s="276">
        <v>27.651539935758748</v>
      </c>
      <c r="J27" s="276">
        <v>27.511176788876742</v>
      </c>
      <c r="K27" s="276">
        <v>27.370813641994694</v>
      </c>
      <c r="L27" s="276">
        <v>27.230450495112677</v>
      </c>
      <c r="M27" s="276">
        <v>27.090087348230639</v>
      </c>
      <c r="N27" s="276">
        <v>26.949724201348626</v>
      </c>
      <c r="O27" s="276">
        <v>26.809361054466617</v>
      </c>
      <c r="P27" s="276">
        <v>26.668997907584572</v>
      </c>
      <c r="Q27" s="276">
        <v>26.528634760702566</v>
      </c>
      <c r="R27" s="276">
        <v>26.388271613820521</v>
      </c>
      <c r="S27" s="276">
        <v>26.247908466938512</v>
      </c>
      <c r="T27" s="276">
        <v>26.107545320056495</v>
      </c>
      <c r="U27" s="276">
        <v>25.967182173174457</v>
      </c>
      <c r="V27" s="276">
        <v>25.826819026292444</v>
      </c>
      <c r="W27" s="276">
        <v>25.686455879410396</v>
      </c>
      <c r="X27" s="276">
        <v>25.546092732528386</v>
      </c>
      <c r="Y27" s="276">
        <v>25.405729585646377</v>
      </c>
      <c r="Z27" s="276">
        <v>25.265366438764335</v>
      </c>
      <c r="AA27" s="276">
        <v>25.125003291882319</v>
      </c>
      <c r="AB27" s="276">
        <v>24.984640145000281</v>
      </c>
      <c r="AC27" s="276">
        <v>24.844276998118268</v>
      </c>
      <c r="AD27" s="276">
        <v>24.703913851236258</v>
      </c>
      <c r="AE27" s="276">
        <v>24.563550704354213</v>
      </c>
    </row>
    <row r="28" spans="1:31" s="221" customFormat="1" ht="14.45" x14ac:dyDescent="0.35">
      <c r="A28" s="356"/>
      <c r="B28" s="358" t="s">
        <v>44</v>
      </c>
      <c r="C28"/>
      <c r="D28"/>
      <c r="E28"/>
      <c r="F28" s="276">
        <v>49.281640601712937</v>
      </c>
      <c r="G28" s="276">
        <v>49.035232398704409</v>
      </c>
      <c r="H28" s="276">
        <v>48.788824195695845</v>
      </c>
      <c r="I28" s="276">
        <v>48.542415992687253</v>
      </c>
      <c r="J28" s="276">
        <v>48.29600778967869</v>
      </c>
      <c r="K28" s="276">
        <v>48.049599586670119</v>
      </c>
      <c r="L28" s="276">
        <v>47.803191383661577</v>
      </c>
      <c r="M28" s="276">
        <v>47.556783180653014</v>
      </c>
      <c r="N28" s="276">
        <v>47.31037497764445</v>
      </c>
      <c r="O28" s="276">
        <v>47.063966774635858</v>
      </c>
      <c r="P28" s="276">
        <v>46.817558571627288</v>
      </c>
      <c r="Q28" s="276">
        <v>46.571150368618774</v>
      </c>
      <c r="R28" s="276">
        <v>46.324742165610182</v>
      </c>
      <c r="S28" s="276">
        <v>46.078333962601612</v>
      </c>
      <c r="T28" s="276">
        <v>45.831925759593048</v>
      </c>
      <c r="U28" s="276">
        <v>45.585517556584463</v>
      </c>
      <c r="V28" s="276">
        <v>45.339109353575935</v>
      </c>
      <c r="W28" s="276">
        <v>45.092701150567372</v>
      </c>
      <c r="X28" s="276">
        <v>44.84629294755878</v>
      </c>
      <c r="Y28" s="276">
        <v>44.599884744550209</v>
      </c>
      <c r="Z28" s="276">
        <v>44.353476541541653</v>
      </c>
      <c r="AA28" s="276">
        <v>44.107068338533104</v>
      </c>
      <c r="AB28" s="276">
        <v>43.860660135524533</v>
      </c>
      <c r="AC28" s="276">
        <v>43.61425193251597</v>
      </c>
      <c r="AD28" s="276">
        <v>43.367843729507385</v>
      </c>
      <c r="AE28" s="276">
        <v>43.121435526498814</v>
      </c>
    </row>
    <row r="29" spans="1:31" s="221" customFormat="1" ht="14.45" x14ac:dyDescent="0.35">
      <c r="A29" s="356"/>
      <c r="B29" s="358" t="s">
        <v>45</v>
      </c>
      <c r="C29"/>
      <c r="D29"/>
      <c r="E29"/>
      <c r="F29" s="276">
        <v>15.560849343453269</v>
      </c>
      <c r="G29" s="276">
        <v>15.483045096736006</v>
      </c>
      <c r="H29" s="276">
        <v>15.40524085001873</v>
      </c>
      <c r="I29" s="276">
        <v>15.327436603301473</v>
      </c>
      <c r="J29" s="276">
        <v>15.249632356584211</v>
      </c>
      <c r="K29" s="276">
        <v>15.171828109866937</v>
      </c>
      <c r="L29" s="276">
        <v>15.09402386314968</v>
      </c>
      <c r="M29" s="276">
        <v>15.0162196164324</v>
      </c>
      <c r="N29" s="276">
        <v>14.938415369715141</v>
      </c>
      <c r="O29" s="276">
        <v>14.860611122997879</v>
      </c>
      <c r="P29" s="276">
        <v>14.782806876280603</v>
      </c>
      <c r="Q29" s="276">
        <v>14.705002629563346</v>
      </c>
      <c r="R29" s="276">
        <v>14.627198382846066</v>
      </c>
      <c r="S29" s="276">
        <v>14.549394136128809</v>
      </c>
      <c r="T29" s="276">
        <v>14.47158988941155</v>
      </c>
      <c r="U29" s="276">
        <v>14.393785642694272</v>
      </c>
      <c r="V29" s="276">
        <v>14.315981395977012</v>
      </c>
      <c r="W29" s="276">
        <v>14.238177149259737</v>
      </c>
      <c r="X29" s="276">
        <v>14.160372902542475</v>
      </c>
      <c r="Y29" s="276">
        <v>14.082568655825218</v>
      </c>
      <c r="Z29" s="276">
        <v>14.004764409107938</v>
      </c>
      <c r="AA29" s="276">
        <v>13.92696016239068</v>
      </c>
      <c r="AB29" s="276">
        <v>13.849155915673407</v>
      </c>
      <c r="AC29" s="276">
        <v>13.771351668956143</v>
      </c>
      <c r="AD29" s="276">
        <v>13.693547422238886</v>
      </c>
      <c r="AE29" s="276">
        <v>13.61574317552161</v>
      </c>
    </row>
    <row r="30" spans="1:31" s="221" customFormat="1" ht="14.45" x14ac:dyDescent="0.35">
      <c r="A30" s="356"/>
      <c r="B30" s="358" t="s">
        <v>46</v>
      </c>
      <c r="C30"/>
      <c r="D30"/>
      <c r="E30"/>
      <c r="F30" s="276">
        <v>2000</v>
      </c>
      <c r="G30" s="276">
        <v>2000</v>
      </c>
      <c r="H30" s="276">
        <v>2000</v>
      </c>
      <c r="I30" s="276">
        <v>2000</v>
      </c>
      <c r="J30" s="276">
        <v>2000</v>
      </c>
      <c r="K30" s="276">
        <v>2000</v>
      </c>
      <c r="L30" s="276">
        <v>2000</v>
      </c>
      <c r="M30" s="276">
        <v>2000</v>
      </c>
      <c r="N30" s="276">
        <v>2000</v>
      </c>
      <c r="O30" s="276">
        <v>2000</v>
      </c>
      <c r="P30" s="276">
        <v>2000</v>
      </c>
      <c r="Q30" s="276">
        <v>2000</v>
      </c>
      <c r="R30" s="276">
        <v>2000</v>
      </c>
      <c r="S30" s="276">
        <v>2000</v>
      </c>
      <c r="T30" s="276">
        <v>2000</v>
      </c>
      <c r="U30" s="276">
        <v>2000</v>
      </c>
      <c r="V30" s="276">
        <v>2000</v>
      </c>
      <c r="W30" s="276">
        <v>2000</v>
      </c>
      <c r="X30" s="276">
        <v>2000</v>
      </c>
      <c r="Y30" s="276">
        <v>2000</v>
      </c>
      <c r="Z30" s="276">
        <v>2000</v>
      </c>
      <c r="AA30" s="276">
        <v>2000</v>
      </c>
      <c r="AB30" s="276">
        <v>2000</v>
      </c>
      <c r="AC30" s="276">
        <v>2000</v>
      </c>
      <c r="AD30" s="276">
        <v>2000</v>
      </c>
      <c r="AE30" s="276">
        <v>2000</v>
      </c>
    </row>
    <row r="31" spans="1:31" s="221" customFormat="1" ht="14.45" x14ac:dyDescent="0.35">
      <c r="A31" s="356"/>
      <c r="B31" s="356" t="s">
        <v>29</v>
      </c>
      <c r="C31"/>
      <c r="D31"/>
      <c r="E31"/>
      <c r="F31" s="276">
        <v>180.88475965641621</v>
      </c>
      <c r="G31" s="276">
        <v>108.53401257778634</v>
      </c>
      <c r="H31" s="276">
        <v>77.547284636338048</v>
      </c>
      <c r="I31" s="276">
        <v>60.337807351118627</v>
      </c>
      <c r="J31" s="276">
        <v>49.388318732768852</v>
      </c>
      <c r="K31" s="276">
        <v>41.808813167273925</v>
      </c>
      <c r="L31" s="276">
        <v>36.250982020674343</v>
      </c>
      <c r="M31" s="276">
        <v>32.00114583399592</v>
      </c>
      <c r="N31" s="276">
        <v>28.646177269533947</v>
      </c>
      <c r="O31" s="276">
        <v>25.930357134543918</v>
      </c>
      <c r="P31" s="276">
        <v>23.686925614494996</v>
      </c>
      <c r="Q31" s="276">
        <v>21.802493526572075</v>
      </c>
      <c r="R31" s="276">
        <v>20.197272849753823</v>
      </c>
      <c r="S31" s="276">
        <v>18.813488715155085</v>
      </c>
      <c r="T31" s="276">
        <v>17.608277585332416</v>
      </c>
      <c r="U31" s="276">
        <v>16.549168188473637</v>
      </c>
      <c r="V31" s="276">
        <v>15.611112001932257</v>
      </c>
      <c r="W31" s="276">
        <v>14.774476913528421</v>
      </c>
      <c r="X31" s="276">
        <v>14.02365827338318</v>
      </c>
      <c r="Y31" s="276">
        <v>13.346096501962293</v>
      </c>
      <c r="Z31" s="276">
        <v>12.731568876388808</v>
      </c>
      <c r="AA31" s="276">
        <v>12.17167018846677</v>
      </c>
      <c r="AB31" s="276">
        <v>11.659426010556658</v>
      </c>
      <c r="AC31" s="276">
        <v>11.189000678631562</v>
      </c>
      <c r="AD31" s="276">
        <v>10.755473989930337</v>
      </c>
      <c r="AE31" s="276">
        <v>10.354668462980239</v>
      </c>
    </row>
    <row r="32" spans="1:31" s="221" customFormat="1" ht="14.45" x14ac:dyDescent="0.35">
      <c r="A32" s="356"/>
      <c r="B32" s="356"/>
      <c r="C32"/>
      <c r="D32"/>
      <c r="E32"/>
      <c r="F32" s="276" t="str">
        <v/>
      </c>
      <c r="G32" s="276" t="str">
        <v/>
      </c>
      <c r="H32" s="276" t="str">
        <v/>
      </c>
      <c r="I32" s="276" t="str">
        <v/>
      </c>
      <c r="J32" s="276" t="str">
        <v/>
      </c>
      <c r="K32" s="276" t="str">
        <v/>
      </c>
      <c r="L32" s="276" t="str">
        <v/>
      </c>
      <c r="M32" s="276" t="str">
        <v/>
      </c>
      <c r="N32" s="276" t="str">
        <v/>
      </c>
      <c r="O32" s="276" t="str">
        <v/>
      </c>
      <c r="P32" s="276" t="str">
        <v/>
      </c>
      <c r="Q32" s="276" t="str">
        <v/>
      </c>
      <c r="R32" s="276" t="str">
        <v/>
      </c>
      <c r="S32" s="276" t="str">
        <v/>
      </c>
      <c r="T32" s="276" t="str">
        <v/>
      </c>
      <c r="U32" s="276" t="str">
        <v/>
      </c>
      <c r="V32" s="276" t="str">
        <v/>
      </c>
      <c r="W32" s="276" t="str">
        <v/>
      </c>
      <c r="X32" s="276" t="str">
        <v/>
      </c>
      <c r="Y32" s="276" t="str">
        <v/>
      </c>
      <c r="Z32" s="276" t="str">
        <v/>
      </c>
      <c r="AA32" s="276" t="str">
        <v/>
      </c>
      <c r="AB32" s="276" t="str">
        <v/>
      </c>
      <c r="AC32" s="276" t="str">
        <v/>
      </c>
      <c r="AD32" s="276" t="str">
        <v/>
      </c>
      <c r="AE32" s="276" t="str">
        <v/>
      </c>
    </row>
    <row r="33" spans="1:31" s="202" customFormat="1" ht="12.95" x14ac:dyDescent="0.3">
      <c r="A33" s="364" t="s">
        <v>47</v>
      </c>
      <c r="B33" s="364"/>
      <c r="C33" s="364"/>
      <c r="D33" s="364"/>
      <c r="E33" s="364"/>
      <c r="F33" s="274" t="str">
        <v/>
      </c>
      <c r="G33" s="274" t="str">
        <v/>
      </c>
      <c r="H33" s="274" t="str">
        <v/>
      </c>
      <c r="I33" s="274" t="str">
        <v/>
      </c>
      <c r="J33" s="274" t="str">
        <v/>
      </c>
      <c r="K33" s="274" t="str">
        <v/>
      </c>
      <c r="L33" s="274" t="str">
        <v/>
      </c>
      <c r="M33" s="274" t="str">
        <v/>
      </c>
      <c r="N33" s="274" t="str">
        <v/>
      </c>
      <c r="O33" s="274" t="str">
        <v/>
      </c>
      <c r="P33" s="274" t="str">
        <v/>
      </c>
      <c r="Q33" s="274" t="str">
        <v/>
      </c>
      <c r="R33" s="274" t="str">
        <v/>
      </c>
      <c r="S33" s="274" t="str">
        <v/>
      </c>
      <c r="T33" s="274" t="str">
        <v/>
      </c>
      <c r="U33" s="274" t="str">
        <v/>
      </c>
      <c r="V33" s="274" t="str">
        <v/>
      </c>
      <c r="W33" s="274" t="str">
        <v/>
      </c>
      <c r="X33" s="274" t="str">
        <v/>
      </c>
      <c r="Y33" s="274" t="str">
        <v/>
      </c>
      <c r="Z33" s="274" t="str">
        <v/>
      </c>
      <c r="AA33" s="274" t="str">
        <v/>
      </c>
      <c r="AB33" s="274" t="str">
        <v/>
      </c>
      <c r="AC33" s="274" t="str">
        <v/>
      </c>
      <c r="AD33" s="274" t="str">
        <v/>
      </c>
      <c r="AE33" s="274" t="str">
        <v/>
      </c>
    </row>
    <row r="34" spans="1:31" s="221" customFormat="1" ht="14.45" x14ac:dyDescent="0.35">
      <c r="A34" s="356"/>
      <c r="B34" s="356" t="s">
        <v>48</v>
      </c>
      <c r="C34"/>
      <c r="D34"/>
      <c r="E34"/>
      <c r="F34" s="276">
        <v>1.9843246350434611</v>
      </c>
      <c r="G34" s="276">
        <v>1.9744030118682467</v>
      </c>
      <c r="H34" s="276">
        <v>1.9644813886930286</v>
      </c>
      <c r="I34" s="276">
        <v>1.9545597655178104</v>
      </c>
      <c r="J34" s="276">
        <v>1.9446381423425922</v>
      </c>
      <c r="K34" s="276">
        <v>1.9347165191673776</v>
      </c>
      <c r="L34" s="276">
        <v>1.9247948959921595</v>
      </c>
      <c r="M34" s="276">
        <v>1.9148732728169413</v>
      </c>
      <c r="N34" s="276">
        <v>1.9049516496417234</v>
      </c>
      <c r="O34" s="276">
        <v>1.8950300264665052</v>
      </c>
      <c r="P34" s="276">
        <v>1.8851084032912906</v>
      </c>
      <c r="Q34" s="276">
        <v>1.8751867801160724</v>
      </c>
      <c r="R34" s="276">
        <v>1.8652651569408543</v>
      </c>
      <c r="S34" s="276">
        <v>1.8553435337656361</v>
      </c>
      <c r="T34" s="276">
        <v>1.8454219105904217</v>
      </c>
      <c r="U34" s="276">
        <v>1.8355002874152035</v>
      </c>
      <c r="V34" s="276">
        <v>1.8255786642399854</v>
      </c>
      <c r="W34" s="276">
        <v>1.8156570410647672</v>
      </c>
      <c r="X34" s="276">
        <v>1.8057354178895491</v>
      </c>
      <c r="Y34" s="276">
        <v>1.7958137947143347</v>
      </c>
      <c r="Z34" s="276">
        <v>1.7858921715391165</v>
      </c>
      <c r="AA34" s="276">
        <v>1.7759705483638983</v>
      </c>
      <c r="AB34" s="276">
        <v>1.7660489251886802</v>
      </c>
      <c r="AC34" s="276">
        <v>1.7561273020134658</v>
      </c>
      <c r="AD34" s="276">
        <v>1.7462056788382476</v>
      </c>
      <c r="AE34" s="276">
        <v>1.7362840556630295</v>
      </c>
    </row>
    <row r="35" spans="1:31" s="221" customFormat="1" ht="14.45" x14ac:dyDescent="0.35">
      <c r="A35" s="356"/>
      <c r="B35" s="358" t="s">
        <v>50</v>
      </c>
      <c r="C35"/>
      <c r="D35"/>
      <c r="E35"/>
      <c r="F35" s="276">
        <v>4.0849933570295924</v>
      </c>
      <c r="G35" s="276">
        <v>4.0645683902444407</v>
      </c>
      <c r="H35" s="276">
        <v>4.0441434234592952</v>
      </c>
      <c r="I35" s="276">
        <v>4.0237184566741506</v>
      </c>
      <c r="J35" s="276">
        <v>4.0032934898889989</v>
      </c>
      <c r="K35" s="276">
        <v>3.9828685231038534</v>
      </c>
      <c r="L35" s="276">
        <v>3.9624435563187013</v>
      </c>
      <c r="M35" s="276">
        <v>3.9420185895335562</v>
      </c>
      <c r="N35" s="276">
        <v>3.9215936227484045</v>
      </c>
      <c r="O35" s="276">
        <v>3.901168655963259</v>
      </c>
      <c r="P35" s="276">
        <v>3.880743689178114</v>
      </c>
      <c r="Q35" s="276">
        <v>3.8603187223929623</v>
      </c>
      <c r="R35" s="276">
        <v>3.8398937556078168</v>
      </c>
      <c r="S35" s="276">
        <v>3.8194687888226651</v>
      </c>
      <c r="T35" s="276">
        <v>3.79904382203752</v>
      </c>
      <c r="U35" s="276">
        <v>3.778618855252375</v>
      </c>
      <c r="V35" s="276">
        <v>3.7581938884672228</v>
      </c>
      <c r="W35" s="276">
        <v>3.7377689216820777</v>
      </c>
      <c r="X35" s="276">
        <v>3.7173439548969256</v>
      </c>
      <c r="Y35" s="276">
        <v>3.6969189881117805</v>
      </c>
      <c r="Z35" s="276">
        <v>3.6764940213266288</v>
      </c>
      <c r="AA35" s="276">
        <v>3.6560690545414833</v>
      </c>
      <c r="AB35" s="276">
        <v>3.6356440877563383</v>
      </c>
      <c r="AC35" s="276">
        <v>3.6152191209711866</v>
      </c>
      <c r="AD35" s="276">
        <v>3.5947941541860411</v>
      </c>
      <c r="AE35" s="276">
        <v>3.5743691874008894</v>
      </c>
    </row>
    <row r="36" spans="1:31" s="221" customFormat="1" ht="14.45" x14ac:dyDescent="0.35">
      <c r="A36" s="356"/>
      <c r="B36" s="356" t="s">
        <v>51</v>
      </c>
      <c r="C36"/>
      <c r="D36"/>
      <c r="E36"/>
      <c r="F36" s="276">
        <v>3.8701822875526886</v>
      </c>
      <c r="G36" s="276">
        <v>3.8508313761149302</v>
      </c>
      <c r="H36" s="276">
        <v>3.8314804646771639</v>
      </c>
      <c r="I36" s="276">
        <v>3.8121295532393979</v>
      </c>
      <c r="J36" s="276">
        <v>3.7927786418016392</v>
      </c>
      <c r="K36" s="276">
        <v>3.7734277303638732</v>
      </c>
      <c r="L36" s="276">
        <v>3.7540768189261144</v>
      </c>
      <c r="M36" s="276">
        <v>3.7347259074883481</v>
      </c>
      <c r="N36" s="276">
        <v>3.7153749960505822</v>
      </c>
      <c r="O36" s="276">
        <v>3.6960240846128234</v>
      </c>
      <c r="P36" s="276">
        <v>3.6766731731750575</v>
      </c>
      <c r="Q36" s="276">
        <v>3.6573222617372911</v>
      </c>
      <c r="R36" s="276">
        <v>3.6379713502995323</v>
      </c>
      <c r="S36" s="276">
        <v>3.6186204388617664</v>
      </c>
      <c r="T36" s="276">
        <v>3.5992695274240001</v>
      </c>
      <c r="U36" s="276">
        <v>3.5799186159862417</v>
      </c>
      <c r="V36" s="276">
        <v>3.5605677045484754</v>
      </c>
      <c r="W36" s="276">
        <v>3.5412167931107095</v>
      </c>
      <c r="X36" s="276">
        <v>3.5218658816729507</v>
      </c>
      <c r="Y36" s="276">
        <v>3.5025149702351843</v>
      </c>
      <c r="Z36" s="276">
        <v>3.483164058797426</v>
      </c>
      <c r="AA36" s="276">
        <v>3.4638131473596596</v>
      </c>
      <c r="AB36" s="276">
        <v>3.4444622359218937</v>
      </c>
      <c r="AC36" s="276">
        <v>3.4251113244841349</v>
      </c>
      <c r="AD36" s="276">
        <v>3.405760413046369</v>
      </c>
      <c r="AE36" s="276">
        <v>3.3864095016086027</v>
      </c>
    </row>
    <row r="37" spans="1:31" s="221" customFormat="1" ht="14.45" x14ac:dyDescent="0.35">
      <c r="A37" s="356"/>
      <c r="B37" s="356" t="s">
        <v>52</v>
      </c>
      <c r="C37"/>
      <c r="D37"/>
      <c r="E37"/>
      <c r="F37" s="276">
        <v>15.268066762022183</v>
      </c>
      <c r="G37" s="276">
        <v>15.191726428212082</v>
      </c>
      <c r="H37" s="276">
        <v>15.115386094401959</v>
      </c>
      <c r="I37" s="276">
        <v>15.039045760591858</v>
      </c>
      <c r="J37" s="276">
        <v>14.962705426781758</v>
      </c>
      <c r="K37" s="276">
        <v>14.886365092971626</v>
      </c>
      <c r="L37" s="276">
        <v>14.810024759161525</v>
      </c>
      <c r="M37" s="276">
        <v>14.733684425351404</v>
      </c>
      <c r="N37" s="276">
        <v>14.657344091541304</v>
      </c>
      <c r="O37" s="276">
        <v>14.581003757731203</v>
      </c>
      <c r="P37" s="276">
        <v>14.504663423921071</v>
      </c>
      <c r="Q37" s="276">
        <v>14.42832309011097</v>
      </c>
      <c r="R37" s="276">
        <v>14.351982756300849</v>
      </c>
      <c r="S37" s="276">
        <v>14.275642422490748</v>
      </c>
      <c r="T37" s="276">
        <v>14.199302088680646</v>
      </c>
      <c r="U37" s="276">
        <v>14.122961754870516</v>
      </c>
      <c r="V37" s="276">
        <v>14.046621421060415</v>
      </c>
      <c r="W37" s="276">
        <v>13.970281087250296</v>
      </c>
      <c r="X37" s="276">
        <v>13.893940753440194</v>
      </c>
      <c r="Y37" s="276">
        <v>13.817600419630093</v>
      </c>
      <c r="Z37" s="276">
        <v>13.741260085819961</v>
      </c>
      <c r="AA37" s="276">
        <v>13.664919752009862</v>
      </c>
      <c r="AB37" s="276">
        <v>13.588579418199739</v>
      </c>
      <c r="AC37" s="276">
        <v>13.512239084389638</v>
      </c>
      <c r="AD37" s="276">
        <v>13.435898750579538</v>
      </c>
      <c r="AE37" s="276">
        <v>13.359558416769417</v>
      </c>
    </row>
    <row r="38" spans="1:31" s="221" customFormat="1" x14ac:dyDescent="0.25">
      <c r="A38" s="356"/>
      <c r="B38" s="358" t="s">
        <v>29</v>
      </c>
      <c r="C38"/>
      <c r="D38"/>
      <c r="E38"/>
      <c r="F38" s="276">
        <v>55.155329646774</v>
      </c>
      <c r="G38" s="276">
        <v>30.953643679604006</v>
      </c>
      <c r="H38" s="276">
        <v>21.520165869313072</v>
      </c>
      <c r="I38" s="276">
        <v>16.497391851598042</v>
      </c>
      <c r="J38" s="276">
        <v>13.378071099176921</v>
      </c>
      <c r="K38" s="276">
        <v>11.252554117006511</v>
      </c>
      <c r="L38" s="276">
        <v>9.7111678707816189</v>
      </c>
      <c r="M38" s="276">
        <v>8.5422078553861773</v>
      </c>
      <c r="N38" s="276">
        <v>7.6252457176183954</v>
      </c>
      <c r="O38" s="276">
        <v>6.8867236082633214</v>
      </c>
      <c r="P38" s="276">
        <v>6.2791737149410771</v>
      </c>
      <c r="Q38" s="276">
        <v>5.7705931532247519</v>
      </c>
      <c r="R38" s="276">
        <v>5.3386202486883541</v>
      </c>
      <c r="S38" s="276">
        <v>4.9671581811191761</v>
      </c>
      <c r="T38" s="276">
        <v>4.6443246364914899</v>
      </c>
      <c r="U38" s="276">
        <v>4.3611572297283203</v>
      </c>
      <c r="V38" s="276">
        <v>4.1107684974870597</v>
      </c>
      <c r="W38" s="276">
        <v>3.8877782829617886</v>
      </c>
      <c r="X38" s="276">
        <v>3.6879227869738207</v>
      </c>
      <c r="Y38" s="276">
        <v>3.5077792984603038</v>
      </c>
      <c r="Z38" s="276">
        <v>3.3445685475253422</v>
      </c>
      <c r="AA38" s="276">
        <v>3.1960102906598933</v>
      </c>
      <c r="AB38" s="276">
        <v>3.0602161202015736</v>
      </c>
      <c r="AC38" s="276">
        <v>2.9356087650814362</v>
      </c>
      <c r="AD38" s="276">
        <v>2.8208605467395809</v>
      </c>
      <c r="AE38" s="276">
        <v>2.7148458875177668</v>
      </c>
    </row>
    <row r="39" spans="1:31" s="221" customFormat="1" x14ac:dyDescent="0.25">
      <c r="A39" s="356"/>
      <c r="B39" s="358" t="s">
        <v>53</v>
      </c>
      <c r="C39"/>
      <c r="D39"/>
      <c r="E39"/>
      <c r="F39" s="276">
        <v>7.8173858661663429</v>
      </c>
      <c r="G39" s="276">
        <v>7.77829893683551</v>
      </c>
      <c r="H39" s="276">
        <v>7.7392120075046922</v>
      </c>
      <c r="I39" s="276">
        <v>7.7001250781738584</v>
      </c>
      <c r="J39" s="276">
        <v>7.6610381488430255</v>
      </c>
      <c r="K39" s="276">
        <v>7.6219512195121917</v>
      </c>
      <c r="L39" s="276">
        <v>7.5828642901813588</v>
      </c>
      <c r="M39" s="276">
        <v>7.5437773608505259</v>
      </c>
      <c r="N39" s="276">
        <v>7.5046904315196921</v>
      </c>
      <c r="O39" s="276">
        <v>7.4656035021888592</v>
      </c>
      <c r="P39" s="276">
        <v>7.4265165728580262</v>
      </c>
      <c r="Q39" s="276">
        <v>7.3874296435271924</v>
      </c>
      <c r="R39" s="276">
        <v>7.3483427141963746</v>
      </c>
      <c r="S39" s="276">
        <v>7.3092557848655417</v>
      </c>
      <c r="T39" s="276">
        <v>7.2701688555347079</v>
      </c>
      <c r="U39" s="276">
        <v>7.231081926203875</v>
      </c>
      <c r="V39" s="276">
        <v>7.1919949968730421</v>
      </c>
      <c r="W39" s="276">
        <v>7.1529080675422083</v>
      </c>
      <c r="X39" s="276">
        <v>7.1138211382113754</v>
      </c>
      <c r="Y39" s="276">
        <v>7.0747342088805416</v>
      </c>
      <c r="Z39" s="276">
        <v>7.0356472795497087</v>
      </c>
      <c r="AA39" s="276">
        <v>6.9965603502188758</v>
      </c>
      <c r="AB39" s="276">
        <v>6.957473420888042</v>
      </c>
      <c r="AC39" s="276">
        <v>6.9183864915572242</v>
      </c>
      <c r="AD39" s="276">
        <v>6.8792995622263913</v>
      </c>
      <c r="AE39" s="276">
        <v>6.8402126328955575</v>
      </c>
    </row>
    <row r="40" spans="1:31" s="221" customFormat="1" x14ac:dyDescent="0.25">
      <c r="A40"/>
      <c r="B40"/>
      <c r="C40"/>
      <c r="D40"/>
      <c r="E40"/>
      <c r="F40"/>
      <c r="G40"/>
      <c r="H40"/>
      <c r="I40"/>
      <c r="J40"/>
      <c r="K40"/>
      <c r="L40"/>
      <c r="M40"/>
      <c r="N40"/>
      <c r="O40"/>
      <c r="P40"/>
      <c r="Q40"/>
      <c r="R40"/>
      <c r="S40"/>
      <c r="T40"/>
      <c r="U40"/>
      <c r="V40"/>
      <c r="W40"/>
      <c r="X40"/>
      <c r="Y40"/>
      <c r="Z40"/>
      <c r="AA40"/>
      <c r="AB40"/>
      <c r="AC40"/>
      <c r="AD40"/>
      <c r="AE40"/>
    </row>
    <row r="41" spans="1:31" x14ac:dyDescent="0.25">
      <c r="A41" s="362" t="s">
        <v>207</v>
      </c>
      <c r="B41" s="363"/>
      <c r="C41" s="362"/>
      <c r="D41" s="363"/>
      <c r="E41" s="363"/>
      <c r="F41" s="829" t="s">
        <v>434</v>
      </c>
      <c r="G41" s="365"/>
      <c r="H41" s="365"/>
      <c r="I41" s="365"/>
      <c r="J41" s="365"/>
      <c r="K41" s="365"/>
      <c r="L41" s="365"/>
      <c r="M41" s="365"/>
      <c r="N41" s="365"/>
      <c r="O41" s="365"/>
      <c r="P41" s="365"/>
      <c r="Q41" s="365"/>
      <c r="R41" s="365"/>
      <c r="S41" s="365"/>
      <c r="T41" s="365"/>
      <c r="U41" s="365"/>
      <c r="V41" s="365"/>
      <c r="W41" s="365"/>
      <c r="X41" s="365"/>
      <c r="Y41" s="365"/>
      <c r="Z41" s="365"/>
      <c r="AA41" s="365"/>
      <c r="AB41" s="365"/>
      <c r="AC41" s="365"/>
      <c r="AD41" s="365"/>
      <c r="AE41" s="365"/>
    </row>
    <row r="42" spans="1:31" x14ac:dyDescent="0.25">
      <c r="A42" s="357" t="s">
        <v>12</v>
      </c>
      <c r="B42" s="356"/>
    </row>
    <row r="43" spans="1:31" x14ac:dyDescent="0.25">
      <c r="A43" s="356"/>
      <c r="B43" s="356" t="s">
        <v>20</v>
      </c>
    </row>
    <row r="44" spans="1:31" s="202" customFormat="1" ht="12.75" x14ac:dyDescent="0.2">
      <c r="A44" s="364" t="s">
        <v>21</v>
      </c>
      <c r="B44" s="364"/>
      <c r="C44" s="364"/>
      <c r="D44" s="364"/>
      <c r="E44" s="364"/>
      <c r="F44" s="364"/>
      <c r="G44" s="364"/>
      <c r="H44" s="364"/>
      <c r="I44" s="364"/>
      <c r="J44" s="364"/>
      <c r="K44" s="364"/>
      <c r="L44" s="364"/>
      <c r="M44" s="364"/>
      <c r="N44" s="364"/>
      <c r="O44" s="364"/>
      <c r="P44" s="364"/>
      <c r="Q44" s="364"/>
      <c r="R44" s="364"/>
      <c r="S44" s="364"/>
      <c r="T44" s="364"/>
      <c r="U44" s="364"/>
      <c r="V44" s="364"/>
      <c r="W44" s="364"/>
      <c r="X44" s="364"/>
      <c r="Y44" s="364"/>
      <c r="Z44" s="364"/>
      <c r="AA44" s="364"/>
      <c r="AB44" s="364"/>
      <c r="AC44" s="364"/>
      <c r="AD44" s="364"/>
      <c r="AE44" s="364"/>
    </row>
    <row r="45" spans="1:31" s="221" customFormat="1" x14ac:dyDescent="0.25">
      <c r="A45" s="356"/>
      <c r="B45" s="356" t="s">
        <v>22</v>
      </c>
      <c r="C45"/>
      <c r="D45" s="201"/>
      <c r="E45" s="201"/>
      <c r="F45" s="276">
        <f t="array" ref="F45:AE75" ca="1">Cost_OM_Rpl</f>
        <v>4.5595397263921154</v>
      </c>
      <c r="G45" s="276">
        <f ca="1"/>
        <v>4.5943032802923476</v>
      </c>
      <c r="H45" s="276">
        <f ca="1"/>
        <v>4.4504636570093581</v>
      </c>
      <c r="I45" s="276">
        <f ca="1"/>
        <v>4.4224609514994864</v>
      </c>
      <c r="J45" s="276">
        <f ca="1"/>
        <v>4.4990686783397873</v>
      </c>
      <c r="K45" s="276">
        <f ca="1"/>
        <v>4.5348528218239217</v>
      </c>
      <c r="L45" s="276">
        <f ca="1"/>
        <v>4.6721856289065178</v>
      </c>
      <c r="M45" s="276">
        <f ca="1"/>
        <v>4.7732875057605169</v>
      </c>
      <c r="N45" s="276">
        <f ca="1"/>
        <v>4.8570393596881454</v>
      </c>
      <c r="O45" s="276">
        <f ca="1"/>
        <v>4.9076220521388905</v>
      </c>
      <c r="P45" s="276">
        <f ca="1"/>
        <v>4.9781062414757669</v>
      </c>
      <c r="Q45" s="276">
        <f ca="1"/>
        <v>5.0741051704102453</v>
      </c>
      <c r="R45" s="276">
        <f ca="1"/>
        <v>5.1655114462171561</v>
      </c>
      <c r="S45" s="276">
        <f ca="1"/>
        <v>5.2610000803596826</v>
      </c>
      <c r="T45" s="276">
        <f ca="1"/>
        <v>5.3661843155492965</v>
      </c>
      <c r="U45" s="276">
        <f ca="1"/>
        <v>5.4616729496918239</v>
      </c>
      <c r="V45" s="276">
        <f ca="1"/>
        <v>5.5694086588411986</v>
      </c>
      <c r="W45" s="276">
        <f ca="1"/>
        <v>5.6873502638296163</v>
      </c>
      <c r="X45" s="276">
        <f ca="1"/>
        <v>5.817028649032931</v>
      </c>
      <c r="Y45" s="276">
        <f ca="1"/>
        <v>5.9477276238201506</v>
      </c>
      <c r="Z45" s="276">
        <f ca="1"/>
        <v>6.0743442402717509</v>
      </c>
      <c r="AA45" s="276">
        <f ca="1"/>
        <v>6.2157594056899637</v>
      </c>
      <c r="AB45" s="276">
        <f ca="1"/>
        <v>6.3602363398598873</v>
      </c>
      <c r="AC45" s="276">
        <f ca="1"/>
        <v>6.5103265167412836</v>
      </c>
      <c r="AD45" s="276">
        <f ca="1"/>
        <v>6.670622589461721</v>
      </c>
      <c r="AE45" s="276">
        <f ca="1"/>
        <v>6.87327312991418</v>
      </c>
    </row>
    <row r="46" spans="1:31" s="221" customFormat="1" x14ac:dyDescent="0.25">
      <c r="A46" s="356"/>
      <c r="B46" s="356" t="s">
        <v>26</v>
      </c>
      <c r="C46"/>
      <c r="D46" s="201"/>
      <c r="E46" s="201"/>
      <c r="F46" s="276">
        <f ca="1"/>
        <v>4.7695701425547048</v>
      </c>
      <c r="G46" s="276">
        <f ca="1"/>
        <v>4.7713681283777314</v>
      </c>
      <c r="H46" s="276">
        <f ca="1"/>
        <v>4.6210703595118385</v>
      </c>
      <c r="I46" s="276">
        <f ca="1"/>
        <v>4.5704008930829385</v>
      </c>
      <c r="J46" s="276">
        <f ca="1"/>
        <v>4.6084291388946648</v>
      </c>
      <c r="K46" s="276">
        <f ca="1"/>
        <v>4.6118343952971932</v>
      </c>
      <c r="L46" s="276">
        <f ca="1"/>
        <v>4.6999947955158916</v>
      </c>
      <c r="M46" s="276">
        <f ca="1"/>
        <v>4.7571984768951854</v>
      </c>
      <c r="N46" s="276">
        <f ca="1"/>
        <v>4.7995049885336467</v>
      </c>
      <c r="O46" s="276">
        <f ca="1"/>
        <v>4.8141095442041628</v>
      </c>
      <c r="P46" s="276">
        <f ca="1"/>
        <v>4.8448752825083545</v>
      </c>
      <c r="Q46" s="276">
        <f ca="1"/>
        <v>4.8961481475148227</v>
      </c>
      <c r="R46" s="276">
        <f ca="1"/>
        <v>4.9432111914460277</v>
      </c>
      <c r="S46" s="276">
        <f ca="1"/>
        <v>4.9931288811324679</v>
      </c>
      <c r="T46" s="276">
        <f ca="1"/>
        <v>5.0503727764297786</v>
      </c>
      <c r="U46" s="276">
        <f ca="1"/>
        <v>5.0993276895378061</v>
      </c>
      <c r="V46" s="276">
        <f ca="1"/>
        <v>5.157581616881779</v>
      </c>
      <c r="W46" s="276">
        <f ca="1"/>
        <v>5.2233881074959152</v>
      </c>
      <c r="X46" s="276">
        <f ca="1"/>
        <v>5.2978510807510419</v>
      </c>
      <c r="Y46" s="276">
        <f ca="1"/>
        <v>5.3724355857957615</v>
      </c>
      <c r="Z46" s="276">
        <f ca="1"/>
        <v>5.4431503879140379</v>
      </c>
      <c r="AA46" s="276">
        <f ca="1"/>
        <v>5.5247426597971234</v>
      </c>
      <c r="AB46" s="276">
        <f ca="1"/>
        <v>5.6079720473627601</v>
      </c>
      <c r="AC46" s="276">
        <f ca="1"/>
        <v>5.694784479642494</v>
      </c>
      <c r="AD46" s="276">
        <f ca="1"/>
        <v>5.7886584709389934</v>
      </c>
      <c r="AE46" s="276">
        <f ca="1"/>
        <v>5.9140756643124401</v>
      </c>
    </row>
    <row r="47" spans="1:31" s="221" customFormat="1" x14ac:dyDescent="0.25">
      <c r="A47" s="356"/>
      <c r="B47" s="356" t="s">
        <v>27</v>
      </c>
      <c r="C47"/>
      <c r="D47" s="201"/>
      <c r="E47" s="201"/>
      <c r="F47" s="276">
        <f ca="1"/>
        <v>1.2536765619796972</v>
      </c>
      <c r="G47" s="276">
        <f ca="1"/>
        <v>1.2551426575361779</v>
      </c>
      <c r="H47" s="276">
        <f ca="1"/>
        <v>1.2135533072434457</v>
      </c>
      <c r="I47" s="276">
        <f ca="1"/>
        <v>1.2001513088408213</v>
      </c>
      <c r="J47" s="276">
        <f ca="1"/>
        <v>1.2118432363810503</v>
      </c>
      <c r="K47" s="276">
        <f ca="1"/>
        <v>1.2137271391280733</v>
      </c>
      <c r="L47" s="276">
        <f ca="1"/>
        <v>1.2395894132245053</v>
      </c>
      <c r="M47" s="276">
        <f ca="1"/>
        <v>1.2566815477672051</v>
      </c>
      <c r="N47" s="276">
        <f ca="1"/>
        <v>1.2695488251426728</v>
      </c>
      <c r="O47" s="276">
        <f ca="1"/>
        <v>1.2745673737998791</v>
      </c>
      <c r="P47" s="276">
        <f ca="1"/>
        <v>1.2841514117480626</v>
      </c>
      <c r="Q47" s="276">
        <f ca="1"/>
        <v>1.2995310430199796</v>
      </c>
      <c r="R47" s="276">
        <f ca="1"/>
        <v>1.3137110226379312</v>
      </c>
      <c r="S47" s="276">
        <f ca="1"/>
        <v>1.328690843399154</v>
      </c>
      <c r="T47" s="276">
        <f ca="1"/>
        <v>1.3457361543473632</v>
      </c>
      <c r="U47" s="276">
        <f ca="1"/>
        <v>1.3604276738377401</v>
      </c>
      <c r="V47" s="276">
        <f ca="1"/>
        <v>1.3777432457784742</v>
      </c>
      <c r="W47" s="276">
        <f ca="1"/>
        <v>1.3971886986546935</v>
      </c>
      <c r="X47" s="276">
        <f ca="1"/>
        <v>1.4190765675729351</v>
      </c>
      <c r="Y47" s="276">
        <f ca="1"/>
        <v>1.4409914035818259</v>
      </c>
      <c r="Z47" s="276">
        <f ca="1"/>
        <v>1.461803713250851</v>
      </c>
      <c r="AA47" s="276">
        <f ca="1"/>
        <v>1.4856873241671176</v>
      </c>
      <c r="AB47" s="276">
        <f ca="1"/>
        <v>1.5100271394537981</v>
      </c>
      <c r="AC47" s="276">
        <f ca="1"/>
        <v>1.5353739896651943</v>
      </c>
      <c r="AD47" s="276">
        <f ca="1"/>
        <v>1.5627124541911386</v>
      </c>
      <c r="AE47" s="276">
        <f ca="1"/>
        <v>1.5989713924704467</v>
      </c>
    </row>
    <row r="48" spans="1:31" s="221" customFormat="1" x14ac:dyDescent="0.25">
      <c r="A48" s="356"/>
      <c r="B48" s="356" t="s">
        <v>29</v>
      </c>
      <c r="C48"/>
      <c r="D48" s="201"/>
      <c r="E48" s="201"/>
      <c r="F48" s="276">
        <f ca="1"/>
        <v>2.9447559915606591</v>
      </c>
      <c r="G48" s="276">
        <f ca="1"/>
        <v>1.7674156826474581</v>
      </c>
      <c r="H48" s="276">
        <f ca="1"/>
        <v>1.2570868160858781</v>
      </c>
      <c r="I48" s="276">
        <f ca="1"/>
        <v>0.96121772309485087</v>
      </c>
      <c r="J48" s="276">
        <f ca="1"/>
        <v>0.78203736528916501</v>
      </c>
      <c r="K48" s="276">
        <f ca="1"/>
        <v>0.6550074672830184</v>
      </c>
      <c r="L48" s="276">
        <f ca="1"/>
        <v>0.5775252140267717</v>
      </c>
      <c r="M48" s="276">
        <f ca="1"/>
        <v>0.51942270486615039</v>
      </c>
      <c r="N48" s="276">
        <f ca="1"/>
        <v>0.47611997869498257</v>
      </c>
      <c r="O48" s="276">
        <f ca="1"/>
        <v>0.44187062085153211</v>
      </c>
      <c r="P48" s="276">
        <f ca="1"/>
        <v>0.41749006530964361</v>
      </c>
      <c r="Q48" s="276">
        <f ca="1"/>
        <v>0.40667737892463118</v>
      </c>
      <c r="R48" s="276">
        <f ca="1"/>
        <v>0.39941995680905895</v>
      </c>
      <c r="S48" s="276">
        <f ca="1"/>
        <v>0.39529728570148182</v>
      </c>
      <c r="T48" s="276">
        <f ca="1"/>
        <v>0.39393334102272415</v>
      </c>
      <c r="U48" s="276">
        <f ca="1"/>
        <v>0.39352732951634467</v>
      </c>
      <c r="V48" s="276">
        <f ca="1"/>
        <v>0.39511879041555331</v>
      </c>
      <c r="W48" s="276">
        <f ca="1"/>
        <v>0.39828076364522158</v>
      </c>
      <c r="X48" s="276">
        <f ca="1"/>
        <v>0.40289615678989321</v>
      </c>
      <c r="Y48" s="276">
        <f ca="1"/>
        <v>0.40812346509210107</v>
      </c>
      <c r="Z48" s="276">
        <f ca="1"/>
        <v>0.41352350847328573</v>
      </c>
      <c r="AA48" s="276">
        <f ca="1"/>
        <v>0.42020968137362408</v>
      </c>
      <c r="AB48" s="276">
        <f ca="1"/>
        <v>0.42736835297041925</v>
      </c>
      <c r="AC48" s="276">
        <f ca="1"/>
        <v>0.4351105628664681</v>
      </c>
      <c r="AD48" s="276">
        <f ca="1"/>
        <v>0.44368794883241147</v>
      </c>
      <c r="AE48" s="276">
        <f ca="1"/>
        <v>0.45510704299247656</v>
      </c>
    </row>
    <row r="49" spans="1:31" s="221" customFormat="1" x14ac:dyDescent="0.25">
      <c r="A49" s="356"/>
      <c r="B49" s="356"/>
      <c r="C49"/>
      <c r="D49"/>
      <c r="E49"/>
      <c r="F49" s="276" t="str">
        <v/>
      </c>
      <c r="G49" s="276" t="str">
        <v/>
      </c>
      <c r="H49" s="276" t="str">
        <v/>
      </c>
      <c r="I49" s="276" t="str">
        <v/>
      </c>
      <c r="J49" s="276" t="str">
        <v/>
      </c>
      <c r="K49" s="276" t="str">
        <v/>
      </c>
      <c r="L49" s="276" t="str">
        <v/>
      </c>
      <c r="M49" s="276" t="str">
        <v/>
      </c>
      <c r="N49" s="276" t="str">
        <v/>
      </c>
      <c r="O49" s="276" t="str">
        <v/>
      </c>
      <c r="P49" s="276" t="str">
        <v/>
      </c>
      <c r="Q49" s="276" t="str">
        <v/>
      </c>
      <c r="R49" s="276" t="str">
        <v/>
      </c>
      <c r="S49" s="276" t="str">
        <v/>
      </c>
      <c r="T49" s="276" t="str">
        <v/>
      </c>
      <c r="U49" s="276" t="str">
        <v/>
      </c>
      <c r="V49" s="276" t="str">
        <v/>
      </c>
      <c r="W49" s="276" t="str">
        <v/>
      </c>
      <c r="X49" s="276" t="str">
        <v/>
      </c>
      <c r="Y49" s="276" t="str">
        <v/>
      </c>
      <c r="Z49" s="276" t="str">
        <v/>
      </c>
      <c r="AA49" s="276" t="str">
        <v/>
      </c>
      <c r="AB49" s="276" t="str">
        <v/>
      </c>
      <c r="AC49" s="276" t="str">
        <v/>
      </c>
      <c r="AD49" s="276" t="str">
        <v/>
      </c>
      <c r="AE49" s="276" t="str">
        <v/>
      </c>
    </row>
    <row r="50" spans="1:31" s="202" customFormat="1" ht="12.75" x14ac:dyDescent="0.2">
      <c r="A50" s="364" t="s">
        <v>32</v>
      </c>
      <c r="B50" s="364"/>
      <c r="C50" s="364"/>
      <c r="D50" s="364"/>
      <c r="E50" s="364"/>
      <c r="F50" s="274" t="str">
        <v/>
      </c>
      <c r="G50" s="274" t="str">
        <v/>
      </c>
      <c r="H50" s="274" t="str">
        <v/>
      </c>
      <c r="I50" s="274" t="str">
        <v/>
      </c>
      <c r="J50" s="274" t="str">
        <v/>
      </c>
      <c r="K50" s="274" t="str">
        <v/>
      </c>
      <c r="L50" s="274" t="str">
        <v/>
      </c>
      <c r="M50" s="274" t="str">
        <v/>
      </c>
      <c r="N50" s="274" t="str">
        <v/>
      </c>
      <c r="O50" s="274" t="str">
        <v/>
      </c>
      <c r="P50" s="274" t="str">
        <v/>
      </c>
      <c r="Q50" s="274" t="str">
        <v/>
      </c>
      <c r="R50" s="274" t="str">
        <v/>
      </c>
      <c r="S50" s="274" t="str">
        <v/>
      </c>
      <c r="T50" s="274" t="str">
        <v/>
      </c>
      <c r="U50" s="274" t="str">
        <v/>
      </c>
      <c r="V50" s="274" t="str">
        <v/>
      </c>
      <c r="W50" s="274" t="str">
        <v/>
      </c>
      <c r="X50" s="274" t="str">
        <v/>
      </c>
      <c r="Y50" s="274" t="str">
        <v/>
      </c>
      <c r="Z50" s="274" t="str">
        <v/>
      </c>
      <c r="AA50" s="274" t="str">
        <v/>
      </c>
      <c r="AB50" s="274" t="str">
        <v/>
      </c>
      <c r="AC50" s="274" t="str">
        <v/>
      </c>
      <c r="AD50" s="274" t="str">
        <v/>
      </c>
      <c r="AE50" s="274" t="str">
        <v/>
      </c>
    </row>
    <row r="51" spans="1:31" s="221" customFormat="1" x14ac:dyDescent="0.25">
      <c r="A51" s="356"/>
      <c r="B51" s="356" t="s">
        <v>33</v>
      </c>
      <c r="C51"/>
      <c r="D51"/>
      <c r="E51"/>
      <c r="F51" s="276">
        <v>6.4592161902908423</v>
      </c>
      <c r="G51" s="901">
        <v>6.4986715037306713</v>
      </c>
      <c r="H51" s="276">
        <v>6.3154939445025109</v>
      </c>
      <c r="I51" s="276">
        <v>6.2767097055475904</v>
      </c>
      <c r="J51" s="276">
        <v>6.3683247205839209</v>
      </c>
      <c r="K51" s="276">
        <v>6.409052221867567</v>
      </c>
      <c r="L51" s="276">
        <v>6.5763624136110117</v>
      </c>
      <c r="M51" s="276">
        <v>6.6985099368989509</v>
      </c>
      <c r="N51" s="276">
        <v>6.7990302668419993</v>
      </c>
      <c r="O51" s="276">
        <v>6.8582044918609943</v>
      </c>
      <c r="P51" s="276">
        <v>6.9421863798344212</v>
      </c>
      <c r="Q51" s="276">
        <v>7.0579729639032758</v>
      </c>
      <c r="R51" s="276">
        <v>7.1680347026749525</v>
      </c>
      <c r="S51" s="276">
        <v>7.2831851928218985</v>
      </c>
      <c r="T51" s="276">
        <v>7.4104214674851061</v>
      </c>
      <c r="U51" s="276">
        <v>7.5255719576320512</v>
      </c>
      <c r="V51" s="276">
        <v>7.6559887019048025</v>
      </c>
      <c r="W51" s="276">
        <v>7.7991273246157231</v>
      </c>
      <c r="X51" s="276">
        <v>7.9568961075305413</v>
      </c>
      <c r="Y51" s="276">
        <v>8.1159370782891767</v>
      </c>
      <c r="Z51" s="276">
        <v>8.2698892976725418</v>
      </c>
      <c r="AA51" s="276">
        <v>8.4422882407912567</v>
      </c>
      <c r="AB51" s="276">
        <v>8.618503747441423</v>
      </c>
      <c r="AC51" s="276">
        <v>8.8017162872325834</v>
      </c>
      <c r="AD51" s="276">
        <v>8.9976507054619113</v>
      </c>
      <c r="AE51" s="276">
        <v>9.2463809192096509</v>
      </c>
    </row>
    <row r="52" spans="1:31" s="221" customFormat="1" x14ac:dyDescent="0.25">
      <c r="A52" s="358"/>
      <c r="B52" s="358" t="s">
        <v>34</v>
      </c>
      <c r="C52"/>
      <c r="D52"/>
      <c r="E52"/>
      <c r="F52" s="276">
        <v>4.9085973834382362</v>
      </c>
      <c r="G52" s="901">
        <v>4.9114026473122188</v>
      </c>
      <c r="H52" s="276">
        <v>4.7129039779280735</v>
      </c>
      <c r="I52" s="276">
        <v>4.6544924514033044</v>
      </c>
      <c r="J52" s="276">
        <v>4.7015900256554044</v>
      </c>
      <c r="K52" s="276">
        <v>4.6973414139247671</v>
      </c>
      <c r="L52" s="276">
        <v>4.7665293660093813</v>
      </c>
      <c r="M52" s="276">
        <v>4.8089179997922855</v>
      </c>
      <c r="N52" s="276">
        <v>4.8384185595099716</v>
      </c>
      <c r="O52" s="276">
        <v>4.8439490329502988</v>
      </c>
      <c r="P52" s="276">
        <v>4.8634829140211302</v>
      </c>
      <c r="Q52" s="276">
        <v>4.9007683815185565</v>
      </c>
      <c r="R52" s="276">
        <v>4.9344074339625204</v>
      </c>
      <c r="S52" s="276">
        <v>4.9705081949086729</v>
      </c>
      <c r="T52" s="276">
        <v>5.0129302829776945</v>
      </c>
      <c r="U52" s="276">
        <v>5.0481680938474351</v>
      </c>
      <c r="V52" s="276">
        <v>5.0914198682237979</v>
      </c>
      <c r="W52" s="276">
        <v>5.1411646301051306</v>
      </c>
      <c r="X52" s="276">
        <v>5.19834351948505</v>
      </c>
      <c r="Y52" s="276">
        <v>5.2555776156075886</v>
      </c>
      <c r="Z52" s="276">
        <v>5.3094191291290933</v>
      </c>
      <c r="AA52" s="276">
        <v>5.372582389285915</v>
      </c>
      <c r="AB52" s="276">
        <v>5.437086471173548</v>
      </c>
      <c r="AC52" s="276">
        <v>5.5046003472561535</v>
      </c>
      <c r="AD52" s="276">
        <v>5.5781088775624932</v>
      </c>
      <c r="AE52" s="276">
        <v>5.6786622605457522</v>
      </c>
    </row>
    <row r="53" spans="1:31" s="221" customFormat="1" x14ac:dyDescent="0.25">
      <c r="A53" s="356"/>
      <c r="B53" s="358" t="s">
        <v>35</v>
      </c>
      <c r="C53"/>
      <c r="D53"/>
      <c r="E53"/>
      <c r="F53" s="276">
        <v>2.1599653186095837</v>
      </c>
      <c r="G53" s="901">
        <v>2.1553692541631464</v>
      </c>
      <c r="H53" s="276">
        <v>2.0986523012134102</v>
      </c>
      <c r="I53" s="276">
        <v>2.0761611005754812</v>
      </c>
      <c r="J53" s="276">
        <v>2.0841454492343465</v>
      </c>
      <c r="K53" s="276">
        <v>2.080302648449504</v>
      </c>
      <c r="L53" s="276">
        <v>2.1055815490551568</v>
      </c>
      <c r="M53" s="276">
        <v>2.1202894951474951</v>
      </c>
      <c r="N53" s="276">
        <v>2.1299346066671996</v>
      </c>
      <c r="O53" s="276">
        <v>2.1301238558152025</v>
      </c>
      <c r="P53" s="276">
        <v>2.1359026883407846</v>
      </c>
      <c r="Q53" s="276">
        <v>2.1487612148076014</v>
      </c>
      <c r="R53" s="276">
        <v>2.1602202874605916</v>
      </c>
      <c r="S53" s="276">
        <v>2.1727025598720706</v>
      </c>
      <c r="T53" s="276">
        <v>2.1877412679289012</v>
      </c>
      <c r="U53" s="276">
        <v>2.1999794216180959</v>
      </c>
      <c r="V53" s="276">
        <v>2.2154495325953181</v>
      </c>
      <c r="W53" s="276">
        <v>2.233551943170268</v>
      </c>
      <c r="X53" s="276">
        <v>2.2546647519044338</v>
      </c>
      <c r="Y53" s="276">
        <v>2.2758597035883614</v>
      </c>
      <c r="Z53" s="276">
        <v>2.2957671571030542</v>
      </c>
      <c r="AA53" s="276">
        <v>2.3194452055644788</v>
      </c>
      <c r="AB53" s="276">
        <v>2.3437236534559731</v>
      </c>
      <c r="AC53" s="276">
        <v>2.3692694788509683</v>
      </c>
      <c r="AD53" s="276">
        <v>2.3972753827453843</v>
      </c>
      <c r="AE53" s="276">
        <v>2.4361386533778102</v>
      </c>
    </row>
    <row r="54" spans="1:31" s="221" customFormat="1" x14ac:dyDescent="0.25">
      <c r="A54" s="356"/>
      <c r="B54" s="358" t="s">
        <v>29</v>
      </c>
      <c r="C54"/>
      <c r="D54"/>
      <c r="E54"/>
      <c r="F54" s="276">
        <v>2.902417509443914</v>
      </c>
      <c r="G54" s="901">
        <v>1.742004511913082</v>
      </c>
      <c r="H54" s="276">
        <v>1.2390129424492917</v>
      </c>
      <c r="I54" s="276">
        <v>0.94739773274720196</v>
      </c>
      <c r="J54" s="276">
        <v>0.77079355592098231</v>
      </c>
      <c r="K54" s="276">
        <v>0.64559004118069496</v>
      </c>
      <c r="L54" s="276">
        <v>0.56922179567356457</v>
      </c>
      <c r="M54" s="276">
        <v>0.51195466032730497</v>
      </c>
      <c r="N54" s="276">
        <v>0.46927452281980186</v>
      </c>
      <c r="O54" s="276">
        <v>0.43551758805952728</v>
      </c>
      <c r="P54" s="276">
        <v>0.41148756604835063</v>
      </c>
      <c r="Q54" s="276">
        <v>0.40083033999025752</v>
      </c>
      <c r="R54" s="276">
        <v>0.39367726208430215</v>
      </c>
      <c r="S54" s="276">
        <v>0.38961386503456258</v>
      </c>
      <c r="T54" s="276">
        <v>0.38826953058753738</v>
      </c>
      <c r="U54" s="276">
        <v>0.38786935654645249</v>
      </c>
      <c r="V54" s="276">
        <v>0.38943793607993382</v>
      </c>
      <c r="W54" s="276">
        <v>0.39255444776799331</v>
      </c>
      <c r="X54" s="276">
        <v>0.39710348270143203</v>
      </c>
      <c r="Y54" s="276">
        <v>0.40225563492968813</v>
      </c>
      <c r="Z54" s="276">
        <v>0.40757803872349124</v>
      </c>
      <c r="AA54" s="276">
        <v>0.41416808059885446</v>
      </c>
      <c r="AB54" s="276">
        <v>0.42122382778009554</v>
      </c>
      <c r="AC54" s="276">
        <v>0.4288547233885881</v>
      </c>
      <c r="AD54" s="276">
        <v>0.43730878725131883</v>
      </c>
      <c r="AE54" s="276">
        <v>0.44856370240461019</v>
      </c>
    </row>
    <row r="55" spans="1:31" s="221" customFormat="1" x14ac:dyDescent="0.25">
      <c r="A55" s="356"/>
      <c r="B55" s="356"/>
      <c r="C55"/>
      <c r="D55"/>
      <c r="E55"/>
      <c r="F55" s="276" t="str">
        <v/>
      </c>
      <c r="G55" s="276" t="str">
        <v/>
      </c>
      <c r="H55" s="276" t="str">
        <v/>
      </c>
      <c r="I55" s="276" t="str">
        <v/>
      </c>
      <c r="J55" s="276" t="str">
        <v/>
      </c>
      <c r="K55" s="276" t="str">
        <v/>
      </c>
      <c r="L55" s="276" t="str">
        <v/>
      </c>
      <c r="M55" s="276" t="str">
        <v/>
      </c>
      <c r="N55" s="276" t="str">
        <v/>
      </c>
      <c r="O55" s="276" t="str">
        <v/>
      </c>
      <c r="P55" s="276" t="str">
        <v/>
      </c>
      <c r="Q55" s="276" t="str">
        <v/>
      </c>
      <c r="R55" s="276" t="str">
        <v/>
      </c>
      <c r="S55" s="276" t="str">
        <v/>
      </c>
      <c r="T55" s="276" t="str">
        <v/>
      </c>
      <c r="U55" s="276" t="str">
        <v/>
      </c>
      <c r="V55" s="276" t="str">
        <v/>
      </c>
      <c r="W55" s="276" t="str">
        <v/>
      </c>
      <c r="X55" s="276" t="str">
        <v/>
      </c>
      <c r="Y55" s="276" t="str">
        <v/>
      </c>
      <c r="Z55" s="276" t="str">
        <v/>
      </c>
      <c r="AA55" s="276" t="str">
        <v/>
      </c>
      <c r="AB55" s="276" t="str">
        <v/>
      </c>
      <c r="AC55" s="276" t="str">
        <v/>
      </c>
      <c r="AD55" s="276" t="str">
        <v/>
      </c>
      <c r="AE55" s="276" t="str">
        <v/>
      </c>
    </row>
    <row r="56" spans="1:31" s="202" customFormat="1" ht="12.75" x14ac:dyDescent="0.2">
      <c r="A56" s="364" t="s">
        <v>36</v>
      </c>
      <c r="B56" s="364"/>
      <c r="C56" s="364"/>
      <c r="D56" s="364"/>
      <c r="E56" s="364"/>
      <c r="F56" s="274" t="str">
        <v/>
      </c>
      <c r="G56" s="274" t="str">
        <v/>
      </c>
      <c r="H56" s="274" t="str">
        <v/>
      </c>
      <c r="I56" s="274" t="str">
        <v/>
      </c>
      <c r="J56" s="274" t="str">
        <v/>
      </c>
      <c r="K56" s="274" t="str">
        <v/>
      </c>
      <c r="L56" s="274" t="str">
        <v/>
      </c>
      <c r="M56" s="274" t="str">
        <v/>
      </c>
      <c r="N56" s="274" t="str">
        <v/>
      </c>
      <c r="O56" s="274" t="str">
        <v/>
      </c>
      <c r="P56" s="274" t="str">
        <v/>
      </c>
      <c r="Q56" s="274" t="str">
        <v/>
      </c>
      <c r="R56" s="274" t="str">
        <v/>
      </c>
      <c r="S56" s="274" t="str">
        <v/>
      </c>
      <c r="T56" s="274" t="str">
        <v/>
      </c>
      <c r="U56" s="274" t="str">
        <v/>
      </c>
      <c r="V56" s="274" t="str">
        <v/>
      </c>
      <c r="W56" s="274" t="str">
        <v/>
      </c>
      <c r="X56" s="274" t="str">
        <v/>
      </c>
      <c r="Y56" s="274" t="str">
        <v/>
      </c>
      <c r="Z56" s="274" t="str">
        <v/>
      </c>
      <c r="AA56" s="274" t="str">
        <v/>
      </c>
      <c r="AB56" s="274" t="str">
        <v/>
      </c>
      <c r="AC56" s="274" t="str">
        <v/>
      </c>
      <c r="AD56" s="274" t="str">
        <v/>
      </c>
      <c r="AE56" s="274" t="str">
        <v/>
      </c>
    </row>
    <row r="57" spans="1:31" s="221" customFormat="1" x14ac:dyDescent="0.25">
      <c r="A57" s="356"/>
      <c r="B57" s="356" t="s">
        <v>37</v>
      </c>
      <c r="C57"/>
      <c r="D57"/>
      <c r="E57"/>
      <c r="F57" s="276">
        <v>1.4075532799528196</v>
      </c>
      <c r="G57" s="276">
        <v>1.4136858226382403</v>
      </c>
      <c r="H57" s="276">
        <v>1.3683478929351982</v>
      </c>
      <c r="I57" s="276">
        <v>1.3568804881438365</v>
      </c>
      <c r="J57" s="276">
        <v>1.3759966866654569</v>
      </c>
      <c r="K57" s="276">
        <v>1.3834982569751895</v>
      </c>
      <c r="L57" s="276">
        <v>1.4206452959046667</v>
      </c>
      <c r="M57" s="276">
        <v>1.4474660057560897</v>
      </c>
      <c r="N57" s="276">
        <v>1.4694177198184717</v>
      </c>
      <c r="O57" s="276">
        <v>1.4818980829029207</v>
      </c>
      <c r="P57" s="276">
        <v>1.5002824377101323</v>
      </c>
      <c r="Q57" s="276">
        <v>1.5261865964005599</v>
      </c>
      <c r="R57" s="276">
        <v>1.5508698999765569</v>
      </c>
      <c r="S57" s="276">
        <v>1.576838513439756</v>
      </c>
      <c r="T57" s="276">
        <v>1.6057118011892146</v>
      </c>
      <c r="U57" s="276">
        <v>1.6318595220739149</v>
      </c>
      <c r="V57" s="276">
        <v>1.6616376966493571</v>
      </c>
      <c r="W57" s="276">
        <v>1.694448468129979</v>
      </c>
      <c r="X57" s="276">
        <v>1.7307303506782197</v>
      </c>
      <c r="Y57" s="276">
        <v>1.7673711174451612</v>
      </c>
      <c r="Z57" s="276">
        <v>1.8028866579828016</v>
      </c>
      <c r="AA57" s="276">
        <v>1.8427478130406945</v>
      </c>
      <c r="AB57" s="276">
        <v>1.8835476374733571</v>
      </c>
      <c r="AC57" s="276">
        <v>1.9260226402931817</v>
      </c>
      <c r="AD57" s="276">
        <v>1.9715014924517007</v>
      </c>
      <c r="AE57" s="276">
        <v>2.0293034510766836</v>
      </c>
    </row>
    <row r="58" spans="1:31" s="221" customFormat="1" x14ac:dyDescent="0.25">
      <c r="A58" s="356"/>
      <c r="B58" s="356" t="s">
        <v>39</v>
      </c>
      <c r="C58"/>
      <c r="D58"/>
      <c r="E58"/>
      <c r="F58" s="276">
        <v>1.3411667109192233</v>
      </c>
      <c r="G58" s="276">
        <v>1.3400454600391607</v>
      </c>
      <c r="H58" s="276">
        <v>1.2918302590197217</v>
      </c>
      <c r="I58" s="276">
        <v>1.2749195919894836</v>
      </c>
      <c r="J58" s="276">
        <v>1.2794538092009151</v>
      </c>
      <c r="K58" s="276">
        <v>1.2737202489796866</v>
      </c>
      <c r="L58" s="276">
        <v>1.2938769955784259</v>
      </c>
      <c r="M58" s="276">
        <v>1.3101758734239017</v>
      </c>
      <c r="N58" s="276">
        <v>1.3221260660872247</v>
      </c>
      <c r="O58" s="276">
        <v>1.3258766278565703</v>
      </c>
      <c r="P58" s="276">
        <v>1.3345602394932983</v>
      </c>
      <c r="Q58" s="276">
        <v>1.3494632448946164</v>
      </c>
      <c r="R58" s="276">
        <v>1.3631683841223148</v>
      </c>
      <c r="S58" s="276">
        <v>1.377781479354879</v>
      </c>
      <c r="T58" s="276">
        <v>1.3946309846270073</v>
      </c>
      <c r="U58" s="276">
        <v>1.4090348308484573</v>
      </c>
      <c r="V58" s="276">
        <v>1.426248241704327</v>
      </c>
      <c r="W58" s="276">
        <v>1.4457393378943633</v>
      </c>
      <c r="X58" s="276">
        <v>1.4678291401729195</v>
      </c>
      <c r="Y58" s="276">
        <v>1.4899589857436304</v>
      </c>
      <c r="Z58" s="276">
        <v>1.5109315161956929</v>
      </c>
      <c r="AA58" s="276">
        <v>1.535144679334532</v>
      </c>
      <c r="AB58" s="276">
        <v>1.5598326067711277</v>
      </c>
      <c r="AC58" s="276">
        <v>1.5855702878923879</v>
      </c>
      <c r="AD58" s="276">
        <v>1.6133885152118836</v>
      </c>
      <c r="AE58" s="276">
        <v>1.6505720848375678</v>
      </c>
    </row>
    <row r="59" spans="1:31" s="221" customFormat="1" x14ac:dyDescent="0.25">
      <c r="A59" s="356"/>
      <c r="B59" s="356" t="s">
        <v>40</v>
      </c>
      <c r="C59"/>
      <c r="D59"/>
      <c r="E59"/>
      <c r="F59" s="276">
        <v>0.87024939131967072</v>
      </c>
      <c r="G59" s="276">
        <v>0.86985035080005424</v>
      </c>
      <c r="H59" s="276">
        <v>0.83844151164994374</v>
      </c>
      <c r="I59" s="276">
        <v>0.82761012013036428</v>
      </c>
      <c r="J59" s="276">
        <v>0.83509667544435506</v>
      </c>
      <c r="K59" s="276">
        <v>0.83560190295442216</v>
      </c>
      <c r="L59" s="276">
        <v>0.85358740437639746</v>
      </c>
      <c r="M59" s="276">
        <v>0.86531796170234609</v>
      </c>
      <c r="N59" s="276">
        <v>0.87407597145542093</v>
      </c>
      <c r="O59" s="276">
        <v>0.87722730448353126</v>
      </c>
      <c r="P59" s="276">
        <v>0.88375711906728383</v>
      </c>
      <c r="Q59" s="276">
        <v>0.89454961114339282</v>
      </c>
      <c r="R59" s="276">
        <v>0.90453124271052021</v>
      </c>
      <c r="S59" s="276">
        <v>0.91514506290480402</v>
      </c>
      <c r="T59" s="276">
        <v>0.9273031141561181</v>
      </c>
      <c r="U59" s="276">
        <v>0.93779972685970803</v>
      </c>
      <c r="V59" s="276">
        <v>0.95023707173409178</v>
      </c>
      <c r="W59" s="276">
        <v>0.96425372156490707</v>
      </c>
      <c r="X59" s="276">
        <v>0.98007298292941381</v>
      </c>
      <c r="Y59" s="276">
        <v>0.99594228291720355</v>
      </c>
      <c r="Z59" s="276">
        <v>1.0110408785544864</v>
      </c>
      <c r="AA59" s="276">
        <v>1.0283900529179246</v>
      </c>
      <c r="AB59" s="276">
        <v>1.0460933230648315</v>
      </c>
      <c r="AC59" s="276">
        <v>1.0645478290270938</v>
      </c>
      <c r="AD59" s="276">
        <v>1.0844650911615634</v>
      </c>
      <c r="AE59" s="276">
        <v>1.110862886318309</v>
      </c>
    </row>
    <row r="60" spans="1:31" s="221" customFormat="1" x14ac:dyDescent="0.25">
      <c r="A60" s="356"/>
      <c r="B60" s="356" t="s">
        <v>29</v>
      </c>
      <c r="C60"/>
      <c r="D60"/>
      <c r="E60"/>
      <c r="F60" s="276">
        <v>5.8513279722373648</v>
      </c>
      <c r="G60" s="276">
        <v>2.9742147034998094</v>
      </c>
      <c r="H60" s="276">
        <v>2.0385710922192128</v>
      </c>
      <c r="I60" s="276">
        <v>1.5419345276112988</v>
      </c>
      <c r="J60" s="276">
        <v>1.2498056401759559</v>
      </c>
      <c r="K60" s="276">
        <v>1.0545708621435881</v>
      </c>
      <c r="L60" s="276">
        <v>0.92898985792076982</v>
      </c>
      <c r="M60" s="276">
        <v>0.83637646261301413</v>
      </c>
      <c r="N60" s="276">
        <v>0.76631795356549848</v>
      </c>
      <c r="O60" s="276">
        <v>0.71024810268493144</v>
      </c>
      <c r="P60" s="276">
        <v>0.6673060401358093</v>
      </c>
      <c r="Q60" s="276">
        <v>0.64050039798121461</v>
      </c>
      <c r="R60" s="276">
        <v>0.61937776913368492</v>
      </c>
      <c r="S60" s="276">
        <v>0.60308258668554382</v>
      </c>
      <c r="T60" s="276">
        <v>0.59095102558583912</v>
      </c>
      <c r="U60" s="276">
        <v>0.58091192692353477</v>
      </c>
      <c r="V60" s="276">
        <v>0.57389042047491334</v>
      </c>
      <c r="W60" s="276">
        <v>0.56932372488337446</v>
      </c>
      <c r="X60" s="276">
        <v>0.56699184523480872</v>
      </c>
      <c r="Y60" s="276">
        <v>0.5659281458238099</v>
      </c>
      <c r="Z60" s="276">
        <v>0.56559834863279024</v>
      </c>
      <c r="AA60" s="276">
        <v>0.5671123743773534</v>
      </c>
      <c r="AB60" s="276">
        <v>0.56956130917087477</v>
      </c>
      <c r="AC60" s="276">
        <v>0.57301575544929673</v>
      </c>
      <c r="AD60" s="276">
        <v>0.57770047559317894</v>
      </c>
      <c r="AE60" s="276">
        <v>0.58569480010279762</v>
      </c>
    </row>
    <row r="61" spans="1:31" s="221" customFormat="1" x14ac:dyDescent="0.25">
      <c r="A61" s="356"/>
      <c r="B61" s="356"/>
      <c r="C61"/>
      <c r="D61"/>
      <c r="E61"/>
      <c r="F61" s="276" t="str">
        <v/>
      </c>
      <c r="G61" s="276" t="str">
        <v/>
      </c>
      <c r="H61" s="276" t="str">
        <v/>
      </c>
      <c r="I61" s="276" t="str">
        <v/>
      </c>
      <c r="J61" s="276" t="str">
        <v/>
      </c>
      <c r="K61" s="276" t="str">
        <v/>
      </c>
      <c r="L61" s="276" t="str">
        <v/>
      </c>
      <c r="M61" s="276" t="str">
        <v/>
      </c>
      <c r="N61" s="276" t="str">
        <v/>
      </c>
      <c r="O61" s="276" t="str">
        <v/>
      </c>
      <c r="P61" s="276" t="str">
        <v/>
      </c>
      <c r="Q61" s="276" t="str">
        <v/>
      </c>
      <c r="R61" s="276" t="str">
        <v/>
      </c>
      <c r="S61" s="276" t="str">
        <v/>
      </c>
      <c r="T61" s="276" t="str">
        <v/>
      </c>
      <c r="U61" s="276" t="str">
        <v/>
      </c>
      <c r="V61" s="276" t="str">
        <v/>
      </c>
      <c r="W61" s="276" t="str">
        <v/>
      </c>
      <c r="X61" s="276" t="str">
        <v/>
      </c>
      <c r="Y61" s="276" t="str">
        <v/>
      </c>
      <c r="Z61" s="276" t="str">
        <v/>
      </c>
      <c r="AA61" s="276" t="str">
        <v/>
      </c>
      <c r="AB61" s="276" t="str">
        <v/>
      </c>
      <c r="AC61" s="276" t="str">
        <v/>
      </c>
      <c r="AD61" s="276" t="str">
        <v/>
      </c>
      <c r="AE61" s="276" t="str">
        <v/>
      </c>
    </row>
    <row r="62" spans="1:31" s="202" customFormat="1" ht="12.75" x14ac:dyDescent="0.2">
      <c r="A62" s="364" t="s">
        <v>42</v>
      </c>
      <c r="B62" s="364"/>
      <c r="C62" s="364"/>
      <c r="D62" s="364"/>
      <c r="E62" s="364"/>
      <c r="F62" s="274" t="str">
        <v/>
      </c>
      <c r="G62" s="274" t="str">
        <v/>
      </c>
      <c r="H62" s="274" t="str">
        <v/>
      </c>
      <c r="I62" s="274" t="str">
        <v/>
      </c>
      <c r="J62" s="274" t="str">
        <v/>
      </c>
      <c r="K62" s="274" t="str">
        <v/>
      </c>
      <c r="L62" s="274" t="str">
        <v/>
      </c>
      <c r="M62" s="274" t="str">
        <v/>
      </c>
      <c r="N62" s="274" t="str">
        <v/>
      </c>
      <c r="O62" s="274" t="str">
        <v/>
      </c>
      <c r="P62" s="274" t="str">
        <v/>
      </c>
      <c r="Q62" s="274" t="str">
        <v/>
      </c>
      <c r="R62" s="274" t="str">
        <v/>
      </c>
      <c r="S62" s="274" t="str">
        <v/>
      </c>
      <c r="T62" s="274" t="str">
        <v/>
      </c>
      <c r="U62" s="274" t="str">
        <v/>
      </c>
      <c r="V62" s="274" t="str">
        <v/>
      </c>
      <c r="W62" s="274" t="str">
        <v/>
      </c>
      <c r="X62" s="274" t="str">
        <v/>
      </c>
      <c r="Y62" s="274" t="str">
        <v/>
      </c>
      <c r="Z62" s="274" t="str">
        <v/>
      </c>
      <c r="AA62" s="274" t="str">
        <v/>
      </c>
      <c r="AB62" s="274" t="str">
        <v/>
      </c>
      <c r="AC62" s="274" t="str">
        <v/>
      </c>
      <c r="AD62" s="274" t="str">
        <v/>
      </c>
      <c r="AE62" s="274" t="str">
        <v/>
      </c>
    </row>
    <row r="63" spans="1:31" s="221" customFormat="1" x14ac:dyDescent="0.25">
      <c r="A63" s="356"/>
      <c r="B63" s="358" t="s">
        <v>43</v>
      </c>
      <c r="C63"/>
      <c r="D63"/>
      <c r="E63"/>
      <c r="F63" s="276">
        <v>4.4686590287499621</v>
      </c>
      <c r="G63" s="276">
        <v>4.495461017140415</v>
      </c>
      <c r="H63" s="276">
        <v>4.3564381684501408</v>
      </c>
      <c r="I63" s="276">
        <v>4.3252500777728926</v>
      </c>
      <c r="J63" s="276">
        <v>4.3914546046715079</v>
      </c>
      <c r="K63" s="276">
        <v>4.4198706882973999</v>
      </c>
      <c r="L63" s="276">
        <v>4.5428196182910305</v>
      </c>
      <c r="M63" s="276">
        <v>4.6322355589777509</v>
      </c>
      <c r="N63" s="276">
        <v>4.7056613575342601</v>
      </c>
      <c r="O63" s="276">
        <v>4.7483881932866634</v>
      </c>
      <c r="P63" s="276">
        <v>4.8097372771777041</v>
      </c>
      <c r="Q63" s="276">
        <v>4.8949207525874145</v>
      </c>
      <c r="R63" s="276">
        <v>4.9759504422797178</v>
      </c>
      <c r="S63" s="276">
        <v>5.0608847836118054</v>
      </c>
      <c r="T63" s="276">
        <v>5.1549366873794957</v>
      </c>
      <c r="U63" s="276">
        <v>5.24007887178613</v>
      </c>
      <c r="V63" s="276">
        <v>5.3367020943280838</v>
      </c>
      <c r="W63" s="276">
        <v>5.4429054809449164</v>
      </c>
      <c r="X63" s="276">
        <v>5.560108400696496</v>
      </c>
      <c r="Y63" s="276">
        <v>5.6783473342670936</v>
      </c>
      <c r="Z63" s="276">
        <v>5.7928761605425354</v>
      </c>
      <c r="AA63" s="276">
        <v>5.9212407381391543</v>
      </c>
      <c r="AB63" s="276">
        <v>6.0525294169058892</v>
      </c>
      <c r="AC63" s="276">
        <v>6.1891109192164251</v>
      </c>
      <c r="AD63" s="276">
        <v>6.3352512713519689</v>
      </c>
      <c r="AE63" s="276">
        <v>6.5208285062785656</v>
      </c>
    </row>
    <row r="64" spans="1:31" s="221" customFormat="1" x14ac:dyDescent="0.25">
      <c r="A64" s="356"/>
      <c r="B64" s="358" t="s">
        <v>44</v>
      </c>
      <c r="C64"/>
      <c r="D64"/>
      <c r="E64"/>
      <c r="F64" s="276">
        <v>3.4040846959252264</v>
      </c>
      <c r="G64" s="276">
        <v>3.3898461507099285</v>
      </c>
      <c r="H64" s="276">
        <v>3.2781745075136755</v>
      </c>
      <c r="I64" s="276">
        <v>3.2312480548908997</v>
      </c>
      <c r="J64" s="276">
        <v>3.2415883266217529</v>
      </c>
      <c r="K64" s="276">
        <v>3.2300404171643677</v>
      </c>
      <c r="L64" s="276">
        <v>3.2727893717311929</v>
      </c>
      <c r="M64" s="276">
        <v>3.2959144700002811</v>
      </c>
      <c r="N64" s="276">
        <v>3.3097268494305565</v>
      </c>
      <c r="O64" s="276">
        <v>3.3061822156423046</v>
      </c>
      <c r="P64" s="276">
        <v>3.3130769808280855</v>
      </c>
      <c r="Q64" s="276">
        <v>3.3330720053069922</v>
      </c>
      <c r="R64" s="276">
        <v>3.3505417381476974</v>
      </c>
      <c r="S64" s="276">
        <v>3.3699273619159005</v>
      </c>
      <c r="T64" s="276">
        <v>3.3940097157436959</v>
      </c>
      <c r="U64" s="276">
        <v>3.4130033005896721</v>
      </c>
      <c r="V64" s="276">
        <v>3.4378958683728733</v>
      </c>
      <c r="W64" s="276">
        <v>3.4675607007320526</v>
      </c>
      <c r="X64" s="276">
        <v>3.5026501288583822</v>
      </c>
      <c r="Y64" s="276">
        <v>3.537841844286056</v>
      </c>
      <c r="Z64" s="276">
        <v>3.5706652814689024</v>
      </c>
      <c r="AA64" s="276">
        <v>3.6102298768234515</v>
      </c>
      <c r="AB64" s="276">
        <v>3.6508041457833089</v>
      </c>
      <c r="AC64" s="276">
        <v>3.693576093622287</v>
      </c>
      <c r="AD64" s="276">
        <v>3.7406650007070095</v>
      </c>
      <c r="AE64" s="276">
        <v>3.8070334220994142</v>
      </c>
    </row>
    <row r="65" spans="1:31" s="221" customFormat="1" x14ac:dyDescent="0.25">
      <c r="A65" s="356"/>
      <c r="B65" s="358" t="s">
        <v>45</v>
      </c>
      <c r="C65"/>
      <c r="D65"/>
      <c r="E65"/>
      <c r="F65" s="276">
        <v>1.9070470876369532</v>
      </c>
      <c r="G65" s="276">
        <v>1.9131039751270265</v>
      </c>
      <c r="H65" s="276">
        <v>1.8501718131497609</v>
      </c>
      <c r="I65" s="276">
        <v>1.8322950579062565</v>
      </c>
      <c r="J65" s="276">
        <v>1.8548175159037492</v>
      </c>
      <c r="K65" s="276">
        <v>1.8616350070622469</v>
      </c>
      <c r="L65" s="276">
        <v>1.9073528799699617</v>
      </c>
      <c r="M65" s="276">
        <v>1.9390765610557468</v>
      </c>
      <c r="N65" s="276">
        <v>1.9640974082956875</v>
      </c>
      <c r="O65" s="276">
        <v>1.976451748199191</v>
      </c>
      <c r="P65" s="276">
        <v>1.9963442563906852</v>
      </c>
      <c r="Q65" s="276">
        <v>2.0258399557737268</v>
      </c>
      <c r="R65" s="276">
        <v>2.0535111301424167</v>
      </c>
      <c r="S65" s="276">
        <v>2.0826330620684654</v>
      </c>
      <c r="T65" s="276">
        <v>2.1153002604676368</v>
      </c>
      <c r="U65" s="276">
        <v>2.1442243520377637</v>
      </c>
      <c r="V65" s="276">
        <v>2.1776271996975298</v>
      </c>
      <c r="W65" s="276">
        <v>2.2147143203399549</v>
      </c>
      <c r="X65" s="276">
        <v>2.2560268559552821</v>
      </c>
      <c r="Y65" s="276">
        <v>2.2975587791976286</v>
      </c>
      <c r="Z65" s="276">
        <v>2.3374191150522465</v>
      </c>
      <c r="AA65" s="276">
        <v>2.382587568502585</v>
      </c>
      <c r="AB65" s="276">
        <v>2.4287032762729104</v>
      </c>
      <c r="AC65" s="276">
        <v>2.4766956526288575</v>
      </c>
      <c r="AD65" s="276">
        <v>2.528233484509876</v>
      </c>
      <c r="AE65" s="276">
        <v>2.5950453027178786</v>
      </c>
    </row>
    <row r="66" spans="1:31" s="221" customFormat="1" x14ac:dyDescent="0.25">
      <c r="A66" s="356"/>
      <c r="B66" s="358" t="s">
        <v>46</v>
      </c>
      <c r="C66"/>
      <c r="D66"/>
      <c r="E66"/>
      <c r="F66" s="276">
        <v>1048.1756429567642</v>
      </c>
      <c r="G66" s="276">
        <v>1047.7170043598107</v>
      </c>
      <c r="H66" s="276">
        <v>1047.2682218742261</v>
      </c>
      <c r="I66" s="276">
        <v>1046.8289386651857</v>
      </c>
      <c r="J66" s="276">
        <v>1046.3988166479896</v>
      </c>
      <c r="K66" s="276">
        <v>1045.9775351957965</v>
      </c>
      <c r="L66" s="276">
        <v>1045.5647899564444</v>
      </c>
      <c r="M66" s="276">
        <v>1045.1602917675798</v>
      </c>
      <c r="N66" s="276">
        <v>1044.7637656605154</v>
      </c>
      <c r="O66" s="276">
        <v>1044.3749499443099</v>
      </c>
      <c r="P66" s="276">
        <v>1043.9935953624822</v>
      </c>
      <c r="Q66" s="276">
        <v>1043.6194643155964</v>
      </c>
      <c r="R66" s="276">
        <v>1043.2523301436684</v>
      </c>
      <c r="S66" s="276">
        <v>1042.8919764629809</v>
      </c>
      <c r="T66" s="276">
        <v>1042.5381965524471</v>
      </c>
      <c r="U66" s="276">
        <v>1042.1907927851692</v>
      </c>
      <c r="V66" s="276">
        <v>1041.8495761012612</v>
      </c>
      <c r="W66" s="276">
        <v>1041.5143655184086</v>
      </c>
      <c r="X66" s="276">
        <v>1041.184987676975</v>
      </c>
      <c r="Y66" s="276">
        <v>1040.861276416776</v>
      </c>
      <c r="Z66" s="276">
        <v>1040.5430723829159</v>
      </c>
      <c r="AA66" s="276">
        <v>1040.2302226583279</v>
      </c>
      <c r="AB66" s="276">
        <v>1039.9225804208781</v>
      </c>
      <c r="AC66" s="276">
        <v>1039.6200046230886</v>
      </c>
      <c r="AD66" s="276">
        <v>1039.3223596927151</v>
      </c>
      <c r="AE66" s="276">
        <v>1039.0295152525666</v>
      </c>
    </row>
    <row r="67" spans="1:31" s="221" customFormat="1" x14ac:dyDescent="0.25">
      <c r="A67" s="356"/>
      <c r="B67" s="356" t="s">
        <v>29</v>
      </c>
      <c r="C67"/>
      <c r="D67"/>
      <c r="E67"/>
      <c r="F67" s="276">
        <v>7.6162187186165262</v>
      </c>
      <c r="G67" s="276">
        <v>3.8713040536195114</v>
      </c>
      <c r="H67" s="276">
        <v>2.6534495050452236</v>
      </c>
      <c r="I67" s="276">
        <v>2.0070162991707807</v>
      </c>
      <c r="J67" s="276">
        <v>1.6267748375247775</v>
      </c>
      <c r="K67" s="276">
        <v>1.3726529051993026</v>
      </c>
      <c r="L67" s="276">
        <v>1.209193875112023</v>
      </c>
      <c r="M67" s="276">
        <v>1.0886462185314514</v>
      </c>
      <c r="N67" s="276">
        <v>0.99745650389953866</v>
      </c>
      <c r="O67" s="276">
        <v>0.92447473807598934</v>
      </c>
      <c r="P67" s="276">
        <v>0.86858039372298101</v>
      </c>
      <c r="Q67" s="276">
        <v>0.83368957329537519</v>
      </c>
      <c r="R67" s="276">
        <v>0.80619588947210596</v>
      </c>
      <c r="S67" s="276">
        <v>0.78498571732423561</v>
      </c>
      <c r="T67" s="276">
        <v>0.76919500739103708</v>
      </c>
      <c r="U67" s="276">
        <v>0.75612789313720297</v>
      </c>
      <c r="V67" s="276">
        <v>0.74698854406967341</v>
      </c>
      <c r="W67" s="276">
        <v>0.74104443144916643</v>
      </c>
      <c r="X67" s="276">
        <v>0.73800920499916511</v>
      </c>
      <c r="Y67" s="276">
        <v>0.7366246701716066</v>
      </c>
      <c r="Z67" s="276">
        <v>0.73619539880765128</v>
      </c>
      <c r="AA67" s="276">
        <v>0.73816608841365561</v>
      </c>
      <c r="AB67" s="276">
        <v>0.74135367644556627</v>
      </c>
      <c r="AC67" s="276">
        <v>0.74585006060536807</v>
      </c>
      <c r="AD67" s="276">
        <v>0.75194779661001598</v>
      </c>
      <c r="AE67" s="276">
        <v>0.76235338731724323</v>
      </c>
    </row>
    <row r="68" spans="1:31" s="221" customFormat="1" x14ac:dyDescent="0.25">
      <c r="A68" s="356"/>
      <c r="B68" s="356"/>
      <c r="C68"/>
      <c r="D68"/>
      <c r="E68"/>
      <c r="F68" s="276" t="str">
        <v/>
      </c>
      <c r="G68" s="276" t="str">
        <v/>
      </c>
      <c r="H68" s="276" t="str">
        <v/>
      </c>
      <c r="I68" s="276" t="str">
        <v/>
      </c>
      <c r="J68" s="276" t="str">
        <v/>
      </c>
      <c r="K68" s="276" t="str">
        <v/>
      </c>
      <c r="L68" s="276" t="str">
        <v/>
      </c>
      <c r="M68" s="276" t="str">
        <v/>
      </c>
      <c r="N68" s="276" t="str">
        <v/>
      </c>
      <c r="O68" s="276" t="str">
        <v/>
      </c>
      <c r="P68" s="276" t="str">
        <v/>
      </c>
      <c r="Q68" s="276" t="str">
        <v/>
      </c>
      <c r="R68" s="276" t="str">
        <v/>
      </c>
      <c r="S68" s="276" t="str">
        <v/>
      </c>
      <c r="T68" s="276" t="str">
        <v/>
      </c>
      <c r="U68" s="276" t="str">
        <v/>
      </c>
      <c r="V68" s="276" t="str">
        <v/>
      </c>
      <c r="W68" s="276" t="str">
        <v/>
      </c>
      <c r="X68" s="276" t="str">
        <v/>
      </c>
      <c r="Y68" s="276" t="str">
        <v/>
      </c>
      <c r="Z68" s="276" t="str">
        <v/>
      </c>
      <c r="AA68" s="276" t="str">
        <v/>
      </c>
      <c r="AB68" s="276" t="str">
        <v/>
      </c>
      <c r="AC68" s="276" t="str">
        <v/>
      </c>
      <c r="AD68" s="276" t="str">
        <v/>
      </c>
      <c r="AE68" s="276" t="str">
        <v/>
      </c>
    </row>
    <row r="69" spans="1:31" s="202" customFormat="1" ht="12.75" x14ac:dyDescent="0.2">
      <c r="A69" s="364" t="s">
        <v>47</v>
      </c>
      <c r="B69" s="364"/>
      <c r="C69" s="364"/>
      <c r="D69" s="364"/>
      <c r="E69" s="364"/>
      <c r="F69" s="274" t="str">
        <v/>
      </c>
      <c r="G69" s="274" t="str">
        <v/>
      </c>
      <c r="H69" s="274" t="str">
        <v/>
      </c>
      <c r="I69" s="274" t="str">
        <v/>
      </c>
      <c r="J69" s="274" t="str">
        <v/>
      </c>
      <c r="K69" s="274" t="str">
        <v/>
      </c>
      <c r="L69" s="274" t="str">
        <v/>
      </c>
      <c r="M69" s="274" t="str">
        <v/>
      </c>
      <c r="N69" s="274" t="str">
        <v/>
      </c>
      <c r="O69" s="274" t="str">
        <v/>
      </c>
      <c r="P69" s="274" t="str">
        <v/>
      </c>
      <c r="Q69" s="274" t="str">
        <v/>
      </c>
      <c r="R69" s="274" t="str">
        <v/>
      </c>
      <c r="S69" s="274" t="str">
        <v/>
      </c>
      <c r="T69" s="274" t="str">
        <v/>
      </c>
      <c r="U69" s="274" t="str">
        <v/>
      </c>
      <c r="V69" s="274" t="str">
        <v/>
      </c>
      <c r="W69" s="274" t="str">
        <v/>
      </c>
      <c r="X69" s="274" t="str">
        <v/>
      </c>
      <c r="Y69" s="274" t="str">
        <v/>
      </c>
      <c r="Z69" s="274" t="str">
        <v/>
      </c>
      <c r="AA69" s="274" t="str">
        <v/>
      </c>
      <c r="AB69" s="274" t="str">
        <v/>
      </c>
      <c r="AC69" s="274" t="str">
        <v/>
      </c>
      <c r="AD69" s="274" t="str">
        <v/>
      </c>
      <c r="AE69" s="274" t="str">
        <v/>
      </c>
    </row>
    <row r="70" spans="1:31" s="221" customFormat="1" x14ac:dyDescent="0.25">
      <c r="A70" s="356"/>
      <c r="B70" s="356" t="s">
        <v>48</v>
      </c>
      <c r="C70"/>
      <c r="D70"/>
      <c r="E70"/>
      <c r="F70" s="276">
        <v>6.4651328575956857</v>
      </c>
      <c r="G70" s="276">
        <v>6.4824603317909517</v>
      </c>
      <c r="H70" s="276">
        <v>6.2247222418770649</v>
      </c>
      <c r="I70" s="276">
        <v>6.1090565609499397</v>
      </c>
      <c r="J70" s="276">
        <v>6.1164570108842691</v>
      </c>
      <c r="K70" s="276">
        <v>6.1342280768098227</v>
      </c>
      <c r="L70" s="276">
        <v>6.2678338778052236</v>
      </c>
      <c r="M70" s="276">
        <v>6.3595567171397738</v>
      </c>
      <c r="N70" s="276">
        <v>6.4311468797798952</v>
      </c>
      <c r="O70" s="276">
        <v>6.4648331819418097</v>
      </c>
      <c r="P70" s="276">
        <v>6.520862008997053</v>
      </c>
      <c r="Q70" s="276">
        <v>6.6053911448859903</v>
      </c>
      <c r="R70" s="276">
        <v>6.6843559429591153</v>
      </c>
      <c r="S70" s="276">
        <v>6.7675242606878125</v>
      </c>
      <c r="T70" s="276">
        <v>6.8611415855134021</v>
      </c>
      <c r="U70" s="276">
        <v>6.9434886198506582</v>
      </c>
      <c r="V70" s="276">
        <v>7.039071593644211</v>
      </c>
      <c r="W70" s="276">
        <v>7.1455225636286155</v>
      </c>
      <c r="X70" s="276">
        <v>7.2644530256924309</v>
      </c>
      <c r="Y70" s="276">
        <v>7.3839273665458371</v>
      </c>
      <c r="Z70" s="276">
        <v>7.4983146511589727</v>
      </c>
      <c r="AA70" s="276">
        <v>7.6284056074330753</v>
      </c>
      <c r="AB70" s="276">
        <v>7.7612096118373817</v>
      </c>
      <c r="AC70" s="276">
        <v>7.8994939124205885</v>
      </c>
      <c r="AD70" s="276">
        <v>8.0482251854584632</v>
      </c>
      <c r="AE70" s="276">
        <v>8.242311610522961</v>
      </c>
    </row>
    <row r="71" spans="1:31" s="221" customFormat="1" x14ac:dyDescent="0.25">
      <c r="A71" s="356"/>
      <c r="B71" s="358" t="s">
        <v>50</v>
      </c>
      <c r="C71"/>
      <c r="D71"/>
      <c r="E71"/>
      <c r="F71" s="276">
        <v>4.4991975768039438</v>
      </c>
      <c r="G71" s="276">
        <v>4.5151205699595955</v>
      </c>
      <c r="H71" s="276">
        <v>4.3722691362317265</v>
      </c>
      <c r="I71" s="276">
        <v>4.3328514506910629</v>
      </c>
      <c r="J71" s="276">
        <v>4.3861710967767014</v>
      </c>
      <c r="K71" s="276">
        <v>4.4032473330583066</v>
      </c>
      <c r="L71" s="276">
        <v>4.50963057144555</v>
      </c>
      <c r="M71" s="276">
        <v>4.5837182850402938</v>
      </c>
      <c r="N71" s="276">
        <v>4.6422806516556125</v>
      </c>
      <c r="O71" s="276">
        <v>4.6716128771818131</v>
      </c>
      <c r="P71" s="276">
        <v>4.7181732981982494</v>
      </c>
      <c r="Q71" s="276">
        <v>4.7867151286796688</v>
      </c>
      <c r="R71" s="276">
        <v>4.8509701771912734</v>
      </c>
      <c r="S71" s="276">
        <v>4.9184735324884477</v>
      </c>
      <c r="T71" s="276">
        <v>4.994045291432446</v>
      </c>
      <c r="U71" s="276">
        <v>5.0609331558037436</v>
      </c>
      <c r="V71" s="276">
        <v>5.138044079174259</v>
      </c>
      <c r="W71" s="276">
        <v>5.2235553546912907</v>
      </c>
      <c r="X71" s="276">
        <v>5.3187147888560959</v>
      </c>
      <c r="Y71" s="276">
        <v>5.4143156154026988</v>
      </c>
      <c r="Z71" s="276">
        <v>5.5060135846008018</v>
      </c>
      <c r="AA71" s="276">
        <v>5.6098588008459673</v>
      </c>
      <c r="AB71" s="276">
        <v>5.7158281656134378</v>
      </c>
      <c r="AC71" s="276">
        <v>5.8260612722649574</v>
      </c>
      <c r="AD71" s="276">
        <v>5.9443974555109031</v>
      </c>
      <c r="AE71" s="276">
        <v>6.0978042135044177</v>
      </c>
    </row>
    <row r="72" spans="1:31" s="221" customFormat="1" x14ac:dyDescent="0.25">
      <c r="A72" s="356"/>
      <c r="B72" s="356" t="s">
        <v>51</v>
      </c>
      <c r="C72"/>
      <c r="D72"/>
      <c r="E72"/>
      <c r="F72" s="276">
        <v>1.2916985227935447</v>
      </c>
      <c r="G72" s="276">
        <v>1.2959549192322566</v>
      </c>
      <c r="H72" s="276">
        <v>1.2554543493683159</v>
      </c>
      <c r="I72" s="276">
        <v>1.2441145123639579</v>
      </c>
      <c r="J72" s="276">
        <v>1.258920004121467</v>
      </c>
      <c r="K72" s="276">
        <v>1.263510506754159</v>
      </c>
      <c r="L72" s="276">
        <v>1.2932792471896406</v>
      </c>
      <c r="M72" s="276">
        <v>1.3139458626061424</v>
      </c>
      <c r="N72" s="276">
        <v>1.3302379151620405</v>
      </c>
      <c r="O72" s="276">
        <v>1.3382919279017231</v>
      </c>
      <c r="P72" s="276">
        <v>1.3512046974778302</v>
      </c>
      <c r="Q72" s="276">
        <v>1.3703161484471973</v>
      </c>
      <c r="R72" s="276">
        <v>1.388221124009734</v>
      </c>
      <c r="S72" s="276">
        <v>1.4070437735550743</v>
      </c>
      <c r="T72" s="276">
        <v>1.4281428778529508</v>
      </c>
      <c r="U72" s="276">
        <v>1.4467958572855479</v>
      </c>
      <c r="V72" s="276">
        <v>1.4683326456205823</v>
      </c>
      <c r="W72" s="276">
        <v>1.4922393871274726</v>
      </c>
      <c r="X72" s="276">
        <v>1.5188678188884697</v>
      </c>
      <c r="Y72" s="276">
        <v>1.5456224846050421</v>
      </c>
      <c r="Z72" s="276">
        <v>1.5712786950003041</v>
      </c>
      <c r="AA72" s="276">
        <v>1.6003610267864952</v>
      </c>
      <c r="AB72" s="276">
        <v>1.6300438970495825</v>
      </c>
      <c r="AC72" s="276">
        <v>1.6609304440612145</v>
      </c>
      <c r="AD72" s="276">
        <v>1.6941029716890459</v>
      </c>
      <c r="AE72" s="276">
        <v>1.7371637236159323</v>
      </c>
    </row>
    <row r="73" spans="1:31" s="221" customFormat="1" x14ac:dyDescent="0.25">
      <c r="A73" s="356"/>
      <c r="B73" s="356" t="s">
        <v>52</v>
      </c>
      <c r="C73"/>
      <c r="D73"/>
      <c r="E73"/>
      <c r="F73" s="276">
        <v>1.5889608028898738</v>
      </c>
      <c r="G73" s="276">
        <v>1.5884167108906038</v>
      </c>
      <c r="H73" s="276">
        <v>1.5348596892297075</v>
      </c>
      <c r="I73" s="276">
        <v>1.5166459527414684</v>
      </c>
      <c r="J73" s="276">
        <v>1.5301157831591665</v>
      </c>
      <c r="K73" s="276">
        <v>1.5317308324469876</v>
      </c>
      <c r="L73" s="276">
        <v>1.5637886538340693</v>
      </c>
      <c r="M73" s="276">
        <v>1.585250427839193</v>
      </c>
      <c r="N73" s="276">
        <v>1.6017419208332879</v>
      </c>
      <c r="O73" s="276">
        <v>1.6086162331850591</v>
      </c>
      <c r="P73" s="276">
        <v>1.6215170053903682</v>
      </c>
      <c r="Q73" s="276">
        <v>1.6420273007798958</v>
      </c>
      <c r="R73" s="276">
        <v>1.6612718417522512</v>
      </c>
      <c r="S73" s="276">
        <v>1.6817760052944617</v>
      </c>
      <c r="T73" s="276">
        <v>1.7051513511773189</v>
      </c>
      <c r="U73" s="276">
        <v>1.7257365551880406</v>
      </c>
      <c r="V73" s="276">
        <v>1.7498961111195888</v>
      </c>
      <c r="W73" s="276">
        <v>1.7770054530330432</v>
      </c>
      <c r="X73" s="276">
        <v>1.807476394594288</v>
      </c>
      <c r="Y73" s="276">
        <v>1.838196262237711</v>
      </c>
      <c r="Z73" s="276">
        <v>1.8676928183175128</v>
      </c>
      <c r="AA73" s="276">
        <v>1.9013716127087552</v>
      </c>
      <c r="AB73" s="276">
        <v>1.9358467377786284</v>
      </c>
      <c r="AC73" s="276">
        <v>1.9718341607828209</v>
      </c>
      <c r="AD73" s="276">
        <v>2.0106234900595936</v>
      </c>
      <c r="AE73" s="276">
        <v>2.0613037314515212</v>
      </c>
    </row>
    <row r="74" spans="1:31" s="221" customFormat="1" x14ac:dyDescent="0.25">
      <c r="A74" s="356"/>
      <c r="B74" s="358" t="s">
        <v>29</v>
      </c>
      <c r="C74"/>
      <c r="D74"/>
      <c r="E74"/>
      <c r="F74" s="276">
        <v>3.0175495232049525</v>
      </c>
      <c r="G74" s="276">
        <v>1.8111056962825884</v>
      </c>
      <c r="H74" s="276">
        <v>1.2881616451001061</v>
      </c>
      <c r="I74" s="276">
        <v>0.98497875217287567</v>
      </c>
      <c r="J74" s="276">
        <v>0.80136910681897033</v>
      </c>
      <c r="K74" s="276">
        <v>0.67119906581734889</v>
      </c>
      <c r="L74" s="276">
        <v>0.59180147326968269</v>
      </c>
      <c r="M74" s="276">
        <v>0.53226268658680886</v>
      </c>
      <c r="N74" s="276">
        <v>0.48788952932496371</v>
      </c>
      <c r="O74" s="276">
        <v>0.45279353708425962</v>
      </c>
      <c r="P74" s="276">
        <v>0.42781030113474816</v>
      </c>
      <c r="Q74" s="276">
        <v>0.41673032821367539</v>
      </c>
      <c r="R74" s="276">
        <v>0.40929350468489945</v>
      </c>
      <c r="S74" s="276">
        <v>0.40506892231860059</v>
      </c>
      <c r="T74" s="276">
        <v>0.40367126131481679</v>
      </c>
      <c r="U74" s="276">
        <v>0.40325521331932834</v>
      </c>
      <c r="V74" s="276">
        <v>0.40488601467990598</v>
      </c>
      <c r="W74" s="276">
        <v>0.40812615098964344</v>
      </c>
      <c r="X74" s="276">
        <v>0.41285563534183456</v>
      </c>
      <c r="Y74" s="276">
        <v>0.4182121612204398</v>
      </c>
      <c r="Z74" s="276">
        <v>0.42374569214010832</v>
      </c>
      <c r="AA74" s="276">
        <v>0.43059714533531479</v>
      </c>
      <c r="AB74" s="276">
        <v>0.43793277726053981</v>
      </c>
      <c r="AC74" s="276">
        <v>0.44586637238602023</v>
      </c>
      <c r="AD74" s="276">
        <v>0.45465578889660863</v>
      </c>
      <c r="AE74" s="276">
        <v>0.46635715982068138</v>
      </c>
    </row>
    <row r="75" spans="1:31" s="221" customFormat="1" x14ac:dyDescent="0.25">
      <c r="A75" s="356"/>
      <c r="B75" s="358" t="s">
        <v>53</v>
      </c>
      <c r="C75"/>
      <c r="D75"/>
      <c r="E75"/>
      <c r="F75" s="276">
        <v>1.3074118202498943</v>
      </c>
      <c r="G75" s="276">
        <v>1.3131275482886733</v>
      </c>
      <c r="H75" s="276">
        <v>1.2698492605789937</v>
      </c>
      <c r="I75" s="276">
        <v>1.2584751565738417</v>
      </c>
      <c r="J75" s="276">
        <v>1.2757052271234977</v>
      </c>
      <c r="K75" s="276">
        <v>1.2817456520318364</v>
      </c>
      <c r="L75" s="276">
        <v>1.3153321288059165</v>
      </c>
      <c r="M75" s="276">
        <v>1.3389472051294573</v>
      </c>
      <c r="N75" s="276">
        <v>1.357765026133015</v>
      </c>
      <c r="O75" s="276">
        <v>1.3675574087782529</v>
      </c>
      <c r="P75" s="276">
        <v>1.382658067853032</v>
      </c>
      <c r="Q75" s="276">
        <v>1.4045335947814068</v>
      </c>
      <c r="R75" s="276">
        <v>1.4250796639335208</v>
      </c>
      <c r="S75" s="276">
        <v>1.4466211441330659</v>
      </c>
      <c r="T75" s="276">
        <v>1.4706452563647658</v>
      </c>
      <c r="U75" s="276">
        <v>1.49198357158253</v>
      </c>
      <c r="V75" s="276">
        <v>1.5164694711153437</v>
      </c>
      <c r="W75" s="276">
        <v>1.5435406920312769</v>
      </c>
      <c r="X75" s="276">
        <v>1.5735823034513869</v>
      </c>
      <c r="Y75" s="276">
        <v>1.6037538636731625</v>
      </c>
      <c r="Z75" s="276">
        <v>1.6327151429856031</v>
      </c>
      <c r="AA75" s="276">
        <v>1.6654181019481757</v>
      </c>
      <c r="AB75" s="276">
        <v>1.6987704343839312</v>
      </c>
      <c r="AC75" s="276">
        <v>1.7334323412956367</v>
      </c>
      <c r="AD75" s="276">
        <v>1.7705884369240292</v>
      </c>
      <c r="AE75" s="276">
        <v>1.8185589776101105</v>
      </c>
    </row>
    <row r="76" spans="1:31" s="221" customFormat="1" x14ac:dyDescent="0.25">
      <c r="A76"/>
      <c r="B76"/>
      <c r="C76"/>
      <c r="D76"/>
      <c r="E76"/>
      <c r="F76"/>
      <c r="G76"/>
      <c r="H76"/>
      <c r="I76"/>
      <c r="J76"/>
      <c r="K76"/>
      <c r="L76"/>
      <c r="M76"/>
      <c r="N76"/>
      <c r="O76"/>
      <c r="P76"/>
      <c r="Q76"/>
      <c r="R76"/>
      <c r="S76"/>
      <c r="T76"/>
      <c r="U76"/>
      <c r="V76"/>
      <c r="W76"/>
      <c r="X76"/>
      <c r="Y76"/>
      <c r="Z76"/>
      <c r="AA76"/>
      <c r="AB76"/>
      <c r="AC76"/>
      <c r="AD76"/>
      <c r="AE76"/>
    </row>
    <row r="77" spans="1:31" x14ac:dyDescent="0.25">
      <c r="A77" s="362" t="s">
        <v>208</v>
      </c>
      <c r="B77" s="363"/>
      <c r="C77" s="362"/>
      <c r="D77" s="363"/>
      <c r="E77" s="363"/>
      <c r="F77" s="1055" t="s">
        <v>691</v>
      </c>
      <c r="G77" s="365"/>
      <c r="H77" s="365"/>
      <c r="I77" s="365"/>
      <c r="J77" s="365"/>
      <c r="K77" s="365"/>
      <c r="L77" s="365"/>
      <c r="M77" s="365"/>
      <c r="N77" s="365"/>
      <c r="O77" s="365"/>
      <c r="P77" s="365"/>
      <c r="Q77" s="365"/>
      <c r="R77" s="365"/>
      <c r="S77" s="365"/>
      <c r="T77" s="365"/>
      <c r="U77" s="365"/>
      <c r="V77" s="365"/>
      <c r="W77" s="365"/>
      <c r="X77" s="365"/>
      <c r="Y77" s="365"/>
      <c r="Z77" s="365"/>
      <c r="AA77" s="365"/>
      <c r="AB77" s="365"/>
      <c r="AC77" s="365"/>
      <c r="AD77" s="365"/>
      <c r="AE77" s="365"/>
    </row>
    <row r="78" spans="1:31" x14ac:dyDescent="0.25">
      <c r="A78" s="357" t="s">
        <v>12</v>
      </c>
      <c r="B78" s="356"/>
    </row>
    <row r="79" spans="1:31" x14ac:dyDescent="0.25">
      <c r="A79" s="356"/>
      <c r="B79" s="356" t="s">
        <v>20</v>
      </c>
    </row>
    <row r="80" spans="1:31" s="202" customFormat="1" ht="12.75" x14ac:dyDescent="0.2">
      <c r="A80" s="364" t="s">
        <v>21</v>
      </c>
      <c r="B80" s="364"/>
      <c r="C80" s="364"/>
      <c r="D80" s="364"/>
      <c r="E80" s="364"/>
      <c r="F80" s="364"/>
      <c r="G80" s="364"/>
      <c r="H80" s="364"/>
      <c r="I80" s="364"/>
      <c r="J80" s="364"/>
      <c r="K80" s="364"/>
      <c r="L80" s="364"/>
      <c r="M80" s="364"/>
      <c r="N80" s="364"/>
      <c r="O80" s="364"/>
      <c r="P80" s="364"/>
      <c r="Q80" s="364"/>
      <c r="R80" s="364"/>
      <c r="S80" s="364"/>
      <c r="T80" s="364"/>
      <c r="U80" s="364"/>
      <c r="V80" s="364"/>
      <c r="W80" s="364"/>
      <c r="X80" s="364"/>
      <c r="Y80" s="364"/>
      <c r="Z80" s="364"/>
      <c r="AA80" s="364"/>
      <c r="AB80" s="364"/>
      <c r="AC80" s="364"/>
      <c r="AD80" s="364"/>
      <c r="AE80" s="364"/>
    </row>
    <row r="81" spans="1:31" s="221" customFormat="1" x14ac:dyDescent="0.25">
      <c r="A81" s="356"/>
      <c r="B81" s="356" t="s">
        <v>22</v>
      </c>
      <c r="C81"/>
      <c r="D81" s="201"/>
      <c r="E81" s="201"/>
      <c r="F81" s="353">
        <f t="array" ref="F81:AE84" ca="1">IF(ISNUMBER(F9:AE12),Logit!$J$5/AVERAGE($F$9:$F$11)*F9:AE12+Logit!$K$5/AVERAGE($F$45:$F$47)*F45:AE48,"")</f>
        <v>-2.8786328632353344</v>
      </c>
      <c r="G81" s="321">
        <f ca="1"/>
        <v>-2.8960591201940029</v>
      </c>
      <c r="H81" s="321">
        <f ca="1"/>
        <v>-2.8147549033388803</v>
      </c>
      <c r="I81" s="321">
        <f ca="1"/>
        <v>-2.7974844509287018</v>
      </c>
      <c r="J81" s="321">
        <f ca="1"/>
        <v>-2.8380418474666</v>
      </c>
      <c r="K81" s="321">
        <f ca="1"/>
        <v>-2.8560322785613454</v>
      </c>
      <c r="L81" s="321">
        <f ca="1"/>
        <v>-2.9301580361959325</v>
      </c>
      <c r="M81" s="321">
        <f ca="1"/>
        <v>-2.9842556119997217</v>
      </c>
      <c r="N81" s="321">
        <f ca="1"/>
        <v>-3.0287622274901715</v>
      </c>
      <c r="O81" s="321">
        <f ca="1"/>
        <v>-3.0549331835580595</v>
      </c>
      <c r="P81" s="321">
        <f ca="1"/>
        <v>-3.0921055352794862</v>
      </c>
      <c r="Q81" s="321">
        <f ca="1"/>
        <v>-3.1433822404028806</v>
      </c>
      <c r="R81" s="321">
        <f ca="1"/>
        <v>-3.1921201619139223</v>
      </c>
      <c r="S81" s="321">
        <f ca="1"/>
        <v>-3.2431147799692779</v>
      </c>
      <c r="T81" s="321">
        <f ca="1"/>
        <v>-3.2994690523173809</v>
      </c>
      <c r="U81" s="321">
        <f ca="1"/>
        <v>-3.3504636703727377</v>
      </c>
      <c r="V81" s="321">
        <f ca="1"/>
        <v>-3.4082283780610383</v>
      </c>
      <c r="W81" s="321">
        <f ca="1"/>
        <v>-3.4716348271101287</v>
      </c>
      <c r="X81" s="321">
        <f ca="1"/>
        <v>-3.5415292787241239</v>
      </c>
      <c r="Y81" s="321">
        <f ca="1"/>
        <v>-3.6119879044741992</v>
      </c>
      <c r="Z81" s="321">
        <f ca="1"/>
        <v>-3.680189833679957</v>
      </c>
      <c r="AA81" s="321">
        <f ca="1"/>
        <v>-3.7565722878588597</v>
      </c>
      <c r="AB81" s="321">
        <f ca="1"/>
        <v>-3.8346472644459975</v>
      </c>
      <c r="AC81" s="321">
        <f ca="1"/>
        <v>-3.9158251987815684</v>
      </c>
      <c r="AD81" s="321">
        <f ca="1"/>
        <v>-4.0026448744779275</v>
      </c>
      <c r="AE81" s="321">
        <f ca="1"/>
        <v>-4.1128777768215574</v>
      </c>
    </row>
    <row r="82" spans="1:31" s="221" customFormat="1" x14ac:dyDescent="0.25">
      <c r="A82" s="356"/>
      <c r="B82" s="356" t="s">
        <v>26</v>
      </c>
      <c r="C82"/>
      <c r="D82" s="201"/>
      <c r="E82" s="201"/>
      <c r="F82" s="321">
        <f ca="1"/>
        <v>-4.1291923352575193</v>
      </c>
      <c r="G82" s="321">
        <f ca="1"/>
        <v>-4.1227231963705213</v>
      </c>
      <c r="H82" s="321">
        <f ca="1"/>
        <v>-4.0321766846039884</v>
      </c>
      <c r="I82" s="321">
        <f ca="1"/>
        <v>-3.9967039383773457</v>
      </c>
      <c r="J82" s="321">
        <f ca="1"/>
        <v>-4.0102626108176436</v>
      </c>
      <c r="K82" s="321">
        <f ca="1"/>
        <v>-4.0046819588454028</v>
      </c>
      <c r="L82" s="321">
        <f ca="1"/>
        <v>-4.0459533037922393</v>
      </c>
      <c r="M82" s="321">
        <f ca="1"/>
        <v>-4.0701120107281694</v>
      </c>
      <c r="N82" s="321">
        <f ca="1"/>
        <v>-4.0860356758793284</v>
      </c>
      <c r="O82" s="321">
        <f ca="1"/>
        <v>-4.0866459111048918</v>
      </c>
      <c r="P82" s="321">
        <f ca="1"/>
        <v>-4.096189924799452</v>
      </c>
      <c r="Q82" s="321">
        <f ca="1"/>
        <v>-4.1170701216896664</v>
      </c>
      <c r="R82" s="321">
        <f ca="1"/>
        <v>-4.1356231616054817</v>
      </c>
      <c r="S82" s="321">
        <f ca="1"/>
        <v>-4.1557542279171882</v>
      </c>
      <c r="T82" s="321">
        <f ca="1"/>
        <v>-4.179935164800213</v>
      </c>
      <c r="U82" s="321">
        <f ca="1"/>
        <v>-4.1995340155642271</v>
      </c>
      <c r="V82" s="321">
        <f ca="1"/>
        <v>-4.2242732904572859</v>
      </c>
      <c r="W82" s="321">
        <f ca="1"/>
        <v>-4.2531875647088775</v>
      </c>
      <c r="X82" s="321">
        <f ca="1"/>
        <v>-4.2868870765255824</v>
      </c>
      <c r="Y82" s="321">
        <f ca="1"/>
        <v>-4.320653770188426</v>
      </c>
      <c r="Z82" s="321">
        <f ca="1"/>
        <v>-4.3522813215948366</v>
      </c>
      <c r="AA82" s="321">
        <f ca="1"/>
        <v>-4.3899218553048769</v>
      </c>
      <c r="AB82" s="321">
        <f ca="1"/>
        <v>-4.4284673740749572</v>
      </c>
      <c r="AC82" s="321">
        <f ca="1"/>
        <v>-4.4689935726285501</v>
      </c>
      <c r="AD82" s="321">
        <f ca="1"/>
        <v>-4.5134233471351894</v>
      </c>
      <c r="AE82" s="321">
        <f ca="1"/>
        <v>-4.5752899631122705</v>
      </c>
    </row>
    <row r="83" spans="1:31" s="221" customFormat="1" x14ac:dyDescent="0.25">
      <c r="A83" s="356"/>
      <c r="B83" s="356" t="s">
        <v>27</v>
      </c>
      <c r="C83"/>
      <c r="D83" s="201"/>
      <c r="E83" s="201"/>
      <c r="F83" s="321">
        <f ca="1"/>
        <v>-2.6980099609847659</v>
      </c>
      <c r="G83" s="321">
        <f ca="1"/>
        <v>-2.6887954718157632</v>
      </c>
      <c r="H83" s="321">
        <f ca="1"/>
        <v>-2.6557802606439491</v>
      </c>
      <c r="I83" s="321">
        <f ca="1"/>
        <v>-2.6383468025604992</v>
      </c>
      <c r="J83" s="321">
        <f ca="1"/>
        <v>-2.634785075300992</v>
      </c>
      <c r="K83" s="321">
        <f ca="1"/>
        <v>-2.6258015467595417</v>
      </c>
      <c r="L83" s="321">
        <f ca="1"/>
        <v>-2.6300730789731501</v>
      </c>
      <c r="M83" s="321">
        <f ca="1"/>
        <v>-2.62949654494735</v>
      </c>
      <c r="N83" s="321">
        <f ca="1"/>
        <v>-2.6265845421102174</v>
      </c>
      <c r="O83" s="321">
        <f ca="1"/>
        <v>-2.619333821914239</v>
      </c>
      <c r="P83" s="321">
        <f ca="1"/>
        <v>-2.6146068693689775</v>
      </c>
      <c r="Q83" s="321">
        <f ca="1"/>
        <v>-2.6130836765994836</v>
      </c>
      <c r="R83" s="321">
        <f ca="1"/>
        <v>-2.6108973255476151</v>
      </c>
      <c r="S83" s="321">
        <f ca="1"/>
        <v>-2.6091531205778957</v>
      </c>
      <c r="T83" s="321">
        <f ca="1"/>
        <v>-2.6085507028262707</v>
      </c>
      <c r="U83" s="321">
        <f ca="1"/>
        <v>-2.6066471271134284</v>
      </c>
      <c r="V83" s="321">
        <f ca="1"/>
        <v>-2.6061941075766963</v>
      </c>
      <c r="W83" s="321">
        <f ca="1"/>
        <v>-2.6069184699726051</v>
      </c>
      <c r="X83" s="321">
        <f ca="1"/>
        <v>-2.6089929813237678</v>
      </c>
      <c r="Y83" s="321">
        <f ca="1"/>
        <v>-2.6110823998769135</v>
      </c>
      <c r="Z83" s="321">
        <f ca="1"/>
        <v>-2.6125623502803665</v>
      </c>
      <c r="AA83" s="321">
        <f ca="1"/>
        <v>-2.6157400925828629</v>
      </c>
      <c r="AB83" s="321">
        <f ca="1"/>
        <v>-2.6191700211810187</v>
      </c>
      <c r="AC83" s="321">
        <f ca="1"/>
        <v>-2.6231566310030625</v>
      </c>
      <c r="AD83" s="321">
        <f ca="1"/>
        <v>-2.628244190024501</v>
      </c>
      <c r="AE83" s="321">
        <f ca="1"/>
        <v>-2.6382629188840303</v>
      </c>
    </row>
    <row r="84" spans="1:31" s="221" customFormat="1" x14ac:dyDescent="0.25">
      <c r="A84" s="356"/>
      <c r="B84" s="356" t="s">
        <v>29</v>
      </c>
      <c r="C84"/>
      <c r="D84" s="201"/>
      <c r="E84" s="201"/>
      <c r="F84" s="321">
        <f ca="1"/>
        <v>-34.449682014002349</v>
      </c>
      <c r="G84" s="321">
        <f ca="1"/>
        <v>-19.39691368715404</v>
      </c>
      <c r="H84" s="321">
        <f ca="1"/>
        <v>-13.501132131321389</v>
      </c>
      <c r="I84" s="321">
        <f ca="1"/>
        <v>-10.348624698877996</v>
      </c>
      <c r="J84" s="321">
        <f ca="1"/>
        <v>-8.3933292163877073</v>
      </c>
      <c r="K84" s="321">
        <f ca="1"/>
        <v>-7.0582550344202373</v>
      </c>
      <c r="L84" s="321">
        <f ca="1"/>
        <v>-6.0981750346222867</v>
      </c>
      <c r="M84" s="321">
        <f ca="1"/>
        <v>-5.3704314771351012</v>
      </c>
      <c r="N84" s="321">
        <f ca="1"/>
        <v>-4.8008280685763447</v>
      </c>
      <c r="O84" s="321">
        <f ca="1"/>
        <v>-4.3424154167778966</v>
      </c>
      <c r="P84" s="321">
        <f ca="1"/>
        <v>-3.9673971331939839</v>
      </c>
      <c r="Q84" s="321">
        <f ca="1"/>
        <v>-3.658773751611228</v>
      </c>
      <c r="R84" s="321">
        <f ca="1"/>
        <v>-3.3977033912413757</v>
      </c>
      <c r="S84" s="321">
        <f ca="1"/>
        <v>-3.1743746969290565</v>
      </c>
      <c r="T84" s="321">
        <f ca="1"/>
        <v>-2.9815088756136978</v>
      </c>
      <c r="U84" s="321">
        <f ca="1"/>
        <v>-2.8127771248169262</v>
      </c>
      <c r="V84" s="321">
        <f ca="1"/>
        <v>-2.6646555009866209</v>
      </c>
      <c r="W84" s="321">
        <f ca="1"/>
        <v>-2.5337063591823736</v>
      </c>
      <c r="X84" s="321">
        <f ca="1"/>
        <v>-2.4173276692372987</v>
      </c>
      <c r="Y84" s="321">
        <f ca="1"/>
        <v>-2.3130174662336924</v>
      </c>
      <c r="Z84" s="321">
        <f ca="1"/>
        <v>-2.2188790863510515</v>
      </c>
      <c r="AA84" s="321">
        <f ca="1"/>
        <v>-2.134171077829464</v>
      </c>
      <c r="AB84" s="321">
        <f ca="1"/>
        <v>-2.0573199177899073</v>
      </c>
      <c r="AC84" s="321">
        <f ca="1"/>
        <v>-1.987448385329726</v>
      </c>
      <c r="AD84" s="321">
        <f ca="1"/>
        <v>-1.9239055086954846</v>
      </c>
      <c r="AE84" s="321">
        <f ca="1"/>
        <v>-1.8671306745850931</v>
      </c>
    </row>
    <row r="85" spans="1:31" s="221" customFormat="1" x14ac:dyDescent="0.25">
      <c r="A85" s="356"/>
      <c r="B85" s="356"/>
      <c r="C85"/>
      <c r="D85"/>
      <c r="E85"/>
      <c r="F85"/>
      <c r="G85"/>
      <c r="H85"/>
      <c r="I85"/>
      <c r="J85"/>
      <c r="K85"/>
      <c r="L85"/>
      <c r="M85"/>
      <c r="N85"/>
      <c r="O85"/>
      <c r="P85"/>
      <c r="Q85"/>
      <c r="R85"/>
      <c r="S85"/>
      <c r="T85"/>
      <c r="U85"/>
      <c r="V85"/>
      <c r="W85"/>
      <c r="X85"/>
      <c r="Y85"/>
      <c r="Z85"/>
      <c r="AA85"/>
      <c r="AB85"/>
      <c r="AC85"/>
      <c r="AD85"/>
      <c r="AE85"/>
    </row>
    <row r="86" spans="1:31" s="202" customFormat="1" ht="12.75" x14ac:dyDescent="0.2">
      <c r="A86" s="364" t="s">
        <v>32</v>
      </c>
      <c r="B86" s="364"/>
      <c r="C86" s="364"/>
      <c r="D86" s="364"/>
      <c r="E86" s="364"/>
      <c r="F86" s="364"/>
      <c r="G86" s="364"/>
      <c r="H86" s="364"/>
      <c r="I86" s="364"/>
      <c r="J86" s="364"/>
      <c r="K86" s="364"/>
      <c r="L86" s="364"/>
      <c r="M86" s="364"/>
      <c r="N86" s="364"/>
      <c r="O86" s="364"/>
      <c r="P86" s="364"/>
      <c r="Q86" s="364"/>
      <c r="R86" s="364"/>
      <c r="S86" s="364"/>
      <c r="T86" s="364"/>
      <c r="U86" s="364"/>
      <c r="V86" s="364"/>
      <c r="W86" s="364"/>
      <c r="X86" s="364"/>
      <c r="Y86" s="364"/>
      <c r="Z86" s="364"/>
      <c r="AA86" s="364"/>
      <c r="AB86" s="364"/>
      <c r="AC86" s="364"/>
      <c r="AD86" s="364"/>
      <c r="AE86" s="364"/>
    </row>
    <row r="87" spans="1:31" s="221" customFormat="1" x14ac:dyDescent="0.25">
      <c r="A87" s="356"/>
      <c r="B87" s="356" t="s">
        <v>33</v>
      </c>
      <c r="C87"/>
      <c r="D87"/>
      <c r="E87"/>
      <c r="F87" s="321">
        <f t="array" ref="F87:AE90">IF(ISNUMBER(F15:AE18),Logit!$J$5/AVERAGE($F$15:$F$17)*F15:AE18+Logit!$K$5/AVERAGE($F$51:$F$53)*F51:AE54,"")</f>
        <v>-3.5242138899698521</v>
      </c>
      <c r="G87" s="631">
        <v>-3.537621687807595</v>
      </c>
      <c r="H87" s="321">
        <v>-3.4547519718983746</v>
      </c>
      <c r="I87" s="321">
        <v>-3.4343251006193292</v>
      </c>
      <c r="J87" s="321">
        <v>-3.4702893445349332</v>
      </c>
      <c r="K87" s="321">
        <v>-3.4842472995940881</v>
      </c>
      <c r="L87" s="321">
        <v>-3.5529458981836584</v>
      </c>
      <c r="M87" s="321">
        <v>-3.6021139154131321</v>
      </c>
      <c r="N87" s="321">
        <v>-3.6419292598786139</v>
      </c>
      <c r="O87" s="321">
        <v>-3.6638644946482324</v>
      </c>
      <c r="P87" s="321">
        <v>-3.6965277952353688</v>
      </c>
      <c r="Q87" s="321">
        <v>-3.7429450263577864</v>
      </c>
      <c r="R87" s="321">
        <v>-3.7868865499838518</v>
      </c>
      <c r="S87" s="321">
        <v>-3.8330287024955636</v>
      </c>
      <c r="T87" s="321">
        <v>-3.8843973486106815</v>
      </c>
      <c r="U87" s="321">
        <v>-3.9305395011223934</v>
      </c>
      <c r="V87" s="321">
        <v>-3.9832835402910396</v>
      </c>
      <c r="W87" s="321">
        <v>-4.0415291516737977</v>
      </c>
      <c r="X87" s="321">
        <v>-4.1061015711027853</v>
      </c>
      <c r="Y87" s="321">
        <v>-4.1712241477531835</v>
      </c>
      <c r="Z87" s="321">
        <v>-4.2341460955179375</v>
      </c>
      <c r="AA87" s="321">
        <v>-4.3050453229931538</v>
      </c>
      <c r="AB87" s="321">
        <v>-4.3775950221326045</v>
      </c>
      <c r="AC87" s="321">
        <v>-4.4531705859898167</v>
      </c>
      <c r="AD87" s="321">
        <v>-4.5342477220611395</v>
      </c>
      <c r="AE87" s="321">
        <v>-4.6381563828210304</v>
      </c>
    </row>
    <row r="88" spans="1:31" s="221" customFormat="1" x14ac:dyDescent="0.25">
      <c r="A88" s="358"/>
      <c r="B88" s="358" t="s">
        <v>34</v>
      </c>
      <c r="C88"/>
      <c r="D88"/>
      <c r="E88"/>
      <c r="F88" s="321">
        <v>-2.9385520778775827</v>
      </c>
      <c r="G88" s="631">
        <v>-2.9356860596936434</v>
      </c>
      <c r="H88" s="321">
        <v>-3.0039563774146547</v>
      </c>
      <c r="I88" s="321">
        <v>-3.1328073347365848</v>
      </c>
      <c r="J88" s="321">
        <v>-3.3072856685494232</v>
      </c>
      <c r="K88" s="321">
        <v>-3.299077934864906</v>
      </c>
      <c r="L88" s="321">
        <v>-3.3226596715546801</v>
      </c>
      <c r="M88" s="321">
        <v>-3.3346837445704636</v>
      </c>
      <c r="N88" s="321">
        <v>-3.3411659085167331</v>
      </c>
      <c r="O88" s="321">
        <v>-3.3373135931262565</v>
      </c>
      <c r="P88" s="321">
        <v>-3.3395482666686478</v>
      </c>
      <c r="Q88" s="321">
        <v>-3.3494906717522905</v>
      </c>
      <c r="R88" s="321">
        <v>-3.3578870942423049</v>
      </c>
      <c r="S88" s="321">
        <v>-3.3673788356518184</v>
      </c>
      <c r="T88" s="321">
        <v>-3.379634833035098</v>
      </c>
      <c r="U88" s="321">
        <v>-3.3888144391725747</v>
      </c>
      <c r="V88" s="321">
        <v>-3.4014899761042319</v>
      </c>
      <c r="W88" s="321">
        <v>-3.4170035467759594</v>
      </c>
      <c r="X88" s="321">
        <v>-3.4357619961564962</v>
      </c>
      <c r="Y88" s="321">
        <v>-3.4545741623891657</v>
      </c>
      <c r="Z88" s="321">
        <v>-3.4719489008743514</v>
      </c>
      <c r="AA88" s="321">
        <v>-3.4933843707087777</v>
      </c>
      <c r="AB88" s="321">
        <v>-3.5154290757747497</v>
      </c>
      <c r="AC88" s="321">
        <v>-3.5388046156878179</v>
      </c>
      <c r="AD88" s="321">
        <v>-3.5648016459499883</v>
      </c>
      <c r="AE88" s="321">
        <v>-3.6025231725506859</v>
      </c>
    </row>
    <row r="89" spans="1:31" s="221" customFormat="1" x14ac:dyDescent="0.25">
      <c r="A89" s="356"/>
      <c r="B89" s="358" t="s">
        <v>35</v>
      </c>
      <c r="C89"/>
      <c r="D89"/>
      <c r="E89"/>
      <c r="F89" s="321">
        <v>-3.2430691916301857</v>
      </c>
      <c r="G89" s="631">
        <v>-3.22953666060496</v>
      </c>
      <c r="H89" s="321">
        <v>-3.193464468211467</v>
      </c>
      <c r="I89" s="321">
        <v>-3.1721931913306358</v>
      </c>
      <c r="J89" s="321">
        <v>-3.1641010558820981</v>
      </c>
      <c r="K89" s="321">
        <v>-3.1508942734835892</v>
      </c>
      <c r="L89" s="321">
        <v>-3.150281161428361</v>
      </c>
      <c r="M89" s="321">
        <v>-3.1450966435143441</v>
      </c>
      <c r="N89" s="321">
        <v>-3.1377227044275928</v>
      </c>
      <c r="O89" s="321">
        <v>-3.1262595807178739</v>
      </c>
      <c r="P89" s="321">
        <v>-3.1172136705311431</v>
      </c>
      <c r="Q89" s="321">
        <v>-3.1112293716984945</v>
      </c>
      <c r="R89" s="321">
        <v>-3.1046398795168813</v>
      </c>
      <c r="S89" s="321">
        <v>-3.0984928697397445</v>
      </c>
      <c r="T89" s="321">
        <v>-3.0934513897302462</v>
      </c>
      <c r="U89" s="321">
        <v>-3.0871988108906483</v>
      </c>
      <c r="V89" s="321">
        <v>-3.0823438909344794</v>
      </c>
      <c r="W89" s="321">
        <v>-3.0786273080876061</v>
      </c>
      <c r="X89" s="321">
        <v>-3.0762125709505947</v>
      </c>
      <c r="Y89" s="321">
        <v>-3.0738333565056282</v>
      </c>
      <c r="Z89" s="321">
        <v>-3.0708973638939807</v>
      </c>
      <c r="AA89" s="321">
        <v>-3.069591963846976</v>
      </c>
      <c r="AB89" s="321">
        <v>-3.0685462063392315</v>
      </c>
      <c r="AC89" s="321">
        <v>-3.0680485258227845</v>
      </c>
      <c r="AD89" s="321">
        <v>-3.0686147054573971</v>
      </c>
      <c r="AE89" s="321">
        <v>-3.0738761498246925</v>
      </c>
    </row>
    <row r="90" spans="1:31" s="221" customFormat="1" x14ac:dyDescent="0.25">
      <c r="A90" s="356"/>
      <c r="B90" s="358" t="s">
        <v>29</v>
      </c>
      <c r="C90"/>
      <c r="D90"/>
      <c r="E90"/>
      <c r="F90" s="321">
        <v>-10.421122484407205</v>
      </c>
      <c r="G90" s="631">
        <v>-5.8973518716664675</v>
      </c>
      <c r="H90" s="321">
        <v>-4.1121334689056734</v>
      </c>
      <c r="I90" s="321">
        <v>-3.151316275920482</v>
      </c>
      <c r="J90" s="321">
        <v>-2.5565604133553408</v>
      </c>
      <c r="K90" s="321">
        <v>-2.1491877510099173</v>
      </c>
      <c r="L90" s="321">
        <v>-1.8600074873914605</v>
      </c>
      <c r="M90" s="321">
        <v>-1.6409790412871332</v>
      </c>
      <c r="N90" s="321">
        <v>-1.4701369342192596</v>
      </c>
      <c r="O90" s="321">
        <v>-1.3328076693139399</v>
      </c>
      <c r="P90" s="321">
        <v>-1.2214503856284311</v>
      </c>
      <c r="Q90" s="321">
        <v>-1.1323233538114237</v>
      </c>
      <c r="R90" s="321">
        <v>-1.0574427117285601</v>
      </c>
      <c r="S90" s="321">
        <v>-0.99395417758422433</v>
      </c>
      <c r="T90" s="321">
        <v>-0.93972281861439899</v>
      </c>
      <c r="U90" s="321">
        <v>-0.89249166749072006</v>
      </c>
      <c r="V90" s="321">
        <v>-0.85155921803560286</v>
      </c>
      <c r="W90" s="321">
        <v>-0.81584938631391579</v>
      </c>
      <c r="X90" s="321">
        <v>-0.78460368551083937</v>
      </c>
      <c r="Y90" s="321">
        <v>-0.75689463701442949</v>
      </c>
      <c r="Z90" s="321">
        <v>-0.73207317599280319</v>
      </c>
      <c r="AA90" s="321">
        <v>-0.71023492526238874</v>
      </c>
      <c r="AB90" s="321">
        <v>-0.69071926475665568</v>
      </c>
      <c r="AC90" s="321">
        <v>-0.67331140476828011</v>
      </c>
      <c r="AD90" s="321">
        <v>-0.65789796150248003</v>
      </c>
      <c r="AE90" s="321">
        <v>-0.64514712954127496</v>
      </c>
    </row>
    <row r="91" spans="1:31" s="221" customFormat="1" x14ac:dyDescent="0.25">
      <c r="A91" s="356"/>
      <c r="B91" s="356"/>
      <c r="C91"/>
      <c r="D91"/>
      <c r="E91"/>
      <c r="F91"/>
      <c r="G91"/>
      <c r="H91"/>
      <c r="I91"/>
      <c r="J91"/>
      <c r="K91"/>
      <c r="L91"/>
      <c r="M91"/>
      <c r="N91"/>
      <c r="O91"/>
      <c r="P91"/>
      <c r="Q91"/>
      <c r="R91"/>
      <c r="S91"/>
      <c r="T91"/>
      <c r="U91"/>
      <c r="V91"/>
      <c r="W91"/>
      <c r="X91"/>
      <c r="Y91"/>
      <c r="Z91"/>
      <c r="AA91"/>
      <c r="AB91"/>
      <c r="AC91"/>
      <c r="AD91"/>
      <c r="AE91"/>
    </row>
    <row r="92" spans="1:31" s="202" customFormat="1" ht="12.75" x14ac:dyDescent="0.2">
      <c r="A92" s="364" t="s">
        <v>36</v>
      </c>
      <c r="B92" s="364"/>
      <c r="C92" s="364"/>
      <c r="D92" s="364"/>
      <c r="E92" s="364"/>
      <c r="F92" s="364"/>
      <c r="G92" s="364"/>
      <c r="H92" s="364"/>
      <c r="I92" s="364"/>
      <c r="J92" s="364"/>
      <c r="K92" s="364"/>
      <c r="L92" s="364"/>
      <c r="M92" s="364"/>
      <c r="N92" s="364"/>
      <c r="O92" s="364"/>
      <c r="P92" s="364"/>
      <c r="Q92" s="364"/>
      <c r="R92" s="364"/>
      <c r="S92" s="364"/>
      <c r="T92" s="364"/>
      <c r="U92" s="364"/>
      <c r="V92" s="364"/>
      <c r="W92" s="364"/>
      <c r="X92" s="364"/>
      <c r="Y92" s="364"/>
      <c r="Z92" s="364"/>
      <c r="AA92" s="364"/>
      <c r="AB92" s="364"/>
      <c r="AC92" s="364"/>
      <c r="AD92" s="364"/>
      <c r="AE92" s="364"/>
    </row>
    <row r="93" spans="1:31" s="221" customFormat="1" x14ac:dyDescent="0.25">
      <c r="A93" s="356"/>
      <c r="B93" s="356" t="s">
        <v>37</v>
      </c>
      <c r="C93"/>
      <c r="D93"/>
      <c r="E93"/>
      <c r="F93" s="321">
        <f t="array" ref="F93:AE96">IF(ISNUMBER(F21:AE24),Logit!$J$5/AVERAGE($F$21:$F$23)*F21:AE24+Logit!$K$5/AVERAGE($F$57:$F$59)*F57:AE60,"")</f>
        <v>-3.703964446399107</v>
      </c>
      <c r="G93" s="321">
        <v>-3.7067345001267826</v>
      </c>
      <c r="H93" s="321">
        <v>-3.6263022565014902</v>
      </c>
      <c r="I93" s="321">
        <v>-3.6006218998208857</v>
      </c>
      <c r="J93" s="321">
        <v>-3.6243801035204299</v>
      </c>
      <c r="K93" s="321">
        <v>-3.6293631978167382</v>
      </c>
      <c r="L93" s="321">
        <v>-3.6822683526811364</v>
      </c>
      <c r="M93" s="321">
        <v>-3.7184809406688899</v>
      </c>
      <c r="N93" s="321">
        <v>-3.7468227705957386</v>
      </c>
      <c r="O93" s="321">
        <v>-3.7598541103749001</v>
      </c>
      <c r="P93" s="321">
        <v>-3.7824292847468248</v>
      </c>
      <c r="Q93" s="321">
        <v>-3.8171602628192693</v>
      </c>
      <c r="R93" s="321">
        <v>-3.8499177219877296</v>
      </c>
      <c r="S93" s="321">
        <v>-3.8847528915494127</v>
      </c>
      <c r="T93" s="321">
        <v>-3.9242834828250226</v>
      </c>
      <c r="U93" s="321">
        <v>-3.959408180503516</v>
      </c>
      <c r="V93" s="321">
        <v>-4.0004015262337198</v>
      </c>
      <c r="W93" s="321">
        <v>-4.0462970812840995</v>
      </c>
      <c r="X93" s="321">
        <v>-4.0978037061729946</v>
      </c>
      <c r="Y93" s="321">
        <v>-4.1498904693449505</v>
      </c>
      <c r="Z93" s="321">
        <v>-4.2001582982236059</v>
      </c>
      <c r="AA93" s="321">
        <v>-4.2574508365078145</v>
      </c>
      <c r="AB93" s="321">
        <v>-4.3162607389196763</v>
      </c>
      <c r="AC93" s="321">
        <v>-4.3777785762662704</v>
      </c>
      <c r="AD93" s="321">
        <v>-4.4441521523361347</v>
      </c>
      <c r="AE93" s="321">
        <v>-4.5304460967445017</v>
      </c>
    </row>
    <row r="94" spans="1:31" s="221" customFormat="1" x14ac:dyDescent="0.25">
      <c r="A94" s="356"/>
      <c r="B94" s="356" t="s">
        <v>39</v>
      </c>
      <c r="C94"/>
      <c r="D94"/>
      <c r="E94"/>
      <c r="F94" s="321">
        <v>-3.7327271857077213</v>
      </c>
      <c r="G94" s="321">
        <v>-3.7230910579157297</v>
      </c>
      <c r="H94" s="321">
        <v>-3.6373273046873633</v>
      </c>
      <c r="I94" s="321">
        <v>-3.6021675001814368</v>
      </c>
      <c r="J94" s="321">
        <v>-3.6410671944250552</v>
      </c>
      <c r="K94" s="321">
        <v>-3.6633689708438952</v>
      </c>
      <c r="L94" s="321">
        <v>-3.7275225684455036</v>
      </c>
      <c r="M94" s="321">
        <v>-3.7455373197645843</v>
      </c>
      <c r="N94" s="321">
        <v>-3.7565386176358455</v>
      </c>
      <c r="O94" s="321">
        <v>-3.7543013063629251</v>
      </c>
      <c r="P94" s="321">
        <v>-3.7600543548232537</v>
      </c>
      <c r="Q94" s="321">
        <v>-3.7758770646032875</v>
      </c>
      <c r="R94" s="321">
        <v>-3.7897793149568431</v>
      </c>
      <c r="S94" s="321">
        <v>-3.8051650993508135</v>
      </c>
      <c r="T94" s="321">
        <v>-3.8241817918352901</v>
      </c>
      <c r="U94" s="321">
        <v>-3.8392607236745233</v>
      </c>
      <c r="V94" s="321">
        <v>-3.8588969141127247</v>
      </c>
      <c r="W94" s="321">
        <v>-3.8822304994699</v>
      </c>
      <c r="X94" s="321">
        <v>-3.9097803340127273</v>
      </c>
      <c r="Y94" s="321">
        <v>-3.9374102483409135</v>
      </c>
      <c r="Z94" s="321">
        <v>-3.9631846293511943</v>
      </c>
      <c r="AA94" s="321">
        <v>-3.9942127071238218</v>
      </c>
      <c r="AB94" s="321">
        <v>-4.0260233644470791</v>
      </c>
      <c r="AC94" s="321">
        <v>-4.0595459991762839</v>
      </c>
      <c r="AD94" s="321">
        <v>-4.0964468177674069</v>
      </c>
      <c r="AE94" s="321">
        <v>-4.1485016577312486</v>
      </c>
    </row>
    <row r="95" spans="1:31" s="221" customFormat="1" x14ac:dyDescent="0.25">
      <c r="A95" s="356"/>
      <c r="B95" s="356" t="s">
        <v>40</v>
      </c>
      <c r="C95"/>
      <c r="D95"/>
      <c r="E95"/>
      <c r="F95" s="321">
        <v>-2.2691435273707916</v>
      </c>
      <c r="G95" s="321">
        <v>-2.2641865728423904</v>
      </c>
      <c r="H95" s="321">
        <v>-2.2091021108950311</v>
      </c>
      <c r="I95" s="321">
        <v>-2.1872812044790626</v>
      </c>
      <c r="J95" s="321">
        <v>-2.1950713583199288</v>
      </c>
      <c r="K95" s="321">
        <v>-2.1915761579585524</v>
      </c>
      <c r="L95" s="321">
        <v>-2.2163379150397473</v>
      </c>
      <c r="M95" s="321">
        <v>-2.2309885211162275</v>
      </c>
      <c r="N95" s="321">
        <v>-2.2408339879434021</v>
      </c>
      <c r="O95" s="321">
        <v>-2.2416162314818582</v>
      </c>
      <c r="P95" s="321">
        <v>-2.2478598087510901</v>
      </c>
      <c r="Q95" s="321">
        <v>-2.2609940272711353</v>
      </c>
      <c r="R95" s="321">
        <v>-2.2728174853872187</v>
      </c>
      <c r="S95" s="321">
        <v>-2.2856628798427008</v>
      </c>
      <c r="T95" s="321">
        <v>-2.3010045321646166</v>
      </c>
      <c r="U95" s="321">
        <v>-2.3136604600766586</v>
      </c>
      <c r="V95" s="321">
        <v>-2.329453592052773</v>
      </c>
      <c r="W95" s="321">
        <v>-2.3477996790436451</v>
      </c>
      <c r="X95" s="321">
        <v>-2.3690596973407252</v>
      </c>
      <c r="Y95" s="321">
        <v>-2.3904006033433256</v>
      </c>
      <c r="Z95" s="321">
        <v>-2.4104956615896023</v>
      </c>
      <c r="AA95" s="321">
        <v>-2.4342287925346593</v>
      </c>
      <c r="AB95" s="321">
        <v>-2.4585343212312902</v>
      </c>
      <c r="AC95" s="321">
        <v>-2.4840542266917418</v>
      </c>
      <c r="AD95" s="321">
        <v>-2.511938685426085</v>
      </c>
      <c r="AE95" s="321">
        <v>-2.5502989608860971</v>
      </c>
    </row>
    <row r="96" spans="1:31" s="221" customFormat="1" x14ac:dyDescent="0.25">
      <c r="A96" s="356"/>
      <c r="B96" s="356" t="s">
        <v>29</v>
      </c>
      <c r="C96"/>
      <c r="D96"/>
      <c r="E96"/>
      <c r="F96" s="321">
        <v>-39.704874280703379</v>
      </c>
      <c r="G96" s="321">
        <v>-22.956064583860986</v>
      </c>
      <c r="H96" s="321">
        <v>-16.262227133228102</v>
      </c>
      <c r="I96" s="321">
        <v>-12.581773804624525</v>
      </c>
      <c r="J96" s="321">
        <v>-10.278655839061324</v>
      </c>
      <c r="K96" s="321">
        <v>-8.6956706083943018</v>
      </c>
      <c r="L96" s="321">
        <v>-7.5633300687623777</v>
      </c>
      <c r="M96" s="321">
        <v>-6.7029947960033063</v>
      </c>
      <c r="N96" s="321">
        <v>-6.0287525627277958</v>
      </c>
      <c r="O96" s="321">
        <v>-5.4839966003445042</v>
      </c>
      <c r="P96" s="321">
        <v>-5.0394510028493755</v>
      </c>
      <c r="Q96" s="321">
        <v>-4.68101916529249</v>
      </c>
      <c r="R96" s="321">
        <v>-4.3784615537230902</v>
      </c>
      <c r="S96" s="321">
        <v>-4.120734466348444</v>
      </c>
      <c r="T96" s="321">
        <v>-3.8995975123249678</v>
      </c>
      <c r="U96" s="321">
        <v>-3.7062730534587685</v>
      </c>
      <c r="V96" s="321">
        <v>-3.5380681439895318</v>
      </c>
      <c r="W96" s="321">
        <v>-3.3907903126308319</v>
      </c>
      <c r="X96" s="321">
        <v>-3.2614746457881862</v>
      </c>
      <c r="Y96" s="321">
        <v>-3.1464584544400989</v>
      </c>
      <c r="Z96" s="321">
        <v>-3.0431687094691116</v>
      </c>
      <c r="AA96" s="321">
        <v>-2.9519941488671506</v>
      </c>
      <c r="AB96" s="321">
        <v>-2.8702992977788755</v>
      </c>
      <c r="AC96" s="321">
        <v>-2.797222490161321</v>
      </c>
      <c r="AD96" s="321">
        <v>-2.7323043368126663</v>
      </c>
      <c r="AE96" s="321">
        <v>-2.678207560133294</v>
      </c>
    </row>
    <row r="97" spans="1:31" s="221" customFormat="1" x14ac:dyDescent="0.25">
      <c r="A97" s="356"/>
      <c r="B97" s="356"/>
      <c r="C97"/>
      <c r="D97"/>
      <c r="E97"/>
      <c r="F97"/>
      <c r="G97"/>
      <c r="H97"/>
      <c r="I97"/>
      <c r="J97"/>
      <c r="K97"/>
      <c r="L97"/>
      <c r="M97"/>
      <c r="N97"/>
      <c r="O97"/>
      <c r="P97"/>
      <c r="Q97"/>
      <c r="R97"/>
      <c r="S97"/>
      <c r="T97"/>
      <c r="U97"/>
      <c r="V97"/>
      <c r="W97"/>
      <c r="X97"/>
      <c r="Y97"/>
      <c r="Z97"/>
      <c r="AA97"/>
      <c r="AB97"/>
      <c r="AC97"/>
      <c r="AD97"/>
      <c r="AE97"/>
    </row>
    <row r="98" spans="1:31" s="202" customFormat="1" ht="12.75" x14ac:dyDescent="0.2">
      <c r="A98" s="364" t="s">
        <v>42</v>
      </c>
      <c r="B98" s="364"/>
      <c r="C98" s="364"/>
      <c r="D98" s="364"/>
      <c r="E98" s="364"/>
      <c r="F98" s="364"/>
      <c r="G98" s="364"/>
      <c r="H98" s="364"/>
      <c r="I98" s="364"/>
      <c r="J98" s="364"/>
      <c r="K98" s="364"/>
      <c r="L98" s="364"/>
      <c r="M98" s="364"/>
      <c r="N98" s="364"/>
      <c r="O98" s="364"/>
      <c r="P98" s="364"/>
      <c r="Q98" s="364"/>
      <c r="R98" s="364"/>
      <c r="S98" s="364"/>
      <c r="T98" s="364"/>
      <c r="U98" s="364"/>
      <c r="V98" s="364"/>
      <c r="W98" s="364"/>
      <c r="X98" s="364"/>
      <c r="Y98" s="364"/>
      <c r="Z98" s="364"/>
      <c r="AA98" s="364"/>
      <c r="AB98" s="364"/>
      <c r="AC98" s="364"/>
      <c r="AD98" s="364"/>
      <c r="AE98" s="364"/>
    </row>
    <row r="99" spans="1:31" s="221" customFormat="1" x14ac:dyDescent="0.25">
      <c r="A99" s="356"/>
      <c r="B99" s="358" t="s">
        <v>43</v>
      </c>
      <c r="C99"/>
      <c r="D99"/>
      <c r="E99"/>
      <c r="F99" s="321">
        <f t="array" ref="F99:AE103">IF(ISNUMBER(F27:AE31),Logit!$J$5/AVERAGE($F$27:$F$30)*F27:AE31+Logit!$K$5/AVERAGE($F$63:$F$66)*F63:AE67)</f>
        <v>-0.10190374619616996</v>
      </c>
      <c r="G99" s="321">
        <v>-0.10175656663156893</v>
      </c>
      <c r="H99" s="321">
        <v>-0.10038679094152111</v>
      </c>
      <c r="I99" s="321">
        <v>-9.9812061154464546E-2</v>
      </c>
      <c r="J99" s="321">
        <v>-9.9955389283167606E-2</v>
      </c>
      <c r="K99" s="321">
        <v>-9.9820110146847857E-2</v>
      </c>
      <c r="L99" s="321">
        <v>-0.10038180435741217</v>
      </c>
      <c r="M99" s="321">
        <v>-0.10069626598495081</v>
      </c>
      <c r="N99" s="321">
        <v>-0.10089283522581272</v>
      </c>
      <c r="O99" s="321">
        <v>-0.10086306664153168</v>
      </c>
      <c r="P99" s="321">
        <v>-0.10097059647902029</v>
      </c>
      <c r="Q99" s="321">
        <v>-0.10125385291595029</v>
      </c>
      <c r="R99" s="321">
        <v>-0.10150648425224124</v>
      </c>
      <c r="S99" s="321">
        <v>-0.10178790386928721</v>
      </c>
      <c r="T99" s="321">
        <v>-0.10213654560277557</v>
      </c>
      <c r="U99" s="321">
        <v>-0.10241949760870914</v>
      </c>
      <c r="V99" s="321">
        <v>-0.10278709720415621</v>
      </c>
      <c r="W99" s="321">
        <v>-0.10322532959312974</v>
      </c>
      <c r="X99" s="321">
        <v>-0.10374465952351518</v>
      </c>
      <c r="Y99" s="321">
        <v>-0.10427162779387031</v>
      </c>
      <c r="Z99" s="321">
        <v>-0.10477124212326028</v>
      </c>
      <c r="AA99" s="321">
        <v>-0.10537286491082645</v>
      </c>
      <c r="AB99" s="321">
        <v>-0.10599604656028526</v>
      </c>
      <c r="AC99" s="321">
        <v>-0.10665825122747322</v>
      </c>
      <c r="AD99" s="321">
        <v>-0.10739093154213063</v>
      </c>
      <c r="AE99" s="321">
        <v>-0.10841437276419391</v>
      </c>
    </row>
    <row r="100" spans="1:31" s="221" customFormat="1" x14ac:dyDescent="0.25">
      <c r="A100" s="356"/>
      <c r="B100" s="358" t="s">
        <v>44</v>
      </c>
      <c r="C100"/>
      <c r="D100"/>
      <c r="E100"/>
      <c r="F100" s="321">
        <v>-0.14615229907621058</v>
      </c>
      <c r="G100" s="321">
        <v>-0.14544204785930967</v>
      </c>
      <c r="H100" s="321">
        <v>-0.14401344027204302</v>
      </c>
      <c r="I100" s="321">
        <v>-0.14306218710604374</v>
      </c>
      <c r="J100" s="321">
        <v>-0.14253315100079575</v>
      </c>
      <c r="K100" s="321">
        <v>-0.14184273734810116</v>
      </c>
      <c r="L100" s="321">
        <v>-0.14155264452037203</v>
      </c>
      <c r="M100" s="321">
        <v>-0.1411178685975269</v>
      </c>
      <c r="N100" s="321">
        <v>-0.14061443170585378</v>
      </c>
      <c r="O100" s="321">
        <v>-0.13998302473753901</v>
      </c>
      <c r="P100" s="321">
        <v>-0.13942858554415072</v>
      </c>
      <c r="Q100" s="321">
        <v>-0.13897073216104339</v>
      </c>
      <c r="R100" s="321">
        <v>-0.13849426026561379</v>
      </c>
      <c r="S100" s="321">
        <v>-0.13803191388277924</v>
      </c>
      <c r="T100" s="321">
        <v>-0.13760419562968818</v>
      </c>
      <c r="U100" s="321">
        <v>-0.13713895881574698</v>
      </c>
      <c r="V100" s="321">
        <v>-0.13671721412162402</v>
      </c>
      <c r="W100" s="321">
        <v>-0.13633065445938708</v>
      </c>
      <c r="X100" s="321">
        <v>-0.13598408934732598</v>
      </c>
      <c r="Y100" s="321">
        <v>-0.13563827838078682</v>
      </c>
      <c r="Z100" s="321">
        <v>-0.13527500653289193</v>
      </c>
      <c r="AA100" s="321">
        <v>-0.13496143600843474</v>
      </c>
      <c r="AB100" s="321">
        <v>-0.13465530962238006</v>
      </c>
      <c r="AC100" s="321">
        <v>-0.13436538631983141</v>
      </c>
      <c r="AD100" s="321">
        <v>-0.1341072911664338</v>
      </c>
      <c r="AE100" s="321">
        <v>-0.1339913403377829</v>
      </c>
    </row>
    <row r="101" spans="1:31" s="221" customFormat="1" x14ac:dyDescent="0.25">
      <c r="A101" s="356"/>
      <c r="B101" s="358" t="s">
        <v>45</v>
      </c>
      <c r="C101"/>
      <c r="D101"/>
      <c r="E101"/>
      <c r="F101" s="321">
        <v>-5.2283721466429206E-2</v>
      </c>
      <c r="G101" s="321">
        <v>-5.2137260723161168E-2</v>
      </c>
      <c r="H101" s="321">
        <v>-5.1482156364968515E-2</v>
      </c>
      <c r="I101" s="321">
        <v>-5.1159237261246E-2</v>
      </c>
      <c r="J101" s="321">
        <v>-5.1134174150926283E-2</v>
      </c>
      <c r="K101" s="321">
        <v>-5.0993321199074661E-2</v>
      </c>
      <c r="L101" s="321">
        <v>-5.113927363079683E-2</v>
      </c>
      <c r="M101" s="321">
        <v>-5.1182049451575423E-2</v>
      </c>
      <c r="N101" s="321">
        <v>-5.1175406507145506E-2</v>
      </c>
      <c r="O101" s="321">
        <v>-5.1075375726097764E-2</v>
      </c>
      <c r="P101" s="321">
        <v>-5.1030922477970315E-2</v>
      </c>
      <c r="Q101" s="321">
        <v>-5.1057271798079382E-2</v>
      </c>
      <c r="R101" s="321">
        <v>-5.1070169229722254E-2</v>
      </c>
      <c r="S101" s="321">
        <v>-5.1093762830888477E-2</v>
      </c>
      <c r="T101" s="321">
        <v>-5.1143495031856889E-2</v>
      </c>
      <c r="U101" s="321">
        <v>-5.1165629992346154E-2</v>
      </c>
      <c r="V101" s="321">
        <v>-5.1220786000456625E-2</v>
      </c>
      <c r="W101" s="321">
        <v>-5.1303105477881944E-2</v>
      </c>
      <c r="X101" s="321">
        <v>-5.1416578165316223E-2</v>
      </c>
      <c r="Y101" s="321">
        <v>-5.1531668357507276E-2</v>
      </c>
      <c r="Z101" s="321">
        <v>-5.1634434242317291E-2</v>
      </c>
      <c r="AA101" s="321">
        <v>-5.1776335905097601E-2</v>
      </c>
      <c r="AB101" s="321">
        <v>-5.1925221500332255E-2</v>
      </c>
      <c r="AC101" s="321">
        <v>-5.2087943429025299E-2</v>
      </c>
      <c r="AD101" s="321">
        <v>-5.2276805351365904E-2</v>
      </c>
      <c r="AE101" s="321">
        <v>-5.2578279574928902E-2</v>
      </c>
    </row>
    <row r="102" spans="1:31" s="221" customFormat="1" x14ac:dyDescent="0.25">
      <c r="A102" s="356"/>
      <c r="B102" s="358" t="s">
        <v>46</v>
      </c>
      <c r="C102"/>
      <c r="D102"/>
      <c r="E102"/>
      <c r="F102" s="321">
        <v>-12.640773779231349</v>
      </c>
      <c r="G102" s="321">
        <v>-12.637392320931815</v>
      </c>
      <c r="H102" s="321">
        <v>-12.634083529934619</v>
      </c>
      <c r="I102" s="321">
        <v>-12.630844775362014</v>
      </c>
      <c r="J102" s="321">
        <v>-12.627673564577485</v>
      </c>
      <c r="K102" s="321">
        <v>-12.624567533658105</v>
      </c>
      <c r="L102" s="321">
        <v>-12.621524438671178</v>
      </c>
      <c r="M102" s="321">
        <v>-12.618542147675679</v>
      </c>
      <c r="N102" s="321">
        <v>-12.615618633377881</v>
      </c>
      <c r="O102" s="321">
        <v>-12.612751966378449</v>
      </c>
      <c r="P102" s="321">
        <v>-12.609940308955037</v>
      </c>
      <c r="Q102" s="321">
        <v>-12.607181909330563</v>
      </c>
      <c r="R102" s="321">
        <v>-12.604475096382515</v>
      </c>
      <c r="S102" s="321">
        <v>-12.601818274753409</v>
      </c>
      <c r="T102" s="321">
        <v>-12.599209920326569</v>
      </c>
      <c r="U102" s="321">
        <v>-12.596648576035106</v>
      </c>
      <c r="V102" s="321">
        <v>-12.594132847975137</v>
      </c>
      <c r="W102" s="321">
        <v>-12.591661401797236</v>
      </c>
      <c r="X102" s="321">
        <v>-12.589232959352582</v>
      </c>
      <c r="Y102" s="321">
        <v>-12.586846295572595</v>
      </c>
      <c r="Z102" s="321">
        <v>-12.584500235562842</v>
      </c>
      <c r="AA102" s="321">
        <v>-12.582193651893821</v>
      </c>
      <c r="AB102" s="321">
        <v>-12.579925462072856</v>
      </c>
      <c r="AC102" s="321">
        <v>-12.577694626182744</v>
      </c>
      <c r="AD102" s="321">
        <v>-12.575500144674185</v>
      </c>
      <c r="AE102" s="321">
        <v>-12.573341056300048</v>
      </c>
    </row>
    <row r="103" spans="1:31" s="221" customFormat="1" x14ac:dyDescent="0.25">
      <c r="A103" s="356"/>
      <c r="B103" s="356" t="s">
        <v>29</v>
      </c>
      <c r="C103"/>
      <c r="D103"/>
      <c r="E103"/>
      <c r="F103" s="321">
        <v>-0.50047531541863777</v>
      </c>
      <c r="G103" s="321">
        <v>-0.29514356797583002</v>
      </c>
      <c r="H103" s="321">
        <v>-0.21004926378443414</v>
      </c>
      <c r="I103" s="321">
        <v>-0.16301015497700558</v>
      </c>
      <c r="J103" s="321">
        <v>-0.13331056169579208</v>
      </c>
      <c r="K103" s="321">
        <v>-0.11281879520104562</v>
      </c>
      <c r="L103" s="321">
        <v>-9.7961477259622412E-2</v>
      </c>
      <c r="M103" s="321">
        <v>-8.6633474188215265E-2</v>
      </c>
      <c r="N103" s="321">
        <v>-7.7720059863134475E-2</v>
      </c>
      <c r="O103" s="321">
        <v>-7.0510883034604815E-2</v>
      </c>
      <c r="P103" s="321">
        <v>-6.4588056210510905E-2</v>
      </c>
      <c r="Q103" s="321">
        <v>-5.9701924783662777E-2</v>
      </c>
      <c r="R103" s="321">
        <v>-5.5556181379823093E-2</v>
      </c>
      <c r="S103" s="321">
        <v>-5.2000698214460031E-2</v>
      </c>
      <c r="T103" s="321">
        <v>-4.8923815525071308E-2</v>
      </c>
      <c r="U103" s="321">
        <v>-4.6225895287027523E-2</v>
      </c>
      <c r="V103" s="321">
        <v>-4.3854286844744989E-2</v>
      </c>
      <c r="W103" s="321">
        <v>-4.1755365402557094E-2</v>
      </c>
      <c r="X103" s="321">
        <v>-3.9888688748575395E-2</v>
      </c>
      <c r="Y103" s="321">
        <v>-3.8214129301667663E-2</v>
      </c>
      <c r="Z103" s="321">
        <v>-3.6701448870156278E-2</v>
      </c>
      <c r="AA103" s="321">
        <v>-3.5340652529566405E-2</v>
      </c>
      <c r="AB103" s="321">
        <v>-3.410588590796941E-2</v>
      </c>
      <c r="AC103" s="321">
        <v>-3.2983491921707846E-2</v>
      </c>
      <c r="AD103" s="321">
        <v>-3.1963541625792256E-2</v>
      </c>
      <c r="AE103" s="321">
        <v>-3.1055728073271841E-2</v>
      </c>
    </row>
    <row r="104" spans="1:31" s="221" customFormat="1" x14ac:dyDescent="0.25">
      <c r="A104" s="356"/>
      <c r="B104" s="356"/>
      <c r="C104"/>
      <c r="D104"/>
      <c r="E104"/>
      <c r="F104"/>
      <c r="G104"/>
      <c r="H104"/>
      <c r="I104"/>
      <c r="J104"/>
      <c r="K104"/>
      <c r="L104"/>
      <c r="M104"/>
      <c r="N104"/>
      <c r="O104"/>
      <c r="P104"/>
      <c r="Q104"/>
      <c r="R104"/>
      <c r="S104"/>
      <c r="T104"/>
      <c r="U104"/>
      <c r="V104"/>
      <c r="W104"/>
      <c r="X104"/>
      <c r="Y104"/>
      <c r="Z104"/>
      <c r="AA104"/>
      <c r="AB104"/>
      <c r="AC104"/>
      <c r="AD104"/>
      <c r="AE104"/>
    </row>
    <row r="105" spans="1:31" s="202" customFormat="1" ht="12.75" x14ac:dyDescent="0.2">
      <c r="A105" s="364" t="s">
        <v>47</v>
      </c>
      <c r="B105" s="364"/>
      <c r="C105" s="364"/>
      <c r="D105" s="364"/>
      <c r="E105" s="364"/>
      <c r="F105" s="364"/>
      <c r="G105" s="364"/>
      <c r="H105" s="364"/>
      <c r="I105" s="364"/>
      <c r="J105" s="364"/>
      <c r="K105" s="364"/>
      <c r="L105" s="364"/>
      <c r="M105" s="364"/>
      <c r="N105" s="364"/>
      <c r="O105" s="364"/>
      <c r="P105" s="364"/>
      <c r="Q105" s="364"/>
      <c r="R105" s="364"/>
      <c r="S105" s="364"/>
      <c r="T105" s="364"/>
      <c r="U105" s="364"/>
      <c r="V105" s="364"/>
      <c r="W105" s="364"/>
      <c r="X105" s="364"/>
      <c r="Y105" s="364"/>
      <c r="Z105" s="364"/>
      <c r="AA105" s="364"/>
      <c r="AB105" s="364"/>
      <c r="AC105" s="364"/>
      <c r="AD105" s="364"/>
      <c r="AE105" s="364"/>
    </row>
    <row r="106" spans="1:31" s="221" customFormat="1" x14ac:dyDescent="0.25">
      <c r="A106" s="356"/>
      <c r="B106" s="356" t="s">
        <v>48</v>
      </c>
      <c r="C106"/>
      <c r="D106"/>
      <c r="E106"/>
      <c r="F106" s="321">
        <f t="array" ref="F106:AE111">IF(ISNUMBER(F34:AE34),Logit!$J$5/AVERAGE($F$34:$F$39)*F34:AE39+Logit!$K$5/AVERAGE($F$70:$F$75)*F70:AE75,"")</f>
        <v>-4.336621935950447</v>
      </c>
      <c r="G106" s="321">
        <v>-4.3469119460341892</v>
      </c>
      <c r="H106" s="321">
        <v>-4.1800791297926052</v>
      </c>
      <c r="I106" s="321">
        <v>-4.1047309263344562</v>
      </c>
      <c r="J106" s="321">
        <v>-4.1086286328239927</v>
      </c>
      <c r="K106" s="321">
        <v>-4.11920428470102</v>
      </c>
      <c r="L106" s="321">
        <v>-4.2043693375765487</v>
      </c>
      <c r="M106" s="321">
        <v>-4.2625647166280531</v>
      </c>
      <c r="N106" s="321">
        <v>-4.3077960715962078</v>
      </c>
      <c r="O106" s="321">
        <v>-4.3286200133053301</v>
      </c>
      <c r="P106" s="321">
        <v>-4.3638309655047225</v>
      </c>
      <c r="Q106" s="321">
        <v>-4.4173941068198896</v>
      </c>
      <c r="R106" s="321">
        <v>-4.4673742069653724</v>
      </c>
      <c r="S106" s="321">
        <v>-4.5200610773469645</v>
      </c>
      <c r="T106" s="321">
        <v>-4.5794763714601459</v>
      </c>
      <c r="U106" s="321">
        <v>-4.6316343932525754</v>
      </c>
      <c r="V106" s="321">
        <v>-4.6923154266882934</v>
      </c>
      <c r="W106" s="321">
        <v>-4.7599946832860098</v>
      </c>
      <c r="X106" s="321">
        <v>-4.8357098527591473</v>
      </c>
      <c r="Y106" s="321">
        <v>-4.9117752418197584</v>
      </c>
      <c r="Z106" s="321">
        <v>-4.9845649253885878</v>
      </c>
      <c r="AA106" s="321">
        <v>-5.0674666661219829</v>
      </c>
      <c r="AB106" s="321">
        <v>-5.1521154185336107</v>
      </c>
      <c r="AC106" s="321">
        <v>-5.2402930952271669</v>
      </c>
      <c r="AD106" s="321">
        <v>-5.3351978854861963</v>
      </c>
      <c r="AE106" s="321">
        <v>-5.4593081953143079</v>
      </c>
    </row>
    <row r="107" spans="1:31" s="221" customFormat="1" x14ac:dyDescent="0.25">
      <c r="A107" s="356"/>
      <c r="B107" s="358" t="s">
        <v>50</v>
      </c>
      <c r="C107"/>
      <c r="D107"/>
      <c r="E107"/>
      <c r="F107" s="321">
        <v>-3.2544050010819472</v>
      </c>
      <c r="G107" s="321">
        <v>-3.2628720906520909</v>
      </c>
      <c r="H107" s="321">
        <v>-3.1690996456993563</v>
      </c>
      <c r="I107" s="321">
        <v>-3.1419312406804236</v>
      </c>
      <c r="J107" s="321">
        <v>-3.1744791376156001</v>
      </c>
      <c r="K107" s="321">
        <v>-3.1836888344349314</v>
      </c>
      <c r="L107" s="321">
        <v>-3.2504059428956387</v>
      </c>
      <c r="M107" s="321">
        <v>-3.2963270107925871</v>
      </c>
      <c r="N107" s="321">
        <v>-3.3322508500448556</v>
      </c>
      <c r="O107" s="321">
        <v>-3.3493525396748685</v>
      </c>
      <c r="P107" s="321">
        <v>-3.377547972309749</v>
      </c>
      <c r="Q107" s="321">
        <v>-3.4198978825640336</v>
      </c>
      <c r="R107" s="321">
        <v>-3.4594874075232962</v>
      </c>
      <c r="S107" s="321">
        <v>-3.5011686129896962</v>
      </c>
      <c r="T107" s="321">
        <v>-3.5480453014402613</v>
      </c>
      <c r="U107" s="321">
        <v>-3.5893301741533343</v>
      </c>
      <c r="V107" s="321">
        <v>-3.637197975956409</v>
      </c>
      <c r="W107" s="321">
        <v>-3.6904750121692427</v>
      </c>
      <c r="X107" s="321">
        <v>-3.7499647821863364</v>
      </c>
      <c r="Y107" s="321">
        <v>-3.8097387777713805</v>
      </c>
      <c r="Z107" s="321">
        <v>-3.8669996084440887</v>
      </c>
      <c r="AA107" s="321">
        <v>-3.9320824096205063</v>
      </c>
      <c r="AB107" s="321">
        <v>-3.9985330126554506</v>
      </c>
      <c r="AC107" s="321">
        <v>-4.0677291647949154</v>
      </c>
      <c r="AD107" s="321">
        <v>-4.1421431268517503</v>
      </c>
      <c r="AE107" s="321">
        <v>-4.2391400659535696</v>
      </c>
    </row>
    <row r="108" spans="1:31" s="221" customFormat="1" x14ac:dyDescent="0.25">
      <c r="A108" s="356"/>
      <c r="B108" s="356" t="s">
        <v>51</v>
      </c>
      <c r="C108"/>
      <c r="D108"/>
      <c r="E108"/>
      <c r="F108" s="321">
        <v>-1.1702162326675329</v>
      </c>
      <c r="G108" s="321">
        <v>-1.1712647844659567</v>
      </c>
      <c r="H108" s="321">
        <v>-1.143493006118919</v>
      </c>
      <c r="I108" s="321">
        <v>-1.1344986833888175</v>
      </c>
      <c r="J108" s="321">
        <v>-1.1423401086757567</v>
      </c>
      <c r="K108" s="321">
        <v>-1.1436038013027392</v>
      </c>
      <c r="L108" s="321">
        <v>-1.1610805035660414</v>
      </c>
      <c r="M108" s="321">
        <v>-1.17269607917705</v>
      </c>
      <c r="N108" s="321">
        <v>-1.1814947447894646</v>
      </c>
      <c r="O108" s="321">
        <v>-1.18498869368696</v>
      </c>
      <c r="P108" s="321">
        <v>-1.1916113393592846</v>
      </c>
      <c r="Q108" s="321">
        <v>-1.2022254987327889</v>
      </c>
      <c r="R108" s="321">
        <v>-1.2120627730220346</v>
      </c>
      <c r="S108" s="321">
        <v>-1.2224909646440463</v>
      </c>
      <c r="T108" s="321">
        <v>-1.2343850325965859</v>
      </c>
      <c r="U108" s="321">
        <v>-1.2447039686307195</v>
      </c>
      <c r="V108" s="321">
        <v>-1.256879874238765</v>
      </c>
      <c r="W108" s="321">
        <v>-1.2705818625660972</v>
      </c>
      <c r="X108" s="321">
        <v>-1.2860364274900342</v>
      </c>
      <c r="Y108" s="321">
        <v>-1.3015722781796466</v>
      </c>
      <c r="Z108" s="321">
        <v>-1.316400801102759</v>
      </c>
      <c r="AA108" s="321">
        <v>-1.3334355045998021</v>
      </c>
      <c r="AB108" s="321">
        <v>-1.3508569125274392</v>
      </c>
      <c r="AC108" s="321">
        <v>-1.3690534034007551</v>
      </c>
      <c r="AD108" s="321">
        <v>-1.3887219045890569</v>
      </c>
      <c r="AE108" s="321">
        <v>-1.4147577249321921</v>
      </c>
    </row>
    <row r="109" spans="1:31" s="221" customFormat="1" x14ac:dyDescent="0.25">
      <c r="A109" s="356"/>
      <c r="B109" s="356" t="s">
        <v>52</v>
      </c>
      <c r="C109"/>
      <c r="D109"/>
      <c r="E109"/>
      <c r="F109" s="321">
        <v>-2.3583949359880956</v>
      </c>
      <c r="G109" s="321">
        <v>-2.3513684979655483</v>
      </c>
      <c r="H109" s="321">
        <v>-2.3102054715850069</v>
      </c>
      <c r="I109" s="321">
        <v>-2.2918010285323276</v>
      </c>
      <c r="J109" s="321">
        <v>-2.2937985683182571</v>
      </c>
      <c r="K109" s="321">
        <v>-2.2881624650271513</v>
      </c>
      <c r="L109" s="321">
        <v>-2.3021293602170174</v>
      </c>
      <c r="M109" s="321">
        <v>-2.3092731481006377</v>
      </c>
      <c r="N109" s="321">
        <v>-2.3132164255054009</v>
      </c>
      <c r="O109" s="321">
        <v>-2.3109669167569189</v>
      </c>
      <c r="P109" s="321">
        <v>-2.3125980231826819</v>
      </c>
      <c r="Q109" s="321">
        <v>-2.3191291259338396</v>
      </c>
      <c r="R109" s="321">
        <v>-2.3248451720982892</v>
      </c>
      <c r="S109" s="321">
        <v>-2.3313723263721777</v>
      </c>
      <c r="T109" s="321">
        <v>-2.3397483196045803</v>
      </c>
      <c r="U109" s="321">
        <v>-2.3463276582254093</v>
      </c>
      <c r="V109" s="321">
        <v>-2.3552086274285657</v>
      </c>
      <c r="W109" s="321">
        <v>-2.3659890507922667</v>
      </c>
      <c r="X109" s="321">
        <v>-2.3789341072772365</v>
      </c>
      <c r="Y109" s="321">
        <v>-2.3920394546054622</v>
      </c>
      <c r="Z109" s="321">
        <v>-2.404357075551697</v>
      </c>
      <c r="AA109" s="321">
        <v>-2.4193677630491317</v>
      </c>
      <c r="AB109" s="321">
        <v>-2.4348912313482813</v>
      </c>
      <c r="AC109" s="321">
        <v>-2.4513885128735273</v>
      </c>
      <c r="AD109" s="321">
        <v>-2.4696900244546338</v>
      </c>
      <c r="AE109" s="321">
        <v>-2.4956484449194205</v>
      </c>
    </row>
    <row r="110" spans="1:31" s="221" customFormat="1" x14ac:dyDescent="0.25">
      <c r="A110" s="356"/>
      <c r="B110" s="358" t="s">
        <v>29</v>
      </c>
      <c r="C110"/>
      <c r="D110"/>
      <c r="E110"/>
      <c r="F110" s="321">
        <v>-6.7665086217292547</v>
      </c>
      <c r="G110" s="321">
        <v>-3.8731687244817863</v>
      </c>
      <c r="H110" s="321">
        <v>-2.7114572987827437</v>
      </c>
      <c r="I110" s="321">
        <v>-2.0769794812691362</v>
      </c>
      <c r="J110" s="321">
        <v>-1.6859583571331807</v>
      </c>
      <c r="K110" s="321">
        <v>-1.416258257993704</v>
      </c>
      <c r="L110" s="321">
        <v>-1.230335178342493</v>
      </c>
      <c r="M110" s="321">
        <v>-1.0897690234632709</v>
      </c>
      <c r="N110" s="321">
        <v>-0.98100607154214892</v>
      </c>
      <c r="O110" s="321">
        <v>-0.89382181821628559</v>
      </c>
      <c r="P110" s="321">
        <v>-0.824603191184067</v>
      </c>
      <c r="Q110" s="321">
        <v>-0.77299230737773916</v>
      </c>
      <c r="R110" s="321">
        <v>-0.73042681386223351</v>
      </c>
      <c r="S110" s="321">
        <v>-0.69522154411493831</v>
      </c>
      <c r="T110" s="321">
        <v>-0.6660892524802613</v>
      </c>
      <c r="U110" s="321">
        <v>-0.64105791596486494</v>
      </c>
      <c r="V110" s="321">
        <v>-0.62021115225764767</v>
      </c>
      <c r="W110" s="321">
        <v>-0.60279672983713595</v>
      </c>
      <c r="X110" s="321">
        <v>-0.58836450971468912</v>
      </c>
      <c r="Y110" s="321">
        <v>-0.57605990588613676</v>
      </c>
      <c r="Z110" s="321">
        <v>-0.56535007510742474</v>
      </c>
      <c r="AA110" s="321">
        <v>-0.55677027677494206</v>
      </c>
      <c r="AB110" s="321">
        <v>-0.54961849464642087</v>
      </c>
      <c r="AC110" s="321">
        <v>-0.54383006308424786</v>
      </c>
      <c r="AD110" s="321">
        <v>-0.53945491701711501</v>
      </c>
      <c r="AE110" s="321">
        <v>-0.53771862760169153</v>
      </c>
    </row>
    <row r="111" spans="1:31" s="221" customFormat="1" x14ac:dyDescent="0.25">
      <c r="A111" s="356"/>
      <c r="B111" s="358" t="s">
        <v>53</v>
      </c>
      <c r="C111"/>
      <c r="D111"/>
      <c r="E111"/>
      <c r="F111" s="321">
        <v>-1.5255235915379615</v>
      </c>
      <c r="G111" s="321">
        <v>-1.5257859044614168</v>
      </c>
      <c r="H111" s="321">
        <v>-1.4944995261828338</v>
      </c>
      <c r="I111" s="321">
        <v>-1.4837571924037851</v>
      </c>
      <c r="J111" s="321">
        <v>-1.4914339299405486</v>
      </c>
      <c r="K111" s="321">
        <v>-1.4919053247511593</v>
      </c>
      <c r="L111" s="321">
        <v>-1.5101144344820863</v>
      </c>
      <c r="M111" s="321">
        <v>-1.5219026654820054</v>
      </c>
      <c r="N111" s="321">
        <v>-1.5306018023467443</v>
      </c>
      <c r="O111" s="321">
        <v>-1.5334891933608965</v>
      </c>
      <c r="P111" s="321">
        <v>-1.539794740068807</v>
      </c>
      <c r="Q111" s="321">
        <v>-1.5504628239270719</v>
      </c>
      <c r="R111" s="321">
        <v>-1.5602748307275864</v>
      </c>
      <c r="S111" s="321">
        <v>-1.5707278120486556</v>
      </c>
      <c r="T111" s="321">
        <v>-1.5827794333292022</v>
      </c>
      <c r="U111" s="321">
        <v>-1.5931015907287098</v>
      </c>
      <c r="V111" s="321">
        <v>-1.6054505704670459</v>
      </c>
      <c r="W111" s="321">
        <v>-1.6194643148654744</v>
      </c>
      <c r="X111" s="321">
        <v>-1.6353907812838102</v>
      </c>
      <c r="Y111" s="321">
        <v>-1.6514009255667421</v>
      </c>
      <c r="Z111" s="321">
        <v>-1.6666317342901564</v>
      </c>
      <c r="AA111" s="321">
        <v>-1.6842719208540204</v>
      </c>
      <c r="AB111" s="321">
        <v>-1.7023302581423612</v>
      </c>
      <c r="AC111" s="321">
        <v>-1.7212318690451773</v>
      </c>
      <c r="AD111" s="321">
        <v>-1.7417395615973588</v>
      </c>
      <c r="AE111" s="321">
        <v>-1.7692109941580776</v>
      </c>
    </row>
    <row r="112" spans="1:31" s="221" customFormat="1" x14ac:dyDescent="0.25">
      <c r="A112"/>
      <c r="B112"/>
      <c r="C112"/>
      <c r="D112"/>
      <c r="E112"/>
      <c r="F112"/>
      <c r="G112"/>
      <c r="H112"/>
      <c r="I112"/>
      <c r="J112"/>
      <c r="K112"/>
      <c r="L112"/>
      <c r="M112"/>
      <c r="N112"/>
      <c r="O112"/>
      <c r="P112"/>
      <c r="Q112"/>
      <c r="R112"/>
      <c r="S112"/>
      <c r="T112"/>
      <c r="U112"/>
      <c r="V112"/>
      <c r="W112"/>
      <c r="X112"/>
      <c r="Y112"/>
      <c r="Z112"/>
      <c r="AA112"/>
      <c r="AB112"/>
      <c r="AC112"/>
      <c r="AD112"/>
      <c r="AE112"/>
    </row>
    <row r="113" spans="1:31" x14ac:dyDescent="0.25">
      <c r="A113" s="362" t="s">
        <v>209</v>
      </c>
      <c r="B113" s="363"/>
      <c r="C113" s="362"/>
      <c r="D113" s="363"/>
      <c r="E113" s="363"/>
      <c r="F113" s="829" t="s">
        <v>435</v>
      </c>
      <c r="G113" s="365"/>
      <c r="H113" s="365"/>
      <c r="I113" s="365"/>
      <c r="J113" s="365"/>
      <c r="K113" s="365"/>
      <c r="L113" s="365"/>
      <c r="M113" s="365"/>
      <c r="N113" s="365"/>
      <c r="O113" s="365"/>
      <c r="P113" s="365"/>
      <c r="Q113" s="365"/>
      <c r="R113" s="365"/>
      <c r="S113" s="365"/>
      <c r="T113" s="365"/>
      <c r="U113" s="365"/>
      <c r="V113" s="365"/>
      <c r="W113" s="365"/>
      <c r="X113" s="365"/>
      <c r="Y113" s="365"/>
      <c r="Z113" s="365"/>
      <c r="AA113" s="365"/>
      <c r="AB113" s="365"/>
      <c r="AC113" s="365"/>
      <c r="AD113" s="365"/>
      <c r="AE113" s="365"/>
    </row>
    <row r="114" spans="1:31" x14ac:dyDescent="0.25">
      <c r="A114" s="357" t="s">
        <v>12</v>
      </c>
      <c r="B114" s="356"/>
    </row>
    <row r="115" spans="1:31" x14ac:dyDescent="0.25">
      <c r="A115" s="356"/>
      <c r="B115" s="356" t="s">
        <v>20</v>
      </c>
    </row>
    <row r="116" spans="1:31" s="202" customFormat="1" ht="12.75" x14ac:dyDescent="0.2">
      <c r="A116" s="364" t="s">
        <v>21</v>
      </c>
      <c r="B116" s="364"/>
      <c r="C116" s="364"/>
      <c r="D116" s="364"/>
      <c r="E116" s="364"/>
      <c r="F116" s="364"/>
      <c r="G116" s="364"/>
      <c r="H116" s="364"/>
      <c r="I116" s="364"/>
      <c r="J116" s="364"/>
      <c r="K116" s="364"/>
      <c r="L116" s="364"/>
      <c r="M116" s="364"/>
      <c r="N116" s="364"/>
      <c r="O116" s="364"/>
      <c r="P116" s="364"/>
      <c r="Q116" s="364"/>
      <c r="R116" s="364"/>
      <c r="S116" s="364"/>
      <c r="T116" s="364"/>
      <c r="U116" s="364"/>
      <c r="V116" s="364"/>
      <c r="W116" s="364"/>
      <c r="X116" s="364"/>
      <c r="Y116" s="364"/>
      <c r="Z116" s="364"/>
      <c r="AA116" s="364"/>
      <c r="AB116" s="364"/>
      <c r="AC116" s="364"/>
      <c r="AD116" s="364"/>
      <c r="AE116" s="364"/>
    </row>
    <row r="117" spans="1:31" s="221" customFormat="1" x14ac:dyDescent="0.25">
      <c r="A117" s="356"/>
      <c r="B117" s="356" t="s">
        <v>22</v>
      </c>
      <c r="C117"/>
      <c r="D117" s="374"/>
      <c r="E117" s="374"/>
      <c r="F117" s="374">
        <f>IF(F$3&gt;=Tech_Specs!$C9,IF(F$3=2010,VLOOKUP(F$3-Tech_Specs!$C9,Bass_Curve,IF(LEFT($B117,3)="LED",3,2)),IF(User_Inputs!$D$4="Frozen Efficiency",$F117,VLOOKUP(F$3-Tech_Specs!$C9,Bass_Curve,IF(LEFT($B117,3)="LED",3,2)))),)</f>
        <v>0.99999998049294159</v>
      </c>
      <c r="G117" s="374">
        <f>IF(G$3&gt;=Tech_Specs!$C9,IF(G$3=2010,VLOOKUP(G$3-Tech_Specs!$C9,Bass_Curve,IF(LEFT($B117,3)="LED",3,2)),IF(User_Inputs!$D$4="Frozen Efficiency",$F117,VLOOKUP(G$3-Tech_Specs!$C9,Bass_Curve,IF(LEFT($B117,3)="LED",3,2)))),)</f>
        <v>0.99999998049294159</v>
      </c>
      <c r="H117" s="374">
        <f>IF(H$3&gt;=Tech_Specs!$C9,IF(H$3=2010,VLOOKUP(H$3-Tech_Specs!$C9,Bass_Curve,IF(LEFT($B117,3)="LED",3,2)),IF(User_Inputs!$D$4="Frozen Efficiency",$F117,VLOOKUP(H$3-Tech_Specs!$C9,Bass_Curve,IF(LEFT($B117,3)="LED",3,2)))),)</f>
        <v>0.99999998049294159</v>
      </c>
      <c r="I117" s="374">
        <f>IF(I$3&gt;=Tech_Specs!$C9,IF(I$3=2010,VLOOKUP(I$3-Tech_Specs!$C9,Bass_Curve,IF(LEFT($B117,3)="LED",3,2)),IF(User_Inputs!$D$4="Frozen Efficiency",$F117,VLOOKUP(I$3-Tech_Specs!$C9,Bass_Curve,IF(LEFT($B117,3)="LED",3,2)))),)</f>
        <v>0.99999998049294159</v>
      </c>
      <c r="J117" s="374">
        <f>IF(J$3&gt;=Tech_Specs!$C9,IF(J$3=2010,VLOOKUP(J$3-Tech_Specs!$C9,Bass_Curve,IF(LEFT($B117,3)="LED",3,2)),IF(User_Inputs!$D$4="Frozen Efficiency",$F117,VLOOKUP(J$3-Tech_Specs!$C9,Bass_Curve,IF(LEFT($B117,3)="LED",3,2)))),)</f>
        <v>0.99999998049294159</v>
      </c>
      <c r="K117" s="374">
        <f>IF(K$3&gt;=Tech_Specs!$C9,IF(K$3=2010,VLOOKUP(K$3-Tech_Specs!$C9,Bass_Curve,IF(LEFT($B117,3)="LED",3,2)),IF(User_Inputs!$D$4="Frozen Efficiency",$F117,VLOOKUP(K$3-Tech_Specs!$C9,Bass_Curve,IF(LEFT($B117,3)="LED",3,2)))),)</f>
        <v>0.99999998049294159</v>
      </c>
      <c r="L117" s="374">
        <f>IF(L$3&gt;=Tech_Specs!$C9,IF(L$3=2010,VLOOKUP(L$3-Tech_Specs!$C9,Bass_Curve,IF(LEFT($B117,3)="LED",3,2)),IF(User_Inputs!$D$4="Frozen Efficiency",$F117,VLOOKUP(L$3-Tech_Specs!$C9,Bass_Curve,IF(LEFT($B117,3)="LED",3,2)))),)</f>
        <v>0.99999998049294159</v>
      </c>
      <c r="M117" s="374">
        <f>IF(M$3&gt;=Tech_Specs!$C9,IF(M$3=2010,VLOOKUP(M$3-Tech_Specs!$C9,Bass_Curve,IF(LEFT($B117,3)="LED",3,2)),IF(User_Inputs!$D$4="Frozen Efficiency",$F117,VLOOKUP(M$3-Tech_Specs!$C9,Bass_Curve,IF(LEFT($B117,3)="LED",3,2)))),)</f>
        <v>0.99999998049294159</v>
      </c>
      <c r="N117" s="374">
        <f>IF(N$3&gt;=Tech_Specs!$C9,IF(N$3=2010,VLOOKUP(N$3-Tech_Specs!$C9,Bass_Curve,IF(LEFT($B117,3)="LED",3,2)),IF(User_Inputs!$D$4="Frozen Efficiency",$F117,VLOOKUP(N$3-Tech_Specs!$C9,Bass_Curve,IF(LEFT($B117,3)="LED",3,2)))),)</f>
        <v>0.99999998049294159</v>
      </c>
      <c r="O117" s="374">
        <f>IF(O$3&gt;=Tech_Specs!$C9,IF(O$3=2010,VLOOKUP(O$3-Tech_Specs!$C9,Bass_Curve,IF(LEFT($B117,3)="LED",3,2)),IF(User_Inputs!$D$4="Frozen Efficiency",$F117,VLOOKUP(O$3-Tech_Specs!$C9,Bass_Curve,IF(LEFT($B117,3)="LED",3,2)))),)</f>
        <v>0.99999998049294159</v>
      </c>
      <c r="P117" s="374">
        <f>IF(P$3&gt;=Tech_Specs!$C9,IF(P$3=2010,VLOOKUP(P$3-Tech_Specs!$C9,Bass_Curve,IF(LEFT($B117,3)="LED",3,2)),IF(User_Inputs!$D$4="Frozen Efficiency",$F117,VLOOKUP(P$3-Tech_Specs!$C9,Bass_Curve,IF(LEFT($B117,3)="LED",3,2)))),)</f>
        <v>0.99999998049294159</v>
      </c>
      <c r="Q117" s="374">
        <f>IF(Q$3&gt;=Tech_Specs!$C9,IF(Q$3=2010,VLOOKUP(Q$3-Tech_Specs!$C9,Bass_Curve,IF(LEFT($B117,3)="LED",3,2)),IF(User_Inputs!$D$4="Frozen Efficiency",$F117,VLOOKUP(Q$3-Tech_Specs!$C9,Bass_Curve,IF(LEFT($B117,3)="LED",3,2)))),)</f>
        <v>0.99999998049294159</v>
      </c>
      <c r="R117" s="374">
        <f>IF(R$3&gt;=Tech_Specs!$C9,IF(R$3=2010,VLOOKUP(R$3-Tech_Specs!$C9,Bass_Curve,IF(LEFT($B117,3)="LED",3,2)),IF(User_Inputs!$D$4="Frozen Efficiency",$F117,VLOOKUP(R$3-Tech_Specs!$C9,Bass_Curve,IF(LEFT($B117,3)="LED",3,2)))),)</f>
        <v>0.99999998049294159</v>
      </c>
      <c r="S117" s="374">
        <f>IF(S$3&gt;=Tech_Specs!$C9,IF(S$3=2010,VLOOKUP(S$3-Tech_Specs!$C9,Bass_Curve,IF(LEFT($B117,3)="LED",3,2)),IF(User_Inputs!$D$4="Frozen Efficiency",$F117,VLOOKUP(S$3-Tech_Specs!$C9,Bass_Curve,IF(LEFT($B117,3)="LED",3,2)))),)</f>
        <v>0.99999998049294159</v>
      </c>
      <c r="T117" s="374">
        <f>IF(T$3&gt;=Tech_Specs!$C9,IF(T$3=2010,VLOOKUP(T$3-Tech_Specs!$C9,Bass_Curve,IF(LEFT($B117,3)="LED",3,2)),IF(User_Inputs!$D$4="Frozen Efficiency",$F117,VLOOKUP(T$3-Tech_Specs!$C9,Bass_Curve,IF(LEFT($B117,3)="LED",3,2)))),)</f>
        <v>0.99999998049294159</v>
      </c>
      <c r="U117" s="374">
        <f>IF(U$3&gt;=Tech_Specs!$C9,IF(U$3=2010,VLOOKUP(U$3-Tech_Specs!$C9,Bass_Curve,IF(LEFT($B117,3)="LED",3,2)),IF(User_Inputs!$D$4="Frozen Efficiency",$F117,VLOOKUP(U$3-Tech_Specs!$C9,Bass_Curve,IF(LEFT($B117,3)="LED",3,2)))),)</f>
        <v>0.99999998049294159</v>
      </c>
      <c r="V117" s="374">
        <f>IF(V$3&gt;=Tech_Specs!$C9,IF(V$3=2010,VLOOKUP(V$3-Tech_Specs!$C9,Bass_Curve,IF(LEFT($B117,3)="LED",3,2)),IF(User_Inputs!$D$4="Frozen Efficiency",$F117,VLOOKUP(V$3-Tech_Specs!$C9,Bass_Curve,IF(LEFT($B117,3)="LED",3,2)))),)</f>
        <v>0.99999998049294159</v>
      </c>
      <c r="W117" s="374">
        <f>IF(W$3&gt;=Tech_Specs!$C9,IF(W$3=2010,VLOOKUP(W$3-Tech_Specs!$C9,Bass_Curve,IF(LEFT($B117,3)="LED",3,2)),IF(User_Inputs!$D$4="Frozen Efficiency",$F117,VLOOKUP(W$3-Tech_Specs!$C9,Bass_Curve,IF(LEFT($B117,3)="LED",3,2)))),)</f>
        <v>0.99999998049294159</v>
      </c>
      <c r="X117" s="374">
        <f>IF(X$3&gt;=Tech_Specs!$C9,IF(X$3=2010,VLOOKUP(X$3-Tech_Specs!$C9,Bass_Curve,IF(LEFT($B117,3)="LED",3,2)),IF(User_Inputs!$D$4="Frozen Efficiency",$F117,VLOOKUP(X$3-Tech_Specs!$C9,Bass_Curve,IF(LEFT($B117,3)="LED",3,2)))),)</f>
        <v>0.99999998049294159</v>
      </c>
      <c r="Y117" s="374">
        <f>IF(Y$3&gt;=Tech_Specs!$C9,IF(Y$3=2010,VLOOKUP(Y$3-Tech_Specs!$C9,Bass_Curve,IF(LEFT($B117,3)="LED",3,2)),IF(User_Inputs!$D$4="Frozen Efficiency",$F117,VLOOKUP(Y$3-Tech_Specs!$C9,Bass_Curve,IF(LEFT($B117,3)="LED",3,2)))),)</f>
        <v>0.99999998049294159</v>
      </c>
      <c r="Z117" s="374">
        <f>IF(Z$3&gt;=Tech_Specs!$C9,IF(Z$3=2010,VLOOKUP(Z$3-Tech_Specs!$C9,Bass_Curve,IF(LEFT($B117,3)="LED",3,2)),IF(User_Inputs!$D$4="Frozen Efficiency",$F117,VLOOKUP(Z$3-Tech_Specs!$C9,Bass_Curve,IF(LEFT($B117,3)="LED",3,2)))),)</f>
        <v>0.99999998049294159</v>
      </c>
      <c r="AA117" s="374">
        <f>IF(AA$3&gt;=Tech_Specs!$C9,IF(AA$3=2010,VLOOKUP(AA$3-Tech_Specs!$C9,Bass_Curve,IF(LEFT($B117,3)="LED",3,2)),IF(User_Inputs!$D$4="Frozen Efficiency",$F117,VLOOKUP(AA$3-Tech_Specs!$C9,Bass_Curve,IF(LEFT($B117,3)="LED",3,2)))),)</f>
        <v>0.99999998049294159</v>
      </c>
      <c r="AB117" s="374">
        <f>IF(AB$3&gt;=Tech_Specs!$C9,IF(AB$3=2010,VLOOKUP(AB$3-Tech_Specs!$C9,Bass_Curve,IF(LEFT($B117,3)="LED",3,2)),IF(User_Inputs!$D$4="Frozen Efficiency",$F117,VLOOKUP(AB$3-Tech_Specs!$C9,Bass_Curve,IF(LEFT($B117,3)="LED",3,2)))),)</f>
        <v>0.99999998049294159</v>
      </c>
      <c r="AC117" s="374">
        <f>IF(AC$3&gt;=Tech_Specs!$C9,IF(AC$3=2010,VLOOKUP(AC$3-Tech_Specs!$C9,Bass_Curve,IF(LEFT($B117,3)="LED",3,2)),IF(User_Inputs!$D$4="Frozen Efficiency",$F117,VLOOKUP(AC$3-Tech_Specs!$C9,Bass_Curve,IF(LEFT($B117,3)="LED",3,2)))),)</f>
        <v>0.99999998049294159</v>
      </c>
      <c r="AD117" s="374">
        <f>IF(AD$3&gt;=Tech_Specs!$C9,IF(AD$3=2010,VLOOKUP(AD$3-Tech_Specs!$C9,Bass_Curve,IF(LEFT($B117,3)="LED",3,2)),IF(User_Inputs!$D$4="Frozen Efficiency",$F117,VLOOKUP(AD$3-Tech_Specs!$C9,Bass_Curve,IF(LEFT($B117,3)="LED",3,2)))),)</f>
        <v>0.99999998049294159</v>
      </c>
      <c r="AE117" s="374">
        <f>IF(AE$3&gt;=Tech_Specs!$C9,IF(AE$3=2010,VLOOKUP(AE$3-Tech_Specs!$C9,Bass_Curve,IF(LEFT($B117,3)="LED",3,2)),IF(User_Inputs!$D$4="Frozen Efficiency",$F117,VLOOKUP(AE$3-Tech_Specs!$C9,Bass_Curve,IF(LEFT($B117,3)="LED",3,2)))),)</f>
        <v>0.99999998049294159</v>
      </c>
    </row>
    <row r="118" spans="1:31" s="221" customFormat="1" x14ac:dyDescent="0.25">
      <c r="A118" s="356"/>
      <c r="B118" s="356" t="s">
        <v>26</v>
      </c>
      <c r="C118"/>
      <c r="D118" s="374"/>
      <c r="E118" s="374"/>
      <c r="F118" s="374">
        <f>IF(F$3&gt;=Tech_Specs!$C10,IF(F$3=2010,VLOOKUP(F$3-Tech_Specs!$C10,Bass_Curve,IF(LEFT($B118,3)="LED",3,2)),IF(User_Inputs!$D$4="Frozen Efficiency",$F118,VLOOKUP(F$3-Tech_Specs!$C10,Bass_Curve,IF(LEFT($B118,3)="LED",3,2)))),)</f>
        <v>0.99992312620537604</v>
      </c>
      <c r="G118" s="374">
        <f>IF(G$3&gt;=Tech_Specs!$C10,IF(G$3=2010,VLOOKUP(G$3-Tech_Specs!$C10,Bass_Curve,IF(LEFT($B118,3)="LED",3,2)),IF(User_Inputs!$D$4="Frozen Efficiency",$F118,VLOOKUP(G$3-Tech_Specs!$C10,Bass_Curve,IF(LEFT($B118,3)="LED",3,2)))),)</f>
        <v>0.9999448431048531</v>
      </c>
      <c r="H118" s="374">
        <f>IF(H$3&gt;=Tech_Specs!$C10,IF(H$3=2010,VLOOKUP(H$3-Tech_Specs!$C10,Bass_Curve,IF(LEFT($B118,3)="LED",3,2)),IF(User_Inputs!$D$4="Frozen Efficiency",$F118,VLOOKUP(H$3-Tech_Specs!$C10,Bass_Curve,IF(LEFT($B118,3)="LED",3,2)))),)</f>
        <v>0.99996042135098673</v>
      </c>
      <c r="I118" s="374">
        <f>IF(I$3&gt;=Tech_Specs!$C10,IF(I$3=2010,VLOOKUP(I$3-Tech_Specs!$C10,Bass_Curve,IF(LEFT($B118,3)="LED",3,2)),IF(User_Inputs!$D$4="Frozen Efficiency",$F118,VLOOKUP(I$3-Tech_Specs!$C10,Bass_Curve,IF(LEFT($B118,3)="LED",3,2)))),)</f>
        <v>0.99997159722102513</v>
      </c>
      <c r="J118" s="374">
        <f>IF(J$3&gt;=Tech_Specs!$C10,IF(J$3=2010,VLOOKUP(J$3-Tech_Specs!$C10,Bass_Curve,IF(LEFT($B118,3)="LED",3,2)),IF(User_Inputs!$D$4="Frozen Efficiency",$F118,VLOOKUP(J$3-Tech_Specs!$C10,Bass_Curve,IF(LEFT($B118,3)="LED",3,2)))),)</f>
        <v>0.9999796155873415</v>
      </c>
      <c r="K118" s="374">
        <f>IF(K$3&gt;=Tech_Specs!$C10,IF(K$3=2010,VLOOKUP(K$3-Tech_Specs!$C10,Bass_Curve,IF(LEFT($B118,3)="LED",3,2)),IF(User_Inputs!$D$4="Frozen Efficiency",$F118,VLOOKUP(K$3-Tech_Specs!$C10,Bass_Curve,IF(LEFT($B118,3)="LED",3,2)))),)</f>
        <v>0.99998536907810021</v>
      </c>
      <c r="L118" s="374">
        <f>IF(L$3&gt;=Tech_Specs!$C10,IF(L$3=2010,VLOOKUP(L$3-Tech_Specs!$C10,Bass_Curve,IF(LEFT($B118,3)="LED",3,2)),IF(User_Inputs!$D$4="Frozen Efficiency",$F118,VLOOKUP(L$3-Tech_Specs!$C10,Bass_Curve,IF(LEFT($B118,3)="LED",3,2)))),)</f>
        <v>0.99998949781098223</v>
      </c>
      <c r="M118" s="374">
        <f>IF(M$3&gt;=Tech_Specs!$C10,IF(M$3=2010,VLOOKUP(M$3-Tech_Specs!$C10,Bass_Curve,IF(LEFT($B118,3)="LED",3,2)),IF(User_Inputs!$D$4="Frozen Efficiency",$F118,VLOOKUP(M$3-Tech_Specs!$C10,Bass_Curve,IF(LEFT($B118,3)="LED",3,2)))),)</f>
        <v>0.99999246087225968</v>
      </c>
      <c r="N118" s="374">
        <f>IF(N$3&gt;=Tech_Specs!$C10,IF(N$3=2010,VLOOKUP(N$3-Tech_Specs!$C10,Bass_Curve,IF(LEFT($B118,3)="LED",3,2)),IF(User_Inputs!$D$4="Frozen Efficiency",$F118,VLOOKUP(N$3-Tech_Specs!$C10,Bass_Curve,IF(LEFT($B118,3)="LED",3,2)))),)</f>
        <v>0.99999458754894088</v>
      </c>
      <c r="O118" s="374">
        <f>IF(O$3&gt;=Tech_Specs!$C10,IF(O$3=2010,VLOOKUP(O$3-Tech_Specs!$C10,Bass_Curve,IF(LEFT($B118,3)="LED",3,2)),IF(User_Inputs!$D$4="Frozen Efficiency",$F118,VLOOKUP(O$3-Tech_Specs!$C10,Bass_Curve,IF(LEFT($B118,3)="LED",3,2)))),)</f>
        <v>0.99999611405218891</v>
      </c>
      <c r="P118" s="374">
        <f>IF(P$3&gt;=Tech_Specs!$C10,IF(P$3=2010,VLOOKUP(P$3-Tech_Specs!$C10,Bass_Curve,IF(LEFT($B118,3)="LED",3,2)),IF(User_Inputs!$D$4="Frozen Efficiency",$F118,VLOOKUP(P$3-Tech_Specs!$C10,Bass_Curve,IF(LEFT($B118,3)="LED",3,2)))),)</f>
        <v>0.99999720984345863</v>
      </c>
      <c r="Q118" s="374">
        <f>IF(Q$3&gt;=Tech_Specs!$C10,IF(Q$3=2010,VLOOKUP(Q$3-Tech_Specs!$C10,Bass_Curve,IF(LEFT($B118,3)="LED",3,2)),IF(User_Inputs!$D$4="Frozen Efficiency",$F118,VLOOKUP(Q$3-Tech_Specs!$C10,Bass_Curve,IF(LEFT($B118,3)="LED",3,2)))),)</f>
        <v>0.99999799650912424</v>
      </c>
      <c r="R118" s="374">
        <f>IF(R$3&gt;=Tech_Specs!$C10,IF(R$3=2010,VLOOKUP(R$3-Tech_Specs!$C10,Bass_Curve,IF(LEFT($B118,3)="LED",3,2)),IF(User_Inputs!$D$4="Frozen Efficiency",$F118,VLOOKUP(R$3-Tech_Specs!$C10,Bass_Curve,IF(LEFT($B118,3)="LED",3,2)))),)</f>
        <v>0.99999856129425391</v>
      </c>
      <c r="S118" s="374">
        <f>IF(S$3&gt;=Tech_Specs!$C10,IF(S$3=2010,VLOOKUP(S$3-Tech_Specs!$C10,Bass_Curve,IF(LEFT($B118,3)="LED",3,2)),IF(User_Inputs!$D$4="Frozen Efficiency",$F118,VLOOKUP(S$3-Tech_Specs!$C10,Bass_Curve,IF(LEFT($B118,3)="LED",3,2)))),)</f>
        <v>0.99999896680791711</v>
      </c>
      <c r="T118" s="374">
        <f>IF(T$3&gt;=Tech_Specs!$C10,IF(T$3=2010,VLOOKUP(T$3-Tech_Specs!$C10,Bass_Curve,IF(LEFT($B118,3)="LED",3,2)),IF(User_Inputs!$D$4="Frozen Efficiency",$F118,VLOOKUP(T$3-Tech_Specs!$C10,Bass_Curve,IF(LEFT($B118,3)="LED",3,2)))),)</f>
        <v>0.99999925798382638</v>
      </c>
      <c r="U118" s="374">
        <f>IF(U$3&gt;=Tech_Specs!$C10,IF(U$3=2010,VLOOKUP(U$3-Tech_Specs!$C10,Bass_Curve,IF(LEFT($B118,3)="LED",3,2)),IF(User_Inputs!$D$4="Frozen Efficiency",$F118,VLOOKUP(U$3-Tech_Specs!$C10,Bass_Curve,IF(LEFT($B118,3)="LED",3,2)))),)</f>
        <v>0.99999946707306653</v>
      </c>
      <c r="V118" s="374">
        <f>IF(V$3&gt;=Tech_Specs!$C10,IF(V$3=2010,VLOOKUP(V$3-Tech_Specs!$C10,Bass_Curve,IF(LEFT($B118,3)="LED",3,2)),IF(User_Inputs!$D$4="Frozen Efficiency",$F118,VLOOKUP(V$3-Tech_Specs!$C10,Bass_Curve,IF(LEFT($B118,3)="LED",3,2)))),)</f>
        <v>0.99999961722567021</v>
      </c>
      <c r="W118" s="374">
        <f>IF(W$3&gt;=Tech_Specs!$C10,IF(W$3=2010,VLOOKUP(W$3-Tech_Specs!$C10,Bass_Curve,IF(LEFT($B118,3)="LED",3,2)),IF(User_Inputs!$D$4="Frozen Efficiency",$F118,VLOOKUP(W$3-Tech_Specs!$C10,Bass_Curve,IF(LEFT($B118,3)="LED",3,2)))),)</f>
        <v>0.99999972506016011</v>
      </c>
      <c r="X118" s="374">
        <f>IF(X$3&gt;=Tech_Specs!$C10,IF(X$3=2010,VLOOKUP(X$3-Tech_Specs!$C10,Bass_Curve,IF(LEFT($B118,3)="LED",3,2)),IF(User_Inputs!$D$4="Frozen Efficiency",$F118,VLOOKUP(X$3-Tech_Specs!$C10,Bass_Curve,IF(LEFT($B118,3)="LED",3,2)))),)</f>
        <v>0.99999980250721576</v>
      </c>
      <c r="Y118" s="374">
        <f>IF(Y$3&gt;=Tech_Specs!$C10,IF(Y$3=2010,VLOOKUP(Y$3-Tech_Specs!$C10,Bass_Curve,IF(LEFT($B118,3)="LED",3,2)),IF(User_Inputs!$D$4="Frozen Efficiency",$F118,VLOOKUP(Y$3-Tech_Specs!$C10,Bass_Curve,IF(LEFT($B118,3)="LED",3,2)))),)</f>
        <v>0.99999985813264225</v>
      </c>
      <c r="Z118" s="374">
        <f>IF(Z$3&gt;=Tech_Specs!$C10,IF(Z$3=2010,VLOOKUP(Z$3-Tech_Specs!$C10,Bass_Curve,IF(LEFT($B118,3)="LED",3,2)),IF(User_Inputs!$D$4="Frozen Efficiency",$F118,VLOOKUP(Z$3-Tech_Specs!$C10,Bass_Curve,IF(LEFT($B118,3)="LED",3,2)))),)</f>
        <v>0.99999989808679191</v>
      </c>
      <c r="AA118" s="374">
        <f>IF(AA$3&gt;=Tech_Specs!$C10,IF(AA$3=2010,VLOOKUP(AA$3-Tech_Specs!$C10,Bass_Curve,IF(LEFT($B118,3)="LED",3,2)),IF(User_Inputs!$D$4="Frozen Efficiency",$F118,VLOOKUP(AA$3-Tech_Specs!$C10,Bass_Curve,IF(LEFT($B118,3)="LED",3,2)))),)</f>
        <v>0.99999992678597005</v>
      </c>
      <c r="AB118" s="374">
        <f>IF(AB$3&gt;=Tech_Specs!$C10,IF(AB$3=2010,VLOOKUP(AB$3-Tech_Specs!$C10,Bass_Curve,IF(LEFT($B118,3)="LED",3,2)),IF(User_Inputs!$D$4="Frozen Efficiency",$F118,VLOOKUP(AB$3-Tech_Specs!$C10,Bass_Curve,IF(LEFT($B118,3)="LED",3,2)))),)</f>
        <v>0.99999994740152531</v>
      </c>
      <c r="AC118" s="374">
        <f>IF(AC$3&gt;=Tech_Specs!$C10,IF(AC$3=2010,VLOOKUP(AC$3-Tech_Specs!$C10,Bass_Curve,IF(LEFT($B118,3)="LED",3,2)),IF(User_Inputs!$D$4="Frozen Efficiency",$F118,VLOOKUP(AC$3-Tech_Specs!$C10,Bass_Curve,IF(LEFT($B118,3)="LED",3,2)))),)</f>
        <v>0.99999996221093224</v>
      </c>
      <c r="AD118" s="374">
        <f>IF(AD$3&gt;=Tech_Specs!$C10,IF(AD$3=2010,VLOOKUP(AD$3-Tech_Specs!$C10,Bass_Curve,IF(LEFT($B118,3)="LED",3,2)),IF(User_Inputs!$D$4="Frozen Efficiency",$F118,VLOOKUP(AD$3-Tech_Specs!$C10,Bass_Curve,IF(LEFT($B118,3)="LED",3,2)))),)</f>
        <v>0.99999997284982522</v>
      </c>
      <c r="AE118" s="374">
        <f>IF(AE$3&gt;=Tech_Specs!$C10,IF(AE$3=2010,VLOOKUP(AE$3-Tech_Specs!$C10,Bass_Curve,IF(LEFT($B118,3)="LED",3,2)),IF(User_Inputs!$D$4="Frozen Efficiency",$F118,VLOOKUP(AE$3-Tech_Specs!$C10,Bass_Curve,IF(LEFT($B118,3)="LED",3,2)))),)</f>
        <v>0.99999998049294159</v>
      </c>
    </row>
    <row r="119" spans="1:31" s="221" customFormat="1" x14ac:dyDescent="0.25">
      <c r="A119" s="356"/>
      <c r="B119" s="356" t="s">
        <v>27</v>
      </c>
      <c r="C119"/>
      <c r="D119" s="374"/>
      <c r="E119" s="374"/>
      <c r="F119" s="374">
        <f>IF(F$3&gt;=Tech_Specs!$C11,IF(F$3=2010,VLOOKUP(F$3-Tech_Specs!$C11,Bass_Curve,IF(LEFT($B119,3)="LED",3,2)),IF(User_Inputs!$D$4="Frozen Efficiency",$F119,VLOOKUP(F$3-Tech_Specs!$C11,Bass_Curve,IF(LEFT($B119,3)="LED",3,2)))),)</f>
        <v>0.9984693766950139</v>
      </c>
      <c r="G119" s="374">
        <f>IF(G$3&gt;=Tech_Specs!$C11,IF(G$3=2010,VLOOKUP(G$3-Tech_Specs!$C11,Bass_Curve,IF(LEFT($B119,3)="LED",3,2)),IF(User_Inputs!$D$4="Frozen Efficiency",$F119,VLOOKUP(G$3-Tech_Specs!$C11,Bass_Curve,IF(LEFT($B119,3)="LED",3,2)))),)</f>
        <v>0.99890231984592681</v>
      </c>
      <c r="H119" s="374">
        <f>IF(H$3&gt;=Tech_Specs!$C11,IF(H$3=2010,VLOOKUP(H$3-Tech_Specs!$C11,Bass_Curve,IF(LEFT($B119,3)="LED",3,2)),IF(User_Inputs!$D$4="Frozen Efficiency",$F119,VLOOKUP(H$3-Tech_Specs!$C11,Bass_Curve,IF(LEFT($B119,3)="LED",3,2)))),)</f>
        <v>0.99921283993037913</v>
      </c>
      <c r="I119" s="374">
        <f>IF(I$3&gt;=Tech_Specs!$C11,IF(I$3=2010,VLOOKUP(I$3-Tech_Specs!$C11,Bass_Curve,IF(LEFT($B119,3)="LED",3,2)),IF(User_Inputs!$D$4="Frozen Efficiency",$F119,VLOOKUP(I$3-Tech_Specs!$C11,Bass_Curve,IF(LEFT($B119,3)="LED",3,2)))),)</f>
        <v>0.99943551570827049</v>
      </c>
      <c r="J119" s="374">
        <f>IF(J$3&gt;=Tech_Specs!$C11,IF(J$3=2010,VLOOKUP(J$3-Tech_Specs!$C11,Bass_Curve,IF(LEFT($B119,3)="LED",3,2)),IF(User_Inputs!$D$4="Frozen Efficiency",$F119,VLOOKUP(J$3-Tech_Specs!$C11,Bass_Curve,IF(LEFT($B119,3)="LED",3,2)))),)</f>
        <v>0.99959518445151951</v>
      </c>
      <c r="K119" s="374">
        <f>IF(K$3&gt;=Tech_Specs!$C11,IF(K$3=2010,VLOOKUP(K$3-Tech_Specs!$C11,Bass_Curve,IF(LEFT($B119,3)="LED",3,2)),IF(User_Inputs!$D$4="Frozen Efficiency",$F119,VLOOKUP(K$3-Tech_Specs!$C11,Bass_Curve,IF(LEFT($B119,3)="LED",3,2)))),)</f>
        <v>0.99970967191209748</v>
      </c>
      <c r="L119" s="374">
        <f>IF(L$3&gt;=Tech_Specs!$C11,IF(L$3=2010,VLOOKUP(L$3-Tech_Specs!$C11,Bass_Curve,IF(LEFT($B119,3)="LED",3,2)),IF(User_Inputs!$D$4="Frozen Efficiency",$F119,VLOOKUP(L$3-Tech_Specs!$C11,Bass_Curve,IF(LEFT($B119,3)="LED",3,2)))),)</f>
        <v>0.99979176488656052</v>
      </c>
      <c r="M119" s="374">
        <f>IF(M$3&gt;=Tech_Specs!$C11,IF(M$3=2010,VLOOKUP(M$3-Tech_Specs!$C11,Bass_Curve,IF(LEFT($B119,3)="LED",3,2)),IF(User_Inputs!$D$4="Frozen Efficiency",$F119,VLOOKUP(M$3-Tech_Specs!$C11,Bass_Curve,IF(LEFT($B119,3)="LED",3,2)))),)</f>
        <v>0.99985063257548779</v>
      </c>
      <c r="N119" s="374">
        <f>IF(N$3&gt;=Tech_Specs!$C11,IF(N$3=2010,VLOOKUP(N$3-Tech_Specs!$C11,Bass_Curve,IF(LEFT($B119,3)="LED",3,2)),IF(User_Inputs!$D$4="Frozen Efficiency",$F119,VLOOKUP(N$3-Tech_Specs!$C11,Bass_Curve,IF(LEFT($B119,3)="LED",3,2)))),)</f>
        <v>0.99989284880158935</v>
      </c>
      <c r="O119" s="374">
        <f>IF(O$3&gt;=Tech_Specs!$C11,IF(O$3=2010,VLOOKUP(O$3-Tech_Specs!$C11,Bass_Curve,IF(LEFT($B119,3)="LED",3,2)),IF(User_Inputs!$D$4="Frozen Efficiency",$F119,VLOOKUP(O$3-Tech_Specs!$C11,Bass_Curve,IF(LEFT($B119,3)="LED",3,2)))),)</f>
        <v>0.99992312620537604</v>
      </c>
      <c r="P119" s="374">
        <f>IF(P$3&gt;=Tech_Specs!$C11,IF(P$3=2010,VLOOKUP(P$3-Tech_Specs!$C11,Bass_Curve,IF(LEFT($B119,3)="LED",3,2)),IF(User_Inputs!$D$4="Frozen Efficiency",$F119,VLOOKUP(P$3-Tech_Specs!$C11,Bass_Curve,IF(LEFT($B119,3)="LED",3,2)))),)</f>
        <v>0.9999448431048531</v>
      </c>
      <c r="Q119" s="374">
        <f>IF(Q$3&gt;=Tech_Specs!$C11,IF(Q$3=2010,VLOOKUP(Q$3-Tech_Specs!$C11,Bass_Curve,IF(LEFT($B119,3)="LED",3,2)),IF(User_Inputs!$D$4="Frozen Efficiency",$F119,VLOOKUP(Q$3-Tech_Specs!$C11,Bass_Curve,IF(LEFT($B119,3)="LED",3,2)))),)</f>
        <v>0.99996042135098673</v>
      </c>
      <c r="R119" s="374">
        <f>IF(R$3&gt;=Tech_Specs!$C11,IF(R$3=2010,VLOOKUP(R$3-Tech_Specs!$C11,Bass_Curve,IF(LEFT($B119,3)="LED",3,2)),IF(User_Inputs!$D$4="Frozen Efficiency",$F119,VLOOKUP(R$3-Tech_Specs!$C11,Bass_Curve,IF(LEFT($B119,3)="LED",3,2)))),)</f>
        <v>0.99997159722102513</v>
      </c>
      <c r="S119" s="374">
        <f>IF(S$3&gt;=Tech_Specs!$C11,IF(S$3=2010,VLOOKUP(S$3-Tech_Specs!$C11,Bass_Curve,IF(LEFT($B119,3)="LED",3,2)),IF(User_Inputs!$D$4="Frozen Efficiency",$F119,VLOOKUP(S$3-Tech_Specs!$C11,Bass_Curve,IF(LEFT($B119,3)="LED",3,2)))),)</f>
        <v>0.9999796155873415</v>
      </c>
      <c r="T119" s="374">
        <f>IF(T$3&gt;=Tech_Specs!$C11,IF(T$3=2010,VLOOKUP(T$3-Tech_Specs!$C11,Bass_Curve,IF(LEFT($B119,3)="LED",3,2)),IF(User_Inputs!$D$4="Frozen Efficiency",$F119,VLOOKUP(T$3-Tech_Specs!$C11,Bass_Curve,IF(LEFT($B119,3)="LED",3,2)))),)</f>
        <v>0.99998536907810021</v>
      </c>
      <c r="U119" s="374">
        <f>IF(U$3&gt;=Tech_Specs!$C11,IF(U$3=2010,VLOOKUP(U$3-Tech_Specs!$C11,Bass_Curve,IF(LEFT($B119,3)="LED",3,2)),IF(User_Inputs!$D$4="Frozen Efficiency",$F119,VLOOKUP(U$3-Tech_Specs!$C11,Bass_Curve,IF(LEFT($B119,3)="LED",3,2)))),)</f>
        <v>0.99998949781098223</v>
      </c>
      <c r="V119" s="374">
        <f>IF(V$3&gt;=Tech_Specs!$C11,IF(V$3=2010,VLOOKUP(V$3-Tech_Specs!$C11,Bass_Curve,IF(LEFT($B119,3)="LED",3,2)),IF(User_Inputs!$D$4="Frozen Efficiency",$F119,VLOOKUP(V$3-Tech_Specs!$C11,Bass_Curve,IF(LEFT($B119,3)="LED",3,2)))),)</f>
        <v>0.99999246087225968</v>
      </c>
      <c r="W119" s="374">
        <f>IF(W$3&gt;=Tech_Specs!$C11,IF(W$3=2010,VLOOKUP(W$3-Tech_Specs!$C11,Bass_Curve,IF(LEFT($B119,3)="LED",3,2)),IF(User_Inputs!$D$4="Frozen Efficiency",$F119,VLOOKUP(W$3-Tech_Specs!$C11,Bass_Curve,IF(LEFT($B119,3)="LED",3,2)))),)</f>
        <v>0.99999458754894088</v>
      </c>
      <c r="X119" s="374">
        <f>IF(X$3&gt;=Tech_Specs!$C11,IF(X$3=2010,VLOOKUP(X$3-Tech_Specs!$C11,Bass_Curve,IF(LEFT($B119,3)="LED",3,2)),IF(User_Inputs!$D$4="Frozen Efficiency",$F119,VLOOKUP(X$3-Tech_Specs!$C11,Bass_Curve,IF(LEFT($B119,3)="LED",3,2)))),)</f>
        <v>0.99999611405218891</v>
      </c>
      <c r="Y119" s="374">
        <f>IF(Y$3&gt;=Tech_Specs!$C11,IF(Y$3=2010,VLOOKUP(Y$3-Tech_Specs!$C11,Bass_Curve,IF(LEFT($B119,3)="LED",3,2)),IF(User_Inputs!$D$4="Frozen Efficiency",$F119,VLOOKUP(Y$3-Tech_Specs!$C11,Bass_Curve,IF(LEFT($B119,3)="LED",3,2)))),)</f>
        <v>0.99999720984345863</v>
      </c>
      <c r="Z119" s="374">
        <f>IF(Z$3&gt;=Tech_Specs!$C11,IF(Z$3=2010,VLOOKUP(Z$3-Tech_Specs!$C11,Bass_Curve,IF(LEFT($B119,3)="LED",3,2)),IF(User_Inputs!$D$4="Frozen Efficiency",$F119,VLOOKUP(Z$3-Tech_Specs!$C11,Bass_Curve,IF(LEFT($B119,3)="LED",3,2)))),)</f>
        <v>0.99999799650912424</v>
      </c>
      <c r="AA119" s="374">
        <f>IF(AA$3&gt;=Tech_Specs!$C11,IF(AA$3=2010,VLOOKUP(AA$3-Tech_Specs!$C11,Bass_Curve,IF(LEFT($B119,3)="LED",3,2)),IF(User_Inputs!$D$4="Frozen Efficiency",$F119,VLOOKUP(AA$3-Tech_Specs!$C11,Bass_Curve,IF(LEFT($B119,3)="LED",3,2)))),)</f>
        <v>0.99999856129425391</v>
      </c>
      <c r="AB119" s="374">
        <f>IF(AB$3&gt;=Tech_Specs!$C11,IF(AB$3=2010,VLOOKUP(AB$3-Tech_Specs!$C11,Bass_Curve,IF(LEFT($B119,3)="LED",3,2)),IF(User_Inputs!$D$4="Frozen Efficiency",$F119,VLOOKUP(AB$3-Tech_Specs!$C11,Bass_Curve,IF(LEFT($B119,3)="LED",3,2)))),)</f>
        <v>0.99999896680791711</v>
      </c>
      <c r="AC119" s="374">
        <f>IF(AC$3&gt;=Tech_Specs!$C11,IF(AC$3=2010,VLOOKUP(AC$3-Tech_Specs!$C11,Bass_Curve,IF(LEFT($B119,3)="LED",3,2)),IF(User_Inputs!$D$4="Frozen Efficiency",$F119,VLOOKUP(AC$3-Tech_Specs!$C11,Bass_Curve,IF(LEFT($B119,3)="LED",3,2)))),)</f>
        <v>0.99999925798382638</v>
      </c>
      <c r="AD119" s="374">
        <f>IF(AD$3&gt;=Tech_Specs!$C11,IF(AD$3=2010,VLOOKUP(AD$3-Tech_Specs!$C11,Bass_Curve,IF(LEFT($B119,3)="LED",3,2)),IF(User_Inputs!$D$4="Frozen Efficiency",$F119,VLOOKUP(AD$3-Tech_Specs!$C11,Bass_Curve,IF(LEFT($B119,3)="LED",3,2)))),)</f>
        <v>0.99999946707306653</v>
      </c>
      <c r="AE119" s="374">
        <f>IF(AE$3&gt;=Tech_Specs!$C11,IF(AE$3=2010,VLOOKUP(AE$3-Tech_Specs!$C11,Bass_Curve,IF(LEFT($B119,3)="LED",3,2)),IF(User_Inputs!$D$4="Frozen Efficiency",$F119,VLOOKUP(AE$3-Tech_Specs!$C11,Bass_Curve,IF(LEFT($B119,3)="LED",3,2)))),)</f>
        <v>0.99999961722567021</v>
      </c>
    </row>
    <row r="120" spans="1:31" s="221" customFormat="1" x14ac:dyDescent="0.25">
      <c r="A120" s="356"/>
      <c r="B120" s="356" t="s">
        <v>29</v>
      </c>
      <c r="C120"/>
      <c r="D120" s="374"/>
      <c r="E120" s="374"/>
      <c r="F120" s="374">
        <f>IF(F$3&gt;=Tech_Specs!$C12,IF(F$3=2010,VLOOKUP(F$3-Tech_Specs!$C12,Bass_Curve,IF(LEFT($B120,3)="LED",3,2)),IF(User_Inputs!$D$4="Frozen Efficiency",$F120,VLOOKUP(F$3-Tech_Specs!$C12,Bass_Curve,IF(LEFT($B120,3)="LED",3,2)))),)</f>
        <v>2.573359512642789E-2</v>
      </c>
      <c r="G120" s="374">
        <f>IF(G$3&gt;=Tech_Specs!$C12,IF(G$3=2010,VLOOKUP(G$3-Tech_Specs!$C12,Bass_Curve,IF(LEFT($B120,3)="LED",3,2)),IF(User_Inputs!$D$4="Frozen Efficiency",$F120,VLOOKUP(G$3-Tech_Specs!$C12,Bass_Curve,IF(LEFT($B120,3)="LED",3,2)))),)</f>
        <v>4.6539757716903177E-2</v>
      </c>
      <c r="H120" s="374">
        <f>IF(H$3&gt;=Tech_Specs!$C12,IF(H$3=2010,VLOOKUP(H$3-Tech_Specs!$C12,Bass_Curve,IF(LEFT($B120,3)="LED",3,2)),IF(User_Inputs!$D$4="Frozen Efficiency",$F120,VLOOKUP(H$3-Tech_Specs!$C12,Bass_Curve,IF(LEFT($B120,3)="LED",3,2)))),)</f>
        <v>7.4754332929684128E-2</v>
      </c>
      <c r="I120" s="374">
        <f>IF(I$3&gt;=Tech_Specs!$C12,IF(I$3=2010,VLOOKUP(I$3-Tech_Specs!$C12,Bass_Curve,IF(LEFT($B120,3)="LED",3,2)),IF(User_Inputs!$D$4="Frozen Efficiency",$F120,VLOOKUP(I$3-Tech_Specs!$C12,Bass_Curve,IF(LEFT($B120,3)="LED",3,2)))),)</f>
        <v>0.11197478620001509</v>
      </c>
      <c r="J120" s="374">
        <f>IF(J$3&gt;=Tech_Specs!$C12,IF(J$3=2010,VLOOKUP(J$3-Tech_Specs!$C12,Bass_Curve,IF(LEFT($B120,3)="LED",3,2)),IF(User_Inputs!$D$4="Frozen Efficiency",$F120,VLOOKUP(J$3-Tech_Specs!$C12,Bass_Curve,IF(LEFT($B120,3)="LED",3,2)))),)</f>
        <v>0.15936056895239697</v>
      </c>
      <c r="K120" s="374">
        <f>IF(K$3&gt;=Tech_Specs!$C12,IF(K$3=2010,VLOOKUP(K$3-Tech_Specs!$C12,Bass_Curve,IF(LEFT($B120,3)="LED",3,2)),IF(User_Inputs!$D$4="Frozen Efficiency",$F120,VLOOKUP(K$3-Tech_Specs!$C12,Bass_Curve,IF(LEFT($B120,3)="LED",3,2)))),)</f>
        <v>0.21712504966565391</v>
      </c>
      <c r="L120" s="374">
        <f>IF(L$3&gt;=Tech_Specs!$C12,IF(L$3=2010,VLOOKUP(L$3-Tech_Specs!$C12,Bass_Curve,IF(LEFT($B120,3)="LED",3,2)),IF(User_Inputs!$D$4="Frozen Efficiency",$F120,VLOOKUP(L$3-Tech_Specs!$C12,Bass_Curve,IF(LEFT($B120,3)="LED",3,2)))),)</f>
        <v>0.28414080977412093</v>
      </c>
      <c r="M120" s="374">
        <f>IF(M$3&gt;=Tech_Specs!$C12,IF(M$3=2010,VLOOKUP(M$3-Tech_Specs!$C12,Bass_Curve,IF(LEFT($B120,3)="LED",3,2)),IF(User_Inputs!$D$4="Frozen Efficiency",$F120,VLOOKUP(M$3-Tech_Specs!$C12,Bass_Curve,IF(LEFT($B120,3)="LED",3,2)))),)</f>
        <v>0.35795009041805559</v>
      </c>
      <c r="N120" s="374">
        <f>IF(N$3&gt;=Tech_Specs!$C12,IF(N$3=2010,VLOOKUP(N$3-Tech_Specs!$C12,Bass_Curve,IF(LEFT($B120,3)="LED",3,2)),IF(User_Inputs!$D$4="Frozen Efficiency",$F120,VLOOKUP(N$3-Tech_Specs!$C12,Bass_Curve,IF(LEFT($B120,3)="LED",3,2)))),)</f>
        <v>0.43528730962994305</v>
      </c>
      <c r="O120" s="374">
        <f>IF(O$3&gt;=Tech_Specs!$C12,IF(O$3=2010,VLOOKUP(O$3-Tech_Specs!$C12,Bass_Curve,IF(LEFT($B120,3)="LED",3,2)),IF(User_Inputs!$D$4="Frozen Efficiency",$F120,VLOOKUP(O$3-Tech_Specs!$C12,Bass_Curve,IF(LEFT($B120,3)="LED",3,2)))),)</f>
        <v>0.51284484369923866</v>
      </c>
      <c r="P120" s="374">
        <f>IF(P$3&gt;=Tech_Specs!$C12,IF(P$3=2010,VLOOKUP(P$3-Tech_Specs!$C12,Bass_Curve,IF(LEFT($B120,3)="LED",3,2)),IF(User_Inputs!$D$4="Frozen Efficiency",$F120,VLOOKUP(P$3-Tech_Specs!$C12,Bass_Curve,IF(LEFT($B120,3)="LED",3,2)))),)</f>
        <v>0.58783004379238735</v>
      </c>
      <c r="Q120" s="374">
        <f>IF(Q$3&gt;=Tech_Specs!$C12,IF(Q$3=2010,VLOOKUP(Q$3-Tech_Specs!$C12,Bass_Curve,IF(LEFT($B120,3)="LED",3,2)),IF(User_Inputs!$D$4="Frozen Efficiency",$F120,VLOOKUP(Q$3-Tech_Specs!$C12,Bass_Curve,IF(LEFT($B120,3)="LED",3,2)))),)</f>
        <v>0.65810308249900329</v>
      </c>
      <c r="R120" s="374">
        <f>IF(R$3&gt;=Tech_Specs!$C12,IF(R$3=2010,VLOOKUP(R$3-Tech_Specs!$C12,Bass_Curve,IF(LEFT($B120,3)="LED",3,2)),IF(User_Inputs!$D$4="Frozen Efficiency",$F120,VLOOKUP(R$3-Tech_Specs!$C12,Bass_Curve,IF(LEFT($B120,3)="LED",3,2)))),)</f>
        <v>0.72206467330281499</v>
      </c>
      <c r="S120" s="374">
        <f>IF(S$3&gt;=Tech_Specs!$C12,IF(S$3=2010,VLOOKUP(S$3-Tech_Specs!$C12,Bass_Curve,IF(LEFT($B120,3)="LED",3,2)),IF(User_Inputs!$D$4="Frozen Efficiency",$F120,VLOOKUP(S$3-Tech_Specs!$C12,Bass_Curve,IF(LEFT($B120,3)="LED",3,2)))),)</f>
        <v>0.77856976904215913</v>
      </c>
      <c r="T120" s="374">
        <f>IF(T$3&gt;=Tech_Specs!$C12,IF(T$3=2010,VLOOKUP(T$3-Tech_Specs!$C12,Bass_Curve,IF(LEFT($B120,3)="LED",3,2)),IF(User_Inputs!$D$4="Frozen Efficiency",$F120,VLOOKUP(T$3-Tech_Specs!$C12,Bass_Curve,IF(LEFT($B120,3)="LED",3,2)))),)</f>
        <v>0.82696350840215249</v>
      </c>
      <c r="U120" s="374">
        <f>IF(U$3&gt;=Tech_Specs!$C12,IF(U$3=2010,VLOOKUP(U$3-Tech_Specs!$C12,Bass_Curve,IF(LEFT($B120,3)="LED",3,2)),IF(User_Inputs!$D$4="Frozen Efficiency",$F120,VLOOKUP(U$3-Tech_Specs!$C12,Bass_Curve,IF(LEFT($B120,3)="LED",3,2)))),)</f>
        <v>0.86714658256559263</v>
      </c>
      <c r="V120" s="374">
        <f>IF(V$3&gt;=Tech_Specs!$C12,IF(V$3=2010,VLOOKUP(V$3-Tech_Specs!$C12,Bass_Curve,IF(LEFT($B120,3)="LED",3,2)),IF(User_Inputs!$D$4="Frozen Efficiency",$F120,VLOOKUP(V$3-Tech_Specs!$C12,Bass_Curve,IF(LEFT($B120,3)="LED",3,2)))),)</f>
        <v>0.89955419985356344</v>
      </c>
      <c r="W120" s="374">
        <f>IF(W$3&gt;=Tech_Specs!$C12,IF(W$3=2010,VLOOKUP(W$3-Tech_Specs!$C12,Bass_Curve,IF(LEFT($B120,3)="LED",3,2)),IF(User_Inputs!$D$4="Frozen Efficiency",$F120,VLOOKUP(W$3-Tech_Specs!$C12,Bass_Curve,IF(LEFT($B120,3)="LED",3,2)))),)</f>
        <v>0.92502432100062038</v>
      </c>
      <c r="X120" s="374">
        <f>IF(X$3&gt;=Tech_Specs!$C12,IF(X$3=2010,VLOOKUP(X$3-Tech_Specs!$C12,Bass_Curve,IF(LEFT($B120,3)="LED",3,2)),IF(User_Inputs!$D$4="Frozen Efficiency",$F120,VLOOKUP(X$3-Tech_Specs!$C12,Bass_Curve,IF(LEFT($B120,3)="LED",3,2)))),)</f>
        <v>0.94461059131409331</v>
      </c>
      <c r="Y120" s="374">
        <f>IF(Y$3&gt;=Tech_Specs!$C12,IF(Y$3=2010,VLOOKUP(Y$3-Tech_Specs!$C12,Bass_Curve,IF(LEFT($B120,3)="LED",3,2)),IF(User_Inputs!$D$4="Frozen Efficiency",$F120,VLOOKUP(Y$3-Tech_Specs!$C12,Bass_Curve,IF(LEFT($B120,3)="LED",3,2)))),)</f>
        <v>0.95940876722590474</v>
      </c>
      <c r="Z120" s="374">
        <f>IF(Z$3&gt;=Tech_Specs!$C12,IF(Z$3=2010,VLOOKUP(Z$3-Tech_Specs!$C12,Bass_Curve,IF(LEFT($B120,3)="LED",3,2)),IF(User_Inputs!$D$4="Frozen Efficiency",$F120,VLOOKUP(Z$3-Tech_Specs!$C12,Bass_Curve,IF(LEFT($B120,3)="LED",3,2)))),)</f>
        <v>0.97043561397505118</v>
      </c>
      <c r="AA120" s="374">
        <f>IF(AA$3&gt;=Tech_Specs!$C12,IF(AA$3=2010,VLOOKUP(AA$3-Tech_Specs!$C12,Bass_Curve,IF(LEFT($B120,3)="LED",3,2)),IF(User_Inputs!$D$4="Frozen Efficiency",$F120,VLOOKUP(AA$3-Tech_Specs!$C12,Bass_Curve,IF(LEFT($B120,3)="LED",3,2)))),)</f>
        <v>0.97856563119743434</v>
      </c>
      <c r="AB120" s="374">
        <f>IF(AB$3&gt;=Tech_Specs!$C12,IF(AB$3=2010,VLOOKUP(AB$3-Tech_Specs!$C12,Bass_Curve,IF(LEFT($B120,3)="LED",3,2)),IF(User_Inputs!$D$4="Frozen Efficiency",$F120,VLOOKUP(AB$3-Tech_Specs!$C12,Bass_Curve,IF(LEFT($B120,3)="LED",3,2)))),)</f>
        <v>0.98451232141945333</v>
      </c>
      <c r="AC120" s="374">
        <f>IF(AC$3&gt;=Tech_Specs!$C12,IF(AC$3=2010,VLOOKUP(AC$3-Tech_Specs!$C12,Bass_Curve,IF(LEFT($B120,3)="LED",3,2)),IF(User_Inputs!$D$4="Frozen Efficiency",$F120,VLOOKUP(AC$3-Tech_Specs!$C12,Bass_Curve,IF(LEFT($B120,3)="LED",3,2)))),)</f>
        <v>0.98883650057565198</v>
      </c>
      <c r="AD120" s="374">
        <f>IF(AD$3&gt;=Tech_Specs!$C12,IF(AD$3=2010,VLOOKUP(AD$3-Tech_Specs!$C12,Bass_Curve,IF(LEFT($B120,3)="LED",3,2)),IF(User_Inputs!$D$4="Frozen Efficiency",$F120,VLOOKUP(AD$3-Tech_Specs!$C12,Bass_Curve,IF(LEFT($B120,3)="LED",3,2)))),)</f>
        <v>0.99196738407609564</v>
      </c>
      <c r="AE120" s="374">
        <f>IF(AE$3&gt;=Tech_Specs!$C12,IF(AE$3=2010,VLOOKUP(AE$3-Tech_Specs!$C12,Bass_Curve,IF(LEFT($B120,3)="LED",3,2)),IF(User_Inputs!$D$4="Frozen Efficiency",$F120,VLOOKUP(AE$3-Tech_Specs!$C12,Bass_Curve,IF(LEFT($B120,3)="LED",3,2)))),)</f>
        <v>0.99422726069133227</v>
      </c>
    </row>
    <row r="121" spans="1:31" s="221" customFormat="1" x14ac:dyDescent="0.25">
      <c r="A121" s="356"/>
      <c r="B121" s="356"/>
      <c r="C121"/>
      <c r="D121"/>
      <c r="E121"/>
      <c r="F121"/>
      <c r="G121"/>
      <c r="H121"/>
      <c r="I121"/>
      <c r="J121"/>
      <c r="K121"/>
      <c r="L121"/>
      <c r="M121"/>
      <c r="N121"/>
      <c r="O121"/>
      <c r="P121"/>
      <c r="Q121"/>
      <c r="R121"/>
      <c r="S121"/>
      <c r="T121"/>
      <c r="U121"/>
      <c r="V121"/>
      <c r="W121"/>
      <c r="X121"/>
      <c r="Y121"/>
      <c r="Z121"/>
      <c r="AA121"/>
      <c r="AB121"/>
      <c r="AC121"/>
      <c r="AD121"/>
      <c r="AE121"/>
    </row>
    <row r="122" spans="1:31" s="202" customFormat="1" ht="12.75" x14ac:dyDescent="0.2">
      <c r="A122" s="364" t="s">
        <v>32</v>
      </c>
      <c r="B122" s="364"/>
      <c r="C122" s="364"/>
      <c r="D122" s="364"/>
      <c r="E122" s="364"/>
      <c r="F122" s="364"/>
      <c r="G122" s="364"/>
      <c r="H122" s="364"/>
      <c r="I122" s="364"/>
      <c r="J122" s="364"/>
      <c r="K122" s="364"/>
      <c r="L122" s="364"/>
      <c r="M122" s="364"/>
      <c r="N122" s="364"/>
      <c r="O122" s="364"/>
      <c r="P122" s="364"/>
      <c r="Q122" s="364"/>
      <c r="R122" s="364"/>
      <c r="S122" s="364"/>
      <c r="T122" s="364"/>
      <c r="U122" s="364"/>
      <c r="V122" s="364"/>
      <c r="W122" s="364"/>
      <c r="X122" s="364"/>
      <c r="Y122" s="364"/>
      <c r="Z122" s="364"/>
      <c r="AA122" s="364"/>
      <c r="AB122" s="364"/>
      <c r="AC122" s="364"/>
      <c r="AD122" s="364"/>
      <c r="AE122" s="364"/>
    </row>
    <row r="123" spans="1:31" s="221" customFormat="1" x14ac:dyDescent="0.25">
      <c r="A123" s="356"/>
      <c r="B123" s="356" t="s">
        <v>33</v>
      </c>
      <c r="C123"/>
      <c r="D123"/>
      <c r="E123"/>
      <c r="F123" s="374">
        <f>IF(F$3&gt;=Tech_Specs!$C15,IF(F$3=2010,VLOOKUP(F$3-Tech_Specs!$C15,Bass_Curve,IF(LEFT($B123,3)="LED",3,2)),IF(User_Inputs!$D$4="Frozen Efficiency",$F123,VLOOKUP(F$3-Tech_Specs!$C15,Bass_Curve,IF(LEFT($B123,3)="LED",3,2)))),)</f>
        <v>0.99999998049294159</v>
      </c>
      <c r="G123" s="374">
        <f>IF(G$3&gt;=Tech_Specs!$C15,IF(G$3=2010,VLOOKUP(G$3-Tech_Specs!$C15,Bass_Curve,IF(LEFT($B123,3)="LED",3,2)),IF(User_Inputs!$D$4="Frozen Efficiency",$F123,VLOOKUP(G$3-Tech_Specs!$C15,Bass_Curve,IF(LEFT($B123,3)="LED",3,2)))),)</f>
        <v>0.99999998049294159</v>
      </c>
      <c r="H123" s="374">
        <f>IF(H$3&gt;=Tech_Specs!$C15,IF(H$3=2010,VLOOKUP(H$3-Tech_Specs!$C15,Bass_Curve,IF(LEFT($B123,3)="LED",3,2)),IF(User_Inputs!$D$4="Frozen Efficiency",$F123,VLOOKUP(H$3-Tech_Specs!$C15,Bass_Curve,IF(LEFT($B123,3)="LED",3,2)))),)</f>
        <v>0.99999998049294159</v>
      </c>
      <c r="I123" s="374">
        <f>IF(I$3&gt;=Tech_Specs!$C15,IF(I$3=2010,VLOOKUP(I$3-Tech_Specs!$C15,Bass_Curve,IF(LEFT($B123,3)="LED",3,2)),IF(User_Inputs!$D$4="Frozen Efficiency",$F123,VLOOKUP(I$3-Tech_Specs!$C15,Bass_Curve,IF(LEFT($B123,3)="LED",3,2)))),)</f>
        <v>0.99999998049294159</v>
      </c>
      <c r="J123" s="374">
        <f>IF(J$3&gt;=Tech_Specs!$C15,IF(J$3=2010,VLOOKUP(J$3-Tech_Specs!$C15,Bass_Curve,IF(LEFT($B123,3)="LED",3,2)),IF(User_Inputs!$D$4="Frozen Efficiency",$F123,VLOOKUP(J$3-Tech_Specs!$C15,Bass_Curve,IF(LEFT($B123,3)="LED",3,2)))),)</f>
        <v>0.99999998049294159</v>
      </c>
      <c r="K123" s="374">
        <f>IF(K$3&gt;=Tech_Specs!$C15,IF(K$3=2010,VLOOKUP(K$3-Tech_Specs!$C15,Bass_Curve,IF(LEFT($B123,3)="LED",3,2)),IF(User_Inputs!$D$4="Frozen Efficiency",$F123,VLOOKUP(K$3-Tech_Specs!$C15,Bass_Curve,IF(LEFT($B123,3)="LED",3,2)))),)</f>
        <v>0.99999998049294159</v>
      </c>
      <c r="L123" s="374">
        <f>IF(L$3&gt;=Tech_Specs!$C15,IF(L$3=2010,VLOOKUP(L$3-Tech_Specs!$C15,Bass_Curve,IF(LEFT($B123,3)="LED",3,2)),IF(User_Inputs!$D$4="Frozen Efficiency",$F123,VLOOKUP(L$3-Tech_Specs!$C15,Bass_Curve,IF(LEFT($B123,3)="LED",3,2)))),)</f>
        <v>0.99999998049294159</v>
      </c>
      <c r="M123" s="374">
        <f>IF(M$3&gt;=Tech_Specs!$C15,IF(M$3=2010,VLOOKUP(M$3-Tech_Specs!$C15,Bass_Curve,IF(LEFT($B123,3)="LED",3,2)),IF(User_Inputs!$D$4="Frozen Efficiency",$F123,VLOOKUP(M$3-Tech_Specs!$C15,Bass_Curve,IF(LEFT($B123,3)="LED",3,2)))),)</f>
        <v>0.99999998049294159</v>
      </c>
      <c r="N123" s="374">
        <f>IF(N$3&gt;=Tech_Specs!$C15,IF(N$3=2010,VLOOKUP(N$3-Tech_Specs!$C15,Bass_Curve,IF(LEFT($B123,3)="LED",3,2)),IF(User_Inputs!$D$4="Frozen Efficiency",$F123,VLOOKUP(N$3-Tech_Specs!$C15,Bass_Curve,IF(LEFT($B123,3)="LED",3,2)))),)</f>
        <v>0.99999998049294159</v>
      </c>
      <c r="O123" s="374">
        <f>IF(O$3&gt;=Tech_Specs!$C15,IF(O$3=2010,VLOOKUP(O$3-Tech_Specs!$C15,Bass_Curve,IF(LEFT($B123,3)="LED",3,2)),IF(User_Inputs!$D$4="Frozen Efficiency",$F123,VLOOKUP(O$3-Tech_Specs!$C15,Bass_Curve,IF(LEFT($B123,3)="LED",3,2)))),)</f>
        <v>0.99999998049294159</v>
      </c>
      <c r="P123" s="374">
        <f>IF(P$3&gt;=Tech_Specs!$C15,IF(P$3=2010,VLOOKUP(P$3-Tech_Specs!$C15,Bass_Curve,IF(LEFT($B123,3)="LED",3,2)),IF(User_Inputs!$D$4="Frozen Efficiency",$F123,VLOOKUP(P$3-Tech_Specs!$C15,Bass_Curve,IF(LEFT($B123,3)="LED",3,2)))),)</f>
        <v>0.99999998049294159</v>
      </c>
      <c r="Q123" s="374">
        <f>IF(Q$3&gt;=Tech_Specs!$C15,IF(Q$3=2010,VLOOKUP(Q$3-Tech_Specs!$C15,Bass_Curve,IF(LEFT($B123,3)="LED",3,2)),IF(User_Inputs!$D$4="Frozen Efficiency",$F123,VLOOKUP(Q$3-Tech_Specs!$C15,Bass_Curve,IF(LEFT($B123,3)="LED",3,2)))),)</f>
        <v>0.99999998049294159</v>
      </c>
      <c r="R123" s="374">
        <f>IF(R$3&gt;=Tech_Specs!$C15,IF(R$3=2010,VLOOKUP(R$3-Tech_Specs!$C15,Bass_Curve,IF(LEFT($B123,3)="LED",3,2)),IF(User_Inputs!$D$4="Frozen Efficiency",$F123,VLOOKUP(R$3-Tech_Specs!$C15,Bass_Curve,IF(LEFT($B123,3)="LED",3,2)))),)</f>
        <v>0.99999998049294159</v>
      </c>
      <c r="S123" s="374">
        <f>IF(S$3&gt;=Tech_Specs!$C15,IF(S$3=2010,VLOOKUP(S$3-Tech_Specs!$C15,Bass_Curve,IF(LEFT($B123,3)="LED",3,2)),IF(User_Inputs!$D$4="Frozen Efficiency",$F123,VLOOKUP(S$3-Tech_Specs!$C15,Bass_Curve,IF(LEFT($B123,3)="LED",3,2)))),)</f>
        <v>0.99999998049294159</v>
      </c>
      <c r="T123" s="374">
        <f>IF(T$3&gt;=Tech_Specs!$C15,IF(T$3=2010,VLOOKUP(T$3-Tech_Specs!$C15,Bass_Curve,IF(LEFT($B123,3)="LED",3,2)),IF(User_Inputs!$D$4="Frozen Efficiency",$F123,VLOOKUP(T$3-Tech_Specs!$C15,Bass_Curve,IF(LEFT($B123,3)="LED",3,2)))),)</f>
        <v>0.99999998049294159</v>
      </c>
      <c r="U123" s="374">
        <f>IF(U$3&gt;=Tech_Specs!$C15,IF(U$3=2010,VLOOKUP(U$3-Tech_Specs!$C15,Bass_Curve,IF(LEFT($B123,3)="LED",3,2)),IF(User_Inputs!$D$4="Frozen Efficiency",$F123,VLOOKUP(U$3-Tech_Specs!$C15,Bass_Curve,IF(LEFT($B123,3)="LED",3,2)))),)</f>
        <v>0.99999998049294159</v>
      </c>
      <c r="V123" s="374">
        <f>IF(V$3&gt;=Tech_Specs!$C15,IF(V$3=2010,VLOOKUP(V$3-Tech_Specs!$C15,Bass_Curve,IF(LEFT($B123,3)="LED",3,2)),IF(User_Inputs!$D$4="Frozen Efficiency",$F123,VLOOKUP(V$3-Tech_Specs!$C15,Bass_Curve,IF(LEFT($B123,3)="LED",3,2)))),)</f>
        <v>0.99999998049294159</v>
      </c>
      <c r="W123" s="374">
        <f>IF(W$3&gt;=Tech_Specs!$C15,IF(W$3=2010,VLOOKUP(W$3-Tech_Specs!$C15,Bass_Curve,IF(LEFT($B123,3)="LED",3,2)),IF(User_Inputs!$D$4="Frozen Efficiency",$F123,VLOOKUP(W$3-Tech_Specs!$C15,Bass_Curve,IF(LEFT($B123,3)="LED",3,2)))),)</f>
        <v>0.99999998049294159</v>
      </c>
      <c r="X123" s="374">
        <f>IF(X$3&gt;=Tech_Specs!$C15,IF(X$3=2010,VLOOKUP(X$3-Tech_Specs!$C15,Bass_Curve,IF(LEFT($B123,3)="LED",3,2)),IF(User_Inputs!$D$4="Frozen Efficiency",$F123,VLOOKUP(X$3-Tech_Specs!$C15,Bass_Curve,IF(LEFT($B123,3)="LED",3,2)))),)</f>
        <v>0.99999998049294159</v>
      </c>
      <c r="Y123" s="374">
        <f>IF(Y$3&gt;=Tech_Specs!$C15,IF(Y$3=2010,VLOOKUP(Y$3-Tech_Specs!$C15,Bass_Curve,IF(LEFT($B123,3)="LED",3,2)),IF(User_Inputs!$D$4="Frozen Efficiency",$F123,VLOOKUP(Y$3-Tech_Specs!$C15,Bass_Curve,IF(LEFT($B123,3)="LED",3,2)))),)</f>
        <v>0.99999998049294159</v>
      </c>
      <c r="Z123" s="374">
        <f>IF(Z$3&gt;=Tech_Specs!$C15,IF(Z$3=2010,VLOOKUP(Z$3-Tech_Specs!$C15,Bass_Curve,IF(LEFT($B123,3)="LED",3,2)),IF(User_Inputs!$D$4="Frozen Efficiency",$F123,VLOOKUP(Z$3-Tech_Specs!$C15,Bass_Curve,IF(LEFT($B123,3)="LED",3,2)))),)</f>
        <v>0.99999998049294159</v>
      </c>
      <c r="AA123" s="374">
        <f>IF(AA$3&gt;=Tech_Specs!$C15,IF(AA$3=2010,VLOOKUP(AA$3-Tech_Specs!$C15,Bass_Curve,IF(LEFT($B123,3)="LED",3,2)),IF(User_Inputs!$D$4="Frozen Efficiency",$F123,VLOOKUP(AA$3-Tech_Specs!$C15,Bass_Curve,IF(LEFT($B123,3)="LED",3,2)))),)</f>
        <v>0.99999998049294159</v>
      </c>
      <c r="AB123" s="374">
        <f>IF(AB$3&gt;=Tech_Specs!$C15,IF(AB$3=2010,VLOOKUP(AB$3-Tech_Specs!$C15,Bass_Curve,IF(LEFT($B123,3)="LED",3,2)),IF(User_Inputs!$D$4="Frozen Efficiency",$F123,VLOOKUP(AB$3-Tech_Specs!$C15,Bass_Curve,IF(LEFT($B123,3)="LED",3,2)))),)</f>
        <v>0.99999998049294159</v>
      </c>
      <c r="AC123" s="374">
        <f>IF(AC$3&gt;=Tech_Specs!$C15,IF(AC$3=2010,VLOOKUP(AC$3-Tech_Specs!$C15,Bass_Curve,IF(LEFT($B123,3)="LED",3,2)),IF(User_Inputs!$D$4="Frozen Efficiency",$F123,VLOOKUP(AC$3-Tech_Specs!$C15,Bass_Curve,IF(LEFT($B123,3)="LED",3,2)))),)</f>
        <v>0.99999998049294159</v>
      </c>
      <c r="AD123" s="374">
        <f>IF(AD$3&gt;=Tech_Specs!$C15,IF(AD$3=2010,VLOOKUP(AD$3-Tech_Specs!$C15,Bass_Curve,IF(LEFT($B123,3)="LED",3,2)),IF(User_Inputs!$D$4="Frozen Efficiency",$F123,VLOOKUP(AD$3-Tech_Specs!$C15,Bass_Curve,IF(LEFT($B123,3)="LED",3,2)))),)</f>
        <v>0.99999998049294159</v>
      </c>
      <c r="AE123" s="374">
        <f>IF(AE$3&gt;=Tech_Specs!$C15,IF(AE$3=2010,VLOOKUP(AE$3-Tech_Specs!$C15,Bass_Curve,IF(LEFT($B123,3)="LED",3,2)),IF(User_Inputs!$D$4="Frozen Efficiency",$F123,VLOOKUP(AE$3-Tech_Specs!$C15,Bass_Curve,IF(LEFT($B123,3)="LED",3,2)))),)</f>
        <v>0.99999998049294159</v>
      </c>
    </row>
    <row r="124" spans="1:31" s="221" customFormat="1" x14ac:dyDescent="0.25">
      <c r="A124" s="358"/>
      <c r="B124" s="358" t="s">
        <v>34</v>
      </c>
      <c r="C124"/>
      <c r="D124"/>
      <c r="E124"/>
      <c r="F124" s="374">
        <f>IF(F$3&gt;=Tech_Specs!$C16,IF(F$3=2010,VLOOKUP(F$3-Tech_Specs!$C16,Bass_Curve,IF(LEFT($B124,3)="LED",3,2)),IF(User_Inputs!$D$4="Frozen Efficiency",$F124,VLOOKUP(F$3-Tech_Specs!$C16,Bass_Curve,IF(LEFT($B124,3)="LED",3,2)))),)</f>
        <v>0.99992312620537604</v>
      </c>
      <c r="G124" s="374">
        <f>IF(G$3&gt;=Tech_Specs!$C16,IF(G$3=2010,VLOOKUP(G$3-Tech_Specs!$C16,Bass_Curve,IF(LEFT($B124,3)="LED",3,2)),IF(User_Inputs!$D$4="Frozen Efficiency",$F124,VLOOKUP(G$3-Tech_Specs!$C16,Bass_Curve,IF(LEFT($B124,3)="LED",3,2)))),)</f>
        <v>0.9999448431048531</v>
      </c>
      <c r="H124" s="374">
        <f>IF(H$3&gt;=Tech_Specs!$C16,IF(H$3=2010,VLOOKUP(H$3-Tech_Specs!$C16,Bass_Curve,IF(LEFT($B124,3)="LED",3,2)),IF(User_Inputs!$D$4="Frozen Efficiency",$F124,VLOOKUP(H$3-Tech_Specs!$C16,Bass_Curve,IF(LEFT($B124,3)="LED",3,2)))),)</f>
        <v>0.99996042135098673</v>
      </c>
      <c r="I124" s="374">
        <f>IF(I$3&gt;=Tech_Specs!$C16,IF(I$3=2010,VLOOKUP(I$3-Tech_Specs!$C16,Bass_Curve,IF(LEFT($B124,3)="LED",3,2)),IF(User_Inputs!$D$4="Frozen Efficiency",$F124,VLOOKUP(I$3-Tech_Specs!$C16,Bass_Curve,IF(LEFT($B124,3)="LED",3,2)))),)</f>
        <v>0.99997159722102513</v>
      </c>
      <c r="J124" s="374">
        <f>IF(J$3&gt;=Tech_Specs!$C16,IF(J$3=2010,VLOOKUP(J$3-Tech_Specs!$C16,Bass_Curve,IF(LEFT($B124,3)="LED",3,2)),IF(User_Inputs!$D$4="Frozen Efficiency",$F124,VLOOKUP(J$3-Tech_Specs!$C16,Bass_Curve,IF(LEFT($B124,3)="LED",3,2)))),)</f>
        <v>0.9999796155873415</v>
      </c>
      <c r="K124" s="374">
        <f>IF(K$3&gt;=Tech_Specs!$C16,IF(K$3=2010,VLOOKUP(K$3-Tech_Specs!$C16,Bass_Curve,IF(LEFT($B124,3)="LED",3,2)),IF(User_Inputs!$D$4="Frozen Efficiency",$F124,VLOOKUP(K$3-Tech_Specs!$C16,Bass_Curve,IF(LEFT($B124,3)="LED",3,2)))),)</f>
        <v>0.99998536907810021</v>
      </c>
      <c r="L124" s="374">
        <f>IF(L$3&gt;=Tech_Specs!$C16,IF(L$3=2010,VLOOKUP(L$3-Tech_Specs!$C16,Bass_Curve,IF(LEFT($B124,3)="LED",3,2)),IF(User_Inputs!$D$4="Frozen Efficiency",$F124,VLOOKUP(L$3-Tech_Specs!$C16,Bass_Curve,IF(LEFT($B124,3)="LED",3,2)))),)</f>
        <v>0.99998949781098223</v>
      </c>
      <c r="M124" s="374">
        <f>IF(M$3&gt;=Tech_Specs!$C16,IF(M$3=2010,VLOOKUP(M$3-Tech_Specs!$C16,Bass_Curve,IF(LEFT($B124,3)="LED",3,2)),IF(User_Inputs!$D$4="Frozen Efficiency",$F124,VLOOKUP(M$3-Tech_Specs!$C16,Bass_Curve,IF(LEFT($B124,3)="LED",3,2)))),)</f>
        <v>0.99999246087225968</v>
      </c>
      <c r="N124" s="374">
        <f>IF(N$3&gt;=Tech_Specs!$C16,IF(N$3=2010,VLOOKUP(N$3-Tech_Specs!$C16,Bass_Curve,IF(LEFT($B124,3)="LED",3,2)),IF(User_Inputs!$D$4="Frozen Efficiency",$F124,VLOOKUP(N$3-Tech_Specs!$C16,Bass_Curve,IF(LEFT($B124,3)="LED",3,2)))),)</f>
        <v>0.99999458754894088</v>
      </c>
      <c r="O124" s="374">
        <f>IF(O$3&gt;=Tech_Specs!$C16,IF(O$3=2010,VLOOKUP(O$3-Tech_Specs!$C16,Bass_Curve,IF(LEFT($B124,3)="LED",3,2)),IF(User_Inputs!$D$4="Frozen Efficiency",$F124,VLOOKUP(O$3-Tech_Specs!$C16,Bass_Curve,IF(LEFT($B124,3)="LED",3,2)))),)</f>
        <v>0.99999611405218891</v>
      </c>
      <c r="P124" s="374">
        <f>IF(P$3&gt;=Tech_Specs!$C16,IF(P$3=2010,VLOOKUP(P$3-Tech_Specs!$C16,Bass_Curve,IF(LEFT($B124,3)="LED",3,2)),IF(User_Inputs!$D$4="Frozen Efficiency",$F124,VLOOKUP(P$3-Tech_Specs!$C16,Bass_Curve,IF(LEFT($B124,3)="LED",3,2)))),)</f>
        <v>0.99999720984345863</v>
      </c>
      <c r="Q124" s="374">
        <f>IF(Q$3&gt;=Tech_Specs!$C16,IF(Q$3=2010,VLOOKUP(Q$3-Tech_Specs!$C16,Bass_Curve,IF(LEFT($B124,3)="LED",3,2)),IF(User_Inputs!$D$4="Frozen Efficiency",$F124,VLOOKUP(Q$3-Tech_Specs!$C16,Bass_Curve,IF(LEFT($B124,3)="LED",3,2)))),)</f>
        <v>0.99999799650912424</v>
      </c>
      <c r="R124" s="374">
        <f>IF(R$3&gt;=Tech_Specs!$C16,IF(R$3=2010,VLOOKUP(R$3-Tech_Specs!$C16,Bass_Curve,IF(LEFT($B124,3)="LED",3,2)),IF(User_Inputs!$D$4="Frozen Efficiency",$F124,VLOOKUP(R$3-Tech_Specs!$C16,Bass_Curve,IF(LEFT($B124,3)="LED",3,2)))),)</f>
        <v>0.99999856129425391</v>
      </c>
      <c r="S124" s="374">
        <f>IF(S$3&gt;=Tech_Specs!$C16,IF(S$3=2010,VLOOKUP(S$3-Tech_Specs!$C16,Bass_Curve,IF(LEFT($B124,3)="LED",3,2)),IF(User_Inputs!$D$4="Frozen Efficiency",$F124,VLOOKUP(S$3-Tech_Specs!$C16,Bass_Curve,IF(LEFT($B124,3)="LED",3,2)))),)</f>
        <v>0.99999896680791711</v>
      </c>
      <c r="T124" s="374">
        <f>IF(T$3&gt;=Tech_Specs!$C16,IF(T$3=2010,VLOOKUP(T$3-Tech_Specs!$C16,Bass_Curve,IF(LEFT($B124,3)="LED",3,2)),IF(User_Inputs!$D$4="Frozen Efficiency",$F124,VLOOKUP(T$3-Tech_Specs!$C16,Bass_Curve,IF(LEFT($B124,3)="LED",3,2)))),)</f>
        <v>0.99999925798382638</v>
      </c>
      <c r="U124" s="374">
        <f>IF(U$3&gt;=Tech_Specs!$C16,IF(U$3=2010,VLOOKUP(U$3-Tech_Specs!$C16,Bass_Curve,IF(LEFT($B124,3)="LED",3,2)),IF(User_Inputs!$D$4="Frozen Efficiency",$F124,VLOOKUP(U$3-Tech_Specs!$C16,Bass_Curve,IF(LEFT($B124,3)="LED",3,2)))),)</f>
        <v>0.99999946707306653</v>
      </c>
      <c r="V124" s="374">
        <f>IF(V$3&gt;=Tech_Specs!$C16,IF(V$3=2010,VLOOKUP(V$3-Tech_Specs!$C16,Bass_Curve,IF(LEFT($B124,3)="LED",3,2)),IF(User_Inputs!$D$4="Frozen Efficiency",$F124,VLOOKUP(V$3-Tech_Specs!$C16,Bass_Curve,IF(LEFT($B124,3)="LED",3,2)))),)</f>
        <v>0.99999961722567021</v>
      </c>
      <c r="W124" s="374">
        <f>IF(W$3&gt;=Tech_Specs!$C16,IF(W$3=2010,VLOOKUP(W$3-Tech_Specs!$C16,Bass_Curve,IF(LEFT($B124,3)="LED",3,2)),IF(User_Inputs!$D$4="Frozen Efficiency",$F124,VLOOKUP(W$3-Tech_Specs!$C16,Bass_Curve,IF(LEFT($B124,3)="LED",3,2)))),)</f>
        <v>0.99999972506016011</v>
      </c>
      <c r="X124" s="374">
        <f>IF(X$3&gt;=Tech_Specs!$C16,IF(X$3=2010,VLOOKUP(X$3-Tech_Specs!$C16,Bass_Curve,IF(LEFT($B124,3)="LED",3,2)),IF(User_Inputs!$D$4="Frozen Efficiency",$F124,VLOOKUP(X$3-Tech_Specs!$C16,Bass_Curve,IF(LEFT($B124,3)="LED",3,2)))),)</f>
        <v>0.99999980250721576</v>
      </c>
      <c r="Y124" s="374">
        <f>IF(Y$3&gt;=Tech_Specs!$C16,IF(Y$3=2010,VLOOKUP(Y$3-Tech_Specs!$C16,Bass_Curve,IF(LEFT($B124,3)="LED",3,2)),IF(User_Inputs!$D$4="Frozen Efficiency",$F124,VLOOKUP(Y$3-Tech_Specs!$C16,Bass_Curve,IF(LEFT($B124,3)="LED",3,2)))),)</f>
        <v>0.99999985813264225</v>
      </c>
      <c r="Z124" s="374">
        <f>IF(Z$3&gt;=Tech_Specs!$C16,IF(Z$3=2010,VLOOKUP(Z$3-Tech_Specs!$C16,Bass_Curve,IF(LEFT($B124,3)="LED",3,2)),IF(User_Inputs!$D$4="Frozen Efficiency",$F124,VLOOKUP(Z$3-Tech_Specs!$C16,Bass_Curve,IF(LEFT($B124,3)="LED",3,2)))),)</f>
        <v>0.99999989808679191</v>
      </c>
      <c r="AA124" s="374">
        <f>IF(AA$3&gt;=Tech_Specs!$C16,IF(AA$3=2010,VLOOKUP(AA$3-Tech_Specs!$C16,Bass_Curve,IF(LEFT($B124,3)="LED",3,2)),IF(User_Inputs!$D$4="Frozen Efficiency",$F124,VLOOKUP(AA$3-Tech_Specs!$C16,Bass_Curve,IF(LEFT($B124,3)="LED",3,2)))),)</f>
        <v>0.99999992678597005</v>
      </c>
      <c r="AB124" s="374">
        <f>IF(AB$3&gt;=Tech_Specs!$C16,IF(AB$3=2010,VLOOKUP(AB$3-Tech_Specs!$C16,Bass_Curve,IF(LEFT($B124,3)="LED",3,2)),IF(User_Inputs!$D$4="Frozen Efficiency",$F124,VLOOKUP(AB$3-Tech_Specs!$C16,Bass_Curve,IF(LEFT($B124,3)="LED",3,2)))),)</f>
        <v>0.99999994740152531</v>
      </c>
      <c r="AC124" s="374">
        <f>IF(AC$3&gt;=Tech_Specs!$C16,IF(AC$3=2010,VLOOKUP(AC$3-Tech_Specs!$C16,Bass_Curve,IF(LEFT($B124,3)="LED",3,2)),IF(User_Inputs!$D$4="Frozen Efficiency",$F124,VLOOKUP(AC$3-Tech_Specs!$C16,Bass_Curve,IF(LEFT($B124,3)="LED",3,2)))),)</f>
        <v>0.99999996221093224</v>
      </c>
      <c r="AD124" s="374">
        <f>IF(AD$3&gt;=Tech_Specs!$C16,IF(AD$3=2010,VLOOKUP(AD$3-Tech_Specs!$C16,Bass_Curve,IF(LEFT($B124,3)="LED",3,2)),IF(User_Inputs!$D$4="Frozen Efficiency",$F124,VLOOKUP(AD$3-Tech_Specs!$C16,Bass_Curve,IF(LEFT($B124,3)="LED",3,2)))),)</f>
        <v>0.99999997284982522</v>
      </c>
      <c r="AE124" s="374">
        <f>IF(AE$3&gt;=Tech_Specs!$C16,IF(AE$3=2010,VLOOKUP(AE$3-Tech_Specs!$C16,Bass_Curve,IF(LEFT($B124,3)="LED",3,2)),IF(User_Inputs!$D$4="Frozen Efficiency",$F124,VLOOKUP(AE$3-Tech_Specs!$C16,Bass_Curve,IF(LEFT($B124,3)="LED",3,2)))),)</f>
        <v>0.99999998049294159</v>
      </c>
    </row>
    <row r="125" spans="1:31" s="221" customFormat="1" x14ac:dyDescent="0.25">
      <c r="A125" s="356"/>
      <c r="B125" s="358" t="s">
        <v>35</v>
      </c>
      <c r="C125"/>
      <c r="D125"/>
      <c r="E125"/>
      <c r="F125" s="374">
        <f>IF(F$3&gt;=Tech_Specs!$C17,IF(F$3=2010,VLOOKUP(F$3-Tech_Specs!$C17,Bass_Curve,IF(LEFT($B125,3)="LED",3,2)),IF(User_Inputs!$D$4="Frozen Efficiency",$F125,VLOOKUP(F$3-Tech_Specs!$C17,Bass_Curve,IF(LEFT($B125,3)="LED",3,2)))),)</f>
        <v>0.94461059131409331</v>
      </c>
      <c r="G125" s="374">
        <f>IF(G$3&gt;=Tech_Specs!$C17,IF(G$3=2010,VLOOKUP(G$3-Tech_Specs!$C17,Bass_Curve,IF(LEFT($B125,3)="LED",3,2)),IF(User_Inputs!$D$4="Frozen Efficiency",$F125,VLOOKUP(G$3-Tech_Specs!$C17,Bass_Curve,IF(LEFT($B125,3)="LED",3,2)))),)</f>
        <v>0.95940876722590474</v>
      </c>
      <c r="H125" s="374">
        <f>IF(H$3&gt;=Tech_Specs!$C17,IF(H$3=2010,VLOOKUP(H$3-Tech_Specs!$C17,Bass_Curve,IF(LEFT($B125,3)="LED",3,2)),IF(User_Inputs!$D$4="Frozen Efficiency",$F125,VLOOKUP(H$3-Tech_Specs!$C17,Bass_Curve,IF(LEFT($B125,3)="LED",3,2)))),)</f>
        <v>0.97043561397505118</v>
      </c>
      <c r="I125" s="374">
        <f>IF(I$3&gt;=Tech_Specs!$C17,IF(I$3=2010,VLOOKUP(I$3-Tech_Specs!$C17,Bass_Curve,IF(LEFT($B125,3)="LED",3,2)),IF(User_Inputs!$D$4="Frozen Efficiency",$F125,VLOOKUP(I$3-Tech_Specs!$C17,Bass_Curve,IF(LEFT($B125,3)="LED",3,2)))),)</f>
        <v>0.97856563119743434</v>
      </c>
      <c r="J125" s="374">
        <f>IF(J$3&gt;=Tech_Specs!$C17,IF(J$3=2010,VLOOKUP(J$3-Tech_Specs!$C17,Bass_Curve,IF(LEFT($B125,3)="LED",3,2)),IF(User_Inputs!$D$4="Frozen Efficiency",$F125,VLOOKUP(J$3-Tech_Specs!$C17,Bass_Curve,IF(LEFT($B125,3)="LED",3,2)))),)</f>
        <v>0.98451232141945333</v>
      </c>
      <c r="K125" s="374">
        <f>IF(K$3&gt;=Tech_Specs!$C17,IF(K$3=2010,VLOOKUP(K$3-Tech_Specs!$C17,Bass_Curve,IF(LEFT($B125,3)="LED",3,2)),IF(User_Inputs!$D$4="Frozen Efficiency",$F125,VLOOKUP(K$3-Tech_Specs!$C17,Bass_Curve,IF(LEFT($B125,3)="LED",3,2)))),)</f>
        <v>0.98883650057565198</v>
      </c>
      <c r="L125" s="374">
        <f>IF(L$3&gt;=Tech_Specs!$C17,IF(L$3=2010,VLOOKUP(L$3-Tech_Specs!$C17,Bass_Curve,IF(LEFT($B125,3)="LED",3,2)),IF(User_Inputs!$D$4="Frozen Efficiency",$F125,VLOOKUP(L$3-Tech_Specs!$C17,Bass_Curve,IF(LEFT($B125,3)="LED",3,2)))),)</f>
        <v>0.99196738407609564</v>
      </c>
      <c r="M125" s="374">
        <f>IF(M$3&gt;=Tech_Specs!$C17,IF(M$3=2010,VLOOKUP(M$3-Tech_Specs!$C17,Bass_Curve,IF(LEFT($B125,3)="LED",3,2)),IF(User_Inputs!$D$4="Frozen Efficiency",$F125,VLOOKUP(M$3-Tech_Specs!$C17,Bass_Curve,IF(LEFT($B125,3)="LED",3,2)))),)</f>
        <v>0.99422726069133227</v>
      </c>
      <c r="N125" s="374">
        <f>IF(N$3&gt;=Tech_Specs!$C17,IF(N$3=2010,VLOOKUP(N$3-Tech_Specs!$C17,Bass_Curve,IF(LEFT($B125,3)="LED",3,2)),IF(User_Inputs!$D$4="Frozen Efficiency",$F125,VLOOKUP(N$3-Tech_Specs!$C17,Bass_Curve,IF(LEFT($B125,3)="LED",3,2)))),)</f>
        <v>0.99585484432697347</v>
      </c>
      <c r="O125" s="374">
        <f>IF(O$3&gt;=Tech_Specs!$C17,IF(O$3=2010,VLOOKUP(O$3-Tech_Specs!$C17,Bass_Curve,IF(LEFT($B125,3)="LED",3,2)),IF(User_Inputs!$D$4="Frozen Efficiency",$F125,VLOOKUP(O$3-Tech_Specs!$C17,Bass_Curve,IF(LEFT($B125,3)="LED",3,2)))),)</f>
        <v>0.99702522404198501</v>
      </c>
      <c r="P125" s="374">
        <f>IF(P$3&gt;=Tech_Specs!$C17,IF(P$3=2010,VLOOKUP(P$3-Tech_Specs!$C17,Bass_Curve,IF(LEFT($B125,3)="LED",3,2)),IF(User_Inputs!$D$4="Frozen Efficiency",$F125,VLOOKUP(P$3-Tech_Specs!$C17,Bass_Curve,IF(LEFT($B125,3)="LED",3,2)))),)</f>
        <v>0.99786592697261467</v>
      </c>
      <c r="Q125" s="374">
        <f>IF(Q$3&gt;=Tech_Specs!$C17,IF(Q$3=2010,VLOOKUP(Q$3-Tech_Specs!$C17,Bass_Curve,IF(LEFT($B125,3)="LED",3,2)),IF(User_Inputs!$D$4="Frozen Efficiency",$F125,VLOOKUP(Q$3-Tech_Specs!$C17,Bass_Curve,IF(LEFT($B125,3)="LED",3,2)))),)</f>
        <v>0.9984693766950139</v>
      </c>
      <c r="R125" s="374">
        <f>IF(R$3&gt;=Tech_Specs!$C17,IF(R$3=2010,VLOOKUP(R$3-Tech_Specs!$C17,Bass_Curve,IF(LEFT($B125,3)="LED",3,2)),IF(User_Inputs!$D$4="Frozen Efficiency",$F125,VLOOKUP(R$3-Tech_Specs!$C17,Bass_Curve,IF(LEFT($B125,3)="LED",3,2)))),)</f>
        <v>0.99890231984592681</v>
      </c>
      <c r="S125" s="374">
        <f>IF(S$3&gt;=Tech_Specs!$C17,IF(S$3=2010,VLOOKUP(S$3-Tech_Specs!$C17,Bass_Curve,IF(LEFT($B125,3)="LED",3,2)),IF(User_Inputs!$D$4="Frozen Efficiency",$F125,VLOOKUP(S$3-Tech_Specs!$C17,Bass_Curve,IF(LEFT($B125,3)="LED",3,2)))),)</f>
        <v>0.99921283993037913</v>
      </c>
      <c r="T125" s="374">
        <f>IF(T$3&gt;=Tech_Specs!$C17,IF(T$3=2010,VLOOKUP(T$3-Tech_Specs!$C17,Bass_Curve,IF(LEFT($B125,3)="LED",3,2)),IF(User_Inputs!$D$4="Frozen Efficiency",$F125,VLOOKUP(T$3-Tech_Specs!$C17,Bass_Curve,IF(LEFT($B125,3)="LED",3,2)))),)</f>
        <v>0.99943551570827049</v>
      </c>
      <c r="U125" s="374">
        <f>IF(U$3&gt;=Tech_Specs!$C17,IF(U$3=2010,VLOOKUP(U$3-Tech_Specs!$C17,Bass_Curve,IF(LEFT($B125,3)="LED",3,2)),IF(User_Inputs!$D$4="Frozen Efficiency",$F125,VLOOKUP(U$3-Tech_Specs!$C17,Bass_Curve,IF(LEFT($B125,3)="LED",3,2)))),)</f>
        <v>0.99959518445151951</v>
      </c>
      <c r="V125" s="374">
        <f>IF(V$3&gt;=Tech_Specs!$C17,IF(V$3=2010,VLOOKUP(V$3-Tech_Specs!$C17,Bass_Curve,IF(LEFT($B125,3)="LED",3,2)),IF(User_Inputs!$D$4="Frozen Efficiency",$F125,VLOOKUP(V$3-Tech_Specs!$C17,Bass_Curve,IF(LEFT($B125,3)="LED",3,2)))),)</f>
        <v>0.99970967191209748</v>
      </c>
      <c r="W125" s="374">
        <f>IF(W$3&gt;=Tech_Specs!$C17,IF(W$3=2010,VLOOKUP(W$3-Tech_Specs!$C17,Bass_Curve,IF(LEFT($B125,3)="LED",3,2)),IF(User_Inputs!$D$4="Frozen Efficiency",$F125,VLOOKUP(W$3-Tech_Specs!$C17,Bass_Curve,IF(LEFT($B125,3)="LED",3,2)))),)</f>
        <v>0.99979176488656052</v>
      </c>
      <c r="X125" s="374">
        <f>IF(X$3&gt;=Tech_Specs!$C17,IF(X$3=2010,VLOOKUP(X$3-Tech_Specs!$C17,Bass_Curve,IF(LEFT($B125,3)="LED",3,2)),IF(User_Inputs!$D$4="Frozen Efficiency",$F125,VLOOKUP(X$3-Tech_Specs!$C17,Bass_Curve,IF(LEFT($B125,3)="LED",3,2)))),)</f>
        <v>0.99985063257548779</v>
      </c>
      <c r="Y125" s="374">
        <f>IF(Y$3&gt;=Tech_Specs!$C17,IF(Y$3=2010,VLOOKUP(Y$3-Tech_Specs!$C17,Bass_Curve,IF(LEFT($B125,3)="LED",3,2)),IF(User_Inputs!$D$4="Frozen Efficiency",$F125,VLOOKUP(Y$3-Tech_Specs!$C17,Bass_Curve,IF(LEFT($B125,3)="LED",3,2)))),)</f>
        <v>0.99989284880158935</v>
      </c>
      <c r="Z125" s="374">
        <f>IF(Z$3&gt;=Tech_Specs!$C17,IF(Z$3=2010,VLOOKUP(Z$3-Tech_Specs!$C17,Bass_Curve,IF(LEFT($B125,3)="LED",3,2)),IF(User_Inputs!$D$4="Frozen Efficiency",$F125,VLOOKUP(Z$3-Tech_Specs!$C17,Bass_Curve,IF(LEFT($B125,3)="LED",3,2)))),)</f>
        <v>0.99992312620537604</v>
      </c>
      <c r="AA125" s="374">
        <f>IF(AA$3&gt;=Tech_Specs!$C17,IF(AA$3=2010,VLOOKUP(AA$3-Tech_Specs!$C17,Bass_Curve,IF(LEFT($B125,3)="LED",3,2)),IF(User_Inputs!$D$4="Frozen Efficiency",$F125,VLOOKUP(AA$3-Tech_Specs!$C17,Bass_Curve,IF(LEFT($B125,3)="LED",3,2)))),)</f>
        <v>0.9999448431048531</v>
      </c>
      <c r="AB125" s="374">
        <f>IF(AB$3&gt;=Tech_Specs!$C17,IF(AB$3=2010,VLOOKUP(AB$3-Tech_Specs!$C17,Bass_Curve,IF(LEFT($B125,3)="LED",3,2)),IF(User_Inputs!$D$4="Frozen Efficiency",$F125,VLOOKUP(AB$3-Tech_Specs!$C17,Bass_Curve,IF(LEFT($B125,3)="LED",3,2)))),)</f>
        <v>0.99996042135098673</v>
      </c>
      <c r="AC125" s="374">
        <f>IF(AC$3&gt;=Tech_Specs!$C17,IF(AC$3=2010,VLOOKUP(AC$3-Tech_Specs!$C17,Bass_Curve,IF(LEFT($B125,3)="LED",3,2)),IF(User_Inputs!$D$4="Frozen Efficiency",$F125,VLOOKUP(AC$3-Tech_Specs!$C17,Bass_Curve,IF(LEFT($B125,3)="LED",3,2)))),)</f>
        <v>0.99997159722102513</v>
      </c>
      <c r="AD125" s="374">
        <f>IF(AD$3&gt;=Tech_Specs!$C17,IF(AD$3=2010,VLOOKUP(AD$3-Tech_Specs!$C17,Bass_Curve,IF(LEFT($B125,3)="LED",3,2)),IF(User_Inputs!$D$4="Frozen Efficiency",$F125,VLOOKUP(AD$3-Tech_Specs!$C17,Bass_Curve,IF(LEFT($B125,3)="LED",3,2)))),)</f>
        <v>0.9999796155873415</v>
      </c>
      <c r="AE125" s="374">
        <f>IF(AE$3&gt;=Tech_Specs!$C17,IF(AE$3=2010,VLOOKUP(AE$3-Tech_Specs!$C17,Bass_Curve,IF(LEFT($B125,3)="LED",3,2)),IF(User_Inputs!$D$4="Frozen Efficiency",$F125,VLOOKUP(AE$3-Tech_Specs!$C17,Bass_Curve,IF(LEFT($B125,3)="LED",3,2)))),)</f>
        <v>0.99998536907810021</v>
      </c>
    </row>
    <row r="126" spans="1:31" s="221" customFormat="1" x14ac:dyDescent="0.25">
      <c r="A126" s="356"/>
      <c r="B126" s="358" t="s">
        <v>29</v>
      </c>
      <c r="C126"/>
      <c r="D126"/>
      <c r="E126"/>
      <c r="F126" s="374">
        <f>IF(F$3&gt;=Tech_Specs!$C18,IF(F$3=2010,VLOOKUP(F$3-Tech_Specs!$C18,Bass_Curve,IF(LEFT($B126,3)="LED",3,2)),IF(User_Inputs!$D$4="Frozen Efficiency",$F126,VLOOKUP(F$3-Tech_Specs!$C18,Bass_Curve,IF(LEFT($B126,3)="LED",3,2)))),)</f>
        <v>2.573359512642789E-2</v>
      </c>
      <c r="G126" s="374">
        <f>IF(G$3&gt;=Tech_Specs!$C18,IF(G$3=2010,VLOOKUP(G$3-Tech_Specs!$C18,Bass_Curve,IF(LEFT($B126,3)="LED",3,2)),IF(User_Inputs!$D$4="Frozen Efficiency",$F126,VLOOKUP(G$3-Tech_Specs!$C18,Bass_Curve,IF(LEFT($B126,3)="LED",3,2)))),)</f>
        <v>4.6539757716903177E-2</v>
      </c>
      <c r="H126" s="374">
        <f>IF(H$3&gt;=Tech_Specs!$C18,IF(H$3=2010,VLOOKUP(H$3-Tech_Specs!$C18,Bass_Curve,IF(LEFT($B126,3)="LED",3,2)),IF(User_Inputs!$D$4="Frozen Efficiency",$F126,VLOOKUP(H$3-Tech_Specs!$C18,Bass_Curve,IF(LEFT($B126,3)="LED",3,2)))),)</f>
        <v>7.4754332929684128E-2</v>
      </c>
      <c r="I126" s="374">
        <f>IF(I$3&gt;=Tech_Specs!$C18,IF(I$3=2010,VLOOKUP(I$3-Tech_Specs!$C18,Bass_Curve,IF(LEFT($B126,3)="LED",3,2)),IF(User_Inputs!$D$4="Frozen Efficiency",$F126,VLOOKUP(I$3-Tech_Specs!$C18,Bass_Curve,IF(LEFT($B126,3)="LED",3,2)))),)</f>
        <v>0.11197478620001509</v>
      </c>
      <c r="J126" s="374">
        <f>IF(J$3&gt;=Tech_Specs!$C18,IF(J$3=2010,VLOOKUP(J$3-Tech_Specs!$C18,Bass_Curve,IF(LEFT($B126,3)="LED",3,2)),IF(User_Inputs!$D$4="Frozen Efficiency",$F126,VLOOKUP(J$3-Tech_Specs!$C18,Bass_Curve,IF(LEFT($B126,3)="LED",3,2)))),)</f>
        <v>0.15936056895239697</v>
      </c>
      <c r="K126" s="374">
        <f>IF(K$3&gt;=Tech_Specs!$C18,IF(K$3=2010,VLOOKUP(K$3-Tech_Specs!$C18,Bass_Curve,IF(LEFT($B126,3)="LED",3,2)),IF(User_Inputs!$D$4="Frozen Efficiency",$F126,VLOOKUP(K$3-Tech_Specs!$C18,Bass_Curve,IF(LEFT($B126,3)="LED",3,2)))),)</f>
        <v>0.21712504966565391</v>
      </c>
      <c r="L126" s="374">
        <f>IF(L$3&gt;=Tech_Specs!$C18,IF(L$3=2010,VLOOKUP(L$3-Tech_Specs!$C18,Bass_Curve,IF(LEFT($B126,3)="LED",3,2)),IF(User_Inputs!$D$4="Frozen Efficiency",$F126,VLOOKUP(L$3-Tech_Specs!$C18,Bass_Curve,IF(LEFT($B126,3)="LED",3,2)))),)</f>
        <v>0.28414080977412093</v>
      </c>
      <c r="M126" s="374">
        <f>IF(M$3&gt;=Tech_Specs!$C18,IF(M$3=2010,VLOOKUP(M$3-Tech_Specs!$C18,Bass_Curve,IF(LEFT($B126,3)="LED",3,2)),IF(User_Inputs!$D$4="Frozen Efficiency",$F126,VLOOKUP(M$3-Tech_Specs!$C18,Bass_Curve,IF(LEFT($B126,3)="LED",3,2)))),)</f>
        <v>0.35795009041805559</v>
      </c>
      <c r="N126" s="374">
        <f>IF(N$3&gt;=Tech_Specs!$C18,IF(N$3=2010,VLOOKUP(N$3-Tech_Specs!$C18,Bass_Curve,IF(LEFT($B126,3)="LED",3,2)),IF(User_Inputs!$D$4="Frozen Efficiency",$F126,VLOOKUP(N$3-Tech_Specs!$C18,Bass_Curve,IF(LEFT($B126,3)="LED",3,2)))),)</f>
        <v>0.43528730962994305</v>
      </c>
      <c r="O126" s="374">
        <f>IF(O$3&gt;=Tech_Specs!$C18,IF(O$3=2010,VLOOKUP(O$3-Tech_Specs!$C18,Bass_Curve,IF(LEFT($B126,3)="LED",3,2)),IF(User_Inputs!$D$4="Frozen Efficiency",$F126,VLOOKUP(O$3-Tech_Specs!$C18,Bass_Curve,IF(LEFT($B126,3)="LED",3,2)))),)</f>
        <v>0.51284484369923866</v>
      </c>
      <c r="P126" s="374">
        <f>IF(P$3&gt;=Tech_Specs!$C18,IF(P$3=2010,VLOOKUP(P$3-Tech_Specs!$C18,Bass_Curve,IF(LEFT($B126,3)="LED",3,2)),IF(User_Inputs!$D$4="Frozen Efficiency",$F126,VLOOKUP(P$3-Tech_Specs!$C18,Bass_Curve,IF(LEFT($B126,3)="LED",3,2)))),)</f>
        <v>0.58783004379238735</v>
      </c>
      <c r="Q126" s="374">
        <f>IF(Q$3&gt;=Tech_Specs!$C18,IF(Q$3=2010,VLOOKUP(Q$3-Tech_Specs!$C18,Bass_Curve,IF(LEFT($B126,3)="LED",3,2)),IF(User_Inputs!$D$4="Frozen Efficiency",$F126,VLOOKUP(Q$3-Tech_Specs!$C18,Bass_Curve,IF(LEFT($B126,3)="LED",3,2)))),)</f>
        <v>0.65810308249900329</v>
      </c>
      <c r="R126" s="374">
        <f>IF(R$3&gt;=Tech_Specs!$C18,IF(R$3=2010,VLOOKUP(R$3-Tech_Specs!$C18,Bass_Curve,IF(LEFT($B126,3)="LED",3,2)),IF(User_Inputs!$D$4="Frozen Efficiency",$F126,VLOOKUP(R$3-Tech_Specs!$C18,Bass_Curve,IF(LEFT($B126,3)="LED",3,2)))),)</f>
        <v>0.72206467330281499</v>
      </c>
      <c r="S126" s="374">
        <f>IF(S$3&gt;=Tech_Specs!$C18,IF(S$3=2010,VLOOKUP(S$3-Tech_Specs!$C18,Bass_Curve,IF(LEFT($B126,3)="LED",3,2)),IF(User_Inputs!$D$4="Frozen Efficiency",$F126,VLOOKUP(S$3-Tech_Specs!$C18,Bass_Curve,IF(LEFT($B126,3)="LED",3,2)))),)</f>
        <v>0.77856976904215913</v>
      </c>
      <c r="T126" s="374">
        <f>IF(T$3&gt;=Tech_Specs!$C18,IF(T$3=2010,VLOOKUP(T$3-Tech_Specs!$C18,Bass_Curve,IF(LEFT($B126,3)="LED",3,2)),IF(User_Inputs!$D$4="Frozen Efficiency",$F126,VLOOKUP(T$3-Tech_Specs!$C18,Bass_Curve,IF(LEFT($B126,3)="LED",3,2)))),)</f>
        <v>0.82696350840215249</v>
      </c>
      <c r="U126" s="374">
        <f>IF(U$3&gt;=Tech_Specs!$C18,IF(U$3=2010,VLOOKUP(U$3-Tech_Specs!$C18,Bass_Curve,IF(LEFT($B126,3)="LED",3,2)),IF(User_Inputs!$D$4="Frozen Efficiency",$F126,VLOOKUP(U$3-Tech_Specs!$C18,Bass_Curve,IF(LEFT($B126,3)="LED",3,2)))),)</f>
        <v>0.86714658256559263</v>
      </c>
      <c r="V126" s="374">
        <f>IF(V$3&gt;=Tech_Specs!$C18,IF(V$3=2010,VLOOKUP(V$3-Tech_Specs!$C18,Bass_Curve,IF(LEFT($B126,3)="LED",3,2)),IF(User_Inputs!$D$4="Frozen Efficiency",$F126,VLOOKUP(V$3-Tech_Specs!$C18,Bass_Curve,IF(LEFT($B126,3)="LED",3,2)))),)</f>
        <v>0.89955419985356344</v>
      </c>
      <c r="W126" s="374">
        <f>IF(W$3&gt;=Tech_Specs!$C18,IF(W$3=2010,VLOOKUP(W$3-Tech_Specs!$C18,Bass_Curve,IF(LEFT($B126,3)="LED",3,2)),IF(User_Inputs!$D$4="Frozen Efficiency",$F126,VLOOKUP(W$3-Tech_Specs!$C18,Bass_Curve,IF(LEFT($B126,3)="LED",3,2)))),)</f>
        <v>0.92502432100062038</v>
      </c>
      <c r="X126" s="374">
        <f>IF(X$3&gt;=Tech_Specs!$C18,IF(X$3=2010,VLOOKUP(X$3-Tech_Specs!$C18,Bass_Curve,IF(LEFT($B126,3)="LED",3,2)),IF(User_Inputs!$D$4="Frozen Efficiency",$F126,VLOOKUP(X$3-Tech_Specs!$C18,Bass_Curve,IF(LEFT($B126,3)="LED",3,2)))),)</f>
        <v>0.94461059131409331</v>
      </c>
      <c r="Y126" s="374">
        <f>IF(Y$3&gt;=Tech_Specs!$C18,IF(Y$3=2010,VLOOKUP(Y$3-Tech_Specs!$C18,Bass_Curve,IF(LEFT($B126,3)="LED",3,2)),IF(User_Inputs!$D$4="Frozen Efficiency",$F126,VLOOKUP(Y$3-Tech_Specs!$C18,Bass_Curve,IF(LEFT($B126,3)="LED",3,2)))),)</f>
        <v>0.95940876722590474</v>
      </c>
      <c r="Z126" s="374">
        <f>IF(Z$3&gt;=Tech_Specs!$C18,IF(Z$3=2010,VLOOKUP(Z$3-Tech_Specs!$C18,Bass_Curve,IF(LEFT($B126,3)="LED",3,2)),IF(User_Inputs!$D$4="Frozen Efficiency",$F126,VLOOKUP(Z$3-Tech_Specs!$C18,Bass_Curve,IF(LEFT($B126,3)="LED",3,2)))),)</f>
        <v>0.97043561397505118</v>
      </c>
      <c r="AA126" s="374">
        <f>IF(AA$3&gt;=Tech_Specs!$C18,IF(AA$3=2010,VLOOKUP(AA$3-Tech_Specs!$C18,Bass_Curve,IF(LEFT($B126,3)="LED",3,2)),IF(User_Inputs!$D$4="Frozen Efficiency",$F126,VLOOKUP(AA$3-Tech_Specs!$C18,Bass_Curve,IF(LEFT($B126,3)="LED",3,2)))),)</f>
        <v>0.97856563119743434</v>
      </c>
      <c r="AB126" s="374">
        <f>IF(AB$3&gt;=Tech_Specs!$C18,IF(AB$3=2010,VLOOKUP(AB$3-Tech_Specs!$C18,Bass_Curve,IF(LEFT($B126,3)="LED",3,2)),IF(User_Inputs!$D$4="Frozen Efficiency",$F126,VLOOKUP(AB$3-Tech_Specs!$C18,Bass_Curve,IF(LEFT($B126,3)="LED",3,2)))),)</f>
        <v>0.98451232141945333</v>
      </c>
      <c r="AC126" s="374">
        <f>IF(AC$3&gt;=Tech_Specs!$C18,IF(AC$3=2010,VLOOKUP(AC$3-Tech_Specs!$C18,Bass_Curve,IF(LEFT($B126,3)="LED",3,2)),IF(User_Inputs!$D$4="Frozen Efficiency",$F126,VLOOKUP(AC$3-Tech_Specs!$C18,Bass_Curve,IF(LEFT($B126,3)="LED",3,2)))),)</f>
        <v>0.98883650057565198</v>
      </c>
      <c r="AD126" s="374">
        <f>IF(AD$3&gt;=Tech_Specs!$C18,IF(AD$3=2010,VLOOKUP(AD$3-Tech_Specs!$C18,Bass_Curve,IF(LEFT($B126,3)="LED",3,2)),IF(User_Inputs!$D$4="Frozen Efficiency",$F126,VLOOKUP(AD$3-Tech_Specs!$C18,Bass_Curve,IF(LEFT($B126,3)="LED",3,2)))),)</f>
        <v>0.99196738407609564</v>
      </c>
      <c r="AE126" s="374">
        <f>IF(AE$3&gt;=Tech_Specs!$C18,IF(AE$3=2010,VLOOKUP(AE$3-Tech_Specs!$C18,Bass_Curve,IF(LEFT($B126,3)="LED",3,2)),IF(User_Inputs!$D$4="Frozen Efficiency",$F126,VLOOKUP(AE$3-Tech_Specs!$C18,Bass_Curve,IF(LEFT($B126,3)="LED",3,2)))),)</f>
        <v>0.99422726069133227</v>
      </c>
    </row>
    <row r="127" spans="1:31" s="221" customFormat="1" x14ac:dyDescent="0.25">
      <c r="A127" s="356"/>
      <c r="B127" s="356"/>
      <c r="C127"/>
      <c r="D127"/>
      <c r="E127"/>
      <c r="F127"/>
      <c r="G127"/>
      <c r="H127"/>
      <c r="I127"/>
      <c r="J127"/>
      <c r="K127"/>
      <c r="L127"/>
      <c r="M127"/>
      <c r="N127"/>
      <c r="O127"/>
      <c r="P127"/>
      <c r="Q127"/>
      <c r="R127"/>
      <c r="S127"/>
      <c r="T127"/>
      <c r="U127"/>
      <c r="V127"/>
      <c r="W127"/>
      <c r="X127"/>
      <c r="Y127"/>
      <c r="Z127"/>
      <c r="AA127"/>
      <c r="AB127"/>
      <c r="AC127"/>
      <c r="AD127"/>
      <c r="AE127"/>
    </row>
    <row r="128" spans="1:31" s="202" customFormat="1" ht="12.75" x14ac:dyDescent="0.2">
      <c r="A128" s="364" t="s">
        <v>36</v>
      </c>
      <c r="B128" s="364"/>
      <c r="C128" s="364"/>
      <c r="D128" s="364"/>
      <c r="E128" s="364"/>
      <c r="F128" s="364"/>
      <c r="G128" s="364"/>
      <c r="H128" s="364"/>
      <c r="I128" s="364"/>
      <c r="J128" s="364"/>
      <c r="K128" s="364"/>
      <c r="L128" s="364"/>
      <c r="M128" s="364"/>
      <c r="N128" s="364"/>
      <c r="O128" s="364"/>
      <c r="P128" s="364"/>
      <c r="Q128" s="364"/>
      <c r="R128" s="364"/>
      <c r="S128" s="364"/>
      <c r="T128" s="364"/>
      <c r="U128" s="364"/>
      <c r="V128" s="364"/>
      <c r="W128" s="364"/>
      <c r="X128" s="364"/>
      <c r="Y128" s="364"/>
      <c r="Z128" s="364"/>
      <c r="AA128" s="364"/>
      <c r="AB128" s="364"/>
      <c r="AC128" s="364"/>
      <c r="AD128" s="364"/>
      <c r="AE128" s="364"/>
    </row>
    <row r="129" spans="1:31" s="221" customFormat="1" x14ac:dyDescent="0.25">
      <c r="A129" s="356"/>
      <c r="B129" s="356" t="s">
        <v>37</v>
      </c>
      <c r="C129"/>
      <c r="D129"/>
      <c r="E129"/>
      <c r="F129" s="374">
        <f>IF(F$3&gt;=Tech_Specs!$C21,IF(F$3=2010,VLOOKUP(F$3-Tech_Specs!$C21,Bass_Curve,IF(LEFT($B129,3)="LED",3,2)),IF(User_Inputs!$D$4="Frozen Efficiency",$F129,VLOOKUP(F$3-Tech_Specs!$C21,Bass_Curve,IF(LEFT($B129,3)="LED",3,2)))),)</f>
        <v>0.99999458754894088</v>
      </c>
      <c r="G129" s="374">
        <f>IF(G$3&gt;=Tech_Specs!$C21,IF(G$3=2010,VLOOKUP(G$3-Tech_Specs!$C21,Bass_Curve,IF(LEFT($B129,3)="LED",3,2)),IF(User_Inputs!$D$4="Frozen Efficiency",$F129,VLOOKUP(G$3-Tech_Specs!$C21,Bass_Curve,IF(LEFT($B129,3)="LED",3,2)))),)</f>
        <v>0.99999611405218891</v>
      </c>
      <c r="H129" s="374">
        <f>IF(H$3&gt;=Tech_Specs!$C21,IF(H$3=2010,VLOOKUP(H$3-Tech_Specs!$C21,Bass_Curve,IF(LEFT($B129,3)="LED",3,2)),IF(User_Inputs!$D$4="Frozen Efficiency",$F129,VLOOKUP(H$3-Tech_Specs!$C21,Bass_Curve,IF(LEFT($B129,3)="LED",3,2)))),)</f>
        <v>0.99999720984345863</v>
      </c>
      <c r="I129" s="374">
        <f>IF(I$3&gt;=Tech_Specs!$C21,IF(I$3=2010,VLOOKUP(I$3-Tech_Specs!$C21,Bass_Curve,IF(LEFT($B129,3)="LED",3,2)),IF(User_Inputs!$D$4="Frozen Efficiency",$F129,VLOOKUP(I$3-Tech_Specs!$C21,Bass_Curve,IF(LEFT($B129,3)="LED",3,2)))),)</f>
        <v>0.99999799650912424</v>
      </c>
      <c r="J129" s="374">
        <f>IF(J$3&gt;=Tech_Specs!$C21,IF(J$3=2010,VLOOKUP(J$3-Tech_Specs!$C21,Bass_Curve,IF(LEFT($B129,3)="LED",3,2)),IF(User_Inputs!$D$4="Frozen Efficiency",$F129,VLOOKUP(J$3-Tech_Specs!$C21,Bass_Curve,IF(LEFT($B129,3)="LED",3,2)))),)</f>
        <v>0.99999856129425391</v>
      </c>
      <c r="K129" s="374">
        <f>IF(K$3&gt;=Tech_Specs!$C21,IF(K$3=2010,VLOOKUP(K$3-Tech_Specs!$C21,Bass_Curve,IF(LEFT($B129,3)="LED",3,2)),IF(User_Inputs!$D$4="Frozen Efficiency",$F129,VLOOKUP(K$3-Tech_Specs!$C21,Bass_Curve,IF(LEFT($B129,3)="LED",3,2)))),)</f>
        <v>0.99999896680791711</v>
      </c>
      <c r="L129" s="374">
        <f>IF(L$3&gt;=Tech_Specs!$C21,IF(L$3=2010,VLOOKUP(L$3-Tech_Specs!$C21,Bass_Curve,IF(LEFT($B129,3)="LED",3,2)),IF(User_Inputs!$D$4="Frozen Efficiency",$F129,VLOOKUP(L$3-Tech_Specs!$C21,Bass_Curve,IF(LEFT($B129,3)="LED",3,2)))),)</f>
        <v>0.99999925798382638</v>
      </c>
      <c r="M129" s="374">
        <f>IF(M$3&gt;=Tech_Specs!$C21,IF(M$3=2010,VLOOKUP(M$3-Tech_Specs!$C21,Bass_Curve,IF(LEFT($B129,3)="LED",3,2)),IF(User_Inputs!$D$4="Frozen Efficiency",$F129,VLOOKUP(M$3-Tech_Specs!$C21,Bass_Curve,IF(LEFT($B129,3)="LED",3,2)))),)</f>
        <v>0.99999946707306653</v>
      </c>
      <c r="N129" s="374">
        <f>IF(N$3&gt;=Tech_Specs!$C21,IF(N$3=2010,VLOOKUP(N$3-Tech_Specs!$C21,Bass_Curve,IF(LEFT($B129,3)="LED",3,2)),IF(User_Inputs!$D$4="Frozen Efficiency",$F129,VLOOKUP(N$3-Tech_Specs!$C21,Bass_Curve,IF(LEFT($B129,3)="LED",3,2)))),)</f>
        <v>0.99999961722567021</v>
      </c>
      <c r="O129" s="374">
        <f>IF(O$3&gt;=Tech_Specs!$C21,IF(O$3=2010,VLOOKUP(O$3-Tech_Specs!$C21,Bass_Curve,IF(LEFT($B129,3)="LED",3,2)),IF(User_Inputs!$D$4="Frozen Efficiency",$F129,VLOOKUP(O$3-Tech_Specs!$C21,Bass_Curve,IF(LEFT($B129,3)="LED",3,2)))),)</f>
        <v>0.99999972506016011</v>
      </c>
      <c r="P129" s="374">
        <f>IF(P$3&gt;=Tech_Specs!$C21,IF(P$3=2010,VLOOKUP(P$3-Tech_Specs!$C21,Bass_Curve,IF(LEFT($B129,3)="LED",3,2)),IF(User_Inputs!$D$4="Frozen Efficiency",$F129,VLOOKUP(P$3-Tech_Specs!$C21,Bass_Curve,IF(LEFT($B129,3)="LED",3,2)))),)</f>
        <v>0.99999980250721576</v>
      </c>
      <c r="Q129" s="374">
        <f>IF(Q$3&gt;=Tech_Specs!$C21,IF(Q$3=2010,VLOOKUP(Q$3-Tech_Specs!$C21,Bass_Curve,IF(LEFT($B129,3)="LED",3,2)),IF(User_Inputs!$D$4="Frozen Efficiency",$F129,VLOOKUP(Q$3-Tech_Specs!$C21,Bass_Curve,IF(LEFT($B129,3)="LED",3,2)))),)</f>
        <v>0.99999985813264225</v>
      </c>
      <c r="R129" s="374">
        <f>IF(R$3&gt;=Tech_Specs!$C21,IF(R$3=2010,VLOOKUP(R$3-Tech_Specs!$C21,Bass_Curve,IF(LEFT($B129,3)="LED",3,2)),IF(User_Inputs!$D$4="Frozen Efficiency",$F129,VLOOKUP(R$3-Tech_Specs!$C21,Bass_Curve,IF(LEFT($B129,3)="LED",3,2)))),)</f>
        <v>0.99999989808679191</v>
      </c>
      <c r="S129" s="374">
        <f>IF(S$3&gt;=Tech_Specs!$C21,IF(S$3=2010,VLOOKUP(S$3-Tech_Specs!$C21,Bass_Curve,IF(LEFT($B129,3)="LED",3,2)),IF(User_Inputs!$D$4="Frozen Efficiency",$F129,VLOOKUP(S$3-Tech_Specs!$C21,Bass_Curve,IF(LEFT($B129,3)="LED",3,2)))),)</f>
        <v>0.99999992678597005</v>
      </c>
      <c r="T129" s="374">
        <f>IF(T$3&gt;=Tech_Specs!$C21,IF(T$3=2010,VLOOKUP(T$3-Tech_Specs!$C21,Bass_Curve,IF(LEFT($B129,3)="LED",3,2)),IF(User_Inputs!$D$4="Frozen Efficiency",$F129,VLOOKUP(T$3-Tech_Specs!$C21,Bass_Curve,IF(LEFT($B129,3)="LED",3,2)))),)</f>
        <v>0.99999994740152531</v>
      </c>
      <c r="U129" s="374">
        <f>IF(U$3&gt;=Tech_Specs!$C21,IF(U$3=2010,VLOOKUP(U$3-Tech_Specs!$C21,Bass_Curve,IF(LEFT($B129,3)="LED",3,2)),IF(User_Inputs!$D$4="Frozen Efficiency",$F129,VLOOKUP(U$3-Tech_Specs!$C21,Bass_Curve,IF(LEFT($B129,3)="LED",3,2)))),)</f>
        <v>0.99999996221093224</v>
      </c>
      <c r="V129" s="374">
        <f>IF(V$3&gt;=Tech_Specs!$C21,IF(V$3=2010,VLOOKUP(V$3-Tech_Specs!$C21,Bass_Curve,IF(LEFT($B129,3)="LED",3,2)),IF(User_Inputs!$D$4="Frozen Efficiency",$F129,VLOOKUP(V$3-Tech_Specs!$C21,Bass_Curve,IF(LEFT($B129,3)="LED",3,2)))),)</f>
        <v>0.99999997284982522</v>
      </c>
      <c r="W129" s="374">
        <f>IF(W$3&gt;=Tech_Specs!$C21,IF(W$3=2010,VLOOKUP(W$3-Tech_Specs!$C21,Bass_Curve,IF(LEFT($B129,3)="LED",3,2)),IF(User_Inputs!$D$4="Frozen Efficiency",$F129,VLOOKUP(W$3-Tech_Specs!$C21,Bass_Curve,IF(LEFT($B129,3)="LED",3,2)))),)</f>
        <v>0.99999998049294159</v>
      </c>
      <c r="X129" s="374">
        <f>IF(X$3&gt;=Tech_Specs!$C21,IF(X$3=2010,VLOOKUP(X$3-Tech_Specs!$C21,Bass_Curve,IF(LEFT($B129,3)="LED",3,2)),IF(User_Inputs!$D$4="Frozen Efficiency",$F129,VLOOKUP(X$3-Tech_Specs!$C21,Bass_Curve,IF(LEFT($B129,3)="LED",3,2)))),)</f>
        <v>0.99999998049294159</v>
      </c>
      <c r="Y129" s="374">
        <f>IF(Y$3&gt;=Tech_Specs!$C21,IF(Y$3=2010,VLOOKUP(Y$3-Tech_Specs!$C21,Bass_Curve,IF(LEFT($B129,3)="LED",3,2)),IF(User_Inputs!$D$4="Frozen Efficiency",$F129,VLOOKUP(Y$3-Tech_Specs!$C21,Bass_Curve,IF(LEFT($B129,3)="LED",3,2)))),)</f>
        <v>0.99999998049294159</v>
      </c>
      <c r="Z129" s="374">
        <f>IF(Z$3&gt;=Tech_Specs!$C21,IF(Z$3=2010,VLOOKUP(Z$3-Tech_Specs!$C21,Bass_Curve,IF(LEFT($B129,3)="LED",3,2)),IF(User_Inputs!$D$4="Frozen Efficiency",$F129,VLOOKUP(Z$3-Tech_Specs!$C21,Bass_Curve,IF(LEFT($B129,3)="LED",3,2)))),)</f>
        <v>0.99999998049294159</v>
      </c>
      <c r="AA129" s="374">
        <f>IF(AA$3&gt;=Tech_Specs!$C21,IF(AA$3=2010,VLOOKUP(AA$3-Tech_Specs!$C21,Bass_Curve,IF(LEFT($B129,3)="LED",3,2)),IF(User_Inputs!$D$4="Frozen Efficiency",$F129,VLOOKUP(AA$3-Tech_Specs!$C21,Bass_Curve,IF(LEFT($B129,3)="LED",3,2)))),)</f>
        <v>0.99999998049294159</v>
      </c>
      <c r="AB129" s="374">
        <f>IF(AB$3&gt;=Tech_Specs!$C21,IF(AB$3=2010,VLOOKUP(AB$3-Tech_Specs!$C21,Bass_Curve,IF(LEFT($B129,3)="LED",3,2)),IF(User_Inputs!$D$4="Frozen Efficiency",$F129,VLOOKUP(AB$3-Tech_Specs!$C21,Bass_Curve,IF(LEFT($B129,3)="LED",3,2)))),)</f>
        <v>0.99999998049294159</v>
      </c>
      <c r="AC129" s="374">
        <f>IF(AC$3&gt;=Tech_Specs!$C21,IF(AC$3=2010,VLOOKUP(AC$3-Tech_Specs!$C21,Bass_Curve,IF(LEFT($B129,3)="LED",3,2)),IF(User_Inputs!$D$4="Frozen Efficiency",$F129,VLOOKUP(AC$3-Tech_Specs!$C21,Bass_Curve,IF(LEFT($B129,3)="LED",3,2)))),)</f>
        <v>0.99999998049294159</v>
      </c>
      <c r="AD129" s="374">
        <f>IF(AD$3&gt;=Tech_Specs!$C21,IF(AD$3=2010,VLOOKUP(AD$3-Tech_Specs!$C21,Bass_Curve,IF(LEFT($B129,3)="LED",3,2)),IF(User_Inputs!$D$4="Frozen Efficiency",$F129,VLOOKUP(AD$3-Tech_Specs!$C21,Bass_Curve,IF(LEFT($B129,3)="LED",3,2)))),)</f>
        <v>0.99999998049294159</v>
      </c>
      <c r="AE129" s="374">
        <f>IF(AE$3&gt;=Tech_Specs!$C21,IF(AE$3=2010,VLOOKUP(AE$3-Tech_Specs!$C21,Bass_Curve,IF(LEFT($B129,3)="LED",3,2)),IF(User_Inputs!$D$4="Frozen Efficiency",$F129,VLOOKUP(AE$3-Tech_Specs!$C21,Bass_Curve,IF(LEFT($B129,3)="LED",3,2)))),)</f>
        <v>0.99999998049294159</v>
      </c>
    </row>
    <row r="130" spans="1:31" s="221" customFormat="1" x14ac:dyDescent="0.25">
      <c r="A130" s="356"/>
      <c r="B130" s="356" t="s">
        <v>39</v>
      </c>
      <c r="C130"/>
      <c r="D130"/>
      <c r="E130"/>
      <c r="F130" s="374">
        <f>IF(F$3&gt;=Tech_Specs!$C22,IF(F$3=2010,VLOOKUP(F$3-Tech_Specs!$C22,Bass_Curve,IF(LEFT($B130,3)="LED",3,2)),IF(User_Inputs!$D$4="Frozen Efficiency",$F130,VLOOKUP(F$3-Tech_Specs!$C22,Bass_Curve,IF(LEFT($B130,3)="LED",3,2)))),)</f>
        <v>0.99585484432697347</v>
      </c>
      <c r="G130" s="374">
        <f>IF(G$3&gt;=Tech_Specs!$C22,IF(G$3=2010,VLOOKUP(G$3-Tech_Specs!$C22,Bass_Curve,IF(LEFT($B130,3)="LED",3,2)),IF(User_Inputs!$D$4="Frozen Efficiency",$F130,VLOOKUP(G$3-Tech_Specs!$C22,Bass_Curve,IF(LEFT($B130,3)="LED",3,2)))),)</f>
        <v>0.99702522404198501</v>
      </c>
      <c r="H130" s="374">
        <f>IF(H$3&gt;=Tech_Specs!$C22,IF(H$3=2010,VLOOKUP(H$3-Tech_Specs!$C22,Bass_Curve,IF(LEFT($B130,3)="LED",3,2)),IF(User_Inputs!$D$4="Frozen Efficiency",$F130,VLOOKUP(H$3-Tech_Specs!$C22,Bass_Curve,IF(LEFT($B130,3)="LED",3,2)))),)</f>
        <v>0.99786592697261467</v>
      </c>
      <c r="I130" s="374">
        <f>IF(I$3&gt;=Tech_Specs!$C22,IF(I$3=2010,VLOOKUP(I$3-Tech_Specs!$C22,Bass_Curve,IF(LEFT($B130,3)="LED",3,2)),IF(User_Inputs!$D$4="Frozen Efficiency",$F130,VLOOKUP(I$3-Tech_Specs!$C22,Bass_Curve,IF(LEFT($B130,3)="LED",3,2)))),)</f>
        <v>0.9984693766950139</v>
      </c>
      <c r="J130" s="374">
        <f>IF(J$3&gt;=Tech_Specs!$C22,IF(J$3=2010,VLOOKUP(J$3-Tech_Specs!$C22,Bass_Curve,IF(LEFT($B130,3)="LED",3,2)),IF(User_Inputs!$D$4="Frozen Efficiency",$F130,VLOOKUP(J$3-Tech_Specs!$C22,Bass_Curve,IF(LEFT($B130,3)="LED",3,2)))),)</f>
        <v>0.99890231984592681</v>
      </c>
      <c r="K130" s="374">
        <f>IF(K$3&gt;=Tech_Specs!$C22,IF(K$3=2010,VLOOKUP(K$3-Tech_Specs!$C22,Bass_Curve,IF(LEFT($B130,3)="LED",3,2)),IF(User_Inputs!$D$4="Frozen Efficiency",$F130,VLOOKUP(K$3-Tech_Specs!$C22,Bass_Curve,IF(LEFT($B130,3)="LED",3,2)))),)</f>
        <v>0.99921283993037913</v>
      </c>
      <c r="L130" s="374">
        <f>IF(L$3&gt;=Tech_Specs!$C22,IF(L$3=2010,VLOOKUP(L$3-Tech_Specs!$C22,Bass_Curve,IF(LEFT($B130,3)="LED",3,2)),IF(User_Inputs!$D$4="Frozen Efficiency",$F130,VLOOKUP(L$3-Tech_Specs!$C22,Bass_Curve,IF(LEFT($B130,3)="LED",3,2)))),)</f>
        <v>0.99943551570827049</v>
      </c>
      <c r="M130" s="374">
        <f>IF(M$3&gt;=Tech_Specs!$C22,IF(M$3=2010,VLOOKUP(M$3-Tech_Specs!$C22,Bass_Curve,IF(LEFT($B130,3)="LED",3,2)),IF(User_Inputs!$D$4="Frozen Efficiency",$F130,VLOOKUP(M$3-Tech_Specs!$C22,Bass_Curve,IF(LEFT($B130,3)="LED",3,2)))),)</f>
        <v>0.99959518445151951</v>
      </c>
      <c r="N130" s="374">
        <f>IF(N$3&gt;=Tech_Specs!$C22,IF(N$3=2010,VLOOKUP(N$3-Tech_Specs!$C22,Bass_Curve,IF(LEFT($B130,3)="LED",3,2)),IF(User_Inputs!$D$4="Frozen Efficiency",$F130,VLOOKUP(N$3-Tech_Specs!$C22,Bass_Curve,IF(LEFT($B130,3)="LED",3,2)))),)</f>
        <v>0.99970967191209748</v>
      </c>
      <c r="O130" s="374">
        <f>IF(O$3&gt;=Tech_Specs!$C22,IF(O$3=2010,VLOOKUP(O$3-Tech_Specs!$C22,Bass_Curve,IF(LEFT($B130,3)="LED",3,2)),IF(User_Inputs!$D$4="Frozen Efficiency",$F130,VLOOKUP(O$3-Tech_Specs!$C22,Bass_Curve,IF(LEFT($B130,3)="LED",3,2)))),)</f>
        <v>0.99979176488656052</v>
      </c>
      <c r="P130" s="374">
        <f>IF(P$3&gt;=Tech_Specs!$C22,IF(P$3=2010,VLOOKUP(P$3-Tech_Specs!$C22,Bass_Curve,IF(LEFT($B130,3)="LED",3,2)),IF(User_Inputs!$D$4="Frozen Efficiency",$F130,VLOOKUP(P$3-Tech_Specs!$C22,Bass_Curve,IF(LEFT($B130,3)="LED",3,2)))),)</f>
        <v>0.99985063257548779</v>
      </c>
      <c r="Q130" s="374">
        <f>IF(Q$3&gt;=Tech_Specs!$C22,IF(Q$3=2010,VLOOKUP(Q$3-Tech_Specs!$C22,Bass_Curve,IF(LEFT($B130,3)="LED",3,2)),IF(User_Inputs!$D$4="Frozen Efficiency",$F130,VLOOKUP(Q$3-Tech_Specs!$C22,Bass_Curve,IF(LEFT($B130,3)="LED",3,2)))),)</f>
        <v>0.99989284880158935</v>
      </c>
      <c r="R130" s="374">
        <f>IF(R$3&gt;=Tech_Specs!$C22,IF(R$3=2010,VLOOKUP(R$3-Tech_Specs!$C22,Bass_Curve,IF(LEFT($B130,3)="LED",3,2)),IF(User_Inputs!$D$4="Frozen Efficiency",$F130,VLOOKUP(R$3-Tech_Specs!$C22,Bass_Curve,IF(LEFT($B130,3)="LED",3,2)))),)</f>
        <v>0.99992312620537604</v>
      </c>
      <c r="S130" s="374">
        <f>IF(S$3&gt;=Tech_Specs!$C22,IF(S$3=2010,VLOOKUP(S$3-Tech_Specs!$C22,Bass_Curve,IF(LEFT($B130,3)="LED",3,2)),IF(User_Inputs!$D$4="Frozen Efficiency",$F130,VLOOKUP(S$3-Tech_Specs!$C22,Bass_Curve,IF(LEFT($B130,3)="LED",3,2)))),)</f>
        <v>0.9999448431048531</v>
      </c>
      <c r="T130" s="374">
        <f>IF(T$3&gt;=Tech_Specs!$C22,IF(T$3=2010,VLOOKUP(T$3-Tech_Specs!$C22,Bass_Curve,IF(LEFT($B130,3)="LED",3,2)),IF(User_Inputs!$D$4="Frozen Efficiency",$F130,VLOOKUP(T$3-Tech_Specs!$C22,Bass_Curve,IF(LEFT($B130,3)="LED",3,2)))),)</f>
        <v>0.99996042135098673</v>
      </c>
      <c r="U130" s="374">
        <f>IF(U$3&gt;=Tech_Specs!$C22,IF(U$3=2010,VLOOKUP(U$3-Tech_Specs!$C22,Bass_Curve,IF(LEFT($B130,3)="LED",3,2)),IF(User_Inputs!$D$4="Frozen Efficiency",$F130,VLOOKUP(U$3-Tech_Specs!$C22,Bass_Curve,IF(LEFT($B130,3)="LED",3,2)))),)</f>
        <v>0.99997159722102513</v>
      </c>
      <c r="V130" s="374">
        <f>IF(V$3&gt;=Tech_Specs!$C22,IF(V$3=2010,VLOOKUP(V$3-Tech_Specs!$C22,Bass_Curve,IF(LEFT($B130,3)="LED",3,2)),IF(User_Inputs!$D$4="Frozen Efficiency",$F130,VLOOKUP(V$3-Tech_Specs!$C22,Bass_Curve,IF(LEFT($B130,3)="LED",3,2)))),)</f>
        <v>0.9999796155873415</v>
      </c>
      <c r="W130" s="374">
        <f>IF(W$3&gt;=Tech_Specs!$C22,IF(W$3=2010,VLOOKUP(W$3-Tech_Specs!$C22,Bass_Curve,IF(LEFT($B130,3)="LED",3,2)),IF(User_Inputs!$D$4="Frozen Efficiency",$F130,VLOOKUP(W$3-Tech_Specs!$C22,Bass_Curve,IF(LEFT($B130,3)="LED",3,2)))),)</f>
        <v>0.99998536907810021</v>
      </c>
      <c r="X130" s="374">
        <f>IF(X$3&gt;=Tech_Specs!$C22,IF(X$3=2010,VLOOKUP(X$3-Tech_Specs!$C22,Bass_Curve,IF(LEFT($B130,3)="LED",3,2)),IF(User_Inputs!$D$4="Frozen Efficiency",$F130,VLOOKUP(X$3-Tech_Specs!$C22,Bass_Curve,IF(LEFT($B130,3)="LED",3,2)))),)</f>
        <v>0.99998949781098223</v>
      </c>
      <c r="Y130" s="374">
        <f>IF(Y$3&gt;=Tech_Specs!$C22,IF(Y$3=2010,VLOOKUP(Y$3-Tech_Specs!$C22,Bass_Curve,IF(LEFT($B130,3)="LED",3,2)),IF(User_Inputs!$D$4="Frozen Efficiency",$F130,VLOOKUP(Y$3-Tech_Specs!$C22,Bass_Curve,IF(LEFT($B130,3)="LED",3,2)))),)</f>
        <v>0.99999246087225968</v>
      </c>
      <c r="Z130" s="374">
        <f>IF(Z$3&gt;=Tech_Specs!$C22,IF(Z$3=2010,VLOOKUP(Z$3-Tech_Specs!$C22,Bass_Curve,IF(LEFT($B130,3)="LED",3,2)),IF(User_Inputs!$D$4="Frozen Efficiency",$F130,VLOOKUP(Z$3-Tech_Specs!$C22,Bass_Curve,IF(LEFT($B130,3)="LED",3,2)))),)</f>
        <v>0.99999458754894088</v>
      </c>
      <c r="AA130" s="374">
        <f>IF(AA$3&gt;=Tech_Specs!$C22,IF(AA$3=2010,VLOOKUP(AA$3-Tech_Specs!$C22,Bass_Curve,IF(LEFT($B130,3)="LED",3,2)),IF(User_Inputs!$D$4="Frozen Efficiency",$F130,VLOOKUP(AA$3-Tech_Specs!$C22,Bass_Curve,IF(LEFT($B130,3)="LED",3,2)))),)</f>
        <v>0.99999611405218891</v>
      </c>
      <c r="AB130" s="374">
        <f>IF(AB$3&gt;=Tech_Specs!$C22,IF(AB$3=2010,VLOOKUP(AB$3-Tech_Specs!$C22,Bass_Curve,IF(LEFT($B130,3)="LED",3,2)),IF(User_Inputs!$D$4="Frozen Efficiency",$F130,VLOOKUP(AB$3-Tech_Specs!$C22,Bass_Curve,IF(LEFT($B130,3)="LED",3,2)))),)</f>
        <v>0.99999720984345863</v>
      </c>
      <c r="AC130" s="374">
        <f>IF(AC$3&gt;=Tech_Specs!$C22,IF(AC$3=2010,VLOOKUP(AC$3-Tech_Specs!$C22,Bass_Curve,IF(LEFT($B130,3)="LED",3,2)),IF(User_Inputs!$D$4="Frozen Efficiency",$F130,VLOOKUP(AC$3-Tech_Specs!$C22,Bass_Curve,IF(LEFT($B130,3)="LED",3,2)))),)</f>
        <v>0.99999799650912424</v>
      </c>
      <c r="AD130" s="374">
        <f>IF(AD$3&gt;=Tech_Specs!$C22,IF(AD$3=2010,VLOOKUP(AD$3-Tech_Specs!$C22,Bass_Curve,IF(LEFT($B130,3)="LED",3,2)),IF(User_Inputs!$D$4="Frozen Efficiency",$F130,VLOOKUP(AD$3-Tech_Specs!$C22,Bass_Curve,IF(LEFT($B130,3)="LED",3,2)))),)</f>
        <v>0.99999856129425391</v>
      </c>
      <c r="AE130" s="374">
        <f>IF(AE$3&gt;=Tech_Specs!$C22,IF(AE$3=2010,VLOOKUP(AE$3-Tech_Specs!$C22,Bass_Curve,IF(LEFT($B130,3)="LED",3,2)),IF(User_Inputs!$D$4="Frozen Efficiency",$F130,VLOOKUP(AE$3-Tech_Specs!$C22,Bass_Curve,IF(LEFT($B130,3)="LED",3,2)))),)</f>
        <v>0.99999896680791711</v>
      </c>
    </row>
    <row r="131" spans="1:31" s="221" customFormat="1" x14ac:dyDescent="0.25">
      <c r="A131" s="356"/>
      <c r="B131" s="356" t="s">
        <v>40</v>
      </c>
      <c r="C131"/>
      <c r="D131"/>
      <c r="E131"/>
      <c r="F131" s="374">
        <f>IF(F$3&gt;=Tech_Specs!$C23,IF(F$3=2010,VLOOKUP(F$3-Tech_Specs!$C23,Bass_Curve,IF(LEFT($B131,3)="LED",3,2)),IF(User_Inputs!$D$4="Frozen Efficiency",$F131,VLOOKUP(F$3-Tech_Specs!$C23,Bass_Curve,IF(LEFT($B131,3)="LED",3,2)))),)</f>
        <v>0.28414080977412093</v>
      </c>
      <c r="G131" s="374">
        <f>IF(G$3&gt;=Tech_Specs!$C23,IF(G$3=2010,VLOOKUP(G$3-Tech_Specs!$C23,Bass_Curve,IF(LEFT($B131,3)="LED",3,2)),IF(User_Inputs!$D$4="Frozen Efficiency",$F131,VLOOKUP(G$3-Tech_Specs!$C23,Bass_Curve,IF(LEFT($B131,3)="LED",3,2)))),)</f>
        <v>0.35795009041805559</v>
      </c>
      <c r="H131" s="374">
        <f>IF(H$3&gt;=Tech_Specs!$C23,IF(H$3=2010,VLOOKUP(H$3-Tech_Specs!$C23,Bass_Curve,IF(LEFT($B131,3)="LED",3,2)),IF(User_Inputs!$D$4="Frozen Efficiency",$F131,VLOOKUP(H$3-Tech_Specs!$C23,Bass_Curve,IF(LEFT($B131,3)="LED",3,2)))),)</f>
        <v>0.43528730962994305</v>
      </c>
      <c r="I131" s="374">
        <f>IF(I$3&gt;=Tech_Specs!$C23,IF(I$3=2010,VLOOKUP(I$3-Tech_Specs!$C23,Bass_Curve,IF(LEFT($B131,3)="LED",3,2)),IF(User_Inputs!$D$4="Frozen Efficiency",$F131,VLOOKUP(I$3-Tech_Specs!$C23,Bass_Curve,IF(LEFT($B131,3)="LED",3,2)))),)</f>
        <v>0.51284484369923866</v>
      </c>
      <c r="J131" s="374">
        <f>IF(J$3&gt;=Tech_Specs!$C23,IF(J$3=2010,VLOOKUP(J$3-Tech_Specs!$C23,Bass_Curve,IF(LEFT($B131,3)="LED",3,2)),IF(User_Inputs!$D$4="Frozen Efficiency",$F131,VLOOKUP(J$3-Tech_Specs!$C23,Bass_Curve,IF(LEFT($B131,3)="LED",3,2)))),)</f>
        <v>0.58783004379238735</v>
      </c>
      <c r="K131" s="374">
        <f>IF(K$3&gt;=Tech_Specs!$C23,IF(K$3=2010,VLOOKUP(K$3-Tech_Specs!$C23,Bass_Curve,IF(LEFT($B131,3)="LED",3,2)),IF(User_Inputs!$D$4="Frozen Efficiency",$F131,VLOOKUP(K$3-Tech_Specs!$C23,Bass_Curve,IF(LEFT($B131,3)="LED",3,2)))),)</f>
        <v>0.65810308249900329</v>
      </c>
      <c r="L131" s="374">
        <f>IF(L$3&gt;=Tech_Specs!$C23,IF(L$3=2010,VLOOKUP(L$3-Tech_Specs!$C23,Bass_Curve,IF(LEFT($B131,3)="LED",3,2)),IF(User_Inputs!$D$4="Frozen Efficiency",$F131,VLOOKUP(L$3-Tech_Specs!$C23,Bass_Curve,IF(LEFT($B131,3)="LED",3,2)))),)</f>
        <v>0.72206467330281499</v>
      </c>
      <c r="M131" s="374">
        <f>IF(M$3&gt;=Tech_Specs!$C23,IF(M$3=2010,VLOOKUP(M$3-Tech_Specs!$C23,Bass_Curve,IF(LEFT($B131,3)="LED",3,2)),IF(User_Inputs!$D$4="Frozen Efficiency",$F131,VLOOKUP(M$3-Tech_Specs!$C23,Bass_Curve,IF(LEFT($B131,3)="LED",3,2)))),)</f>
        <v>0.77856976904215913</v>
      </c>
      <c r="N131" s="374">
        <f>IF(N$3&gt;=Tech_Specs!$C23,IF(N$3=2010,VLOOKUP(N$3-Tech_Specs!$C23,Bass_Curve,IF(LEFT($B131,3)="LED",3,2)),IF(User_Inputs!$D$4="Frozen Efficiency",$F131,VLOOKUP(N$3-Tech_Specs!$C23,Bass_Curve,IF(LEFT($B131,3)="LED",3,2)))),)</f>
        <v>0.82696350840215249</v>
      </c>
      <c r="O131" s="374">
        <f>IF(O$3&gt;=Tech_Specs!$C23,IF(O$3=2010,VLOOKUP(O$3-Tech_Specs!$C23,Bass_Curve,IF(LEFT($B131,3)="LED",3,2)),IF(User_Inputs!$D$4="Frozen Efficiency",$F131,VLOOKUP(O$3-Tech_Specs!$C23,Bass_Curve,IF(LEFT($B131,3)="LED",3,2)))),)</f>
        <v>0.86714658256559263</v>
      </c>
      <c r="P131" s="374">
        <f>IF(P$3&gt;=Tech_Specs!$C23,IF(P$3=2010,VLOOKUP(P$3-Tech_Specs!$C23,Bass_Curve,IF(LEFT($B131,3)="LED",3,2)),IF(User_Inputs!$D$4="Frozen Efficiency",$F131,VLOOKUP(P$3-Tech_Specs!$C23,Bass_Curve,IF(LEFT($B131,3)="LED",3,2)))),)</f>
        <v>0.89955419985356344</v>
      </c>
      <c r="Q131" s="374">
        <f>IF(Q$3&gt;=Tech_Specs!$C23,IF(Q$3=2010,VLOOKUP(Q$3-Tech_Specs!$C23,Bass_Curve,IF(LEFT($B131,3)="LED",3,2)),IF(User_Inputs!$D$4="Frozen Efficiency",$F131,VLOOKUP(Q$3-Tech_Specs!$C23,Bass_Curve,IF(LEFT($B131,3)="LED",3,2)))),)</f>
        <v>0.92502432100062038</v>
      </c>
      <c r="R131" s="374">
        <f>IF(R$3&gt;=Tech_Specs!$C23,IF(R$3=2010,VLOOKUP(R$3-Tech_Specs!$C23,Bass_Curve,IF(LEFT($B131,3)="LED",3,2)),IF(User_Inputs!$D$4="Frozen Efficiency",$F131,VLOOKUP(R$3-Tech_Specs!$C23,Bass_Curve,IF(LEFT($B131,3)="LED",3,2)))),)</f>
        <v>0.94461059131409331</v>
      </c>
      <c r="S131" s="374">
        <f>IF(S$3&gt;=Tech_Specs!$C23,IF(S$3=2010,VLOOKUP(S$3-Tech_Specs!$C23,Bass_Curve,IF(LEFT($B131,3)="LED",3,2)),IF(User_Inputs!$D$4="Frozen Efficiency",$F131,VLOOKUP(S$3-Tech_Specs!$C23,Bass_Curve,IF(LEFT($B131,3)="LED",3,2)))),)</f>
        <v>0.95940876722590474</v>
      </c>
      <c r="T131" s="374">
        <f>IF(T$3&gt;=Tech_Specs!$C23,IF(T$3=2010,VLOOKUP(T$3-Tech_Specs!$C23,Bass_Curve,IF(LEFT($B131,3)="LED",3,2)),IF(User_Inputs!$D$4="Frozen Efficiency",$F131,VLOOKUP(T$3-Tech_Specs!$C23,Bass_Curve,IF(LEFT($B131,3)="LED",3,2)))),)</f>
        <v>0.97043561397505118</v>
      </c>
      <c r="U131" s="374">
        <f>IF(U$3&gt;=Tech_Specs!$C23,IF(U$3=2010,VLOOKUP(U$3-Tech_Specs!$C23,Bass_Curve,IF(LEFT($B131,3)="LED",3,2)),IF(User_Inputs!$D$4="Frozen Efficiency",$F131,VLOOKUP(U$3-Tech_Specs!$C23,Bass_Curve,IF(LEFT($B131,3)="LED",3,2)))),)</f>
        <v>0.97856563119743434</v>
      </c>
      <c r="V131" s="374">
        <f>IF(V$3&gt;=Tech_Specs!$C23,IF(V$3=2010,VLOOKUP(V$3-Tech_Specs!$C23,Bass_Curve,IF(LEFT($B131,3)="LED",3,2)),IF(User_Inputs!$D$4="Frozen Efficiency",$F131,VLOOKUP(V$3-Tech_Specs!$C23,Bass_Curve,IF(LEFT($B131,3)="LED",3,2)))),)</f>
        <v>0.98451232141945333</v>
      </c>
      <c r="W131" s="374">
        <f>IF(W$3&gt;=Tech_Specs!$C23,IF(W$3=2010,VLOOKUP(W$3-Tech_Specs!$C23,Bass_Curve,IF(LEFT($B131,3)="LED",3,2)),IF(User_Inputs!$D$4="Frozen Efficiency",$F131,VLOOKUP(W$3-Tech_Specs!$C23,Bass_Curve,IF(LEFT($B131,3)="LED",3,2)))),)</f>
        <v>0.98883650057565198</v>
      </c>
      <c r="X131" s="374">
        <f>IF(X$3&gt;=Tech_Specs!$C23,IF(X$3=2010,VLOOKUP(X$3-Tech_Specs!$C23,Bass_Curve,IF(LEFT($B131,3)="LED",3,2)),IF(User_Inputs!$D$4="Frozen Efficiency",$F131,VLOOKUP(X$3-Tech_Specs!$C23,Bass_Curve,IF(LEFT($B131,3)="LED",3,2)))),)</f>
        <v>0.99196738407609564</v>
      </c>
      <c r="Y131" s="374">
        <f>IF(Y$3&gt;=Tech_Specs!$C23,IF(Y$3=2010,VLOOKUP(Y$3-Tech_Specs!$C23,Bass_Curve,IF(LEFT($B131,3)="LED",3,2)),IF(User_Inputs!$D$4="Frozen Efficiency",$F131,VLOOKUP(Y$3-Tech_Specs!$C23,Bass_Curve,IF(LEFT($B131,3)="LED",3,2)))),)</f>
        <v>0.99422726069133227</v>
      </c>
      <c r="Z131" s="374">
        <f>IF(Z$3&gt;=Tech_Specs!$C23,IF(Z$3=2010,VLOOKUP(Z$3-Tech_Specs!$C23,Bass_Curve,IF(LEFT($B131,3)="LED",3,2)),IF(User_Inputs!$D$4="Frozen Efficiency",$F131,VLOOKUP(Z$3-Tech_Specs!$C23,Bass_Curve,IF(LEFT($B131,3)="LED",3,2)))),)</f>
        <v>0.99585484432697347</v>
      </c>
      <c r="AA131" s="374">
        <f>IF(AA$3&gt;=Tech_Specs!$C23,IF(AA$3=2010,VLOOKUP(AA$3-Tech_Specs!$C23,Bass_Curve,IF(LEFT($B131,3)="LED",3,2)),IF(User_Inputs!$D$4="Frozen Efficiency",$F131,VLOOKUP(AA$3-Tech_Specs!$C23,Bass_Curve,IF(LEFT($B131,3)="LED",3,2)))),)</f>
        <v>0.99702522404198501</v>
      </c>
      <c r="AB131" s="374">
        <f>IF(AB$3&gt;=Tech_Specs!$C23,IF(AB$3=2010,VLOOKUP(AB$3-Tech_Specs!$C23,Bass_Curve,IF(LEFT($B131,3)="LED",3,2)),IF(User_Inputs!$D$4="Frozen Efficiency",$F131,VLOOKUP(AB$3-Tech_Specs!$C23,Bass_Curve,IF(LEFT($B131,3)="LED",3,2)))),)</f>
        <v>0.99786592697261467</v>
      </c>
      <c r="AC131" s="374">
        <f>IF(AC$3&gt;=Tech_Specs!$C23,IF(AC$3=2010,VLOOKUP(AC$3-Tech_Specs!$C23,Bass_Curve,IF(LEFT($B131,3)="LED",3,2)),IF(User_Inputs!$D$4="Frozen Efficiency",$F131,VLOOKUP(AC$3-Tech_Specs!$C23,Bass_Curve,IF(LEFT($B131,3)="LED",3,2)))),)</f>
        <v>0.9984693766950139</v>
      </c>
      <c r="AD131" s="374">
        <f>IF(AD$3&gt;=Tech_Specs!$C23,IF(AD$3=2010,VLOOKUP(AD$3-Tech_Specs!$C23,Bass_Curve,IF(LEFT($B131,3)="LED",3,2)),IF(User_Inputs!$D$4="Frozen Efficiency",$F131,VLOOKUP(AD$3-Tech_Specs!$C23,Bass_Curve,IF(LEFT($B131,3)="LED",3,2)))),)</f>
        <v>0.99890231984592681</v>
      </c>
      <c r="AE131" s="374">
        <f>IF(AE$3&gt;=Tech_Specs!$C23,IF(AE$3=2010,VLOOKUP(AE$3-Tech_Specs!$C23,Bass_Curve,IF(LEFT($B131,3)="LED",3,2)),IF(User_Inputs!$D$4="Frozen Efficiency",$F131,VLOOKUP(AE$3-Tech_Specs!$C23,Bass_Curve,IF(LEFT($B131,3)="LED",3,2)))),)</f>
        <v>0.99921283993037913</v>
      </c>
    </row>
    <row r="132" spans="1:31" s="221" customFormat="1" x14ac:dyDescent="0.25">
      <c r="A132" s="356"/>
      <c r="B132" s="356" t="s">
        <v>29</v>
      </c>
      <c r="C132"/>
      <c r="D132"/>
      <c r="E132"/>
      <c r="F132" s="374">
        <f>IF(F$3&gt;=Tech_Specs!$C24,IF(F$3=2010,VLOOKUP(F$3-Tech_Specs!$C24,Bass_Curve,IF(LEFT($B132,3)="LED",3,2)),IF(User_Inputs!$D$4="Frozen Efficiency",$F132,VLOOKUP(F$3-Tech_Specs!$C24,Bass_Curve,IF(LEFT($B132,3)="LED",3,2)))),)</f>
        <v>2.573359512642789E-2</v>
      </c>
      <c r="G132" s="374">
        <f>IF(G$3&gt;=Tech_Specs!$C24,IF(G$3=2010,VLOOKUP(G$3-Tech_Specs!$C24,Bass_Curve,IF(LEFT($B132,3)="LED",3,2)),IF(User_Inputs!$D$4="Frozen Efficiency",$F132,VLOOKUP(G$3-Tech_Specs!$C24,Bass_Curve,IF(LEFT($B132,3)="LED",3,2)))),)</f>
        <v>4.6539757716903177E-2</v>
      </c>
      <c r="H132" s="374">
        <f>IF(H$3&gt;=Tech_Specs!$C24,IF(H$3=2010,VLOOKUP(H$3-Tech_Specs!$C24,Bass_Curve,IF(LEFT($B132,3)="LED",3,2)),IF(User_Inputs!$D$4="Frozen Efficiency",$F132,VLOOKUP(H$3-Tech_Specs!$C24,Bass_Curve,IF(LEFT($B132,3)="LED",3,2)))),)</f>
        <v>7.4754332929684128E-2</v>
      </c>
      <c r="I132" s="374">
        <f>IF(I$3&gt;=Tech_Specs!$C24,IF(I$3=2010,VLOOKUP(I$3-Tech_Specs!$C24,Bass_Curve,IF(LEFT($B132,3)="LED",3,2)),IF(User_Inputs!$D$4="Frozen Efficiency",$F132,VLOOKUP(I$3-Tech_Specs!$C24,Bass_Curve,IF(LEFT($B132,3)="LED",3,2)))),)</f>
        <v>0.11197478620001509</v>
      </c>
      <c r="J132" s="374">
        <f>IF(J$3&gt;=Tech_Specs!$C24,IF(J$3=2010,VLOOKUP(J$3-Tech_Specs!$C24,Bass_Curve,IF(LEFT($B132,3)="LED",3,2)),IF(User_Inputs!$D$4="Frozen Efficiency",$F132,VLOOKUP(J$3-Tech_Specs!$C24,Bass_Curve,IF(LEFT($B132,3)="LED",3,2)))),)</f>
        <v>0.15936056895239697</v>
      </c>
      <c r="K132" s="374">
        <f>IF(K$3&gt;=Tech_Specs!$C24,IF(K$3=2010,VLOOKUP(K$3-Tech_Specs!$C24,Bass_Curve,IF(LEFT($B132,3)="LED",3,2)),IF(User_Inputs!$D$4="Frozen Efficiency",$F132,VLOOKUP(K$3-Tech_Specs!$C24,Bass_Curve,IF(LEFT($B132,3)="LED",3,2)))),)</f>
        <v>0.21712504966565391</v>
      </c>
      <c r="L132" s="374">
        <f>IF(L$3&gt;=Tech_Specs!$C24,IF(L$3=2010,VLOOKUP(L$3-Tech_Specs!$C24,Bass_Curve,IF(LEFT($B132,3)="LED",3,2)),IF(User_Inputs!$D$4="Frozen Efficiency",$F132,VLOOKUP(L$3-Tech_Specs!$C24,Bass_Curve,IF(LEFT($B132,3)="LED",3,2)))),)</f>
        <v>0.28414080977412093</v>
      </c>
      <c r="M132" s="374">
        <f>IF(M$3&gt;=Tech_Specs!$C24,IF(M$3=2010,VLOOKUP(M$3-Tech_Specs!$C24,Bass_Curve,IF(LEFT($B132,3)="LED",3,2)),IF(User_Inputs!$D$4="Frozen Efficiency",$F132,VLOOKUP(M$3-Tech_Specs!$C24,Bass_Curve,IF(LEFT($B132,3)="LED",3,2)))),)</f>
        <v>0.35795009041805559</v>
      </c>
      <c r="N132" s="374">
        <f>IF(N$3&gt;=Tech_Specs!$C24,IF(N$3=2010,VLOOKUP(N$3-Tech_Specs!$C24,Bass_Curve,IF(LEFT($B132,3)="LED",3,2)),IF(User_Inputs!$D$4="Frozen Efficiency",$F132,VLOOKUP(N$3-Tech_Specs!$C24,Bass_Curve,IF(LEFT($B132,3)="LED",3,2)))),)</f>
        <v>0.43528730962994305</v>
      </c>
      <c r="O132" s="374">
        <f>IF(O$3&gt;=Tech_Specs!$C24,IF(O$3=2010,VLOOKUP(O$3-Tech_Specs!$C24,Bass_Curve,IF(LEFT($B132,3)="LED",3,2)),IF(User_Inputs!$D$4="Frozen Efficiency",$F132,VLOOKUP(O$3-Tech_Specs!$C24,Bass_Curve,IF(LEFT($B132,3)="LED",3,2)))),)</f>
        <v>0.51284484369923866</v>
      </c>
      <c r="P132" s="374">
        <f>IF(P$3&gt;=Tech_Specs!$C24,IF(P$3=2010,VLOOKUP(P$3-Tech_Specs!$C24,Bass_Curve,IF(LEFT($B132,3)="LED",3,2)),IF(User_Inputs!$D$4="Frozen Efficiency",$F132,VLOOKUP(P$3-Tech_Specs!$C24,Bass_Curve,IF(LEFT($B132,3)="LED",3,2)))),)</f>
        <v>0.58783004379238735</v>
      </c>
      <c r="Q132" s="374">
        <f>IF(Q$3&gt;=Tech_Specs!$C24,IF(Q$3=2010,VLOOKUP(Q$3-Tech_Specs!$C24,Bass_Curve,IF(LEFT($B132,3)="LED",3,2)),IF(User_Inputs!$D$4="Frozen Efficiency",$F132,VLOOKUP(Q$3-Tech_Specs!$C24,Bass_Curve,IF(LEFT($B132,3)="LED",3,2)))),)</f>
        <v>0.65810308249900329</v>
      </c>
      <c r="R132" s="374">
        <f>IF(R$3&gt;=Tech_Specs!$C24,IF(R$3=2010,VLOOKUP(R$3-Tech_Specs!$C24,Bass_Curve,IF(LEFT($B132,3)="LED",3,2)),IF(User_Inputs!$D$4="Frozen Efficiency",$F132,VLOOKUP(R$3-Tech_Specs!$C24,Bass_Curve,IF(LEFT($B132,3)="LED",3,2)))),)</f>
        <v>0.72206467330281499</v>
      </c>
      <c r="S132" s="374">
        <f>IF(S$3&gt;=Tech_Specs!$C24,IF(S$3=2010,VLOOKUP(S$3-Tech_Specs!$C24,Bass_Curve,IF(LEFT($B132,3)="LED",3,2)),IF(User_Inputs!$D$4="Frozen Efficiency",$F132,VLOOKUP(S$3-Tech_Specs!$C24,Bass_Curve,IF(LEFT($B132,3)="LED",3,2)))),)</f>
        <v>0.77856976904215913</v>
      </c>
      <c r="T132" s="374">
        <f>IF(T$3&gt;=Tech_Specs!$C24,IF(T$3=2010,VLOOKUP(T$3-Tech_Specs!$C24,Bass_Curve,IF(LEFT($B132,3)="LED",3,2)),IF(User_Inputs!$D$4="Frozen Efficiency",$F132,VLOOKUP(T$3-Tech_Specs!$C24,Bass_Curve,IF(LEFT($B132,3)="LED",3,2)))),)</f>
        <v>0.82696350840215249</v>
      </c>
      <c r="U132" s="374">
        <f>IF(U$3&gt;=Tech_Specs!$C24,IF(U$3=2010,VLOOKUP(U$3-Tech_Specs!$C24,Bass_Curve,IF(LEFT($B132,3)="LED",3,2)),IF(User_Inputs!$D$4="Frozen Efficiency",$F132,VLOOKUP(U$3-Tech_Specs!$C24,Bass_Curve,IF(LEFT($B132,3)="LED",3,2)))),)</f>
        <v>0.86714658256559263</v>
      </c>
      <c r="V132" s="374">
        <f>IF(V$3&gt;=Tech_Specs!$C24,IF(V$3=2010,VLOOKUP(V$3-Tech_Specs!$C24,Bass_Curve,IF(LEFT($B132,3)="LED",3,2)),IF(User_Inputs!$D$4="Frozen Efficiency",$F132,VLOOKUP(V$3-Tech_Specs!$C24,Bass_Curve,IF(LEFT($B132,3)="LED",3,2)))),)</f>
        <v>0.89955419985356344</v>
      </c>
      <c r="W132" s="374">
        <f>IF(W$3&gt;=Tech_Specs!$C24,IF(W$3=2010,VLOOKUP(W$3-Tech_Specs!$C24,Bass_Curve,IF(LEFT($B132,3)="LED",3,2)),IF(User_Inputs!$D$4="Frozen Efficiency",$F132,VLOOKUP(W$3-Tech_Specs!$C24,Bass_Curve,IF(LEFT($B132,3)="LED",3,2)))),)</f>
        <v>0.92502432100062038</v>
      </c>
      <c r="X132" s="374">
        <f>IF(X$3&gt;=Tech_Specs!$C24,IF(X$3=2010,VLOOKUP(X$3-Tech_Specs!$C24,Bass_Curve,IF(LEFT($B132,3)="LED",3,2)),IF(User_Inputs!$D$4="Frozen Efficiency",$F132,VLOOKUP(X$3-Tech_Specs!$C24,Bass_Curve,IF(LEFT($B132,3)="LED",3,2)))),)</f>
        <v>0.94461059131409331</v>
      </c>
      <c r="Y132" s="374">
        <f>IF(Y$3&gt;=Tech_Specs!$C24,IF(Y$3=2010,VLOOKUP(Y$3-Tech_Specs!$C24,Bass_Curve,IF(LEFT($B132,3)="LED",3,2)),IF(User_Inputs!$D$4="Frozen Efficiency",$F132,VLOOKUP(Y$3-Tech_Specs!$C24,Bass_Curve,IF(LEFT($B132,3)="LED",3,2)))),)</f>
        <v>0.95940876722590474</v>
      </c>
      <c r="Z132" s="374">
        <f>IF(Z$3&gt;=Tech_Specs!$C24,IF(Z$3=2010,VLOOKUP(Z$3-Tech_Specs!$C24,Bass_Curve,IF(LEFT($B132,3)="LED",3,2)),IF(User_Inputs!$D$4="Frozen Efficiency",$F132,VLOOKUP(Z$3-Tech_Specs!$C24,Bass_Curve,IF(LEFT($B132,3)="LED",3,2)))),)</f>
        <v>0.97043561397505118</v>
      </c>
      <c r="AA132" s="374">
        <f>IF(AA$3&gt;=Tech_Specs!$C24,IF(AA$3=2010,VLOOKUP(AA$3-Tech_Specs!$C24,Bass_Curve,IF(LEFT($B132,3)="LED",3,2)),IF(User_Inputs!$D$4="Frozen Efficiency",$F132,VLOOKUP(AA$3-Tech_Specs!$C24,Bass_Curve,IF(LEFT($B132,3)="LED",3,2)))),)</f>
        <v>0.97856563119743434</v>
      </c>
      <c r="AB132" s="374">
        <f>IF(AB$3&gt;=Tech_Specs!$C24,IF(AB$3=2010,VLOOKUP(AB$3-Tech_Specs!$C24,Bass_Curve,IF(LEFT($B132,3)="LED",3,2)),IF(User_Inputs!$D$4="Frozen Efficiency",$F132,VLOOKUP(AB$3-Tech_Specs!$C24,Bass_Curve,IF(LEFT($B132,3)="LED",3,2)))),)</f>
        <v>0.98451232141945333</v>
      </c>
      <c r="AC132" s="374">
        <f>IF(AC$3&gt;=Tech_Specs!$C24,IF(AC$3=2010,VLOOKUP(AC$3-Tech_Specs!$C24,Bass_Curve,IF(LEFT($B132,3)="LED",3,2)),IF(User_Inputs!$D$4="Frozen Efficiency",$F132,VLOOKUP(AC$3-Tech_Specs!$C24,Bass_Curve,IF(LEFT($B132,3)="LED",3,2)))),)</f>
        <v>0.98883650057565198</v>
      </c>
      <c r="AD132" s="374">
        <f>IF(AD$3&gt;=Tech_Specs!$C24,IF(AD$3=2010,VLOOKUP(AD$3-Tech_Specs!$C24,Bass_Curve,IF(LEFT($B132,3)="LED",3,2)),IF(User_Inputs!$D$4="Frozen Efficiency",$F132,VLOOKUP(AD$3-Tech_Specs!$C24,Bass_Curve,IF(LEFT($B132,3)="LED",3,2)))),)</f>
        <v>0.99196738407609564</v>
      </c>
      <c r="AE132" s="374">
        <f>IF(AE$3&gt;=Tech_Specs!$C24,IF(AE$3=2010,VLOOKUP(AE$3-Tech_Specs!$C24,Bass_Curve,IF(LEFT($B132,3)="LED",3,2)),IF(User_Inputs!$D$4="Frozen Efficiency",$F132,VLOOKUP(AE$3-Tech_Specs!$C24,Bass_Curve,IF(LEFT($B132,3)="LED",3,2)))),)</f>
        <v>0.99422726069133227</v>
      </c>
    </row>
    <row r="133" spans="1:31" s="221" customFormat="1" x14ac:dyDescent="0.25">
      <c r="A133" s="356"/>
      <c r="B133" s="356"/>
      <c r="C133"/>
      <c r="D133"/>
      <c r="E133"/>
      <c r="F133"/>
      <c r="G133"/>
      <c r="H133"/>
      <c r="I133"/>
      <c r="J133"/>
      <c r="K133"/>
      <c r="L133"/>
      <c r="M133"/>
      <c r="N133"/>
      <c r="O133"/>
      <c r="P133"/>
      <c r="Q133"/>
      <c r="R133"/>
      <c r="S133"/>
      <c r="T133"/>
      <c r="U133"/>
      <c r="V133"/>
      <c r="W133"/>
      <c r="X133"/>
      <c r="Y133"/>
      <c r="Z133"/>
      <c r="AA133"/>
      <c r="AB133"/>
      <c r="AC133"/>
      <c r="AD133"/>
      <c r="AE133"/>
    </row>
    <row r="134" spans="1:31" s="202" customFormat="1" ht="12.75" x14ac:dyDescent="0.2">
      <c r="A134" s="364" t="s">
        <v>42</v>
      </c>
      <c r="B134" s="364"/>
      <c r="C134" s="364"/>
      <c r="D134" s="364"/>
      <c r="E134" s="364"/>
      <c r="F134" s="364"/>
      <c r="G134" s="364"/>
      <c r="H134" s="364"/>
      <c r="I134" s="364"/>
      <c r="J134" s="364"/>
      <c r="K134" s="364"/>
      <c r="L134" s="364"/>
      <c r="M134" s="364"/>
      <c r="N134" s="364"/>
      <c r="O134" s="364"/>
      <c r="P134" s="364"/>
      <c r="Q134" s="364"/>
      <c r="R134" s="364"/>
      <c r="S134" s="364"/>
      <c r="T134" s="364"/>
      <c r="U134" s="364"/>
      <c r="V134" s="364"/>
      <c r="W134" s="364"/>
      <c r="X134" s="364"/>
      <c r="Y134" s="364"/>
      <c r="Z134" s="364"/>
      <c r="AA134" s="364"/>
      <c r="AB134" s="364"/>
      <c r="AC134" s="364"/>
      <c r="AD134" s="364"/>
      <c r="AE134" s="364"/>
    </row>
    <row r="135" spans="1:31" s="221" customFormat="1" x14ac:dyDescent="0.25">
      <c r="A135" s="356"/>
      <c r="B135" s="358" t="s">
        <v>43</v>
      </c>
      <c r="C135"/>
      <c r="D135"/>
      <c r="E135"/>
      <c r="F135" s="374">
        <f>IF(F$3&gt;=Tech_Specs!$C27,IF(F$3=2010,VLOOKUP(F$3-Tech_Specs!$C27,Bass_Curve,IF(LEFT($B135,3)="LED",3,2)),IF(User_Inputs!$D$4="Frozen Efficiency",$F135,VLOOKUP(F$3-Tech_Specs!$C27,Bass_Curve,IF(LEFT($B135,3)="LED",3,2)))),)</f>
        <v>0.99999998049294159</v>
      </c>
      <c r="G135" s="374">
        <f>IF(G$3&gt;=Tech_Specs!$C27,IF(G$3=2010,VLOOKUP(G$3-Tech_Specs!$C27,Bass_Curve,IF(LEFT($B135,3)="LED",3,2)),IF(User_Inputs!$D$4="Frozen Efficiency",$F135,VLOOKUP(G$3-Tech_Specs!$C27,Bass_Curve,IF(LEFT($B135,3)="LED",3,2)))),)</f>
        <v>0.99999998049294159</v>
      </c>
      <c r="H135" s="374">
        <f>IF(H$3&gt;=Tech_Specs!$C27,IF(H$3=2010,VLOOKUP(H$3-Tech_Specs!$C27,Bass_Curve,IF(LEFT($B135,3)="LED",3,2)),IF(User_Inputs!$D$4="Frozen Efficiency",$F135,VLOOKUP(H$3-Tech_Specs!$C27,Bass_Curve,IF(LEFT($B135,3)="LED",3,2)))),)</f>
        <v>0.99999998049294159</v>
      </c>
      <c r="I135" s="374">
        <f>IF(I$3&gt;=Tech_Specs!$C27,IF(I$3=2010,VLOOKUP(I$3-Tech_Specs!$C27,Bass_Curve,IF(LEFT($B135,3)="LED",3,2)),IF(User_Inputs!$D$4="Frozen Efficiency",$F135,VLOOKUP(I$3-Tech_Specs!$C27,Bass_Curve,IF(LEFT($B135,3)="LED",3,2)))),)</f>
        <v>0.99999998049294159</v>
      </c>
      <c r="J135" s="374">
        <f>IF(J$3&gt;=Tech_Specs!$C27,IF(J$3=2010,VLOOKUP(J$3-Tech_Specs!$C27,Bass_Curve,IF(LEFT($B135,3)="LED",3,2)),IF(User_Inputs!$D$4="Frozen Efficiency",$F135,VLOOKUP(J$3-Tech_Specs!$C27,Bass_Curve,IF(LEFT($B135,3)="LED",3,2)))),)</f>
        <v>0.99999998049294159</v>
      </c>
      <c r="K135" s="374">
        <f>IF(K$3&gt;=Tech_Specs!$C27,IF(K$3=2010,VLOOKUP(K$3-Tech_Specs!$C27,Bass_Curve,IF(LEFT($B135,3)="LED",3,2)),IF(User_Inputs!$D$4="Frozen Efficiency",$F135,VLOOKUP(K$3-Tech_Specs!$C27,Bass_Curve,IF(LEFT($B135,3)="LED",3,2)))),)</f>
        <v>0.99999998049294159</v>
      </c>
      <c r="L135" s="374">
        <f>IF(L$3&gt;=Tech_Specs!$C27,IF(L$3=2010,VLOOKUP(L$3-Tech_Specs!$C27,Bass_Curve,IF(LEFT($B135,3)="LED",3,2)),IF(User_Inputs!$D$4="Frozen Efficiency",$F135,VLOOKUP(L$3-Tech_Specs!$C27,Bass_Curve,IF(LEFT($B135,3)="LED",3,2)))),)</f>
        <v>0.99999998049294159</v>
      </c>
      <c r="M135" s="374">
        <f>IF(M$3&gt;=Tech_Specs!$C27,IF(M$3=2010,VLOOKUP(M$3-Tech_Specs!$C27,Bass_Curve,IF(LEFT($B135,3)="LED",3,2)),IF(User_Inputs!$D$4="Frozen Efficiency",$F135,VLOOKUP(M$3-Tech_Specs!$C27,Bass_Curve,IF(LEFT($B135,3)="LED",3,2)))),)</f>
        <v>0.99999998049294159</v>
      </c>
      <c r="N135" s="374">
        <f>IF(N$3&gt;=Tech_Specs!$C27,IF(N$3=2010,VLOOKUP(N$3-Tech_Specs!$C27,Bass_Curve,IF(LEFT($B135,3)="LED",3,2)),IF(User_Inputs!$D$4="Frozen Efficiency",$F135,VLOOKUP(N$3-Tech_Specs!$C27,Bass_Curve,IF(LEFT($B135,3)="LED",3,2)))),)</f>
        <v>0.99999998049294159</v>
      </c>
      <c r="O135" s="374">
        <f>IF(O$3&gt;=Tech_Specs!$C27,IF(O$3=2010,VLOOKUP(O$3-Tech_Specs!$C27,Bass_Curve,IF(LEFT($B135,3)="LED",3,2)),IF(User_Inputs!$D$4="Frozen Efficiency",$F135,VLOOKUP(O$3-Tech_Specs!$C27,Bass_Curve,IF(LEFT($B135,3)="LED",3,2)))),)</f>
        <v>0.99999998049294159</v>
      </c>
      <c r="P135" s="374">
        <f>IF(P$3&gt;=Tech_Specs!$C27,IF(P$3=2010,VLOOKUP(P$3-Tech_Specs!$C27,Bass_Curve,IF(LEFT($B135,3)="LED",3,2)),IF(User_Inputs!$D$4="Frozen Efficiency",$F135,VLOOKUP(P$3-Tech_Specs!$C27,Bass_Curve,IF(LEFT($B135,3)="LED",3,2)))),)</f>
        <v>0.99999998049294159</v>
      </c>
      <c r="Q135" s="374">
        <f>IF(Q$3&gt;=Tech_Specs!$C27,IF(Q$3=2010,VLOOKUP(Q$3-Tech_Specs!$C27,Bass_Curve,IF(LEFT($B135,3)="LED",3,2)),IF(User_Inputs!$D$4="Frozen Efficiency",$F135,VLOOKUP(Q$3-Tech_Specs!$C27,Bass_Curve,IF(LEFT($B135,3)="LED",3,2)))),)</f>
        <v>0.99999998049294159</v>
      </c>
      <c r="R135" s="374">
        <f>IF(R$3&gt;=Tech_Specs!$C27,IF(R$3=2010,VLOOKUP(R$3-Tech_Specs!$C27,Bass_Curve,IF(LEFT($B135,3)="LED",3,2)),IF(User_Inputs!$D$4="Frozen Efficiency",$F135,VLOOKUP(R$3-Tech_Specs!$C27,Bass_Curve,IF(LEFT($B135,3)="LED",3,2)))),)</f>
        <v>0.99999998049294159</v>
      </c>
      <c r="S135" s="374">
        <f>IF(S$3&gt;=Tech_Specs!$C27,IF(S$3=2010,VLOOKUP(S$3-Tech_Specs!$C27,Bass_Curve,IF(LEFT($B135,3)="LED",3,2)),IF(User_Inputs!$D$4="Frozen Efficiency",$F135,VLOOKUP(S$3-Tech_Specs!$C27,Bass_Curve,IF(LEFT($B135,3)="LED",3,2)))),)</f>
        <v>0.99999998049294159</v>
      </c>
      <c r="T135" s="374">
        <f>IF(T$3&gt;=Tech_Specs!$C27,IF(T$3=2010,VLOOKUP(T$3-Tech_Specs!$C27,Bass_Curve,IF(LEFT($B135,3)="LED",3,2)),IF(User_Inputs!$D$4="Frozen Efficiency",$F135,VLOOKUP(T$3-Tech_Specs!$C27,Bass_Curve,IF(LEFT($B135,3)="LED",3,2)))),)</f>
        <v>0.99999998049294159</v>
      </c>
      <c r="U135" s="374">
        <f>IF(U$3&gt;=Tech_Specs!$C27,IF(U$3=2010,VLOOKUP(U$3-Tech_Specs!$C27,Bass_Curve,IF(LEFT($B135,3)="LED",3,2)),IF(User_Inputs!$D$4="Frozen Efficiency",$F135,VLOOKUP(U$3-Tech_Specs!$C27,Bass_Curve,IF(LEFT($B135,3)="LED",3,2)))),)</f>
        <v>0.99999998049294159</v>
      </c>
      <c r="V135" s="374">
        <f>IF(V$3&gt;=Tech_Specs!$C27,IF(V$3=2010,VLOOKUP(V$3-Tech_Specs!$C27,Bass_Curve,IF(LEFT($B135,3)="LED",3,2)),IF(User_Inputs!$D$4="Frozen Efficiency",$F135,VLOOKUP(V$3-Tech_Specs!$C27,Bass_Curve,IF(LEFT($B135,3)="LED",3,2)))),)</f>
        <v>0.99999998049294159</v>
      </c>
      <c r="W135" s="374">
        <f>IF(W$3&gt;=Tech_Specs!$C27,IF(W$3=2010,VLOOKUP(W$3-Tech_Specs!$C27,Bass_Curve,IF(LEFT($B135,3)="LED",3,2)),IF(User_Inputs!$D$4="Frozen Efficiency",$F135,VLOOKUP(W$3-Tech_Specs!$C27,Bass_Curve,IF(LEFT($B135,3)="LED",3,2)))),)</f>
        <v>0.99999998049294159</v>
      </c>
      <c r="X135" s="374">
        <f>IF(X$3&gt;=Tech_Specs!$C27,IF(X$3=2010,VLOOKUP(X$3-Tech_Specs!$C27,Bass_Curve,IF(LEFT($B135,3)="LED",3,2)),IF(User_Inputs!$D$4="Frozen Efficiency",$F135,VLOOKUP(X$3-Tech_Specs!$C27,Bass_Curve,IF(LEFT($B135,3)="LED",3,2)))),)</f>
        <v>0.99999998049294159</v>
      </c>
      <c r="Y135" s="374">
        <f>IF(Y$3&gt;=Tech_Specs!$C27,IF(Y$3=2010,VLOOKUP(Y$3-Tech_Specs!$C27,Bass_Curve,IF(LEFT($B135,3)="LED",3,2)),IF(User_Inputs!$D$4="Frozen Efficiency",$F135,VLOOKUP(Y$3-Tech_Specs!$C27,Bass_Curve,IF(LEFT($B135,3)="LED",3,2)))),)</f>
        <v>0.99999998049294159</v>
      </c>
      <c r="Z135" s="374">
        <f>IF(Z$3&gt;=Tech_Specs!$C27,IF(Z$3=2010,VLOOKUP(Z$3-Tech_Specs!$C27,Bass_Curve,IF(LEFT($B135,3)="LED",3,2)),IF(User_Inputs!$D$4="Frozen Efficiency",$F135,VLOOKUP(Z$3-Tech_Specs!$C27,Bass_Curve,IF(LEFT($B135,3)="LED",3,2)))),)</f>
        <v>0.99999998049294159</v>
      </c>
      <c r="AA135" s="374">
        <f>IF(AA$3&gt;=Tech_Specs!$C27,IF(AA$3=2010,VLOOKUP(AA$3-Tech_Specs!$C27,Bass_Curve,IF(LEFT($B135,3)="LED",3,2)),IF(User_Inputs!$D$4="Frozen Efficiency",$F135,VLOOKUP(AA$3-Tech_Specs!$C27,Bass_Curve,IF(LEFT($B135,3)="LED",3,2)))),)</f>
        <v>0.99999998049294159</v>
      </c>
      <c r="AB135" s="374">
        <f>IF(AB$3&gt;=Tech_Specs!$C27,IF(AB$3=2010,VLOOKUP(AB$3-Tech_Specs!$C27,Bass_Curve,IF(LEFT($B135,3)="LED",3,2)),IF(User_Inputs!$D$4="Frozen Efficiency",$F135,VLOOKUP(AB$3-Tech_Specs!$C27,Bass_Curve,IF(LEFT($B135,3)="LED",3,2)))),)</f>
        <v>0.99999998049294159</v>
      </c>
      <c r="AC135" s="374">
        <f>IF(AC$3&gt;=Tech_Specs!$C27,IF(AC$3=2010,VLOOKUP(AC$3-Tech_Specs!$C27,Bass_Curve,IF(LEFT($B135,3)="LED",3,2)),IF(User_Inputs!$D$4="Frozen Efficiency",$F135,VLOOKUP(AC$3-Tech_Specs!$C27,Bass_Curve,IF(LEFT($B135,3)="LED",3,2)))),)</f>
        <v>0.99999998049294159</v>
      </c>
      <c r="AD135" s="374">
        <f>IF(AD$3&gt;=Tech_Specs!$C27,IF(AD$3=2010,VLOOKUP(AD$3-Tech_Specs!$C27,Bass_Curve,IF(LEFT($B135,3)="LED",3,2)),IF(User_Inputs!$D$4="Frozen Efficiency",$F135,VLOOKUP(AD$3-Tech_Specs!$C27,Bass_Curve,IF(LEFT($B135,3)="LED",3,2)))),)</f>
        <v>0.99999998049294159</v>
      </c>
      <c r="AE135" s="374">
        <f>IF(AE$3&gt;=Tech_Specs!$C27,IF(AE$3=2010,VLOOKUP(AE$3-Tech_Specs!$C27,Bass_Curve,IF(LEFT($B135,3)="LED",3,2)),IF(User_Inputs!$D$4="Frozen Efficiency",$F135,VLOOKUP(AE$3-Tech_Specs!$C27,Bass_Curve,IF(LEFT($B135,3)="LED",3,2)))),)</f>
        <v>0.99999998049294159</v>
      </c>
    </row>
    <row r="136" spans="1:31" s="221" customFormat="1" x14ac:dyDescent="0.25">
      <c r="A136" s="356"/>
      <c r="B136" s="358" t="s">
        <v>44</v>
      </c>
      <c r="C136"/>
      <c r="D136"/>
      <c r="E136"/>
      <c r="F136" s="374">
        <f>IF(F$3&gt;=Tech_Specs!$C28,IF(F$3=2010,VLOOKUP(F$3-Tech_Specs!$C28,Bass_Curve,IF(LEFT($B136,3)="LED",3,2)),IF(User_Inputs!$D$4="Frozen Efficiency",$F136,VLOOKUP(F$3-Tech_Specs!$C28,Bass_Curve,IF(LEFT($B136,3)="LED",3,2)))),)</f>
        <v>0.99998536907810021</v>
      </c>
      <c r="G136" s="374">
        <f>IF(G$3&gt;=Tech_Specs!$C28,IF(G$3=2010,VLOOKUP(G$3-Tech_Specs!$C28,Bass_Curve,IF(LEFT($B136,3)="LED",3,2)),IF(User_Inputs!$D$4="Frozen Efficiency",$F136,VLOOKUP(G$3-Tech_Specs!$C28,Bass_Curve,IF(LEFT($B136,3)="LED",3,2)))),)</f>
        <v>0.99998949781098223</v>
      </c>
      <c r="H136" s="374">
        <f>IF(H$3&gt;=Tech_Specs!$C28,IF(H$3=2010,VLOOKUP(H$3-Tech_Specs!$C28,Bass_Curve,IF(LEFT($B136,3)="LED",3,2)),IF(User_Inputs!$D$4="Frozen Efficiency",$F136,VLOOKUP(H$3-Tech_Specs!$C28,Bass_Curve,IF(LEFT($B136,3)="LED",3,2)))),)</f>
        <v>0.99999246087225968</v>
      </c>
      <c r="I136" s="374">
        <f>IF(I$3&gt;=Tech_Specs!$C28,IF(I$3=2010,VLOOKUP(I$3-Tech_Specs!$C28,Bass_Curve,IF(LEFT($B136,3)="LED",3,2)),IF(User_Inputs!$D$4="Frozen Efficiency",$F136,VLOOKUP(I$3-Tech_Specs!$C28,Bass_Curve,IF(LEFT($B136,3)="LED",3,2)))),)</f>
        <v>0.99999458754894088</v>
      </c>
      <c r="J136" s="374">
        <f>IF(J$3&gt;=Tech_Specs!$C28,IF(J$3=2010,VLOOKUP(J$3-Tech_Specs!$C28,Bass_Curve,IF(LEFT($B136,3)="LED",3,2)),IF(User_Inputs!$D$4="Frozen Efficiency",$F136,VLOOKUP(J$3-Tech_Specs!$C28,Bass_Curve,IF(LEFT($B136,3)="LED",3,2)))),)</f>
        <v>0.99999611405218891</v>
      </c>
      <c r="K136" s="374">
        <f>IF(K$3&gt;=Tech_Specs!$C28,IF(K$3=2010,VLOOKUP(K$3-Tech_Specs!$C28,Bass_Curve,IF(LEFT($B136,3)="LED",3,2)),IF(User_Inputs!$D$4="Frozen Efficiency",$F136,VLOOKUP(K$3-Tech_Specs!$C28,Bass_Curve,IF(LEFT($B136,3)="LED",3,2)))),)</f>
        <v>0.99999720984345863</v>
      </c>
      <c r="L136" s="374">
        <f>IF(L$3&gt;=Tech_Specs!$C28,IF(L$3=2010,VLOOKUP(L$3-Tech_Specs!$C28,Bass_Curve,IF(LEFT($B136,3)="LED",3,2)),IF(User_Inputs!$D$4="Frozen Efficiency",$F136,VLOOKUP(L$3-Tech_Specs!$C28,Bass_Curve,IF(LEFT($B136,3)="LED",3,2)))),)</f>
        <v>0.99999799650912424</v>
      </c>
      <c r="M136" s="374">
        <f>IF(M$3&gt;=Tech_Specs!$C28,IF(M$3=2010,VLOOKUP(M$3-Tech_Specs!$C28,Bass_Curve,IF(LEFT($B136,3)="LED",3,2)),IF(User_Inputs!$D$4="Frozen Efficiency",$F136,VLOOKUP(M$3-Tech_Specs!$C28,Bass_Curve,IF(LEFT($B136,3)="LED",3,2)))),)</f>
        <v>0.99999856129425391</v>
      </c>
      <c r="N136" s="374">
        <f>IF(N$3&gt;=Tech_Specs!$C28,IF(N$3=2010,VLOOKUP(N$3-Tech_Specs!$C28,Bass_Curve,IF(LEFT($B136,3)="LED",3,2)),IF(User_Inputs!$D$4="Frozen Efficiency",$F136,VLOOKUP(N$3-Tech_Specs!$C28,Bass_Curve,IF(LEFT($B136,3)="LED",3,2)))),)</f>
        <v>0.99999896680791711</v>
      </c>
      <c r="O136" s="374">
        <f>IF(O$3&gt;=Tech_Specs!$C28,IF(O$3=2010,VLOOKUP(O$3-Tech_Specs!$C28,Bass_Curve,IF(LEFT($B136,3)="LED",3,2)),IF(User_Inputs!$D$4="Frozen Efficiency",$F136,VLOOKUP(O$3-Tech_Specs!$C28,Bass_Curve,IF(LEFT($B136,3)="LED",3,2)))),)</f>
        <v>0.99999925798382638</v>
      </c>
      <c r="P136" s="374">
        <f>IF(P$3&gt;=Tech_Specs!$C28,IF(P$3=2010,VLOOKUP(P$3-Tech_Specs!$C28,Bass_Curve,IF(LEFT($B136,3)="LED",3,2)),IF(User_Inputs!$D$4="Frozen Efficiency",$F136,VLOOKUP(P$3-Tech_Specs!$C28,Bass_Curve,IF(LEFT($B136,3)="LED",3,2)))),)</f>
        <v>0.99999946707306653</v>
      </c>
      <c r="Q136" s="374">
        <f>IF(Q$3&gt;=Tech_Specs!$C28,IF(Q$3=2010,VLOOKUP(Q$3-Tech_Specs!$C28,Bass_Curve,IF(LEFT($B136,3)="LED",3,2)),IF(User_Inputs!$D$4="Frozen Efficiency",$F136,VLOOKUP(Q$3-Tech_Specs!$C28,Bass_Curve,IF(LEFT($B136,3)="LED",3,2)))),)</f>
        <v>0.99999961722567021</v>
      </c>
      <c r="R136" s="374">
        <f>IF(R$3&gt;=Tech_Specs!$C28,IF(R$3=2010,VLOOKUP(R$3-Tech_Specs!$C28,Bass_Curve,IF(LEFT($B136,3)="LED",3,2)),IF(User_Inputs!$D$4="Frozen Efficiency",$F136,VLOOKUP(R$3-Tech_Specs!$C28,Bass_Curve,IF(LEFT($B136,3)="LED",3,2)))),)</f>
        <v>0.99999972506016011</v>
      </c>
      <c r="S136" s="374">
        <f>IF(S$3&gt;=Tech_Specs!$C28,IF(S$3=2010,VLOOKUP(S$3-Tech_Specs!$C28,Bass_Curve,IF(LEFT($B136,3)="LED",3,2)),IF(User_Inputs!$D$4="Frozen Efficiency",$F136,VLOOKUP(S$3-Tech_Specs!$C28,Bass_Curve,IF(LEFT($B136,3)="LED",3,2)))),)</f>
        <v>0.99999980250721576</v>
      </c>
      <c r="T136" s="374">
        <f>IF(T$3&gt;=Tech_Specs!$C28,IF(T$3=2010,VLOOKUP(T$3-Tech_Specs!$C28,Bass_Curve,IF(LEFT($B136,3)="LED",3,2)),IF(User_Inputs!$D$4="Frozen Efficiency",$F136,VLOOKUP(T$3-Tech_Specs!$C28,Bass_Curve,IF(LEFT($B136,3)="LED",3,2)))),)</f>
        <v>0.99999985813264225</v>
      </c>
      <c r="U136" s="374">
        <f>IF(U$3&gt;=Tech_Specs!$C28,IF(U$3=2010,VLOOKUP(U$3-Tech_Specs!$C28,Bass_Curve,IF(LEFT($B136,3)="LED",3,2)),IF(User_Inputs!$D$4="Frozen Efficiency",$F136,VLOOKUP(U$3-Tech_Specs!$C28,Bass_Curve,IF(LEFT($B136,3)="LED",3,2)))),)</f>
        <v>0.99999989808679191</v>
      </c>
      <c r="V136" s="374">
        <f>IF(V$3&gt;=Tech_Specs!$C28,IF(V$3=2010,VLOOKUP(V$3-Tech_Specs!$C28,Bass_Curve,IF(LEFT($B136,3)="LED",3,2)),IF(User_Inputs!$D$4="Frozen Efficiency",$F136,VLOOKUP(V$3-Tech_Specs!$C28,Bass_Curve,IF(LEFT($B136,3)="LED",3,2)))),)</f>
        <v>0.99999992678597005</v>
      </c>
      <c r="W136" s="374">
        <f>IF(W$3&gt;=Tech_Specs!$C28,IF(W$3=2010,VLOOKUP(W$3-Tech_Specs!$C28,Bass_Curve,IF(LEFT($B136,3)="LED",3,2)),IF(User_Inputs!$D$4="Frozen Efficiency",$F136,VLOOKUP(W$3-Tech_Specs!$C28,Bass_Curve,IF(LEFT($B136,3)="LED",3,2)))),)</f>
        <v>0.99999994740152531</v>
      </c>
      <c r="X136" s="374">
        <f>IF(X$3&gt;=Tech_Specs!$C28,IF(X$3=2010,VLOOKUP(X$3-Tech_Specs!$C28,Bass_Curve,IF(LEFT($B136,3)="LED",3,2)),IF(User_Inputs!$D$4="Frozen Efficiency",$F136,VLOOKUP(X$3-Tech_Specs!$C28,Bass_Curve,IF(LEFT($B136,3)="LED",3,2)))),)</f>
        <v>0.99999996221093224</v>
      </c>
      <c r="Y136" s="374">
        <f>IF(Y$3&gt;=Tech_Specs!$C28,IF(Y$3=2010,VLOOKUP(Y$3-Tech_Specs!$C28,Bass_Curve,IF(LEFT($B136,3)="LED",3,2)),IF(User_Inputs!$D$4="Frozen Efficiency",$F136,VLOOKUP(Y$3-Tech_Specs!$C28,Bass_Curve,IF(LEFT($B136,3)="LED",3,2)))),)</f>
        <v>0.99999997284982522</v>
      </c>
      <c r="Z136" s="374">
        <f>IF(Z$3&gt;=Tech_Specs!$C28,IF(Z$3=2010,VLOOKUP(Z$3-Tech_Specs!$C28,Bass_Curve,IF(LEFT($B136,3)="LED",3,2)),IF(User_Inputs!$D$4="Frozen Efficiency",$F136,VLOOKUP(Z$3-Tech_Specs!$C28,Bass_Curve,IF(LEFT($B136,3)="LED",3,2)))),)</f>
        <v>0.99999998049294159</v>
      </c>
      <c r="AA136" s="374">
        <f>IF(AA$3&gt;=Tech_Specs!$C28,IF(AA$3=2010,VLOOKUP(AA$3-Tech_Specs!$C28,Bass_Curve,IF(LEFT($B136,3)="LED",3,2)),IF(User_Inputs!$D$4="Frozen Efficiency",$F136,VLOOKUP(AA$3-Tech_Specs!$C28,Bass_Curve,IF(LEFT($B136,3)="LED",3,2)))),)</f>
        <v>0.99999998049294159</v>
      </c>
      <c r="AB136" s="374">
        <f>IF(AB$3&gt;=Tech_Specs!$C28,IF(AB$3=2010,VLOOKUP(AB$3-Tech_Specs!$C28,Bass_Curve,IF(LEFT($B136,3)="LED",3,2)),IF(User_Inputs!$D$4="Frozen Efficiency",$F136,VLOOKUP(AB$3-Tech_Specs!$C28,Bass_Curve,IF(LEFT($B136,3)="LED",3,2)))),)</f>
        <v>0.99999998049294159</v>
      </c>
      <c r="AC136" s="374">
        <f>IF(AC$3&gt;=Tech_Specs!$C28,IF(AC$3=2010,VLOOKUP(AC$3-Tech_Specs!$C28,Bass_Curve,IF(LEFT($B136,3)="LED",3,2)),IF(User_Inputs!$D$4="Frozen Efficiency",$F136,VLOOKUP(AC$3-Tech_Specs!$C28,Bass_Curve,IF(LEFT($B136,3)="LED",3,2)))),)</f>
        <v>0.99999998049294159</v>
      </c>
      <c r="AD136" s="374">
        <f>IF(AD$3&gt;=Tech_Specs!$C28,IF(AD$3=2010,VLOOKUP(AD$3-Tech_Specs!$C28,Bass_Curve,IF(LEFT($B136,3)="LED",3,2)),IF(User_Inputs!$D$4="Frozen Efficiency",$F136,VLOOKUP(AD$3-Tech_Specs!$C28,Bass_Curve,IF(LEFT($B136,3)="LED",3,2)))),)</f>
        <v>0.99999998049294159</v>
      </c>
      <c r="AE136" s="374">
        <f>IF(AE$3&gt;=Tech_Specs!$C28,IF(AE$3=2010,VLOOKUP(AE$3-Tech_Specs!$C28,Bass_Curve,IF(LEFT($B136,3)="LED",3,2)),IF(User_Inputs!$D$4="Frozen Efficiency",$F136,VLOOKUP(AE$3-Tech_Specs!$C28,Bass_Curve,IF(LEFT($B136,3)="LED",3,2)))),)</f>
        <v>0.99999998049294159</v>
      </c>
    </row>
    <row r="137" spans="1:31" s="221" customFormat="1" x14ac:dyDescent="0.25">
      <c r="A137" s="356"/>
      <c r="B137" s="358" t="s">
        <v>45</v>
      </c>
      <c r="C137"/>
      <c r="D137"/>
      <c r="E137"/>
      <c r="F137" s="374">
        <f>IF(F$3&gt;=Tech_Specs!$C29,IF(F$3=2010,VLOOKUP(F$3-Tech_Specs!$C29,Bass_Curve,IF(LEFT($B137,3)="LED",3,2)),IF(User_Inputs!$D$4="Frozen Efficiency",$F137,VLOOKUP(F$3-Tech_Specs!$C29,Bass_Curve,IF(LEFT($B137,3)="LED",3,2)))),)</f>
        <v>0.99999720984345863</v>
      </c>
      <c r="G137" s="374">
        <f>IF(G$3&gt;=Tech_Specs!$C29,IF(G$3=2010,VLOOKUP(G$3-Tech_Specs!$C29,Bass_Curve,IF(LEFT($B137,3)="LED",3,2)),IF(User_Inputs!$D$4="Frozen Efficiency",$F137,VLOOKUP(G$3-Tech_Specs!$C29,Bass_Curve,IF(LEFT($B137,3)="LED",3,2)))),)</f>
        <v>0.99999799650912424</v>
      </c>
      <c r="H137" s="374">
        <f>IF(H$3&gt;=Tech_Specs!$C29,IF(H$3=2010,VLOOKUP(H$3-Tech_Specs!$C29,Bass_Curve,IF(LEFT($B137,3)="LED",3,2)),IF(User_Inputs!$D$4="Frozen Efficiency",$F137,VLOOKUP(H$3-Tech_Specs!$C29,Bass_Curve,IF(LEFT($B137,3)="LED",3,2)))),)</f>
        <v>0.99999856129425391</v>
      </c>
      <c r="I137" s="374">
        <f>IF(I$3&gt;=Tech_Specs!$C29,IF(I$3=2010,VLOOKUP(I$3-Tech_Specs!$C29,Bass_Curve,IF(LEFT($B137,3)="LED",3,2)),IF(User_Inputs!$D$4="Frozen Efficiency",$F137,VLOOKUP(I$3-Tech_Specs!$C29,Bass_Curve,IF(LEFT($B137,3)="LED",3,2)))),)</f>
        <v>0.99999896680791711</v>
      </c>
      <c r="J137" s="374">
        <f>IF(J$3&gt;=Tech_Specs!$C29,IF(J$3=2010,VLOOKUP(J$3-Tech_Specs!$C29,Bass_Curve,IF(LEFT($B137,3)="LED",3,2)),IF(User_Inputs!$D$4="Frozen Efficiency",$F137,VLOOKUP(J$3-Tech_Specs!$C29,Bass_Curve,IF(LEFT($B137,3)="LED",3,2)))),)</f>
        <v>0.99999925798382638</v>
      </c>
      <c r="K137" s="374">
        <f>IF(K$3&gt;=Tech_Specs!$C29,IF(K$3=2010,VLOOKUP(K$3-Tech_Specs!$C29,Bass_Curve,IF(LEFT($B137,3)="LED",3,2)),IF(User_Inputs!$D$4="Frozen Efficiency",$F137,VLOOKUP(K$3-Tech_Specs!$C29,Bass_Curve,IF(LEFT($B137,3)="LED",3,2)))),)</f>
        <v>0.99999946707306653</v>
      </c>
      <c r="L137" s="374">
        <f>IF(L$3&gt;=Tech_Specs!$C29,IF(L$3=2010,VLOOKUP(L$3-Tech_Specs!$C29,Bass_Curve,IF(LEFT($B137,3)="LED",3,2)),IF(User_Inputs!$D$4="Frozen Efficiency",$F137,VLOOKUP(L$3-Tech_Specs!$C29,Bass_Curve,IF(LEFT($B137,3)="LED",3,2)))),)</f>
        <v>0.99999961722567021</v>
      </c>
      <c r="M137" s="374">
        <f>IF(M$3&gt;=Tech_Specs!$C29,IF(M$3=2010,VLOOKUP(M$3-Tech_Specs!$C29,Bass_Curve,IF(LEFT($B137,3)="LED",3,2)),IF(User_Inputs!$D$4="Frozen Efficiency",$F137,VLOOKUP(M$3-Tech_Specs!$C29,Bass_Curve,IF(LEFT($B137,3)="LED",3,2)))),)</f>
        <v>0.99999972506016011</v>
      </c>
      <c r="N137" s="374">
        <f>IF(N$3&gt;=Tech_Specs!$C29,IF(N$3=2010,VLOOKUP(N$3-Tech_Specs!$C29,Bass_Curve,IF(LEFT($B137,3)="LED",3,2)),IF(User_Inputs!$D$4="Frozen Efficiency",$F137,VLOOKUP(N$3-Tech_Specs!$C29,Bass_Curve,IF(LEFT($B137,3)="LED",3,2)))),)</f>
        <v>0.99999980250721576</v>
      </c>
      <c r="O137" s="374">
        <f>IF(O$3&gt;=Tech_Specs!$C29,IF(O$3=2010,VLOOKUP(O$3-Tech_Specs!$C29,Bass_Curve,IF(LEFT($B137,3)="LED",3,2)),IF(User_Inputs!$D$4="Frozen Efficiency",$F137,VLOOKUP(O$3-Tech_Specs!$C29,Bass_Curve,IF(LEFT($B137,3)="LED",3,2)))),)</f>
        <v>0.99999985813264225</v>
      </c>
      <c r="P137" s="374">
        <f>IF(P$3&gt;=Tech_Specs!$C29,IF(P$3=2010,VLOOKUP(P$3-Tech_Specs!$C29,Bass_Curve,IF(LEFT($B137,3)="LED",3,2)),IF(User_Inputs!$D$4="Frozen Efficiency",$F137,VLOOKUP(P$3-Tech_Specs!$C29,Bass_Curve,IF(LEFT($B137,3)="LED",3,2)))),)</f>
        <v>0.99999989808679191</v>
      </c>
      <c r="Q137" s="374">
        <f>IF(Q$3&gt;=Tech_Specs!$C29,IF(Q$3=2010,VLOOKUP(Q$3-Tech_Specs!$C29,Bass_Curve,IF(LEFT($B137,3)="LED",3,2)),IF(User_Inputs!$D$4="Frozen Efficiency",$F137,VLOOKUP(Q$3-Tech_Specs!$C29,Bass_Curve,IF(LEFT($B137,3)="LED",3,2)))),)</f>
        <v>0.99999992678597005</v>
      </c>
      <c r="R137" s="374">
        <f>IF(R$3&gt;=Tech_Specs!$C29,IF(R$3=2010,VLOOKUP(R$3-Tech_Specs!$C29,Bass_Curve,IF(LEFT($B137,3)="LED",3,2)),IF(User_Inputs!$D$4="Frozen Efficiency",$F137,VLOOKUP(R$3-Tech_Specs!$C29,Bass_Curve,IF(LEFT($B137,3)="LED",3,2)))),)</f>
        <v>0.99999994740152531</v>
      </c>
      <c r="S137" s="374">
        <f>IF(S$3&gt;=Tech_Specs!$C29,IF(S$3=2010,VLOOKUP(S$3-Tech_Specs!$C29,Bass_Curve,IF(LEFT($B137,3)="LED",3,2)),IF(User_Inputs!$D$4="Frozen Efficiency",$F137,VLOOKUP(S$3-Tech_Specs!$C29,Bass_Curve,IF(LEFT($B137,3)="LED",3,2)))),)</f>
        <v>0.99999996221093224</v>
      </c>
      <c r="T137" s="374">
        <f>IF(T$3&gt;=Tech_Specs!$C29,IF(T$3=2010,VLOOKUP(T$3-Tech_Specs!$C29,Bass_Curve,IF(LEFT($B137,3)="LED",3,2)),IF(User_Inputs!$D$4="Frozen Efficiency",$F137,VLOOKUP(T$3-Tech_Specs!$C29,Bass_Curve,IF(LEFT($B137,3)="LED",3,2)))),)</f>
        <v>0.99999997284982522</v>
      </c>
      <c r="U137" s="374">
        <f>IF(U$3&gt;=Tech_Specs!$C29,IF(U$3=2010,VLOOKUP(U$3-Tech_Specs!$C29,Bass_Curve,IF(LEFT($B137,3)="LED",3,2)),IF(User_Inputs!$D$4="Frozen Efficiency",$F137,VLOOKUP(U$3-Tech_Specs!$C29,Bass_Curve,IF(LEFT($B137,3)="LED",3,2)))),)</f>
        <v>0.99999998049294159</v>
      </c>
      <c r="V137" s="374">
        <f>IF(V$3&gt;=Tech_Specs!$C29,IF(V$3=2010,VLOOKUP(V$3-Tech_Specs!$C29,Bass_Curve,IF(LEFT($B137,3)="LED",3,2)),IF(User_Inputs!$D$4="Frozen Efficiency",$F137,VLOOKUP(V$3-Tech_Specs!$C29,Bass_Curve,IF(LEFT($B137,3)="LED",3,2)))),)</f>
        <v>0.99999998049294159</v>
      </c>
      <c r="W137" s="374">
        <f>IF(W$3&gt;=Tech_Specs!$C29,IF(W$3=2010,VLOOKUP(W$3-Tech_Specs!$C29,Bass_Curve,IF(LEFT($B137,3)="LED",3,2)),IF(User_Inputs!$D$4="Frozen Efficiency",$F137,VLOOKUP(W$3-Tech_Specs!$C29,Bass_Curve,IF(LEFT($B137,3)="LED",3,2)))),)</f>
        <v>0.99999998049294159</v>
      </c>
      <c r="X137" s="374">
        <f>IF(X$3&gt;=Tech_Specs!$C29,IF(X$3=2010,VLOOKUP(X$3-Tech_Specs!$C29,Bass_Curve,IF(LEFT($B137,3)="LED",3,2)),IF(User_Inputs!$D$4="Frozen Efficiency",$F137,VLOOKUP(X$3-Tech_Specs!$C29,Bass_Curve,IF(LEFT($B137,3)="LED",3,2)))),)</f>
        <v>0.99999998049294159</v>
      </c>
      <c r="Y137" s="374">
        <f>IF(Y$3&gt;=Tech_Specs!$C29,IF(Y$3=2010,VLOOKUP(Y$3-Tech_Specs!$C29,Bass_Curve,IF(LEFT($B137,3)="LED",3,2)),IF(User_Inputs!$D$4="Frozen Efficiency",$F137,VLOOKUP(Y$3-Tech_Specs!$C29,Bass_Curve,IF(LEFT($B137,3)="LED",3,2)))),)</f>
        <v>0.99999998049294159</v>
      </c>
      <c r="Z137" s="374">
        <f>IF(Z$3&gt;=Tech_Specs!$C29,IF(Z$3=2010,VLOOKUP(Z$3-Tech_Specs!$C29,Bass_Curve,IF(LEFT($B137,3)="LED",3,2)),IF(User_Inputs!$D$4="Frozen Efficiency",$F137,VLOOKUP(Z$3-Tech_Specs!$C29,Bass_Curve,IF(LEFT($B137,3)="LED",3,2)))),)</f>
        <v>0.99999998049294159</v>
      </c>
      <c r="AA137" s="374">
        <f>IF(AA$3&gt;=Tech_Specs!$C29,IF(AA$3=2010,VLOOKUP(AA$3-Tech_Specs!$C29,Bass_Curve,IF(LEFT($B137,3)="LED",3,2)),IF(User_Inputs!$D$4="Frozen Efficiency",$F137,VLOOKUP(AA$3-Tech_Specs!$C29,Bass_Curve,IF(LEFT($B137,3)="LED",3,2)))),)</f>
        <v>0.99999998049294159</v>
      </c>
      <c r="AB137" s="374">
        <f>IF(AB$3&gt;=Tech_Specs!$C29,IF(AB$3=2010,VLOOKUP(AB$3-Tech_Specs!$C29,Bass_Curve,IF(LEFT($B137,3)="LED",3,2)),IF(User_Inputs!$D$4="Frozen Efficiency",$F137,VLOOKUP(AB$3-Tech_Specs!$C29,Bass_Curve,IF(LEFT($B137,3)="LED",3,2)))),)</f>
        <v>0.99999998049294159</v>
      </c>
      <c r="AC137" s="374">
        <f>IF(AC$3&gt;=Tech_Specs!$C29,IF(AC$3=2010,VLOOKUP(AC$3-Tech_Specs!$C29,Bass_Curve,IF(LEFT($B137,3)="LED",3,2)),IF(User_Inputs!$D$4="Frozen Efficiency",$F137,VLOOKUP(AC$3-Tech_Specs!$C29,Bass_Curve,IF(LEFT($B137,3)="LED",3,2)))),)</f>
        <v>0.99999998049294159</v>
      </c>
      <c r="AD137" s="374">
        <f>IF(AD$3&gt;=Tech_Specs!$C29,IF(AD$3=2010,VLOOKUP(AD$3-Tech_Specs!$C29,Bass_Curve,IF(LEFT($B137,3)="LED",3,2)),IF(User_Inputs!$D$4="Frozen Efficiency",$F137,VLOOKUP(AD$3-Tech_Specs!$C29,Bass_Curve,IF(LEFT($B137,3)="LED",3,2)))),)</f>
        <v>0.99999998049294159</v>
      </c>
      <c r="AE137" s="374">
        <f>IF(AE$3&gt;=Tech_Specs!$C29,IF(AE$3=2010,VLOOKUP(AE$3-Tech_Specs!$C29,Bass_Curve,IF(LEFT($B137,3)="LED",3,2)),IF(User_Inputs!$D$4="Frozen Efficiency",$F137,VLOOKUP(AE$3-Tech_Specs!$C29,Bass_Curve,IF(LEFT($B137,3)="LED",3,2)))),)</f>
        <v>0.99999998049294159</v>
      </c>
    </row>
    <row r="138" spans="1:31" s="221" customFormat="1" x14ac:dyDescent="0.25">
      <c r="A138" s="356"/>
      <c r="B138" s="358" t="s">
        <v>46</v>
      </c>
      <c r="C138"/>
      <c r="D138"/>
      <c r="E138"/>
      <c r="F138" s="374">
        <f>IF(F$3&gt;=Tech_Specs!$C30,IF(F$3=2010,VLOOKUP(F$3-Tech_Specs!$C30,Bass_Curve,IF(LEFT($B138,3)="LED",3,2)),IF(User_Inputs!$D$4="Frozen Efficiency",$F138,VLOOKUP(F$3-Tech_Specs!$C30,Bass_Curve,IF(LEFT($B138,3)="LED",3,2)))),)</f>
        <v>0.99999989808679191</v>
      </c>
      <c r="G138" s="374">
        <f>IF(G$3&gt;=Tech_Specs!$C30,IF(G$3=2010,VLOOKUP(G$3-Tech_Specs!$C30,Bass_Curve,IF(LEFT($B138,3)="LED",3,2)),IF(User_Inputs!$D$4="Frozen Efficiency",$F138,VLOOKUP(G$3-Tech_Specs!$C30,Bass_Curve,IF(LEFT($B138,3)="LED",3,2)))),)</f>
        <v>0.99999992678597005</v>
      </c>
      <c r="H138" s="374">
        <f>IF(H$3&gt;=Tech_Specs!$C30,IF(H$3=2010,VLOOKUP(H$3-Tech_Specs!$C30,Bass_Curve,IF(LEFT($B138,3)="LED",3,2)),IF(User_Inputs!$D$4="Frozen Efficiency",$F138,VLOOKUP(H$3-Tech_Specs!$C30,Bass_Curve,IF(LEFT($B138,3)="LED",3,2)))),)</f>
        <v>0.99999994740152531</v>
      </c>
      <c r="I138" s="374">
        <f>IF(I$3&gt;=Tech_Specs!$C30,IF(I$3=2010,VLOOKUP(I$3-Tech_Specs!$C30,Bass_Curve,IF(LEFT($B138,3)="LED",3,2)),IF(User_Inputs!$D$4="Frozen Efficiency",$F138,VLOOKUP(I$3-Tech_Specs!$C30,Bass_Curve,IF(LEFT($B138,3)="LED",3,2)))),)</f>
        <v>0.99999996221093224</v>
      </c>
      <c r="J138" s="374">
        <f>IF(J$3&gt;=Tech_Specs!$C30,IF(J$3=2010,VLOOKUP(J$3-Tech_Specs!$C30,Bass_Curve,IF(LEFT($B138,3)="LED",3,2)),IF(User_Inputs!$D$4="Frozen Efficiency",$F138,VLOOKUP(J$3-Tech_Specs!$C30,Bass_Curve,IF(LEFT($B138,3)="LED",3,2)))),)</f>
        <v>0.99999997284982522</v>
      </c>
      <c r="K138" s="374">
        <f>IF(K$3&gt;=Tech_Specs!$C30,IF(K$3=2010,VLOOKUP(K$3-Tech_Specs!$C30,Bass_Curve,IF(LEFT($B138,3)="LED",3,2)),IF(User_Inputs!$D$4="Frozen Efficiency",$F138,VLOOKUP(K$3-Tech_Specs!$C30,Bass_Curve,IF(LEFT($B138,3)="LED",3,2)))),)</f>
        <v>0.99999998049294159</v>
      </c>
      <c r="L138" s="374">
        <f>IF(L$3&gt;=Tech_Specs!$C30,IF(L$3=2010,VLOOKUP(L$3-Tech_Specs!$C30,Bass_Curve,IF(LEFT($B138,3)="LED",3,2)),IF(User_Inputs!$D$4="Frozen Efficiency",$F138,VLOOKUP(L$3-Tech_Specs!$C30,Bass_Curve,IF(LEFT($B138,3)="LED",3,2)))),)</f>
        <v>0.99999998049294159</v>
      </c>
      <c r="M138" s="374">
        <f>IF(M$3&gt;=Tech_Specs!$C30,IF(M$3=2010,VLOOKUP(M$3-Tech_Specs!$C30,Bass_Curve,IF(LEFT($B138,3)="LED",3,2)),IF(User_Inputs!$D$4="Frozen Efficiency",$F138,VLOOKUP(M$3-Tech_Specs!$C30,Bass_Curve,IF(LEFT($B138,3)="LED",3,2)))),)</f>
        <v>0.99999998049294159</v>
      </c>
      <c r="N138" s="374">
        <f>IF(N$3&gt;=Tech_Specs!$C30,IF(N$3=2010,VLOOKUP(N$3-Tech_Specs!$C30,Bass_Curve,IF(LEFT($B138,3)="LED",3,2)),IF(User_Inputs!$D$4="Frozen Efficiency",$F138,VLOOKUP(N$3-Tech_Specs!$C30,Bass_Curve,IF(LEFT($B138,3)="LED",3,2)))),)</f>
        <v>0.99999998049294159</v>
      </c>
      <c r="O138" s="374">
        <f>IF(O$3&gt;=Tech_Specs!$C30,IF(O$3=2010,VLOOKUP(O$3-Tech_Specs!$C30,Bass_Curve,IF(LEFT($B138,3)="LED",3,2)),IF(User_Inputs!$D$4="Frozen Efficiency",$F138,VLOOKUP(O$3-Tech_Specs!$C30,Bass_Curve,IF(LEFT($B138,3)="LED",3,2)))),)</f>
        <v>0.99999998049294159</v>
      </c>
      <c r="P138" s="374">
        <f>IF(P$3&gt;=Tech_Specs!$C30,IF(P$3=2010,VLOOKUP(P$3-Tech_Specs!$C30,Bass_Curve,IF(LEFT($B138,3)="LED",3,2)),IF(User_Inputs!$D$4="Frozen Efficiency",$F138,VLOOKUP(P$3-Tech_Specs!$C30,Bass_Curve,IF(LEFT($B138,3)="LED",3,2)))),)</f>
        <v>0.99999998049294159</v>
      </c>
      <c r="Q138" s="374">
        <f>IF(Q$3&gt;=Tech_Specs!$C30,IF(Q$3=2010,VLOOKUP(Q$3-Tech_Specs!$C30,Bass_Curve,IF(LEFT($B138,3)="LED",3,2)),IF(User_Inputs!$D$4="Frozen Efficiency",$F138,VLOOKUP(Q$3-Tech_Specs!$C30,Bass_Curve,IF(LEFT($B138,3)="LED",3,2)))),)</f>
        <v>0.99999998049294159</v>
      </c>
      <c r="R138" s="374">
        <f>IF(R$3&gt;=Tech_Specs!$C30,IF(R$3=2010,VLOOKUP(R$3-Tech_Specs!$C30,Bass_Curve,IF(LEFT($B138,3)="LED",3,2)),IF(User_Inputs!$D$4="Frozen Efficiency",$F138,VLOOKUP(R$3-Tech_Specs!$C30,Bass_Curve,IF(LEFT($B138,3)="LED",3,2)))),)</f>
        <v>0.99999998049294159</v>
      </c>
      <c r="S138" s="374">
        <f>IF(S$3&gt;=Tech_Specs!$C30,IF(S$3=2010,VLOOKUP(S$3-Tech_Specs!$C30,Bass_Curve,IF(LEFT($B138,3)="LED",3,2)),IF(User_Inputs!$D$4="Frozen Efficiency",$F138,VLOOKUP(S$3-Tech_Specs!$C30,Bass_Curve,IF(LEFT($B138,3)="LED",3,2)))),)</f>
        <v>0.99999998049294159</v>
      </c>
      <c r="T138" s="374">
        <f>IF(T$3&gt;=Tech_Specs!$C30,IF(T$3=2010,VLOOKUP(T$3-Tech_Specs!$C30,Bass_Curve,IF(LEFT($B138,3)="LED",3,2)),IF(User_Inputs!$D$4="Frozen Efficiency",$F138,VLOOKUP(T$3-Tech_Specs!$C30,Bass_Curve,IF(LEFT($B138,3)="LED",3,2)))),)</f>
        <v>0.99999998049294159</v>
      </c>
      <c r="U138" s="374">
        <f>IF(U$3&gt;=Tech_Specs!$C30,IF(U$3=2010,VLOOKUP(U$3-Tech_Specs!$C30,Bass_Curve,IF(LEFT($B138,3)="LED",3,2)),IF(User_Inputs!$D$4="Frozen Efficiency",$F138,VLOOKUP(U$3-Tech_Specs!$C30,Bass_Curve,IF(LEFT($B138,3)="LED",3,2)))),)</f>
        <v>0.99999998049294159</v>
      </c>
      <c r="V138" s="374">
        <f>IF(V$3&gt;=Tech_Specs!$C30,IF(V$3=2010,VLOOKUP(V$3-Tech_Specs!$C30,Bass_Curve,IF(LEFT($B138,3)="LED",3,2)),IF(User_Inputs!$D$4="Frozen Efficiency",$F138,VLOOKUP(V$3-Tech_Specs!$C30,Bass_Curve,IF(LEFT($B138,3)="LED",3,2)))),)</f>
        <v>0.99999998049294159</v>
      </c>
      <c r="W138" s="374">
        <f>IF(W$3&gt;=Tech_Specs!$C30,IF(W$3=2010,VLOOKUP(W$3-Tech_Specs!$C30,Bass_Curve,IF(LEFT($B138,3)="LED",3,2)),IF(User_Inputs!$D$4="Frozen Efficiency",$F138,VLOOKUP(W$3-Tech_Specs!$C30,Bass_Curve,IF(LEFT($B138,3)="LED",3,2)))),)</f>
        <v>0.99999998049294159</v>
      </c>
      <c r="X138" s="374">
        <f>IF(X$3&gt;=Tech_Specs!$C30,IF(X$3=2010,VLOOKUP(X$3-Tech_Specs!$C30,Bass_Curve,IF(LEFT($B138,3)="LED",3,2)),IF(User_Inputs!$D$4="Frozen Efficiency",$F138,VLOOKUP(X$3-Tech_Specs!$C30,Bass_Curve,IF(LEFT($B138,3)="LED",3,2)))),)</f>
        <v>0.99999998049294159</v>
      </c>
      <c r="Y138" s="374">
        <f>IF(Y$3&gt;=Tech_Specs!$C30,IF(Y$3=2010,VLOOKUP(Y$3-Tech_Specs!$C30,Bass_Curve,IF(LEFT($B138,3)="LED",3,2)),IF(User_Inputs!$D$4="Frozen Efficiency",$F138,VLOOKUP(Y$3-Tech_Specs!$C30,Bass_Curve,IF(LEFT($B138,3)="LED",3,2)))),)</f>
        <v>0.99999998049294159</v>
      </c>
      <c r="Z138" s="374">
        <f>IF(Z$3&gt;=Tech_Specs!$C30,IF(Z$3=2010,VLOOKUP(Z$3-Tech_Specs!$C30,Bass_Curve,IF(LEFT($B138,3)="LED",3,2)),IF(User_Inputs!$D$4="Frozen Efficiency",$F138,VLOOKUP(Z$3-Tech_Specs!$C30,Bass_Curve,IF(LEFT($B138,3)="LED",3,2)))),)</f>
        <v>0.99999998049294159</v>
      </c>
      <c r="AA138" s="374">
        <f>IF(AA$3&gt;=Tech_Specs!$C30,IF(AA$3=2010,VLOOKUP(AA$3-Tech_Specs!$C30,Bass_Curve,IF(LEFT($B138,3)="LED",3,2)),IF(User_Inputs!$D$4="Frozen Efficiency",$F138,VLOOKUP(AA$3-Tech_Specs!$C30,Bass_Curve,IF(LEFT($B138,3)="LED",3,2)))),)</f>
        <v>0.99999998049294159</v>
      </c>
      <c r="AB138" s="374">
        <f>IF(AB$3&gt;=Tech_Specs!$C30,IF(AB$3=2010,VLOOKUP(AB$3-Tech_Specs!$C30,Bass_Curve,IF(LEFT($B138,3)="LED",3,2)),IF(User_Inputs!$D$4="Frozen Efficiency",$F138,VLOOKUP(AB$3-Tech_Specs!$C30,Bass_Curve,IF(LEFT($B138,3)="LED",3,2)))),)</f>
        <v>0.99999998049294159</v>
      </c>
      <c r="AC138" s="374">
        <f>IF(AC$3&gt;=Tech_Specs!$C30,IF(AC$3=2010,VLOOKUP(AC$3-Tech_Specs!$C30,Bass_Curve,IF(LEFT($B138,3)="LED",3,2)),IF(User_Inputs!$D$4="Frozen Efficiency",$F138,VLOOKUP(AC$3-Tech_Specs!$C30,Bass_Curve,IF(LEFT($B138,3)="LED",3,2)))),)</f>
        <v>0.99999998049294159</v>
      </c>
      <c r="AD138" s="374">
        <f>IF(AD$3&gt;=Tech_Specs!$C30,IF(AD$3=2010,VLOOKUP(AD$3-Tech_Specs!$C30,Bass_Curve,IF(LEFT($B138,3)="LED",3,2)),IF(User_Inputs!$D$4="Frozen Efficiency",$F138,VLOOKUP(AD$3-Tech_Specs!$C30,Bass_Curve,IF(LEFT($B138,3)="LED",3,2)))),)</f>
        <v>0.99999998049294159</v>
      </c>
      <c r="AE138" s="374">
        <f>IF(AE$3&gt;=Tech_Specs!$C30,IF(AE$3=2010,VLOOKUP(AE$3-Tech_Specs!$C30,Bass_Curve,IF(LEFT($B138,3)="LED",3,2)),IF(User_Inputs!$D$4="Frozen Efficiency",$F138,VLOOKUP(AE$3-Tech_Specs!$C30,Bass_Curve,IF(LEFT($B138,3)="LED",3,2)))),)</f>
        <v>0.99999998049294159</v>
      </c>
    </row>
    <row r="139" spans="1:31" s="221" customFormat="1" x14ac:dyDescent="0.25">
      <c r="A139" s="356"/>
      <c r="B139" s="356" t="s">
        <v>29</v>
      </c>
      <c r="C139"/>
      <c r="D139"/>
      <c r="E139"/>
      <c r="F139" s="374">
        <f>IF(F$3&gt;=Tech_Specs!$C31,IF(F$3=2010,VLOOKUP(F$3-Tech_Specs!$C31,Bass_Curve,IF(LEFT($B139,3)="LED",3,2)),IF(User_Inputs!$D$4="Frozen Efficiency",$F139,VLOOKUP(F$3-Tech_Specs!$C31,Bass_Curve,IF(LEFT($B139,3)="LED",3,2)))),)</f>
        <v>0.11197478620001509</v>
      </c>
      <c r="G139" s="374">
        <f>IF(G$3&gt;=Tech_Specs!$C31,IF(G$3=2010,VLOOKUP(G$3-Tech_Specs!$C31,Bass_Curve,IF(LEFT($B139,3)="LED",3,2)),IF(User_Inputs!$D$4="Frozen Efficiency",$F139,VLOOKUP(G$3-Tech_Specs!$C31,Bass_Curve,IF(LEFT($B139,3)="LED",3,2)))),)</f>
        <v>0.15936056895239697</v>
      </c>
      <c r="H139" s="374">
        <f>IF(H$3&gt;=Tech_Specs!$C31,IF(H$3=2010,VLOOKUP(H$3-Tech_Specs!$C31,Bass_Curve,IF(LEFT($B139,3)="LED",3,2)),IF(User_Inputs!$D$4="Frozen Efficiency",$F139,VLOOKUP(H$3-Tech_Specs!$C31,Bass_Curve,IF(LEFT($B139,3)="LED",3,2)))),)</f>
        <v>0.21712504966565391</v>
      </c>
      <c r="I139" s="374">
        <f>IF(I$3&gt;=Tech_Specs!$C31,IF(I$3=2010,VLOOKUP(I$3-Tech_Specs!$C31,Bass_Curve,IF(LEFT($B139,3)="LED",3,2)),IF(User_Inputs!$D$4="Frozen Efficiency",$F139,VLOOKUP(I$3-Tech_Specs!$C31,Bass_Curve,IF(LEFT($B139,3)="LED",3,2)))),)</f>
        <v>0.28414080977412093</v>
      </c>
      <c r="J139" s="374">
        <f>IF(J$3&gt;=Tech_Specs!$C31,IF(J$3=2010,VLOOKUP(J$3-Tech_Specs!$C31,Bass_Curve,IF(LEFT($B139,3)="LED",3,2)),IF(User_Inputs!$D$4="Frozen Efficiency",$F139,VLOOKUP(J$3-Tech_Specs!$C31,Bass_Curve,IF(LEFT($B139,3)="LED",3,2)))),)</f>
        <v>0.35795009041805559</v>
      </c>
      <c r="K139" s="374">
        <f>IF(K$3&gt;=Tech_Specs!$C31,IF(K$3=2010,VLOOKUP(K$3-Tech_Specs!$C31,Bass_Curve,IF(LEFT($B139,3)="LED",3,2)),IF(User_Inputs!$D$4="Frozen Efficiency",$F139,VLOOKUP(K$3-Tech_Specs!$C31,Bass_Curve,IF(LEFT($B139,3)="LED",3,2)))),)</f>
        <v>0.43528730962994305</v>
      </c>
      <c r="L139" s="374">
        <f>IF(L$3&gt;=Tech_Specs!$C31,IF(L$3=2010,VLOOKUP(L$3-Tech_Specs!$C31,Bass_Curve,IF(LEFT($B139,3)="LED",3,2)),IF(User_Inputs!$D$4="Frozen Efficiency",$F139,VLOOKUP(L$3-Tech_Specs!$C31,Bass_Curve,IF(LEFT($B139,3)="LED",3,2)))),)</f>
        <v>0.51284484369923866</v>
      </c>
      <c r="M139" s="374">
        <f>IF(M$3&gt;=Tech_Specs!$C31,IF(M$3=2010,VLOOKUP(M$3-Tech_Specs!$C31,Bass_Curve,IF(LEFT($B139,3)="LED",3,2)),IF(User_Inputs!$D$4="Frozen Efficiency",$F139,VLOOKUP(M$3-Tech_Specs!$C31,Bass_Curve,IF(LEFT($B139,3)="LED",3,2)))),)</f>
        <v>0.58783004379238735</v>
      </c>
      <c r="N139" s="374">
        <f>IF(N$3&gt;=Tech_Specs!$C31,IF(N$3=2010,VLOOKUP(N$3-Tech_Specs!$C31,Bass_Curve,IF(LEFT($B139,3)="LED",3,2)),IF(User_Inputs!$D$4="Frozen Efficiency",$F139,VLOOKUP(N$3-Tech_Specs!$C31,Bass_Curve,IF(LEFT($B139,3)="LED",3,2)))),)</f>
        <v>0.65810308249900329</v>
      </c>
      <c r="O139" s="374">
        <f>IF(O$3&gt;=Tech_Specs!$C31,IF(O$3=2010,VLOOKUP(O$3-Tech_Specs!$C31,Bass_Curve,IF(LEFT($B139,3)="LED",3,2)),IF(User_Inputs!$D$4="Frozen Efficiency",$F139,VLOOKUP(O$3-Tech_Specs!$C31,Bass_Curve,IF(LEFT($B139,3)="LED",3,2)))),)</f>
        <v>0.72206467330281499</v>
      </c>
      <c r="P139" s="374">
        <f>IF(P$3&gt;=Tech_Specs!$C31,IF(P$3=2010,VLOOKUP(P$3-Tech_Specs!$C31,Bass_Curve,IF(LEFT($B139,3)="LED",3,2)),IF(User_Inputs!$D$4="Frozen Efficiency",$F139,VLOOKUP(P$3-Tech_Specs!$C31,Bass_Curve,IF(LEFT($B139,3)="LED",3,2)))),)</f>
        <v>0.77856976904215913</v>
      </c>
      <c r="Q139" s="374">
        <f>IF(Q$3&gt;=Tech_Specs!$C31,IF(Q$3=2010,VLOOKUP(Q$3-Tech_Specs!$C31,Bass_Curve,IF(LEFT($B139,3)="LED",3,2)),IF(User_Inputs!$D$4="Frozen Efficiency",$F139,VLOOKUP(Q$3-Tech_Specs!$C31,Bass_Curve,IF(LEFT($B139,3)="LED",3,2)))),)</f>
        <v>0.82696350840215249</v>
      </c>
      <c r="R139" s="374">
        <f>IF(R$3&gt;=Tech_Specs!$C31,IF(R$3=2010,VLOOKUP(R$3-Tech_Specs!$C31,Bass_Curve,IF(LEFT($B139,3)="LED",3,2)),IF(User_Inputs!$D$4="Frozen Efficiency",$F139,VLOOKUP(R$3-Tech_Specs!$C31,Bass_Curve,IF(LEFT($B139,3)="LED",3,2)))),)</f>
        <v>0.86714658256559263</v>
      </c>
      <c r="S139" s="374">
        <f>IF(S$3&gt;=Tech_Specs!$C31,IF(S$3=2010,VLOOKUP(S$3-Tech_Specs!$C31,Bass_Curve,IF(LEFT($B139,3)="LED",3,2)),IF(User_Inputs!$D$4="Frozen Efficiency",$F139,VLOOKUP(S$3-Tech_Specs!$C31,Bass_Curve,IF(LEFT($B139,3)="LED",3,2)))),)</f>
        <v>0.89955419985356344</v>
      </c>
      <c r="T139" s="374">
        <f>IF(T$3&gt;=Tech_Specs!$C31,IF(T$3=2010,VLOOKUP(T$3-Tech_Specs!$C31,Bass_Curve,IF(LEFT($B139,3)="LED",3,2)),IF(User_Inputs!$D$4="Frozen Efficiency",$F139,VLOOKUP(T$3-Tech_Specs!$C31,Bass_Curve,IF(LEFT($B139,3)="LED",3,2)))),)</f>
        <v>0.92502432100062038</v>
      </c>
      <c r="U139" s="374">
        <f>IF(U$3&gt;=Tech_Specs!$C31,IF(U$3=2010,VLOOKUP(U$3-Tech_Specs!$C31,Bass_Curve,IF(LEFT($B139,3)="LED",3,2)),IF(User_Inputs!$D$4="Frozen Efficiency",$F139,VLOOKUP(U$3-Tech_Specs!$C31,Bass_Curve,IF(LEFT($B139,3)="LED",3,2)))),)</f>
        <v>0.94461059131409331</v>
      </c>
      <c r="V139" s="374">
        <f>IF(V$3&gt;=Tech_Specs!$C31,IF(V$3=2010,VLOOKUP(V$3-Tech_Specs!$C31,Bass_Curve,IF(LEFT($B139,3)="LED",3,2)),IF(User_Inputs!$D$4="Frozen Efficiency",$F139,VLOOKUP(V$3-Tech_Specs!$C31,Bass_Curve,IF(LEFT($B139,3)="LED",3,2)))),)</f>
        <v>0.95940876722590474</v>
      </c>
      <c r="W139" s="374">
        <f>IF(W$3&gt;=Tech_Specs!$C31,IF(W$3=2010,VLOOKUP(W$3-Tech_Specs!$C31,Bass_Curve,IF(LEFT($B139,3)="LED",3,2)),IF(User_Inputs!$D$4="Frozen Efficiency",$F139,VLOOKUP(W$3-Tech_Specs!$C31,Bass_Curve,IF(LEFT($B139,3)="LED",3,2)))),)</f>
        <v>0.97043561397505118</v>
      </c>
      <c r="X139" s="374">
        <f>IF(X$3&gt;=Tech_Specs!$C31,IF(X$3=2010,VLOOKUP(X$3-Tech_Specs!$C31,Bass_Curve,IF(LEFT($B139,3)="LED",3,2)),IF(User_Inputs!$D$4="Frozen Efficiency",$F139,VLOOKUP(X$3-Tech_Specs!$C31,Bass_Curve,IF(LEFT($B139,3)="LED",3,2)))),)</f>
        <v>0.97856563119743434</v>
      </c>
      <c r="Y139" s="374">
        <f>IF(Y$3&gt;=Tech_Specs!$C31,IF(Y$3=2010,VLOOKUP(Y$3-Tech_Specs!$C31,Bass_Curve,IF(LEFT($B139,3)="LED",3,2)),IF(User_Inputs!$D$4="Frozen Efficiency",$F139,VLOOKUP(Y$3-Tech_Specs!$C31,Bass_Curve,IF(LEFT($B139,3)="LED",3,2)))),)</f>
        <v>0.98451232141945333</v>
      </c>
      <c r="Z139" s="374">
        <f>IF(Z$3&gt;=Tech_Specs!$C31,IF(Z$3=2010,VLOOKUP(Z$3-Tech_Specs!$C31,Bass_Curve,IF(LEFT($B139,3)="LED",3,2)),IF(User_Inputs!$D$4="Frozen Efficiency",$F139,VLOOKUP(Z$3-Tech_Specs!$C31,Bass_Curve,IF(LEFT($B139,3)="LED",3,2)))),)</f>
        <v>0.98883650057565198</v>
      </c>
      <c r="AA139" s="374">
        <f>IF(AA$3&gt;=Tech_Specs!$C31,IF(AA$3=2010,VLOOKUP(AA$3-Tech_Specs!$C31,Bass_Curve,IF(LEFT($B139,3)="LED",3,2)),IF(User_Inputs!$D$4="Frozen Efficiency",$F139,VLOOKUP(AA$3-Tech_Specs!$C31,Bass_Curve,IF(LEFT($B139,3)="LED",3,2)))),)</f>
        <v>0.99196738407609564</v>
      </c>
      <c r="AB139" s="374">
        <f>IF(AB$3&gt;=Tech_Specs!$C31,IF(AB$3=2010,VLOOKUP(AB$3-Tech_Specs!$C31,Bass_Curve,IF(LEFT($B139,3)="LED",3,2)),IF(User_Inputs!$D$4="Frozen Efficiency",$F139,VLOOKUP(AB$3-Tech_Specs!$C31,Bass_Curve,IF(LEFT($B139,3)="LED",3,2)))),)</f>
        <v>0.99422726069133227</v>
      </c>
      <c r="AC139" s="374">
        <f>IF(AC$3&gt;=Tech_Specs!$C31,IF(AC$3=2010,VLOOKUP(AC$3-Tech_Specs!$C31,Bass_Curve,IF(LEFT($B139,3)="LED",3,2)),IF(User_Inputs!$D$4="Frozen Efficiency",$F139,VLOOKUP(AC$3-Tech_Specs!$C31,Bass_Curve,IF(LEFT($B139,3)="LED",3,2)))),)</f>
        <v>0.99585484432697347</v>
      </c>
      <c r="AD139" s="374">
        <f>IF(AD$3&gt;=Tech_Specs!$C31,IF(AD$3=2010,VLOOKUP(AD$3-Tech_Specs!$C31,Bass_Curve,IF(LEFT($B139,3)="LED",3,2)),IF(User_Inputs!$D$4="Frozen Efficiency",$F139,VLOOKUP(AD$3-Tech_Specs!$C31,Bass_Curve,IF(LEFT($B139,3)="LED",3,2)))),)</f>
        <v>0.99702522404198501</v>
      </c>
      <c r="AE139" s="374">
        <f>IF(AE$3&gt;=Tech_Specs!$C31,IF(AE$3=2010,VLOOKUP(AE$3-Tech_Specs!$C31,Bass_Curve,IF(LEFT($B139,3)="LED",3,2)),IF(User_Inputs!$D$4="Frozen Efficiency",$F139,VLOOKUP(AE$3-Tech_Specs!$C31,Bass_Curve,IF(LEFT($B139,3)="LED",3,2)))),)</f>
        <v>0.99786592697261467</v>
      </c>
    </row>
    <row r="140" spans="1:31" s="221" customFormat="1" x14ac:dyDescent="0.25">
      <c r="A140" s="356"/>
      <c r="B140" s="356"/>
      <c r="C140"/>
      <c r="D140"/>
      <c r="E140"/>
      <c r="F140"/>
      <c r="G140"/>
      <c r="H140"/>
      <c r="I140"/>
      <c r="J140"/>
      <c r="K140"/>
      <c r="L140"/>
      <c r="M140"/>
      <c r="N140"/>
      <c r="O140"/>
      <c r="P140"/>
      <c r="Q140"/>
      <c r="R140"/>
      <c r="S140"/>
      <c r="T140"/>
      <c r="U140"/>
      <c r="V140"/>
      <c r="W140"/>
      <c r="X140"/>
      <c r="Y140"/>
      <c r="Z140"/>
      <c r="AA140"/>
      <c r="AB140"/>
      <c r="AC140"/>
      <c r="AD140"/>
      <c r="AE140"/>
    </row>
    <row r="141" spans="1:31" s="202" customFormat="1" ht="12.75" x14ac:dyDescent="0.2">
      <c r="A141" s="364" t="s">
        <v>47</v>
      </c>
      <c r="B141" s="364"/>
      <c r="C141" s="364"/>
      <c r="D141" s="364"/>
      <c r="E141" s="364"/>
      <c r="F141" s="364"/>
      <c r="G141" s="364"/>
      <c r="H141" s="364"/>
      <c r="I141" s="364"/>
      <c r="J141" s="364"/>
      <c r="K141" s="364"/>
      <c r="L141" s="364"/>
      <c r="M141" s="364"/>
      <c r="N141" s="364"/>
      <c r="O141" s="364"/>
      <c r="P141" s="364"/>
      <c r="Q141" s="364"/>
      <c r="R141" s="364"/>
      <c r="S141" s="364"/>
      <c r="T141" s="364"/>
      <c r="U141" s="364"/>
      <c r="V141" s="364"/>
      <c r="W141" s="364"/>
      <c r="X141" s="364"/>
      <c r="Y141" s="364"/>
      <c r="Z141" s="364"/>
      <c r="AA141" s="364"/>
      <c r="AB141" s="364"/>
      <c r="AC141" s="364"/>
      <c r="AD141" s="364"/>
      <c r="AE141" s="364"/>
    </row>
    <row r="142" spans="1:31" s="221" customFormat="1" x14ac:dyDescent="0.25">
      <c r="A142" s="356"/>
      <c r="B142" s="356" t="s">
        <v>48</v>
      </c>
      <c r="C142"/>
      <c r="D142"/>
      <c r="E142"/>
      <c r="F142" s="374">
        <f>IF(F$3&gt;=Tech_Specs!$C34,IF(F$3=2010,VLOOKUP(F$3-Tech_Specs!$C34,Bass_Curve,IF(LEFT($B142,3)="LED",3,2)),IF(User_Inputs!$D$4="Frozen Efficiency",$F142,VLOOKUP(F$3-Tech_Specs!$C34,Bass_Curve,IF(LEFT($B142,3)="LED",3,2)))),)</f>
        <v>0.99999998049294159</v>
      </c>
      <c r="G142" s="374">
        <f>IF(G$3&gt;=Tech_Specs!$C34,IF(G$3=2010,VLOOKUP(G$3-Tech_Specs!$C34,Bass_Curve,IF(LEFT($B142,3)="LED",3,2)),IF(User_Inputs!$D$4="Frozen Efficiency",$F142,VLOOKUP(G$3-Tech_Specs!$C34,Bass_Curve,IF(LEFT($B142,3)="LED",3,2)))),)</f>
        <v>0.99999998049294159</v>
      </c>
      <c r="H142" s="374">
        <f>IF(H$3&gt;=Tech_Specs!$C34,IF(H$3=2010,VLOOKUP(H$3-Tech_Specs!$C34,Bass_Curve,IF(LEFT($B142,3)="LED",3,2)),IF(User_Inputs!$D$4="Frozen Efficiency",$F142,VLOOKUP(H$3-Tech_Specs!$C34,Bass_Curve,IF(LEFT($B142,3)="LED",3,2)))),)</f>
        <v>0.99999998049294159</v>
      </c>
      <c r="I142" s="374">
        <f>IF(I$3&gt;=Tech_Specs!$C34,IF(I$3=2010,VLOOKUP(I$3-Tech_Specs!$C34,Bass_Curve,IF(LEFT($B142,3)="LED",3,2)),IF(User_Inputs!$D$4="Frozen Efficiency",$F142,VLOOKUP(I$3-Tech_Specs!$C34,Bass_Curve,IF(LEFT($B142,3)="LED",3,2)))),)</f>
        <v>0.99999998049294159</v>
      </c>
      <c r="J142" s="374">
        <f>IF(J$3&gt;=Tech_Specs!$C34,IF(J$3=2010,VLOOKUP(J$3-Tech_Specs!$C34,Bass_Curve,IF(LEFT($B142,3)="LED",3,2)),IF(User_Inputs!$D$4="Frozen Efficiency",$F142,VLOOKUP(J$3-Tech_Specs!$C34,Bass_Curve,IF(LEFT($B142,3)="LED",3,2)))),)</f>
        <v>0.99999998049294159</v>
      </c>
      <c r="K142" s="374">
        <f>IF(K$3&gt;=Tech_Specs!$C34,IF(K$3=2010,VLOOKUP(K$3-Tech_Specs!$C34,Bass_Curve,IF(LEFT($B142,3)="LED",3,2)),IF(User_Inputs!$D$4="Frozen Efficiency",$F142,VLOOKUP(K$3-Tech_Specs!$C34,Bass_Curve,IF(LEFT($B142,3)="LED",3,2)))),)</f>
        <v>0.99999998049294159</v>
      </c>
      <c r="L142" s="374">
        <f>IF(L$3&gt;=Tech_Specs!$C34,IF(L$3=2010,VLOOKUP(L$3-Tech_Specs!$C34,Bass_Curve,IF(LEFT($B142,3)="LED",3,2)),IF(User_Inputs!$D$4="Frozen Efficiency",$F142,VLOOKUP(L$3-Tech_Specs!$C34,Bass_Curve,IF(LEFT($B142,3)="LED",3,2)))),)</f>
        <v>0.99999998049294159</v>
      </c>
      <c r="M142" s="374">
        <f>IF(M$3&gt;=Tech_Specs!$C34,IF(M$3=2010,VLOOKUP(M$3-Tech_Specs!$C34,Bass_Curve,IF(LEFT($B142,3)="LED",3,2)),IF(User_Inputs!$D$4="Frozen Efficiency",$F142,VLOOKUP(M$3-Tech_Specs!$C34,Bass_Curve,IF(LEFT($B142,3)="LED",3,2)))),)</f>
        <v>0.99999998049294159</v>
      </c>
      <c r="N142" s="374">
        <f>IF(N$3&gt;=Tech_Specs!$C34,IF(N$3=2010,VLOOKUP(N$3-Tech_Specs!$C34,Bass_Curve,IF(LEFT($B142,3)="LED",3,2)),IF(User_Inputs!$D$4="Frozen Efficiency",$F142,VLOOKUP(N$3-Tech_Specs!$C34,Bass_Curve,IF(LEFT($B142,3)="LED",3,2)))),)</f>
        <v>0.99999998049294159</v>
      </c>
      <c r="O142" s="374">
        <f>IF(O$3&gt;=Tech_Specs!$C34,IF(O$3=2010,VLOOKUP(O$3-Tech_Specs!$C34,Bass_Curve,IF(LEFT($B142,3)="LED",3,2)),IF(User_Inputs!$D$4="Frozen Efficiency",$F142,VLOOKUP(O$3-Tech_Specs!$C34,Bass_Curve,IF(LEFT($B142,3)="LED",3,2)))),)</f>
        <v>0.99999998049294159</v>
      </c>
      <c r="P142" s="374">
        <f>IF(P$3&gt;=Tech_Specs!$C34,IF(P$3=2010,VLOOKUP(P$3-Tech_Specs!$C34,Bass_Curve,IF(LEFT($B142,3)="LED",3,2)),IF(User_Inputs!$D$4="Frozen Efficiency",$F142,VLOOKUP(P$3-Tech_Specs!$C34,Bass_Curve,IF(LEFT($B142,3)="LED",3,2)))),)</f>
        <v>0.99999998049294159</v>
      </c>
      <c r="Q142" s="374">
        <f>IF(Q$3&gt;=Tech_Specs!$C34,IF(Q$3=2010,VLOOKUP(Q$3-Tech_Specs!$C34,Bass_Curve,IF(LEFT($B142,3)="LED",3,2)),IF(User_Inputs!$D$4="Frozen Efficiency",$F142,VLOOKUP(Q$3-Tech_Specs!$C34,Bass_Curve,IF(LEFT($B142,3)="LED",3,2)))),)</f>
        <v>0.99999998049294159</v>
      </c>
      <c r="R142" s="374">
        <f>IF(R$3&gt;=Tech_Specs!$C34,IF(R$3=2010,VLOOKUP(R$3-Tech_Specs!$C34,Bass_Curve,IF(LEFT($B142,3)="LED",3,2)),IF(User_Inputs!$D$4="Frozen Efficiency",$F142,VLOOKUP(R$3-Tech_Specs!$C34,Bass_Curve,IF(LEFT($B142,3)="LED",3,2)))),)</f>
        <v>0.99999998049294159</v>
      </c>
      <c r="S142" s="374">
        <f>IF(S$3&gt;=Tech_Specs!$C34,IF(S$3=2010,VLOOKUP(S$3-Tech_Specs!$C34,Bass_Curve,IF(LEFT($B142,3)="LED",3,2)),IF(User_Inputs!$D$4="Frozen Efficiency",$F142,VLOOKUP(S$3-Tech_Specs!$C34,Bass_Curve,IF(LEFT($B142,3)="LED",3,2)))),)</f>
        <v>0.99999998049294159</v>
      </c>
      <c r="T142" s="374">
        <f>IF(T$3&gt;=Tech_Specs!$C34,IF(T$3=2010,VLOOKUP(T$3-Tech_Specs!$C34,Bass_Curve,IF(LEFT($B142,3)="LED",3,2)),IF(User_Inputs!$D$4="Frozen Efficiency",$F142,VLOOKUP(T$3-Tech_Specs!$C34,Bass_Curve,IF(LEFT($B142,3)="LED",3,2)))),)</f>
        <v>0.99999998049294159</v>
      </c>
      <c r="U142" s="374">
        <f>IF(U$3&gt;=Tech_Specs!$C34,IF(U$3=2010,VLOOKUP(U$3-Tech_Specs!$C34,Bass_Curve,IF(LEFT($B142,3)="LED",3,2)),IF(User_Inputs!$D$4="Frozen Efficiency",$F142,VLOOKUP(U$3-Tech_Specs!$C34,Bass_Curve,IF(LEFT($B142,3)="LED",3,2)))),)</f>
        <v>0.99999998049294159</v>
      </c>
      <c r="V142" s="374">
        <f>IF(V$3&gt;=Tech_Specs!$C34,IF(V$3=2010,VLOOKUP(V$3-Tech_Specs!$C34,Bass_Curve,IF(LEFT($B142,3)="LED",3,2)),IF(User_Inputs!$D$4="Frozen Efficiency",$F142,VLOOKUP(V$3-Tech_Specs!$C34,Bass_Curve,IF(LEFT($B142,3)="LED",3,2)))),)</f>
        <v>0.99999998049294159</v>
      </c>
      <c r="W142" s="374">
        <f>IF(W$3&gt;=Tech_Specs!$C34,IF(W$3=2010,VLOOKUP(W$3-Tech_Specs!$C34,Bass_Curve,IF(LEFT($B142,3)="LED",3,2)),IF(User_Inputs!$D$4="Frozen Efficiency",$F142,VLOOKUP(W$3-Tech_Specs!$C34,Bass_Curve,IF(LEFT($B142,3)="LED",3,2)))),)</f>
        <v>0.99999998049294159</v>
      </c>
      <c r="X142" s="374">
        <f>IF(X$3&gt;=Tech_Specs!$C34,IF(X$3=2010,VLOOKUP(X$3-Tech_Specs!$C34,Bass_Curve,IF(LEFT($B142,3)="LED",3,2)),IF(User_Inputs!$D$4="Frozen Efficiency",$F142,VLOOKUP(X$3-Tech_Specs!$C34,Bass_Curve,IF(LEFT($B142,3)="LED",3,2)))),)</f>
        <v>0.99999998049294159</v>
      </c>
      <c r="Y142" s="374">
        <f>IF(Y$3&gt;=Tech_Specs!$C34,IF(Y$3=2010,VLOOKUP(Y$3-Tech_Specs!$C34,Bass_Curve,IF(LEFT($B142,3)="LED",3,2)),IF(User_Inputs!$D$4="Frozen Efficiency",$F142,VLOOKUP(Y$3-Tech_Specs!$C34,Bass_Curve,IF(LEFT($B142,3)="LED",3,2)))),)</f>
        <v>0.99999998049294159</v>
      </c>
      <c r="Z142" s="374">
        <f>IF(Z$3&gt;=Tech_Specs!$C34,IF(Z$3=2010,VLOOKUP(Z$3-Tech_Specs!$C34,Bass_Curve,IF(LEFT($B142,3)="LED",3,2)),IF(User_Inputs!$D$4="Frozen Efficiency",$F142,VLOOKUP(Z$3-Tech_Specs!$C34,Bass_Curve,IF(LEFT($B142,3)="LED",3,2)))),)</f>
        <v>0.99999998049294159</v>
      </c>
      <c r="AA142" s="374">
        <f>IF(AA$3&gt;=Tech_Specs!$C34,IF(AA$3=2010,VLOOKUP(AA$3-Tech_Specs!$C34,Bass_Curve,IF(LEFT($B142,3)="LED",3,2)),IF(User_Inputs!$D$4="Frozen Efficiency",$F142,VLOOKUP(AA$3-Tech_Specs!$C34,Bass_Curve,IF(LEFT($B142,3)="LED",3,2)))),)</f>
        <v>0.99999998049294159</v>
      </c>
      <c r="AB142" s="374">
        <f>IF(AB$3&gt;=Tech_Specs!$C34,IF(AB$3=2010,VLOOKUP(AB$3-Tech_Specs!$C34,Bass_Curve,IF(LEFT($B142,3)="LED",3,2)),IF(User_Inputs!$D$4="Frozen Efficiency",$F142,VLOOKUP(AB$3-Tech_Specs!$C34,Bass_Curve,IF(LEFT($B142,3)="LED",3,2)))),)</f>
        <v>0.99999998049294159</v>
      </c>
      <c r="AC142" s="374">
        <f>IF(AC$3&gt;=Tech_Specs!$C34,IF(AC$3=2010,VLOOKUP(AC$3-Tech_Specs!$C34,Bass_Curve,IF(LEFT($B142,3)="LED",3,2)),IF(User_Inputs!$D$4="Frozen Efficiency",$F142,VLOOKUP(AC$3-Tech_Specs!$C34,Bass_Curve,IF(LEFT($B142,3)="LED",3,2)))),)</f>
        <v>0.99999998049294159</v>
      </c>
      <c r="AD142" s="374">
        <f>IF(AD$3&gt;=Tech_Specs!$C34,IF(AD$3=2010,VLOOKUP(AD$3-Tech_Specs!$C34,Bass_Curve,IF(LEFT($B142,3)="LED",3,2)),IF(User_Inputs!$D$4="Frozen Efficiency",$F142,VLOOKUP(AD$3-Tech_Specs!$C34,Bass_Curve,IF(LEFT($B142,3)="LED",3,2)))),)</f>
        <v>0.99999998049294159</v>
      </c>
      <c r="AE142" s="374">
        <f>IF(AE$3&gt;=Tech_Specs!$C34,IF(AE$3=2010,VLOOKUP(AE$3-Tech_Specs!$C34,Bass_Curve,IF(LEFT($B142,3)="LED",3,2)),IF(User_Inputs!$D$4="Frozen Efficiency",$F142,VLOOKUP(AE$3-Tech_Specs!$C34,Bass_Curve,IF(LEFT($B142,3)="LED",3,2)))),)</f>
        <v>0.99999998049294159</v>
      </c>
    </row>
    <row r="143" spans="1:31" s="221" customFormat="1" x14ac:dyDescent="0.25">
      <c r="A143" s="356"/>
      <c r="B143" s="358" t="s">
        <v>50</v>
      </c>
      <c r="C143"/>
      <c r="D143"/>
      <c r="E143"/>
      <c r="F143" s="374">
        <f>IF(F$3&gt;=Tech_Specs!$C35,IF(F$3=2010,VLOOKUP(F$3-Tech_Specs!$C35,Bass_Curve,IF(LEFT($B143,3)="LED",3,2)),IF(User_Inputs!$D$4="Frozen Efficiency",$F143,VLOOKUP(F$3-Tech_Specs!$C35,Bass_Curve,IF(LEFT($B143,3)="LED",3,2)))),)</f>
        <v>0.99992312620537604</v>
      </c>
      <c r="G143" s="374">
        <f>IF(G$3&gt;=Tech_Specs!$C35,IF(G$3=2010,VLOOKUP(G$3-Tech_Specs!$C35,Bass_Curve,IF(LEFT($B143,3)="LED",3,2)),IF(User_Inputs!$D$4="Frozen Efficiency",$F143,VLOOKUP(G$3-Tech_Specs!$C35,Bass_Curve,IF(LEFT($B143,3)="LED",3,2)))),)</f>
        <v>0.9999448431048531</v>
      </c>
      <c r="H143" s="374">
        <f>IF(H$3&gt;=Tech_Specs!$C35,IF(H$3=2010,VLOOKUP(H$3-Tech_Specs!$C35,Bass_Curve,IF(LEFT($B143,3)="LED",3,2)),IF(User_Inputs!$D$4="Frozen Efficiency",$F143,VLOOKUP(H$3-Tech_Specs!$C35,Bass_Curve,IF(LEFT($B143,3)="LED",3,2)))),)</f>
        <v>0.99996042135098673</v>
      </c>
      <c r="I143" s="374">
        <f>IF(I$3&gt;=Tech_Specs!$C35,IF(I$3=2010,VLOOKUP(I$3-Tech_Specs!$C35,Bass_Curve,IF(LEFT($B143,3)="LED",3,2)),IF(User_Inputs!$D$4="Frozen Efficiency",$F143,VLOOKUP(I$3-Tech_Specs!$C35,Bass_Curve,IF(LEFT($B143,3)="LED",3,2)))),)</f>
        <v>0.99997159722102513</v>
      </c>
      <c r="J143" s="374">
        <f>IF(J$3&gt;=Tech_Specs!$C35,IF(J$3=2010,VLOOKUP(J$3-Tech_Specs!$C35,Bass_Curve,IF(LEFT($B143,3)="LED",3,2)),IF(User_Inputs!$D$4="Frozen Efficiency",$F143,VLOOKUP(J$3-Tech_Specs!$C35,Bass_Curve,IF(LEFT($B143,3)="LED",3,2)))),)</f>
        <v>0.9999796155873415</v>
      </c>
      <c r="K143" s="374">
        <f>IF(K$3&gt;=Tech_Specs!$C35,IF(K$3=2010,VLOOKUP(K$3-Tech_Specs!$C35,Bass_Curve,IF(LEFT($B143,3)="LED",3,2)),IF(User_Inputs!$D$4="Frozen Efficiency",$F143,VLOOKUP(K$3-Tech_Specs!$C35,Bass_Curve,IF(LEFT($B143,3)="LED",3,2)))),)</f>
        <v>0.99998536907810021</v>
      </c>
      <c r="L143" s="374">
        <f>IF(L$3&gt;=Tech_Specs!$C35,IF(L$3=2010,VLOOKUP(L$3-Tech_Specs!$C35,Bass_Curve,IF(LEFT($B143,3)="LED",3,2)),IF(User_Inputs!$D$4="Frozen Efficiency",$F143,VLOOKUP(L$3-Tech_Specs!$C35,Bass_Curve,IF(LEFT($B143,3)="LED",3,2)))),)</f>
        <v>0.99998949781098223</v>
      </c>
      <c r="M143" s="374">
        <f>IF(M$3&gt;=Tech_Specs!$C35,IF(M$3=2010,VLOOKUP(M$3-Tech_Specs!$C35,Bass_Curve,IF(LEFT($B143,3)="LED",3,2)),IF(User_Inputs!$D$4="Frozen Efficiency",$F143,VLOOKUP(M$3-Tech_Specs!$C35,Bass_Curve,IF(LEFT($B143,3)="LED",3,2)))),)</f>
        <v>0.99999246087225968</v>
      </c>
      <c r="N143" s="374">
        <f>IF(N$3&gt;=Tech_Specs!$C35,IF(N$3=2010,VLOOKUP(N$3-Tech_Specs!$C35,Bass_Curve,IF(LEFT($B143,3)="LED",3,2)),IF(User_Inputs!$D$4="Frozen Efficiency",$F143,VLOOKUP(N$3-Tech_Specs!$C35,Bass_Curve,IF(LEFT($B143,3)="LED",3,2)))),)</f>
        <v>0.99999458754894088</v>
      </c>
      <c r="O143" s="374">
        <f>IF(O$3&gt;=Tech_Specs!$C35,IF(O$3=2010,VLOOKUP(O$3-Tech_Specs!$C35,Bass_Curve,IF(LEFT($B143,3)="LED",3,2)),IF(User_Inputs!$D$4="Frozen Efficiency",$F143,VLOOKUP(O$3-Tech_Specs!$C35,Bass_Curve,IF(LEFT($B143,3)="LED",3,2)))),)</f>
        <v>0.99999611405218891</v>
      </c>
      <c r="P143" s="374">
        <f>IF(P$3&gt;=Tech_Specs!$C35,IF(P$3=2010,VLOOKUP(P$3-Tech_Specs!$C35,Bass_Curve,IF(LEFT($B143,3)="LED",3,2)),IF(User_Inputs!$D$4="Frozen Efficiency",$F143,VLOOKUP(P$3-Tech_Specs!$C35,Bass_Curve,IF(LEFT($B143,3)="LED",3,2)))),)</f>
        <v>0.99999720984345863</v>
      </c>
      <c r="Q143" s="374">
        <f>IF(Q$3&gt;=Tech_Specs!$C35,IF(Q$3=2010,VLOOKUP(Q$3-Tech_Specs!$C35,Bass_Curve,IF(LEFT($B143,3)="LED",3,2)),IF(User_Inputs!$D$4="Frozen Efficiency",$F143,VLOOKUP(Q$3-Tech_Specs!$C35,Bass_Curve,IF(LEFT($B143,3)="LED",3,2)))),)</f>
        <v>0.99999799650912424</v>
      </c>
      <c r="R143" s="374">
        <f>IF(R$3&gt;=Tech_Specs!$C35,IF(R$3=2010,VLOOKUP(R$3-Tech_Specs!$C35,Bass_Curve,IF(LEFT($B143,3)="LED",3,2)),IF(User_Inputs!$D$4="Frozen Efficiency",$F143,VLOOKUP(R$3-Tech_Specs!$C35,Bass_Curve,IF(LEFT($B143,3)="LED",3,2)))),)</f>
        <v>0.99999856129425391</v>
      </c>
      <c r="S143" s="374">
        <f>IF(S$3&gt;=Tech_Specs!$C35,IF(S$3=2010,VLOOKUP(S$3-Tech_Specs!$C35,Bass_Curve,IF(LEFT($B143,3)="LED",3,2)),IF(User_Inputs!$D$4="Frozen Efficiency",$F143,VLOOKUP(S$3-Tech_Specs!$C35,Bass_Curve,IF(LEFT($B143,3)="LED",3,2)))),)</f>
        <v>0.99999896680791711</v>
      </c>
      <c r="T143" s="374">
        <f>IF(T$3&gt;=Tech_Specs!$C35,IF(T$3=2010,VLOOKUP(T$3-Tech_Specs!$C35,Bass_Curve,IF(LEFT($B143,3)="LED",3,2)),IF(User_Inputs!$D$4="Frozen Efficiency",$F143,VLOOKUP(T$3-Tech_Specs!$C35,Bass_Curve,IF(LEFT($B143,3)="LED",3,2)))),)</f>
        <v>0.99999925798382638</v>
      </c>
      <c r="U143" s="374">
        <f>IF(U$3&gt;=Tech_Specs!$C35,IF(U$3=2010,VLOOKUP(U$3-Tech_Specs!$C35,Bass_Curve,IF(LEFT($B143,3)="LED",3,2)),IF(User_Inputs!$D$4="Frozen Efficiency",$F143,VLOOKUP(U$3-Tech_Specs!$C35,Bass_Curve,IF(LEFT($B143,3)="LED",3,2)))),)</f>
        <v>0.99999946707306653</v>
      </c>
      <c r="V143" s="374">
        <f>IF(V$3&gt;=Tech_Specs!$C35,IF(V$3=2010,VLOOKUP(V$3-Tech_Specs!$C35,Bass_Curve,IF(LEFT($B143,3)="LED",3,2)),IF(User_Inputs!$D$4="Frozen Efficiency",$F143,VLOOKUP(V$3-Tech_Specs!$C35,Bass_Curve,IF(LEFT($B143,3)="LED",3,2)))),)</f>
        <v>0.99999961722567021</v>
      </c>
      <c r="W143" s="374">
        <f>IF(W$3&gt;=Tech_Specs!$C35,IF(W$3=2010,VLOOKUP(W$3-Tech_Specs!$C35,Bass_Curve,IF(LEFT($B143,3)="LED",3,2)),IF(User_Inputs!$D$4="Frozen Efficiency",$F143,VLOOKUP(W$3-Tech_Specs!$C35,Bass_Curve,IF(LEFT($B143,3)="LED",3,2)))),)</f>
        <v>0.99999972506016011</v>
      </c>
      <c r="X143" s="374">
        <f>IF(X$3&gt;=Tech_Specs!$C35,IF(X$3=2010,VLOOKUP(X$3-Tech_Specs!$C35,Bass_Curve,IF(LEFT($B143,3)="LED",3,2)),IF(User_Inputs!$D$4="Frozen Efficiency",$F143,VLOOKUP(X$3-Tech_Specs!$C35,Bass_Curve,IF(LEFT($B143,3)="LED",3,2)))),)</f>
        <v>0.99999980250721576</v>
      </c>
      <c r="Y143" s="374">
        <f>IF(Y$3&gt;=Tech_Specs!$C35,IF(Y$3=2010,VLOOKUP(Y$3-Tech_Specs!$C35,Bass_Curve,IF(LEFT($B143,3)="LED",3,2)),IF(User_Inputs!$D$4="Frozen Efficiency",$F143,VLOOKUP(Y$3-Tech_Specs!$C35,Bass_Curve,IF(LEFT($B143,3)="LED",3,2)))),)</f>
        <v>0.99999985813264225</v>
      </c>
      <c r="Z143" s="374">
        <f>IF(Z$3&gt;=Tech_Specs!$C35,IF(Z$3=2010,VLOOKUP(Z$3-Tech_Specs!$C35,Bass_Curve,IF(LEFT($B143,3)="LED",3,2)),IF(User_Inputs!$D$4="Frozen Efficiency",$F143,VLOOKUP(Z$3-Tech_Specs!$C35,Bass_Curve,IF(LEFT($B143,3)="LED",3,2)))),)</f>
        <v>0.99999989808679191</v>
      </c>
      <c r="AA143" s="374">
        <f>IF(AA$3&gt;=Tech_Specs!$C35,IF(AA$3=2010,VLOOKUP(AA$3-Tech_Specs!$C35,Bass_Curve,IF(LEFT($B143,3)="LED",3,2)),IF(User_Inputs!$D$4="Frozen Efficiency",$F143,VLOOKUP(AA$3-Tech_Specs!$C35,Bass_Curve,IF(LEFT($B143,3)="LED",3,2)))),)</f>
        <v>0.99999992678597005</v>
      </c>
      <c r="AB143" s="374">
        <f>IF(AB$3&gt;=Tech_Specs!$C35,IF(AB$3=2010,VLOOKUP(AB$3-Tech_Specs!$C35,Bass_Curve,IF(LEFT($B143,3)="LED",3,2)),IF(User_Inputs!$D$4="Frozen Efficiency",$F143,VLOOKUP(AB$3-Tech_Specs!$C35,Bass_Curve,IF(LEFT($B143,3)="LED",3,2)))),)</f>
        <v>0.99999994740152531</v>
      </c>
      <c r="AC143" s="374">
        <f>IF(AC$3&gt;=Tech_Specs!$C35,IF(AC$3=2010,VLOOKUP(AC$3-Tech_Specs!$C35,Bass_Curve,IF(LEFT($B143,3)="LED",3,2)),IF(User_Inputs!$D$4="Frozen Efficiency",$F143,VLOOKUP(AC$3-Tech_Specs!$C35,Bass_Curve,IF(LEFT($B143,3)="LED",3,2)))),)</f>
        <v>0.99999996221093224</v>
      </c>
      <c r="AD143" s="374">
        <f>IF(AD$3&gt;=Tech_Specs!$C35,IF(AD$3=2010,VLOOKUP(AD$3-Tech_Specs!$C35,Bass_Curve,IF(LEFT($B143,3)="LED",3,2)),IF(User_Inputs!$D$4="Frozen Efficiency",$F143,VLOOKUP(AD$3-Tech_Specs!$C35,Bass_Curve,IF(LEFT($B143,3)="LED",3,2)))),)</f>
        <v>0.99999997284982522</v>
      </c>
      <c r="AE143" s="374">
        <f>IF(AE$3&gt;=Tech_Specs!$C35,IF(AE$3=2010,VLOOKUP(AE$3-Tech_Specs!$C35,Bass_Curve,IF(LEFT($B143,3)="LED",3,2)),IF(User_Inputs!$D$4="Frozen Efficiency",$F143,VLOOKUP(AE$3-Tech_Specs!$C35,Bass_Curve,IF(LEFT($B143,3)="LED",3,2)))),)</f>
        <v>0.99999998049294159</v>
      </c>
    </row>
    <row r="144" spans="1:31" s="221" customFormat="1" x14ac:dyDescent="0.25">
      <c r="A144" s="356"/>
      <c r="B144" s="356" t="s">
        <v>51</v>
      </c>
      <c r="C144"/>
      <c r="D144"/>
      <c r="E144"/>
      <c r="F144" s="374">
        <f>IF(F$3&gt;=Tech_Specs!$C36,IF(F$3=2010,VLOOKUP(F$3-Tech_Specs!$C36,Bass_Curve,IF(LEFT($B144,3)="LED",3,2)),IF(User_Inputs!$D$4="Frozen Efficiency",$F144,VLOOKUP(F$3-Tech_Specs!$C36,Bass_Curve,IF(LEFT($B144,3)="LED",3,2)))),)</f>
        <v>0.43528730962994305</v>
      </c>
      <c r="G144" s="374">
        <f>IF(G$3&gt;=Tech_Specs!$C36,IF(G$3=2010,VLOOKUP(G$3-Tech_Specs!$C36,Bass_Curve,IF(LEFT($B144,3)="LED",3,2)),IF(User_Inputs!$D$4="Frozen Efficiency",$F144,VLOOKUP(G$3-Tech_Specs!$C36,Bass_Curve,IF(LEFT($B144,3)="LED",3,2)))),)</f>
        <v>0.51284484369923866</v>
      </c>
      <c r="H144" s="374">
        <f>IF(H$3&gt;=Tech_Specs!$C36,IF(H$3=2010,VLOOKUP(H$3-Tech_Specs!$C36,Bass_Curve,IF(LEFT($B144,3)="LED",3,2)),IF(User_Inputs!$D$4="Frozen Efficiency",$F144,VLOOKUP(H$3-Tech_Specs!$C36,Bass_Curve,IF(LEFT($B144,3)="LED",3,2)))),)</f>
        <v>0.58783004379238735</v>
      </c>
      <c r="I144" s="374">
        <f>IF(I$3&gt;=Tech_Specs!$C36,IF(I$3=2010,VLOOKUP(I$3-Tech_Specs!$C36,Bass_Curve,IF(LEFT($B144,3)="LED",3,2)),IF(User_Inputs!$D$4="Frozen Efficiency",$F144,VLOOKUP(I$3-Tech_Specs!$C36,Bass_Curve,IF(LEFT($B144,3)="LED",3,2)))),)</f>
        <v>0.65810308249900329</v>
      </c>
      <c r="J144" s="374">
        <f>IF(J$3&gt;=Tech_Specs!$C36,IF(J$3=2010,VLOOKUP(J$3-Tech_Specs!$C36,Bass_Curve,IF(LEFT($B144,3)="LED",3,2)),IF(User_Inputs!$D$4="Frozen Efficiency",$F144,VLOOKUP(J$3-Tech_Specs!$C36,Bass_Curve,IF(LEFT($B144,3)="LED",3,2)))),)</f>
        <v>0.72206467330281499</v>
      </c>
      <c r="K144" s="374">
        <f>IF(K$3&gt;=Tech_Specs!$C36,IF(K$3=2010,VLOOKUP(K$3-Tech_Specs!$C36,Bass_Curve,IF(LEFT($B144,3)="LED",3,2)),IF(User_Inputs!$D$4="Frozen Efficiency",$F144,VLOOKUP(K$3-Tech_Specs!$C36,Bass_Curve,IF(LEFT($B144,3)="LED",3,2)))),)</f>
        <v>0.77856976904215913</v>
      </c>
      <c r="L144" s="374">
        <f>IF(L$3&gt;=Tech_Specs!$C36,IF(L$3=2010,VLOOKUP(L$3-Tech_Specs!$C36,Bass_Curve,IF(LEFT($B144,3)="LED",3,2)),IF(User_Inputs!$D$4="Frozen Efficiency",$F144,VLOOKUP(L$3-Tech_Specs!$C36,Bass_Curve,IF(LEFT($B144,3)="LED",3,2)))),)</f>
        <v>0.82696350840215249</v>
      </c>
      <c r="M144" s="374">
        <f>IF(M$3&gt;=Tech_Specs!$C36,IF(M$3=2010,VLOOKUP(M$3-Tech_Specs!$C36,Bass_Curve,IF(LEFT($B144,3)="LED",3,2)),IF(User_Inputs!$D$4="Frozen Efficiency",$F144,VLOOKUP(M$3-Tech_Specs!$C36,Bass_Curve,IF(LEFT($B144,3)="LED",3,2)))),)</f>
        <v>0.86714658256559263</v>
      </c>
      <c r="N144" s="374">
        <f>IF(N$3&gt;=Tech_Specs!$C36,IF(N$3=2010,VLOOKUP(N$3-Tech_Specs!$C36,Bass_Curve,IF(LEFT($B144,3)="LED",3,2)),IF(User_Inputs!$D$4="Frozen Efficiency",$F144,VLOOKUP(N$3-Tech_Specs!$C36,Bass_Curve,IF(LEFT($B144,3)="LED",3,2)))),)</f>
        <v>0.89955419985356344</v>
      </c>
      <c r="O144" s="374">
        <f>IF(O$3&gt;=Tech_Specs!$C36,IF(O$3=2010,VLOOKUP(O$3-Tech_Specs!$C36,Bass_Curve,IF(LEFT($B144,3)="LED",3,2)),IF(User_Inputs!$D$4="Frozen Efficiency",$F144,VLOOKUP(O$3-Tech_Specs!$C36,Bass_Curve,IF(LEFT($B144,3)="LED",3,2)))),)</f>
        <v>0.92502432100062038</v>
      </c>
      <c r="P144" s="374">
        <f>IF(P$3&gt;=Tech_Specs!$C36,IF(P$3=2010,VLOOKUP(P$3-Tech_Specs!$C36,Bass_Curve,IF(LEFT($B144,3)="LED",3,2)),IF(User_Inputs!$D$4="Frozen Efficiency",$F144,VLOOKUP(P$3-Tech_Specs!$C36,Bass_Curve,IF(LEFT($B144,3)="LED",3,2)))),)</f>
        <v>0.94461059131409331</v>
      </c>
      <c r="Q144" s="374">
        <f>IF(Q$3&gt;=Tech_Specs!$C36,IF(Q$3=2010,VLOOKUP(Q$3-Tech_Specs!$C36,Bass_Curve,IF(LEFT($B144,3)="LED",3,2)),IF(User_Inputs!$D$4="Frozen Efficiency",$F144,VLOOKUP(Q$3-Tech_Specs!$C36,Bass_Curve,IF(LEFT($B144,3)="LED",3,2)))),)</f>
        <v>0.95940876722590474</v>
      </c>
      <c r="R144" s="374">
        <f>IF(R$3&gt;=Tech_Specs!$C36,IF(R$3=2010,VLOOKUP(R$3-Tech_Specs!$C36,Bass_Curve,IF(LEFT($B144,3)="LED",3,2)),IF(User_Inputs!$D$4="Frozen Efficiency",$F144,VLOOKUP(R$3-Tech_Specs!$C36,Bass_Curve,IF(LEFT($B144,3)="LED",3,2)))),)</f>
        <v>0.97043561397505118</v>
      </c>
      <c r="S144" s="374">
        <f>IF(S$3&gt;=Tech_Specs!$C36,IF(S$3=2010,VLOOKUP(S$3-Tech_Specs!$C36,Bass_Curve,IF(LEFT($B144,3)="LED",3,2)),IF(User_Inputs!$D$4="Frozen Efficiency",$F144,VLOOKUP(S$3-Tech_Specs!$C36,Bass_Curve,IF(LEFT($B144,3)="LED",3,2)))),)</f>
        <v>0.97856563119743434</v>
      </c>
      <c r="T144" s="374">
        <f>IF(T$3&gt;=Tech_Specs!$C36,IF(T$3=2010,VLOOKUP(T$3-Tech_Specs!$C36,Bass_Curve,IF(LEFT($B144,3)="LED",3,2)),IF(User_Inputs!$D$4="Frozen Efficiency",$F144,VLOOKUP(T$3-Tech_Specs!$C36,Bass_Curve,IF(LEFT($B144,3)="LED",3,2)))),)</f>
        <v>0.98451232141945333</v>
      </c>
      <c r="U144" s="374">
        <f>IF(U$3&gt;=Tech_Specs!$C36,IF(U$3=2010,VLOOKUP(U$3-Tech_Specs!$C36,Bass_Curve,IF(LEFT($B144,3)="LED",3,2)),IF(User_Inputs!$D$4="Frozen Efficiency",$F144,VLOOKUP(U$3-Tech_Specs!$C36,Bass_Curve,IF(LEFT($B144,3)="LED",3,2)))),)</f>
        <v>0.98883650057565198</v>
      </c>
      <c r="V144" s="374">
        <f>IF(V$3&gt;=Tech_Specs!$C36,IF(V$3=2010,VLOOKUP(V$3-Tech_Specs!$C36,Bass_Curve,IF(LEFT($B144,3)="LED",3,2)),IF(User_Inputs!$D$4="Frozen Efficiency",$F144,VLOOKUP(V$3-Tech_Specs!$C36,Bass_Curve,IF(LEFT($B144,3)="LED",3,2)))),)</f>
        <v>0.99196738407609564</v>
      </c>
      <c r="W144" s="374">
        <f>IF(W$3&gt;=Tech_Specs!$C36,IF(W$3=2010,VLOOKUP(W$3-Tech_Specs!$C36,Bass_Curve,IF(LEFT($B144,3)="LED",3,2)),IF(User_Inputs!$D$4="Frozen Efficiency",$F144,VLOOKUP(W$3-Tech_Specs!$C36,Bass_Curve,IF(LEFT($B144,3)="LED",3,2)))),)</f>
        <v>0.99422726069133227</v>
      </c>
      <c r="X144" s="374">
        <f>IF(X$3&gt;=Tech_Specs!$C36,IF(X$3=2010,VLOOKUP(X$3-Tech_Specs!$C36,Bass_Curve,IF(LEFT($B144,3)="LED",3,2)),IF(User_Inputs!$D$4="Frozen Efficiency",$F144,VLOOKUP(X$3-Tech_Specs!$C36,Bass_Curve,IF(LEFT($B144,3)="LED",3,2)))),)</f>
        <v>0.99585484432697347</v>
      </c>
      <c r="Y144" s="374">
        <f>IF(Y$3&gt;=Tech_Specs!$C36,IF(Y$3=2010,VLOOKUP(Y$3-Tech_Specs!$C36,Bass_Curve,IF(LEFT($B144,3)="LED",3,2)),IF(User_Inputs!$D$4="Frozen Efficiency",$F144,VLOOKUP(Y$3-Tech_Specs!$C36,Bass_Curve,IF(LEFT($B144,3)="LED",3,2)))),)</f>
        <v>0.99702522404198501</v>
      </c>
      <c r="Z144" s="374">
        <f>IF(Z$3&gt;=Tech_Specs!$C36,IF(Z$3=2010,VLOOKUP(Z$3-Tech_Specs!$C36,Bass_Curve,IF(LEFT($B144,3)="LED",3,2)),IF(User_Inputs!$D$4="Frozen Efficiency",$F144,VLOOKUP(Z$3-Tech_Specs!$C36,Bass_Curve,IF(LEFT($B144,3)="LED",3,2)))),)</f>
        <v>0.99786592697261467</v>
      </c>
      <c r="AA144" s="374">
        <f>IF(AA$3&gt;=Tech_Specs!$C36,IF(AA$3=2010,VLOOKUP(AA$3-Tech_Specs!$C36,Bass_Curve,IF(LEFT($B144,3)="LED",3,2)),IF(User_Inputs!$D$4="Frozen Efficiency",$F144,VLOOKUP(AA$3-Tech_Specs!$C36,Bass_Curve,IF(LEFT($B144,3)="LED",3,2)))),)</f>
        <v>0.9984693766950139</v>
      </c>
      <c r="AB144" s="374">
        <f>IF(AB$3&gt;=Tech_Specs!$C36,IF(AB$3=2010,VLOOKUP(AB$3-Tech_Specs!$C36,Bass_Curve,IF(LEFT($B144,3)="LED",3,2)),IF(User_Inputs!$D$4="Frozen Efficiency",$F144,VLOOKUP(AB$3-Tech_Specs!$C36,Bass_Curve,IF(LEFT($B144,3)="LED",3,2)))),)</f>
        <v>0.99890231984592681</v>
      </c>
      <c r="AC144" s="374">
        <f>IF(AC$3&gt;=Tech_Specs!$C36,IF(AC$3=2010,VLOOKUP(AC$3-Tech_Specs!$C36,Bass_Curve,IF(LEFT($B144,3)="LED",3,2)),IF(User_Inputs!$D$4="Frozen Efficiency",$F144,VLOOKUP(AC$3-Tech_Specs!$C36,Bass_Curve,IF(LEFT($B144,3)="LED",3,2)))),)</f>
        <v>0.99921283993037913</v>
      </c>
      <c r="AD144" s="374">
        <f>IF(AD$3&gt;=Tech_Specs!$C36,IF(AD$3=2010,VLOOKUP(AD$3-Tech_Specs!$C36,Bass_Curve,IF(LEFT($B144,3)="LED",3,2)),IF(User_Inputs!$D$4="Frozen Efficiency",$F144,VLOOKUP(AD$3-Tech_Specs!$C36,Bass_Curve,IF(LEFT($B144,3)="LED",3,2)))),)</f>
        <v>0.99943551570827049</v>
      </c>
      <c r="AE144" s="374">
        <f>IF(AE$3&gt;=Tech_Specs!$C36,IF(AE$3=2010,VLOOKUP(AE$3-Tech_Specs!$C36,Bass_Curve,IF(LEFT($B144,3)="LED",3,2)),IF(User_Inputs!$D$4="Frozen Efficiency",$F144,VLOOKUP(AE$3-Tech_Specs!$C36,Bass_Curve,IF(LEFT($B144,3)="LED",3,2)))),)</f>
        <v>0.99959518445151951</v>
      </c>
    </row>
    <row r="145" spans="1:31" s="221" customFormat="1" x14ac:dyDescent="0.25">
      <c r="A145" s="356"/>
      <c r="B145" s="356" t="s">
        <v>52</v>
      </c>
      <c r="C145"/>
      <c r="D145"/>
      <c r="E145"/>
      <c r="F145" s="374">
        <f>IF(F$3&gt;=Tech_Specs!$C37,IF(F$3=2010,VLOOKUP(F$3-Tech_Specs!$C37,Bass_Curve,IF(LEFT($B145,3)="LED",3,2)),IF(User_Inputs!$D$4="Frozen Efficiency",$F145,VLOOKUP(F$3-Tech_Specs!$C37,Bass_Curve,IF(LEFT($B145,3)="LED",3,2)))),)</f>
        <v>0.99585484432697347</v>
      </c>
      <c r="G145" s="374">
        <f>IF(G$3&gt;=Tech_Specs!$C37,IF(G$3=2010,VLOOKUP(G$3-Tech_Specs!$C37,Bass_Curve,IF(LEFT($B145,3)="LED",3,2)),IF(User_Inputs!$D$4="Frozen Efficiency",$F145,VLOOKUP(G$3-Tech_Specs!$C37,Bass_Curve,IF(LEFT($B145,3)="LED",3,2)))),)</f>
        <v>0.99702522404198501</v>
      </c>
      <c r="H145" s="374">
        <f>IF(H$3&gt;=Tech_Specs!$C37,IF(H$3=2010,VLOOKUP(H$3-Tech_Specs!$C37,Bass_Curve,IF(LEFT($B145,3)="LED",3,2)),IF(User_Inputs!$D$4="Frozen Efficiency",$F145,VLOOKUP(H$3-Tech_Specs!$C37,Bass_Curve,IF(LEFT($B145,3)="LED",3,2)))),)</f>
        <v>0.99786592697261467</v>
      </c>
      <c r="I145" s="374">
        <f>IF(I$3&gt;=Tech_Specs!$C37,IF(I$3=2010,VLOOKUP(I$3-Tech_Specs!$C37,Bass_Curve,IF(LEFT($B145,3)="LED",3,2)),IF(User_Inputs!$D$4="Frozen Efficiency",$F145,VLOOKUP(I$3-Tech_Specs!$C37,Bass_Curve,IF(LEFT($B145,3)="LED",3,2)))),)</f>
        <v>0.9984693766950139</v>
      </c>
      <c r="J145" s="374">
        <f>IF(J$3&gt;=Tech_Specs!$C37,IF(J$3=2010,VLOOKUP(J$3-Tech_Specs!$C37,Bass_Curve,IF(LEFT($B145,3)="LED",3,2)),IF(User_Inputs!$D$4="Frozen Efficiency",$F145,VLOOKUP(J$3-Tech_Specs!$C37,Bass_Curve,IF(LEFT($B145,3)="LED",3,2)))),)</f>
        <v>0.99890231984592681</v>
      </c>
      <c r="K145" s="374">
        <f>IF(K$3&gt;=Tech_Specs!$C37,IF(K$3=2010,VLOOKUP(K$3-Tech_Specs!$C37,Bass_Curve,IF(LEFT($B145,3)="LED",3,2)),IF(User_Inputs!$D$4="Frozen Efficiency",$F145,VLOOKUP(K$3-Tech_Specs!$C37,Bass_Curve,IF(LEFT($B145,3)="LED",3,2)))),)</f>
        <v>0.99921283993037913</v>
      </c>
      <c r="L145" s="374">
        <f>IF(L$3&gt;=Tech_Specs!$C37,IF(L$3=2010,VLOOKUP(L$3-Tech_Specs!$C37,Bass_Curve,IF(LEFT($B145,3)="LED",3,2)),IF(User_Inputs!$D$4="Frozen Efficiency",$F145,VLOOKUP(L$3-Tech_Specs!$C37,Bass_Curve,IF(LEFT($B145,3)="LED",3,2)))),)</f>
        <v>0.99943551570827049</v>
      </c>
      <c r="M145" s="374">
        <f>IF(M$3&gt;=Tech_Specs!$C37,IF(M$3=2010,VLOOKUP(M$3-Tech_Specs!$C37,Bass_Curve,IF(LEFT($B145,3)="LED",3,2)),IF(User_Inputs!$D$4="Frozen Efficiency",$F145,VLOOKUP(M$3-Tech_Specs!$C37,Bass_Curve,IF(LEFT($B145,3)="LED",3,2)))),)</f>
        <v>0.99959518445151951</v>
      </c>
      <c r="N145" s="374">
        <f>IF(N$3&gt;=Tech_Specs!$C37,IF(N$3=2010,VLOOKUP(N$3-Tech_Specs!$C37,Bass_Curve,IF(LEFT($B145,3)="LED",3,2)),IF(User_Inputs!$D$4="Frozen Efficiency",$F145,VLOOKUP(N$3-Tech_Specs!$C37,Bass_Curve,IF(LEFT($B145,3)="LED",3,2)))),)</f>
        <v>0.99970967191209748</v>
      </c>
      <c r="O145" s="374">
        <f>IF(O$3&gt;=Tech_Specs!$C37,IF(O$3=2010,VLOOKUP(O$3-Tech_Specs!$C37,Bass_Curve,IF(LEFT($B145,3)="LED",3,2)),IF(User_Inputs!$D$4="Frozen Efficiency",$F145,VLOOKUP(O$3-Tech_Specs!$C37,Bass_Curve,IF(LEFT($B145,3)="LED",3,2)))),)</f>
        <v>0.99979176488656052</v>
      </c>
      <c r="P145" s="374">
        <f>IF(P$3&gt;=Tech_Specs!$C37,IF(P$3=2010,VLOOKUP(P$3-Tech_Specs!$C37,Bass_Curve,IF(LEFT($B145,3)="LED",3,2)),IF(User_Inputs!$D$4="Frozen Efficiency",$F145,VLOOKUP(P$3-Tech_Specs!$C37,Bass_Curve,IF(LEFT($B145,3)="LED",3,2)))),)</f>
        <v>0.99985063257548779</v>
      </c>
      <c r="Q145" s="374">
        <f>IF(Q$3&gt;=Tech_Specs!$C37,IF(Q$3=2010,VLOOKUP(Q$3-Tech_Specs!$C37,Bass_Curve,IF(LEFT($B145,3)="LED",3,2)),IF(User_Inputs!$D$4="Frozen Efficiency",$F145,VLOOKUP(Q$3-Tech_Specs!$C37,Bass_Curve,IF(LEFT($B145,3)="LED",3,2)))),)</f>
        <v>0.99989284880158935</v>
      </c>
      <c r="R145" s="374">
        <f>IF(R$3&gt;=Tech_Specs!$C37,IF(R$3=2010,VLOOKUP(R$3-Tech_Specs!$C37,Bass_Curve,IF(LEFT($B145,3)="LED",3,2)),IF(User_Inputs!$D$4="Frozen Efficiency",$F145,VLOOKUP(R$3-Tech_Specs!$C37,Bass_Curve,IF(LEFT($B145,3)="LED",3,2)))),)</f>
        <v>0.99992312620537604</v>
      </c>
      <c r="S145" s="374">
        <f>IF(S$3&gt;=Tech_Specs!$C37,IF(S$3=2010,VLOOKUP(S$3-Tech_Specs!$C37,Bass_Curve,IF(LEFT($B145,3)="LED",3,2)),IF(User_Inputs!$D$4="Frozen Efficiency",$F145,VLOOKUP(S$3-Tech_Specs!$C37,Bass_Curve,IF(LEFT($B145,3)="LED",3,2)))),)</f>
        <v>0.9999448431048531</v>
      </c>
      <c r="T145" s="374">
        <f>IF(T$3&gt;=Tech_Specs!$C37,IF(T$3=2010,VLOOKUP(T$3-Tech_Specs!$C37,Bass_Curve,IF(LEFT($B145,3)="LED",3,2)),IF(User_Inputs!$D$4="Frozen Efficiency",$F145,VLOOKUP(T$3-Tech_Specs!$C37,Bass_Curve,IF(LEFT($B145,3)="LED",3,2)))),)</f>
        <v>0.99996042135098673</v>
      </c>
      <c r="U145" s="374">
        <f>IF(U$3&gt;=Tech_Specs!$C37,IF(U$3=2010,VLOOKUP(U$3-Tech_Specs!$C37,Bass_Curve,IF(LEFT($B145,3)="LED",3,2)),IF(User_Inputs!$D$4="Frozen Efficiency",$F145,VLOOKUP(U$3-Tech_Specs!$C37,Bass_Curve,IF(LEFT($B145,3)="LED",3,2)))),)</f>
        <v>0.99997159722102513</v>
      </c>
      <c r="V145" s="374">
        <f>IF(V$3&gt;=Tech_Specs!$C37,IF(V$3=2010,VLOOKUP(V$3-Tech_Specs!$C37,Bass_Curve,IF(LEFT($B145,3)="LED",3,2)),IF(User_Inputs!$D$4="Frozen Efficiency",$F145,VLOOKUP(V$3-Tech_Specs!$C37,Bass_Curve,IF(LEFT($B145,3)="LED",3,2)))),)</f>
        <v>0.9999796155873415</v>
      </c>
      <c r="W145" s="374">
        <f>IF(W$3&gt;=Tech_Specs!$C37,IF(W$3=2010,VLOOKUP(W$3-Tech_Specs!$C37,Bass_Curve,IF(LEFT($B145,3)="LED",3,2)),IF(User_Inputs!$D$4="Frozen Efficiency",$F145,VLOOKUP(W$3-Tech_Specs!$C37,Bass_Curve,IF(LEFT($B145,3)="LED",3,2)))),)</f>
        <v>0.99998536907810021</v>
      </c>
      <c r="X145" s="374">
        <f>IF(X$3&gt;=Tech_Specs!$C37,IF(X$3=2010,VLOOKUP(X$3-Tech_Specs!$C37,Bass_Curve,IF(LEFT($B145,3)="LED",3,2)),IF(User_Inputs!$D$4="Frozen Efficiency",$F145,VLOOKUP(X$3-Tech_Specs!$C37,Bass_Curve,IF(LEFT($B145,3)="LED",3,2)))),)</f>
        <v>0.99998949781098223</v>
      </c>
      <c r="Y145" s="374">
        <f>IF(Y$3&gt;=Tech_Specs!$C37,IF(Y$3=2010,VLOOKUP(Y$3-Tech_Specs!$C37,Bass_Curve,IF(LEFT($B145,3)="LED",3,2)),IF(User_Inputs!$D$4="Frozen Efficiency",$F145,VLOOKUP(Y$3-Tech_Specs!$C37,Bass_Curve,IF(LEFT($B145,3)="LED",3,2)))),)</f>
        <v>0.99999246087225968</v>
      </c>
      <c r="Z145" s="374">
        <f>IF(Z$3&gt;=Tech_Specs!$C37,IF(Z$3=2010,VLOOKUP(Z$3-Tech_Specs!$C37,Bass_Curve,IF(LEFT($B145,3)="LED",3,2)),IF(User_Inputs!$D$4="Frozen Efficiency",$F145,VLOOKUP(Z$3-Tech_Specs!$C37,Bass_Curve,IF(LEFT($B145,3)="LED",3,2)))),)</f>
        <v>0.99999458754894088</v>
      </c>
      <c r="AA145" s="374">
        <f>IF(AA$3&gt;=Tech_Specs!$C37,IF(AA$3=2010,VLOOKUP(AA$3-Tech_Specs!$C37,Bass_Curve,IF(LEFT($B145,3)="LED",3,2)),IF(User_Inputs!$D$4="Frozen Efficiency",$F145,VLOOKUP(AA$3-Tech_Specs!$C37,Bass_Curve,IF(LEFT($B145,3)="LED",3,2)))),)</f>
        <v>0.99999611405218891</v>
      </c>
      <c r="AB145" s="374">
        <f>IF(AB$3&gt;=Tech_Specs!$C37,IF(AB$3=2010,VLOOKUP(AB$3-Tech_Specs!$C37,Bass_Curve,IF(LEFT($B145,3)="LED",3,2)),IF(User_Inputs!$D$4="Frozen Efficiency",$F145,VLOOKUP(AB$3-Tech_Specs!$C37,Bass_Curve,IF(LEFT($B145,3)="LED",3,2)))),)</f>
        <v>0.99999720984345863</v>
      </c>
      <c r="AC145" s="374">
        <f>IF(AC$3&gt;=Tech_Specs!$C37,IF(AC$3=2010,VLOOKUP(AC$3-Tech_Specs!$C37,Bass_Curve,IF(LEFT($B145,3)="LED",3,2)),IF(User_Inputs!$D$4="Frozen Efficiency",$F145,VLOOKUP(AC$3-Tech_Specs!$C37,Bass_Curve,IF(LEFT($B145,3)="LED",3,2)))),)</f>
        <v>0.99999799650912424</v>
      </c>
      <c r="AD145" s="374">
        <f>IF(AD$3&gt;=Tech_Specs!$C37,IF(AD$3=2010,VLOOKUP(AD$3-Tech_Specs!$C37,Bass_Curve,IF(LEFT($B145,3)="LED",3,2)),IF(User_Inputs!$D$4="Frozen Efficiency",$F145,VLOOKUP(AD$3-Tech_Specs!$C37,Bass_Curve,IF(LEFT($B145,3)="LED",3,2)))),)</f>
        <v>0.99999856129425391</v>
      </c>
      <c r="AE145" s="374">
        <f>IF(AE$3&gt;=Tech_Specs!$C37,IF(AE$3=2010,VLOOKUP(AE$3-Tech_Specs!$C37,Bass_Curve,IF(LEFT($B145,3)="LED",3,2)),IF(User_Inputs!$D$4="Frozen Efficiency",$F145,VLOOKUP(AE$3-Tech_Specs!$C37,Bass_Curve,IF(LEFT($B145,3)="LED",3,2)))),)</f>
        <v>0.99999896680791711</v>
      </c>
    </row>
    <row r="146" spans="1:31" s="221" customFormat="1" x14ac:dyDescent="0.25">
      <c r="A146" s="356"/>
      <c r="B146" s="358" t="s">
        <v>29</v>
      </c>
      <c r="C146"/>
      <c r="D146"/>
      <c r="E146"/>
      <c r="F146" s="374">
        <f>IF(F$3&gt;=Tech_Specs!$C38,IF(F$3=2010,VLOOKUP(F$3-Tech_Specs!$C38,Bass_Curve,IF(LEFT($B146,3)="LED",3,2)),IF(User_Inputs!$D$4="Frozen Efficiency",$F146,VLOOKUP(F$3-Tech_Specs!$C38,Bass_Curve,IF(LEFT($B146,3)="LED",3,2)))),)</f>
        <v>2.573359512642789E-2</v>
      </c>
      <c r="G146" s="374">
        <f>IF(G$3&gt;=Tech_Specs!$C38,IF(G$3=2010,VLOOKUP(G$3-Tech_Specs!$C38,Bass_Curve,IF(LEFT($B146,3)="LED",3,2)),IF(User_Inputs!$D$4="Frozen Efficiency",$F146,VLOOKUP(G$3-Tech_Specs!$C38,Bass_Curve,IF(LEFT($B146,3)="LED",3,2)))),)</f>
        <v>4.6539757716903177E-2</v>
      </c>
      <c r="H146" s="374">
        <f>IF(H$3&gt;=Tech_Specs!$C38,IF(H$3=2010,VLOOKUP(H$3-Tech_Specs!$C38,Bass_Curve,IF(LEFT($B146,3)="LED",3,2)),IF(User_Inputs!$D$4="Frozen Efficiency",$F146,VLOOKUP(H$3-Tech_Specs!$C38,Bass_Curve,IF(LEFT($B146,3)="LED",3,2)))),)</f>
        <v>7.4754332929684128E-2</v>
      </c>
      <c r="I146" s="374">
        <f>IF(I$3&gt;=Tech_Specs!$C38,IF(I$3=2010,VLOOKUP(I$3-Tech_Specs!$C38,Bass_Curve,IF(LEFT($B146,3)="LED",3,2)),IF(User_Inputs!$D$4="Frozen Efficiency",$F146,VLOOKUP(I$3-Tech_Specs!$C38,Bass_Curve,IF(LEFT($B146,3)="LED",3,2)))),)</f>
        <v>0.11197478620001509</v>
      </c>
      <c r="J146" s="374">
        <f>IF(J$3&gt;=Tech_Specs!$C38,IF(J$3=2010,VLOOKUP(J$3-Tech_Specs!$C38,Bass_Curve,IF(LEFT($B146,3)="LED",3,2)),IF(User_Inputs!$D$4="Frozen Efficiency",$F146,VLOOKUP(J$3-Tech_Specs!$C38,Bass_Curve,IF(LEFT($B146,3)="LED",3,2)))),)</f>
        <v>0.15936056895239697</v>
      </c>
      <c r="K146" s="374">
        <f>IF(K$3&gt;=Tech_Specs!$C38,IF(K$3=2010,VLOOKUP(K$3-Tech_Specs!$C38,Bass_Curve,IF(LEFT($B146,3)="LED",3,2)),IF(User_Inputs!$D$4="Frozen Efficiency",$F146,VLOOKUP(K$3-Tech_Specs!$C38,Bass_Curve,IF(LEFT($B146,3)="LED",3,2)))),)</f>
        <v>0.21712504966565391</v>
      </c>
      <c r="L146" s="374">
        <f>IF(L$3&gt;=Tech_Specs!$C38,IF(L$3=2010,VLOOKUP(L$3-Tech_Specs!$C38,Bass_Curve,IF(LEFT($B146,3)="LED",3,2)),IF(User_Inputs!$D$4="Frozen Efficiency",$F146,VLOOKUP(L$3-Tech_Specs!$C38,Bass_Curve,IF(LEFT($B146,3)="LED",3,2)))),)</f>
        <v>0.28414080977412093</v>
      </c>
      <c r="M146" s="374">
        <f>IF(M$3&gt;=Tech_Specs!$C38,IF(M$3=2010,VLOOKUP(M$3-Tech_Specs!$C38,Bass_Curve,IF(LEFT($B146,3)="LED",3,2)),IF(User_Inputs!$D$4="Frozen Efficiency",$F146,VLOOKUP(M$3-Tech_Specs!$C38,Bass_Curve,IF(LEFT($B146,3)="LED",3,2)))),)</f>
        <v>0.35795009041805559</v>
      </c>
      <c r="N146" s="374">
        <f>IF(N$3&gt;=Tech_Specs!$C38,IF(N$3=2010,VLOOKUP(N$3-Tech_Specs!$C38,Bass_Curve,IF(LEFT($B146,3)="LED",3,2)),IF(User_Inputs!$D$4="Frozen Efficiency",$F146,VLOOKUP(N$3-Tech_Specs!$C38,Bass_Curve,IF(LEFT($B146,3)="LED",3,2)))),)</f>
        <v>0.43528730962994305</v>
      </c>
      <c r="O146" s="374">
        <f>IF(O$3&gt;=Tech_Specs!$C38,IF(O$3=2010,VLOOKUP(O$3-Tech_Specs!$C38,Bass_Curve,IF(LEFT($B146,3)="LED",3,2)),IF(User_Inputs!$D$4="Frozen Efficiency",$F146,VLOOKUP(O$3-Tech_Specs!$C38,Bass_Curve,IF(LEFT($B146,3)="LED",3,2)))),)</f>
        <v>0.51284484369923866</v>
      </c>
      <c r="P146" s="374">
        <f>IF(P$3&gt;=Tech_Specs!$C38,IF(P$3=2010,VLOOKUP(P$3-Tech_Specs!$C38,Bass_Curve,IF(LEFT($B146,3)="LED",3,2)),IF(User_Inputs!$D$4="Frozen Efficiency",$F146,VLOOKUP(P$3-Tech_Specs!$C38,Bass_Curve,IF(LEFT($B146,3)="LED",3,2)))),)</f>
        <v>0.58783004379238735</v>
      </c>
      <c r="Q146" s="374">
        <f>IF(Q$3&gt;=Tech_Specs!$C38,IF(Q$3=2010,VLOOKUP(Q$3-Tech_Specs!$C38,Bass_Curve,IF(LEFT($B146,3)="LED",3,2)),IF(User_Inputs!$D$4="Frozen Efficiency",$F146,VLOOKUP(Q$3-Tech_Specs!$C38,Bass_Curve,IF(LEFT($B146,3)="LED",3,2)))),)</f>
        <v>0.65810308249900329</v>
      </c>
      <c r="R146" s="374">
        <f>IF(R$3&gt;=Tech_Specs!$C38,IF(R$3=2010,VLOOKUP(R$3-Tech_Specs!$C38,Bass_Curve,IF(LEFT($B146,3)="LED",3,2)),IF(User_Inputs!$D$4="Frozen Efficiency",$F146,VLOOKUP(R$3-Tech_Specs!$C38,Bass_Curve,IF(LEFT($B146,3)="LED",3,2)))),)</f>
        <v>0.72206467330281499</v>
      </c>
      <c r="S146" s="374">
        <f>IF(S$3&gt;=Tech_Specs!$C38,IF(S$3=2010,VLOOKUP(S$3-Tech_Specs!$C38,Bass_Curve,IF(LEFT($B146,3)="LED",3,2)),IF(User_Inputs!$D$4="Frozen Efficiency",$F146,VLOOKUP(S$3-Tech_Specs!$C38,Bass_Curve,IF(LEFT($B146,3)="LED",3,2)))),)</f>
        <v>0.77856976904215913</v>
      </c>
      <c r="T146" s="374">
        <f>IF(T$3&gt;=Tech_Specs!$C38,IF(T$3=2010,VLOOKUP(T$3-Tech_Specs!$C38,Bass_Curve,IF(LEFT($B146,3)="LED",3,2)),IF(User_Inputs!$D$4="Frozen Efficiency",$F146,VLOOKUP(T$3-Tech_Specs!$C38,Bass_Curve,IF(LEFT($B146,3)="LED",3,2)))),)</f>
        <v>0.82696350840215249</v>
      </c>
      <c r="U146" s="374">
        <f>IF(U$3&gt;=Tech_Specs!$C38,IF(U$3=2010,VLOOKUP(U$3-Tech_Specs!$C38,Bass_Curve,IF(LEFT($B146,3)="LED",3,2)),IF(User_Inputs!$D$4="Frozen Efficiency",$F146,VLOOKUP(U$3-Tech_Specs!$C38,Bass_Curve,IF(LEFT($B146,3)="LED",3,2)))),)</f>
        <v>0.86714658256559263</v>
      </c>
      <c r="V146" s="374">
        <f>IF(V$3&gt;=Tech_Specs!$C38,IF(V$3=2010,VLOOKUP(V$3-Tech_Specs!$C38,Bass_Curve,IF(LEFT($B146,3)="LED",3,2)),IF(User_Inputs!$D$4="Frozen Efficiency",$F146,VLOOKUP(V$3-Tech_Specs!$C38,Bass_Curve,IF(LEFT($B146,3)="LED",3,2)))),)</f>
        <v>0.89955419985356344</v>
      </c>
      <c r="W146" s="374">
        <f>IF(W$3&gt;=Tech_Specs!$C38,IF(W$3=2010,VLOOKUP(W$3-Tech_Specs!$C38,Bass_Curve,IF(LEFT($B146,3)="LED",3,2)),IF(User_Inputs!$D$4="Frozen Efficiency",$F146,VLOOKUP(W$3-Tech_Specs!$C38,Bass_Curve,IF(LEFT($B146,3)="LED",3,2)))),)</f>
        <v>0.92502432100062038</v>
      </c>
      <c r="X146" s="374">
        <f>IF(X$3&gt;=Tech_Specs!$C38,IF(X$3=2010,VLOOKUP(X$3-Tech_Specs!$C38,Bass_Curve,IF(LEFT($B146,3)="LED",3,2)),IF(User_Inputs!$D$4="Frozen Efficiency",$F146,VLOOKUP(X$3-Tech_Specs!$C38,Bass_Curve,IF(LEFT($B146,3)="LED",3,2)))),)</f>
        <v>0.94461059131409331</v>
      </c>
      <c r="Y146" s="374">
        <f>IF(Y$3&gt;=Tech_Specs!$C38,IF(Y$3=2010,VLOOKUP(Y$3-Tech_Specs!$C38,Bass_Curve,IF(LEFT($B146,3)="LED",3,2)),IF(User_Inputs!$D$4="Frozen Efficiency",$F146,VLOOKUP(Y$3-Tech_Specs!$C38,Bass_Curve,IF(LEFT($B146,3)="LED",3,2)))),)</f>
        <v>0.95940876722590474</v>
      </c>
      <c r="Z146" s="374">
        <f>IF(Z$3&gt;=Tech_Specs!$C38,IF(Z$3=2010,VLOOKUP(Z$3-Tech_Specs!$C38,Bass_Curve,IF(LEFT($B146,3)="LED",3,2)),IF(User_Inputs!$D$4="Frozen Efficiency",$F146,VLOOKUP(Z$3-Tech_Specs!$C38,Bass_Curve,IF(LEFT($B146,3)="LED",3,2)))),)</f>
        <v>0.97043561397505118</v>
      </c>
      <c r="AA146" s="374">
        <f>IF(AA$3&gt;=Tech_Specs!$C38,IF(AA$3=2010,VLOOKUP(AA$3-Tech_Specs!$C38,Bass_Curve,IF(LEFT($B146,3)="LED",3,2)),IF(User_Inputs!$D$4="Frozen Efficiency",$F146,VLOOKUP(AA$3-Tech_Specs!$C38,Bass_Curve,IF(LEFT($B146,3)="LED",3,2)))),)</f>
        <v>0.97856563119743434</v>
      </c>
      <c r="AB146" s="374">
        <f>IF(AB$3&gt;=Tech_Specs!$C38,IF(AB$3=2010,VLOOKUP(AB$3-Tech_Specs!$C38,Bass_Curve,IF(LEFT($B146,3)="LED",3,2)),IF(User_Inputs!$D$4="Frozen Efficiency",$F146,VLOOKUP(AB$3-Tech_Specs!$C38,Bass_Curve,IF(LEFT($B146,3)="LED",3,2)))),)</f>
        <v>0.98451232141945333</v>
      </c>
      <c r="AC146" s="374">
        <f>IF(AC$3&gt;=Tech_Specs!$C38,IF(AC$3=2010,VLOOKUP(AC$3-Tech_Specs!$C38,Bass_Curve,IF(LEFT($B146,3)="LED",3,2)),IF(User_Inputs!$D$4="Frozen Efficiency",$F146,VLOOKUP(AC$3-Tech_Specs!$C38,Bass_Curve,IF(LEFT($B146,3)="LED",3,2)))),)</f>
        <v>0.98883650057565198</v>
      </c>
      <c r="AD146" s="374">
        <f>IF(AD$3&gt;=Tech_Specs!$C38,IF(AD$3=2010,VLOOKUP(AD$3-Tech_Specs!$C38,Bass_Curve,IF(LEFT($B146,3)="LED",3,2)),IF(User_Inputs!$D$4="Frozen Efficiency",$F146,VLOOKUP(AD$3-Tech_Specs!$C38,Bass_Curve,IF(LEFT($B146,3)="LED",3,2)))),)</f>
        <v>0.99196738407609564</v>
      </c>
      <c r="AE146" s="374">
        <f>IF(AE$3&gt;=Tech_Specs!$C38,IF(AE$3=2010,VLOOKUP(AE$3-Tech_Specs!$C38,Bass_Curve,IF(LEFT($B146,3)="LED",3,2)),IF(User_Inputs!$D$4="Frozen Efficiency",$F146,VLOOKUP(AE$3-Tech_Specs!$C38,Bass_Curve,IF(LEFT($B146,3)="LED",3,2)))),)</f>
        <v>0.99422726069133227</v>
      </c>
    </row>
    <row r="147" spans="1:31" s="221" customFormat="1" x14ac:dyDescent="0.25">
      <c r="A147" s="356"/>
      <c r="B147" s="358" t="s">
        <v>53</v>
      </c>
      <c r="C147"/>
      <c r="D147"/>
      <c r="E147"/>
      <c r="F147" s="374">
        <f>IF(F$3&gt;=Tech_Specs!$C39,IF(F$3=2010,VLOOKUP(F$3-Tech_Specs!$C39,Bass_Curve,IF(LEFT($B147,3)="LED",3,2)),IF(User_Inputs!$D$4="Frozen Efficiency",$F147,VLOOKUP(F$3-Tech_Specs!$C39,Bass_Curve,IF(LEFT($B147,3)="LED",3,2)))),)</f>
        <v>0.43528730962994305</v>
      </c>
      <c r="G147" s="374">
        <f>IF(G$3&gt;=Tech_Specs!$C39,IF(G$3=2010,VLOOKUP(G$3-Tech_Specs!$C39,Bass_Curve,IF(LEFT($B147,3)="LED",3,2)),IF(User_Inputs!$D$4="Frozen Efficiency",$F147,VLOOKUP(G$3-Tech_Specs!$C39,Bass_Curve,IF(LEFT($B147,3)="LED",3,2)))),)</f>
        <v>0.51284484369923866</v>
      </c>
      <c r="H147" s="374">
        <f>IF(H$3&gt;=Tech_Specs!$C39,IF(H$3=2010,VLOOKUP(H$3-Tech_Specs!$C39,Bass_Curve,IF(LEFT($B147,3)="LED",3,2)),IF(User_Inputs!$D$4="Frozen Efficiency",$F147,VLOOKUP(H$3-Tech_Specs!$C39,Bass_Curve,IF(LEFT($B147,3)="LED",3,2)))),)</f>
        <v>0.58783004379238735</v>
      </c>
      <c r="I147" s="374">
        <f>IF(I$3&gt;=Tech_Specs!$C39,IF(I$3=2010,VLOOKUP(I$3-Tech_Specs!$C39,Bass_Curve,IF(LEFT($B147,3)="LED",3,2)),IF(User_Inputs!$D$4="Frozen Efficiency",$F147,VLOOKUP(I$3-Tech_Specs!$C39,Bass_Curve,IF(LEFT($B147,3)="LED",3,2)))),)</f>
        <v>0.65810308249900329</v>
      </c>
      <c r="J147" s="374">
        <f>IF(J$3&gt;=Tech_Specs!$C39,IF(J$3=2010,VLOOKUP(J$3-Tech_Specs!$C39,Bass_Curve,IF(LEFT($B147,3)="LED",3,2)),IF(User_Inputs!$D$4="Frozen Efficiency",$F147,VLOOKUP(J$3-Tech_Specs!$C39,Bass_Curve,IF(LEFT($B147,3)="LED",3,2)))),)</f>
        <v>0.72206467330281499</v>
      </c>
      <c r="K147" s="374">
        <f>IF(K$3&gt;=Tech_Specs!$C39,IF(K$3=2010,VLOOKUP(K$3-Tech_Specs!$C39,Bass_Curve,IF(LEFT($B147,3)="LED",3,2)),IF(User_Inputs!$D$4="Frozen Efficiency",$F147,VLOOKUP(K$3-Tech_Specs!$C39,Bass_Curve,IF(LEFT($B147,3)="LED",3,2)))),)</f>
        <v>0.77856976904215913</v>
      </c>
      <c r="L147" s="374">
        <f>IF(L$3&gt;=Tech_Specs!$C39,IF(L$3=2010,VLOOKUP(L$3-Tech_Specs!$C39,Bass_Curve,IF(LEFT($B147,3)="LED",3,2)),IF(User_Inputs!$D$4="Frozen Efficiency",$F147,VLOOKUP(L$3-Tech_Specs!$C39,Bass_Curve,IF(LEFT($B147,3)="LED",3,2)))),)</f>
        <v>0.82696350840215249</v>
      </c>
      <c r="M147" s="374">
        <f>IF(M$3&gt;=Tech_Specs!$C39,IF(M$3=2010,VLOOKUP(M$3-Tech_Specs!$C39,Bass_Curve,IF(LEFT($B147,3)="LED",3,2)),IF(User_Inputs!$D$4="Frozen Efficiency",$F147,VLOOKUP(M$3-Tech_Specs!$C39,Bass_Curve,IF(LEFT($B147,3)="LED",3,2)))),)</f>
        <v>0.86714658256559263</v>
      </c>
      <c r="N147" s="374">
        <f>IF(N$3&gt;=Tech_Specs!$C39,IF(N$3=2010,VLOOKUP(N$3-Tech_Specs!$C39,Bass_Curve,IF(LEFT($B147,3)="LED",3,2)),IF(User_Inputs!$D$4="Frozen Efficiency",$F147,VLOOKUP(N$3-Tech_Specs!$C39,Bass_Curve,IF(LEFT($B147,3)="LED",3,2)))),)</f>
        <v>0.89955419985356344</v>
      </c>
      <c r="O147" s="374">
        <f>IF(O$3&gt;=Tech_Specs!$C39,IF(O$3=2010,VLOOKUP(O$3-Tech_Specs!$C39,Bass_Curve,IF(LEFT($B147,3)="LED",3,2)),IF(User_Inputs!$D$4="Frozen Efficiency",$F147,VLOOKUP(O$3-Tech_Specs!$C39,Bass_Curve,IF(LEFT($B147,3)="LED",3,2)))),)</f>
        <v>0.92502432100062038</v>
      </c>
      <c r="P147" s="374">
        <f>IF(P$3&gt;=Tech_Specs!$C39,IF(P$3=2010,VLOOKUP(P$3-Tech_Specs!$C39,Bass_Curve,IF(LEFT($B147,3)="LED",3,2)),IF(User_Inputs!$D$4="Frozen Efficiency",$F147,VLOOKUP(P$3-Tech_Specs!$C39,Bass_Curve,IF(LEFT($B147,3)="LED",3,2)))),)</f>
        <v>0.94461059131409331</v>
      </c>
      <c r="Q147" s="374">
        <f>IF(Q$3&gt;=Tech_Specs!$C39,IF(Q$3=2010,VLOOKUP(Q$3-Tech_Specs!$C39,Bass_Curve,IF(LEFT($B147,3)="LED",3,2)),IF(User_Inputs!$D$4="Frozen Efficiency",$F147,VLOOKUP(Q$3-Tech_Specs!$C39,Bass_Curve,IF(LEFT($B147,3)="LED",3,2)))),)</f>
        <v>0.95940876722590474</v>
      </c>
      <c r="R147" s="374">
        <f>IF(R$3&gt;=Tech_Specs!$C39,IF(R$3=2010,VLOOKUP(R$3-Tech_Specs!$C39,Bass_Curve,IF(LEFT($B147,3)="LED",3,2)),IF(User_Inputs!$D$4="Frozen Efficiency",$F147,VLOOKUP(R$3-Tech_Specs!$C39,Bass_Curve,IF(LEFT($B147,3)="LED",3,2)))),)</f>
        <v>0.97043561397505118</v>
      </c>
      <c r="S147" s="374">
        <f>IF(S$3&gt;=Tech_Specs!$C39,IF(S$3=2010,VLOOKUP(S$3-Tech_Specs!$C39,Bass_Curve,IF(LEFT($B147,3)="LED",3,2)),IF(User_Inputs!$D$4="Frozen Efficiency",$F147,VLOOKUP(S$3-Tech_Specs!$C39,Bass_Curve,IF(LEFT($B147,3)="LED",3,2)))),)</f>
        <v>0.97856563119743434</v>
      </c>
      <c r="T147" s="374">
        <f>IF(T$3&gt;=Tech_Specs!$C39,IF(T$3=2010,VLOOKUP(T$3-Tech_Specs!$C39,Bass_Curve,IF(LEFT($B147,3)="LED",3,2)),IF(User_Inputs!$D$4="Frozen Efficiency",$F147,VLOOKUP(T$3-Tech_Specs!$C39,Bass_Curve,IF(LEFT($B147,3)="LED",3,2)))),)</f>
        <v>0.98451232141945333</v>
      </c>
      <c r="U147" s="374">
        <f>IF(U$3&gt;=Tech_Specs!$C39,IF(U$3=2010,VLOOKUP(U$3-Tech_Specs!$C39,Bass_Curve,IF(LEFT($B147,3)="LED",3,2)),IF(User_Inputs!$D$4="Frozen Efficiency",$F147,VLOOKUP(U$3-Tech_Specs!$C39,Bass_Curve,IF(LEFT($B147,3)="LED",3,2)))),)</f>
        <v>0.98883650057565198</v>
      </c>
      <c r="V147" s="374">
        <f>IF(V$3&gt;=Tech_Specs!$C39,IF(V$3=2010,VLOOKUP(V$3-Tech_Specs!$C39,Bass_Curve,IF(LEFT($B147,3)="LED",3,2)),IF(User_Inputs!$D$4="Frozen Efficiency",$F147,VLOOKUP(V$3-Tech_Specs!$C39,Bass_Curve,IF(LEFT($B147,3)="LED",3,2)))),)</f>
        <v>0.99196738407609564</v>
      </c>
      <c r="W147" s="374">
        <f>IF(W$3&gt;=Tech_Specs!$C39,IF(W$3=2010,VLOOKUP(W$3-Tech_Specs!$C39,Bass_Curve,IF(LEFT($B147,3)="LED",3,2)),IF(User_Inputs!$D$4="Frozen Efficiency",$F147,VLOOKUP(W$3-Tech_Specs!$C39,Bass_Curve,IF(LEFT($B147,3)="LED",3,2)))),)</f>
        <v>0.99422726069133227</v>
      </c>
      <c r="X147" s="374">
        <f>IF(X$3&gt;=Tech_Specs!$C39,IF(X$3=2010,VLOOKUP(X$3-Tech_Specs!$C39,Bass_Curve,IF(LEFT($B147,3)="LED",3,2)),IF(User_Inputs!$D$4="Frozen Efficiency",$F147,VLOOKUP(X$3-Tech_Specs!$C39,Bass_Curve,IF(LEFT($B147,3)="LED",3,2)))),)</f>
        <v>0.99585484432697347</v>
      </c>
      <c r="Y147" s="374">
        <f>IF(Y$3&gt;=Tech_Specs!$C39,IF(Y$3=2010,VLOOKUP(Y$3-Tech_Specs!$C39,Bass_Curve,IF(LEFT($B147,3)="LED",3,2)),IF(User_Inputs!$D$4="Frozen Efficiency",$F147,VLOOKUP(Y$3-Tech_Specs!$C39,Bass_Curve,IF(LEFT($B147,3)="LED",3,2)))),)</f>
        <v>0.99702522404198501</v>
      </c>
      <c r="Z147" s="374">
        <f>IF(Z$3&gt;=Tech_Specs!$C39,IF(Z$3=2010,VLOOKUP(Z$3-Tech_Specs!$C39,Bass_Curve,IF(LEFT($B147,3)="LED",3,2)),IF(User_Inputs!$D$4="Frozen Efficiency",$F147,VLOOKUP(Z$3-Tech_Specs!$C39,Bass_Curve,IF(LEFT($B147,3)="LED",3,2)))),)</f>
        <v>0.99786592697261467</v>
      </c>
      <c r="AA147" s="374">
        <f>IF(AA$3&gt;=Tech_Specs!$C39,IF(AA$3=2010,VLOOKUP(AA$3-Tech_Specs!$C39,Bass_Curve,IF(LEFT($B147,3)="LED",3,2)),IF(User_Inputs!$D$4="Frozen Efficiency",$F147,VLOOKUP(AA$3-Tech_Specs!$C39,Bass_Curve,IF(LEFT($B147,3)="LED",3,2)))),)</f>
        <v>0.9984693766950139</v>
      </c>
      <c r="AB147" s="374">
        <f>IF(AB$3&gt;=Tech_Specs!$C39,IF(AB$3=2010,VLOOKUP(AB$3-Tech_Specs!$C39,Bass_Curve,IF(LEFT($B147,3)="LED",3,2)),IF(User_Inputs!$D$4="Frozen Efficiency",$F147,VLOOKUP(AB$3-Tech_Specs!$C39,Bass_Curve,IF(LEFT($B147,3)="LED",3,2)))),)</f>
        <v>0.99890231984592681</v>
      </c>
      <c r="AC147" s="374">
        <f>IF(AC$3&gt;=Tech_Specs!$C39,IF(AC$3=2010,VLOOKUP(AC$3-Tech_Specs!$C39,Bass_Curve,IF(LEFT($B147,3)="LED",3,2)),IF(User_Inputs!$D$4="Frozen Efficiency",$F147,VLOOKUP(AC$3-Tech_Specs!$C39,Bass_Curve,IF(LEFT($B147,3)="LED",3,2)))),)</f>
        <v>0.99921283993037913</v>
      </c>
      <c r="AD147" s="374">
        <f>IF(AD$3&gt;=Tech_Specs!$C39,IF(AD$3=2010,VLOOKUP(AD$3-Tech_Specs!$C39,Bass_Curve,IF(LEFT($B147,3)="LED",3,2)),IF(User_Inputs!$D$4="Frozen Efficiency",$F147,VLOOKUP(AD$3-Tech_Specs!$C39,Bass_Curve,IF(LEFT($B147,3)="LED",3,2)))),)</f>
        <v>0.99943551570827049</v>
      </c>
      <c r="AE147" s="374">
        <f>IF(AE$3&gt;=Tech_Specs!$C39,IF(AE$3=2010,VLOOKUP(AE$3-Tech_Specs!$C39,Bass_Curve,IF(LEFT($B147,3)="LED",3,2)),IF(User_Inputs!$D$4="Frozen Efficiency",$F147,VLOOKUP(AE$3-Tech_Specs!$C39,Bass_Curve,IF(LEFT($B147,3)="LED",3,2)))),)</f>
        <v>0.99959518445151951</v>
      </c>
    </row>
    <row r="148" spans="1:31" s="221" customFormat="1" x14ac:dyDescent="0.25">
      <c r="A148"/>
      <c r="B148"/>
      <c r="C148"/>
      <c r="D148"/>
      <c r="E148"/>
      <c r="F148"/>
      <c r="G148"/>
      <c r="H148"/>
      <c r="I148"/>
      <c r="J148"/>
      <c r="K148"/>
      <c r="L148"/>
      <c r="M148"/>
      <c r="N148"/>
      <c r="O148"/>
      <c r="P148"/>
      <c r="Q148"/>
      <c r="R148"/>
      <c r="S148"/>
      <c r="T148"/>
      <c r="U148"/>
      <c r="V148"/>
      <c r="W148"/>
      <c r="X148"/>
      <c r="Y148"/>
      <c r="Z148"/>
      <c r="AA148"/>
      <c r="AB148"/>
      <c r="AC148"/>
      <c r="AD148"/>
      <c r="AE148"/>
    </row>
    <row r="149" spans="1:31" x14ac:dyDescent="0.25">
      <c r="A149" s="362" t="s">
        <v>211</v>
      </c>
      <c r="B149" s="363"/>
      <c r="C149" s="362"/>
      <c r="D149" s="363"/>
      <c r="E149" s="363"/>
      <c r="F149" s="365"/>
      <c r="G149" s="365"/>
      <c r="H149" s="365"/>
      <c r="I149" s="365"/>
      <c r="J149" s="365"/>
      <c r="K149" s="365"/>
      <c r="L149" s="365"/>
      <c r="M149" s="365"/>
      <c r="N149" s="365"/>
      <c r="O149" s="365"/>
      <c r="P149" s="365"/>
      <c r="Q149" s="365"/>
      <c r="R149" s="365"/>
      <c r="S149" s="365"/>
      <c r="T149" s="365"/>
      <c r="U149" s="365"/>
      <c r="V149" s="365"/>
      <c r="W149" s="365"/>
      <c r="X149" s="365"/>
      <c r="Y149" s="365"/>
      <c r="Z149" s="365"/>
      <c r="AA149" s="365"/>
      <c r="AB149" s="365"/>
      <c r="AC149" s="365"/>
      <c r="AD149" s="365"/>
      <c r="AE149" s="365"/>
    </row>
    <row r="150" spans="1:31" x14ac:dyDescent="0.25">
      <c r="A150" s="357" t="s">
        <v>12</v>
      </c>
      <c r="B150" s="356"/>
    </row>
    <row r="151" spans="1:31" x14ac:dyDescent="0.25">
      <c r="A151" s="356"/>
      <c r="B151" s="356" t="s">
        <v>20</v>
      </c>
    </row>
    <row r="152" spans="1:31" s="202" customFormat="1" ht="12.75" x14ac:dyDescent="0.2">
      <c r="A152" s="364" t="s">
        <v>21</v>
      </c>
      <c r="B152" s="364"/>
      <c r="C152" s="364"/>
      <c r="D152" s="364"/>
      <c r="E152" s="364"/>
      <c r="F152" s="364"/>
      <c r="G152" s="364"/>
      <c r="H152" s="364"/>
      <c r="I152" s="364"/>
      <c r="J152" s="364"/>
      <c r="K152" s="364"/>
      <c r="L152" s="364"/>
      <c r="M152" s="364"/>
      <c r="N152" s="364"/>
      <c r="O152" s="364"/>
      <c r="P152" s="364"/>
      <c r="Q152" s="364"/>
      <c r="R152" s="364"/>
      <c r="S152" s="364"/>
      <c r="T152" s="364"/>
      <c r="U152" s="364"/>
      <c r="V152" s="364"/>
      <c r="W152" s="364"/>
      <c r="X152" s="364"/>
      <c r="Y152" s="364"/>
      <c r="Z152" s="364"/>
      <c r="AA152" s="364"/>
      <c r="AB152" s="364"/>
      <c r="AC152" s="364"/>
      <c r="AD152" s="364"/>
      <c r="AE152" s="364"/>
    </row>
    <row r="153" spans="1:31" s="221" customFormat="1" x14ac:dyDescent="0.25">
      <c r="A153" s="356"/>
      <c r="B153" s="356" t="s">
        <v>22</v>
      </c>
      <c r="C153"/>
      <c r="D153" s="372"/>
      <c r="E153" s="372"/>
      <c r="F153" s="372">
        <f>Standards_Acceptance!G84</f>
        <v>1</v>
      </c>
      <c r="G153" s="372">
        <f>Standards_Acceptance!H84</f>
        <v>1</v>
      </c>
      <c r="H153" s="372">
        <f>Standards_Acceptance!I84</f>
        <v>0.82000000000000006</v>
      </c>
      <c r="I153" s="372">
        <f>Standards_Acceptance!J84</f>
        <v>0.64000000000000012</v>
      </c>
      <c r="J153" s="372">
        <f>Standards_Acceptance!K84</f>
        <v>0.46000000000000013</v>
      </c>
      <c r="K153" s="372">
        <f>Standards_Acceptance!L84</f>
        <v>0.28000000000000014</v>
      </c>
      <c r="L153" s="372">
        <f>Standards_Acceptance!M84</f>
        <v>0.1</v>
      </c>
      <c r="M153" s="372">
        <f>Standards_Acceptance!N84</f>
        <v>0.1</v>
      </c>
      <c r="N153" s="372">
        <f>Standards_Acceptance!O84</f>
        <v>0.1</v>
      </c>
      <c r="O153" s="372">
        <f>Standards_Acceptance!P84</f>
        <v>0.1</v>
      </c>
      <c r="P153" s="372">
        <f>Standards_Acceptance!Q84</f>
        <v>0.1</v>
      </c>
      <c r="Q153" s="372">
        <f>Standards_Acceptance!R84</f>
        <v>0.1</v>
      </c>
      <c r="R153" s="372">
        <f>Standards_Acceptance!S84</f>
        <v>0.1</v>
      </c>
      <c r="S153" s="372">
        <f>Standards_Acceptance!T84</f>
        <v>0.1</v>
      </c>
      <c r="T153" s="372">
        <f>Standards_Acceptance!U84</f>
        <v>0.1</v>
      </c>
      <c r="U153" s="372">
        <f>Standards_Acceptance!V84</f>
        <v>0.1</v>
      </c>
      <c r="V153" s="372">
        <f>Standards_Acceptance!W84</f>
        <v>0.1</v>
      </c>
      <c r="W153" s="372">
        <f>Standards_Acceptance!X84</f>
        <v>0.1</v>
      </c>
      <c r="X153" s="372">
        <f>Standards_Acceptance!Y84</f>
        <v>0.1</v>
      </c>
      <c r="Y153" s="372">
        <f>Standards_Acceptance!Z84</f>
        <v>0.1</v>
      </c>
      <c r="Z153" s="372">
        <f>Standards_Acceptance!AA84</f>
        <v>0.1</v>
      </c>
      <c r="AA153" s="372">
        <f>Standards_Acceptance!AB84</f>
        <v>0.1</v>
      </c>
      <c r="AB153" s="372">
        <f>Standards_Acceptance!AC84</f>
        <v>0.1</v>
      </c>
      <c r="AC153" s="372">
        <f>Standards_Acceptance!AD84</f>
        <v>0.1</v>
      </c>
      <c r="AD153" s="372">
        <f>Standards_Acceptance!AE84</f>
        <v>0.1</v>
      </c>
      <c r="AE153" s="372">
        <f>Standards_Acceptance!AF84</f>
        <v>0.1</v>
      </c>
    </row>
    <row r="154" spans="1:31" s="221" customFormat="1" x14ac:dyDescent="0.25">
      <c r="A154" s="356"/>
      <c r="B154" s="356" t="s">
        <v>26</v>
      </c>
      <c r="C154"/>
      <c r="D154" s="372"/>
      <c r="E154" s="372"/>
      <c r="F154" s="372">
        <f>Standards_Acceptance!G85</f>
        <v>0.05</v>
      </c>
      <c r="G154" s="372">
        <f>Standards_Acceptance!H85</f>
        <v>0.05</v>
      </c>
      <c r="H154" s="372">
        <f>Standards_Acceptance!I85</f>
        <v>0.2</v>
      </c>
      <c r="I154" s="372">
        <f>Standards_Acceptance!J85</f>
        <v>0.7</v>
      </c>
      <c r="J154" s="372">
        <f>Standards_Acceptance!K85</f>
        <v>1</v>
      </c>
      <c r="K154" s="372">
        <f>Standards_Acceptance!L85</f>
        <v>1</v>
      </c>
      <c r="L154" s="372">
        <f>Standards_Acceptance!M85</f>
        <v>1</v>
      </c>
      <c r="M154" s="372">
        <f>Standards_Acceptance!N85</f>
        <v>1</v>
      </c>
      <c r="N154" s="372">
        <f>Standards_Acceptance!O85</f>
        <v>1</v>
      </c>
      <c r="O154" s="372">
        <f>Standards_Acceptance!P85</f>
        <v>1</v>
      </c>
      <c r="P154" s="372">
        <f>Standards_Acceptance!Q85</f>
        <v>1</v>
      </c>
      <c r="Q154" s="372">
        <f>Standards_Acceptance!R85</f>
        <v>1</v>
      </c>
      <c r="R154" s="372">
        <f>Standards_Acceptance!S85</f>
        <v>1</v>
      </c>
      <c r="S154" s="372">
        <f>Standards_Acceptance!T85</f>
        <v>1</v>
      </c>
      <c r="T154" s="372">
        <f>Standards_Acceptance!U85</f>
        <v>1</v>
      </c>
      <c r="U154" s="372">
        <f>Standards_Acceptance!V85</f>
        <v>1</v>
      </c>
      <c r="V154" s="372">
        <f>Standards_Acceptance!W85</f>
        <v>1</v>
      </c>
      <c r="W154" s="372">
        <f>Standards_Acceptance!X85</f>
        <v>1</v>
      </c>
      <c r="X154" s="372">
        <f>Standards_Acceptance!Y85</f>
        <v>1</v>
      </c>
      <c r="Y154" s="372">
        <f>Standards_Acceptance!Z85</f>
        <v>1</v>
      </c>
      <c r="Z154" s="372">
        <f>Standards_Acceptance!AA85</f>
        <v>1</v>
      </c>
      <c r="AA154" s="372">
        <f>Standards_Acceptance!AB85</f>
        <v>1</v>
      </c>
      <c r="AB154" s="372">
        <f>Standards_Acceptance!AC85</f>
        <v>1</v>
      </c>
      <c r="AC154" s="372">
        <f>Standards_Acceptance!AD85</f>
        <v>1</v>
      </c>
      <c r="AD154" s="372">
        <f>Standards_Acceptance!AE85</f>
        <v>1</v>
      </c>
      <c r="AE154" s="372">
        <f>Standards_Acceptance!AF85</f>
        <v>1</v>
      </c>
    </row>
    <row r="155" spans="1:31" s="221" customFormat="1" x14ac:dyDescent="0.25">
      <c r="A155" s="356"/>
      <c r="B155" s="356" t="s">
        <v>27</v>
      </c>
      <c r="C155"/>
      <c r="D155" s="372"/>
      <c r="E155" s="372"/>
      <c r="F155" s="372">
        <f>Standards_Acceptance!G86</f>
        <v>0.25</v>
      </c>
      <c r="G155" s="372">
        <f>Standards_Acceptance!H86</f>
        <v>0.25</v>
      </c>
      <c r="H155" s="372">
        <f>Standards_Acceptance!I86</f>
        <v>0.25</v>
      </c>
      <c r="I155" s="372">
        <f>Standards_Acceptance!J86</f>
        <v>0.35</v>
      </c>
      <c r="J155" s="372">
        <f>Standards_Acceptance!K86</f>
        <v>0.35</v>
      </c>
      <c r="K155" s="372">
        <f>Standards_Acceptance!L86</f>
        <v>0.35</v>
      </c>
      <c r="L155" s="372">
        <f>Standards_Acceptance!M86</f>
        <v>0.35</v>
      </c>
      <c r="M155" s="372">
        <f>Standards_Acceptance!N86</f>
        <v>0.35</v>
      </c>
      <c r="N155" s="372">
        <f>Standards_Acceptance!O86</f>
        <v>0.35</v>
      </c>
      <c r="O155" s="372">
        <f>Standards_Acceptance!P86</f>
        <v>0.35</v>
      </c>
      <c r="P155" s="372">
        <f>Standards_Acceptance!Q86</f>
        <v>0.35</v>
      </c>
      <c r="Q155" s="372">
        <f>Standards_Acceptance!R86</f>
        <v>0.35</v>
      </c>
      <c r="R155" s="372">
        <f>Standards_Acceptance!S86</f>
        <v>0.35</v>
      </c>
      <c r="S155" s="372">
        <f>Standards_Acceptance!T86</f>
        <v>0.35</v>
      </c>
      <c r="T155" s="372">
        <f>Standards_Acceptance!U86</f>
        <v>0.35</v>
      </c>
      <c r="U155" s="372">
        <f>Standards_Acceptance!V86</f>
        <v>0.35</v>
      </c>
      <c r="V155" s="372">
        <f>Standards_Acceptance!W86</f>
        <v>0.35</v>
      </c>
      <c r="W155" s="372">
        <f>Standards_Acceptance!X86</f>
        <v>0.35</v>
      </c>
      <c r="X155" s="372">
        <f>Standards_Acceptance!Y86</f>
        <v>0.35</v>
      </c>
      <c r="Y155" s="372">
        <f>Standards_Acceptance!Z86</f>
        <v>0.35</v>
      </c>
      <c r="Z155" s="372">
        <f>Standards_Acceptance!AA86</f>
        <v>0.35</v>
      </c>
      <c r="AA155" s="372">
        <f>Standards_Acceptance!AB86</f>
        <v>0.35</v>
      </c>
      <c r="AB155" s="372">
        <f>Standards_Acceptance!AC86</f>
        <v>0.35</v>
      </c>
      <c r="AC155" s="372">
        <f>Standards_Acceptance!AD86</f>
        <v>0.35</v>
      </c>
      <c r="AD155" s="372">
        <f>Standards_Acceptance!AE86</f>
        <v>0.35</v>
      </c>
      <c r="AE155" s="372">
        <f>Standards_Acceptance!AF86</f>
        <v>0.35</v>
      </c>
    </row>
    <row r="156" spans="1:31" s="221" customFormat="1" x14ac:dyDescent="0.25">
      <c r="A156" s="356"/>
      <c r="B156" s="356" t="s">
        <v>29</v>
      </c>
      <c r="C156"/>
      <c r="D156" s="372"/>
      <c r="E156" s="372"/>
      <c r="F156" s="372">
        <f>Standards_Acceptance!G87</f>
        <v>1</v>
      </c>
      <c r="G156" s="372">
        <f>Standards_Acceptance!H87</f>
        <v>1</v>
      </c>
      <c r="H156" s="372">
        <f>Standards_Acceptance!I87</f>
        <v>1</v>
      </c>
      <c r="I156" s="372">
        <f>Standards_Acceptance!J87</f>
        <v>1</v>
      </c>
      <c r="J156" s="372">
        <f>Standards_Acceptance!K87</f>
        <v>1</v>
      </c>
      <c r="K156" s="372">
        <f>Standards_Acceptance!L87</f>
        <v>1</v>
      </c>
      <c r="L156" s="372">
        <f>Standards_Acceptance!M87</f>
        <v>1</v>
      </c>
      <c r="M156" s="372">
        <f>Standards_Acceptance!N87</f>
        <v>1</v>
      </c>
      <c r="N156" s="372">
        <f>Standards_Acceptance!O87</f>
        <v>1</v>
      </c>
      <c r="O156" s="372">
        <f>Standards_Acceptance!P87</f>
        <v>1</v>
      </c>
      <c r="P156" s="372">
        <f>Standards_Acceptance!Q87</f>
        <v>1</v>
      </c>
      <c r="Q156" s="372">
        <f>Standards_Acceptance!R87</f>
        <v>1</v>
      </c>
      <c r="R156" s="372">
        <f>Standards_Acceptance!S87</f>
        <v>1</v>
      </c>
      <c r="S156" s="372">
        <f>Standards_Acceptance!T87</f>
        <v>1</v>
      </c>
      <c r="T156" s="372">
        <f>Standards_Acceptance!U87</f>
        <v>1</v>
      </c>
      <c r="U156" s="372">
        <f>Standards_Acceptance!V87</f>
        <v>1</v>
      </c>
      <c r="V156" s="372">
        <f>Standards_Acceptance!W87</f>
        <v>1</v>
      </c>
      <c r="W156" s="372">
        <f>Standards_Acceptance!X87</f>
        <v>1</v>
      </c>
      <c r="X156" s="372">
        <f>Standards_Acceptance!Y87</f>
        <v>1</v>
      </c>
      <c r="Y156" s="372">
        <f>Standards_Acceptance!Z87</f>
        <v>1</v>
      </c>
      <c r="Z156" s="372">
        <f>Standards_Acceptance!AA87</f>
        <v>1</v>
      </c>
      <c r="AA156" s="372">
        <f>Standards_Acceptance!AB87</f>
        <v>1</v>
      </c>
      <c r="AB156" s="372">
        <f>Standards_Acceptance!AC87</f>
        <v>1</v>
      </c>
      <c r="AC156" s="372">
        <f>Standards_Acceptance!AD87</f>
        <v>1</v>
      </c>
      <c r="AD156" s="372">
        <f>Standards_Acceptance!AE87</f>
        <v>1</v>
      </c>
      <c r="AE156" s="372">
        <f>Standards_Acceptance!AF87</f>
        <v>1</v>
      </c>
    </row>
    <row r="157" spans="1:31" s="221" customFormat="1" x14ac:dyDescent="0.25">
      <c r="A157" s="356"/>
      <c r="B157" s="356"/>
      <c r="C157"/>
      <c r="D157" s="201"/>
      <c r="E157" s="201"/>
      <c r="F157" s="201"/>
      <c r="G157" s="201"/>
      <c r="H157" s="201"/>
      <c r="I157" s="201"/>
      <c r="J157" s="201"/>
      <c r="K157" s="201"/>
      <c r="L157" s="201"/>
      <c r="M157" s="201"/>
      <c r="N157" s="201"/>
      <c r="O157" s="201"/>
      <c r="P157" s="201"/>
      <c r="Q157" s="201"/>
      <c r="R157" s="201"/>
      <c r="S157" s="201"/>
      <c r="T157" s="201"/>
      <c r="U157" s="201"/>
      <c r="V157" s="201"/>
      <c r="W157" s="201"/>
      <c r="X157" s="201"/>
      <c r="Y157" s="201"/>
      <c r="Z157" s="201"/>
      <c r="AA157" s="201"/>
      <c r="AB157" s="201"/>
      <c r="AC157" s="201"/>
      <c r="AD157" s="201"/>
      <c r="AE157" s="201"/>
    </row>
    <row r="158" spans="1:31" s="202" customFormat="1" ht="12.75" x14ac:dyDescent="0.2">
      <c r="A158" s="364" t="s">
        <v>32</v>
      </c>
      <c r="B158" s="364"/>
      <c r="C158" s="364"/>
      <c r="D158" s="364"/>
      <c r="E158" s="364"/>
      <c r="F158" s="364"/>
      <c r="G158" s="364"/>
      <c r="H158" s="364"/>
      <c r="I158" s="364"/>
      <c r="J158" s="364"/>
      <c r="K158" s="364"/>
      <c r="L158" s="364"/>
      <c r="M158" s="364"/>
      <c r="N158" s="364"/>
      <c r="O158" s="364"/>
      <c r="P158" s="364"/>
      <c r="Q158" s="364"/>
      <c r="R158" s="364"/>
      <c r="S158" s="364"/>
      <c r="T158" s="364"/>
      <c r="U158" s="364"/>
      <c r="V158" s="364"/>
      <c r="W158" s="364"/>
      <c r="X158" s="364"/>
      <c r="Y158" s="364"/>
      <c r="Z158" s="364"/>
      <c r="AA158" s="364"/>
      <c r="AB158" s="364"/>
      <c r="AC158" s="364"/>
      <c r="AD158" s="364"/>
      <c r="AE158" s="364"/>
    </row>
    <row r="159" spans="1:31" s="221" customFormat="1" x14ac:dyDescent="0.25">
      <c r="A159" s="356"/>
      <c r="B159" s="356" t="s">
        <v>33</v>
      </c>
      <c r="C159"/>
      <c r="D159"/>
      <c r="E159"/>
      <c r="F159" s="372">
        <f>Standards_Acceptance!G90</f>
        <v>1</v>
      </c>
      <c r="G159" s="372">
        <f>Standards_Acceptance!H90</f>
        <v>1</v>
      </c>
      <c r="H159" s="372">
        <f>Standards_Acceptance!I90</f>
        <v>1</v>
      </c>
      <c r="I159" s="372">
        <f>Standards_Acceptance!J90</f>
        <v>1</v>
      </c>
      <c r="J159" s="372">
        <f>Standards_Acceptance!K90</f>
        <v>1</v>
      </c>
      <c r="K159" s="372">
        <f>Standards_Acceptance!L90</f>
        <v>1</v>
      </c>
      <c r="L159" s="372">
        <f>Standards_Acceptance!M90</f>
        <v>1</v>
      </c>
      <c r="M159" s="372">
        <f>Standards_Acceptance!N90</f>
        <v>1</v>
      </c>
      <c r="N159" s="372">
        <f>Standards_Acceptance!O90</f>
        <v>1</v>
      </c>
      <c r="O159" s="372">
        <f>Standards_Acceptance!P90</f>
        <v>1</v>
      </c>
      <c r="P159" s="372">
        <f>Standards_Acceptance!Q90</f>
        <v>1</v>
      </c>
      <c r="Q159" s="372">
        <f>Standards_Acceptance!R90</f>
        <v>1</v>
      </c>
      <c r="R159" s="372">
        <f>Standards_Acceptance!S90</f>
        <v>1</v>
      </c>
      <c r="S159" s="372">
        <f>Standards_Acceptance!T90</f>
        <v>1</v>
      </c>
      <c r="T159" s="372">
        <f>Standards_Acceptance!U90</f>
        <v>1</v>
      </c>
      <c r="U159" s="372">
        <f>Standards_Acceptance!V90</f>
        <v>1</v>
      </c>
      <c r="V159" s="372">
        <f>Standards_Acceptance!W90</f>
        <v>1</v>
      </c>
      <c r="W159" s="372">
        <f>Standards_Acceptance!X90</f>
        <v>1</v>
      </c>
      <c r="X159" s="372">
        <f>Standards_Acceptance!Y90</f>
        <v>1</v>
      </c>
      <c r="Y159" s="372">
        <f>Standards_Acceptance!Z90</f>
        <v>1</v>
      </c>
      <c r="Z159" s="372">
        <f>Standards_Acceptance!AA90</f>
        <v>1</v>
      </c>
      <c r="AA159" s="372">
        <f>Standards_Acceptance!AB90</f>
        <v>1</v>
      </c>
      <c r="AB159" s="372">
        <f>Standards_Acceptance!AC90</f>
        <v>1</v>
      </c>
      <c r="AC159" s="372">
        <f>Standards_Acceptance!AD90</f>
        <v>1</v>
      </c>
      <c r="AD159" s="372">
        <f>Standards_Acceptance!AE90</f>
        <v>1</v>
      </c>
      <c r="AE159" s="372">
        <f>Standards_Acceptance!AF90</f>
        <v>1</v>
      </c>
    </row>
    <row r="160" spans="1:31" s="221" customFormat="1" x14ac:dyDescent="0.25">
      <c r="A160" s="358"/>
      <c r="B160" s="358" t="s">
        <v>34</v>
      </c>
      <c r="C160"/>
      <c r="D160"/>
      <c r="E160"/>
      <c r="F160" s="372">
        <f>Standards_Acceptance!G91</f>
        <v>1</v>
      </c>
      <c r="G160" s="372">
        <f>Standards_Acceptance!H91</f>
        <v>1</v>
      </c>
      <c r="H160" s="372">
        <f>Standards_Acceptance!I91</f>
        <v>1</v>
      </c>
      <c r="I160" s="372">
        <f>Standards_Acceptance!J91</f>
        <v>1</v>
      </c>
      <c r="J160" s="372">
        <f>Standards_Acceptance!K91</f>
        <v>1</v>
      </c>
      <c r="K160" s="372">
        <f>Standards_Acceptance!L91</f>
        <v>1</v>
      </c>
      <c r="L160" s="372">
        <f>Standards_Acceptance!M91</f>
        <v>1</v>
      </c>
      <c r="M160" s="372">
        <f>Standards_Acceptance!N91</f>
        <v>1</v>
      </c>
      <c r="N160" s="372">
        <f>Standards_Acceptance!O91</f>
        <v>1</v>
      </c>
      <c r="O160" s="372">
        <f>Standards_Acceptance!P91</f>
        <v>1</v>
      </c>
      <c r="P160" s="372">
        <f>Standards_Acceptance!Q91</f>
        <v>1</v>
      </c>
      <c r="Q160" s="372">
        <f>Standards_Acceptance!R91</f>
        <v>1</v>
      </c>
      <c r="R160" s="372">
        <f>Standards_Acceptance!S91</f>
        <v>1</v>
      </c>
      <c r="S160" s="372">
        <f>Standards_Acceptance!T91</f>
        <v>1</v>
      </c>
      <c r="T160" s="372">
        <f>Standards_Acceptance!U91</f>
        <v>1</v>
      </c>
      <c r="U160" s="372">
        <f>Standards_Acceptance!V91</f>
        <v>1</v>
      </c>
      <c r="V160" s="372">
        <f>Standards_Acceptance!W91</f>
        <v>1</v>
      </c>
      <c r="W160" s="372">
        <f>Standards_Acceptance!X91</f>
        <v>1</v>
      </c>
      <c r="X160" s="372">
        <f>Standards_Acceptance!Y91</f>
        <v>1</v>
      </c>
      <c r="Y160" s="372">
        <f>Standards_Acceptance!Z91</f>
        <v>1</v>
      </c>
      <c r="Z160" s="372">
        <f>Standards_Acceptance!AA91</f>
        <v>1</v>
      </c>
      <c r="AA160" s="372">
        <f>Standards_Acceptance!AB91</f>
        <v>1</v>
      </c>
      <c r="AB160" s="372">
        <f>Standards_Acceptance!AC91</f>
        <v>1</v>
      </c>
      <c r="AC160" s="372">
        <f>Standards_Acceptance!AD91</f>
        <v>1</v>
      </c>
      <c r="AD160" s="372">
        <f>Standards_Acceptance!AE91</f>
        <v>1</v>
      </c>
      <c r="AE160" s="372">
        <f>Standards_Acceptance!AF91</f>
        <v>1</v>
      </c>
    </row>
    <row r="161" spans="1:31" s="221" customFormat="1" x14ac:dyDescent="0.25">
      <c r="A161" s="356"/>
      <c r="B161" s="358" t="s">
        <v>35</v>
      </c>
      <c r="C161"/>
      <c r="D161"/>
      <c r="E161"/>
      <c r="F161" s="372">
        <f>Standards_Acceptance!G92</f>
        <v>0.15</v>
      </c>
      <c r="G161" s="372">
        <f>Standards_Acceptance!H92</f>
        <v>0.15</v>
      </c>
      <c r="H161" s="372">
        <f>Standards_Acceptance!I92</f>
        <v>0.15</v>
      </c>
      <c r="I161" s="372">
        <f>Standards_Acceptance!J92</f>
        <v>0.15</v>
      </c>
      <c r="J161" s="372">
        <f>Standards_Acceptance!K92</f>
        <v>0.15</v>
      </c>
      <c r="K161" s="372">
        <f>Standards_Acceptance!L92</f>
        <v>0.15</v>
      </c>
      <c r="L161" s="372">
        <f>Standards_Acceptance!M92</f>
        <v>0.15</v>
      </c>
      <c r="M161" s="372">
        <f>Standards_Acceptance!N92</f>
        <v>0.15</v>
      </c>
      <c r="N161" s="372">
        <f>Standards_Acceptance!O92</f>
        <v>0.15</v>
      </c>
      <c r="O161" s="372">
        <f>Standards_Acceptance!P92</f>
        <v>0.15</v>
      </c>
      <c r="P161" s="372">
        <f>Standards_Acceptance!Q92</f>
        <v>0.15</v>
      </c>
      <c r="Q161" s="372">
        <f>Standards_Acceptance!R92</f>
        <v>0.15</v>
      </c>
      <c r="R161" s="372">
        <f>Standards_Acceptance!S92</f>
        <v>0.15</v>
      </c>
      <c r="S161" s="372">
        <f>Standards_Acceptance!T92</f>
        <v>0.15</v>
      </c>
      <c r="T161" s="372">
        <f>Standards_Acceptance!U92</f>
        <v>0.15</v>
      </c>
      <c r="U161" s="372">
        <f>Standards_Acceptance!V92</f>
        <v>0.15</v>
      </c>
      <c r="V161" s="372">
        <f>Standards_Acceptance!W92</f>
        <v>0.15</v>
      </c>
      <c r="W161" s="372">
        <f>Standards_Acceptance!X92</f>
        <v>0.15</v>
      </c>
      <c r="X161" s="372">
        <f>Standards_Acceptance!Y92</f>
        <v>0.15</v>
      </c>
      <c r="Y161" s="372">
        <f>Standards_Acceptance!Z92</f>
        <v>0.15</v>
      </c>
      <c r="Z161" s="372">
        <f>Standards_Acceptance!AA92</f>
        <v>0.15</v>
      </c>
      <c r="AA161" s="372">
        <f>Standards_Acceptance!AB92</f>
        <v>0.15</v>
      </c>
      <c r="AB161" s="372">
        <f>Standards_Acceptance!AC92</f>
        <v>0.15</v>
      </c>
      <c r="AC161" s="372">
        <f>Standards_Acceptance!AD92</f>
        <v>0.15</v>
      </c>
      <c r="AD161" s="372">
        <f>Standards_Acceptance!AE92</f>
        <v>0.15</v>
      </c>
      <c r="AE161" s="372">
        <f>Standards_Acceptance!AF92</f>
        <v>0.15</v>
      </c>
    </row>
    <row r="162" spans="1:31" s="221" customFormat="1" x14ac:dyDescent="0.25">
      <c r="A162" s="356"/>
      <c r="B162" s="358" t="s">
        <v>29</v>
      </c>
      <c r="C162"/>
      <c r="D162"/>
      <c r="E162"/>
      <c r="F162" s="372">
        <f>Standards_Acceptance!G93</f>
        <v>1</v>
      </c>
      <c r="G162" s="372">
        <f>Standards_Acceptance!H93</f>
        <v>1</v>
      </c>
      <c r="H162" s="372">
        <f>Standards_Acceptance!I93</f>
        <v>1</v>
      </c>
      <c r="I162" s="372">
        <f>Standards_Acceptance!J93</f>
        <v>1</v>
      </c>
      <c r="J162" s="372">
        <f>Standards_Acceptance!K93</f>
        <v>1</v>
      </c>
      <c r="K162" s="372">
        <f>Standards_Acceptance!L93</f>
        <v>1</v>
      </c>
      <c r="L162" s="372">
        <f>Standards_Acceptance!M93</f>
        <v>1</v>
      </c>
      <c r="M162" s="372">
        <f>Standards_Acceptance!N93</f>
        <v>1</v>
      </c>
      <c r="N162" s="372">
        <f>Standards_Acceptance!O93</f>
        <v>1</v>
      </c>
      <c r="O162" s="372">
        <f>Standards_Acceptance!P93</f>
        <v>1</v>
      </c>
      <c r="P162" s="372">
        <f>Standards_Acceptance!Q93</f>
        <v>1</v>
      </c>
      <c r="Q162" s="372">
        <f>Standards_Acceptance!R93</f>
        <v>1</v>
      </c>
      <c r="R162" s="372">
        <f>Standards_Acceptance!S93</f>
        <v>1</v>
      </c>
      <c r="S162" s="372">
        <f>Standards_Acceptance!T93</f>
        <v>1</v>
      </c>
      <c r="T162" s="372">
        <f>Standards_Acceptance!U93</f>
        <v>1</v>
      </c>
      <c r="U162" s="372">
        <f>Standards_Acceptance!V93</f>
        <v>1</v>
      </c>
      <c r="V162" s="372">
        <f>Standards_Acceptance!W93</f>
        <v>1</v>
      </c>
      <c r="W162" s="372">
        <f>Standards_Acceptance!X93</f>
        <v>1</v>
      </c>
      <c r="X162" s="372">
        <f>Standards_Acceptance!Y93</f>
        <v>1</v>
      </c>
      <c r="Y162" s="372">
        <f>Standards_Acceptance!Z93</f>
        <v>1</v>
      </c>
      <c r="Z162" s="372">
        <f>Standards_Acceptance!AA93</f>
        <v>1</v>
      </c>
      <c r="AA162" s="372">
        <f>Standards_Acceptance!AB93</f>
        <v>1</v>
      </c>
      <c r="AB162" s="372">
        <f>Standards_Acceptance!AC93</f>
        <v>1</v>
      </c>
      <c r="AC162" s="372">
        <f>Standards_Acceptance!AD93</f>
        <v>1</v>
      </c>
      <c r="AD162" s="372">
        <f>Standards_Acceptance!AE93</f>
        <v>1</v>
      </c>
      <c r="AE162" s="372">
        <f>Standards_Acceptance!AF93</f>
        <v>1</v>
      </c>
    </row>
    <row r="163" spans="1:31" s="221" customFormat="1" x14ac:dyDescent="0.25">
      <c r="A163" s="356"/>
      <c r="B163" s="356"/>
      <c r="C163"/>
      <c r="D163"/>
      <c r="E163"/>
      <c r="F163"/>
      <c r="G163"/>
      <c r="H163"/>
      <c r="I163"/>
      <c r="J163"/>
      <c r="K163"/>
      <c r="L163"/>
      <c r="M163"/>
      <c r="N163"/>
      <c r="O163"/>
      <c r="P163"/>
      <c r="Q163"/>
      <c r="R163"/>
      <c r="S163"/>
      <c r="T163"/>
      <c r="U163"/>
      <c r="V163"/>
      <c r="W163"/>
      <c r="X163"/>
      <c r="Y163"/>
      <c r="Z163"/>
      <c r="AA163"/>
      <c r="AB163"/>
      <c r="AC163"/>
      <c r="AD163"/>
      <c r="AE163"/>
    </row>
    <row r="164" spans="1:31" s="202" customFormat="1" ht="12.75" x14ac:dyDescent="0.2">
      <c r="A164" s="364" t="s">
        <v>36</v>
      </c>
      <c r="B164" s="364"/>
      <c r="C164" s="364"/>
      <c r="D164" s="364"/>
      <c r="E164" s="364"/>
      <c r="F164" s="364"/>
      <c r="G164" s="364"/>
      <c r="H164" s="364"/>
      <c r="I164" s="364"/>
      <c r="J164" s="364"/>
      <c r="K164" s="364"/>
      <c r="L164" s="364"/>
      <c r="M164" s="364"/>
      <c r="N164" s="364"/>
      <c r="O164" s="364"/>
      <c r="P164" s="364"/>
      <c r="Q164" s="364"/>
      <c r="R164" s="364"/>
      <c r="S164" s="364"/>
      <c r="T164" s="364"/>
      <c r="U164" s="364"/>
      <c r="V164" s="364"/>
      <c r="W164" s="364"/>
      <c r="X164" s="364"/>
      <c r="Y164" s="364"/>
      <c r="Z164" s="364"/>
      <c r="AA164" s="364"/>
      <c r="AB164" s="364"/>
      <c r="AC164" s="364"/>
      <c r="AD164" s="364"/>
      <c r="AE164" s="364"/>
    </row>
    <row r="165" spans="1:31" s="221" customFormat="1" x14ac:dyDescent="0.25">
      <c r="A165" s="356"/>
      <c r="B165" s="356" t="s">
        <v>37</v>
      </c>
      <c r="C165"/>
      <c r="D165"/>
      <c r="E165"/>
      <c r="F165" s="372">
        <f>Standards_Acceptance!G96</f>
        <v>0.05</v>
      </c>
      <c r="G165" s="372">
        <f>Standards_Acceptance!H96</f>
        <v>0.05</v>
      </c>
      <c r="H165" s="372">
        <f>Standards_Acceptance!I96</f>
        <v>4.1666666666666671E-2</v>
      </c>
      <c r="I165" s="372">
        <f>Standards_Acceptance!J96</f>
        <v>3.333333333333334E-2</v>
      </c>
      <c r="J165" s="372">
        <f>Standards_Acceptance!K96</f>
        <v>2.5000000000000001E-2</v>
      </c>
      <c r="K165" s="372">
        <f>Standards_Acceptance!L96</f>
        <v>1.6708333333333332E-2</v>
      </c>
      <c r="L165" s="372">
        <f>Standards_Acceptance!M96</f>
        <v>8.4166666666666643E-3</v>
      </c>
      <c r="M165" s="372">
        <f>Standards_Acceptance!N96</f>
        <v>2.5000000000000005E-3</v>
      </c>
      <c r="N165" s="372">
        <f>Standards_Acceptance!O96</f>
        <v>2.5000000000000005E-3</v>
      </c>
      <c r="O165" s="372">
        <f>Standards_Acceptance!P96</f>
        <v>2.5000000000000005E-3</v>
      </c>
      <c r="P165" s="372">
        <f>Standards_Acceptance!Q96</f>
        <v>2.5000000000000005E-3</v>
      </c>
      <c r="Q165" s="372">
        <f>Standards_Acceptance!R96</f>
        <v>2.5000000000000005E-3</v>
      </c>
      <c r="R165" s="372">
        <f>Standards_Acceptance!S96</f>
        <v>2.5000000000000005E-3</v>
      </c>
      <c r="S165" s="372">
        <f>Standards_Acceptance!T96</f>
        <v>2.5000000000000005E-3</v>
      </c>
      <c r="T165" s="372">
        <f>Standards_Acceptance!U96</f>
        <v>2.5000000000000005E-3</v>
      </c>
      <c r="U165" s="372">
        <f>Standards_Acceptance!V96</f>
        <v>2.5000000000000005E-3</v>
      </c>
      <c r="V165" s="372">
        <f>Standards_Acceptance!W96</f>
        <v>2.5000000000000005E-3</v>
      </c>
      <c r="W165" s="372">
        <f>Standards_Acceptance!X96</f>
        <v>2.5000000000000005E-3</v>
      </c>
      <c r="X165" s="372">
        <f>Standards_Acceptance!Y96</f>
        <v>2.5000000000000005E-3</v>
      </c>
      <c r="Y165" s="372">
        <f>Standards_Acceptance!Z96</f>
        <v>2.5000000000000005E-3</v>
      </c>
      <c r="Z165" s="372">
        <f>Standards_Acceptance!AA96</f>
        <v>2.5000000000000005E-3</v>
      </c>
      <c r="AA165" s="372">
        <f>Standards_Acceptance!AB96</f>
        <v>2.5000000000000005E-3</v>
      </c>
      <c r="AB165" s="372">
        <f>Standards_Acceptance!AC96</f>
        <v>2.5000000000000005E-3</v>
      </c>
      <c r="AC165" s="372">
        <f>Standards_Acceptance!AD96</f>
        <v>2.5000000000000005E-3</v>
      </c>
      <c r="AD165" s="372">
        <f>Standards_Acceptance!AE96</f>
        <v>2.5000000000000005E-3</v>
      </c>
      <c r="AE165" s="372">
        <f>Standards_Acceptance!AF96</f>
        <v>2.5000000000000005E-3</v>
      </c>
    </row>
    <row r="166" spans="1:31" s="221" customFormat="1" x14ac:dyDescent="0.25">
      <c r="A166" s="356"/>
      <c r="B166" s="356" t="s">
        <v>39</v>
      </c>
      <c r="C166"/>
      <c r="D166"/>
      <c r="E166"/>
      <c r="F166" s="372">
        <f>Standards_Acceptance!G97</f>
        <v>1</v>
      </c>
      <c r="G166" s="372">
        <f>Standards_Acceptance!H97</f>
        <v>1</v>
      </c>
      <c r="H166" s="372">
        <f>Standards_Acceptance!I97</f>
        <v>1</v>
      </c>
      <c r="I166" s="372">
        <f>Standards_Acceptance!J97</f>
        <v>1</v>
      </c>
      <c r="J166" s="372">
        <f>Standards_Acceptance!K97</f>
        <v>1</v>
      </c>
      <c r="K166" s="372">
        <f>Standards_Acceptance!L97</f>
        <v>1</v>
      </c>
      <c r="L166" s="372">
        <f>Standards_Acceptance!M97</f>
        <v>1</v>
      </c>
      <c r="M166" s="372">
        <f>Standards_Acceptance!N97</f>
        <v>1</v>
      </c>
      <c r="N166" s="372">
        <f>Standards_Acceptance!O97</f>
        <v>1</v>
      </c>
      <c r="O166" s="372">
        <f>Standards_Acceptance!P97</f>
        <v>1</v>
      </c>
      <c r="P166" s="372">
        <f>Standards_Acceptance!Q97</f>
        <v>1</v>
      </c>
      <c r="Q166" s="372">
        <f>Standards_Acceptance!R97</f>
        <v>1</v>
      </c>
      <c r="R166" s="372">
        <f>Standards_Acceptance!S97</f>
        <v>1</v>
      </c>
      <c r="S166" s="372">
        <f>Standards_Acceptance!T97</f>
        <v>1</v>
      </c>
      <c r="T166" s="372">
        <f>Standards_Acceptance!U97</f>
        <v>1</v>
      </c>
      <c r="U166" s="372">
        <f>Standards_Acceptance!V97</f>
        <v>1</v>
      </c>
      <c r="V166" s="372">
        <f>Standards_Acceptance!W97</f>
        <v>1</v>
      </c>
      <c r="W166" s="372">
        <f>Standards_Acceptance!X97</f>
        <v>1</v>
      </c>
      <c r="X166" s="372">
        <f>Standards_Acceptance!Y97</f>
        <v>1</v>
      </c>
      <c r="Y166" s="372">
        <f>Standards_Acceptance!Z97</f>
        <v>1</v>
      </c>
      <c r="Z166" s="372">
        <f>Standards_Acceptance!AA97</f>
        <v>1</v>
      </c>
      <c r="AA166" s="372">
        <f>Standards_Acceptance!AB97</f>
        <v>1</v>
      </c>
      <c r="AB166" s="372">
        <f>Standards_Acceptance!AC97</f>
        <v>1</v>
      </c>
      <c r="AC166" s="372">
        <f>Standards_Acceptance!AD97</f>
        <v>1</v>
      </c>
      <c r="AD166" s="372">
        <f>Standards_Acceptance!AE97</f>
        <v>1</v>
      </c>
      <c r="AE166" s="372">
        <f>Standards_Acceptance!AF97</f>
        <v>1</v>
      </c>
    </row>
    <row r="167" spans="1:31" s="221" customFormat="1" x14ac:dyDescent="0.25">
      <c r="A167" s="356"/>
      <c r="B167" s="356" t="s">
        <v>40</v>
      </c>
      <c r="C167"/>
      <c r="D167"/>
      <c r="E167"/>
      <c r="F167" s="372">
        <f>Standards_Acceptance!G98</f>
        <v>0.8</v>
      </c>
      <c r="G167" s="372">
        <f>Standards_Acceptance!H98</f>
        <v>0.8</v>
      </c>
      <c r="H167" s="372">
        <f>Standards_Acceptance!I98</f>
        <v>0.8</v>
      </c>
      <c r="I167" s="372">
        <f>Standards_Acceptance!J98</f>
        <v>0.8</v>
      </c>
      <c r="J167" s="372">
        <f>Standards_Acceptance!K98</f>
        <v>0.8</v>
      </c>
      <c r="K167" s="372">
        <f>Standards_Acceptance!L98</f>
        <v>0.8</v>
      </c>
      <c r="L167" s="372">
        <f>Standards_Acceptance!M98</f>
        <v>0.8</v>
      </c>
      <c r="M167" s="372">
        <f>Standards_Acceptance!N98</f>
        <v>0.8</v>
      </c>
      <c r="N167" s="372">
        <f>Standards_Acceptance!O98</f>
        <v>0.8</v>
      </c>
      <c r="O167" s="372">
        <f>Standards_Acceptance!P98</f>
        <v>0.8</v>
      </c>
      <c r="P167" s="372">
        <f>Standards_Acceptance!Q98</f>
        <v>0.8</v>
      </c>
      <c r="Q167" s="372">
        <f>Standards_Acceptance!R98</f>
        <v>0.8</v>
      </c>
      <c r="R167" s="372">
        <f>Standards_Acceptance!S98</f>
        <v>0.8</v>
      </c>
      <c r="S167" s="372">
        <f>Standards_Acceptance!T98</f>
        <v>0.8</v>
      </c>
      <c r="T167" s="372">
        <f>Standards_Acceptance!U98</f>
        <v>0.8</v>
      </c>
      <c r="U167" s="372">
        <f>Standards_Acceptance!V98</f>
        <v>0.8</v>
      </c>
      <c r="V167" s="372">
        <f>Standards_Acceptance!W98</f>
        <v>0.8</v>
      </c>
      <c r="W167" s="372">
        <f>Standards_Acceptance!X98</f>
        <v>0.8</v>
      </c>
      <c r="X167" s="372">
        <f>Standards_Acceptance!Y98</f>
        <v>0.8</v>
      </c>
      <c r="Y167" s="372">
        <f>Standards_Acceptance!Z98</f>
        <v>0.8</v>
      </c>
      <c r="Z167" s="372">
        <f>Standards_Acceptance!AA98</f>
        <v>0.8</v>
      </c>
      <c r="AA167" s="372">
        <f>Standards_Acceptance!AB98</f>
        <v>0.8</v>
      </c>
      <c r="AB167" s="372">
        <f>Standards_Acceptance!AC98</f>
        <v>0.8</v>
      </c>
      <c r="AC167" s="372">
        <f>Standards_Acceptance!AD98</f>
        <v>0.8</v>
      </c>
      <c r="AD167" s="372">
        <f>Standards_Acceptance!AE98</f>
        <v>0.8</v>
      </c>
      <c r="AE167" s="372">
        <f>Standards_Acceptance!AF98</f>
        <v>0.8</v>
      </c>
    </row>
    <row r="168" spans="1:31" s="221" customFormat="1" x14ac:dyDescent="0.25">
      <c r="A168" s="356"/>
      <c r="B168" s="356" t="s">
        <v>29</v>
      </c>
      <c r="C168"/>
      <c r="D168"/>
      <c r="E168"/>
      <c r="F168" s="372">
        <f>Standards_Acceptance!G99</f>
        <v>1</v>
      </c>
      <c r="G168" s="372">
        <f>Standards_Acceptance!H99</f>
        <v>1</v>
      </c>
      <c r="H168" s="372">
        <f>Standards_Acceptance!I99</f>
        <v>1</v>
      </c>
      <c r="I168" s="372">
        <f>Standards_Acceptance!J99</f>
        <v>1</v>
      </c>
      <c r="J168" s="372">
        <f>Standards_Acceptance!K99</f>
        <v>1</v>
      </c>
      <c r="K168" s="372">
        <f>Standards_Acceptance!L99</f>
        <v>1</v>
      </c>
      <c r="L168" s="372">
        <f>Standards_Acceptance!M99</f>
        <v>1</v>
      </c>
      <c r="M168" s="372">
        <f>Standards_Acceptance!N99</f>
        <v>1</v>
      </c>
      <c r="N168" s="372">
        <f>Standards_Acceptance!O99</f>
        <v>1</v>
      </c>
      <c r="O168" s="372">
        <f>Standards_Acceptance!P99</f>
        <v>1</v>
      </c>
      <c r="P168" s="372">
        <f>Standards_Acceptance!Q99</f>
        <v>1</v>
      </c>
      <c r="Q168" s="372">
        <f>Standards_Acceptance!R99</f>
        <v>1</v>
      </c>
      <c r="R168" s="372">
        <f>Standards_Acceptance!S99</f>
        <v>1</v>
      </c>
      <c r="S168" s="372">
        <f>Standards_Acceptance!T99</f>
        <v>1</v>
      </c>
      <c r="T168" s="372">
        <f>Standards_Acceptance!U99</f>
        <v>1</v>
      </c>
      <c r="U168" s="372">
        <f>Standards_Acceptance!V99</f>
        <v>1</v>
      </c>
      <c r="V168" s="372">
        <f>Standards_Acceptance!W99</f>
        <v>1</v>
      </c>
      <c r="W168" s="372">
        <f>Standards_Acceptance!X99</f>
        <v>1</v>
      </c>
      <c r="X168" s="372">
        <f>Standards_Acceptance!Y99</f>
        <v>1</v>
      </c>
      <c r="Y168" s="372">
        <f>Standards_Acceptance!Z99</f>
        <v>1</v>
      </c>
      <c r="Z168" s="372">
        <f>Standards_Acceptance!AA99</f>
        <v>1</v>
      </c>
      <c r="AA168" s="372">
        <f>Standards_Acceptance!AB99</f>
        <v>1</v>
      </c>
      <c r="AB168" s="372">
        <f>Standards_Acceptance!AC99</f>
        <v>1</v>
      </c>
      <c r="AC168" s="372">
        <f>Standards_Acceptance!AD99</f>
        <v>1</v>
      </c>
      <c r="AD168" s="372">
        <f>Standards_Acceptance!AE99</f>
        <v>1</v>
      </c>
      <c r="AE168" s="372">
        <f>Standards_Acceptance!AF99</f>
        <v>1</v>
      </c>
    </row>
    <row r="169" spans="1:31" s="221" customFormat="1" x14ac:dyDescent="0.25">
      <c r="A169" s="356"/>
      <c r="B169" s="356"/>
      <c r="C169"/>
      <c r="D169"/>
      <c r="E169"/>
      <c r="F169"/>
      <c r="G169"/>
      <c r="H169"/>
      <c r="I169"/>
      <c r="J169"/>
      <c r="K169"/>
      <c r="L169"/>
      <c r="M169"/>
      <c r="N169"/>
      <c r="O169"/>
      <c r="P169"/>
      <c r="Q169"/>
      <c r="R169"/>
      <c r="S169"/>
      <c r="T169"/>
      <c r="U169"/>
      <c r="V169"/>
      <c r="W169"/>
      <c r="X169"/>
      <c r="Y169"/>
      <c r="Z169"/>
      <c r="AA169"/>
      <c r="AB169"/>
      <c r="AC169"/>
      <c r="AD169"/>
      <c r="AE169"/>
    </row>
    <row r="170" spans="1:31" s="202" customFormat="1" ht="12.75" x14ac:dyDescent="0.2">
      <c r="A170" s="364" t="s">
        <v>42</v>
      </c>
      <c r="B170" s="364"/>
      <c r="C170" s="364"/>
      <c r="D170" s="364"/>
      <c r="E170" s="364"/>
      <c r="F170" s="364"/>
      <c r="G170" s="364"/>
      <c r="H170" s="364"/>
      <c r="I170" s="364"/>
      <c r="J170" s="364"/>
      <c r="K170" s="364"/>
      <c r="L170" s="364"/>
      <c r="M170" s="364"/>
      <c r="N170" s="364"/>
      <c r="O170" s="364"/>
      <c r="P170" s="364"/>
      <c r="Q170" s="364"/>
      <c r="R170" s="364"/>
      <c r="S170" s="364"/>
      <c r="T170" s="364"/>
      <c r="U170" s="364"/>
      <c r="V170" s="364"/>
      <c r="W170" s="364"/>
      <c r="X170" s="364"/>
      <c r="Y170" s="364"/>
      <c r="Z170" s="364"/>
      <c r="AA170" s="364"/>
      <c r="AB170" s="364"/>
      <c r="AC170" s="364"/>
      <c r="AD170" s="364"/>
      <c r="AE170" s="364"/>
    </row>
    <row r="171" spans="1:31" s="221" customFormat="1" x14ac:dyDescent="0.25">
      <c r="A171" s="356"/>
      <c r="B171" s="358" t="s">
        <v>43</v>
      </c>
      <c r="C171"/>
      <c r="D171"/>
      <c r="E171"/>
      <c r="F171" s="372">
        <f>Standards_Acceptance!G102</f>
        <v>1.0000000000000002E-2</v>
      </c>
      <c r="G171" s="372">
        <f>Standards_Acceptance!H102</f>
        <v>1.0000000000000002E-2</v>
      </c>
      <c r="H171" s="372">
        <f>Standards_Acceptance!I102</f>
        <v>1.0000000000000002E-2</v>
      </c>
      <c r="I171" s="372">
        <f>Standards_Acceptance!J102</f>
        <v>1.0000000000000002E-2</v>
      </c>
      <c r="J171" s="372">
        <f>Standards_Acceptance!K102</f>
        <v>1.0000000000000002E-2</v>
      </c>
      <c r="K171" s="372">
        <f>Standards_Acceptance!L102</f>
        <v>1.0000000000000002E-2</v>
      </c>
      <c r="L171" s="372">
        <f>Standards_Acceptance!M102</f>
        <v>1.0000000000000002E-2</v>
      </c>
      <c r="M171" s="372">
        <f>Standards_Acceptance!N102</f>
        <v>1.0000000000000002E-2</v>
      </c>
      <c r="N171" s="372">
        <f>Standards_Acceptance!O102</f>
        <v>1.0000000000000002E-2</v>
      </c>
      <c r="O171" s="372">
        <f>Standards_Acceptance!P102</f>
        <v>1.0000000000000002E-2</v>
      </c>
      <c r="P171" s="372">
        <f>Standards_Acceptance!Q102</f>
        <v>1.0000000000000002E-2</v>
      </c>
      <c r="Q171" s="372">
        <f>Standards_Acceptance!R102</f>
        <v>1.0000000000000002E-2</v>
      </c>
      <c r="R171" s="372">
        <f>Standards_Acceptance!S102</f>
        <v>1.0000000000000002E-2</v>
      </c>
      <c r="S171" s="372">
        <f>Standards_Acceptance!T102</f>
        <v>1.0000000000000002E-2</v>
      </c>
      <c r="T171" s="372">
        <f>Standards_Acceptance!U102</f>
        <v>1.0000000000000002E-2</v>
      </c>
      <c r="U171" s="372">
        <f>Standards_Acceptance!V102</f>
        <v>1.0000000000000002E-2</v>
      </c>
      <c r="V171" s="372">
        <f>Standards_Acceptance!W102</f>
        <v>1.0000000000000002E-2</v>
      </c>
      <c r="W171" s="372">
        <f>Standards_Acceptance!X102</f>
        <v>1.0000000000000002E-2</v>
      </c>
      <c r="X171" s="372">
        <f>Standards_Acceptance!Y102</f>
        <v>1.0000000000000002E-2</v>
      </c>
      <c r="Y171" s="372">
        <f>Standards_Acceptance!Z102</f>
        <v>1.0000000000000002E-2</v>
      </c>
      <c r="Z171" s="372">
        <f>Standards_Acceptance!AA102</f>
        <v>1.0000000000000002E-2</v>
      </c>
      <c r="AA171" s="372">
        <f>Standards_Acceptance!AB102</f>
        <v>1.0000000000000002E-2</v>
      </c>
      <c r="AB171" s="372">
        <f>Standards_Acceptance!AC102</f>
        <v>1.0000000000000002E-2</v>
      </c>
      <c r="AC171" s="372">
        <f>Standards_Acceptance!AD102</f>
        <v>1.0000000000000002E-2</v>
      </c>
      <c r="AD171" s="372">
        <f>Standards_Acceptance!AE102</f>
        <v>1.0000000000000002E-2</v>
      </c>
      <c r="AE171" s="372">
        <f>Standards_Acceptance!AF102</f>
        <v>1.0000000000000002E-2</v>
      </c>
    </row>
    <row r="172" spans="1:31" s="221" customFormat="1" x14ac:dyDescent="0.25">
      <c r="A172" s="356"/>
      <c r="B172" s="358" t="s">
        <v>44</v>
      </c>
      <c r="C172"/>
      <c r="D172"/>
      <c r="E172"/>
      <c r="F172" s="372">
        <f>Standards_Acceptance!G103</f>
        <v>1</v>
      </c>
      <c r="G172" s="372">
        <f>Standards_Acceptance!H103</f>
        <v>1</v>
      </c>
      <c r="H172" s="372">
        <f>Standards_Acceptance!I103</f>
        <v>1</v>
      </c>
      <c r="I172" s="372">
        <f>Standards_Acceptance!J103</f>
        <v>1</v>
      </c>
      <c r="J172" s="372">
        <f>Standards_Acceptance!K103</f>
        <v>1</v>
      </c>
      <c r="K172" s="372">
        <f>Standards_Acceptance!L103</f>
        <v>1</v>
      </c>
      <c r="L172" s="372">
        <f>Standards_Acceptance!M103</f>
        <v>1</v>
      </c>
      <c r="M172" s="372">
        <f>Standards_Acceptance!N103</f>
        <v>1</v>
      </c>
      <c r="N172" s="372">
        <f>Standards_Acceptance!O103</f>
        <v>1</v>
      </c>
      <c r="O172" s="372">
        <f>Standards_Acceptance!P103</f>
        <v>1</v>
      </c>
      <c r="P172" s="372">
        <f>Standards_Acceptance!Q103</f>
        <v>1</v>
      </c>
      <c r="Q172" s="372">
        <f>Standards_Acceptance!R103</f>
        <v>1</v>
      </c>
      <c r="R172" s="372">
        <f>Standards_Acceptance!S103</f>
        <v>1</v>
      </c>
      <c r="S172" s="372">
        <f>Standards_Acceptance!T103</f>
        <v>1</v>
      </c>
      <c r="T172" s="372">
        <f>Standards_Acceptance!U103</f>
        <v>1</v>
      </c>
      <c r="U172" s="372">
        <f>Standards_Acceptance!V103</f>
        <v>1</v>
      </c>
      <c r="V172" s="372">
        <f>Standards_Acceptance!W103</f>
        <v>1</v>
      </c>
      <c r="W172" s="372">
        <f>Standards_Acceptance!X103</f>
        <v>1</v>
      </c>
      <c r="X172" s="372">
        <f>Standards_Acceptance!Y103</f>
        <v>1</v>
      </c>
      <c r="Y172" s="372">
        <f>Standards_Acceptance!Z103</f>
        <v>1</v>
      </c>
      <c r="Z172" s="372">
        <f>Standards_Acceptance!AA103</f>
        <v>1</v>
      </c>
      <c r="AA172" s="372">
        <f>Standards_Acceptance!AB103</f>
        <v>1</v>
      </c>
      <c r="AB172" s="372">
        <f>Standards_Acceptance!AC103</f>
        <v>1</v>
      </c>
      <c r="AC172" s="372">
        <f>Standards_Acceptance!AD103</f>
        <v>1</v>
      </c>
      <c r="AD172" s="372">
        <f>Standards_Acceptance!AE103</f>
        <v>1</v>
      </c>
      <c r="AE172" s="372">
        <f>Standards_Acceptance!AF103</f>
        <v>1</v>
      </c>
    </row>
    <row r="173" spans="1:31" s="221" customFormat="1" x14ac:dyDescent="0.25">
      <c r="A173" s="356"/>
      <c r="B173" s="358" t="s">
        <v>45</v>
      </c>
      <c r="C173"/>
      <c r="D173"/>
      <c r="E173"/>
      <c r="F173" s="372">
        <f>Standards_Acceptance!G104</f>
        <v>5.0000000000000001E-3</v>
      </c>
      <c r="G173" s="372">
        <f>Standards_Acceptance!H104</f>
        <v>5.0000000000000001E-3</v>
      </c>
      <c r="H173" s="372">
        <f>Standards_Acceptance!I104</f>
        <v>5.0000000000000001E-3</v>
      </c>
      <c r="I173" s="372">
        <f>Standards_Acceptance!J104</f>
        <v>5.0000000000000001E-3</v>
      </c>
      <c r="J173" s="372">
        <f>Standards_Acceptance!K104</f>
        <v>5.0000000000000001E-3</v>
      </c>
      <c r="K173" s="372">
        <f>Standards_Acceptance!L104</f>
        <v>5.0000000000000001E-3</v>
      </c>
      <c r="L173" s="372">
        <f>Standards_Acceptance!M104</f>
        <v>5.0000000000000001E-3</v>
      </c>
      <c r="M173" s="372">
        <f>Standards_Acceptance!N104</f>
        <v>5.0000000000000001E-3</v>
      </c>
      <c r="N173" s="372">
        <f>Standards_Acceptance!O104</f>
        <v>5.0000000000000001E-3</v>
      </c>
      <c r="O173" s="372">
        <f>Standards_Acceptance!P104</f>
        <v>5.0000000000000001E-3</v>
      </c>
      <c r="P173" s="372">
        <f>Standards_Acceptance!Q104</f>
        <v>5.0000000000000001E-3</v>
      </c>
      <c r="Q173" s="372">
        <f>Standards_Acceptance!R104</f>
        <v>5.0000000000000001E-3</v>
      </c>
      <c r="R173" s="372">
        <f>Standards_Acceptance!S104</f>
        <v>5.0000000000000001E-3</v>
      </c>
      <c r="S173" s="372">
        <f>Standards_Acceptance!T104</f>
        <v>5.0000000000000001E-3</v>
      </c>
      <c r="T173" s="372">
        <f>Standards_Acceptance!U104</f>
        <v>5.0000000000000001E-3</v>
      </c>
      <c r="U173" s="372">
        <f>Standards_Acceptance!V104</f>
        <v>5.0000000000000001E-3</v>
      </c>
      <c r="V173" s="372">
        <f>Standards_Acceptance!W104</f>
        <v>5.0000000000000001E-3</v>
      </c>
      <c r="W173" s="372">
        <f>Standards_Acceptance!X104</f>
        <v>5.0000000000000001E-3</v>
      </c>
      <c r="X173" s="372">
        <f>Standards_Acceptance!Y104</f>
        <v>5.0000000000000001E-3</v>
      </c>
      <c r="Y173" s="372">
        <f>Standards_Acceptance!Z104</f>
        <v>5.0000000000000001E-3</v>
      </c>
      <c r="Z173" s="372">
        <f>Standards_Acceptance!AA104</f>
        <v>5.0000000000000001E-3</v>
      </c>
      <c r="AA173" s="372">
        <f>Standards_Acceptance!AB104</f>
        <v>5.0000000000000001E-3</v>
      </c>
      <c r="AB173" s="372">
        <f>Standards_Acceptance!AC104</f>
        <v>5.0000000000000001E-3</v>
      </c>
      <c r="AC173" s="372">
        <f>Standards_Acceptance!AD104</f>
        <v>5.0000000000000001E-3</v>
      </c>
      <c r="AD173" s="372">
        <f>Standards_Acceptance!AE104</f>
        <v>5.0000000000000001E-3</v>
      </c>
      <c r="AE173" s="372">
        <f>Standards_Acceptance!AF104</f>
        <v>5.0000000000000001E-3</v>
      </c>
    </row>
    <row r="174" spans="1:31" s="221" customFormat="1" x14ac:dyDescent="0.25">
      <c r="A174" s="356"/>
      <c r="B174" s="358" t="s">
        <v>46</v>
      </c>
      <c r="C174"/>
      <c r="D174"/>
      <c r="E174"/>
      <c r="F174" s="372">
        <f>Standards_Acceptance!G105</f>
        <v>0</v>
      </c>
      <c r="G174" s="372">
        <f>Standards_Acceptance!H105</f>
        <v>0</v>
      </c>
      <c r="H174" s="372">
        <f>Standards_Acceptance!I105</f>
        <v>0</v>
      </c>
      <c r="I174" s="372">
        <f>Standards_Acceptance!J105</f>
        <v>0</v>
      </c>
      <c r="J174" s="372">
        <f>Standards_Acceptance!K105</f>
        <v>0</v>
      </c>
      <c r="K174" s="372">
        <f>Standards_Acceptance!L105</f>
        <v>0</v>
      </c>
      <c r="L174" s="372">
        <f>Standards_Acceptance!M105</f>
        <v>0</v>
      </c>
      <c r="M174" s="372">
        <f>Standards_Acceptance!N105</f>
        <v>0</v>
      </c>
      <c r="N174" s="372">
        <f>Standards_Acceptance!O105</f>
        <v>0</v>
      </c>
      <c r="O174" s="372">
        <f>Standards_Acceptance!P105</f>
        <v>0</v>
      </c>
      <c r="P174" s="372">
        <f>Standards_Acceptance!Q105</f>
        <v>0</v>
      </c>
      <c r="Q174" s="372">
        <f>Standards_Acceptance!R105</f>
        <v>0</v>
      </c>
      <c r="R174" s="372">
        <f>Standards_Acceptance!S105</f>
        <v>0</v>
      </c>
      <c r="S174" s="372">
        <f>Standards_Acceptance!T105</f>
        <v>0</v>
      </c>
      <c r="T174" s="372">
        <f>Standards_Acceptance!U105</f>
        <v>0</v>
      </c>
      <c r="U174" s="372">
        <f>Standards_Acceptance!V105</f>
        <v>0</v>
      </c>
      <c r="V174" s="372">
        <f>Standards_Acceptance!W105</f>
        <v>0</v>
      </c>
      <c r="W174" s="372">
        <f>Standards_Acceptance!X105</f>
        <v>0</v>
      </c>
      <c r="X174" s="372">
        <f>Standards_Acceptance!Y105</f>
        <v>0</v>
      </c>
      <c r="Y174" s="372">
        <f>Standards_Acceptance!Z105</f>
        <v>0</v>
      </c>
      <c r="Z174" s="372">
        <f>Standards_Acceptance!AA105</f>
        <v>0</v>
      </c>
      <c r="AA174" s="372">
        <f>Standards_Acceptance!AB105</f>
        <v>0</v>
      </c>
      <c r="AB174" s="372">
        <f>Standards_Acceptance!AC105</f>
        <v>0</v>
      </c>
      <c r="AC174" s="372">
        <f>Standards_Acceptance!AD105</f>
        <v>0</v>
      </c>
      <c r="AD174" s="372">
        <f>Standards_Acceptance!AE105</f>
        <v>0</v>
      </c>
      <c r="AE174" s="372">
        <f>Standards_Acceptance!AF105</f>
        <v>0</v>
      </c>
    </row>
    <row r="175" spans="1:31" s="221" customFormat="1" x14ac:dyDescent="0.25">
      <c r="A175" s="356"/>
      <c r="B175" s="356" t="s">
        <v>29</v>
      </c>
      <c r="C175"/>
      <c r="D175"/>
      <c r="E175"/>
      <c r="F175" s="372">
        <f>Standards_Acceptance!G106</f>
        <v>1</v>
      </c>
      <c r="G175" s="372">
        <f>Standards_Acceptance!H106</f>
        <v>1</v>
      </c>
      <c r="H175" s="372">
        <f>Standards_Acceptance!I106</f>
        <v>1</v>
      </c>
      <c r="I175" s="372">
        <f>Standards_Acceptance!J106</f>
        <v>1</v>
      </c>
      <c r="J175" s="372">
        <f>Standards_Acceptance!K106</f>
        <v>1</v>
      </c>
      <c r="K175" s="372">
        <f>Standards_Acceptance!L106</f>
        <v>1</v>
      </c>
      <c r="L175" s="372">
        <f>Standards_Acceptance!M106</f>
        <v>1</v>
      </c>
      <c r="M175" s="372">
        <f>Standards_Acceptance!N106</f>
        <v>1</v>
      </c>
      <c r="N175" s="372">
        <f>Standards_Acceptance!O106</f>
        <v>1</v>
      </c>
      <c r="O175" s="372">
        <f>Standards_Acceptance!P106</f>
        <v>1</v>
      </c>
      <c r="P175" s="372">
        <f>Standards_Acceptance!Q106</f>
        <v>1</v>
      </c>
      <c r="Q175" s="372">
        <f>Standards_Acceptance!R106</f>
        <v>1</v>
      </c>
      <c r="R175" s="372">
        <f>Standards_Acceptance!S106</f>
        <v>1</v>
      </c>
      <c r="S175" s="372">
        <f>Standards_Acceptance!T106</f>
        <v>1</v>
      </c>
      <c r="T175" s="372">
        <f>Standards_Acceptance!U106</f>
        <v>1</v>
      </c>
      <c r="U175" s="372">
        <f>Standards_Acceptance!V106</f>
        <v>1</v>
      </c>
      <c r="V175" s="372">
        <f>Standards_Acceptance!W106</f>
        <v>1</v>
      </c>
      <c r="W175" s="372">
        <f>Standards_Acceptance!X106</f>
        <v>1</v>
      </c>
      <c r="X175" s="372">
        <f>Standards_Acceptance!Y106</f>
        <v>1</v>
      </c>
      <c r="Y175" s="372">
        <f>Standards_Acceptance!Z106</f>
        <v>1</v>
      </c>
      <c r="Z175" s="372">
        <f>Standards_Acceptance!AA106</f>
        <v>1</v>
      </c>
      <c r="AA175" s="372">
        <f>Standards_Acceptance!AB106</f>
        <v>1</v>
      </c>
      <c r="AB175" s="372">
        <f>Standards_Acceptance!AC106</f>
        <v>1</v>
      </c>
      <c r="AC175" s="372">
        <f>Standards_Acceptance!AD106</f>
        <v>1</v>
      </c>
      <c r="AD175" s="372">
        <f>Standards_Acceptance!AE106</f>
        <v>1</v>
      </c>
      <c r="AE175" s="372">
        <f>Standards_Acceptance!AF106</f>
        <v>1</v>
      </c>
    </row>
    <row r="176" spans="1:31" s="221" customFormat="1" x14ac:dyDescent="0.25">
      <c r="A176" s="356"/>
      <c r="B176" s="356"/>
      <c r="C176"/>
      <c r="D176"/>
      <c r="E176"/>
      <c r="F176"/>
      <c r="G176"/>
      <c r="H176"/>
      <c r="I176"/>
      <c r="J176"/>
      <c r="K176"/>
      <c r="L176"/>
      <c r="M176"/>
      <c r="N176"/>
      <c r="O176"/>
      <c r="P176"/>
      <c r="Q176"/>
      <c r="R176"/>
      <c r="S176"/>
      <c r="T176"/>
      <c r="U176"/>
      <c r="V176"/>
      <c r="W176"/>
      <c r="X176"/>
      <c r="Y176"/>
      <c r="Z176"/>
      <c r="AA176"/>
      <c r="AB176"/>
      <c r="AC176"/>
      <c r="AD176"/>
      <c r="AE176"/>
    </row>
    <row r="177" spans="1:31" s="202" customFormat="1" ht="12.75" x14ac:dyDescent="0.2">
      <c r="A177" s="364" t="s">
        <v>47</v>
      </c>
      <c r="B177" s="364"/>
      <c r="C177" s="364"/>
      <c r="D177" s="364"/>
      <c r="E177" s="364"/>
      <c r="F177" s="364"/>
      <c r="G177" s="364"/>
      <c r="H177" s="364"/>
      <c r="I177" s="364"/>
      <c r="J177" s="364"/>
      <c r="K177" s="364"/>
      <c r="L177" s="364"/>
      <c r="M177" s="364"/>
      <c r="N177" s="364"/>
      <c r="O177" s="364"/>
      <c r="P177" s="364"/>
      <c r="Q177" s="364"/>
      <c r="R177" s="364"/>
      <c r="S177" s="364"/>
      <c r="T177" s="364"/>
      <c r="U177" s="364"/>
      <c r="V177" s="364"/>
      <c r="W177" s="364"/>
      <c r="X177" s="364"/>
      <c r="Y177" s="364"/>
      <c r="Z177" s="364"/>
      <c r="AA177" s="364"/>
      <c r="AB177" s="364"/>
      <c r="AC177" s="364"/>
      <c r="AD177" s="364"/>
      <c r="AE177" s="364"/>
    </row>
    <row r="178" spans="1:31" s="221" customFormat="1" x14ac:dyDescent="0.25">
      <c r="A178" s="356"/>
      <c r="B178" s="356" t="s">
        <v>48</v>
      </c>
      <c r="C178"/>
      <c r="D178"/>
      <c r="E178"/>
      <c r="F178" s="372">
        <f>Standards_Acceptance!G109</f>
        <v>0</v>
      </c>
      <c r="G178" s="372">
        <f>Standards_Acceptance!H109</f>
        <v>0</v>
      </c>
      <c r="H178" s="372">
        <f>Standards_Acceptance!I109</f>
        <v>0</v>
      </c>
      <c r="I178" s="372">
        <f>Standards_Acceptance!J109</f>
        <v>0</v>
      </c>
      <c r="J178" s="372">
        <f>Standards_Acceptance!K109</f>
        <v>0</v>
      </c>
      <c r="K178" s="372">
        <f>Standards_Acceptance!L109</f>
        <v>0</v>
      </c>
      <c r="L178" s="372">
        <f>Standards_Acceptance!M109</f>
        <v>0</v>
      </c>
      <c r="M178" s="372">
        <f>Standards_Acceptance!N109</f>
        <v>0</v>
      </c>
      <c r="N178" s="372">
        <f>Standards_Acceptance!O109</f>
        <v>0</v>
      </c>
      <c r="O178" s="372">
        <f>Standards_Acceptance!P109</f>
        <v>0</v>
      </c>
      <c r="P178" s="372">
        <f>Standards_Acceptance!Q109</f>
        <v>0</v>
      </c>
      <c r="Q178" s="372">
        <f>Standards_Acceptance!R109</f>
        <v>0</v>
      </c>
      <c r="R178" s="372">
        <f>Standards_Acceptance!S109</f>
        <v>0</v>
      </c>
      <c r="S178" s="372">
        <f>Standards_Acceptance!T109</f>
        <v>0</v>
      </c>
      <c r="T178" s="372">
        <f>Standards_Acceptance!U109</f>
        <v>0</v>
      </c>
      <c r="U178" s="372">
        <f>Standards_Acceptance!V109</f>
        <v>0</v>
      </c>
      <c r="V178" s="372">
        <f>Standards_Acceptance!W109</f>
        <v>0</v>
      </c>
      <c r="W178" s="372">
        <f>Standards_Acceptance!X109</f>
        <v>0</v>
      </c>
      <c r="X178" s="372">
        <f>Standards_Acceptance!Y109</f>
        <v>0</v>
      </c>
      <c r="Y178" s="372">
        <f>Standards_Acceptance!Z109</f>
        <v>0</v>
      </c>
      <c r="Z178" s="372">
        <f>Standards_Acceptance!AA109</f>
        <v>0</v>
      </c>
      <c r="AA178" s="372">
        <f>Standards_Acceptance!AB109</f>
        <v>0</v>
      </c>
      <c r="AB178" s="372">
        <f>Standards_Acceptance!AC109</f>
        <v>0</v>
      </c>
      <c r="AC178" s="372">
        <f>Standards_Acceptance!AD109</f>
        <v>0</v>
      </c>
      <c r="AD178" s="372">
        <f>Standards_Acceptance!AE109</f>
        <v>0</v>
      </c>
      <c r="AE178" s="372">
        <f>Standards_Acceptance!AF109</f>
        <v>0</v>
      </c>
    </row>
    <row r="179" spans="1:31" s="221" customFormat="1" x14ac:dyDescent="0.25">
      <c r="A179" s="356"/>
      <c r="B179" s="358" t="s">
        <v>50</v>
      </c>
      <c r="C179"/>
      <c r="D179"/>
      <c r="E179"/>
      <c r="F179" s="372">
        <f>Standards_Acceptance!G110</f>
        <v>1</v>
      </c>
      <c r="G179" s="372">
        <f>Standards_Acceptance!H110</f>
        <v>1</v>
      </c>
      <c r="H179" s="372">
        <f>Standards_Acceptance!I110</f>
        <v>1</v>
      </c>
      <c r="I179" s="372">
        <f>Standards_Acceptance!J110</f>
        <v>1</v>
      </c>
      <c r="J179" s="372">
        <f>Standards_Acceptance!K110</f>
        <v>1</v>
      </c>
      <c r="K179" s="372">
        <f>Standards_Acceptance!L110</f>
        <v>1</v>
      </c>
      <c r="L179" s="372">
        <f>Standards_Acceptance!M110</f>
        <v>1</v>
      </c>
      <c r="M179" s="372">
        <f>Standards_Acceptance!N110</f>
        <v>1</v>
      </c>
      <c r="N179" s="372">
        <f>Standards_Acceptance!O110</f>
        <v>1</v>
      </c>
      <c r="O179" s="372">
        <f>Standards_Acceptance!P110</f>
        <v>1</v>
      </c>
      <c r="P179" s="372">
        <f>Standards_Acceptance!Q110</f>
        <v>1</v>
      </c>
      <c r="Q179" s="372">
        <f>Standards_Acceptance!R110</f>
        <v>1</v>
      </c>
      <c r="R179" s="372">
        <f>Standards_Acceptance!S110</f>
        <v>1</v>
      </c>
      <c r="S179" s="372">
        <f>Standards_Acceptance!T110</f>
        <v>1</v>
      </c>
      <c r="T179" s="372">
        <f>Standards_Acceptance!U110</f>
        <v>1</v>
      </c>
      <c r="U179" s="372">
        <f>Standards_Acceptance!V110</f>
        <v>1</v>
      </c>
      <c r="V179" s="372">
        <f>Standards_Acceptance!W110</f>
        <v>1</v>
      </c>
      <c r="W179" s="372">
        <f>Standards_Acceptance!X110</f>
        <v>1</v>
      </c>
      <c r="X179" s="372">
        <f>Standards_Acceptance!Y110</f>
        <v>1</v>
      </c>
      <c r="Y179" s="372">
        <f>Standards_Acceptance!Z110</f>
        <v>1</v>
      </c>
      <c r="Z179" s="372">
        <f>Standards_Acceptance!AA110</f>
        <v>1</v>
      </c>
      <c r="AA179" s="372">
        <f>Standards_Acceptance!AB110</f>
        <v>1</v>
      </c>
      <c r="AB179" s="372">
        <f>Standards_Acceptance!AC110</f>
        <v>1</v>
      </c>
      <c r="AC179" s="372">
        <f>Standards_Acceptance!AD110</f>
        <v>1</v>
      </c>
      <c r="AD179" s="372">
        <f>Standards_Acceptance!AE110</f>
        <v>1</v>
      </c>
      <c r="AE179" s="372">
        <f>Standards_Acceptance!AF110</f>
        <v>1</v>
      </c>
    </row>
    <row r="180" spans="1:31" s="221" customFormat="1" x14ac:dyDescent="0.25">
      <c r="A180" s="356"/>
      <c r="B180" s="356" t="s">
        <v>51</v>
      </c>
      <c r="C180"/>
      <c r="D180"/>
      <c r="E180"/>
      <c r="F180" s="372">
        <f>Standards_Acceptance!G111</f>
        <v>1</v>
      </c>
      <c r="G180" s="372">
        <f>Standards_Acceptance!H111</f>
        <v>1</v>
      </c>
      <c r="H180" s="372">
        <f>Standards_Acceptance!I111</f>
        <v>1</v>
      </c>
      <c r="I180" s="372">
        <f>Standards_Acceptance!J111</f>
        <v>1</v>
      </c>
      <c r="J180" s="372">
        <f>Standards_Acceptance!K111</f>
        <v>1</v>
      </c>
      <c r="K180" s="372">
        <f>Standards_Acceptance!L111</f>
        <v>1</v>
      </c>
      <c r="L180" s="372">
        <f>Standards_Acceptance!M111</f>
        <v>1</v>
      </c>
      <c r="M180" s="372">
        <f>Standards_Acceptance!N111</f>
        <v>1</v>
      </c>
      <c r="N180" s="372">
        <f>Standards_Acceptance!O111</f>
        <v>1</v>
      </c>
      <c r="O180" s="372">
        <f>Standards_Acceptance!P111</f>
        <v>1</v>
      </c>
      <c r="P180" s="372">
        <f>Standards_Acceptance!Q111</f>
        <v>1</v>
      </c>
      <c r="Q180" s="372">
        <f>Standards_Acceptance!R111</f>
        <v>1</v>
      </c>
      <c r="R180" s="372">
        <f>Standards_Acceptance!S111</f>
        <v>1</v>
      </c>
      <c r="S180" s="372">
        <f>Standards_Acceptance!T111</f>
        <v>1</v>
      </c>
      <c r="T180" s="372">
        <f>Standards_Acceptance!U111</f>
        <v>1</v>
      </c>
      <c r="U180" s="372">
        <f>Standards_Acceptance!V111</f>
        <v>1</v>
      </c>
      <c r="V180" s="372">
        <f>Standards_Acceptance!W111</f>
        <v>1</v>
      </c>
      <c r="W180" s="372">
        <f>Standards_Acceptance!X111</f>
        <v>1</v>
      </c>
      <c r="X180" s="372">
        <f>Standards_Acceptance!Y111</f>
        <v>1</v>
      </c>
      <c r="Y180" s="372">
        <f>Standards_Acceptance!Z111</f>
        <v>1</v>
      </c>
      <c r="Z180" s="372">
        <f>Standards_Acceptance!AA111</f>
        <v>1</v>
      </c>
      <c r="AA180" s="372">
        <f>Standards_Acceptance!AB111</f>
        <v>1</v>
      </c>
      <c r="AB180" s="372">
        <f>Standards_Acceptance!AC111</f>
        <v>1</v>
      </c>
      <c r="AC180" s="372">
        <f>Standards_Acceptance!AD111</f>
        <v>1</v>
      </c>
      <c r="AD180" s="372">
        <f>Standards_Acceptance!AE111</f>
        <v>1</v>
      </c>
      <c r="AE180" s="372">
        <f>Standards_Acceptance!AF111</f>
        <v>1</v>
      </c>
    </row>
    <row r="181" spans="1:31" s="221" customFormat="1" x14ac:dyDescent="0.25">
      <c r="A181" s="356"/>
      <c r="B181" s="356" t="s">
        <v>52</v>
      </c>
      <c r="C181"/>
      <c r="D181"/>
      <c r="E181"/>
      <c r="F181" s="372">
        <f>Standards_Acceptance!G112</f>
        <v>1</v>
      </c>
      <c r="G181" s="372">
        <f>Standards_Acceptance!H112</f>
        <v>1</v>
      </c>
      <c r="H181" s="372">
        <f>Standards_Acceptance!I112</f>
        <v>1</v>
      </c>
      <c r="I181" s="372">
        <f>Standards_Acceptance!J112</f>
        <v>1</v>
      </c>
      <c r="J181" s="372">
        <f>Standards_Acceptance!K112</f>
        <v>1</v>
      </c>
      <c r="K181" s="372">
        <f>Standards_Acceptance!L112</f>
        <v>1</v>
      </c>
      <c r="L181" s="372">
        <f>Standards_Acceptance!M112</f>
        <v>1</v>
      </c>
      <c r="M181" s="372">
        <f>Standards_Acceptance!N112</f>
        <v>1</v>
      </c>
      <c r="N181" s="372">
        <f>Standards_Acceptance!O112</f>
        <v>1</v>
      </c>
      <c r="O181" s="372">
        <f>Standards_Acceptance!P112</f>
        <v>1</v>
      </c>
      <c r="P181" s="372">
        <f>Standards_Acceptance!Q112</f>
        <v>1</v>
      </c>
      <c r="Q181" s="372">
        <f>Standards_Acceptance!R112</f>
        <v>1</v>
      </c>
      <c r="R181" s="372">
        <f>Standards_Acceptance!S112</f>
        <v>1</v>
      </c>
      <c r="S181" s="372">
        <f>Standards_Acceptance!T112</f>
        <v>1</v>
      </c>
      <c r="T181" s="372">
        <f>Standards_Acceptance!U112</f>
        <v>1</v>
      </c>
      <c r="U181" s="372">
        <f>Standards_Acceptance!V112</f>
        <v>1</v>
      </c>
      <c r="V181" s="372">
        <f>Standards_Acceptance!W112</f>
        <v>1</v>
      </c>
      <c r="W181" s="372">
        <f>Standards_Acceptance!X112</f>
        <v>1</v>
      </c>
      <c r="X181" s="372">
        <f>Standards_Acceptance!Y112</f>
        <v>1</v>
      </c>
      <c r="Y181" s="372">
        <f>Standards_Acceptance!Z112</f>
        <v>1</v>
      </c>
      <c r="Z181" s="372">
        <f>Standards_Acceptance!AA112</f>
        <v>1</v>
      </c>
      <c r="AA181" s="372">
        <f>Standards_Acceptance!AB112</f>
        <v>1</v>
      </c>
      <c r="AB181" s="372">
        <f>Standards_Acceptance!AC112</f>
        <v>1</v>
      </c>
      <c r="AC181" s="372">
        <f>Standards_Acceptance!AD112</f>
        <v>1</v>
      </c>
      <c r="AD181" s="372">
        <f>Standards_Acceptance!AE112</f>
        <v>1</v>
      </c>
      <c r="AE181" s="372">
        <f>Standards_Acceptance!AF112</f>
        <v>1</v>
      </c>
    </row>
    <row r="182" spans="1:31" s="221" customFormat="1" x14ac:dyDescent="0.25">
      <c r="A182" s="356"/>
      <c r="B182" s="358" t="s">
        <v>29</v>
      </c>
      <c r="C182"/>
      <c r="D182"/>
      <c r="E182"/>
      <c r="F182" s="372">
        <f>Standards_Acceptance!G113</f>
        <v>1</v>
      </c>
      <c r="G182" s="372">
        <f>Standards_Acceptance!H113</f>
        <v>1</v>
      </c>
      <c r="H182" s="372">
        <f>Standards_Acceptance!I113</f>
        <v>1</v>
      </c>
      <c r="I182" s="372">
        <f>Standards_Acceptance!J113</f>
        <v>1</v>
      </c>
      <c r="J182" s="372">
        <f>Standards_Acceptance!K113</f>
        <v>1</v>
      </c>
      <c r="K182" s="372">
        <f>Standards_Acceptance!L113</f>
        <v>1</v>
      </c>
      <c r="L182" s="372">
        <f>Standards_Acceptance!M113</f>
        <v>1</v>
      </c>
      <c r="M182" s="372">
        <f>Standards_Acceptance!N113</f>
        <v>1</v>
      </c>
      <c r="N182" s="372">
        <f>Standards_Acceptance!O113</f>
        <v>1</v>
      </c>
      <c r="O182" s="372">
        <f>Standards_Acceptance!P113</f>
        <v>1</v>
      </c>
      <c r="P182" s="372">
        <f>Standards_Acceptance!Q113</f>
        <v>1</v>
      </c>
      <c r="Q182" s="372">
        <f>Standards_Acceptance!R113</f>
        <v>1</v>
      </c>
      <c r="R182" s="372">
        <f>Standards_Acceptance!S113</f>
        <v>1</v>
      </c>
      <c r="S182" s="372">
        <f>Standards_Acceptance!T113</f>
        <v>1</v>
      </c>
      <c r="T182" s="372">
        <f>Standards_Acceptance!U113</f>
        <v>1</v>
      </c>
      <c r="U182" s="372">
        <f>Standards_Acceptance!V113</f>
        <v>1</v>
      </c>
      <c r="V182" s="372">
        <f>Standards_Acceptance!W113</f>
        <v>1</v>
      </c>
      <c r="W182" s="372">
        <f>Standards_Acceptance!X113</f>
        <v>1</v>
      </c>
      <c r="X182" s="372">
        <f>Standards_Acceptance!Y113</f>
        <v>1</v>
      </c>
      <c r="Y182" s="372">
        <f>Standards_Acceptance!Z113</f>
        <v>1</v>
      </c>
      <c r="Z182" s="372">
        <f>Standards_Acceptance!AA113</f>
        <v>1</v>
      </c>
      <c r="AA182" s="372">
        <f>Standards_Acceptance!AB113</f>
        <v>1</v>
      </c>
      <c r="AB182" s="372">
        <f>Standards_Acceptance!AC113</f>
        <v>1</v>
      </c>
      <c r="AC182" s="372">
        <f>Standards_Acceptance!AD113</f>
        <v>1</v>
      </c>
      <c r="AD182" s="372">
        <f>Standards_Acceptance!AE113</f>
        <v>1</v>
      </c>
      <c r="AE182" s="372">
        <f>Standards_Acceptance!AF113</f>
        <v>1</v>
      </c>
    </row>
    <row r="183" spans="1:31" s="221" customFormat="1" x14ac:dyDescent="0.25">
      <c r="A183" s="356"/>
      <c r="B183" s="358" t="s">
        <v>53</v>
      </c>
      <c r="C183"/>
      <c r="D183"/>
      <c r="E183"/>
      <c r="F183" s="372">
        <f>Standards_Acceptance!G114</f>
        <v>1</v>
      </c>
      <c r="G183" s="372">
        <f>Standards_Acceptance!H114</f>
        <v>1</v>
      </c>
      <c r="H183" s="372">
        <f>Standards_Acceptance!I114</f>
        <v>1</v>
      </c>
      <c r="I183" s="372">
        <f>Standards_Acceptance!J114</f>
        <v>1</v>
      </c>
      <c r="J183" s="372">
        <f>Standards_Acceptance!K114</f>
        <v>1</v>
      </c>
      <c r="K183" s="372">
        <f>Standards_Acceptance!L114</f>
        <v>1</v>
      </c>
      <c r="L183" s="372">
        <f>Standards_Acceptance!M114</f>
        <v>1</v>
      </c>
      <c r="M183" s="372">
        <f>Standards_Acceptance!N114</f>
        <v>1</v>
      </c>
      <c r="N183" s="372">
        <f>Standards_Acceptance!O114</f>
        <v>1</v>
      </c>
      <c r="O183" s="372">
        <f>Standards_Acceptance!P114</f>
        <v>1</v>
      </c>
      <c r="P183" s="372">
        <f>Standards_Acceptance!Q114</f>
        <v>1</v>
      </c>
      <c r="Q183" s="372">
        <f>Standards_Acceptance!R114</f>
        <v>1</v>
      </c>
      <c r="R183" s="372">
        <f>Standards_Acceptance!S114</f>
        <v>1</v>
      </c>
      <c r="S183" s="372">
        <f>Standards_Acceptance!T114</f>
        <v>1</v>
      </c>
      <c r="T183" s="372">
        <f>Standards_Acceptance!U114</f>
        <v>1</v>
      </c>
      <c r="U183" s="372">
        <f>Standards_Acceptance!V114</f>
        <v>1</v>
      </c>
      <c r="V183" s="372">
        <f>Standards_Acceptance!W114</f>
        <v>1</v>
      </c>
      <c r="W183" s="372">
        <f>Standards_Acceptance!X114</f>
        <v>1</v>
      </c>
      <c r="X183" s="372">
        <f>Standards_Acceptance!Y114</f>
        <v>1</v>
      </c>
      <c r="Y183" s="372">
        <f>Standards_Acceptance!Z114</f>
        <v>1</v>
      </c>
      <c r="Z183" s="372">
        <f>Standards_Acceptance!AA114</f>
        <v>1</v>
      </c>
      <c r="AA183" s="372">
        <f>Standards_Acceptance!AB114</f>
        <v>1</v>
      </c>
      <c r="AB183" s="372">
        <f>Standards_Acceptance!AC114</f>
        <v>1</v>
      </c>
      <c r="AC183" s="372">
        <f>Standards_Acceptance!AD114</f>
        <v>1</v>
      </c>
      <c r="AD183" s="372">
        <f>Standards_Acceptance!AE114</f>
        <v>1</v>
      </c>
      <c r="AE183" s="372">
        <f>Standards_Acceptance!AF114</f>
        <v>1</v>
      </c>
    </row>
    <row r="184" spans="1:31" s="221" customFormat="1" x14ac:dyDescent="0.25">
      <c r="A184"/>
      <c r="B184"/>
      <c r="C184"/>
      <c r="D184"/>
      <c r="E184"/>
      <c r="F184"/>
      <c r="G184"/>
      <c r="H184"/>
      <c r="I184"/>
      <c r="J184"/>
      <c r="K184"/>
      <c r="L184"/>
      <c r="M184"/>
      <c r="N184"/>
      <c r="O184"/>
      <c r="P184"/>
      <c r="Q184"/>
      <c r="R184"/>
      <c r="S184"/>
      <c r="T184"/>
      <c r="U184"/>
      <c r="V184"/>
      <c r="W184"/>
      <c r="X184"/>
      <c r="Y184"/>
      <c r="Z184"/>
      <c r="AA184"/>
      <c r="AB184"/>
      <c r="AC184"/>
      <c r="AD184"/>
      <c r="AE184"/>
    </row>
    <row r="185" spans="1:31" x14ac:dyDescent="0.25">
      <c r="A185" s="398" t="s">
        <v>210</v>
      </c>
      <c r="B185" s="399"/>
      <c r="C185" s="398"/>
      <c r="D185" s="399"/>
      <c r="E185" s="399"/>
      <c r="F185" s="1055" t="s">
        <v>692</v>
      </c>
      <c r="G185" s="409"/>
      <c r="H185" s="409"/>
      <c r="I185" s="409"/>
      <c r="J185" s="409"/>
      <c r="K185" s="409"/>
      <c r="L185" s="409"/>
      <c r="M185" s="409"/>
      <c r="N185" s="409"/>
      <c r="O185" s="409"/>
      <c r="P185" s="409"/>
      <c r="Q185" s="409"/>
      <c r="R185" s="409"/>
      <c r="S185" s="409"/>
      <c r="T185" s="409"/>
      <c r="U185" s="409"/>
      <c r="V185" s="409"/>
      <c r="W185" s="409"/>
      <c r="X185" s="409"/>
      <c r="Y185" s="409"/>
      <c r="Z185" s="409"/>
      <c r="AA185" s="409"/>
      <c r="AB185" s="409"/>
      <c r="AC185" s="409"/>
      <c r="AD185" s="409"/>
      <c r="AE185" s="409"/>
    </row>
    <row r="186" spans="1:31" x14ac:dyDescent="0.25">
      <c r="A186" s="378" t="s">
        <v>12</v>
      </c>
      <c r="B186" s="376"/>
    </row>
    <row r="187" spans="1:31" x14ac:dyDescent="0.25">
      <c r="A187" s="376"/>
      <c r="B187" s="376" t="s">
        <v>20</v>
      </c>
    </row>
    <row r="188" spans="1:31" s="202" customFormat="1" ht="12.75" x14ac:dyDescent="0.2">
      <c r="A188" s="402" t="s">
        <v>21</v>
      </c>
      <c r="B188" s="402"/>
      <c r="C188" s="402"/>
      <c r="D188" s="402"/>
      <c r="E188" s="402"/>
      <c r="F188" s="402"/>
      <c r="G188" s="402"/>
      <c r="H188" s="402"/>
      <c r="I188" s="402"/>
      <c r="J188" s="402"/>
      <c r="K188" s="402"/>
      <c r="L188" s="402"/>
      <c r="M188" s="402"/>
      <c r="N188" s="402"/>
      <c r="O188" s="402"/>
      <c r="P188" s="402"/>
      <c r="Q188" s="402"/>
      <c r="R188" s="402"/>
      <c r="S188" s="402"/>
      <c r="T188" s="402"/>
      <c r="U188" s="402"/>
      <c r="V188" s="402"/>
      <c r="W188" s="402"/>
      <c r="X188" s="402"/>
      <c r="Y188" s="402"/>
      <c r="Z188" s="402"/>
      <c r="AA188" s="402"/>
      <c r="AB188" s="402"/>
      <c r="AC188" s="402"/>
      <c r="AD188" s="402"/>
      <c r="AE188" s="402"/>
    </row>
    <row r="189" spans="1:31" s="221" customFormat="1" x14ac:dyDescent="0.25">
      <c r="A189" s="376"/>
      <c r="B189" s="376" t="s">
        <v>22</v>
      </c>
      <c r="C189"/>
      <c r="D189" s="201"/>
      <c r="E189" s="201"/>
      <c r="F189" s="201">
        <f ca="1">F153*EXP(F81)/(F$153*EXP(F$81)+F$154*EXP(F$82)+F$155*EXP(F$83)+F$156*EXP(F$84))</f>
        <v>0.76114618840799508</v>
      </c>
      <c r="G189" s="201">
        <f t="shared" ref="G189:AE192" ca="1" si="0">G153*EXP(G81)/(G$153*EXP(G$81)+G$154*EXP(G$82)+G$155*EXP(G$83)+G$156*EXP(G$84))</f>
        <v>0.75629220586508195</v>
      </c>
      <c r="H189" s="201">
        <f t="shared" ca="1" si="0"/>
        <v>0.69948062647413189</v>
      </c>
      <c r="I189" s="201">
        <f t="shared" ca="1" si="0"/>
        <v>0.50717138430751774</v>
      </c>
      <c r="J189" s="201">
        <f t="shared" ca="1" si="0"/>
        <v>0.382558369805508</v>
      </c>
      <c r="K189" s="201">
        <f t="shared" ca="1" si="0"/>
        <v>0.26599823684656659</v>
      </c>
      <c r="L189" s="201">
        <f t="shared" ca="1" si="0"/>
        <v>0.10613094050572672</v>
      </c>
      <c r="M189" s="201">
        <f t="shared" ca="1" si="0"/>
        <v>9.7216093813060719E-2</v>
      </c>
      <c r="N189" s="201">
        <f t="shared" ca="1" si="0"/>
        <v>8.7668532249251932E-2</v>
      </c>
      <c r="O189" s="201">
        <f t="shared" ca="1" si="0"/>
        <v>7.852856214424335E-2</v>
      </c>
      <c r="P189" s="201">
        <f t="shared" ca="1" si="0"/>
        <v>6.9092580261543649E-2</v>
      </c>
      <c r="Q189" s="201">
        <f t="shared" ca="1" si="0"/>
        <v>5.9888911572074981E-2</v>
      </c>
      <c r="R189" s="201">
        <f t="shared" ca="1" si="0"/>
        <v>5.183193445136644E-2</v>
      </c>
      <c r="S189" s="201">
        <f t="shared" ca="1" si="0"/>
        <v>4.4794974689385758E-2</v>
      </c>
      <c r="T189" s="201">
        <f t="shared" ca="1" si="0"/>
        <v>3.8649543113642264E-2</v>
      </c>
      <c r="U189" s="201">
        <f t="shared" ca="1" si="0"/>
        <v>3.3599480173691326E-2</v>
      </c>
      <c r="V189" s="201">
        <f t="shared" ca="1" si="0"/>
        <v>2.9187365468324785E-2</v>
      </c>
      <c r="W189" s="201">
        <f t="shared" ca="1" si="0"/>
        <v>2.5358859639496256E-2</v>
      </c>
      <c r="X189" s="201">
        <f t="shared" ca="1" si="0"/>
        <v>2.201840980110099E-2</v>
      </c>
      <c r="Y189" s="201">
        <f t="shared" ca="1" si="0"/>
        <v>1.9193556156232198E-2</v>
      </c>
      <c r="Z189" s="201">
        <f t="shared" ca="1" si="0"/>
        <v>1.6834417322699614E-2</v>
      </c>
      <c r="AA189" s="201">
        <f t="shared" ca="1" si="0"/>
        <v>1.4724657816676881E-2</v>
      </c>
      <c r="AB189" s="201">
        <f t="shared" ca="1" si="0"/>
        <v>1.2909207557482668E-2</v>
      </c>
      <c r="AC189" s="201">
        <f t="shared" ca="1" si="0"/>
        <v>1.1327165584964754E-2</v>
      </c>
      <c r="AD189" s="201">
        <f t="shared" ca="1" si="0"/>
        <v>9.9227412007974122E-3</v>
      </c>
      <c r="AE189" s="201">
        <f t="shared" ca="1" si="0"/>
        <v>8.5422575377321688E-3</v>
      </c>
    </row>
    <row r="190" spans="1:31" s="221" customFormat="1" x14ac:dyDescent="0.25">
      <c r="A190" s="376"/>
      <c r="B190" s="376" t="s">
        <v>26</v>
      </c>
      <c r="C190"/>
      <c r="D190" s="201"/>
      <c r="E190" s="201"/>
      <c r="F190" s="201">
        <f ca="1">F154*EXP(F82)/(F$153*EXP(F$81)+F$154*EXP(F$82)+F$155*EXP(F$83)+F$156*EXP(F$84))</f>
        <v>1.0897503150586527E-2</v>
      </c>
      <c r="G190" s="201">
        <f t="shared" ref="G190:U190" ca="1" si="1">G154*EXP(G82)/(G$153*EXP(G$81)+G$154*EXP(G$82)+G$155*EXP(G$83)+G$156*EXP(G$84))</f>
        <v>1.1089863217929702E-2</v>
      </c>
      <c r="H190" s="201">
        <f t="shared" ca="1" si="1"/>
        <v>5.0497778362814986E-2</v>
      </c>
      <c r="I190" s="201">
        <f t="shared" ca="1" si="1"/>
        <v>0.16720851958703767</v>
      </c>
      <c r="J190" s="201">
        <f t="shared" ca="1" si="1"/>
        <v>0.25754366243163535</v>
      </c>
      <c r="K190" s="201">
        <f t="shared" ca="1" si="1"/>
        <v>0.30120939155230997</v>
      </c>
      <c r="L190" s="201">
        <f t="shared" ca="1" si="1"/>
        <v>0.34774291089497605</v>
      </c>
      <c r="M190" s="201">
        <f t="shared" ca="1" si="1"/>
        <v>0.32821371496983509</v>
      </c>
      <c r="N190" s="201">
        <f t="shared" ca="1" si="1"/>
        <v>0.30456199677000367</v>
      </c>
      <c r="O190" s="201">
        <f t="shared" ca="1" si="1"/>
        <v>0.27987267651843972</v>
      </c>
      <c r="P190" s="201">
        <f t="shared" ca="1" si="1"/>
        <v>0.25314135589621983</v>
      </c>
      <c r="Q190" s="201">
        <f t="shared" ca="1" si="1"/>
        <v>0.22619299251226826</v>
      </c>
      <c r="R190" s="201">
        <f t="shared" ca="1" si="1"/>
        <v>0.2017619521577616</v>
      </c>
      <c r="S190" s="201">
        <f t="shared" ca="1" si="1"/>
        <v>0.17983533129875531</v>
      </c>
      <c r="T190" s="201">
        <f t="shared" ca="1" si="1"/>
        <v>0.16023699440577213</v>
      </c>
      <c r="U190" s="201">
        <f t="shared" ca="1" si="1"/>
        <v>0.14374276437542152</v>
      </c>
      <c r="V190" s="201">
        <f t="shared" ca="1" si="0"/>
        <v>0.1290598314847026</v>
      </c>
      <c r="W190" s="201">
        <f t="shared" ca="1" si="0"/>
        <v>0.11606617667955441</v>
      </c>
      <c r="X190" s="201">
        <f t="shared" ca="1" si="0"/>
        <v>0.1044915500910007</v>
      </c>
      <c r="Y190" s="201">
        <f t="shared" ca="1" si="0"/>
        <v>9.4489983400392288E-2</v>
      </c>
      <c r="Z190" s="201">
        <f t="shared" ca="1" si="0"/>
        <v>8.5963178365517437E-2</v>
      </c>
      <c r="AA190" s="201">
        <f t="shared" ca="1" si="0"/>
        <v>7.8160078849793951E-2</v>
      </c>
      <c r="AB190" s="201">
        <f t="shared" ca="1" si="0"/>
        <v>7.1286416993379259E-2</v>
      </c>
      <c r="AC190" s="201">
        <f t="shared" ca="1" si="0"/>
        <v>6.5145328280239639E-2</v>
      </c>
      <c r="AD190" s="201">
        <f t="shared" ca="1" si="0"/>
        <v>5.953925448046251E-2</v>
      </c>
      <c r="AE190" s="201">
        <f t="shared" ca="1" si="0"/>
        <v>5.3795952298523415E-2</v>
      </c>
    </row>
    <row r="191" spans="1:31" s="221" customFormat="1" x14ac:dyDescent="0.25">
      <c r="A191" s="376"/>
      <c r="B191" s="376" t="s">
        <v>27</v>
      </c>
      <c r="C191"/>
      <c r="D191" s="201"/>
      <c r="E191" s="201"/>
      <c r="F191" s="201">
        <f ca="1">F155*EXP(F83)/(F$153*EXP(F$81)+F$154*EXP(F$82)+F$155*EXP(F$83)+F$156*EXP(F$84))</f>
        <v>0.22795630844140355</v>
      </c>
      <c r="G191" s="201">
        <f t="shared" ca="1" si="0"/>
        <v>0.23261787933957714</v>
      </c>
      <c r="H191" s="201">
        <f t="shared" ca="1" si="0"/>
        <v>0.25000209998633471</v>
      </c>
      <c r="I191" s="201">
        <f t="shared" ca="1" si="0"/>
        <v>0.32520365247297517</v>
      </c>
      <c r="J191" s="201">
        <f t="shared" ca="1" si="0"/>
        <v>0.35668201821608442</v>
      </c>
      <c r="K191" s="201">
        <f t="shared" ca="1" si="0"/>
        <v>0.41857829760408843</v>
      </c>
      <c r="L191" s="201">
        <f t="shared" ca="1" si="0"/>
        <v>0.50145884753431014</v>
      </c>
      <c r="M191" s="201">
        <f t="shared" ca="1" si="0"/>
        <v>0.48515009025992045</v>
      </c>
      <c r="N191" s="201">
        <f t="shared" ca="1" si="0"/>
        <v>0.45874921012469599</v>
      </c>
      <c r="O191" s="201">
        <f t="shared" ca="1" si="0"/>
        <v>0.42488763159640663</v>
      </c>
      <c r="P191" s="201">
        <f t="shared" ca="1" si="0"/>
        <v>0.38982931231495027</v>
      </c>
      <c r="Q191" s="201">
        <f t="shared" ca="1" si="0"/>
        <v>0.35622156278165112</v>
      </c>
      <c r="R191" s="201">
        <f t="shared" ca="1" si="0"/>
        <v>0.32440484564144734</v>
      </c>
      <c r="S191" s="201">
        <f t="shared" ca="1" si="0"/>
        <v>0.29554484613575527</v>
      </c>
      <c r="T191" s="201">
        <f t="shared" ca="1" si="0"/>
        <v>0.26994447017514428</v>
      </c>
      <c r="U191" s="201">
        <f t="shared" ca="1" si="0"/>
        <v>0.24742069528788946</v>
      </c>
      <c r="V191" s="201">
        <f t="shared" ca="1" si="0"/>
        <v>0.22781483348922588</v>
      </c>
      <c r="W191" s="201">
        <f t="shared" ca="1" si="0"/>
        <v>0.21073627860104702</v>
      </c>
      <c r="X191" s="201">
        <f t="shared" ca="1" si="0"/>
        <v>0.19581653568884974</v>
      </c>
      <c r="Y191" s="201">
        <f t="shared" ca="1" si="0"/>
        <v>0.18277265880472049</v>
      </c>
      <c r="Z191" s="201">
        <f t="shared" ca="1" si="0"/>
        <v>0.17136844588165126</v>
      </c>
      <c r="AA191" s="201">
        <f t="shared" ca="1" si="0"/>
        <v>0.16127623736532473</v>
      </c>
      <c r="AB191" s="201">
        <f t="shared" ca="1" si="0"/>
        <v>0.15235008032407793</v>
      </c>
      <c r="AC191" s="201">
        <f t="shared" ca="1" si="0"/>
        <v>0.14440695801436595</v>
      </c>
      <c r="AD191" s="201">
        <f t="shared" ca="1" si="0"/>
        <v>0.1372759133806298</v>
      </c>
      <c r="AE191" s="201">
        <f t="shared" ca="1" si="0"/>
        <v>0.13063447395575459</v>
      </c>
    </row>
    <row r="192" spans="1:31" s="221" customFormat="1" x14ac:dyDescent="0.25">
      <c r="A192" s="376"/>
      <c r="B192" s="376" t="s">
        <v>29</v>
      </c>
      <c r="C192"/>
      <c r="D192" s="201"/>
      <c r="E192" s="201"/>
      <c r="F192" s="201">
        <f ca="1">F156*EXP(F84)/(F$153*EXP(F$81)+F$154*EXP(F$82)+F$155*EXP(F$83)+F$156*EXP(F$84))</f>
        <v>1.4802519532729175E-14</v>
      </c>
      <c r="G192" s="201">
        <f t="shared" ca="1" si="0"/>
        <v>5.1577411148569984E-8</v>
      </c>
      <c r="H192" s="201">
        <f t="shared" ca="1" si="0"/>
        <v>1.9495176718342629E-5</v>
      </c>
      <c r="I192" s="201">
        <f t="shared" ca="1" si="0"/>
        <v>4.1644363246957103E-4</v>
      </c>
      <c r="J192" s="201">
        <f t="shared" ca="1" si="0"/>
        <v>3.2159495467720092E-3</v>
      </c>
      <c r="K192" s="201">
        <f t="shared" ca="1" si="0"/>
        <v>1.4214073997035111E-2</v>
      </c>
      <c r="L192" s="201">
        <f t="shared" ca="1" si="0"/>
        <v>4.4667301064987092E-2</v>
      </c>
      <c r="M192" s="201">
        <f t="shared" ca="1" si="0"/>
        <v>8.9420100957183862E-2</v>
      </c>
      <c r="N192" s="201">
        <f t="shared" ca="1" si="0"/>
        <v>0.14902026085604844</v>
      </c>
      <c r="O192" s="201">
        <f t="shared" ca="1" si="0"/>
        <v>0.21671112974091039</v>
      </c>
      <c r="P192" s="201">
        <f t="shared" ca="1" si="0"/>
        <v>0.28793675152728621</v>
      </c>
      <c r="Q192" s="201">
        <f t="shared" ca="1" si="0"/>
        <v>0.35769653313400562</v>
      </c>
      <c r="R192" s="201">
        <f t="shared" ca="1" si="0"/>
        <v>0.42200126774942448</v>
      </c>
      <c r="S192" s="201">
        <f t="shared" ca="1" si="0"/>
        <v>0.47982484787610363</v>
      </c>
      <c r="T192" s="201">
        <f t="shared" ca="1" si="0"/>
        <v>0.53116899230544123</v>
      </c>
      <c r="U192" s="201">
        <f t="shared" ca="1" si="0"/>
        <v>0.57523706016299769</v>
      </c>
      <c r="V192" s="201">
        <f t="shared" ca="1" si="0"/>
        <v>0.61393796955774671</v>
      </c>
      <c r="W192" s="201">
        <f t="shared" ca="1" si="0"/>
        <v>0.64783868507990228</v>
      </c>
      <c r="X192" s="201">
        <f t="shared" ca="1" si="0"/>
        <v>0.67767350441904861</v>
      </c>
      <c r="Y192" s="201">
        <f t="shared" ca="1" si="0"/>
        <v>0.70354380163865493</v>
      </c>
      <c r="Z192" s="201">
        <f t="shared" ca="1" si="0"/>
        <v>0.72583395843013165</v>
      </c>
      <c r="AA192" s="201">
        <f t="shared" ca="1" si="0"/>
        <v>0.74583902596820439</v>
      </c>
      <c r="AB192" s="201">
        <f t="shared" ca="1" si="0"/>
        <v>0.76345429512506013</v>
      </c>
      <c r="AC192" s="201">
        <f t="shared" ca="1" si="0"/>
        <v>0.77912054812042963</v>
      </c>
      <c r="AD192" s="201">
        <f t="shared" ca="1" si="0"/>
        <v>0.79326209093811018</v>
      </c>
      <c r="AE192" s="201">
        <f t="shared" ca="1" si="0"/>
        <v>0.80702731620798984</v>
      </c>
    </row>
    <row r="193" spans="1:31" s="221" customFormat="1" x14ac:dyDescent="0.25">
      <c r="A193" s="376"/>
      <c r="B193" s="376"/>
      <c r="C193"/>
      <c r="D193"/>
      <c r="E193"/>
      <c r="F193"/>
      <c r="G193"/>
      <c r="H193"/>
      <c r="I193"/>
      <c r="J193"/>
      <c r="K193"/>
      <c r="L193"/>
      <c r="M193"/>
      <c r="N193"/>
      <c r="O193"/>
      <c r="P193"/>
      <c r="Q193"/>
      <c r="R193"/>
      <c r="S193"/>
      <c r="T193"/>
      <c r="U193"/>
      <c r="V193"/>
      <c r="W193"/>
      <c r="X193"/>
      <c r="Y193"/>
      <c r="Z193"/>
      <c r="AA193"/>
      <c r="AB193"/>
      <c r="AC193"/>
      <c r="AD193"/>
      <c r="AE193"/>
    </row>
    <row r="194" spans="1:31" s="202" customFormat="1" ht="12.75" x14ac:dyDescent="0.2">
      <c r="A194" s="402" t="s">
        <v>32</v>
      </c>
      <c r="B194" s="402"/>
      <c r="C194" s="402"/>
      <c r="D194" s="402"/>
      <c r="E194" s="402"/>
      <c r="F194" s="402"/>
      <c r="G194" s="402"/>
      <c r="H194" s="402"/>
      <c r="I194" s="402"/>
      <c r="J194" s="402"/>
      <c r="K194" s="402"/>
      <c r="L194" s="402"/>
      <c r="M194" s="402"/>
      <c r="N194" s="402"/>
      <c r="O194" s="402"/>
      <c r="P194" s="402"/>
      <c r="Q194" s="402"/>
      <c r="R194" s="402"/>
      <c r="S194" s="402"/>
      <c r="T194" s="402"/>
      <c r="U194" s="402"/>
      <c r="V194" s="402"/>
      <c r="W194" s="402"/>
      <c r="X194" s="402"/>
      <c r="Y194" s="402"/>
      <c r="Z194" s="402"/>
      <c r="AA194" s="402"/>
      <c r="AB194" s="402"/>
      <c r="AC194" s="402"/>
      <c r="AD194" s="402"/>
      <c r="AE194" s="402"/>
    </row>
    <row r="195" spans="1:31" s="221" customFormat="1" x14ac:dyDescent="0.25">
      <c r="A195" s="376"/>
      <c r="B195" s="376" t="s">
        <v>33</v>
      </c>
      <c r="C195"/>
      <c r="D195"/>
      <c r="E195"/>
      <c r="F195" s="201">
        <f>F159*EXP(F87)/(F$159*EXP(F$87)+F$160*EXP(F$88)+F$161*EXP(F$89)+F$162*EXP(F$90))</f>
        <v>0.33379095841256085</v>
      </c>
      <c r="G195" s="201">
        <f t="shared" ref="G195:AE198" si="2">G159*EXP(G87)/(G$159*EXP(G$87)+G$160*EXP(G$88)+G$161*EXP(G$89)+G$162*EXP(G$90))</f>
        <v>0.32008016172590686</v>
      </c>
      <c r="H195" s="201">
        <f t="shared" si="2"/>
        <v>0.3046405543610049</v>
      </c>
      <c r="I195" s="201">
        <f t="shared" si="2"/>
        <v>0.25813241648161067</v>
      </c>
      <c r="J195" s="201">
        <f t="shared" si="2"/>
        <v>0.20515427909033382</v>
      </c>
      <c r="K195" s="201">
        <f t="shared" si="2"/>
        <v>0.16095308785557311</v>
      </c>
      <c r="L195" s="201">
        <f t="shared" si="2"/>
        <v>0.12628239951229242</v>
      </c>
      <c r="M195" s="201">
        <f t="shared" si="2"/>
        <v>0.10361734048755498</v>
      </c>
      <c r="N195" s="201">
        <f t="shared" si="2"/>
        <v>8.7925722165818315E-2</v>
      </c>
      <c r="O195" s="201">
        <f t="shared" si="2"/>
        <v>7.7328914893176115E-2</v>
      </c>
      <c r="P195" s="201">
        <f t="shared" si="2"/>
        <v>6.8590137137034823E-2</v>
      </c>
      <c r="Q195" s="201">
        <f t="shared" si="2"/>
        <v>6.108092045238421E-2</v>
      </c>
      <c r="R195" s="201">
        <f t="shared" si="2"/>
        <v>5.5075694402154936E-2</v>
      </c>
      <c r="S195" s="201">
        <f t="shared" si="2"/>
        <v>4.9985856743776771E-2</v>
      </c>
      <c r="T195" s="201">
        <f t="shared" si="2"/>
        <v>4.547130718688145E-2</v>
      </c>
      <c r="U195" s="201">
        <f t="shared" si="2"/>
        <v>4.178495309074641E-2</v>
      </c>
      <c r="V195" s="201">
        <f t="shared" si="2"/>
        <v>3.8355341867573348E-2</v>
      </c>
      <c r="W195" s="201">
        <f t="shared" si="2"/>
        <v>3.5172959657614022E-2</v>
      </c>
      <c r="X195" s="201">
        <f t="shared" si="2"/>
        <v>3.2178316342576813E-2</v>
      </c>
      <c r="Y195" s="201">
        <f t="shared" si="2"/>
        <v>2.9504116903401708E-2</v>
      </c>
      <c r="Z195" s="201">
        <f t="shared" si="2"/>
        <v>2.7168600826868818E-2</v>
      </c>
      <c r="AA195" s="201">
        <f t="shared" si="2"/>
        <v>2.4890214519181948E-2</v>
      </c>
      <c r="AB195" s="201">
        <f t="shared" si="2"/>
        <v>2.2808338427879177E-2</v>
      </c>
      <c r="AC195" s="201">
        <f t="shared" si="2"/>
        <v>2.087492583849478E-2</v>
      </c>
      <c r="AD195" s="201">
        <f t="shared" si="2"/>
        <v>1.903536263874572E-2</v>
      </c>
      <c r="AE195" s="201">
        <f t="shared" si="2"/>
        <v>1.7020820689597788E-2</v>
      </c>
    </row>
    <row r="196" spans="1:31" s="221" customFormat="1" x14ac:dyDescent="0.25">
      <c r="A196" s="388"/>
      <c r="B196" s="388" t="s">
        <v>34</v>
      </c>
      <c r="C196"/>
      <c r="D196"/>
      <c r="E196"/>
      <c r="F196" s="201">
        <f>F160*EXP(F88)/(F$159*EXP(F$87)+F$160*EXP(F$88)+F$161*EXP(F$89)+F$162*EXP(F$90))</f>
        <v>0.59954841856123642</v>
      </c>
      <c r="G196" s="201">
        <f t="shared" ref="G196:U196" si="3">G160*EXP(G88)/(G$159*EXP(G$87)+G$160*EXP(G$88)+G$161*EXP(G$89)+G$162*EXP(G$90))</f>
        <v>0.5843540785147312</v>
      </c>
      <c r="H196" s="201">
        <f t="shared" si="3"/>
        <v>0.47815175721138825</v>
      </c>
      <c r="I196" s="201">
        <f t="shared" si="3"/>
        <v>0.34897157130906475</v>
      </c>
      <c r="J196" s="201">
        <f t="shared" si="3"/>
        <v>0.24147500119288429</v>
      </c>
      <c r="K196" s="201">
        <f t="shared" si="3"/>
        <v>0.19369452554633187</v>
      </c>
      <c r="L196" s="201">
        <f t="shared" si="3"/>
        <v>0.15898452837386892</v>
      </c>
      <c r="M196" s="201">
        <f t="shared" si="3"/>
        <v>0.135386664488862</v>
      </c>
      <c r="N196" s="201">
        <f t="shared" si="3"/>
        <v>0.11877794518676488</v>
      </c>
      <c r="O196" s="201">
        <f t="shared" si="3"/>
        <v>0.10719170296061424</v>
      </c>
      <c r="P196" s="201">
        <f t="shared" si="3"/>
        <v>9.8015759743395048E-2</v>
      </c>
      <c r="Q196" s="201">
        <f t="shared" si="3"/>
        <v>9.0527521048682502E-2</v>
      </c>
      <c r="R196" s="201">
        <f t="shared" si="3"/>
        <v>8.4580856343571126E-2</v>
      </c>
      <c r="S196" s="201">
        <f t="shared" si="3"/>
        <v>7.962992521665041E-2</v>
      </c>
      <c r="T196" s="201">
        <f t="shared" si="3"/>
        <v>7.5327406394981714E-2</v>
      </c>
      <c r="U196" s="201">
        <f t="shared" si="3"/>
        <v>7.182706556611429E-2</v>
      </c>
      <c r="V196" s="201">
        <f t="shared" si="2"/>
        <v>6.8627091377043703E-2</v>
      </c>
      <c r="W196" s="201">
        <f t="shared" si="2"/>
        <v>6.5680573756867783E-2</v>
      </c>
      <c r="X196" s="201">
        <f t="shared" si="2"/>
        <v>6.2905424191496362E-2</v>
      </c>
      <c r="Y196" s="201">
        <f t="shared" si="2"/>
        <v>6.0411518779025272E-2</v>
      </c>
      <c r="Z196" s="201">
        <f t="shared" si="2"/>
        <v>5.8221757190626756E-2</v>
      </c>
      <c r="AA196" s="201">
        <f t="shared" si="2"/>
        <v>5.6043921023257878E-2</v>
      </c>
      <c r="AB196" s="201">
        <f t="shared" si="2"/>
        <v>5.4016639391517914E-2</v>
      </c>
      <c r="AC196" s="201">
        <f t="shared" si="2"/>
        <v>5.2086963065913795E-2</v>
      </c>
      <c r="AD196" s="201">
        <f t="shared" si="2"/>
        <v>5.0186422245684759E-2</v>
      </c>
      <c r="AE196" s="201">
        <f t="shared" si="2"/>
        <v>4.7945768601798791E-2</v>
      </c>
    </row>
    <row r="197" spans="1:31" s="221" customFormat="1" x14ac:dyDescent="0.25">
      <c r="A197" s="376"/>
      <c r="B197" s="388" t="s">
        <v>35</v>
      </c>
      <c r="C197"/>
      <c r="D197"/>
      <c r="E197"/>
      <c r="F197" s="201">
        <f>F161*EXP(F89)/(F$159*EXP(F$87)+F$160*EXP(F$88)+F$161*EXP(F$89)+F$162*EXP(F$90))</f>
        <v>6.632319183602696E-2</v>
      </c>
      <c r="G197" s="201">
        <f t="shared" si="2"/>
        <v>6.5335563954007136E-2</v>
      </c>
      <c r="H197" s="201">
        <f t="shared" si="2"/>
        <v>5.9340977650256789E-2</v>
      </c>
      <c r="I197" s="201">
        <f t="shared" si="2"/>
        <v>5.0324126783859308E-2</v>
      </c>
      <c r="J197" s="201">
        <f t="shared" si="2"/>
        <v>4.1797251374878351E-2</v>
      </c>
      <c r="K197" s="201">
        <f t="shared" si="2"/>
        <v>3.3694882929369285E-2</v>
      </c>
      <c r="L197" s="201">
        <f t="shared" si="2"/>
        <v>2.8334082733821663E-2</v>
      </c>
      <c r="M197" s="201">
        <f t="shared" si="2"/>
        <v>2.4547302786033499E-2</v>
      </c>
      <c r="N197" s="201">
        <f t="shared" si="2"/>
        <v>2.1836414416313746E-2</v>
      </c>
      <c r="O197" s="201">
        <f t="shared" si="2"/>
        <v>1.9856926243365328E-2</v>
      </c>
      <c r="P197" s="201">
        <f t="shared" si="2"/>
        <v>1.8363094021814574E-2</v>
      </c>
      <c r="Q197" s="201">
        <f t="shared" si="2"/>
        <v>1.7232466980020511E-2</v>
      </c>
      <c r="R197" s="201">
        <f t="shared" si="2"/>
        <v>1.6343580438157292E-2</v>
      </c>
      <c r="S197" s="201">
        <f t="shared" si="2"/>
        <v>1.562943426248169E-2</v>
      </c>
      <c r="T197" s="201">
        <f t="shared" si="2"/>
        <v>1.5042920618892921E-2</v>
      </c>
      <c r="U197" s="201">
        <f t="shared" si="2"/>
        <v>1.4566975377391812E-2</v>
      </c>
      <c r="V197" s="201">
        <f t="shared" si="2"/>
        <v>1.416414080274569E-2</v>
      </c>
      <c r="W197" s="201">
        <f t="shared" si="2"/>
        <v>1.3819207255152401E-2</v>
      </c>
      <c r="X197" s="201">
        <f t="shared" si="2"/>
        <v>1.3518536739995096E-2</v>
      </c>
      <c r="Y197" s="201">
        <f t="shared" si="2"/>
        <v>1.3260644866190559E-2</v>
      </c>
      <c r="Z197" s="201">
        <f t="shared" si="2"/>
        <v>1.3042205450842365E-2</v>
      </c>
      <c r="AA197" s="201">
        <f t="shared" si="2"/>
        <v>1.2843118072165569E-2</v>
      </c>
      <c r="AB197" s="201">
        <f t="shared" si="2"/>
        <v>1.2667694601675885E-2</v>
      </c>
      <c r="AC197" s="201">
        <f t="shared" si="2"/>
        <v>1.2510281088921512E-2</v>
      </c>
      <c r="AD197" s="201">
        <f t="shared" si="2"/>
        <v>1.2364277553358918E-2</v>
      </c>
      <c r="AE197" s="201">
        <f t="shared" si="2"/>
        <v>1.2201972136689452E-2</v>
      </c>
    </row>
    <row r="198" spans="1:31" s="221" customFormat="1" x14ac:dyDescent="0.25">
      <c r="A198" s="376"/>
      <c r="B198" s="388" t="s">
        <v>29</v>
      </c>
      <c r="C198"/>
      <c r="D198"/>
      <c r="E198"/>
      <c r="F198" s="201">
        <f>F162*EXP(F90)/(F$159*EXP(F$87)+F$160*EXP(F$88)+F$161*EXP(F$89)+F$162*EXP(F$90))</f>
        <v>3.3743119017562461E-4</v>
      </c>
      <c r="G198" s="201">
        <f t="shared" si="2"/>
        <v>3.0230195805354906E-2</v>
      </c>
      <c r="H198" s="201">
        <f t="shared" si="2"/>
        <v>0.15786671077735009</v>
      </c>
      <c r="I198" s="201">
        <f t="shared" si="2"/>
        <v>0.34257188542546524</v>
      </c>
      <c r="J198" s="201">
        <f t="shared" si="2"/>
        <v>0.51157346834190354</v>
      </c>
      <c r="K198" s="201">
        <f t="shared" si="2"/>
        <v>0.61165750366872573</v>
      </c>
      <c r="L198" s="201">
        <f t="shared" si="2"/>
        <v>0.68639898938001709</v>
      </c>
      <c r="M198" s="201">
        <f t="shared" si="2"/>
        <v>0.7364486922375495</v>
      </c>
      <c r="N198" s="201">
        <f t="shared" si="2"/>
        <v>0.77145991823110316</v>
      </c>
      <c r="O198" s="201">
        <f t="shared" si="2"/>
        <v>0.79562245590284442</v>
      </c>
      <c r="P198" s="201">
        <f t="shared" si="2"/>
        <v>0.81503100909775561</v>
      </c>
      <c r="Q198" s="201">
        <f t="shared" si="2"/>
        <v>0.83115909151891287</v>
      </c>
      <c r="R198" s="201">
        <f t="shared" si="2"/>
        <v>0.84399986881611666</v>
      </c>
      <c r="S198" s="201">
        <f t="shared" si="2"/>
        <v>0.85475478377709113</v>
      </c>
      <c r="T198" s="201">
        <f t="shared" si="2"/>
        <v>0.86415836579924388</v>
      </c>
      <c r="U198" s="201">
        <f t="shared" si="2"/>
        <v>0.87182100596574752</v>
      </c>
      <c r="V198" s="201">
        <f t="shared" si="2"/>
        <v>0.87885342595263727</v>
      </c>
      <c r="W198" s="201">
        <f t="shared" si="2"/>
        <v>0.88532725933036582</v>
      </c>
      <c r="X198" s="201">
        <f t="shared" si="2"/>
        <v>0.89139772272593187</v>
      </c>
      <c r="Y198" s="201">
        <f t="shared" si="2"/>
        <v>0.8968237194513824</v>
      </c>
      <c r="Z198" s="201">
        <f t="shared" si="2"/>
        <v>0.90156743653166205</v>
      </c>
      <c r="AA198" s="201">
        <f t="shared" si="2"/>
        <v>0.90622274638539446</v>
      </c>
      <c r="AB198" s="201">
        <f t="shared" si="2"/>
        <v>0.91050732757892705</v>
      </c>
      <c r="AC198" s="201">
        <f t="shared" si="2"/>
        <v>0.91452783000667004</v>
      </c>
      <c r="AD198" s="201">
        <f t="shared" si="2"/>
        <v>0.91841393756221057</v>
      </c>
      <c r="AE198" s="201">
        <f t="shared" si="2"/>
        <v>0.92283143857191396</v>
      </c>
    </row>
    <row r="199" spans="1:31" s="221" customFormat="1" x14ac:dyDescent="0.25">
      <c r="A199" s="376"/>
      <c r="B199" s="376"/>
      <c r="C199"/>
      <c r="D199"/>
      <c r="E199"/>
      <c r="F199"/>
      <c r="G199"/>
      <c r="H199"/>
      <c r="I199"/>
      <c r="J199"/>
      <c r="K199"/>
      <c r="L199"/>
      <c r="M199"/>
      <c r="N199"/>
      <c r="O199"/>
      <c r="P199"/>
      <c r="Q199"/>
      <c r="R199"/>
      <c r="S199"/>
      <c r="T199"/>
      <c r="U199"/>
      <c r="V199"/>
      <c r="W199"/>
      <c r="X199"/>
      <c r="Y199"/>
      <c r="Z199"/>
      <c r="AA199"/>
      <c r="AB199"/>
      <c r="AC199"/>
      <c r="AD199"/>
      <c r="AE199"/>
    </row>
    <row r="200" spans="1:31" s="202" customFormat="1" ht="12.75" x14ac:dyDescent="0.2">
      <c r="A200" s="402" t="s">
        <v>36</v>
      </c>
      <c r="B200" s="402"/>
      <c r="C200" s="402"/>
      <c r="D200" s="402"/>
      <c r="E200" s="402"/>
      <c r="F200" s="402"/>
      <c r="G200" s="402"/>
      <c r="H200" s="402"/>
      <c r="I200" s="402"/>
      <c r="J200" s="402"/>
      <c r="K200" s="402"/>
      <c r="L200" s="402"/>
      <c r="M200" s="402"/>
      <c r="N200" s="402"/>
      <c r="O200" s="402"/>
      <c r="P200" s="402"/>
      <c r="Q200" s="402"/>
      <c r="R200" s="402"/>
      <c r="S200" s="402"/>
      <c r="T200" s="402"/>
      <c r="U200" s="402"/>
      <c r="V200" s="402"/>
      <c r="W200" s="402"/>
      <c r="X200" s="402"/>
      <c r="Y200" s="402"/>
      <c r="Z200" s="402"/>
      <c r="AA200" s="402"/>
      <c r="AB200" s="402"/>
      <c r="AC200" s="402"/>
      <c r="AD200" s="402"/>
      <c r="AE200" s="402"/>
    </row>
    <row r="201" spans="1:31" s="221" customFormat="1" x14ac:dyDescent="0.25">
      <c r="A201" s="376"/>
      <c r="B201" s="376" t="s">
        <v>37</v>
      </c>
      <c r="C201"/>
      <c r="D201"/>
      <c r="E201"/>
      <c r="F201" s="201">
        <f>F165*EXP(F93)/(F$165*EXP(F$93)+F$166*EXP(F$94)+F$167*EXP(F$95)+F$168*EXP(F$96))</f>
        <v>1.1413541111214264E-2</v>
      </c>
      <c r="G201" s="201">
        <f t="shared" ref="G201:AE204" si="4">G165*EXP(G93)/(G$165*EXP(G$93)+G$166*EXP(G$94)+G$167*EXP(G$95)+G$168*EXP(G$96))</f>
        <v>1.131491195441589E-2</v>
      </c>
      <c r="H201" s="201">
        <f t="shared" si="4"/>
        <v>9.6202360201120014E-3</v>
      </c>
      <c r="I201" s="201">
        <f t="shared" si="4"/>
        <v>7.7166853226239987E-3</v>
      </c>
      <c r="J201" s="201">
        <f t="shared" si="4"/>
        <v>5.7466123015961351E-3</v>
      </c>
      <c r="K201" s="201">
        <f t="shared" si="4"/>
        <v>3.83335356364257E-3</v>
      </c>
      <c r="L201" s="201">
        <f t="shared" si="4"/>
        <v>1.8913613884253017E-3</v>
      </c>
      <c r="M201" s="201">
        <f t="shared" si="4"/>
        <v>5.4738649193288079E-4</v>
      </c>
      <c r="N201" s="201">
        <f t="shared" si="4"/>
        <v>5.3171060603924441E-4</v>
      </c>
      <c r="O201" s="201">
        <f t="shared" si="4"/>
        <v>5.1677081152906514E-4</v>
      </c>
      <c r="P201" s="201">
        <f t="shared" si="4"/>
        <v>4.9789991591849046E-4</v>
      </c>
      <c r="Q201" s="201">
        <f t="shared" si="4"/>
        <v>4.7540546279069073E-4</v>
      </c>
      <c r="R201" s="201">
        <f t="shared" si="4"/>
        <v>4.5235240007516104E-4</v>
      </c>
      <c r="S201" s="201">
        <f t="shared" si="4"/>
        <v>4.2852556424056309E-4</v>
      </c>
      <c r="T201" s="201">
        <f t="shared" si="4"/>
        <v>4.0397344551283183E-4</v>
      </c>
      <c r="U201" s="201">
        <f t="shared" si="4"/>
        <v>3.8074185293124243E-4</v>
      </c>
      <c r="V201" s="201">
        <f t="shared" si="4"/>
        <v>3.5734475773064505E-4</v>
      </c>
      <c r="W201" s="201">
        <f t="shared" si="4"/>
        <v>3.3424721542330119E-4</v>
      </c>
      <c r="X201" s="201">
        <f t="shared" si="4"/>
        <v>3.115614196973085E-4</v>
      </c>
      <c r="Y201" s="201">
        <f t="shared" si="4"/>
        <v>2.9021015125531893E-4</v>
      </c>
      <c r="Z201" s="201">
        <f t="shared" si="4"/>
        <v>2.7055696710246395E-4</v>
      </c>
      <c r="AA201" s="201">
        <f t="shared" si="4"/>
        <v>2.5134642920127023E-4</v>
      </c>
      <c r="AB201" s="201">
        <f t="shared" si="4"/>
        <v>2.3337231740484367E-4</v>
      </c>
      <c r="AC201" s="201">
        <f t="shared" si="4"/>
        <v>2.1644822487416567E-4</v>
      </c>
      <c r="AD201" s="201">
        <f t="shared" si="4"/>
        <v>2.0029926493007267E-4</v>
      </c>
      <c r="AE201" s="201">
        <f t="shared" si="4"/>
        <v>1.8332814143714874E-4</v>
      </c>
    </row>
    <row r="202" spans="1:31" s="221" customFormat="1" x14ac:dyDescent="0.25">
      <c r="A202" s="376"/>
      <c r="B202" s="376" t="s">
        <v>39</v>
      </c>
      <c r="C202"/>
      <c r="D202"/>
      <c r="E202"/>
      <c r="F202" s="201">
        <f>F166*EXP(F94)/(F$165*EXP(F$93)+F$166*EXP(F$94)+F$167*EXP(F$95)+F$168*EXP(F$96))</f>
        <v>0.22179865292541986</v>
      </c>
      <c r="G202" s="201">
        <f t="shared" ref="G202:U202" si="5">G166*EXP(G94)/(G$165*EXP(G$93)+G$166*EXP(G$94)+G$167*EXP(G$95)+G$168*EXP(G$96))</f>
        <v>0.22262688606361641</v>
      </c>
      <c r="H202" s="201">
        <f t="shared" si="5"/>
        <v>0.22835411975041062</v>
      </c>
      <c r="I202" s="201">
        <f t="shared" si="5"/>
        <v>0.23114302870139133</v>
      </c>
      <c r="J202" s="201">
        <f t="shared" si="5"/>
        <v>0.2260605490304004</v>
      </c>
      <c r="K202" s="201">
        <f t="shared" si="5"/>
        <v>0.22175694353712602</v>
      </c>
      <c r="L202" s="201">
        <f t="shared" si="5"/>
        <v>0.21477351993653307</v>
      </c>
      <c r="M202" s="201">
        <f t="shared" si="5"/>
        <v>0.21310990287026654</v>
      </c>
      <c r="N202" s="201">
        <f t="shared" si="5"/>
        <v>0.21062784086660094</v>
      </c>
      <c r="O202" s="201">
        <f t="shared" si="5"/>
        <v>0.20785932811681207</v>
      </c>
      <c r="P202" s="201">
        <f t="shared" si="5"/>
        <v>0.20366638404306334</v>
      </c>
      <c r="Q202" s="201">
        <f t="shared" si="5"/>
        <v>0.19817698838181111</v>
      </c>
      <c r="R202" s="201">
        <f t="shared" si="5"/>
        <v>0.192156318071939</v>
      </c>
      <c r="S202" s="201">
        <f t="shared" si="5"/>
        <v>0.1856099551212981</v>
      </c>
      <c r="T202" s="201">
        <f t="shared" si="5"/>
        <v>0.1786020427573001</v>
      </c>
      <c r="U202" s="201">
        <f t="shared" si="5"/>
        <v>0.17173941846083099</v>
      </c>
      <c r="V202" s="201">
        <f t="shared" si="4"/>
        <v>0.16466529589478079</v>
      </c>
      <c r="W202" s="201">
        <f t="shared" si="4"/>
        <v>0.15753643030879558</v>
      </c>
      <c r="X202" s="201">
        <f t="shared" si="4"/>
        <v>0.1504046205920645</v>
      </c>
      <c r="Y202" s="201">
        <f t="shared" si="4"/>
        <v>0.14356599273482062</v>
      </c>
      <c r="Z202" s="201">
        <f t="shared" si="4"/>
        <v>0.13716239823433704</v>
      </c>
      <c r="AA202" s="201">
        <f t="shared" si="4"/>
        <v>0.13081440737283256</v>
      </c>
      <c r="AB202" s="201">
        <f t="shared" si="4"/>
        <v>0.12478368891666802</v>
      </c>
      <c r="AC202" s="201">
        <f t="shared" si="4"/>
        <v>0.11902019897350925</v>
      </c>
      <c r="AD202" s="201">
        <f t="shared" si="4"/>
        <v>0.11343468123288827</v>
      </c>
      <c r="AE202" s="201">
        <f t="shared" si="4"/>
        <v>0.1074398737202323</v>
      </c>
    </row>
    <row r="203" spans="1:31" s="221" customFormat="1" x14ac:dyDescent="0.25">
      <c r="A203" s="376"/>
      <c r="B203" s="376" t="s">
        <v>40</v>
      </c>
      <c r="C203"/>
      <c r="D203"/>
      <c r="E203"/>
      <c r="F203" s="201">
        <f>F167*EXP(F95)/(F$165*EXP(F$93)+F$166*EXP(F$94)+F$167*EXP(F$95)+F$168*EXP(F$96))</f>
        <v>0.76678780596336593</v>
      </c>
      <c r="G203" s="201">
        <f t="shared" si="4"/>
        <v>0.76605820099386213</v>
      </c>
      <c r="H203" s="201">
        <f t="shared" si="4"/>
        <v>0.76202489315237698</v>
      </c>
      <c r="I203" s="201">
        <f t="shared" si="4"/>
        <v>0.76111117295107833</v>
      </c>
      <c r="J203" s="201">
        <f t="shared" si="4"/>
        <v>0.76789665803530616</v>
      </c>
      <c r="K203" s="201">
        <f t="shared" si="4"/>
        <v>0.77296300985067823</v>
      </c>
      <c r="L203" s="201">
        <f t="shared" si="4"/>
        <v>0.77869946797762912</v>
      </c>
      <c r="M203" s="201">
        <f t="shared" si="4"/>
        <v>0.77527147310207267</v>
      </c>
      <c r="N203" s="201">
        <f t="shared" si="4"/>
        <v>0.76712815018885672</v>
      </c>
      <c r="O203" s="201">
        <f t="shared" si="4"/>
        <v>0.75476245253555863</v>
      </c>
      <c r="P203" s="201">
        <f t="shared" si="4"/>
        <v>0.73917468819681476</v>
      </c>
      <c r="Q203" s="201">
        <f t="shared" si="4"/>
        <v>0.72118810522106302</v>
      </c>
      <c r="R203" s="201">
        <f t="shared" si="4"/>
        <v>0.70073338234333049</v>
      </c>
      <c r="S203" s="201">
        <f t="shared" si="4"/>
        <v>0.67858254138322704</v>
      </c>
      <c r="T203" s="201">
        <f t="shared" si="4"/>
        <v>0.65536597125679774</v>
      </c>
      <c r="U203" s="201">
        <f t="shared" si="4"/>
        <v>0.63171290794686019</v>
      </c>
      <c r="V203" s="201">
        <f t="shared" si="4"/>
        <v>0.60802419446676137</v>
      </c>
      <c r="W203" s="201">
        <f t="shared" si="4"/>
        <v>0.58460944224429556</v>
      </c>
      <c r="X203" s="201">
        <f t="shared" si="4"/>
        <v>0.56166535478615864</v>
      </c>
      <c r="Y203" s="201">
        <f t="shared" si="4"/>
        <v>0.53950977483466867</v>
      </c>
      <c r="Z203" s="201">
        <f t="shared" si="4"/>
        <v>0.51838127769531162</v>
      </c>
      <c r="AA203" s="201">
        <f t="shared" si="4"/>
        <v>0.49800989402258838</v>
      </c>
      <c r="AB203" s="201">
        <f t="shared" si="4"/>
        <v>0.47862970572755198</v>
      </c>
      <c r="AC203" s="201">
        <f t="shared" si="4"/>
        <v>0.46019091645482113</v>
      </c>
      <c r="AD203" s="201">
        <f t="shared" si="4"/>
        <v>0.44256695181604999</v>
      </c>
      <c r="AE203" s="201">
        <f t="shared" si="4"/>
        <v>0.42495807729224822</v>
      </c>
    </row>
    <row r="204" spans="1:31" s="221" customFormat="1" x14ac:dyDescent="0.25">
      <c r="A204" s="376"/>
      <c r="B204" s="376" t="s">
        <v>29</v>
      </c>
      <c r="C204"/>
      <c r="D204"/>
      <c r="E204"/>
      <c r="F204" s="201">
        <f>F168*EXP(F96)/(F$165*EXP(F$93)+F$166*EXP(F$94)+F$167*EXP(F$95)+F$168*EXP(F$96))</f>
        <v>5.2899786420573245E-17</v>
      </c>
      <c r="G204" s="201">
        <f t="shared" si="4"/>
        <v>9.8810555047473513E-10</v>
      </c>
      <c r="H204" s="201">
        <f t="shared" si="4"/>
        <v>7.5107710050093501E-7</v>
      </c>
      <c r="I204" s="201">
        <f t="shared" si="4"/>
        <v>2.9113024906311308E-5</v>
      </c>
      <c r="J204" s="201">
        <f t="shared" si="4"/>
        <v>2.9618063269725694E-4</v>
      </c>
      <c r="K204" s="201">
        <f t="shared" si="4"/>
        <v>1.4466930485533055E-3</v>
      </c>
      <c r="L204" s="201">
        <f t="shared" si="4"/>
        <v>4.6356506974124505E-3</v>
      </c>
      <c r="M204" s="201">
        <f t="shared" si="4"/>
        <v>1.1071237535727949E-2</v>
      </c>
      <c r="N204" s="201">
        <f t="shared" si="4"/>
        <v>2.1712298338503022E-2</v>
      </c>
      <c r="O204" s="201">
        <f t="shared" si="4"/>
        <v>3.6861448536100162E-2</v>
      </c>
      <c r="P204" s="201">
        <f t="shared" si="4"/>
        <v>5.6661027844203349E-2</v>
      </c>
      <c r="Q204" s="201">
        <f t="shared" si="4"/>
        <v>8.0159500934335104E-2</v>
      </c>
      <c r="R204" s="201">
        <f t="shared" si="4"/>
        <v>0.10665794718465536</v>
      </c>
      <c r="S204" s="201">
        <f t="shared" si="4"/>
        <v>0.13537897793123424</v>
      </c>
      <c r="T204" s="201">
        <f t="shared" si="4"/>
        <v>0.16562801254038922</v>
      </c>
      <c r="U204" s="201">
        <f t="shared" si="4"/>
        <v>0.19616693173937749</v>
      </c>
      <c r="V204" s="201">
        <f t="shared" si="4"/>
        <v>0.22695316488072723</v>
      </c>
      <c r="W204" s="201">
        <f t="shared" si="4"/>
        <v>0.25751988023148553</v>
      </c>
      <c r="X204" s="201">
        <f t="shared" si="4"/>
        <v>0.28761846320207968</v>
      </c>
      <c r="Y204" s="201">
        <f t="shared" si="4"/>
        <v>0.31663402227925541</v>
      </c>
      <c r="Z204" s="201">
        <f t="shared" si="4"/>
        <v>0.34418576710324877</v>
      </c>
      <c r="AA204" s="201">
        <f t="shared" si="4"/>
        <v>0.37092435217537778</v>
      </c>
      <c r="AB204" s="201">
        <f t="shared" si="4"/>
        <v>0.39635323303837522</v>
      </c>
      <c r="AC204" s="201">
        <f t="shared" si="4"/>
        <v>0.42057243634679536</v>
      </c>
      <c r="AD204" s="201">
        <f t="shared" si="4"/>
        <v>0.44379806768613161</v>
      </c>
      <c r="AE204" s="201">
        <f t="shared" si="4"/>
        <v>0.46741872084608249</v>
      </c>
    </row>
    <row r="205" spans="1:31" s="221" customFormat="1" x14ac:dyDescent="0.25">
      <c r="A205" s="376"/>
      <c r="B205" s="376"/>
      <c r="C205"/>
      <c r="D205"/>
      <c r="E205"/>
      <c r="F205"/>
      <c r="G205"/>
      <c r="H205"/>
      <c r="I205"/>
      <c r="J205"/>
      <c r="K205"/>
      <c r="L205"/>
      <c r="M205"/>
      <c r="N205"/>
      <c r="O205"/>
      <c r="P205"/>
      <c r="Q205"/>
      <c r="R205"/>
      <c r="S205"/>
      <c r="T205"/>
      <c r="U205"/>
      <c r="V205"/>
      <c r="W205"/>
      <c r="X205"/>
      <c r="Y205"/>
      <c r="Z205"/>
      <c r="AA205"/>
      <c r="AB205"/>
      <c r="AC205"/>
      <c r="AD205"/>
      <c r="AE205"/>
    </row>
    <row r="206" spans="1:31" s="202" customFormat="1" ht="12.75" x14ac:dyDescent="0.2">
      <c r="A206" s="402" t="s">
        <v>42</v>
      </c>
      <c r="B206" s="402"/>
      <c r="C206" s="402"/>
      <c r="D206" s="402"/>
      <c r="E206" s="402"/>
      <c r="F206" s="402"/>
      <c r="G206" s="402"/>
      <c r="H206" s="402"/>
      <c r="I206" s="402"/>
      <c r="J206" s="402"/>
      <c r="K206" s="402"/>
      <c r="L206" s="402"/>
      <c r="M206" s="402"/>
      <c r="N206" s="402"/>
      <c r="O206" s="402"/>
      <c r="P206" s="402"/>
      <c r="Q206" s="402"/>
      <c r="R206" s="402"/>
      <c r="S206" s="402"/>
      <c r="T206" s="402"/>
      <c r="U206" s="402"/>
      <c r="V206" s="402"/>
      <c r="W206" s="402"/>
      <c r="X206" s="402"/>
      <c r="Y206" s="402"/>
      <c r="Z206" s="402"/>
      <c r="AA206" s="402"/>
      <c r="AB206" s="402"/>
      <c r="AC206" s="402"/>
      <c r="AD206" s="402"/>
      <c r="AE206" s="402"/>
    </row>
    <row r="207" spans="1:31" s="221" customFormat="1" x14ac:dyDescent="0.25">
      <c r="A207" s="376"/>
      <c r="B207" s="388" t="s">
        <v>43</v>
      </c>
      <c r="C207"/>
      <c r="D207"/>
      <c r="E207"/>
      <c r="F207" s="201">
        <f>F171*EXP(F99)/(F$171*EXP(F$99)+F$172*EXP(F$100)+F$173*EXP(F$101)+F$174*EXP(F$102)+F$175*EXP(F$103))</f>
        <v>6.0855060039765423E-3</v>
      </c>
      <c r="G207" s="201">
        <f t="shared" ref="G207:AE211" si="6">G171*EXP(G99)/(G$171*EXP(G$99)+G$172*EXP(G$100)+G$173*EXP(G$101)+G$174*EXP(G$102)+G$175*EXP(G$103))</f>
        <v>5.5658452578850708E-3</v>
      </c>
      <c r="H207" s="201">
        <f t="shared" si="6"/>
        <v>5.351318159674213E-3</v>
      </c>
      <c r="I207" s="201">
        <f t="shared" si="6"/>
        <v>5.231004852320368E-3</v>
      </c>
      <c r="J207" s="201">
        <f t="shared" si="6"/>
        <v>5.1526177476633678E-3</v>
      </c>
      <c r="K207" s="201">
        <f t="shared" si="6"/>
        <v>5.0989613830304129E-3</v>
      </c>
      <c r="L207" s="201">
        <f t="shared" si="6"/>
        <v>5.0572971525436267E-3</v>
      </c>
      <c r="M207" s="201">
        <f t="shared" si="6"/>
        <v>5.0256297219205938E-3</v>
      </c>
      <c r="N207" s="201">
        <f t="shared" si="6"/>
        <v>5.0006121148842919E-3</v>
      </c>
      <c r="O207" s="201">
        <f t="shared" si="6"/>
        <v>4.9808037508088081E-3</v>
      </c>
      <c r="P207" s="201">
        <f t="shared" si="6"/>
        <v>4.9638121879784199E-3</v>
      </c>
      <c r="Q207" s="201">
        <f t="shared" si="6"/>
        <v>4.9488530491543841E-3</v>
      </c>
      <c r="R207" s="201">
        <f t="shared" si="6"/>
        <v>4.9359098258240546E-3</v>
      </c>
      <c r="S207" s="201">
        <f t="shared" si="6"/>
        <v>4.9243803260271904E-3</v>
      </c>
      <c r="T207" s="201">
        <f t="shared" si="6"/>
        <v>4.9138370655144488E-3</v>
      </c>
      <c r="U207" s="201">
        <f t="shared" si="6"/>
        <v>4.9045049930299721E-3</v>
      </c>
      <c r="V207" s="201">
        <f t="shared" si="6"/>
        <v>4.8957028784049686E-3</v>
      </c>
      <c r="W207" s="201">
        <f t="shared" si="6"/>
        <v>4.8873426366163606E-3</v>
      </c>
      <c r="X207" s="201">
        <f t="shared" si="6"/>
        <v>4.8792812421955328E-3</v>
      </c>
      <c r="Y207" s="201">
        <f t="shared" si="6"/>
        <v>4.8716820926743305E-3</v>
      </c>
      <c r="Z207" s="201">
        <f t="shared" si="6"/>
        <v>4.8645948165096514E-3</v>
      </c>
      <c r="AA207" s="201">
        <f t="shared" si="6"/>
        <v>4.8575218196613406E-3</v>
      </c>
      <c r="AB207" s="201">
        <f t="shared" si="6"/>
        <v>4.850689410414586E-3</v>
      </c>
      <c r="AC207" s="201">
        <f t="shared" si="6"/>
        <v>4.8439983979734905E-3</v>
      </c>
      <c r="AD207" s="201">
        <f t="shared" si="6"/>
        <v>4.8373078005118069E-3</v>
      </c>
      <c r="AE207" s="201">
        <f t="shared" si="6"/>
        <v>4.8298353120512635E-3</v>
      </c>
    </row>
    <row r="208" spans="1:31" s="221" customFormat="1" x14ac:dyDescent="0.25">
      <c r="A208" s="376"/>
      <c r="B208" s="388" t="s">
        <v>44</v>
      </c>
      <c r="C208"/>
      <c r="D208"/>
      <c r="E208"/>
      <c r="F208" s="201">
        <f>F172*EXP(F100)/(F$171*EXP(F$99)+F$172*EXP(F$100)+F$173*EXP(F$101)+F$174*EXP(F$102)+F$175*EXP(F$103))</f>
        <v>0.58221017737122338</v>
      </c>
      <c r="G208" s="201">
        <f t="shared" ref="G208:U208" si="7">G172*EXP(G100)/(G$171*EXP(G$99)+G$172*EXP(G$100)+G$173*EXP(G$101)+G$174*EXP(G$102)+G$175*EXP(G$103))</f>
        <v>0.5327933117701138</v>
      </c>
      <c r="H208" s="201">
        <f t="shared" si="7"/>
        <v>0.51228773632945002</v>
      </c>
      <c r="I208" s="201">
        <f t="shared" si="7"/>
        <v>0.50095859453615765</v>
      </c>
      <c r="J208" s="201">
        <f t="shared" si="7"/>
        <v>0.4937835732317028</v>
      </c>
      <c r="K208" s="201">
        <f t="shared" si="7"/>
        <v>0.48891293539284958</v>
      </c>
      <c r="L208" s="201">
        <f t="shared" si="7"/>
        <v>0.48533119143857895</v>
      </c>
      <c r="M208" s="201">
        <f t="shared" si="7"/>
        <v>0.48265366524332243</v>
      </c>
      <c r="N208" s="201">
        <f t="shared" si="7"/>
        <v>0.48058730950333517</v>
      </c>
      <c r="O208" s="201">
        <f t="shared" si="7"/>
        <v>0.47897169396714978</v>
      </c>
      <c r="P208" s="201">
        <f t="shared" si="7"/>
        <v>0.47765381262638407</v>
      </c>
      <c r="Q208" s="201">
        <f t="shared" si="7"/>
        <v>0.47656739432103373</v>
      </c>
      <c r="R208" s="201">
        <f t="shared" si="7"/>
        <v>0.47566766505779279</v>
      </c>
      <c r="S208" s="201">
        <f t="shared" si="7"/>
        <v>0.47490967143738211</v>
      </c>
      <c r="T208" s="201">
        <f t="shared" si="7"/>
        <v>0.47426092850311669</v>
      </c>
      <c r="U208" s="201">
        <f t="shared" si="7"/>
        <v>0.47371453519771378</v>
      </c>
      <c r="V208" s="201">
        <f t="shared" si="6"/>
        <v>0.47323775990170291</v>
      </c>
      <c r="W208" s="201">
        <f t="shared" si="6"/>
        <v>0.47281944321770214</v>
      </c>
      <c r="X208" s="201">
        <f t="shared" si="6"/>
        <v>0.47244846809169616</v>
      </c>
      <c r="Y208" s="201">
        <f t="shared" si="6"/>
        <v>0.47212454238504648</v>
      </c>
      <c r="Z208" s="201">
        <f t="shared" si="6"/>
        <v>0.47184467278538716</v>
      </c>
      <c r="AA208" s="201">
        <f t="shared" si="6"/>
        <v>0.47159002125687111</v>
      </c>
      <c r="AB208" s="201">
        <f t="shared" si="6"/>
        <v>0.47136453967894554</v>
      </c>
      <c r="AC208" s="201">
        <f t="shared" si="6"/>
        <v>0.47116273592666413</v>
      </c>
      <c r="AD208" s="201">
        <f t="shared" si="6"/>
        <v>0.47097836216999178</v>
      </c>
      <c r="AE208" s="201">
        <f t="shared" si="6"/>
        <v>0.47078691816937812</v>
      </c>
    </row>
    <row r="209" spans="1:31" s="221" customFormat="1" x14ac:dyDescent="0.25">
      <c r="A209" s="376"/>
      <c r="B209" s="388" t="s">
        <v>45</v>
      </c>
      <c r="C209"/>
      <c r="D209"/>
      <c r="E209"/>
      <c r="F209" s="201">
        <f>F173*EXP(F101)/(F$171*EXP(F$99)+F$172*EXP(F$100)+F$173*EXP(F$101)+F$174*EXP(F$102)+F$175*EXP(F$103))</f>
        <v>3.1975430662490819E-3</v>
      </c>
      <c r="G209" s="201">
        <f t="shared" si="6"/>
        <v>2.9244925742668254E-3</v>
      </c>
      <c r="H209" s="201">
        <f t="shared" si="6"/>
        <v>2.8097636502097834E-3</v>
      </c>
      <c r="I209" s="201">
        <f t="shared" si="6"/>
        <v>2.745900398850705E-3</v>
      </c>
      <c r="J209" s="201">
        <f t="shared" si="6"/>
        <v>2.7052083155419487E-3</v>
      </c>
      <c r="K209" s="201">
        <f t="shared" si="6"/>
        <v>2.6770527707598597E-3</v>
      </c>
      <c r="L209" s="201">
        <f t="shared" si="6"/>
        <v>2.6562823466416024E-3</v>
      </c>
      <c r="M209" s="201">
        <f t="shared" si="6"/>
        <v>2.6403666758000872E-3</v>
      </c>
      <c r="N209" s="201">
        <f t="shared" si="6"/>
        <v>2.6277568567422633E-3</v>
      </c>
      <c r="O209" s="201">
        <f t="shared" si="6"/>
        <v>2.617531725211902E-3</v>
      </c>
      <c r="P209" s="201">
        <f t="shared" si="6"/>
        <v>2.6089987453273367E-3</v>
      </c>
      <c r="Q209" s="201">
        <f t="shared" si="6"/>
        <v>2.6018045007624715E-3</v>
      </c>
      <c r="R209" s="201">
        <f t="shared" si="6"/>
        <v>2.5956219289146052E-3</v>
      </c>
      <c r="S209" s="201">
        <f t="shared" si="6"/>
        <v>2.5902267109339668E-3</v>
      </c>
      <c r="T209" s="201">
        <f t="shared" si="6"/>
        <v>2.5854536514629801E-3</v>
      </c>
      <c r="U209" s="201">
        <f t="shared" si="6"/>
        <v>2.5812166463398557E-3</v>
      </c>
      <c r="V209" s="201">
        <f t="shared" si="6"/>
        <v>2.5773893000487595E-3</v>
      </c>
      <c r="W209" s="201">
        <f t="shared" si="6"/>
        <v>2.573903893943786E-3</v>
      </c>
      <c r="X209" s="201">
        <f t="shared" si="6"/>
        <v>2.5707015116214265E-3</v>
      </c>
      <c r="Y209" s="201">
        <f t="shared" si="6"/>
        <v>2.567755202721525E-3</v>
      </c>
      <c r="Z209" s="201">
        <f t="shared" si="6"/>
        <v>2.5650373863371949E-3</v>
      </c>
      <c r="AA209" s="201">
        <f t="shared" si="6"/>
        <v>2.5624856454111843E-3</v>
      </c>
      <c r="AB209" s="201">
        <f t="shared" si="6"/>
        <v>2.5600953037472132E-3</v>
      </c>
      <c r="AC209" s="201">
        <f t="shared" si="6"/>
        <v>2.5578412018559377E-3</v>
      </c>
      <c r="AD209" s="201">
        <f t="shared" si="6"/>
        <v>2.5556977338676888E-3</v>
      </c>
      <c r="AE209" s="201">
        <f t="shared" si="6"/>
        <v>2.5535927338828537E-3</v>
      </c>
    </row>
    <row r="210" spans="1:31" s="221" customFormat="1" x14ac:dyDescent="0.25">
      <c r="A210" s="376"/>
      <c r="B210" s="388" t="s">
        <v>46</v>
      </c>
      <c r="C210"/>
      <c r="D210"/>
      <c r="E210"/>
      <c r="F210" s="201">
        <f>F174*EXP(F102)/(F$171*EXP(F$99)+F$172*EXP(F$100)+F$173*EXP(F$101)+F$174*EXP(F$102)+F$175*EXP(F$103))</f>
        <v>0</v>
      </c>
      <c r="G210" s="201">
        <f t="shared" si="6"/>
        <v>0</v>
      </c>
      <c r="H210" s="201">
        <f t="shared" si="6"/>
        <v>0</v>
      </c>
      <c r="I210" s="201">
        <f t="shared" si="6"/>
        <v>0</v>
      </c>
      <c r="J210" s="201">
        <f t="shared" si="6"/>
        <v>0</v>
      </c>
      <c r="K210" s="201">
        <f t="shared" si="6"/>
        <v>0</v>
      </c>
      <c r="L210" s="201">
        <f t="shared" si="6"/>
        <v>0</v>
      </c>
      <c r="M210" s="201">
        <f t="shared" si="6"/>
        <v>0</v>
      </c>
      <c r="N210" s="201">
        <f t="shared" si="6"/>
        <v>0</v>
      </c>
      <c r="O210" s="201">
        <f t="shared" si="6"/>
        <v>0</v>
      </c>
      <c r="P210" s="201">
        <f t="shared" si="6"/>
        <v>0</v>
      </c>
      <c r="Q210" s="201">
        <f t="shared" si="6"/>
        <v>0</v>
      </c>
      <c r="R210" s="201">
        <f t="shared" si="6"/>
        <v>0</v>
      </c>
      <c r="S210" s="201">
        <f t="shared" si="6"/>
        <v>0</v>
      </c>
      <c r="T210" s="201">
        <f t="shared" si="6"/>
        <v>0</v>
      </c>
      <c r="U210" s="201">
        <f t="shared" si="6"/>
        <v>0</v>
      </c>
      <c r="V210" s="201">
        <f t="shared" si="6"/>
        <v>0</v>
      </c>
      <c r="W210" s="201">
        <f t="shared" si="6"/>
        <v>0</v>
      </c>
      <c r="X210" s="201">
        <f t="shared" si="6"/>
        <v>0</v>
      </c>
      <c r="Y210" s="201">
        <f t="shared" si="6"/>
        <v>0</v>
      </c>
      <c r="Z210" s="201">
        <f t="shared" si="6"/>
        <v>0</v>
      </c>
      <c r="AA210" s="201">
        <f t="shared" si="6"/>
        <v>0</v>
      </c>
      <c r="AB210" s="201">
        <f t="shared" si="6"/>
        <v>0</v>
      </c>
      <c r="AC210" s="201">
        <f t="shared" si="6"/>
        <v>0</v>
      </c>
      <c r="AD210" s="201">
        <f t="shared" si="6"/>
        <v>0</v>
      </c>
      <c r="AE210" s="201">
        <f t="shared" si="6"/>
        <v>0</v>
      </c>
    </row>
    <row r="211" spans="1:31" s="221" customFormat="1" x14ac:dyDescent="0.25">
      <c r="A211" s="376"/>
      <c r="B211" s="376" t="s">
        <v>29</v>
      </c>
      <c r="C211"/>
      <c r="D211"/>
      <c r="E211"/>
      <c r="F211" s="201">
        <f>F175*EXP(F103)/(F$171*EXP(F$99)+F$172*EXP(F$100)+F$173*EXP(F$101)+F$174*EXP(F$102)+F$175*EXP(F$103))</f>
        <v>0.40850677355855108</v>
      </c>
      <c r="G211" s="201">
        <f t="shared" si="6"/>
        <v>0.45871635039773428</v>
      </c>
      <c r="H211" s="201">
        <f t="shared" si="6"/>
        <v>0.47955118186066598</v>
      </c>
      <c r="I211" s="201">
        <f t="shared" si="6"/>
        <v>0.49106450021267123</v>
      </c>
      <c r="J211" s="201">
        <f t="shared" si="6"/>
        <v>0.4983586007050918</v>
      </c>
      <c r="K211" s="201">
        <f t="shared" si="6"/>
        <v>0.50331105045336011</v>
      </c>
      <c r="L211" s="201">
        <f t="shared" si="6"/>
        <v>0.50695522906223589</v>
      </c>
      <c r="M211" s="201">
        <f t="shared" si="6"/>
        <v>0.50968033835895687</v>
      </c>
      <c r="N211" s="201">
        <f t="shared" si="6"/>
        <v>0.51178432152503828</v>
      </c>
      <c r="O211" s="201">
        <f t="shared" si="6"/>
        <v>0.5134299705568296</v>
      </c>
      <c r="P211" s="201">
        <f t="shared" si="6"/>
        <v>0.51477337644031007</v>
      </c>
      <c r="Q211" s="201">
        <f t="shared" si="6"/>
        <v>0.51588194812904942</v>
      </c>
      <c r="R211" s="201">
        <f t="shared" si="6"/>
        <v>0.51680080318746846</v>
      </c>
      <c r="S211" s="201">
        <f t="shared" si="6"/>
        <v>0.51757572152565667</v>
      </c>
      <c r="T211" s="201">
        <f t="shared" si="6"/>
        <v>0.51823978077990596</v>
      </c>
      <c r="U211" s="201">
        <f t="shared" si="6"/>
        <v>0.51879974316291633</v>
      </c>
      <c r="V211" s="201">
        <f t="shared" si="6"/>
        <v>0.51928914791984337</v>
      </c>
      <c r="W211" s="201">
        <f t="shared" si="6"/>
        <v>0.51971931025173768</v>
      </c>
      <c r="X211" s="201">
        <f t="shared" si="6"/>
        <v>0.52010154915448692</v>
      </c>
      <c r="Y211" s="201">
        <f t="shared" si="6"/>
        <v>0.5204360203195576</v>
      </c>
      <c r="Z211" s="201">
        <f t="shared" si="6"/>
        <v>0.52072569501176602</v>
      </c>
      <c r="AA211" s="201">
        <f t="shared" si="6"/>
        <v>0.52098997127805646</v>
      </c>
      <c r="AB211" s="201">
        <f t="shared" si="6"/>
        <v>0.52122467560689267</v>
      </c>
      <c r="AC211" s="201">
        <f t="shared" si="6"/>
        <v>0.52143542447350655</v>
      </c>
      <c r="AD211" s="201">
        <f t="shared" si="6"/>
        <v>0.52162863229562884</v>
      </c>
      <c r="AE211" s="201">
        <f t="shared" si="6"/>
        <v>0.52182965378468782</v>
      </c>
    </row>
    <row r="212" spans="1:31" s="221" customFormat="1" x14ac:dyDescent="0.25">
      <c r="A212" s="376"/>
      <c r="B212" s="376"/>
      <c r="C212"/>
      <c r="D212"/>
      <c r="E212"/>
      <c r="F212"/>
      <c r="G212"/>
      <c r="H212"/>
      <c r="I212"/>
      <c r="J212"/>
      <c r="K212"/>
      <c r="L212"/>
      <c r="M212"/>
      <c r="N212"/>
      <c r="O212"/>
      <c r="P212"/>
      <c r="Q212"/>
      <c r="R212"/>
      <c r="S212"/>
      <c r="T212"/>
      <c r="U212"/>
      <c r="V212"/>
      <c r="W212"/>
      <c r="X212"/>
      <c r="Y212"/>
      <c r="Z212"/>
      <c r="AA212"/>
      <c r="AB212"/>
      <c r="AC212"/>
      <c r="AD212"/>
      <c r="AE212"/>
    </row>
    <row r="213" spans="1:31" s="202" customFormat="1" ht="12.75" x14ac:dyDescent="0.2">
      <c r="A213" s="402" t="s">
        <v>47</v>
      </c>
      <c r="B213" s="402"/>
      <c r="C213" s="402"/>
      <c r="D213" s="402"/>
      <c r="E213" s="402"/>
      <c r="F213" s="402"/>
      <c r="G213" s="402"/>
      <c r="H213" s="402"/>
      <c r="I213" s="402"/>
      <c r="J213" s="402"/>
      <c r="K213" s="402"/>
      <c r="L213" s="402"/>
      <c r="M213" s="402"/>
      <c r="N213" s="402"/>
      <c r="O213" s="402"/>
      <c r="P213" s="402"/>
      <c r="Q213" s="402"/>
      <c r="R213" s="402"/>
      <c r="S213" s="402"/>
      <c r="T213" s="402"/>
      <c r="U213" s="402"/>
      <c r="V213" s="402"/>
      <c r="W213" s="402"/>
      <c r="X213" s="402"/>
      <c r="Y213" s="402"/>
      <c r="Z213" s="402"/>
      <c r="AA213" s="402"/>
      <c r="AB213" s="402"/>
      <c r="AC213" s="402"/>
      <c r="AD213" s="402"/>
      <c r="AE213" s="402"/>
    </row>
    <row r="214" spans="1:31" s="221" customFormat="1" x14ac:dyDescent="0.25">
      <c r="A214" s="376"/>
      <c r="B214" s="376" t="s">
        <v>48</v>
      </c>
      <c r="C214"/>
      <c r="D214"/>
      <c r="E214"/>
      <c r="F214" s="374">
        <f>(1-F$218)*IF(F$3=Tech_Specs!$B$3,Tech_Specs!$AN34/SUM(Tech_Specs!$AN$34:$AN$37,Tech_Specs!$AN$39),#REF!/SUM(#REF!,#REF!))</f>
        <v>0.64384168268978381</v>
      </c>
      <c r="G214" s="374">
        <f>(1-G$218)*IF(G$3=Tech_Specs!$B$3,Tech_Specs!$AN34/SUM(Tech_Specs!$AN$34:$AN$37,Tech_Specs!$AN$39),F214/SUM(F$214:F$217,F$219))</f>
        <v>0.62563810876574077</v>
      </c>
      <c r="H214" s="374">
        <f>(1-H$218)*IF(H$3=Tech_Specs!$B$3,Tech_Specs!$AN34/SUM(Tech_Specs!$AN$34:$AN$37,Tech_Specs!$AN$39),G214/SUM(G$214:G$217,G$219))</f>
        <v>0.58900811964654098</v>
      </c>
      <c r="I214" s="374">
        <f>(1-I$218)*IF(I$3=Tech_Specs!$B$3,Tech_Specs!$AN34/SUM(Tech_Specs!$AN$34:$AN$37,Tech_Specs!$AN$39),H214/SUM(H$214:H$217,H$219))</f>
        <v>0.54809219269523979</v>
      </c>
      <c r="J214" s="374">
        <f>(1-J$218)*IF(J$3=Tech_Specs!$B$3,Tech_Specs!$AN34/SUM(Tech_Specs!$AN$34:$AN$37,Tech_Specs!$AN$39),I214/SUM(I$214:I$217,I$219))</f>
        <v>0.51046336731297581</v>
      </c>
      <c r="K214" s="374">
        <f>(1-K$218)*IF(K$3=Tech_Specs!$B$3,Tech_Specs!$AN34/SUM(Tech_Specs!$AN$34:$AN$37,Tech_Specs!$AN$39),J214/SUM(J$214:J$217,J$219))</f>
        <v>0.4794245192734139</v>
      </c>
      <c r="L214" s="374">
        <f>(1-L$218)*IF(L$3=Tech_Specs!$B$3,Tech_Specs!$AN34/SUM(Tech_Specs!$AN$34:$AN$37,Tech_Specs!$AN$39),K214/SUM(K$214:K$217,K$219))</f>
        <v>0.45263974303436538</v>
      </c>
      <c r="M214" s="374">
        <f>(1-M$218)*IF(M$3=Tech_Specs!$B$3,Tech_Specs!$AN34/SUM(Tech_Specs!$AN$34:$AN$37,Tech_Specs!$AN$39),L214/SUM(L$214:L$217,L$219))</f>
        <v>0.43116421904379165</v>
      </c>
      <c r="N214" s="374">
        <f>(1-N$218)*IF(N$3=Tech_Specs!$B$3,Tech_Specs!$AN34/SUM(Tech_Specs!$AN$34:$AN$37,Tech_Specs!$AN$39),M214/SUM(M$214:M$217,M$219))</f>
        <v>0.41382671163109963</v>
      </c>
      <c r="O214" s="374">
        <f>(1-O$218)*IF(O$3=Tech_Specs!$B$3,Tech_Specs!$AN34/SUM(Tech_Specs!$AN$34:$AN$37,Tech_Specs!$AN$39),N214/SUM(N$214:N$217,N$219))</f>
        <v>0.40021118440297787</v>
      </c>
      <c r="P214" s="374">
        <f>(1-P$218)*IF(P$3=Tech_Specs!$B$3,Tech_Specs!$AN34/SUM(Tech_Specs!$AN$34:$AN$37,Tech_Specs!$AN$39),O214/SUM(O$214:O$217,O$219))</f>
        <v>0.38846444440293559</v>
      </c>
      <c r="Q214" s="374">
        <f>(1-Q$218)*IF(Q$3=Tech_Specs!$B$3,Tech_Specs!$AN34/SUM(Tech_Specs!$AN$34:$AN$37,Tech_Specs!$AN$39),P214/SUM(P$214:P$217,P$219))</f>
        <v>0.37850866253344934</v>
      </c>
      <c r="R214" s="374">
        <f>(1-R$218)*IF(R$3=Tech_Specs!$B$3,Tech_Specs!$AN34/SUM(Tech_Specs!$AN$34:$AN$37,Tech_Specs!$AN$39),Q214/SUM(Q$214:Q$217,Q$219))</f>
        <v>0.37003302527029697</v>
      </c>
      <c r="S214" s="374">
        <f>(1-S$218)*IF(S$3=Tech_Specs!$B$3,Tech_Specs!$AN34/SUM(Tech_Specs!$AN$34:$AN$37,Tech_Specs!$AN$39),R214/SUM(R$214:R$217,R$219))</f>
        <v>0.36255126681545929</v>
      </c>
      <c r="T214" s="374">
        <f>(1-T$218)*IF(T$3=Tech_Specs!$B$3,Tech_Specs!$AN34/SUM(Tech_Specs!$AN$34:$AN$37,Tech_Specs!$AN$39),S214/SUM(S$214:S$217,S$219))</f>
        <v>0.3557156289701589</v>
      </c>
      <c r="U214" s="374">
        <f>(1-U$218)*IF(U$3=Tech_Specs!$B$3,Tech_Specs!$AN34/SUM(Tech_Specs!$AN$34:$AN$37,Tech_Specs!$AN$39),T214/SUM(T$214:T$217,T$219))</f>
        <v>0.34982905894876715</v>
      </c>
      <c r="V214" s="374">
        <f>(1-V$218)*IF(V$3=Tech_Specs!$B$3,Tech_Specs!$AN34/SUM(Tech_Specs!$AN$34:$AN$37,Tech_Specs!$AN$39),U214/SUM(U$214:U$217,U$219))</f>
        <v>0.34424049994765721</v>
      </c>
      <c r="W214" s="374">
        <f>(1-W$218)*IF(W$3=Tech_Specs!$B$3,Tech_Specs!$AN34/SUM(Tech_Specs!$AN$34:$AN$37,Tech_Specs!$AN$39),V214/SUM(V$214:V$217,V$219))</f>
        <v>0.33890466882826625</v>
      </c>
      <c r="X214" s="374">
        <f>(1-X$218)*IF(X$3=Tech_Specs!$B$3,Tech_Specs!$AN34/SUM(Tech_Specs!$AN$34:$AN$37,Tech_Specs!$AN$39),W214/SUM(W$214:W$217,W$219))</f>
        <v>0.333713651671383</v>
      </c>
      <c r="Y214" s="374">
        <f>(1-Y$218)*IF(Y$3=Tech_Specs!$B$3,Tech_Specs!$AN34/SUM(Tech_Specs!$AN$34:$AN$37,Tech_Specs!$AN$39),X214/SUM(X$214:X$217,X$219))</f>
        <v>0.32886217811201363</v>
      </c>
      <c r="Z214" s="374">
        <f>(1-Z$218)*IF(Z$3=Tech_Specs!$B$3,Tech_Specs!$AN34/SUM(Tech_Specs!$AN$34:$AN$37,Tech_Specs!$AN$39),Y214/SUM(Y$214:Y$217,Y$219))</f>
        <v>0.3244190921492241</v>
      </c>
      <c r="AA214" s="374">
        <f>(1-AA$218)*IF(AA$3=Tech_Specs!$B$3,Tech_Specs!$AN34/SUM(Tech_Specs!$AN$34:$AN$37,Tech_Specs!$AN$39),Z214/SUM(Z$214:Z$217,Z$219))</f>
        <v>0.31991054150925774</v>
      </c>
      <c r="AB214" s="374">
        <f>(1-AB$218)*IF(AB$3=Tech_Specs!$B$3,Tech_Specs!$AN34/SUM(Tech_Specs!$AN$34:$AN$37,Tech_Specs!$AN$39),AA214/SUM(AA$214:AA$217,AA$219))</f>
        <v>0.31557840213759719</v>
      </c>
      <c r="AC214" s="374">
        <f>(1-AC$218)*IF(AC$3=Tech_Specs!$B$3,Tech_Specs!$AN34/SUM(Tech_Specs!$AN$34:$AN$37,Tech_Specs!$AN$39),AB214/SUM(AB$214:AB$217,AB$219))</f>
        <v>0.31134016011739163</v>
      </c>
      <c r="AD214" s="374">
        <f>(1-AD$218)*IF(AD$3=Tech_Specs!$B$3,Tech_Specs!$AN34/SUM(Tech_Specs!$AN$34:$AN$37,Tech_Specs!$AN$39),AC214/SUM(AC$214:AC$217,AC$219))</f>
        <v>0.30707505628622844</v>
      </c>
      <c r="AE214" s="374">
        <f>(1-AE$218)*IF(AE$3=Tech_Specs!$B$3,Tech_Specs!$AN34/SUM(Tech_Specs!$AN$34:$AN$37,Tech_Specs!$AN$39),AD214/SUM(AD$214:AD$217,AD$219))</f>
        <v>0.30206924835533311</v>
      </c>
    </row>
    <row r="215" spans="1:31" s="221" customFormat="1" x14ac:dyDescent="0.25">
      <c r="A215" s="376"/>
      <c r="B215" s="388" t="s">
        <v>50</v>
      </c>
      <c r="C215"/>
      <c r="D215"/>
      <c r="E215"/>
      <c r="F215" s="374">
        <f>(1-F$218)*IF(F$3=Tech_Specs!$B$3,Tech_Specs!$AN35/SUM(Tech_Specs!$AN$34:$AN$37,Tech_Specs!$AN$39),#REF!/SUM(#REF!,#REF!))</f>
        <v>0.10867637768258097</v>
      </c>
      <c r="G215" s="374">
        <f>(1-G$218)*IF(G$3=Tech_Specs!$B$3,Tech_Specs!$AN35/SUM(Tech_Specs!$AN$34:$AN$37,Tech_Specs!$AN$39),F215/SUM(F$214:F$217,F$219))</f>
        <v>0.10560373027852143</v>
      </c>
      <c r="H215" s="374">
        <f>(1-H$218)*IF(H$3=Tech_Specs!$B$3,Tech_Specs!$AN35/SUM(Tech_Specs!$AN$34:$AN$37,Tech_Specs!$AN$39),G215/SUM(G$214:G$217,G$219))</f>
        <v>9.9420821282327987E-2</v>
      </c>
      <c r="I215" s="374">
        <f>(1-I$218)*IF(I$3=Tech_Specs!$B$3,Tech_Specs!$AN35/SUM(Tech_Specs!$AN$34:$AN$37,Tech_Specs!$AN$39),H215/SUM(H$214:H$217,H$219))</f>
        <v>9.2514473262088115E-2</v>
      </c>
      <c r="J215" s="374">
        <f>(1-J$218)*IF(J$3=Tech_Specs!$B$3,Tech_Specs!$AN35/SUM(Tech_Specs!$AN$34:$AN$37,Tech_Specs!$AN$39),I215/SUM(I$214:I$217,I$219))</f>
        <v>8.6162967062752546E-2</v>
      </c>
      <c r="K215" s="374">
        <f>(1-K$218)*IF(K$3=Tech_Specs!$B$3,Tech_Specs!$AN35/SUM(Tech_Specs!$AN$34:$AN$37,Tech_Specs!$AN$39),J215/SUM(J$214:J$217,J$219))</f>
        <v>8.0923807090556479E-2</v>
      </c>
      <c r="L215" s="374">
        <f>(1-L$218)*IF(L$3=Tech_Specs!$B$3,Tech_Specs!$AN35/SUM(Tech_Specs!$AN$34:$AN$37,Tech_Specs!$AN$39),K215/SUM(K$214:K$217,K$219))</f>
        <v>7.6402707359117111E-2</v>
      </c>
      <c r="M215" s="374">
        <f>(1-M$218)*IF(M$3=Tech_Specs!$B$3,Tech_Specs!$AN35/SUM(Tech_Specs!$AN$34:$AN$37,Tech_Specs!$AN$39),L215/SUM(L$214:L$217,L$219))</f>
        <v>7.2777775611329934E-2</v>
      </c>
      <c r="N215" s="374">
        <f>(1-N$218)*IF(N$3=Tech_Specs!$B$3,Tech_Specs!$AN35/SUM(Tech_Specs!$AN$34:$AN$37,Tech_Specs!$AN$39),M215/SUM(M$214:M$217,M$219))</f>
        <v>6.985131472146533E-2</v>
      </c>
      <c r="O215" s="374">
        <f>(1-O$218)*IF(O$3=Tech_Specs!$B$3,Tech_Specs!$AN35/SUM(Tech_Specs!$AN$34:$AN$37,Tech_Specs!$AN$39),N215/SUM(N$214:N$217,N$219))</f>
        <v>6.7553100394599871E-2</v>
      </c>
      <c r="P215" s="374">
        <f>(1-P$218)*IF(P$3=Tech_Specs!$B$3,Tech_Specs!$AN35/SUM(Tech_Specs!$AN$34:$AN$37,Tech_Specs!$AN$39),O215/SUM(O$214:O$217,O$219))</f>
        <v>6.5570325456123638E-2</v>
      </c>
      <c r="Q215" s="374">
        <f>(1-Q$218)*IF(Q$3=Tech_Specs!$B$3,Tech_Specs!$AN35/SUM(Tech_Specs!$AN$34:$AN$37,Tech_Specs!$AN$39),P215/SUM(P$214:P$217,P$219))</f>
        <v>6.388985284979351E-2</v>
      </c>
      <c r="R215" s="374">
        <f>(1-R$218)*IF(R$3=Tech_Specs!$B$3,Tech_Specs!$AN35/SUM(Tech_Specs!$AN$34:$AN$37,Tech_Specs!$AN$39),Q215/SUM(Q$214:Q$217,Q$219))</f>
        <v>6.2459219231195205E-2</v>
      </c>
      <c r="S215" s="374">
        <f>(1-S$218)*IF(S$3=Tech_Specs!$B$3,Tech_Specs!$AN35/SUM(Tech_Specs!$AN$34:$AN$37,Tech_Specs!$AN$39),R215/SUM(R$214:R$217,R$219))</f>
        <v>6.1196346028933861E-2</v>
      </c>
      <c r="T215" s="374">
        <f>(1-T$218)*IF(T$3=Tech_Specs!$B$3,Tech_Specs!$AN35/SUM(Tech_Specs!$AN$34:$AN$37,Tech_Specs!$AN$39),S215/SUM(S$214:S$217,S$219))</f>
        <v>6.0042533872700504E-2</v>
      </c>
      <c r="U215" s="374">
        <f>(1-U$218)*IF(U$3=Tech_Specs!$B$3,Tech_Specs!$AN35/SUM(Tech_Specs!$AN$34:$AN$37,Tech_Specs!$AN$39),T215/SUM(T$214:T$217,T$219))</f>
        <v>5.9048918323879374E-2</v>
      </c>
      <c r="V215" s="374">
        <f>(1-V$218)*IF(V$3=Tech_Specs!$B$3,Tech_Specs!$AN35/SUM(Tech_Specs!$AN$34:$AN$37,Tech_Specs!$AN$39),U215/SUM(U$214:U$217,U$219))</f>
        <v>5.8105605138301361E-2</v>
      </c>
      <c r="W215" s="374">
        <f>(1-W$218)*IF(W$3=Tech_Specs!$B$3,Tech_Specs!$AN35/SUM(Tech_Specs!$AN$34:$AN$37,Tech_Specs!$AN$39),V215/SUM(V$214:V$217,V$219))</f>
        <v>5.7204950810425544E-2</v>
      </c>
      <c r="X215" s="374">
        <f>(1-X$218)*IF(X$3=Tech_Specs!$B$3,Tech_Specs!$AN35/SUM(Tech_Specs!$AN$34:$AN$37,Tech_Specs!$AN$39),W215/SUM(W$214:W$217,W$219))</f>
        <v>5.6328740157611974E-2</v>
      </c>
      <c r="Y215" s="374">
        <f>(1-Y$218)*IF(Y$3=Tech_Specs!$B$3,Tech_Specs!$AN35/SUM(Tech_Specs!$AN$34:$AN$37,Tech_Specs!$AN$39),X215/SUM(X$214:X$217,X$219))</f>
        <v>5.5509842302703886E-2</v>
      </c>
      <c r="Z215" s="374">
        <f>(1-Z$218)*IF(Z$3=Tech_Specs!$B$3,Tech_Specs!$AN35/SUM(Tech_Specs!$AN$34:$AN$37,Tech_Specs!$AN$39),Y215/SUM(Y$214:Y$217,Y$219))</f>
        <v>5.4759877674519133E-2</v>
      </c>
      <c r="AA215" s="374">
        <f>(1-AA$218)*IF(AA$3=Tech_Specs!$B$3,Tech_Specs!$AN35/SUM(Tech_Specs!$AN$34:$AN$37,Tech_Specs!$AN$39),Z215/SUM(Z$214:Z$217,Z$219))</f>
        <v>5.3998863025540425E-2</v>
      </c>
      <c r="AB215" s="374">
        <f>(1-AB$218)*IF(AB$3=Tech_Specs!$B$3,Tech_Specs!$AN35/SUM(Tech_Specs!$AN$34:$AN$37,Tech_Specs!$AN$39),AA215/SUM(AA$214:AA$217,AA$219))</f>
        <v>5.3267625475710956E-2</v>
      </c>
      <c r="AC215" s="374">
        <f>(1-AC$218)*IF(AC$3=Tech_Specs!$B$3,Tech_Specs!$AN35/SUM(Tech_Specs!$AN$34:$AN$37,Tech_Specs!$AN$39),AB215/SUM(AB$214:AB$217,AB$219))</f>
        <v>5.2552237201106224E-2</v>
      </c>
      <c r="AD215" s="374">
        <f>(1-AD$218)*IF(AD$3=Tech_Specs!$B$3,Tech_Specs!$AN35/SUM(Tech_Specs!$AN$34:$AN$37,Tech_Specs!$AN$39),AC215/SUM(AC$214:AC$217,AC$219))</f>
        <v>5.1832314823799942E-2</v>
      </c>
      <c r="AE215" s="374">
        <f>(1-AE$218)*IF(AE$3=Tech_Specs!$B$3,Tech_Specs!$AN35/SUM(Tech_Specs!$AN$34:$AN$37,Tech_Specs!$AN$39),AD215/SUM(AD$214:AD$217,AD$219))</f>
        <v>5.0987366309389201E-2</v>
      </c>
    </row>
    <row r="216" spans="1:31" s="221" customFormat="1" x14ac:dyDescent="0.25">
      <c r="A216" s="376"/>
      <c r="B216" s="376" t="s">
        <v>51</v>
      </c>
      <c r="C216"/>
      <c r="D216"/>
      <c r="E216"/>
      <c r="F216" s="374">
        <f>(1-F$218)*IF(F$3=Tech_Specs!$B$3,Tech_Specs!$AN36/SUM(Tech_Specs!$AN$34:$AN$37,Tech_Specs!$AN$39),#REF!/SUM(#REF!,#REF!))</f>
        <v>0.11236632607079791</v>
      </c>
      <c r="G216" s="374">
        <f>(1-G$218)*IF(G$3=Tech_Specs!$B$3,Tech_Specs!$AN36/SUM(Tech_Specs!$AN$34:$AN$37,Tech_Specs!$AN$39),F216/SUM(F$214:F$217,F$219))</f>
        <v>0.10918935139177817</v>
      </c>
      <c r="H216" s="374">
        <f>(1-H$218)*IF(H$3=Tech_Specs!$B$3,Tech_Specs!$AN36/SUM(Tech_Specs!$AN$34:$AN$37,Tech_Specs!$AN$39),G216/SUM(G$214:G$217,G$219))</f>
        <v>0.1027965107105995</v>
      </c>
      <c r="I216" s="374">
        <f>(1-I$218)*IF(I$3=Tech_Specs!$B$3,Tech_Specs!$AN36/SUM(Tech_Specs!$AN$34:$AN$37,Tech_Specs!$AN$39),H216/SUM(H$214:H$217,H$219))</f>
        <v>9.5655667685196843E-2</v>
      </c>
      <c r="J216" s="374">
        <f>(1-J$218)*IF(J$3=Tech_Specs!$B$3,Tech_Specs!$AN36/SUM(Tech_Specs!$AN$34:$AN$37,Tech_Specs!$AN$39),I216/SUM(I$214:I$217,I$219))</f>
        <v>8.9088505327984513E-2</v>
      </c>
      <c r="K216" s="374">
        <f>(1-K$218)*IF(K$3=Tech_Specs!$B$3,Tech_Specs!$AN36/SUM(Tech_Specs!$AN$34:$AN$37,Tech_Specs!$AN$39),J216/SUM(J$214:J$217,J$219))</f>
        <v>8.3671457296697269E-2</v>
      </c>
      <c r="L216" s="374">
        <f>(1-L$218)*IF(L$3=Tech_Specs!$B$3,Tech_Specs!$AN36/SUM(Tech_Specs!$AN$34:$AN$37,Tech_Specs!$AN$39),K216/SUM(K$214:K$217,K$219))</f>
        <v>7.8996850197578419E-2</v>
      </c>
      <c r="M216" s="374">
        <f>(1-M$218)*IF(M$3=Tech_Specs!$B$3,Tech_Specs!$AN36/SUM(Tech_Specs!$AN$34:$AN$37,Tech_Specs!$AN$39),L216/SUM(L$214:L$217,L$219))</f>
        <v>7.524883916296396E-2</v>
      </c>
      <c r="N216" s="374">
        <f>(1-N$218)*IF(N$3=Tech_Specs!$B$3,Tech_Specs!$AN36/SUM(Tech_Specs!$AN$34:$AN$37,Tech_Specs!$AN$39),M216/SUM(M$214:M$217,M$219))</f>
        <v>7.2223014548672734E-2</v>
      </c>
      <c r="O216" s="374">
        <f>(1-O$218)*IF(O$3=Tech_Specs!$B$3,Tech_Specs!$AN36/SUM(Tech_Specs!$AN$34:$AN$37,Tech_Specs!$AN$39),N216/SUM(N$214:N$217,N$219))</f>
        <v>6.984676769595366E-2</v>
      </c>
      <c r="P216" s="374">
        <f>(1-P$218)*IF(P$3=Tech_Specs!$B$3,Tech_Specs!$AN36/SUM(Tech_Specs!$AN$34:$AN$37,Tech_Specs!$AN$39),O216/SUM(O$214:O$217,O$219))</f>
        <v>6.7796670517406107E-2</v>
      </c>
      <c r="Q216" s="374">
        <f>(1-Q$218)*IF(Q$3=Tech_Specs!$B$3,Tech_Specs!$AN36/SUM(Tech_Specs!$AN$34:$AN$37,Tech_Specs!$AN$39),P216/SUM(P$214:P$217,P$219))</f>
        <v>6.6059139907143585E-2</v>
      </c>
      <c r="R216" s="374">
        <f>(1-R$218)*IF(R$3=Tech_Specs!$B$3,Tech_Specs!$AN36/SUM(Tech_Specs!$AN$34:$AN$37,Tech_Specs!$AN$39),Q216/SUM(Q$214:Q$217,Q$219))</f>
        <v>6.4579931204174185E-2</v>
      </c>
      <c r="S216" s="374">
        <f>(1-S$218)*IF(S$3=Tech_Specs!$B$3,Tech_Specs!$AN36/SUM(Tech_Specs!$AN$34:$AN$37,Tech_Specs!$AN$39),R216/SUM(R$214:R$217,R$219))</f>
        <v>6.3274178978553988E-2</v>
      </c>
      <c r="T216" s="374">
        <f>(1-T$218)*IF(T$3=Tech_Specs!$B$3,Tech_Specs!$AN36/SUM(Tech_Specs!$AN$34:$AN$37,Tech_Specs!$AN$39),S216/SUM(S$214:S$217,S$219))</f>
        <v>6.2081190808204359E-2</v>
      </c>
      <c r="U216" s="374">
        <f>(1-U$218)*IF(U$3=Tech_Specs!$B$3,Tech_Specs!$AN36/SUM(Tech_Specs!$AN$34:$AN$37,Tech_Specs!$AN$39),T216/SUM(T$214:T$217,T$219))</f>
        <v>6.1053838488144975E-2</v>
      </c>
      <c r="V216" s="374">
        <f>(1-V$218)*IF(V$3=Tech_Specs!$B$3,Tech_Specs!$AN36/SUM(Tech_Specs!$AN$34:$AN$37,Tech_Specs!$AN$39),U216/SUM(U$214:U$217,U$219))</f>
        <v>6.0078496474932741E-2</v>
      </c>
      <c r="W216" s="374">
        <f>(1-W$218)*IF(W$3=Tech_Specs!$B$3,Tech_Specs!$AN36/SUM(Tech_Specs!$AN$34:$AN$37,Tech_Specs!$AN$39),V216/SUM(V$214:V$217,V$219))</f>
        <v>5.9147261738909787E-2</v>
      </c>
      <c r="X216" s="374">
        <f>(1-X$218)*IF(X$3=Tech_Specs!$B$3,Tech_Specs!$AN36/SUM(Tech_Specs!$AN$34:$AN$37,Tech_Specs!$AN$39),W216/SUM(W$214:W$217,W$219))</f>
        <v>5.824130062739459E-2</v>
      </c>
      <c r="Y216" s="374">
        <f>(1-Y$218)*IF(Y$3=Tech_Specs!$B$3,Tech_Specs!$AN36/SUM(Tech_Specs!$AN$34:$AN$37,Tech_Specs!$AN$39),X216/SUM(X$214:X$217,X$219))</f>
        <v>5.7394598286504658E-2</v>
      </c>
      <c r="Z216" s="374">
        <f>(1-Z$218)*IF(Z$3=Tech_Specs!$B$3,Tech_Specs!$AN36/SUM(Tech_Specs!$AN$34:$AN$37,Tech_Specs!$AN$39),Y216/SUM(Y$214:Y$217,Y$219))</f>
        <v>5.6619169699822197E-2</v>
      </c>
      <c r="AA216" s="374">
        <f>(1-AA$218)*IF(AA$3=Tech_Specs!$B$3,Tech_Specs!$AN36/SUM(Tech_Specs!$AN$34:$AN$37,Tech_Specs!$AN$39),Z216/SUM(Z$214:Z$217,Z$219))</f>
        <v>5.5832315904956513E-2</v>
      </c>
      <c r="AB216" s="374">
        <f>(1-AB$218)*IF(AB$3=Tech_Specs!$B$3,Tech_Specs!$AN36/SUM(Tech_Specs!$AN$34:$AN$37,Tech_Specs!$AN$39),AA216/SUM(AA$214:AA$217,AA$219))</f>
        <v>5.5076250247345623E-2</v>
      </c>
      <c r="AC216" s="374">
        <f>(1-AC$218)*IF(AC$3=Tech_Specs!$B$3,Tech_Specs!$AN36/SUM(Tech_Specs!$AN$34:$AN$37,Tech_Specs!$AN$39),AB216/SUM(AB$214:AB$217,AB$219))</f>
        <v>5.4336572004054812E-2</v>
      </c>
      <c r="AD216" s="374">
        <f>(1-AD$218)*IF(AD$3=Tech_Specs!$B$3,Tech_Specs!$AN36/SUM(Tech_Specs!$AN$34:$AN$37,Tech_Specs!$AN$39),AC216/SUM(AC$214:AC$217,AC$219))</f>
        <v>5.3592205709197822E-2</v>
      </c>
      <c r="AE216" s="374">
        <f>(1-AE$218)*IF(AE$3=Tech_Specs!$B$3,Tech_Specs!$AN36/SUM(Tech_Specs!$AN$34:$AN$37,Tech_Specs!$AN$39),AD216/SUM(AD$214:AD$217,AD$219))</f>
        <v>5.2718568196539618E-2</v>
      </c>
    </row>
    <row r="217" spans="1:31" s="221" customFormat="1" x14ac:dyDescent="0.25">
      <c r="A217" s="376"/>
      <c r="B217" s="376" t="s">
        <v>52</v>
      </c>
      <c r="C217"/>
      <c r="D217"/>
      <c r="E217"/>
      <c r="F217" s="374">
        <f>(1-F$218)*IF(F$3=Tech_Specs!$B$3,Tech_Specs!$AN37/SUM(Tech_Specs!$AN$34:$AN$37,Tech_Specs!$AN$39),#REF!/SUM(#REF!,#REF!))</f>
        <v>0.12886380387489357</v>
      </c>
      <c r="G217" s="374">
        <f>(1-G$218)*IF(G$3=Tech_Specs!$B$3,Tech_Specs!$AN37/SUM(Tech_Specs!$AN$34:$AN$37,Tech_Specs!$AN$39),F217/SUM(F$214:F$217,F$219))</f>
        <v>0.12522038990677331</v>
      </c>
      <c r="H217" s="374">
        <f>(1-H$218)*IF(H$3=Tech_Specs!$B$3,Tech_Specs!$AN37/SUM(Tech_Specs!$AN$34:$AN$37,Tech_Specs!$AN$39),G217/SUM(G$214:G$217,G$219))</f>
        <v>0.11788896067392822</v>
      </c>
      <c r="I217" s="374">
        <f>(1-I$218)*IF(I$3=Tech_Specs!$B$3,Tech_Specs!$AN37/SUM(Tech_Specs!$AN$34:$AN$37,Tech_Specs!$AN$39),H217/SUM(H$214:H$217,H$219))</f>
        <v>0.10969970836583808</v>
      </c>
      <c r="J217" s="374">
        <f>(1-J$218)*IF(J$3=Tech_Specs!$B$3,Tech_Specs!$AN37/SUM(Tech_Specs!$AN$34:$AN$37,Tech_Specs!$AN$39),I217/SUM(I$214:I$217,I$219))</f>
        <v>0.10216836377527819</v>
      </c>
      <c r="K217" s="374">
        <f>(1-K$218)*IF(K$3=Tech_Specs!$B$3,Tech_Specs!$AN37/SUM(Tech_Specs!$AN$34:$AN$37,Tech_Specs!$AN$39),J217/SUM(J$214:J$217,J$219))</f>
        <v>9.5955991799666435E-2</v>
      </c>
      <c r="L217" s="374">
        <f>(1-L$218)*IF(L$3=Tech_Specs!$B$3,Tech_Specs!$AN37/SUM(Tech_Specs!$AN$34:$AN$37,Tech_Specs!$AN$39),K217/SUM(K$214:K$217,K$219))</f>
        <v>9.0595064967961603E-2</v>
      </c>
      <c r="M217" s="374">
        <f>(1-M$218)*IF(M$3=Tech_Specs!$B$3,Tech_Specs!$AN37/SUM(Tech_Specs!$AN$34:$AN$37,Tech_Specs!$AN$39),L217/SUM(L$214:L$217,L$219))</f>
        <v>8.6296775829441716E-2</v>
      </c>
      <c r="N217" s="374">
        <f>(1-N$218)*IF(N$3=Tech_Specs!$B$3,Tech_Specs!$AN37/SUM(Tech_Specs!$AN$34:$AN$37,Tech_Specs!$AN$39),M217/SUM(M$214:M$217,M$219))</f>
        <v>8.2826703581905775E-2</v>
      </c>
      <c r="O217" s="374">
        <f>(1-O$218)*IF(O$3=Tech_Specs!$B$3,Tech_Specs!$AN37/SUM(Tech_Specs!$AN$34:$AN$37,Tech_Specs!$AN$39),N217/SUM(N$214:N$217,N$219))</f>
        <v>8.0101579257789393E-2</v>
      </c>
      <c r="P217" s="374">
        <f>(1-P$218)*IF(P$3=Tech_Specs!$B$3,Tech_Specs!$AN37/SUM(Tech_Specs!$AN$34:$AN$37,Tech_Specs!$AN$39),O217/SUM(O$214:O$217,O$219))</f>
        <v>7.7750489478682683E-2</v>
      </c>
      <c r="Q217" s="374">
        <f>(1-Q$218)*IF(Q$3=Tech_Specs!$B$3,Tech_Specs!$AN37/SUM(Tech_Specs!$AN$34:$AN$37,Tech_Specs!$AN$39),P217/SUM(P$214:P$217,P$219))</f>
        <v>7.5757856884764649E-2</v>
      </c>
      <c r="R217" s="374">
        <f>(1-R$218)*IF(R$3=Tech_Specs!$B$3,Tech_Specs!$AN37/SUM(Tech_Specs!$AN$34:$AN$37,Tech_Specs!$AN$39),Q217/SUM(Q$214:Q$217,Q$219))</f>
        <v>7.4061472684489343E-2</v>
      </c>
      <c r="S217" s="374">
        <f>(1-S$218)*IF(S$3=Tech_Specs!$B$3,Tech_Specs!$AN37/SUM(Tech_Specs!$AN$34:$AN$37,Tech_Specs!$AN$39),R217/SUM(R$214:R$217,R$219))</f>
        <v>7.256401161589919E-2</v>
      </c>
      <c r="T217" s="374">
        <f>(1-T$218)*IF(T$3=Tech_Specs!$B$3,Tech_Specs!$AN37/SUM(Tech_Specs!$AN$34:$AN$37,Tech_Specs!$AN$39),S217/SUM(S$214:S$217,S$219))</f>
        <v>7.1195870474467363E-2</v>
      </c>
      <c r="U217" s="374">
        <f>(1-U$218)*IF(U$3=Tech_Specs!$B$3,Tech_Specs!$AN37/SUM(Tech_Specs!$AN$34:$AN$37,Tech_Specs!$AN$39),T217/SUM(T$214:T$217,T$219))</f>
        <v>7.0017683623371629E-2</v>
      </c>
      <c r="V217" s="374">
        <f>(1-V$218)*IF(V$3=Tech_Specs!$B$3,Tech_Specs!$AN37/SUM(Tech_Specs!$AN$34:$AN$37,Tech_Specs!$AN$39),U217/SUM(U$214:U$217,U$219))</f>
        <v>6.8899143164708465E-2</v>
      </c>
      <c r="W217" s="374">
        <f>(1-W$218)*IF(W$3=Tech_Specs!$B$3,Tech_Specs!$AN37/SUM(Tech_Specs!$AN$34:$AN$37,Tech_Specs!$AN$39),V217/SUM(V$214:V$217,V$219))</f>
        <v>6.7831185756287535E-2</v>
      </c>
      <c r="X217" s="374">
        <f>(1-X$218)*IF(X$3=Tech_Specs!$B$3,Tech_Specs!$AN37/SUM(Tech_Specs!$AN$34:$AN$37,Tech_Specs!$AN$39),W217/SUM(W$214:W$217,W$219))</f>
        <v>6.679221261304337E-2</v>
      </c>
      <c r="Y217" s="374">
        <f>(1-Y$218)*IF(Y$3=Tech_Specs!$B$3,Tech_Specs!$AN37/SUM(Tech_Specs!$AN$34:$AN$37,Tech_Specs!$AN$39),X217/SUM(X$214:X$217,X$219))</f>
        <v>6.5821198536031481E-2</v>
      </c>
      <c r="Z217" s="374">
        <f>(1-Z$218)*IF(Z$3=Tech_Specs!$B$3,Tech_Specs!$AN37/SUM(Tech_Specs!$AN$34:$AN$37,Tech_Specs!$AN$39),Y217/SUM(Y$214:Y$217,Y$219))</f>
        <v>6.4931922533092004E-2</v>
      </c>
      <c r="AA217" s="374">
        <f>(1-AA$218)*IF(AA$3=Tech_Specs!$B$3,Tech_Specs!$AN37/SUM(Tech_Specs!$AN$34:$AN$37,Tech_Specs!$AN$39),Z217/SUM(Z$214:Z$217,Z$219))</f>
        <v>6.4029543887768117E-2</v>
      </c>
      <c r="AB217" s="374">
        <f>(1-AB$218)*IF(AB$3=Tech_Specs!$B$3,Tech_Specs!$AN37/SUM(Tech_Specs!$AN$34:$AN$37,Tech_Specs!$AN$39),AA217/SUM(AA$214:AA$217,AA$219))</f>
        <v>6.3162473653955137E-2</v>
      </c>
      <c r="AC217" s="374">
        <f>(1-AC$218)*IF(AC$3=Tech_Specs!$B$3,Tech_Specs!$AN37/SUM(Tech_Specs!$AN$34:$AN$37,Tech_Specs!$AN$39),AB217/SUM(AB$214:AB$217,AB$219))</f>
        <v>6.2314196813312531E-2</v>
      </c>
      <c r="AD217" s="374">
        <f>(1-AD$218)*IF(AD$3=Tech_Specs!$B$3,Tech_Specs!$AN37/SUM(Tech_Specs!$AN$34:$AN$37,Tech_Specs!$AN$39),AC217/SUM(AC$214:AC$217,AC$219))</f>
        <v>6.1460543627471997E-2</v>
      </c>
      <c r="AE217" s="374">
        <f>(1-AE$218)*IF(AE$3=Tech_Specs!$B$3,Tech_Specs!$AN37/SUM(Tech_Specs!$AN$34:$AN$37,Tech_Specs!$AN$39),AD217/SUM(AD$214:AD$217,AD$219))</f>
        <v>6.0458639791815726E-2</v>
      </c>
    </row>
    <row r="218" spans="1:31" s="221" customFormat="1" x14ac:dyDescent="0.25">
      <c r="A218" s="376"/>
      <c r="B218" s="388" t="s">
        <v>29</v>
      </c>
      <c r="C218"/>
      <c r="D218"/>
      <c r="E218"/>
      <c r="F218" s="201">
        <f>EXP(F$110)/(EXP(F$106)+EXP(F$107)+EXP(F$108)+EXP(F$109)+EXP(F$110)+EXP(F$111))</f>
        <v>1.705691784032222E-3</v>
      </c>
      <c r="G218" s="201">
        <f t="shared" ref="G218:AE218" si="8">EXP(G$110)/(EXP(G$106)+EXP(G$107)+EXP(G$108)+EXP(G$109)+EXP(G$110)+EXP(G$111))</f>
        <v>2.9930835831310086E-2</v>
      </c>
      <c r="H218" s="201">
        <f t="shared" si="8"/>
        <v>8.6726645470321662E-2</v>
      </c>
      <c r="I218" s="201">
        <f t="shared" si="8"/>
        <v>0.15016792007096738</v>
      </c>
      <c r="J218" s="201">
        <f t="shared" si="8"/>
        <v>0.20851245291797466</v>
      </c>
      <c r="K218" s="201">
        <f t="shared" si="8"/>
        <v>0.25663904391783826</v>
      </c>
      <c r="L218" s="201">
        <f t="shared" si="8"/>
        <v>0.29816957911800146</v>
      </c>
      <c r="M218" s="201">
        <f t="shared" si="8"/>
        <v>0.33146797209588325</v>
      </c>
      <c r="N218" s="201">
        <f t="shared" si="8"/>
        <v>0.35835025610153382</v>
      </c>
      <c r="O218" s="201">
        <f t="shared" si="8"/>
        <v>0.37946150705131504</v>
      </c>
      <c r="P218" s="201">
        <f t="shared" si="8"/>
        <v>0.39767515179880064</v>
      </c>
      <c r="Q218" s="201">
        <f t="shared" si="8"/>
        <v>0.41311186650889276</v>
      </c>
      <c r="R218" s="201">
        <f t="shared" si="8"/>
        <v>0.42625357613378034</v>
      </c>
      <c r="S218" s="201">
        <f t="shared" si="8"/>
        <v>0.43785424922115773</v>
      </c>
      <c r="T218" s="201">
        <f t="shared" si="8"/>
        <v>0.44845309446131115</v>
      </c>
      <c r="U218" s="201">
        <f t="shared" si="8"/>
        <v>0.457580383832698</v>
      </c>
      <c r="V218" s="201">
        <f t="shared" si="8"/>
        <v>0.46624559888778644</v>
      </c>
      <c r="W218" s="201">
        <f t="shared" si="8"/>
        <v>0.47451895238337893</v>
      </c>
      <c r="X218" s="201">
        <f t="shared" si="8"/>
        <v>0.48256776783117417</v>
      </c>
      <c r="Y218" s="201">
        <f t="shared" si="8"/>
        <v>0.4900901115547821</v>
      </c>
      <c r="Z218" s="201">
        <f t="shared" si="8"/>
        <v>0.49697923903257579</v>
      </c>
      <c r="AA218" s="201">
        <f t="shared" si="8"/>
        <v>0.50396987130009008</v>
      </c>
      <c r="AB218" s="201">
        <f t="shared" si="8"/>
        <v>0.51068697302463117</v>
      </c>
      <c r="AC218" s="201">
        <f t="shared" si="8"/>
        <v>0.51725848431283639</v>
      </c>
      <c r="AD218" s="201">
        <f t="shared" si="8"/>
        <v>0.5238716455807001</v>
      </c>
      <c r="AE218" s="201">
        <f t="shared" si="8"/>
        <v>0.53163328900918716</v>
      </c>
    </row>
    <row r="219" spans="1:31" s="221" customFormat="1" x14ac:dyDescent="0.25">
      <c r="A219" s="376"/>
      <c r="B219" s="388" t="s">
        <v>53</v>
      </c>
      <c r="C219"/>
      <c r="D219"/>
      <c r="E219"/>
      <c r="F219" s="374">
        <f>(1-F$218)*IF(F$3=Tech_Specs!$B$3,Tech_Specs!$AN39/SUM(Tech_Specs!$AN$34:$AN$37,Tech_Specs!$AN$39),#REF!/SUM(#REF!,#REF!))</f>
        <v>4.5461178979114194E-3</v>
      </c>
      <c r="G219" s="374">
        <f>(1-G$218)*IF(G$3=Tech_Specs!$B$3,Tech_Specs!$AN39/SUM(Tech_Specs!$AN$34:$AN$37,Tech_Specs!$AN$39),F219/SUM(F$214:F$217,F$219))</f>
        <v>4.4175838258763232E-3</v>
      </c>
      <c r="H219" s="374">
        <f>(1-H$218)*IF(H$3=Tech_Specs!$B$3,Tech_Specs!$AN39/SUM(Tech_Specs!$AN$34:$AN$37,Tech_Specs!$AN$39),G219/SUM(G$214:G$217,G$219))</f>
        <v>4.158942216281547E-3</v>
      </c>
      <c r="I219" s="374">
        <f>(1-I$218)*IF(I$3=Tech_Specs!$B$3,Tech_Specs!$AN39/SUM(Tech_Specs!$AN$34:$AN$37,Tech_Specs!$AN$39),H219/SUM(H$214:H$217,H$219))</f>
        <v>3.8700379206698431E-3</v>
      </c>
      <c r="J219" s="374">
        <f>(1-J$218)*IF(J$3=Tech_Specs!$B$3,Tech_Specs!$AN39/SUM(Tech_Specs!$AN$34:$AN$37,Tech_Specs!$AN$39),I219/SUM(I$214:I$217,I$219))</f>
        <v>3.6043436030341264E-3</v>
      </c>
      <c r="K219" s="374">
        <f>(1-K$218)*IF(K$3=Tech_Specs!$B$3,Tech_Specs!$AN39/SUM(Tech_Specs!$AN$34:$AN$37,Tech_Specs!$AN$39),J219/SUM(J$214:J$217,J$219))</f>
        <v>3.3851806218277774E-3</v>
      </c>
      <c r="L219" s="374">
        <f>(1-L$218)*IF(L$3=Tech_Specs!$B$3,Tech_Specs!$AN39/SUM(Tech_Specs!$AN$34:$AN$37,Tech_Specs!$AN$39),K219/SUM(K$214:K$217,K$219))</f>
        <v>3.196055322976071E-3</v>
      </c>
      <c r="M219" s="374">
        <f>(1-M$218)*IF(M$3=Tech_Specs!$B$3,Tech_Specs!$AN39/SUM(Tech_Specs!$AN$34:$AN$37,Tech_Specs!$AN$39),L219/SUM(L$214:L$217,L$219))</f>
        <v>3.0444182565893432E-3</v>
      </c>
      <c r="N219" s="374">
        <f>(1-N$218)*IF(N$3=Tech_Specs!$B$3,Tech_Specs!$AN39/SUM(Tech_Specs!$AN$34:$AN$37,Tech_Specs!$AN$39),M219/SUM(M$214:M$217,M$219))</f>
        <v>2.921999415322759E-3</v>
      </c>
      <c r="O219" s="374">
        <f>(1-O$218)*IF(O$3=Tech_Specs!$B$3,Tech_Specs!$AN39/SUM(Tech_Specs!$AN$34:$AN$37,Tech_Specs!$AN$39),N219/SUM(N$214:N$217,N$219))</f>
        <v>2.8258611973641552E-3</v>
      </c>
      <c r="P219" s="374">
        <f>(1-P$218)*IF(P$3=Tech_Specs!$B$3,Tech_Specs!$AN39/SUM(Tech_Specs!$AN$34:$AN$37,Tech_Specs!$AN$39),O219/SUM(O$214:O$217,O$219))</f>
        <v>2.7429183460513824E-3</v>
      </c>
      <c r="Q219" s="374">
        <f>(1-Q$218)*IF(Q$3=Tech_Specs!$B$3,Tech_Specs!$AN39/SUM(Tech_Specs!$AN$34:$AN$37,Tech_Specs!$AN$39),P219/SUM(P$214:P$217,P$219))</f>
        <v>2.6726213159562048E-3</v>
      </c>
      <c r="R219" s="374">
        <f>(1-R$218)*IF(R$3=Tech_Specs!$B$3,Tech_Specs!$AN39/SUM(Tech_Specs!$AN$34:$AN$37,Tech_Specs!$AN$39),Q219/SUM(Q$214:Q$217,Q$219))</f>
        <v>2.6127754760639356E-3</v>
      </c>
      <c r="S219" s="374">
        <f>(1-S$218)*IF(S$3=Tech_Specs!$B$3,Tech_Specs!$AN39/SUM(Tech_Specs!$AN$34:$AN$37,Tech_Specs!$AN$39),R219/SUM(R$214:R$217,R$219))</f>
        <v>2.5599473399959332E-3</v>
      </c>
      <c r="T219" s="374">
        <f>(1-T$218)*IF(T$3=Tech_Specs!$B$3,Tech_Specs!$AN39/SUM(Tech_Specs!$AN$34:$AN$37,Tech_Specs!$AN$39),S219/SUM(S$214:S$217,S$219))</f>
        <v>2.5116814131576209E-3</v>
      </c>
      <c r="U219" s="374">
        <f>(1-U$218)*IF(U$3=Tech_Specs!$B$3,Tech_Specs!$AN39/SUM(Tech_Specs!$AN$34:$AN$37,Tech_Specs!$AN$39),T219/SUM(T$214:T$217,T$219))</f>
        <v>2.4701167831390146E-3</v>
      </c>
      <c r="V219" s="374">
        <f>(1-V$218)*IF(V$3=Tech_Specs!$B$3,Tech_Specs!$AN39/SUM(Tech_Specs!$AN$34:$AN$37,Tech_Specs!$AN$39),U219/SUM(U$214:U$217,U$219))</f>
        <v>2.4306563866136766E-3</v>
      </c>
      <c r="W219" s="374">
        <f>(1-W$218)*IF(W$3=Tech_Specs!$B$3,Tech_Specs!$AN39/SUM(Tech_Specs!$AN$34:$AN$37,Tech_Specs!$AN$39),V219/SUM(V$214:V$217,V$219))</f>
        <v>2.392980482731909E-3</v>
      </c>
      <c r="X219" s="374">
        <f>(1-X$218)*IF(X$3=Tech_Specs!$B$3,Tech_Specs!$AN39/SUM(Tech_Specs!$AN$34:$AN$37,Tech_Specs!$AN$39),W219/SUM(W$214:W$217,W$219))</f>
        <v>2.3563270993928825E-3</v>
      </c>
      <c r="Y219" s="374">
        <f>(1-Y$218)*IF(Y$3=Tech_Specs!$B$3,Tech_Specs!$AN39/SUM(Tech_Specs!$AN$34:$AN$37,Tech_Specs!$AN$39),X219/SUM(X$214:X$217,X$219))</f>
        <v>2.3220712079641821E-3</v>
      </c>
      <c r="Z219" s="374">
        <f>(1-Z$218)*IF(Z$3=Tech_Specs!$B$3,Tech_Specs!$AN39/SUM(Tech_Specs!$AN$34:$AN$37,Tech_Specs!$AN$39),Y219/SUM(Y$214:Y$217,Y$219))</f>
        <v>2.2906989107668156E-3</v>
      </c>
      <c r="AA219" s="374">
        <f>(1-AA$218)*IF(AA$3=Tech_Specs!$B$3,Tech_Specs!$AN39/SUM(Tech_Specs!$AN$34:$AN$37,Tech_Specs!$AN$39),Z219/SUM(Z$214:Z$217,Z$219))</f>
        <v>2.2588643723871894E-3</v>
      </c>
      <c r="AB219" s="374">
        <f>(1-AB$218)*IF(AB$3=Tech_Specs!$B$3,Tech_Specs!$AN39/SUM(Tech_Specs!$AN$34:$AN$37,Tech_Specs!$AN$39),AA219/SUM(AA$214:AA$217,AA$219))</f>
        <v>2.2282754607599164E-3</v>
      </c>
      <c r="AC219" s="374">
        <f>(1-AC$218)*IF(AC$3=Tech_Specs!$B$3,Tech_Specs!$AN39/SUM(Tech_Specs!$AN$34:$AN$37,Tech_Specs!$AN$39),AB219/SUM(AB$214:AB$217,AB$219))</f>
        <v>2.1983495512983816E-3</v>
      </c>
      <c r="AD219" s="374">
        <f>(1-AD$218)*IF(AD$3=Tech_Specs!$B$3,Tech_Specs!$AN39/SUM(Tech_Specs!$AN$34:$AN$37,Tech_Specs!$AN$39),AC219/SUM(AC$214:AC$217,AC$219))</f>
        <v>2.1682339726016172E-3</v>
      </c>
      <c r="AE219" s="374">
        <f>(1-AE$218)*IF(AE$3=Tech_Specs!$B$3,Tech_Specs!$AN39/SUM(Tech_Specs!$AN$34:$AN$37,Tech_Specs!$AN$39),AD219/SUM(AD$214:AD$217,AD$219))</f>
        <v>2.132888337735173E-3</v>
      </c>
    </row>
    <row r="220" spans="1:31" s="221" customFormat="1" x14ac:dyDescent="0.25">
      <c r="A220"/>
      <c r="B220"/>
      <c r="C220"/>
      <c r="D220"/>
      <c r="E220"/>
      <c r="F220"/>
      <c r="G220"/>
      <c r="H220"/>
      <c r="I220"/>
      <c r="J220"/>
      <c r="K220"/>
      <c r="L220"/>
      <c r="M220"/>
      <c r="N220"/>
      <c r="O220"/>
      <c r="P220"/>
      <c r="Q220"/>
      <c r="R220"/>
      <c r="S220"/>
      <c r="T220"/>
      <c r="U220"/>
      <c r="V220"/>
      <c r="W220"/>
      <c r="X220"/>
      <c r="Y220"/>
      <c r="Z220"/>
      <c r="AA220"/>
      <c r="AB220"/>
      <c r="AC220"/>
      <c r="AD220"/>
      <c r="AE220"/>
    </row>
    <row r="221" spans="1:31" x14ac:dyDescent="0.25">
      <c r="A221" s="398" t="s">
        <v>212</v>
      </c>
      <c r="B221" s="399"/>
      <c r="C221" s="398"/>
      <c r="D221" s="399"/>
      <c r="E221" s="399"/>
      <c r="F221" s="1055" t="s">
        <v>693</v>
      </c>
      <c r="G221" s="409"/>
      <c r="H221" s="409"/>
      <c r="I221" s="409"/>
      <c r="J221" s="409"/>
      <c r="K221" s="409"/>
      <c r="L221" s="409"/>
      <c r="M221" s="409"/>
      <c r="N221" s="409"/>
      <c r="O221" s="409"/>
      <c r="P221" s="409"/>
      <c r="Q221" s="409"/>
      <c r="R221" s="409"/>
      <c r="S221" s="409"/>
      <c r="T221" s="409"/>
      <c r="U221" s="409"/>
      <c r="V221" s="409"/>
      <c r="W221" s="409"/>
      <c r="X221" s="409"/>
      <c r="Y221" s="409"/>
      <c r="Z221" s="409"/>
      <c r="AA221" s="409"/>
      <c r="AB221" s="409"/>
      <c r="AC221" s="409"/>
      <c r="AD221" s="409"/>
      <c r="AE221" s="409"/>
    </row>
    <row r="222" spans="1:31" x14ac:dyDescent="0.25">
      <c r="A222" s="378" t="s">
        <v>12</v>
      </c>
      <c r="B222" s="376"/>
    </row>
    <row r="223" spans="1:31" x14ac:dyDescent="0.25">
      <c r="A223" s="376"/>
      <c r="B223" s="376" t="s">
        <v>20</v>
      </c>
    </row>
    <row r="224" spans="1:31" s="202" customFormat="1" ht="12.75" x14ac:dyDescent="0.2">
      <c r="A224" s="402" t="s">
        <v>21</v>
      </c>
      <c r="B224" s="402"/>
      <c r="C224" s="402"/>
      <c r="D224" s="402"/>
      <c r="E224" s="402"/>
      <c r="F224" s="402"/>
      <c r="G224" s="402"/>
      <c r="H224" s="402"/>
      <c r="I224" s="402"/>
      <c r="J224" s="402"/>
      <c r="K224" s="402"/>
      <c r="L224" s="402"/>
      <c r="M224" s="402"/>
      <c r="N224" s="402"/>
      <c r="O224" s="402"/>
      <c r="P224" s="402"/>
      <c r="Q224" s="402"/>
      <c r="R224" s="402"/>
      <c r="S224" s="402"/>
      <c r="T224" s="402"/>
      <c r="U224" s="402"/>
      <c r="V224" s="402"/>
      <c r="W224" s="402"/>
      <c r="X224" s="402"/>
      <c r="Y224" s="402"/>
      <c r="Z224" s="402"/>
      <c r="AA224" s="402"/>
      <c r="AB224" s="402"/>
      <c r="AC224" s="402"/>
      <c r="AD224" s="402"/>
      <c r="AE224" s="402"/>
    </row>
    <row r="225" spans="1:31" s="221" customFormat="1" x14ac:dyDescent="0.25">
      <c r="A225" s="376"/>
      <c r="B225" s="376" t="s">
        <v>22</v>
      </c>
      <c r="C225"/>
      <c r="D225" s="201"/>
      <c r="E225" s="201"/>
      <c r="F225" s="201">
        <f>IF(OR(SUMIF(Tech_Specs!$D$9:$D$12,"&lt;"&amp;Tech_Specs!$D9,F$189:F$192)=0,F117=0),0,F262*(1/F117-1)/SUMIF(Tech_Specs!$D$9:$D$12,"&lt;"&amp;Tech_Specs!$D9,F$189:F$192))</f>
        <v>0</v>
      </c>
      <c r="G225" s="201">
        <f>IF(OR(SUMIF(Tech_Specs!$D$9:$D$12,"&lt;"&amp;Tech_Specs!$D9,G$189:G$192)=0,G117=0),0,G262*(1/G117-1)/SUMIF(Tech_Specs!$D$9:$D$12,"&lt;"&amp;Tech_Specs!$D9,G$189:G$192))</f>
        <v>0</v>
      </c>
      <c r="H225" s="201">
        <f>IF(OR(SUMIF(Tech_Specs!$D$9:$D$12,"&lt;"&amp;Tech_Specs!$D9,H$189:H$192)=0,H117=0),0,H262*(1/H117-1)/SUMIF(Tech_Specs!$D$9:$D$12,"&lt;"&amp;Tech_Specs!$D9,H$189:H$192))</f>
        <v>0</v>
      </c>
      <c r="I225" s="201">
        <f>IF(OR(SUMIF(Tech_Specs!$D$9:$D$12,"&lt;"&amp;Tech_Specs!$D9,I$189:I$192)=0,I117=0),0,I262*(1/I117-1)/SUMIF(Tech_Specs!$D$9:$D$12,"&lt;"&amp;Tech_Specs!$D9,I$189:I$192))</f>
        <v>0</v>
      </c>
      <c r="J225" s="201">
        <f>IF(OR(SUMIF(Tech_Specs!$D$9:$D$12,"&lt;"&amp;Tech_Specs!$D9,J$189:J$192)=0,J117=0),0,J262*(1/J117-1)/SUMIF(Tech_Specs!$D$9:$D$12,"&lt;"&amp;Tech_Specs!$D9,J$189:J$192))</f>
        <v>0</v>
      </c>
      <c r="K225" s="201">
        <f>IF(OR(SUMIF(Tech_Specs!$D$9:$D$12,"&lt;"&amp;Tech_Specs!$D9,K$189:K$192)=0,K117=0),0,K262*(1/K117-1)/SUMIF(Tech_Specs!$D$9:$D$12,"&lt;"&amp;Tech_Specs!$D9,K$189:K$192))</f>
        <v>0</v>
      </c>
      <c r="L225" s="201">
        <f>IF(OR(SUMIF(Tech_Specs!$D$9:$D$12,"&lt;"&amp;Tech_Specs!$D9,L$189:L$192)=0,L117=0),0,L262*(1/L117-1)/SUMIF(Tech_Specs!$D$9:$D$12,"&lt;"&amp;Tech_Specs!$D9,L$189:L$192))</f>
        <v>0</v>
      </c>
      <c r="M225" s="201">
        <f>IF(OR(SUMIF(Tech_Specs!$D$9:$D$12,"&lt;"&amp;Tech_Specs!$D9,M$189:M$192)=0,M117=0),0,M262*(1/M117-1)/SUMIF(Tech_Specs!$D$9:$D$12,"&lt;"&amp;Tech_Specs!$D9,M$189:M$192))</f>
        <v>0</v>
      </c>
      <c r="N225" s="201">
        <f>IF(OR(SUMIF(Tech_Specs!$D$9:$D$12,"&lt;"&amp;Tech_Specs!$D9,N$189:N$192)=0,N117=0),0,N262*(1/N117-1)/SUMIF(Tech_Specs!$D$9:$D$12,"&lt;"&amp;Tech_Specs!$D9,N$189:N$192))</f>
        <v>0</v>
      </c>
      <c r="O225" s="201">
        <f>IF(OR(SUMIF(Tech_Specs!$D$9:$D$12,"&lt;"&amp;Tech_Specs!$D9,O$189:O$192)=0,O117=0),0,O262*(1/O117-1)/SUMIF(Tech_Specs!$D$9:$D$12,"&lt;"&amp;Tech_Specs!$D9,O$189:O$192))</f>
        <v>0</v>
      </c>
      <c r="P225" s="201">
        <f>IF(OR(SUMIF(Tech_Specs!$D$9:$D$12,"&lt;"&amp;Tech_Specs!$D9,P$189:P$192)=0,P117=0),0,P262*(1/P117-1)/SUMIF(Tech_Specs!$D$9:$D$12,"&lt;"&amp;Tech_Specs!$D9,P$189:P$192))</f>
        <v>0</v>
      </c>
      <c r="Q225" s="201">
        <f>IF(OR(SUMIF(Tech_Specs!$D$9:$D$12,"&lt;"&amp;Tech_Specs!$D9,Q$189:Q$192)=0,Q117=0),0,Q262*(1/Q117-1)/SUMIF(Tech_Specs!$D$9:$D$12,"&lt;"&amp;Tech_Specs!$D9,Q$189:Q$192))</f>
        <v>0</v>
      </c>
      <c r="R225" s="201">
        <f>IF(OR(SUMIF(Tech_Specs!$D$9:$D$12,"&lt;"&amp;Tech_Specs!$D9,R$189:R$192)=0,R117=0),0,R262*(1/R117-1)/SUMIF(Tech_Specs!$D$9:$D$12,"&lt;"&amp;Tech_Specs!$D9,R$189:R$192))</f>
        <v>0</v>
      </c>
      <c r="S225" s="201">
        <f>IF(OR(SUMIF(Tech_Specs!$D$9:$D$12,"&lt;"&amp;Tech_Specs!$D9,S$189:S$192)=0,S117=0),0,S262*(1/S117-1)/SUMIF(Tech_Specs!$D$9:$D$12,"&lt;"&amp;Tech_Specs!$D9,S$189:S$192))</f>
        <v>0</v>
      </c>
      <c r="T225" s="201">
        <f>IF(OR(SUMIF(Tech_Specs!$D$9:$D$12,"&lt;"&amp;Tech_Specs!$D9,T$189:T$192)=0,T117=0),0,T262*(1/T117-1)/SUMIF(Tech_Specs!$D$9:$D$12,"&lt;"&amp;Tech_Specs!$D9,T$189:T$192))</f>
        <v>0</v>
      </c>
      <c r="U225" s="201">
        <f>IF(OR(SUMIF(Tech_Specs!$D$9:$D$12,"&lt;"&amp;Tech_Specs!$D9,U$189:U$192)=0,U117=0),0,U262*(1/U117-1)/SUMIF(Tech_Specs!$D$9:$D$12,"&lt;"&amp;Tech_Specs!$D9,U$189:U$192))</f>
        <v>0</v>
      </c>
      <c r="V225" s="201">
        <f>IF(OR(SUMIF(Tech_Specs!$D$9:$D$12,"&lt;"&amp;Tech_Specs!$D9,V$189:V$192)=0,V117=0),0,V262*(1/V117-1)/SUMIF(Tech_Specs!$D$9:$D$12,"&lt;"&amp;Tech_Specs!$D9,V$189:V$192))</f>
        <v>0</v>
      </c>
      <c r="W225" s="201">
        <f>IF(OR(SUMIF(Tech_Specs!$D$9:$D$12,"&lt;"&amp;Tech_Specs!$D9,W$189:W$192)=0,W117=0),0,W262*(1/W117-1)/SUMIF(Tech_Specs!$D$9:$D$12,"&lt;"&amp;Tech_Specs!$D9,W$189:W$192))</f>
        <v>0</v>
      </c>
      <c r="X225" s="201">
        <f>IF(OR(SUMIF(Tech_Specs!$D$9:$D$12,"&lt;"&amp;Tech_Specs!$D9,X$189:X$192)=0,X117=0),0,X262*(1/X117-1)/SUMIF(Tech_Specs!$D$9:$D$12,"&lt;"&amp;Tech_Specs!$D9,X$189:X$192))</f>
        <v>0</v>
      </c>
      <c r="Y225" s="201">
        <f>IF(OR(SUMIF(Tech_Specs!$D$9:$D$12,"&lt;"&amp;Tech_Specs!$D9,Y$189:Y$192)=0,Y117=0),0,Y262*(1/Y117-1)/SUMIF(Tech_Specs!$D$9:$D$12,"&lt;"&amp;Tech_Specs!$D9,Y$189:Y$192))</f>
        <v>0</v>
      </c>
      <c r="Z225" s="201">
        <f>IF(OR(SUMIF(Tech_Specs!$D$9:$D$12,"&lt;"&amp;Tech_Specs!$D9,Z$189:Z$192)=0,Z117=0),0,Z262*(1/Z117-1)/SUMIF(Tech_Specs!$D$9:$D$12,"&lt;"&amp;Tech_Specs!$D9,Z$189:Z$192))</f>
        <v>0</v>
      </c>
      <c r="AA225" s="201">
        <f>IF(OR(SUMIF(Tech_Specs!$D$9:$D$12,"&lt;"&amp;Tech_Specs!$D9,AA$189:AA$192)=0,AA117=0),0,AA262*(1/AA117-1)/SUMIF(Tech_Specs!$D$9:$D$12,"&lt;"&amp;Tech_Specs!$D9,AA$189:AA$192))</f>
        <v>0</v>
      </c>
      <c r="AB225" s="201">
        <f>IF(OR(SUMIF(Tech_Specs!$D$9:$D$12,"&lt;"&amp;Tech_Specs!$D9,AB$189:AB$192)=0,AB117=0),0,AB262*(1/AB117-1)/SUMIF(Tech_Specs!$D$9:$D$12,"&lt;"&amp;Tech_Specs!$D9,AB$189:AB$192))</f>
        <v>0</v>
      </c>
      <c r="AC225" s="201">
        <f>IF(OR(SUMIF(Tech_Specs!$D$9:$D$12,"&lt;"&amp;Tech_Specs!$D9,AC$189:AC$192)=0,AC117=0),0,AC262*(1/AC117-1)/SUMIF(Tech_Specs!$D$9:$D$12,"&lt;"&amp;Tech_Specs!$D9,AC$189:AC$192))</f>
        <v>0</v>
      </c>
      <c r="AD225" s="201">
        <f>IF(OR(SUMIF(Tech_Specs!$D$9:$D$12,"&lt;"&amp;Tech_Specs!$D9,AD$189:AD$192)=0,AD117=0),0,AD262*(1/AD117-1)/SUMIF(Tech_Specs!$D$9:$D$12,"&lt;"&amp;Tech_Specs!$D9,AD$189:AD$192))</f>
        <v>0</v>
      </c>
      <c r="AE225" s="201">
        <f>IF(OR(SUMIF(Tech_Specs!$D$9:$D$12,"&lt;"&amp;Tech_Specs!$D9,AE$189:AE$192)=0,AE117=0),0,AE262*(1/AE117-1)/SUMIF(Tech_Specs!$D$9:$D$12,"&lt;"&amp;Tech_Specs!$D9,AE$189:AE$192))</f>
        <v>0</v>
      </c>
    </row>
    <row r="226" spans="1:31" s="221" customFormat="1" x14ac:dyDescent="0.25">
      <c r="A226" s="376"/>
      <c r="B226" s="376" t="s">
        <v>26</v>
      </c>
      <c r="C226"/>
      <c r="D226" s="201"/>
      <c r="E226" s="201"/>
      <c r="F226" s="201">
        <f ca="1">IF(OR(SUMIF(Tech_Specs!$D$9:$D$12,"&lt;"&amp;Tech_Specs!$D10,F$189:F$192)=0,F118=0),0,F263*(1/F118-1)/SUMIF(Tech_Specs!$D$9:$D$12,"&lt;"&amp;Tech_Specs!$D10,F$189:F$192))</f>
        <v>1.1011170183763495E-6</v>
      </c>
      <c r="G226" s="201">
        <f ca="1">IF(OR(SUMIF(Tech_Specs!$D$9:$D$12,"&lt;"&amp;Tech_Specs!$D10,G$189:G$192)=0,G118=0),0,G263*(1/G118-1)/SUMIF(Tech_Specs!$D$9:$D$12,"&lt;"&amp;Tech_Specs!$D10,G$189:G$192))</f>
        <v>8.090602816098087E-7</v>
      </c>
      <c r="H226" s="201">
        <f ca="1">IF(OR(SUMIF(Tech_Specs!$D$9:$D$12,"&lt;"&amp;Tech_Specs!$D10,H$189:H$192)=0,H118=0),0,H263*(1/H118-1)/SUMIF(Tech_Specs!$D$9:$D$12,"&lt;"&amp;Tech_Specs!$D10,H$189:H$192))</f>
        <v>2.8581125276390949E-6</v>
      </c>
      <c r="I226" s="201">
        <f ca="1">IF(OR(SUMIF(Tech_Specs!$D$9:$D$12,"&lt;"&amp;Tech_Specs!$D10,I$189:I$192)=0,I118=0),0,I263*(1/I118-1)/SUMIF(Tech_Specs!$D$9:$D$12,"&lt;"&amp;Tech_Specs!$D10,I$189:I$192))</f>
        <v>9.3700809268108713E-6</v>
      </c>
      <c r="J226" s="201">
        <f ca="1">IF(OR(SUMIF(Tech_Specs!$D$9:$D$12,"&lt;"&amp;Tech_Specs!$D10,J$189:J$192)=0,J118=0),0,J263*(1/J118-1)/SUMIF(Tech_Specs!$D$9:$D$12,"&lt;"&amp;Tech_Specs!$D10,J$189:J$192))</f>
        <v>1.3763395982584063E-5</v>
      </c>
      <c r="K226" s="201">
        <f ca="1">IF(OR(SUMIF(Tech_Specs!$D$9:$D$12,"&lt;"&amp;Tech_Specs!$D10,K$189:K$192)=0,K118=0),0,K263*(1/K118-1)/SUMIF(Tech_Specs!$D$9:$D$12,"&lt;"&amp;Tech_Specs!$D10,K$189:K$192))</f>
        <v>1.6758280748656471E-5</v>
      </c>
      <c r="L226" s="201">
        <f ca="1">IF(OR(SUMIF(Tech_Specs!$D$9:$D$12,"&lt;"&amp;Tech_Specs!$D10,L$189:L$192)=0,L118=0),0,L263*(1/L118-1)/SUMIF(Tech_Specs!$D$9:$D$12,"&lt;"&amp;Tech_Specs!$D10,L$189:L$192))</f>
        <v>3.5570838908307262E-5</v>
      </c>
      <c r="M226" s="201">
        <f ca="1">IF(OR(SUMIF(Tech_Specs!$D$9:$D$12,"&lt;"&amp;Tech_Specs!$D10,M$189:M$192)=0,M118=0),0,M263*(1/M118-1)/SUMIF(Tech_Specs!$D$9:$D$12,"&lt;"&amp;Tech_Specs!$D10,M$189:M$192))</f>
        <v>2.7062465999400407E-5</v>
      </c>
      <c r="N226" s="201">
        <f ca="1">IF(OR(SUMIF(Tech_Specs!$D$9:$D$12,"&lt;"&amp;Tech_Specs!$D10,N$189:N$192)=0,N118=0),0,N263*(1/N118-1)/SUMIF(Tech_Specs!$D$9:$D$12,"&lt;"&amp;Tech_Specs!$D10,N$189:N$192))</f>
        <v>2.0664967048551962E-5</v>
      </c>
      <c r="O226" s="201">
        <f ca="1">IF(OR(SUMIF(Tech_Specs!$D$9:$D$12,"&lt;"&amp;Tech_Specs!$D10,O$189:O$192)=0,O118=0),0,O263*(1/O118-1)/SUMIF(Tech_Specs!$D$9:$D$12,"&lt;"&amp;Tech_Specs!$D10,O$189:O$192))</f>
        <v>1.5717417940757864E-5</v>
      </c>
      <c r="P226" s="201">
        <f ca="1">IF(OR(SUMIF(Tech_Specs!$D$9:$D$12,"&lt;"&amp;Tech_Specs!$D10,P$189:P$192)=0,P118=0),0,P263*(1/P118-1)/SUMIF(Tech_Specs!$D$9:$D$12,"&lt;"&amp;Tech_Specs!$D10,P$189:P$192))</f>
        <v>1.1927156047844654E-5</v>
      </c>
      <c r="Q226" s="201">
        <f ca="1">IF(OR(SUMIF(Tech_Specs!$D$9:$D$12,"&lt;"&amp;Tech_Specs!$D10,Q$189:Q$192)=0,Q118=0),0,Q263*(1/Q118-1)/SUMIF(Tech_Specs!$D$9:$D$12,"&lt;"&amp;Tech_Specs!$D10,Q$189:Q$192))</f>
        <v>9.0081342202267035E-6</v>
      </c>
      <c r="R226" s="201">
        <f ca="1">IF(OR(SUMIF(Tech_Specs!$D$9:$D$12,"&lt;"&amp;Tech_Specs!$D10,R$189:R$192)=0,R118=0),0,R263*(1/R118-1)/SUMIF(Tech_Specs!$D$9:$D$12,"&lt;"&amp;Tech_Specs!$D10,R$189:R$192))</f>
        <v>6.7370121317681336E-6</v>
      </c>
      <c r="S226" s="201">
        <f ca="1">IF(OR(SUMIF(Tech_Specs!$D$9:$D$12,"&lt;"&amp;Tech_Specs!$D10,S$189:S$192)=0,S118=0),0,S263*(1/S118-1)/SUMIF(Tech_Specs!$D$9:$D$12,"&lt;"&amp;Tech_Specs!$D10,S$189:S$192))</f>
        <v>4.9952410369327335E-6</v>
      </c>
      <c r="T226" s="201">
        <f ca="1">IF(OR(SUMIF(Tech_Specs!$D$9:$D$12,"&lt;"&amp;Tech_Specs!$D10,T$189:T$192)=0,T118=0),0,T263*(1/T118-1)/SUMIF(Tech_Specs!$D$9:$D$12,"&lt;"&amp;Tech_Specs!$D10,T$189:T$192))</f>
        <v>3.6794903297996055E-6</v>
      </c>
      <c r="U226" s="201">
        <f ca="1">IF(OR(SUMIF(Tech_Specs!$D$9:$D$12,"&lt;"&amp;Tech_Specs!$D10,U$189:U$192)=0,U118=0),0,U263*(1/U118-1)/SUMIF(Tech_Specs!$D$9:$D$12,"&lt;"&amp;Tech_Specs!$D10,U$189:U$192))</f>
        <v>2.6901657733683004E-6</v>
      </c>
      <c r="V226" s="201">
        <f ca="1">IF(OR(SUMIF(Tech_Specs!$D$9:$D$12,"&lt;"&amp;Tech_Specs!$D10,V$189:V$192)=0,V118=0),0,V263*(1/V118-1)/SUMIF(Tech_Specs!$D$9:$D$12,"&lt;"&amp;Tech_Specs!$D10,V$189:V$192))</f>
        <v>1.962918896905229E-6</v>
      </c>
      <c r="W226" s="201">
        <f ca="1">IF(OR(SUMIF(Tech_Specs!$D$9:$D$12,"&lt;"&amp;Tech_Specs!$D10,W$189:W$192)=0,W118=0),0,W263*(1/W118-1)/SUMIF(Tech_Specs!$D$9:$D$12,"&lt;"&amp;Tech_Specs!$D10,W$189:W$192))</f>
        <v>1.4319606915367638E-6</v>
      </c>
      <c r="X226" s="201">
        <f ca="1">IF(OR(SUMIF(Tech_Specs!$D$9:$D$12,"&lt;"&amp;Tech_Specs!$D10,X$189:X$192)=0,X118=0),0,X263*(1/X118-1)/SUMIF(Tech_Specs!$D$9:$D$12,"&lt;"&amp;Tech_Specs!$D10,X$189:X$192))</f>
        <v>1.0463803323546487E-6</v>
      </c>
      <c r="Y226" s="201">
        <f ca="1">IF(OR(SUMIF(Tech_Specs!$D$9:$D$12,"&lt;"&amp;Tech_Specs!$D10,Y$189:Y$192)=0,Y118=0),0,Y263*(1/Y118-1)/SUMIF(Tech_Specs!$D$9:$D$12,"&lt;"&amp;Tech_Specs!$D10,Y$189:Y$192))</f>
        <v>7.6569562323235388E-7</v>
      </c>
      <c r="Z226" s="201">
        <f ca="1">IF(OR(SUMIF(Tech_Specs!$D$9:$D$12,"&lt;"&amp;Tech_Specs!$D10,Z$189:Z$192)=0,Z118=0),0,Z263*(1/Z118-1)/SUMIF(Tech_Specs!$D$9:$D$12,"&lt;"&amp;Tech_Specs!$D10,Z$189:Z$192))</f>
        <v>5.6114308382862684E-7</v>
      </c>
      <c r="AA226" s="201">
        <f ca="1">IF(OR(SUMIF(Tech_Specs!$D$9:$D$12,"&lt;"&amp;Tech_Specs!$D10,AA$189:AA$192)=0,AA118=0),0,AA263*(1/AA118-1)/SUMIF(Tech_Specs!$D$9:$D$12,"&lt;"&amp;Tech_Specs!$D10,AA$189:AA$192))</f>
        <v>4.1307352673422098E-7</v>
      </c>
      <c r="AB226" s="201">
        <f ca="1">IF(OR(SUMIF(Tech_Specs!$D$9:$D$12,"&lt;"&amp;Tech_Specs!$D10,AB$189:AB$192)=0,AB118=0),0,AB263*(1/AB118-1)/SUMIF(Tech_Specs!$D$9:$D$12,"&lt;"&amp;Tech_Specs!$D10,AB$189:AB$192))</f>
        <v>3.0497550180562866E-7</v>
      </c>
      <c r="AC226" s="201">
        <f ca="1">IF(OR(SUMIF(Tech_Specs!$D$9:$D$12,"&lt;"&amp;Tech_Specs!$D10,AC$189:AC$192)=0,AC118=0),0,AC263*(1/AC118-1)/SUMIF(Tech_Specs!$D$9:$D$12,"&lt;"&amp;Tech_Specs!$D10,AC$189:AC$192))</f>
        <v>2.2589269394872168E-7</v>
      </c>
      <c r="AD226" s="201">
        <f ca="1">IF(OR(SUMIF(Tech_Specs!$D$9:$D$12,"&lt;"&amp;Tech_Specs!$D10,AD$189:AD$192)=0,AD118=0),0,AD263*(1/AD118-1)/SUMIF(Tech_Specs!$D$9:$D$12,"&lt;"&amp;Tech_Specs!$D10,AD$189:AD$192))</f>
        <v>1.679299954626719E-7</v>
      </c>
      <c r="AE226" s="201">
        <f ca="1">IF(OR(SUMIF(Tech_Specs!$D$9:$D$12,"&lt;"&amp;Tech_Specs!$D10,AE$189:AE$192)=0,AE118=0),0,AE263*(1/AE118-1)/SUMIF(Tech_Specs!$D$9:$D$12,"&lt;"&amp;Tech_Specs!$D10,AE$189:AE$192))</f>
        <v>1.2581408866312623E-7</v>
      </c>
    </row>
    <row r="227" spans="1:31" s="221" customFormat="1" x14ac:dyDescent="0.25">
      <c r="A227" s="376"/>
      <c r="B227" s="376" t="s">
        <v>27</v>
      </c>
      <c r="C227"/>
      <c r="D227" s="201"/>
      <c r="E227" s="201"/>
      <c r="F227" s="201">
        <f ca="1">IF(OR(SUMIF(Tech_Specs!$D$9:$D$12,"&lt;"&amp;Tech_Specs!$D11,F$189:F$192)=0,F119=0),0,F264*(1/F119-1)/SUMIF(Tech_Specs!$D$9:$D$12,"&lt;"&amp;Tech_Specs!$D11,F$189:F$192))</f>
        <v>4.5193716629512369E-4</v>
      </c>
      <c r="G227" s="201">
        <f ca="1">IF(OR(SUMIF(Tech_Specs!$D$9:$D$12,"&lt;"&amp;Tech_Specs!$D11,G$189:G$192)=0,G119=0),0,G264*(1/G119-1)/SUMIF(Tech_Specs!$D$9:$D$12,"&lt;"&amp;Tech_Specs!$D11,G$189:G$192))</f>
        <v>3.3274173645423571E-4</v>
      </c>
      <c r="H227" s="201">
        <f ca="1">IF(OR(SUMIF(Tech_Specs!$D$9:$D$12,"&lt;"&amp;Tech_Specs!$D11,H$189:H$192)=0,H119=0),0,H264*(1/H119-1)/SUMIF(Tech_Specs!$D$9:$D$12,"&lt;"&amp;Tech_Specs!$D11,H$189:H$192))</f>
        <v>2.6240118238721308E-4</v>
      </c>
      <c r="I227" s="201">
        <f ca="1">IF(OR(SUMIF(Tech_Specs!$D$9:$D$12,"&lt;"&amp;Tech_Specs!$D11,I$189:I$192)=0,I119=0),0,I264*(1/I119-1)/SUMIF(Tech_Specs!$D$9:$D$12,"&lt;"&amp;Tech_Specs!$D11,I$189:I$192))</f>
        <v>2.723098182456862E-4</v>
      </c>
      <c r="J227" s="201">
        <f ca="1">IF(OR(SUMIF(Tech_Specs!$D$9:$D$12,"&lt;"&amp;Tech_Specs!$D11,J$189:J$192)=0,J119=0),0,J264*(1/J119-1)/SUMIF(Tech_Specs!$D$9:$D$12,"&lt;"&amp;Tech_Specs!$D11,J$189:J$192))</f>
        <v>2.2618587635660862E-4</v>
      </c>
      <c r="K227" s="201">
        <f ca="1">IF(OR(SUMIF(Tech_Specs!$D$9:$D$12,"&lt;"&amp;Tech_Specs!$D11,K$189:K$192)=0,K119=0),0,K264*(1/K119-1)/SUMIF(Tech_Specs!$D$9:$D$12,"&lt;"&amp;Tech_Specs!$D11,K$189:K$192))</f>
        <v>2.1666994784514965E-4</v>
      </c>
      <c r="L227" s="201">
        <f ca="1">IF(OR(SUMIF(Tech_Specs!$D$9:$D$12,"&lt;"&amp;Tech_Specs!$D11,L$189:L$192)=0,L119=0),0,L264*(1/L119-1)/SUMIF(Tech_Specs!$D$9:$D$12,"&lt;"&amp;Tech_Specs!$D11,L$189:L$192))</f>
        <v>2.3776733984673802E-4</v>
      </c>
      <c r="M227" s="201">
        <f ca="1">IF(OR(SUMIF(Tech_Specs!$D$9:$D$12,"&lt;"&amp;Tech_Specs!$D11,M$189:M$192)=0,M119=0),0,M264*(1/M119-1)/SUMIF(Tech_Specs!$D$9:$D$12,"&lt;"&amp;Tech_Specs!$D11,M$189:M$192))</f>
        <v>1.8107472388198903E-4</v>
      </c>
      <c r="N227" s="201">
        <f ca="1">IF(OR(SUMIF(Tech_Specs!$D$9:$D$12,"&lt;"&amp;Tech_Specs!$D11,N$189:N$192)=0,N119=0),0,N264*(1/N119-1)/SUMIF(Tech_Specs!$D$9:$D$12,"&lt;"&amp;Tech_Specs!$D11,N$189:N$192))</f>
        <v>1.3771628666646923E-4</v>
      </c>
      <c r="O227" s="201">
        <f ca="1">IF(OR(SUMIF(Tech_Specs!$D$9:$D$12,"&lt;"&amp;Tech_Specs!$D11,O$189:O$192)=0,O119=0),0,O264*(1/O119-1)/SUMIF(Tech_Specs!$D$9:$D$12,"&lt;"&amp;Tech_Specs!$D11,O$189:O$192))</f>
        <v>1.0341766103648712E-4</v>
      </c>
      <c r="P227" s="201">
        <f ca="1">IF(OR(SUMIF(Tech_Specs!$D$9:$D$12,"&lt;"&amp;Tech_Specs!$D11,P$189:P$192)=0,P119=0),0,P264*(1/P119-1)/SUMIF(Tech_Specs!$D$9:$D$12,"&lt;"&amp;Tech_Specs!$D11,P$189:P$192))</f>
        <v>7.784857895937334E-5</v>
      </c>
      <c r="Q227" s="201">
        <f ca="1">IF(OR(SUMIF(Tech_Specs!$D$9:$D$12,"&lt;"&amp;Tech_Specs!$D11,Q$189:Q$192)=0,Q119=0),0,Q264*(1/Q119-1)/SUMIF(Tech_Specs!$D$9:$D$12,"&lt;"&amp;Tech_Specs!$D11,Q$189:Q$192))</f>
        <v>5.8665683346682708E-5</v>
      </c>
      <c r="R227" s="201">
        <f ca="1">IF(OR(SUMIF(Tech_Specs!$D$9:$D$12,"&lt;"&amp;Tech_Specs!$D11,R$189:R$192)=0,R119=0),0,R264*(1/R119-1)/SUMIF(Tech_Specs!$D$9:$D$12,"&lt;"&amp;Tech_Specs!$D11,R$189:R$192))</f>
        <v>4.3706608264829731E-5</v>
      </c>
      <c r="S227" s="201">
        <f ca="1">IF(OR(SUMIF(Tech_Specs!$D$9:$D$12,"&lt;"&amp;Tech_Specs!$D11,S$189:S$192)=0,S119=0),0,S264*(1/S119-1)/SUMIF(Tech_Specs!$D$9:$D$12,"&lt;"&amp;Tech_Specs!$D11,S$189:S$192))</f>
        <v>3.2297674434332491E-5</v>
      </c>
      <c r="T227" s="201">
        <f ca="1">IF(OR(SUMIF(Tech_Specs!$D$9:$D$12,"&lt;"&amp;Tech_Specs!$D11,T$189:T$192)=0,T119=0),0,T264*(1/T119-1)/SUMIF(Tech_Specs!$D$9:$D$12,"&lt;"&amp;Tech_Specs!$D11,T$189:T$192))</f>
        <v>2.3751332772119766E-5</v>
      </c>
      <c r="U227" s="201">
        <f ca="1">IF(OR(SUMIF(Tech_Specs!$D$9:$D$12,"&lt;"&amp;Tech_Specs!$D11,U$189:U$192)=0,U119=0),0,U264*(1/U119-1)/SUMIF(Tech_Specs!$D$9:$D$12,"&lt;"&amp;Tech_Specs!$D11,U$189:U$192))</f>
        <v>1.7288416962333734E-5</v>
      </c>
      <c r="V227" s="201">
        <f ca="1">IF(OR(SUMIF(Tech_Specs!$D$9:$D$12,"&lt;"&amp;Tech_Specs!$D11,V$189:V$192)=0,V119=0),0,V264*(1/V119-1)/SUMIF(Tech_Specs!$D$9:$D$12,"&lt;"&amp;Tech_Specs!$D11,V$189:V$192))</f>
        <v>1.2587100923274466E-5</v>
      </c>
      <c r="W227" s="201">
        <f ca="1">IF(OR(SUMIF(Tech_Specs!$D$9:$D$12,"&lt;"&amp;Tech_Specs!$D11,W$189:W$192)=0,W119=0),0,W264*(1/W119-1)/SUMIF(Tech_Specs!$D$9:$D$12,"&lt;"&amp;Tech_Specs!$D11,W$189:W$192))</f>
        <v>9.1774272308064053E-6</v>
      </c>
      <c r="X227" s="201">
        <f ca="1">IF(OR(SUMIF(Tech_Specs!$D$9:$D$12,"&lt;"&amp;Tech_Specs!$D11,X$189:X$192)=0,X119=0),0,X264*(1/X119-1)/SUMIF(Tech_Specs!$D$9:$D$12,"&lt;"&amp;Tech_Specs!$D11,X$189:X$192))</f>
        <v>6.7152488422680483E-6</v>
      </c>
      <c r="Y227" s="201">
        <f ca="1">IF(OR(SUMIF(Tech_Specs!$D$9:$D$12,"&lt;"&amp;Tech_Specs!$D11,Y$189:Y$192)=0,Y119=0),0,Y264*(1/Y119-1)/SUMIF(Tech_Specs!$D$9:$D$12,"&lt;"&amp;Tech_Specs!$D11,Y$189:Y$192))</f>
        <v>4.9179445080347877E-6</v>
      </c>
      <c r="Z227" s="201">
        <f ca="1">IF(OR(SUMIF(Tech_Specs!$D$9:$D$12,"&lt;"&amp;Tech_Specs!$D11,Z$189:Z$192)=0,Z119=0),0,Z264*(1/Z119-1)/SUMIF(Tech_Specs!$D$9:$D$12,"&lt;"&amp;Tech_Specs!$D11,Z$189:Z$192))</f>
        <v>3.6013272359525499E-6</v>
      </c>
      <c r="AA227" s="201">
        <f ca="1">IF(OR(SUMIF(Tech_Specs!$D$9:$D$12,"&lt;"&amp;Tech_Specs!$D11,AA$189:AA$192)=0,AA119=0),0,AA264*(1/AA119-1)/SUMIF(Tech_Specs!$D$9:$D$12,"&lt;"&amp;Tech_Specs!$D11,AA$189:AA$192))</f>
        <v>2.655156927168871E-6</v>
      </c>
      <c r="AB227" s="201">
        <f ca="1">IF(OR(SUMIF(Tech_Specs!$D$9:$D$12,"&lt;"&amp;Tech_Specs!$D11,AB$189:AB$192)=0,AB119=0),0,AB264*(1/AB119-1)/SUMIF(Tech_Specs!$D$9:$D$12,"&lt;"&amp;Tech_Specs!$D11,AB$189:AB$192))</f>
        <v>1.9629897166910612E-6</v>
      </c>
      <c r="AC227" s="201">
        <f ca="1">IF(OR(SUMIF(Tech_Specs!$D$9:$D$12,"&lt;"&amp;Tech_Specs!$D11,AC$189:AC$192)=0,AC119=0),0,AC264*(1/AC119-1)/SUMIF(Tech_Specs!$D$9:$D$12,"&lt;"&amp;Tech_Specs!$D11,AC$189:AC$192))</f>
        <v>1.4563629034048927E-6</v>
      </c>
      <c r="AD227" s="201">
        <f ca="1">IF(OR(SUMIF(Tech_Specs!$D$9:$D$12,"&lt;"&amp;Tech_Specs!$D11,AD$189:AD$192)=0,AD119=0),0,AD264*(1/AD119-1)/SUMIF(Tech_Specs!$D$9:$D$12,"&lt;"&amp;Tech_Specs!$D11,AD$189:AD$192))</f>
        <v>1.0856709501119794E-6</v>
      </c>
      <c r="AE227" s="201">
        <f ca="1">IF(OR(SUMIF(Tech_Specs!$D$9:$D$12,"&lt;"&amp;Tech_Specs!$D11,AE$189:AE$192)=0,AE119=0),0,AE264*(1/AE119-1)/SUMIF(Tech_Specs!$D$9:$D$12,"&lt;"&amp;Tech_Specs!$D11,AE$189:AE$192))</f>
        <v>8.2149794587191375E-7</v>
      </c>
    </row>
    <row r="228" spans="1:31" s="221" customFormat="1" x14ac:dyDescent="0.25">
      <c r="A228" s="376"/>
      <c r="B228" s="376" t="s">
        <v>29</v>
      </c>
      <c r="C228"/>
      <c r="D228" s="201"/>
      <c r="E228" s="201"/>
      <c r="F228" s="201">
        <f ca="1">IF(OR(SUMIF(Tech_Specs!$D$9:$D$12,"&lt;"&amp;Tech_Specs!$D12,F$189:F$192)=0,F120=0),0,F265*(1/F120-1)/SUMIF(Tech_Specs!$D$9:$D$12,"&lt;"&amp;Tech_Specs!$D12,F$189:F$192))</f>
        <v>1.4421597488223095E-14</v>
      </c>
      <c r="G228" s="201">
        <f ca="1">IF(OR(SUMIF(Tech_Specs!$D$9:$D$12,"&lt;"&amp;Tech_Specs!$D12,G$189:G$192)=0,G120=0),0,G265*(1/G120-1)/SUMIF(Tech_Specs!$D$9:$D$12,"&lt;"&amp;Tech_Specs!$D12,G$189:G$192))</f>
        <v>4.9177013466473483E-8</v>
      </c>
      <c r="H228" s="201">
        <f ca="1">IF(OR(SUMIF(Tech_Specs!$D$9:$D$12,"&lt;"&amp;Tech_Specs!$D12,H$189:H$192)=0,H120=0),0,H265*(1/H120-1)/SUMIF(Tech_Specs!$D$9:$D$12,"&lt;"&amp;Tech_Specs!$D12,H$189:H$192))</f>
        <v>1.8038179444912572E-5</v>
      </c>
      <c r="I228" s="201">
        <f ca="1">IF(OR(SUMIF(Tech_Specs!$D$9:$D$12,"&lt;"&amp;Tech_Specs!$D12,I$189:I$192)=0,I120=0),0,I265*(1/I120-1)/SUMIF(Tech_Specs!$D$9:$D$12,"&lt;"&amp;Tech_Specs!$D12,I$189:I$192))</f>
        <v>3.6996651595923118E-4</v>
      </c>
      <c r="J228" s="201">
        <f ca="1">IF(OR(SUMIF(Tech_Specs!$D$9:$D$12,"&lt;"&amp;Tech_Specs!$D12,J$189:J$192)=0,J120=0),0,J265*(1/J120-1)/SUMIF(Tech_Specs!$D$9:$D$12,"&lt;"&amp;Tech_Specs!$D12,J$189:J$192))</f>
        <v>2.7121762191589902E-3</v>
      </c>
      <c r="K228" s="201">
        <f ca="1">IF(OR(SUMIF(Tech_Specs!$D$9:$D$12,"&lt;"&amp;Tech_Specs!$D12,K$189:K$192)=0,K120=0),0,K265*(1/K120-1)/SUMIF(Tech_Specs!$D$9:$D$12,"&lt;"&amp;Tech_Specs!$D12,K$189:K$192))</f>
        <v>1.1288295136853184E-2</v>
      </c>
      <c r="L228" s="201">
        <f ca="1">IF(OR(SUMIF(Tech_Specs!$D$9:$D$12,"&lt;"&amp;Tech_Specs!$D12,L$189:L$192)=0,L120=0),0,L265*(1/L120-1)/SUMIF(Tech_Specs!$D$9:$D$12,"&lt;"&amp;Tech_Specs!$D12,L$189:L$192))</f>
        <v>3.3470536500637839E-2</v>
      </c>
      <c r="M228" s="201">
        <f ca="1">IF(OR(SUMIF(Tech_Specs!$D$9:$D$12,"&lt;"&amp;Tech_Specs!$D12,M$189:M$192)=0,M120=0),0,M265*(1/M120-1)/SUMIF(Tech_Specs!$D$9:$D$12,"&lt;"&amp;Tech_Specs!$D12,M$189:M$192))</f>
        <v>6.3050115420644343E-2</v>
      </c>
      <c r="N228" s="201">
        <f ca="1">IF(OR(SUMIF(Tech_Specs!$D$9:$D$12,"&lt;"&amp;Tech_Specs!$D12,N$189:N$192)=0,N120=0),0,N265*(1/N120-1)/SUMIF(Tech_Specs!$D$9:$D$12,"&lt;"&amp;Tech_Specs!$D12,N$189:N$192))</f>
        <v>9.8890289106438281E-2</v>
      </c>
      <c r="O228" s="201">
        <f ca="1">IF(OR(SUMIF(Tech_Specs!$D$9:$D$12,"&lt;"&amp;Tech_Specs!$D12,O$189:O$192)=0,O120=0),0,O265*(1/O120-1)/SUMIF(Tech_Specs!$D$9:$D$12,"&lt;"&amp;Tech_Specs!$D12,O$189:O$192))</f>
        <v>0.13478034514409426</v>
      </c>
      <c r="P228" s="201">
        <f ca="1">IF(OR(SUMIF(Tech_Specs!$D$9:$D$12,"&lt;"&amp;Tech_Specs!$D12,P$189:P$192)=0,P120=0),0,P265*(1/P120-1)/SUMIF(Tech_Specs!$D$9:$D$12,"&lt;"&amp;Tech_Specs!$D12,P$189:P$192))</f>
        <v>0.16666901222906128</v>
      </c>
      <c r="Q228" s="201">
        <f ca="1">IF(OR(SUMIF(Tech_Specs!$D$9:$D$12,"&lt;"&amp;Tech_Specs!$D12,Q$189:Q$192)=0,Q120=0),0,Q265*(1/Q120-1)/SUMIF(Tech_Specs!$D$9:$D$12,"&lt;"&amp;Tech_Specs!$D12,Q$189:Q$192))</f>
        <v>0.19040118633646499</v>
      </c>
      <c r="R228" s="201">
        <f ca="1">IF(OR(SUMIF(Tech_Specs!$D$9:$D$12,"&lt;"&amp;Tech_Specs!$D12,R$189:R$192)=0,R120=0),0,R265*(1/R120-1)/SUMIF(Tech_Specs!$D$9:$D$12,"&lt;"&amp;Tech_Specs!$D12,R$189:R$192))</f>
        <v>0.20292269459116233</v>
      </c>
      <c r="S228" s="201">
        <f ca="1">IF(OR(SUMIF(Tech_Specs!$D$9:$D$12,"&lt;"&amp;Tech_Specs!$D12,S$189:S$192)=0,S120=0),0,S265*(1/S120-1)/SUMIF(Tech_Specs!$D$9:$D$12,"&lt;"&amp;Tech_Specs!$D12,S$189:S$192))</f>
        <v>0.20425375270368579</v>
      </c>
      <c r="T228" s="201">
        <f ca="1">IF(OR(SUMIF(Tech_Specs!$D$9:$D$12,"&lt;"&amp;Tech_Specs!$D12,T$189:T$192)=0,T120=0),0,T265*(1/T120-1)/SUMIF(Tech_Specs!$D$9:$D$12,"&lt;"&amp;Tech_Specs!$D12,T$189:T$192))</f>
        <v>0.1960442406018878</v>
      </c>
      <c r="U228" s="201">
        <f ca="1">IF(OR(SUMIF(Tech_Specs!$D$9:$D$12,"&lt;"&amp;Tech_Specs!$D12,U$189:U$192)=0,U120=0),0,U265*(1/U120-1)/SUMIF(Tech_Specs!$D$9:$D$12,"&lt;"&amp;Tech_Specs!$D12,U$189:U$192))</f>
        <v>0.1799173188388378</v>
      </c>
      <c r="V228" s="201">
        <f ca="1">IF(OR(SUMIF(Tech_Specs!$D$9:$D$12,"&lt;"&amp;Tech_Specs!$D12,V$189:V$192)=0,V120=0),0,V265*(1/V120-1)/SUMIF(Tech_Specs!$D$9:$D$12,"&lt;"&amp;Tech_Specs!$D12,V$189:V$192))</f>
        <v>0.15973466886102045</v>
      </c>
      <c r="W228" s="201">
        <f ca="1">IF(OR(SUMIF(Tech_Specs!$D$9:$D$12,"&lt;"&amp;Tech_Specs!$D12,W$189:W$192)=0,W120=0),0,W265*(1/W120-1)/SUMIF(Tech_Specs!$D$9:$D$12,"&lt;"&amp;Tech_Specs!$D12,W$189:W$192))</f>
        <v>0.13792584034095709</v>
      </c>
      <c r="X228" s="201">
        <f ca="1">IF(OR(SUMIF(Tech_Specs!$D$9:$D$12,"&lt;"&amp;Tech_Specs!$D12,X$189:X$192)=0,X120=0),0,X265*(1/X120-1)/SUMIF(Tech_Specs!$D$9:$D$12,"&lt;"&amp;Tech_Specs!$D12,X$189:X$192))</f>
        <v>0.11645314675178567</v>
      </c>
      <c r="Y228" s="201">
        <f ca="1">IF(OR(SUMIF(Tech_Specs!$D$9:$D$12,"&lt;"&amp;Tech_Specs!$D12,Y$189:Y$192)=0,Y120=0),0,Y265*(1/Y120-1)/SUMIF(Tech_Specs!$D$9:$D$12,"&lt;"&amp;Tech_Specs!$D12,Y$189:Y$192))</f>
        <v>9.6330285475354063E-2</v>
      </c>
      <c r="Z228" s="201">
        <f ca="1">IF(OR(SUMIF(Tech_Specs!$D$9:$D$12,"&lt;"&amp;Tech_Specs!$D12,Z$189:Z$192)=0,Z120=0),0,Z265*(1/Z120-1)/SUMIF(Tech_Specs!$D$9:$D$12,"&lt;"&amp;Tech_Specs!$D12,Z$189:Z$192))</f>
        <v>7.8269486673740646E-2</v>
      </c>
      <c r="AA228" s="201">
        <f ca="1">IF(OR(SUMIF(Tech_Specs!$D$9:$D$12,"&lt;"&amp;Tech_Specs!$D12,AA$189:AA$192)=0,AA120=0),0,AA265*(1/AA120-1)/SUMIF(Tech_Specs!$D$9:$D$12,"&lt;"&amp;Tech_Specs!$D12,AA$189:AA$192))</f>
        <v>6.2899462873276954E-2</v>
      </c>
      <c r="AB228" s="201">
        <f ca="1">IF(OR(SUMIF(Tech_Specs!$D$9:$D$12,"&lt;"&amp;Tech_Specs!$D12,AB$189:AB$192)=0,AB120=0),0,AB265*(1/AB120-1)/SUMIF(Tech_Specs!$D$9:$D$12,"&lt;"&amp;Tech_Specs!$D12,AB$189:AB$192))</f>
        <v>4.9986681178954641E-2</v>
      </c>
      <c r="AC228" s="201">
        <f ca="1">IF(OR(SUMIF(Tech_Specs!$D$9:$D$12,"&lt;"&amp;Tech_Specs!$D12,AC$189:AC$192)=0,AC120=0),0,AC265*(1/AC120-1)/SUMIF(Tech_Specs!$D$9:$D$12,"&lt;"&amp;Tech_Specs!$D12,AC$189:AC$192))</f>
        <v>3.9377641136045256E-2</v>
      </c>
      <c r="AD228" s="201">
        <f ca="1">IF(OR(SUMIF(Tech_Specs!$D$9:$D$12,"&lt;"&amp;Tech_Specs!$D12,AD$189:AD$192)=0,AD120=0),0,AD265*(1/AD120-1)/SUMIF(Tech_Specs!$D$9:$D$12,"&lt;"&amp;Tech_Specs!$D12,AD$189:AD$192))</f>
        <v>3.0821486646610333E-2</v>
      </c>
      <c r="AE228" s="201">
        <f ca="1">IF(OR(SUMIF(Tech_Specs!$D$9:$D$12,"&lt;"&amp;Tech_Specs!$D12,AE$189:AE$192)=0,AE120=0),0,AE265*(1/AE120-1)/SUMIF(Tech_Specs!$D$9:$D$12,"&lt;"&amp;Tech_Specs!$D12,AE$189:AE$192))</f>
        <v>2.4142061041467582E-2</v>
      </c>
    </row>
    <row r="229" spans="1:31" s="221" customFormat="1" x14ac:dyDescent="0.25">
      <c r="A229" s="376"/>
      <c r="B229" s="376"/>
      <c r="C229"/>
      <c r="D229"/>
      <c r="E229"/>
      <c r="F229"/>
      <c r="G229"/>
      <c r="H229"/>
      <c r="I229"/>
      <c r="J229"/>
      <c r="K229"/>
      <c r="L229"/>
      <c r="M229"/>
      <c r="N229"/>
      <c r="O229"/>
      <c r="P229"/>
      <c r="Q229"/>
      <c r="R229"/>
      <c r="S229"/>
      <c r="T229"/>
      <c r="U229"/>
      <c r="V229"/>
      <c r="W229"/>
      <c r="X229"/>
      <c r="Y229"/>
      <c r="Z229"/>
      <c r="AA229"/>
      <c r="AB229"/>
      <c r="AC229"/>
      <c r="AD229"/>
      <c r="AE229"/>
    </row>
    <row r="230" spans="1:31" s="202" customFormat="1" ht="12.75" x14ac:dyDescent="0.2">
      <c r="A230" s="402" t="s">
        <v>32</v>
      </c>
      <c r="B230" s="402"/>
      <c r="C230" s="402"/>
      <c r="D230" s="402"/>
      <c r="E230" s="402"/>
      <c r="F230" s="402"/>
      <c r="G230" s="402"/>
      <c r="H230" s="402"/>
      <c r="I230" s="402"/>
      <c r="J230" s="402"/>
      <c r="K230" s="402"/>
      <c r="L230" s="402"/>
      <c r="M230" s="402"/>
      <c r="N230" s="402"/>
      <c r="O230" s="402"/>
      <c r="P230" s="402"/>
      <c r="Q230" s="402"/>
      <c r="R230" s="402"/>
      <c r="S230" s="402"/>
      <c r="T230" s="402"/>
      <c r="U230" s="402"/>
      <c r="V230" s="402"/>
      <c r="W230" s="402"/>
      <c r="X230" s="402"/>
      <c r="Y230" s="402"/>
      <c r="Z230" s="402"/>
      <c r="AA230" s="402"/>
      <c r="AB230" s="402"/>
      <c r="AC230" s="402"/>
      <c r="AD230" s="402"/>
      <c r="AE230" s="402"/>
    </row>
    <row r="231" spans="1:31" s="221" customFormat="1" x14ac:dyDescent="0.25">
      <c r="A231" s="376"/>
      <c r="B231" s="376" t="s">
        <v>33</v>
      </c>
      <c r="C231"/>
      <c r="D231"/>
      <c r="E231"/>
      <c r="F231" s="201">
        <f>IF(OR(SUMIF(Tech_Specs!$D$15:$D$18,"&lt;"&amp;Tech_Specs!$D15,F$195:F$198)=0,F123=0),0,F268*(1/F123-1)/SUMIF(Tech_Specs!$D$15:$D$18,"&lt;"&amp;Tech_Specs!$D15,F$195:F$198))</f>
        <v>0</v>
      </c>
      <c r="G231" s="201">
        <f>IF(OR(SUMIF(Tech_Specs!$D$15:$D$18,"&lt;"&amp;Tech_Specs!$D15,G$195:G$198)=0,G123=0),0,G268*(1/G123-1)/SUMIF(Tech_Specs!$D$15:$D$18,"&lt;"&amp;Tech_Specs!$D15,G$195:G$198))</f>
        <v>0</v>
      </c>
      <c r="H231" s="201">
        <f>IF(OR(SUMIF(Tech_Specs!$D$15:$D$18,"&lt;"&amp;Tech_Specs!$D15,H$195:H$198)=0,H123=0),0,H268*(1/H123-1)/SUMIF(Tech_Specs!$D$15:$D$18,"&lt;"&amp;Tech_Specs!$D15,H$195:H$198))</f>
        <v>0</v>
      </c>
      <c r="I231" s="201">
        <f>IF(OR(SUMIF(Tech_Specs!$D$15:$D$18,"&lt;"&amp;Tech_Specs!$D15,I$195:I$198)=0,I123=0),0,I268*(1/I123-1)/SUMIF(Tech_Specs!$D$15:$D$18,"&lt;"&amp;Tech_Specs!$D15,I$195:I$198))</f>
        <v>0</v>
      </c>
      <c r="J231" s="201">
        <f>IF(OR(SUMIF(Tech_Specs!$D$15:$D$18,"&lt;"&amp;Tech_Specs!$D15,J$195:J$198)=0,J123=0),0,J268*(1/J123-1)/SUMIF(Tech_Specs!$D$15:$D$18,"&lt;"&amp;Tech_Specs!$D15,J$195:J$198))</f>
        <v>0</v>
      </c>
      <c r="K231" s="201">
        <f>IF(OR(SUMIF(Tech_Specs!$D$15:$D$18,"&lt;"&amp;Tech_Specs!$D15,K$195:K$198)=0,K123=0),0,K268*(1/K123-1)/SUMIF(Tech_Specs!$D$15:$D$18,"&lt;"&amp;Tech_Specs!$D15,K$195:K$198))</f>
        <v>0</v>
      </c>
      <c r="L231" s="201">
        <f>IF(OR(SUMIF(Tech_Specs!$D$15:$D$18,"&lt;"&amp;Tech_Specs!$D15,L$195:L$198)=0,L123=0),0,L268*(1/L123-1)/SUMIF(Tech_Specs!$D$15:$D$18,"&lt;"&amp;Tech_Specs!$D15,L$195:L$198))</f>
        <v>0</v>
      </c>
      <c r="M231" s="201">
        <f>IF(OR(SUMIF(Tech_Specs!$D$15:$D$18,"&lt;"&amp;Tech_Specs!$D15,M$195:M$198)=0,M123=0),0,M268*(1/M123-1)/SUMIF(Tech_Specs!$D$15:$D$18,"&lt;"&amp;Tech_Specs!$D15,M$195:M$198))</f>
        <v>0</v>
      </c>
      <c r="N231" s="201">
        <f>IF(OR(SUMIF(Tech_Specs!$D$15:$D$18,"&lt;"&amp;Tech_Specs!$D15,N$195:N$198)=0,N123=0),0,N268*(1/N123-1)/SUMIF(Tech_Specs!$D$15:$D$18,"&lt;"&amp;Tech_Specs!$D15,N$195:N$198))</f>
        <v>0</v>
      </c>
      <c r="O231" s="201">
        <f>IF(OR(SUMIF(Tech_Specs!$D$15:$D$18,"&lt;"&amp;Tech_Specs!$D15,O$195:O$198)=0,O123=0),0,O268*(1/O123-1)/SUMIF(Tech_Specs!$D$15:$D$18,"&lt;"&amp;Tech_Specs!$D15,O$195:O$198))</f>
        <v>0</v>
      </c>
      <c r="P231" s="201">
        <f>IF(OR(SUMIF(Tech_Specs!$D$15:$D$18,"&lt;"&amp;Tech_Specs!$D15,P$195:P$198)=0,P123=0),0,P268*(1/P123-1)/SUMIF(Tech_Specs!$D$15:$D$18,"&lt;"&amp;Tech_Specs!$D15,P$195:P$198))</f>
        <v>0</v>
      </c>
      <c r="Q231" s="201">
        <f>IF(OR(SUMIF(Tech_Specs!$D$15:$D$18,"&lt;"&amp;Tech_Specs!$D15,Q$195:Q$198)=0,Q123=0),0,Q268*(1/Q123-1)/SUMIF(Tech_Specs!$D$15:$D$18,"&lt;"&amp;Tech_Specs!$D15,Q$195:Q$198))</f>
        <v>0</v>
      </c>
      <c r="R231" s="201">
        <f>IF(OR(SUMIF(Tech_Specs!$D$15:$D$18,"&lt;"&amp;Tech_Specs!$D15,R$195:R$198)=0,R123=0),0,R268*(1/R123-1)/SUMIF(Tech_Specs!$D$15:$D$18,"&lt;"&amp;Tech_Specs!$D15,R$195:R$198))</f>
        <v>0</v>
      </c>
      <c r="S231" s="201">
        <f>IF(OR(SUMIF(Tech_Specs!$D$15:$D$18,"&lt;"&amp;Tech_Specs!$D15,S$195:S$198)=0,S123=0),0,S268*(1/S123-1)/SUMIF(Tech_Specs!$D$15:$D$18,"&lt;"&amp;Tech_Specs!$D15,S$195:S$198))</f>
        <v>0</v>
      </c>
      <c r="T231" s="201">
        <f>IF(OR(SUMIF(Tech_Specs!$D$15:$D$18,"&lt;"&amp;Tech_Specs!$D15,T$195:T$198)=0,T123=0),0,T268*(1/T123-1)/SUMIF(Tech_Specs!$D$15:$D$18,"&lt;"&amp;Tech_Specs!$D15,T$195:T$198))</f>
        <v>0</v>
      </c>
      <c r="U231" s="201">
        <f>IF(OR(SUMIF(Tech_Specs!$D$15:$D$18,"&lt;"&amp;Tech_Specs!$D15,U$195:U$198)=0,U123=0),0,U268*(1/U123-1)/SUMIF(Tech_Specs!$D$15:$D$18,"&lt;"&amp;Tech_Specs!$D15,U$195:U$198))</f>
        <v>0</v>
      </c>
      <c r="V231" s="201">
        <f>IF(OR(SUMIF(Tech_Specs!$D$15:$D$18,"&lt;"&amp;Tech_Specs!$D15,V$195:V$198)=0,V123=0),0,V268*(1/V123-1)/SUMIF(Tech_Specs!$D$15:$D$18,"&lt;"&amp;Tech_Specs!$D15,V$195:V$198))</f>
        <v>0</v>
      </c>
      <c r="W231" s="201">
        <f>IF(OR(SUMIF(Tech_Specs!$D$15:$D$18,"&lt;"&amp;Tech_Specs!$D15,W$195:W$198)=0,W123=0),0,W268*(1/W123-1)/SUMIF(Tech_Specs!$D$15:$D$18,"&lt;"&amp;Tech_Specs!$D15,W$195:W$198))</f>
        <v>0</v>
      </c>
      <c r="X231" s="201">
        <f>IF(OR(SUMIF(Tech_Specs!$D$15:$D$18,"&lt;"&amp;Tech_Specs!$D15,X$195:X$198)=0,X123=0),0,X268*(1/X123-1)/SUMIF(Tech_Specs!$D$15:$D$18,"&lt;"&amp;Tech_Specs!$D15,X$195:X$198))</f>
        <v>0</v>
      </c>
      <c r="Y231" s="201">
        <f>IF(OR(SUMIF(Tech_Specs!$D$15:$D$18,"&lt;"&amp;Tech_Specs!$D15,Y$195:Y$198)=0,Y123=0),0,Y268*(1/Y123-1)/SUMIF(Tech_Specs!$D$15:$D$18,"&lt;"&amp;Tech_Specs!$D15,Y$195:Y$198))</f>
        <v>0</v>
      </c>
      <c r="Z231" s="201">
        <f>IF(OR(SUMIF(Tech_Specs!$D$15:$D$18,"&lt;"&amp;Tech_Specs!$D15,Z$195:Z$198)=0,Z123=0),0,Z268*(1/Z123-1)/SUMIF(Tech_Specs!$D$15:$D$18,"&lt;"&amp;Tech_Specs!$D15,Z$195:Z$198))</f>
        <v>0</v>
      </c>
      <c r="AA231" s="201">
        <f>IF(OR(SUMIF(Tech_Specs!$D$15:$D$18,"&lt;"&amp;Tech_Specs!$D15,AA$195:AA$198)=0,AA123=0),0,AA268*(1/AA123-1)/SUMIF(Tech_Specs!$D$15:$D$18,"&lt;"&amp;Tech_Specs!$D15,AA$195:AA$198))</f>
        <v>0</v>
      </c>
      <c r="AB231" s="201">
        <f>IF(OR(SUMIF(Tech_Specs!$D$15:$D$18,"&lt;"&amp;Tech_Specs!$D15,AB$195:AB$198)=0,AB123=0),0,AB268*(1/AB123-1)/SUMIF(Tech_Specs!$D$15:$D$18,"&lt;"&amp;Tech_Specs!$D15,AB$195:AB$198))</f>
        <v>0</v>
      </c>
      <c r="AC231" s="201">
        <f>IF(OR(SUMIF(Tech_Specs!$D$15:$D$18,"&lt;"&amp;Tech_Specs!$D15,AC$195:AC$198)=0,AC123=0),0,AC268*(1/AC123-1)/SUMIF(Tech_Specs!$D$15:$D$18,"&lt;"&amp;Tech_Specs!$D15,AC$195:AC$198))</f>
        <v>0</v>
      </c>
      <c r="AD231" s="201">
        <f>IF(OR(SUMIF(Tech_Specs!$D$15:$D$18,"&lt;"&amp;Tech_Specs!$D15,AD$195:AD$198)=0,AD123=0),0,AD268*(1/AD123-1)/SUMIF(Tech_Specs!$D$15:$D$18,"&lt;"&amp;Tech_Specs!$D15,AD$195:AD$198))</f>
        <v>0</v>
      </c>
      <c r="AE231" s="201">
        <f>IF(OR(SUMIF(Tech_Specs!$D$15:$D$18,"&lt;"&amp;Tech_Specs!$D15,AE$195:AE$198)=0,AE123=0),0,AE268*(1/AE123-1)/SUMIF(Tech_Specs!$D$15:$D$18,"&lt;"&amp;Tech_Specs!$D15,AE$195:AE$198))</f>
        <v>0</v>
      </c>
    </row>
    <row r="232" spans="1:31" s="221" customFormat="1" x14ac:dyDescent="0.25">
      <c r="A232" s="388"/>
      <c r="B232" s="388" t="s">
        <v>34</v>
      </c>
      <c r="C232"/>
      <c r="D232"/>
      <c r="E232"/>
      <c r="F232" s="201">
        <f>IF(OR(SUMIF(Tech_Specs!$D$15:$D$18,"&lt;"&amp;Tech_Specs!$D16,F$195:F$198)=0,F124=0),0,F269*(1/F124-1)/SUMIF(Tech_Specs!$D$15:$D$18,"&lt;"&amp;Tech_Specs!$D16,F$195:F$198))</f>
        <v>1.3866818409897784E-4</v>
      </c>
      <c r="G232" s="201">
        <f>IF(OR(SUMIF(Tech_Specs!$D$15:$D$18,"&lt;"&amp;Tech_Specs!$D16,G$195:G$198)=0,G124=0),0,G269*(1/G124-1)/SUMIF(Tech_Specs!$D$15:$D$18,"&lt;"&amp;Tech_Specs!$D16,G$195:G$198))</f>
        <v>1.0399408590111655E-4</v>
      </c>
      <c r="H232" s="201">
        <f>IF(OR(SUMIF(Tech_Specs!$D$15:$D$18,"&lt;"&amp;Tech_Specs!$D16,H$195:H$198)=0,H124=0),0,H269*(1/H124-1)/SUMIF(Tech_Specs!$D$15:$D$18,"&lt;"&amp;Tech_Specs!$D16,H$195:H$198))</f>
        <v>7.3059168732945144E-5</v>
      </c>
      <c r="I232" s="201">
        <f>IF(OR(SUMIF(Tech_Specs!$D$15:$D$18,"&lt;"&amp;Tech_Specs!$D16,I$195:I$198)=0,I124=0),0,I269*(1/I124-1)/SUMIF(Tech_Specs!$D$15:$D$18,"&lt;"&amp;Tech_Specs!$D16,I$195:I$198))</f>
        <v>5.6265708496938327E-5</v>
      </c>
      <c r="J232" s="201">
        <f>IF(OR(SUMIF(Tech_Specs!$D$15:$D$18,"&lt;"&amp;Tech_Specs!$D16,J$195:J$198)=0,J124=0),0,J269*(1/J124-1)/SUMIF(Tech_Specs!$D$15:$D$18,"&lt;"&amp;Tech_Specs!$D16,J$195:J$198))</f>
        <v>4.5184249334400944E-5</v>
      </c>
      <c r="K232" s="201">
        <f>IF(OR(SUMIF(Tech_Specs!$D$15:$D$18,"&lt;"&amp;Tech_Specs!$D16,K$195:K$198)=0,K124=0),0,K269*(1/K124-1)/SUMIF(Tech_Specs!$D$15:$D$18,"&lt;"&amp;Tech_Specs!$D16,K$195:K$198))</f>
        <v>3.9359663232299586E-5</v>
      </c>
      <c r="L232" s="201">
        <f>IF(OR(SUMIF(Tech_Specs!$D$15:$D$18,"&lt;"&amp;Tech_Specs!$D16,L$195:L$198)=0,L124=0),0,L269*(1/L124-1)/SUMIF(Tech_Specs!$D$15:$D$18,"&lt;"&amp;Tech_Specs!$D16,L$195:L$198))</f>
        <v>3.3965524780571812E-5</v>
      </c>
      <c r="M232" s="201">
        <f>IF(OR(SUMIF(Tech_Specs!$D$15:$D$18,"&lt;"&amp;Tech_Specs!$D16,M$195:M$198)=0,M124=0),0,M269*(1/M124-1)/SUMIF(Tech_Specs!$D$15:$D$18,"&lt;"&amp;Tech_Specs!$D16,M$195:M$198))</f>
        <v>2.7539976547302812E-5</v>
      </c>
      <c r="N232" s="201">
        <f>IF(OR(SUMIF(Tech_Specs!$D$15:$D$18,"&lt;"&amp;Tech_Specs!$D16,N$195:N$198)=0,N124=0),0,N269*(1/N124-1)/SUMIF(Tech_Specs!$D$15:$D$18,"&lt;"&amp;Tech_Specs!$D16,N$195:N$198))</f>
        <v>2.1258669766880895E-5</v>
      </c>
      <c r="O232" s="201">
        <f>IF(OR(SUMIF(Tech_Specs!$D$15:$D$18,"&lt;"&amp;Tech_Specs!$D16,O$195:O$198)=0,O124=0),0,O269*(1/O124-1)/SUMIF(Tech_Specs!$D$15:$D$18,"&lt;"&amp;Tech_Specs!$D16,O$195:O$198))</f>
        <v>1.5607060205570311E-5</v>
      </c>
      <c r="P232" s="201">
        <f>IF(OR(SUMIF(Tech_Specs!$D$15:$D$18,"&lt;"&amp;Tech_Specs!$D16,P$195:P$198)=0,P124=0),0,P269*(1/P124-1)/SUMIF(Tech_Specs!$D$15:$D$18,"&lt;"&amp;Tech_Specs!$D16,P$195:P$198))</f>
        <v>1.1231056672507564E-5</v>
      </c>
      <c r="Q232" s="201">
        <f>IF(OR(SUMIF(Tech_Specs!$D$15:$D$18,"&lt;"&amp;Tech_Specs!$D16,Q$195:Q$198)=0,Q124=0),0,Q269*(1/Q124-1)/SUMIF(Tech_Specs!$D$15:$D$18,"&lt;"&amp;Tech_Specs!$D16,Q$195:Q$198))</f>
        <v>7.968373005685774E-6</v>
      </c>
      <c r="R232" s="201">
        <f>IF(OR(SUMIF(Tech_Specs!$D$15:$D$18,"&lt;"&amp;Tech_Specs!$D16,R$195:R$198)=0,R124=0),0,R269*(1/R124-1)/SUMIF(Tech_Specs!$D$15:$D$18,"&lt;"&amp;Tech_Specs!$D16,R$195:R$198))</f>
        <v>5.5325089981901934E-6</v>
      </c>
      <c r="S232" s="201">
        <f>IF(OR(SUMIF(Tech_Specs!$D$15:$D$18,"&lt;"&amp;Tech_Specs!$D16,S$195:S$198)=0,S124=0),0,S269*(1/S124-1)/SUMIF(Tech_Specs!$D$15:$D$18,"&lt;"&amp;Tech_Specs!$D16,S$195:S$198))</f>
        <v>3.7910858055868059E-6</v>
      </c>
      <c r="T232" s="201">
        <f>IF(OR(SUMIF(Tech_Specs!$D$15:$D$18,"&lt;"&amp;Tech_Specs!$D16,T$195:T$198)=0,T124=0),0,T269*(1/T124-1)/SUMIF(Tech_Specs!$D$15:$D$18,"&lt;"&amp;Tech_Specs!$D16,T$195:T$198))</f>
        <v>2.5824908835575581E-6</v>
      </c>
      <c r="U232" s="201">
        <f>IF(OR(SUMIF(Tech_Specs!$D$15:$D$18,"&lt;"&amp;Tech_Specs!$D16,U$195:U$198)=0,U124=0),0,U269*(1/U124-1)/SUMIF(Tech_Specs!$D$15:$D$18,"&lt;"&amp;Tech_Specs!$D16,U$195:U$198))</f>
        <v>1.7439636326872575E-6</v>
      </c>
      <c r="V232" s="201">
        <f>IF(OR(SUMIF(Tech_Specs!$D$15:$D$18,"&lt;"&amp;Tech_Specs!$D16,V$195:V$198)=0,V124=0),0,V269*(1/V124-1)/SUMIF(Tech_Specs!$D$15:$D$18,"&lt;"&amp;Tech_Specs!$D16,V$195:V$198))</f>
        <v>1.1839788482052739E-6</v>
      </c>
      <c r="W232" s="201">
        <f>IF(OR(SUMIF(Tech_Specs!$D$15:$D$18,"&lt;"&amp;Tech_Specs!$D16,W$195:W$198)=0,W124=0),0,W269*(1/W124-1)/SUMIF(Tech_Specs!$D$15:$D$18,"&lt;"&amp;Tech_Specs!$D16,W$195:W$198))</f>
        <v>8.1062171658647526E-7</v>
      </c>
      <c r="X232" s="201">
        <f>IF(OR(SUMIF(Tech_Specs!$D$15:$D$18,"&lt;"&amp;Tech_Specs!$D16,X$195:X$198)=0,X124=0),0,X269*(1/X124-1)/SUMIF(Tech_Specs!$D$15:$D$18,"&lt;"&amp;Tech_Specs!$D16,X$195:X$198))</f>
        <v>5.6161429952641778E-7</v>
      </c>
      <c r="Y232" s="201">
        <f>IF(OR(SUMIF(Tech_Specs!$D$15:$D$18,"&lt;"&amp;Tech_Specs!$D16,Y$195:Y$198)=0,Y124=0),0,Y269*(1/Y124-1)/SUMIF(Tech_Specs!$D$15:$D$18,"&lt;"&amp;Tech_Specs!$D16,Y$195:Y$198))</f>
        <v>3.9297789857319753E-7</v>
      </c>
      <c r="Z232" s="201">
        <f>IF(OR(SUMIF(Tech_Specs!$D$15:$D$18,"&lt;"&amp;Tech_Specs!$D16,Z$195:Z$198)=0,Z124=0),0,Z269*(1/Z124-1)/SUMIF(Tech_Specs!$D$15:$D$18,"&lt;"&amp;Tech_Specs!$D16,Z$195:Z$198))</f>
        <v>2.7754056791665215E-7</v>
      </c>
      <c r="AA232" s="201">
        <f>IF(OR(SUMIF(Tech_Specs!$D$15:$D$18,"&lt;"&amp;Tech_Specs!$D16,AA$195:AA$198)=0,AA124=0),0,AA269*(1/AA124-1)/SUMIF(Tech_Specs!$D$15:$D$18,"&lt;"&amp;Tech_Specs!$D16,AA$195:AA$198))</f>
        <v>1.989999247078718E-7</v>
      </c>
      <c r="AB232" s="201">
        <f>IF(OR(SUMIF(Tech_Specs!$D$15:$D$18,"&lt;"&amp;Tech_Specs!$D16,AB$195:AB$198)=0,AB124=0),0,AB269*(1/AB124-1)/SUMIF(Tech_Specs!$D$15:$D$18,"&lt;"&amp;Tech_Specs!$D16,AB$195:AB$198))</f>
        <v>1.4419770618484996E-7</v>
      </c>
      <c r="AC232" s="201">
        <f>IF(OR(SUMIF(Tech_Specs!$D$15:$D$18,"&lt;"&amp;Tech_Specs!$D16,AC$195:AC$198)=0,AC124=0),0,AC269*(1/AC124-1)/SUMIF(Tech_Specs!$D$15:$D$18,"&lt;"&amp;Tech_Specs!$D16,AC$195:AC$198))</f>
        <v>1.0555422900267526E-7</v>
      </c>
      <c r="AD232" s="201">
        <f>IF(OR(SUMIF(Tech_Specs!$D$15:$D$18,"&lt;"&amp;Tech_Specs!$D16,AD$195:AD$198)=0,AD124=0),0,AD269*(1/AD124-1)/SUMIF(Tech_Specs!$D$15:$D$18,"&lt;"&amp;Tech_Specs!$D16,AD$195:AD$198))</f>
        <v>7.8053852400529294E-8</v>
      </c>
      <c r="AE232" s="201">
        <f>IF(OR(SUMIF(Tech_Specs!$D$15:$D$18,"&lt;"&amp;Tech_Specs!$D16,AE$195:AE$198)=0,AE124=0),0,AE269*(1/AE124-1)/SUMIF(Tech_Specs!$D$15:$D$18,"&lt;"&amp;Tech_Specs!$D16,AE$195:AE$198))</f>
        <v>5.8742759328933715E-8</v>
      </c>
    </row>
    <row r="233" spans="1:31" s="221" customFormat="1" x14ac:dyDescent="0.25">
      <c r="A233" s="376"/>
      <c r="B233" s="388" t="s">
        <v>35</v>
      </c>
      <c r="C233"/>
      <c r="D233"/>
      <c r="E233"/>
      <c r="F233" s="201">
        <f>IF(OR(SUMIF(Tech_Specs!$D$15:$D$18,"&lt;"&amp;Tech_Specs!$D17,F$195:F$198)=0,F125=0),0,F270*(1/F125-1)/SUMIF(Tech_Specs!$D$15:$D$18,"&lt;"&amp;Tech_Specs!$D17,F$195:F$198))</f>
        <v>3.9372714419167463E-3</v>
      </c>
      <c r="G233" s="201">
        <f>IF(OR(SUMIF(Tech_Specs!$D$15:$D$18,"&lt;"&amp;Tech_Specs!$D17,G$195:G$198)=0,G125=0),0,G270*(1/G125-1)/SUMIF(Tech_Specs!$D$15:$D$18,"&lt;"&amp;Tech_Specs!$D17,G$195:G$198))</f>
        <v>3.0194287832912875E-3</v>
      </c>
      <c r="H233" s="201">
        <f>IF(OR(SUMIF(Tech_Specs!$D$15:$D$18,"&lt;"&amp;Tech_Specs!$D17,H$195:H$198)=0,H125=0),0,H270*(1/H125-1)/SUMIF(Tech_Specs!$D$15:$D$18,"&lt;"&amp;Tech_Specs!$D17,H$195:H$198))</f>
        <v>2.6299075860323658E-3</v>
      </c>
      <c r="I233" s="201">
        <f>IF(OR(SUMIF(Tech_Specs!$D$15:$D$18,"&lt;"&amp;Tech_Specs!$D17,I$195:I$198)=0,I125=0),0,I270*(1/I125-1)/SUMIF(Tech_Specs!$D$15:$D$18,"&lt;"&amp;Tech_Specs!$D17,I$195:I$198))</f>
        <v>2.5988928439576978E-3</v>
      </c>
      <c r="J233" s="201">
        <f>IF(OR(SUMIF(Tech_Specs!$D$15:$D$18,"&lt;"&amp;Tech_Specs!$D17,J$195:J$198)=0,J125=0),0,J270*(1/J125-1)/SUMIF(Tech_Specs!$D$15:$D$18,"&lt;"&amp;Tech_Specs!$D17,J$195:J$198))</f>
        <v>2.7255560792119153E-3</v>
      </c>
      <c r="K233" s="201">
        <f>IF(OR(SUMIF(Tech_Specs!$D$15:$D$18,"&lt;"&amp;Tech_Specs!$D17,K$195:K$198)=0,K125=0),0,K270*(1/K125-1)/SUMIF(Tech_Specs!$D$15:$D$18,"&lt;"&amp;Tech_Specs!$D17,K$195:K$198))</f>
        <v>2.3684734883987753E-3</v>
      </c>
      <c r="L233" s="201">
        <f>IF(OR(SUMIF(Tech_Specs!$D$15:$D$18,"&lt;"&amp;Tech_Specs!$D17,L$195:L$198)=0,L125=0),0,L270*(1/L125-1)/SUMIF(Tech_Specs!$D$15:$D$18,"&lt;"&amp;Tech_Specs!$D17,L$195:L$198))</f>
        <v>2.0479287221349314E-3</v>
      </c>
      <c r="M233" s="201">
        <f>IF(OR(SUMIF(Tech_Specs!$D$15:$D$18,"&lt;"&amp;Tech_Specs!$D17,M$195:M$198)=0,M125=0),0,M270*(1/M125-1)/SUMIF(Tech_Specs!$D$15:$D$18,"&lt;"&amp;Tech_Specs!$D17,M$195:M$198))</f>
        <v>1.6566171271602773E-3</v>
      </c>
      <c r="N233" s="201">
        <f>IF(OR(SUMIF(Tech_Specs!$D$15:$D$18,"&lt;"&amp;Tech_Specs!$D17,N$195:N$198)=0,N125=0),0,N270*(1/N125-1)/SUMIF(Tech_Specs!$D$15:$D$18,"&lt;"&amp;Tech_Specs!$D17,N$195:N$198))</f>
        <v>1.2726415406805979E-3</v>
      </c>
      <c r="O233" s="201">
        <f>IF(OR(SUMIF(Tech_Specs!$D$15:$D$18,"&lt;"&amp;Tech_Specs!$D17,O$195:O$198)=0,O125=0),0,O270*(1/O125-1)/SUMIF(Tech_Specs!$D$15:$D$18,"&lt;"&amp;Tech_Specs!$D17,O$195:O$198))</f>
        <v>9.2722955482837965E-4</v>
      </c>
      <c r="P233" s="201">
        <f>IF(OR(SUMIF(Tech_Specs!$D$15:$D$18,"&lt;"&amp;Tech_Specs!$D17,P$195:P$198)=0,P125=0),0,P270*(1/P125-1)/SUMIF(Tech_Specs!$D$15:$D$18,"&lt;"&amp;Tech_Specs!$D17,P$195:P$198))</f>
        <v>6.6240016905095124E-4</v>
      </c>
      <c r="Q233" s="201">
        <f>IF(OR(SUMIF(Tech_Specs!$D$15:$D$18,"&lt;"&amp;Tech_Specs!$D17,Q$195:Q$198)=0,Q125=0),0,Q270*(1/Q125-1)/SUMIF(Tech_Specs!$D$15:$D$18,"&lt;"&amp;Tech_Specs!$D17,Q$195:Q$198))</f>
        <v>4.6679271967995951E-4</v>
      </c>
      <c r="R233" s="201">
        <f>IF(OR(SUMIF(Tech_Specs!$D$15:$D$18,"&lt;"&amp;Tech_Specs!$D17,R$195:R$198)=0,R125=0),0,R270*(1/R125-1)/SUMIF(Tech_Specs!$D$15:$D$18,"&lt;"&amp;Tech_Specs!$D17,R$195:R$198))</f>
        <v>3.2162068670208869E-4</v>
      </c>
      <c r="S233" s="201">
        <f>IF(OR(SUMIF(Tech_Specs!$D$15:$D$18,"&lt;"&amp;Tech_Specs!$D17,S$195:S$198)=0,S125=0),0,S270*(1/S125-1)/SUMIF(Tech_Specs!$D$15:$D$18,"&lt;"&amp;Tech_Specs!$D17,S$195:S$198))</f>
        <v>2.1860524906739312E-4</v>
      </c>
      <c r="T233" s="201">
        <f>IF(OR(SUMIF(Tech_Specs!$D$15:$D$18,"&lt;"&amp;Tech_Specs!$D17,T$195:T$198)=0,T125=0),0,T270*(1/T125-1)/SUMIF(Tech_Specs!$D$15:$D$18,"&lt;"&amp;Tech_Specs!$D17,T$195:T$198))</f>
        <v>1.4767297974224407E-4</v>
      </c>
      <c r="U233" s="201">
        <f>IF(OR(SUMIF(Tech_Specs!$D$15:$D$18,"&lt;"&amp;Tech_Specs!$D17,U$195:U$198)=0,U125=0),0,U270*(1/U125-1)/SUMIF(Tech_Specs!$D$15:$D$18,"&lt;"&amp;Tech_Specs!$D17,U$195:U$198))</f>
        <v>9.8805541603808148E-5</v>
      </c>
      <c r="V233" s="201">
        <f>IF(OR(SUMIF(Tech_Specs!$D$15:$D$18,"&lt;"&amp;Tech_Specs!$D17,V$195:V$198)=0,V125=0),0,V270*(1/V125-1)/SUMIF(Tech_Specs!$D$15:$D$18,"&lt;"&amp;Tech_Specs!$D17,V$195:V$198))</f>
        <v>6.6447941117767575E-5</v>
      </c>
      <c r="W233" s="201">
        <f>IF(OR(SUMIF(Tech_Specs!$D$15:$D$18,"&lt;"&amp;Tech_Specs!$D17,W$195:W$198)=0,W125=0),0,W270*(1/W125-1)/SUMIF(Tech_Specs!$D$15:$D$18,"&lt;"&amp;Tech_Specs!$D17,W$195:W$198))</f>
        <v>4.5049100009496624E-5</v>
      </c>
      <c r="X233" s="201">
        <f>IF(OR(SUMIF(Tech_Specs!$D$15:$D$18,"&lt;"&amp;Tech_Specs!$D17,X$195:X$198)=0,X125=0),0,X270*(1/X125-1)/SUMIF(Tech_Specs!$D$15:$D$18,"&lt;"&amp;Tech_Specs!$D17,X$195:X$198))</f>
        <v>3.0891019640565778E-5</v>
      </c>
      <c r="Y233" s="201">
        <f>IF(OR(SUMIF(Tech_Specs!$D$15:$D$18,"&lt;"&amp;Tech_Specs!$D17,Y$195:Y$198)=0,Y125=0),0,Y270*(1/Y125-1)/SUMIF(Tech_Specs!$D$15:$D$18,"&lt;"&amp;Tech_Specs!$D17,Y$195:Y$198))</f>
        <v>2.1378050908493195E-5</v>
      </c>
      <c r="Z233" s="201">
        <f>IF(OR(SUMIF(Tech_Specs!$D$15:$D$18,"&lt;"&amp;Tech_Specs!$D17,Z$195:Z$198)=0,Z125=0),0,Z270*(1/Z125-1)/SUMIF(Tech_Specs!$D$15:$D$18,"&lt;"&amp;Tech_Specs!$D17,Z$195:Z$198))</f>
        <v>1.4920843890715699E-5</v>
      </c>
      <c r="AA233" s="201">
        <f>IF(OR(SUMIF(Tech_Specs!$D$15:$D$18,"&lt;"&amp;Tech_Specs!$D17,AA$195:AA$198)=0,AA125=0),0,AA270*(1/AA125-1)/SUMIF(Tech_Specs!$D$15:$D$18,"&lt;"&amp;Tech_Specs!$D17,AA$195:AA$198))</f>
        <v>1.0565583334427965E-5</v>
      </c>
      <c r="AB233" s="201">
        <f>IF(OR(SUMIF(Tech_Specs!$D$15:$D$18,"&lt;"&amp;Tech_Specs!$D17,AB$195:AB$198)=0,AB125=0),0,AB270*(1/AB125-1)/SUMIF(Tech_Specs!$D$15:$D$18,"&lt;"&amp;Tech_Specs!$D17,AB$195:AB$198))</f>
        <v>7.554479766010127E-6</v>
      </c>
      <c r="AC233" s="201">
        <f>IF(OR(SUMIF(Tech_Specs!$D$15:$D$18,"&lt;"&amp;Tech_Specs!$D17,AC$195:AC$198)=0,AC125=0),0,AC270*(1/AC125-1)/SUMIF(Tech_Specs!$D$15:$D$18,"&lt;"&amp;Tech_Specs!$D17,AC$195:AC$198))</f>
        <v>5.4517393299168315E-6</v>
      </c>
      <c r="AD233" s="201">
        <f>IF(OR(SUMIF(Tech_Specs!$D$15:$D$18,"&lt;"&amp;Tech_Specs!$D17,AD$195:AD$198)=0,AD125=0),0,AD270*(1/AD125-1)/SUMIF(Tech_Specs!$D$15:$D$18,"&lt;"&amp;Tech_Specs!$D17,AD$195:AD$198))</f>
        <v>3.9702623593124673E-6</v>
      </c>
      <c r="AE233" s="201">
        <f>IF(OR(SUMIF(Tech_Specs!$D$15:$D$18,"&lt;"&amp;Tech_Specs!$D17,AE$195:AE$198)=0,AE125=0),0,AE270*(1/AE125-1)/SUMIF(Tech_Specs!$D$15:$D$18,"&lt;"&amp;Tech_Specs!$D17,AE$195:AE$198))</f>
        <v>2.9376714927046287E-6</v>
      </c>
    </row>
    <row r="234" spans="1:31" s="221" customFormat="1" x14ac:dyDescent="0.25">
      <c r="A234" s="376"/>
      <c r="B234" s="388" t="s">
        <v>29</v>
      </c>
      <c r="C234"/>
      <c r="D234"/>
      <c r="E234"/>
      <c r="F234" s="201">
        <f>IF(OR(SUMIF(Tech_Specs!$D$15:$D$18,"&lt;"&amp;Tech_Specs!$D18,F$195:F$198)=0,F126=0),0,F271*(1/F126-1)/SUMIF(Tech_Specs!$D$15:$D$18,"&lt;"&amp;Tech_Specs!$D18,F$195:F$198))</f>
        <v>3.2885883977432133E-4</v>
      </c>
      <c r="G234" s="201">
        <f>IF(OR(SUMIF(Tech_Specs!$D$15:$D$18,"&lt;"&amp;Tech_Specs!$D18,G$195:G$198)=0,G126=0),0,G271*(1/G126-1)/SUMIF(Tech_Specs!$D$15:$D$18,"&lt;"&amp;Tech_Specs!$D18,G$195:G$198))</f>
        <v>2.9721785203217096E-2</v>
      </c>
      <c r="H234" s="201">
        <f>IF(OR(SUMIF(Tech_Specs!$D$15:$D$18,"&lt;"&amp;Tech_Specs!$D18,H$195:H$198)=0,H126=0),0,H271*(1/H126-1)/SUMIF(Tech_Specs!$D$15:$D$18,"&lt;"&amp;Tech_Specs!$D18,H$195:H$198))</f>
        <v>0.17344699703798067</v>
      </c>
      <c r="I234" s="201">
        <f>IF(OR(SUMIF(Tech_Specs!$D$15:$D$18,"&lt;"&amp;Tech_Specs!$D18,I$195:I$198)=0,I126=0),0,I271*(1/I126-1)/SUMIF(Tech_Specs!$D$15:$D$18,"&lt;"&amp;Tech_Specs!$D18,I$195:I$198))</f>
        <v>0.462731156536694</v>
      </c>
      <c r="J234" s="201">
        <f>IF(OR(SUMIF(Tech_Specs!$D$15:$D$18,"&lt;"&amp;Tech_Specs!$D18,J$195:J$198)=0,J126=0),0,J271*(1/J126-1)/SUMIF(Tech_Specs!$D$15:$D$18,"&lt;"&amp;Tech_Specs!$D18,J$195:J$198))</f>
        <v>0.88047802789514573</v>
      </c>
      <c r="K234" s="201">
        <f>IF(OR(SUMIF(Tech_Specs!$D$15:$D$18,"&lt;"&amp;Tech_Specs!$D18,K$195:K$198)=0,K126=0),0,K271*(1/K126-1)/SUMIF(Tech_Specs!$D$15:$D$18,"&lt;"&amp;Tech_Specs!$D18,K$195:K$198))</f>
        <v>1.2330644787270491</v>
      </c>
      <c r="L234" s="201">
        <f>IF(OR(SUMIF(Tech_Specs!$D$15:$D$18,"&lt;"&amp;Tech_Specs!$D18,L$195:L$198)=0,L126=0),0,L271*(1/L126-1)/SUMIF(Tech_Specs!$D$15:$D$18,"&lt;"&amp;Tech_Specs!$D18,L$195:L$198))</f>
        <v>1.566847707977796</v>
      </c>
      <c r="M234" s="201">
        <f>IF(OR(SUMIF(Tech_Specs!$D$15:$D$18,"&lt;"&amp;Tech_Specs!$D18,M$195:M$198)=0,M126=0),0,M271*(1/M126-1)/SUMIF(Tech_Specs!$D$15:$D$18,"&lt;"&amp;Tech_Specs!$D18,M$195:M$198))</f>
        <v>1.7940977803420612</v>
      </c>
      <c r="N234" s="201">
        <f>IF(OR(SUMIF(Tech_Specs!$D$15:$D$18,"&lt;"&amp;Tech_Specs!$D18,N$195:N$198)=0,N126=0),0,N271*(1/N126-1)/SUMIF(Tech_Specs!$D$15:$D$18,"&lt;"&amp;Tech_Specs!$D18,N$195:N$198))</f>
        <v>1.9062442026142672</v>
      </c>
      <c r="O234" s="201">
        <f>IF(OR(SUMIF(Tech_Specs!$D$15:$D$18,"&lt;"&amp;Tech_Specs!$D18,O$195:O$198)=0,O126=0),0,O271*(1/O126-1)/SUMIF(Tech_Specs!$D$15:$D$18,"&lt;"&amp;Tech_Specs!$D18,O$195:O$198))</f>
        <v>1.8964489644591038</v>
      </c>
      <c r="P234" s="201">
        <f>IF(OR(SUMIF(Tech_Specs!$D$15:$D$18,"&lt;"&amp;Tech_Specs!$D18,P$195:P$198)=0,P126=0),0,P271*(1/P126-1)/SUMIF(Tech_Specs!$D$15:$D$18,"&lt;"&amp;Tech_Specs!$D18,P$195:P$198))</f>
        <v>1.8161492566351674</v>
      </c>
      <c r="Q234" s="201">
        <f>IF(OR(SUMIF(Tech_Specs!$D$15:$D$18,"&lt;"&amp;Tech_Specs!$D18,Q$195:Q$198)=0,Q126=0),0,Q271*(1/Q126-1)/SUMIF(Tech_Specs!$D$15:$D$18,"&lt;"&amp;Tech_Specs!$D18,Q$195:Q$198))</f>
        <v>1.6830680070350166</v>
      </c>
      <c r="R234" s="201">
        <f>IF(OR(SUMIF(Tech_Specs!$D$15:$D$18,"&lt;"&amp;Tech_Specs!$D18,R$195:R$198)=0,R126=0),0,R271*(1/R126-1)/SUMIF(Tech_Specs!$D$15:$D$18,"&lt;"&amp;Tech_Specs!$D18,R$195:R$198))</f>
        <v>1.5036998846833232</v>
      </c>
      <c r="S234" s="201">
        <f>IF(OR(SUMIF(Tech_Specs!$D$15:$D$18,"&lt;"&amp;Tech_Specs!$D18,S$195:S$198)=0,S126=0),0,S271*(1/S126-1)/SUMIF(Tech_Specs!$D$15:$D$18,"&lt;"&amp;Tech_Specs!$D18,S$195:S$198))</f>
        <v>1.3030966121019008</v>
      </c>
      <c r="T234" s="201">
        <f>IF(OR(SUMIF(Tech_Specs!$D$15:$D$18,"&lt;"&amp;Tech_Specs!$D18,T$195:T$198)=0,T126=0),0,T271*(1/T126-1)/SUMIF(Tech_Specs!$D$15:$D$18,"&lt;"&amp;Tech_Specs!$D18,T$195:T$198))</f>
        <v>1.1007739466814963</v>
      </c>
      <c r="U234" s="201">
        <f>IF(OR(SUMIF(Tech_Specs!$D$15:$D$18,"&lt;"&amp;Tech_Specs!$D18,U$195:U$198)=0,U126=0),0,U271*(1/U126-1)/SUMIF(Tech_Specs!$D$15:$D$18,"&lt;"&amp;Tech_Specs!$D18,U$195:U$198))</f>
        <v>0.90361451894919165</v>
      </c>
      <c r="V234" s="201">
        <f>IF(OR(SUMIF(Tech_Specs!$D$15:$D$18,"&lt;"&amp;Tech_Specs!$D18,V$195:V$198)=0,V126=0),0,V271*(1/V126-1)/SUMIF(Tech_Specs!$D$15:$D$18,"&lt;"&amp;Tech_Specs!$D18,V$195:V$198))</f>
        <v>0.72868041275964968</v>
      </c>
      <c r="W234" s="201">
        <f>IF(OR(SUMIF(Tech_Specs!$D$15:$D$18,"&lt;"&amp;Tech_Specs!$D18,W$195:W$198)=0,W126=0),0,W271*(1/W126-1)/SUMIF(Tech_Specs!$D$15:$D$18,"&lt;"&amp;Tech_Specs!$D18,W$195:W$198))</f>
        <v>0.57884735306174762</v>
      </c>
      <c r="X234" s="201">
        <f>IF(OR(SUMIF(Tech_Specs!$D$15:$D$18,"&lt;"&amp;Tech_Specs!$D18,X$195:X$198)=0,X126=0),0,X271*(1/X126-1)/SUMIF(Tech_Specs!$D$15:$D$18,"&lt;"&amp;Tech_Specs!$D18,X$195:X$198))</f>
        <v>0.45463128403056624</v>
      </c>
      <c r="Y234" s="201">
        <f>IF(OR(SUMIF(Tech_Specs!$D$15:$D$18,"&lt;"&amp;Tech_Specs!$D18,Y$195:Y$198)=0,Y126=0),0,Y271*(1/Y126-1)/SUMIF(Tech_Specs!$D$15:$D$18,"&lt;"&amp;Tech_Specs!$D18,Y$195:Y$198))</f>
        <v>0.35282508886746977</v>
      </c>
      <c r="Z234" s="201">
        <f>IF(OR(SUMIF(Tech_Specs!$D$15:$D$18,"&lt;"&amp;Tech_Specs!$D18,Z$195:Z$198)=0,Z126=0),0,Z271*(1/Z126-1)/SUMIF(Tech_Specs!$D$15:$D$18,"&lt;"&amp;Tech_Specs!$D18,Z$195:Z$198))</f>
        <v>0.27078729621543629</v>
      </c>
      <c r="AA234" s="201">
        <f>IF(OR(SUMIF(Tech_Specs!$D$15:$D$18,"&lt;"&amp;Tech_Specs!$D18,AA$195:AA$198)=0,AA126=0),0,AA271*(1/AA126-1)/SUMIF(Tech_Specs!$D$15:$D$18,"&lt;"&amp;Tech_Specs!$D18,AA$195:AA$198))</f>
        <v>0.20713245285606455</v>
      </c>
      <c r="AB234" s="201">
        <f>IF(OR(SUMIF(Tech_Specs!$D$15:$D$18,"&lt;"&amp;Tech_Specs!$D18,AB$195:AB$198)=0,AB126=0),0,AB271*(1/AB126-1)/SUMIF(Tech_Specs!$D$15:$D$18,"&lt;"&amp;Tech_Specs!$D18,AB$195:AB$198))</f>
        <v>0.15757317837627074</v>
      </c>
      <c r="AC234" s="201">
        <f>IF(OR(SUMIF(Tech_Specs!$D$15:$D$18,"&lt;"&amp;Tech_Specs!$D18,AC$195:AC$198)=0,AC126=0),0,AC271*(1/AC126-1)/SUMIF(Tech_Specs!$D$15:$D$18,"&lt;"&amp;Tech_Specs!$D18,AC$195:AC$198))</f>
        <v>0.11944625840933212</v>
      </c>
      <c r="AD234" s="201">
        <f>IF(OR(SUMIF(Tech_Specs!$D$15:$D$18,"&lt;"&amp;Tech_Specs!$D18,AD$195:AD$198)=0,AD126=0),0,AD271*(1/AD126-1)/SUMIF(Tech_Specs!$D$15:$D$18,"&lt;"&amp;Tech_Specs!$D18,AD$195:AD$198))</f>
        <v>9.0423121292601216E-2</v>
      </c>
      <c r="AE234" s="201">
        <f>IF(OR(SUMIF(Tech_Specs!$D$15:$D$18,"&lt;"&amp;Tech_Specs!$D18,AE$195:AE$198)=0,AE126=0),0,AE271*(1/AE126-1)/SUMIF(Tech_Specs!$D$15:$D$18,"&lt;"&amp;Tech_Specs!$D18,AE$195:AE$198))</f>
        <v>6.9034140615450615E-2</v>
      </c>
    </row>
    <row r="235" spans="1:31" s="221" customFormat="1" x14ac:dyDescent="0.25">
      <c r="A235" s="376"/>
      <c r="B235" s="376"/>
      <c r="C235"/>
      <c r="D235"/>
      <c r="E235"/>
      <c r="F235"/>
      <c r="G235"/>
      <c r="H235"/>
      <c r="I235"/>
      <c r="J235"/>
      <c r="K235"/>
      <c r="L235"/>
      <c r="M235"/>
      <c r="N235"/>
      <c r="O235"/>
      <c r="P235"/>
      <c r="Q235"/>
      <c r="R235"/>
      <c r="S235"/>
      <c r="T235"/>
      <c r="U235"/>
      <c r="V235"/>
      <c r="W235"/>
      <c r="X235"/>
      <c r="Y235"/>
      <c r="Z235"/>
      <c r="AA235"/>
      <c r="AB235"/>
      <c r="AC235"/>
      <c r="AD235"/>
      <c r="AE235"/>
    </row>
    <row r="236" spans="1:31" s="202" customFormat="1" ht="12.75" x14ac:dyDescent="0.2">
      <c r="A236" s="402" t="s">
        <v>36</v>
      </c>
      <c r="B236" s="402"/>
      <c r="C236" s="402"/>
      <c r="D236" s="402"/>
      <c r="E236" s="402"/>
      <c r="F236" s="402"/>
      <c r="G236" s="402"/>
      <c r="H236" s="402"/>
      <c r="I236" s="402"/>
      <c r="J236" s="402"/>
      <c r="K236" s="402"/>
      <c r="L236" s="402"/>
      <c r="M236" s="402"/>
      <c r="N236" s="402"/>
      <c r="O236" s="402"/>
      <c r="P236" s="402"/>
      <c r="Q236" s="402"/>
      <c r="R236" s="402"/>
      <c r="S236" s="402"/>
      <c r="T236" s="402"/>
      <c r="U236" s="402"/>
      <c r="V236" s="402"/>
      <c r="W236" s="402"/>
      <c r="X236" s="402"/>
      <c r="Y236" s="402"/>
      <c r="Z236" s="402"/>
      <c r="AA236" s="402"/>
      <c r="AB236" s="402"/>
      <c r="AC236" s="402"/>
      <c r="AD236" s="402"/>
      <c r="AE236" s="402"/>
    </row>
    <row r="237" spans="1:31" s="221" customFormat="1" x14ac:dyDescent="0.25">
      <c r="A237" s="376"/>
      <c r="B237" s="376" t="s">
        <v>37</v>
      </c>
      <c r="C237"/>
      <c r="D237"/>
      <c r="E237"/>
      <c r="F237" s="201">
        <f>IF(OR(SUMIF(Tech_Specs!$D$21:$D$24,"&lt;"&amp;Tech_Specs!$D21,F$201:F$204)=0,F129=0),0,F274*(1/F129-1)/SUMIF(Tech_Specs!$D$21:$D$24,"&lt;"&amp;Tech_Specs!$D21,F$201:F$204))</f>
        <v>0</v>
      </c>
      <c r="G237" s="201">
        <f>IF(OR(SUMIF(Tech_Specs!$D$21:$D$24,"&lt;"&amp;Tech_Specs!$D21,G$201:G$204)=0,G129=0),0,G274*(1/G129-1)/SUMIF(Tech_Specs!$D$21:$D$24,"&lt;"&amp;Tech_Specs!$D21,G$201:G$204))</f>
        <v>0</v>
      </c>
      <c r="H237" s="201">
        <f>IF(OR(SUMIF(Tech_Specs!$D$21:$D$24,"&lt;"&amp;Tech_Specs!$D21,H$201:H$204)=0,H129=0),0,H274*(1/H129-1)/SUMIF(Tech_Specs!$D$21:$D$24,"&lt;"&amp;Tech_Specs!$D21,H$201:H$204))</f>
        <v>0</v>
      </c>
      <c r="I237" s="201">
        <f>IF(OR(SUMIF(Tech_Specs!$D$21:$D$24,"&lt;"&amp;Tech_Specs!$D21,I$201:I$204)=0,I129=0),0,I274*(1/I129-1)/SUMIF(Tech_Specs!$D$21:$D$24,"&lt;"&amp;Tech_Specs!$D21,I$201:I$204))</f>
        <v>0</v>
      </c>
      <c r="J237" s="201">
        <f>IF(OR(SUMIF(Tech_Specs!$D$21:$D$24,"&lt;"&amp;Tech_Specs!$D21,J$201:J$204)=0,J129=0),0,J274*(1/J129-1)/SUMIF(Tech_Specs!$D$21:$D$24,"&lt;"&amp;Tech_Specs!$D21,J$201:J$204))</f>
        <v>0</v>
      </c>
      <c r="K237" s="201">
        <f>IF(OR(SUMIF(Tech_Specs!$D$21:$D$24,"&lt;"&amp;Tech_Specs!$D21,K$201:K$204)=0,K129=0),0,K274*(1/K129-1)/SUMIF(Tech_Specs!$D$21:$D$24,"&lt;"&amp;Tech_Specs!$D21,K$201:K$204))</f>
        <v>0</v>
      </c>
      <c r="L237" s="201">
        <f>IF(OR(SUMIF(Tech_Specs!$D$21:$D$24,"&lt;"&amp;Tech_Specs!$D21,L$201:L$204)=0,L129=0),0,L274*(1/L129-1)/SUMIF(Tech_Specs!$D$21:$D$24,"&lt;"&amp;Tech_Specs!$D21,L$201:L$204))</f>
        <v>0</v>
      </c>
      <c r="M237" s="201">
        <f>IF(OR(SUMIF(Tech_Specs!$D$21:$D$24,"&lt;"&amp;Tech_Specs!$D21,M$201:M$204)=0,M129=0),0,M274*(1/M129-1)/SUMIF(Tech_Specs!$D$21:$D$24,"&lt;"&amp;Tech_Specs!$D21,M$201:M$204))</f>
        <v>0</v>
      </c>
      <c r="N237" s="201">
        <f>IF(OR(SUMIF(Tech_Specs!$D$21:$D$24,"&lt;"&amp;Tech_Specs!$D21,N$201:N$204)=0,N129=0),0,N274*(1/N129-1)/SUMIF(Tech_Specs!$D$21:$D$24,"&lt;"&amp;Tech_Specs!$D21,N$201:N$204))</f>
        <v>0</v>
      </c>
      <c r="O237" s="201">
        <f>IF(OR(SUMIF(Tech_Specs!$D$21:$D$24,"&lt;"&amp;Tech_Specs!$D21,O$201:O$204)=0,O129=0),0,O274*(1/O129-1)/SUMIF(Tech_Specs!$D$21:$D$24,"&lt;"&amp;Tech_Specs!$D21,O$201:O$204))</f>
        <v>0</v>
      </c>
      <c r="P237" s="201">
        <f>IF(OR(SUMIF(Tech_Specs!$D$21:$D$24,"&lt;"&amp;Tech_Specs!$D21,P$201:P$204)=0,P129=0),0,P274*(1/P129-1)/SUMIF(Tech_Specs!$D$21:$D$24,"&lt;"&amp;Tech_Specs!$D21,P$201:P$204))</f>
        <v>0</v>
      </c>
      <c r="Q237" s="201">
        <f>IF(OR(SUMIF(Tech_Specs!$D$21:$D$24,"&lt;"&amp;Tech_Specs!$D21,Q$201:Q$204)=0,Q129=0),0,Q274*(1/Q129-1)/SUMIF(Tech_Specs!$D$21:$D$24,"&lt;"&amp;Tech_Specs!$D21,Q$201:Q$204))</f>
        <v>0</v>
      </c>
      <c r="R237" s="201">
        <f>IF(OR(SUMIF(Tech_Specs!$D$21:$D$24,"&lt;"&amp;Tech_Specs!$D21,R$201:R$204)=0,R129=0),0,R274*(1/R129-1)/SUMIF(Tech_Specs!$D$21:$D$24,"&lt;"&amp;Tech_Specs!$D21,R$201:R$204))</f>
        <v>0</v>
      </c>
      <c r="S237" s="201">
        <f>IF(OR(SUMIF(Tech_Specs!$D$21:$D$24,"&lt;"&amp;Tech_Specs!$D21,S$201:S$204)=0,S129=0),0,S274*(1/S129-1)/SUMIF(Tech_Specs!$D$21:$D$24,"&lt;"&amp;Tech_Specs!$D21,S$201:S$204))</f>
        <v>0</v>
      </c>
      <c r="T237" s="201">
        <f>IF(OR(SUMIF(Tech_Specs!$D$21:$D$24,"&lt;"&amp;Tech_Specs!$D21,T$201:T$204)=0,T129=0),0,T274*(1/T129-1)/SUMIF(Tech_Specs!$D$21:$D$24,"&lt;"&amp;Tech_Specs!$D21,T$201:T$204))</f>
        <v>0</v>
      </c>
      <c r="U237" s="201">
        <f>IF(OR(SUMIF(Tech_Specs!$D$21:$D$24,"&lt;"&amp;Tech_Specs!$D21,U$201:U$204)=0,U129=0),0,U274*(1/U129-1)/SUMIF(Tech_Specs!$D$21:$D$24,"&lt;"&amp;Tech_Specs!$D21,U$201:U$204))</f>
        <v>0</v>
      </c>
      <c r="V237" s="201">
        <f>IF(OR(SUMIF(Tech_Specs!$D$21:$D$24,"&lt;"&amp;Tech_Specs!$D21,V$201:V$204)=0,V129=0),0,V274*(1/V129-1)/SUMIF(Tech_Specs!$D$21:$D$24,"&lt;"&amp;Tech_Specs!$D21,V$201:V$204))</f>
        <v>0</v>
      </c>
      <c r="W237" s="201">
        <f>IF(OR(SUMIF(Tech_Specs!$D$21:$D$24,"&lt;"&amp;Tech_Specs!$D21,W$201:W$204)=0,W129=0),0,W274*(1/W129-1)/SUMIF(Tech_Specs!$D$21:$D$24,"&lt;"&amp;Tech_Specs!$D21,W$201:W$204))</f>
        <v>0</v>
      </c>
      <c r="X237" s="201">
        <f>IF(OR(SUMIF(Tech_Specs!$D$21:$D$24,"&lt;"&amp;Tech_Specs!$D21,X$201:X$204)=0,X129=0),0,X274*(1/X129-1)/SUMIF(Tech_Specs!$D$21:$D$24,"&lt;"&amp;Tech_Specs!$D21,X$201:X$204))</f>
        <v>0</v>
      </c>
      <c r="Y237" s="201">
        <f>IF(OR(SUMIF(Tech_Specs!$D$21:$D$24,"&lt;"&amp;Tech_Specs!$D21,Y$201:Y$204)=0,Y129=0),0,Y274*(1/Y129-1)/SUMIF(Tech_Specs!$D$21:$D$24,"&lt;"&amp;Tech_Specs!$D21,Y$201:Y$204))</f>
        <v>0</v>
      </c>
      <c r="Z237" s="201">
        <f>IF(OR(SUMIF(Tech_Specs!$D$21:$D$24,"&lt;"&amp;Tech_Specs!$D21,Z$201:Z$204)=0,Z129=0),0,Z274*(1/Z129-1)/SUMIF(Tech_Specs!$D$21:$D$24,"&lt;"&amp;Tech_Specs!$D21,Z$201:Z$204))</f>
        <v>0</v>
      </c>
      <c r="AA237" s="201">
        <f>IF(OR(SUMIF(Tech_Specs!$D$21:$D$24,"&lt;"&amp;Tech_Specs!$D21,AA$201:AA$204)=0,AA129=0),0,AA274*(1/AA129-1)/SUMIF(Tech_Specs!$D$21:$D$24,"&lt;"&amp;Tech_Specs!$D21,AA$201:AA$204))</f>
        <v>0</v>
      </c>
      <c r="AB237" s="201">
        <f>IF(OR(SUMIF(Tech_Specs!$D$21:$D$24,"&lt;"&amp;Tech_Specs!$D21,AB$201:AB$204)=0,AB129=0),0,AB274*(1/AB129-1)/SUMIF(Tech_Specs!$D$21:$D$24,"&lt;"&amp;Tech_Specs!$D21,AB$201:AB$204))</f>
        <v>0</v>
      </c>
      <c r="AC237" s="201">
        <f>IF(OR(SUMIF(Tech_Specs!$D$21:$D$24,"&lt;"&amp;Tech_Specs!$D21,AC$201:AC$204)=0,AC129=0),0,AC274*(1/AC129-1)/SUMIF(Tech_Specs!$D$21:$D$24,"&lt;"&amp;Tech_Specs!$D21,AC$201:AC$204))</f>
        <v>0</v>
      </c>
      <c r="AD237" s="201">
        <f>IF(OR(SUMIF(Tech_Specs!$D$21:$D$24,"&lt;"&amp;Tech_Specs!$D21,AD$201:AD$204)=0,AD129=0),0,AD274*(1/AD129-1)/SUMIF(Tech_Specs!$D$21:$D$24,"&lt;"&amp;Tech_Specs!$D21,AD$201:AD$204))</f>
        <v>0</v>
      </c>
      <c r="AE237" s="201">
        <f>IF(OR(SUMIF(Tech_Specs!$D$21:$D$24,"&lt;"&amp;Tech_Specs!$D21,AE$201:AE$204)=0,AE129=0),0,AE274*(1/AE129-1)/SUMIF(Tech_Specs!$D$21:$D$24,"&lt;"&amp;Tech_Specs!$D21,AE$201:AE$204))</f>
        <v>0</v>
      </c>
    </row>
    <row r="238" spans="1:31" s="221" customFormat="1" x14ac:dyDescent="0.25">
      <c r="A238" s="376"/>
      <c r="B238" s="376" t="s">
        <v>39</v>
      </c>
      <c r="C238"/>
      <c r="D238"/>
      <c r="E238"/>
      <c r="F238" s="201">
        <f>IF(OR(SUMIF(Tech_Specs!$D$21:$D$24,"&lt;"&amp;Tech_Specs!$D22,F$201:F$204)=0,F130=0),0,F275*(1/F130-1)/SUMIF(Tech_Specs!$D$21:$D$24,"&lt;"&amp;Tech_Specs!$D22,F$201:F$204))</f>
        <v>0.27014930962242323</v>
      </c>
      <c r="G238" s="201">
        <f>IF(OR(SUMIF(Tech_Specs!$D$21:$D$24,"&lt;"&amp;Tech_Specs!$D22,G$201:G$204)=0,G130=0),0,G275*(1/G130-1)/SUMIF(Tech_Specs!$D$21:$D$24,"&lt;"&amp;Tech_Specs!$D22,G$201:G$204))</f>
        <v>0.18158647239749401</v>
      </c>
      <c r="H238" s="201">
        <f>IF(OR(SUMIF(Tech_Specs!$D$21:$D$24,"&lt;"&amp;Tech_Specs!$D22,H$201:H$204)=0,H130=0),0,H275*(1/H130-1)/SUMIF(Tech_Specs!$D$21:$D$24,"&lt;"&amp;Tech_Specs!$D22,H$201:H$204))</f>
        <v>0.1422570073576761</v>
      </c>
      <c r="I238" s="201">
        <f>IF(OR(SUMIF(Tech_Specs!$D$21:$D$24,"&lt;"&amp;Tech_Specs!$D22,I$201:I$204)=0,I130=0),0,I275*(1/I130-1)/SUMIF(Tech_Specs!$D$21:$D$24,"&lt;"&amp;Tech_Specs!$D22,I$201:I$204))</f>
        <v>0.11701980079179246</v>
      </c>
      <c r="J238" s="201">
        <f>IF(OR(SUMIF(Tech_Specs!$D$21:$D$24,"&lt;"&amp;Tech_Specs!$D22,J$201:J$204)=0,J130=0),0,J275*(1/J130-1)/SUMIF(Tech_Specs!$D$21:$D$24,"&lt;"&amp;Tech_Specs!$D22,J$201:J$204))</f>
        <v>0.10216379702686881</v>
      </c>
      <c r="K238" s="201">
        <f>IF(OR(SUMIF(Tech_Specs!$D$21:$D$24,"&lt;"&amp;Tech_Specs!$D22,K$201:K$204)=0,K130=0),0,K275*(1/K130-1)/SUMIF(Tech_Specs!$D$21:$D$24,"&lt;"&amp;Tech_Specs!$D22,K$201:K$204))</f>
        <v>9.8993981327788971E-2</v>
      </c>
      <c r="L238" s="201">
        <f>IF(OR(SUMIF(Tech_Specs!$D$21:$D$24,"&lt;"&amp;Tech_Specs!$D22,L$201:L$204)=0,L130=0),0,L275*(1/L130-1)/SUMIF(Tech_Specs!$D$21:$D$24,"&lt;"&amp;Tech_Specs!$D22,L$201:L$204))</f>
        <v>0.12855713603757274</v>
      </c>
      <c r="M238" s="201">
        <f>IF(OR(SUMIF(Tech_Specs!$D$21:$D$24,"&lt;"&amp;Tech_Specs!$D22,M$201:M$204)=0,M130=0),0,M275*(1/M130-1)/SUMIF(Tech_Specs!$D$21:$D$24,"&lt;"&amp;Tech_Specs!$D22,M$201:M$204))</f>
        <v>0.28627777557240158</v>
      </c>
      <c r="N238" s="201">
        <f>IF(OR(SUMIF(Tech_Specs!$D$21:$D$24,"&lt;"&amp;Tech_Specs!$D22,N$201:N$204)=0,N130=0),0,N275*(1/N130-1)/SUMIF(Tech_Specs!$D$21:$D$24,"&lt;"&amp;Tech_Specs!$D22,N$201:N$204))</f>
        <v>0.18965364153044723</v>
      </c>
      <c r="O238" s="201">
        <f>IF(OR(SUMIF(Tech_Specs!$D$21:$D$24,"&lt;"&amp;Tech_Specs!$D22,O$201:O$204)=0,O130=0),0,O275*(1/O130-1)/SUMIF(Tech_Specs!$D$21:$D$24,"&lt;"&amp;Tech_Specs!$D22,O$201:O$204))</f>
        <v>0.12637609851671297</v>
      </c>
      <c r="P238" s="201">
        <f>IF(OR(SUMIF(Tech_Specs!$D$21:$D$24,"&lt;"&amp;Tech_Specs!$D22,P$201:P$204)=0,P130=0),0,P275*(1/P130-1)/SUMIF(Tech_Specs!$D$21:$D$24,"&lt;"&amp;Tech_Specs!$D22,P$201:P$204))</f>
        <v>8.5380956834166521E-2</v>
      </c>
      <c r="Q238" s="201">
        <f>IF(OR(SUMIF(Tech_Specs!$D$21:$D$24,"&lt;"&amp;Tech_Specs!$D22,Q$201:Q$204)=0,Q130=0),0,Q275*(1/Q130-1)/SUMIF(Tech_Specs!$D$21:$D$24,"&lt;"&amp;Tech_Specs!$D22,Q$201:Q$204))</f>
        <v>5.8517979233650728E-2</v>
      </c>
      <c r="R238" s="201">
        <f>IF(OR(SUMIF(Tech_Specs!$D$21:$D$24,"&lt;"&amp;Tech_Specs!$D22,R$201:R$204)=0,R130=0),0,R275*(1/R130-1)/SUMIF(Tech_Specs!$D$21:$D$24,"&lt;"&amp;Tech_Specs!$D22,R$201:R$204))</f>
        <v>4.0537973534849552E-2</v>
      </c>
      <c r="S238" s="201">
        <f>IF(OR(SUMIF(Tech_Specs!$D$21:$D$24,"&lt;"&amp;Tech_Specs!$D22,S$201:S$204)=0,S130=0),0,S275*(1/S130-1)/SUMIF(Tech_Specs!$D$21:$D$24,"&lt;"&amp;Tech_Specs!$D22,S$201:S$204))</f>
        <v>2.8378559480731255E-2</v>
      </c>
      <c r="T238" s="201">
        <f>IF(OR(SUMIF(Tech_Specs!$D$21:$D$24,"&lt;"&amp;Tech_Specs!$D22,T$201:T$204)=0,T130=0),0,T275*(1/T130-1)/SUMIF(Tech_Specs!$D$21:$D$24,"&lt;"&amp;Tech_Specs!$D22,T$201:T$204))</f>
        <v>2.0058347570993399E-2</v>
      </c>
      <c r="U238" s="201">
        <f>IF(OR(SUMIF(Tech_Specs!$D$21:$D$24,"&lt;"&amp;Tech_Specs!$D22,U$201:U$204)=0,U130=0),0,U275*(1/U130-1)/SUMIF(Tech_Specs!$D$21:$D$24,"&lt;"&amp;Tech_Specs!$D22,U$201:U$204))</f>
        <v>1.4267407579029303E-2</v>
      </c>
      <c r="V238" s="201">
        <f>IF(OR(SUMIF(Tech_Specs!$D$21:$D$24,"&lt;"&amp;Tech_Specs!$D22,V$201:V$204)=0,V130=0),0,V275*(1/V130-1)/SUMIF(Tech_Specs!$D$21:$D$24,"&lt;"&amp;Tech_Specs!$D22,V$201:V$204))</f>
        <v>1.0222002889870645E-2</v>
      </c>
      <c r="W238" s="201">
        <f>IF(OR(SUMIF(Tech_Specs!$D$21:$D$24,"&lt;"&amp;Tech_Specs!$D22,W$201:W$204)=0,W130=0),0,W275*(1/W130-1)/SUMIF(Tech_Specs!$D$21:$D$24,"&lt;"&amp;Tech_Specs!$D22,W$201:W$204))</f>
        <v>7.3676065804756628E-3</v>
      </c>
      <c r="X238" s="201">
        <f>IF(OR(SUMIF(Tech_Specs!$D$21:$D$24,"&lt;"&amp;Tech_Specs!$D22,X$201:X$204)=0,X130=0),0,X275*(1/X130-1)/SUMIF(Tech_Specs!$D$21:$D$24,"&lt;"&amp;Tech_Specs!$D22,X$201:X$204))</f>
        <v>5.3384128986868279E-3</v>
      </c>
      <c r="Y238" s="201">
        <f>IF(OR(SUMIF(Tech_Specs!$D$21:$D$24,"&lt;"&amp;Tech_Specs!$D22,Y$201:Y$204)=0,Y130=0),0,Y275*(1/Y130-1)/SUMIF(Tech_Specs!$D$21:$D$24,"&lt;"&amp;Tech_Specs!$D22,Y$201:Y$204))</f>
        <v>3.8819893735432673E-3</v>
      </c>
      <c r="Z238" s="201">
        <f>IF(OR(SUMIF(Tech_Specs!$D$21:$D$24,"&lt;"&amp;Tech_Specs!$D22,Z$201:Z$204)=0,Z130=0),0,Z275*(1/Z130-1)/SUMIF(Tech_Specs!$D$21:$D$24,"&lt;"&amp;Tech_Specs!$D22,Z$201:Z$204))</f>
        <v>2.8300544969461936E-3</v>
      </c>
      <c r="AA238" s="201">
        <f>IF(OR(SUMIF(Tech_Specs!$D$21:$D$24,"&lt;"&amp;Tech_Specs!$D22,AA$201:AA$204)=0,AA130=0),0,AA275*(1/AA130-1)/SUMIF(Tech_Specs!$D$21:$D$24,"&lt;"&amp;Tech_Specs!$D22,AA$201:AA$204))</f>
        <v>2.0711694272308127E-3</v>
      </c>
      <c r="AB238" s="201">
        <f>IF(OR(SUMIF(Tech_Specs!$D$21:$D$24,"&lt;"&amp;Tech_Specs!$D22,AB$201:AB$204)=0,AB130=0),0,AB275*(1/AB130-1)/SUMIF(Tech_Specs!$D$21:$D$24,"&lt;"&amp;Tech_Specs!$D22,AB$201:AB$204))</f>
        <v>1.5193753540875554E-3</v>
      </c>
      <c r="AC238" s="201">
        <f>IF(OR(SUMIF(Tech_Specs!$D$21:$D$24,"&lt;"&amp;Tech_Specs!$D22,AC$201:AC$204)=0,AC130=0),0,AC275*(1/AC130-1)/SUMIF(Tech_Specs!$D$21:$D$24,"&lt;"&amp;Tech_Specs!$D22,AC$201:AC$204))</f>
        <v>1.1171638993798675E-3</v>
      </c>
      <c r="AD238" s="201">
        <f>IF(OR(SUMIF(Tech_Specs!$D$21:$D$24,"&lt;"&amp;Tech_Specs!$D22,AD$201:AD$204)=0,AD130=0),0,AD275*(1/AD130-1)/SUMIF(Tech_Specs!$D$21:$D$24,"&lt;"&amp;Tech_Specs!$D22,AD$201:AD$204))</f>
        <v>8.2350415454094674E-4</v>
      </c>
      <c r="AE238" s="201">
        <f>IF(OR(SUMIF(Tech_Specs!$D$21:$D$24,"&lt;"&amp;Tech_Specs!$D22,AE$201:AE$204)=0,AE130=0),0,AE275*(1/AE130-1)/SUMIF(Tech_Specs!$D$21:$D$24,"&lt;"&amp;Tech_Specs!$D22,AE$201:AE$204))</f>
        <v>6.1046385387231378E-4</v>
      </c>
    </row>
    <row r="239" spans="1:31" s="221" customFormat="1" x14ac:dyDescent="0.25">
      <c r="A239" s="376"/>
      <c r="B239" s="376" t="s">
        <v>40</v>
      </c>
      <c r="C239"/>
      <c r="D239"/>
      <c r="E239"/>
      <c r="F239" s="201">
        <f>IF(OR(SUMIF(Tech_Specs!$D$21:$D$24,"&lt;"&amp;Tech_Specs!$D23,F$201:F$204)=0,F131=0),0,F276*(1/F131-1)/SUMIF(Tech_Specs!$D$21:$D$24,"&lt;"&amp;Tech_Specs!$D23,F$201:F$204))</f>
        <v>2.3537023873022171</v>
      </c>
      <c r="G239" s="201">
        <f>IF(OR(SUMIF(Tech_Specs!$D$21:$D$24,"&lt;"&amp;Tech_Specs!$D23,G$201:G$204)=0,G131=0),0,G276*(1/G131-1)/SUMIF(Tech_Specs!$D$21:$D$24,"&lt;"&amp;Tech_Specs!$D23,G$201:G$204))</f>
        <v>2.1024357481773457</v>
      </c>
      <c r="H239" s="201">
        <f>IF(OR(SUMIF(Tech_Specs!$D$21:$D$24,"&lt;"&amp;Tech_Specs!$D23,H$201:H$204)=0,H131=0),0,H276*(1/H131-1)/SUMIF(Tech_Specs!$D$21:$D$24,"&lt;"&amp;Tech_Specs!$D23,H$201:H$204))</f>
        <v>1.8082848683175692</v>
      </c>
      <c r="I239" s="201">
        <f>IF(OR(SUMIF(Tech_Specs!$D$21:$D$24,"&lt;"&amp;Tech_Specs!$D23,I$201:I$204)=0,I131=0),0,I276*(1/I131-1)/SUMIF(Tech_Specs!$D$21:$D$24,"&lt;"&amp;Tech_Specs!$D23,I$201:I$204))</f>
        <v>1.5523288219949627</v>
      </c>
      <c r="J239" s="201">
        <f>IF(OR(SUMIF(Tech_Specs!$D$21:$D$24,"&lt;"&amp;Tech_Specs!$D23,J$201:J$204)=0,J131=0),0,J276*(1/J131-1)/SUMIF(Tech_Specs!$D$21:$D$24,"&lt;"&amp;Tech_Specs!$D23,J$201:J$204))</f>
        <v>1.3657160414943075</v>
      </c>
      <c r="K239" s="201">
        <f>IF(OR(SUMIF(Tech_Specs!$D$21:$D$24,"&lt;"&amp;Tech_Specs!$D23,K$201:K$204)=0,K131=0),0,K276*(1/K131-1)/SUMIF(Tech_Specs!$D$21:$D$24,"&lt;"&amp;Tech_Specs!$D23,K$201:K$204))</f>
        <v>1.1728049408868435</v>
      </c>
      <c r="L239" s="201">
        <f>IF(OR(SUMIF(Tech_Specs!$D$21:$D$24,"&lt;"&amp;Tech_Specs!$D23,L$201:L$204)=0,L131=0),0,L276*(1/L131-1)/SUMIF(Tech_Specs!$D$21:$D$24,"&lt;"&amp;Tech_Specs!$D23,L$201:L$204))</f>
        <v>1.0022373971889273</v>
      </c>
      <c r="M239" s="201">
        <f>IF(OR(SUMIF(Tech_Specs!$D$21:$D$24,"&lt;"&amp;Tech_Specs!$D23,M$201:M$204)=0,M131=0),0,M276*(1/M131-1)/SUMIF(Tech_Specs!$D$21:$D$24,"&lt;"&amp;Tech_Specs!$D23,M$201:M$204))</f>
        <v>0.80925145249027808</v>
      </c>
      <c r="N239" s="201">
        <f>IF(OR(SUMIF(Tech_Specs!$D$21:$D$24,"&lt;"&amp;Tech_Specs!$D23,N$201:N$204)=0,N131=0),0,N276*(1/N131-1)/SUMIF(Tech_Specs!$D$21:$D$24,"&lt;"&amp;Tech_Specs!$D23,N$201:N$204))</f>
        <v>0.63650851996169677</v>
      </c>
      <c r="O239" s="201">
        <f>IF(OR(SUMIF(Tech_Specs!$D$21:$D$24,"&lt;"&amp;Tech_Specs!$D23,O$201:O$204)=0,O131=0),0,O276*(1/O131-1)/SUMIF(Tech_Specs!$D$21:$D$24,"&lt;"&amp;Tech_Specs!$D23,O$201:O$204))</f>
        <v>0.49018245475770167</v>
      </c>
      <c r="P239" s="201">
        <f>IF(OR(SUMIF(Tech_Specs!$D$21:$D$24,"&lt;"&amp;Tech_Specs!$D23,P$201:P$204)=0,P131=0),0,P276*(1/P131-1)/SUMIF(Tech_Specs!$D$21:$D$24,"&lt;"&amp;Tech_Specs!$D23,P$201:P$204))</f>
        <v>0.37266608594573652</v>
      </c>
      <c r="Q239" s="201">
        <f>IF(OR(SUMIF(Tech_Specs!$D$21:$D$24,"&lt;"&amp;Tech_Specs!$D23,Q$201:Q$204)=0,Q131=0),0,Q276*(1/Q131-1)/SUMIF(Tech_Specs!$D$21:$D$24,"&lt;"&amp;Tech_Specs!$D23,Q$201:Q$204))</f>
        <v>0.28030172664167691</v>
      </c>
      <c r="R239" s="201">
        <f>IF(OR(SUMIF(Tech_Specs!$D$21:$D$24,"&lt;"&amp;Tech_Specs!$D23,R$201:R$204)=0,R131=0),0,R276*(1/R131-1)/SUMIF(Tech_Specs!$D$21:$D$24,"&lt;"&amp;Tech_Specs!$D23,R$201:R$204))</f>
        <v>0.20820016452958642</v>
      </c>
      <c r="S239" s="201">
        <f>IF(OR(SUMIF(Tech_Specs!$D$21:$D$24,"&lt;"&amp;Tech_Specs!$D23,S$201:S$204)=0,S131=0),0,S276*(1/S131-1)/SUMIF(Tech_Specs!$D$21:$D$24,"&lt;"&amp;Tech_Specs!$D23,S$201:S$204))</f>
        <v>0.15319136334596012</v>
      </c>
      <c r="T239" s="201">
        <f>IF(OR(SUMIF(Tech_Specs!$D$21:$D$24,"&lt;"&amp;Tech_Specs!$D23,T$201:T$204)=0,T131=0),0,T276*(1/T131-1)/SUMIF(Tech_Specs!$D$21:$D$24,"&lt;"&amp;Tech_Specs!$D23,T$201:T$204))</f>
        <v>0.11195723039647323</v>
      </c>
      <c r="U239" s="201">
        <f>IF(OR(SUMIF(Tech_Specs!$D$21:$D$24,"&lt;"&amp;Tech_Specs!$D23,U$201:U$204)=0,U131=0),0,U276*(1/U131-1)/SUMIF(Tech_Specs!$D$21:$D$24,"&lt;"&amp;Tech_Specs!$D23,U$201:U$204))</f>
        <v>8.1218643979093591E-2</v>
      </c>
      <c r="V239" s="201">
        <f>IF(OR(SUMIF(Tech_Specs!$D$21:$D$24,"&lt;"&amp;Tech_Specs!$D23,V$201:V$204)=0,V131=0),0,V276*(1/V131-1)/SUMIF(Tech_Specs!$D$21:$D$24,"&lt;"&amp;Tech_Specs!$D23,V$201:V$204))</f>
        <v>5.8746964152104106E-2</v>
      </c>
      <c r="W239" s="201">
        <f>IF(OR(SUMIF(Tech_Specs!$D$21:$D$24,"&lt;"&amp;Tech_Specs!$D23,W$201:W$204)=0,W131=0),0,W276*(1/W131-1)/SUMIF(Tech_Specs!$D$21:$D$24,"&lt;"&amp;Tech_Specs!$D23,W$201:W$204))</f>
        <v>4.2414457608013087E-2</v>
      </c>
      <c r="X239" s="201">
        <f>IF(OR(SUMIF(Tech_Specs!$D$21:$D$24,"&lt;"&amp;Tech_Specs!$D23,X$201:X$204)=0,X131=0),0,X276*(1/X131-1)/SUMIF(Tech_Specs!$D$21:$D$24,"&lt;"&amp;Tech_Specs!$D23,X$201:X$204))</f>
        <v>3.060411988993194E-2</v>
      </c>
      <c r="Y239" s="201">
        <f>IF(OR(SUMIF(Tech_Specs!$D$21:$D$24,"&lt;"&amp;Tech_Specs!$D23,Y$201:Y$204)=0,Y131=0),0,Y276*(1/Y131-1)/SUMIF(Tech_Specs!$D$21:$D$24,"&lt;"&amp;Tech_Specs!$D23,Y$201:Y$204))</f>
        <v>2.2056921798217173E-2</v>
      </c>
      <c r="Z239" s="201">
        <f>IF(OR(SUMIF(Tech_Specs!$D$21:$D$24,"&lt;"&amp;Tech_Specs!$D23,Z$201:Z$204)=0,Z131=0),0,Z276*(1/Z131-1)/SUMIF(Tech_Specs!$D$21:$D$24,"&lt;"&amp;Tech_Specs!$D23,Z$201:Z$204))</f>
        <v>1.5877643847468322E-2</v>
      </c>
      <c r="AA239" s="201">
        <f>IF(OR(SUMIF(Tech_Specs!$D$21:$D$24,"&lt;"&amp;Tech_Specs!$D23,AA$201:AA$204)=0,AA131=0),0,AA276*(1/AA131-1)/SUMIF(Tech_Specs!$D$21:$D$24,"&lt;"&amp;Tech_Specs!$D23,AA$201:AA$204))</f>
        <v>1.1446096679350086E-2</v>
      </c>
      <c r="AB239" s="201">
        <f>IF(OR(SUMIF(Tech_Specs!$D$21:$D$24,"&lt;"&amp;Tech_Specs!$D23,AB$201:AB$204)=0,AB131=0),0,AB276*(1/AB131-1)/SUMIF(Tech_Specs!$D$21:$D$24,"&lt;"&amp;Tech_Specs!$D23,AB$201:AB$204))</f>
        <v>8.2534163422850158E-3</v>
      </c>
      <c r="AC239" s="201">
        <f>IF(OR(SUMIF(Tech_Specs!$D$21:$D$24,"&lt;"&amp;Tech_Specs!$D23,AC$201:AC$204)=0,AC131=0),0,AC276*(1/AC131-1)/SUMIF(Tech_Specs!$D$21:$D$24,"&lt;"&amp;Tech_Specs!$D23,AC$201:AC$204))</f>
        <v>5.9552703836561202E-3</v>
      </c>
      <c r="AD239" s="201">
        <f>IF(OR(SUMIF(Tech_Specs!$D$21:$D$24,"&lt;"&amp;Tech_Specs!$D23,AD$201:AD$204)=0,AD131=0),0,AD276*(1/AD131-1)/SUMIF(Tech_Specs!$D$21:$D$24,"&lt;"&amp;Tech_Specs!$D23,AD$201:AD$204))</f>
        <v>4.3024654139258945E-3</v>
      </c>
      <c r="AE239" s="201">
        <f>IF(OR(SUMIF(Tech_Specs!$D$21:$D$24,"&lt;"&amp;Tech_Specs!$D23,AE$201:AE$204)=0,AE131=0),0,AE276*(1/AE131-1)/SUMIF(Tech_Specs!$D$21:$D$24,"&lt;"&amp;Tech_Specs!$D23,AE$201:AE$204))</f>
        <v>3.123906332015835E-3</v>
      </c>
    </row>
    <row r="240" spans="1:31" s="221" customFormat="1" x14ac:dyDescent="0.25">
      <c r="A240" s="376"/>
      <c r="B240" s="376" t="s">
        <v>29</v>
      </c>
      <c r="C240"/>
      <c r="D240"/>
      <c r="E240"/>
      <c r="F240" s="201">
        <f>IF(OR(SUMIF(Tech_Specs!$D$21:$D$24,"&lt;"&amp;Tech_Specs!$D24,F$201:F$204)=0,F132=0),0,F277*(1/F132-1)/SUMIF(Tech_Specs!$D$21:$D$24,"&lt;"&amp;Tech_Specs!$D24,F$201:F$204))</f>
        <v>5.1538484734551704E-17</v>
      </c>
      <c r="G240" s="201">
        <f>IF(OR(SUMIF(Tech_Specs!$D$21:$D$24,"&lt;"&amp;Tech_Specs!$D24,G$201:G$204)=0,G132=0),0,G277*(1/G132-1)/SUMIF(Tech_Specs!$D$21:$D$24,"&lt;"&amp;Tech_Specs!$D24,G$201:G$204))</f>
        <v>9.4211935848782708E-10</v>
      </c>
      <c r="H240" s="201">
        <f>IF(OR(SUMIF(Tech_Specs!$D$21:$D$24,"&lt;"&amp;Tech_Specs!$D24,H$201:H$204)=0,H132=0),0,H277*(1/H132-1)/SUMIF(Tech_Specs!$D$21:$D$24,"&lt;"&amp;Tech_Specs!$D24,H$201:H$204))</f>
        <v>6.9493135482125321E-7</v>
      </c>
      <c r="I240" s="201">
        <f>IF(OR(SUMIF(Tech_Specs!$D$21:$D$24,"&lt;"&amp;Tech_Specs!$D24,I$201:I$204)=0,I132=0),0,I277*(1/I132-1)/SUMIF(Tech_Specs!$D$21:$D$24,"&lt;"&amp;Tech_Specs!$D24,I$201:I$204))</f>
        <v>2.5853852850653351E-5</v>
      </c>
      <c r="J240" s="201">
        <f>IF(OR(SUMIF(Tech_Specs!$D$21:$D$24,"&lt;"&amp;Tech_Specs!$D24,J$201:J$204)=0,J132=0),0,J277*(1/J132-1)/SUMIF(Tech_Specs!$D$21:$D$24,"&lt;"&amp;Tech_Specs!$D24,J$201:J$204))</f>
        <v>2.4905488379099879E-4</v>
      </c>
      <c r="K240" s="201">
        <f>IF(OR(SUMIF(Tech_Specs!$D$21:$D$24,"&lt;"&amp;Tech_Specs!$D24,K$201:K$204)=0,K132=0),0,K277*(1/K132-1)/SUMIF(Tech_Specs!$D$21:$D$24,"&lt;"&amp;Tech_Specs!$D24,K$201:K$204))</f>
        <v>1.1342206176182467E-3</v>
      </c>
      <c r="L240" s="201">
        <f>IF(OR(SUMIF(Tech_Specs!$D$21:$D$24,"&lt;"&amp;Tech_Specs!$D24,L$201:L$204)=0,L132=0),0,L277*(1/L132-1)/SUMIF(Tech_Specs!$D$21:$D$24,"&lt;"&amp;Tech_Specs!$D24,L$201:L$204))</f>
        <v>3.3339280804509743E-3</v>
      </c>
      <c r="M240" s="201">
        <f>IF(OR(SUMIF(Tech_Specs!$D$21:$D$24,"&lt;"&amp;Tech_Specs!$D24,M$201:M$204)=0,M132=0),0,M277*(1/M132-1)/SUMIF(Tech_Specs!$D$21:$D$24,"&lt;"&amp;Tech_Specs!$D24,M$201:M$204))</f>
        <v>7.187865626500237E-3</v>
      </c>
      <c r="N240" s="201">
        <f>IF(OR(SUMIF(Tech_Specs!$D$21:$D$24,"&lt;"&amp;Tech_Specs!$D24,N$201:N$204)=0,N132=0),0,N277*(1/N132-1)/SUMIF(Tech_Specs!$D$21:$D$24,"&lt;"&amp;Tech_Specs!$D24,N$201:N$204))</f>
        <v>1.2533337982302399E-2</v>
      </c>
      <c r="O240" s="201">
        <f>IF(OR(SUMIF(Tech_Specs!$D$21:$D$24,"&lt;"&amp;Tech_Specs!$D24,O$201:O$204)=0,O132=0),0,O277*(1/O132-1)/SUMIF(Tech_Specs!$D$21:$D$24,"&lt;"&amp;Tech_Specs!$D24,O$201:O$204))</f>
        <v>1.8644508306497182E-2</v>
      </c>
      <c r="P240" s="201">
        <f>IF(OR(SUMIF(Tech_Specs!$D$21:$D$24,"&lt;"&amp;Tech_Specs!$D24,P$201:P$204)=0,P132=0),0,P277*(1/P132-1)/SUMIF(Tech_Specs!$D$21:$D$24,"&lt;"&amp;Tech_Specs!$D24,P$201:P$204))</f>
        <v>2.4756714240113688E-2</v>
      </c>
      <c r="Q240" s="201">
        <f>IF(OR(SUMIF(Tech_Specs!$D$21:$D$24,"&lt;"&amp;Tech_Specs!$D24,Q$201:Q$204)=0,Q132=0),0,Q277*(1/Q132-1)/SUMIF(Tech_Specs!$D$21:$D$24,"&lt;"&amp;Tech_Specs!$D24,Q$201:Q$204))</f>
        <v>2.9794607114717809E-2</v>
      </c>
      <c r="R240" s="201">
        <f>IF(OR(SUMIF(Tech_Specs!$D$21:$D$24,"&lt;"&amp;Tech_Specs!$D24,R$201:R$204)=0,R132=0),0,R277*(1/R132-1)/SUMIF(Tech_Specs!$D$21:$D$24,"&lt;"&amp;Tech_Specs!$D24,R$201:R$204))</f>
        <v>3.3183270956735941E-2</v>
      </c>
      <c r="S240" s="201">
        <f>IF(OR(SUMIF(Tech_Specs!$D$21:$D$24,"&lt;"&amp;Tech_Specs!$D24,S$201:S$204)=0,S132=0),0,S277*(1/S132-1)/SUMIF(Tech_Specs!$D$21:$D$24,"&lt;"&amp;Tech_Specs!$D24,S$201:S$204))</f>
        <v>3.4670679505830339E-2</v>
      </c>
      <c r="T240" s="201">
        <f>IF(OR(SUMIF(Tech_Specs!$D$21:$D$24,"&lt;"&amp;Tech_Specs!$D24,T$201:T$204)=0,T132=0),0,T277*(1/T132-1)/SUMIF(Tech_Specs!$D$21:$D$24,"&lt;"&amp;Tech_Specs!$D24,T$201:T$204))</f>
        <v>3.434881639252127E-2</v>
      </c>
      <c r="U240" s="201">
        <f>IF(OR(SUMIF(Tech_Specs!$D$21:$D$24,"&lt;"&amp;Tech_Specs!$D24,U$201:U$204)=0,U132=0),0,U277*(1/U132-1)/SUMIF(Tech_Specs!$D$21:$D$24,"&lt;"&amp;Tech_Specs!$D24,U$201:U$204))</f>
        <v>3.2421466966507835E-2</v>
      </c>
      <c r="V240" s="201">
        <f>IF(OR(SUMIF(Tech_Specs!$D$21:$D$24,"&lt;"&amp;Tech_Specs!$D24,V$201:V$204)=0,V132=0),0,V277*(1/V132-1)/SUMIF(Tech_Specs!$D$21:$D$24,"&lt;"&amp;Tech_Specs!$D24,V$201:V$204))</f>
        <v>2.9489147625439222E-2</v>
      </c>
      <c r="W240" s="201">
        <f>IF(OR(SUMIF(Tech_Specs!$D$21:$D$24,"&lt;"&amp;Tech_Specs!$D24,W$201:W$204)=0,W132=0),0,W277*(1/W132-1)/SUMIF(Tech_Specs!$D$21:$D$24,"&lt;"&amp;Tech_Specs!$D24,W$201:W$204))</f>
        <v>2.6004370167128733E-2</v>
      </c>
      <c r="X240" s="201">
        <f>IF(OR(SUMIF(Tech_Specs!$D$21:$D$24,"&lt;"&amp;Tech_Specs!$D24,X$201:X$204)=0,X132=0),0,X277*(1/X132-1)/SUMIF(Tech_Specs!$D$21:$D$24,"&lt;"&amp;Tech_Specs!$D24,X$201:X$204))</f>
        <v>2.2363039720990886E-2</v>
      </c>
      <c r="Y240" s="201">
        <f>IF(OR(SUMIF(Tech_Specs!$D$21:$D$24,"&lt;"&amp;Tech_Specs!$D24,Y$201:Y$204)=0,Y132=0),0,Y277*(1/Y132-1)/SUMIF(Tech_Specs!$D$21:$D$24,"&lt;"&amp;Tech_Specs!$D24,Y$201:Y$204))</f>
        <v>1.8807733661840988E-2</v>
      </c>
      <c r="Z240" s="201">
        <f>IF(OR(SUMIF(Tech_Specs!$D$21:$D$24,"&lt;"&amp;Tech_Specs!$D24,Z$201:Z$204)=0,Z132=0),0,Z277*(1/Z132-1)/SUMIF(Tech_Specs!$D$21:$D$24,"&lt;"&amp;Tech_Specs!$D24,Z$201:Z$204))</f>
        <v>1.5516041544245617E-2</v>
      </c>
      <c r="AA240" s="201">
        <f>IF(OR(SUMIF(Tech_Specs!$D$21:$D$24,"&lt;"&amp;Tech_Specs!$D24,AA$201:AA$204)=0,AA132=0),0,AA277*(1/AA132-1)/SUMIF(Tech_Specs!$D$21:$D$24,"&lt;"&amp;Tech_Specs!$D24,AA$201:AA$204))</f>
        <v>1.2638431307702268E-2</v>
      </c>
      <c r="AB240" s="201">
        <f>IF(OR(SUMIF(Tech_Specs!$D$21:$D$24,"&lt;"&amp;Tech_Specs!$D24,AB$201:AB$204)=0,AB132=0),0,AB277*(1/AB132-1)/SUMIF(Tech_Specs!$D$21:$D$24,"&lt;"&amp;Tech_Specs!$D24,AB$201:AB$204))</f>
        <v>1.0169178091612462E-2</v>
      </c>
      <c r="AC240" s="201">
        <f>IF(OR(SUMIF(Tech_Specs!$D$21:$D$24,"&lt;"&amp;Tech_Specs!$D24,AC$201:AC$204)=0,AC132=0),0,AC277*(1/AC132-1)/SUMIF(Tech_Specs!$D$21:$D$24,"&lt;"&amp;Tech_Specs!$D24,AC$201:AC$204))</f>
        <v>8.1029285549558978E-3</v>
      </c>
      <c r="AD240" s="201">
        <f>IF(OR(SUMIF(Tech_Specs!$D$21:$D$24,"&lt;"&amp;Tech_Specs!$D24,AD$201:AD$204)=0,AD132=0),0,AD277*(1/AD132-1)/SUMIF(Tech_Specs!$D$21:$D$24,"&lt;"&amp;Tech_Specs!$D24,AD$201:AD$204))</f>
        <v>6.4092898970404093E-3</v>
      </c>
      <c r="AE240" s="201">
        <f>IF(OR(SUMIF(Tech_Specs!$D$21:$D$24,"&lt;"&amp;Tech_Specs!$D24,AE$201:AE$204)=0,AE132=0),0,AE277*(1/AE132-1)/SUMIF(Tech_Specs!$D$21:$D$24,"&lt;"&amp;Tech_Specs!$D24,AE$201:AE$204))</f>
        <v>5.0664312266514777E-3</v>
      </c>
    </row>
    <row r="241" spans="1:31" s="221" customFormat="1" x14ac:dyDescent="0.25">
      <c r="A241" s="376"/>
      <c r="B241" s="376"/>
      <c r="C241"/>
      <c r="D241"/>
      <c r="E241"/>
      <c r="F241"/>
      <c r="G241"/>
      <c r="H241"/>
      <c r="I241"/>
      <c r="J241"/>
      <c r="K241"/>
      <c r="L241"/>
      <c r="M241"/>
      <c r="N241"/>
      <c r="O241"/>
      <c r="P241"/>
      <c r="Q241"/>
      <c r="R241"/>
      <c r="S241"/>
      <c r="T241"/>
      <c r="U241"/>
      <c r="V241"/>
      <c r="W241"/>
      <c r="X241"/>
      <c r="Y241"/>
      <c r="Z241"/>
      <c r="AA241"/>
      <c r="AB241"/>
      <c r="AC241"/>
      <c r="AD241"/>
      <c r="AE241"/>
    </row>
    <row r="242" spans="1:31" s="202" customFormat="1" ht="12.75" x14ac:dyDescent="0.2">
      <c r="A242" s="402" t="s">
        <v>42</v>
      </c>
      <c r="B242" s="402"/>
      <c r="C242" s="402"/>
      <c r="D242" s="402"/>
      <c r="E242" s="402"/>
      <c r="F242" s="402"/>
      <c r="G242" s="402"/>
      <c r="H242" s="402"/>
      <c r="I242" s="402"/>
      <c r="J242" s="402"/>
      <c r="K242" s="402"/>
      <c r="L242" s="402"/>
      <c r="M242" s="402"/>
      <c r="N242" s="402"/>
      <c r="O242" s="402"/>
      <c r="P242" s="402"/>
      <c r="Q242" s="402"/>
      <c r="R242" s="402"/>
      <c r="S242" s="402"/>
      <c r="T242" s="402"/>
      <c r="U242" s="402"/>
      <c r="V242" s="402"/>
      <c r="W242" s="402"/>
      <c r="X242" s="402"/>
      <c r="Y242" s="402"/>
      <c r="Z242" s="402"/>
      <c r="AA242" s="402"/>
      <c r="AB242" s="402"/>
      <c r="AC242" s="402"/>
      <c r="AD242" s="402"/>
      <c r="AE242" s="402"/>
    </row>
    <row r="243" spans="1:31" s="221" customFormat="1" x14ac:dyDescent="0.25">
      <c r="A243" s="376"/>
      <c r="B243" s="388" t="s">
        <v>43</v>
      </c>
      <c r="C243"/>
      <c r="D243"/>
      <c r="E243"/>
      <c r="F243" s="201">
        <f>IF(OR(SUMIF(Tech_Specs!$D$27:$D$31,"&lt;"&amp;Tech_Specs!$D27,F$207:F$211)=0,F135=0),0,F280*(1/F135-1)/SUMIF(Tech_Specs!$D$27:$D$31,"&lt;"&amp;Tech_Specs!$D27,F$207:F$211))</f>
        <v>0</v>
      </c>
      <c r="G243" s="201">
        <f>IF(OR(SUMIF(Tech_Specs!$D$27:$D$31,"&lt;"&amp;Tech_Specs!$D27,G$207:G$211)=0,G135=0),0,G280*(1/G135-1)/SUMIF(Tech_Specs!$D$27:$D$31,"&lt;"&amp;Tech_Specs!$D27,G$207:G$211))</f>
        <v>0</v>
      </c>
      <c r="H243" s="201">
        <f>IF(OR(SUMIF(Tech_Specs!$D$27:$D$31,"&lt;"&amp;Tech_Specs!$D27,H$207:H$211)=0,H135=0),0,H280*(1/H135-1)/SUMIF(Tech_Specs!$D$27:$D$31,"&lt;"&amp;Tech_Specs!$D27,H$207:H$211))</f>
        <v>0</v>
      </c>
      <c r="I243" s="201">
        <f>IF(OR(SUMIF(Tech_Specs!$D$27:$D$31,"&lt;"&amp;Tech_Specs!$D27,I$207:I$211)=0,I135=0),0,I280*(1/I135-1)/SUMIF(Tech_Specs!$D$27:$D$31,"&lt;"&amp;Tech_Specs!$D27,I$207:I$211))</f>
        <v>0</v>
      </c>
      <c r="J243" s="201">
        <f>IF(OR(SUMIF(Tech_Specs!$D$27:$D$31,"&lt;"&amp;Tech_Specs!$D27,J$207:J$211)=0,J135=0),0,J280*(1/J135-1)/SUMIF(Tech_Specs!$D$27:$D$31,"&lt;"&amp;Tech_Specs!$D27,J$207:J$211))</f>
        <v>0</v>
      </c>
      <c r="K243" s="201">
        <f>IF(OR(SUMIF(Tech_Specs!$D$27:$D$31,"&lt;"&amp;Tech_Specs!$D27,K$207:K$211)=0,K135=0),0,K280*(1/K135-1)/SUMIF(Tech_Specs!$D$27:$D$31,"&lt;"&amp;Tech_Specs!$D27,K$207:K$211))</f>
        <v>0</v>
      </c>
      <c r="L243" s="201">
        <f>IF(OR(SUMIF(Tech_Specs!$D$27:$D$31,"&lt;"&amp;Tech_Specs!$D27,L$207:L$211)=0,L135=0),0,L280*(1/L135-1)/SUMIF(Tech_Specs!$D$27:$D$31,"&lt;"&amp;Tech_Specs!$D27,L$207:L$211))</f>
        <v>0</v>
      </c>
      <c r="M243" s="201">
        <f>IF(OR(SUMIF(Tech_Specs!$D$27:$D$31,"&lt;"&amp;Tech_Specs!$D27,M$207:M$211)=0,M135=0),0,M280*(1/M135-1)/SUMIF(Tech_Specs!$D$27:$D$31,"&lt;"&amp;Tech_Specs!$D27,M$207:M$211))</f>
        <v>0</v>
      </c>
      <c r="N243" s="201">
        <f>IF(OR(SUMIF(Tech_Specs!$D$27:$D$31,"&lt;"&amp;Tech_Specs!$D27,N$207:N$211)=0,N135=0),0,N280*(1/N135-1)/SUMIF(Tech_Specs!$D$27:$D$31,"&lt;"&amp;Tech_Specs!$D27,N$207:N$211))</f>
        <v>0</v>
      </c>
      <c r="O243" s="201">
        <f>IF(OR(SUMIF(Tech_Specs!$D$27:$D$31,"&lt;"&amp;Tech_Specs!$D27,O$207:O$211)=0,O135=0),0,O280*(1/O135-1)/SUMIF(Tech_Specs!$D$27:$D$31,"&lt;"&amp;Tech_Specs!$D27,O$207:O$211))</f>
        <v>0</v>
      </c>
      <c r="P243" s="201">
        <f>IF(OR(SUMIF(Tech_Specs!$D$27:$D$31,"&lt;"&amp;Tech_Specs!$D27,P$207:P$211)=0,P135=0),0,P280*(1/P135-1)/SUMIF(Tech_Specs!$D$27:$D$31,"&lt;"&amp;Tech_Specs!$D27,P$207:P$211))</f>
        <v>0</v>
      </c>
      <c r="Q243" s="201">
        <f>IF(OR(SUMIF(Tech_Specs!$D$27:$D$31,"&lt;"&amp;Tech_Specs!$D27,Q$207:Q$211)=0,Q135=0),0,Q280*(1/Q135-1)/SUMIF(Tech_Specs!$D$27:$D$31,"&lt;"&amp;Tech_Specs!$D27,Q$207:Q$211))</f>
        <v>0</v>
      </c>
      <c r="R243" s="201">
        <f>IF(OR(SUMIF(Tech_Specs!$D$27:$D$31,"&lt;"&amp;Tech_Specs!$D27,R$207:R$211)=0,R135=0),0,R280*(1/R135-1)/SUMIF(Tech_Specs!$D$27:$D$31,"&lt;"&amp;Tech_Specs!$D27,R$207:R$211))</f>
        <v>0</v>
      </c>
      <c r="S243" s="201">
        <f>IF(OR(SUMIF(Tech_Specs!$D$27:$D$31,"&lt;"&amp;Tech_Specs!$D27,S$207:S$211)=0,S135=0),0,S280*(1/S135-1)/SUMIF(Tech_Specs!$D$27:$D$31,"&lt;"&amp;Tech_Specs!$D27,S$207:S$211))</f>
        <v>0</v>
      </c>
      <c r="T243" s="201">
        <f>IF(OR(SUMIF(Tech_Specs!$D$27:$D$31,"&lt;"&amp;Tech_Specs!$D27,T$207:T$211)=0,T135=0),0,T280*(1/T135-1)/SUMIF(Tech_Specs!$D$27:$D$31,"&lt;"&amp;Tech_Specs!$D27,T$207:T$211))</f>
        <v>0</v>
      </c>
      <c r="U243" s="201">
        <f>IF(OR(SUMIF(Tech_Specs!$D$27:$D$31,"&lt;"&amp;Tech_Specs!$D27,U$207:U$211)=0,U135=0),0,U280*(1/U135-1)/SUMIF(Tech_Specs!$D$27:$D$31,"&lt;"&amp;Tech_Specs!$D27,U$207:U$211))</f>
        <v>0</v>
      </c>
      <c r="V243" s="201">
        <f>IF(OR(SUMIF(Tech_Specs!$D$27:$D$31,"&lt;"&amp;Tech_Specs!$D27,V$207:V$211)=0,V135=0),0,V280*(1/V135-1)/SUMIF(Tech_Specs!$D$27:$D$31,"&lt;"&amp;Tech_Specs!$D27,V$207:V$211))</f>
        <v>0</v>
      </c>
      <c r="W243" s="201">
        <f>IF(OR(SUMIF(Tech_Specs!$D$27:$D$31,"&lt;"&amp;Tech_Specs!$D27,W$207:W$211)=0,W135=0),0,W280*(1/W135-1)/SUMIF(Tech_Specs!$D$27:$D$31,"&lt;"&amp;Tech_Specs!$D27,W$207:W$211))</f>
        <v>0</v>
      </c>
      <c r="X243" s="201">
        <f>IF(OR(SUMIF(Tech_Specs!$D$27:$D$31,"&lt;"&amp;Tech_Specs!$D27,X$207:X$211)=0,X135=0),0,X280*(1/X135-1)/SUMIF(Tech_Specs!$D$27:$D$31,"&lt;"&amp;Tech_Specs!$D27,X$207:X$211))</f>
        <v>0</v>
      </c>
      <c r="Y243" s="201">
        <f>IF(OR(SUMIF(Tech_Specs!$D$27:$D$31,"&lt;"&amp;Tech_Specs!$D27,Y$207:Y$211)=0,Y135=0),0,Y280*(1/Y135-1)/SUMIF(Tech_Specs!$D$27:$D$31,"&lt;"&amp;Tech_Specs!$D27,Y$207:Y$211))</f>
        <v>0</v>
      </c>
      <c r="Z243" s="201">
        <f>IF(OR(SUMIF(Tech_Specs!$D$27:$D$31,"&lt;"&amp;Tech_Specs!$D27,Z$207:Z$211)=0,Z135=0),0,Z280*(1/Z135-1)/SUMIF(Tech_Specs!$D$27:$D$31,"&lt;"&amp;Tech_Specs!$D27,Z$207:Z$211))</f>
        <v>0</v>
      </c>
      <c r="AA243" s="201">
        <f>IF(OR(SUMIF(Tech_Specs!$D$27:$D$31,"&lt;"&amp;Tech_Specs!$D27,AA$207:AA$211)=0,AA135=0),0,AA280*(1/AA135-1)/SUMIF(Tech_Specs!$D$27:$D$31,"&lt;"&amp;Tech_Specs!$D27,AA$207:AA$211))</f>
        <v>0</v>
      </c>
      <c r="AB243" s="201">
        <f>IF(OR(SUMIF(Tech_Specs!$D$27:$D$31,"&lt;"&amp;Tech_Specs!$D27,AB$207:AB$211)=0,AB135=0),0,AB280*(1/AB135-1)/SUMIF(Tech_Specs!$D$27:$D$31,"&lt;"&amp;Tech_Specs!$D27,AB$207:AB$211))</f>
        <v>0</v>
      </c>
      <c r="AC243" s="201">
        <f>IF(OR(SUMIF(Tech_Specs!$D$27:$D$31,"&lt;"&amp;Tech_Specs!$D27,AC$207:AC$211)=0,AC135=0),0,AC280*(1/AC135-1)/SUMIF(Tech_Specs!$D$27:$D$31,"&lt;"&amp;Tech_Specs!$D27,AC$207:AC$211))</f>
        <v>0</v>
      </c>
      <c r="AD243" s="201">
        <f>IF(OR(SUMIF(Tech_Specs!$D$27:$D$31,"&lt;"&amp;Tech_Specs!$D27,AD$207:AD$211)=0,AD135=0),0,AD280*(1/AD135-1)/SUMIF(Tech_Specs!$D$27:$D$31,"&lt;"&amp;Tech_Specs!$D27,AD$207:AD$211))</f>
        <v>0</v>
      </c>
      <c r="AE243" s="201">
        <f>IF(OR(SUMIF(Tech_Specs!$D$27:$D$31,"&lt;"&amp;Tech_Specs!$D27,AE$207:AE$211)=0,AE135=0),0,AE280*(1/AE135-1)/SUMIF(Tech_Specs!$D$27:$D$31,"&lt;"&amp;Tech_Specs!$D27,AE$207:AE$211))</f>
        <v>0</v>
      </c>
    </row>
    <row r="244" spans="1:31" s="221" customFormat="1" x14ac:dyDescent="0.25">
      <c r="A244" s="376"/>
      <c r="B244" s="388" t="s">
        <v>44</v>
      </c>
      <c r="C244"/>
      <c r="D244"/>
      <c r="E244"/>
      <c r="F244" s="201">
        <f>IF(OR(SUMIF(Tech_Specs!$D$27:$D$31,"&lt;"&amp;Tech_Specs!$D28,F$207:F$211)=0,F136=0),0,F281*(1/F136-1)/SUMIF(Tech_Specs!$D$27:$D$31,"&lt;"&amp;Tech_Specs!$D28,F$207:F$211))</f>
        <v>1.4803917766164308E-3</v>
      </c>
      <c r="G244" s="201">
        <f>IF(OR(SUMIF(Tech_Specs!$D$27:$D$31,"&lt;"&amp;Tech_Specs!$D28,G$207:G$211)=0,G136=0),0,G281*(1/G136-1)/SUMIF(Tech_Specs!$D$27:$D$31,"&lt;"&amp;Tech_Specs!$D28,G$207:G$211))</f>
        <v>1.1285504769554856E-3</v>
      </c>
      <c r="H244" s="201">
        <f>IF(OR(SUMIF(Tech_Specs!$D$27:$D$31,"&lt;"&amp;Tech_Specs!$D28,H$207:H$211)=0,H136=0),0,H281*(1/H136-1)/SUMIF(Tech_Specs!$D$27:$D$31,"&lt;"&amp;Tech_Specs!$D28,H$207:H$211))</f>
        <v>8.1462530517336219E-4</v>
      </c>
      <c r="I244" s="201">
        <f>IF(OR(SUMIF(Tech_Specs!$D$27:$D$31,"&lt;"&amp;Tech_Specs!$D28,I$207:I$211)=0,I136=0),0,I281*(1/I136-1)/SUMIF(Tech_Specs!$D$27:$D$31,"&lt;"&amp;Tech_Specs!$D28,I$207:I$211))</f>
        <v>5.7468998582082317E-4</v>
      </c>
      <c r="J244" s="201">
        <f>IF(OR(SUMIF(Tech_Specs!$D$27:$D$31,"&lt;"&amp;Tech_Specs!$D28,J$207:J$211)=0,J136=0),0,J281*(1/J136-1)/SUMIF(Tech_Specs!$D$27:$D$31,"&lt;"&amp;Tech_Specs!$D28,J$207:J$211))</f>
        <v>3.9994922041641854E-4</v>
      </c>
      <c r="K244" s="201">
        <f>IF(OR(SUMIF(Tech_Specs!$D$27:$D$31,"&lt;"&amp;Tech_Specs!$D28,K$207:K$211)=0,K136=0),0,K281*(1/K136-1)/SUMIF(Tech_Specs!$D$27:$D$31,"&lt;"&amp;Tech_Specs!$D28,K$207:K$211))</f>
        <v>2.7581785126380633E-4</v>
      </c>
      <c r="L244" s="201">
        <f>IF(OR(SUMIF(Tech_Specs!$D$27:$D$31,"&lt;"&amp;Tech_Specs!$D28,L$207:L$211)=0,L136=0),0,L281*(1/L136-1)/SUMIF(Tech_Specs!$D$27:$D$31,"&lt;"&amp;Tech_Specs!$D28,L$207:L$211))</f>
        <v>1.8920003424204542E-4</v>
      </c>
      <c r="M244" s="201">
        <f>IF(OR(SUMIF(Tech_Specs!$D$27:$D$31,"&lt;"&amp;Tech_Specs!$D28,M$207:M$211)=0,M136=0),0,M281*(1/M136-1)/SUMIF(Tech_Specs!$D$27:$D$31,"&lt;"&amp;Tech_Specs!$D28,M$207:M$211))</f>
        <v>1.2939051652618473E-4</v>
      </c>
      <c r="N244" s="201">
        <f>IF(OR(SUMIF(Tech_Specs!$D$27:$D$31,"&lt;"&amp;Tech_Specs!$D28,N$207:N$211)=0,N136=0),0,N281*(1/N136-1)/SUMIF(Tech_Specs!$D$27:$D$31,"&lt;"&amp;Tech_Specs!$D28,N$207:N$211))</f>
        <v>8.8419894757609416E-5</v>
      </c>
      <c r="O244" s="201">
        <f>IF(OR(SUMIF(Tech_Specs!$D$27:$D$31,"&lt;"&amp;Tech_Specs!$D28,O$207:O$211)=0,O136=0),0,O281*(1/O136-1)/SUMIF(Tech_Specs!$D$27:$D$31,"&lt;"&amp;Tech_Specs!$D28,O$207:O$211))</f>
        <v>6.0491823222277876E-5</v>
      </c>
      <c r="P244" s="201">
        <f>IF(OR(SUMIF(Tech_Specs!$D$27:$D$31,"&lt;"&amp;Tech_Specs!$D28,P$207:P$211)=0,P136=0),0,P281*(1/P136-1)/SUMIF(Tech_Specs!$D$27:$D$31,"&lt;"&amp;Tech_Specs!$D28,P$207:P$211))</f>
        <v>4.1510734420091203E-5</v>
      </c>
      <c r="Q244" s="201">
        <f>IF(OR(SUMIF(Tech_Specs!$D$27:$D$31,"&lt;"&amp;Tech_Specs!$D28,Q$207:Q$211)=0,Q136=0),0,Q281*(1/Q136-1)/SUMIF(Tech_Specs!$D$27:$D$31,"&lt;"&amp;Tech_Specs!$D28,Q$207:Q$211))</f>
        <v>2.8613895949449741E-5</v>
      </c>
      <c r="R244" s="201">
        <f>IF(OR(SUMIF(Tech_Specs!$D$27:$D$31,"&lt;"&amp;Tech_Specs!$D28,R$207:R$211)=0,R136=0),0,R281*(1/R136-1)/SUMIF(Tech_Specs!$D$27:$D$31,"&lt;"&amp;Tech_Specs!$D28,R$207:R$211))</f>
        <v>1.983166114450594E-5</v>
      </c>
      <c r="S244" s="201">
        <f>IF(OR(SUMIF(Tech_Specs!$D$27:$D$31,"&lt;"&amp;Tech_Specs!$D28,S$207:S$211)=0,S136=0),0,S281*(1/S136-1)/SUMIF(Tech_Specs!$D$27:$D$31,"&lt;"&amp;Tech_Specs!$D28,S$207:S$211))</f>
        <v>1.3826220962712433E-5</v>
      </c>
      <c r="T244" s="201">
        <f>IF(OR(SUMIF(Tech_Specs!$D$27:$D$31,"&lt;"&amp;Tech_Specs!$D28,T$207:T$211)=0,T136=0),0,T281*(1/T136-1)/SUMIF(Tech_Specs!$D$27:$D$31,"&lt;"&amp;Tech_Specs!$D28,T$207:T$211))</f>
        <v>9.6954032750529875E-6</v>
      </c>
      <c r="U244" s="201">
        <f>IF(OR(SUMIF(Tech_Specs!$D$27:$D$31,"&lt;"&amp;Tech_Specs!$D28,U$207:U$211)=0,U136=0),0,U281*(1/U136-1)/SUMIF(Tech_Specs!$D$27:$D$31,"&lt;"&amp;Tech_Specs!$D28,U$207:U$211))</f>
        <v>6.8344498431035843E-6</v>
      </c>
      <c r="V244" s="201">
        <f>IF(OR(SUMIF(Tech_Specs!$D$27:$D$31,"&lt;"&amp;Tech_Specs!$D28,V$207:V$211)=0,V136=0),0,V281*(1/V136-1)/SUMIF(Tech_Specs!$D$27:$D$31,"&lt;"&amp;Tech_Specs!$D28,V$207:V$211))</f>
        <v>4.8396165483921768E-6</v>
      </c>
      <c r="W244" s="201">
        <f>IF(OR(SUMIF(Tech_Specs!$D$27:$D$31,"&lt;"&amp;Tech_Specs!$D28,W$207:W$211)=0,W136=0),0,W281*(1/W136-1)/SUMIF(Tech_Specs!$D$27:$D$31,"&lt;"&amp;Tech_Specs!$D28,W$207:W$211))</f>
        <v>3.4398020776382426E-6</v>
      </c>
      <c r="X244" s="201">
        <f>IF(OR(SUMIF(Tech_Specs!$D$27:$D$31,"&lt;"&amp;Tech_Specs!$D28,X$207:X$211)=0,X136=0),0,X281*(1/X136-1)/SUMIF(Tech_Specs!$D$27:$D$31,"&lt;"&amp;Tech_Specs!$D28,X$207:X$211))</f>
        <v>2.4521025412165148E-6</v>
      </c>
      <c r="Y244" s="201">
        <f>IF(OR(SUMIF(Tech_Specs!$D$27:$D$31,"&lt;"&amp;Tech_Specs!$D28,Y$207:Y$211)=0,Y136=0),0,Y281*(1/Y136-1)/SUMIF(Tech_Specs!$D$27:$D$31,"&lt;"&amp;Tech_Specs!$D28,Y$207:Y$211))</f>
        <v>1.7519750813093901E-6</v>
      </c>
      <c r="Z244" s="201">
        <f>IF(OR(SUMIF(Tech_Specs!$D$27:$D$31,"&lt;"&amp;Tech_Specs!$D28,Z$207:Z$211)=0,Z136=0),0,Z281*(1/Z136-1)/SUMIF(Tech_Specs!$D$27:$D$31,"&lt;"&amp;Tech_Specs!$D28,Z$207:Z$211))</f>
        <v>1.2538898831893049E-6</v>
      </c>
      <c r="AA244" s="201">
        <f>IF(OR(SUMIF(Tech_Specs!$D$27:$D$31,"&lt;"&amp;Tech_Specs!$D28,AA$207:AA$211)=0,AA136=0),0,AA281*(1/AA136-1)/SUMIF(Tech_Specs!$D$27:$D$31,"&lt;"&amp;Tech_Specs!$D28,AA$207:AA$211))</f>
        <v>1.2506328247731634E-6</v>
      </c>
      <c r="AB244" s="201">
        <f>IF(OR(SUMIF(Tech_Specs!$D$27:$D$31,"&lt;"&amp;Tech_Specs!$D28,AB$207:AB$211)=0,AB136=0),0,AB281*(1/AB136-1)/SUMIF(Tech_Specs!$D$27:$D$31,"&lt;"&amp;Tech_Specs!$D28,AB$207:AB$211))</f>
        <v>1.2485481845449059E-6</v>
      </c>
      <c r="AC244" s="201">
        <f>IF(OR(SUMIF(Tech_Specs!$D$27:$D$31,"&lt;"&amp;Tech_Specs!$D28,AC$207:AC$211)=0,AC136=0),0,AC281*(1/AC136-1)/SUMIF(Tech_Specs!$D$27:$D$31,"&lt;"&amp;Tech_Specs!$D28,AC$207:AC$211))</f>
        <v>1.2473264181289396E-6</v>
      </c>
      <c r="AD244" s="201">
        <f>IF(OR(SUMIF(Tech_Specs!$D$27:$D$31,"&lt;"&amp;Tech_Specs!$D28,AD$207:AD$211)=0,AD136=0),0,AD281*(1/AD136-1)/SUMIF(Tech_Specs!$D$27:$D$31,"&lt;"&amp;Tech_Specs!$D28,AD$207:AD$211))</f>
        <v>1.2467465715827971E-6</v>
      </c>
      <c r="AE244" s="201">
        <f>IF(OR(SUMIF(Tech_Specs!$D$27:$D$31,"&lt;"&amp;Tech_Specs!$D28,AE$207:AE$211)=0,AE136=0),0,AE281*(1/AE136-1)/SUMIF(Tech_Specs!$D$27:$D$31,"&lt;"&amp;Tech_Specs!$D28,AE$207:AE$211))</f>
        <v>1.2467184556923702E-6</v>
      </c>
    </row>
    <row r="245" spans="1:31" s="221" customFormat="1" x14ac:dyDescent="0.25">
      <c r="A245" s="376"/>
      <c r="B245" s="388" t="s">
        <v>45</v>
      </c>
      <c r="C245"/>
      <c r="D245"/>
      <c r="E245"/>
      <c r="F245" s="201">
        <f>IF(OR(SUMIF(Tech_Specs!$D$27:$D$31,"&lt;"&amp;Tech_Specs!$D29,F$207:F$211)=0,F137=0),0,F282*(1/F137-1)/SUMIF(Tech_Specs!$D$27:$D$31,"&lt;"&amp;Tech_Specs!$D29,F$207:F$211))</f>
        <v>2.3673498058895967E-6</v>
      </c>
      <c r="G245" s="201">
        <f>IF(OR(SUMIF(Tech_Specs!$D$27:$D$31,"&lt;"&amp;Tech_Specs!$D29,G$207:G$211)=0,G137=0),0,G282*(1/G137-1)/SUMIF(Tech_Specs!$D$27:$D$31,"&lt;"&amp;Tech_Specs!$D29,G$207:G$211))</f>
        <v>1.8038493050355665E-6</v>
      </c>
      <c r="H245" s="201">
        <f>IF(OR(SUMIF(Tech_Specs!$D$27:$D$31,"&lt;"&amp;Tech_Specs!$D29,H$207:H$211)=0,H137=0),0,H282*(1/H137-1)/SUMIF(Tech_Specs!$D$27:$D$31,"&lt;"&amp;Tech_Specs!$D29,H$207:H$211))</f>
        <v>1.3009393252882702E-6</v>
      </c>
      <c r="I245" s="201">
        <f>IF(OR(SUMIF(Tech_Specs!$D$27:$D$31,"&lt;"&amp;Tech_Specs!$D29,I$207:I$211)=0,I137=0),0,I282*(1/I137-1)/SUMIF(Tech_Specs!$D$27:$D$31,"&lt;"&amp;Tech_Specs!$D29,I$207:I$211))</f>
        <v>9.1727714100411634E-7</v>
      </c>
      <c r="J245" s="201">
        <f>IF(OR(SUMIF(Tech_Specs!$D$27:$D$31,"&lt;"&amp;Tech_Specs!$D29,J$207:J$211)=0,J137=0),0,J282*(1/J137-1)/SUMIF(Tech_Specs!$D$27:$D$31,"&lt;"&amp;Tech_Specs!$D29,J$207:J$211))</f>
        <v>6.3821331806219595E-7</v>
      </c>
      <c r="K245" s="201">
        <f>IF(OR(SUMIF(Tech_Specs!$D$27:$D$31,"&lt;"&amp;Tech_Specs!$D29,K$207:K$211)=0,K137=0),0,K282*(1/K137-1)/SUMIF(Tech_Specs!$D$27:$D$31,"&lt;"&amp;Tech_Specs!$D29,K$207:K$211))</f>
        <v>4.3998551164618077E-7</v>
      </c>
      <c r="L245" s="201">
        <f>IF(OR(SUMIF(Tech_Specs!$D$27:$D$31,"&lt;"&amp;Tech_Specs!$D29,L$207:L$211)=0,L137=0),0,L282*(1/L137-1)/SUMIF(Tech_Specs!$D$27:$D$31,"&lt;"&amp;Tech_Specs!$D29,L$207:L$211))</f>
        <v>3.0179004460930871E-7</v>
      </c>
      <c r="M245" s="201">
        <f>IF(OR(SUMIF(Tech_Specs!$D$27:$D$31,"&lt;"&amp;Tech_Specs!$D29,M$207:M$211)=0,M137=0),0,M282*(1/M137-1)/SUMIF(Tech_Specs!$D$27:$D$31,"&lt;"&amp;Tech_Specs!$D29,M$207:M$211))</f>
        <v>2.0635464002448708E-7</v>
      </c>
      <c r="N245" s="201">
        <f>IF(OR(SUMIF(Tech_Specs!$D$27:$D$31,"&lt;"&amp;Tech_Specs!$D29,N$207:N$211)=0,N137=0),0,N282*(1/N137-1)/SUMIF(Tech_Specs!$D$27:$D$31,"&lt;"&amp;Tech_Specs!$D29,N$207:N$211))</f>
        <v>1.409839992755244E-7</v>
      </c>
      <c r="O245" s="201">
        <f>IF(OR(SUMIF(Tech_Specs!$D$27:$D$31,"&lt;"&amp;Tech_Specs!$D29,O$207:O$211)=0,O137=0),0,O282*(1/O137-1)/SUMIF(Tech_Specs!$D$27:$D$31,"&lt;"&amp;Tech_Specs!$D29,O$207:O$211))</f>
        <v>9.6424464475225247E-8</v>
      </c>
      <c r="P245" s="201">
        <f>IF(OR(SUMIF(Tech_Specs!$D$27:$D$31,"&lt;"&amp;Tech_Specs!$D29,P$207:P$211)=0,P137=0),0,P282*(1/P137-1)/SUMIF(Tech_Specs!$D$27:$D$31,"&lt;"&amp;Tech_Specs!$D29,P$207:P$211))</f>
        <v>6.6151578786873279E-8</v>
      </c>
      <c r="Q245" s="201">
        <f>IF(OR(SUMIF(Tech_Specs!$D$27:$D$31,"&lt;"&amp;Tech_Specs!$D29,Q$207:Q$211)=0,Q137=0),0,Q282*(1/Q137-1)/SUMIF(Tech_Specs!$D$27:$D$31,"&lt;"&amp;Tech_Specs!$D29,Q$207:Q$211))</f>
        <v>4.558999494617751E-8</v>
      </c>
      <c r="R245" s="201">
        <f>IF(OR(SUMIF(Tech_Specs!$D$27:$D$31,"&lt;"&amp;Tech_Specs!$D29,R$207:R$211)=0,R137=0),0,R282*(1/R137-1)/SUMIF(Tech_Specs!$D$27:$D$31,"&lt;"&amp;Tech_Specs!$D29,R$207:R$211))</f>
        <v>3.1590464187955158E-8</v>
      </c>
      <c r="S245" s="201">
        <f>IF(OR(SUMIF(Tech_Specs!$D$27:$D$31,"&lt;"&amp;Tech_Specs!$D29,S$207:S$211)=0,S137=0),0,S282*(1/S137-1)/SUMIF(Tech_Specs!$D$27:$D$31,"&lt;"&amp;Tech_Specs!$D29,S$207:S$211))</f>
        <v>2.2019391370232899E-8</v>
      </c>
      <c r="T245" s="201">
        <f>IF(OR(SUMIF(Tech_Specs!$D$27:$D$31,"&lt;"&amp;Tech_Specs!$D29,T$207:T$211)=0,T137=0),0,T282*(1/T137-1)/SUMIF(Tech_Specs!$D$27:$D$31,"&lt;"&amp;Tech_Specs!$D29,T$207:T$211))</f>
        <v>1.5437563968812153E-8</v>
      </c>
      <c r="U245" s="201">
        <f>IF(OR(SUMIF(Tech_Specs!$D$27:$D$31,"&lt;"&amp;Tech_Specs!$D29,U$207:U$211)=0,U137=0),0,U282*(1/U137-1)/SUMIF(Tech_Specs!$D$27:$D$31,"&lt;"&amp;Tech_Specs!$D29,U$207:U$211))</f>
        <v>1.0879624681232082E-8</v>
      </c>
      <c r="V245" s="201">
        <f>IF(OR(SUMIF(Tech_Specs!$D$27:$D$31,"&lt;"&amp;Tech_Specs!$D29,V$207:V$211)=0,V137=0),0,V282*(1/V137-1)/SUMIF(Tech_Specs!$D$27:$D$31,"&lt;"&amp;Tech_Specs!$D29,V$207:V$211))</f>
        <v>1.0720038820607586E-8</v>
      </c>
      <c r="W245" s="201">
        <f>IF(OR(SUMIF(Tech_Specs!$D$27:$D$31,"&lt;"&amp;Tech_Specs!$D29,W$207:W$211)=0,W137=0),0,W282*(1/W137-1)/SUMIF(Tech_Specs!$D$27:$D$31,"&lt;"&amp;Tech_Specs!$D29,W$207:W$211))</f>
        <v>1.0602032741080077E-8</v>
      </c>
      <c r="X245" s="201">
        <f>IF(OR(SUMIF(Tech_Specs!$D$27:$D$31,"&lt;"&amp;Tech_Specs!$D29,X$207:X$211)=0,X137=0),0,X282*(1/X137-1)/SUMIF(Tech_Specs!$D$27:$D$31,"&lt;"&amp;Tech_Specs!$D29,X$207:X$211))</f>
        <v>1.0516274148427752E-8</v>
      </c>
      <c r="Y245" s="201">
        <f>IF(OR(SUMIF(Tech_Specs!$D$27:$D$31,"&lt;"&amp;Tech_Specs!$D29,Y$207:Y$211)=0,Y137=0),0,Y282*(1/Y137-1)/SUMIF(Tech_Specs!$D$27:$D$31,"&lt;"&amp;Tech_Specs!$D29,Y$207:Y$211))</f>
        <v>1.0454566245560366E-8</v>
      </c>
      <c r="Z245" s="201">
        <f>IF(OR(SUMIF(Tech_Specs!$D$27:$D$31,"&lt;"&amp;Tech_Specs!$D29,Z$207:Z$211)=0,Z137=0),0,Z282*(1/Z137-1)/SUMIF(Tech_Specs!$D$27:$D$31,"&lt;"&amp;Tech_Specs!$D29,Z$207:Z$211))</f>
        <v>1.0410587098604241E-8</v>
      </c>
      <c r="AA245" s="201">
        <f>IF(OR(SUMIF(Tech_Specs!$D$27:$D$31,"&lt;"&amp;Tech_Specs!$D29,AA$207:AA$211)=0,AA137=0),0,AA282*(1/AA137-1)/SUMIF(Tech_Specs!$D$27:$D$31,"&lt;"&amp;Tech_Specs!$D29,AA$207:AA$211))</f>
        <v>1.038046427319175E-8</v>
      </c>
      <c r="AB245" s="201">
        <f>IF(OR(SUMIF(Tech_Specs!$D$27:$D$31,"&lt;"&amp;Tech_Specs!$D29,AB$207:AB$211)=0,AB137=0),0,AB282*(1/AB137-1)/SUMIF(Tech_Specs!$D$27:$D$31,"&lt;"&amp;Tech_Specs!$D29,AB$207:AB$211))</f>
        <v>1.0360144213650301E-8</v>
      </c>
      <c r="AC245" s="201">
        <f>IF(OR(SUMIF(Tech_Specs!$D$27:$D$31,"&lt;"&amp;Tech_Specs!$D29,AC$207:AC$211)=0,AC137=0),0,AC282*(1/AC137-1)/SUMIF(Tech_Specs!$D$27:$D$31,"&lt;"&amp;Tech_Specs!$D29,AC$207:AC$211))</f>
        <v>1.034710800790444E-8</v>
      </c>
      <c r="AD245" s="201">
        <f>IF(OR(SUMIF(Tech_Specs!$D$27:$D$31,"&lt;"&amp;Tech_Specs!$D29,AD$207:AD$211)=0,AD137=0),0,AD282*(1/AD137-1)/SUMIF(Tech_Specs!$D$27:$D$31,"&lt;"&amp;Tech_Specs!$D29,AD$207:AD$211))</f>
        <v>1.0339619662566672E-8</v>
      </c>
      <c r="AE245" s="201">
        <f>IF(OR(SUMIF(Tech_Specs!$D$27:$D$31,"&lt;"&amp;Tech_Specs!$D29,AE$207:AE$211)=0,AE137=0),0,AE282*(1/AE137-1)/SUMIF(Tech_Specs!$D$27:$D$31,"&lt;"&amp;Tech_Specs!$D29,AE$207:AE$211))</f>
        <v>1.0337651817597541E-8</v>
      </c>
    </row>
    <row r="246" spans="1:31" s="221" customFormat="1" x14ac:dyDescent="0.25">
      <c r="A246" s="376"/>
      <c r="B246" s="388" t="s">
        <v>46</v>
      </c>
      <c r="C246"/>
      <c r="D246"/>
      <c r="E246"/>
      <c r="F246" s="201">
        <f>IF(OR(SUMIF(Tech_Specs!$D$27:$D$31,"&lt;"&amp;Tech_Specs!$D30,F$207:F$211)=0,F138=0),0,F283*(1/F138-1)/SUMIF(Tech_Specs!$D$27:$D$31,"&lt;"&amp;Tech_Specs!$D30,F$207:F$211))</f>
        <v>0</v>
      </c>
      <c r="G246" s="201">
        <f>IF(OR(SUMIF(Tech_Specs!$D$27:$D$31,"&lt;"&amp;Tech_Specs!$D30,G$207:G$211)=0,G138=0),0,G283*(1/G138-1)/SUMIF(Tech_Specs!$D$27:$D$31,"&lt;"&amp;Tech_Specs!$D30,G$207:G$211))</f>
        <v>0</v>
      </c>
      <c r="H246" s="201">
        <f>IF(OR(SUMIF(Tech_Specs!$D$27:$D$31,"&lt;"&amp;Tech_Specs!$D30,H$207:H$211)=0,H138=0),0,H283*(1/H138-1)/SUMIF(Tech_Specs!$D$27:$D$31,"&lt;"&amp;Tech_Specs!$D30,H$207:H$211))</f>
        <v>0</v>
      </c>
      <c r="I246" s="201">
        <f>IF(OR(SUMIF(Tech_Specs!$D$27:$D$31,"&lt;"&amp;Tech_Specs!$D30,I$207:I$211)=0,I138=0),0,I283*(1/I138-1)/SUMIF(Tech_Specs!$D$27:$D$31,"&lt;"&amp;Tech_Specs!$D30,I$207:I$211))</f>
        <v>0</v>
      </c>
      <c r="J246" s="201">
        <f>IF(OR(SUMIF(Tech_Specs!$D$27:$D$31,"&lt;"&amp;Tech_Specs!$D30,J$207:J$211)=0,J138=0),0,J283*(1/J138-1)/SUMIF(Tech_Specs!$D$27:$D$31,"&lt;"&amp;Tech_Specs!$D30,J$207:J$211))</f>
        <v>0</v>
      </c>
      <c r="K246" s="201">
        <f>IF(OR(SUMIF(Tech_Specs!$D$27:$D$31,"&lt;"&amp;Tech_Specs!$D30,K$207:K$211)=0,K138=0),0,K283*(1/K138-1)/SUMIF(Tech_Specs!$D$27:$D$31,"&lt;"&amp;Tech_Specs!$D30,K$207:K$211))</f>
        <v>0</v>
      </c>
      <c r="L246" s="201">
        <f>IF(OR(SUMIF(Tech_Specs!$D$27:$D$31,"&lt;"&amp;Tech_Specs!$D30,L$207:L$211)=0,L138=0),0,L283*(1/L138-1)/SUMIF(Tech_Specs!$D$27:$D$31,"&lt;"&amp;Tech_Specs!$D30,L$207:L$211))</f>
        <v>0</v>
      </c>
      <c r="M246" s="201">
        <f>IF(OR(SUMIF(Tech_Specs!$D$27:$D$31,"&lt;"&amp;Tech_Specs!$D30,M$207:M$211)=0,M138=0),0,M283*(1/M138-1)/SUMIF(Tech_Specs!$D$27:$D$31,"&lt;"&amp;Tech_Specs!$D30,M$207:M$211))</f>
        <v>0</v>
      </c>
      <c r="N246" s="201">
        <f>IF(OR(SUMIF(Tech_Specs!$D$27:$D$31,"&lt;"&amp;Tech_Specs!$D30,N$207:N$211)=0,N138=0),0,N283*(1/N138-1)/SUMIF(Tech_Specs!$D$27:$D$31,"&lt;"&amp;Tech_Specs!$D30,N$207:N$211))</f>
        <v>0</v>
      </c>
      <c r="O246" s="201">
        <f>IF(OR(SUMIF(Tech_Specs!$D$27:$D$31,"&lt;"&amp;Tech_Specs!$D30,O$207:O$211)=0,O138=0),0,O283*(1/O138-1)/SUMIF(Tech_Specs!$D$27:$D$31,"&lt;"&amp;Tech_Specs!$D30,O$207:O$211))</f>
        <v>0</v>
      </c>
      <c r="P246" s="201">
        <f>IF(OR(SUMIF(Tech_Specs!$D$27:$D$31,"&lt;"&amp;Tech_Specs!$D30,P$207:P$211)=0,P138=0),0,P283*(1/P138-1)/SUMIF(Tech_Specs!$D$27:$D$31,"&lt;"&amp;Tech_Specs!$D30,P$207:P$211))</f>
        <v>0</v>
      </c>
      <c r="Q246" s="201">
        <f>IF(OR(SUMIF(Tech_Specs!$D$27:$D$31,"&lt;"&amp;Tech_Specs!$D30,Q$207:Q$211)=0,Q138=0),0,Q283*(1/Q138-1)/SUMIF(Tech_Specs!$D$27:$D$31,"&lt;"&amp;Tech_Specs!$D30,Q$207:Q$211))</f>
        <v>0</v>
      </c>
      <c r="R246" s="201">
        <f>IF(OR(SUMIF(Tech_Specs!$D$27:$D$31,"&lt;"&amp;Tech_Specs!$D30,R$207:R$211)=0,R138=0),0,R283*(1/R138-1)/SUMIF(Tech_Specs!$D$27:$D$31,"&lt;"&amp;Tech_Specs!$D30,R$207:R$211))</f>
        <v>0</v>
      </c>
      <c r="S246" s="201">
        <f>IF(OR(SUMIF(Tech_Specs!$D$27:$D$31,"&lt;"&amp;Tech_Specs!$D30,S$207:S$211)=0,S138=0),0,S283*(1/S138-1)/SUMIF(Tech_Specs!$D$27:$D$31,"&lt;"&amp;Tech_Specs!$D30,S$207:S$211))</f>
        <v>0</v>
      </c>
      <c r="T246" s="201">
        <f>IF(OR(SUMIF(Tech_Specs!$D$27:$D$31,"&lt;"&amp;Tech_Specs!$D30,T$207:T$211)=0,T138=0),0,T283*(1/T138-1)/SUMIF(Tech_Specs!$D$27:$D$31,"&lt;"&amp;Tech_Specs!$D30,T$207:T$211))</f>
        <v>0</v>
      </c>
      <c r="U246" s="201">
        <f>IF(OR(SUMIF(Tech_Specs!$D$27:$D$31,"&lt;"&amp;Tech_Specs!$D30,U$207:U$211)=0,U138=0),0,U283*(1/U138-1)/SUMIF(Tech_Specs!$D$27:$D$31,"&lt;"&amp;Tech_Specs!$D30,U$207:U$211))</f>
        <v>0</v>
      </c>
      <c r="V246" s="201">
        <f>IF(OR(SUMIF(Tech_Specs!$D$27:$D$31,"&lt;"&amp;Tech_Specs!$D30,V$207:V$211)=0,V138=0),0,V283*(1/V138-1)/SUMIF(Tech_Specs!$D$27:$D$31,"&lt;"&amp;Tech_Specs!$D30,V$207:V$211))</f>
        <v>0</v>
      </c>
      <c r="W246" s="201">
        <f>IF(OR(SUMIF(Tech_Specs!$D$27:$D$31,"&lt;"&amp;Tech_Specs!$D30,W$207:W$211)=0,W138=0),0,W283*(1/W138-1)/SUMIF(Tech_Specs!$D$27:$D$31,"&lt;"&amp;Tech_Specs!$D30,W$207:W$211))</f>
        <v>0</v>
      </c>
      <c r="X246" s="201">
        <f>IF(OR(SUMIF(Tech_Specs!$D$27:$D$31,"&lt;"&amp;Tech_Specs!$D30,X$207:X$211)=0,X138=0),0,X283*(1/X138-1)/SUMIF(Tech_Specs!$D$27:$D$31,"&lt;"&amp;Tech_Specs!$D30,X$207:X$211))</f>
        <v>0</v>
      </c>
      <c r="Y246" s="201">
        <f>IF(OR(SUMIF(Tech_Specs!$D$27:$D$31,"&lt;"&amp;Tech_Specs!$D30,Y$207:Y$211)=0,Y138=0),0,Y283*(1/Y138-1)/SUMIF(Tech_Specs!$D$27:$D$31,"&lt;"&amp;Tech_Specs!$D30,Y$207:Y$211))</f>
        <v>0</v>
      </c>
      <c r="Z246" s="201">
        <f>IF(OR(SUMIF(Tech_Specs!$D$27:$D$31,"&lt;"&amp;Tech_Specs!$D30,Z$207:Z$211)=0,Z138=0),0,Z283*(1/Z138-1)/SUMIF(Tech_Specs!$D$27:$D$31,"&lt;"&amp;Tech_Specs!$D30,Z$207:Z$211))</f>
        <v>0</v>
      </c>
      <c r="AA246" s="201">
        <f>IF(OR(SUMIF(Tech_Specs!$D$27:$D$31,"&lt;"&amp;Tech_Specs!$D30,AA$207:AA$211)=0,AA138=0),0,AA283*(1/AA138-1)/SUMIF(Tech_Specs!$D$27:$D$31,"&lt;"&amp;Tech_Specs!$D30,AA$207:AA$211))</f>
        <v>0</v>
      </c>
      <c r="AB246" s="201">
        <f>IF(OR(SUMIF(Tech_Specs!$D$27:$D$31,"&lt;"&amp;Tech_Specs!$D30,AB$207:AB$211)=0,AB138=0),0,AB283*(1/AB138-1)/SUMIF(Tech_Specs!$D$27:$D$31,"&lt;"&amp;Tech_Specs!$D30,AB$207:AB$211))</f>
        <v>0</v>
      </c>
      <c r="AC246" s="201">
        <f>IF(OR(SUMIF(Tech_Specs!$D$27:$D$31,"&lt;"&amp;Tech_Specs!$D30,AC$207:AC$211)=0,AC138=0),0,AC283*(1/AC138-1)/SUMIF(Tech_Specs!$D$27:$D$31,"&lt;"&amp;Tech_Specs!$D30,AC$207:AC$211))</f>
        <v>0</v>
      </c>
      <c r="AD246" s="201">
        <f>IF(OR(SUMIF(Tech_Specs!$D$27:$D$31,"&lt;"&amp;Tech_Specs!$D30,AD$207:AD$211)=0,AD138=0),0,AD283*(1/AD138-1)/SUMIF(Tech_Specs!$D$27:$D$31,"&lt;"&amp;Tech_Specs!$D30,AD$207:AD$211))</f>
        <v>0</v>
      </c>
      <c r="AE246" s="201">
        <f>IF(OR(SUMIF(Tech_Specs!$D$27:$D$31,"&lt;"&amp;Tech_Specs!$D30,AE$207:AE$211)=0,AE138=0),0,AE283*(1/AE138-1)/SUMIF(Tech_Specs!$D$27:$D$31,"&lt;"&amp;Tech_Specs!$D30,AE$207:AE$211))</f>
        <v>0</v>
      </c>
    </row>
    <row r="247" spans="1:31" s="221" customFormat="1" x14ac:dyDescent="0.25">
      <c r="A247" s="376"/>
      <c r="B247" s="376" t="s">
        <v>29</v>
      </c>
      <c r="C247"/>
      <c r="D247"/>
      <c r="E247"/>
      <c r="F247" s="201">
        <f>IF(OR(SUMIF(Tech_Specs!$D$27:$D$31,"&lt;"&amp;Tech_Specs!$D31,F$207:F$211)=0,F139=0),0,F284*(1/F139-1)/SUMIF(Tech_Specs!$D$27:$D$31,"&lt;"&amp;Tech_Specs!$D31,F$207:F$211))</f>
        <v>0.61330256833293395</v>
      </c>
      <c r="G247" s="201">
        <f>IF(OR(SUMIF(Tech_Specs!$D$27:$D$31,"&lt;"&amp;Tech_Specs!$D31,G$207:G$211)=0,G139=0),0,G284*(1/G139-1)/SUMIF(Tech_Specs!$D$27:$D$31,"&lt;"&amp;Tech_Specs!$D31,G$207:G$211))</f>
        <v>0.71240846106091249</v>
      </c>
      <c r="H247" s="201">
        <f>IF(OR(SUMIF(Tech_Specs!$D$27:$D$31,"&lt;"&amp;Tech_Specs!$D31,H$207:H$211)=0,H139=0),0,H284*(1/H139-1)/SUMIF(Tech_Specs!$D$27:$D$31,"&lt;"&amp;Tech_Specs!$D31,H$207:H$211))</f>
        <v>0.72135548126355131</v>
      </c>
      <c r="I247" s="201">
        <f>IF(OR(SUMIF(Tech_Specs!$D$27:$D$31,"&lt;"&amp;Tech_Specs!$D31,I$207:I$211)=0,I139=0),0,I284*(1/I139-1)/SUMIF(Tech_Specs!$D$27:$D$31,"&lt;"&amp;Tech_Specs!$D31,I$207:I$211))</f>
        <v>0.69072217524188351</v>
      </c>
      <c r="J247" s="201">
        <f>IF(OR(SUMIF(Tech_Specs!$D$27:$D$31,"&lt;"&amp;Tech_Specs!$D31,J$207:J$211)=0,J139=0),0,J284*(1/J139-1)/SUMIF(Tech_Specs!$D$27:$D$31,"&lt;"&amp;Tech_Specs!$D31,J$207:J$211))</f>
        <v>0.63784826167024922</v>
      </c>
      <c r="K247" s="201">
        <f>IF(OR(SUMIF(Tech_Specs!$D$27:$D$31,"&lt;"&amp;Tech_Specs!$D31,K$207:K$211)=0,K139=0),0,K284*(1/K139-1)/SUMIF(Tech_Specs!$D$27:$D$31,"&lt;"&amp;Tech_Specs!$D31,K$207:K$211))</f>
        <v>0.57224171718321504</v>
      </c>
      <c r="L247" s="201">
        <f>IF(OR(SUMIF(Tech_Specs!$D$27:$D$31,"&lt;"&amp;Tech_Specs!$D31,L$207:L$211)=0,L139=0),0,L284*(1/L139-1)/SUMIF(Tech_Specs!$D$27:$D$31,"&lt;"&amp;Tech_Specs!$D31,L$207:L$211))</f>
        <v>0.50089944850561174</v>
      </c>
      <c r="M247" s="201">
        <f>IF(OR(SUMIF(Tech_Specs!$D$27:$D$31,"&lt;"&amp;Tech_Specs!$D31,M$207:M$211)=0,M139=0),0,M284*(1/M139-1)/SUMIF(Tech_Specs!$D$27:$D$31,"&lt;"&amp;Tech_Specs!$D31,M$207:M$211))</f>
        <v>0.42844482727491701</v>
      </c>
      <c r="N247" s="201">
        <f>IF(OR(SUMIF(Tech_Specs!$D$27:$D$31,"&lt;"&amp;Tech_Specs!$D31,N$207:N$211)=0,N139=0),0,N284*(1/N139-1)/SUMIF(Tech_Specs!$D$27:$D$31,"&lt;"&amp;Tech_Specs!$D31,N$207:N$211))</f>
        <v>0.3584020130228639</v>
      </c>
      <c r="O247" s="201">
        <f>IF(OR(SUMIF(Tech_Specs!$D$27:$D$31,"&lt;"&amp;Tech_Specs!$D31,O$207:O$211)=0,O139=0),0,O284*(1/O139-1)/SUMIF(Tech_Specs!$D$27:$D$31,"&lt;"&amp;Tech_Specs!$D31,O$207:O$211))</f>
        <v>0.29327808530694838</v>
      </c>
      <c r="P247" s="201">
        <f>IF(OR(SUMIF(Tech_Specs!$D$27:$D$31,"&lt;"&amp;Tech_Specs!$D31,P$207:P$211)=0,P139=0),0,P284*(1/P139-1)/SUMIF(Tech_Specs!$D$27:$D$31,"&lt;"&amp;Tech_Specs!$D31,P$207:P$211))</f>
        <v>0.23491371268935213</v>
      </c>
      <c r="Q247" s="201">
        <f>IF(OR(SUMIF(Tech_Specs!$D$27:$D$31,"&lt;"&amp;Tech_Specs!$D31,Q$207:Q$211)=0,Q139=0),0,Q284*(1/Q139-1)/SUMIF(Tech_Specs!$D$27:$D$31,"&lt;"&amp;Tech_Specs!$D31,Q$207:Q$211))</f>
        <v>0.18438974138214706</v>
      </c>
      <c r="R247" s="201">
        <f>IF(OR(SUMIF(Tech_Specs!$D$27:$D$31,"&lt;"&amp;Tech_Specs!$D31,R$207:R$211)=0,R139=0),0,R284*(1/R139-1)/SUMIF(Tech_Specs!$D$27:$D$31,"&lt;"&amp;Tech_Specs!$D31,R$207:R$211))</f>
        <v>0.14209202599924753</v>
      </c>
      <c r="S247" s="201">
        <f>IF(OR(SUMIF(Tech_Specs!$D$27:$D$31,"&lt;"&amp;Tech_Specs!$D31,S$207:S$211)=0,S139=0),0,S284*(1/S139-1)/SUMIF(Tech_Specs!$D$27:$D$31,"&lt;"&amp;Tech_Specs!$D31,S$207:S$211))</f>
        <v>0.1077646996735442</v>
      </c>
      <c r="T247" s="201">
        <f>IF(OR(SUMIF(Tech_Specs!$D$27:$D$31,"&lt;"&amp;Tech_Specs!$D31,T$207:T$211)=0,T139=0),0,T284*(1/T139-1)/SUMIF(Tech_Specs!$D$27:$D$31,"&lt;"&amp;Tech_Specs!$D31,T$207:T$211))</f>
        <v>8.0652942892139923E-2</v>
      </c>
      <c r="U247" s="201">
        <f>IF(OR(SUMIF(Tech_Specs!$D$27:$D$31,"&lt;"&amp;Tech_Specs!$D31,U$207:U$211)=0,U139=0),0,U284*(1/U139-1)/SUMIF(Tech_Specs!$D$27:$D$31,"&lt;"&amp;Tech_Specs!$D31,U$207:U$211))</f>
        <v>5.9717364219785053E-2</v>
      </c>
      <c r="V247" s="201">
        <f>IF(OR(SUMIF(Tech_Specs!$D$27:$D$31,"&lt;"&amp;Tech_Specs!$D31,V$207:V$211)=0,V139=0),0,V284*(1/V139-1)/SUMIF(Tech_Specs!$D$27:$D$31,"&lt;"&amp;Tech_Specs!$D31,V$207:V$211))</f>
        <v>4.3848784750882185E-2</v>
      </c>
      <c r="W247" s="201">
        <f>IF(OR(SUMIF(Tech_Specs!$D$27:$D$31,"&lt;"&amp;Tech_Specs!$D31,W$207:W$211)=0,W139=0),0,W284*(1/W139-1)/SUMIF(Tech_Specs!$D$27:$D$31,"&lt;"&amp;Tech_Specs!$D31,W$207:W$211))</f>
        <v>3.1992088461762019E-2</v>
      </c>
      <c r="X247" s="201">
        <f>IF(OR(SUMIF(Tech_Specs!$D$27:$D$31,"&lt;"&amp;Tech_Specs!$D31,X$207:X$211)=0,X139=0),0,X284*(1/X139-1)/SUMIF(Tech_Specs!$D$27:$D$31,"&lt;"&amp;Tech_Specs!$D31,X$207:X$211))</f>
        <v>2.3230015432893599E-2</v>
      </c>
      <c r="Y247" s="201">
        <f>IF(OR(SUMIF(Tech_Specs!$D$27:$D$31,"&lt;"&amp;Tech_Specs!$D31,Y$207:Y$211)=0,Y139=0),0,Y284*(1/Y139-1)/SUMIF(Tech_Specs!$D$27:$D$31,"&lt;"&amp;Tech_Specs!$D31,Y$207:Y$211))</f>
        <v>1.6807654757179959E-2</v>
      </c>
      <c r="Z247" s="201">
        <f>IF(OR(SUMIF(Tech_Specs!$D$27:$D$31,"&lt;"&amp;Tech_Specs!$D31,Z$207:Z$211)=0,Z139=0),0,Z284*(1/Z139-1)/SUMIF(Tech_Specs!$D$27:$D$31,"&lt;"&amp;Tech_Specs!$D31,Z$207:Z$211))</f>
        <v>1.2129006157861439E-2</v>
      </c>
      <c r="AA247" s="201">
        <f>IF(OR(SUMIF(Tech_Specs!$D$27:$D$31,"&lt;"&amp;Tech_Specs!$D31,AA$207:AA$211)=0,AA139=0),0,AA284*(1/AA139-1)/SUMIF(Tech_Specs!$D$27:$D$31,"&lt;"&amp;Tech_Specs!$D31,AA$207:AA$211))</f>
        <v>8.7365860598962192E-3</v>
      </c>
      <c r="AB247" s="201">
        <f>IF(OR(SUMIF(Tech_Specs!$D$27:$D$31,"&lt;"&amp;Tech_Specs!$D31,AB$207:AB$211)=0,AB139=0),0,AB284*(1/AB139-1)/SUMIF(Tech_Specs!$D$27:$D$31,"&lt;"&amp;Tech_Specs!$D31,AB$207:AB$211))</f>
        <v>6.2845640120187509E-3</v>
      </c>
      <c r="AC247" s="201">
        <f>IF(OR(SUMIF(Tech_Specs!$D$27:$D$31,"&lt;"&amp;Tech_Specs!$D31,AC$207:AC$211)=0,AC139=0),0,AC284*(1/AC139-1)/SUMIF(Tech_Specs!$D$27:$D$31,"&lt;"&amp;Tech_Specs!$D31,AC$207:AC$211))</f>
        <v>4.5164876767058619E-3</v>
      </c>
      <c r="AD247" s="201">
        <f>IF(OR(SUMIF(Tech_Specs!$D$27:$D$31,"&lt;"&amp;Tech_Specs!$D31,AD$207:AD$211)=0,AD139=0),0,AD284*(1/AD139-1)/SUMIF(Tech_Specs!$D$27:$D$31,"&lt;"&amp;Tech_Specs!$D31,AD$207:AD$211))</f>
        <v>3.243773392650444E-3</v>
      </c>
      <c r="AE247" s="201">
        <f>IF(OR(SUMIF(Tech_Specs!$D$27:$D$31,"&lt;"&amp;Tech_Specs!$D31,AE$207:AE$211)=0,AE139=0),0,AE284*(1/AE139-1)/SUMIF(Tech_Specs!$D$27:$D$31,"&lt;"&amp;Tech_Specs!$D31,AE$207:AE$211))</f>
        <v>2.3289244049657697E-3</v>
      </c>
    </row>
    <row r="248" spans="1:31" s="221" customFormat="1" x14ac:dyDescent="0.25">
      <c r="A248" s="376"/>
      <c r="B248" s="376"/>
      <c r="C248"/>
      <c r="D248"/>
      <c r="E248"/>
      <c r="F248"/>
      <c r="G248"/>
      <c r="H248"/>
      <c r="I248"/>
      <c r="J248"/>
      <c r="K248"/>
      <c r="L248"/>
      <c r="M248"/>
      <c r="N248"/>
      <c r="O248"/>
      <c r="P248"/>
      <c r="Q248"/>
      <c r="R248"/>
      <c r="S248"/>
      <c r="T248"/>
      <c r="U248"/>
      <c r="V248"/>
      <c r="W248"/>
      <c r="X248"/>
      <c r="Y248"/>
      <c r="Z248"/>
      <c r="AA248"/>
      <c r="AB248"/>
      <c r="AC248"/>
      <c r="AD248"/>
      <c r="AE248"/>
    </row>
    <row r="249" spans="1:31" s="202" customFormat="1" ht="12.75" x14ac:dyDescent="0.2">
      <c r="A249" s="402" t="s">
        <v>47</v>
      </c>
      <c r="B249" s="402"/>
      <c r="C249" s="402"/>
      <c r="D249" s="402"/>
      <c r="E249" s="402"/>
      <c r="F249" s="402"/>
      <c r="G249" s="402"/>
      <c r="H249" s="402"/>
      <c r="I249" s="402"/>
      <c r="J249" s="402"/>
      <c r="K249" s="402"/>
      <c r="L249" s="402"/>
      <c r="M249" s="402"/>
      <c r="N249" s="402"/>
      <c r="O249" s="402"/>
      <c r="P249" s="402"/>
      <c r="Q249" s="402"/>
      <c r="R249" s="402"/>
      <c r="S249" s="402"/>
      <c r="T249" s="402"/>
      <c r="U249" s="402"/>
      <c r="V249" s="402"/>
      <c r="W249" s="402"/>
      <c r="X249" s="402"/>
      <c r="Y249" s="402"/>
      <c r="Z249" s="402"/>
      <c r="AA249" s="402"/>
      <c r="AB249" s="402"/>
      <c r="AC249" s="402"/>
      <c r="AD249" s="402"/>
      <c r="AE249" s="402"/>
    </row>
    <row r="250" spans="1:31" s="221" customFormat="1" x14ac:dyDescent="0.25">
      <c r="A250" s="376"/>
      <c r="B250" s="376" t="s">
        <v>48</v>
      </c>
      <c r="C250"/>
      <c r="D250"/>
      <c r="E250"/>
      <c r="F250" s="201"/>
      <c r="G250" s="201"/>
      <c r="H250" s="201"/>
      <c r="I250" s="201"/>
      <c r="J250" s="201"/>
      <c r="K250" s="201"/>
      <c r="L250" s="201"/>
      <c r="M250" s="201"/>
      <c r="N250" s="201"/>
      <c r="O250" s="201"/>
      <c r="P250" s="201"/>
      <c r="Q250" s="201"/>
      <c r="R250" s="201"/>
      <c r="S250" s="201"/>
      <c r="T250" s="201"/>
      <c r="U250" s="201"/>
      <c r="V250" s="201"/>
      <c r="W250" s="201"/>
      <c r="X250" s="201"/>
      <c r="Y250" s="201"/>
      <c r="Z250" s="201"/>
      <c r="AA250" s="201"/>
      <c r="AB250" s="201"/>
      <c r="AC250" s="201"/>
      <c r="AD250" s="201"/>
      <c r="AE250" s="201"/>
    </row>
    <row r="251" spans="1:31" s="221" customFormat="1" x14ac:dyDescent="0.25">
      <c r="A251" s="376"/>
      <c r="B251" s="388" t="s">
        <v>50</v>
      </c>
      <c r="C251"/>
      <c r="D251"/>
      <c r="E251"/>
      <c r="F251" s="201"/>
      <c r="G251" s="201"/>
      <c r="H251" s="201"/>
      <c r="I251" s="201"/>
      <c r="J251" s="201"/>
      <c r="K251" s="201"/>
      <c r="L251" s="201"/>
      <c r="M251" s="201"/>
      <c r="N251" s="201"/>
      <c r="O251" s="201"/>
      <c r="P251" s="201"/>
      <c r="Q251" s="201"/>
      <c r="R251" s="201"/>
      <c r="S251" s="201"/>
      <c r="T251" s="201"/>
      <c r="U251" s="201"/>
      <c r="V251" s="201"/>
      <c r="W251" s="201"/>
      <c r="X251" s="201"/>
      <c r="Y251" s="201"/>
      <c r="Z251" s="201"/>
      <c r="AA251" s="201"/>
      <c r="AB251" s="201"/>
      <c r="AC251" s="201"/>
      <c r="AD251" s="201"/>
      <c r="AE251" s="201"/>
    </row>
    <row r="252" spans="1:31" s="221" customFormat="1" x14ac:dyDescent="0.25">
      <c r="A252" s="376"/>
      <c r="B252" s="376" t="s">
        <v>51</v>
      </c>
      <c r="C252"/>
      <c r="D252"/>
      <c r="E252"/>
      <c r="F252" s="201"/>
      <c r="G252" s="201"/>
      <c r="H252" s="201"/>
      <c r="I252" s="201"/>
      <c r="J252" s="201"/>
      <c r="K252" s="201"/>
      <c r="L252" s="201"/>
      <c r="M252" s="201"/>
      <c r="N252" s="201"/>
      <c r="O252" s="201"/>
      <c r="P252" s="201"/>
      <c r="Q252" s="201"/>
      <c r="R252" s="201"/>
      <c r="S252" s="201"/>
      <c r="T252" s="201"/>
      <c r="U252" s="201"/>
      <c r="V252" s="201"/>
      <c r="W252" s="201"/>
      <c r="X252" s="201"/>
      <c r="Y252" s="201"/>
      <c r="Z252" s="201"/>
      <c r="AA252" s="201"/>
      <c r="AB252" s="201"/>
      <c r="AC252" s="201"/>
      <c r="AD252" s="201"/>
      <c r="AE252" s="201"/>
    </row>
    <row r="253" spans="1:31" s="221" customFormat="1" x14ac:dyDescent="0.25">
      <c r="A253" s="376"/>
      <c r="B253" s="376" t="s">
        <v>52</v>
      </c>
      <c r="C253"/>
      <c r="D253"/>
      <c r="E253"/>
      <c r="F253" s="201"/>
      <c r="G253" s="201"/>
      <c r="H253" s="201"/>
      <c r="I253" s="201"/>
      <c r="J253" s="201"/>
      <c r="K253" s="201"/>
      <c r="L253" s="201"/>
      <c r="M253" s="201"/>
      <c r="N253" s="201"/>
      <c r="O253" s="201"/>
      <c r="P253" s="201"/>
      <c r="Q253" s="201"/>
      <c r="R253" s="201"/>
      <c r="S253" s="201"/>
      <c r="T253" s="201"/>
      <c r="U253" s="201"/>
      <c r="V253" s="201"/>
      <c r="W253" s="201"/>
      <c r="X253" s="201"/>
      <c r="Y253" s="201"/>
      <c r="Z253" s="201"/>
      <c r="AA253" s="201"/>
      <c r="AB253" s="201"/>
      <c r="AC253" s="201"/>
      <c r="AD253" s="201"/>
      <c r="AE253" s="201"/>
    </row>
    <row r="254" spans="1:31" s="221" customFormat="1" x14ac:dyDescent="0.25">
      <c r="A254" s="376"/>
      <c r="B254" s="388" t="s">
        <v>29</v>
      </c>
      <c r="C254"/>
      <c r="D254"/>
      <c r="E254"/>
      <c r="F254"/>
      <c r="G254"/>
      <c r="H254"/>
      <c r="I254"/>
      <c r="J254"/>
      <c r="K254"/>
      <c r="L254"/>
      <c r="M254"/>
      <c r="N254"/>
      <c r="O254"/>
      <c r="P254"/>
      <c r="Q254"/>
      <c r="R254"/>
      <c r="S254"/>
      <c r="T254"/>
      <c r="U254"/>
      <c r="V254"/>
      <c r="W254"/>
      <c r="X254"/>
      <c r="Y254"/>
      <c r="Z254"/>
      <c r="AA254"/>
      <c r="AB254"/>
      <c r="AC254"/>
      <c r="AD254"/>
      <c r="AE254"/>
    </row>
    <row r="255" spans="1:31" s="221" customFormat="1" x14ac:dyDescent="0.25">
      <c r="A255" s="376"/>
      <c r="B255" s="388" t="s">
        <v>53</v>
      </c>
      <c r="C255"/>
      <c r="D255"/>
      <c r="E255"/>
      <c r="F255" s="201"/>
      <c r="G255" s="201"/>
      <c r="H255" s="201"/>
      <c r="I255" s="201"/>
      <c r="J255" s="201"/>
      <c r="K255" s="201"/>
      <c r="L255" s="201"/>
      <c r="M255" s="201"/>
      <c r="N255" s="201"/>
      <c r="O255" s="201"/>
      <c r="P255" s="201"/>
      <c r="Q255" s="201"/>
      <c r="R255" s="201"/>
      <c r="S255" s="201"/>
      <c r="T255" s="201"/>
      <c r="U255" s="201"/>
      <c r="V255" s="201"/>
      <c r="W255" s="201"/>
      <c r="X255" s="201"/>
      <c r="Y255" s="201"/>
      <c r="Z255" s="201"/>
      <c r="AA255" s="201"/>
      <c r="AB255" s="201"/>
      <c r="AC255" s="201"/>
      <c r="AD255" s="201"/>
      <c r="AE255" s="201"/>
    </row>
    <row r="256" spans="1:31" s="221" customFormat="1" x14ac:dyDescent="0.25">
      <c r="A256"/>
      <c r="B256"/>
      <c r="C256"/>
      <c r="D256"/>
      <c r="E256"/>
      <c r="F256"/>
      <c r="G256"/>
      <c r="H256"/>
      <c r="I256"/>
      <c r="J256"/>
      <c r="K256"/>
      <c r="L256"/>
      <c r="M256"/>
      <c r="N256"/>
      <c r="O256"/>
      <c r="P256"/>
      <c r="Q256"/>
      <c r="R256"/>
      <c r="S256"/>
      <c r="T256"/>
      <c r="U256"/>
      <c r="V256"/>
      <c r="W256"/>
      <c r="X256"/>
      <c r="Y256"/>
      <c r="Z256"/>
      <c r="AA256"/>
      <c r="AB256"/>
      <c r="AC256"/>
      <c r="AD256"/>
      <c r="AE256"/>
    </row>
    <row r="258" spans="1:31" x14ac:dyDescent="0.25">
      <c r="A258" s="230" t="s">
        <v>166</v>
      </c>
      <c r="B258" s="231"/>
      <c r="C258" s="230"/>
      <c r="D258" s="231"/>
      <c r="E258" s="231"/>
      <c r="F258" s="829" t="s">
        <v>437</v>
      </c>
      <c r="G258" s="233"/>
      <c r="H258" s="233"/>
      <c r="I258" s="233"/>
      <c r="J258" s="233"/>
      <c r="K258" s="233"/>
      <c r="L258" s="233"/>
      <c r="M258" s="233"/>
      <c r="N258" s="233"/>
      <c r="O258" s="233"/>
      <c r="P258" s="233"/>
      <c r="Q258" s="233"/>
      <c r="R258" s="233"/>
      <c r="S258" s="233"/>
      <c r="T258" s="233"/>
      <c r="U258" s="233"/>
      <c r="V258" s="233"/>
      <c r="W258" s="233"/>
      <c r="X258" s="233"/>
      <c r="Y258" s="233"/>
      <c r="Z258" s="233"/>
      <c r="AA258" s="233"/>
      <c r="AB258" s="233"/>
      <c r="AC258" s="233"/>
      <c r="AD258" s="233"/>
      <c r="AE258" s="233"/>
    </row>
    <row r="259" spans="1:31" x14ac:dyDescent="0.25">
      <c r="A259" s="228" t="s">
        <v>12</v>
      </c>
      <c r="B259" s="227"/>
    </row>
    <row r="260" spans="1:31" x14ac:dyDescent="0.25">
      <c r="A260" s="227"/>
      <c r="B260" s="227" t="s">
        <v>20</v>
      </c>
    </row>
    <row r="261" spans="1:31" s="202" customFormat="1" ht="12.75" x14ac:dyDescent="0.2">
      <c r="A261" s="232" t="s">
        <v>21</v>
      </c>
      <c r="B261" s="234"/>
      <c r="C261" s="234"/>
      <c r="D261" s="234"/>
      <c r="E261" s="234"/>
      <c r="F261" s="234"/>
      <c r="G261" s="234"/>
      <c r="H261" s="234"/>
      <c r="I261" s="234"/>
      <c r="J261" s="234"/>
      <c r="K261" s="234"/>
      <c r="L261" s="234"/>
      <c r="M261" s="234"/>
      <c r="N261" s="234"/>
      <c r="O261" s="234"/>
      <c r="P261" s="234"/>
      <c r="Q261" s="234"/>
      <c r="R261" s="234"/>
      <c r="S261" s="234"/>
      <c r="T261" s="234"/>
      <c r="U261" s="234"/>
      <c r="V261" s="234"/>
      <c r="W261" s="234"/>
      <c r="X261" s="234"/>
      <c r="Y261" s="234"/>
      <c r="Z261" s="234"/>
      <c r="AA261" s="234"/>
      <c r="AB261" s="234"/>
      <c r="AC261" s="234"/>
      <c r="AD261" s="234"/>
      <c r="AE261" s="234"/>
    </row>
    <row r="262" spans="1:31" s="221" customFormat="1" x14ac:dyDescent="0.25">
      <c r="A262" s="227"/>
      <c r="B262" s="227" t="s">
        <v>22</v>
      </c>
      <c r="C262"/>
      <c r="D262" s="201"/>
      <c r="E262" s="201"/>
      <c r="F262" s="201">
        <f t="array" aca="1" ref="F262" ca="1">F189*F117*(1+IF(Tech_Specs!$D9=MAX(Tech_Specs!$D$9:$D$12),0,SUMIF(Tech_Specs!$D$9:$D$12,"&gt;"&amp;Tech_Specs!$D9,F$225:F$228)))</f>
        <v>0.76149100191610331</v>
      </c>
      <c r="G262" s="201">
        <f t="array" aca="1" ref="G262" ca="1">G189*G117*(1+IF(Tech_Specs!$D9=MAX(Tech_Specs!$D$9:$D$12),0,SUMIF(Tech_Specs!$D$9:$D$12,"&gt;"&amp;Tech_Specs!$D9,G$225:G$228)))</f>
        <v>0.75654449016714742</v>
      </c>
      <c r="H262" s="201">
        <f t="array" aca="1" ref="H262" ca="1">H189*H117*(1+IF(Tech_Specs!$D9=MAX(Tech_Specs!$D$9:$D$12),0,SUMIF(Tech_Specs!$D$9:$D$12,"&gt;"&amp;Tech_Specs!$D9,H$225:H$228)))</f>
        <v>0.69967877392030076</v>
      </c>
      <c r="I262" s="201">
        <f t="array" aca="1" ref="I262" ca="1">I189*I117*(1+IF(Tech_Specs!$D9=MAX(Tech_Specs!$D$9:$D$12),0,SUMIF(Tech_Specs!$D$9:$D$12,"&gt;"&amp;Tech_Specs!$D9,I$225:I$228)))</f>
        <v>0.50750187082209031</v>
      </c>
      <c r="J262" s="201">
        <f t="array" aca="1" ref="J262" ca="1">J189*J117*(1+IF(Tech_Specs!$D9=MAX(Tech_Specs!$D$9:$D$12),0,SUMIF(Tech_Specs!$D$9:$D$12,"&gt;"&amp;Tech_Specs!$D9,J$225:J$228)))</f>
        <v>0.38368772263637785</v>
      </c>
      <c r="K262" s="201">
        <f t="array" aca="1" ref="K262" ca="1">K189*K117*(1+IF(Tech_Specs!$D9=MAX(Tech_Specs!$D$9:$D$12),0,SUMIF(Tech_Specs!$D$9:$D$12,"&gt;"&amp;Tech_Specs!$D9,K$225:K$228)))</f>
        <v>0.26906298969858183</v>
      </c>
      <c r="L262" s="201">
        <f t="array" aca="1" ref="L262" ca="1">L189*L117*(1+IF(Tech_Specs!$D9=MAX(Tech_Specs!$D$9:$D$12),0,SUMIF(Tech_Specs!$D$9:$D$12,"&gt;"&amp;Tech_Specs!$D9,L$225:L$228)))</f>
        <v>0.10971220752159556</v>
      </c>
      <c r="M262" s="201">
        <f t="array" aca="1" ref="M262" ca="1">M189*M117*(1+IF(Tech_Specs!$D9=MAX(Tech_Specs!$D$9:$D$12),0,SUMIF(Tech_Specs!$D$9:$D$12,"&gt;"&amp;Tech_Specs!$D9,M$225:M$228)))</f>
        <v>0.1033658120169329</v>
      </c>
      <c r="N262" s="201">
        <f t="array" aca="1" ref="N262" ca="1">N189*N117*(1+IF(Tech_Specs!$D9=MAX(Tech_Specs!$D$9:$D$12),0,SUMIF(Tech_Specs!$D$9:$D$12,"&gt;"&amp;Tech_Specs!$D9,N$225:N$228)))</f>
        <v>9.6351981921422789E-2</v>
      </c>
      <c r="O262" s="201">
        <f t="array" aca="1" ref="O262" ca="1">O189*O117*(1+IF(Tech_Specs!$D9=MAX(Tech_Specs!$D$9:$D$12),0,SUMIF(Tech_Specs!$D$9:$D$12,"&gt;"&amp;Tech_Specs!$D9,O$225:O$228)))</f>
        <v>8.91220226216584E-2</v>
      </c>
      <c r="P262" s="201">
        <f t="array" aca="1" ref="P262" ca="1">P189*P117*(1+IF(Tech_Specs!$D9=MAX(Tech_Specs!$D$9:$D$12),0,SUMIF(Tech_Specs!$D$9:$D$12,"&gt;"&amp;Tech_Specs!$D9,P$225:P$228)))</f>
        <v>8.0614373630719452E-2</v>
      </c>
      <c r="Q262" s="201">
        <f t="array" aca="1" ref="Q262" ca="1">Q189*Q117*(1+IF(Tech_Specs!$D9=MAX(Tech_Specs!$D$9:$D$12),0,SUMIF(Tech_Specs!$D$9:$D$12,"&gt;"&amp;Tech_Specs!$D9,Q$225:Q$228)))</f>
        <v>7.1295882904300723E-2</v>
      </c>
      <c r="R262" s="201">
        <f t="array" aca="1" ref="R262" ca="1">R189*R117*(1+IF(Tech_Specs!$D9=MAX(Tech_Specs!$D$9:$D$12),0,SUMIF(Tech_Specs!$D$9:$D$12,"&gt;"&amp;Tech_Specs!$D9,R$225:R$228)))</f>
        <v>6.2352423630223711E-2</v>
      </c>
      <c r="S262" s="201">
        <f t="array" aca="1" ref="S262" ca="1">S189*S117*(1+IF(Tech_Specs!$D9=MAX(Tech_Specs!$D$9:$D$12),0,SUMIF(Tech_Specs!$D$9:$D$12,"&gt;"&amp;Tech_Specs!$D9,S$225:S$228)))</f>
        <v>5.3946185854832636E-2</v>
      </c>
      <c r="T262" s="201">
        <f t="array" aca="1" ref="T262" ca="1">T189*T117*(1+IF(Tech_Specs!$D9=MAX(Tech_Specs!$D$9:$D$12),0,SUMIF(Tech_Specs!$D$9:$D$12,"&gt;"&amp;Tech_Specs!$D9,T$225:T$228)))</f>
        <v>4.6227622729981349E-2</v>
      </c>
      <c r="U262" s="201">
        <f t="array" aca="1" ref="U262" ca="1">U189*U117*(1+IF(Tech_Specs!$D9=MAX(Tech_Specs!$D$9:$D$12),0,SUMIF(Tech_Specs!$D$9:$D$12,"&gt;"&amp;Tech_Specs!$D9,U$225:U$228)))</f>
        <v>3.9645279057552288E-2</v>
      </c>
      <c r="V262" s="201">
        <f t="array" aca="1" ref="V262" ca="1">V189*V117*(1+IF(Tech_Specs!$D9=MAX(Tech_Specs!$D$9:$D$12),0,SUMIF(Tech_Specs!$D$9:$D$12,"&gt;"&amp;Tech_Specs!$D9,V$225:V$228)))</f>
        <v>3.385002364276489E-2</v>
      </c>
      <c r="W262" s="201">
        <f t="array" aca="1" ref="W262" ca="1">W189*W117*(1+IF(Tech_Specs!$D9=MAX(Tech_Specs!$D$9:$D$12),0,SUMIF(Tech_Specs!$D$9:$D$12,"&gt;"&amp;Tech_Specs!$D9,W$225:W$228)))</f>
        <v>2.8856770144430628E-2</v>
      </c>
      <c r="X262" s="201">
        <f t="array" aca="1" ref="X262" ca="1">X189*X117*(1+IF(Tech_Specs!$D9=MAX(Tech_Specs!$D$9:$D$12),0,SUMIF(Tech_Specs!$D$9:$D$12,"&gt;"&amp;Tech_Specs!$D9,X$225:X$228)))</f>
        <v>2.4582693328105407E-2</v>
      </c>
      <c r="Y262" s="201">
        <f t="array" aca="1" ref="Y262" ca="1">Y189*Y117*(1+IF(Tech_Specs!$D9=MAX(Tech_Specs!$D$9:$D$12),0,SUMIF(Tech_Specs!$D$9:$D$12,"&gt;"&amp;Tech_Specs!$D9,Y$225:Y$228)))</f>
        <v>2.104258557883636E-2</v>
      </c>
      <c r="Z262" s="201">
        <f t="array" aca="1" ref="Z262" ca="1">Z189*Z117*(1+IF(Tech_Specs!$D9=MAX(Tech_Specs!$D$9:$D$12),0,SUMIF(Tech_Specs!$D$9:$D$12,"&gt;"&amp;Tech_Specs!$D9,Z$225:Z$228)))</f>
        <v>1.8152108243667059E-2</v>
      </c>
      <c r="AA262" s="201">
        <f t="array" aca="1" ref="AA262" ca="1">AA189*AA117*(1+IF(Tech_Specs!$D9=MAX(Tech_Specs!$D$9:$D$12),0,SUMIF(Tech_Specs!$D$9:$D$12,"&gt;"&amp;Tech_Specs!$D9,AA$225:AA$228)))</f>
        <v>1.5650875757679636E-2</v>
      </c>
      <c r="AB262" s="201">
        <f t="array" aca="1" ref="AB262" ca="1">AB189*AB117*(1+IF(Tech_Specs!$D9=MAX(Tech_Specs!$D$9:$D$12),0,SUMIF(Tech_Specs!$D$9:$D$12,"&gt;"&amp;Tech_Specs!$D9,AB$225:AB$228)))</f>
        <v>1.3554525013156328E-2</v>
      </c>
      <c r="AC262" s="201">
        <f t="array" aca="1" ref="AC262" ca="1">AC189*AC117*(1+IF(Tech_Specs!$D9=MAX(Tech_Specs!$D$9:$D$12),0,SUMIF(Tech_Specs!$D$9:$D$12,"&gt;"&amp;Tech_Specs!$D9,AC$225:AC$228)))</f>
        <v>1.1773221471984842E-2</v>
      </c>
      <c r="AD262" s="201">
        <f t="array" aca="1" ref="AD262" ca="1">AD189*AD117*(1+IF(Tech_Specs!$D9=MAX(Tech_Specs!$D$9:$D$12),0,SUMIF(Tech_Specs!$D$9:$D$12,"&gt;"&amp;Tech_Specs!$D9,AD$225:AD$228)))</f>
        <v>1.0228587075843662E-2</v>
      </c>
      <c r="AE262" s="201">
        <f t="array" aca="1" ref="AE262" ca="1">AE189*AE117*(1+IF(Tech_Specs!$D9=MAX(Tech_Specs!$D$9:$D$12),0,SUMIF(Tech_Specs!$D$9:$D$12,"&gt;"&amp;Tech_Specs!$D9,AE$225:AE$228)))</f>
        <v>8.7484931621660319E-3</v>
      </c>
    </row>
    <row r="263" spans="1:31" s="221" customFormat="1" x14ac:dyDescent="0.25">
      <c r="A263" s="227"/>
      <c r="B263" s="227" t="s">
        <v>26</v>
      </c>
      <c r="C263"/>
      <c r="D263" s="201"/>
      <c r="E263" s="201"/>
      <c r="F263" s="201">
        <f t="array" aca="1" ref="F263" ca="1">F190*F118*(1+IF(Tech_Specs!$D10=MAX(Tech_Specs!$D$9:$D$12),0,SUMIF(Tech_Specs!$D$9:$D$12,"&gt;"&amp;Tech_Specs!$D10,F$225:F$228)))</f>
        <v>1.0901590026258727E-2</v>
      </c>
      <c r="G263" s="201">
        <f t="array" aca="1" ref="G263" ca="1">G190*G118*(1+IF(Tech_Specs!$D10=MAX(Tech_Specs!$D$9:$D$12),0,SUMIF(Tech_Specs!$D$9:$D$12,"&gt;"&amp;Tech_Specs!$D10,G$225:G$228)))</f>
        <v>1.1092941937655171E-2</v>
      </c>
      <c r="H263" s="201">
        <f t="array" aca="1" ref="H263" ca="1">H190*H118*(1+IF(Tech_Specs!$D10=MAX(Tech_Specs!$D$9:$D$12),0,SUMIF(Tech_Specs!$D$9:$D$12,"&gt;"&amp;Tech_Specs!$D10,H$225:H$228)))</f>
        <v>5.050994073321162E-2</v>
      </c>
      <c r="I263" s="201">
        <f t="array" aca="1" ref="I263" ca="1">I190*I118*(1+IF(Tech_Specs!$D10=MAX(Tech_Specs!$D$9:$D$12),0,SUMIF(Tech_Specs!$D$9:$D$12,"&gt;"&amp;Tech_Specs!$D10,I$225:I$228)))</f>
        <v>0.16731116142513114</v>
      </c>
      <c r="J263" s="201">
        <f t="array" aca="1" ref="J263" ca="1">J190*J118*(1+IF(Tech_Specs!$D10=MAX(Tech_Specs!$D$9:$D$12),0,SUMIF(Tech_Specs!$D$9:$D$12,"&gt;"&amp;Tech_Specs!$D10,J$225:J$228)))</f>
        <v>0.25829515366493466</v>
      </c>
      <c r="K263" s="201">
        <f t="array" aca="1" ref="K263" ca="1">K190*K118*(1+IF(Tech_Specs!$D10=MAX(Tech_Specs!$D$9:$D$12),0,SUMIF(Tech_Specs!$D$9:$D$12,"&gt;"&amp;Tech_Specs!$D10,K$225:K$228)))</f>
        <v>0.30467033741217081</v>
      </c>
      <c r="L263" s="201">
        <f t="array" aca="1" ref="L263" ca="1">L190*L118*(1+IF(Tech_Specs!$D10=MAX(Tech_Specs!$D$9:$D$12),0,SUMIF(Tech_Specs!$D$9:$D$12,"&gt;"&amp;Tech_Specs!$D10,L$225:L$228)))</f>
        <v>0.35946095942721051</v>
      </c>
      <c r="M263" s="201">
        <f t="array" aca="1" ref="M263" ca="1">M190*M118*(1+IF(Tech_Specs!$D10=MAX(Tech_Specs!$D$9:$D$12),0,SUMIF(Tech_Specs!$D$9:$D$12,"&gt;"&amp;Tech_Specs!$D10,M$225:M$228)))</f>
        <v>0.34896442788190074</v>
      </c>
      <c r="N263" s="201">
        <f t="array" aca="1" ref="N263" ca="1">N190*N118*(1+IF(Tech_Specs!$D10=MAX(Tech_Specs!$D$9:$D$12),0,SUMIF(Tech_Specs!$D$9:$D$12,"&gt;"&amp;Tech_Specs!$D10,N$225:N$228)))</f>
        <v>0.33472035216134821</v>
      </c>
      <c r="O263" s="201">
        <f t="array" aca="1" ref="O263" ca="1">O190*O118*(1+IF(Tech_Specs!$D10=MAX(Tech_Specs!$D$9:$D$12),0,SUMIF(Tech_Specs!$D$9:$D$12,"&gt;"&amp;Tech_Specs!$D10,O$225:O$228)))</f>
        <v>0.31762172196735849</v>
      </c>
      <c r="P263" s="201">
        <f t="array" aca="1" ref="P263" ca="1">P190*P118*(1+IF(Tech_Specs!$D10=MAX(Tech_Specs!$D$9:$D$12),0,SUMIF(Tech_Specs!$D$9:$D$12,"&gt;"&amp;Tech_Specs!$D10,P$225:P$228)))</f>
        <v>0.29535105825461394</v>
      </c>
      <c r="Q263" s="201">
        <f t="array" aca="1" ref="Q263" ca="1">Q190*Q118*(1+IF(Tech_Specs!$D10=MAX(Tech_Specs!$D$9:$D$12),0,SUMIF(Tech_Specs!$D$9:$D$12,"&gt;"&amp;Tech_Specs!$D10,Q$225:Q$228)))</f>
        <v>0.2692731369067195</v>
      </c>
      <c r="R263" s="201">
        <f t="array" aca="1" ref="R263" ca="1">R190*R118*(1+IF(Tech_Specs!$D10=MAX(Tech_Specs!$D$9:$D$12),0,SUMIF(Tech_Specs!$D$9:$D$12,"&gt;"&amp;Tech_Specs!$D10,R$225:R$228)))</f>
        <v>0.24271250029382227</v>
      </c>
      <c r="S263" s="201">
        <f t="array" aca="1" ref="S263" ca="1">S190*S118*(1+IF(Tech_Specs!$D10=MAX(Tech_Specs!$D$9:$D$12),0,SUMIF(Tech_Specs!$D$9:$D$12,"&gt;"&amp;Tech_Specs!$D10,S$225:S$228)))</f>
        <v>0.21657295708652294</v>
      </c>
      <c r="T263" s="201">
        <f t="array" aca="1" ref="T263" ca="1">T190*T118*(1+IF(Tech_Specs!$D10=MAX(Tech_Specs!$D$9:$D$12),0,SUMIF(Tech_Specs!$D$9:$D$12,"&gt;"&amp;Tech_Specs!$D10,T$225:T$228)))</f>
        <v>0.19165419792193711</v>
      </c>
      <c r="U263" s="201">
        <f t="array" aca="1" ref="U263" ca="1">U190*U118*(1+IF(Tech_Specs!$D10=MAX(Tech_Specs!$D$9:$D$12),0,SUMIF(Tech_Specs!$D$9:$D$12,"&gt;"&amp;Tech_Specs!$D10,U$225:U$228)))</f>
        <v>0.16960697184100443</v>
      </c>
      <c r="V263" s="201">
        <f t="array" aca="1" ref="V263" ca="1">V190*V118*(1+IF(Tech_Specs!$D10=MAX(Tech_Specs!$D$9:$D$12),0,SUMIF(Tech_Specs!$D$9:$D$12,"&gt;"&amp;Tech_Specs!$D10,V$225:V$228)))</f>
        <v>0.1496767281268635</v>
      </c>
      <c r="W263" s="201">
        <f t="array" aca="1" ref="W263" ca="1">W190*W118*(1+IF(Tech_Specs!$D10=MAX(Tech_Specs!$D$9:$D$12),0,SUMIF(Tech_Specs!$D$9:$D$12,"&gt;"&amp;Tech_Specs!$D10,W$225:W$228)))</f>
        <v>0.1320757305092442</v>
      </c>
      <c r="X263" s="201">
        <f t="array" aca="1" ref="X263" ca="1">X190*X118*(1+IF(Tech_Specs!$D10=MAX(Tech_Specs!$D$9:$D$12),0,SUMIF(Tech_Specs!$D$9:$D$12,"&gt;"&amp;Tech_Specs!$D10,X$225:X$228)))</f>
        <v>0.11666059855519935</v>
      </c>
      <c r="Y263" s="201">
        <f t="array" aca="1" ref="Y263" ca="1">Y190*Y118*(1+IF(Tech_Specs!$D10=MAX(Tech_Specs!$D$9:$D$12),0,SUMIF(Tech_Specs!$D$9:$D$12,"&gt;"&amp;Tech_Specs!$D10,Y$225:Y$228)))</f>
        <v>0.10359268047598652</v>
      </c>
      <c r="Z263" s="201">
        <f t="array" aca="1" ref="Z263" ca="1">Z190*Z118*(1+IF(Tech_Specs!$D10=MAX(Tech_Specs!$D$9:$D$12),0,SUMIF(Tech_Specs!$D$9:$D$12,"&gt;"&amp;Tech_Specs!$D10,Z$225:Z$228)))</f>
        <v>9.2691772344048393E-2</v>
      </c>
      <c r="AA263" s="201">
        <f t="array" aca="1" ref="AA263" ca="1">AA190*AA118*(1+IF(Tech_Specs!$D10=MAX(Tech_Specs!$D$9:$D$12),0,SUMIF(Tech_Specs!$D$9:$D$12,"&gt;"&amp;Tech_Specs!$D10,AA$225:AA$228)))</f>
        <v>8.3076507272487415E-2</v>
      </c>
      <c r="AB263" s="201">
        <f t="array" aca="1" ref="AB263" ca="1">AB190*AB118*(1+IF(Tech_Specs!$D10=MAX(Tech_Specs!$D$9:$D$12),0,SUMIF(Tech_Specs!$D$9:$D$12,"&gt;"&amp;Tech_Specs!$D10,AB$225:AB$228)))</f>
        <v>7.4849924389528769E-2</v>
      </c>
      <c r="AC263" s="201">
        <f t="array" aca="1" ref="AC263" ca="1">AC190*AC118*(1+IF(Tech_Specs!$D10=MAX(Tech_Specs!$D$9:$D$12),0,SUMIF(Tech_Specs!$D$9:$D$12,"&gt;"&amp;Tech_Specs!$D10,AC$225:AC$228)))</f>
        <v>6.7710689955464268E-2</v>
      </c>
      <c r="AD263" s="201">
        <f t="array" aca="1" ref="AD263" ca="1">AD190*AD118*(1+IF(Tech_Specs!$D10=MAX(Tech_Specs!$D$9:$D$12),0,SUMIF(Tech_Specs!$D$9:$D$12,"&gt;"&amp;Tech_Specs!$D10,AD$225:AD$228)))</f>
        <v>6.1374405791094308E-2</v>
      </c>
      <c r="AE263" s="201">
        <f t="array" aca="1" ref="AE263" ca="1">AE190*AE118*(1+IF(Tech_Specs!$D10=MAX(Tech_Specs!$D$9:$D$12),0,SUMIF(Tech_Specs!$D$9:$D$12,"&gt;"&amp;Tech_Specs!$D10,AE$225:AE$228)))</f>
        <v>5.5094740581226216E-2</v>
      </c>
    </row>
    <row r="264" spans="1:31" s="221" customFormat="1" x14ac:dyDescent="0.25">
      <c r="A264" s="227"/>
      <c r="B264" s="227" t="s">
        <v>27</v>
      </c>
      <c r="C264"/>
      <c r="D264" s="201"/>
      <c r="E264" s="201"/>
      <c r="F264" s="201">
        <f t="array" aca="1" ref="F264" ca="1">F191*F119*(1+IF(Tech_Specs!$D11=MAX(Tech_Specs!$D$9:$D$12),0,SUMIF(Tech_Specs!$D$9:$D$12,"&gt;"&amp;Tech_Specs!$D11,F$225:F$228)))</f>
        <v>0.22760739320318782</v>
      </c>
      <c r="G264" s="201">
        <f t="array" aca="1" ref="G264" ca="1">G191*G119*(1+IF(Tech_Specs!$D11=MAX(Tech_Specs!$D$9:$D$12),0,SUMIF(Tech_Specs!$D$9:$D$12,"&gt;"&amp;Tech_Specs!$D11,G$225:G$228)))</f>
        <v>0.23236255073683926</v>
      </c>
      <c r="H264" s="201">
        <f t="array" aca="1" ref="H264" ca="1">H191*H119*(1+IF(Tech_Specs!$D11=MAX(Tech_Specs!$D$9:$D$12),0,SUMIF(Tech_Specs!$D$9:$D$12,"&gt;"&amp;Tech_Specs!$D11,H$225:H$228)))</f>
        <v>0.24980981434888183</v>
      </c>
      <c r="I264" s="201">
        <f t="array" aca="1" ref="I264" ca="1">I191*I119*(1+IF(Tech_Specs!$D11=MAX(Tech_Specs!$D$9:$D$12),0,SUMIF(Tech_Specs!$D$9:$D$12,"&gt;"&amp;Tech_Specs!$D11,I$225:I$228)))</f>
        <v>0.32514032666619974</v>
      </c>
      <c r="J264" s="201">
        <f t="array" aca="1" ref="J264" ca="1">J191*J119*(1+IF(Tech_Specs!$D11=MAX(Tech_Specs!$D$9:$D$12),0,SUMIF(Tech_Specs!$D$9:$D$12,"&gt;"&amp;Tech_Specs!$D11,J$225:J$228)))</f>
        <v>0.3575046206645725</v>
      </c>
      <c r="K264" s="201">
        <f t="array" aca="1" ref="K264" ca="1">K191*K119*(1+IF(Tech_Specs!$D11=MAX(Tech_Specs!$D$9:$D$12),0,SUMIF(Tech_Specs!$D$9:$D$12,"&gt;"&amp;Tech_Specs!$D11,K$225:K$228)))</f>
        <v>0.42318043611806239</v>
      </c>
      <c r="L264" s="201">
        <f t="array" aca="1" ref="L264" ca="1">L191*L119*(1+IF(Tech_Specs!$D11=MAX(Tech_Specs!$D$9:$D$12),0,SUMIF(Tech_Specs!$D$9:$D$12,"&gt;"&amp;Tech_Specs!$D11,L$225:L$228)))</f>
        <v>0.51813502781600151</v>
      </c>
      <c r="M264" s="201">
        <f t="array" aca="1" ref="M264" ca="1">M191*M119*(1+IF(Tech_Specs!$D11=MAX(Tech_Specs!$D$9:$D$12),0,SUMIF(Tech_Specs!$D$9:$D$12,"&gt;"&amp;Tech_Specs!$D11,M$225:M$228)))</f>
        <v>0.51566182486198797</v>
      </c>
      <c r="N264" s="201">
        <f t="array" aca="1" ref="N264" ca="1">N191*N119*(1+IF(Tech_Specs!$D11=MAX(Tech_Specs!$D$9:$D$12),0,SUMIF(Tech_Specs!$D$9:$D$12,"&gt;"&amp;Tech_Specs!$D11,N$225:N$228)))</f>
        <v>0.5040610356093036</v>
      </c>
      <c r="O264" s="201">
        <f t="array" aca="1" ref="O264" ca="1">O191*O119*(1+IF(Tech_Specs!$D11=MAX(Tech_Specs!$D$9:$D$12),0,SUMIF(Tech_Specs!$D$9:$D$12,"&gt;"&amp;Tech_Specs!$D11,O$225:O$228)))</f>
        <v>0.48211706821261202</v>
      </c>
      <c r="P264" s="201">
        <f t="array" aca="1" ref="P264" ca="1">P191*P119*(1+IF(Tech_Specs!$D11=MAX(Tech_Specs!$D$9:$D$12),0,SUMIF(Tech_Specs!$D$9:$D$12,"&gt;"&amp;Tech_Specs!$D11,P$225:P$228)))</f>
        <v>0.45477669328239489</v>
      </c>
      <c r="Q264" s="201">
        <f t="array" aca="1" ref="Q264" ca="1">Q191*Q119*(1+IF(Tech_Specs!$D11=MAX(Tech_Specs!$D$9:$D$12),0,SUMIF(Tech_Specs!$D$9:$D$12,"&gt;"&amp;Tech_Specs!$D11,Q$225:Q$228)))</f>
        <v>0.42402978774351074</v>
      </c>
      <c r="R264" s="201">
        <f t="array" aca="1" ref="R264" ca="1">R191*R119*(1+IF(Tech_Specs!$D11=MAX(Tech_Specs!$D$9:$D$12),0,SUMIF(Tech_Specs!$D$9:$D$12,"&gt;"&amp;Tech_Specs!$D11,R$225:R$228)))</f>
        <v>0.39022286732877959</v>
      </c>
      <c r="S264" s="201">
        <f t="array" aca="1" ref="S264" ca="1">S191*S119*(1+IF(Tech_Specs!$D11=MAX(Tech_Specs!$D$9:$D$12),0,SUMIF(Tech_Specs!$D$9:$D$12,"&gt;"&amp;Tech_Specs!$D11,S$225:S$228)))</f>
        <v>0.35590373501472583</v>
      </c>
      <c r="T264" s="201">
        <f t="array" aca="1" ref="T264" ca="1">T191*T119*(1+IF(Tech_Specs!$D11=MAX(Tech_Specs!$D$9:$D$12),0,SUMIF(Tech_Specs!$D$9:$D$12,"&gt;"&amp;Tech_Specs!$D11,T$225:T$228)))</f>
        <v>0.32286080501497283</v>
      </c>
      <c r="U264" s="201">
        <f t="array" aca="1" ref="U264" ca="1">U191*U119*(1+IF(Tech_Specs!$D11=MAX(Tech_Specs!$D$9:$D$12),0,SUMIF(Tech_Specs!$D$9:$D$12,"&gt;"&amp;Tech_Specs!$D11,U$225:U$228)))</f>
        <v>0.29193289744265882</v>
      </c>
      <c r="V264" s="201">
        <f t="array" aca="1" ref="V264" ca="1">V191*V119*(1+IF(Tech_Specs!$D11=MAX(Tech_Specs!$D$9:$D$12),0,SUMIF(Tech_Specs!$D$9:$D$12,"&gt;"&amp;Tech_Specs!$D11,V$225:V$228)))</f>
        <v>0.26420276860481701</v>
      </c>
      <c r="W264" s="201">
        <f t="array" aca="1" ref="W264" ca="1">W191*W119*(1+IF(Tech_Specs!$D11=MAX(Tech_Specs!$D$9:$D$12),0,SUMIF(Tech_Specs!$D$9:$D$12,"&gt;"&amp;Tech_Specs!$D11,W$225:W$228)))</f>
        <v>0.23980095899944306</v>
      </c>
      <c r="X264" s="201">
        <f t="array" aca="1" ref="X264" ca="1">X191*X119*(1+IF(Tech_Specs!$D11=MAX(Tech_Specs!$D$9:$D$12),0,SUMIF(Tech_Specs!$D$9:$D$12,"&gt;"&amp;Tech_Specs!$D11,X$225:X$228)))</f>
        <v>0.21861913790998794</v>
      </c>
      <c r="Y264" s="201">
        <f t="array" aca="1" ref="Y264" ca="1">Y191*Y119*(1+IF(Tech_Specs!$D11=MAX(Tech_Specs!$D$9:$D$12),0,SUMIF(Tech_Specs!$D$9:$D$12,"&gt;"&amp;Tech_Specs!$D11,Y$225:Y$228)))</f>
        <v>0.20037864211512971</v>
      </c>
      <c r="Z264" s="201">
        <f t="array" aca="1" ref="Z264" ca="1">Z191*Z119*(1+IF(Tech_Specs!$D11=MAX(Tech_Specs!$D$9:$D$12),0,SUMIF(Tech_Specs!$D$9:$D$12,"&gt;"&amp;Tech_Specs!$D11,Z$225:Z$228)))</f>
        <v>0.18478099596510364</v>
      </c>
      <c r="AA264" s="201">
        <f t="array" aca="1" ref="AA264" ca="1">AA191*AA119*(1+IF(Tech_Specs!$D11=MAX(Tech_Specs!$D$9:$D$12),0,SUMIF(Tech_Specs!$D$9:$D$12,"&gt;"&amp;Tech_Specs!$D11,AA$225:AA$228)))</f>
        <v>0.17142017944627477</v>
      </c>
      <c r="AB264" s="201">
        <f t="array" aca="1" ref="AB264" ca="1">AB191*AB119*(1+IF(Tech_Specs!$D11=MAX(Tech_Specs!$D$9:$D$12),0,SUMIF(Tech_Specs!$D$9:$D$12,"&gt;"&amp;Tech_Specs!$D11,AB$225:AB$228)))</f>
        <v>0.15996538994168055</v>
      </c>
      <c r="AC264" s="201">
        <f t="array" aca="1" ref="AC264" ca="1">AC191*AC119*(1+IF(Tech_Specs!$D11=MAX(Tech_Specs!$D$9:$D$12),0,SUMIF(Tech_Specs!$D$9:$D$12,"&gt;"&amp;Tech_Specs!$D11,AC$225:AC$228)))</f>
        <v>0.15009325201290044</v>
      </c>
      <c r="AD264" s="201">
        <f t="array" aca="1" ref="AD264" ca="1">AD191*AD119*(1+IF(Tech_Specs!$D11=MAX(Tech_Specs!$D$9:$D$12),0,SUMIF(Tech_Specs!$D$9:$D$12,"&gt;"&amp;Tech_Specs!$D11,AD$225:AD$228)))</f>
        <v>0.14150688569892128</v>
      </c>
      <c r="AE264" s="201">
        <f t="array" aca="1" ref="AE264" ca="1">AE191*AE119*(1+IF(Tech_Specs!$D11=MAX(Tech_Specs!$D$9:$D$12),0,SUMIF(Tech_Specs!$D$9:$D$12,"&gt;"&amp;Tech_Specs!$D11,AE$225:AE$228)))</f>
        <v>0.1337882081894031</v>
      </c>
    </row>
    <row r="265" spans="1:31" s="221" customFormat="1" x14ac:dyDescent="0.25">
      <c r="A265" s="227"/>
      <c r="B265" s="227" t="s">
        <v>29</v>
      </c>
      <c r="C265"/>
      <c r="D265" s="201"/>
      <c r="E265" s="201"/>
      <c r="F265" s="201">
        <f t="array" aca="1" ref="F265" ca="1">F192*F120*(1+IF(Tech_Specs!$D12=MAX(Tech_Specs!$D$9:$D$12),0,SUMIF(Tech_Specs!$D$9:$D$12,"&gt;"&amp;Tech_Specs!$D12,F$225:F$228)))</f>
        <v>3.8092204450629314E-16</v>
      </c>
      <c r="G265" s="201">
        <f t="array" aca="1" ref="G265" ca="1">G192*G120*(1+IF(Tech_Specs!$D12=MAX(Tech_Specs!$D$9:$D$12),0,SUMIF(Tech_Specs!$D$9:$D$12,"&gt;"&amp;Tech_Specs!$D12,G$225:G$228)))</f>
        <v>2.400400218519548E-9</v>
      </c>
      <c r="H265" s="201">
        <f t="array" aca="1" ref="H265" ca="1">H192*H120*(1+IF(Tech_Specs!$D12=MAX(Tech_Specs!$D$9:$D$12),0,SUMIF(Tech_Specs!$D$9:$D$12,"&gt;"&amp;Tech_Specs!$D12,H$225:H$228)))</f>
        <v>1.4573489309260118E-6</v>
      </c>
      <c r="I265" s="201">
        <f t="array" aca="1" ref="I265" ca="1">I192*I120*(1+IF(Tech_Specs!$D12=MAX(Tech_Specs!$D$9:$D$12),0,SUMIF(Tech_Specs!$D$9:$D$12,"&gt;"&amp;Tech_Specs!$D12,I$225:I$228)))</f>
        <v>4.6631186710137878E-5</v>
      </c>
      <c r="J265" s="201">
        <f t="array" aca="1" ref="J265" ca="1">J192*J120*(1+IF(Tech_Specs!$D12=MAX(Tech_Specs!$D$9:$D$12),0,SUMIF(Tech_Specs!$D$9:$D$12,"&gt;"&amp;Tech_Specs!$D12,J$225:J$228)))</f>
        <v>5.1249554949579063E-4</v>
      </c>
      <c r="K265" s="201">
        <f t="array" aca="1" ref="K265" ca="1">K192*K120*(1+IF(Tech_Specs!$D12=MAX(Tech_Specs!$D$9:$D$12),0,SUMIF(Tech_Specs!$D$9:$D$12,"&gt;"&amp;Tech_Specs!$D12,K$225:K$228)))</f>
        <v>3.0862315225575281E-3</v>
      </c>
      <c r="L265" s="201">
        <f t="array" aca="1" ref="L265" ca="1">L192*L120*(1+IF(Tech_Specs!$D12=MAX(Tech_Specs!$D$9:$D$12),0,SUMIF(Tech_Specs!$D$9:$D$12,"&gt;"&amp;Tech_Specs!$D12,L$225:L$228)))</f>
        <v>1.2691803095029887E-2</v>
      </c>
      <c r="M265" s="201">
        <f t="array" aca="1" ref="M265" ca="1">M192*M120*(1+IF(Tech_Specs!$D12=MAX(Tech_Specs!$D$9:$D$12),0,SUMIF(Tech_Specs!$D$9:$D$12,"&gt;"&amp;Tech_Specs!$D12,M$225:M$228)))</f>
        <v>3.2007933222815622E-2</v>
      </c>
      <c r="N265" s="201">
        <f t="array" aca="1" ref="N265" ca="1">N192*N120*(1+IF(Tech_Specs!$D12=MAX(Tech_Specs!$D$9:$D$12),0,SUMIF(Tech_Specs!$D$9:$D$12,"&gt;"&amp;Tech_Specs!$D12,N$225:N$228)))</f>
        <v>6.4866628428381645E-2</v>
      </c>
      <c r="O265" s="201">
        <f t="array" aca="1" ref="O265" ca="1">O192*O120*(1+IF(Tech_Specs!$D12=MAX(Tech_Specs!$D$9:$D$12),0,SUMIF(Tech_Specs!$D$9:$D$12,"&gt;"&amp;Tech_Specs!$D12,O$225:O$228)))</f>
        <v>0.11113918545986262</v>
      </c>
      <c r="P265" s="201">
        <f t="array" aca="1" ref="P265" ca="1">P192*P120*(1+IF(Tech_Specs!$D12=MAX(Tech_Specs!$D$9:$D$12),0,SUMIF(Tech_Specs!$D$9:$D$12,"&gt;"&amp;Tech_Specs!$D12,P$225:P$228)))</f>
        <v>0.16925787325972241</v>
      </c>
      <c r="Q265" s="201">
        <f t="array" aca="1" ref="Q265" ca="1">Q192*Q120*(1+IF(Tech_Specs!$D12=MAX(Tech_Specs!$D$9:$D$12),0,SUMIF(Tech_Specs!$D$9:$D$12,"&gt;"&amp;Tech_Specs!$D12,Q$225:Q$228)))</f>
        <v>0.23540119105469598</v>
      </c>
      <c r="R265" s="201">
        <f t="array" aca="1" ref="R265" ca="1">R192*R120*(1+IF(Tech_Specs!$D12=MAX(Tech_Specs!$D$9:$D$12),0,SUMIF(Tech_Specs!$D$9:$D$12,"&gt;"&amp;Tech_Specs!$D12,R$225:R$228)))</f>
        <v>0.30471220753086192</v>
      </c>
      <c r="S265" s="201">
        <f t="array" aca="1" ref="S265" ca="1">S192*S120*(1+IF(Tech_Specs!$D12=MAX(Tech_Specs!$D$9:$D$12),0,SUMIF(Tech_Specs!$D$9:$D$12,"&gt;"&amp;Tech_Specs!$D12,S$225:S$228)))</f>
        <v>0.37357712099158713</v>
      </c>
      <c r="T265" s="201">
        <f t="array" aca="1" ref="T265" ca="1">T192*T120*(1+IF(Tech_Specs!$D12=MAX(Tech_Specs!$D$9:$D$12),0,SUMIF(Tech_Specs!$D$9:$D$12,"&gt;"&amp;Tech_Specs!$D12,T$225:T$228)))</f>
        <v>0.43925737343134363</v>
      </c>
      <c r="U265" s="201">
        <f t="array" aca="1" ref="U265" ca="1">U192*U120*(1+IF(Tech_Specs!$D12=MAX(Tech_Specs!$D$9:$D$12),0,SUMIF(Tech_Specs!$D$9:$D$12,"&gt;"&amp;Tech_Specs!$D12,U$225:U$228)))</f>
        <v>0.49881485088542166</v>
      </c>
      <c r="V265" s="201">
        <f t="array" aca="1" ref="V265" ca="1">V192*V120*(1+IF(Tech_Specs!$D12=MAX(Tech_Specs!$D$9:$D$12),0,SUMIF(Tech_Specs!$D$9:$D$12,"&gt;"&amp;Tech_Specs!$D12,V$225:V$228)))</f>
        <v>0.55227047896524029</v>
      </c>
      <c r="W265" s="201">
        <f t="array" aca="1" ref="W265" ca="1">W192*W120*(1+IF(Tech_Specs!$D12=MAX(Tech_Specs!$D$9:$D$12),0,SUMIF(Tech_Specs!$D$9:$D$12,"&gt;"&amp;Tech_Specs!$D12,W$225:W$228)))</f>
        <v>0.59926653978397137</v>
      </c>
      <c r="X265" s="201">
        <f t="array" aca="1" ref="X265" ca="1">X192*X120*(1+IF(Tech_Specs!$D12=MAX(Tech_Specs!$D$9:$D$12),0,SUMIF(Tech_Specs!$D$9:$D$12,"&gt;"&amp;Tech_Specs!$D12,X$225:X$228)))</f>
        <v>0.64013756972717129</v>
      </c>
      <c r="Y265" s="201">
        <f t="array" aca="1" ref="Y265" ca="1">Y192*Y120*(1+IF(Tech_Specs!$D12=MAX(Tech_Specs!$D$9:$D$12),0,SUMIF(Tech_Specs!$D$9:$D$12,"&gt;"&amp;Tech_Specs!$D12,Y$225:Y$228)))</f>
        <v>0.67498609141956833</v>
      </c>
      <c r="Z265" s="201">
        <f t="array" aca="1" ref="Z265" ca="1">Z192*Z120*(1+IF(Tech_Specs!$D12=MAX(Tech_Specs!$D$9:$D$12),0,SUMIF(Tech_Specs!$D$9:$D$12,"&gt;"&amp;Tech_Specs!$D12,Z$225:Z$228)))</f>
        <v>0.70437512309308659</v>
      </c>
      <c r="AA265" s="201">
        <f t="array" aca="1" ref="AA265" ca="1">AA192*AA120*(1+IF(Tech_Specs!$D12=MAX(Tech_Specs!$D$9:$D$12),0,SUMIF(Tech_Specs!$D$9:$D$12,"&gt;"&amp;Tech_Specs!$D12,AA$225:AA$228)))</f>
        <v>0.72985243721825555</v>
      </c>
      <c r="AB265" s="201">
        <f t="array" aca="1" ref="AB265" ca="1">AB192*AB120*(1+IF(Tech_Specs!$D12=MAX(Tech_Specs!$D$9:$D$12),0,SUMIF(Tech_Specs!$D$9:$D$12,"&gt;"&amp;Tech_Specs!$D12,AB$225:AB$228)))</f>
        <v>0.75163016039122543</v>
      </c>
      <c r="AC265" s="201">
        <f t="array" aca="1" ref="AC265" ca="1">AC192*AC120*(1+IF(Tech_Specs!$D12=MAX(Tech_Specs!$D$9:$D$12),0,SUMIF(Tech_Specs!$D$9:$D$12,"&gt;"&amp;Tech_Specs!$D12,AC$225:AC$228)))</f>
        <v>0.77042283632998954</v>
      </c>
      <c r="AD265" s="201">
        <f t="array" aca="1" ref="AD265" ca="1">AD192*AD120*(1+IF(Tech_Specs!$D12=MAX(Tech_Specs!$D$9:$D$12),0,SUMIF(Tech_Specs!$D$9:$D$12,"&gt;"&amp;Tech_Specs!$D12,AD$225:AD$228)))</f>
        <v>0.786890121234611</v>
      </c>
      <c r="AE265" s="201">
        <f t="array" aca="1" ref="AE265" ca="1">AE192*AE120*(1+IF(Tech_Specs!$D12=MAX(Tech_Specs!$D$9:$D$12),0,SUMIF(Tech_Specs!$D$9:$D$12,"&gt;"&amp;Tech_Specs!$D12,AE$225:AE$228)))</f>
        <v>0.80236855789654737</v>
      </c>
    </row>
    <row r="266" spans="1:31" s="221" customFormat="1" x14ac:dyDescent="0.25">
      <c r="A266" s="227"/>
      <c r="B266" s="227"/>
      <c r="C266"/>
      <c r="D266"/>
      <c r="E266"/>
      <c r="F266"/>
      <c r="G266"/>
      <c r="H266"/>
      <c r="I266"/>
      <c r="J266"/>
      <c r="K266"/>
      <c r="L266"/>
      <c r="M266"/>
      <c r="N266"/>
      <c r="O266"/>
      <c r="P266"/>
      <c r="Q266"/>
      <c r="R266"/>
      <c r="S266"/>
      <c r="T266"/>
      <c r="U266"/>
      <c r="V266"/>
      <c r="W266"/>
      <c r="X266"/>
      <c r="Y266"/>
      <c r="Z266"/>
      <c r="AA266"/>
      <c r="AB266"/>
      <c r="AC266"/>
      <c r="AD266"/>
      <c r="AE266"/>
    </row>
    <row r="267" spans="1:31" s="202" customFormat="1" ht="12.75" x14ac:dyDescent="0.2">
      <c r="A267" s="234" t="s">
        <v>32</v>
      </c>
      <c r="B267" s="234"/>
      <c r="C267" s="234"/>
      <c r="D267" s="234"/>
      <c r="E267" s="234"/>
      <c r="F267" s="843"/>
      <c r="G267" s="843"/>
      <c r="H267" s="234"/>
      <c r="I267" s="234"/>
      <c r="J267" s="234"/>
      <c r="K267" s="234"/>
      <c r="L267" s="234"/>
      <c r="M267" s="234"/>
      <c r="N267" s="234"/>
      <c r="O267" s="234"/>
      <c r="P267" s="234"/>
      <c r="Q267" s="234"/>
      <c r="R267" s="234"/>
      <c r="S267" s="234"/>
      <c r="T267" s="234"/>
      <c r="U267" s="234"/>
      <c r="V267" s="234"/>
      <c r="W267" s="234"/>
      <c r="X267" s="234"/>
      <c r="Y267" s="234"/>
      <c r="Z267" s="234"/>
      <c r="AA267" s="234"/>
      <c r="AB267" s="234"/>
      <c r="AC267" s="234"/>
      <c r="AD267" s="234"/>
      <c r="AE267" s="234"/>
    </row>
    <row r="268" spans="1:31" s="221" customFormat="1" x14ac:dyDescent="0.25">
      <c r="A268" s="227"/>
      <c r="B268" s="227" t="s">
        <v>33</v>
      </c>
      <c r="C268"/>
      <c r="D268"/>
      <c r="E268"/>
      <c r="F268" s="855">
        <f>F195*F123*(1+IF(Tech_Specs!$D15=MAX(Tech_Specs!$D$15:$D$18),0,SUMIF(Tech_Specs!$D$15:$D$18,"&gt;"&amp;Tech_Specs!$D15,F$231:F$234)))</f>
        <v>0.33526123377411043</v>
      </c>
      <c r="G268" s="855">
        <f>G195*G123*(1+IF(Tech_Specs!$D15=MAX(Tech_Specs!$D$15:$D$18),0,SUMIF(Tech_Specs!$D$15:$D$18,"&gt;"&amp;Tech_Specs!$D15,G$231:G$234)))</f>
        <v>0.33059325478874274</v>
      </c>
      <c r="H268" s="201">
        <f>H195*H123*(1+IF(Tech_Specs!$D15=MAX(Tech_Specs!$D$15:$D$18),0,SUMIF(Tech_Specs!$D$15:$D$18,"&gt;"&amp;Tech_Specs!$D15,H$231:H$234)))</f>
        <v>0.35830296999206085</v>
      </c>
      <c r="I268" s="201">
        <f>I195*I123*(1+IF(Tech_Specs!$D15=MAX(Tech_Specs!$D$15:$D$18),0,SUMIF(Tech_Specs!$D$15:$D$18,"&gt;"&amp;Tech_Specs!$D15,I$231:I$234)))</f>
        <v>0.37826370321423253</v>
      </c>
      <c r="J268" s="201">
        <f>J195*J123*(1+IF(Tech_Specs!$D15=MAX(Tech_Specs!$D$15:$D$18),0,SUMIF(Tech_Specs!$D$15:$D$18,"&gt;"&amp;Tech_Specs!$D15,J$231:J$234)))</f>
        <v>0.38635653585601104</v>
      </c>
      <c r="K268" s="201">
        <f>K195*K123*(1+IF(Tech_Specs!$D15=MAX(Tech_Specs!$D$15:$D$18),0,SUMIF(Tech_Specs!$D$15:$D$18,"&gt;"&amp;Tech_Specs!$D15,K$231:K$234)))</f>
        <v>0.35980616439375029</v>
      </c>
      <c r="L268" s="201">
        <f>L195*L123*(1+IF(Tech_Specs!$D15=MAX(Tech_Specs!$D$15:$D$18),0,SUMIF(Tech_Specs!$D$15:$D$18,"&gt;"&amp;Tech_Specs!$D15,L$231:L$234)))</f>
        <v>0.32441058801879907</v>
      </c>
      <c r="M268" s="201">
        <f>M195*M123*(1+IF(Tech_Specs!$D15=MAX(Tech_Specs!$D$15:$D$18),0,SUMIF(Tech_Specs!$D$15:$D$18,"&gt;"&amp;Tech_Specs!$D15,M$231:M$234)))</f>
        <v>0.28969148329024558</v>
      </c>
      <c r="N268" s="201">
        <f>N195*N123*(1+IF(Tech_Specs!$D15=MAX(Tech_Specs!$D$15:$D$18),0,SUMIF(Tech_Specs!$D$15:$D$18,"&gt;"&amp;Tech_Specs!$D15,N$231:N$234)))</f>
        <v>0.25564738242856783</v>
      </c>
      <c r="O268" s="201">
        <f>O195*O123*(1+IF(Tech_Specs!$D15=MAX(Tech_Specs!$D$15:$D$18),0,SUMIF(Tech_Specs!$D$15:$D$18,"&gt;"&amp;Tech_Specs!$D15,O$231:O$234)))</f>
        <v>0.22405215962684957</v>
      </c>
      <c r="P268" s="201">
        <f>P195*P123*(1+IF(Tech_Specs!$D15=MAX(Tech_Specs!$D$15:$D$18),0,SUMIF(Tech_Specs!$D$15:$D$18,"&gt;"&amp;Tech_Specs!$D15,P$231:P$234)))</f>
        <v>0.193206264400231</v>
      </c>
      <c r="Q268" s="201">
        <f>Q195*Q123*(1+IF(Tech_Specs!$D15=MAX(Tech_Specs!$D$15:$D$18),0,SUMIF(Tech_Specs!$D$15:$D$18,"&gt;"&amp;Tech_Specs!$D15,Q$231:Q$234)))</f>
        <v>0.1639132591531135</v>
      </c>
      <c r="R268" s="201">
        <f>R195*R123*(1+IF(Tech_Specs!$D15=MAX(Tech_Specs!$D$15:$D$18),0,SUMIF(Tech_Specs!$D$15:$D$18,"&gt;"&amp;Tech_Specs!$D15,R$231:R$234)))</f>
        <v>0.13791102522271986</v>
      </c>
      <c r="S268" s="201">
        <f>S195*S123*(1+IF(Tech_Specs!$D15=MAX(Tech_Specs!$D$15:$D$18),0,SUMIF(Tech_Specs!$D$15:$D$18,"&gt;"&amp;Tech_Specs!$D15,S$231:S$234)))</f>
        <v>0.1151333717450251</v>
      </c>
      <c r="T268" s="201">
        <f>T195*T123*(1+IF(Tech_Specs!$D15=MAX(Tech_Specs!$D$15:$D$18),0,SUMIF(Tech_Specs!$D$15:$D$18,"&gt;"&amp;Tech_Specs!$D15,T$231:T$234)))</f>
        <v>9.5531767908869164E-2</v>
      </c>
      <c r="U268" s="201">
        <f>U195*U123*(1+IF(Tech_Specs!$D15=MAX(Tech_Specs!$D$15:$D$18),0,SUMIF(Tech_Specs!$D$15:$D$18,"&gt;"&amp;Tech_Specs!$D15,U$231:U$234)))</f>
        <v>7.9546643281794324E-2</v>
      </c>
      <c r="V268" s="201">
        <f>V195*V123*(1+IF(Tech_Specs!$D15=MAX(Tech_Specs!$D$15:$D$18),0,SUMIF(Tech_Specs!$D$15:$D$18,"&gt;"&amp;Tech_Specs!$D15,V$231:V$234)))</f>
        <v>6.6306720963136515E-2</v>
      </c>
      <c r="W268" s="201">
        <f>W195*W123*(1+IF(Tech_Specs!$D15=MAX(Tech_Specs!$D$15:$D$18),0,SUMIF(Tech_Specs!$D$15:$D$18,"&gt;"&amp;Tech_Specs!$D15,W$231:W$234)))</f>
        <v>5.5534346193601959E-2</v>
      </c>
      <c r="X268" s="201">
        <f>X195*X123*(1+IF(Tech_Specs!$D15=MAX(Tech_Specs!$D$15:$D$18),0,SUMIF(Tech_Specs!$D$15:$D$18,"&gt;"&amp;Tech_Specs!$D15,X$231:X$234)))</f>
        <v>4.6808596799050944E-2</v>
      </c>
      <c r="Y268" s="201">
        <f>Y195*Y123*(1+IF(Tech_Specs!$D15=MAX(Tech_Specs!$D$15:$D$18),0,SUMIF(Tech_Specs!$D$15:$D$18,"&gt;"&amp;Tech_Specs!$D15,Y$231:Y$234)))</f>
        <v>3.9914551128164166E-2</v>
      </c>
      <c r="Z268" s="201">
        <f>Z195*Z123*(1+IF(Tech_Specs!$D15=MAX(Tech_Specs!$D$15:$D$18),0,SUMIF(Tech_Specs!$D$15:$D$18,"&gt;"&amp;Tech_Specs!$D15,Z$231:Z$234)))</f>
        <v>3.4525925032074412E-2</v>
      </c>
      <c r="AA268" s="201">
        <f>AA195*AA123*(1+IF(Tech_Specs!$D15=MAX(Tech_Specs!$D$15:$D$18),0,SUMIF(Tech_Specs!$D$15:$D$18,"&gt;"&amp;Tech_Specs!$D15,AA$231:AA$234)))</f>
        <v>3.0046053051330145E-2</v>
      </c>
      <c r="AB268" s="201">
        <f>AB195*AB123*(1+IF(Tech_Specs!$D15=MAX(Tech_Specs!$D$15:$D$18),0,SUMIF(Tech_Specs!$D$15:$D$18,"&gt;"&amp;Tech_Specs!$D15,AB$231:AB$234)))</f>
        <v>2.6402495886447927E-2</v>
      </c>
      <c r="AC268" s="201">
        <f>AC195*AC123*(1+IF(Tech_Specs!$D15=MAX(Tech_Specs!$D$15:$D$18),0,SUMIF(Tech_Specs!$D$15:$D$18,"&gt;"&amp;Tech_Specs!$D15,AC$231:AC$234)))</f>
        <v>2.3368473176715993E-2</v>
      </c>
      <c r="AD268" s="201">
        <f>AD195*AD123*(1+IF(Tech_Specs!$D15=MAX(Tech_Specs!$D$15:$D$18),0,SUMIF(Tech_Specs!$D$15:$D$18,"&gt;"&amp;Tech_Specs!$D15,AD$231:AD$234)))</f>
        <v>2.075667619974314E-2</v>
      </c>
      <c r="AE268" s="201">
        <f>AE195*AE123*(1+IF(Tech_Specs!$D15=MAX(Tech_Specs!$D$15:$D$18),0,SUMIF(Tech_Specs!$D$15:$D$18,"&gt;"&amp;Tech_Specs!$D15,AE$231:AE$234)))</f>
        <v>1.8195889064955274E-2</v>
      </c>
    </row>
    <row r="269" spans="1:31" s="221" customFormat="1" x14ac:dyDescent="0.25">
      <c r="A269" s="229"/>
      <c r="B269" s="229" t="s">
        <v>34</v>
      </c>
      <c r="C269"/>
      <c r="D269"/>
      <c r="E269"/>
      <c r="F269" s="855">
        <f>F196*F124*(1+IF(Tech_Specs!$D16=MAX(Tech_Specs!$D$15:$D$18),0,SUMIF(Tech_Specs!$D$15:$D$18,"&gt;"&amp;Tech_Specs!$D16,F$231:F$234)))</f>
        <v>0.60205988403892885</v>
      </c>
      <c r="G269" s="855">
        <f>G196*G124*(1+IF(Tech_Specs!$D16=MAX(Tech_Specs!$D$15:$D$18),0,SUMIF(Tech_Specs!$D$15:$D$18,"&gt;"&amp;Tech_Specs!$D16,G$231:G$234)))</f>
        <v>0.60345325399943717</v>
      </c>
      <c r="H269" s="201">
        <f>H196*H124*(1+IF(Tech_Specs!$D16=MAX(Tech_Specs!$D$15:$D$18),0,SUMIF(Tech_Specs!$D$15:$D$18,"&gt;"&amp;Tech_Specs!$D16,H$231:H$234)))</f>
        <v>0.56232098177603818</v>
      </c>
      <c r="I269" s="201">
        <f>I196*I124*(1+IF(Tech_Specs!$D16=MAX(Tech_Specs!$D$15:$D$18),0,SUMIF(Tech_Specs!$D$15:$D$18,"&gt;"&amp;Tech_Specs!$D16,I$231:I$234)))</f>
        <v>0.51134400581545614</v>
      </c>
      <c r="J269" s="201">
        <f>J196*J124*(1+IF(Tech_Specs!$D16=MAX(Tech_Specs!$D$15:$D$18),0,SUMIF(Tech_Specs!$D$15:$D$18,"&gt;"&amp;Tech_Specs!$D16,J$231:J$234)))</f>
        <v>0.45473731794455358</v>
      </c>
      <c r="K269" s="201">
        <f>K196*K124*(1+IF(Tech_Specs!$D16=MAX(Tech_Specs!$D$15:$D$18),0,SUMIF(Tech_Specs!$D$15:$D$18,"&gt;"&amp;Tech_Specs!$D16,K$231:K$234)))</f>
        <v>0.43298479001067297</v>
      </c>
      <c r="L269" s="201">
        <f>L196*L124*(1+IF(Tech_Specs!$D16=MAX(Tech_Specs!$D$15:$D$18),0,SUMIF(Tech_Specs!$D$15:$D$18,"&gt;"&amp;Tech_Specs!$D16,L$231:L$234)))</f>
        <v>0.40841037199445823</v>
      </c>
      <c r="M269" s="201">
        <f>M196*M124*(1+IF(Tech_Specs!$D16=MAX(Tech_Specs!$D$15:$D$18),0,SUMIF(Tech_Specs!$D$15:$D$18,"&gt;"&amp;Tech_Specs!$D16,M$231:M$234)))</f>
        <v>0.37850500898429917</v>
      </c>
      <c r="N269" s="201">
        <f>N196*N124*(1+IF(Tech_Specs!$D16=MAX(Tech_Specs!$D$15:$D$18),0,SUMIF(Tech_Specs!$D$15:$D$18,"&gt;"&amp;Tech_Specs!$D16,N$231:N$234)))</f>
        <v>0.34534700716074046</v>
      </c>
      <c r="O269" s="201">
        <f>O196*O124*(1+IF(Tech_Specs!$D16=MAX(Tech_Specs!$D$15:$D$18),0,SUMIF(Tech_Specs!$D$15:$D$18,"&gt;"&amp;Tech_Specs!$D16,O$231:O$234)))</f>
        <v>0.31057348147686609</v>
      </c>
      <c r="P269" s="201">
        <f>P196*P124*(1+IF(Tech_Specs!$D16=MAX(Tech_Specs!$D$15:$D$18),0,SUMIF(Tech_Specs!$D$15:$D$18,"&gt;"&amp;Tech_Specs!$D16,P$231:P$234)))</f>
        <v>0.2760911642559995</v>
      </c>
      <c r="Q269" s="201">
        <f>Q196*Q124*(1+IF(Tech_Specs!$D16=MAX(Tech_Specs!$D$15:$D$18),0,SUMIF(Tech_Specs!$D$15:$D$18,"&gt;"&amp;Tech_Specs!$D16,Q$231:Q$234)))</f>
        <v>0.24293326635410756</v>
      </c>
      <c r="R269" s="201">
        <f>R196*R124*(1+IF(Tech_Specs!$D16=MAX(Tech_Specs!$D$15:$D$18),0,SUMIF(Tech_Specs!$D$15:$D$18,"&gt;"&amp;Tech_Specs!$D16,R$231:R$234)))</f>
        <v>0.21179197852013995</v>
      </c>
      <c r="S269" s="201">
        <f>S196*S124*(1+IF(Tech_Specs!$D16=MAX(Tech_Specs!$D$15:$D$18),0,SUMIF(Tech_Specs!$D$15:$D$18,"&gt;"&amp;Tech_Specs!$D16,S$231:S$234)))</f>
        <v>0.18341262900735847</v>
      </c>
      <c r="T269" s="201">
        <f>T196*T124*(1+IF(Tech_Specs!$D16=MAX(Tech_Specs!$D$15:$D$18),0,SUMIF(Tech_Specs!$D$15:$D$18,"&gt;"&amp;Tech_Specs!$D16,T$231:T$234)))</f>
        <v>0.15825685921898905</v>
      </c>
      <c r="U269" s="201">
        <f>U196*U124*(1+IF(Tech_Specs!$D16=MAX(Tech_Specs!$D$15:$D$18),0,SUMIF(Tech_Specs!$D$15:$D$18,"&gt;"&amp;Tech_Specs!$D16,U$231:U$234)))</f>
        <v>0.13673806890584717</v>
      </c>
      <c r="V269" s="201">
        <f>V196*V124*(1+IF(Tech_Specs!$D16=MAX(Tech_Specs!$D$15:$D$18),0,SUMIF(Tech_Specs!$D$15:$D$18,"&gt;"&amp;Tech_Specs!$D16,V$231:V$234)))</f>
        <v>0.11863882336517553</v>
      </c>
      <c r="W269" s="201">
        <f>W196*W124*(1+IF(Tech_Specs!$D16=MAX(Tech_Specs!$D$15:$D$18),0,SUMIF(Tech_Specs!$D$15:$D$18,"&gt;"&amp;Tech_Specs!$D16,W$231:W$234)))</f>
        <v>0.1037025303623785</v>
      </c>
      <c r="X269" s="201">
        <f>X196*X124*(1+IF(Tech_Specs!$D16=MAX(Tech_Specs!$D$15:$D$18),0,SUMIF(Tech_Specs!$D$15:$D$18,"&gt;"&amp;Tech_Specs!$D16,X$231:X$234)))</f>
        <v>9.1506123105055404E-2</v>
      </c>
      <c r="Y269" s="201">
        <f>Y196*Y124*(1+IF(Tech_Specs!$D16=MAX(Tech_Specs!$D$15:$D$18),0,SUMIF(Tech_Specs!$D$15:$D$18,"&gt;"&amp;Tech_Specs!$D16,Y$231:Y$234)))</f>
        <v>8.1727498146911728E-2</v>
      </c>
      <c r="Z269" s="201">
        <f>Z196*Z124*(1+IF(Tech_Specs!$D16=MAX(Tech_Specs!$D$15:$D$18),0,SUMIF(Tech_Specs!$D$15:$D$18,"&gt;"&amp;Tech_Specs!$D16,Z$231:Z$234)))</f>
        <v>7.3988330578549394E-2</v>
      </c>
      <c r="AA269" s="201">
        <f>AA196*AA124*(1+IF(Tech_Specs!$D16=MAX(Tech_Specs!$D$15:$D$18),0,SUMIF(Tech_Specs!$D$15:$D$18,"&gt;"&amp;Tech_Specs!$D16,AA$231:AA$234)))</f>
        <v>6.765302303604398E-2</v>
      </c>
      <c r="AB269" s="201">
        <f>AB196*AB124*(1+IF(Tech_Specs!$D16=MAX(Tech_Specs!$D$15:$D$18),0,SUMIF(Tech_Specs!$D$15:$D$18,"&gt;"&amp;Tech_Specs!$D16,AB$231:AB$234)))</f>
        <v>6.2528617724343483E-2</v>
      </c>
      <c r="AC269" s="201">
        <f>AC196*AC124*(1+IF(Tech_Specs!$D16=MAX(Tech_Specs!$D$15:$D$18),0,SUMIF(Tech_Specs!$D$15:$D$18,"&gt;"&amp;Tech_Specs!$D16,AC$231:AC$234)))</f>
        <v>5.8308837677150692E-2</v>
      </c>
      <c r="AD269" s="201">
        <f>AD196*AD124*(1+IF(Tech_Specs!$D16=MAX(Tech_Specs!$D$15:$D$18),0,SUMIF(Tech_Specs!$D$15:$D$18,"&gt;"&amp;Tech_Specs!$D16,AD$231:AD$234)))</f>
        <v>5.4724632959127814E-2</v>
      </c>
      <c r="AE269" s="201">
        <f>AE196*AE124*(1+IF(Tech_Specs!$D16=MAX(Tech_Specs!$D$15:$D$18),0,SUMIF(Tech_Specs!$D$15:$D$18,"&gt;"&amp;Tech_Specs!$D16,AE$231:AE$234)))</f>
        <v>5.1255803382438875E-2</v>
      </c>
    </row>
    <row r="270" spans="1:31" s="221" customFormat="1" x14ac:dyDescent="0.25">
      <c r="A270" s="227"/>
      <c r="B270" s="229" t="s">
        <v>35</v>
      </c>
      <c r="C270"/>
      <c r="D270"/>
      <c r="E270"/>
      <c r="F270" s="855">
        <f>F197*F125*(1+IF(Tech_Specs!$D17=MAX(Tech_Specs!$D$15:$D$18),0,SUMIF(Tech_Specs!$D$15:$D$18,"&gt;"&amp;Tech_Specs!$D17,F$231:F$234)))</f>
        <v>6.267019232936899E-2</v>
      </c>
      <c r="G270" s="855">
        <f>G197*G125*(1+IF(Tech_Specs!$D17=MAX(Tech_Specs!$D$15:$D$18),0,SUMIF(Tech_Specs!$D$15:$D$18,"&gt;"&amp;Tech_Specs!$D17,G$231:G$234)))</f>
        <v>6.4546578774402411E-2</v>
      </c>
      <c r="H270" s="201">
        <f>H197*H125*(1+IF(Tech_Specs!$D17=MAX(Tech_Specs!$D$15:$D$18),0,SUMIF(Tech_Specs!$D$15:$D$18,"&gt;"&amp;Tech_Specs!$D17,H$231:H$234)))</f>
        <v>6.7574820586499704E-2</v>
      </c>
      <c r="I270" s="201">
        <f>I197*I125*(1+IF(Tech_Specs!$D17=MAX(Tech_Specs!$D$15:$D$18),0,SUMIF(Tech_Specs!$D$15:$D$18,"&gt;"&amp;Tech_Specs!$D17,I$231:I$234)))</f>
        <v>7.2032869962846371E-2</v>
      </c>
      <c r="J270" s="201">
        <f>J197*J125*(1+IF(Tech_Specs!$D17=MAX(Tech_Specs!$D$15:$D$18),0,SUMIF(Tech_Specs!$D$15:$D$18,"&gt;"&amp;Tech_Specs!$D17,J$231:J$234)))</f>
        <v>7.7381499686838939E-2</v>
      </c>
      <c r="K270" s="201">
        <f>K197*K125*(1+IF(Tech_Specs!$D17=MAX(Tech_Specs!$D$15:$D$18),0,SUMIF(Tech_Specs!$D$15:$D$18,"&gt;"&amp;Tech_Specs!$D17,K$231:K$234)))</f>
        <v>7.4402872714374638E-2</v>
      </c>
      <c r="L270" s="201">
        <f>L197*L125*(1+IF(Tech_Specs!$D17=MAX(Tech_Specs!$D$15:$D$18),0,SUMIF(Tech_Specs!$D$15:$D$18,"&gt;"&amp;Tech_Specs!$D17,L$231:L$234)))</f>
        <v>7.2145068987870126E-2</v>
      </c>
      <c r="M270" s="201">
        <f>M197*M125*(1+IF(Tech_Specs!$D17=MAX(Tech_Specs!$D$15:$D$18),0,SUMIF(Tech_Specs!$D$15:$D$18,"&gt;"&amp;Tech_Specs!$D17,M$231:M$234)))</f>
        <v>6.8191626099736863E-2</v>
      </c>
      <c r="N270" s="201">
        <f>N197*N125*(1+IF(Tech_Specs!$D17=MAX(Tech_Specs!$D$15:$D$18),0,SUMIF(Tech_Specs!$D$15:$D$18,"&gt;"&amp;Tech_Specs!$D17,N$231:N$234)))</f>
        <v>6.3198893129610523E-2</v>
      </c>
      <c r="O270" s="201">
        <f>O197*O125*(1+IF(Tech_Specs!$D17=MAX(Tech_Specs!$D$15:$D$18),0,SUMIF(Tech_Specs!$D$15:$D$18,"&gt;"&amp;Tech_Specs!$D17,O$231:O$234)))</f>
        <v>5.7343480484587081E-2</v>
      </c>
      <c r="P270" s="201">
        <f>P197*P125*(1+IF(Tech_Specs!$D17=MAX(Tech_Specs!$D$15:$D$18),0,SUMIF(Tech_Specs!$D$15:$D$18,"&gt;"&amp;Tech_Specs!$D17,P$231:P$234)))</f>
        <v>5.1602853804796331E-2</v>
      </c>
      <c r="Q270" s="201">
        <f>Q197*Q125*(1+IF(Tech_Specs!$D17=MAX(Tech_Specs!$D$15:$D$18),0,SUMIF(Tech_Specs!$D$15:$D$18,"&gt;"&amp;Tech_Specs!$D17,Q$231:Q$234)))</f>
        <v>4.6165111119645635E-2</v>
      </c>
      <c r="R270" s="201">
        <f>R197*R125*(1+IF(Tech_Specs!$D17=MAX(Tech_Specs!$D$15:$D$18),0,SUMIF(Tech_Specs!$D$15:$D$18,"&gt;"&amp;Tech_Specs!$D17,R$231:R$234)))</f>
        <v>4.087450402257374E-2</v>
      </c>
      <c r="S270" s="201">
        <f>S197*S125*(1+IF(Tech_Specs!$D17=MAX(Tech_Specs!$D$15:$D$18),0,SUMIF(Tech_Specs!$D$15:$D$18,"&gt;"&amp;Tech_Specs!$D17,S$231:S$234)))</f>
        <v>3.5967762408692427E-2</v>
      </c>
      <c r="T270" s="201">
        <f>T197*T125*(1+IF(Tech_Specs!$D17=MAX(Tech_Specs!$D$15:$D$18),0,SUMIF(Tech_Specs!$D$15:$D$18,"&gt;"&amp;Tech_Specs!$D17,T$231:T$234)))</f>
        <v>3.1583937012184468E-2</v>
      </c>
      <c r="U270" s="201">
        <f>U197*U125*(1+IF(Tech_Specs!$D17=MAX(Tech_Specs!$D$15:$D$18),0,SUMIF(Tech_Specs!$D$15:$D$18,"&gt;"&amp;Tech_Specs!$D17,U$231:U$234)))</f>
        <v>2.7718680328542342E-2</v>
      </c>
      <c r="V270" s="201">
        <f>V197*V125*(1+IF(Tech_Specs!$D17=MAX(Tech_Specs!$D$15:$D$18),0,SUMIF(Tech_Specs!$D$15:$D$18,"&gt;"&amp;Tech_Specs!$D17,V$231:V$234)))</f>
        <v>2.4478164006851339E-2</v>
      </c>
      <c r="W270" s="201">
        <f>W197*W125*(1+IF(Tech_Specs!$D17=MAX(Tech_Specs!$D$15:$D$18),0,SUMIF(Tech_Specs!$D$15:$D$18,"&gt;"&amp;Tech_Specs!$D17,W$231:W$234)))</f>
        <v>2.1813875435295966E-2</v>
      </c>
      <c r="X270" s="201">
        <f>X197*X125*(1+IF(Tech_Specs!$D17=MAX(Tech_Specs!$D$15:$D$18),0,SUMIF(Tech_Specs!$D$15:$D$18,"&gt;"&amp;Tech_Specs!$D17,X$231:X$234)))</f>
        <v>1.9661549222617116E-2</v>
      </c>
      <c r="Y270" s="201">
        <f>Y197*Y125*(1+IF(Tech_Specs!$D17=MAX(Tech_Specs!$D$15:$D$18),0,SUMIF(Tech_Specs!$D$15:$D$18,"&gt;"&amp;Tech_Specs!$D17,Y$231:Y$234)))</f>
        <v>1.7937410848507109E-2</v>
      </c>
      <c r="Z270" s="201">
        <f>Z197*Z125*(1+IF(Tech_Specs!$D17=MAX(Tech_Specs!$D$15:$D$18),0,SUMIF(Tech_Specs!$D$15:$D$18,"&gt;"&amp;Tech_Specs!$D17,Z$231:Z$234)))</f>
        <v>1.6572594905360446E-2</v>
      </c>
      <c r="AA270" s="201">
        <f>AA197*AA125*(1+IF(Tech_Specs!$D17=MAX(Tech_Specs!$D$15:$D$18),0,SUMIF(Tech_Specs!$D$15:$D$18,"&gt;"&amp;Tech_Specs!$D17,AA$231:AA$234)))</f>
        <v>1.5502489504419599E-2</v>
      </c>
      <c r="AB270" s="201">
        <f>AB197*AB125*(1+IF(Tech_Specs!$D17=MAX(Tech_Specs!$D$15:$D$18),0,SUMIF(Tech_Specs!$D$15:$D$18,"&gt;"&amp;Tech_Specs!$D17,AB$231:AB$234)))</f>
        <v>1.4663203130021419E-2</v>
      </c>
      <c r="AC270" s="201">
        <f>AC197*AC125*(1+IF(Tech_Specs!$D17=MAX(Tech_Specs!$D$15:$D$18),0,SUMIF(Tech_Specs!$D$15:$D$18,"&gt;"&amp;Tech_Specs!$D17,AC$231:AC$234)))</f>
        <v>1.4004189587442886E-2</v>
      </c>
      <c r="AD270" s="201">
        <f>AD197*AD125*(1+IF(Tech_Specs!$D17=MAX(Tech_Specs!$D$15:$D$18),0,SUMIF(Tech_Specs!$D$15:$D$18,"&gt;"&amp;Tech_Specs!$D17,AD$231:AD$234)))</f>
        <v>1.3482019293614707E-2</v>
      </c>
      <c r="AE270" s="201">
        <f>AE197*AE125*(1+IF(Tech_Specs!$D17=MAX(Tech_Specs!$D$15:$D$18),0,SUMIF(Tech_Specs!$D$15:$D$18,"&gt;"&amp;Tech_Specs!$D17,AE$231:AE$234)))</f>
        <v>1.3044133946462142E-2</v>
      </c>
    </row>
    <row r="271" spans="1:31" s="221" customFormat="1" x14ac:dyDescent="0.25">
      <c r="A271" s="227"/>
      <c r="B271" s="229" t="s">
        <v>29</v>
      </c>
      <c r="C271"/>
      <c r="D271"/>
      <c r="E271"/>
      <c r="F271" s="855">
        <f>F198*F126*(1+IF(Tech_Specs!$D18=MAX(Tech_Specs!$D$15:$D$18),0,SUMIF(Tech_Specs!$D$15:$D$18,"&gt;"&amp;Tech_Specs!$D18,F$231:F$234)))</f>
        <v>8.6833176310082158E-6</v>
      </c>
      <c r="G271" s="855">
        <f>G198*G126*(1+IF(Tech_Specs!$D18=MAX(Tech_Specs!$D$15:$D$18),0,SUMIF(Tech_Specs!$D$15:$D$18,"&gt;"&amp;Tech_Specs!$D18,G$231:G$234)))</f>
        <v>1.4069059885157601E-3</v>
      </c>
      <c r="H271" s="201">
        <f>H198*H126*(1+IF(Tech_Specs!$D18=MAX(Tech_Specs!$D$15:$D$18),0,SUMIF(Tech_Specs!$D$15:$D$18,"&gt;"&amp;Tech_Specs!$D18,H$231:H$234)))</f>
        <v>1.1801220655964182E-2</v>
      </c>
      <c r="I271" s="201">
        <f>I198*I126*(1+IF(Tech_Specs!$D18=MAX(Tech_Specs!$D$15:$D$18),0,SUMIF(Tech_Specs!$D$15:$D$18,"&gt;"&amp;Tech_Specs!$D18,I$231:I$234)))</f>
        <v>3.8359413628652535E-2</v>
      </c>
      <c r="J271" s="201">
        <f>J198*J126*(1+IF(Tech_Specs!$D18=MAX(Tech_Specs!$D$15:$D$18),0,SUMIF(Tech_Specs!$D$15:$D$18,"&gt;"&amp;Tech_Specs!$D18,J$231:J$234)))</f>
        <v>8.1524638975916788E-2</v>
      </c>
      <c r="K271" s="201">
        <f>K198*K126*(1+IF(Tech_Specs!$D18=MAX(Tech_Specs!$D$15:$D$18),0,SUMIF(Tech_Specs!$D$15:$D$18,"&gt;"&amp;Tech_Specs!$D18,K$231:K$234)))</f>
        <v>0.13280616586244195</v>
      </c>
      <c r="L271" s="201">
        <f>L198*L126*(1+IF(Tech_Specs!$D18=MAX(Tech_Specs!$D$15:$D$18),0,SUMIF(Tech_Specs!$D$15:$D$18,"&gt;"&amp;Tech_Specs!$D18,L$231:L$234)))</f>
        <v>0.19503396467057629</v>
      </c>
      <c r="M271" s="201">
        <f>M198*M126*(1+IF(Tech_Specs!$D18=MAX(Tech_Specs!$D$15:$D$18),0,SUMIF(Tech_Specs!$D$15:$D$18,"&gt;"&amp;Tech_Specs!$D18,M$231:M$234)))</f>
        <v>0.26361187597468966</v>
      </c>
      <c r="N271" s="201">
        <f>N198*N126*(1+IF(Tech_Specs!$D18=MAX(Tech_Specs!$D$15:$D$18),0,SUMIF(Tech_Specs!$D$15:$D$18,"&gt;"&amp;Tech_Specs!$D18,N$231:N$234)))</f>
        <v>0.33580671229415276</v>
      </c>
      <c r="O271" s="201">
        <f>O198*O126*(1+IF(Tech_Specs!$D18=MAX(Tech_Specs!$D$15:$D$18),0,SUMIF(Tech_Specs!$D$15:$D$18,"&gt;"&amp;Tech_Specs!$D18,O$231:O$234)))</f>
        <v>0.40803087404109867</v>
      </c>
      <c r="P271" s="201">
        <f>P198*P126*(1+IF(Tech_Specs!$D18=MAX(Tech_Specs!$D$15:$D$18),0,SUMIF(Tech_Specs!$D$15:$D$18,"&gt;"&amp;Tech_Specs!$D18,P$231:P$234)))</f>
        <v>0.47909971377008731</v>
      </c>
      <c r="Q271" s="201">
        <f>Q198*Q126*(1+IF(Tech_Specs!$D18=MAX(Tech_Specs!$D$15:$D$18),0,SUMIF(Tech_Specs!$D$15:$D$18,"&gt;"&amp;Tech_Specs!$D18,Q$231:Q$234)))</f>
        <v>0.54698836017566776</v>
      </c>
      <c r="R271" s="201">
        <f>R198*R126*(1+IF(Tech_Specs!$D18=MAX(Tech_Specs!$D$15:$D$18),0,SUMIF(Tech_Specs!$D$15:$D$18,"&gt;"&amp;Tech_Specs!$D18,R$231:R$234)))</f>
        <v>0.60942248954432798</v>
      </c>
      <c r="S271" s="201">
        <f>S198*S126*(1+IF(Tech_Specs!$D18=MAX(Tech_Specs!$D$15:$D$18),0,SUMIF(Tech_Specs!$D$15:$D$18,"&gt;"&amp;Tech_Specs!$D18,S$231:S$234)))</f>
        <v>0.66548623459301048</v>
      </c>
      <c r="T271" s="201">
        <f>T198*T126*(1+IF(Tech_Specs!$D18=MAX(Tech_Specs!$D$15:$D$18),0,SUMIF(Tech_Specs!$D$15:$D$18,"&gt;"&amp;Tech_Specs!$D18,T$231:T$234)))</f>
        <v>0.71462743399641337</v>
      </c>
      <c r="U271" s="201">
        <f>U198*U126*(1+IF(Tech_Specs!$D18=MAX(Tech_Specs!$D$15:$D$18),0,SUMIF(Tech_Specs!$D$15:$D$18,"&gt;"&amp;Tech_Specs!$D18,U$231:U$234)))</f>
        <v>0.75599660593209506</v>
      </c>
      <c r="V271" s="201">
        <f>V198*V126*(1+IF(Tech_Specs!$D18=MAX(Tech_Specs!$D$15:$D$18),0,SUMIF(Tech_Specs!$D$15:$D$18,"&gt;"&amp;Tech_Specs!$D18,V$231:V$234)))</f>
        <v>0.79057629037138755</v>
      </c>
      <c r="W271" s="201">
        <f>W198*W126*(1+IF(Tech_Specs!$D18=MAX(Tech_Specs!$D$15:$D$18),0,SUMIF(Tech_Specs!$D$15:$D$18,"&gt;"&amp;Tech_Specs!$D18,W$231:W$234)))</f>
        <v>0.81894924692541182</v>
      </c>
      <c r="X271" s="201">
        <f>X198*X126*(1+IF(Tech_Specs!$D18=MAX(Tech_Specs!$D$15:$D$18),0,SUMIF(Tech_Specs!$D$15:$D$18,"&gt;"&amp;Tech_Specs!$D18,X$231:X$234)))</f>
        <v>0.84202372996017871</v>
      </c>
      <c r="Y271" s="201">
        <f>Y198*Y126*(1+IF(Tech_Specs!$D18=MAX(Tech_Specs!$D$15:$D$18),0,SUMIF(Tech_Specs!$D$15:$D$18,"&gt;"&amp;Tech_Specs!$D18,Y$231:Y$234)))</f>
        <v>0.86042053909780147</v>
      </c>
      <c r="Z271" s="201">
        <f>Z198*Z126*(1+IF(Tech_Specs!$D18=MAX(Tech_Specs!$D$15:$D$18),0,SUMIF(Tech_Specs!$D$15:$D$18,"&gt;"&amp;Tech_Specs!$D18,Z$231:Z$234)))</f>
        <v>0.87491314881051641</v>
      </c>
      <c r="AA271" s="201">
        <f>AA198*AA126*(1+IF(Tech_Specs!$D18=MAX(Tech_Specs!$D$15:$D$18),0,SUMIF(Tech_Specs!$D$15:$D$18,"&gt;"&amp;Tech_Specs!$D18,AA$231:AA$234)))</f>
        <v>0.886798433822096</v>
      </c>
      <c r="AB271" s="201">
        <f>AB198*AB126*(1+IF(Tech_Specs!$D18=MAX(Tech_Specs!$D$15:$D$18),0,SUMIF(Tech_Specs!$D$15:$D$18,"&gt;"&amp;Tech_Specs!$D18,AB$231:AB$234)))</f>
        <v>0.89640568274415211</v>
      </c>
      <c r="AC271" s="201">
        <f>AC198*AC126*(1+IF(Tech_Specs!$D18=MAX(Tech_Specs!$D$15:$D$18),0,SUMIF(Tech_Specs!$D$15:$D$18,"&gt;"&amp;Tech_Specs!$D18,AC$231:AC$234)))</f>
        <v>0.90431849910284035</v>
      </c>
      <c r="AD271" s="201">
        <f>AD198*AD126*(1+IF(Tech_Specs!$D18=MAX(Tech_Specs!$D$15:$D$18),0,SUMIF(Tech_Specs!$D$15:$D$18,"&gt;"&amp;Tech_Specs!$D18,AD$231:AD$234)))</f>
        <v>0.91103667114261266</v>
      </c>
      <c r="AE271" s="201">
        <f>AE198*AE126*(1+IF(Tech_Specs!$D18=MAX(Tech_Specs!$D$15:$D$18),0,SUMIF(Tech_Specs!$D$15:$D$18,"&gt;"&amp;Tech_Specs!$D18,AE$231:AE$234)))</f>
        <v>0.91750417325119549</v>
      </c>
    </row>
    <row r="272" spans="1:31" s="221" customFormat="1" x14ac:dyDescent="0.25">
      <c r="A272" s="227"/>
      <c r="B272" s="227"/>
      <c r="C272"/>
      <c r="D272"/>
      <c r="E272"/>
      <c r="F272"/>
      <c r="G272"/>
      <c r="H272"/>
      <c r="I272"/>
      <c r="J272"/>
      <c r="K272"/>
      <c r="L272"/>
      <c r="M272"/>
      <c r="N272"/>
      <c r="O272"/>
      <c r="P272"/>
      <c r="Q272"/>
      <c r="R272"/>
      <c r="S272"/>
      <c r="T272"/>
      <c r="U272"/>
      <c r="V272"/>
      <c r="W272"/>
      <c r="X272"/>
      <c r="Y272"/>
      <c r="Z272"/>
      <c r="AA272"/>
      <c r="AB272"/>
      <c r="AC272"/>
      <c r="AD272"/>
      <c r="AE272"/>
    </row>
    <row r="273" spans="1:31" s="202" customFormat="1" ht="12.75" x14ac:dyDescent="0.2">
      <c r="A273" s="234" t="s">
        <v>36</v>
      </c>
      <c r="B273" s="234"/>
      <c r="C273" s="234"/>
      <c r="D273" s="234"/>
      <c r="E273" s="234"/>
      <c r="F273" s="234"/>
      <c r="G273" s="234"/>
      <c r="H273" s="234"/>
      <c r="I273" s="234"/>
      <c r="J273" s="234"/>
      <c r="K273" s="234"/>
      <c r="L273" s="234"/>
      <c r="M273" s="234"/>
      <c r="N273" s="234"/>
      <c r="O273" s="234"/>
      <c r="P273" s="234"/>
      <c r="Q273" s="234"/>
      <c r="R273" s="234"/>
      <c r="S273" s="234"/>
      <c r="T273" s="234"/>
      <c r="U273" s="234"/>
      <c r="V273" s="234"/>
      <c r="W273" s="234"/>
      <c r="X273" s="234"/>
      <c r="Y273" s="234"/>
      <c r="Z273" s="234"/>
      <c r="AA273" s="234"/>
      <c r="AB273" s="234"/>
      <c r="AC273" s="234"/>
      <c r="AD273" s="234"/>
      <c r="AE273" s="234"/>
    </row>
    <row r="274" spans="1:31" s="221" customFormat="1" x14ac:dyDescent="0.25">
      <c r="A274" s="227"/>
      <c r="B274" s="227" t="s">
        <v>37</v>
      </c>
      <c r="C274"/>
      <c r="D274"/>
      <c r="E274"/>
      <c r="F274" s="201">
        <f>F201*F129*(1+IF(Tech_Specs!$D21=MAX(Tech_Specs!$D$21:$D$24),0,SUMIF(Tech_Specs!$D$21:$D$24,"&gt;"&amp;Tech_Specs!$D21,F$237:F$240)))</f>
        <v>4.1360756459511198E-2</v>
      </c>
      <c r="G274" s="201">
        <f>G201*G129*(1+IF(Tech_Specs!$D21=MAX(Tech_Specs!$D$21:$D$24),0,SUMIF(Tech_Specs!$D$21:$D$24,"&gt;"&amp;Tech_Specs!$D21,G$237:G$240)))</f>
        <v>3.7158277897119896E-2</v>
      </c>
      <c r="H274" s="201">
        <f>H201*H129*(1+IF(Tech_Specs!$D21=MAX(Tech_Specs!$D$21:$D$24),0,SUMIF(Tech_Specs!$D$21:$D$24,"&gt;"&amp;Tech_Specs!$D21,H$237:H$240)))</f>
        <v>2.8384836718264656E-2</v>
      </c>
      <c r="I274" s="201">
        <f>I201*I129*(1+IF(Tech_Specs!$D21=MAX(Tech_Specs!$D$21:$D$24),0,SUMIF(Tech_Specs!$D$21:$D$24,"&gt;"&amp;Tech_Specs!$D21,I$237:I$240)))</f>
        <v>2.0598681575118689E-2</v>
      </c>
      <c r="J274" s="201">
        <f>J201*J129*(1+IF(Tech_Specs!$D21=MAX(Tech_Specs!$D$21:$D$24),0,SUMIF(Tech_Specs!$D$21:$D$24,"&gt;"&amp;Tech_Specs!$D21,J$237:J$240)))</f>
        <v>1.4183359455055734E-2</v>
      </c>
      <c r="K274" s="201">
        <f>K201*K129*(1+IF(Tech_Specs!$D21=MAX(Tech_Specs!$D$21:$D$24),0,SUMIF(Tech_Specs!$D$21:$D$24,"&gt;"&amp;Tech_Specs!$D21,K$237:K$240)))</f>
        <v>8.7129473608397803E-3</v>
      </c>
      <c r="L274" s="201">
        <f>L201*L129*(1+IF(Tech_Specs!$D21=MAX(Tech_Specs!$D$21:$D$24),0,SUMIF(Tech_Specs!$D$21:$D$24,"&gt;"&amp;Tech_Specs!$D21,L$237:L$240)))</f>
        <v>4.0364051745753228E-3</v>
      </c>
      <c r="M274" s="201">
        <f>M201*M129*(1+IF(Tech_Specs!$D21=MAX(Tech_Specs!$D$21:$D$24),0,SUMIF(Tech_Specs!$D$21:$D$24,"&gt;"&amp;Tech_Specs!$D21,M$237:M$240)))</f>
        <v>1.1509983200434909E-3</v>
      </c>
      <c r="N274" s="201">
        <f>N201*N129*(1+IF(Tech_Specs!$D21=MAX(Tech_Specs!$D$21:$D$24),0,SUMIF(Tech_Specs!$D$21:$D$24,"&gt;"&amp;Tech_Specs!$D21,N$237:N$240)))</f>
        <v>9.7765352412637315E-4</v>
      </c>
      <c r="O274" s="201">
        <f>O201*O129*(1+IF(Tech_Specs!$D21=MAX(Tech_Specs!$D$21:$D$24),0,SUMIF(Tech_Specs!$D$21:$D$24,"&gt;"&amp;Tech_Specs!$D21,O$237:O$240)))</f>
        <v>8.4502498081688289E-4</v>
      </c>
      <c r="P274" s="201">
        <f>P201*P129*(1+IF(Tech_Specs!$D21=MAX(Tech_Specs!$D$21:$D$24),0,SUMIF(Tech_Specs!$D$21:$D$24,"&gt;"&amp;Tech_Specs!$D21,P$237:P$240)))</f>
        <v>7.3828772013736187E-4</v>
      </c>
      <c r="Q274" s="201">
        <f>Q201*Q129*(1+IF(Tech_Specs!$D21=MAX(Tech_Specs!$D$21:$D$24),0,SUMIF(Tech_Specs!$D$21:$D$24,"&gt;"&amp;Tech_Specs!$D21,Q$237:Q$240)))</f>
        <v>6.5064662854346462E-4</v>
      </c>
      <c r="R274" s="201">
        <f>R201*R129*(1+IF(Tech_Specs!$D21=MAX(Tech_Specs!$D$21:$D$24),0,SUMIF(Tech_Specs!$D$21:$D$24,"&gt;"&amp;Tech_Specs!$D21,R$237:R$240)))</f>
        <v>5.7988016698100515E-4</v>
      </c>
      <c r="S274" s="201">
        <f>S201*S129*(1+IF(Tech_Specs!$D21=MAX(Tech_Specs!$D$21:$D$24),0,SUMIF(Tech_Specs!$D$21:$D$24,"&gt;"&amp;Tech_Specs!$D21,S$237:S$240)))</f>
        <v>5.2119015220839188E-4</v>
      </c>
      <c r="T274" s="201">
        <f>T201*T129*(1+IF(Tech_Specs!$D21=MAX(Tech_Specs!$D$21:$D$24),0,SUMIF(Tech_Specs!$D$21:$D$24,"&gt;"&amp;Tech_Specs!$D21,T$237:T$240)))</f>
        <v>4.7118021832972959E-4</v>
      </c>
      <c r="U274" s="201">
        <f>U201*U129*(1+IF(Tech_Specs!$D21=MAX(Tech_Specs!$D$21:$D$24),0,SUMIF(Tech_Specs!$D$21:$D$24,"&gt;"&amp;Tech_Specs!$D21,U$237:U$240)))</f>
        <v>4.294415823099499E-4</v>
      </c>
      <c r="V274" s="201">
        <f>V201*V129*(1+IF(Tech_Specs!$D21=MAX(Tech_Specs!$D$21:$D$24),0,SUMIF(Tech_Specs!$D$21:$D$24,"&gt;"&amp;Tech_Specs!$D21,V$237:V$240)))</f>
        <v>3.9252823820587761E-4</v>
      </c>
      <c r="W274" s="201">
        <f>W201*W129*(1+IF(Tech_Specs!$D21=MAX(Tech_Specs!$D$21:$D$24),0,SUMIF(Tech_Specs!$D$21:$D$24,"&gt;"&amp;Tech_Specs!$D21,W$237:W$240)))</f>
        <v>3.5957861305920604E-4</v>
      </c>
      <c r="X274" s="201">
        <f>X201*X129*(1+IF(Tech_Specs!$D21=MAX(Tech_Specs!$D$21:$D$24),0,SUMIF(Tech_Specs!$D$21:$D$24,"&gt;"&amp;Tech_Specs!$D21,X$237:X$240)))</f>
        <v>3.2972718021265934E-4</v>
      </c>
      <c r="Y274" s="201">
        <f>Y201*Y129*(1+IF(Tech_Specs!$D21=MAX(Tech_Specs!$D$21:$D$24),0,SUMIF(Tech_Specs!$D$21:$D$24,"&gt;"&amp;Tech_Specs!$D21,Y$237:Y$240)))</f>
        <v>3.0319607590618275E-4</v>
      </c>
      <c r="Z274" s="201">
        <f>Z201*Z129*(1+IF(Tech_Specs!$D21=MAX(Tech_Specs!$D$21:$D$24),0,SUMIF(Tech_Specs!$D$21:$D$24,"&gt;"&amp;Tech_Specs!$D21,Z$237:Z$240)))</f>
        <v>2.7981643291124787E-4</v>
      </c>
      <c r="AA274" s="201">
        <f>AA201*AA129*(1+IF(Tech_Specs!$D21=MAX(Tech_Specs!$D$21:$D$24),0,SUMIF(Tech_Specs!$D$21:$D$24,"&gt;"&amp;Tech_Specs!$D21,AA$237:AA$240)))</f>
        <v>2.5792056531834755E-4</v>
      </c>
      <c r="AB274" s="201">
        <f>AB201*AB129*(1+IF(Tech_Specs!$D21=MAX(Tech_Specs!$D$21:$D$24),0,SUMIF(Tech_Specs!$D$21:$D$24,"&gt;"&amp;Tech_Specs!$D21,AB$237:AB$240)))</f>
        <v>2.3802621646469173E-4</v>
      </c>
      <c r="AC274" s="201">
        <f>AC201*AC129*(1+IF(Tech_Specs!$D21=MAX(Tech_Specs!$D$21:$D$24),0,SUMIF(Tech_Specs!$D$21:$D$24,"&gt;"&amp;Tech_Specs!$D21,AC$237:AC$240)))</f>
        <v>2.1973290093592777E-4</v>
      </c>
      <c r="AD274" s="201">
        <f>AD201*AD129*(1+IF(Tech_Specs!$D21=MAX(Tech_Specs!$D$21:$D$24),0,SUMIF(Tech_Specs!$D$21:$D$24,"&gt;"&amp;Tech_Specs!$D21,AD$237:AD$240)))</f>
        <v>2.0260976496947082E-4</v>
      </c>
      <c r="AE274" s="201">
        <f>AE201*AE129*(1+IF(Tech_Specs!$D21=MAX(Tech_Specs!$D$21:$D$24),0,SUMIF(Tech_Specs!$D$21:$D$24,"&gt;"&amp;Tech_Specs!$D21,AE$237:AE$240)))</f>
        <v>1.8494157239560093E-4</v>
      </c>
    </row>
    <row r="275" spans="1:31" s="221" customFormat="1" x14ac:dyDescent="0.25">
      <c r="A275" s="227"/>
      <c r="B275" s="227" t="s">
        <v>39</v>
      </c>
      <c r="C275"/>
      <c r="D275"/>
      <c r="E275"/>
      <c r="F275" s="201">
        <f>F202*F130*(1+IF(Tech_Specs!$D22=MAX(Tech_Specs!$D$21:$D$24),0,SUMIF(Tech_Specs!$D$21:$D$24,"&gt;"&amp;Tech_Specs!$D22,F$237:F$240)))</f>
        <v>0.74076331156485475</v>
      </c>
      <c r="G275" s="201">
        <f>G202*G130*(1+IF(Tech_Specs!$D22=MAX(Tech_Specs!$D$21:$D$24),0,SUMIF(Tech_Specs!$D$21:$D$24,"&gt;"&amp;Tech_Specs!$D22,G$237:G$240)))</f>
        <v>0.68863097509161897</v>
      </c>
      <c r="H275" s="201">
        <f>H202*H130*(1+IF(Tech_Specs!$D22=MAX(Tech_Specs!$D$21:$D$24),0,SUMIF(Tech_Specs!$D$21:$D$24,"&gt;"&amp;Tech_Specs!$D22,H$237:H$240)))</f>
        <v>0.63991503181719855</v>
      </c>
      <c r="I275" s="201">
        <f>I202*I130*(1+IF(Tech_Specs!$D22=MAX(Tech_Specs!$D$21:$D$24),0,SUMIF(Tech_Specs!$D$21:$D$24,"&gt;"&amp;Tech_Specs!$D22,I$237:I$240)))</f>
        <v>0.58905598511639512</v>
      </c>
      <c r="J275" s="201">
        <f>J202*J130*(1+IF(Tech_Specs!$D22=MAX(Tech_Specs!$D$21:$D$24),0,SUMIF(Tech_Specs!$D$21:$D$24,"&gt;"&amp;Tech_Specs!$D22,J$237:J$240)))</f>
        <v>0.5342642729412248</v>
      </c>
      <c r="K275" s="201">
        <f>K202*K130*(1+IF(Tech_Specs!$D22=MAX(Tech_Specs!$D$21:$D$24),0,SUMIF(Tech_Specs!$D$21:$D$24,"&gt;"&amp;Tech_Specs!$D22,K$237:K$240)))</f>
        <v>0.48170662495979</v>
      </c>
      <c r="L275" s="201">
        <f>L202*L130*(1+IF(Tech_Specs!$D22=MAX(Tech_Specs!$D$21:$D$24),0,SUMIF(Tech_Specs!$D$21:$D$24,"&gt;"&amp;Tech_Specs!$D22,L$237:L$240)))</f>
        <v>0.43050046500857386</v>
      </c>
      <c r="M275" s="201">
        <f>M202*M130*(1+IF(Tech_Specs!$D22=MAX(Tech_Specs!$D$21:$D$24),0,SUMIF(Tech_Specs!$D$21:$D$24,"&gt;"&amp;Tech_Specs!$D22,M$237:M$240)))</f>
        <v>0.38694450206631087</v>
      </c>
      <c r="N275" s="201">
        <f>N202*N130*(1+IF(Tech_Specs!$D22=MAX(Tech_Specs!$D$21:$D$24),0,SUMIF(Tech_Specs!$D$21:$D$24,"&gt;"&amp;Tech_Specs!$D22,N$237:N$240)))</f>
        <v>0.34723328518471691</v>
      </c>
      <c r="O275" s="201">
        <f>O202*O130*(1+IF(Tech_Specs!$D22=MAX(Tech_Specs!$D$21:$D$24),0,SUMIF(Tech_Specs!$D$21:$D$24,"&gt;"&amp;Tech_Specs!$D22,O$237:O$240)))</f>
        <v>0.31355845130806603</v>
      </c>
      <c r="P275" s="201">
        <f>P202*P130*(1+IF(Tech_Specs!$D22=MAX(Tech_Specs!$D$21:$D$24),0,SUMIF(Tech_Specs!$D$21:$D$24,"&gt;"&amp;Tech_Specs!$D22,P$237:P$240)))</f>
        <v>0.28456553752195557</v>
      </c>
      <c r="Q275" s="201">
        <f>Q202*Q130*(1+IF(Tech_Specs!$D22=MAX(Tech_Specs!$D$21:$D$24),0,SUMIF(Tech_Specs!$D$21:$D$24,"&gt;"&amp;Tech_Specs!$D22,Q$237:Q$240)))</f>
        <v>0.25960312614689518</v>
      </c>
      <c r="R275" s="201">
        <f>R202*R130*(1+IF(Tech_Specs!$D22=MAX(Tech_Specs!$D$21:$D$24),0,SUMIF(Tech_Specs!$D$21:$D$24,"&gt;"&amp;Tech_Specs!$D22,R$237:R$240)))</f>
        <v>0.23852133282892349</v>
      </c>
      <c r="S275" s="201">
        <f>S202*S130*(1+IF(Tech_Specs!$D22=MAX(Tech_Specs!$D$21:$D$24),0,SUMIF(Tech_Specs!$D$21:$D$24,"&gt;"&amp;Tech_Specs!$D22,S$237:S$240)))</f>
        <v>0.2204668595258005</v>
      </c>
      <c r="T275" s="201">
        <f>T202*T130*(1+IF(Tech_Specs!$D22=MAX(Tech_Specs!$D$21:$D$24),0,SUMIF(Tech_Specs!$D$21:$D$24,"&gt;"&amp;Tech_Specs!$D22,T$237:T$240)))</f>
        <v>0.20472449854178007</v>
      </c>
      <c r="U275" s="201">
        <f>U202*U130*(1+IF(Tech_Specs!$D22=MAX(Tech_Specs!$D$21:$D$24),0,SUMIF(Tech_Specs!$D$21:$D$24,"&gt;"&amp;Tech_Specs!$D22,U$237:U$240)))</f>
        <v>0.19125047282925473</v>
      </c>
      <c r="V275" s="201">
        <f>V202*V130*(1+IF(Tech_Specs!$D22=MAX(Tech_Specs!$D$21:$D$24),0,SUMIF(Tech_Specs!$D$21:$D$24,"&gt;"&amp;Tech_Specs!$D22,V$237:V$240)))</f>
        <v>0.17919106857008871</v>
      </c>
      <c r="W275" s="201">
        <f>W202*W130*(1+IF(Tech_Specs!$D22=MAX(Tech_Specs!$D$21:$D$24),0,SUMIF(Tech_Specs!$D$21:$D$24,"&gt;"&amp;Tech_Specs!$D22,W$237:W$240)))</f>
        <v>0.16831242560041984</v>
      </c>
      <c r="X275" s="201">
        <f>X202*X130*(1+IF(Tech_Specs!$D22=MAX(Tech_Specs!$D$21:$D$24),0,SUMIF(Tech_Specs!$D$21:$D$24,"&gt;"&amp;Tech_Specs!$D22,X$237:X$240)))</f>
        <v>0.15836946289368303</v>
      </c>
      <c r="Y275" s="201">
        <f>Y202*Y130*(1+IF(Tech_Specs!$D22=MAX(Tech_Specs!$D$21:$D$24),0,SUMIF(Tech_Specs!$D$21:$D$24,"&gt;"&amp;Tech_Specs!$D22,Y$237:Y$240)))</f>
        <v>0.14943164097098702</v>
      </c>
      <c r="Z275" s="201">
        <f>Z202*Z130*(1+IF(Tech_Specs!$D22=MAX(Tech_Specs!$D$21:$D$24),0,SUMIF(Tech_Specs!$D$21:$D$24,"&gt;"&amp;Tech_Specs!$D22,Z$237:Z$240)))</f>
        <v>0.14146766572111735</v>
      </c>
      <c r="AA275" s="201">
        <f>AA202*AA130*(1+IF(Tech_Specs!$D22=MAX(Tech_Specs!$D$21:$D$24),0,SUMIF(Tech_Specs!$D$21:$D$24,"&gt;"&amp;Tech_Specs!$D22,AA$237:AA$240)))</f>
        <v>0.1339644900472734</v>
      </c>
      <c r="AB275" s="201">
        <f>AB202*AB130*(1+IF(Tech_Specs!$D22=MAX(Tech_Specs!$D$21:$D$24),0,SUMIF(Tech_Specs!$D$21:$D$24,"&gt;"&amp;Tech_Specs!$D22,AB$237:AB$240)))</f>
        <v>0.12708217362939803</v>
      </c>
      <c r="AC275" s="201">
        <f>AC202*AC130*(1+IF(Tech_Specs!$D22=MAX(Tech_Specs!$D$21:$D$24),0,SUMIF(Tech_Specs!$D$21:$D$24,"&gt;"&amp;Tech_Specs!$D22,AC$237:AC$240)))</f>
        <v>0.12069316680024911</v>
      </c>
      <c r="AD275" s="201">
        <f>AD202*AD130*(1+IF(Tech_Specs!$D22=MAX(Tech_Specs!$D$21:$D$24),0,SUMIF(Tech_Specs!$D$21:$D$24,"&gt;"&amp;Tech_Specs!$D22,AD$237:AD$240)))</f>
        <v>0.11464960083475562</v>
      </c>
      <c r="AE275" s="201">
        <f>AE202*AE130*(1+IF(Tech_Specs!$D22=MAX(Tech_Specs!$D$21:$D$24),0,SUMIF(Tech_Specs!$D$21:$D$24,"&gt;"&amp;Tech_Specs!$D22,AE$237:AE$240)))</f>
        <v>0.10831973063805785</v>
      </c>
    </row>
    <row r="276" spans="1:31" s="221" customFormat="1" x14ac:dyDescent="0.25">
      <c r="A276" s="227"/>
      <c r="B276" s="227" t="s">
        <v>40</v>
      </c>
      <c r="C276"/>
      <c r="D276"/>
      <c r="E276"/>
      <c r="F276" s="201">
        <f>F203*F131*(1+IF(Tech_Specs!$D23=MAX(Tech_Specs!$D$21:$D$24),0,SUMIF(Tech_Specs!$D$21:$D$24,"&gt;"&amp;Tech_Specs!$D23,F$237:F$240)))</f>
        <v>0.21787570811135232</v>
      </c>
      <c r="G276" s="201">
        <f>G203*G131*(1+IF(Tech_Specs!$D23=MAX(Tech_Specs!$D$21:$D$24),0,SUMIF(Tech_Specs!$D$21:$D$24,"&gt;"&amp;Tech_Specs!$D23,G$237:G$240)))</f>
        <v>0.27421060256958502</v>
      </c>
      <c r="H276" s="201">
        <f>H203*H131*(1+IF(Tech_Specs!$D23=MAX(Tech_Specs!$D$21:$D$24),0,SUMIF(Tech_Specs!$D$21:$D$24,"&gt;"&amp;Tech_Specs!$D23,H$237:H$240)))</f>
        <v>0.33169999611991052</v>
      </c>
      <c r="I276" s="201">
        <f>I203*I131*(1+IF(Tech_Specs!$D23=MAX(Tech_Specs!$D$21:$D$24),0,SUMIF(Tech_Specs!$D$21:$D$24,"&gt;"&amp;Tech_Specs!$D23,I$237:I$240)))</f>
        <v>0.39034203211439333</v>
      </c>
      <c r="J276" s="201">
        <f>J203*J131*(1+IF(Tech_Specs!$D23=MAX(Tech_Specs!$D$21:$D$24),0,SUMIF(Tech_Specs!$D$21:$D$24,"&gt;"&amp;Tech_Specs!$D23,J$237:J$240)))</f>
        <v>0.45150514768387007</v>
      </c>
      <c r="K276" s="201">
        <f>K203*K131*(1+IF(Tech_Specs!$D23=MAX(Tech_Specs!$D$21:$D$24),0,SUMIF(Tech_Specs!$D$21:$D$24,"&gt;"&amp;Tech_Specs!$D23,K$237:K$240)))</f>
        <v>0.50926630537719475</v>
      </c>
      <c r="L276" s="201">
        <f>L203*L131*(1+IF(Tech_Specs!$D23=MAX(Tech_Specs!$D$21:$D$24),0,SUMIF(Tech_Specs!$D$21:$D$24,"&gt;"&amp;Tech_Specs!$D23,L$237:L$240)))</f>
        <v>0.56414594927877793</v>
      </c>
      <c r="M276" s="201">
        <f>M203*M131*(1+IF(Tech_Specs!$D23=MAX(Tech_Specs!$D$21:$D$24),0,SUMIF(Tech_Specs!$D$21:$D$24,"&gt;"&amp;Tech_Specs!$D23,M$237:M$240)))</f>
        <v>0.60794154852329374</v>
      </c>
      <c r="N276" s="201">
        <f>N203*N131*(1+IF(Tech_Specs!$D23=MAX(Tech_Specs!$D$21:$D$24),0,SUMIF(Tech_Specs!$D$21:$D$24,"&gt;"&amp;Tech_Specs!$D23,N$237:N$240)))</f>
        <v>0.64233797298728623</v>
      </c>
      <c r="O276" s="201">
        <f>O203*O131*(1+IF(Tech_Specs!$D23=MAX(Tech_Specs!$D$21:$D$24),0,SUMIF(Tech_Specs!$D$21:$D$24,"&gt;"&amp;Tech_Specs!$D23,O$237:O$240)))</f>
        <v>0.66669231966576203</v>
      </c>
      <c r="P276" s="201">
        <f>P203*P131*(1+IF(Tech_Specs!$D23=MAX(Tech_Specs!$D$21:$D$24),0,SUMIF(Tech_Specs!$D$21:$D$24,"&gt;"&amp;Tech_Specs!$D23,P$237:P$240)))</f>
        <v>0.68138912013312081</v>
      </c>
      <c r="Q276" s="201">
        <f>Q203*Q131*(1+IF(Tech_Specs!$D23=MAX(Tech_Specs!$D$21:$D$24),0,SUMIF(Tech_Specs!$D$21:$D$24,"&gt;"&amp;Tech_Specs!$D23,Q$237:Q$240)))</f>
        <v>0.68699301247578792</v>
      </c>
      <c r="R276" s="201">
        <f>R203*R131*(1+IF(Tech_Specs!$D23=MAX(Tech_Specs!$D$21:$D$24),0,SUMIF(Tech_Specs!$D$21:$D$24,"&gt;"&amp;Tech_Specs!$D23,R$237:R$240)))</f>
        <v>0.68388485115596098</v>
      </c>
      <c r="S276" s="201">
        <f>S203*S131*(1+IF(Tech_Specs!$D23=MAX(Tech_Specs!$D$21:$D$24),0,SUMIF(Tech_Specs!$D$21:$D$24,"&gt;"&amp;Tech_Specs!$D23,S$237:S$240)))</f>
        <v>0.67360997070274797</v>
      </c>
      <c r="T276" s="201">
        <f>T203*T131*(1+IF(Tech_Specs!$D23=MAX(Tech_Specs!$D$21:$D$24),0,SUMIF(Tech_Specs!$D$21:$D$24,"&gt;"&amp;Tech_Specs!$D23,T$237:T$240)))</f>
        <v>0.65783599887503064</v>
      </c>
      <c r="U276" s="201">
        <f>U203*U131*(1+IF(Tech_Specs!$D23=MAX(Tech_Specs!$D$21:$D$24),0,SUMIF(Tech_Specs!$D$21:$D$24,"&gt;"&amp;Tech_Specs!$D23,U$237:U$240)))</f>
        <v>0.6382146011020281</v>
      </c>
      <c r="V276" s="201">
        <f>V203*V131*(1+IF(Tech_Specs!$D23=MAX(Tech_Specs!$D$21:$D$24),0,SUMIF(Tech_Specs!$D$21:$D$24,"&gt;"&amp;Tech_Specs!$D23,V$237:V$240)))</f>
        <v>0.61625973054253191</v>
      </c>
      <c r="W276" s="201">
        <f>W203*W131*(1+IF(Tech_Specs!$D23=MAX(Tech_Specs!$D$21:$D$24),0,SUMIF(Tech_Specs!$D$21:$D$24,"&gt;"&amp;Tech_Specs!$D23,W$237:W$240)))</f>
        <v>0.59311584342421553</v>
      </c>
      <c r="X276" s="201">
        <f>X203*X131*(1+IF(Tech_Specs!$D23=MAX(Tech_Specs!$D$21:$D$24),0,SUMIF(Tech_Specs!$D$21:$D$24,"&gt;"&amp;Tech_Specs!$D23,X$237:X$240)))</f>
        <v>0.56961336332150525</v>
      </c>
      <c r="Y276" s="201">
        <f>Y203*Y131*(1+IF(Tech_Specs!$D23=MAX(Tech_Specs!$D$21:$D$24),0,SUMIF(Tech_Specs!$D$21:$D$24,"&gt;"&amp;Tech_Specs!$D23,Y$237:Y$240)))</f>
        <v>0.54648370597047236</v>
      </c>
      <c r="Z276" s="201">
        <f>Z203*Z131*(1+IF(Tech_Specs!$D23=MAX(Tech_Specs!$D$21:$D$24),0,SUMIF(Tech_Specs!$D$21:$D$24,"&gt;"&amp;Tech_Specs!$D23,Z$237:Z$240)))</f>
        <v>0.5242423916201977</v>
      </c>
      <c r="AA276" s="201">
        <f>AA203*AA131*(1+IF(Tech_Specs!$D23=MAX(Tech_Specs!$D$21:$D$24),0,SUMIF(Tech_Specs!$D$21:$D$24,"&gt;"&amp;Tech_Specs!$D23,AA$237:AA$240)))</f>
        <v>0.50280376656937897</v>
      </c>
      <c r="AB276" s="201">
        <f>AB203*AB131*(1+IF(Tech_Specs!$D23=MAX(Tech_Specs!$D$21:$D$24),0,SUMIF(Tech_Specs!$D$21:$D$24,"&gt;"&amp;Tech_Specs!$D23,AB$237:AB$240)))</f>
        <v>0.48246515858877781</v>
      </c>
      <c r="AC276" s="201">
        <f>AC203*AC131*(1+IF(Tech_Specs!$D23=MAX(Tech_Specs!$D$21:$D$24),0,SUMIF(Tech_Specs!$D$21:$D$24,"&gt;"&amp;Tech_Specs!$D23,AC$237:AC$240)))</f>
        <v>0.46320972409878719</v>
      </c>
      <c r="AD276" s="201">
        <f>AD203*AD131*(1+IF(Tech_Specs!$D23=MAX(Tech_Specs!$D$21:$D$24),0,SUMIF(Tech_Specs!$D$21:$D$24,"&gt;"&amp;Tech_Specs!$D23,AD$237:AD$240)))</f>
        <v>0.44491458113568466</v>
      </c>
      <c r="AE276" s="201">
        <f>AE203*AE131*(1+IF(Tech_Specs!$D23=MAX(Tech_Specs!$D$21:$D$24),0,SUMIF(Tech_Specs!$D$21:$D$24,"&gt;"&amp;Tech_Specs!$D23,AE$237:AE$240)))</f>
        <v>0.426774893363292</v>
      </c>
    </row>
    <row r="277" spans="1:31" s="221" customFormat="1" x14ac:dyDescent="0.25">
      <c r="A277" s="227"/>
      <c r="B277" s="227" t="s">
        <v>29</v>
      </c>
      <c r="C277"/>
      <c r="D277"/>
      <c r="E277"/>
      <c r="F277" s="201">
        <f>F204*F132*(1+IF(Tech_Specs!$D24=MAX(Tech_Specs!$D$21:$D$24),0,SUMIF(Tech_Specs!$D$21:$D$24,"&gt;"&amp;Tech_Specs!$D24,F$237:F$240)))</f>
        <v>1.3613016860215399E-18</v>
      </c>
      <c r="G277" s="201">
        <f>G204*G132*(1+IF(Tech_Specs!$D24=MAX(Tech_Specs!$D$21:$D$24),0,SUMIF(Tech_Specs!$D$21:$D$24,"&gt;"&amp;Tech_Specs!$D24,G$237:G$240)))</f>
        <v>4.5986192917821416E-11</v>
      </c>
      <c r="H277" s="201">
        <f>H204*H132*(1+IF(Tech_Specs!$D24=MAX(Tech_Specs!$D$21:$D$24),0,SUMIF(Tech_Specs!$D$21:$D$24,"&gt;"&amp;Tech_Specs!$D24,H$237:H$240)))</f>
        <v>5.614626762670872E-8</v>
      </c>
      <c r="I277" s="201">
        <f>I204*I132*(1+IF(Tech_Specs!$D24=MAX(Tech_Specs!$D$21:$D$24),0,SUMIF(Tech_Specs!$D$21:$D$24,"&gt;"&amp;Tech_Specs!$D24,I$237:I$240)))</f>
        <v>3.2599247395199232E-6</v>
      </c>
      <c r="J277" s="201">
        <f>J204*J132*(1+IF(Tech_Specs!$D24=MAX(Tech_Specs!$D$21:$D$24),0,SUMIF(Tech_Specs!$D$21:$D$24,"&gt;"&amp;Tech_Specs!$D24,J$237:J$240)))</f>
        <v>4.7199514139315777E-5</v>
      </c>
      <c r="K277" s="201">
        <f>K204*K132*(1+IF(Tech_Specs!$D24=MAX(Tech_Specs!$D$21:$D$24),0,SUMIF(Tech_Specs!$D$21:$D$24,"&gt;"&amp;Tech_Specs!$D24,K$237:K$240)))</f>
        <v>3.1411330001809271E-4</v>
      </c>
      <c r="L277" s="201">
        <f>L204*L132*(1+IF(Tech_Specs!$D24=MAX(Tech_Specs!$D$21:$D$24),0,SUMIF(Tech_Specs!$D$21:$D$24,"&gt;"&amp;Tech_Specs!$D24,L$237:L$240)))</f>
        <v>1.317177542992742E-3</v>
      </c>
      <c r="M277" s="201">
        <f>M204*M132*(1+IF(Tech_Specs!$D24=MAX(Tech_Specs!$D$21:$D$24),0,SUMIF(Tech_Specs!$D$21:$D$24,"&gt;"&amp;Tech_Specs!$D24,M$237:M$240)))</f>
        <v>3.9629504769535901E-3</v>
      </c>
      <c r="N277" s="201">
        <f>N204*N132*(1+IF(Tech_Specs!$D24=MAX(Tech_Specs!$D$21:$D$24),0,SUMIF(Tech_Specs!$D$21:$D$24,"&gt;"&amp;Tech_Specs!$D24,N$237:N$240)))</f>
        <v>9.4510879296496632E-3</v>
      </c>
      <c r="O277" s="201">
        <f>O204*O132*(1+IF(Tech_Specs!$D24=MAX(Tech_Specs!$D$21:$D$24),0,SUMIF(Tech_Specs!$D$21:$D$24,"&gt;"&amp;Tech_Specs!$D24,O$237:O$240)))</f>
        <v>1.8904203813023816E-2</v>
      </c>
      <c r="P277" s="201">
        <f>P204*P132*(1+IF(Tech_Specs!$D24=MAX(Tech_Specs!$D$21:$D$24),0,SUMIF(Tech_Specs!$D$21:$D$24,"&gt;"&amp;Tech_Specs!$D24,P$237:P$240)))</f>
        <v>3.3307054478979733E-2</v>
      </c>
      <c r="Q277" s="201">
        <f>Q204*Q132*(1+IF(Tech_Specs!$D24=MAX(Tech_Specs!$D$21:$D$24),0,SUMIF(Tech_Specs!$D$21:$D$24,"&gt;"&amp;Tech_Specs!$D24,Q$237:Q$240)))</f>
        <v>5.2753214656467665E-2</v>
      </c>
      <c r="R277" s="201">
        <f>R204*R132*(1+IF(Tech_Specs!$D24=MAX(Tech_Specs!$D$21:$D$24),0,SUMIF(Tech_Specs!$D$21:$D$24,"&gt;"&amp;Tech_Specs!$D24,R$237:R$240)))</f>
        <v>7.7013935789037063E-2</v>
      </c>
      <c r="S277" s="201">
        <f>S204*S132*(1+IF(Tech_Specs!$D24=MAX(Tech_Specs!$D$21:$D$24),0,SUMIF(Tech_Specs!$D$21:$D$24,"&gt;"&amp;Tech_Specs!$D24,S$237:S$240)))</f>
        <v>0.1054019795810846</v>
      </c>
      <c r="T277" s="201">
        <f>T204*T132*(1+IF(Tech_Specs!$D24=MAX(Tech_Specs!$D$21:$D$24),0,SUMIF(Tech_Specs!$D$21:$D$24,"&gt;"&amp;Tech_Specs!$D24,T$237:T$240)))</f>
        <v>0.13696832234007597</v>
      </c>
      <c r="U277" s="201">
        <f>U204*U132*(1+IF(Tech_Specs!$D24=MAX(Tech_Specs!$D$21:$D$24),0,SUMIF(Tech_Specs!$D$21:$D$24,"&gt;"&amp;Tech_Specs!$D24,U$237:U$240)))</f>
        <v>0.17010548447017909</v>
      </c>
      <c r="V277" s="201">
        <f>V204*V132*(1+IF(Tech_Specs!$D24=MAX(Tech_Specs!$D$21:$D$24),0,SUMIF(Tech_Specs!$D$21:$D$24,"&gt;"&amp;Tech_Specs!$D24,V$237:V$240)))</f>
        <v>0.20415667263851645</v>
      </c>
      <c r="W277" s="201">
        <f>W204*W132*(1+IF(Tech_Specs!$D24=MAX(Tech_Specs!$D$21:$D$24),0,SUMIF(Tech_Specs!$D$21:$D$24,"&gt;"&amp;Tech_Specs!$D24,W$237:W$240)))</f>
        <v>0.23821215235529097</v>
      </c>
      <c r="X277" s="201">
        <f>X204*X132*(1+IF(Tech_Specs!$D24=MAX(Tech_Specs!$D$21:$D$24),0,SUMIF(Tech_Specs!$D$21:$D$24,"&gt;"&amp;Tech_Specs!$D24,X$237:X$240)))</f>
        <v>0.27168744659816729</v>
      </c>
      <c r="Y277" s="201">
        <f>Y204*Y132*(1+IF(Tech_Specs!$D24=MAX(Tech_Specs!$D$21:$D$24),0,SUMIF(Tech_Specs!$D$21:$D$24,"&gt;"&amp;Tech_Specs!$D24,Y$237:Y$240)))</f>
        <v>0.3037814569767201</v>
      </c>
      <c r="Z277" s="201">
        <f>Z204*Z132*(1+IF(Tech_Specs!$D24=MAX(Tech_Specs!$D$21:$D$24),0,SUMIF(Tech_Specs!$D$21:$D$24,"&gt;"&amp;Tech_Specs!$D24,Z$237:Z$240)))</f>
        <v>0.33401012622031517</v>
      </c>
      <c r="AA277" s="201">
        <f>AA204*AA132*(1+IF(Tech_Specs!$D24=MAX(Tech_Specs!$D$21:$D$24),0,SUMIF(Tech_Specs!$D$21:$D$24,"&gt;"&amp;Tech_Specs!$D24,AA$237:AA$240)))</f>
        <v>0.362973822812998</v>
      </c>
      <c r="AB277" s="201">
        <f>AB204*AB132*(1+IF(Tech_Specs!$D24=MAX(Tech_Specs!$D$21:$D$24),0,SUMIF(Tech_Specs!$D$21:$D$24,"&gt;"&amp;Tech_Specs!$D24,AB$237:AB$240)))</f>
        <v>0.39021464156071634</v>
      </c>
      <c r="AC277" s="201">
        <f>AC204*AC132*(1+IF(Tech_Specs!$D24=MAX(Tech_Specs!$D$21:$D$24),0,SUMIF(Tech_Specs!$D$21:$D$24,"&gt;"&amp;Tech_Specs!$D24,AC$237:AC$240)))</f>
        <v>0.41587737619574128</v>
      </c>
      <c r="AD277" s="201">
        <f>AD204*AD132*(1+IF(Tech_Specs!$D24=MAX(Tech_Specs!$D$21:$D$24),0,SUMIF(Tech_Specs!$D$21:$D$24,"&gt;"&amp;Tech_Specs!$D24,AD$237:AD$240)))</f>
        <v>0.440233208260638</v>
      </c>
      <c r="AE277" s="201">
        <f>AE204*AE132*(1+IF(Tech_Specs!$D24=MAX(Tech_Specs!$D$21:$D$24),0,SUMIF(Tech_Specs!$D$21:$D$24,"&gt;"&amp;Tech_Specs!$D24,AE$237:AE$240)))</f>
        <v>0.4647204344226471</v>
      </c>
    </row>
    <row r="278" spans="1:31" s="221" customFormat="1" x14ac:dyDescent="0.25">
      <c r="A278" s="227"/>
      <c r="B278" s="227"/>
      <c r="C278"/>
      <c r="D278"/>
      <c r="E278"/>
      <c r="F278"/>
      <c r="G278"/>
      <c r="H278"/>
      <c r="I278"/>
      <c r="J278"/>
      <c r="K278"/>
      <c r="L278"/>
      <c r="M278"/>
      <c r="N278"/>
      <c r="O278"/>
      <c r="P278"/>
      <c r="Q278"/>
      <c r="R278"/>
      <c r="S278"/>
      <c r="T278"/>
      <c r="U278"/>
      <c r="V278"/>
      <c r="W278"/>
      <c r="X278"/>
      <c r="Y278"/>
      <c r="Z278"/>
      <c r="AA278"/>
      <c r="AB278"/>
      <c r="AC278"/>
      <c r="AD278"/>
      <c r="AE278"/>
    </row>
    <row r="279" spans="1:31" s="202" customFormat="1" ht="12.75" x14ac:dyDescent="0.2">
      <c r="A279" s="234" t="s">
        <v>42</v>
      </c>
      <c r="B279" s="234"/>
      <c r="C279" s="234"/>
      <c r="D279" s="234"/>
      <c r="E279" s="234"/>
      <c r="F279" s="234"/>
      <c r="G279" s="234"/>
      <c r="H279" s="234"/>
      <c r="I279" s="234"/>
      <c r="J279" s="234"/>
      <c r="K279" s="234"/>
      <c r="L279" s="234"/>
      <c r="M279" s="234"/>
      <c r="N279" s="234"/>
      <c r="O279" s="234"/>
      <c r="P279" s="234"/>
      <c r="Q279" s="234"/>
      <c r="R279" s="234"/>
      <c r="S279" s="234"/>
      <c r="T279" s="234"/>
      <c r="U279" s="234"/>
      <c r="V279" s="234"/>
      <c r="W279" s="234"/>
      <c r="X279" s="234"/>
      <c r="Y279" s="234"/>
      <c r="Z279" s="234"/>
      <c r="AA279" s="234"/>
      <c r="AB279" s="234"/>
      <c r="AC279" s="234"/>
      <c r="AD279" s="234"/>
      <c r="AE279" s="234"/>
    </row>
    <row r="280" spans="1:31" s="221" customFormat="1" x14ac:dyDescent="0.25">
      <c r="A280" s="227"/>
      <c r="B280" s="229" t="s">
        <v>43</v>
      </c>
      <c r="C280"/>
      <c r="D280"/>
      <c r="E280"/>
      <c r="F280" s="201">
        <f>F207*F135*(1+IF(Tech_Specs!$D27=MAX(Tech_Specs!$D$27:$D$31),0,SUMIF(Tech_Specs!$D$27:$D$31,"&gt;"&amp;Tech_Specs!$D27,F$243:F$247)))</f>
        <v>9.8267856136954549E-3</v>
      </c>
      <c r="G280" s="201">
        <f>G207*G135*(1+IF(Tech_Specs!$D27=MAX(Tech_Specs!$D$27:$D$31),0,SUMIF(Tech_Specs!$D$27:$D$31,"&gt;"&amp;Tech_Specs!$D27,G$243:G$247)))</f>
        <v>9.5372917037801902E-3</v>
      </c>
      <c r="H280" s="201">
        <f>H207*H135*(1+IF(Tech_Specs!$D27=MAX(Tech_Specs!$D$27:$D$31),0,SUMIF(Tech_Specs!$D$27:$D$31,"&gt;"&amp;Tech_Specs!$D27,H$243:H$247)))</f>
        <v>9.215886947294678E-3</v>
      </c>
      <c r="I280" s="201">
        <f>I207*I135*(1+IF(Tech_Specs!$D27=MAX(Tech_Specs!$D$27:$D$31),0,SUMIF(Tech_Specs!$D$27:$D$31,"&gt;"&amp;Tech_Specs!$D27,I$243:I$247)))</f>
        <v>8.8471867344189319E-3</v>
      </c>
      <c r="J280" s="201">
        <f>J207*J135*(1+IF(Tech_Specs!$D27=MAX(Tech_Specs!$D$27:$D$31),0,SUMIF(Tech_Specs!$D$27:$D$31,"&gt;"&amp;Tech_Specs!$D27,J$243:J$247)))</f>
        <v>8.4412699303179246E-3</v>
      </c>
      <c r="K280" s="201">
        <f>K207*K135*(1+IF(Tech_Specs!$D27=MAX(Tech_Specs!$D$27:$D$31),0,SUMIF(Tech_Specs!$D$27:$D$31,"&gt;"&amp;Tech_Specs!$D27,K$243:K$247)))</f>
        <v>8.0182082723364544E-3</v>
      </c>
      <c r="L280" s="201">
        <f>L207*L135*(1+IF(Tech_Specs!$D27=MAX(Tech_Specs!$D$27:$D$31),0,SUMIF(Tech_Specs!$D$27:$D$31,"&gt;"&amp;Tech_Specs!$D27,L$243:L$247)))</f>
        <v>7.5914527261311824E-3</v>
      </c>
      <c r="M280" s="201">
        <f>M207*M135*(1+IF(Tech_Specs!$D27=MAX(Tech_Specs!$D$27:$D$31),0,SUMIF(Tech_Specs!$D$27:$D$31,"&gt;"&amp;Tech_Specs!$D27,M$243:M$247)))</f>
        <v>7.1794859459134979E-3</v>
      </c>
      <c r="N280" s="201">
        <f>N207*N135*(1+IF(Tech_Specs!$D27=MAX(Tech_Specs!$D$27:$D$31),0,SUMIF(Tech_Specs!$D$27:$D$31,"&gt;"&amp;Tech_Specs!$D27,N$243:N$247)))</f>
        <v>6.7932842892915631E-3</v>
      </c>
      <c r="O280" s="201">
        <f>O207*O135*(1+IF(Tech_Specs!$D27=MAX(Tech_Specs!$D$27:$D$31),0,SUMIF(Tech_Specs!$D$27:$D$31,"&gt;"&amp;Tech_Specs!$D27,O$243:O$247)))</f>
        <v>6.4418659906451559E-3</v>
      </c>
      <c r="P280" s="201">
        <f>P207*P135*(1+IF(Tech_Specs!$D27=MAX(Tech_Specs!$D$27:$D$31),0,SUMIF(Tech_Specs!$D$27:$D$31,"&gt;"&amp;Tech_Specs!$D27,P$243:P$247)))</f>
        <v>6.1300859984225985E-3</v>
      </c>
      <c r="Q280" s="201">
        <f>Q207*Q135*(1+IF(Tech_Specs!$D27=MAX(Tech_Specs!$D$27:$D$31),0,SUMIF(Tech_Specs!$D$27:$D$31,"&gt;"&amp;Tech_Specs!$D27,Q$243:Q$247)))</f>
        <v>5.861512500269745E-3</v>
      </c>
      <c r="R280" s="201">
        <f>R207*R135*(1+IF(Tech_Specs!$D27=MAX(Tech_Specs!$D$27:$D$31),0,SUMIF(Tech_Specs!$D$27:$D$31,"&gt;"&amp;Tech_Specs!$D27,R$243:R$247)))</f>
        <v>5.637361186375439E-3</v>
      </c>
      <c r="S280" s="201">
        <f>S207*S135*(1+IF(Tech_Specs!$D27=MAX(Tech_Specs!$D$27:$D$31),0,SUMIF(Tech_Specs!$D$27:$D$31,"&gt;"&amp;Tech_Specs!$D27,S$243:S$247)))</f>
        <v>5.455122780528769E-3</v>
      </c>
      <c r="T280" s="201">
        <f>T207*T135*(1+IF(Tech_Specs!$D27=MAX(Tech_Specs!$D$27:$D$31),0,SUMIF(Tech_Specs!$D$27:$D$31,"&gt;"&amp;Tech_Specs!$D27,T$243:T$247)))</f>
        <v>5.3102000996439322E-3</v>
      </c>
      <c r="U280" s="201">
        <f>U207*U135*(1+IF(Tech_Specs!$D27=MAX(Tech_Specs!$D$27:$D$31),0,SUMIF(Tech_Specs!$D$27:$D$31,"&gt;"&amp;Tech_Specs!$D27,U$243:U$247)))</f>
        <v>5.1974225755826225E-3</v>
      </c>
      <c r="V280" s="201">
        <f>V207*V135*(1+IF(Tech_Specs!$D27=MAX(Tech_Specs!$D$27:$D$31),0,SUMIF(Tech_Specs!$D$27:$D$31,"&gt;"&amp;Tech_Specs!$D27,V$243:V$247)))</f>
        <v>5.1103971462423967E-3</v>
      </c>
      <c r="W280" s="201">
        <f>W207*W135*(1+IF(Tech_Specs!$D27=MAX(Tech_Specs!$D$27:$D$31),0,SUMIF(Tech_Specs!$D$27:$D$31,"&gt;"&amp;Tech_Specs!$D27,W$243:W$247)))</f>
        <v>5.0437156995089957E-3</v>
      </c>
      <c r="X280" s="201">
        <f>X207*X135*(1+IF(Tech_Specs!$D27=MAX(Tech_Specs!$D$27:$D$31),0,SUMIF(Tech_Specs!$D$27:$D$31,"&gt;"&amp;Tech_Specs!$D27,X$243:X$247)))</f>
        <v>4.9926389391712544E-3</v>
      </c>
      <c r="Y280" s="201">
        <f>Y207*Y135*(1+IF(Tech_Specs!$D27=MAX(Tech_Specs!$D$27:$D$31),0,SUMIF(Tech_Specs!$D$27:$D$31,"&gt;"&amp;Tech_Specs!$D27,Y$243:Y$247)))</f>
        <v>4.953572132742068E-3</v>
      </c>
      <c r="Z280" s="201">
        <f>Z207*Z135*(1+IF(Tech_Specs!$D27=MAX(Tech_Specs!$D$27:$D$31),0,SUMIF(Tech_Specs!$D$27:$D$31,"&gt;"&amp;Tech_Specs!$D27,Z$243:Z$247)))</f>
        <v>4.9236035712590873E-3</v>
      </c>
      <c r="AA280" s="201">
        <f>AA207*AA135*(1+IF(Tech_Specs!$D27=MAX(Tech_Specs!$D$27:$D$31),0,SUMIF(Tech_Specs!$D$27:$D$31,"&gt;"&amp;Tech_Specs!$D27,AA$243:AA$247)))</f>
        <v>4.8999660068922779E-3</v>
      </c>
      <c r="AB280" s="201">
        <f>AB207*AB135*(1+IF(Tech_Specs!$D27=MAX(Tech_Specs!$D$27:$D$31),0,SUMIF(Tech_Specs!$D$27:$D$31,"&gt;"&amp;Tech_Specs!$D27,AB$243:AB$247)))</f>
        <v>4.8811798898725934E-3</v>
      </c>
      <c r="AC280" s="201">
        <f>AC207*AC135*(1+IF(Tech_Specs!$D27=MAX(Tech_Specs!$D$27:$D$31),0,SUMIF(Tech_Specs!$D$27:$D$31,"&gt;"&amp;Tech_Specs!$D27,AC$243:AC$247)))</f>
        <v>4.8658822542934155E-3</v>
      </c>
      <c r="AD280" s="201">
        <f>AD207*AD135*(1+IF(Tech_Specs!$D27=MAX(Tech_Specs!$D$27:$D$31),0,SUMIF(Tech_Specs!$D$27:$D$31,"&gt;"&amp;Tech_Specs!$D27,AD$243:AD$247)))</f>
        <v>4.8530049170921533E-3</v>
      </c>
      <c r="AE280" s="201">
        <f>AE207*AE135*(1+IF(Tech_Specs!$D27=MAX(Tech_Specs!$D$27:$D$31),0,SUMIF(Tech_Specs!$D$27:$D$31,"&gt;"&amp;Tech_Specs!$D27,AE$243:AE$247)))</f>
        <v>4.8410896103200218E-3</v>
      </c>
    </row>
    <row r="281" spans="1:31" s="221" customFormat="1" x14ac:dyDescent="0.25">
      <c r="A281" s="227"/>
      <c r="B281" s="229" t="s">
        <v>44</v>
      </c>
      <c r="C281"/>
      <c r="D281"/>
      <c r="E281"/>
      <c r="F281" s="201">
        <f>F208*F136*(1+IF(Tech_Specs!$D28=MAX(Tech_Specs!$D$27:$D$31),0,SUMIF(Tech_Specs!$D$27:$D$31,"&gt;"&amp;Tech_Specs!$D28,F$243:F$247)))</f>
        <v>0.93926743191306228</v>
      </c>
      <c r="G281" s="201">
        <f>G208*G136*(1+IF(Tech_Specs!$D28=MAX(Tech_Specs!$D$27:$D$31),0,SUMIF(Tech_Specs!$D$27:$D$31,"&gt;"&amp;Tech_Specs!$D28,G$243:G$247)))</f>
        <v>0.91235019329699751</v>
      </c>
      <c r="H281" s="201">
        <f>H208*H136*(1+IF(Tech_Specs!$D28=MAX(Tech_Specs!$D$27:$D$31),0,SUMIF(Tech_Specs!$D$27:$D$31,"&gt;"&amp;Tech_Specs!$D28,H$243:H$247)))</f>
        <v>0.88182265469103582</v>
      </c>
      <c r="I281" s="201">
        <f>I208*I136*(1+IF(Tech_Specs!$D28=MAX(Tech_Specs!$D$27:$D$31),0,SUMIF(Tech_Specs!$D$27:$D$31,"&gt;"&amp;Tech_Specs!$D28,I$243:I$247)))</f>
        <v>0.84697722041272361</v>
      </c>
      <c r="J281" s="201">
        <f>J208*J136*(1+IF(Tech_Specs!$D28=MAX(Tech_Specs!$D$27:$D$31),0,SUMIF(Tech_Specs!$D$27:$D$31,"&gt;"&amp;Tech_Specs!$D28,J$243:J$247)))</f>
        <v>0.80873942432746038</v>
      </c>
      <c r="K281" s="201">
        <f>K208*K136*(1+IF(Tech_Specs!$D28=MAX(Tech_Specs!$D$27:$D$31),0,SUMIF(Tech_Specs!$D$27:$D$31,"&gt;"&amp;Tech_Specs!$D28,K$243:K$247)))</f>
        <v>0.76868716833162487</v>
      </c>
      <c r="L281" s="201">
        <f>L208*L136*(1+IF(Tech_Specs!$D28=MAX(Tech_Specs!$D$27:$D$31),0,SUMIF(Tech_Specs!$D$27:$D$31,"&gt;"&amp;Tech_Specs!$D28,L$243:L$247)))</f>
        <v>0.7284318581632292</v>
      </c>
      <c r="M281" s="201">
        <f>M208*M136*(1+IF(Tech_Specs!$D28=MAX(Tech_Specs!$D$27:$D$31),0,SUMIF(Tech_Specs!$D$27:$D$31,"&gt;"&amp;Tech_Specs!$D28,M$243:M$247)))</f>
        <v>0.6894431395748698</v>
      </c>
      <c r="N281" s="201">
        <f>N208*N136*(1+IF(Tech_Specs!$D28=MAX(Tech_Specs!$D$27:$D$31),0,SUMIF(Tech_Specs!$D$27:$D$31,"&gt;"&amp;Tech_Specs!$D28,N$243:N$247)))</f>
        <v>0.65283009416299109</v>
      </c>
      <c r="O281" s="201">
        <f>O208*O136*(1+IF(Tech_Specs!$D28=MAX(Tech_Specs!$D$27:$D$31),0,SUMIF(Tech_Specs!$D$27:$D$31,"&gt;"&amp;Tech_Specs!$D28,O$243:O$247)))</f>
        <v>0.61944313565289477</v>
      </c>
      <c r="P281" s="201">
        <f>P208*P136*(1+IF(Tech_Specs!$D28=MAX(Tech_Specs!$D$27:$D$31),0,SUMIF(Tech_Specs!$D$27:$D$31,"&gt;"&amp;Tech_Specs!$D28,P$243:P$247)))</f>
        <v>0.58986092877772855</v>
      </c>
      <c r="Q281" s="201">
        <f>Q208*Q136*(1+IF(Tech_Specs!$D28=MAX(Tech_Specs!$D$27:$D$31),0,SUMIF(Tech_Specs!$D$27:$D$31,"&gt;"&amp;Tech_Specs!$D28,Q$243:Q$247)))</f>
        <v>0.56444131685732346</v>
      </c>
      <c r="R281" s="201">
        <f>R208*R136*(1+IF(Tech_Specs!$D28=MAX(Tech_Specs!$D$27:$D$31),0,SUMIF(Tech_Specs!$D$27:$D$31,"&gt;"&amp;Tech_Specs!$D28,R$243:R$247)))</f>
        <v>0.54325609792540042</v>
      </c>
      <c r="S281" s="201">
        <f>S208*S136*(1+IF(Tech_Specs!$D28=MAX(Tech_Specs!$D$27:$D$31),0,SUMIF(Tech_Specs!$D$27:$D$31,"&gt;"&amp;Tech_Specs!$D28,S$243:S$247)))</f>
        <v>0.52608806565327582</v>
      </c>
      <c r="T281" s="201">
        <f>T208*T136*(1+IF(Tech_Specs!$D28=MAX(Tech_Specs!$D$27:$D$31),0,SUMIF(Tech_Specs!$D$27:$D$31,"&gt;"&amp;Tech_Specs!$D28,T$243:T$247)))</f>
        <v>0.51251139537700396</v>
      </c>
      <c r="U281" s="201">
        <f>U208*U136*(1+IF(Tech_Specs!$D28=MAX(Tech_Specs!$D$27:$D$31),0,SUMIF(Tech_Specs!$D$27:$D$31,"&gt;"&amp;Tech_Specs!$D28,U$243:U$247)))</f>
        <v>0.50200346747153279</v>
      </c>
      <c r="V281" s="201">
        <f>V208*V136*(1+IF(Tech_Specs!$D28=MAX(Tech_Specs!$D$27:$D$31),0,SUMIF(Tech_Specs!$D$27:$D$31,"&gt;"&amp;Tech_Specs!$D28,V$243:V$247)))</f>
        <v>0.49398862440472174</v>
      </c>
      <c r="W281" s="201">
        <f>W208*W136*(1+IF(Tech_Specs!$D28=MAX(Tech_Specs!$D$27:$D$31),0,SUMIF(Tech_Specs!$D$27:$D$31,"&gt;"&amp;Tech_Specs!$D28,W$243:W$247)))</f>
        <v>0.48794589900635255</v>
      </c>
      <c r="X281" s="201">
        <f>X208*X136*(1+IF(Tech_Specs!$D28=MAX(Tech_Specs!$D$27:$D$31),0,SUMIF(Tech_Specs!$D$27:$D$31,"&gt;"&amp;Tech_Specs!$D28,X$243:X$247)))</f>
        <v>0.48342343502859153</v>
      </c>
      <c r="Y281" s="201">
        <f>Y208*Y136*(1+IF(Tech_Specs!$D28=MAX(Tech_Specs!$D$27:$D$31),0,SUMIF(Tech_Specs!$D$27:$D$31,"&gt;"&amp;Tech_Specs!$D28,Y$243:Y$247)))</f>
        <v>0.48005983566213717</v>
      </c>
      <c r="Z281" s="201">
        <f>Z208*Z136*(1+IF(Tech_Specs!$D28=MAX(Tech_Specs!$D$27:$D$31),0,SUMIF(Tech_Specs!$D$27:$D$31,"&gt;"&amp;Tech_Specs!$D28,Z$243:Z$247)))</f>
        <v>0.47756767041121456</v>
      </c>
      <c r="AA281" s="201">
        <f>AA208*AA136*(1+IF(Tech_Specs!$D28=MAX(Tech_Specs!$D$27:$D$31),0,SUMIF(Tech_Specs!$D$27:$D$31,"&gt;"&amp;Tech_Specs!$D28,AA$243:AA$247)))</f>
        <v>0.47571009878286519</v>
      </c>
      <c r="AB281" s="201">
        <f>AB208*AB136*(1+IF(Tech_Specs!$D28=MAX(Tech_Specs!$D$27:$D$31),0,SUMIF(Tech_Specs!$D$27:$D$31,"&gt;"&amp;Tech_Specs!$D28,AB$243:AB$247)))</f>
        <v>0.47432685104883193</v>
      </c>
      <c r="AC281" s="201">
        <f>AC208*AC136*(1+IF(Tech_Specs!$D28=MAX(Tech_Specs!$D$27:$D$31),0,SUMIF(Tech_Specs!$D$27:$D$31,"&gt;"&amp;Tech_Specs!$D28,AC$243:AC$247)))</f>
        <v>0.47329072738468986</v>
      </c>
      <c r="AD281" s="201">
        <f>AD208*AD136*(1+IF(Tech_Specs!$D28=MAX(Tech_Specs!$D$27:$D$31),0,SUMIF(Tech_Specs!$D$27:$D$31,"&gt;"&amp;Tech_Specs!$D28,AD$243:AD$247)))</f>
        <v>0.47250610003250865</v>
      </c>
      <c r="AE281" s="201">
        <f>AE208*AE136*(1+IF(Tech_Specs!$D28=MAX(Tech_Specs!$D$27:$D$31),0,SUMIF(Tech_Specs!$D$27:$D$31,"&gt;"&amp;Tech_Specs!$D28,AE$243:AE$247)))</f>
        <v>0.47188333610758543</v>
      </c>
    </row>
    <row r="282" spans="1:31" s="221" customFormat="1" x14ac:dyDescent="0.25">
      <c r="A282" s="227"/>
      <c r="B282" s="229" t="s">
        <v>45</v>
      </c>
      <c r="C282"/>
      <c r="D282"/>
      <c r="E282"/>
      <c r="F282" s="201">
        <f>F209*F137*(1+IF(Tech_Specs!$D29=MAX(Tech_Specs!$D$27:$D$31),0,SUMIF(Tech_Specs!$D$27:$D$31,"&gt;"&amp;Tech_Specs!$D29,F$243:F$247)))</f>
        <v>5.1633236510740046E-3</v>
      </c>
      <c r="G282" s="201">
        <f>G209*G137*(1+IF(Tech_Specs!$D29=MAX(Tech_Specs!$D$27:$D$31),0,SUMIF(Tech_Specs!$D$27:$D$31,"&gt;"&amp;Tech_Specs!$D29,G$243:G$247)))</f>
        <v>5.0112162260277622E-3</v>
      </c>
      <c r="H282" s="201">
        <f>H209*H137*(1+IF(Tech_Specs!$D29=MAX(Tech_Specs!$D$27:$D$31),0,SUMIF(Tech_Specs!$D$27:$D$31,"&gt;"&amp;Tech_Specs!$D29,H$243:H$247)))</f>
        <v>4.8388840031744753E-3</v>
      </c>
      <c r="I282" s="201">
        <f>I209*I137*(1+IF(Tech_Specs!$D29=MAX(Tech_Specs!$D$27:$D$31),0,SUMIF(Tech_Specs!$D$27:$D$31,"&gt;"&amp;Tech_Specs!$D29,I$243:I$247)))</f>
        <v>4.6441279385225241E-3</v>
      </c>
      <c r="J282" s="201">
        <f>J209*J137*(1+IF(Tech_Specs!$D29=MAX(Tech_Specs!$D$27:$D$31),0,SUMIF(Tech_Specs!$D$27:$D$31,"&gt;"&amp;Tech_Specs!$D29,J$243:J$247)))</f>
        <v>4.4317993945538802E-3</v>
      </c>
      <c r="K282" s="201">
        <f>K209*K137*(1+IF(Tech_Specs!$D29=MAX(Tech_Specs!$D$27:$D$31),0,SUMIF(Tech_Specs!$D$27:$D$31,"&gt;"&amp;Tech_Specs!$D29,K$243:K$247)))</f>
        <v>4.2097101807633836E-3</v>
      </c>
      <c r="L282" s="201">
        <f>L209*L137*(1+IF(Tech_Specs!$D29=MAX(Tech_Specs!$D$27:$D$31),0,SUMIF(Tech_Specs!$D$27:$D$31,"&gt;"&amp;Tech_Specs!$D29,L$243:L$247)))</f>
        <v>3.9873137516185818E-3</v>
      </c>
      <c r="M282" s="201">
        <f>M209*M137*(1+IF(Tech_Specs!$D29=MAX(Tech_Specs!$D$27:$D$31),0,SUMIF(Tech_Specs!$D$27:$D$31,"&gt;"&amp;Tech_Specs!$D29,M$243:M$247)))</f>
        <v>3.7719587215016906E-3</v>
      </c>
      <c r="N282" s="201">
        <f>N209*N137*(1+IF(Tech_Specs!$D29=MAX(Tech_Specs!$D$27:$D$31),0,SUMIF(Tech_Specs!$D$27:$D$31,"&gt;"&amp;Tech_Specs!$D29,N$243:N$247)))</f>
        <v>3.5697818449117505E-3</v>
      </c>
      <c r="O282" s="201">
        <f>O209*O137*(1+IF(Tech_Specs!$D29=MAX(Tech_Specs!$D$27:$D$31),0,SUMIF(Tech_Specs!$D$27:$D$31,"&gt;"&amp;Tech_Specs!$D29,O$243:O$247)))</f>
        <v>3.3853542768073077E-3</v>
      </c>
      <c r="P282" s="201">
        <f>P209*P137*(1+IF(Tech_Specs!$D29=MAX(Tech_Specs!$D$27:$D$31),0,SUMIF(Tech_Specs!$D$27:$D$31,"&gt;"&amp;Tech_Specs!$D29,P$243:P$247)))</f>
        <v>3.2219963000840496E-3</v>
      </c>
      <c r="Q282" s="201">
        <f>Q209*Q137*(1+IF(Tech_Specs!$D29=MAX(Tech_Specs!$D$27:$D$31),0,SUMIF(Tech_Specs!$D$27:$D$31,"&gt;"&amp;Tech_Specs!$D29,Q$243:Q$247)))</f>
        <v>3.0816247819300496E-3</v>
      </c>
      <c r="R282" s="201">
        <f>R209*R137*(1+IF(Tech_Specs!$D29=MAX(Tech_Specs!$D$27:$D$31),0,SUMIF(Tech_Specs!$D$27:$D$31,"&gt;"&amp;Tech_Specs!$D29,R$243:R$247)))</f>
        <v>2.9644904270890267E-3</v>
      </c>
      <c r="S282" s="201">
        <f>S209*S137*(1+IF(Tech_Specs!$D29=MAX(Tech_Specs!$D$27:$D$31),0,SUMIF(Tech_Specs!$D$27:$D$31,"&gt;"&amp;Tech_Specs!$D29,S$243:S$247)))</f>
        <v>2.8693974191391493E-3</v>
      </c>
      <c r="T282" s="201">
        <f>T209*T137*(1+IF(Tech_Specs!$D29=MAX(Tech_Specs!$D$27:$D$31),0,SUMIF(Tech_Specs!$D$27:$D$31,"&gt;"&amp;Tech_Specs!$D29,T$243:T$247)))</f>
        <v>2.7940030883228241E-3</v>
      </c>
      <c r="U282" s="201">
        <f>U209*U137*(1+IF(Tech_Specs!$D29=MAX(Tech_Specs!$D$27:$D$31),0,SUMIF(Tech_Specs!$D$27:$D$31,"&gt;"&amp;Tech_Specs!$D29,U$243:U$247)))</f>
        <v>2.7353776887760351E-3</v>
      </c>
      <c r="V282" s="201">
        <f>V209*V137*(1+IF(Tech_Specs!$D29=MAX(Tech_Specs!$D$27:$D$31),0,SUMIF(Tech_Specs!$D$27:$D$31,"&gt;"&amp;Tech_Specs!$D29,V$243:V$247)))</f>
        <v>2.6904171097796078E-3</v>
      </c>
      <c r="W282" s="201">
        <f>W209*W137*(1+IF(Tech_Specs!$D29=MAX(Tech_Specs!$D$27:$D$31),0,SUMIF(Tech_Specs!$D$27:$D$31,"&gt;"&amp;Tech_Specs!$D29,W$243:W$247)))</f>
        <v>2.6562572569151046E-3</v>
      </c>
      <c r="X282" s="201">
        <f>X209*X137*(1+IF(Tech_Specs!$D29=MAX(Tech_Specs!$D$27:$D$31),0,SUMIF(Tech_Specs!$D$27:$D$31,"&gt;"&amp;Tech_Specs!$D29,X$243:X$247)))</f>
        <v>2.6304251997216052E-3</v>
      </c>
      <c r="Y282" s="201">
        <f>Y209*Y137*(1+IF(Tech_Specs!$D29=MAX(Tech_Specs!$D$27:$D$31),0,SUMIF(Tech_Specs!$D$27:$D$31,"&gt;"&amp;Tech_Specs!$D29,Y$243:Y$247)))</f>
        <v>2.610917593381628E-3</v>
      </c>
      <c r="Z282" s="201">
        <f>Z209*Z137*(1+IF(Tech_Specs!$D29=MAX(Tech_Specs!$D$27:$D$31),0,SUMIF(Tech_Specs!$D$27:$D$31,"&gt;"&amp;Tech_Specs!$D29,Z$243:Z$247)))</f>
        <v>2.5961519062223646E-3</v>
      </c>
      <c r="AA282" s="201">
        <f>AA209*AA137*(1+IF(Tech_Specs!$D29=MAX(Tech_Specs!$D$27:$D$31),0,SUMIF(Tech_Specs!$D$27:$D$31,"&gt;"&amp;Tech_Specs!$D29,AA$243:AA$247)))</f>
        <v>2.5848761760848978E-3</v>
      </c>
      <c r="AB282" s="201">
        <f>AB209*AB137*(1+IF(Tech_Specs!$D29=MAX(Tech_Specs!$D$27:$D$31),0,SUMIF(Tech_Specs!$D$27:$D$31,"&gt;"&amp;Tech_Specs!$D29,AB$243:AB$247)))</f>
        <v>2.576187532708983E-3</v>
      </c>
      <c r="AC282" s="201">
        <f>AC209*AC137*(1+IF(Tech_Specs!$D29=MAX(Tech_Specs!$D$27:$D$31),0,SUMIF(Tech_Specs!$D$27:$D$31,"&gt;"&amp;Tech_Specs!$D29,AC$243:AC$247)))</f>
        <v>2.5693968004646206E-3</v>
      </c>
      <c r="AD282" s="201">
        <f>AD209*AD137*(1+IF(Tech_Specs!$D29=MAX(Tech_Specs!$D$27:$D$31),0,SUMIF(Tech_Specs!$D$27:$D$31,"&gt;"&amp;Tech_Specs!$D29,AD$243:AD$247)))</f>
        <v>2.5639909744679308E-3</v>
      </c>
      <c r="AE282" s="201">
        <f>AE209*AE137*(1+IF(Tech_Specs!$D29=MAX(Tech_Specs!$D$27:$D$31),0,SUMIF(Tech_Specs!$D$27:$D$31,"&gt;"&amp;Tech_Specs!$D29,AE$243:AE$247)))</f>
        <v>2.5595429920031707E-3</v>
      </c>
    </row>
    <row r="283" spans="1:31" s="221" customFormat="1" x14ac:dyDescent="0.25">
      <c r="A283" s="227"/>
      <c r="B283" s="229" t="s">
        <v>46</v>
      </c>
      <c r="C283"/>
      <c r="D283"/>
      <c r="E283"/>
      <c r="F283" s="201">
        <f>F210*F138*(1+IF(Tech_Specs!$D30=MAX(Tech_Specs!$D$27:$D$31),0,SUMIF(Tech_Specs!$D$27:$D$31,"&gt;"&amp;Tech_Specs!$D30,F$243:F$247)))</f>
        <v>0</v>
      </c>
      <c r="G283" s="201">
        <f>G210*G138*(1+IF(Tech_Specs!$D30=MAX(Tech_Specs!$D$27:$D$31),0,SUMIF(Tech_Specs!$D$27:$D$31,"&gt;"&amp;Tech_Specs!$D30,G$243:G$247)))</f>
        <v>0</v>
      </c>
      <c r="H283" s="201">
        <f>H210*H138*(1+IF(Tech_Specs!$D30=MAX(Tech_Specs!$D$27:$D$31),0,SUMIF(Tech_Specs!$D$27:$D$31,"&gt;"&amp;Tech_Specs!$D30,H$243:H$247)))</f>
        <v>0</v>
      </c>
      <c r="I283" s="201">
        <f>I210*I138*(1+IF(Tech_Specs!$D30=MAX(Tech_Specs!$D$27:$D$31),0,SUMIF(Tech_Specs!$D$27:$D$31,"&gt;"&amp;Tech_Specs!$D30,I$243:I$247)))</f>
        <v>0</v>
      </c>
      <c r="J283" s="201">
        <f>J210*J138*(1+IF(Tech_Specs!$D30=MAX(Tech_Specs!$D$27:$D$31),0,SUMIF(Tech_Specs!$D$27:$D$31,"&gt;"&amp;Tech_Specs!$D30,J$243:J$247)))</f>
        <v>0</v>
      </c>
      <c r="K283" s="201">
        <f>K210*K138*(1+IF(Tech_Specs!$D30=MAX(Tech_Specs!$D$27:$D$31),0,SUMIF(Tech_Specs!$D$27:$D$31,"&gt;"&amp;Tech_Specs!$D30,K$243:K$247)))</f>
        <v>0</v>
      </c>
      <c r="L283" s="201">
        <f>L210*L138*(1+IF(Tech_Specs!$D30=MAX(Tech_Specs!$D$27:$D$31),0,SUMIF(Tech_Specs!$D$27:$D$31,"&gt;"&amp;Tech_Specs!$D30,L$243:L$247)))</f>
        <v>0</v>
      </c>
      <c r="M283" s="201">
        <f>M210*M138*(1+IF(Tech_Specs!$D30=MAX(Tech_Specs!$D$27:$D$31),0,SUMIF(Tech_Specs!$D$27:$D$31,"&gt;"&amp;Tech_Specs!$D30,M$243:M$247)))</f>
        <v>0</v>
      </c>
      <c r="N283" s="201">
        <f>N210*N138*(1+IF(Tech_Specs!$D30=MAX(Tech_Specs!$D$27:$D$31),0,SUMIF(Tech_Specs!$D$27:$D$31,"&gt;"&amp;Tech_Specs!$D30,N$243:N$247)))</f>
        <v>0</v>
      </c>
      <c r="O283" s="201">
        <f>O210*O138*(1+IF(Tech_Specs!$D30=MAX(Tech_Specs!$D$27:$D$31),0,SUMIF(Tech_Specs!$D$27:$D$31,"&gt;"&amp;Tech_Specs!$D30,O$243:O$247)))</f>
        <v>0</v>
      </c>
      <c r="P283" s="201">
        <f>P210*P138*(1+IF(Tech_Specs!$D30=MAX(Tech_Specs!$D$27:$D$31),0,SUMIF(Tech_Specs!$D$27:$D$31,"&gt;"&amp;Tech_Specs!$D30,P$243:P$247)))</f>
        <v>0</v>
      </c>
      <c r="Q283" s="201">
        <f>Q210*Q138*(1+IF(Tech_Specs!$D30=MAX(Tech_Specs!$D$27:$D$31),0,SUMIF(Tech_Specs!$D$27:$D$31,"&gt;"&amp;Tech_Specs!$D30,Q$243:Q$247)))</f>
        <v>0</v>
      </c>
      <c r="R283" s="201">
        <f>R210*R138*(1+IF(Tech_Specs!$D30=MAX(Tech_Specs!$D$27:$D$31),0,SUMIF(Tech_Specs!$D$27:$D$31,"&gt;"&amp;Tech_Specs!$D30,R$243:R$247)))</f>
        <v>0</v>
      </c>
      <c r="S283" s="201">
        <f>S210*S138*(1+IF(Tech_Specs!$D30=MAX(Tech_Specs!$D$27:$D$31),0,SUMIF(Tech_Specs!$D$27:$D$31,"&gt;"&amp;Tech_Specs!$D30,S$243:S$247)))</f>
        <v>0</v>
      </c>
      <c r="T283" s="201">
        <f>T210*T138*(1+IF(Tech_Specs!$D30=MAX(Tech_Specs!$D$27:$D$31),0,SUMIF(Tech_Specs!$D$27:$D$31,"&gt;"&amp;Tech_Specs!$D30,T$243:T$247)))</f>
        <v>0</v>
      </c>
      <c r="U283" s="201">
        <f>U210*U138*(1+IF(Tech_Specs!$D30=MAX(Tech_Specs!$D$27:$D$31),0,SUMIF(Tech_Specs!$D$27:$D$31,"&gt;"&amp;Tech_Specs!$D30,U$243:U$247)))</f>
        <v>0</v>
      </c>
      <c r="V283" s="201">
        <f>V210*V138*(1+IF(Tech_Specs!$D30=MAX(Tech_Specs!$D$27:$D$31),0,SUMIF(Tech_Specs!$D$27:$D$31,"&gt;"&amp;Tech_Specs!$D30,V$243:V$247)))</f>
        <v>0</v>
      </c>
      <c r="W283" s="201">
        <f>W210*W138*(1+IF(Tech_Specs!$D30=MAX(Tech_Specs!$D$27:$D$31),0,SUMIF(Tech_Specs!$D$27:$D$31,"&gt;"&amp;Tech_Specs!$D30,W$243:W$247)))</f>
        <v>0</v>
      </c>
      <c r="X283" s="201">
        <f>X210*X138*(1+IF(Tech_Specs!$D30=MAX(Tech_Specs!$D$27:$D$31),0,SUMIF(Tech_Specs!$D$27:$D$31,"&gt;"&amp;Tech_Specs!$D30,X$243:X$247)))</f>
        <v>0</v>
      </c>
      <c r="Y283" s="201">
        <f>Y210*Y138*(1+IF(Tech_Specs!$D30=MAX(Tech_Specs!$D$27:$D$31),0,SUMIF(Tech_Specs!$D$27:$D$31,"&gt;"&amp;Tech_Specs!$D30,Y$243:Y$247)))</f>
        <v>0</v>
      </c>
      <c r="Z283" s="201">
        <f>Z210*Z138*(1+IF(Tech_Specs!$D30=MAX(Tech_Specs!$D$27:$D$31),0,SUMIF(Tech_Specs!$D$27:$D$31,"&gt;"&amp;Tech_Specs!$D30,Z$243:Z$247)))</f>
        <v>0</v>
      </c>
      <c r="AA283" s="201">
        <f>AA210*AA138*(1+IF(Tech_Specs!$D30=MAX(Tech_Specs!$D$27:$D$31),0,SUMIF(Tech_Specs!$D$27:$D$31,"&gt;"&amp;Tech_Specs!$D30,AA$243:AA$247)))</f>
        <v>0</v>
      </c>
      <c r="AB283" s="201">
        <f>AB210*AB138*(1+IF(Tech_Specs!$D30=MAX(Tech_Specs!$D$27:$D$31),0,SUMIF(Tech_Specs!$D$27:$D$31,"&gt;"&amp;Tech_Specs!$D30,AB$243:AB$247)))</f>
        <v>0</v>
      </c>
      <c r="AC283" s="201">
        <f>AC210*AC138*(1+IF(Tech_Specs!$D30=MAX(Tech_Specs!$D$27:$D$31),0,SUMIF(Tech_Specs!$D$27:$D$31,"&gt;"&amp;Tech_Specs!$D30,AC$243:AC$247)))</f>
        <v>0</v>
      </c>
      <c r="AD283" s="201">
        <f>AD210*AD138*(1+IF(Tech_Specs!$D30=MAX(Tech_Specs!$D$27:$D$31),0,SUMIF(Tech_Specs!$D$27:$D$31,"&gt;"&amp;Tech_Specs!$D30,AD$243:AD$247)))</f>
        <v>0</v>
      </c>
      <c r="AE283" s="201">
        <f>AE210*AE138*(1+IF(Tech_Specs!$D30=MAX(Tech_Specs!$D$27:$D$31),0,SUMIF(Tech_Specs!$D$27:$D$31,"&gt;"&amp;Tech_Specs!$D30,AE$243:AE$247)))</f>
        <v>0</v>
      </c>
    </row>
    <row r="284" spans="1:31" s="221" customFormat="1" x14ac:dyDescent="0.25">
      <c r="A284" s="227"/>
      <c r="B284" s="227" t="s">
        <v>29</v>
      </c>
      <c r="C284"/>
      <c r="D284"/>
      <c r="E284"/>
      <c r="F284" s="201">
        <f>F211*F139*(1+IF(Tech_Specs!$D31=MAX(Tech_Specs!$D$27:$D$31),0,SUMIF(Tech_Specs!$D$27:$D$31,"&gt;"&amp;Tech_Specs!$D31,F$243:F$247)))</f>
        <v>4.574245863047674E-2</v>
      </c>
      <c r="G284" s="201">
        <f>G211*G139*(1+IF(Tech_Specs!$D31=MAX(Tech_Specs!$D$27:$D$31),0,SUMIF(Tech_Specs!$D$27:$D$31,"&gt;"&amp;Tech_Specs!$D31,G$243:G$247)))</f>
        <v>7.3101298587150032E-2</v>
      </c>
      <c r="H284" s="201">
        <f>H211*H139*(1+IF(Tech_Specs!$D31=MAX(Tech_Specs!$D$27:$D$31),0,SUMIF(Tech_Specs!$D$27:$D$31,"&gt;"&amp;Tech_Specs!$D31,H$243:H$247)))</f>
        <v>0.10412257417872013</v>
      </c>
      <c r="I284" s="201">
        <f>I211*I139*(1+IF(Tech_Specs!$D31=MAX(Tech_Specs!$D$27:$D$31),0,SUMIF(Tech_Specs!$D$27:$D$31,"&gt;"&amp;Tech_Specs!$D31,I$243:I$247)))</f>
        <v>0.13953146474175238</v>
      </c>
      <c r="J284" s="201">
        <f>J211*J139*(1+IF(Tech_Specs!$D31=MAX(Tech_Specs!$D$27:$D$31),0,SUMIF(Tech_Specs!$D$27:$D$31,"&gt;"&amp;Tech_Specs!$D31,J$243:J$247)))</f>
        <v>0.17838750618300328</v>
      </c>
      <c r="K284" s="201">
        <f>K211*K139*(1+IF(Tech_Specs!$D31=MAX(Tech_Specs!$D$27:$D$31),0,SUMIF(Tech_Specs!$D$27:$D$31,"&gt;"&amp;Tech_Specs!$D31,K$243:K$247)))</f>
        <v>0.21908491305886366</v>
      </c>
      <c r="L284" s="201">
        <f>L211*L139*(1+IF(Tech_Specs!$D31=MAX(Tech_Specs!$D$27:$D$31),0,SUMIF(Tech_Specs!$D$27:$D$31,"&gt;"&amp;Tech_Specs!$D31,L$243:L$247)))</f>
        <v>0.25998937521093407</v>
      </c>
      <c r="M284" s="201">
        <f>M211*M139*(1+IF(Tech_Specs!$D31=MAX(Tech_Specs!$D$27:$D$31),0,SUMIF(Tech_Specs!$D$27:$D$31,"&gt;"&amp;Tech_Specs!$D31,M$243:M$247)))</f>
        <v>0.29960541561766441</v>
      </c>
      <c r="N284" s="201">
        <f>N211*N139*(1+IF(Tech_Specs!$D31=MAX(Tech_Specs!$D$27:$D$31),0,SUMIF(Tech_Specs!$D$27:$D$31,"&gt;"&amp;Tech_Specs!$D31,N$243:N$247)))</f>
        <v>0.33680683957028867</v>
      </c>
      <c r="O284" s="201">
        <f>O211*O139*(1+IF(Tech_Specs!$D31=MAX(Tech_Specs!$D$27:$D$31),0,SUMIF(Tech_Specs!$D$27:$D$31,"&gt;"&amp;Tech_Specs!$D31,O$243:O$247)))</f>
        <v>0.37072964395399111</v>
      </c>
      <c r="P284" s="201">
        <f>P211*P139*(1+IF(Tech_Specs!$D31=MAX(Tech_Specs!$D$27:$D$31),0,SUMIF(Tech_Specs!$D$27:$D$31,"&gt;"&amp;Tech_Specs!$D31,P$243:P$247)))</f>
        <v>0.40078698880418467</v>
      </c>
      <c r="Q284" s="201">
        <f>Q211*Q139*(1+IF(Tech_Specs!$D31=MAX(Tech_Specs!$D$27:$D$31),0,SUMIF(Tech_Specs!$D$27:$D$31,"&gt;"&amp;Tech_Specs!$D31,Q$243:Q$247)))</f>
        <v>0.42661554574613597</v>
      </c>
      <c r="R284" s="201">
        <f>R211*R139*(1+IF(Tech_Specs!$D31=MAX(Tech_Specs!$D$27:$D$31),0,SUMIF(Tech_Specs!$D$27:$D$31,"&gt;"&amp;Tech_Specs!$D31,R$243:R$247)))</f>
        <v>0.44814205035116672</v>
      </c>
      <c r="S284" s="201">
        <f>S211*S139*(1+IF(Tech_Specs!$D31=MAX(Tech_Specs!$D$27:$D$31),0,SUMIF(Tech_Specs!$D$27:$D$31,"&gt;"&amp;Tech_Specs!$D31,S$243:S$247)))</f>
        <v>0.46558741404064286</v>
      </c>
      <c r="T284" s="201">
        <f>T211*T139*(1+IF(Tech_Specs!$D31=MAX(Tech_Specs!$D$27:$D$31),0,SUMIF(Tech_Specs!$D$27:$D$31,"&gt;"&amp;Tech_Specs!$D31,T$243:T$247)))</f>
        <v>0.47938440133144283</v>
      </c>
      <c r="U284" s="201">
        <f>U211*U139*(1+IF(Tech_Specs!$D31=MAX(Tech_Specs!$D$27:$D$31),0,SUMIF(Tech_Specs!$D$27:$D$31,"&gt;"&amp;Tech_Specs!$D31,U$243:U$247)))</f>
        <v>0.49006373216272214</v>
      </c>
      <c r="V284" s="201">
        <f>V211*V139*(1+IF(Tech_Specs!$D31=MAX(Tech_Specs!$D$27:$D$31),0,SUMIF(Tech_Specs!$D$27:$D$31,"&gt;"&amp;Tech_Specs!$D31,V$243:V$247)))</f>
        <v>0.49821056123956742</v>
      </c>
      <c r="W284" s="201">
        <f>W211*W139*(1+IF(Tech_Specs!$D31=MAX(Tech_Specs!$D$27:$D$31),0,SUMIF(Tech_Specs!$D$27:$D$31,"&gt;"&amp;Tech_Specs!$D31,W$243:W$247)))</f>
        <v>0.50435412793883516</v>
      </c>
      <c r="X284" s="201">
        <f>X211*X139*(1+IF(Tech_Specs!$D31=MAX(Tech_Specs!$D$27:$D$31),0,SUMIF(Tech_Specs!$D$27:$D$31,"&gt;"&amp;Tech_Specs!$D31,X$243:X$247)))</f>
        <v>0.50895350073512391</v>
      </c>
      <c r="Y284" s="201">
        <f>Y211*Y139*(1+IF(Tech_Specs!$D31=MAX(Tech_Specs!$D$27:$D$31),0,SUMIF(Tech_Specs!$D$27:$D$31,"&gt;"&amp;Tech_Specs!$D31,Y$243:Y$247)))</f>
        <v>0.51237567451510946</v>
      </c>
      <c r="Z284" s="201">
        <f>Z211*Z139*(1+IF(Tech_Specs!$D31=MAX(Tech_Specs!$D$27:$D$31),0,SUMIF(Tech_Specs!$D$27:$D$31,"&gt;"&amp;Tech_Specs!$D31,Z$243:Z$247)))</f>
        <v>0.51491257401525892</v>
      </c>
      <c r="AA284" s="201">
        <f>AA211*AA139*(1+IF(Tech_Specs!$D31=MAX(Tech_Specs!$D$27:$D$31),0,SUMIF(Tech_Specs!$D$27:$D$31,"&gt;"&amp;Tech_Specs!$D31,AA$243:AA$247)))</f>
        <v>0.51680505893857387</v>
      </c>
      <c r="AB284" s="201">
        <f>AB211*AB139*(1+IF(Tech_Specs!$D31=MAX(Tech_Specs!$D$27:$D$31),0,SUMIF(Tech_Specs!$D$27:$D$31,"&gt;"&amp;Tech_Specs!$D31,AB$243:AB$247)))</f>
        <v>0.51821578143336922</v>
      </c>
      <c r="AC284" s="201">
        <f>AC211*AC139*(1+IF(Tech_Specs!$D31=MAX(Tech_Specs!$D$27:$D$31),0,SUMIF(Tech_Specs!$D$27:$D$31,"&gt;"&amp;Tech_Specs!$D31,AC$243:AC$247)))</f>
        <v>0.51927399346563319</v>
      </c>
      <c r="AD284" s="201">
        <f>AD211*AD139*(1+IF(Tech_Specs!$D31=MAX(Tech_Specs!$D$27:$D$31),0,SUMIF(Tech_Specs!$D$27:$D$31,"&gt;"&amp;Tech_Specs!$D31,AD$243:AD$247)))</f>
        <v>0.52007690398126361</v>
      </c>
      <c r="AE284" s="201">
        <f>AE211*AE139*(1+IF(Tech_Specs!$D31=MAX(Tech_Specs!$D$27:$D$31),0,SUMIF(Tech_Specs!$D$27:$D$31,"&gt;"&amp;Tech_Specs!$D31,AE$243:AE$247)))</f>
        <v>0.52071603119565613</v>
      </c>
    </row>
    <row r="285" spans="1:31" s="221" customFormat="1" x14ac:dyDescent="0.25">
      <c r="A285" s="227"/>
      <c r="B285" s="227"/>
      <c r="C285"/>
      <c r="D285"/>
      <c r="E285"/>
      <c r="F285"/>
      <c r="G285"/>
      <c r="H285"/>
      <c r="I285"/>
      <c r="J285"/>
      <c r="K285"/>
      <c r="L285"/>
      <c r="M285"/>
      <c r="N285"/>
      <c r="O285"/>
      <c r="P285"/>
      <c r="Q285"/>
      <c r="R285"/>
      <c r="S285"/>
      <c r="T285"/>
      <c r="U285"/>
      <c r="V285"/>
      <c r="W285"/>
      <c r="X285"/>
      <c r="Y285"/>
      <c r="Z285"/>
      <c r="AA285"/>
      <c r="AB285"/>
      <c r="AC285"/>
      <c r="AD285"/>
      <c r="AE285"/>
    </row>
    <row r="286" spans="1:31" s="202" customFormat="1" ht="12.75" x14ac:dyDescent="0.2">
      <c r="A286" s="234" t="s">
        <v>47</v>
      </c>
      <c r="B286" s="234"/>
      <c r="C286" s="234"/>
      <c r="D286" s="234"/>
      <c r="E286" s="234"/>
      <c r="F286" s="234"/>
      <c r="G286" s="234"/>
      <c r="H286" s="234"/>
      <c r="I286" s="234"/>
      <c r="J286" s="234"/>
      <c r="K286" s="234"/>
      <c r="L286" s="234"/>
      <c r="M286" s="234"/>
      <c r="N286" s="234"/>
      <c r="O286" s="234"/>
      <c r="P286" s="234"/>
      <c r="Q286" s="234"/>
      <c r="R286" s="234"/>
      <c r="S286" s="234"/>
      <c r="T286" s="234"/>
      <c r="U286" s="234"/>
      <c r="V286" s="234"/>
      <c r="W286" s="234"/>
      <c r="X286" s="234"/>
      <c r="Y286" s="234"/>
      <c r="Z286" s="234"/>
      <c r="AA286" s="234"/>
      <c r="AB286" s="234"/>
      <c r="AC286" s="234"/>
      <c r="AD286" s="234"/>
      <c r="AE286" s="234"/>
    </row>
    <row r="287" spans="1:31" s="221" customFormat="1" x14ac:dyDescent="0.25">
      <c r="A287" s="227"/>
      <c r="B287" s="227" t="s">
        <v>48</v>
      </c>
      <c r="C287"/>
      <c r="D287"/>
      <c r="E287"/>
      <c r="F287" s="201">
        <f>EXP(F106)*F142/(EXP(F106)*F142+EXP(F$110)*F$146)</f>
        <v>0.99773936108895489</v>
      </c>
      <c r="G287" s="201">
        <f t="shared" ref="G287:AE287" si="9">EXP(G106)*G142/(EXP(G106)*G142+EXP(G$110)*G$146)</f>
        <v>0.93045534924486761</v>
      </c>
      <c r="H287" s="201">
        <f t="shared" si="9"/>
        <v>0.75490134192595959</v>
      </c>
      <c r="I287" s="201">
        <f t="shared" si="9"/>
        <v>0.54034462131190075</v>
      </c>
      <c r="J287" s="201">
        <f t="shared" si="9"/>
        <v>0.35753378276837733</v>
      </c>
      <c r="K287" s="201">
        <f t="shared" si="9"/>
        <v>0.23583267628050356</v>
      </c>
      <c r="L287" s="201">
        <f t="shared" si="9"/>
        <v>0.15241955271638538</v>
      </c>
      <c r="M287" s="201">
        <f t="shared" si="9"/>
        <v>0.10475867022328836</v>
      </c>
      <c r="N287" s="201">
        <f t="shared" si="9"/>
        <v>7.6206553881456265E-2</v>
      </c>
      <c r="O287" s="201">
        <f t="shared" si="9"/>
        <v>5.9132797499459933E-2</v>
      </c>
      <c r="P287" s="201">
        <f t="shared" si="9"/>
        <v>4.7069785304494648E-2</v>
      </c>
      <c r="Q287" s="201">
        <f t="shared" si="9"/>
        <v>3.8198636716155629E-2</v>
      </c>
      <c r="R287" s="201">
        <f t="shared" si="9"/>
        <v>3.1943960521776886E-2</v>
      </c>
      <c r="S287" s="201">
        <f t="shared" si="9"/>
        <v>2.7264071289676617E-2</v>
      </c>
      <c r="T287" s="201">
        <f t="shared" si="9"/>
        <v>2.3582337008724488E-2</v>
      </c>
      <c r="U287" s="201">
        <f t="shared" si="9"/>
        <v>2.0876590148817653E-2</v>
      </c>
      <c r="V287" s="201">
        <f t="shared" si="9"/>
        <v>1.8592156417511566E-2</v>
      </c>
      <c r="W287" s="201">
        <f t="shared" si="9"/>
        <v>1.6638414806849754E-2</v>
      </c>
      <c r="X287" s="201">
        <f t="shared" si="9"/>
        <v>1.4914965626014284E-2</v>
      </c>
      <c r="Y287" s="201">
        <f t="shared" si="9"/>
        <v>1.3462712391760855E-2</v>
      </c>
      <c r="Z287" s="201">
        <f t="shared" si="9"/>
        <v>1.2258461276146106E-2</v>
      </c>
      <c r="AA287" s="201">
        <f t="shared" si="9"/>
        <v>1.1106797988197636E-2</v>
      </c>
      <c r="AB287" s="201">
        <f t="shared" si="9"/>
        <v>1.0081824127070859E-2</v>
      </c>
      <c r="AC287" s="201">
        <f t="shared" si="9"/>
        <v>9.1461250577036159E-3</v>
      </c>
      <c r="AD287" s="201">
        <f t="shared" si="9"/>
        <v>8.2629368735398657E-3</v>
      </c>
      <c r="AE287" s="201">
        <f t="shared" si="9"/>
        <v>7.2765150070022832E-3</v>
      </c>
    </row>
    <row r="288" spans="1:31" s="221" customFormat="1" x14ac:dyDescent="0.25">
      <c r="A288" s="227"/>
      <c r="B288" s="229" t="s">
        <v>50</v>
      </c>
      <c r="C288"/>
      <c r="D288"/>
      <c r="E288"/>
      <c r="F288" s="201">
        <f>EXP(F107)*F143/(EXP(F107)*F143+EXP(F$110)*F$146)</f>
        <v>0.99923279167556356</v>
      </c>
      <c r="G288" s="201">
        <f t="shared" ref="G288:AE288" si="10">EXP(G107)*G143/(EXP(G107)*G143+EXP(G$110)*G$146)</f>
        <v>0.97534207251465355</v>
      </c>
      <c r="H288" s="201">
        <f t="shared" si="10"/>
        <v>0.89434061914466978</v>
      </c>
      <c r="I288" s="201">
        <f t="shared" si="10"/>
        <v>0.754822723819084</v>
      </c>
      <c r="J288" s="201">
        <f t="shared" si="10"/>
        <v>0.58614335567817277</v>
      </c>
      <c r="K288" s="201">
        <f t="shared" si="10"/>
        <v>0.44024608825153816</v>
      </c>
      <c r="L288" s="201">
        <f t="shared" si="10"/>
        <v>0.31825648129773221</v>
      </c>
      <c r="M288" s="201">
        <f t="shared" si="10"/>
        <v>0.23519538316484342</v>
      </c>
      <c r="N288" s="201">
        <f t="shared" si="10"/>
        <v>0.17953498096114362</v>
      </c>
      <c r="O288" s="201">
        <f t="shared" si="10"/>
        <v>0.14334847267496448</v>
      </c>
      <c r="P288" s="201">
        <f t="shared" si="10"/>
        <v>0.11695053431948033</v>
      </c>
      <c r="Q288" s="201">
        <f t="shared" si="10"/>
        <v>9.7218995996562793E-2</v>
      </c>
      <c r="R288" s="201">
        <f t="shared" si="10"/>
        <v>8.2912164613754752E-2</v>
      </c>
      <c r="S288" s="201">
        <f t="shared" si="10"/>
        <v>7.2047733479486606E-2</v>
      </c>
      <c r="T288" s="201">
        <f t="shared" si="10"/>
        <v>6.3449324696408543E-2</v>
      </c>
      <c r="U288" s="201">
        <f t="shared" si="10"/>
        <v>5.7015561376528398E-2</v>
      </c>
      <c r="V288" s="201">
        <f t="shared" si="10"/>
        <v>5.1606041519589238E-2</v>
      </c>
      <c r="W288" s="201">
        <f t="shared" si="10"/>
        <v>4.6987638939073775E-2</v>
      </c>
      <c r="X288" s="201">
        <f t="shared" si="10"/>
        <v>4.29171699836573E-2</v>
      </c>
      <c r="Y288" s="201">
        <f t="shared" si="10"/>
        <v>3.9458755427114911E-2</v>
      </c>
      <c r="Z288" s="201">
        <f t="shared" si="10"/>
        <v>3.6557043213391524E-2</v>
      </c>
      <c r="AA288" s="201">
        <f t="shared" si="10"/>
        <v>3.377601355491093E-2</v>
      </c>
      <c r="AB288" s="201">
        <f t="shared" si="10"/>
        <v>3.1270637923069958E-2</v>
      </c>
      <c r="AC288" s="201">
        <f t="shared" si="10"/>
        <v>2.8953792415069849E-2</v>
      </c>
      <c r="AD288" s="201">
        <f t="shared" si="10"/>
        <v>2.673655200690947E-2</v>
      </c>
      <c r="AE288" s="201">
        <f t="shared" si="10"/>
        <v>2.4230079823041102E-2</v>
      </c>
    </row>
    <row r="289" spans="1:31" s="221" customFormat="1" x14ac:dyDescent="0.25">
      <c r="A289" s="227"/>
      <c r="B289" s="227" t="s">
        <v>51</v>
      </c>
      <c r="C289"/>
      <c r="D289"/>
      <c r="E289"/>
      <c r="F289" s="201">
        <f>EXP(F108)*F144/(EXP(F108)*F144+EXP(F$110)*F$146)</f>
        <v>0.99978062341595864</v>
      </c>
      <c r="G289" s="201">
        <f t="shared" ref="G289:AE289" si="11">EXP(G108)*G144/(EXP(G108)*G144+EXP(G$110)*G$146)</f>
        <v>0.9939496494510639</v>
      </c>
      <c r="H289" s="201">
        <f t="shared" si="11"/>
        <v>0.97417366753106738</v>
      </c>
      <c r="I289" s="201">
        <f t="shared" si="11"/>
        <v>0.93782256728030045</v>
      </c>
      <c r="J289" s="201">
        <f t="shared" si="11"/>
        <v>0.88640793299516918</v>
      </c>
      <c r="K289" s="201">
        <f t="shared" si="11"/>
        <v>0.82486167429820889</v>
      </c>
      <c r="L289" s="201">
        <f t="shared" si="11"/>
        <v>0.75722867163514207</v>
      </c>
      <c r="M289" s="201">
        <f t="shared" si="11"/>
        <v>0.69037807181859723</v>
      </c>
      <c r="N289" s="201">
        <f t="shared" si="11"/>
        <v>0.62841061065957637</v>
      </c>
      <c r="O289" s="201">
        <f t="shared" si="11"/>
        <v>0.57411975229523726</v>
      </c>
      <c r="P289" s="201">
        <f t="shared" si="11"/>
        <v>0.52680596256561885</v>
      </c>
      <c r="Q289" s="201">
        <f t="shared" si="11"/>
        <v>0.48693358980607887</v>
      </c>
      <c r="R289" s="201">
        <f t="shared" si="11"/>
        <v>0.4536322063929335</v>
      </c>
      <c r="S289" s="201">
        <f t="shared" si="11"/>
        <v>0.42588993859505075</v>
      </c>
      <c r="T289" s="201">
        <f t="shared" si="11"/>
        <v>0.40277641873596648</v>
      </c>
      <c r="U289" s="201">
        <f t="shared" si="11"/>
        <v>0.38406607529516834</v>
      </c>
      <c r="V289" s="201">
        <f t="shared" si="11"/>
        <v>0.36844867287495647</v>
      </c>
      <c r="W289" s="201">
        <f t="shared" si="11"/>
        <v>0.35534197428678449</v>
      </c>
      <c r="X289" s="201">
        <f t="shared" si="11"/>
        <v>0.34415255416856982</v>
      </c>
      <c r="Y289" s="201">
        <f t="shared" si="11"/>
        <v>0.33468885038794305</v>
      </c>
      <c r="Z289" s="201">
        <f t="shared" si="11"/>
        <v>0.32669380119531177</v>
      </c>
      <c r="AA289" s="201">
        <f t="shared" si="11"/>
        <v>0.31940020079252407</v>
      </c>
      <c r="AB289" s="201">
        <f t="shared" si="11"/>
        <v>0.31287169808269294</v>
      </c>
      <c r="AC289" s="201">
        <f t="shared" si="11"/>
        <v>0.3068718792649483</v>
      </c>
      <c r="AD289" s="201">
        <f t="shared" si="11"/>
        <v>0.30116285231812112</v>
      </c>
      <c r="AE289" s="201">
        <f t="shared" si="11"/>
        <v>0.2949101456243754</v>
      </c>
    </row>
    <row r="290" spans="1:31" s="221" customFormat="1" x14ac:dyDescent="0.25">
      <c r="A290" s="227"/>
      <c r="B290" s="227" t="s">
        <v>52</v>
      </c>
      <c r="C290"/>
      <c r="D290"/>
      <c r="E290"/>
      <c r="F290" s="201">
        <f>EXP(F109)*F145/(EXP(F109)*F145+EXP(F$110)*F$146)</f>
        <v>0.99968540752737145</v>
      </c>
      <c r="G290" s="201">
        <f t="shared" ref="G290:AE290" si="12">EXP(G109)*G145/(EXP(G109)*G145+EXP(G$110)*G$146)</f>
        <v>0.98991199892671922</v>
      </c>
      <c r="H290" s="201">
        <f t="shared" si="12"/>
        <v>0.95224158909208245</v>
      </c>
      <c r="I290" s="201">
        <f t="shared" si="12"/>
        <v>0.87794671736006946</v>
      </c>
      <c r="J290" s="201">
        <f t="shared" si="12"/>
        <v>0.77340655264072278</v>
      </c>
      <c r="K290" s="201">
        <f t="shared" si="12"/>
        <v>0.6580440954154263</v>
      </c>
      <c r="L290" s="201">
        <f t="shared" si="12"/>
        <v>0.54634819283379754</v>
      </c>
      <c r="M290" s="201">
        <f t="shared" si="12"/>
        <v>0.45201134438043994</v>
      </c>
      <c r="N290" s="201">
        <f t="shared" si="12"/>
        <v>0.37736402333116448</v>
      </c>
      <c r="O290" s="201">
        <f t="shared" si="12"/>
        <v>0.32091469193855304</v>
      </c>
      <c r="P290" s="201">
        <f t="shared" si="12"/>
        <v>0.27751397267700173</v>
      </c>
      <c r="Q290" s="201">
        <f t="shared" si="12"/>
        <v>0.24455804303117634</v>
      </c>
      <c r="R290" s="201">
        <f t="shared" si="12"/>
        <v>0.21945337740655918</v>
      </c>
      <c r="S290" s="201">
        <f t="shared" si="12"/>
        <v>0.20006162189174956</v>
      </c>
      <c r="T290" s="201">
        <f t="shared" si="12"/>
        <v>0.18486861332681198</v>
      </c>
      <c r="U290" s="201">
        <f t="shared" si="12"/>
        <v>0.17325226542733674</v>
      </c>
      <c r="V290" s="201">
        <f t="shared" si="12"/>
        <v>0.16394520652616473</v>
      </c>
      <c r="W290" s="201">
        <f t="shared" si="12"/>
        <v>0.15639866970958785</v>
      </c>
      <c r="X290" s="201">
        <f t="shared" si="12"/>
        <v>0.15012798668631921</v>
      </c>
      <c r="Y290" s="201">
        <f t="shared" si="12"/>
        <v>0.14497752358391774</v>
      </c>
      <c r="Z290" s="201">
        <f t="shared" si="12"/>
        <v>0.14075876320004066</v>
      </c>
      <c r="AA290" s="201">
        <f t="shared" si="12"/>
        <v>0.13694087326328849</v>
      </c>
      <c r="AB290" s="201">
        <f t="shared" si="12"/>
        <v>0.13358029731077808</v>
      </c>
      <c r="AC290" s="201">
        <f t="shared" si="12"/>
        <v>0.13052393634587967</v>
      </c>
      <c r="AD290" s="201">
        <f t="shared" si="12"/>
        <v>0.12761961205015937</v>
      </c>
      <c r="AE290" s="201">
        <f t="shared" si="12"/>
        <v>0.12432004966811064</v>
      </c>
    </row>
    <row r="291" spans="1:31" s="221" customFormat="1" x14ac:dyDescent="0.25">
      <c r="A291" s="227"/>
      <c r="B291" s="229" t="s">
        <v>29</v>
      </c>
      <c r="C291"/>
      <c r="D291"/>
      <c r="E291"/>
      <c r="F291"/>
      <c r="G291"/>
      <c r="H291" s="539"/>
      <c r="I291" s="539"/>
      <c r="J291" s="539"/>
      <c r="K291" s="539"/>
      <c r="L291" s="539"/>
      <c r="M291" s="539"/>
      <c r="N291" s="539"/>
      <c r="O291" s="539"/>
      <c r="P291" s="539"/>
      <c r="Q291" s="539"/>
      <c r="R291" s="539"/>
      <c r="S291" s="539"/>
      <c r="T291" s="539"/>
      <c r="U291" s="539"/>
      <c r="V291" s="539"/>
      <c r="W291" s="539"/>
      <c r="X291" s="539"/>
      <c r="Y291" s="539"/>
      <c r="Z291" s="539"/>
      <c r="AA291" s="539"/>
      <c r="AB291" s="539"/>
      <c r="AC291" s="539"/>
      <c r="AD291" s="539"/>
      <c r="AE291" s="539"/>
    </row>
    <row r="292" spans="1:31" s="221" customFormat="1" x14ac:dyDescent="0.25">
      <c r="A292" s="227"/>
      <c r="B292" s="229" t="s">
        <v>53</v>
      </c>
      <c r="C292"/>
      <c r="D292"/>
      <c r="E292"/>
      <c r="F292" s="201">
        <f>EXP(F111)*F147/(EXP(F111)*F147+EXP(F$110)*F$146)</f>
        <v>0.99968706246938843</v>
      </c>
      <c r="G292" s="201">
        <f t="shared" ref="G292:AE292" si="13">EXP(G111)*G147/(EXP(G111)*G147+EXP(G$110)*G$146)</f>
        <v>0.99139738497845176</v>
      </c>
      <c r="H292" s="201">
        <f t="shared" si="13"/>
        <v>0.96370791076108731</v>
      </c>
      <c r="I292" s="201">
        <f t="shared" si="13"/>
        <v>0.91406497306875589</v>
      </c>
      <c r="J292" s="201">
        <f t="shared" si="13"/>
        <v>0.84624776932351031</v>
      </c>
      <c r="K292" s="201">
        <f t="shared" si="13"/>
        <v>0.76876273620916358</v>
      </c>
      <c r="L292" s="201">
        <f t="shared" si="13"/>
        <v>0.68751160744431616</v>
      </c>
      <c r="M292" s="201">
        <f t="shared" si="13"/>
        <v>0.61127643467118631</v>
      </c>
      <c r="N292" s="201">
        <f t="shared" si="13"/>
        <v>0.54396051884702279</v>
      </c>
      <c r="O292" s="201">
        <f t="shared" si="13"/>
        <v>0.48754740173672007</v>
      </c>
      <c r="P292" s="201">
        <f t="shared" si="13"/>
        <v>0.44007525510920786</v>
      </c>
      <c r="Q292" s="201">
        <f t="shared" si="13"/>
        <v>0.40118864344412386</v>
      </c>
      <c r="R292" s="201">
        <f t="shared" si="13"/>
        <v>0.36953372191769396</v>
      </c>
      <c r="S292" s="201">
        <f t="shared" si="13"/>
        <v>0.34369363904805783</v>
      </c>
      <c r="T292" s="201">
        <f t="shared" si="13"/>
        <v>0.32250045453218168</v>
      </c>
      <c r="U292" s="201">
        <f t="shared" si="13"/>
        <v>0.30561027102271909</v>
      </c>
      <c r="V292" s="201">
        <f t="shared" si="13"/>
        <v>0.29163664847637155</v>
      </c>
      <c r="W292" s="201">
        <f t="shared" si="13"/>
        <v>0.27998786518789087</v>
      </c>
      <c r="X292" s="201">
        <f t="shared" si="13"/>
        <v>0.27008378397278254</v>
      </c>
      <c r="Y292" s="201">
        <f t="shared" si="13"/>
        <v>0.2617520277391529</v>
      </c>
      <c r="Z292" s="201">
        <f t="shared" si="13"/>
        <v>0.25475555694254698</v>
      </c>
      <c r="AA292" s="201">
        <f t="shared" si="13"/>
        <v>0.24836227010798553</v>
      </c>
      <c r="AB292" s="201">
        <f t="shared" si="13"/>
        <v>0.24265077940162788</v>
      </c>
      <c r="AC292" s="201">
        <f t="shared" si="13"/>
        <v>0.2374043754671456</v>
      </c>
      <c r="AD292" s="201">
        <f t="shared" si="13"/>
        <v>0.2324043709634297</v>
      </c>
      <c r="AE292" s="201">
        <f t="shared" si="13"/>
        <v>0.22686337803121459</v>
      </c>
    </row>
    <row r="293" spans="1:31" s="221" customFormat="1" x14ac:dyDescent="0.25">
      <c r="A293"/>
      <c r="B293"/>
      <c r="C293"/>
      <c r="D293"/>
      <c r="E293"/>
      <c r="F293"/>
      <c r="G293"/>
      <c r="H293"/>
      <c r="I293"/>
      <c r="J293"/>
      <c r="K293"/>
      <c r="L293"/>
      <c r="M293"/>
      <c r="N293"/>
      <c r="O293"/>
      <c r="P293"/>
      <c r="Q293"/>
      <c r="R293"/>
      <c r="S293"/>
      <c r="T293"/>
      <c r="U293"/>
      <c r="V293"/>
      <c r="W293"/>
      <c r="X293"/>
      <c r="Y293"/>
      <c r="Z293"/>
      <c r="AA293"/>
      <c r="AB293"/>
      <c r="AC293"/>
      <c r="AD293"/>
      <c r="AE293"/>
    </row>
    <row r="294" spans="1:31" s="221" customFormat="1" x14ac:dyDescent="0.25">
      <c r="A294"/>
      <c r="B294"/>
      <c r="C294"/>
      <c r="D294"/>
      <c r="E294"/>
      <c r="F294"/>
      <c r="G294"/>
      <c r="H294"/>
      <c r="I294"/>
      <c r="J294"/>
      <c r="K294"/>
      <c r="L294"/>
      <c r="M294"/>
      <c r="N294"/>
      <c r="O294"/>
      <c r="P294"/>
      <c r="Q294"/>
      <c r="R294"/>
      <c r="S294"/>
      <c r="T294"/>
      <c r="U294"/>
      <c r="V294"/>
      <c r="W294"/>
      <c r="X294"/>
      <c r="Y294"/>
      <c r="Z294"/>
      <c r="AA294"/>
      <c r="AB294"/>
      <c r="AC294"/>
      <c r="AD294"/>
      <c r="AE294"/>
    </row>
    <row r="295" spans="1:31" s="221" customFormat="1" x14ac:dyDescent="0.25">
      <c r="A295" s="238" t="s">
        <v>167</v>
      </c>
      <c r="B295" s="239"/>
      <c r="C295" s="238"/>
      <c r="D295" s="239"/>
      <c r="E295" s="239"/>
      <c r="F295" s="828" t="s">
        <v>695</v>
      </c>
      <c r="G295" s="828"/>
      <c r="H295" s="239"/>
      <c r="I295" s="239"/>
      <c r="J295" s="239"/>
      <c r="K295" s="239"/>
      <c r="L295" s="239"/>
      <c r="M295" s="239"/>
      <c r="N295" s="239"/>
      <c r="O295" s="239"/>
      <c r="P295" s="239"/>
      <c r="Q295" s="239"/>
      <c r="R295" s="239"/>
      <c r="S295" s="239"/>
      <c r="T295" s="239"/>
      <c r="U295" s="239"/>
      <c r="V295" s="239"/>
      <c r="W295" s="239"/>
      <c r="X295" s="239"/>
      <c r="Y295" s="239"/>
      <c r="Z295" s="239"/>
      <c r="AA295" s="239"/>
      <c r="AB295" s="239"/>
      <c r="AC295" s="239"/>
      <c r="AD295" s="239"/>
      <c r="AE295" s="239"/>
    </row>
    <row r="296" spans="1:31" x14ac:dyDescent="0.25">
      <c r="A296" s="236" t="s">
        <v>12</v>
      </c>
      <c r="B296" s="235"/>
    </row>
    <row r="297" spans="1:31" x14ac:dyDescent="0.25">
      <c r="A297" s="235"/>
      <c r="B297" s="235" t="s">
        <v>20</v>
      </c>
    </row>
    <row r="298" spans="1:31" s="202" customFormat="1" ht="12.75" x14ac:dyDescent="0.2">
      <c r="A298" s="240" t="s">
        <v>21</v>
      </c>
      <c r="B298" s="240"/>
      <c r="C298" s="240"/>
      <c r="D298" s="240"/>
      <c r="E298" s="240"/>
      <c r="F298" s="240"/>
      <c r="G298" s="240"/>
      <c r="H298" s="240"/>
      <c r="I298" s="240"/>
      <c r="J298" s="240"/>
      <c r="K298" s="240"/>
      <c r="L298" s="240"/>
      <c r="M298" s="240"/>
      <c r="N298" s="240"/>
      <c r="O298" s="240"/>
      <c r="P298" s="240"/>
      <c r="Q298" s="240"/>
      <c r="R298" s="240"/>
      <c r="S298" s="240"/>
      <c r="T298" s="240"/>
      <c r="U298" s="240"/>
      <c r="V298" s="240"/>
      <c r="W298" s="240"/>
      <c r="X298" s="240"/>
      <c r="Y298" s="240"/>
      <c r="Z298" s="240"/>
      <c r="AA298" s="240"/>
      <c r="AB298" s="240"/>
      <c r="AC298" s="240"/>
      <c r="AD298" s="240"/>
      <c r="AE298" s="240"/>
    </row>
    <row r="299" spans="1:31" s="221" customFormat="1" x14ac:dyDescent="0.25">
      <c r="A299" s="235"/>
      <c r="B299" s="235" t="s">
        <v>22</v>
      </c>
      <c r="C299"/>
      <c r="D299" s="201"/>
      <c r="E299" s="201"/>
      <c r="F299" s="201"/>
      <c r="G299" s="199">
        <f ca="1">IF(Sys_Repl_Rate!G9&gt;=1,System_Total_Mkt!G9*(1-Retrofit_Rate),System_Total_Mkt!G9*(1-Retrofit_Rate)*Sys_Repl_Rate!G9)+(1-Standards_Acceptance!H9)*(Lamp_Mkt_Repl!H9)</f>
        <v>25.609420036912482</v>
      </c>
      <c r="H299" s="199">
        <f ca="1">IF(Sys_Repl_Rate!H9&gt;=1,System_Total_Mkt!H9*(1-Retrofit_Rate),System_Total_Mkt!H9*(1-Retrofit_Rate)*Sys_Repl_Rate!H9)+(1-Standards_Acceptance!I9)*(Lamp_Mkt_Repl!I9)</f>
        <v>23.727407475994799</v>
      </c>
      <c r="I299" s="199">
        <f ca="1">IF(Sys_Repl_Rate!I9&gt;=1,System_Total_Mkt!I9*(1-Retrofit_Rate),System_Total_Mkt!I9*(1-Retrofit_Rate)*Sys_Repl_Rate!I9)+(1-Standards_Acceptance!J9)*(Lamp_Mkt_Repl!J9)</f>
        <v>21.410678971614203</v>
      </c>
      <c r="J299" s="199">
        <f ca="1">IF(Sys_Repl_Rate!J9&gt;=1,System_Total_Mkt!J9*(1-Retrofit_Rate),System_Total_Mkt!J9*(1-Retrofit_Rate)*Sys_Repl_Rate!J9)+(1-Standards_Acceptance!K9)*(Lamp_Mkt_Repl!K9)</f>
        <v>17.097007713820663</v>
      </c>
      <c r="K299" s="199">
        <f ca="1">IF(Sys_Repl_Rate!K9&gt;=1,System_Total_Mkt!K9*(1-Retrofit_Rate),System_Total_Mkt!K9*(1-Retrofit_Rate)*Sys_Repl_Rate!K9)+(1-Standards_Acceptance!L9)*(Lamp_Mkt_Repl!L9)</f>
        <v>12.943083376892384</v>
      </c>
      <c r="L299" s="199">
        <f ca="1">IF(Sys_Repl_Rate!L9&gt;=1,System_Total_Mkt!L9*(1-Retrofit_Rate),System_Total_Mkt!L9*(1-Retrofit_Rate)*Sys_Repl_Rate!L9)+(1-Standards_Acceptance!M9)*(Lamp_Mkt_Repl!M9)</f>
        <v>9.2638941358742688</v>
      </c>
      <c r="M299" s="199">
        <f ca="1">IF(Sys_Repl_Rate!M9&gt;=1,System_Total_Mkt!M9*(1-Retrofit_Rate),System_Total_Mkt!M9*(1-Retrofit_Rate)*Sys_Repl_Rate!M9)+(1-Standards_Acceptance!N9)*(Lamp_Mkt_Repl!N9)</f>
        <v>5.5948046617159957</v>
      </c>
      <c r="N299" s="199">
        <f ca="1">IF(Sys_Repl_Rate!N9&gt;=1,System_Total_Mkt!N9*(1-Retrofit_Rate),System_Total_Mkt!N9*(1-Retrofit_Rate)*Sys_Repl_Rate!N9)+(1-Standards_Acceptance!O9)*(Lamp_Mkt_Repl!O9)</f>
        <v>3.6263617830964843</v>
      </c>
      <c r="O299" s="199">
        <f ca="1">IF(Sys_Repl_Rate!O9&gt;=1,System_Total_Mkt!O9*(1-Retrofit_Rate),System_Total_Mkt!O9*(1-Retrofit_Rate)*Sys_Repl_Rate!O9)+(1-Standards_Acceptance!P9)*(Lamp_Mkt_Repl!P9)</f>
        <v>2.5278568577514462</v>
      </c>
      <c r="P299" s="199">
        <f ca="1">IF(Sys_Repl_Rate!P9&gt;=1,System_Total_Mkt!P9*(1-Retrofit_Rate),System_Total_Mkt!P9*(1-Retrofit_Rate)*Sys_Repl_Rate!P9)+(1-Standards_Acceptance!Q9)*(Lamp_Mkt_Repl!Q9)</f>
        <v>1.8805203219077493</v>
      </c>
      <c r="Q299" s="199">
        <f ca="1">IF(Sys_Repl_Rate!Q9&gt;=1,System_Total_Mkt!Q9*(1-Retrofit_Rate),System_Total_Mkt!Q9*(1-Retrofit_Rate)*Sys_Repl_Rate!Q9)+(1-Standards_Acceptance!R9)*(Lamp_Mkt_Repl!R9)</f>
        <v>1.4626779555853289</v>
      </c>
      <c r="R299" s="199">
        <f ca="1">IF(Sys_Repl_Rate!R9&gt;=1,System_Total_Mkt!R9*(1-Retrofit_Rate),System_Total_Mkt!R9*(1-Retrofit_Rate)*Sys_Repl_Rate!R9)+(1-Standards_Acceptance!S9)*(Lamp_Mkt_Repl!S9)</f>
        <v>1.1640511491320484</v>
      </c>
      <c r="S299" s="199">
        <f ca="1">IF(Sys_Repl_Rate!S9&gt;=1,System_Total_Mkt!S9*(1-Retrofit_Rate),System_Total_Mkt!S9*(1-Retrofit_Rate)*Sys_Repl_Rate!S9)+(1-Standards_Acceptance!T9)*(Lamp_Mkt_Repl!T9)</f>
        <v>0.93614022729866575</v>
      </c>
      <c r="T299" s="199">
        <f ca="1">IF(Sys_Repl_Rate!T9&gt;=1,System_Total_Mkt!T9*(1-Retrofit_Rate),System_Total_Mkt!T9*(1-Retrofit_Rate)*Sys_Repl_Rate!T9)+(1-Standards_Acceptance!U9)*(Lamp_Mkt_Repl!U9)</f>
        <v>0.75457892548130168</v>
      </c>
      <c r="U299" s="199">
        <f ca="1">IF(Sys_Repl_Rate!U9&gt;=1,System_Total_Mkt!U9*(1-Retrofit_Rate),System_Total_Mkt!U9*(1-Retrofit_Rate)*Sys_Repl_Rate!U9)+(1-Standards_Acceptance!V9)*(Lamp_Mkt_Repl!V9)</f>
        <v>0.60703646664900501</v>
      </c>
      <c r="V299" s="199">
        <f ca="1">IF(Sys_Repl_Rate!V9&gt;=1,System_Total_Mkt!V9*(1-Retrofit_Rate),System_Total_Mkt!V9*(1-Retrofit_Rate)*Sys_Repl_Rate!V9)+(1-Standards_Acceptance!W9)*(Lamp_Mkt_Repl!W9)</f>
        <v>0.48851012793705895</v>
      </c>
      <c r="W299" s="199">
        <f ca="1">IF(Sys_Repl_Rate!W9&gt;=1,System_Total_Mkt!W9*(1-Retrofit_Rate),System_Total_Mkt!W9*(1-Retrofit_Rate)*Sys_Repl_Rate!W9)+(1-Standards_Acceptance!X9)*(Lamp_Mkt_Repl!X9)</f>
        <v>0.39327333583540031</v>
      </c>
      <c r="X299" s="199">
        <f ca="1">IF(Sys_Repl_Rate!X9&gt;=1,System_Total_Mkt!X9*(1-Retrofit_Rate),System_Total_Mkt!X9*(1-Retrofit_Rate)*Sys_Repl_Rate!X9)+(1-Standards_Acceptance!Y9)*(Lamp_Mkt_Repl!Y9)</f>
        <v>0.31708432378260748</v>
      </c>
      <c r="Y299" s="199">
        <f ca="1">IF(Sys_Repl_Rate!Y9&gt;=1,System_Total_Mkt!Y9*(1-Retrofit_Rate),System_Total_Mkt!Y9*(1-Retrofit_Rate)*Sys_Repl_Rate!Y9)+(1-Standards_Acceptance!Z9)*(Lamp_Mkt_Repl!Z9)</f>
        <v>0.25651039215476384</v>
      </c>
      <c r="Z299" s="199">
        <f ca="1">IF(Sys_Repl_Rate!Z9&gt;=1,System_Total_Mkt!Z9*(1-Retrofit_Rate),System_Total_Mkt!Z9*(1-Retrofit_Rate)*Sys_Repl_Rate!Z9)+(1-Standards_Acceptance!AA9)*(Lamp_Mkt_Repl!AA9)</f>
        <v>0.20899194659574774</v>
      </c>
      <c r="AA299" s="199">
        <f ca="1">IF(Sys_Repl_Rate!AA9&gt;=1,System_Total_Mkt!AA9*(1-Retrofit_Rate),System_Total_Mkt!AA9*(1-Retrofit_Rate)*Sys_Repl_Rate!AA9)+(1-Standards_Acceptance!AB9)*(Lamp_Mkt_Repl!AB9)</f>
        <v>0.17215026162594216</v>
      </c>
      <c r="AB299" s="199">
        <f ca="1">IF(Sys_Repl_Rate!AB9&gt;=1,System_Total_Mkt!AB9*(1-Retrofit_Rate),System_Total_Mkt!AB9*(1-Retrofit_Rate)*Sys_Repl_Rate!AB9)+(1-Standards_Acceptance!AC9)*(Lamp_Mkt_Repl!AC9)</f>
        <v>0.14324408964896138</v>
      </c>
      <c r="AC299" s="199">
        <f ca="1">IF(Sys_Repl_Rate!AC9&gt;=1,System_Total_Mkt!AC9*(1-Retrofit_Rate),System_Total_Mkt!AC9*(1-Retrofit_Rate)*Sys_Repl_Rate!AC9)+(1-Standards_Acceptance!AD9)*(Lamp_Mkt_Repl!AD9)</f>
        <v>0.12044999516571989</v>
      </c>
      <c r="AD299" s="199">
        <f ca="1">IF(Sys_Repl_Rate!AD9&gt;=1,System_Total_Mkt!AD9*(1-Retrofit_Rate),System_Total_Mkt!AD9*(1-Retrofit_Rate)*Sys_Repl_Rate!AD9)+(1-Standards_Acceptance!AE9)*(Lamp_Mkt_Repl!AE9)</f>
        <v>0.10224861348195208</v>
      </c>
      <c r="AE299" s="199">
        <f ca="1">IF(Sys_Repl_Rate!AE9&gt;=1,System_Total_Mkt!AE9*(1-Retrofit_Rate),System_Total_Mkt!AE9*(1-Retrofit_Rate)*Sys_Repl_Rate!AE9)+(1-Standards_Acceptance!AF9)*(Lamp_Mkt_Repl!AF9)</f>
        <v>8.74711554903983E-2</v>
      </c>
    </row>
    <row r="300" spans="1:31" s="221" customFormat="1" x14ac:dyDescent="0.25">
      <c r="A300" s="235"/>
      <c r="B300" s="235" t="s">
        <v>26</v>
      </c>
      <c r="C300"/>
      <c r="D300" s="201"/>
      <c r="E300" s="201"/>
      <c r="F300" s="201"/>
      <c r="G300" s="199">
        <f ca="1">IF(Sys_Repl_Rate!G10&gt;=1,System_Total_Mkt!G10*(1-Retrofit_Rate),System_Total_Mkt!G10*(1-Retrofit_Rate)*Sys_Repl_Rate!G10)+(1-Standards_Acceptance!H10)*(Lamp_Mkt_Repl!H10)</f>
        <v>0.39819058657668083</v>
      </c>
      <c r="H300" s="199">
        <f ca="1">IF(Sys_Repl_Rate!H10&gt;=1,System_Total_Mkt!H10*(1-Retrofit_Rate),System_Total_Mkt!H10*(1-Retrofit_Rate)*Sys_Repl_Rate!H10)+(1-Standards_Acceptance!I10)*(Lamp_Mkt_Repl!I10)</f>
        <v>0.38648439716441313</v>
      </c>
      <c r="I300" s="199">
        <f ca="1">IF(Sys_Repl_Rate!I10&gt;=1,System_Total_Mkt!I10*(1-Retrofit_Rate),System_Total_Mkt!I10*(1-Retrofit_Rate)*Sys_Repl_Rate!I10)+(1-Standards_Acceptance!J10)*(Lamp_Mkt_Repl!J10)</f>
        <v>0.95656687426555576</v>
      </c>
      <c r="J300" s="199">
        <f ca="1">IF(Sys_Repl_Rate!J10&gt;=1,System_Total_Mkt!J10*(1-Retrofit_Rate),System_Total_Mkt!J10*(1-Retrofit_Rate)*Sys_Repl_Rate!J10)+(1-Standards_Acceptance!K10)*(Lamp_Mkt_Repl!K10)</f>
        <v>2.7747127187795191</v>
      </c>
      <c r="K300" s="199">
        <f ca="1">IF(Sys_Repl_Rate!K10&gt;=1,System_Total_Mkt!K10*(1-Retrofit_Rate),System_Total_Mkt!K10*(1-Retrofit_Rate)*Sys_Repl_Rate!K10)+(1-Standards_Acceptance!L10)*(Lamp_Mkt_Repl!L10)</f>
        <v>4.6543127459696345</v>
      </c>
      <c r="L300" s="199">
        <f ca="1">IF(Sys_Repl_Rate!L10&gt;=1,System_Total_Mkt!L10*(1-Retrofit_Rate),System_Total_Mkt!L10*(1-Retrofit_Rate)*Sys_Repl_Rate!L10)+(1-Standards_Acceptance!M10)*(Lamp_Mkt_Repl!M10)</f>
        <v>5.8800684998032295</v>
      </c>
      <c r="M300" s="199">
        <f ca="1">IF(Sys_Repl_Rate!M10&gt;=1,System_Total_Mkt!M10*(1-Retrofit_Rate),System_Total_Mkt!M10*(1-Retrofit_Rate)*Sys_Repl_Rate!M10)+(1-Standards_Acceptance!N10)*(Lamp_Mkt_Repl!N10)</f>
        <v>6.7043646246435227</v>
      </c>
      <c r="N300" s="199">
        <f ca="1">IF(Sys_Repl_Rate!N10&gt;=1,System_Total_Mkt!N10*(1-Retrofit_Rate),System_Total_Mkt!N10*(1-Retrofit_Rate)*Sys_Repl_Rate!N10)+(1-Standards_Acceptance!O10)*(Lamp_Mkt_Repl!O10)</f>
        <v>6.6697092023352367</v>
      </c>
      <c r="O300" s="199">
        <f ca="1">IF(Sys_Repl_Rate!O10&gt;=1,System_Total_Mkt!O10*(1-Retrofit_Rate),System_Total_Mkt!O10*(1-Retrofit_Rate)*Sys_Repl_Rate!O10)+(1-Standards_Acceptance!P10)*(Lamp_Mkt_Repl!P10)</f>
        <v>6.2716306630110168</v>
      </c>
      <c r="P300" s="199">
        <f ca="1">IF(Sys_Repl_Rate!P10&gt;=1,System_Total_Mkt!P10*(1-Retrofit_Rate),System_Total_Mkt!P10*(1-Retrofit_Rate)*Sys_Repl_Rate!P10)+(1-Standards_Acceptance!Q10)*(Lamp_Mkt_Repl!Q10)</f>
        <v>5.7389853685637311</v>
      </c>
      <c r="Q300" s="199">
        <f ca="1">IF(Sys_Repl_Rate!Q10&gt;=1,System_Total_Mkt!Q10*(1-Retrofit_Rate),System_Total_Mkt!Q10*(1-Retrofit_Rate)*Sys_Repl_Rate!Q10)+(1-Standards_Acceptance!R10)*(Lamp_Mkt_Repl!R10)</f>
        <v>5.1512891404601779</v>
      </c>
      <c r="R300" s="199">
        <f ca="1">IF(Sys_Repl_Rate!R10&gt;=1,System_Total_Mkt!R10*(1-Retrofit_Rate),System_Total_Mkt!R10*(1-Retrofit_Rate)*Sys_Repl_Rate!R10)+(1-Standards_Acceptance!S10)*(Lamp_Mkt_Repl!S10)</f>
        <v>4.5449540149932988</v>
      </c>
      <c r="S300" s="199">
        <f ca="1">IF(Sys_Repl_Rate!S10&gt;=1,System_Total_Mkt!S10*(1-Retrofit_Rate),System_Total_Mkt!S10*(1-Retrofit_Rate)*Sys_Repl_Rate!S10)+(1-Standards_Acceptance!T10)*(Lamp_Mkt_Repl!T10)</f>
        <v>3.9571496986074068</v>
      </c>
      <c r="T300" s="199">
        <f ca="1">IF(Sys_Repl_Rate!T10&gt;=1,System_Total_Mkt!T10*(1-Retrofit_Rate),System_Total_Mkt!T10*(1-Retrofit_Rate)*Sys_Repl_Rate!T10)+(1-Standards_Acceptance!U10)*(Lamp_Mkt_Repl!U10)</f>
        <v>3.4080416275904497</v>
      </c>
      <c r="U300" s="199">
        <f ca="1">IF(Sys_Repl_Rate!U10&gt;=1,System_Total_Mkt!U10*(1-Retrofit_Rate),System_Total_Mkt!U10*(1-Retrofit_Rate)*Sys_Repl_Rate!U10)+(1-Standards_Acceptance!V10)*(Lamp_Mkt_Repl!V10)</f>
        <v>2.910111899520516</v>
      </c>
      <c r="V300" s="199">
        <f ca="1">IF(Sys_Repl_Rate!V10&gt;=1,System_Total_Mkt!V10*(1-Retrofit_Rate),System_Total_Mkt!V10*(1-Retrofit_Rate)*Sys_Repl_Rate!V10)+(1-Standards_Acceptance!W10)*(Lamp_Mkt_Repl!W10)</f>
        <v>2.4763007771587806</v>
      </c>
      <c r="W300" s="199">
        <f ca="1">IF(Sys_Repl_Rate!W10&gt;=1,System_Total_Mkt!W10*(1-Retrofit_Rate),System_Total_Mkt!W10*(1-Retrofit_Rate)*Sys_Repl_Rate!W10)+(1-Standards_Acceptance!X10)*(Lamp_Mkt_Repl!X10)</f>
        <v>2.1049412624121082</v>
      </c>
      <c r="X300" s="199">
        <f ca="1">IF(Sys_Repl_Rate!X10&gt;=1,System_Total_Mkt!X10*(1-Retrofit_Rate),System_Total_Mkt!X10*(1-Retrofit_Rate)*Sys_Repl_Rate!X10)+(1-Standards_Acceptance!Y10)*(Lamp_Mkt_Repl!Y10)</f>
        <v>1.7916972239248974</v>
      </c>
      <c r="Y300" s="199">
        <f ca="1">IF(Sys_Repl_Rate!Y10&gt;=1,System_Total_Mkt!Y10*(1-Retrofit_Rate),System_Total_Mkt!Y10*(1-Retrofit_Rate)*Sys_Repl_Rate!Y10)+(1-Standards_Acceptance!Z10)*(Lamp_Mkt_Repl!Z10)</f>
        <v>1.5308436608923313</v>
      </c>
      <c r="Z300" s="199">
        <f ca="1">IF(Sys_Repl_Rate!Z10&gt;=1,System_Total_Mkt!Z10*(1-Retrofit_Rate),System_Total_Mkt!Z10*(1-Retrofit_Rate)*Sys_Repl_Rate!Z10)+(1-Standards_Acceptance!AA10)*(Lamp_Mkt_Repl!AA10)</f>
        <v>1.3175044881230729</v>
      </c>
      <c r="AA300" s="199">
        <f ca="1">IF(Sys_Repl_Rate!AA10&gt;=1,System_Total_Mkt!AA10*(1-Retrofit_Rate),System_Total_Mkt!AA10*(1-Retrofit_Rate)*Sys_Repl_Rate!AA10)+(1-Standards_Acceptance!AB10)*(Lamp_Mkt_Repl!AB10)</f>
        <v>1.145867120644162</v>
      </c>
      <c r="AB300" s="199">
        <f ca="1">IF(Sys_Repl_Rate!AB10&gt;=1,System_Total_Mkt!AB10*(1-Retrofit_Rate),System_Total_Mkt!AB10*(1-Retrofit_Rate)*Sys_Repl_Rate!AB10)+(1-Standards_Acceptance!AC10)*(Lamp_Mkt_Repl!AC10)</f>
        <v>1.007244239578257</v>
      </c>
      <c r="AC300" s="199">
        <f ca="1">IF(Sys_Repl_Rate!AC10&gt;=1,System_Total_Mkt!AC10*(1-Retrofit_Rate),System_Total_Mkt!AC10*(1-Retrofit_Rate)*Sys_Repl_Rate!AC10)+(1-Standards_Acceptance!AD10)*(Lamp_Mkt_Repl!AD10)</f>
        <v>0.89446858195497558</v>
      </c>
      <c r="AD300" s="199">
        <f ca="1">IF(Sys_Repl_Rate!AD10&gt;=1,System_Total_Mkt!AD10*(1-Retrofit_Rate),System_Total_Mkt!AD10*(1-Retrofit_Rate)*Sys_Repl_Rate!AD10)+(1-Standards_Acceptance!AE10)*(Lamp_Mkt_Repl!AE10)</f>
        <v>0.80183628928756112</v>
      </c>
      <c r="AE300" s="199">
        <f ca="1">IF(Sys_Repl_Rate!AE10&gt;=1,System_Total_Mkt!AE10*(1-Retrofit_Rate),System_Total_Mkt!AE10*(1-Retrofit_Rate)*Sys_Repl_Rate!AE10)+(1-Standards_Acceptance!AF10)*(Lamp_Mkt_Repl!AF10)</f>
        <v>0.72457716344095469</v>
      </c>
    </row>
    <row r="301" spans="1:31" s="221" customFormat="1" x14ac:dyDescent="0.25">
      <c r="A301" s="235"/>
      <c r="B301" s="235" t="s">
        <v>27</v>
      </c>
      <c r="C301"/>
      <c r="D301" s="201"/>
      <c r="E301" s="201"/>
      <c r="F301" s="201"/>
      <c r="G301" s="199">
        <f ca="1">IF(Sys_Repl_Rate!G11&gt;=1,System_Total_Mkt!G11*(1-Retrofit_Rate),System_Total_Mkt!G11*(1-Retrofit_Rate)*Sys_Repl_Rate!G11)+(1-Standards_Acceptance!H11)*(Lamp_Mkt_Repl!H11)</f>
        <v>2.3314125785789765</v>
      </c>
      <c r="H301" s="199">
        <f ca="1">IF(Sys_Repl_Rate!H11&gt;=1,System_Total_Mkt!H11*(1-Retrofit_Rate),System_Total_Mkt!H11*(1-Retrofit_Rate)*Sys_Repl_Rate!H11)+(1-Standards_Acceptance!I11)*(Lamp_Mkt_Repl!I11)</f>
        <v>2.7084661392690528</v>
      </c>
      <c r="I301" s="199">
        <f ca="1">IF(Sys_Repl_Rate!I11&gt;=1,System_Total_Mkt!I11*(1-Retrofit_Rate),System_Total_Mkt!I11*(1-Retrofit_Rate)*Sys_Repl_Rate!I11)+(1-Standards_Acceptance!J11)*(Lamp_Mkt_Repl!J11)</f>
        <v>3.0523868198227024</v>
      </c>
      <c r="J301" s="199">
        <f ca="1">IF(Sys_Repl_Rate!J11&gt;=1,System_Total_Mkt!J11*(1-Retrofit_Rate),System_Total_Mkt!J11*(1-Retrofit_Rate)*Sys_Repl_Rate!J11)+(1-Standards_Acceptance!K11)*(Lamp_Mkt_Repl!K11)</f>
        <v>3.4666449158234927</v>
      </c>
      <c r="K301" s="199">
        <f ca="1">IF(Sys_Repl_Rate!K11&gt;=1,System_Total_Mkt!K11*(1-Retrofit_Rate),System_Total_Mkt!K11*(1-Retrofit_Rate)*Sys_Repl_Rate!K11)+(1-Standards_Acceptance!L11)*(Lamp_Mkt_Repl!L11)</f>
        <v>3.8305186385888508</v>
      </c>
      <c r="L301" s="199">
        <f ca="1">IF(Sys_Repl_Rate!L11&gt;=1,System_Total_Mkt!L11*(1-Retrofit_Rate),System_Total_Mkt!L11*(1-Retrofit_Rate)*Sys_Repl_Rate!L11)+(1-Standards_Acceptance!M11)*(Lamp_Mkt_Repl!M11)</f>
        <v>4.2039090384593329</v>
      </c>
      <c r="M301" s="199">
        <f ca="1">IF(Sys_Repl_Rate!M11&gt;=1,System_Total_Mkt!M11*(1-Retrofit_Rate),System_Total_Mkt!M11*(1-Retrofit_Rate)*Sys_Repl_Rate!M11)+(1-Standards_Acceptance!N11)*(Lamp_Mkt_Repl!N11)</f>
        <v>4.5987102101243069</v>
      </c>
      <c r="N301" s="199">
        <f ca="1">IF(Sys_Repl_Rate!N11&gt;=1,System_Total_Mkt!N11*(1-Retrofit_Rate),System_Total_Mkt!N11*(1-Retrofit_Rate)*Sys_Repl_Rate!N11)+(1-Standards_Acceptance!O11)*(Lamp_Mkt_Repl!O11)</f>
        <v>4.8567831665686816</v>
      </c>
      <c r="O301" s="199">
        <f ca="1">IF(Sys_Repl_Rate!O11&gt;=1,System_Total_Mkt!O11*(1-Retrofit_Rate),System_Total_Mkt!O11*(1-Retrofit_Rate)*Sys_Repl_Rate!O11)+(1-Standards_Acceptance!P11)*(Lamp_Mkt_Repl!P11)</f>
        <v>5.0061329957320675</v>
      </c>
      <c r="P301" s="199">
        <f ca="1">IF(Sys_Repl_Rate!P11&gt;=1,System_Total_Mkt!P11*(1-Retrofit_Rate),System_Total_Mkt!P11*(1-Retrofit_Rate)*Sys_Repl_Rate!P11)+(1-Standards_Acceptance!Q11)*(Lamp_Mkt_Repl!Q11)</f>
        <v>5.063744058832734</v>
      </c>
      <c r="Q301" s="199">
        <f ca="1">IF(Sys_Repl_Rate!Q11&gt;=1,System_Total_Mkt!Q11*(1-Retrofit_Rate),System_Total_Mkt!Q11*(1-Retrofit_Rate)*Sys_Repl_Rate!Q11)+(1-Standards_Acceptance!R11)*(Lamp_Mkt_Repl!R11)</f>
        <v>5.0459809668118876</v>
      </c>
      <c r="R301" s="199">
        <f ca="1">IF(Sys_Repl_Rate!R11&gt;=1,System_Total_Mkt!R11*(1-Retrofit_Rate),System_Total_Mkt!R11*(1-Retrofit_Rate)*Sys_Repl_Rate!R11)+(1-Standards_Acceptance!S11)*(Lamp_Mkt_Repl!S11)</f>
        <v>4.9655858521802756</v>
      </c>
      <c r="S301" s="199">
        <f ca="1">IF(Sys_Repl_Rate!S11&gt;=1,System_Total_Mkt!S11*(1-Retrofit_Rate),System_Total_Mkt!S11*(1-Retrofit_Rate)*Sys_Repl_Rate!S11)+(1-Standards_Acceptance!T11)*(Lamp_Mkt_Repl!T11)</f>
        <v>4.8340080023079821</v>
      </c>
      <c r="T301" s="199">
        <f ca="1">IF(Sys_Repl_Rate!T11&gt;=1,System_Total_Mkt!T11*(1-Retrofit_Rate),System_Total_Mkt!T11*(1-Retrofit_Rate)*Sys_Repl_Rate!T11)+(1-Standards_Acceptance!U11)*(Lamp_Mkt_Repl!U11)</f>
        <v>4.6626674917422672</v>
      </c>
      <c r="U301" s="199">
        <f ca="1">IF(Sys_Repl_Rate!U11&gt;=1,System_Total_Mkt!U11*(1-Retrofit_Rate),System_Total_Mkt!U11*(1-Retrofit_Rate)*Sys_Repl_Rate!U11)+(1-Standards_Acceptance!V11)*(Lamp_Mkt_Repl!V11)</f>
        <v>4.4628679987453088</v>
      </c>
      <c r="V301" s="199">
        <f ca="1">IF(Sys_Repl_Rate!V11&gt;=1,System_Total_Mkt!V11*(1-Retrofit_Rate),System_Total_Mkt!V11*(1-Retrofit_Rate)*Sys_Repl_Rate!V11)+(1-Standards_Acceptance!W11)*(Lamp_Mkt_Repl!W11)</f>
        <v>4.245139661029274</v>
      </c>
      <c r="W301" s="199">
        <f ca="1">IF(Sys_Repl_Rate!W11&gt;=1,System_Total_Mkt!W11*(1-Retrofit_Rate),System_Total_Mkt!W11*(1-Retrofit_Rate)*Sys_Repl_Rate!W11)+(1-Standards_Acceptance!X11)*(Lamp_Mkt_Repl!X11)</f>
        <v>4.0088592071294205</v>
      </c>
      <c r="X301" s="199">
        <f ca="1">IF(Sys_Repl_Rate!X11&gt;=1,System_Total_Mkt!X11*(1-Retrofit_Rate),System_Total_Mkt!X11*(1-Retrofit_Rate)*Sys_Repl_Rate!X11)+(1-Standards_Acceptance!Y11)*(Lamp_Mkt_Repl!Y11)</f>
        <v>3.7724208599525109</v>
      </c>
      <c r="Y301" s="199">
        <f ca="1">IF(Sys_Repl_Rate!Y11&gt;=1,System_Total_Mkt!Y11*(1-Retrofit_Rate),System_Total_Mkt!Y11*(1-Retrofit_Rate)*Sys_Repl_Rate!Y11)+(1-Standards_Acceptance!Z11)*(Lamp_Mkt_Repl!Z11)</f>
        <v>3.5411861952464334</v>
      </c>
      <c r="Z301" s="199">
        <f ca="1">IF(Sys_Repl_Rate!Z11&gt;=1,System_Total_Mkt!Z11*(1-Retrofit_Rate),System_Total_Mkt!Z11*(1-Retrofit_Rate)*Sys_Repl_Rate!Z11)+(1-Standards_Acceptance!AA11)*(Lamp_Mkt_Repl!AA11)</f>
        <v>3.3192074343827085</v>
      </c>
      <c r="AA301" s="199">
        <f ca="1">IF(Sys_Repl_Rate!AA11&gt;=1,System_Total_Mkt!AA11*(1-Retrofit_Rate),System_Total_Mkt!AA11*(1-Retrofit_Rate)*Sys_Repl_Rate!AA11)+(1-Standards_Acceptance!AB11)*(Lamp_Mkt_Repl!AB11)</f>
        <v>3.1092812248111397</v>
      </c>
      <c r="AB301" s="199">
        <f ca="1">IF(Sys_Repl_Rate!AB11&gt;=1,System_Total_Mkt!AB11*(1-Retrofit_Rate),System_Total_Mkt!AB11*(1-Retrofit_Rate)*Sys_Repl_Rate!AB11)+(1-Standards_Acceptance!AC11)*(Lamp_Mkt_Repl!AC11)</f>
        <v>2.9199807901338417</v>
      </c>
      <c r="AC301" s="199">
        <f ca="1">IF(Sys_Repl_Rate!AC11&gt;=1,System_Total_Mkt!AC11*(1-Retrofit_Rate),System_Total_Mkt!AC11*(1-Retrofit_Rate)*Sys_Repl_Rate!AC11)+(1-Standards_Acceptance!AD11)*(Lamp_Mkt_Repl!AD11)</f>
        <v>2.7369161919760154</v>
      </c>
      <c r="AD301" s="199">
        <f ca="1">IF(Sys_Repl_Rate!AD11&gt;=1,System_Total_Mkt!AD11*(1-Retrofit_Rate),System_Total_Mkt!AD11*(1-Retrofit_Rate)*Sys_Repl_Rate!AD11)+(1-Standards_Acceptance!AE11)*(Lamp_Mkt_Repl!AE11)</f>
        <v>2.5678228953389959</v>
      </c>
      <c r="AE301" s="199">
        <f ca="1">IF(Sys_Repl_Rate!AE11&gt;=1,System_Total_Mkt!AE11*(1-Retrofit_Rate),System_Total_Mkt!AE11*(1-Retrofit_Rate)*Sys_Repl_Rate!AE11)+(1-Standards_Acceptance!AF11)*(Lamp_Mkt_Repl!AF11)</f>
        <v>2.4122977111946593</v>
      </c>
    </row>
    <row r="302" spans="1:31" s="221" customFormat="1" x14ac:dyDescent="0.25">
      <c r="A302" s="235"/>
      <c r="B302" s="235" t="s">
        <v>29</v>
      </c>
      <c r="C302"/>
      <c r="D302" s="201"/>
      <c r="E302" s="201"/>
      <c r="F302" s="201"/>
      <c r="G302" s="199">
        <f ca="1">IF(Sys_Repl_Rate!G12&gt;=1,System_Total_Mkt!G12*(1-Retrofit_Rate),System_Total_Mkt!G12*(1-Retrofit_Rate)*Sys_Repl_Rate!G12)+(1-Standards_Acceptance!H12)*(Lamp_Mkt_Repl!H12)</f>
        <v>0</v>
      </c>
      <c r="H302" s="199">
        <f ca="1">IF(Sys_Repl_Rate!H12&gt;=1,System_Total_Mkt!H12*(1-Retrofit_Rate),System_Total_Mkt!H12*(1-Retrofit_Rate)*Sys_Repl_Rate!H12)+(1-Standards_Acceptance!I12)*(Lamp_Mkt_Repl!I12)</f>
        <v>2.2014050065405017E-3</v>
      </c>
      <c r="I302" s="199">
        <f ca="1">IF(Sys_Repl_Rate!I12&gt;=1,System_Total_Mkt!I12*(1-Retrofit_Rate),System_Total_Mkt!I12*(1-Retrofit_Rate)*Sys_Repl_Rate!I12)+(1-Standards_Acceptance!J12)*(Lamp_Mkt_Repl!J12)</f>
        <v>7.0130179972028844E-3</v>
      </c>
      <c r="J302" s="199">
        <f ca="1">IF(Sys_Repl_Rate!J12&gt;=1,System_Total_Mkt!J12*(1-Retrofit_Rate),System_Total_Mkt!J12*(1-Retrofit_Rate)*Sys_Repl_Rate!J12)+(1-Standards_Acceptance!K12)*(Lamp_Mkt_Repl!K12)</f>
        <v>1.3985410811999751E-2</v>
      </c>
      <c r="K302" s="199">
        <f ca="1">IF(Sys_Repl_Rate!K12&gt;=1,System_Total_Mkt!K12*(1-Retrofit_Rate),System_Total_Mkt!K12*(1-Retrofit_Rate)*Sys_Repl_Rate!K12)+(1-Standards_Acceptance!L12)*(Lamp_Mkt_Repl!L12)</f>
        <v>2.463799341301778E-2</v>
      </c>
      <c r="L302" s="199">
        <f ca="1">IF(Sys_Repl_Rate!L12&gt;=1,System_Total_Mkt!L12*(1-Retrofit_Rate),System_Total_Mkt!L12*(1-Retrofit_Rate)*Sys_Repl_Rate!L12)+(1-Standards_Acceptance!M12)*(Lamp_Mkt_Repl!M12)</f>
        <v>4.0805975880508841E-2</v>
      </c>
      <c r="M302" s="199">
        <f ca="1">IF(Sys_Repl_Rate!M12&gt;=1,System_Total_Mkt!M12*(1-Retrofit_Rate),System_Total_Mkt!M12*(1-Retrofit_Rate)*Sys_Repl_Rate!M12)+(1-Standards_Acceptance!N12)*(Lamp_Mkt_Repl!N12)</f>
        <v>6.5230756177249244E-2</v>
      </c>
      <c r="N302" s="199">
        <f ca="1">IF(Sys_Repl_Rate!N12&gt;=1,System_Total_Mkt!N12*(1-Retrofit_Rate),System_Total_Mkt!N12*(1-Retrofit_Rate)*Sys_Repl_Rate!N12)+(1-Standards_Acceptance!O12)*(Lamp_Mkt_Repl!O12)</f>
        <v>9.912494736329458E-2</v>
      </c>
      <c r="O302" s="199">
        <f ca="1">IF(Sys_Repl_Rate!O12&gt;=1,System_Total_Mkt!O12*(1-Retrofit_Rate),System_Total_Mkt!O12*(1-Retrofit_Rate)*Sys_Repl_Rate!O12)+(1-Standards_Acceptance!P12)*(Lamp_Mkt_Repl!P12)</f>
        <v>0.14434154217360631</v>
      </c>
      <c r="P302" s="199">
        <f ca="1">IF(Sys_Repl_Rate!P12&gt;=1,System_Total_Mkt!P12*(1-Retrofit_Rate),System_Total_Mkt!P12*(1-Retrofit_Rate)*Sys_Repl_Rate!P12)+(1-Standards_Acceptance!Q12)*(Lamp_Mkt_Repl!Q12)</f>
        <v>0.20170153311429442</v>
      </c>
      <c r="Q302" s="199">
        <f ca="1">IF(Sys_Repl_Rate!Q12&gt;=1,System_Total_Mkt!Q12*(1-Retrofit_Rate),System_Total_Mkt!Q12*(1-Retrofit_Rate)*Sys_Repl_Rate!Q12)+(1-Standards_Acceptance!R12)*(Lamp_Mkt_Repl!R12)</f>
        <v>0.27112702516394332</v>
      </c>
      <c r="R302" s="199">
        <f ca="1">IF(Sys_Repl_Rate!R12&gt;=1,System_Total_Mkt!R12*(1-Retrofit_Rate),System_Total_Mkt!R12*(1-Retrofit_Rate)*Sys_Repl_Rate!R12)+(1-Standards_Acceptance!S12)*(Lamp_Mkt_Repl!S12)</f>
        <v>0.35113306623842117</v>
      </c>
      <c r="S302" s="199">
        <f ca="1">IF(Sys_Repl_Rate!S12&gt;=1,System_Total_Mkt!S12*(1-Retrofit_Rate),System_Total_Mkt!S12*(1-Retrofit_Rate)*Sys_Repl_Rate!S12)+(1-Standards_Acceptance!T12)*(Lamp_Mkt_Repl!T12)</f>
        <v>0.43958752973800697</v>
      </c>
      <c r="T302" s="199">
        <f ca="1">IF(Sys_Repl_Rate!T12&gt;=1,System_Total_Mkt!T12*(1-Retrofit_Rate),System_Total_Mkt!T12*(1-Retrofit_Rate)*Sys_Repl_Rate!T12)+(1-Standards_Acceptance!U12)*(Lamp_Mkt_Repl!U12)</f>
        <v>0.53372227110022041</v>
      </c>
      <c r="U302" s="199">
        <f ca="1">IF(Sys_Repl_Rate!U12&gt;=1,System_Total_Mkt!U12*(1-Retrofit_Rate),System_Total_Mkt!U12*(1-Retrofit_Rate)*Sys_Repl_Rate!U12)+(1-Standards_Acceptance!V12)*(Lamp_Mkt_Repl!V12)</f>
        <v>0.63078035618869843</v>
      </c>
      <c r="V302" s="199">
        <f ca="1">IF(Sys_Repl_Rate!V12&gt;=1,System_Total_Mkt!V12*(1-Retrofit_Rate),System_Total_Mkt!V12*(1-Retrofit_Rate)*Sys_Repl_Rate!V12)+(1-Standards_Acceptance!W12)*(Lamp_Mkt_Repl!W12)</f>
        <v>0.72828571951237764</v>
      </c>
      <c r="W302" s="199">
        <f ca="1">IF(Sys_Repl_Rate!W12&gt;=1,System_Total_Mkt!W12*(1-Retrofit_Rate),System_Total_Mkt!W12*(1-Retrofit_Rate)*Sys_Repl_Rate!W12)+(1-Standards_Acceptance!X12)*(Lamp_Mkt_Repl!X12)</f>
        <v>0.82422109744110295</v>
      </c>
      <c r="X302" s="199">
        <f ca="1">IF(Sys_Repl_Rate!X12&gt;=1,System_Total_Mkt!X12*(1-Retrofit_Rate),System_Total_Mkt!X12*(1-Retrofit_Rate)*Sys_Repl_Rate!X12)+(1-Standards_Acceptance!Y12)*(Lamp_Mkt_Repl!Y12)</f>
        <v>0.91693890838873227</v>
      </c>
      <c r="Y302" s="199">
        <f ca="1">IF(Sys_Repl_Rate!Y12&gt;=1,System_Total_Mkt!Y12*(1-Retrofit_Rate),System_Total_Mkt!Y12*(1-Retrofit_Rate)*Sys_Repl_Rate!Y12)+(1-Standards_Acceptance!Z12)*(Lamp_Mkt_Repl!Z12)</f>
        <v>1.0054423496346774</v>
      </c>
      <c r="Z302" s="199">
        <f ca="1">IF(Sys_Repl_Rate!Z12&gt;=1,System_Total_Mkt!Z12*(1-Retrofit_Rate),System_Total_Mkt!Z12*(1-Retrofit_Rate)*Sys_Repl_Rate!Z12)+(1-Standards_Acceptance!AA12)*(Lamp_Mkt_Repl!AA12)</f>
        <v>1.0893273255163944</v>
      </c>
      <c r="AA302" s="199">
        <f ca="1">IF(Sys_Repl_Rate!AA12&gt;=1,System_Total_Mkt!AA12*(1-Retrofit_Rate),System_Total_Mkt!AA12*(1-Retrofit_Rate)*Sys_Repl_Rate!AA12)+(1-Standards_Acceptance!AB12)*(Lamp_Mkt_Repl!AB12)</f>
        <v>1.1685841048612933</v>
      </c>
      <c r="AB302" s="199">
        <f ca="1">IF(Sys_Repl_Rate!AB12&gt;=1,System_Total_Mkt!AB12*(1-Retrofit_Rate),System_Total_Mkt!AB12*(1-Retrofit_Rate)*Sys_Repl_Rate!AB12)+(1-Standards_Acceptance!AC12)*(Lamp_Mkt_Repl!AC12)</f>
        <v>1.2436960285688801</v>
      </c>
      <c r="AC302" s="199">
        <f ca="1">IF(Sys_Repl_Rate!AC12&gt;=1,System_Total_Mkt!AC12*(1-Retrofit_Rate),System_Total_Mkt!AC12*(1-Retrofit_Rate)*Sys_Repl_Rate!AC12)+(1-Standards_Acceptance!AD12)*(Lamp_Mkt_Repl!AD12)</f>
        <v>1.3143516403268214</v>
      </c>
      <c r="AD302" s="199">
        <f ca="1">IF(Sys_Repl_Rate!AD12&gt;=1,System_Total_Mkt!AD12*(1-Retrofit_Rate),System_Total_Mkt!AD12*(1-Retrofit_Rate)*Sys_Repl_Rate!AD12)+(1-Standards_Acceptance!AE12)*(Lamp_Mkt_Repl!AE12)</f>
        <v>1.3806855108709748</v>
      </c>
      <c r="AE302" s="199">
        <f ca="1">IF(Sys_Repl_Rate!AE12&gt;=1,System_Total_Mkt!AE12*(1-Retrofit_Rate),System_Total_Mkt!AE12*(1-Retrofit_Rate)*Sys_Repl_Rate!AE12)+(1-Standards_Acceptance!AF12)*(Lamp_Mkt_Repl!AF12)</f>
        <v>1.4429705657120231</v>
      </c>
    </row>
    <row r="303" spans="1:31" s="221" customFormat="1" x14ac:dyDescent="0.25">
      <c r="A303" s="235"/>
      <c r="B303" s="235"/>
      <c r="C303"/>
      <c r="D303"/>
      <c r="E303"/>
      <c r="F303"/>
      <c r="G303"/>
      <c r="H303"/>
      <c r="I303"/>
      <c r="J303"/>
      <c r="K303"/>
      <c r="L303"/>
      <c r="M303"/>
      <c r="N303"/>
      <c r="O303"/>
      <c r="P303"/>
      <c r="Q303"/>
      <c r="R303"/>
      <c r="S303"/>
      <c r="T303"/>
      <c r="U303"/>
      <c r="V303"/>
      <c r="W303"/>
      <c r="X303"/>
      <c r="Y303"/>
      <c r="Z303"/>
      <c r="AA303"/>
      <c r="AB303"/>
      <c r="AC303"/>
      <c r="AD303"/>
      <c r="AE303"/>
    </row>
    <row r="304" spans="1:31" s="202" customFormat="1" ht="12.75" x14ac:dyDescent="0.2">
      <c r="A304" s="240" t="s">
        <v>32</v>
      </c>
      <c r="B304" s="240"/>
      <c r="C304" s="240"/>
      <c r="D304" s="240"/>
      <c r="E304" s="240"/>
      <c r="F304" s="240"/>
      <c r="G304" s="240"/>
      <c r="H304" s="240"/>
      <c r="I304" s="240"/>
      <c r="J304" s="240"/>
      <c r="K304" s="240"/>
      <c r="L304" s="240"/>
      <c r="M304" s="240"/>
      <c r="N304" s="240"/>
      <c r="O304" s="240"/>
      <c r="P304" s="240"/>
      <c r="Q304" s="240"/>
      <c r="R304" s="240"/>
      <c r="S304" s="240"/>
      <c r="T304" s="240"/>
      <c r="U304" s="240"/>
      <c r="V304" s="240"/>
      <c r="W304" s="240"/>
      <c r="X304" s="240"/>
      <c r="Y304" s="240"/>
      <c r="Z304" s="240"/>
      <c r="AA304" s="240"/>
      <c r="AB304" s="240"/>
      <c r="AC304" s="240"/>
      <c r="AD304" s="240"/>
      <c r="AE304" s="240"/>
    </row>
    <row r="305" spans="1:31" s="221" customFormat="1" x14ac:dyDescent="0.25">
      <c r="A305" s="235"/>
      <c r="B305" s="235" t="s">
        <v>33</v>
      </c>
      <c r="C305"/>
      <c r="D305"/>
      <c r="E305"/>
      <c r="F305" s="201"/>
      <c r="G305" s="900">
        <f>IF(Sys_Repl_Rate!G15&gt;=1,System_Total_Mkt!G15*(1-Retrofit_Rate),System_Total_Mkt!G15*(1-Retrofit_Rate)*Sys_Repl_Rate!G15)+(1-Standards_Acceptance!H15)*(Lamp_Mkt_Repl!H15)</f>
        <v>2.43853284965446</v>
      </c>
      <c r="H305" s="199">
        <f>IF(Sys_Repl_Rate!H15&gt;=1,System_Total_Mkt!H15*(1-Retrofit_Rate),System_Total_Mkt!H15*(1-Retrofit_Rate)*Sys_Repl_Rate!H15)+(1-Standards_Acceptance!I15)*(Lamp_Mkt_Repl!I15)</f>
        <v>2.1436697565343033</v>
      </c>
      <c r="I305" s="199">
        <f>IF(Sys_Repl_Rate!I15&gt;=1,System_Total_Mkt!I15*(1-Retrofit_Rate),System_Total_Mkt!I15*(1-Retrofit_Rate)*Sys_Repl_Rate!I15)+(1-Standards_Acceptance!J15)*(Lamp_Mkt_Repl!J15)</f>
        <v>1.9696872881197498</v>
      </c>
      <c r="J305" s="199">
        <f>IF(Sys_Repl_Rate!J15&gt;=1,System_Total_Mkt!J15*(1-Retrofit_Rate),System_Total_Mkt!J15*(1-Retrofit_Rate)*Sys_Repl_Rate!J15)+(1-Standards_Acceptance!K15)*(Lamp_Mkt_Repl!K15)</f>
        <v>1.8721393923752643</v>
      </c>
      <c r="K305" s="199">
        <f>IF(Sys_Repl_Rate!K15&gt;=1,System_Total_Mkt!K15*(1-Retrofit_Rate),System_Total_Mkt!K15*(1-Retrofit_Rate)*Sys_Repl_Rate!K15)+(1-Standards_Acceptance!L15)*(Lamp_Mkt_Repl!L15)</f>
        <v>1.8115102419829272</v>
      </c>
      <c r="L305" s="199">
        <f>IF(Sys_Repl_Rate!L15&gt;=1,System_Total_Mkt!L15*(1-Retrofit_Rate),System_Total_Mkt!L15*(1-Retrofit_Rate)*Sys_Repl_Rate!L15)+(1-Standards_Acceptance!M15)*(Lamp_Mkt_Repl!M15)</f>
        <v>1.7349309055284647</v>
      </c>
      <c r="M305" s="199">
        <f>IF(Sys_Repl_Rate!M15&gt;=1,System_Total_Mkt!M15*(1-Retrofit_Rate),System_Total_Mkt!M15*(1-Retrofit_Rate)*Sys_Repl_Rate!M15)+(1-Standards_Acceptance!N15)*(Lamp_Mkt_Repl!N15)</f>
        <v>1.6314555878889523</v>
      </c>
      <c r="N305" s="199">
        <f>IF(Sys_Repl_Rate!N15&gt;=1,System_Total_Mkt!N15*(1-Retrofit_Rate),System_Total_Mkt!N15*(1-Retrofit_Rate)*Sys_Repl_Rate!N15)+(1-Standards_Acceptance!O15)*(Lamp_Mkt_Repl!O15)</f>
        <v>1.5068788722711595</v>
      </c>
      <c r="O305" s="199">
        <f>IF(Sys_Repl_Rate!O15&gt;=1,System_Total_Mkt!O15*(1-Retrofit_Rate),System_Total_Mkt!O15*(1-Retrofit_Rate)*Sys_Repl_Rate!O15)+(1-Standards_Acceptance!P15)*(Lamp_Mkt_Repl!P15)</f>
        <v>1.367104778358621</v>
      </c>
      <c r="P305" s="199">
        <f>IF(Sys_Repl_Rate!P15&gt;=1,System_Total_Mkt!P15*(1-Retrofit_Rate),System_Total_Mkt!P15*(1-Retrofit_Rate)*Sys_Repl_Rate!P15)+(1-Standards_Acceptance!Q15)*(Lamp_Mkt_Repl!Q15)</f>
        <v>1.2199928558802939</v>
      </c>
      <c r="Q305" s="199">
        <f>IF(Sys_Repl_Rate!Q15&gt;=1,System_Total_Mkt!Q15*(1-Retrofit_Rate),System_Total_Mkt!Q15*(1-Retrofit_Rate)*Sys_Repl_Rate!Q15)+(1-Standards_Acceptance!R15)*(Lamp_Mkt_Repl!R15)</f>
        <v>1.0702567524468052</v>
      </c>
      <c r="R305" s="199">
        <f>IF(Sys_Repl_Rate!R15&gt;=1,System_Total_Mkt!R15*(1-Retrofit_Rate),System_Total_Mkt!R15*(1-Retrofit_Rate)*Sys_Repl_Rate!R15)+(1-Standards_Acceptance!S15)*(Lamp_Mkt_Repl!S15)</f>
        <v>0.92294088737247471</v>
      </c>
      <c r="S305" s="199">
        <f>IF(Sys_Repl_Rate!S15&gt;=1,System_Total_Mkt!S15*(1-Retrofit_Rate),System_Total_Mkt!S15*(1-Retrofit_Rate)*Sys_Repl_Rate!S15)+(1-Standards_Acceptance!T15)*(Lamp_Mkt_Repl!T15)</f>
        <v>0.78418554628122428</v>
      </c>
      <c r="T305" s="199">
        <f>IF(Sys_Repl_Rate!T15&gt;=1,System_Total_Mkt!T15*(1-Retrofit_Rate),System_Total_Mkt!T15*(1-Retrofit_Rate)*Sys_Repl_Rate!T15)+(1-Standards_Acceptance!U15)*(Lamp_Mkt_Repl!U15)</f>
        <v>0.6578572084862635</v>
      </c>
      <c r="U305" s="199">
        <f>IF(Sys_Repl_Rate!U15&gt;=1,System_Total_Mkt!U15*(1-Retrofit_Rate),System_Total_Mkt!U15*(1-Retrofit_Rate)*Sys_Repl_Rate!U15)+(1-Standards_Acceptance!V15)*(Lamp_Mkt_Repl!V15)</f>
        <v>0.54611772901767919</v>
      </c>
      <c r="V305" s="199">
        <f>IF(Sys_Repl_Rate!V15&gt;=1,System_Total_Mkt!V15*(1-Retrofit_Rate),System_Total_Mkt!V15*(1-Retrofit_Rate)*Sys_Repl_Rate!V15)+(1-Standards_Acceptance!W15)*(Lamp_Mkt_Repl!W15)</f>
        <v>0.45025252782359837</v>
      </c>
      <c r="W305" s="199">
        <f>IF(Sys_Repl_Rate!W15&gt;=1,System_Total_Mkt!W15*(1-Retrofit_Rate),System_Total_Mkt!W15*(1-Retrofit_Rate)*Sys_Repl_Rate!W15)+(1-Standards_Acceptance!X15)*(Lamp_Mkt_Repl!X15)</f>
        <v>0.36958783922544264</v>
      </c>
      <c r="X305" s="199">
        <f>IF(Sys_Repl_Rate!X15&gt;=1,System_Total_Mkt!X15*(1-Retrofit_Rate),System_Total_Mkt!X15*(1-Retrofit_Rate)*Sys_Repl_Rate!X15)+(1-Standards_Acceptance!Y15)*(Lamp_Mkt_Repl!Y15)</f>
        <v>0.30281623673564684</v>
      </c>
      <c r="Y305" s="199">
        <f>IF(Sys_Repl_Rate!Y15&gt;=1,System_Total_Mkt!Y15*(1-Retrofit_Rate),System_Total_Mkt!Y15*(1-Retrofit_Rate)*Sys_Repl_Rate!Y15)+(1-Standards_Acceptance!Z15)*(Lamp_Mkt_Repl!Z15)</f>
        <v>0.24824230782594181</v>
      </c>
      <c r="Z305" s="199">
        <f>IF(Sys_Repl_Rate!Z15&gt;=1,System_Total_Mkt!Z15*(1-Retrofit_Rate),System_Total_Mkt!Z15*(1-Retrofit_Rate)*Sys_Repl_Rate!Z15)+(1-Standards_Acceptance!AA15)*(Lamp_Mkt_Repl!AA15)</f>
        <v>0.20421200198061923</v>
      </c>
      <c r="AA305" s="199">
        <f>IF(Sys_Repl_Rate!AA15&gt;=1,System_Total_Mkt!AA15*(1-Retrofit_Rate),System_Total_Mkt!AA15*(1-Retrofit_Rate)*Sys_Repl_Rate!AA15)+(1-Standards_Acceptance!AB15)*(Lamp_Mkt_Repl!AB15)</f>
        <v>0.16908217455274943</v>
      </c>
      <c r="AB305" s="199">
        <f>IF(Sys_Repl_Rate!AB15&gt;=1,System_Total_Mkt!AB15*(1-Retrofit_Rate),System_Total_Mkt!AB15*(1-Retrofit_Rate)*Sys_Repl_Rate!AB15)+(1-Standards_Acceptance!AC15)*(Lamp_Mkt_Repl!AC15)</f>
        <v>0.14111502256575326</v>
      </c>
      <c r="AC305" s="199">
        <f>IF(Sys_Repl_Rate!AC15&gt;=1,System_Total_Mkt!AC15*(1-Retrofit_Rate),System_Total_Mkt!AC15*(1-Retrofit_Rate)*Sys_Repl_Rate!AC15)+(1-Standards_Acceptance!AD15)*(Lamp_Mkt_Repl!AD15)</f>
        <v>0.1188182753693484</v>
      </c>
      <c r="AD305" s="199">
        <f>IF(Sys_Repl_Rate!AD15&gt;=1,System_Total_Mkt!AD15*(1-Retrofit_Rate),System_Total_Mkt!AD15*(1-Retrofit_Rate)*Sys_Repl_Rate!AD15)+(1-Standards_Acceptance!AE15)*(Lamp_Mkt_Repl!AE15)</f>
        <v>0.10100132418894543</v>
      </c>
      <c r="AE305" s="199">
        <f>IF(Sys_Repl_Rate!AE15&gt;=1,System_Total_Mkt!AE15*(1-Retrofit_Rate),System_Total_Mkt!AE15*(1-Retrofit_Rate)*Sys_Repl_Rate!AE15)+(1-Standards_Acceptance!AF15)*(Lamp_Mkt_Repl!AF15)</f>
        <v>8.6649346235164432E-2</v>
      </c>
    </row>
    <row r="306" spans="1:31" s="221" customFormat="1" x14ac:dyDescent="0.25">
      <c r="A306" s="237"/>
      <c r="B306" s="237" t="s">
        <v>34</v>
      </c>
      <c r="C306"/>
      <c r="D306"/>
      <c r="E306"/>
      <c r="F306" s="201"/>
      <c r="G306" s="900">
        <f>IF(Sys_Repl_Rate!G16&gt;=1,System_Total_Mkt!G16*(1-Retrofit_Rate),System_Total_Mkt!G16*(1-Retrofit_Rate)*Sys_Repl_Rate!G16)+(1-Standards_Acceptance!H16)*(Lamp_Mkt_Repl!H16)</f>
        <v>1.5412201150157534</v>
      </c>
      <c r="H306" s="199">
        <f>IF(Sys_Repl_Rate!H16&gt;=1,System_Total_Mkt!H16*(1-Retrofit_Rate),System_Total_Mkt!H16*(1-Retrofit_Rate)*Sys_Repl_Rate!H16)+(1-Standards_Acceptance!I16)*(Lamp_Mkt_Repl!I16)</f>
        <v>1.8508650531127839</v>
      </c>
      <c r="I306" s="199">
        <f>IF(Sys_Repl_Rate!I16&gt;=1,System_Total_Mkt!I16*(1-Retrofit_Rate),System_Total_Mkt!I16*(1-Retrofit_Rate)*Sys_Repl_Rate!I16)+(1-Standards_Acceptance!J16)*(Lamp_Mkt_Repl!J16)</f>
        <v>2.0479688728166727</v>
      </c>
      <c r="J306" s="199">
        <f>IF(Sys_Repl_Rate!J16&gt;=1,System_Total_Mkt!J16*(1-Retrofit_Rate),System_Total_Mkt!J16*(1-Retrofit_Rate)*Sys_Repl_Rate!J16)+(1-Standards_Acceptance!K16)*(Lamp_Mkt_Repl!K16)</f>
        <v>2.1505995652281018</v>
      </c>
      <c r="K306" s="199">
        <f>IF(Sys_Repl_Rate!K16&gt;=1,System_Total_Mkt!K16*(1-Retrofit_Rate),System_Total_Mkt!K16*(1-Retrofit_Rate)*Sys_Repl_Rate!K16)+(1-Standards_Acceptance!L16)*(Lamp_Mkt_Repl!L16)</f>
        <v>2.171808309611746</v>
      </c>
      <c r="L306" s="199">
        <f>IF(Sys_Repl_Rate!L16&gt;=1,System_Total_Mkt!L16*(1-Retrofit_Rate),System_Total_Mkt!L16*(1-Retrofit_Rate)*Sys_Repl_Rate!L16)+(1-Standards_Acceptance!M16)*(Lamp_Mkt_Repl!M16)</f>
        <v>2.1563503069728789</v>
      </c>
      <c r="M306" s="199">
        <f>IF(Sys_Repl_Rate!M16&gt;=1,System_Total_Mkt!M16*(1-Retrofit_Rate),System_Total_Mkt!M16*(1-Retrofit_Rate)*Sys_Repl_Rate!M16)+(1-Standards_Acceptance!N16)*(Lamp_Mkt_Repl!N16)</f>
        <v>2.1103862930729727</v>
      </c>
      <c r="N306" s="199">
        <f>IF(Sys_Repl_Rate!N16&gt;=1,System_Total_Mkt!N16*(1-Retrofit_Rate),System_Total_Mkt!N16*(1-Retrofit_Rate)*Sys_Repl_Rate!N16)+(1-Standards_Acceptance!O16)*(Lamp_Mkt_Repl!O16)</f>
        <v>2.0316697854144814</v>
      </c>
      <c r="O306" s="199">
        <f>IF(Sys_Repl_Rate!O16&gt;=1,System_Total_Mkt!O16*(1-Retrofit_Rate),System_Total_Mkt!O16*(1-Retrofit_Rate)*Sys_Repl_Rate!O16)+(1-Standards_Acceptance!P16)*(Lamp_Mkt_Repl!P16)</f>
        <v>1.9231415486382892</v>
      </c>
      <c r="P306" s="199">
        <f>IF(Sys_Repl_Rate!P16&gt;=1,System_Total_Mkt!P16*(1-Retrofit_Rate),System_Total_Mkt!P16*(1-Retrofit_Rate)*Sys_Repl_Rate!P16)+(1-Standards_Acceptance!Q16)*(Lamp_Mkt_Repl!Q16)</f>
        <v>1.79067388111953</v>
      </c>
      <c r="Q306" s="199">
        <f>IF(Sys_Repl_Rate!Q16&gt;=1,System_Total_Mkt!Q16*(1-Retrofit_Rate),System_Total_Mkt!Q16*(1-Retrofit_Rate)*Sys_Repl_Rate!Q16)+(1-Standards_Acceptance!R16)*(Lamp_Mkt_Repl!R16)</f>
        <v>1.6418926594576633</v>
      </c>
      <c r="R306" s="199">
        <f>IF(Sys_Repl_Rate!R16&gt;=1,System_Total_Mkt!R16*(1-Retrofit_Rate),System_Total_Mkt!R16*(1-Retrofit_Rate)*Sys_Repl_Rate!R16)+(1-Standards_Acceptance!S16)*(Lamp_Mkt_Repl!S16)</f>
        <v>1.4842892635170148</v>
      </c>
      <c r="S306" s="199">
        <f>IF(Sys_Repl_Rate!S16&gt;=1,System_Total_Mkt!S16*(1-Retrofit_Rate),System_Total_Mkt!S16*(1-Retrofit_Rate)*Sys_Repl_Rate!S16)+(1-Standards_Acceptance!T16)*(Lamp_Mkt_Repl!T16)</f>
        <v>1.3256699107601746</v>
      </c>
      <c r="T306" s="199">
        <f>IF(Sys_Repl_Rate!T16&gt;=1,System_Total_Mkt!T16*(1-Retrofit_Rate),System_Total_Mkt!T16*(1-Retrofit_Rate)*Sys_Repl_Rate!T16)+(1-Standards_Acceptance!U16)*(Lamp_Mkt_Repl!U16)</f>
        <v>1.1721598403973321</v>
      </c>
      <c r="U306" s="199">
        <f>IF(Sys_Repl_Rate!U16&gt;=1,System_Total_Mkt!U16*(1-Retrofit_Rate),System_Total_Mkt!U16*(1-Retrofit_Rate)*Sys_Repl_Rate!U16)+(1-Standards_Acceptance!V16)*(Lamp_Mkt_Repl!V16)</f>
        <v>1.0284160642529052</v>
      </c>
      <c r="V306" s="199">
        <f>IF(Sys_Repl_Rate!V16&gt;=1,System_Total_Mkt!V16*(1-Retrofit_Rate),System_Total_Mkt!V16*(1-Retrofit_Rate)*Sys_Repl_Rate!V16)+(1-Standards_Acceptance!W16)*(Lamp_Mkt_Repl!W16)</f>
        <v>0.89793137105902721</v>
      </c>
      <c r="W306" s="199">
        <f>IF(Sys_Repl_Rate!W16&gt;=1,System_Total_Mkt!W16*(1-Retrofit_Rate),System_Total_Mkt!W16*(1-Retrofit_Rate)*Sys_Repl_Rate!W16)+(1-Standards_Acceptance!X16)*(Lamp_Mkt_Repl!X16)</f>
        <v>0.78210776740870513</v>
      </c>
      <c r="X306" s="199">
        <f>IF(Sys_Repl_Rate!X16&gt;=1,System_Total_Mkt!X16*(1-Retrofit_Rate),System_Total_Mkt!X16*(1-Retrofit_Rate)*Sys_Repl_Rate!X16)+(1-Standards_Acceptance!Y16)*(Lamp_Mkt_Repl!Y16)</f>
        <v>0.68115678140159353</v>
      </c>
      <c r="Y306" s="199">
        <f>IF(Sys_Repl_Rate!Y16&gt;=1,System_Total_Mkt!Y16*(1-Retrofit_Rate),System_Total_Mkt!Y16*(1-Retrofit_Rate)*Sys_Repl_Rate!Y16)+(1-Standards_Acceptance!Z16)*(Lamp_Mkt_Repl!Z16)</f>
        <v>0.59445727757876832</v>
      </c>
      <c r="Z306" s="199">
        <f>IF(Sys_Repl_Rate!Z16&gt;=1,System_Total_Mkt!Z16*(1-Retrofit_Rate),System_Total_Mkt!Z16*(1-Retrofit_Rate)*Sys_Repl_Rate!Z16)+(1-Standards_Acceptance!AA16)*(Lamp_Mkt_Repl!AA16)</f>
        <v>0.52108216990455991</v>
      </c>
      <c r="AA306" s="199">
        <f>IF(Sys_Repl_Rate!AA16&gt;=1,System_Total_Mkt!AA16*(1-Retrofit_Rate),System_Total_Mkt!AA16*(1-Retrofit_Rate)*Sys_Repl_Rate!AA16)+(1-Standards_Acceptance!AB16)*(Lamp_Mkt_Repl!AB16)</f>
        <v>0.45980673751668083</v>
      </c>
      <c r="AB306" s="199">
        <f>IF(Sys_Repl_Rate!AB16&gt;=1,System_Total_Mkt!AB16*(1-Retrofit_Rate),System_Total_Mkt!AB16*(1-Retrofit_Rate)*Sys_Repl_Rate!AB16)+(1-Standards_Acceptance!AC16)*(Lamp_Mkt_Repl!AC16)</f>
        <v>0.40905872962152068</v>
      </c>
      <c r="AC306" s="199">
        <f>IF(Sys_Repl_Rate!AC16&gt;=1,System_Total_Mkt!AC16*(1-Retrofit_Rate),System_Total_Mkt!AC16*(1-Retrofit_Rate)*Sys_Repl_Rate!AC16)+(1-Standards_Acceptance!AD16)*(Lamp_Mkt_Repl!AD16)</f>
        <v>0.36784836571526763</v>
      </c>
      <c r="AD306" s="199">
        <f>IF(Sys_Repl_Rate!AD16&gt;=1,System_Total_Mkt!AD16*(1-Retrofit_Rate),System_Total_Mkt!AD16*(1-Retrofit_Rate)*Sys_Repl_Rate!AD16)+(1-Standards_Acceptance!AE16)*(Lamp_Mkt_Repl!AE16)</f>
        <v>0.33284038287923884</v>
      </c>
      <c r="AE306" s="199">
        <f>IF(Sys_Repl_Rate!AE16&gt;=1,System_Total_Mkt!AE16*(1-Retrofit_Rate),System_Total_Mkt!AE16*(1-Retrofit_Rate)*Sys_Repl_Rate!AE16)+(1-Standards_Acceptance!AF16)*(Lamp_Mkt_Repl!AF16)</f>
        <v>0.30384001863362764</v>
      </c>
    </row>
    <row r="307" spans="1:31" s="221" customFormat="1" x14ac:dyDescent="0.25">
      <c r="A307" s="235"/>
      <c r="B307" s="237" t="s">
        <v>35</v>
      </c>
      <c r="C307"/>
      <c r="D307"/>
      <c r="E307"/>
      <c r="F307" s="201"/>
      <c r="G307" s="900">
        <f>IF(Sys_Repl_Rate!G17&gt;=1,System_Total_Mkt!G17*(1-Retrofit_Rate),System_Total_Mkt!G17*(1-Retrofit_Rate)*Sys_Repl_Rate!G17)+(1-Standards_Acceptance!H17)*(Lamp_Mkt_Repl!H17)</f>
        <v>0.19873996601017072</v>
      </c>
      <c r="H307" s="199">
        <f>IF(Sys_Repl_Rate!H17&gt;=1,System_Total_Mkt!H17*(1-Retrofit_Rate),System_Total_Mkt!H17*(1-Retrofit_Rate)*Sys_Repl_Rate!H17)+(1-Standards_Acceptance!I17)*(Lamp_Mkt_Repl!I17)</f>
        <v>0.20683289599897603</v>
      </c>
      <c r="I307" s="199">
        <f>IF(Sys_Repl_Rate!I17&gt;=1,System_Total_Mkt!I17*(1-Retrofit_Rate),System_Total_Mkt!I17*(1-Retrofit_Rate)*Sys_Repl_Rate!I17)+(1-Standards_Acceptance!J17)*(Lamp_Mkt_Repl!J17)</f>
        <v>0.21475435555809999</v>
      </c>
      <c r="J307" s="199">
        <f>IF(Sys_Repl_Rate!J17&gt;=1,System_Total_Mkt!J17*(1-Retrofit_Rate),System_Total_Mkt!J17*(1-Retrofit_Rate)*Sys_Repl_Rate!J17)+(1-Standards_Acceptance!K17)*(Lamp_Mkt_Repl!K17)</f>
        <v>0.2232565762747149</v>
      </c>
      <c r="K307" s="199">
        <f>IF(Sys_Repl_Rate!K17&gt;=1,System_Total_Mkt!K17*(1-Retrofit_Rate),System_Total_Mkt!K17*(1-Retrofit_Rate)*Sys_Repl_Rate!K17)+(1-Standards_Acceptance!L17)*(Lamp_Mkt_Repl!L17)</f>
        <v>0.2324934588538729</v>
      </c>
      <c r="L307" s="199">
        <f>IF(Sys_Repl_Rate!L17&gt;=1,System_Total_Mkt!L17*(1-Retrofit_Rate),System_Total_Mkt!L17*(1-Retrofit_Rate)*Sys_Repl_Rate!L17)+(1-Standards_Acceptance!M17)*(Lamp_Mkt_Repl!M17)</f>
        <v>0.23945170960291307</v>
      </c>
      <c r="M307" s="199">
        <f>IF(Sys_Repl_Rate!M17&gt;=1,System_Total_Mkt!M17*(1-Retrofit_Rate),System_Total_Mkt!M17*(1-Retrofit_Rate)*Sys_Repl_Rate!M17)+(1-Standards_Acceptance!N17)*(Lamp_Mkt_Repl!N17)</f>
        <v>0.24441417490653017</v>
      </c>
      <c r="N307" s="199">
        <f>IF(Sys_Repl_Rate!N17&gt;=1,System_Total_Mkt!N17*(1-Retrofit_Rate),System_Total_Mkt!N17*(1-Retrofit_Rate)*Sys_Repl_Rate!N17)+(1-Standards_Acceptance!O17)*(Lamp_Mkt_Repl!O17)</f>
        <v>0.24664811083267463</v>
      </c>
      <c r="O307" s="199">
        <f>IF(Sys_Repl_Rate!O17&gt;=1,System_Total_Mkt!O17*(1-Retrofit_Rate),System_Total_Mkt!O17*(1-Retrofit_Rate)*Sys_Repl_Rate!O17)+(1-Standards_Acceptance!P17)*(Lamp_Mkt_Repl!P17)</f>
        <v>0.24592173235083337</v>
      </c>
      <c r="P307" s="199">
        <f>IF(Sys_Repl_Rate!P17&gt;=1,System_Total_Mkt!P17*(1-Retrofit_Rate),System_Total_Mkt!P17*(1-Retrofit_Rate)*Sys_Repl_Rate!P17)+(1-Standards_Acceptance!Q17)*(Lamp_Mkt_Repl!Q17)</f>
        <v>0.24221144141669582</v>
      </c>
      <c r="Q307" s="199">
        <f>IF(Sys_Repl_Rate!Q17&gt;=1,System_Total_Mkt!Q17*(1-Retrofit_Rate),System_Total_Mkt!Q17*(1-Retrofit_Rate)*Sys_Repl_Rate!Q17)+(1-Standards_Acceptance!R17)*(Lamp_Mkt_Repl!R17)</f>
        <v>0.23595272423921046</v>
      </c>
      <c r="R307" s="199">
        <f>IF(Sys_Repl_Rate!R17&gt;=1,System_Total_Mkt!R17*(1-Retrofit_Rate),System_Total_Mkt!R17*(1-Retrofit_Rate)*Sys_Repl_Rate!R17)+(1-Standards_Acceptance!S17)*(Lamp_Mkt_Repl!S17)</f>
        <v>0.2276332279266626</v>
      </c>
      <c r="S307" s="199">
        <f>IF(Sys_Repl_Rate!S17&gt;=1,System_Total_Mkt!S17*(1-Retrofit_Rate),System_Total_Mkt!S17*(1-Retrofit_Rate)*Sys_Repl_Rate!S17)+(1-Standards_Acceptance!T17)*(Lamp_Mkt_Repl!T17)</f>
        <v>0.21774520657752544</v>
      </c>
      <c r="T307" s="199">
        <f>IF(Sys_Repl_Rate!T17&gt;=1,System_Total_Mkt!T17*(1-Retrofit_Rate),System_Total_Mkt!T17*(1-Retrofit_Rate)*Sys_Repl_Rate!T17)+(1-Standards_Acceptance!U17)*(Lamp_Mkt_Repl!U17)</f>
        <v>0.20677936489930737</v>
      </c>
      <c r="U307" s="199">
        <f>IF(Sys_Repl_Rate!U17&gt;=1,System_Total_Mkt!U17*(1-Retrofit_Rate),System_Total_Mkt!U17*(1-Retrofit_Rate)*Sys_Repl_Rate!U17)+(1-Standards_Acceptance!V17)*(Lamp_Mkt_Repl!V17)</f>
        <v>0.19520668023153734</v>
      </c>
      <c r="V307" s="199">
        <f>IF(Sys_Repl_Rate!V17&gt;=1,System_Total_Mkt!V17*(1-Retrofit_Rate),System_Total_Mkt!V17*(1-Retrofit_Rate)*Sys_Repl_Rate!V17)+(1-Standards_Acceptance!W17)*(Lamp_Mkt_Repl!W17)</f>
        <v>0.18343535827597837</v>
      </c>
      <c r="W307" s="199">
        <f>IF(Sys_Repl_Rate!W17&gt;=1,System_Total_Mkt!W17*(1-Retrofit_Rate),System_Total_Mkt!W17*(1-Retrofit_Rate)*Sys_Repl_Rate!W17)+(1-Standards_Acceptance!X17)*(Lamp_Mkt_Repl!X17)</f>
        <v>0.17138425957630535</v>
      </c>
      <c r="X307" s="199">
        <f>IF(Sys_Repl_Rate!X17&gt;=1,System_Total_Mkt!X17*(1-Retrofit_Rate),System_Total_Mkt!X17*(1-Retrofit_Rate)*Sys_Repl_Rate!X17)+(1-Standards_Acceptance!Y17)*(Lamp_Mkt_Repl!Y17)</f>
        <v>0.15978943712098315</v>
      </c>
      <c r="Y307" s="199">
        <f>IF(Sys_Repl_Rate!Y17&gt;=1,System_Total_Mkt!Y17*(1-Retrofit_Rate),System_Total_Mkt!Y17*(1-Retrofit_Rate)*Sys_Repl_Rate!Y17)+(1-Standards_Acceptance!Z17)*(Lamp_Mkt_Repl!Z17)</f>
        <v>0.14881107696827842</v>
      </c>
      <c r="Z307" s="199">
        <f>IF(Sys_Repl_Rate!Z17&gt;=1,System_Total_Mkt!Z17*(1-Retrofit_Rate),System_Total_Mkt!Z17*(1-Retrofit_Rate)*Sys_Repl_Rate!Z17)+(1-Standards_Acceptance!AA17)*(Lamp_Mkt_Repl!AA17)</f>
        <v>0.13855746034272767</v>
      </c>
      <c r="AA307" s="199">
        <f>IF(Sys_Repl_Rate!AA17&gt;=1,System_Total_Mkt!AA17*(1-Retrofit_Rate),System_Total_Mkt!AA17*(1-Retrofit_Rate)*Sys_Repl_Rate!AA17)+(1-Standards_Acceptance!AB17)*(Lamp_Mkt_Repl!AB17)</f>
        <v>0.12908945951382694</v>
      </c>
      <c r="AB307" s="199">
        <f>IF(Sys_Repl_Rate!AB17&gt;=1,System_Total_Mkt!AB17*(1-Retrofit_Rate),System_Total_Mkt!AB17*(1-Retrofit_Rate)*Sys_Repl_Rate!AB17)+(1-Standards_Acceptance!AC17)*(Lamp_Mkt_Repl!AC17)</f>
        <v>0.12043374121836214</v>
      </c>
      <c r="AC307" s="199">
        <f>IF(Sys_Repl_Rate!AC17&gt;=1,System_Total_Mkt!AC17*(1-Retrofit_Rate),System_Total_Mkt!AC17*(1-Retrofit_Rate)*Sys_Repl_Rate!AC17)+(1-Standards_Acceptance!AD17)*(Lamp_Mkt_Repl!AD17)</f>
        <v>0.1125455157110945</v>
      </c>
      <c r="AD307" s="199">
        <f>IF(Sys_Repl_Rate!AD17&gt;=1,System_Total_Mkt!AD17*(1-Retrofit_Rate),System_Total_Mkt!AD17*(1-Retrofit_Rate)*Sys_Repl_Rate!AD17)+(1-Standards_Acceptance!AE17)*(Lamp_Mkt_Repl!AE17)</f>
        <v>0.1053909602769023</v>
      </c>
      <c r="AE307" s="199">
        <f>IF(Sys_Repl_Rate!AE17&gt;=1,System_Total_Mkt!AE17*(1-Retrofit_Rate),System_Total_Mkt!AE17*(1-Retrofit_Rate)*Sys_Repl_Rate!AE17)+(1-Standards_Acceptance!AF17)*(Lamp_Mkt_Repl!AF17)</f>
        <v>9.9152233556121377E-2</v>
      </c>
    </row>
    <row r="308" spans="1:31" s="221" customFormat="1" x14ac:dyDescent="0.25">
      <c r="A308" s="235"/>
      <c r="B308" s="237" t="s">
        <v>29</v>
      </c>
      <c r="C308"/>
      <c r="D308"/>
      <c r="E308"/>
      <c r="F308" s="201"/>
      <c r="G308" s="900">
        <f>IF(Sys_Repl_Rate!G18&gt;=1,System_Total_Mkt!G18*(1-Retrofit_Rate),System_Total_Mkt!G18*(1-Retrofit_Rate)*Sys_Repl_Rate!G18)+(1-Standards_Acceptance!H18)*(Lamp_Mkt_Repl!H18)</f>
        <v>0</v>
      </c>
      <c r="H308" s="199">
        <f>IF(Sys_Repl_Rate!H18&gt;=1,System_Total_Mkt!H18*(1-Retrofit_Rate),System_Total_Mkt!H18*(1-Retrofit_Rate)*Sys_Repl_Rate!H18)+(1-Standards_Acceptance!I18)*(Lamp_Mkt_Repl!I18)</f>
        <v>7.5202107960958494E-4</v>
      </c>
      <c r="I308" s="199">
        <f>IF(Sys_Repl_Rate!I18&gt;=1,System_Total_Mkt!I18*(1-Retrofit_Rate),System_Total_Mkt!I18*(1-Retrofit_Rate)*Sys_Repl_Rate!I18)+(1-Standards_Acceptance!J18)*(Lamp_Mkt_Repl!J18)</f>
        <v>2.8635475643566154E-3</v>
      </c>
      <c r="J308" s="199">
        <f>IF(Sys_Repl_Rate!J18&gt;=1,System_Total_Mkt!J18*(1-Retrofit_Rate),System_Total_Mkt!J18*(1-Retrofit_Rate)*Sys_Repl_Rate!J18)+(1-Standards_Acceptance!K18)*(Lamp_Mkt_Repl!K18)</f>
        <v>7.5504131591688844E-3</v>
      </c>
      <c r="K308" s="199">
        <f>IF(Sys_Repl_Rate!K18&gt;=1,System_Total_Mkt!K18*(1-Retrofit_Rate),System_Total_Mkt!K18*(1-Retrofit_Rate)*Sys_Repl_Rate!K18)+(1-Standards_Acceptance!L18)*(Lamp_Mkt_Repl!L18)</f>
        <v>1.5827942047246527E-2</v>
      </c>
      <c r="L308" s="199">
        <f>IF(Sys_Repl_Rate!L18&gt;=1,System_Total_Mkt!L18*(1-Retrofit_Rate),System_Total_Mkt!L18*(1-Retrofit_Rate)*Sys_Repl_Rate!L18)+(1-Standards_Acceptance!M18)*(Lamp_Mkt_Repl!M18)</f>
        <v>2.7873682914735552E-2</v>
      </c>
      <c r="M308" s="199">
        <f>IF(Sys_Repl_Rate!M18&gt;=1,System_Total_Mkt!M18*(1-Retrofit_Rate),System_Total_Mkt!M18*(1-Retrofit_Rate)*Sys_Repl_Rate!M18)+(1-Standards_Acceptance!N18)*(Lamp_Mkt_Repl!N18)</f>
        <v>4.4000103057313944E-2</v>
      </c>
      <c r="N308" s="199">
        <f>IF(Sys_Repl_Rate!N18&gt;=1,System_Total_Mkt!N18*(1-Retrofit_Rate),System_Total_Mkt!N18*(1-Retrofit_Rate)*Sys_Repl_Rate!N18)+(1-Standards_Acceptance!O18)*(Lamp_Mkt_Repl!O18)</f>
        <v>6.3924405376762139E-2</v>
      </c>
      <c r="O308" s="199">
        <f>IF(Sys_Repl_Rate!O18&gt;=1,System_Total_Mkt!O18*(1-Retrofit_Rate),System_Total_Mkt!O18*(1-Retrofit_Rate)*Sys_Repl_Rate!O18)+(1-Standards_Acceptance!P18)*(Lamp_Mkt_Repl!P18)</f>
        <v>8.7063240377752232E-2</v>
      </c>
      <c r="P308" s="199">
        <f>IF(Sys_Repl_Rate!P18&gt;=1,System_Total_Mkt!P18*(1-Retrofit_Rate),System_Total_Mkt!P18*(1-Retrofit_Rate)*Sys_Repl_Rate!P18)+(1-Standards_Acceptance!Q18)*(Lamp_Mkt_Repl!Q18)</f>
        <v>0.11252375350931181</v>
      </c>
      <c r="Q308" s="199">
        <f>IF(Sys_Repl_Rate!Q18&gt;=1,System_Total_Mkt!Q18*(1-Retrofit_Rate),System_Total_Mkt!Q18*(1-Retrofit_Rate)*Sys_Repl_Rate!Q18)+(1-Standards_Acceptance!R18)*(Lamp_Mkt_Repl!R18)</f>
        <v>0.13939681210142943</v>
      </c>
      <c r="R308" s="199">
        <f>IF(Sys_Repl_Rate!R18&gt;=1,System_Total_Mkt!R18*(1-Retrofit_Rate),System_Total_Mkt!R18*(1-Retrofit_Rate)*Sys_Repl_Rate!R18)+(1-Standards_Acceptance!S18)*(Lamp_Mkt_Repl!S18)</f>
        <v>0.16671319297379103</v>
      </c>
      <c r="S308" s="199">
        <f>IF(Sys_Repl_Rate!S18&gt;=1,System_Total_Mkt!S18*(1-Retrofit_Rate),System_Total_Mkt!S18*(1-Retrofit_Rate)*Sys_Repl_Rate!S18)+(1-Standards_Acceptance!T18)*(Lamp_Mkt_Repl!T18)</f>
        <v>0.19363899080390315</v>
      </c>
      <c r="T308" s="199">
        <f>IF(Sys_Repl_Rate!T18&gt;=1,System_Total_Mkt!T18*(1-Retrofit_Rate),System_Total_Mkt!T18*(1-Retrofit_Rate)*Sys_Repl_Rate!T18)+(1-Standards_Acceptance!U18)*(Lamp_Mkt_Repl!U18)</f>
        <v>0.21947421275710333</v>
      </c>
      <c r="U308" s="199">
        <f>IF(Sys_Repl_Rate!U18&gt;=1,System_Total_Mkt!U18*(1-Retrofit_Rate),System_Total_Mkt!U18*(1-Retrofit_Rate)*Sys_Repl_Rate!U18)+(1-Standards_Acceptance!V18)*(Lamp_Mkt_Repl!V18)</f>
        <v>0.24372436331496278</v>
      </c>
      <c r="V308" s="199">
        <f>IF(Sys_Repl_Rate!V18&gt;=1,System_Total_Mkt!V18*(1-Retrofit_Rate),System_Total_Mkt!V18*(1-Retrofit_Rate)*Sys_Repl_Rate!V18)+(1-Standards_Acceptance!W18)*(Lamp_Mkt_Repl!W18)</f>
        <v>0.26609467314958235</v>
      </c>
      <c r="W308" s="199">
        <f>IF(Sys_Repl_Rate!W18&gt;=1,System_Total_Mkt!W18*(1-Retrofit_Rate),System_Total_Mkt!W18*(1-Retrofit_Rate)*Sys_Repl_Rate!W18)+(1-Standards_Acceptance!X18)*(Lamp_Mkt_Repl!X18)</f>
        <v>0.28645281688781338</v>
      </c>
      <c r="X308" s="199">
        <f>IF(Sys_Repl_Rate!X18&gt;=1,System_Total_Mkt!X18*(1-Retrofit_Rate),System_Total_Mkt!X18*(1-Retrofit_Rate)*Sys_Repl_Rate!X18)+(1-Standards_Acceptance!Y18)*(Lamp_Mkt_Repl!Y18)</f>
        <v>0.30478198554090014</v>
      </c>
      <c r="Y308" s="199">
        <f>IF(Sys_Repl_Rate!Y18&gt;=1,System_Total_Mkt!Y18*(1-Retrofit_Rate),System_Total_Mkt!Y18*(1-Retrofit_Rate)*Sys_Repl_Rate!Y18)+(1-Standards_Acceptance!Z18)*(Lamp_Mkt_Repl!Z18)</f>
        <v>0.32118211690887771</v>
      </c>
      <c r="Z308" s="199">
        <f>IF(Sys_Repl_Rate!Z18&gt;=1,System_Total_Mkt!Z18*(1-Retrofit_Rate),System_Total_Mkt!Z18*(1-Retrofit_Rate)*Sys_Repl_Rate!Z18)+(1-Standards_Acceptance!AA18)*(Lamp_Mkt_Repl!AA18)</f>
        <v>0.33585180448618501</v>
      </c>
      <c r="AA308" s="199">
        <f>IF(Sys_Repl_Rate!AA18&gt;=1,System_Total_Mkt!AA18*(1-Retrofit_Rate),System_Total_Mkt!AA18*(1-Retrofit_Rate)*Sys_Repl_Rate!AA18)+(1-Standards_Acceptance!AB18)*(Lamp_Mkt_Repl!AB18)</f>
        <v>0.34903254066037942</v>
      </c>
      <c r="AB308" s="199">
        <f>IF(Sys_Repl_Rate!AB18&gt;=1,System_Total_Mkt!AB18*(1-Retrofit_Rate),System_Total_Mkt!AB18*(1-Retrofit_Rate)*Sys_Repl_Rate!AB18)+(1-Standards_Acceptance!AC18)*(Lamp_Mkt_Repl!AC18)</f>
        <v>0.36102924743341747</v>
      </c>
      <c r="AC308" s="199">
        <f>IF(Sys_Repl_Rate!AC18&gt;=1,System_Total_Mkt!AC18*(1-Retrofit_Rate),System_Total_Mkt!AC18*(1-Retrofit_Rate)*Sys_Repl_Rate!AC18)+(1-Standards_Acceptance!AD18)*(Lamp_Mkt_Repl!AD18)</f>
        <v>0.37191218990834013</v>
      </c>
      <c r="AD308" s="199">
        <f>IF(Sys_Repl_Rate!AD18&gt;=1,System_Total_Mkt!AD18*(1-Retrofit_Rate),System_Total_Mkt!AD18*(1-Retrofit_Rate)*Sys_Repl_Rate!AD18)+(1-Standards_Acceptance!AE18)*(Lamp_Mkt_Repl!AE18)</f>
        <v>0.3818582229598787</v>
      </c>
      <c r="AE308" s="199">
        <f>IF(Sys_Repl_Rate!AE18&gt;=1,System_Total_Mkt!AE18*(1-Retrofit_Rate),System_Total_Mkt!AE18*(1-Retrofit_Rate)*Sys_Repl_Rate!AE18)+(1-Standards_Acceptance!AF18)*(Lamp_Mkt_Repl!AF18)</f>
        <v>0.3910034276873528</v>
      </c>
    </row>
    <row r="309" spans="1:31" s="221" customFormat="1" x14ac:dyDescent="0.25">
      <c r="A309" s="235"/>
      <c r="B309" s="235"/>
      <c r="C309"/>
      <c r="D309"/>
      <c r="E309"/>
      <c r="F309"/>
      <c r="G309"/>
      <c r="H309"/>
      <c r="I309"/>
      <c r="J309"/>
      <c r="K309"/>
      <c r="L309"/>
      <c r="M309"/>
      <c r="N309"/>
      <c r="O309"/>
      <c r="P309"/>
      <c r="Q309"/>
      <c r="R309"/>
      <c r="S309"/>
      <c r="T309"/>
      <c r="U309"/>
      <c r="V309"/>
      <c r="W309"/>
      <c r="X309"/>
      <c r="Y309"/>
      <c r="Z309"/>
      <c r="AA309"/>
      <c r="AB309"/>
      <c r="AC309"/>
      <c r="AD309"/>
      <c r="AE309"/>
    </row>
    <row r="310" spans="1:31" s="202" customFormat="1" ht="12.75" x14ac:dyDescent="0.2">
      <c r="A310" s="240" t="s">
        <v>36</v>
      </c>
      <c r="B310" s="240"/>
      <c r="C310" s="240"/>
      <c r="D310" s="240"/>
      <c r="E310" s="240"/>
      <c r="F310" s="240"/>
      <c r="G310" s="240"/>
      <c r="H310" s="240"/>
      <c r="I310" s="240"/>
      <c r="J310" s="240"/>
      <c r="K310" s="240"/>
      <c r="L310" s="240"/>
      <c r="M310" s="240"/>
      <c r="N310" s="240"/>
      <c r="O310" s="240"/>
      <c r="P310" s="240"/>
      <c r="Q310" s="240"/>
      <c r="R310" s="240"/>
      <c r="S310" s="240"/>
      <c r="T310" s="240"/>
      <c r="U310" s="240"/>
      <c r="V310" s="240"/>
      <c r="W310" s="240"/>
      <c r="X310" s="240"/>
      <c r="Y310" s="240"/>
      <c r="Z310" s="240"/>
      <c r="AA310" s="240"/>
      <c r="AB310" s="240"/>
      <c r="AC310" s="240"/>
      <c r="AD310" s="240"/>
      <c r="AE310" s="240"/>
    </row>
    <row r="311" spans="1:31" s="221" customFormat="1" x14ac:dyDescent="0.25">
      <c r="A311" s="235"/>
      <c r="B311" s="235" t="s">
        <v>37</v>
      </c>
      <c r="C311"/>
      <c r="D311"/>
      <c r="E311"/>
      <c r="F311" s="201"/>
      <c r="G311" s="199">
        <f>IF(Sys_Repl_Rate!G21&gt;=1,System_Total_Mkt!G21*(1-Retrofit_Rate),System_Total_Mkt!G21*(1-Retrofit_Rate)*Sys_Repl_Rate!G21)+(1-Standards_Acceptance!H21)*(Lamp_Mkt_Repl!H21)</f>
        <v>0.25768729774887361</v>
      </c>
      <c r="H311" s="199">
        <f>IF(Sys_Repl_Rate!H21&gt;=1,System_Total_Mkt!H21*(1-Retrofit_Rate),System_Total_Mkt!H21*(1-Retrofit_Rate)*Sys_Repl_Rate!H21)+(1-Standards_Acceptance!I21)*(Lamp_Mkt_Repl!I21)</f>
        <v>0.33667537510830137</v>
      </c>
      <c r="I311" s="199">
        <f>IF(Sys_Repl_Rate!I21&gt;=1,System_Total_Mkt!I21*(1-Retrofit_Rate),System_Total_Mkt!I21*(1-Retrofit_Rate)*Sys_Repl_Rate!I21)+(1-Standards_Acceptance!J21)*(Lamp_Mkt_Repl!J21)</f>
        <v>0.40318428292424852</v>
      </c>
      <c r="J311" s="199">
        <f>IF(Sys_Repl_Rate!J21&gt;=1,System_Total_Mkt!J21*(1-Retrofit_Rate),System_Total_Mkt!J21*(1-Retrofit_Rate)*Sys_Repl_Rate!J21)+(1-Standards_Acceptance!K21)*(Lamp_Mkt_Repl!K21)</f>
        <v>0.45702084608848892</v>
      </c>
      <c r="K311" s="199">
        <f>IF(Sys_Repl_Rate!K21&gt;=1,System_Total_Mkt!K21*(1-Retrofit_Rate),System_Total_Mkt!K21*(1-Retrofit_Rate)*Sys_Repl_Rate!K21)+(1-Standards_Acceptance!L21)*(Lamp_Mkt_Repl!L21)</f>
        <v>0.41835508615901973</v>
      </c>
      <c r="L311" s="199">
        <f>IF(Sys_Repl_Rate!L21&gt;=1,System_Total_Mkt!L21*(1-Retrofit_Rate),System_Total_Mkt!L21*(1-Retrofit_Rate)*Sys_Repl_Rate!L21)+(1-Standards_Acceptance!M21)*(Lamp_Mkt_Repl!M21)</f>
        <v>0.3828882068878684</v>
      </c>
      <c r="M311" s="199">
        <f>IF(Sys_Repl_Rate!M21&gt;=1,System_Total_Mkt!M21*(1-Retrofit_Rate),System_Total_Mkt!M21*(1-Retrofit_Rate)*Sys_Repl_Rate!M21)+(1-Standards_Acceptance!N21)*(Lamp_Mkt_Repl!N21)</f>
        <v>0.35036102972187866</v>
      </c>
      <c r="N311" s="199">
        <f>IF(Sys_Repl_Rate!N21&gt;=1,System_Total_Mkt!N21*(1-Retrofit_Rate),System_Total_Mkt!N21*(1-Retrofit_Rate)*Sys_Repl_Rate!N21)+(1-Standards_Acceptance!O21)*(Lamp_Mkt_Repl!O21)</f>
        <v>0.32060239034095672</v>
      </c>
      <c r="O311" s="199">
        <f>IF(Sys_Repl_Rate!O21&gt;=1,System_Total_Mkt!O21*(1-Retrofit_Rate),System_Total_Mkt!O21*(1-Retrofit_Rate)*Sys_Repl_Rate!O21)+(1-Standards_Acceptance!P21)*(Lamp_Mkt_Repl!P21)</f>
        <v>0.29350322454752653</v>
      </c>
      <c r="P311" s="199">
        <f>IF(Sys_Repl_Rate!P21&gt;=1,System_Total_Mkt!P21*(1-Retrofit_Rate),System_Total_Mkt!P21*(1-Retrofit_Rate)*Sys_Repl_Rate!P21)+(1-Standards_Acceptance!Q21)*(Lamp_Mkt_Repl!Q21)</f>
        <v>0.26881146580698079</v>
      </c>
      <c r="Q311" s="199">
        <f>IF(Sys_Repl_Rate!Q21&gt;=1,System_Total_Mkt!Q21*(1-Retrofit_Rate),System_Total_Mkt!Q21*(1-Retrofit_Rate)*Sys_Repl_Rate!Q21)+(1-Standards_Acceptance!R21)*(Lamp_Mkt_Repl!R21)</f>
        <v>0.24630018767202794</v>
      </c>
      <c r="R311" s="199">
        <f>IF(Sys_Repl_Rate!R21&gt;=1,System_Total_Mkt!R21*(1-Retrofit_Rate),System_Total_Mkt!R21*(1-Retrofit_Rate)*Sys_Repl_Rate!R21)+(1-Standards_Acceptance!S21)*(Lamp_Mkt_Repl!S21)</f>
        <v>0.22576525495872835</v>
      </c>
      <c r="S311" s="199">
        <f>IF(Sys_Repl_Rate!S21&gt;=1,System_Total_Mkt!S21*(1-Retrofit_Rate),System_Total_Mkt!S21*(1-Retrofit_Rate)*Sys_Repl_Rate!S21)+(1-Standards_Acceptance!T21)*(Lamp_Mkt_Repl!T21)</f>
        <v>0.20702320975242861</v>
      </c>
      <c r="T311" s="199">
        <f>IF(Sys_Repl_Rate!T21&gt;=1,System_Total_Mkt!T21*(1-Retrofit_Rate),System_Total_Mkt!T21*(1-Retrofit_Rate)*Sys_Repl_Rate!T21)+(1-Standards_Acceptance!U21)*(Lamp_Mkt_Repl!U21)</f>
        <v>0.18990858748456457</v>
      </c>
      <c r="U311" s="199">
        <f>IF(Sys_Repl_Rate!U21&gt;=1,System_Total_Mkt!U21*(1-Retrofit_Rate),System_Total_Mkt!U21*(1-Retrofit_Rate)*Sys_Repl_Rate!U21)+(1-Standards_Acceptance!V21)*(Lamp_Mkt_Repl!V21)</f>
        <v>0.1742721750526266</v>
      </c>
      <c r="V311" s="199">
        <f>IF(Sys_Repl_Rate!V21&gt;=1,System_Total_Mkt!V21*(1-Retrofit_Rate),System_Total_Mkt!V21*(1-Retrofit_Rate)*Sys_Repl_Rate!V21)+(1-Standards_Acceptance!W21)*(Lamp_Mkt_Repl!W21)</f>
        <v>0.15997944449916279</v>
      </c>
      <c r="W311" s="199">
        <f>IF(Sys_Repl_Rate!W21&gt;=1,System_Total_Mkt!W21*(1-Retrofit_Rate),System_Total_Mkt!W21*(1-Retrofit_Rate)*Sys_Repl_Rate!W21)+(1-Standards_Acceptance!X21)*(Lamp_Mkt_Repl!X21)</f>
        <v>0.14690875136139753</v>
      </c>
      <c r="X311" s="199">
        <f>IF(Sys_Repl_Rate!X21&gt;=1,System_Total_Mkt!X21*(1-Retrofit_Rate),System_Total_Mkt!X21*(1-Retrofit_Rate)*Sys_Repl_Rate!X21)+(1-Standards_Acceptance!Y21)*(Lamp_Mkt_Repl!Y21)</f>
        <v>0.13495016381929492</v>
      </c>
      <c r="Y311" s="199">
        <f>IF(Sys_Repl_Rate!Y21&gt;=1,System_Total_Mkt!Y21*(1-Retrofit_Rate),System_Total_Mkt!Y21*(1-Retrofit_Rate)*Sys_Repl_Rate!Y21)+(1-Standards_Acceptance!Z21)*(Lamp_Mkt_Repl!Z21)</f>
        <v>0.12400425195209844</v>
      </c>
      <c r="Z311" s="199">
        <f>IF(Sys_Repl_Rate!Z21&gt;=1,System_Total_Mkt!Z21*(1-Retrofit_Rate),System_Total_Mkt!Z21*(1-Retrofit_Rate)*Sys_Repl_Rate!Z21)+(1-Standards_Acceptance!AA21)*(Lamp_Mkt_Repl!AA21)</f>
        <v>0.11398106794435967</v>
      </c>
      <c r="AA311" s="199">
        <f>IF(Sys_Repl_Rate!AA21&gt;=1,System_Total_Mkt!AA21*(1-Retrofit_Rate),System_Total_Mkt!AA21*(1-Retrofit_Rate)*Sys_Repl_Rate!AA21)+(1-Standards_Acceptance!AB21)*(Lamp_Mkt_Repl!AB21)</f>
        <v>0.10479913617606493</v>
      </c>
      <c r="AB311" s="199">
        <f>IF(Sys_Repl_Rate!AB21&gt;=1,System_Total_Mkt!AB21*(1-Retrofit_Rate),System_Total_Mkt!AB21*(1-Retrofit_Rate)*Sys_Repl_Rate!AB21)+(1-Standards_Acceptance!AC21)*(Lamp_Mkt_Repl!AC21)</f>
        <v>9.6384538392818034E-2</v>
      </c>
      <c r="AC311" s="199">
        <f>IF(Sys_Repl_Rate!AC21&gt;=1,System_Total_Mkt!AC21*(1-Retrofit_Rate),System_Total_Mkt!AC21*(1-Retrofit_Rate)*Sys_Repl_Rate!AC21)+(1-Standards_Acceptance!AD21)*(Lamp_Mkt_Repl!AD21)</f>
        <v>8.8670175438799598E-2</v>
      </c>
      <c r="AD311" s="199">
        <f>IF(Sys_Repl_Rate!AD21&gt;=1,System_Total_Mkt!AD21*(1-Retrofit_Rate),System_Total_Mkt!AD21*(1-Retrofit_Rate)*Sys_Repl_Rate!AD21)+(1-Standards_Acceptance!AE21)*(Lamp_Mkt_Repl!AE21)</f>
        <v>8.1595167122924764E-2</v>
      </c>
      <c r="AE311" s="199">
        <f>IF(Sys_Repl_Rate!AE21&gt;=1,System_Total_Mkt!AE21*(1-Retrofit_Rate),System_Total_Mkt!AE21*(1-Retrofit_Rate)*Sys_Repl_Rate!AE21)+(1-Standards_Acceptance!AF21)*(Lamp_Mkt_Repl!AF21)</f>
        <v>7.5104198212446655E-2</v>
      </c>
    </row>
    <row r="312" spans="1:31" s="221" customFormat="1" x14ac:dyDescent="0.25">
      <c r="A312" s="235"/>
      <c r="B312" s="235" t="s">
        <v>39</v>
      </c>
      <c r="C312"/>
      <c r="D312"/>
      <c r="E312"/>
      <c r="F312" s="201"/>
      <c r="G312" s="199">
        <f>IF(Sys_Repl_Rate!G22&gt;=1,System_Total_Mkt!G22*(1-Retrofit_Rate),System_Total_Mkt!G22*(1-Retrofit_Rate)*Sys_Repl_Rate!G22)+(1-Standards_Acceptance!H22)*(Lamp_Mkt_Repl!H22)</f>
        <v>4.8436559392735633E-2</v>
      </c>
      <c r="H312" s="199">
        <f>IF(Sys_Repl_Rate!H22&gt;=1,System_Total_Mkt!H22*(1-Retrofit_Rate),System_Total_Mkt!H22*(1-Retrofit_Rate)*Sys_Repl_Rate!H22)+(1-Standards_Acceptance!I22)*(Lamp_Mkt_Repl!I22)</f>
        <v>6.3231075203936005E-2</v>
      </c>
      <c r="I312" s="199">
        <f>IF(Sys_Repl_Rate!I22&gt;=1,System_Total_Mkt!I22*(1-Retrofit_Rate),System_Total_Mkt!I22*(1-Retrofit_Rate)*Sys_Repl_Rate!I22)+(1-Standards_Acceptance!J22)*(Lamp_Mkt_Repl!J22)</f>
        <v>7.6528728862092152E-2</v>
      </c>
      <c r="J312" s="199">
        <f>IF(Sys_Repl_Rate!J22&gt;=1,System_Total_Mkt!J22*(1-Retrofit_Rate),System_Total_Mkt!J22*(1-Retrofit_Rate)*Sys_Repl_Rate!J22)+(1-Standards_Acceptance!K22)*(Lamp_Mkt_Repl!K22)</f>
        <v>8.806002191957446E-2</v>
      </c>
      <c r="K312" s="199">
        <f>IF(Sys_Repl_Rate!K22&gt;=1,System_Total_Mkt!K22*(1-Retrofit_Rate),System_Total_Mkt!K22*(1-Retrofit_Rate)*Sys_Repl_Rate!K22)+(1-Standards_Acceptance!L22)*(Lamp_Mkt_Repl!L22)</f>
        <v>9.7465667522251997E-2</v>
      </c>
      <c r="L312" s="199">
        <f>IF(Sys_Repl_Rate!L22&gt;=1,System_Total_Mkt!L22*(1-Retrofit_Rate),System_Total_Mkt!L22*(1-Retrofit_Rate)*Sys_Repl_Rate!L22)+(1-Standards_Acceptance!M22)*(Lamp_Mkt_Repl!M22)</f>
        <v>0.10435800063862176</v>
      </c>
      <c r="M312" s="199">
        <f>IF(Sys_Repl_Rate!M22&gt;=1,System_Total_Mkt!M22*(1-Retrofit_Rate),System_Total_Mkt!M22*(1-Retrofit_Rate)*Sys_Repl_Rate!M22)+(1-Standards_Acceptance!N22)*(Lamp_Mkt_Repl!N22)</f>
        <v>0.10893129409627725</v>
      </c>
      <c r="N312" s="199">
        <f>IF(Sys_Repl_Rate!N22&gt;=1,System_Total_Mkt!N22*(1-Retrofit_Rate),System_Total_Mkt!N22*(1-Retrofit_Rate)*Sys_Repl_Rate!N22)+(1-Standards_Acceptance!O22)*(Lamp_Mkt_Repl!O22)</f>
        <v>0.11148774377809539</v>
      </c>
      <c r="O312" s="199">
        <f>IF(Sys_Repl_Rate!O22&gt;=1,System_Total_Mkt!O22*(1-Retrofit_Rate),System_Total_Mkt!O22*(1-Retrofit_Rate)*Sys_Repl_Rate!O22)+(1-Standards_Acceptance!P22)*(Lamp_Mkt_Repl!P22)</f>
        <v>0.11235475186523253</v>
      </c>
      <c r="P312" s="199">
        <f>IF(Sys_Repl_Rate!P22&gt;=1,System_Total_Mkt!P22*(1-Retrofit_Rate),System_Total_Mkt!P22*(1-Retrofit_Rate)*Sys_Repl_Rate!P22)+(1-Standards_Acceptance!Q22)*(Lamp_Mkt_Repl!Q22)</f>
        <v>0.11190040246337742</v>
      </c>
      <c r="Q312" s="199">
        <f>IF(Sys_Repl_Rate!Q22&gt;=1,System_Total_Mkt!Q22*(1-Retrofit_Rate),System_Total_Mkt!Q22*(1-Retrofit_Rate)*Sys_Repl_Rate!Q22)+(1-Standards_Acceptance!R22)*(Lamp_Mkt_Repl!R22)</f>
        <v>0.11041284366404204</v>
      </c>
      <c r="R312" s="199">
        <f>IF(Sys_Repl_Rate!R22&gt;=1,System_Total_Mkt!R22*(1-Retrofit_Rate),System_Total_Mkt!R22*(1-Retrofit_Rate)*Sys_Repl_Rate!R22)+(1-Standards_Acceptance!S22)*(Lamp_Mkt_Repl!S22)</f>
        <v>0.10813073399745252</v>
      </c>
      <c r="S312" s="199">
        <f>IF(Sys_Repl_Rate!S22&gt;=1,System_Total_Mkt!S22*(1-Retrofit_Rate),System_Total_Mkt!S22*(1-Retrofit_Rate)*Sys_Repl_Rate!S22)+(1-Standards_Acceptance!T22)*(Lamp_Mkt_Repl!T22)</f>
        <v>0.1052954287973607</v>
      </c>
      <c r="T312" s="199">
        <f>IF(Sys_Repl_Rate!T22&gt;=1,System_Total_Mkt!T22*(1-Retrofit_Rate),System_Total_Mkt!T22*(1-Retrofit_Rate)*Sys_Repl_Rate!T22)+(1-Standards_Acceptance!U22)*(Lamp_Mkt_Repl!U22)</f>
        <v>0.10207401780021287</v>
      </c>
      <c r="U312" s="199">
        <f>IF(Sys_Repl_Rate!U22&gt;=1,System_Total_Mkt!U22*(1-Retrofit_Rate),System_Total_Mkt!U22*(1-Retrofit_Rate)*Sys_Repl_Rate!U22)+(1-Standards_Acceptance!V22)*(Lamp_Mkt_Repl!V22)</f>
        <v>9.8596974915859142E-2</v>
      </c>
      <c r="V312" s="199">
        <f>IF(Sys_Repl_Rate!V22&gt;=1,System_Total_Mkt!V22*(1-Retrofit_Rate),System_Total_Mkt!V22*(1-Retrofit_Rate)*Sys_Repl_Rate!V22)+(1-Standards_Acceptance!W22)*(Lamp_Mkt_Repl!W22)</f>
        <v>9.4985214055625863E-2</v>
      </c>
      <c r="W312" s="199">
        <f>IF(Sys_Repl_Rate!W22&gt;=1,System_Total_Mkt!W22*(1-Retrofit_Rate),System_Total_Mkt!W22*(1-Retrofit_Rate)*Sys_Repl_Rate!W22)+(1-Standards_Acceptance!X22)*(Lamp_Mkt_Repl!X22)</f>
        <v>9.1310832009541126E-2</v>
      </c>
      <c r="X312" s="199">
        <f>IF(Sys_Repl_Rate!X22&gt;=1,System_Total_Mkt!X22*(1-Retrofit_Rate),System_Total_Mkt!X22*(1-Retrofit_Rate)*Sys_Repl_Rate!X22)+(1-Standards_Acceptance!Y22)*(Lamp_Mkt_Repl!Y22)</f>
        <v>8.7629669002179736E-2</v>
      </c>
      <c r="Y312" s="199">
        <f>IF(Sys_Repl_Rate!Y22&gt;=1,System_Total_Mkt!Y22*(1-Retrofit_Rate),System_Total_Mkt!Y22*(1-Retrofit_Rate)*Sys_Repl_Rate!Y22)+(1-Standards_Acceptance!Z22)*(Lamp_Mkt_Repl!Z22)</f>
        <v>8.3984735433205324E-2</v>
      </c>
      <c r="Z312" s="199">
        <f>IF(Sys_Repl_Rate!Z22&gt;=1,System_Total_Mkt!Z22*(1-Retrofit_Rate),System_Total_Mkt!Z22*(1-Retrofit_Rate)*Sys_Repl_Rate!Z22)+(1-Standards_Acceptance!AA22)*(Lamp_Mkt_Repl!AA22)</f>
        <v>8.0417734268067823E-2</v>
      </c>
      <c r="AA312" s="199">
        <f>IF(Sys_Repl_Rate!AA22&gt;=1,System_Total_Mkt!AA22*(1-Retrofit_Rate),System_Total_Mkt!AA22*(1-Retrofit_Rate)*Sys_Repl_Rate!AA22)+(1-Standards_Acceptance!AB22)*(Lamp_Mkt_Repl!AB22)</f>
        <v>7.6961785640303051E-2</v>
      </c>
      <c r="AB312" s="199">
        <f>IF(Sys_Repl_Rate!AB22&gt;=1,System_Total_Mkt!AB22*(1-Retrofit_Rate),System_Total_Mkt!AB22*(1-Retrofit_Rate)*Sys_Repl_Rate!AB22)+(1-Standards_Acceptance!AC22)*(Lamp_Mkt_Repl!AC22)</f>
        <v>7.3634143451998271E-2</v>
      </c>
      <c r="AC312" s="199">
        <f>IF(Sys_Repl_Rate!AC22&gt;=1,System_Total_Mkt!AC22*(1-Retrofit_Rate),System_Total_Mkt!AC22*(1-Retrofit_Rate)*Sys_Repl_Rate!AC22)+(1-Standards_Acceptance!AD22)*(Lamp_Mkt_Repl!AD22)</f>
        <v>7.043427540132656E-2</v>
      </c>
      <c r="AD312" s="199">
        <f>IF(Sys_Repl_Rate!AD22&gt;=1,System_Total_Mkt!AD22*(1-Retrofit_Rate),System_Total_Mkt!AD22*(1-Retrofit_Rate)*Sys_Repl_Rate!AD22)+(1-Standards_Acceptance!AE22)*(Lamp_Mkt_Repl!AE22)</f>
        <v>6.736633288563923E-2</v>
      </c>
      <c r="AE312" s="199">
        <f>IF(Sys_Repl_Rate!AE22&gt;=1,System_Total_Mkt!AE22*(1-Retrofit_Rate),System_Total_Mkt!AE22*(1-Retrofit_Rate)*Sys_Repl_Rate!AE22)+(1-Standards_Acceptance!AF22)*(Lamp_Mkt_Repl!AF22)</f>
        <v>6.4429467897611878E-2</v>
      </c>
    </row>
    <row r="313" spans="1:31" s="221" customFormat="1" x14ac:dyDescent="0.25">
      <c r="A313" s="235"/>
      <c r="B313" s="235" t="s">
        <v>40</v>
      </c>
      <c r="C313"/>
      <c r="D313"/>
      <c r="E313"/>
      <c r="F313" s="201"/>
      <c r="G313" s="199">
        <f>IF(Sys_Repl_Rate!G23&gt;=1,System_Total_Mkt!G23*(1-Retrofit_Rate),System_Total_Mkt!G23*(1-Retrofit_Rate)*Sys_Repl_Rate!G23)+(1-Standards_Acceptance!H23)*(Lamp_Mkt_Repl!H23)</f>
        <v>0</v>
      </c>
      <c r="H313" s="199">
        <f>IF(Sys_Repl_Rate!H23&gt;=1,System_Total_Mkt!H23*(1-Retrofit_Rate),System_Total_Mkt!H23*(1-Retrofit_Rate)*Sys_Repl_Rate!H23)+(1-Standards_Acceptance!I23)*(Lamp_Mkt_Repl!I23)</f>
        <v>6.6065078789317843E-3</v>
      </c>
      <c r="I313" s="199">
        <f>IF(Sys_Repl_Rate!I23&gt;=1,System_Total_Mkt!I23*(1-Retrofit_Rate),System_Total_Mkt!I23*(1-Retrofit_Rate)*Sys_Repl_Rate!I23)+(1-Standards_Acceptance!J23)*(Lamp_Mkt_Repl!J23)</f>
        <v>1.4492729262505463E-2</v>
      </c>
      <c r="J313" s="199">
        <f>IF(Sys_Repl_Rate!J23&gt;=1,System_Total_Mkt!J23*(1-Retrofit_Rate),System_Total_Mkt!J23*(1-Retrofit_Rate)*Sys_Repl_Rate!J23)+(1-Standards_Acceptance!K23)*(Lamp_Mkt_Repl!K23)</f>
        <v>2.3616445511789236E-2</v>
      </c>
      <c r="K313" s="199">
        <f>IF(Sys_Repl_Rate!K23&gt;=1,System_Total_Mkt!K23*(1-Retrofit_Rate),System_Total_Mkt!K23*(1-Retrofit_Rate)*Sys_Repl_Rate!K23)+(1-Standards_Acceptance!L23)*(Lamp_Mkt_Repl!L23)</f>
        <v>3.3749218827167186E-2</v>
      </c>
      <c r="L313" s="199">
        <f>IF(Sys_Repl_Rate!L23&gt;=1,System_Total_Mkt!L23*(1-Retrofit_Rate),System_Total_Mkt!L23*(1-Retrofit_Rate)*Sys_Repl_Rate!L23)+(1-Standards_Acceptance!M23)*(Lamp_Mkt_Repl!M23)</f>
        <v>4.4141254864140819E-2</v>
      </c>
      <c r="M313" s="199">
        <f>IF(Sys_Repl_Rate!M23&gt;=1,System_Total_Mkt!M23*(1-Retrofit_Rate),System_Total_Mkt!M23*(1-Retrofit_Rate)*Sys_Repl_Rate!M23)+(1-Standards_Acceptance!N23)*(Lamp_Mkt_Repl!N23)</f>
        <v>5.4481651329890392E-2</v>
      </c>
      <c r="N313" s="199">
        <f>IF(Sys_Repl_Rate!N23&gt;=1,System_Total_Mkt!N23*(1-Retrofit_Rate),System_Total_Mkt!N23*(1-Retrofit_Rate)*Sys_Repl_Rate!N23)+(1-Standards_Acceptance!O23)*(Lamp_Mkt_Repl!O23)</f>
        <v>6.4327447229507229E-2</v>
      </c>
      <c r="O313" s="199">
        <f>IF(Sys_Repl_Rate!O23&gt;=1,System_Total_Mkt!O23*(1-Retrofit_Rate),System_Total_Mkt!O23*(1-Retrofit_Rate)*Sys_Repl_Rate!O23)+(1-Standards_Acceptance!P23)*(Lamp_Mkt_Repl!P23)</f>
        <v>7.3368020783074514E-2</v>
      </c>
      <c r="P313" s="199">
        <f>IF(Sys_Repl_Rate!P23&gt;=1,System_Total_Mkt!P23*(1-Retrofit_Rate),System_Total_Mkt!P23*(1-Retrofit_Rate)*Sys_Repl_Rate!P23)+(1-Standards_Acceptance!Q23)*(Lamp_Mkt_Repl!Q23)</f>
        <v>8.1385415858723414E-2</v>
      </c>
      <c r="Q313" s="199">
        <f>IF(Sys_Repl_Rate!Q23&gt;=1,System_Total_Mkt!Q23*(1-Retrofit_Rate),System_Total_Mkt!Q23*(1-Retrofit_Rate)*Sys_Repl_Rate!Q23)+(1-Standards_Acceptance!R23)*(Lamp_Mkt_Repl!R23)</f>
        <v>8.8241174267588554E-2</v>
      </c>
      <c r="R313" s="199">
        <f>IF(Sys_Repl_Rate!R23&gt;=1,System_Total_Mkt!R23*(1-Retrofit_Rate),System_Total_Mkt!R23*(1-Retrofit_Rate)*Sys_Repl_Rate!R23)+(1-Standards_Acceptance!S23)*(Lamp_Mkt_Repl!S23)</f>
        <v>9.3865642769188934E-2</v>
      </c>
      <c r="S313" s="199">
        <f>IF(Sys_Repl_Rate!S23&gt;=1,System_Total_Mkt!S23*(1-Retrofit_Rate),System_Total_Mkt!S23*(1-Retrofit_Rate)*Sys_Repl_Rate!S23)+(1-Standards_Acceptance!T23)*(Lamp_Mkt_Repl!T23)</f>
        <v>9.8308832462042903E-2</v>
      </c>
      <c r="T313" s="199">
        <f>IF(Sys_Repl_Rate!T23&gt;=1,System_Total_Mkt!T23*(1-Retrofit_Rate),System_Total_Mkt!T23*(1-Retrofit_Rate)*Sys_Repl_Rate!T23)+(1-Standards_Acceptance!U23)*(Lamp_Mkt_Repl!U23)</f>
        <v>0.10162930307885866</v>
      </c>
      <c r="U313" s="199">
        <f>IF(Sys_Repl_Rate!U23&gt;=1,System_Total_Mkt!U23*(1-Retrofit_Rate),System_Total_Mkt!U23*(1-Retrofit_Rate)*Sys_Repl_Rate!U23)+(1-Standards_Acceptance!V23)*(Lamp_Mkt_Repl!V23)</f>
        <v>0.10392512557034121</v>
      </c>
      <c r="V313" s="199">
        <f>IF(Sys_Repl_Rate!V23&gt;=1,System_Total_Mkt!V23*(1-Retrofit_Rate),System_Total_Mkt!V23*(1-Retrofit_Rate)*Sys_Repl_Rate!V23)+(1-Standards_Acceptance!W23)*(Lamp_Mkt_Repl!W23)</f>
        <v>0.10533962597673921</v>
      </c>
      <c r="W313" s="199">
        <f>IF(Sys_Repl_Rate!W23&gt;=1,System_Total_Mkt!W23*(1-Retrofit_Rate),System_Total_Mkt!W23*(1-Retrofit_Rate)*Sys_Repl_Rate!W23)+(1-Standards_Acceptance!X23)*(Lamp_Mkt_Repl!X23)</f>
        <v>0.10599193658719694</v>
      </c>
      <c r="X313" s="199">
        <f>IF(Sys_Repl_Rate!X23&gt;=1,System_Total_Mkt!X23*(1-Retrofit_Rate),System_Total_Mkt!X23*(1-Retrofit_Rate)*Sys_Repl_Rate!X23)+(1-Standards_Acceptance!Y23)*(Lamp_Mkt_Repl!Y23)</f>
        <v>0.10600002347901329</v>
      </c>
      <c r="Y313" s="199">
        <f>IF(Sys_Repl_Rate!Y23&gt;=1,System_Total_Mkt!Y23*(1-Retrofit_Rate),System_Total_Mkt!Y23*(1-Retrofit_Rate)*Sys_Repl_Rate!Y23)+(1-Standards_Acceptance!Z23)*(Lamp_Mkt_Repl!Z23)</f>
        <v>0.10547765235322037</v>
      </c>
      <c r="Z313" s="199">
        <f>IF(Sys_Repl_Rate!Z23&gt;=1,System_Total_Mkt!Z23*(1-Retrofit_Rate),System_Total_Mkt!Z23*(1-Retrofit_Rate)*Sys_Repl_Rate!Z23)+(1-Standards_Acceptance!AA23)*(Lamp_Mkt_Repl!AA23)</f>
        <v>0.10454336328856435</v>
      </c>
      <c r="AA313" s="199">
        <f>IF(Sys_Repl_Rate!AA23&gt;=1,System_Total_Mkt!AA23*(1-Retrofit_Rate),System_Total_Mkt!AA23*(1-Retrofit_Rate)*Sys_Repl_Rate!AA23)+(1-Standards_Acceptance!AB23)*(Lamp_Mkt_Repl!AB23)</f>
        <v>0.10330315449352617</v>
      </c>
      <c r="AB313" s="199">
        <f>IF(Sys_Repl_Rate!AB23&gt;=1,System_Total_Mkt!AB23*(1-Retrofit_Rate),System_Total_Mkt!AB23*(1-Retrofit_Rate)*Sys_Repl_Rate!AB23)+(1-Standards_Acceptance!AC23)*(Lamp_Mkt_Repl!AC23)</f>
        <v>0.10184239616529174</v>
      </c>
      <c r="AC313" s="199">
        <f>IF(Sys_Repl_Rate!AC23&gt;=1,System_Total_Mkt!AC23*(1-Retrofit_Rate),System_Total_Mkt!AC23*(1-Retrofit_Rate)*Sys_Repl_Rate!AC23)+(1-Standards_Acceptance!AD23)*(Lamp_Mkt_Repl!AD23)</f>
        <v>0.10019646475837567</v>
      </c>
      <c r="AD313" s="199">
        <f>IF(Sys_Repl_Rate!AD23&gt;=1,System_Total_Mkt!AD23*(1-Retrofit_Rate),System_Total_Mkt!AD23*(1-Retrofit_Rate)*Sys_Repl_Rate!AD23)+(1-Standards_Acceptance!AE23)*(Lamp_Mkt_Repl!AE23)</f>
        <v>9.8413151522934686E-2</v>
      </c>
      <c r="AE313" s="199">
        <f>IF(Sys_Repl_Rate!AE23&gt;=1,System_Total_Mkt!AE23*(1-Retrofit_Rate),System_Total_Mkt!AE23*(1-Retrofit_Rate)*Sys_Repl_Rate!AE23)+(1-Standards_Acceptance!AF23)*(Lamp_Mkt_Repl!AF23)</f>
        <v>9.6528626090432459E-2</v>
      </c>
    </row>
    <row r="314" spans="1:31" s="221" customFormat="1" x14ac:dyDescent="0.25">
      <c r="A314" s="235"/>
      <c r="B314" s="235" t="s">
        <v>29</v>
      </c>
      <c r="C314"/>
      <c r="D314"/>
      <c r="E314"/>
      <c r="F314" s="201"/>
      <c r="G314" s="199">
        <f>IF(Sys_Repl_Rate!G24&gt;=1,System_Total_Mkt!G24*(1-Retrofit_Rate),System_Total_Mkt!G24*(1-Retrofit_Rate)*Sys_Repl_Rate!G24)+(1-Standards_Acceptance!H24)*(Lamp_Mkt_Repl!H24)</f>
        <v>0</v>
      </c>
      <c r="H314" s="199">
        <f>IF(Sys_Repl_Rate!H24&gt;=1,System_Total_Mkt!H24*(1-Retrofit_Rate),System_Total_Mkt!H24*(1-Retrofit_Rate)*Sys_Repl_Rate!H24)+(1-Standards_Acceptance!I24)*(Lamp_Mkt_Repl!I24)</f>
        <v>1.4479247406264282E-6</v>
      </c>
      <c r="I314" s="199">
        <f>IF(Sys_Repl_Rate!I24&gt;=1,System_Total_Mkt!I24*(1-Retrofit_Rate),System_Total_Mkt!I24*(1-Retrofit_Rate)*Sys_Repl_Rate!I24)+(1-Standards_Acceptance!J24)*(Lamp_Mkt_Repl!J24)</f>
        <v>3.3298128980019873E-5</v>
      </c>
      <c r="J314" s="199">
        <f>IF(Sys_Repl_Rate!J24&gt;=1,System_Total_Mkt!J24*(1-Retrofit_Rate),System_Total_Mkt!J24*(1-Retrofit_Rate)*Sys_Repl_Rate!J24)+(1-Standards_Acceptance!K24)*(Lamp_Mkt_Repl!K24)</f>
        <v>2.2368002311953298E-4</v>
      </c>
      <c r="K314" s="199">
        <f>IF(Sys_Repl_Rate!K24&gt;=1,System_Total_Mkt!K24*(1-Retrofit_Rate),System_Total_Mkt!K24*(1-Retrofit_Rate)*Sys_Repl_Rate!K24)+(1-Standards_Acceptance!L24)*(Lamp_Mkt_Repl!L24)</f>
        <v>8.2778114217617338E-4</v>
      </c>
      <c r="L314" s="199">
        <f>IF(Sys_Repl_Rate!L24&gt;=1,System_Total_Mkt!L24*(1-Retrofit_Rate),System_Total_Mkt!L24*(1-Retrofit_Rate)*Sys_Repl_Rate!L24)+(1-Standards_Acceptance!M24)*(Lamp_Mkt_Repl!M24)</f>
        <v>2.1712532888585254E-3</v>
      </c>
      <c r="M314" s="199">
        <f>IF(Sys_Repl_Rate!M24&gt;=1,System_Total_Mkt!M24*(1-Retrofit_Rate),System_Total_Mkt!M24*(1-Retrofit_Rate)*Sys_Repl_Rate!M24)+(1-Standards_Acceptance!N24)*(Lamp_Mkt_Repl!N24)</f>
        <v>4.5915363570999315E-3</v>
      </c>
      <c r="N314" s="199">
        <f>IF(Sys_Repl_Rate!N24&gt;=1,System_Total_Mkt!N24*(1-Retrofit_Rate),System_Total_Mkt!N24*(1-Retrofit_Rate)*Sys_Repl_Rate!N24)+(1-Standards_Acceptance!O24)*(Lamp_Mkt_Repl!O24)</f>
        <v>8.3241661719418072E-3</v>
      </c>
      <c r="O314" s="199">
        <f>IF(Sys_Repl_Rate!O24&gt;=1,System_Total_Mkt!O24*(1-Retrofit_Rate),System_Total_Mkt!O24*(1-Retrofit_Rate)*Sys_Repl_Rate!O24)+(1-Standards_Acceptance!P24)*(Lamp_Mkt_Repl!P24)</f>
        <v>1.3522851744801325E-2</v>
      </c>
      <c r="P314" s="199">
        <f>IF(Sys_Repl_Rate!P24&gt;=1,System_Total_Mkt!P24*(1-Retrofit_Rate),System_Total_Mkt!P24*(1-Retrofit_Rate)*Sys_Repl_Rate!P24)+(1-Standards_Acceptance!Q24)*(Lamp_Mkt_Repl!Q24)</f>
        <v>2.0242803004765199E-2</v>
      </c>
      <c r="Q314" s="199">
        <f>IF(Sys_Repl_Rate!Q24&gt;=1,System_Total_Mkt!Q24*(1-Retrofit_Rate),System_Total_Mkt!Q24*(1-Retrofit_Rate)*Sys_Repl_Rate!Q24)+(1-Standards_Acceptance!R24)*(Lamp_Mkt_Repl!R24)</f>
        <v>2.8491017189758466E-2</v>
      </c>
      <c r="R314" s="199">
        <f>IF(Sys_Repl_Rate!R24&gt;=1,System_Total_Mkt!R24*(1-Retrofit_Rate),System_Total_Mkt!R24*(1-Retrofit_Rate)*Sys_Repl_Rate!R24)+(1-Standards_Acceptance!S24)*(Lamp_Mkt_Repl!S24)</f>
        <v>3.8140216463681161E-2</v>
      </c>
      <c r="S314" s="199">
        <f>IF(Sys_Repl_Rate!S24&gt;=1,System_Total_Mkt!S24*(1-Retrofit_Rate),System_Total_Mkt!S24*(1-Retrofit_Rate)*Sys_Repl_Rate!S24)+(1-Standards_Acceptance!T24)*(Lamp_Mkt_Repl!T24)</f>
        <v>4.911194836264348E-2</v>
      </c>
      <c r="T314" s="199">
        <f>IF(Sys_Repl_Rate!T24&gt;=1,System_Total_Mkt!T24*(1-Retrofit_Rate),System_Total_Mkt!T24*(1-Retrofit_Rate)*Sys_Repl_Rate!T24)+(1-Standards_Acceptance!U24)*(Lamp_Mkt_Repl!U24)</f>
        <v>6.1245595697486221E-2</v>
      </c>
      <c r="U314" s="199">
        <f>IF(Sys_Repl_Rate!U24&gt;=1,System_Total_Mkt!U24*(1-Retrofit_Rate),System_Total_Mkt!U24*(1-Retrofit_Rate)*Sys_Repl_Rate!U24)+(1-Standards_Acceptance!V24)*(Lamp_Mkt_Repl!V24)</f>
        <v>7.4357188283193362E-2</v>
      </c>
      <c r="V314" s="199">
        <f>IF(Sys_Repl_Rate!V24&gt;=1,System_Total_Mkt!V24*(1-Retrofit_Rate),System_Total_Mkt!V24*(1-Retrofit_Rate)*Sys_Repl_Rate!V24)+(1-Standards_Acceptance!W24)*(Lamp_Mkt_Repl!W24)</f>
        <v>8.8263141713783161E-2</v>
      </c>
      <c r="W314" s="199">
        <f>IF(Sys_Repl_Rate!W24&gt;=1,System_Total_Mkt!W24*(1-Retrofit_Rate),System_Total_Mkt!W24*(1-Retrofit_Rate)*Sys_Repl_Rate!W24)+(1-Standards_Acceptance!X24)*(Lamp_Mkt_Repl!X24)</f>
        <v>0.10274293166214256</v>
      </c>
      <c r="X314" s="199">
        <f>IF(Sys_Repl_Rate!X24&gt;=1,System_Total_Mkt!X24*(1-Retrofit_Rate),System_Total_Mkt!X24*(1-Retrofit_Rate)*Sys_Repl_Rate!X24)+(1-Standards_Acceptance!Y24)*(Lamp_Mkt_Repl!Y24)</f>
        <v>0.11757706608331707</v>
      </c>
      <c r="Y314" s="199">
        <f>IF(Sys_Repl_Rate!Y24&gt;=1,System_Total_Mkt!Y24*(1-Retrofit_Rate),System_Total_Mkt!Y24*(1-Retrofit_Rate)*Sys_Repl_Rate!Y24)+(1-Standards_Acceptance!Z24)*(Lamp_Mkt_Repl!Z24)</f>
        <v>0.13258461403333227</v>
      </c>
      <c r="Z314" s="199">
        <f>IF(Sys_Repl_Rate!Z24&gt;=1,System_Total_Mkt!Z24*(1-Retrofit_Rate),System_Total_Mkt!Z24*(1-Retrofit_Rate)*Sys_Repl_Rate!Z24)+(1-Standards_Acceptance!AA24)*(Lamp_Mkt_Repl!AA24)</f>
        <v>0.14765658256807571</v>
      </c>
      <c r="AA314" s="199">
        <f>IF(Sys_Repl_Rate!AA24&gt;=1,System_Total_Mkt!AA24*(1-Retrofit_Rate),System_Total_Mkt!AA24*(1-Retrofit_Rate)*Sys_Repl_Rate!AA24)+(1-Standards_Acceptance!AB24)*(Lamp_Mkt_Repl!AB24)</f>
        <v>0.16272415580363914</v>
      </c>
      <c r="AB314" s="199">
        <f>IF(Sys_Repl_Rate!AB24&gt;=1,System_Total_Mkt!AB24*(1-Retrofit_Rate),System_Total_Mkt!AB24*(1-Retrofit_Rate)*Sys_Repl_Rate!AB24)+(1-Standards_Acceptance!AC24)*(Lamp_Mkt_Repl!AC24)</f>
        <v>0.17779975383156976</v>
      </c>
      <c r="AC314" s="199">
        <f>IF(Sys_Repl_Rate!AC24&gt;=1,System_Total_Mkt!AC24*(1-Retrofit_Rate),System_Total_Mkt!AC24*(1-Retrofit_Rate)*Sys_Repl_Rate!AC24)+(1-Standards_Acceptance!AD24)*(Lamp_Mkt_Repl!AD24)</f>
        <v>0.19268995980186024</v>
      </c>
      <c r="AD314" s="199">
        <f>IF(Sys_Repl_Rate!AD24&gt;=1,System_Total_Mkt!AD24*(1-Retrofit_Rate),System_Total_Mkt!AD24*(1-Retrofit_Rate)*Sys_Repl_Rate!AD24)+(1-Standards_Acceptance!AE24)*(Lamp_Mkt_Repl!AE24)</f>
        <v>0.20734213668169785</v>
      </c>
      <c r="AE314" s="199">
        <f>IF(Sys_Repl_Rate!AE24&gt;=1,System_Total_Mkt!AE24*(1-Retrofit_Rate),System_Total_Mkt!AE24*(1-Retrofit_Rate)*Sys_Repl_Rate!AE24)+(1-Standards_Acceptance!AF24)*(Lamp_Mkt_Repl!AF24)</f>
        <v>0.22172315210329735</v>
      </c>
    </row>
    <row r="315" spans="1:31" s="221" customFormat="1" x14ac:dyDescent="0.25">
      <c r="A315" s="235"/>
      <c r="B315" s="235"/>
      <c r="C315"/>
      <c r="D315"/>
      <c r="E315"/>
      <c r="F315"/>
      <c r="G315"/>
      <c r="H315"/>
      <c r="I315"/>
      <c r="J315"/>
      <c r="K315"/>
      <c r="L315"/>
      <c r="M315"/>
      <c r="N315"/>
      <c r="O315"/>
      <c r="P315"/>
      <c r="Q315"/>
      <c r="R315"/>
      <c r="S315"/>
      <c r="T315"/>
      <c r="U315"/>
      <c r="V315"/>
      <c r="W315"/>
      <c r="X315"/>
      <c r="Y315"/>
      <c r="Z315"/>
      <c r="AA315"/>
      <c r="AB315"/>
      <c r="AC315"/>
      <c r="AD315"/>
      <c r="AE315"/>
    </row>
    <row r="316" spans="1:31" s="202" customFormat="1" ht="12.75" x14ac:dyDescent="0.2">
      <c r="A316" s="240" t="s">
        <v>42</v>
      </c>
      <c r="B316" s="240"/>
      <c r="C316" s="240"/>
      <c r="D316" s="240"/>
      <c r="E316" s="240"/>
      <c r="F316" s="240"/>
      <c r="G316" s="240"/>
      <c r="H316" s="240"/>
      <c r="I316" s="240"/>
      <c r="J316" s="240"/>
      <c r="K316" s="240"/>
      <c r="L316" s="240"/>
      <c r="M316" s="240"/>
      <c r="N316" s="240"/>
      <c r="O316" s="240"/>
      <c r="P316" s="240"/>
      <c r="Q316" s="240"/>
      <c r="R316" s="240"/>
      <c r="S316" s="240"/>
      <c r="T316" s="240"/>
      <c r="U316" s="240"/>
      <c r="V316" s="240"/>
      <c r="W316" s="240"/>
      <c r="X316" s="240"/>
      <c r="Y316" s="240"/>
      <c r="Z316" s="240"/>
      <c r="AA316" s="240"/>
      <c r="AB316" s="240"/>
      <c r="AC316" s="240"/>
      <c r="AD316" s="240"/>
      <c r="AE316" s="240"/>
    </row>
    <row r="317" spans="1:31" s="221" customFormat="1" x14ac:dyDescent="0.25">
      <c r="A317" s="235"/>
      <c r="B317" s="237" t="s">
        <v>43</v>
      </c>
      <c r="C317"/>
      <c r="D317"/>
      <c r="E317"/>
      <c r="F317" s="201"/>
      <c r="G317" s="199">
        <f>IF(Sys_Repl_Rate!G27&gt;=1,System_Total_Mkt!G27*(1-Retrofit_Rate),System_Total_Mkt!G27*(1-Retrofit_Rate)*Sys_Repl_Rate!G27)+(1-Standards_Acceptance!H27)*(Lamp_Mkt_Repl!H27)</f>
        <v>3.0586270746668398E-4</v>
      </c>
      <c r="H317" s="199">
        <f>IF(Sys_Repl_Rate!H27&gt;=1,System_Total_Mkt!H27*(1-Retrofit_Rate),System_Total_Mkt!H27*(1-Retrofit_Rate)*Sys_Repl_Rate!H27)+(1-Standards_Acceptance!I27)*(Lamp_Mkt_Repl!I27)</f>
        <v>2.8775214329006179E-4</v>
      </c>
      <c r="I317" s="199">
        <f>IF(Sys_Repl_Rate!I27&gt;=1,System_Total_Mkt!I27*(1-Retrofit_Rate),System_Total_Mkt!I27*(1-Retrofit_Rate)*Sys_Repl_Rate!I27)+(1-Standards_Acceptance!J27)*(Lamp_Mkt_Repl!J27)</f>
        <v>2.708910220710442E-4</v>
      </c>
      <c r="J317" s="199">
        <f>IF(Sys_Repl_Rate!J27&gt;=1,System_Total_Mkt!J27*(1-Retrofit_Rate),System_Total_Mkt!J27*(1-Retrofit_Rate)*Sys_Repl_Rate!J27)+(1-Standards_Acceptance!K27)*(Lamp_Mkt_Repl!K27)</f>
        <v>2.5515926320036892E-4</v>
      </c>
      <c r="K317" s="199">
        <f>IF(Sys_Repl_Rate!K27&gt;=1,System_Total_Mkt!K27*(1-Retrofit_Rate),System_Total_Mkt!K27*(1-Retrofit_Rate)*Sys_Repl_Rate!K27)+(1-Standards_Acceptance!L27)*(Lamp_Mkt_Repl!L27)</f>
        <v>2.404285862794934E-4</v>
      </c>
      <c r="L317" s="199">
        <f>IF(Sys_Repl_Rate!L27&gt;=1,System_Total_Mkt!L27*(1-Retrofit_Rate),System_Total_Mkt!L27*(1-Retrofit_Rate)*Sys_Repl_Rate!L27)+(1-Standards_Acceptance!M27)*(Lamp_Mkt_Repl!M27)</f>
        <v>2.2663236062855628E-4</v>
      </c>
      <c r="M317" s="199">
        <f>IF(Sys_Repl_Rate!M27&gt;=1,System_Total_Mkt!M27*(1-Retrofit_Rate),System_Total_Mkt!M27*(1-Retrofit_Rate)*Sys_Repl_Rate!M27)+(1-Standards_Acceptance!N27)*(Lamp_Mkt_Repl!N27)</f>
        <v>2.1369340765330246E-4</v>
      </c>
      <c r="N317" s="199">
        <f>IF(Sys_Repl_Rate!N27&gt;=1,System_Total_Mkt!N27*(1-Retrofit_Rate),System_Total_Mkt!N27*(1-Retrofit_Rate)*Sys_Repl_Rate!N27)+(1-Standards_Acceptance!O27)*(Lamp_Mkt_Repl!O27)</f>
        <v>2.015418800365175E-4</v>
      </c>
      <c r="O317" s="199">
        <f>IF(Sys_Repl_Rate!O27&gt;=1,System_Total_Mkt!O27*(1-Retrofit_Rate),System_Total_Mkt!O27*(1-Retrofit_Rate)*Sys_Repl_Rate!O27)+(1-Standards_Acceptance!P27)*(Lamp_Mkt_Repl!P27)</f>
        <v>1.9012834076469675E-4</v>
      </c>
      <c r="P317" s="199">
        <f>IF(Sys_Repl_Rate!P27&gt;=1,System_Total_Mkt!P27*(1-Retrofit_Rate),System_Total_Mkt!P27*(1-Retrofit_Rate)*Sys_Repl_Rate!P27)+(1-Standards_Acceptance!Q27)*(Lamp_Mkt_Repl!Q27)</f>
        <v>1.794105148959039E-4</v>
      </c>
      <c r="Q317" s="199">
        <f>IF(Sys_Repl_Rate!Q27&gt;=1,System_Total_Mkt!Q27*(1-Retrofit_Rate),System_Total_Mkt!Q27*(1-Retrofit_Rate)*Sys_Repl_Rate!Q27)+(1-Standards_Acceptance!R27)*(Lamp_Mkt_Repl!R27)</f>
        <v>1.6934921810179388E-4</v>
      </c>
      <c r="R317" s="199">
        <f>IF(Sys_Repl_Rate!R27&gt;=1,System_Total_Mkt!R27*(1-Retrofit_Rate),System_Total_Mkt!R27*(1-Retrofit_Rate)*Sys_Repl_Rate!R27)+(1-Standards_Acceptance!S27)*(Lamp_Mkt_Repl!S27)</f>
        <v>1.5990498759850102E-4</v>
      </c>
      <c r="S317" s="199">
        <f>IF(Sys_Repl_Rate!S27&gt;=1,System_Total_Mkt!S27*(1-Retrofit_Rate),System_Total_Mkt!S27*(1-Retrofit_Rate)*Sys_Repl_Rate!S27)+(1-Standards_Acceptance!T27)*(Lamp_Mkt_Repl!T27)</f>
        <v>1.5105474224842732E-4</v>
      </c>
      <c r="T317" s="199">
        <f>IF(Sys_Repl_Rate!T27&gt;=1,System_Total_Mkt!T27*(1-Retrofit_Rate),System_Total_Mkt!T27*(1-Retrofit_Rate)*Sys_Repl_Rate!T27)+(1-Standards_Acceptance!U27)*(Lamp_Mkt_Repl!U27)</f>
        <v>1.4276867962376648E-4</v>
      </c>
      <c r="U317" s="199">
        <f>IF(Sys_Repl_Rate!U27&gt;=1,System_Total_Mkt!U27*(1-Retrofit_Rate),System_Total_Mkt!U27*(1-Retrofit_Rate)*Sys_Repl_Rate!U27)+(1-Standards_Acceptance!V27)*(Lamp_Mkt_Repl!V27)</f>
        <v>1.3501801284770715E-4</v>
      </c>
      <c r="V317" s="199">
        <f>IF(Sys_Repl_Rate!V27&gt;=1,System_Total_Mkt!V27*(1-Retrofit_Rate),System_Total_Mkt!V27*(1-Retrofit_Rate)*Sys_Repl_Rate!V27)+(1-Standards_Acceptance!W27)*(Lamp_Mkt_Repl!W27)</f>
        <v>1.2777808118061629E-4</v>
      </c>
      <c r="W317" s="199">
        <f>IF(Sys_Repl_Rate!W27&gt;=1,System_Total_Mkt!W27*(1-Retrofit_Rate),System_Total_Mkt!W27*(1-Retrofit_Rate)*Sys_Repl_Rate!W27)+(1-Standards_Acceptance!X27)*(Lamp_Mkt_Repl!X27)</f>
        <v>1.2101831036430373E-4</v>
      </c>
      <c r="X317" s="199">
        <f>IF(Sys_Repl_Rate!X27&gt;=1,System_Total_Mkt!X27*(1-Retrofit_Rate),System_Total_Mkt!X27*(1-Retrofit_Rate)*Sys_Repl_Rate!X27)+(1-Standards_Acceptance!Y27)*(Lamp_Mkt_Repl!Y27)</f>
        <v>1.1470825061752356E-4</v>
      </c>
      <c r="Y317" s="199">
        <f>IF(Sys_Repl_Rate!Y27&gt;=1,System_Total_Mkt!Y27*(1-Retrofit_Rate),System_Total_Mkt!Y27*(1-Retrofit_Rate)*Sys_Repl_Rate!Y27)+(1-Standards_Acceptance!Z27)*(Lamp_Mkt_Repl!Z27)</f>
        <v>1.0881935467439167E-4</v>
      </c>
      <c r="Z317" s="199">
        <f>IF(Sys_Repl_Rate!Z27&gt;=1,System_Total_Mkt!Z27*(1-Retrofit_Rate),System_Total_Mkt!Z27*(1-Retrofit_Rate)*Sys_Repl_Rate!Z27)+(1-Standards_Acceptance!AA27)*(Lamp_Mkt_Repl!AA27)</f>
        <v>1.0332808042985452E-4</v>
      </c>
      <c r="AA317" s="199">
        <f>IF(Sys_Repl_Rate!AA27&gt;=1,System_Total_Mkt!AA27*(1-Retrofit_Rate),System_Total_Mkt!AA27*(1-Retrofit_Rate)*Sys_Repl_Rate!AA27)+(1-Standards_Acceptance!AB27)*(Lamp_Mkt_Repl!AB27)</f>
        <v>9.8212781757859051E-5</v>
      </c>
      <c r="AB317" s="199">
        <f>IF(Sys_Repl_Rate!AB27&gt;=1,System_Total_Mkt!AB27*(1-Retrofit_Rate),System_Total_Mkt!AB27*(1-Retrofit_Rate)*Sys_Repl_Rate!AB27)+(1-Standards_Acceptance!AC27)*(Lamp_Mkt_Repl!AC27)</f>
        <v>9.345429062689045E-5</v>
      </c>
      <c r="AC317" s="199">
        <f>IF(Sys_Repl_Rate!AC27&gt;=1,System_Total_Mkt!AC27*(1-Retrofit_Rate),System_Total_Mkt!AC27*(1-Retrofit_Rate)*Sys_Repl_Rate!AC27)+(1-Standards_Acceptance!AD27)*(Lamp_Mkt_Repl!AD27)</f>
        <v>8.9021374985838171E-5</v>
      </c>
      <c r="AD317" s="199">
        <f>IF(Sys_Repl_Rate!AD27&gt;=1,System_Total_Mkt!AD27*(1-Retrofit_Rate),System_Total_Mkt!AD27*(1-Retrofit_Rate)*Sys_Repl_Rate!AD27)+(1-Standards_Acceptance!AE27)*(Lamp_Mkt_Repl!AE27)</f>
        <v>8.4891765067225715E-5</v>
      </c>
      <c r="AE317" s="199">
        <f>IF(Sys_Repl_Rate!AE27&gt;=1,System_Total_Mkt!AE27*(1-Retrofit_Rate),System_Total_Mkt!AE27*(1-Retrofit_Rate)*Sys_Repl_Rate!AE27)+(1-Standards_Acceptance!AF27)*(Lamp_Mkt_Repl!AF27)</f>
        <v>8.1044397109518329E-5</v>
      </c>
    </row>
    <row r="318" spans="1:31" s="221" customFormat="1" x14ac:dyDescent="0.25">
      <c r="A318" s="235"/>
      <c r="B318" s="237" t="s">
        <v>44</v>
      </c>
      <c r="C318"/>
      <c r="D318"/>
      <c r="E318"/>
      <c r="F318" s="201"/>
      <c r="G318" s="199">
        <f>IF(Sys_Repl_Rate!G28&gt;=1,System_Total_Mkt!G28*(1-Retrofit_Rate),System_Total_Mkt!G28*(1-Retrofit_Rate)*Sys_Repl_Rate!G28)+(1-Standards_Acceptance!H28)*(Lamp_Mkt_Repl!H28)</f>
        <v>4.5642655429942777E-5</v>
      </c>
      <c r="H318" s="199">
        <f>IF(Sys_Repl_Rate!H28&gt;=1,System_Total_Mkt!H28*(1-Retrofit_Rate),System_Total_Mkt!H28*(1-Retrofit_Rate)*Sys_Repl_Rate!H28)+(1-Standards_Acceptance!I28)*(Lamp_Mkt_Repl!I28)</f>
        <v>3.2126241429846538E-4</v>
      </c>
      <c r="I318" s="199">
        <f>IF(Sys_Repl_Rate!I28&gt;=1,System_Total_Mkt!I28*(1-Retrofit_Rate),System_Total_Mkt!I28*(1-Retrofit_Rate)*Sys_Repl_Rate!I28)+(1-Standards_Acceptance!J28)*(Lamp_Mkt_Repl!J28)</f>
        <v>5.7411445645962078E-4</v>
      </c>
      <c r="J318" s="199">
        <f>IF(Sys_Repl_Rate!J28&gt;=1,System_Total_Mkt!J28*(1-Retrofit_Rate),System_Total_Mkt!J28*(1-Retrofit_Rate)*Sys_Repl_Rate!J28)+(1-Standards_Acceptance!K28)*(Lamp_Mkt_Repl!K28)</f>
        <v>8.0324104307104684E-4</v>
      </c>
      <c r="K318" s="199">
        <f>IF(Sys_Repl_Rate!K28&gt;=1,System_Total_Mkt!K28*(1-Retrofit_Rate),System_Total_Mkt!K28*(1-Retrofit_Rate)*Sys_Repl_Rate!K28)+(1-Standards_Acceptance!L28)*(Lamp_Mkt_Repl!L28)</f>
        <v>1.0061202745883339E-3</v>
      </c>
      <c r="L318" s="199">
        <f>IF(Sys_Repl_Rate!L28&gt;=1,System_Total_Mkt!L28*(1-Retrofit_Rate),System_Total_Mkt!L28*(1-Retrofit_Rate)*Sys_Repl_Rate!L28)+(1-Standards_Acceptance!M28)*(Lamp_Mkt_Repl!M28)</f>
        <v>1.1851974885776734E-3</v>
      </c>
      <c r="M318" s="199">
        <f>IF(Sys_Repl_Rate!M28&gt;=1,System_Total_Mkt!M28*(1-Retrofit_Rate),System_Total_Mkt!M28*(1-Retrofit_Rate)*Sys_Repl_Rate!M28)+(1-Standards_Acceptance!N28)*(Lamp_Mkt_Repl!N28)</f>
        <v>1.3413736994437747E-3</v>
      </c>
      <c r="N318" s="199">
        <f>IF(Sys_Repl_Rate!N28&gt;=1,System_Total_Mkt!N28*(1-Retrofit_Rate),System_Total_Mkt!N28*(1-Retrofit_Rate)*Sys_Repl_Rate!N28)+(1-Standards_Acceptance!O28)*(Lamp_Mkt_Repl!O28)</f>
        <v>1.4755299243195028E-3</v>
      </c>
      <c r="O318" s="199">
        <f>IF(Sys_Repl_Rate!O28&gt;=1,System_Total_Mkt!O28*(1-Retrofit_Rate),System_Total_Mkt!O28*(1-Retrofit_Rate)*Sys_Repl_Rate!O28)+(1-Standards_Acceptance!P28)*(Lamp_Mkt_Repl!P28)</f>
        <v>1.5899281178323088E-3</v>
      </c>
      <c r="P318" s="199">
        <f>IF(Sys_Repl_Rate!P28&gt;=1,System_Total_Mkt!P28*(1-Retrofit_Rate),System_Total_Mkt!P28*(1-Retrofit_Rate)*Sys_Repl_Rate!P28)+(1-Standards_Acceptance!Q28)*(Lamp_Mkt_Repl!Q28)</f>
        <v>1.6869836790173876E-3</v>
      </c>
      <c r="Q318" s="199">
        <f>IF(Sys_Repl_Rate!Q28&gt;=1,System_Total_Mkt!Q28*(1-Retrofit_Rate),System_Total_Mkt!Q28*(1-Retrofit_Rate)*Sys_Repl_Rate!Q28)+(1-Standards_Acceptance!R28)*(Lamp_Mkt_Repl!R28)</f>
        <v>1.7689633990858214E-3</v>
      </c>
      <c r="R318" s="199">
        <f>IF(Sys_Repl_Rate!R28&gt;=1,System_Total_Mkt!R28*(1-Retrofit_Rate),System_Total_Mkt!R28*(1-Retrofit_Rate)*Sys_Repl_Rate!R28)+(1-Standards_Acceptance!S28)*(Lamp_Mkt_Repl!S28)</f>
        <v>1.8376695413674315E-3</v>
      </c>
      <c r="S318" s="199">
        <f>IF(Sys_Repl_Rate!S28&gt;=1,System_Total_Mkt!S28*(1-Retrofit_Rate),System_Total_Mkt!S28*(1-Retrofit_Rate)*Sys_Repl_Rate!S28)+(1-Standards_Acceptance!T28)*(Lamp_Mkt_Repl!T28)</f>
        <v>1.8960272510657717E-3</v>
      </c>
      <c r="T318" s="199">
        <f>IF(Sys_Repl_Rate!T28&gt;=1,System_Total_Mkt!T28*(1-Retrofit_Rate),System_Total_Mkt!T28*(1-Retrofit_Rate)*Sys_Repl_Rate!T28)+(1-Standards_Acceptance!U28)*(Lamp_Mkt_Repl!U28)</f>
        <v>1.9459579450017579E-3</v>
      </c>
      <c r="U318" s="199">
        <f>IF(Sys_Repl_Rate!U28&gt;=1,System_Total_Mkt!U28*(1-Retrofit_Rate),System_Total_Mkt!U28*(1-Retrofit_Rate)*Sys_Repl_Rate!U28)+(1-Standards_Acceptance!V28)*(Lamp_Mkt_Repl!V28)</f>
        <v>1.9891353596445849E-3</v>
      </c>
      <c r="V318" s="199">
        <f>IF(Sys_Repl_Rate!V28&gt;=1,System_Total_Mkt!V28*(1-Retrofit_Rate),System_Total_Mkt!V28*(1-Retrofit_Rate)*Sys_Repl_Rate!V28)+(1-Standards_Acceptance!W28)*(Lamp_Mkt_Repl!W28)</f>
        <v>2.027292543166932E-3</v>
      </c>
      <c r="W318" s="199">
        <f>IF(Sys_Repl_Rate!W28&gt;=1,System_Total_Mkt!W28*(1-Retrofit_Rate),System_Total_Mkt!W28*(1-Retrofit_Rate)*Sys_Repl_Rate!W28)+(1-Standards_Acceptance!X28)*(Lamp_Mkt_Repl!X28)</f>
        <v>2.0613182907973982E-3</v>
      </c>
      <c r="X318" s="199">
        <f>IF(Sys_Repl_Rate!X28&gt;=1,System_Total_Mkt!X28*(1-Retrofit_Rate),System_Total_Mkt!X28*(1-Retrofit_Rate)*Sys_Repl_Rate!X28)+(1-Standards_Acceptance!Y28)*(Lamp_Mkt_Repl!Y28)</f>
        <v>2.0918364035971207E-3</v>
      </c>
      <c r="Y318" s="199">
        <f>IF(Sys_Repl_Rate!Y28&gt;=1,System_Total_Mkt!Y28*(1-Retrofit_Rate),System_Total_Mkt!Y28*(1-Retrofit_Rate)*Sys_Repl_Rate!Y28)+(1-Standards_Acceptance!Z28)*(Lamp_Mkt_Repl!Z28)</f>
        <v>2.1193967887269357E-3</v>
      </c>
      <c r="Z318" s="199">
        <f>IF(Sys_Repl_Rate!Z28&gt;=1,System_Total_Mkt!Z28*(1-Retrofit_Rate),System_Total_Mkt!Z28*(1-Retrofit_Rate)*Sys_Repl_Rate!Z28)+(1-Standards_Acceptance!AA28)*(Lamp_Mkt_Repl!AA28)</f>
        <v>2.1447828251152617E-3</v>
      </c>
      <c r="AA318" s="199">
        <f>IF(Sys_Repl_Rate!AA28&gt;=1,System_Total_Mkt!AA28*(1-Retrofit_Rate),System_Total_Mkt!AA28*(1-Retrofit_Rate)*Sys_Repl_Rate!AA28)+(1-Standards_Acceptance!AB28)*(Lamp_Mkt_Repl!AB28)</f>
        <v>2.1687378440140271E-3</v>
      </c>
      <c r="AB318" s="199">
        <f>IF(Sys_Repl_Rate!AB28&gt;=1,System_Total_Mkt!AB28*(1-Retrofit_Rate),System_Total_Mkt!AB28*(1-Retrofit_Rate)*Sys_Repl_Rate!AB28)+(1-Standards_Acceptance!AC28)*(Lamp_Mkt_Repl!AC28)</f>
        <v>2.1920500484252591E-3</v>
      </c>
      <c r="AC318" s="199">
        <f>IF(Sys_Repl_Rate!AC28&gt;=1,System_Total_Mkt!AC28*(1-Retrofit_Rate),System_Total_Mkt!AC28*(1-Retrofit_Rate)*Sys_Repl_Rate!AC28)+(1-Standards_Acceptance!AD28)*(Lamp_Mkt_Repl!AD28)</f>
        <v>2.2141661055164077E-3</v>
      </c>
      <c r="AD318" s="199">
        <f>IF(Sys_Repl_Rate!AD28&gt;=1,System_Total_Mkt!AD28*(1-Retrofit_Rate),System_Total_Mkt!AD28*(1-Retrofit_Rate)*Sys_Repl_Rate!AD28)+(1-Standards_Acceptance!AE28)*(Lamp_Mkt_Repl!AE28)</f>
        <v>2.2352125684376579E-3</v>
      </c>
      <c r="AE318" s="199">
        <f>IF(Sys_Repl_Rate!AE28&gt;=1,System_Total_Mkt!AE28*(1-Retrofit_Rate),System_Total_Mkt!AE28*(1-Retrofit_Rate)*Sys_Repl_Rate!AE28)+(1-Standards_Acceptance!AF28)*(Lamp_Mkt_Repl!AF28)</f>
        <v>2.2552724275111207E-3</v>
      </c>
    </row>
    <row r="319" spans="1:31" s="221" customFormat="1" x14ac:dyDescent="0.25">
      <c r="A319" s="235"/>
      <c r="B319" s="237" t="s">
        <v>45</v>
      </c>
      <c r="C319"/>
      <c r="D319"/>
      <c r="E319"/>
      <c r="F319" s="201"/>
      <c r="G319" s="199">
        <f>IF(Sys_Repl_Rate!G29&gt;=1,System_Total_Mkt!G29*(1-Retrofit_Rate),System_Total_Mkt!G29*(1-Retrofit_Rate)*Sys_Repl_Rate!G29)+(1-Standards_Acceptance!H29)*(Lamp_Mkt_Repl!H29)</f>
        <v>3.2484723409540641E-3</v>
      </c>
      <c r="H319" s="199">
        <f>IF(Sys_Repl_Rate!H29&gt;=1,System_Total_Mkt!H29*(1-Retrofit_Rate),System_Total_Mkt!H29*(1-Retrofit_Rate)*Sys_Repl_Rate!H29)+(1-Standards_Acceptance!I29)*(Lamp_Mkt_Repl!I29)</f>
        <v>3.0262730796069355E-3</v>
      </c>
      <c r="I319" s="199">
        <f>IF(Sys_Repl_Rate!I29&gt;=1,System_Total_Mkt!I29*(1-Retrofit_Rate),System_Total_Mkt!I29*(1-Retrofit_Rate)*Sys_Repl_Rate!I29)+(1-Standards_Acceptance!J29)*(Lamp_Mkt_Repl!J29)</f>
        <v>2.8198084338452068E-3</v>
      </c>
      <c r="J319" s="199">
        <f>IF(Sys_Repl_Rate!J29&gt;=1,System_Total_Mkt!J29*(1-Retrofit_Rate),System_Total_Mkt!J29*(1-Retrofit_Rate)*Sys_Repl_Rate!J29)+(1-Standards_Acceptance!K29)*(Lamp_Mkt_Repl!K29)</f>
        <v>2.6279119674653796E-3</v>
      </c>
      <c r="K319" s="199">
        <f>IF(Sys_Repl_Rate!K29&gt;=1,System_Total_Mkt!K29*(1-Retrofit_Rate),System_Total_Mkt!K29*(1-Retrofit_Rate)*Sys_Repl_Rate!K29)+(1-Standards_Acceptance!L29)*(Lamp_Mkt_Repl!L29)</f>
        <v>2.4494962653698283E-3</v>
      </c>
      <c r="L319" s="199">
        <f>IF(Sys_Repl_Rate!L29&gt;=1,System_Total_Mkt!L29*(1-Retrofit_Rate),System_Total_Mkt!L29*(1-Retrofit_Rate)*Sys_Repl_Rate!L29)+(1-Standards_Acceptance!M29)*(Lamp_Mkt_Repl!M29)</f>
        <v>2.2835831801382407E-3</v>
      </c>
      <c r="M319" s="199">
        <f>IF(Sys_Repl_Rate!M29&gt;=1,System_Total_Mkt!M29*(1-Retrofit_Rate),System_Total_Mkt!M29*(1-Retrofit_Rate)*Sys_Repl_Rate!M29)+(1-Standards_Acceptance!N29)*(Lamp_Mkt_Repl!N29)</f>
        <v>2.1292606569236604E-3</v>
      </c>
      <c r="N319" s="199">
        <f>IF(Sys_Repl_Rate!N29&gt;=1,System_Total_Mkt!N29*(1-Retrofit_Rate),System_Total_Mkt!N29*(1-Retrofit_Rate)*Sys_Repl_Rate!N29)+(1-Standards_Acceptance!O29)*(Lamp_Mkt_Repl!O29)</f>
        <v>1.9856851730216756E-3</v>
      </c>
      <c r="O319" s="199">
        <f>IF(Sys_Repl_Rate!O29&gt;=1,System_Total_Mkt!O29*(1-Retrofit_Rate),System_Total_Mkt!O29*(1-Retrofit_Rate)*Sys_Repl_Rate!O29)+(1-Standards_Acceptance!P29)*(Lamp_Mkt_Repl!P29)</f>
        <v>1.8520846527748938E-3</v>
      </c>
      <c r="P319" s="199">
        <f>IF(Sys_Repl_Rate!P29&gt;=1,System_Total_Mkt!P29*(1-Retrofit_Rate),System_Total_Mkt!P29*(1-Retrofit_Rate)*Sys_Repl_Rate!P29)+(1-Standards_Acceptance!Q29)*(Lamp_Mkt_Repl!Q29)</f>
        <v>1.7277464583707422E-3</v>
      </c>
      <c r="Q319" s="199">
        <f>IF(Sys_Repl_Rate!Q29&gt;=1,System_Total_Mkt!Q29*(1-Retrofit_Rate),System_Total_Mkt!Q29*(1-Retrofit_Rate)*Sys_Repl_Rate!Q29)+(1-Standards_Acceptance!R29)*(Lamp_Mkt_Repl!R29)</f>
        <v>1.6120112145659184E-3</v>
      </c>
      <c r="R319" s="199">
        <f>IF(Sys_Repl_Rate!R29&gt;=1,System_Total_Mkt!R29*(1-Retrofit_Rate),System_Total_Mkt!R29*(1-Retrofit_Rate)*Sys_Repl_Rate!R29)+(1-Standards_Acceptance!S29)*(Lamp_Mkt_Repl!S29)</f>
        <v>1.5042667692296598E-3</v>
      </c>
      <c r="S319" s="199">
        <f>IF(Sys_Repl_Rate!S29&gt;=1,System_Total_Mkt!S29*(1-Retrofit_Rate),System_Total_Mkt!S29*(1-Retrofit_Rate)*Sys_Repl_Rate!S29)+(1-Standards_Acceptance!T29)*(Lamp_Mkt_Repl!T29)</f>
        <v>1.4039533903947388E-3</v>
      </c>
      <c r="T319" s="199">
        <f>IF(Sys_Repl_Rate!T29&gt;=1,System_Total_Mkt!T29*(1-Retrofit_Rate),System_Total_Mkt!T29*(1-Retrofit_Rate)*Sys_Repl_Rate!T29)+(1-Standards_Acceptance!U29)*(Lamp_Mkt_Repl!U29)</f>
        <v>1.3105481410366413E-3</v>
      </c>
      <c r="U319" s="199">
        <f>IF(Sys_Repl_Rate!U29&gt;=1,System_Total_Mkt!U29*(1-Retrofit_Rate),System_Total_Mkt!U29*(1-Retrofit_Rate)*Sys_Repl_Rate!U29)+(1-Standards_Acceptance!V29)*(Lamp_Mkt_Repl!V29)</f>
        <v>1.2235659490972485E-3</v>
      </c>
      <c r="V319" s="199">
        <f>IF(Sys_Repl_Rate!V29&gt;=1,System_Total_Mkt!V29*(1-Retrofit_Rate),System_Total_Mkt!V29*(1-Retrofit_Rate)*Sys_Repl_Rate!V29)+(1-Standards_Acceptance!W29)*(Lamp_Mkt_Repl!W29)</f>
        <v>1.1425583463260172E-3</v>
      </c>
      <c r="W319" s="199">
        <f>IF(Sys_Repl_Rate!W29&gt;=1,System_Total_Mkt!W29*(1-Retrofit_Rate),System_Total_Mkt!W29*(1-Retrofit_Rate)*Sys_Repl_Rate!W29)+(1-Standards_Acceptance!X29)*(Lamp_Mkt_Repl!X29)</f>
        <v>1.0671056013576733E-3</v>
      </c>
      <c r="X319" s="199">
        <f>IF(Sys_Repl_Rate!X29&gt;=1,System_Total_Mkt!X29*(1-Retrofit_Rate),System_Total_Mkt!X29*(1-Retrofit_Rate)*Sys_Repl_Rate!X29)+(1-Standards_Acceptance!Y29)*(Lamp_Mkt_Repl!Y29)</f>
        <v>9.9681746531845336E-4</v>
      </c>
      <c r="Y319" s="199">
        <f>IF(Sys_Repl_Rate!Y29&gt;=1,System_Total_Mkt!Y29*(1-Retrofit_Rate),System_Total_Mkt!Y29*(1-Retrofit_Rate)*Sys_Repl_Rate!Y29)+(1-Standards_Acceptance!Z29)*(Lamp_Mkt_Repl!Z29)</f>
        <v>9.3133192635937959E-4</v>
      </c>
      <c r="Z319" s="199">
        <f>IF(Sys_Repl_Rate!Z29&gt;=1,System_Total_Mkt!Z29*(1-Retrofit_Rate),System_Total_Mkt!Z29*(1-Retrofit_Rate)*Sys_Repl_Rate!Z29)+(1-Standards_Acceptance!AA29)*(Lamp_Mkt_Repl!AA29)</f>
        <v>8.7031479395997368E-4</v>
      </c>
      <c r="AA319" s="199">
        <f>IF(Sys_Repl_Rate!AA29&gt;=1,System_Total_Mkt!AA29*(1-Retrofit_Rate),System_Total_Mkt!AA29*(1-Retrofit_Rate)*Sys_Repl_Rate!AA29)+(1-Standards_Acceptance!AB29)*(Lamp_Mkt_Repl!AB29)</f>
        <v>8.1345615708762172E-4</v>
      </c>
      <c r="AB319" s="199">
        <f>IF(Sys_Repl_Rate!AB29&gt;=1,System_Total_Mkt!AB29*(1-Retrofit_Rate),System_Total_Mkt!AB29*(1-Retrofit_Rate)*Sys_Repl_Rate!AB29)+(1-Standards_Acceptance!AC29)*(Lamp_Mkt_Repl!AC29)</f>
        <v>7.6046905329214777E-4</v>
      </c>
      <c r="AC319" s="199">
        <f>IF(Sys_Repl_Rate!AC29&gt;=1,System_Total_Mkt!AC29*(1-Retrofit_Rate),System_Total_Mkt!AC29*(1-Retrofit_Rate)*Sys_Repl_Rate!AC29)+(1-Standards_Acceptance!AD29)*(Lamp_Mkt_Repl!AD29)</f>
        <v>7.1107986257736759E-4</v>
      </c>
      <c r="AD319" s="199">
        <f>IF(Sys_Repl_Rate!AD29&gt;=1,System_Total_Mkt!AD29*(1-Retrofit_Rate),System_Total_Mkt!AD29*(1-Retrofit_Rate)*Sys_Repl_Rate!AD29)+(1-Standards_Acceptance!AE29)*(Lamp_Mkt_Repl!AE29)</f>
        <v>6.6503826745680807E-4</v>
      </c>
      <c r="AE319" s="199">
        <f>IF(Sys_Repl_Rate!AE29&gt;=1,System_Total_Mkt!AE29*(1-Retrofit_Rate),System_Total_Mkt!AE29*(1-Retrofit_Rate)*Sys_Repl_Rate!AE29)+(1-Standards_Acceptance!AF29)*(Lamp_Mkt_Repl!AF29)</f>
        <v>6.2211169421019883E-4</v>
      </c>
    </row>
    <row r="320" spans="1:31" s="221" customFormat="1" x14ac:dyDescent="0.25">
      <c r="A320" s="235"/>
      <c r="B320" s="237" t="s">
        <v>46</v>
      </c>
      <c r="C320"/>
      <c r="D320"/>
      <c r="E320"/>
      <c r="F320" s="201"/>
      <c r="G320" s="199">
        <f>IF(Sys_Repl_Rate!G30&gt;=1,System_Total_Mkt!G30*(1-Retrofit_Rate),System_Total_Mkt!G30*(1-Retrofit_Rate)*Sys_Repl_Rate!G30)+(1-Standards_Acceptance!H30)*(Lamp_Mkt_Repl!H30)</f>
        <v>0</v>
      </c>
      <c r="H320" s="199">
        <f>IF(Sys_Repl_Rate!H30&gt;=1,System_Total_Mkt!H30*(1-Retrofit_Rate),System_Total_Mkt!H30*(1-Retrofit_Rate)*Sys_Repl_Rate!H30)+(1-Standards_Acceptance!I30)*(Lamp_Mkt_Repl!I30)</f>
        <v>0</v>
      </c>
      <c r="I320" s="199">
        <f>IF(Sys_Repl_Rate!I30&gt;=1,System_Total_Mkt!I30*(1-Retrofit_Rate),System_Total_Mkt!I30*(1-Retrofit_Rate)*Sys_Repl_Rate!I30)+(1-Standards_Acceptance!J30)*(Lamp_Mkt_Repl!J30)</f>
        <v>0</v>
      </c>
      <c r="J320" s="199">
        <f>IF(Sys_Repl_Rate!J30&gt;=1,System_Total_Mkt!J30*(1-Retrofit_Rate),System_Total_Mkt!J30*(1-Retrofit_Rate)*Sys_Repl_Rate!J30)+(1-Standards_Acceptance!K30)*(Lamp_Mkt_Repl!K30)</f>
        <v>0</v>
      </c>
      <c r="K320" s="199">
        <f>IF(Sys_Repl_Rate!K30&gt;=1,System_Total_Mkt!K30*(1-Retrofit_Rate),System_Total_Mkt!K30*(1-Retrofit_Rate)*Sys_Repl_Rate!K30)+(1-Standards_Acceptance!L30)*(Lamp_Mkt_Repl!L30)</f>
        <v>0</v>
      </c>
      <c r="L320" s="199">
        <f>IF(Sys_Repl_Rate!L30&gt;=1,System_Total_Mkt!L30*(1-Retrofit_Rate),System_Total_Mkt!L30*(1-Retrofit_Rate)*Sys_Repl_Rate!L30)+(1-Standards_Acceptance!M30)*(Lamp_Mkt_Repl!M30)</f>
        <v>0</v>
      </c>
      <c r="M320" s="199">
        <f>IF(Sys_Repl_Rate!M30&gt;=1,System_Total_Mkt!M30*(1-Retrofit_Rate),System_Total_Mkt!M30*(1-Retrofit_Rate)*Sys_Repl_Rate!M30)+(1-Standards_Acceptance!N30)*(Lamp_Mkt_Repl!N30)</f>
        <v>0</v>
      </c>
      <c r="N320" s="199">
        <f>IF(Sys_Repl_Rate!N30&gt;=1,System_Total_Mkt!N30*(1-Retrofit_Rate),System_Total_Mkt!N30*(1-Retrofit_Rate)*Sys_Repl_Rate!N30)+(1-Standards_Acceptance!O30)*(Lamp_Mkt_Repl!O30)</f>
        <v>0</v>
      </c>
      <c r="O320" s="199">
        <f>IF(Sys_Repl_Rate!O30&gt;=1,System_Total_Mkt!O30*(1-Retrofit_Rate),System_Total_Mkt!O30*(1-Retrofit_Rate)*Sys_Repl_Rate!O30)+(1-Standards_Acceptance!P30)*(Lamp_Mkt_Repl!P30)</f>
        <v>0</v>
      </c>
      <c r="P320" s="199">
        <f>IF(Sys_Repl_Rate!P30&gt;=1,System_Total_Mkt!P30*(1-Retrofit_Rate),System_Total_Mkt!P30*(1-Retrofit_Rate)*Sys_Repl_Rate!P30)+(1-Standards_Acceptance!Q30)*(Lamp_Mkt_Repl!Q30)</f>
        <v>0</v>
      </c>
      <c r="Q320" s="199">
        <f>IF(Sys_Repl_Rate!Q30&gt;=1,System_Total_Mkt!Q30*(1-Retrofit_Rate),System_Total_Mkt!Q30*(1-Retrofit_Rate)*Sys_Repl_Rate!Q30)+(1-Standards_Acceptance!R30)*(Lamp_Mkt_Repl!R30)</f>
        <v>0</v>
      </c>
      <c r="R320" s="199">
        <f>IF(Sys_Repl_Rate!R30&gt;=1,System_Total_Mkt!R30*(1-Retrofit_Rate),System_Total_Mkt!R30*(1-Retrofit_Rate)*Sys_Repl_Rate!R30)+(1-Standards_Acceptance!S30)*(Lamp_Mkt_Repl!S30)</f>
        <v>0</v>
      </c>
      <c r="S320" s="199">
        <f>IF(Sys_Repl_Rate!S30&gt;=1,System_Total_Mkt!S30*(1-Retrofit_Rate),System_Total_Mkt!S30*(1-Retrofit_Rate)*Sys_Repl_Rate!S30)+(1-Standards_Acceptance!T30)*(Lamp_Mkt_Repl!T30)</f>
        <v>0</v>
      </c>
      <c r="T320" s="199">
        <f>IF(Sys_Repl_Rate!T30&gt;=1,System_Total_Mkt!T30*(1-Retrofit_Rate),System_Total_Mkt!T30*(1-Retrofit_Rate)*Sys_Repl_Rate!T30)+(1-Standards_Acceptance!U30)*(Lamp_Mkt_Repl!U30)</f>
        <v>0</v>
      </c>
      <c r="U320" s="199">
        <f>IF(Sys_Repl_Rate!U30&gt;=1,System_Total_Mkt!U30*(1-Retrofit_Rate),System_Total_Mkt!U30*(1-Retrofit_Rate)*Sys_Repl_Rate!U30)+(1-Standards_Acceptance!V30)*(Lamp_Mkt_Repl!V30)</f>
        <v>0</v>
      </c>
      <c r="V320" s="199">
        <f>IF(Sys_Repl_Rate!V30&gt;=1,System_Total_Mkt!V30*(1-Retrofit_Rate),System_Total_Mkt!V30*(1-Retrofit_Rate)*Sys_Repl_Rate!V30)+(1-Standards_Acceptance!W30)*(Lamp_Mkt_Repl!W30)</f>
        <v>0</v>
      </c>
      <c r="W320" s="199">
        <f>IF(Sys_Repl_Rate!W30&gt;=1,System_Total_Mkt!W30*(1-Retrofit_Rate),System_Total_Mkt!W30*(1-Retrofit_Rate)*Sys_Repl_Rate!W30)+(1-Standards_Acceptance!X30)*(Lamp_Mkt_Repl!X30)</f>
        <v>0</v>
      </c>
      <c r="X320" s="199">
        <f>IF(Sys_Repl_Rate!X30&gt;=1,System_Total_Mkt!X30*(1-Retrofit_Rate),System_Total_Mkt!X30*(1-Retrofit_Rate)*Sys_Repl_Rate!X30)+(1-Standards_Acceptance!Y30)*(Lamp_Mkt_Repl!Y30)</f>
        <v>0</v>
      </c>
      <c r="Y320" s="199">
        <f>IF(Sys_Repl_Rate!Y30&gt;=1,System_Total_Mkt!Y30*(1-Retrofit_Rate),System_Total_Mkt!Y30*(1-Retrofit_Rate)*Sys_Repl_Rate!Y30)+(1-Standards_Acceptance!Z30)*(Lamp_Mkt_Repl!Z30)</f>
        <v>0</v>
      </c>
      <c r="Z320" s="199">
        <f>IF(Sys_Repl_Rate!Z30&gt;=1,System_Total_Mkt!Z30*(1-Retrofit_Rate),System_Total_Mkt!Z30*(1-Retrofit_Rate)*Sys_Repl_Rate!Z30)+(1-Standards_Acceptance!AA30)*(Lamp_Mkt_Repl!AA30)</f>
        <v>0</v>
      </c>
      <c r="AA320" s="199">
        <f>IF(Sys_Repl_Rate!AA30&gt;=1,System_Total_Mkt!AA30*(1-Retrofit_Rate),System_Total_Mkt!AA30*(1-Retrofit_Rate)*Sys_Repl_Rate!AA30)+(1-Standards_Acceptance!AB30)*(Lamp_Mkt_Repl!AB30)</f>
        <v>0</v>
      </c>
      <c r="AB320" s="199">
        <f>IF(Sys_Repl_Rate!AB30&gt;=1,System_Total_Mkt!AB30*(1-Retrofit_Rate),System_Total_Mkt!AB30*(1-Retrofit_Rate)*Sys_Repl_Rate!AB30)+(1-Standards_Acceptance!AC30)*(Lamp_Mkt_Repl!AC30)</f>
        <v>0</v>
      </c>
      <c r="AC320" s="199">
        <f>IF(Sys_Repl_Rate!AC30&gt;=1,System_Total_Mkt!AC30*(1-Retrofit_Rate),System_Total_Mkt!AC30*(1-Retrofit_Rate)*Sys_Repl_Rate!AC30)+(1-Standards_Acceptance!AD30)*(Lamp_Mkt_Repl!AD30)</f>
        <v>0</v>
      </c>
      <c r="AD320" s="199">
        <f>IF(Sys_Repl_Rate!AD30&gt;=1,System_Total_Mkt!AD30*(1-Retrofit_Rate),System_Total_Mkt!AD30*(1-Retrofit_Rate)*Sys_Repl_Rate!AD30)+(1-Standards_Acceptance!AE30)*(Lamp_Mkt_Repl!AE30)</f>
        <v>0</v>
      </c>
      <c r="AE320" s="199">
        <f>IF(Sys_Repl_Rate!AE30&gt;=1,System_Total_Mkt!AE30*(1-Retrofit_Rate),System_Total_Mkt!AE30*(1-Retrofit_Rate)*Sys_Repl_Rate!AE30)+(1-Standards_Acceptance!AF30)*(Lamp_Mkt_Repl!AF30)</f>
        <v>0</v>
      </c>
    </row>
    <row r="321" spans="1:56" s="221" customFormat="1" x14ac:dyDescent="0.25">
      <c r="A321" s="235"/>
      <c r="B321" s="235" t="s">
        <v>29</v>
      </c>
      <c r="C321"/>
      <c r="D321"/>
      <c r="E321"/>
      <c r="F321"/>
      <c r="G321" s="199">
        <f>IF(Sys_Repl_Rate!G31&gt;=1,System_Total_Mkt!G31*(1-Retrofit_Rate),System_Total_Mkt!G31*(1-Retrofit_Rate)*Sys_Repl_Rate!G31)+(1-Standards_Acceptance!H31)*(Lamp_Mkt_Repl!H31)</f>
        <v>0</v>
      </c>
      <c r="H321" s="199">
        <f>IF(Sys_Repl_Rate!H31&gt;=1,System_Total_Mkt!H31*(1-Retrofit_Rate),System_Total_Mkt!H31*(1-Retrofit_Rate)*Sys_Repl_Rate!H31)+(1-Standards_Acceptance!I31)*(Lamp_Mkt_Repl!I31)</f>
        <v>6.3212830353690067E-5</v>
      </c>
      <c r="I321" s="199">
        <f>IF(Sys_Repl_Rate!I31&gt;=1,System_Total_Mkt!I31*(1-Retrofit_Rate),System_Total_Mkt!I31*(1-Retrofit_Rate)*Sys_Repl_Rate!I31)+(1-Standards_Acceptance!J31)*(Lamp_Mkt_Repl!J31)</f>
        <v>1.3761077808539378E-4</v>
      </c>
      <c r="J321" s="199">
        <f>IF(Sys_Repl_Rate!J31&gt;=1,System_Total_Mkt!J31*(1-Retrofit_Rate),System_Total_Mkt!J31*(1-Retrofit_Rate)*Sys_Repl_Rate!J31)+(1-Standards_Acceptance!K31)*(Lamp_Mkt_Repl!K31)</f>
        <v>2.2718639891647677E-4</v>
      </c>
      <c r="K321" s="199">
        <f>IF(Sys_Repl_Rate!K31&gt;=1,System_Total_Mkt!K31*(1-Retrofit_Rate),System_Total_Mkt!K31*(1-Retrofit_Rate)*Sys_Repl_Rate!K31)+(1-Standards_Acceptance!L31)*(Lamp_Mkt_Repl!L31)</f>
        <v>3.3241890945780899E-4</v>
      </c>
      <c r="L321" s="199">
        <f>IF(Sys_Repl_Rate!L31&gt;=1,System_Total_Mkt!L31*(1-Retrofit_Rate),System_Total_Mkt!L31*(1-Retrofit_Rate)*Sys_Repl_Rate!L31)+(1-Standards_Acceptance!M31)*(Lamp_Mkt_Repl!M31)</f>
        <v>4.5452753545801076E-4</v>
      </c>
      <c r="M321" s="199">
        <f>IF(Sys_Repl_Rate!M31&gt;=1,System_Total_Mkt!M31*(1-Retrofit_Rate),System_Total_Mkt!M31*(1-Retrofit_Rate)*Sys_Repl_Rate!M31)+(1-Standards_Acceptance!N31)*(Lamp_Mkt_Repl!N31)</f>
        <v>5.9280655363863329E-4</v>
      </c>
      <c r="N321" s="199">
        <f>IF(Sys_Repl_Rate!N31&gt;=1,System_Total_Mkt!N31*(1-Retrofit_Rate),System_Total_Mkt!N31*(1-Retrofit_Rate)*Sys_Repl_Rate!N31)+(1-Standards_Acceptance!O31)*(Lamp_Mkt_Repl!O31)</f>
        <v>7.4521894283425627E-4</v>
      </c>
      <c r="O321" s="199">
        <f>IF(Sys_Repl_Rate!O31&gt;=1,System_Total_Mkt!O31*(1-Retrofit_Rate),System_Total_Mkt!O31*(1-Retrofit_Rate)*Sys_Repl_Rate!O31)+(1-Standards_Acceptance!P31)*(Lamp_Mkt_Repl!P31)</f>
        <v>9.1003358286454296E-4</v>
      </c>
      <c r="P321" s="199">
        <f>IF(Sys_Repl_Rate!P31&gt;=1,System_Total_Mkt!P31*(1-Retrofit_Rate),System_Total_Mkt!P31*(1-Retrofit_Rate)*Sys_Repl_Rate!P31)+(1-Standards_Acceptance!Q31)*(Lamp_Mkt_Repl!Q31)</f>
        <v>1.0851998713244969E-3</v>
      </c>
      <c r="Q321" s="199">
        <f>IF(Sys_Repl_Rate!Q31&gt;=1,System_Total_Mkt!Q31*(1-Retrofit_Rate),System_Total_Mkt!Q31*(1-Retrofit_Rate)*Sys_Repl_Rate!Q31)+(1-Standards_Acceptance!R31)*(Lamp_Mkt_Repl!R31)</f>
        <v>1.2681953617251537E-3</v>
      </c>
      <c r="R321" s="199">
        <f>IF(Sys_Repl_Rate!R31&gt;=1,System_Total_Mkt!R31*(1-Retrofit_Rate),System_Total_Mkt!R31*(1-Retrofit_Rate)*Sys_Repl_Rate!R31)+(1-Standards_Acceptance!S31)*(Lamp_Mkt_Repl!S31)</f>
        <v>1.4556274511524129E-3</v>
      </c>
      <c r="S321" s="199">
        <f>IF(Sys_Repl_Rate!S31&gt;=1,System_Total_Mkt!S31*(1-Retrofit_Rate),System_Total_Mkt!S31*(1-Retrofit_Rate)*Sys_Repl_Rate!S31)+(1-Standards_Acceptance!T31)*(Lamp_Mkt_Repl!T31)</f>
        <v>1.6460483336108815E-3</v>
      </c>
      <c r="T321" s="199">
        <f>IF(Sys_Repl_Rate!T31&gt;=1,System_Total_Mkt!T31*(1-Retrofit_Rate),System_Total_Mkt!T31*(1-Retrofit_Rate)*Sys_Repl_Rate!T31)+(1-Standards_Acceptance!U31)*(Lamp_Mkt_Repl!U31)</f>
        <v>1.8370181020219731E-3</v>
      </c>
      <c r="U321" s="199">
        <f>IF(Sys_Repl_Rate!U31&gt;=1,System_Total_Mkt!U31*(1-Retrofit_Rate),System_Total_Mkt!U31*(1-Retrofit_Rate)*Sys_Repl_Rate!U31)+(1-Standards_Acceptance!V31)*(Lamp_Mkt_Repl!V31)</f>
        <v>2.0264329243128813E-3</v>
      </c>
      <c r="V321" s="199">
        <f>IF(Sys_Repl_Rate!V31&gt;=1,System_Total_Mkt!V31*(1-Retrofit_Rate),System_Total_Mkt!V31*(1-Retrofit_Rate)*Sys_Repl_Rate!V31)+(1-Standards_Acceptance!W31)*(Lamp_Mkt_Repl!W31)</f>
        <v>2.2132499484211008E-3</v>
      </c>
      <c r="W321" s="199">
        <f>IF(Sys_Repl_Rate!W31&gt;=1,System_Total_Mkt!W31*(1-Retrofit_Rate),System_Total_Mkt!W31*(1-Retrofit_Rate)*Sys_Repl_Rate!W31)+(1-Standards_Acceptance!X31)*(Lamp_Mkt_Repl!X31)</f>
        <v>2.3957227477614546E-3</v>
      </c>
      <c r="X321" s="199">
        <f>IF(Sys_Repl_Rate!X31&gt;=1,System_Total_Mkt!X31*(1-Retrofit_Rate),System_Total_Mkt!X31*(1-Retrofit_Rate)*Sys_Repl_Rate!X31)+(1-Standards_Acceptance!Y31)*(Lamp_Mkt_Repl!Y31)</f>
        <v>2.5723885724699075E-3</v>
      </c>
      <c r="Y321" s="199">
        <f>IF(Sys_Repl_Rate!Y31&gt;=1,System_Total_Mkt!Y31*(1-Retrofit_Rate),System_Total_Mkt!Y31*(1-Retrofit_Rate)*Sys_Repl_Rate!Y31)+(1-Standards_Acceptance!Z31)*(Lamp_Mkt_Repl!Z31)</f>
        <v>2.7423637615126228E-3</v>
      </c>
      <c r="Z321" s="199">
        <f>IF(Sys_Repl_Rate!Z31&gt;=1,System_Total_Mkt!Z31*(1-Retrofit_Rate),System_Total_Mkt!Z31*(1-Retrofit_Rate)*Sys_Repl_Rate!Z31)+(1-Standards_Acceptance!AA31)*(Lamp_Mkt_Repl!AA31)</f>
        <v>2.9058899595146895E-3</v>
      </c>
      <c r="AA321" s="199">
        <f>IF(Sys_Repl_Rate!AA31&gt;=1,System_Total_Mkt!AA31*(1-Retrofit_Rate),System_Total_Mkt!AA31*(1-Retrofit_Rate)*Sys_Repl_Rate!AA31)+(1-Standards_Acceptance!AB31)*(Lamp_Mkt_Repl!AB31)</f>
        <v>3.0636238922853009E-3</v>
      </c>
      <c r="AB321" s="199">
        <f>IF(Sys_Repl_Rate!AB31&gt;=1,System_Total_Mkt!AB31*(1-Retrofit_Rate),System_Total_Mkt!AB31*(1-Retrofit_Rate)*Sys_Repl_Rate!AB31)+(1-Standards_Acceptance!AC31)*(Lamp_Mkt_Repl!AC31)</f>
        <v>3.2167325619325187E-3</v>
      </c>
      <c r="AC321" s="199">
        <f>IF(Sys_Repl_Rate!AC31&gt;=1,System_Total_Mkt!AC31*(1-Retrofit_Rate),System_Total_Mkt!AC31*(1-Retrofit_Rate)*Sys_Repl_Rate!AC31)+(1-Standards_Acceptance!AD31)*(Lamp_Mkt_Repl!AD31)</f>
        <v>3.3635873366621542E-3</v>
      </c>
      <c r="AD321" s="199">
        <f>IF(Sys_Repl_Rate!AD31&gt;=1,System_Total_Mkt!AD31*(1-Retrofit_Rate),System_Total_Mkt!AD31*(1-Retrofit_Rate)*Sys_Repl_Rate!AD31)+(1-Standards_Acceptance!AE31)*(Lamp_Mkt_Repl!AE31)</f>
        <v>3.5042949949045553E-3</v>
      </c>
      <c r="AE321" s="199">
        <f>IF(Sys_Repl_Rate!AE31&gt;=1,System_Total_Mkt!AE31*(1-Retrofit_Rate),System_Total_Mkt!AE31*(1-Retrofit_Rate)*Sys_Repl_Rate!AE31)+(1-Standards_Acceptance!AF31)*(Lamp_Mkt_Repl!AF31)</f>
        <v>3.639001991414779E-3</v>
      </c>
    </row>
    <row r="322" spans="1:56" s="221" customFormat="1" x14ac:dyDescent="0.25">
      <c r="A322" s="235"/>
      <c r="B322" s="235"/>
      <c r="C322"/>
      <c r="D322"/>
      <c r="E322"/>
      <c r="F322"/>
      <c r="G322"/>
      <c r="H322"/>
      <c r="I322"/>
      <c r="J322"/>
      <c r="K322"/>
      <c r="L322"/>
      <c r="M322"/>
      <c r="N322"/>
      <c r="O322"/>
      <c r="P322"/>
      <c r="Q322"/>
      <c r="R322"/>
      <c r="S322"/>
      <c r="T322"/>
      <c r="U322"/>
      <c r="V322"/>
      <c r="W322"/>
      <c r="X322"/>
      <c r="Y322"/>
      <c r="Z322"/>
      <c r="AA322"/>
      <c r="AB322"/>
      <c r="AC322"/>
      <c r="AD322"/>
      <c r="AE322"/>
    </row>
    <row r="323" spans="1:56" s="202" customFormat="1" ht="12.75" x14ac:dyDescent="0.2">
      <c r="A323" s="240" t="s">
        <v>47</v>
      </c>
      <c r="B323" s="240"/>
      <c r="C323" s="240"/>
      <c r="D323" s="240"/>
      <c r="E323" s="240"/>
      <c r="F323" s="240"/>
      <c r="G323" s="240"/>
      <c r="H323" s="240"/>
      <c r="I323" s="240"/>
      <c r="J323" s="240"/>
      <c r="K323" s="240"/>
      <c r="L323" s="240"/>
      <c r="M323" s="240"/>
      <c r="N323" s="240"/>
      <c r="O323" s="240"/>
      <c r="P323" s="240"/>
      <c r="Q323" s="240"/>
      <c r="R323" s="240"/>
      <c r="S323" s="240"/>
      <c r="T323" s="240"/>
      <c r="U323" s="240"/>
      <c r="V323" s="240"/>
      <c r="W323" s="240"/>
      <c r="X323" s="240"/>
      <c r="Y323" s="240"/>
      <c r="Z323" s="240"/>
      <c r="AA323" s="240"/>
      <c r="AB323" s="240"/>
      <c r="AC323" s="240"/>
      <c r="AD323" s="240"/>
      <c r="AE323" s="240"/>
    </row>
    <row r="324" spans="1:56" s="221" customFormat="1" x14ac:dyDescent="0.25">
      <c r="A324" s="235"/>
      <c r="B324" s="235" t="s">
        <v>48</v>
      </c>
      <c r="C324"/>
      <c r="D324"/>
      <c r="E324"/>
      <c r="F324" s="201"/>
      <c r="G324" s="199">
        <f>IF(Sys_Repl_Rate!G34&gt;=1,System_Total_Mkt!G34*(1-Retrofit_Rate),System_Total_Mkt!G34*(1-Retrofit_Rate)*Sys_Repl_Rate!G34)+(1-Standards_Acceptance!H34)*(Lamp_Mkt_Repl!H34)</f>
        <v>11.868282914261588</v>
      </c>
      <c r="H324" s="199">
        <f>IF(Sys_Repl_Rate!H34&gt;=1,System_Total_Mkt!H34*(1-Retrofit_Rate),System_Total_Mkt!H34*(1-Retrofit_Rate)*Sys_Repl_Rate!H34)+(1-Standards_Acceptance!I34)*(Lamp_Mkt_Repl!I34)</f>
        <v>11.252343580422568</v>
      </c>
      <c r="I324" s="199">
        <f>IF(Sys_Repl_Rate!I34&gt;=1,System_Total_Mkt!I34*(1-Retrofit_Rate),System_Total_Mkt!I34*(1-Retrofit_Rate)*Sys_Repl_Rate!I34)+(1-Standards_Acceptance!J34)*(Lamp_Mkt_Repl!J34)</f>
        <v>9.1990188692142354</v>
      </c>
      <c r="J324" s="199">
        <f>IF(Sys_Repl_Rate!J34&gt;=1,System_Total_Mkt!J34*(1-Retrofit_Rate),System_Total_Mkt!J34*(1-Retrofit_Rate)*Sys_Repl_Rate!J34)+(1-Standards_Acceptance!K34)*(Lamp_Mkt_Repl!K34)</f>
        <v>6.181713664515593</v>
      </c>
      <c r="K324" s="199">
        <f>IF(Sys_Repl_Rate!K34&gt;=1,System_Total_Mkt!K34*(1-Retrofit_Rate),System_Total_Mkt!K34*(1-Retrofit_Rate)*Sys_Repl_Rate!K34)+(1-Standards_Acceptance!L34)*(Lamp_Mkt_Repl!L34)</f>
        <v>3.4105375447967328</v>
      </c>
      <c r="L324" s="199">
        <f>IF(Sys_Repl_Rate!L34&gt;=1,System_Total_Mkt!L34*(1-Retrofit_Rate),System_Total_Mkt!L34*(1-Retrofit_Rate)*Sys_Repl_Rate!L34)+(1-Standards_Acceptance!M34)*(Lamp_Mkt_Repl!M34)</f>
        <v>1.6156497343447815</v>
      </c>
      <c r="M324" s="199">
        <f>IF(Sys_Repl_Rate!M34&gt;=1,System_Total_Mkt!M34*(1-Retrofit_Rate),System_Total_Mkt!M34*(1-Retrofit_Rate)*Sys_Repl_Rate!M34)+(1-Standards_Acceptance!N34)*(Lamp_Mkt_Repl!N34)</f>
        <v>0.6811257283862191</v>
      </c>
      <c r="N324" s="199">
        <f>IF(Sys_Repl_Rate!N34&gt;=1,System_Total_Mkt!N34*(1-Retrofit_Rate),System_Total_Mkt!N34*(1-Retrofit_Rate)*Sys_Repl_Rate!N34)+(1-Standards_Acceptance!O34)*(Lamp_Mkt_Repl!O34)</f>
        <v>0.26779539967833721</v>
      </c>
      <c r="O324" s="199">
        <f>IF(Sys_Repl_Rate!O34&gt;=1,System_Total_Mkt!O34*(1-Retrofit_Rate),System_Total_Mkt!O34*(1-Retrofit_Rate)*Sys_Repl_Rate!O34)+(1-Standards_Acceptance!P34)*(Lamp_Mkt_Repl!P34)</f>
        <v>0.10105885089695772</v>
      </c>
      <c r="P324" s="199">
        <f>IF(Sys_Repl_Rate!P34&gt;=1,System_Total_Mkt!P34*(1-Retrofit_Rate),System_Total_Mkt!P34*(1-Retrofit_Rate)*Sys_Repl_Rate!P34)+(1-Standards_Acceptance!Q34)*(Lamp_Mkt_Repl!Q34)</f>
        <v>3.7302577946117674E-2</v>
      </c>
      <c r="Q324" s="199">
        <f>IF(Sys_Repl_Rate!Q34&gt;=1,System_Total_Mkt!Q34*(1-Retrofit_Rate),System_Total_Mkt!Q34*(1-Retrofit_Rate)*Sys_Repl_Rate!Q34)+(1-Standards_Acceptance!R34)*(Lamp_Mkt_Repl!R34)</f>
        <v>1.358348303487596E-2</v>
      </c>
      <c r="R324" s="199">
        <f>IF(Sys_Repl_Rate!R34&gt;=1,System_Total_Mkt!R34*(1-Retrofit_Rate),System_Total_Mkt!R34*(1-Retrofit_Rate)*Sys_Repl_Rate!R34)+(1-Standards_Acceptance!S34)*(Lamp_Mkt_Repl!S34)</f>
        <v>4.9069653080552316E-3</v>
      </c>
      <c r="S324" s="199">
        <f>IF(Sys_Repl_Rate!S34&gt;=1,System_Total_Mkt!S34*(1-Retrofit_Rate),System_Total_Mkt!S34*(1-Retrofit_Rate)*Sys_Repl_Rate!S34)+(1-Standards_Acceptance!T34)*(Lamp_Mkt_Repl!T34)</f>
        <v>1.766720104877899E-3</v>
      </c>
      <c r="T324" s="199">
        <f>IF(Sys_Repl_Rate!T34&gt;=1,System_Total_Mkt!T34*(1-Retrofit_Rate),System_Total_Mkt!T34*(1-Retrofit_Rate)*Sys_Repl_Rate!T34)+(1-Standards_Acceptance!U34)*(Lamp_Mkt_Repl!U34)</f>
        <v>6.3575136259962041E-4</v>
      </c>
      <c r="U324" s="199">
        <f>IF(Sys_Repl_Rate!U34&gt;=1,System_Total_Mkt!U34*(1-Retrofit_Rate),System_Total_Mkt!U34*(1-Retrofit_Rate)*Sys_Repl_Rate!U34)+(1-Standards_Acceptance!V34)*(Lamp_Mkt_Repl!V34)</f>
        <v>2.2905065707731737E-4</v>
      </c>
      <c r="V324" s="199">
        <f>IF(Sys_Repl_Rate!V34&gt;=1,System_Total_Mkt!V34*(1-Retrofit_Rate),System_Total_Mkt!V34*(1-Retrofit_Rate)*Sys_Repl_Rate!V34)+(1-Standards_Acceptance!W34)*(Lamp_Mkt_Repl!W34)</f>
        <v>8.276276384673332E-5</v>
      </c>
      <c r="W324" s="199">
        <f>IF(Sys_Repl_Rate!W34&gt;=1,System_Total_Mkt!W34*(1-Retrofit_Rate),System_Total_Mkt!W34*(1-Retrofit_Rate)*Sys_Repl_Rate!W34)+(1-Standards_Acceptance!X34)*(Lamp_Mkt_Repl!X34)</f>
        <v>3.0012026949781823E-5</v>
      </c>
      <c r="X324" s="199">
        <f>IF(Sys_Repl_Rate!X34&gt;=1,System_Total_Mkt!X34*(1-Retrofit_Rate),System_Total_Mkt!X34*(1-Retrofit_Rate)*Sys_Repl_Rate!X34)+(1-Standards_Acceptance!Y34)*(Lamp_Mkt_Repl!Y34)</f>
        <v>1.0927890855407681E-5</v>
      </c>
      <c r="Y324" s="199">
        <f>IF(Sys_Repl_Rate!Y34&gt;=1,System_Total_Mkt!Y34*(1-Retrofit_Rate),System_Total_Mkt!Y34*(1-Retrofit_Rate)*Sys_Repl_Rate!Y34)+(1-Standards_Acceptance!Z34)*(Lamp_Mkt_Repl!Z34)</f>
        <v>3.9967143469586155E-6</v>
      </c>
      <c r="Z324" s="199">
        <f>IF(Sys_Repl_Rate!Z34&gt;=1,System_Total_Mkt!Z34*(1-Retrofit_Rate),System_Total_Mkt!Z34*(1-Retrofit_Rate)*Sys_Repl_Rate!Z34)+(1-Standards_Acceptance!AA34)*(Lamp_Mkt_Repl!AA34)</f>
        <v>1.4688218573672587E-6</v>
      </c>
      <c r="AA324" s="199">
        <f>IF(Sys_Repl_Rate!AA34&gt;=1,System_Total_Mkt!AA34*(1-Retrofit_Rate),System_Total_Mkt!AA34*(1-Retrofit_Rate)*Sys_Repl_Rate!AA34)+(1-Standards_Acceptance!AB34)*(Lamp_Mkt_Repl!AB34)</f>
        <v>5.4260834162512162E-7</v>
      </c>
      <c r="AB324" s="199">
        <f>IF(Sys_Repl_Rate!AB34&gt;=1,System_Total_Mkt!AB34*(1-Retrofit_Rate),System_Total_Mkt!AB34*(1-Retrofit_Rate)*Sys_Repl_Rate!AB34)+(1-Standards_Acceptance!AC34)*(Lamp_Mkt_Repl!AC34)</f>
        <v>2.0149392802782193E-7</v>
      </c>
      <c r="AC324" s="199">
        <f>IF(Sys_Repl_Rate!AC34&gt;=1,System_Total_Mkt!AC34*(1-Retrofit_Rate),System_Total_Mkt!AC34*(1-Retrofit_Rate)*Sys_Repl_Rate!AC34)+(1-Standards_Acceptance!AD34)*(Lamp_Mkt_Repl!AD34)</f>
        <v>7.5222967141286708E-8</v>
      </c>
      <c r="AD324" s="199">
        <f>IF(Sys_Repl_Rate!AD34&gt;=1,System_Total_Mkt!AD34*(1-Retrofit_Rate),System_Total_Mkt!AD34*(1-Retrofit_Rate)*Sys_Repl_Rate!AD34)+(1-Standards_Acceptance!AE34)*(Lamp_Mkt_Repl!AE34)</f>
        <v>2.8234597823723357E-8</v>
      </c>
      <c r="AE324" s="199">
        <f>IF(Sys_Repl_Rate!AE34&gt;=1,System_Total_Mkt!AE34*(1-Retrofit_Rate),System_Total_Mkt!AE34*(1-Retrofit_Rate)*Sys_Repl_Rate!AE34)+(1-Standards_Acceptance!AF34)*(Lamp_Mkt_Repl!AF34)</f>
        <v>1.0655117540563698E-8</v>
      </c>
    </row>
    <row r="325" spans="1:56" s="221" customFormat="1" x14ac:dyDescent="0.25">
      <c r="A325" s="235"/>
      <c r="B325" s="237" t="s">
        <v>50</v>
      </c>
      <c r="C325"/>
      <c r="D325"/>
      <c r="E325"/>
      <c r="F325" s="201"/>
      <c r="G325" s="199">
        <f>IF(Sys_Repl_Rate!G35&gt;=1,System_Total_Mkt!G35*(1-Retrofit_Rate),System_Total_Mkt!G35*(1-Retrofit_Rate)*Sys_Repl_Rate!G35)+(1-Standards_Acceptance!H35)*(Lamp_Mkt_Repl!H35)</f>
        <v>0.50082265217964617</v>
      </c>
      <c r="H325" s="199">
        <f>IF(Sys_Repl_Rate!H35&gt;=1,System_Total_Mkt!H35*(1-Retrofit_Rate),System_Total_Mkt!H35*(1-Retrofit_Rate)*Sys_Repl_Rate!H35)+(1-Standards_Acceptance!I35)*(Lamp_Mkt_Repl!I35)</f>
        <v>0.50628320495166723</v>
      </c>
      <c r="I325" s="199">
        <f>IF(Sys_Repl_Rate!I35&gt;=1,System_Total_Mkt!I35*(1-Retrofit_Rate),System_Total_Mkt!I35*(1-Retrofit_Rate)*Sys_Repl_Rate!I35)+(1-Standards_Acceptance!J35)*(Lamp_Mkt_Repl!J35)</f>
        <v>0.50060038723425138</v>
      </c>
      <c r="J325" s="199">
        <f>IF(Sys_Repl_Rate!J35&gt;=1,System_Total_Mkt!J35*(1-Retrofit_Rate),System_Total_Mkt!J35*(1-Retrofit_Rate)*Sys_Repl_Rate!J35)+(1-Standards_Acceptance!K35)*(Lamp_Mkt_Repl!K35)</f>
        <v>0.47835876223852675</v>
      </c>
      <c r="K325" s="199">
        <f>IF(Sys_Repl_Rate!K35&gt;=1,System_Total_Mkt!K35*(1-Retrofit_Rate),System_Total_Mkt!K35*(1-Retrofit_Rate)*Sys_Repl_Rate!K35)+(1-Standards_Acceptance!L35)*(Lamp_Mkt_Repl!L35)</f>
        <v>0.43894672177167005</v>
      </c>
      <c r="L325" s="199">
        <f>IF(Sys_Repl_Rate!L35&gt;=1,System_Total_Mkt!L35*(1-Retrofit_Rate),System_Total_Mkt!L35*(1-Retrofit_Rate)*Sys_Repl_Rate!L35)+(1-Standards_Acceptance!M35)*(Lamp_Mkt_Repl!M35)</f>
        <v>0.38900076696485242</v>
      </c>
      <c r="M325" s="199">
        <f>IF(Sys_Repl_Rate!M35&gt;=1,System_Total_Mkt!M35*(1-Retrofit_Rate),System_Total_Mkt!M35*(1-Retrofit_Rate)*Sys_Repl_Rate!M35)+(1-Standards_Acceptance!N35)*(Lamp_Mkt_Repl!N35)</f>
        <v>0.33379991207346255</v>
      </c>
      <c r="N325" s="199">
        <f>IF(Sys_Repl_Rate!N35&gt;=1,System_Total_Mkt!N35*(1-Retrofit_Rate),System_Total_Mkt!N35*(1-Retrofit_Rate)*Sys_Repl_Rate!N35)+(1-Standards_Acceptance!O35)*(Lamp_Mkt_Repl!O35)</f>
        <v>0.28066664587045748</v>
      </c>
      <c r="O325" s="199">
        <f>IF(Sys_Repl_Rate!O35&gt;=1,System_Total_Mkt!O35*(1-Retrofit_Rate),System_Total_Mkt!O35*(1-Retrofit_Rate)*Sys_Repl_Rate!O35)+(1-Standards_Acceptance!P35)*(Lamp_Mkt_Repl!P35)</f>
        <v>0.23280771428638375</v>
      </c>
      <c r="P325" s="199">
        <f>IF(Sys_Repl_Rate!P35&gt;=1,System_Total_Mkt!P35*(1-Retrofit_Rate),System_Total_Mkt!P35*(1-Retrofit_Rate)*Sys_Repl_Rate!P35)+(1-Standards_Acceptance!Q35)*(Lamp_Mkt_Repl!Q35)</f>
        <v>0.19191272479103735</v>
      </c>
      <c r="Q325" s="199">
        <f>IF(Sys_Repl_Rate!Q35&gt;=1,System_Total_Mkt!Q35*(1-Retrofit_Rate),System_Total_Mkt!Q35*(1-Retrofit_Rate)*Sys_Repl_Rate!Q35)+(1-Standards_Acceptance!R35)*(Lamp_Mkt_Repl!R35)</f>
        <v>0.15678590571611745</v>
      </c>
      <c r="R325" s="199">
        <f>IF(Sys_Repl_Rate!R35&gt;=1,System_Total_Mkt!R35*(1-Retrofit_Rate),System_Total_Mkt!R35*(1-Retrofit_Rate)*Sys_Repl_Rate!R35)+(1-Standards_Acceptance!S35)*(Lamp_Mkt_Repl!S35)</f>
        <v>0.12751951398159261</v>
      </c>
      <c r="S325" s="199">
        <f>IF(Sys_Repl_Rate!S35&gt;=1,System_Total_Mkt!S35*(1-Retrofit_Rate),System_Total_Mkt!S35*(1-Retrofit_Rate)*Sys_Repl_Rate!S35)+(1-Standards_Acceptance!T35)*(Lamp_Mkt_Repl!T35)</f>
        <v>0.10340764924658334</v>
      </c>
      <c r="T325" s="199">
        <f>IF(Sys_Repl_Rate!T35&gt;=1,System_Total_Mkt!T35*(1-Retrofit_Rate),System_Total_Mkt!T35*(1-Retrofit_Rate)*Sys_Repl_Rate!T35)+(1-Standards_Acceptance!U35)*(Lamp_Mkt_Repl!U35)</f>
        <v>8.368158781987757E-2</v>
      </c>
      <c r="U325" s="199">
        <f>IF(Sys_Repl_Rate!U35&gt;=1,System_Total_Mkt!U35*(1-Retrofit_Rate),System_Total_Mkt!U35*(1-Retrofit_Rate)*Sys_Repl_Rate!U35)+(1-Standards_Acceptance!V35)*(Lamp_Mkt_Repl!V35)</f>
        <v>6.7619087644855247E-2</v>
      </c>
      <c r="V325" s="199">
        <f>IF(Sys_Repl_Rate!V35&gt;=1,System_Total_Mkt!V35*(1-Retrofit_Rate),System_Total_Mkt!V35*(1-Retrofit_Rate)*Sys_Repl_Rate!V35)+(1-Standards_Acceptance!W35)*(Lamp_Mkt_Repl!W35)</f>
        <v>5.4591872040393057E-2</v>
      </c>
      <c r="W325" s="199">
        <f>IF(Sys_Repl_Rate!W35&gt;=1,System_Total_Mkt!W35*(1-Retrofit_Rate),System_Total_Mkt!W35*(1-Retrofit_Rate)*Sys_Repl_Rate!W35)+(1-Standards_Acceptance!X35)*(Lamp_Mkt_Repl!X35)</f>
        <v>4.4047311718111624E-2</v>
      </c>
      <c r="X325" s="199">
        <f>IF(Sys_Repl_Rate!X35&gt;=1,System_Total_Mkt!X35*(1-Retrofit_Rate),System_Total_Mkt!X35*(1-Retrofit_Rate)*Sys_Repl_Rate!X35)+(1-Standards_Acceptance!Y35)*(Lamp_Mkt_Repl!Y35)</f>
        <v>3.5524722611388733E-2</v>
      </c>
      <c r="Y325" s="199">
        <f>IF(Sys_Repl_Rate!Y35&gt;=1,System_Total_Mkt!Y35*(1-Retrofit_Rate),System_Total_Mkt!Y35*(1-Retrofit_Rate)*Sys_Repl_Rate!Y35)+(1-Standards_Acceptance!Z35)*(Lamp_Mkt_Repl!Z35)</f>
        <v>2.8643299795399875E-2</v>
      </c>
      <c r="Z325" s="199">
        <f>IF(Sys_Repl_Rate!Z35&gt;=1,System_Total_Mkt!Z35*(1-Retrofit_Rate),System_Total_Mkt!Z35*(1-Retrofit_Rate)*Sys_Repl_Rate!Z35)+(1-Standards_Acceptance!AA35)*(Lamp_Mkt_Repl!AA35)</f>
        <v>2.3092478942912831E-2</v>
      </c>
      <c r="AA325" s="199">
        <f>IF(Sys_Repl_Rate!AA35&gt;=1,System_Total_Mkt!AA35*(1-Retrofit_Rate),System_Total_Mkt!AA35*(1-Retrofit_Rate)*Sys_Repl_Rate!AA35)+(1-Standards_Acceptance!AB35)*(Lamp_Mkt_Repl!AB35)</f>
        <v>1.8618340822434576E-2</v>
      </c>
      <c r="AB325" s="199">
        <f>IF(Sys_Repl_Rate!AB35&gt;=1,System_Total_Mkt!AB35*(1-Retrofit_Rate),System_Total_Mkt!AB35*(1-Retrofit_Rate)*Sys_Repl_Rate!AB35)+(1-Standards_Acceptance!AC35)*(Lamp_Mkt_Repl!AC35)</f>
        <v>1.5012433718321257E-2</v>
      </c>
      <c r="AC325" s="199">
        <f>IF(Sys_Repl_Rate!AC35&gt;=1,System_Total_Mkt!AC35*(1-Retrofit_Rate),System_Total_Mkt!AC35*(1-Retrofit_Rate)*Sys_Repl_Rate!AC35)+(1-Standards_Acceptance!AD35)*(Lamp_Mkt_Repl!AD35)</f>
        <v>1.2106613404231975E-2</v>
      </c>
      <c r="AD325" s="199">
        <f>IF(Sys_Repl_Rate!AD35&gt;=1,System_Total_Mkt!AD35*(1-Retrofit_Rate),System_Total_Mkt!AD35*(1-Retrofit_Rate)*Sys_Repl_Rate!AD35)+(1-Standards_Acceptance!AE35)*(Lamp_Mkt_Repl!AE35)</f>
        <v>9.7650740392276995E-3</v>
      </c>
      <c r="AE325" s="199">
        <f>IF(Sys_Repl_Rate!AE35&gt;=1,System_Total_Mkt!AE35*(1-Retrofit_Rate),System_Total_Mkt!AE35*(1-Retrofit_Rate)*Sys_Repl_Rate!AE35)+(1-Standards_Acceptance!AF35)*(Lamp_Mkt_Repl!AF35)</f>
        <v>7.8780563797582852E-3</v>
      </c>
    </row>
    <row r="326" spans="1:56" s="221" customFormat="1" x14ac:dyDescent="0.25">
      <c r="A326" s="235"/>
      <c r="B326" s="235" t="s">
        <v>51</v>
      </c>
      <c r="C326"/>
      <c r="D326"/>
      <c r="E326"/>
      <c r="F326" s="201"/>
      <c r="G326" s="199">
        <f>IF(Sys_Repl_Rate!G36&gt;=1,System_Total_Mkt!G36*(1-Retrofit_Rate),System_Total_Mkt!G36*(1-Retrofit_Rate)*Sys_Repl_Rate!G36)+(1-Standards_Acceptance!H36)*(Lamp_Mkt_Repl!H36)</f>
        <v>0.17260911904525744</v>
      </c>
      <c r="H326" s="199">
        <f>IF(Sys_Repl_Rate!H36&gt;=1,System_Total_Mkt!H36*(1-Retrofit_Rate),System_Total_Mkt!H36*(1-Retrofit_Rate)*Sys_Repl_Rate!H36)+(1-Standards_Acceptance!I36)*(Lamp_Mkt_Repl!I36)</f>
        <v>0.17592656540789581</v>
      </c>
      <c r="I326" s="199">
        <f>IF(Sys_Repl_Rate!I36&gt;=1,System_Total_Mkt!I36*(1-Retrofit_Rate),System_Total_Mkt!I36*(1-Retrofit_Rate)*Sys_Repl_Rate!I36)+(1-Standards_Acceptance!J36)*(Lamp_Mkt_Repl!J36)</f>
        <v>0.17856451223736511</v>
      </c>
      <c r="J326" s="199">
        <f>IF(Sys_Repl_Rate!J36&gt;=1,System_Total_Mkt!J36*(1-Retrofit_Rate),System_Total_Mkt!J36*(1-Retrofit_Rate)*Sys_Repl_Rate!J36)+(1-Standards_Acceptance!K36)*(Lamp_Mkt_Repl!K36)</f>
        <v>0.18009983741383817</v>
      </c>
      <c r="K326" s="199">
        <f>IF(Sys_Repl_Rate!K36&gt;=1,System_Total_Mkt!K36*(1-Retrofit_Rate),System_Total_Mkt!K36*(1-Retrofit_Rate)*Sys_Repl_Rate!K36)+(1-Standards_Acceptance!L36)*(Lamp_Mkt_Repl!L36)</f>
        <v>0.1801111617455986</v>
      </c>
      <c r="L326" s="199">
        <f>IF(Sys_Repl_Rate!L36&gt;=1,System_Total_Mkt!L36*(1-Retrofit_Rate),System_Total_Mkt!L36*(1-Retrofit_Rate)*Sys_Repl_Rate!L36)+(1-Standards_Acceptance!M36)*(Lamp_Mkt_Repl!M36)</f>
        <v>0.17855881713390448</v>
      </c>
      <c r="M326" s="199">
        <f>IF(Sys_Repl_Rate!M36&gt;=1,System_Total_Mkt!M36*(1-Retrofit_Rate),System_Total_Mkt!M36*(1-Retrofit_Rate)*Sys_Repl_Rate!M36)+(1-Standards_Acceptance!N36)*(Lamp_Mkt_Repl!N36)</f>
        <v>0.17542109959501137</v>
      </c>
      <c r="N326" s="199">
        <f>IF(Sys_Repl_Rate!N36&gt;=1,System_Total_Mkt!N36*(1-Retrofit_Rate),System_Total_Mkt!N36*(1-Retrofit_Rate)*Sys_Repl_Rate!N36)+(1-Standards_Acceptance!O36)*(Lamp_Mkt_Repl!O36)</f>
        <v>0.17083927677010752</v>
      </c>
      <c r="O326" s="199">
        <f>IF(Sys_Repl_Rate!O36&gt;=1,System_Total_Mkt!O36*(1-Retrofit_Rate),System_Total_Mkt!O36*(1-Retrofit_Rate)*Sys_Repl_Rate!O36)+(1-Standards_Acceptance!P36)*(Lamp_Mkt_Repl!P36)</f>
        <v>0.1650881905619184</v>
      </c>
      <c r="P326" s="199">
        <f>IF(Sys_Repl_Rate!P36&gt;=1,System_Total_Mkt!P36*(1-Retrofit_Rate),System_Total_Mkt!P36*(1-Retrofit_Rate)*Sys_Repl_Rate!P36)+(1-Standards_Acceptance!Q36)*(Lamp_Mkt_Repl!Q36)</f>
        <v>0.15847940074174274</v>
      </c>
      <c r="Q326" s="199">
        <f>IF(Sys_Repl_Rate!Q36&gt;=1,System_Total_Mkt!Q36*(1-Retrofit_Rate),System_Total_Mkt!Q36*(1-Retrofit_Rate)*Sys_Repl_Rate!Q36)+(1-Standards_Acceptance!R36)*(Lamp_Mkt_Repl!R36)</f>
        <v>0.15127449538372376</v>
      </c>
      <c r="R326" s="199">
        <f>IF(Sys_Repl_Rate!R36&gt;=1,System_Total_Mkt!R36*(1-Retrofit_Rate),System_Total_Mkt!R36*(1-Retrofit_Rate)*Sys_Repl_Rate!R36)+(1-Standards_Acceptance!S36)*(Lamp_Mkt_Repl!S36)</f>
        <v>0.14370346132243805</v>
      </c>
      <c r="S326" s="199">
        <f>IF(Sys_Repl_Rate!S36&gt;=1,System_Total_Mkt!S36*(1-Retrofit_Rate),System_Total_Mkt!S36*(1-Retrofit_Rate)*Sys_Repl_Rate!S36)+(1-Standards_Acceptance!T36)*(Lamp_Mkt_Repl!T36)</f>
        <v>0.1359857168939422</v>
      </c>
      <c r="T326" s="199">
        <f>IF(Sys_Repl_Rate!T36&gt;=1,System_Total_Mkt!T36*(1-Retrofit_Rate),System_Total_Mkt!T36*(1-Retrofit_Rate)*Sys_Repl_Rate!T36)+(1-Standards_Acceptance!U36)*(Lamp_Mkt_Repl!U36)</f>
        <v>0.12827159926622755</v>
      </c>
      <c r="U326" s="199">
        <f>IF(Sys_Repl_Rate!U36&gt;=1,System_Total_Mkt!U36*(1-Retrofit_Rate),System_Total_Mkt!U36*(1-Retrofit_Rate)*Sys_Repl_Rate!U36)+(1-Standards_Acceptance!V36)*(Lamp_Mkt_Repl!V36)</f>
        <v>0.12067443123079639</v>
      </c>
      <c r="V326" s="199">
        <f>IF(Sys_Repl_Rate!V36&gt;=1,System_Total_Mkt!V36*(1-Retrofit_Rate),System_Total_Mkt!V36*(1-Retrofit_Rate)*Sys_Repl_Rate!V36)+(1-Standards_Acceptance!W36)*(Lamp_Mkt_Repl!W36)</f>
        <v>0.11329102818815676</v>
      </c>
      <c r="W326" s="199">
        <f>IF(Sys_Repl_Rate!W36&gt;=1,System_Total_Mkt!W36*(1-Retrofit_Rate),System_Total_Mkt!W36*(1-Retrofit_Rate)*Sys_Repl_Rate!W36)+(1-Standards_Acceptance!X36)*(Lamp_Mkt_Repl!X36)</f>
        <v>0.10617176178237472</v>
      </c>
      <c r="X326" s="199">
        <f>IF(Sys_Repl_Rate!X36&gt;=1,System_Total_Mkt!X36*(1-Retrofit_Rate),System_Total_Mkt!X36*(1-Retrofit_Rate)*Sys_Repl_Rate!X36)+(1-Standards_Acceptance!Y36)*(Lamp_Mkt_Repl!Y36)</f>
        <v>9.9349135038017428E-2</v>
      </c>
      <c r="Y326" s="199">
        <f>IF(Sys_Repl_Rate!Y36&gt;=1,System_Total_Mkt!Y36*(1-Retrofit_Rate),System_Total_Mkt!Y36*(1-Retrofit_Rate)*Sys_Repl_Rate!Y36)+(1-Standards_Acceptance!Z36)*(Lamp_Mkt_Repl!Z36)</f>
        <v>9.2621496048433324E-2</v>
      </c>
      <c r="Z326" s="199">
        <f>IF(Sys_Repl_Rate!Z36&gt;=1,System_Total_Mkt!Z36*(1-Retrofit_Rate),System_Total_Mkt!Z36*(1-Retrofit_Rate)*Sys_Repl_Rate!Z36)+(1-Standards_Acceptance!AA36)*(Lamp_Mkt_Repl!AA36)</f>
        <v>8.6266253163668871E-2</v>
      </c>
      <c r="AA326" s="199">
        <f>IF(Sys_Repl_Rate!AA36&gt;=1,System_Total_Mkt!AA36*(1-Retrofit_Rate),System_Total_Mkt!AA36*(1-Retrofit_Rate)*Sys_Repl_Rate!AA36)+(1-Standards_Acceptance!AB36)*(Lamp_Mkt_Repl!AB36)</f>
        <v>8.028770097842669E-2</v>
      </c>
      <c r="AB326" s="199">
        <f>IF(Sys_Repl_Rate!AB36&gt;=1,System_Total_Mkt!AB36*(1-Retrofit_Rate),System_Total_Mkt!AB36*(1-Retrofit_Rate)*Sys_Repl_Rate!AB36)+(1-Standards_Acceptance!AC36)*(Lamp_Mkt_Repl!AC36)</f>
        <v>7.4855823547947425E-2</v>
      </c>
      <c r="AC326" s="199">
        <f>IF(Sys_Repl_Rate!AC36&gt;=1,System_Total_Mkt!AC36*(1-Retrofit_Rate),System_Total_Mkt!AC36*(1-Retrofit_Rate)*Sys_Repl_Rate!AC36)+(1-Standards_Acceptance!AD36)*(Lamp_Mkt_Repl!AD36)</f>
        <v>6.95777785035257E-2</v>
      </c>
      <c r="AD326" s="199">
        <f>IF(Sys_Repl_Rate!AD36&gt;=1,System_Total_Mkt!AD36*(1-Retrofit_Rate),System_Total_Mkt!AD36*(1-Retrofit_Rate)*Sys_Repl_Rate!AD36)+(1-Standards_Acceptance!AE36)*(Lamp_Mkt_Repl!AE36)</f>
        <v>6.4636071290713429E-2</v>
      </c>
      <c r="AE326" s="199">
        <f>IF(Sys_Repl_Rate!AE36&gt;=1,System_Total_Mkt!AE36*(1-Retrofit_Rate),System_Total_Mkt!AE36*(1-Retrofit_Rate)*Sys_Repl_Rate!AE36)+(1-Standards_Acceptance!AF36)*(Lamp_Mkt_Repl!AF36)</f>
        <v>6.0013952427173153E-2</v>
      </c>
    </row>
    <row r="327" spans="1:56" s="221" customFormat="1" x14ac:dyDescent="0.25">
      <c r="A327" s="235"/>
      <c r="B327" s="235" t="s">
        <v>52</v>
      </c>
      <c r="C327"/>
      <c r="D327"/>
      <c r="E327"/>
      <c r="F327" s="201"/>
      <c r="G327" s="199">
        <f>IF(Sys_Repl_Rate!G37&gt;=1,System_Total_Mkt!G37*(1-Retrofit_Rate),System_Total_Mkt!G37*(1-Retrofit_Rate)*Sys_Repl_Rate!G37)+(1-Standards_Acceptance!H37)*(Lamp_Mkt_Repl!H37)</f>
        <v>4.7508327680985139E-2</v>
      </c>
      <c r="H327" s="199">
        <f>IF(Sys_Repl_Rate!H37&gt;=1,System_Total_Mkt!H37*(1-Retrofit_Rate),System_Total_Mkt!H37*(1-Retrofit_Rate)*Sys_Repl_Rate!H37)+(1-Standards_Acceptance!I37)*(Lamp_Mkt_Repl!I37)</f>
        <v>4.7370768690192716E-2</v>
      </c>
      <c r="I327" s="199">
        <f>IF(Sys_Repl_Rate!I37&gt;=1,System_Total_Mkt!I37*(1-Retrofit_Rate),System_Total_Mkt!I37*(1-Retrofit_Rate)*Sys_Repl_Rate!I37)+(1-Standards_Acceptance!J37)*(Lamp_Mkt_Repl!J37)</f>
        <v>4.6866903860664166E-2</v>
      </c>
      <c r="J327" s="199">
        <f>IF(Sys_Repl_Rate!J37&gt;=1,System_Total_Mkt!J37*(1-Retrofit_Rate),System_Total_Mkt!J37*(1-Retrofit_Rate)*Sys_Repl_Rate!J37)+(1-Standards_Acceptance!K37)*(Lamp_Mkt_Repl!K37)</f>
        <v>4.5886881526977327E-2</v>
      </c>
      <c r="K327" s="199">
        <f>IF(Sys_Repl_Rate!K37&gt;=1,System_Total_Mkt!K37*(1-Retrofit_Rate),System_Total_Mkt!K37*(1-Retrofit_Rate)*Sys_Repl_Rate!K37)+(1-Standards_Acceptance!L37)*(Lamp_Mkt_Repl!L37)</f>
        <v>4.4420342334869869E-2</v>
      </c>
      <c r="L327" s="199">
        <f>IF(Sys_Repl_Rate!L37&gt;=1,System_Total_Mkt!L37*(1-Retrofit_Rate),System_Total_Mkt!L37*(1-Retrofit_Rate)*Sys_Repl_Rate!L37)+(1-Standards_Acceptance!M37)*(Lamp_Mkt_Repl!M37)</f>
        <v>4.2590699763822355E-2</v>
      </c>
      <c r="M327" s="199">
        <f>IF(Sys_Repl_Rate!M37&gt;=1,System_Total_Mkt!M37*(1-Retrofit_Rate),System_Total_Mkt!M37*(1-Retrofit_Rate)*Sys_Repl_Rate!M37)+(1-Standards_Acceptance!N37)*(Lamp_Mkt_Repl!N37)</f>
        <v>4.0515556941437637E-2</v>
      </c>
      <c r="N327" s="199">
        <f>IF(Sys_Repl_Rate!N37&gt;=1,System_Total_Mkt!N37*(1-Retrofit_Rate),System_Total_Mkt!N37*(1-Retrofit_Rate)*Sys_Repl_Rate!N37)+(1-Standards_Acceptance!O37)*(Lamp_Mkt_Repl!O37)</f>
        <v>3.8313239761599241E-2</v>
      </c>
      <c r="O327" s="199">
        <f>IF(Sys_Repl_Rate!O37&gt;=1,System_Total_Mkt!O37*(1-Retrofit_Rate),System_Total_Mkt!O37*(1-Retrofit_Rate)*Sys_Repl_Rate!O37)+(1-Standards_Acceptance!P37)*(Lamp_Mkt_Repl!P37)</f>
        <v>3.6077916773705455E-2</v>
      </c>
      <c r="P327" s="199">
        <f>IF(Sys_Repl_Rate!P37&gt;=1,System_Total_Mkt!P37*(1-Retrofit_Rate),System_Total_Mkt!P37*(1-Retrofit_Rate)*Sys_Repl_Rate!P37)+(1-Standards_Acceptance!Q37)*(Lamp_Mkt_Repl!Q37)</f>
        <v>3.3874571423507659E-2</v>
      </c>
      <c r="Q327" s="199">
        <f>IF(Sys_Repl_Rate!Q37&gt;=1,System_Total_Mkt!Q37*(1-Retrofit_Rate),System_Total_Mkt!Q37*(1-Retrofit_Rate)*Sys_Repl_Rate!Q37)+(1-Standards_Acceptance!R37)*(Lamp_Mkt_Repl!R37)</f>
        <v>3.1740529344473661E-2</v>
      </c>
      <c r="R327" s="199">
        <f>IF(Sys_Repl_Rate!R37&gt;=1,System_Total_Mkt!R37*(1-Retrofit_Rate),System_Total_Mkt!R37*(1-Retrofit_Rate)*Sys_Repl_Rate!R37)+(1-Standards_Acceptance!S37)*(Lamp_Mkt_Repl!S37)</f>
        <v>2.969779539464458E-2</v>
      </c>
      <c r="S327" s="199">
        <f>IF(Sys_Repl_Rate!S37&gt;=1,System_Total_Mkt!S37*(1-Retrofit_Rate),System_Total_Mkt!S37*(1-Retrofit_Rate)*Sys_Repl_Rate!S37)+(1-Standards_Acceptance!T37)*(Lamp_Mkt_Repl!T37)</f>
        <v>2.7760323179966816E-2</v>
      </c>
      <c r="T327" s="199">
        <f>IF(Sys_Repl_Rate!T37&gt;=1,System_Total_Mkt!T37*(1-Retrofit_Rate),System_Total_Mkt!T37*(1-Retrofit_Rate)*Sys_Repl_Rate!T37)+(1-Standards_Acceptance!U37)*(Lamp_Mkt_Repl!U37)</f>
        <v>2.5932878466606302E-2</v>
      </c>
      <c r="U327" s="199">
        <f>IF(Sys_Repl_Rate!U37&gt;=1,System_Total_Mkt!U37*(1-Retrofit_Rate),System_Total_Mkt!U37*(1-Retrofit_Rate)*Sys_Repl_Rate!U37)+(1-Standards_Acceptance!V37)*(Lamp_Mkt_Repl!V37)</f>
        <v>2.4215829241158997E-2</v>
      </c>
      <c r="V327" s="199">
        <f>IF(Sys_Repl_Rate!V37&gt;=1,System_Total_Mkt!V37*(1-Retrofit_Rate),System_Total_Mkt!V37*(1-Retrofit_Rate)*Sys_Repl_Rate!V37)+(1-Standards_Acceptance!W37)*(Lamp_Mkt_Repl!W37)</f>
        <v>2.2607810608812586E-2</v>
      </c>
      <c r="W327" s="199">
        <f>IF(Sys_Repl_Rate!W37&gt;=1,System_Total_Mkt!W37*(1-Retrofit_Rate),System_Total_Mkt!W37*(1-Retrofit_Rate)*Sys_Repl_Rate!W37)+(1-Standards_Acceptance!X37)*(Lamp_Mkt_Repl!X37)</f>
        <v>2.1104328869579945E-2</v>
      </c>
      <c r="X327" s="199">
        <f>IF(Sys_Repl_Rate!X37&gt;=1,System_Total_Mkt!X37*(1-Retrofit_Rate),System_Total_Mkt!X37*(1-Retrofit_Rate)*Sys_Repl_Rate!X37)+(1-Standards_Acceptance!Y37)*(Lamp_Mkt_Repl!Y37)</f>
        <v>1.9700125144303214E-2</v>
      </c>
      <c r="Y327" s="199">
        <f>IF(Sys_Repl_Rate!Y37&gt;=1,System_Total_Mkt!Y37*(1-Retrofit_Rate),System_Total_Mkt!Y37*(1-Retrofit_Rate)*Sys_Repl_Rate!Y37)+(1-Standards_Acceptance!Z37)*(Lamp_Mkt_Repl!Z37)</f>
        <v>1.8389645230411839E-2</v>
      </c>
      <c r="Z327" s="199">
        <f>IF(Sys_Repl_Rate!Z37&gt;=1,System_Total_Mkt!Z37*(1-Retrofit_Rate),System_Total_Mkt!Z37*(1-Retrofit_Rate)*Sys_Repl_Rate!Z37)+(1-Standards_Acceptance!AA37)*(Lamp_Mkt_Repl!AA37)</f>
        <v>1.7167687243643891E-2</v>
      </c>
      <c r="AA327" s="199">
        <f>IF(Sys_Repl_Rate!AA37&gt;=1,System_Total_Mkt!AA37*(1-Retrofit_Rate),System_Total_Mkt!AA37*(1-Retrofit_Rate)*Sys_Repl_Rate!AA37)+(1-Standards_Acceptance!AB37)*(Lamp_Mkt_Repl!AB37)</f>
        <v>1.6029065178421901E-2</v>
      </c>
      <c r="AB327" s="199">
        <f>IF(Sys_Repl_Rate!AB37&gt;=1,System_Total_Mkt!AB37*(1-Retrofit_Rate),System_Total_Mkt!AB37*(1-Retrofit_Rate)*Sys_Repl_Rate!AB37)+(1-Standards_Acceptance!AC37)*(Lamp_Mkt_Repl!AC37)</f>
        <v>1.4968437894110759E-2</v>
      </c>
      <c r="AC327" s="199">
        <f>IF(Sys_Repl_Rate!AC37&gt;=1,System_Total_Mkt!AC37*(1-Retrofit_Rate),System_Total_Mkt!AC37*(1-Retrofit_Rate)*Sys_Repl_Rate!AC37)+(1-Standards_Acceptance!AD37)*(Lamp_Mkt_Repl!AD37)</f>
        <v>1.3980016301613574E-2</v>
      </c>
      <c r="AD327" s="199">
        <f>IF(Sys_Repl_Rate!AD37&gt;=1,System_Total_Mkt!AD37*(1-Retrofit_Rate),System_Total_Mkt!AD37*(1-Retrofit_Rate)*Sys_Repl_Rate!AD37)+(1-Standards_Acceptance!AE37)*(Lamp_Mkt_Repl!AE37)</f>
        <v>1.3058826836467844E-2</v>
      </c>
      <c r="AE327" s="199">
        <f>IF(Sys_Repl_Rate!AE37&gt;=1,System_Total_Mkt!AE37*(1-Retrofit_Rate),System_Total_Mkt!AE37*(1-Retrofit_Rate)*Sys_Repl_Rate!AE37)+(1-Standards_Acceptance!AF37)*(Lamp_Mkt_Repl!AF37)</f>
        <v>1.2200147171694037E-2</v>
      </c>
    </row>
    <row r="328" spans="1:56" s="221" customFormat="1" x14ac:dyDescent="0.25">
      <c r="A328" s="235"/>
      <c r="B328" s="237" t="s">
        <v>29</v>
      </c>
      <c r="C328"/>
      <c r="D328"/>
      <c r="E328"/>
      <c r="F328"/>
      <c r="G328" s="199">
        <f>IF(Sys_Repl_Rate!G38&gt;=1,System_Total_Mkt!G38*(1-Retrofit_Rate),System_Total_Mkt!G38*(1-Retrofit_Rate)*Sys_Repl_Rate!G38)+(1-Standards_Acceptance!H38)*(Lamp_Mkt_Repl!H38)</f>
        <v>2.5800510109997305E-3</v>
      </c>
      <c r="H328" s="199">
        <f>IF(Sys_Repl_Rate!H38&gt;=1,System_Total_Mkt!H38*(1-Retrofit_Rate),System_Total_Mkt!H38*(1-Retrofit_Rate)*Sys_Repl_Rate!H38)+(1-Standards_Acceptance!I38)*(Lamp_Mkt_Repl!I38)</f>
        <v>3.4104946693220638E-2</v>
      </c>
      <c r="I328" s="199">
        <f>IF(Sys_Repl_Rate!I38&gt;=1,System_Total_Mkt!I38*(1-Retrofit_Rate),System_Total_Mkt!I38*(1-Retrofit_Rate)*Sys_Repl_Rate!I38)+(1-Standards_Acceptance!J38)*(Lamp_Mkt_Repl!J38)</f>
        <v>0.108786957744114</v>
      </c>
      <c r="J328" s="199">
        <f>IF(Sys_Repl_Rate!J38&gt;=1,System_Total_Mkt!J38*(1-Retrofit_Rate),System_Total_Mkt!J38*(1-Retrofit_Rate)*Sys_Repl_Rate!J38)+(1-Standards_Acceptance!K38)*(Lamp_Mkt_Repl!K38)</f>
        <v>0.20824596005990251</v>
      </c>
      <c r="K328" s="199">
        <f>IF(Sys_Repl_Rate!K38&gt;=1,System_Total_Mkt!K38*(1-Retrofit_Rate),System_Total_Mkt!K38*(1-Retrofit_Rate)*Sys_Repl_Rate!K38)+(1-Standards_Acceptance!L38)*(Lamp_Mkt_Repl!L38)</f>
        <v>0.29591577985155981</v>
      </c>
      <c r="L328" s="199">
        <f>IF(Sys_Repl_Rate!L38&gt;=1,System_Total_Mkt!L38*(1-Retrofit_Rate),System_Total_Mkt!L38*(1-Retrofit_Rate)*Sys_Repl_Rate!L38)+(1-Standards_Acceptance!M38)*(Lamp_Mkt_Repl!M38)</f>
        <v>0.35398518124827083</v>
      </c>
      <c r="M328" s="199">
        <f>IF(Sys_Repl_Rate!M38&gt;=1,System_Total_Mkt!M38*(1-Retrofit_Rate),System_Total_Mkt!M38*(1-Retrofit_Rate)*Sys_Repl_Rate!M38)+(1-Standards_Acceptance!N38)*(Lamp_Mkt_Repl!N38)</f>
        <v>0.38851834369018728</v>
      </c>
      <c r="N328" s="199">
        <f>IF(Sys_Repl_Rate!N38&gt;=1,System_Total_Mkt!N38*(1-Retrofit_Rate),System_Total_Mkt!N38*(1-Retrofit_Rate)*Sys_Repl_Rate!N38)+(1-Standards_Acceptance!O38)*(Lamp_Mkt_Repl!O38)</f>
        <v>0.40966025668225264</v>
      </c>
      <c r="O328" s="199">
        <f>IF(Sys_Repl_Rate!O38&gt;=1,System_Total_Mkt!O38*(1-Retrofit_Rate),System_Total_Mkt!O38*(1-Retrofit_Rate)*Sys_Repl_Rate!O38)+(1-Standards_Acceptance!P38)*(Lamp_Mkt_Repl!P38)</f>
        <v>0.42493185488711838</v>
      </c>
      <c r="P328" s="199">
        <f>IF(Sys_Repl_Rate!P38&gt;=1,System_Total_Mkt!P38*(1-Retrofit_Rate),System_Total_Mkt!P38*(1-Retrofit_Rate)*Sys_Repl_Rate!P38)+(1-Standards_Acceptance!Q38)*(Lamp_Mkt_Repl!Q38)</f>
        <v>0.43796371099472303</v>
      </c>
      <c r="Q328" s="199">
        <f>IF(Sys_Repl_Rate!Q38&gt;=1,System_Total_Mkt!Q38*(1-Retrofit_Rate),System_Total_Mkt!Q38*(1-Retrofit_Rate)*Sys_Repl_Rate!Q38)+(1-Standards_Acceptance!R38)*(Lamp_Mkt_Repl!R38)</f>
        <v>0.45021140429956163</v>
      </c>
      <c r="R328" s="199">
        <f>IF(Sys_Repl_Rate!R38&gt;=1,System_Total_Mkt!R38*(1-Retrofit_Rate),System_Total_Mkt!R38*(1-Retrofit_Rate)*Sys_Repl_Rate!R38)+(1-Standards_Acceptance!S38)*(Lamp_Mkt_Repl!S38)</f>
        <v>0.46204408769980837</v>
      </c>
      <c r="S328" s="199">
        <f>IF(Sys_Repl_Rate!S38&gt;=1,System_Total_Mkt!S38*(1-Retrofit_Rate),System_Total_Mkt!S38*(1-Retrofit_Rate)*Sys_Repl_Rate!S38)+(1-Standards_Acceptance!T38)*(Lamp_Mkt_Repl!T38)</f>
        <v>0.4737629942350205</v>
      </c>
      <c r="T328" s="199">
        <f>IF(Sys_Repl_Rate!T38&gt;=1,System_Total_Mkt!T38*(1-Retrofit_Rate),System_Total_Mkt!T38*(1-Retrofit_Rate)*Sys_Repl_Rate!T38)+(1-Standards_Acceptance!U38)*(Lamp_Mkt_Repl!U38)</f>
        <v>0.48537397315280734</v>
      </c>
      <c r="U328" s="199">
        <f>IF(Sys_Repl_Rate!U38&gt;=1,System_Total_Mkt!U38*(1-Retrofit_Rate),System_Total_Mkt!U38*(1-Retrofit_Rate)*Sys_Repl_Rate!U38)+(1-Standards_Acceptance!V38)*(Lamp_Mkt_Repl!V38)</f>
        <v>0.49685135211835085</v>
      </c>
      <c r="V328" s="199">
        <f>IF(Sys_Repl_Rate!V38&gt;=1,System_Total_Mkt!V38*(1-Retrofit_Rate),System_Total_Mkt!V38*(1-Retrofit_Rate)*Sys_Repl_Rate!V38)+(1-Standards_Acceptance!W38)*(Lamp_Mkt_Repl!W38)</f>
        <v>0.50824848237345488</v>
      </c>
      <c r="W328" s="199">
        <f>IF(Sys_Repl_Rate!W38&gt;=1,System_Total_Mkt!W38*(1-Retrofit_Rate),System_Total_Mkt!W38*(1-Retrofit_Rate)*Sys_Repl_Rate!W38)+(1-Standards_Acceptance!X38)*(Lamp_Mkt_Repl!X38)</f>
        <v>0.51948124219990632</v>
      </c>
      <c r="X328" s="199">
        <f>IF(Sys_Repl_Rate!X38&gt;=1,System_Total_Mkt!X38*(1-Retrofit_Rate),System_Total_Mkt!X38*(1-Retrofit_Rate)*Sys_Repl_Rate!X38)+(1-Standards_Acceptance!Y38)*(Lamp_Mkt_Repl!Y38)</f>
        <v>0.5304615479810264</v>
      </c>
      <c r="Y328" s="199">
        <f>IF(Sys_Repl_Rate!Y38&gt;=1,System_Total_Mkt!Y38*(1-Retrofit_Rate),System_Total_Mkt!Y38*(1-Retrofit_Rate)*Sys_Repl_Rate!Y38)+(1-Standards_Acceptance!Z38)*(Lamp_Mkt_Repl!Z38)</f>
        <v>0.5411410745976446</v>
      </c>
      <c r="Z328" s="199">
        <f>IF(Sys_Repl_Rate!Z38&gt;=1,System_Total_Mkt!Z38*(1-Retrofit_Rate),System_Total_Mkt!Z38*(1-Retrofit_Rate)*Sys_Repl_Rate!Z38)+(1-Standards_Acceptance!AA38)*(Lamp_Mkt_Repl!AA38)</f>
        <v>0.55158299030257518</v>
      </c>
      <c r="AA328" s="199">
        <f>IF(Sys_Repl_Rate!AA38&gt;=1,System_Total_Mkt!AA38*(1-Retrofit_Rate),System_Total_Mkt!AA38*(1-Retrofit_Rate)*Sys_Repl_Rate!AA38)+(1-Standards_Acceptance!AB38)*(Lamp_Mkt_Repl!AB38)</f>
        <v>0.56188377949265622</v>
      </c>
      <c r="AB328" s="199">
        <f>IF(Sys_Repl_Rate!AB38&gt;=1,System_Total_Mkt!AB38*(1-Retrofit_Rate),System_Total_Mkt!AB38*(1-Retrofit_Rate)*Sys_Repl_Rate!AB38)+(1-Standards_Acceptance!AC38)*(Lamp_Mkt_Repl!AC38)</f>
        <v>0.57218930941749868</v>
      </c>
      <c r="AC328" s="199">
        <f>IF(Sys_Repl_Rate!AC38&gt;=1,System_Total_Mkt!AC38*(1-Retrofit_Rate),System_Total_Mkt!AC38*(1-Retrofit_Rate)*Sys_Repl_Rate!AC38)+(1-Standards_Acceptance!AD38)*(Lamp_Mkt_Repl!AD38)</f>
        <v>0.58228664997497315</v>
      </c>
      <c r="AD328" s="199">
        <f>IF(Sys_Repl_Rate!AD38&gt;=1,System_Total_Mkt!AD38*(1-Retrofit_Rate),System_Total_Mkt!AD38*(1-Retrofit_Rate)*Sys_Repl_Rate!AD38)+(1-Standards_Acceptance!AE38)*(Lamp_Mkt_Repl!AE38)</f>
        <v>0.59216847519253701</v>
      </c>
      <c r="AE328" s="199">
        <f>IF(Sys_Repl_Rate!AE38&gt;=1,System_Total_Mkt!AE38*(1-Retrofit_Rate),System_Total_Mkt!AE38*(1-Retrofit_Rate)*Sys_Repl_Rate!AE38)+(1-Standards_Acceptance!AF38)*(Lamp_Mkt_Repl!AF38)</f>
        <v>0.60182970491426324</v>
      </c>
    </row>
    <row r="329" spans="1:56" s="221" customFormat="1" x14ac:dyDescent="0.25">
      <c r="A329" s="235"/>
      <c r="B329" s="237" t="s">
        <v>53</v>
      </c>
      <c r="C329"/>
      <c r="D329"/>
      <c r="E329"/>
      <c r="F329" s="201"/>
      <c r="G329" s="199">
        <f>IF(Sys_Repl_Rate!G39&gt;=1,System_Total_Mkt!G39*(1-Retrofit_Rate),System_Total_Mkt!G39*(1-Retrofit_Rate)*Sys_Repl_Rate!G39)+(1-Standards_Acceptance!H39)*(Lamp_Mkt_Repl!H39)</f>
        <v>2.0950264181636303E-3</v>
      </c>
      <c r="H329" s="199">
        <f>IF(Sys_Repl_Rate!H39&gt;=1,System_Total_Mkt!H39*(1-Retrofit_Rate),System_Total_Mkt!H39*(1-Retrofit_Rate)*Sys_Repl_Rate!H39)+(1-Standards_Acceptance!I39)*(Lamp_Mkt_Repl!I39)</f>
        <v>2.1348743561786761E-3</v>
      </c>
      <c r="I329" s="199">
        <f>IF(Sys_Repl_Rate!I39&gt;=1,System_Total_Mkt!I39*(1-Retrofit_Rate),System_Total_Mkt!I39*(1-Retrofit_Rate)*Sys_Repl_Rate!I39)+(1-Standards_Acceptance!J39)*(Lamp_Mkt_Repl!J39)</f>
        <v>2.1667646797572586E-3</v>
      </c>
      <c r="J329" s="199">
        <f>IF(Sys_Repl_Rate!J39&gt;=1,System_Total_Mkt!J39*(1-Retrofit_Rate),System_Total_Mkt!J39*(1-Retrofit_Rate)*Sys_Repl_Rate!J39)+(1-Standards_Acceptance!K39)*(Lamp_Mkt_Repl!K39)</f>
        <v>2.186617372906991E-3</v>
      </c>
      <c r="K329" s="199">
        <f>IF(Sys_Repl_Rate!K39&gt;=1,System_Total_Mkt!K39*(1-Retrofit_Rate),System_Total_Mkt!K39*(1-Retrofit_Rate)*Sys_Repl_Rate!K39)+(1-Standards_Acceptance!L39)*(Lamp_Mkt_Repl!L39)</f>
        <v>2.1905487666733689E-3</v>
      </c>
      <c r="L329" s="199">
        <f>IF(Sys_Repl_Rate!L39&gt;=1,System_Total_Mkt!L39*(1-Retrofit_Rate),System_Total_Mkt!L39*(1-Retrofit_Rate)*Sys_Repl_Rate!L39)+(1-Standards_Acceptance!M39)*(Lamp_Mkt_Repl!M39)</f>
        <v>2.179077236240971E-3</v>
      </c>
      <c r="M329" s="199">
        <f>IF(Sys_Repl_Rate!M39&gt;=1,System_Total_Mkt!M39*(1-Retrofit_Rate),System_Total_Mkt!M39*(1-Retrofit_Rate)*Sys_Repl_Rate!M39)+(1-Standards_Acceptance!N39)*(Lamp_Mkt_Repl!N39)</f>
        <v>2.1525058499199646E-3</v>
      </c>
      <c r="N329" s="199">
        <f>IF(Sys_Repl_Rate!N39&gt;=1,System_Total_Mkt!N39*(1-Retrofit_Rate),System_Total_Mkt!N39*(1-Retrofit_Rate)*Sys_Repl_Rate!N39)+(1-Standards_Acceptance!O39)*(Lamp_Mkt_Repl!O39)</f>
        <v>2.1125106250726227E-3</v>
      </c>
      <c r="O329" s="199">
        <f>IF(Sys_Repl_Rate!O39&gt;=1,System_Total_Mkt!O39*(1-Retrofit_Rate),System_Total_Mkt!O39*(1-Retrofit_Rate)*Sys_Repl_Rate!O39)+(1-Standards_Acceptance!P39)*(Lamp_Mkt_Repl!P39)</f>
        <v>2.0618060796558559E-3</v>
      </c>
      <c r="P329" s="199">
        <f>IF(Sys_Repl_Rate!P39&gt;=1,System_Total_Mkt!P39*(1-Retrofit_Rate),System_Total_Mkt!P39*(1-Retrofit_Rate)*Sys_Repl_Rate!P39)+(1-Standards_Acceptance!Q39)*(Lamp_Mkt_Repl!Q39)</f>
        <v>2.003199332846079E-3</v>
      </c>
      <c r="Q329" s="199">
        <f>IF(Sys_Repl_Rate!Q39&gt;=1,System_Total_Mkt!Q39*(1-Retrofit_Rate),System_Total_Mkt!Q39*(1-Retrofit_Rate)*Sys_Repl_Rate!Q39)+(1-Standards_Acceptance!R39)*(Lamp_Mkt_Repl!R39)</f>
        <v>1.9388645552231973E-3</v>
      </c>
      <c r="R329" s="199">
        <f>IF(Sys_Repl_Rate!R39&gt;=1,System_Total_Mkt!R39*(1-Retrofit_Rate),System_Total_Mkt!R39*(1-Retrofit_Rate)*Sys_Repl_Rate!R39)+(1-Standards_Acceptance!S39)*(Lamp_Mkt_Repl!S39)</f>
        <v>1.870604534449197E-3</v>
      </c>
      <c r="S329" s="199">
        <f>IF(Sys_Repl_Rate!S39&gt;=1,System_Total_Mkt!S39*(1-Retrofit_Rate),System_Total_Mkt!S39*(1-Retrofit_Rate)*Sys_Repl_Rate!S39)+(1-Standards_Acceptance!T39)*(Lamp_Mkt_Repl!T39)</f>
        <v>1.8002522377154498E-3</v>
      </c>
      <c r="T329" s="199">
        <f>IF(Sys_Repl_Rate!T39&gt;=1,System_Total_Mkt!T39*(1-Retrofit_Rate),System_Total_Mkt!T39*(1-Retrofit_Rate)*Sys_Repl_Rate!T39)+(1-Standards_Acceptance!U39)*(Lamp_Mkt_Repl!U39)</f>
        <v>1.7289977834778346E-3</v>
      </c>
      <c r="U329" s="199">
        <f>IF(Sys_Repl_Rate!U39&gt;=1,System_Total_Mkt!U39*(1-Retrofit_Rate),System_Total_Mkt!U39*(1-Retrofit_Rate)*Sys_Repl_Rate!U39)+(1-Standards_Acceptance!V39)*(Lamp_Mkt_Repl!V39)</f>
        <v>1.6577519490017251E-3</v>
      </c>
      <c r="V329" s="199">
        <f>IF(Sys_Repl_Rate!V39&gt;=1,System_Total_Mkt!V39*(1-Retrofit_Rate),System_Total_Mkt!V39*(1-Retrofit_Rate)*Sys_Repl_Rate!V39)+(1-Standards_Acceptance!W39)*(Lamp_Mkt_Repl!W39)</f>
        <v>1.5873571310836296E-3</v>
      </c>
      <c r="W329" s="199">
        <f>IF(Sys_Repl_Rate!W39&gt;=1,System_Total_Mkt!W39*(1-Retrofit_Rate),System_Total_Mkt!W39*(1-Retrofit_Rate)*Sys_Repl_Rate!W39)+(1-Standards_Acceptance!X39)*(Lamp_Mkt_Repl!X39)</f>
        <v>1.5182416256453164E-3</v>
      </c>
      <c r="X329" s="199">
        <f>IF(Sys_Repl_Rate!X39&gt;=1,System_Total_Mkt!X39*(1-Retrofit_Rate),System_Total_Mkt!X39*(1-Retrofit_Rate)*Sys_Repl_Rate!X39)+(1-Standards_Acceptance!Y39)*(Lamp_Mkt_Repl!Y39)</f>
        <v>1.4507093615584755E-3</v>
      </c>
      <c r="Y329" s="199">
        <f>IF(Sys_Repl_Rate!Y39&gt;=1,System_Total_Mkt!Y39*(1-Retrofit_Rate),System_Total_Mkt!Y39*(1-Retrofit_Rate)*Sys_Repl_Rate!Y39)+(1-Standards_Acceptance!Z39)*(Lamp_Mkt_Repl!Z39)</f>
        <v>1.3849858607024785E-3</v>
      </c>
      <c r="Z329" s="199">
        <f>IF(Sys_Repl_Rate!Z39&gt;=1,System_Total_Mkt!Z39*(1-Retrofit_Rate),System_Total_Mkt!Z39*(1-Retrofit_Rate)*Sys_Repl_Rate!Z39)+(1-Standards_Acceptance!AA39)*(Lamp_Mkt_Repl!AA39)</f>
        <v>1.3213137254709745E-3</v>
      </c>
      <c r="AA329" s="199">
        <f>IF(Sys_Repl_Rate!AA39&gt;=1,System_Total_Mkt!AA39*(1-Retrofit_Rate),System_Total_Mkt!AA39*(1-Retrofit_Rate)*Sys_Repl_Rate!AA39)+(1-Standards_Acceptance!AB39)*(Lamp_Mkt_Repl!AB39)</f>
        <v>1.2598770856850066E-3</v>
      </c>
      <c r="AB329" s="199">
        <f>IF(Sys_Repl_Rate!AB39&gt;=1,System_Total_Mkt!AB39*(1-Retrofit_Rate),System_Total_Mkt!AB39*(1-Retrofit_Rate)*Sys_Repl_Rate!AB39)+(1-Standards_Acceptance!AC39)*(Lamp_Mkt_Repl!AC39)</f>
        <v>1.2007683669617185E-3</v>
      </c>
      <c r="AC329" s="199">
        <f>IF(Sys_Repl_Rate!AC39&gt;=1,System_Total_Mkt!AC39*(1-Retrofit_Rate),System_Total_Mkt!AC39*(1-Retrofit_Rate)*Sys_Repl_Rate!AC39)+(1-Standards_Acceptance!AD39)*(Lamp_Mkt_Repl!AD39)</f>
        <v>1.1438761515016526E-3</v>
      </c>
      <c r="AD329" s="199">
        <f>IF(Sys_Repl_Rate!AD39&gt;=1,System_Total_Mkt!AD39*(1-Retrofit_Rate),System_Total_Mkt!AD39*(1-Retrofit_Rate)*Sys_Repl_Rate!AD39)+(1-Standards_Acceptance!AE39)*(Lamp_Mkt_Repl!AE39)</f>
        <v>1.0891862485217043E-3</v>
      </c>
      <c r="AE329" s="199">
        <f>IF(Sys_Repl_Rate!AE39&gt;=1,System_Total_Mkt!AE39*(1-Retrofit_Rate),System_Total_Mkt!AE39*(1-Retrofit_Rate)*Sys_Repl_Rate!AE39)+(1-Standards_Acceptance!AF39)*(Lamp_Mkt_Repl!AF39)</f>
        <v>1.0366589727722538E-3</v>
      </c>
    </row>
    <row r="331" spans="1:56" x14ac:dyDescent="0.25">
      <c r="A331" s="264" t="s">
        <v>171</v>
      </c>
      <c r="B331" s="265"/>
      <c r="C331" s="264"/>
      <c r="D331" s="265"/>
      <c r="E331" s="265"/>
      <c r="F331" s="828" t="s">
        <v>694</v>
      </c>
      <c r="G331" s="828"/>
      <c r="H331" s="265"/>
      <c r="I331" s="265"/>
      <c r="J331" s="265"/>
      <c r="K331" s="265"/>
      <c r="L331" s="265"/>
      <c r="M331" s="265"/>
      <c r="N331" s="265"/>
      <c r="O331" s="265"/>
      <c r="P331" s="265"/>
      <c r="Q331" s="265"/>
      <c r="R331" s="265"/>
      <c r="S331" s="265"/>
      <c r="T331" s="265"/>
      <c r="U331" s="265"/>
      <c r="V331" s="265"/>
      <c r="W331" s="265"/>
      <c r="X331" s="265"/>
      <c r="Y331" s="265"/>
      <c r="Z331" s="265"/>
      <c r="AA331" s="265"/>
      <c r="AB331" s="265"/>
      <c r="AC331" s="265"/>
      <c r="AD331" s="265"/>
      <c r="AE331" s="265"/>
      <c r="AF331" s="252"/>
      <c r="AG331" s="252"/>
      <c r="AH331" s="252"/>
      <c r="AI331" s="252"/>
      <c r="AJ331" s="252"/>
      <c r="AK331" s="252"/>
      <c r="AL331" s="252"/>
      <c r="AM331" s="252"/>
      <c r="AN331" s="252"/>
      <c r="AO331" s="252"/>
      <c r="AP331" s="252"/>
      <c r="AQ331" s="252"/>
      <c r="AR331" s="252"/>
      <c r="AS331" s="252"/>
      <c r="AT331" s="252"/>
      <c r="AU331" s="252"/>
      <c r="AV331" s="252"/>
      <c r="AW331" s="252"/>
      <c r="AX331" s="252"/>
      <c r="AY331" s="252"/>
      <c r="AZ331" s="252"/>
      <c r="BA331" s="252"/>
      <c r="BB331" s="252"/>
      <c r="BC331" s="252"/>
      <c r="BD331" s="252"/>
    </row>
    <row r="332" spans="1:56" x14ac:dyDescent="0.25">
      <c r="A332" s="253" t="s">
        <v>12</v>
      </c>
      <c r="B332" s="252"/>
    </row>
    <row r="333" spans="1:56" x14ac:dyDescent="0.25">
      <c r="A333" s="252"/>
      <c r="B333" s="252" t="s">
        <v>20</v>
      </c>
    </row>
    <row r="334" spans="1:56" x14ac:dyDescent="0.25">
      <c r="A334" s="267" t="s">
        <v>21</v>
      </c>
      <c r="B334" s="267"/>
      <c r="C334" s="267"/>
      <c r="D334" s="267"/>
      <c r="E334" s="267"/>
      <c r="F334" s="267"/>
      <c r="G334" s="267"/>
      <c r="H334" s="267"/>
      <c r="I334" s="267"/>
      <c r="J334" s="267"/>
      <c r="K334" s="267"/>
      <c r="L334" s="267"/>
      <c r="M334" s="267"/>
      <c r="N334" s="267"/>
      <c r="O334" s="267"/>
      <c r="P334" s="267"/>
      <c r="Q334" s="267"/>
      <c r="R334" s="267"/>
      <c r="S334" s="267"/>
      <c r="T334" s="267"/>
      <c r="U334" s="267"/>
      <c r="V334" s="267"/>
      <c r="W334" s="267"/>
      <c r="X334" s="267"/>
      <c r="Y334" s="267"/>
      <c r="Z334" s="267"/>
      <c r="AA334" s="267"/>
      <c r="AB334" s="267"/>
      <c r="AC334" s="267"/>
      <c r="AD334" s="267"/>
      <c r="AE334" s="267"/>
    </row>
    <row r="335" spans="1:56" x14ac:dyDescent="0.25">
      <c r="A335" s="252"/>
      <c r="B335" s="252" t="s">
        <v>22</v>
      </c>
      <c r="G335" s="549">
        <f ca="1">IF(Tech_Specs!$K9="lamp",G262*SUM(G$299:G$302),G262*SUMIF($B$335:$B$338,"&lt;&gt;LED",G$299:G$302))</f>
        <v>21.439731860243604</v>
      </c>
      <c r="H335" s="549">
        <f ca="1">IF(Tech_Specs!$K9="lamp",H262*SUM(H$299:H$302),H262*SUMIF($B$335:$B$338,"&lt;&gt;LED",H$299:H$302))</f>
        <v>18.768574844143043</v>
      </c>
      <c r="I335" s="549">
        <f ca="1">IF(Tech_Specs!$K9="lamp",I262*SUM(I$299:I$302),I262*SUMIF($B$335:$B$338,"&lt;&gt;LED",I$299:I$302))</f>
        <v>12.904070253208005</v>
      </c>
      <c r="J335" s="549">
        <f ca="1">IF(Tech_Specs!$K9="lamp",J262*SUM(J$299:J$302),J262*SUMIF($B$335:$B$338,"&lt;&gt;LED",J$299:J$302))</f>
        <v>8.9600102810170252</v>
      </c>
      <c r="K335" s="549">
        <f ca="1">IF(Tech_Specs!$K9="lamp",K262*SUM(K$299:K$302),K262*SUMIF($B$335:$B$338,"&lt;&gt;LED",K$299:K$302))</f>
        <v>5.7720879808902259</v>
      </c>
      <c r="L335" s="549">
        <f ca="1">IF(Tech_Specs!$K9="lamp",L262*SUM(L$299:L$302),L262*SUMIF($B$335:$B$338,"&lt;&gt;LED",L$299:L$302))</f>
        <v>2.1271746259080246</v>
      </c>
      <c r="M335" s="549">
        <f ca="1">IF(Tech_Specs!$K9="lamp",M262*SUM(M$299:M$302),M262*SUMIF($B$335:$B$338,"&lt;&gt;LED",M$299:M$302))</f>
        <v>1.7534056655990717</v>
      </c>
      <c r="N335" s="549">
        <f ca="1">IF(Tech_Specs!$K9="lamp",N262*SUM(N$299:N$302),N262*SUMIF($B$335:$B$338,"&lt;&gt;LED",N$299:N$302))</f>
        <v>1.4695584144478091</v>
      </c>
      <c r="O335" s="549">
        <f ca="1">IF(Tech_Specs!$K9="lamp",O262*SUM(O$299:O$302),O262*SUMIF($B$335:$B$338,"&lt;&gt;LED",O$299:O$302))</f>
        <v>1.2432488341638981</v>
      </c>
      <c r="P335" s="549">
        <f ca="1">IF(Tech_Specs!$K9="lamp",P262*SUM(P$299:P$302),P262*SUMIF($B$335:$B$338,"&lt;&gt;LED",P$299:P$302))</f>
        <v>1.0387122768945034</v>
      </c>
      <c r="Q335" s="549">
        <f ca="1">IF(Tech_Specs!$K9="lamp",Q262*SUM(Q$299:Q$302),Q262*SUMIF($B$335:$B$338,"&lt;&gt;LED",Q$299:Q$302))</f>
        <v>0.85063653239798875</v>
      </c>
      <c r="R335" s="549">
        <f ca="1">IF(Tech_Specs!$K9="lamp",R262*SUM(R$299:R$302),R262*SUMIF($B$335:$B$338,"&lt;&gt;LED",R$299:R$302))</f>
        <v>0.68748061882474598</v>
      </c>
      <c r="S335" s="549">
        <f ca="1">IF(Tech_Specs!$K9="lamp",S262*SUM(S$299:S$302),S262*SUMIF($B$335:$B$338,"&lt;&gt;LED",S$299:S$302))</f>
        <v>0.54846469247947716</v>
      </c>
      <c r="T335" s="549">
        <f ca="1">IF(Tech_Specs!$K9="lamp",T262*SUM(T$299:T$302),T262*SUMIF($B$335:$B$338,"&lt;&gt;LED",T$299:T$302))</f>
        <v>0.43264479801008704</v>
      </c>
      <c r="U335" s="549">
        <f ca="1">IF(Tech_Specs!$K9="lamp",U262*SUM(U$299:U$302),U262*SUMIF($B$335:$B$338,"&lt;&gt;LED",U$299:U$302))</f>
        <v>0.34137743891600558</v>
      </c>
      <c r="V335" s="549">
        <f ca="1">IF(Tech_Specs!$K9="lamp",V262*SUM(V$299:V$302),V262*SUMIF($B$335:$B$338,"&lt;&gt;LED",V$299:V$302))</f>
        <v>0.26870948595068322</v>
      </c>
      <c r="W335" s="549">
        <f ca="1">IF(Tech_Specs!$K9="lamp",W262*SUM(W$299:W$302),W262*SUMIF($B$335:$B$338,"&lt;&gt;LED",W$299:W$302))</f>
        <v>0.21155749187165582</v>
      </c>
      <c r="X335" s="549">
        <f ca="1">IF(Tech_Specs!$K9="lamp",X262*SUM(X$299:X$302),X262*SUMIF($B$335:$B$338,"&lt;&gt;LED",X$299:X$302))</f>
        <v>0.16711662317354928</v>
      </c>
      <c r="Y335" s="549">
        <f ca="1">IF(Tech_Specs!$K9="lamp",Y262*SUM(Y$299:Y$302),Y262*SUMIF($B$335:$B$338,"&lt;&gt;LED",Y$299:Y$302))</f>
        <v>0.13328337087176451</v>
      </c>
      <c r="Z335" s="549">
        <f ca="1">IF(Tech_Specs!$K9="lamp",Z262*SUM(Z$299:Z$302),Z262*SUMIF($B$335:$B$338,"&lt;&gt;LED",Z$299:Z$302))</f>
        <v>0.10773332867424515</v>
      </c>
      <c r="AA335" s="549">
        <f ca="1">IF(Tech_Specs!$K9="lamp",AA262*SUM(AA$299:AA$302),AA262*SUMIF($B$335:$B$338,"&lt;&gt;LED",AA$299:AA$302))</f>
        <v>8.7580465079160036E-2</v>
      </c>
      <c r="AB335" s="549">
        <f ca="1">IF(Tech_Specs!$K9="lamp",AB262*SUM(AB$299:AB$302),AB262*SUMIF($B$335:$B$338,"&lt;&gt;LED",AB$299:AB$302))</f>
        <v>7.2030984421659963E-2</v>
      </c>
      <c r="AC335" s="549">
        <f ca="1">IF(Tech_Specs!$K9="lamp",AC262*SUM(AC$299:AC$302),AC262*SUMIF($B$335:$B$338,"&lt;&gt;LED",AC$299:AC$302))</f>
        <v>5.9645334616502926E-2</v>
      </c>
      <c r="AD335" s="549">
        <f ca="1">IF(Tech_Specs!$K9="lamp",AD262*SUM(AD$299:AD$302),AD262*SUMIF($B$335:$B$338,"&lt;&gt;LED",AD$299:AD$302))</f>
        <v>4.9635173204552976E-2</v>
      </c>
      <c r="AE335" s="549">
        <f ca="1">IF(Tech_Specs!$K9="lamp",AE262*SUM(AE$299:AE$302),AE262*SUMIF($B$335:$B$338,"&lt;&gt;LED",AE$299:AE$302))</f>
        <v>4.0831987324353093E-2</v>
      </c>
    </row>
    <row r="336" spans="1:56" x14ac:dyDescent="0.25">
      <c r="A336" s="252"/>
      <c r="B336" s="252" t="s">
        <v>26</v>
      </c>
      <c r="G336" s="549">
        <f ca="1">IF(Tech_Specs!$K10="lamp",G263*SUM(G$299:G$302),G263*SUMIF($B$335:$B$338,"&lt;&gt;LED",G$299:G$302))</f>
        <v>0.31436313895040463</v>
      </c>
      <c r="H336" s="549">
        <f ca="1">IF(Tech_Specs!$K10="lamp",H263*SUM(H$299:H$302),H263*SUMIF($B$335:$B$338,"&lt;&gt;LED",H$299:H$302))</f>
        <v>1.3549069063691457</v>
      </c>
      <c r="I336" s="549">
        <f ca="1">IF(Tech_Specs!$K10="lamp",I263*SUM(I$299:I$302),I263*SUMIF($B$335:$B$338,"&lt;&gt;LED",I$299:I$302))</f>
        <v>4.2541616204850881</v>
      </c>
      <c r="J336" s="549">
        <f ca="1">IF(Tech_Specs!$K10="lamp",J263*SUM(J$299:J$302),J263*SUMIF($B$335:$B$338,"&lt;&gt;LED",J$299:J$302))</f>
        <v>6.031799027794233</v>
      </c>
      <c r="K336" s="549">
        <f ca="1">IF(Tech_Specs!$K10="lamp",K263*SUM(K$299:K$302),K263*SUMIF($B$335:$B$338,"&lt;&gt;LED",K$299:K$302))</f>
        <v>6.5359564861767749</v>
      </c>
      <c r="L336" s="549">
        <f ca="1">IF(Tech_Specs!$K10="lamp",L263*SUM(L$299:L$302),L263*SUMIF($B$335:$B$338,"&lt;&gt;LED",L$299:L$302))</f>
        <v>6.9694726701001475</v>
      </c>
      <c r="M336" s="549">
        <f ca="1">IF(Tech_Specs!$K10="lamp",M263*SUM(M$299:M$302),M263*SUMIF($B$335:$B$338,"&lt;&gt;LED",M$299:M$302))</f>
        <v>5.9195220644174764</v>
      </c>
      <c r="N336" s="549">
        <f ca="1">IF(Tech_Specs!$K10="lamp",N263*SUM(N$299:N$302),N263*SUMIF($B$335:$B$338,"&lt;&gt;LED",N$299:N$302))</f>
        <v>5.1051478152965393</v>
      </c>
      <c r="O336" s="549">
        <f ca="1">IF(Tech_Specs!$K10="lamp",O263*SUM(O$299:O$302),O263*SUMIF($B$335:$B$338,"&lt;&gt;LED",O$299:O$302))</f>
        <v>4.430810970453491</v>
      </c>
      <c r="P336" s="549">
        <f ca="1">IF(Tech_Specs!$K10="lamp",P263*SUM(P$299:P$302),P263*SUMIF($B$335:$B$338,"&lt;&gt;LED",P$299:P$302))</f>
        <v>3.8055839968214511</v>
      </c>
      <c r="Q336" s="549">
        <f ca="1">IF(Tech_Specs!$K10="lamp",Q263*SUM(Q$299:Q$302),Q263*SUMIF($B$335:$B$338,"&lt;&gt;LED",Q$299:Q$302))</f>
        <v>3.2127180156211201</v>
      </c>
      <c r="R336" s="549">
        <f ca="1">IF(Tech_Specs!$K10="lamp",R263*SUM(R$299:R$302),R263*SUMIF($B$335:$B$338,"&lt;&gt;LED",R$299:R$302))</f>
        <v>2.6760810596240749</v>
      </c>
      <c r="S336" s="549">
        <f ca="1">IF(Tech_Specs!$K10="lamp",S263*SUM(S$299:S$302),S263*SUMIF($B$335:$B$338,"&lt;&gt;LED",S$299:S$302))</f>
        <v>2.201872447988646</v>
      </c>
      <c r="T336" s="549">
        <f ca="1">IF(Tech_Specs!$K10="lamp",T263*SUM(T$299:T$302),T263*SUMIF($B$335:$B$338,"&lt;&gt;LED",T$299:T$302))</f>
        <v>1.793693615439679</v>
      </c>
      <c r="U336" s="549">
        <f ca="1">IF(Tech_Specs!$K10="lamp",U263*SUM(U$299:U$302),U263*SUMIF($B$335:$B$338,"&lt;&gt;LED",U$299:U$302))</f>
        <v>1.4604511570048193</v>
      </c>
      <c r="V336" s="549">
        <f ca="1">IF(Tech_Specs!$K10="lamp",V263*SUM(V$299:V$302),V263*SUMIF($B$335:$B$338,"&lt;&gt;LED",V$299:V$302))</f>
        <v>1.1881692343321655</v>
      </c>
      <c r="W336" s="549">
        <f ca="1">IF(Tech_Specs!$K10="lamp",W263*SUM(W$299:W$302),W263*SUMIF($B$335:$B$338,"&lt;&gt;LED",W$299:W$302))</f>
        <v>0.96828612986839002</v>
      </c>
      <c r="X336" s="549">
        <f ca="1">IF(Tech_Specs!$K10="lamp",X263*SUM(X$299:X$302),X263*SUMIF($B$335:$B$338,"&lt;&gt;LED",X$299:X$302))</f>
        <v>0.79307523499307764</v>
      </c>
      <c r="Y336" s="549">
        <f ca="1">IF(Tech_Specs!$K10="lamp",Y263*SUM(Y$299:Y$302),Y263*SUMIF($B$335:$B$338,"&lt;&gt;LED",Y$299:Y$302))</f>
        <v>0.65615423540763562</v>
      </c>
      <c r="Z336" s="549">
        <f ca="1">IF(Tech_Specs!$K10="lamp",Z263*SUM(Z$299:Z$302),Z263*SUMIF($B$335:$B$338,"&lt;&gt;LED",Z$299:Z$302))</f>
        <v>0.55012856034635005</v>
      </c>
      <c r="AA336" s="549">
        <f ca="1">IF(Tech_Specs!$K10="lamp",AA263*SUM(AA$299:AA$302),AA263*SUMIF($B$335:$B$338,"&lt;&gt;LED",AA$299:AA$302))</f>
        <v>0.46488639081468081</v>
      </c>
      <c r="AB336" s="549">
        <f ca="1">IF(Tech_Specs!$K10="lamp",AB263*SUM(AB$299:AB$302),AB263*SUMIF($B$335:$B$338,"&lt;&gt;LED",AB$299:AB$302))</f>
        <v>0.39776485951602492</v>
      </c>
      <c r="AC336" s="549">
        <f ca="1">IF(Tech_Specs!$K10="lamp",AC263*SUM(AC$299:AC$302),AC263*SUMIF($B$335:$B$338,"&lt;&gt;LED",AC$299:AC$302))</f>
        <v>0.34303497722506354</v>
      </c>
      <c r="AD336" s="549">
        <f ca="1">IF(Tech_Specs!$K10="lamp",AD263*SUM(AD$299:AD$302),AD263*SUMIF($B$335:$B$338,"&lt;&gt;LED",AD$299:AD$302))</f>
        <v>0.29782503088445589</v>
      </c>
      <c r="AE336" s="549">
        <f ca="1">IF(Tech_Specs!$K10="lamp",AE263*SUM(AE$299:AE$302),AE263*SUMIF($B$335:$B$338,"&lt;&gt;LED",AE$299:AE$302))</f>
        <v>0.25714459705814841</v>
      </c>
    </row>
    <row r="337" spans="1:31" x14ac:dyDescent="0.25">
      <c r="A337" s="252"/>
      <c r="B337" s="252" t="s">
        <v>27</v>
      </c>
      <c r="G337" s="549">
        <f ca="1">IF(Tech_Specs!$K11="lamp",G264*SUM(G$299:G$302),G264*SUMIF($B$335:$B$338,"&lt;&gt;LED",G$299:G$302))</f>
        <v>6.5849277166230236</v>
      </c>
      <c r="H337" s="549">
        <f ca="1">IF(Tech_Specs!$K11="lamp",H264*SUM(H$299:H$302),H264*SUMIF($B$335:$B$338,"&lt;&gt;LED",H$299:H$302))</f>
        <v>6.7010382080599387</v>
      </c>
      <c r="I337" s="549">
        <f ca="1">IF(Tech_Specs!$K11="lamp",I264*SUM(I$299:I$302),I264*SUMIF($B$335:$B$338,"&lt;&gt;LED",I$299:I$302))</f>
        <v>8.2672278836238249</v>
      </c>
      <c r="J337" s="549">
        <f ca="1">IF(Tech_Specs!$K11="lamp",J264*SUM(J$299:J$302),J264*SUMIF($B$335:$B$338,"&lt;&gt;LED",J$299:J$302))</f>
        <v>8.348573299806592</v>
      </c>
      <c r="K337" s="549">
        <f ca="1">IF(Tech_Specs!$K11="lamp",K264*SUM(K$299:K$302),K264*SUMIF($B$335:$B$338,"&lt;&gt;LED",K$299:K$302))</f>
        <v>9.078300630649041</v>
      </c>
      <c r="L337" s="549">
        <f ca="1">IF(Tech_Specs!$K11="lamp",L264*SUM(L$299:L$302),L264*SUMIF($B$335:$B$338,"&lt;&gt;LED",L$299:L$302))</f>
        <v>10.045953033507223</v>
      </c>
      <c r="M337" s="549">
        <f ca="1">IF(Tech_Specs!$K11="lamp",M264*SUM(M$299:M$302),M264*SUMIF($B$335:$B$338,"&lt;&gt;LED",M$299:M$302))</f>
        <v>8.7472283882223074</v>
      </c>
      <c r="N337" s="549">
        <f ca="1">IF(Tech_Specs!$K11="lamp",N264*SUM(N$299:N$302),N264*SUMIF($B$335:$B$338,"&lt;&gt;LED",N$299:N$302))</f>
        <v>7.687928379916718</v>
      </c>
      <c r="O337" s="549">
        <f ca="1">IF(Tech_Specs!$K11="lamp",O264*SUM(O$299:O$302),O264*SUMIF($B$335:$B$338,"&lt;&gt;LED",O$299:O$302))</f>
        <v>6.7255148094022568</v>
      </c>
      <c r="P337" s="549">
        <f ca="1">IF(Tech_Specs!$K11="lamp",P264*SUM(P$299:P$302),P264*SUMIF($B$335:$B$338,"&lt;&gt;LED",P$299:P$302))</f>
        <v>5.859775537323042</v>
      </c>
      <c r="Q337" s="549">
        <f ca="1">IF(Tech_Specs!$K11="lamp",Q264*SUM(Q$299:Q$302),Q264*SUMIF($B$335:$B$338,"&lt;&gt;LED",Q$299:Q$302))</f>
        <v>5.0591312371255768</v>
      </c>
      <c r="R337" s="549">
        <f ca="1">IF(Tech_Specs!$K11="lamp",R264*SUM(R$299:R$302),R264*SUMIF($B$335:$B$338,"&lt;&gt;LED",R$299:R$302))</f>
        <v>4.3024896658663145</v>
      </c>
      <c r="S337" s="549">
        <f ca="1">IF(Tech_Specs!$K11="lamp",S264*SUM(S$299:S$302),S264*SUMIF($B$335:$B$338,"&lt;&gt;LED",S$299:S$302))</f>
        <v>3.6184325079520403</v>
      </c>
      <c r="T337" s="549">
        <f ca="1">IF(Tech_Specs!$K11="lamp",T264*SUM(T$299:T$302),T264*SUMIF($B$335:$B$338,"&lt;&gt;LED",T$299:T$302))</f>
        <v>3.0216576047395067</v>
      </c>
      <c r="U337" s="549">
        <f ca="1">IF(Tech_Specs!$K11="lamp",U264*SUM(U$299:U$302),U264*SUMIF($B$335:$B$338,"&lt;&gt;LED",U$299:U$302))</f>
        <v>2.5137748360814989</v>
      </c>
      <c r="V337" s="549">
        <f ca="1">IF(Tech_Specs!$K11="lamp",V264*SUM(V$299:V$302),V264*SUMIF($B$335:$B$338,"&lt;&gt;LED",V$299:V$302))</f>
        <v>2.097304004504644</v>
      </c>
      <c r="W337" s="549">
        <f ca="1">IF(Tech_Specs!$K11="lamp",W264*SUM(W$299:W$302),W264*SUMIF($B$335:$B$338,"&lt;&gt;LED",W$299:W$302))</f>
        <v>1.7580515484034926</v>
      </c>
      <c r="X337" s="549">
        <f ca="1">IF(Tech_Specs!$K11="lamp",X264*SUM(X$299:X$302),X264*SUMIF($B$335:$B$338,"&lt;&gt;LED",X$299:X$302))</f>
        <v>1.4862037939048482</v>
      </c>
      <c r="Y337" s="549">
        <f ca="1">IF(Tech_Specs!$K11="lamp",Y264*SUM(Y$299:Y$302),Y264*SUMIF($B$335:$B$338,"&lt;&gt;LED",Y$299:Y$302))</f>
        <v>1.2691948321537154</v>
      </c>
      <c r="Z337" s="549">
        <f ca="1">IF(Tech_Specs!$K11="lamp",Z264*SUM(Z$299:Z$302),Z264*SUMIF($B$335:$B$338,"&lt;&gt;LED",Z$299:Z$302))</f>
        <v>1.0966809752254587</v>
      </c>
      <c r="AA337" s="549">
        <f ca="1">IF(Tech_Specs!$K11="lamp",AA264*SUM(AA$299:AA$302),AA264*SUMIF($B$335:$B$338,"&lt;&gt;LED",AA$299:AA$302))</f>
        <v>0.95924721864149654</v>
      </c>
      <c r="AB337" s="549">
        <f ca="1">IF(Tech_Specs!$K11="lamp",AB264*SUM(AB$299:AB$302),AB264*SUMIF($B$335:$B$338,"&lt;&gt;LED",AB$299:AB$302))</f>
        <v>0.85008250010310127</v>
      </c>
      <c r="AC337" s="549">
        <f ca="1">IF(Tech_Specs!$K11="lamp",AC264*SUM(AC$299:AC$302),AC264*SUMIF($B$335:$B$338,"&lt;&gt;LED",AC$299:AC$302))</f>
        <v>0.76040039349393751</v>
      </c>
      <c r="AD337" s="549">
        <f ca="1">IF(Tech_Specs!$K11="lamp",AD264*SUM(AD$299:AD$302),AD264*SUMIF($B$335:$B$338,"&lt;&gt;LED",AD$299:AD$302))</f>
        <v>0.68667536671710994</v>
      </c>
      <c r="AE337" s="549">
        <f ca="1">IF(Tech_Specs!$K11="lamp",AE264*SUM(AE$299:AE$302),AE264*SUMIF($B$335:$B$338,"&lt;&gt;LED",AE$299:AE$302))</f>
        <v>0.62443192440983519</v>
      </c>
    </row>
    <row r="338" spans="1:31" x14ac:dyDescent="0.25">
      <c r="A338" s="252"/>
      <c r="B338" s="252" t="s">
        <v>29</v>
      </c>
      <c r="G338" s="549">
        <f ca="1">IF(Tech_Specs!$K12="lamp",G265*SUM(G$299:G$302),G265*SUMIF($B$335:$B$338,"&lt;&gt;LED",G$299:G$302))</f>
        <v>6.80249974868749E-8</v>
      </c>
      <c r="H338" s="549">
        <f ca="1">IF(Tech_Specs!$K12="lamp",H265*SUM(H$299:H$302),H265*SUMIF($B$335:$B$338,"&lt;&gt;LED",H$299:H$302))</f>
        <v>3.9092742989559896E-5</v>
      </c>
      <c r="I338" s="549">
        <f ca="1">IF(Tech_Specs!$K12="lamp",I265*SUM(I$299:I$302),I265*SUMIF($B$335:$B$338,"&lt;&gt;LED",I$299:I$302))</f>
        <v>1.1856746622891203E-3</v>
      </c>
      <c r="J338" s="549">
        <f ca="1">IF(Tech_Specs!$K12="lamp",J265*SUM(J$299:J$302),J265*SUMIF($B$335:$B$338,"&lt;&gt;LED",J$299:J$302))</f>
        <v>1.1967975834372932E-2</v>
      </c>
      <c r="K338" s="549">
        <f ca="1">IF(Tech_Specs!$K12="lamp",K265*SUM(K$299:K$302),K265*SUMIF($B$335:$B$338,"&lt;&gt;LED",K$299:K$302))</f>
        <v>6.6207544551389275E-2</v>
      </c>
      <c r="L338" s="549">
        <f ca="1">IF(Tech_Specs!$K12="lamp",L265*SUM(L$299:L$302),L265*SUMIF($B$335:$B$338,"&lt;&gt;LED",L$299:L$302))</f>
        <v>0.24607727900702689</v>
      </c>
      <c r="M338" s="549">
        <f ca="1">IF(Tech_Specs!$K12="lamp",M265*SUM(M$299:M$302),M265*SUMIF($B$335:$B$338,"&lt;&gt;LED",M$299:M$302))</f>
        <v>0.54295410021843471</v>
      </c>
      <c r="N338" s="549">
        <f ca="1">IF(Tech_Specs!$K12="lamp",N265*SUM(N$299:N$302),N265*SUMIF($B$335:$B$338,"&lt;&gt;LED",N$299:N$302))</f>
        <v>0.98934446103586782</v>
      </c>
      <c r="O338" s="549">
        <f ca="1">IF(Tech_Specs!$K12="lamp",O265*SUM(O$299:O$302),O265*SUMIF($B$335:$B$338,"&lt;&gt;LED",O$299:O$302))</f>
        <v>1.5503874203963652</v>
      </c>
      <c r="P338" s="549">
        <f ca="1">IF(Tech_Specs!$K12="lamp",P265*SUM(P$299:P$302),P265*SUMIF($B$335:$B$338,"&lt;&gt;LED",P$299:P$302))</f>
        <v>2.1808794511172893</v>
      </c>
      <c r="Q338" s="549">
        <f ca="1">IF(Tech_Specs!$K12="lamp",Q265*SUM(Q$299:Q$302),Q265*SUMIF($B$335:$B$338,"&lt;&gt;LED",Q$299:Q$302))</f>
        <v>2.8085892862832345</v>
      </c>
      <c r="R338" s="549">
        <f ca="1">IF(Tech_Specs!$K12="lamp",R265*SUM(R$299:R$302),R265*SUMIF($B$335:$B$338,"&lt;&gt;LED",R$299:R$302))</f>
        <v>3.359672724818183</v>
      </c>
      <c r="S338" s="549">
        <f ca="1">IF(Tech_Specs!$K12="lamp",S265*SUM(S$299:S$302),S265*SUMIF($B$335:$B$338,"&lt;&gt;LED",S$299:S$302))</f>
        <v>3.7981157988329652</v>
      </c>
      <c r="T338" s="549">
        <f ca="1">IF(Tech_Specs!$K12="lamp",T265*SUM(T$299:T$302),T265*SUMIF($B$335:$B$338,"&lt;&gt;LED",T$299:T$302))</f>
        <v>4.1110142892853387</v>
      </c>
      <c r="U338" s="549">
        <f ca="1">IF(Tech_Specs!$K12="lamp",U265*SUM(U$299:U$302),U265*SUMIF($B$335:$B$338,"&lt;&gt;LED",U$299:U$302))</f>
        <v>4.2951932824419341</v>
      </c>
      <c r="V338" s="549">
        <f ca="1">IF(Tech_Specs!$K12="lamp",V265*SUM(V$299:V$302),V265*SUMIF($B$335:$B$338,"&lt;&gt;LED",V$299:V$302))</f>
        <v>4.3840535556082676</v>
      </c>
      <c r="W338" s="549">
        <f ca="1">IF(Tech_Specs!$K12="lamp",W265*SUM(W$299:W$302),W265*SUMIF($B$335:$B$338,"&lt;&gt;LED",W$299:W$302))</f>
        <v>4.3933997285476289</v>
      </c>
      <c r="X338" s="549">
        <f ca="1">IF(Tech_Specs!$K12="lamp",X265*SUM(X$299:X$302),X265*SUMIF($B$335:$B$338,"&lt;&gt;LED",X$299:X$302))</f>
        <v>4.3517456607173193</v>
      </c>
      <c r="Y338" s="549">
        <f ca="1">IF(Tech_Specs!$K12="lamp",Y265*SUM(Y$299:Y$302),Y265*SUMIF($B$335:$B$338,"&lt;&gt;LED",Y$299:Y$302))</f>
        <v>4.2753501568951222</v>
      </c>
      <c r="Z338" s="549">
        <f ca="1">IF(Tech_Specs!$K12="lamp",Z265*SUM(Z$299:Z$302),Z265*SUMIF($B$335:$B$338,"&lt;&gt;LED",Z$299:Z$302))</f>
        <v>4.1804883282703083</v>
      </c>
      <c r="AA338" s="549">
        <f ca="1">IF(Tech_Specs!$K12="lamp",AA265*SUM(AA$299:AA$302),AA265*SUMIF($B$335:$B$338,"&lt;&gt;LED",AA$299:AA$302))</f>
        <v>4.0841686356987621</v>
      </c>
      <c r="AB338" s="549">
        <f ca="1">IF(Tech_Specs!$K12="lamp",AB265*SUM(AB$299:AB$302),AB265*SUMIF($B$335:$B$338,"&lt;&gt;LED",AB$299:AB$302))</f>
        <v>3.9942868024840408</v>
      </c>
      <c r="AC338" s="549">
        <f ca="1">IF(Tech_Specs!$K12="lamp",AC265*SUM(AC$299:AC$302),AC265*SUMIF($B$335:$B$338,"&lt;&gt;LED",AC$299:AC$302))</f>
        <v>3.9031057029245235</v>
      </c>
      <c r="AD338" s="549">
        <f ca="1">IF(Tech_Specs!$K12="lamp",AD265*SUM(AD$299:AD$302),AD265*SUMIF($B$335:$B$338,"&lt;&gt;LED",AD$299:AD$302))</f>
        <v>3.818457737205128</v>
      </c>
      <c r="AE338" s="549">
        <f ca="1">IF(Tech_Specs!$K12="lamp",AE265*SUM(AE$299:AE$302),AE265*SUMIF($B$335:$B$338,"&lt;&gt;LED",AE$299:AE$302))</f>
        <v>3.744908086249187</v>
      </c>
    </row>
    <row r="339" spans="1:31" x14ac:dyDescent="0.25">
      <c r="A339" s="252"/>
      <c r="B339" s="252"/>
      <c r="G339" s="549"/>
      <c r="H339" s="549"/>
      <c r="I339" s="549"/>
      <c r="J339" s="549"/>
      <c r="K339" s="549"/>
      <c r="L339" s="549"/>
      <c r="M339" s="549"/>
      <c r="N339" s="549"/>
      <c r="O339" s="549"/>
      <c r="P339" s="549"/>
      <c r="Q339" s="549"/>
      <c r="R339" s="549"/>
      <c r="S339" s="549"/>
      <c r="T339" s="549"/>
      <c r="U339" s="549"/>
      <c r="V339" s="549"/>
      <c r="W339" s="549"/>
      <c r="X339" s="549"/>
      <c r="Y339" s="549"/>
      <c r="Z339" s="549"/>
      <c r="AA339" s="549"/>
      <c r="AB339" s="549"/>
      <c r="AC339" s="549"/>
      <c r="AD339" s="549"/>
      <c r="AE339" s="549"/>
    </row>
    <row r="340" spans="1:31" x14ac:dyDescent="0.25">
      <c r="A340" s="267" t="s">
        <v>32</v>
      </c>
      <c r="B340" s="267"/>
      <c r="C340" s="267"/>
      <c r="D340" s="267"/>
      <c r="E340" s="267"/>
      <c r="F340" s="267"/>
      <c r="G340" s="632"/>
      <c r="H340" s="632"/>
      <c r="I340" s="632"/>
      <c r="J340" s="632"/>
      <c r="K340" s="632"/>
      <c r="L340" s="632"/>
      <c r="M340" s="632"/>
      <c r="N340" s="632"/>
      <c r="O340" s="632"/>
      <c r="P340" s="632"/>
      <c r="Q340" s="632"/>
      <c r="R340" s="632"/>
      <c r="S340" s="632"/>
      <c r="T340" s="632"/>
      <c r="U340" s="632"/>
      <c r="V340" s="632"/>
      <c r="W340" s="632"/>
      <c r="X340" s="632"/>
      <c r="Y340" s="632"/>
      <c r="Z340" s="632"/>
      <c r="AA340" s="632"/>
      <c r="AB340" s="632"/>
      <c r="AC340" s="632"/>
      <c r="AD340" s="632"/>
      <c r="AE340" s="632"/>
    </row>
    <row r="341" spans="1:31" x14ac:dyDescent="0.25">
      <c r="A341" s="252"/>
      <c r="B341" s="252" t="s">
        <v>33</v>
      </c>
      <c r="G341" s="631">
        <f>IF(Tech_Specs!$K15="lamp",G268*SUM(G$305:G$308),G268*SUMIF($B$341:$B$344,"&lt;&gt;LED",G$305:G$308))</f>
        <v>1.3813815780653804</v>
      </c>
      <c r="H341" s="549">
        <f>IF(Tech_Specs!$K15="lamp",H268*SUM(H$305:H$308),H268*SUMIF($B$341:$B$344,"&lt;&gt;LED",H$305:H$308))</f>
        <v>1.5056319783480354</v>
      </c>
      <c r="I341" s="549">
        <f>IF(Tech_Specs!$K15="lamp",I268*SUM(I$305:I$308),I268*SUMIF($B$341:$B$344,"&lt;&gt;LED",I$305:I$308))</f>
        <v>1.6020504515981044</v>
      </c>
      <c r="J341" s="549">
        <f>IF(Tech_Specs!$K15="lamp",J268*SUM(J$305:J$308),J268*SUMIF($B$341:$B$344,"&lt;&gt;LED",J$305:J$308))</f>
        <v>1.6433852772016879</v>
      </c>
      <c r="K341" s="549">
        <f>IF(Tech_Specs!$K15="lamp",K268*SUM(K$305:K$308),K268*SUMIF($B$341:$B$344,"&lt;&gt;LED",K$305:K$308))</f>
        <v>1.5225701404028626</v>
      </c>
      <c r="L341" s="549">
        <f>IF(Tech_Specs!$K15="lamp",L268*SUM(L$305:L$308),L268*SUMIF($B$341:$B$344,"&lt;&gt;LED",L$305:L$308))</f>
        <v>1.3490960140730732</v>
      </c>
      <c r="M341" s="549">
        <f>IF(Tech_Specs!$K15="lamp",M268*SUM(M$305:M$308),M268*SUMIF($B$341:$B$344,"&lt;&gt;LED",M$305:M$308))</f>
        <v>1.1675308847188537</v>
      </c>
      <c r="N341" s="549">
        <f>IF(Tech_Specs!$K15="lamp",N268*SUM(N$305:N$308),N268*SUMIF($B$341:$B$344,"&lt;&gt;LED",N$305:N$308))</f>
        <v>0.98401775275665271</v>
      </c>
      <c r="O341" s="549">
        <f>IF(Tech_Specs!$K15="lamp",O268*SUM(O$305:O$308),O268*SUMIF($B$341:$B$344,"&lt;&gt;LED",O$305:O$308))</f>
        <v>0.81179279753109435</v>
      </c>
      <c r="P341" s="549">
        <f>IF(Tech_Specs!$K15="lamp",P268*SUM(P$305:P$308),P268*SUMIF($B$341:$B$344,"&lt;&gt;LED",P$305:P$308))</f>
        <v>0.65021673547271042</v>
      </c>
      <c r="Q341" s="549">
        <f>IF(Tech_Specs!$K15="lamp",Q268*SUM(Q$305:Q$308),Q268*SUMIF($B$341:$B$344,"&lt;&gt;LED",Q$305:Q$308))</f>
        <v>0.50608201523866581</v>
      </c>
      <c r="R341" s="549">
        <f>IF(Tech_Specs!$K15="lamp",R268*SUM(R$305:R$308),R268*SUMIF($B$341:$B$344,"&lt;&gt;LED",R$305:R$308))</f>
        <v>0.38636829725550387</v>
      </c>
      <c r="S341" s="549">
        <f>IF(Tech_Specs!$K15="lamp",S268*SUM(S$305:S$308),S268*SUMIF($B$341:$B$344,"&lt;&gt;LED",S$305:S$308))</f>
        <v>0.29027882239096203</v>
      </c>
      <c r="T341" s="549">
        <f>IF(Tech_Specs!$K15="lamp",T268*SUM(T$305:T$308),T268*SUMIF($B$341:$B$344,"&lt;&gt;LED",T$305:T$308))</f>
        <v>0.21554552183421871</v>
      </c>
      <c r="U341" s="549">
        <f>IF(Tech_Specs!$K15="lamp",U268*SUM(U$305:U$308),U268*SUMIF($B$341:$B$344,"&lt;&gt;LED",U$305:U$308))</f>
        <v>0.16016436913472484</v>
      </c>
      <c r="V341" s="549">
        <f>IF(Tech_Specs!$K15="lamp",V268*SUM(V$305:V$308),V268*SUMIF($B$341:$B$344,"&lt;&gt;LED",V$305:V$308))</f>
        <v>0.11920051594848835</v>
      </c>
      <c r="W341" s="549">
        <f>IF(Tech_Specs!$K15="lamp",W268*SUM(W$305:W$308),W268*SUMIF($B$341:$B$344,"&lt;&gt;LED",W$305:W$308))</f>
        <v>8.9384345233096157E-2</v>
      </c>
      <c r="X341" s="549">
        <f>IF(Tech_Specs!$K15="lamp",X268*SUM(X$305:X$308),X268*SUMIF($B$341:$B$344,"&lt;&gt;LED",X$305:X$308))</f>
        <v>6.7804332674872902E-2</v>
      </c>
      <c r="Y341" s="549">
        <f>IF(Tech_Specs!$K15="lamp",Y268*SUM(Y$305:Y$308),Y268*SUMIF($B$341:$B$344,"&lt;&gt;LED",Y$305:Y$308))</f>
        <v>5.2395543054217973E-2</v>
      </c>
      <c r="Z341" s="549">
        <f>IF(Tech_Specs!$K15="lamp",Z268*SUM(Z$305:Z$308),Z268*SUMIF($B$341:$B$344,"&lt;&gt;LED",Z$305:Z$308))</f>
        <v>4.142087091671276E-2</v>
      </c>
      <c r="AA341" s="549">
        <f>IF(Tech_Specs!$K15="lamp",AA268*SUM(AA$305:AA$308),AA268*SUMIF($B$341:$B$344,"&lt;&gt;LED",AA$305:AA$308))</f>
        <v>3.3261308597673685E-2</v>
      </c>
      <c r="AB341" s="549">
        <f>IF(Tech_Specs!$K15="lamp",AB268*SUM(AB$305:AB$308),AB268*SUMIF($B$341:$B$344,"&lt;&gt;LED",AB$305:AB$308))</f>
        <v>2.7237784806311654E-2</v>
      </c>
      <c r="AC341" s="549">
        <f>IF(Tech_Specs!$K15="lamp",AC268*SUM(AC$305:AC$308),AC268*SUMIF($B$341:$B$344,"&lt;&gt;LED",AC$305:AC$308))</f>
        <v>2.2693693247209452E-2</v>
      </c>
      <c r="AD341" s="549">
        <f>IF(Tech_Specs!$K15="lamp",AD268*SUM(AD$305:AD$308),AD268*SUMIF($B$341:$B$344,"&lt;&gt;LED",AD$305:AD$308))</f>
        <v>1.9118785360593291E-2</v>
      </c>
      <c r="AE341" s="549">
        <f>IF(Tech_Specs!$K15="lamp",AE268*SUM(AE$305:AE$308),AE268*SUMIF($B$341:$B$344,"&lt;&gt;LED",AE$305:AE$308))</f>
        <v>1.6024119200743436E-2</v>
      </c>
    </row>
    <row r="342" spans="1:31" x14ac:dyDescent="0.25">
      <c r="A342" s="257"/>
      <c r="B342" s="257" t="s">
        <v>34</v>
      </c>
      <c r="G342" s="631">
        <f>IF(Tech_Specs!$K16="lamp",G269*SUM(G$305:G$308),G269*SUMIF($B$341:$B$344,"&lt;&gt;LED",G$305:G$308))</f>
        <v>2.5215251558327223</v>
      </c>
      <c r="H342" s="549">
        <f>IF(Tech_Specs!$K16="lamp",H269*SUM(H$305:H$308),H269*SUMIF($B$341:$B$344,"&lt;&gt;LED",H$305:H$308))</f>
        <v>2.3629400902728372</v>
      </c>
      <c r="I342" s="549">
        <f>IF(Tech_Specs!$K16="lamp",I269*SUM(I$305:I$308),I269*SUMIF($B$341:$B$344,"&lt;&gt;LED",I$305:I$308))</f>
        <v>2.1656820056421742</v>
      </c>
      <c r="J342" s="549">
        <f>IF(Tech_Specs!$K16="lamp",J269*SUM(J$305:J$308),J269*SUMIF($B$341:$B$344,"&lt;&gt;LED",J$305:J$308))</f>
        <v>1.9342460757096454</v>
      </c>
      <c r="K342" s="549">
        <f>IF(Tech_Specs!$K16="lamp",K269*SUM(K$305:K$308),K269*SUMIF($B$341:$B$344,"&lt;&gt;LED",K$305:K$308))</f>
        <v>1.8322357362321646</v>
      </c>
      <c r="L342" s="549">
        <f>IF(Tech_Specs!$K16="lamp",L269*SUM(L$305:L$308),L269*SUMIF($B$341:$B$344,"&lt;&gt;LED",L$305:L$308))</f>
        <v>1.6984180705344178</v>
      </c>
      <c r="M342" s="549">
        <f>IF(Tech_Specs!$K16="lamp",M269*SUM(M$305:M$308),M269*SUMIF($B$341:$B$344,"&lt;&gt;LED",M$305:M$308))</f>
        <v>1.5254721436432253</v>
      </c>
      <c r="N342" s="549">
        <f>IF(Tech_Specs!$K16="lamp",N269*SUM(N$305:N$308),N269*SUMIF($B$341:$B$344,"&lt;&gt;LED",N$305:N$308))</f>
        <v>1.3292824776037009</v>
      </c>
      <c r="O342" s="549">
        <f>IF(Tech_Specs!$K16="lamp",O269*SUM(O$305:O$308),O269*SUMIF($B$341:$B$344,"&lt;&gt;LED",O$305:O$308))</f>
        <v>1.1252795589516977</v>
      </c>
      <c r="P342" s="549">
        <f>IF(Tech_Specs!$K16="lamp",P269*SUM(P$305:P$308),P269*SUMIF($B$341:$B$344,"&lt;&gt;LED",P$305:P$308))</f>
        <v>0.92915773757479281</v>
      </c>
      <c r="Q342" s="549">
        <f>IF(Tech_Specs!$K16="lamp",Q269*SUM(Q$305:Q$308),Q269*SUMIF($B$341:$B$344,"&lt;&gt;LED",Q$305:Q$308))</f>
        <v>0.75005620436205589</v>
      </c>
      <c r="R342" s="549">
        <f>IF(Tech_Specs!$K16="lamp",R269*SUM(R$305:R$308),R269*SUMIF($B$341:$B$344,"&lt;&gt;LED",R$305:R$308))</f>
        <v>0.59335144511506288</v>
      </c>
      <c r="S342" s="549">
        <f>IF(Tech_Specs!$K16="lamp",S269*SUM(S$305:S$308),S269*SUMIF($B$341:$B$344,"&lt;&gt;LED",S$305:S$308))</f>
        <v>0.46242719337529481</v>
      </c>
      <c r="T342" s="549">
        <f>IF(Tech_Specs!$K16="lamp",T269*SUM(T$305:T$308),T269*SUMIF($B$341:$B$344,"&lt;&gt;LED",T$305:T$308))</f>
        <v>0.35707030290428199</v>
      </c>
      <c r="U342" s="549">
        <f>IF(Tech_Specs!$K16="lamp",U269*SUM(U$305:U$308),U269*SUMIF($B$341:$B$344,"&lt;&gt;LED",U$305:U$308))</f>
        <v>0.27531729359619483</v>
      </c>
      <c r="V342" s="549">
        <f>IF(Tech_Specs!$K16="lamp",V269*SUM(V$305:V$308),V269*SUMIF($B$341:$B$344,"&lt;&gt;LED",V$305:V$308))</f>
        <v>0.21327866543894841</v>
      </c>
      <c r="W342" s="549">
        <f>IF(Tech_Specs!$K16="lamp",W269*SUM(W$305:W$308),W269*SUMIF($B$341:$B$344,"&lt;&gt;LED",W$305:W$308))</f>
        <v>0.1669126119382385</v>
      </c>
      <c r="X342" s="549">
        <f>IF(Tech_Specs!$K16="lamp",X269*SUM(X$305:X$308),X269*SUMIF($B$341:$B$344,"&lt;&gt;LED",X$305:X$308))</f>
        <v>0.13255068592290825</v>
      </c>
      <c r="Y342" s="549">
        <f>IF(Tech_Specs!$K16="lamp",Y269*SUM(Y$305:Y$308),Y269*SUMIF($B$341:$B$344,"&lt;&gt;LED",Y$305:Y$308))</f>
        <v>0.10728309668622314</v>
      </c>
      <c r="Z342" s="549">
        <f>IF(Tech_Specs!$K16="lamp",Z269*SUM(Z$305:Z$308),Z269*SUMIF($B$341:$B$344,"&lt;&gt;LED",Z$305:Z$308))</f>
        <v>8.8764054471824033E-2</v>
      </c>
      <c r="AA342" s="549">
        <f>IF(Tech_Specs!$K16="lamp",AA269*SUM(AA$305:AA$308),AA269*SUMIF($B$341:$B$344,"&lt;&gt;LED",AA$305:AA$308))</f>
        <v>7.4892634747170811E-2</v>
      </c>
      <c r="AB342" s="549">
        <f>IF(Tech_Specs!$K16="lamp",AB269*SUM(AB$305:AB$308),AB269*SUMIF($B$341:$B$344,"&lt;&gt;LED",AB$305:AB$308))</f>
        <v>6.4506819398312779E-2</v>
      </c>
      <c r="AC342" s="549">
        <f>IF(Tech_Specs!$K16="lamp",AC269*SUM(AC$305:AC$308),AC269*SUMIF($B$341:$B$344,"&lt;&gt;LED",AC$305:AC$308))</f>
        <v>5.6625131896295498E-2</v>
      </c>
      <c r="AD342" s="549">
        <f>IF(Tech_Specs!$K16="lamp",AD269*SUM(AD$305:AD$308),AD269*SUMIF($B$341:$B$344,"&lt;&gt;LED",AD$305:AD$308))</f>
        <v>5.0406360893935485E-2</v>
      </c>
      <c r="AE342" s="549">
        <f>IF(Tech_Specs!$K16="lamp",AE269*SUM(AE$305:AE$308),AE269*SUMIF($B$341:$B$344,"&lt;&gt;LED",AE$305:AE$308))</f>
        <v>4.5138168308133067E-2</v>
      </c>
    </row>
    <row r="343" spans="1:31" x14ac:dyDescent="0.25">
      <c r="A343" s="252"/>
      <c r="B343" s="257" t="s">
        <v>35</v>
      </c>
      <c r="G343" s="631">
        <f>IF(Tech_Specs!$K17="lamp",G270*SUM(G$305:G$308),G270*SUMIF($B$341:$B$344,"&lt;&gt;LED",G$305:G$308))</f>
        <v>0.26970742310844498</v>
      </c>
      <c r="H343" s="549">
        <f>IF(Tech_Specs!$K17="lamp",H270*SUM(H$305:H$308),H270*SUMIF($B$341:$B$344,"&lt;&gt;LED",H$305:H$308))</f>
        <v>0.28395748661647846</v>
      </c>
      <c r="I343" s="549">
        <f>IF(Tech_Specs!$K17="lamp",I270*SUM(I$305:I$308),I270*SUMIF($B$341:$B$344,"&lt;&gt;LED",I$305:I$308))</f>
        <v>0.30507894591336915</v>
      </c>
      <c r="J343" s="549">
        <f>IF(Tech_Specs!$K17="lamp",J270*SUM(J$305:J$308),J270*SUMIF($B$341:$B$344,"&lt;&gt;LED",J$305:J$308))</f>
        <v>0.32914576436861803</v>
      </c>
      <c r="K343" s="549">
        <f>IF(Tech_Specs!$K17="lamp",K270*SUM(K$305:K$308),K270*SUMIF($B$341:$B$344,"&lt;&gt;LED",K$305:K$308))</f>
        <v>0.31484616875860677</v>
      </c>
      <c r="L343" s="549">
        <f>IF(Tech_Specs!$K17="lamp",L270*SUM(L$305:L$308),L270*SUMIF($B$341:$B$344,"&lt;&gt;LED",L$305:L$308))</f>
        <v>0.30002296041250759</v>
      </c>
      <c r="M343" s="549">
        <f>IF(Tech_Specs!$K17="lamp",M270*SUM(M$305:M$308),M270*SUMIF($B$341:$B$344,"&lt;&gt;LED",M$305:M$308))</f>
        <v>0.2748297210756277</v>
      </c>
      <c r="N343" s="549">
        <f>IF(Tech_Specs!$K17="lamp",N270*SUM(N$305:N$308),N270*SUMIF($B$341:$B$344,"&lt;&gt;LED",N$305:N$308))</f>
        <v>0.24326019771191598</v>
      </c>
      <c r="O343" s="549">
        <f>IF(Tech_Specs!$K17="lamp",O270*SUM(O$305:O$308),O270*SUMIF($B$341:$B$344,"&lt;&gt;LED",O$305:O$308))</f>
        <v>0.20776869332695405</v>
      </c>
      <c r="P343" s="549">
        <f>IF(Tech_Specs!$K17="lamp",P270*SUM(P$305:P$308),P270*SUMIF($B$341:$B$344,"&lt;&gt;LED",P$305:P$308))</f>
        <v>0.17366434388754781</v>
      </c>
      <c r="Q343" s="549">
        <f>IF(Tech_Specs!$K17="lamp",Q270*SUM(Q$305:Q$308),Q270*SUMIF($B$341:$B$344,"&lt;&gt;LED",Q$305:Q$308))</f>
        <v>0.14253473202752445</v>
      </c>
      <c r="R343" s="549">
        <f>IF(Tech_Specs!$K17="lamp",R270*SUM(R$305:R$308),R270*SUMIF($B$341:$B$344,"&lt;&gt;LED",R$305:R$308))</f>
        <v>0.11451305285317637</v>
      </c>
      <c r="S343" s="549">
        <f>IF(Tech_Specs!$K17="lamp",S270*SUM(S$305:S$308),S270*SUMIF($B$341:$B$344,"&lt;&gt;LED",S$305:S$308))</f>
        <v>9.0683348865654073E-2</v>
      </c>
      <c r="T343" s="549">
        <f>IF(Tech_Specs!$K17="lamp",T270*SUM(T$305:T$308),T270*SUMIF($B$341:$B$344,"&lt;&gt;LED",T$305:T$308))</f>
        <v>7.1261909351081551E-2</v>
      </c>
      <c r="U343" s="549">
        <f>IF(Tech_Specs!$K17="lamp",U270*SUM(U$305:U$308),U270*SUMIF($B$341:$B$344,"&lt;&gt;LED",U$305:U$308))</f>
        <v>5.5810588164493434E-2</v>
      </c>
      <c r="V343" s="549">
        <f>IF(Tech_Specs!$K17="lamp",V270*SUM(V$305:V$308),V270*SUMIF($B$341:$B$344,"&lt;&gt;LED",V$305:V$308))</f>
        <v>4.4004736423485104E-2</v>
      </c>
      <c r="W343" s="549">
        <f>IF(Tech_Specs!$K17="lamp",W270*SUM(W$305:W$308),W270*SUMIF($B$341:$B$344,"&lt;&gt;LED",W$305:W$308))</f>
        <v>3.5110145458143276E-2</v>
      </c>
      <c r="X343" s="549">
        <f>IF(Tech_Specs!$K17="lamp",X270*SUM(X$305:X$308),X270*SUMIF($B$341:$B$344,"&lt;&gt;LED",X$305:X$308))</f>
        <v>2.8480627823920357E-2</v>
      </c>
      <c r="Y343" s="549">
        <f>IF(Tech_Specs!$K17="lamp",Y270*SUM(Y$305:Y$308),Y270*SUMIF($B$341:$B$344,"&lt;&gt;LED",Y$305:Y$308))</f>
        <v>2.3546309699847497E-2</v>
      </c>
      <c r="Z343" s="549">
        <f>IF(Tech_Specs!$K17="lamp",Z270*SUM(Z$305:Z$308),Z270*SUMIF($B$341:$B$344,"&lt;&gt;LED",Z$305:Z$308))</f>
        <v>1.9882199063231375E-2</v>
      </c>
      <c r="AA343" s="549">
        <f>IF(Tech_Specs!$K17="lamp",AA270*SUM(AA$305:AA$308),AA270*SUMIF($B$341:$B$344,"&lt;&gt;LED",AA$305:AA$308))</f>
        <v>1.7161425048334945E-2</v>
      </c>
      <c r="AB343" s="549">
        <f>IF(Tech_Specs!$K17="lamp",AB270*SUM(AB$305:AB$308),AB270*SUMIF($B$341:$B$344,"&lt;&gt;LED",AB$305:AB$308))</f>
        <v>1.5127099087316303E-2</v>
      </c>
      <c r="AC343" s="549">
        <f>IF(Tech_Specs!$K17="lamp",AC270*SUM(AC$305:AC$308),AC270*SUMIF($B$341:$B$344,"&lt;&gt;LED",AC$305:AC$308))</f>
        <v>1.3599809464225142E-2</v>
      </c>
      <c r="AD343" s="549">
        <f>IF(Tech_Specs!$K17="lamp",AD270*SUM(AD$305:AD$308),AD270*SUMIF($B$341:$B$344,"&lt;&gt;LED",AD$305:AD$308))</f>
        <v>1.2418165154264289E-2</v>
      </c>
      <c r="AE343" s="549">
        <f>IF(Tech_Specs!$K17="lamp",AE270*SUM(AE$305:AE$308),AE270*SUMIF($B$341:$B$344,"&lt;&gt;LED",AE$305:AE$308))</f>
        <v>1.1487251679894051E-2</v>
      </c>
    </row>
    <row r="344" spans="1:31" x14ac:dyDescent="0.25">
      <c r="A344" s="252"/>
      <c r="B344" s="257" t="s">
        <v>29</v>
      </c>
      <c r="G344" s="631">
        <f>IF(Tech_Specs!$K18="lamp",G271*SUM(G$305:G$308),G271*SUMIF($B$341:$B$344,"&lt;&gt;LED",G$305:G$308))</f>
        <v>5.8787467271450011E-3</v>
      </c>
      <c r="H344" s="549">
        <f>IF(Tech_Specs!$K18="lamp",H271*SUM(H$305:H$308),H271*SUMIF($B$341:$B$344,"&lt;&gt;LED",H$305:H$308))</f>
        <v>4.9590142117869565E-2</v>
      </c>
      <c r="I344" s="549">
        <f>IF(Tech_Specs!$K18="lamp",I271*SUM(I$305:I$308),I271*SUMIF($B$341:$B$344,"&lt;&gt;LED",I$305:I$308))</f>
        <v>0.16246262965393879</v>
      </c>
      <c r="J344" s="549">
        <f>IF(Tech_Specs!$K18="lamp",J271*SUM(J$305:J$308),J271*SUMIF($B$341:$B$344,"&lt;&gt;LED",J$305:J$308))</f>
        <v>0.34676879769968588</v>
      </c>
      <c r="K344" s="549">
        <f>IF(Tech_Specs!$K18="lamp",K271*SUM(K$305:K$308),K271*SUMIF($B$341:$B$344,"&lt;&gt;LED",K$305:K$308))</f>
        <v>0.56198787740129219</v>
      </c>
      <c r="L344" s="549">
        <f>IF(Tech_Specs!$K18="lamp",L271*SUM(L$305:L$308),L271*SUMIF($B$341:$B$344,"&lt;&gt;LED",L$305:L$308))</f>
        <v>0.81106953368209944</v>
      </c>
      <c r="M344" s="549">
        <f>IF(Tech_Specs!$K18="lamp",M271*SUM(M$305:M$308),M271*SUMIF($B$341:$B$344,"&lt;&gt;LED",M$305:M$308))</f>
        <v>1.0624233867129689</v>
      </c>
      <c r="N344" s="549">
        <f>IF(Tech_Specs!$K18="lamp",N271*SUM(N$305:N$308),N271*SUMIF($B$341:$B$344,"&lt;&gt;LED",N$305:N$308))</f>
        <v>1.2925607266275159</v>
      </c>
      <c r="O344" s="549">
        <f>IF(Tech_Specs!$K18="lamp",O271*SUM(O$305:O$308),O271*SUMIF($B$341:$B$344,"&lt;&gt;LED",O$305:O$308))</f>
        <v>1.4783902340800599</v>
      </c>
      <c r="P344" s="549">
        <f>IF(Tech_Specs!$K18="lamp",P271*SUM(P$305:P$308),P271*SUMIF($B$341:$B$344,"&lt;&gt;LED",P$305:P$308))</f>
        <v>1.6123631023069647</v>
      </c>
      <c r="Q344" s="549">
        <f>IF(Tech_Specs!$K18="lamp",Q271*SUM(Q$305:Q$308),Q271*SUMIF($B$341:$B$344,"&lt;&gt;LED",Q$305:Q$308))</f>
        <v>1.6888259867446906</v>
      </c>
      <c r="R344" s="549">
        <f>IF(Tech_Specs!$K18="lamp",R271*SUM(R$305:R$308),R271*SUMIF($B$341:$B$344,"&lt;&gt;LED",R$305:R$308))</f>
        <v>1.7073437690292907</v>
      </c>
      <c r="S344" s="549">
        <f>IF(Tech_Specs!$K18="lamp",S271*SUM(S$305:S$308),S271*SUMIF($B$341:$B$344,"&lt;&gt;LED",S$305:S$308))</f>
        <v>1.6778502841284308</v>
      </c>
      <c r="T344" s="549">
        <f>IF(Tech_Specs!$K18="lamp",T271*SUM(T$305:T$308),T271*SUMIF($B$341:$B$344,"&lt;&gt;LED",T$305:T$308))</f>
        <v>1.6123928882457645</v>
      </c>
      <c r="U344" s="549">
        <f>IF(Tech_Specs!$K18="lamp",U271*SUM(U$305:U$308),U271*SUMIF($B$341:$B$344,"&lt;&gt;LED",U$305:U$308))</f>
        <v>1.5221725827973354</v>
      </c>
      <c r="V344" s="549">
        <f>IF(Tech_Specs!$K18="lamp",V271*SUM(V$305:V$308),V271*SUMIF($B$341:$B$344,"&lt;&gt;LED",V$305:V$308))</f>
        <v>1.421230010172013</v>
      </c>
      <c r="W344" s="549">
        <f>IF(Tech_Specs!$K18="lamp",W271*SUM(W$305:W$308),W271*SUMIF($B$341:$B$344,"&lt;&gt;LED",W$305:W$308))</f>
        <v>1.3181255787251627</v>
      </c>
      <c r="X344" s="549">
        <f>IF(Tech_Specs!$K18="lamp",X271*SUM(X$305:X$308),X271*SUMIF($B$341:$B$344,"&lt;&gt;LED",X$305:X$308))</f>
        <v>1.2197087930547594</v>
      </c>
      <c r="Y344" s="549">
        <f>IF(Tech_Specs!$K18="lamp",Y271*SUM(Y$305:Y$308),Y271*SUMIF($B$341:$B$344,"&lt;&gt;LED",Y$305:Y$308))</f>
        <v>1.1294678288194948</v>
      </c>
      <c r="Z344" s="549">
        <f>IF(Tech_Specs!$K18="lamp",Z271*SUM(Z$305:Z$308),Z271*SUMIF($B$341:$B$344,"&lt;&gt;LED",Z$305:Z$308))</f>
        <v>1.0496363114543241</v>
      </c>
      <c r="AA344" s="549">
        <f>IF(Tech_Specs!$K18="lamp",AA271*SUM(AA$305:AA$308),AA271*SUMIF($B$341:$B$344,"&lt;&gt;LED",AA$305:AA$308))</f>
        <v>0.98169554320162677</v>
      </c>
      <c r="AB344" s="549">
        <f>IF(Tech_Specs!$K18="lamp",AB271*SUM(AB$305:AB$308),AB271*SUMIF($B$341:$B$344,"&lt;&gt;LED",AB$305:AB$308))</f>
        <v>0.92476503701578361</v>
      </c>
      <c r="AC344" s="549">
        <f>IF(Tech_Specs!$K18="lamp",AC271*SUM(AC$305:AC$308),AC271*SUMIF($B$341:$B$344,"&lt;&gt;LED",AC$305:AC$308))</f>
        <v>0.87820571165363348</v>
      </c>
      <c r="AD344" s="549">
        <f>IF(Tech_Specs!$K18="lamp",AD271*SUM(AD$305:AD$308),AD271*SUMIF($B$341:$B$344,"&lt;&gt;LED",AD$305:AD$308))</f>
        <v>0.83914757852322097</v>
      </c>
      <c r="AE344" s="549">
        <f>IF(Tech_Specs!$K18="lamp",AE271*SUM(AE$305:AE$308),AE271*SUMIF($B$341:$B$344,"&lt;&gt;LED",AE$305:AE$308))</f>
        <v>0.80799548661091236</v>
      </c>
    </row>
    <row r="345" spans="1:31" x14ac:dyDescent="0.25">
      <c r="A345" s="252"/>
      <c r="B345" s="252"/>
      <c r="G345" s="549"/>
      <c r="H345" s="549"/>
      <c r="I345" s="549"/>
      <c r="J345" s="549"/>
      <c r="K345" s="549"/>
      <c r="L345" s="549"/>
      <c r="M345" s="549"/>
      <c r="N345" s="549"/>
      <c r="O345" s="549"/>
      <c r="P345" s="549"/>
      <c r="Q345" s="549"/>
      <c r="R345" s="549"/>
      <c r="S345" s="549"/>
      <c r="T345" s="549"/>
      <c r="U345" s="549"/>
      <c r="V345" s="549"/>
      <c r="W345" s="549"/>
      <c r="X345" s="549"/>
      <c r="Y345" s="549"/>
      <c r="Z345" s="549"/>
      <c r="AA345" s="549"/>
      <c r="AB345" s="549"/>
      <c r="AC345" s="549"/>
      <c r="AD345" s="549"/>
      <c r="AE345" s="549"/>
    </row>
    <row r="346" spans="1:31" x14ac:dyDescent="0.25">
      <c r="A346" s="267" t="s">
        <v>36</v>
      </c>
      <c r="B346" s="267"/>
      <c r="C346" s="267"/>
      <c r="D346" s="267"/>
      <c r="E346" s="267"/>
      <c r="F346" s="267"/>
      <c r="G346" s="632"/>
      <c r="H346" s="632"/>
      <c r="I346" s="632"/>
      <c r="J346" s="632"/>
      <c r="K346" s="632"/>
      <c r="L346" s="632"/>
      <c r="M346" s="632"/>
      <c r="N346" s="632"/>
      <c r="O346" s="632"/>
      <c r="P346" s="632"/>
      <c r="Q346" s="632"/>
      <c r="R346" s="632"/>
      <c r="S346" s="632"/>
      <c r="T346" s="632"/>
      <c r="U346" s="632"/>
      <c r="V346" s="632"/>
      <c r="W346" s="632"/>
      <c r="X346" s="632"/>
      <c r="Y346" s="632"/>
      <c r="Z346" s="632"/>
      <c r="AA346" s="632"/>
      <c r="AB346" s="632"/>
      <c r="AC346" s="632"/>
      <c r="AD346" s="632"/>
      <c r="AE346" s="632"/>
    </row>
    <row r="347" spans="1:31" x14ac:dyDescent="0.25">
      <c r="A347" s="252"/>
      <c r="B347" s="252" t="s">
        <v>37</v>
      </c>
      <c r="G347" s="549">
        <f>IF(Tech_Specs!$K21="lamp",G274*SUM(G$311:G$314),G274*SUMIF($B$347:$B$350,"&lt;&gt;LED",G$311:G$314))</f>
        <v>1.1375035354606147E-2</v>
      </c>
      <c r="H347" s="549">
        <f>IF(Tech_Specs!$K21="lamp",H274*SUM(H$311:H$314),H274*SUMIF($B$347:$B$350,"&lt;&gt;LED",H$311:H$314))</f>
        <v>1.1538803942115084E-2</v>
      </c>
      <c r="I347" s="549">
        <f>IF(Tech_Specs!$K21="lamp",I274*SUM(I$311:I$314),I274*SUMIF($B$347:$B$350,"&lt;&gt;LED",I$311:I$314))</f>
        <v>1.0179986692460745E-2</v>
      </c>
      <c r="J347" s="549">
        <f>IF(Tech_Specs!$K21="lamp",J274*SUM(J$311:J$314),J274*SUMIF($B$347:$B$350,"&lt;&gt;LED",J$311:J$314))</f>
        <v>8.0660384187765978E-3</v>
      </c>
      <c r="K347" s="549">
        <f>IF(Tech_Specs!$K21="lamp",K274*SUM(K$311:K$314),K274*SUMIF($B$347:$B$350,"&lt;&gt;LED",K$311:K$314))</f>
        <v>4.7883742415641938E-3</v>
      </c>
      <c r="L347" s="549">
        <f>IF(Tech_Specs!$K21="lamp",L274*SUM(L$311:L$314),L274*SUMIF($B$347:$B$350,"&lt;&gt;LED",L$311:L$314))</f>
        <v>2.1448951028979926E-3</v>
      </c>
      <c r="M347" s="549">
        <f>IF(Tech_Specs!$K21="lamp",M274*SUM(M$311:M$314),M274*SUMIF($B$347:$B$350,"&lt;&gt;LED",M$311:M$314))</f>
        <v>5.9135298227746744E-4</v>
      </c>
      <c r="N347" s="549">
        <f>IF(Tech_Specs!$K21="lamp",N274*SUM(N$311:N$314),N274*SUMIF($B$347:$B$350,"&lt;&gt;LED",N$311:N$314))</f>
        <v>4.8532439784370956E-4</v>
      </c>
      <c r="O347" s="549">
        <f>IF(Tech_Specs!$K21="lamp",O274*SUM(O$311:O$314),O274*SUMIF($B$347:$B$350,"&lt;&gt;LED",O$311:O$314))</f>
        <v>4.0495793908736083E-4</v>
      </c>
      <c r="P347" s="549">
        <f>IF(Tech_Specs!$K21="lamp",P274*SUM(P$311:P$314),P274*SUMIF($B$347:$B$350,"&lt;&gt;LED",P$311:P$314))</f>
        <v>3.4116075038132638E-4</v>
      </c>
      <c r="Q347" s="549">
        <f>IF(Tech_Specs!$K21="lamp",Q274*SUM(Q$311:Q$314),Q274*SUMIF($B$347:$B$350,"&lt;&gt;LED",Q$311:Q$314))</f>
        <v>2.8950795373225598E-4</v>
      </c>
      <c r="R347" s="549">
        <f>IF(Tech_Specs!$K21="lamp",R274*SUM(R$311:R$314),R274*SUMIF($B$347:$B$350,"&lt;&gt;LED",R$311:R$314))</f>
        <v>2.4805048643297472E-4</v>
      </c>
      <c r="S347" s="549">
        <f>IF(Tech_Specs!$K21="lamp",S274*SUM(S$311:S$314),S274*SUMIF($B$347:$B$350,"&lt;&gt;LED",S$311:S$314))</f>
        <v>2.1401499411760386E-4</v>
      </c>
      <c r="T347" s="549">
        <f>IF(Tech_Specs!$K21="lamp",T274*SUM(T$311:T$314),T274*SUMIF($B$347:$B$350,"&lt;&gt;LED",T$311:T$314))</f>
        <v>1.8546214491995956E-4</v>
      </c>
      <c r="U347" s="549">
        <f>IF(Tech_Specs!$K21="lamp",U274*SUM(U$311:U$314),U274*SUMIF($B$347:$B$350,"&lt;&gt;LED",U$311:U$314))</f>
        <v>1.6181112989272512E-4</v>
      </c>
      <c r="V347" s="549">
        <f>IF(Tech_Specs!$K21="lamp",V274*SUM(V$311:V$314),V274*SUMIF($B$347:$B$350,"&lt;&gt;LED",V$311:V$314))</f>
        <v>1.4142960602518987E-4</v>
      </c>
      <c r="W347" s="549">
        <f>IF(Tech_Specs!$K21="lamp",W274*SUM(W$311:W$314),W274*SUMIF($B$347:$B$350,"&lt;&gt;LED",W$311:W$314))</f>
        <v>1.2377110094554761E-4</v>
      </c>
      <c r="X347" s="549">
        <f>IF(Tech_Specs!$K21="lamp",X274*SUM(X$311:X$314),X274*SUMIF($B$347:$B$350,"&lt;&gt;LED",X$311:X$314))</f>
        <v>1.0834170949264069E-4</v>
      </c>
      <c r="Y347" s="549">
        <f>IF(Tech_Specs!$K21="lamp",Y274*SUM(Y$311:Y$314),Y274*SUMIF($B$347:$B$350,"&lt;&gt;LED",Y$311:Y$314))</f>
        <v>9.5041855096217602E-5</v>
      </c>
      <c r="Z347" s="549">
        <f>IF(Tech_Specs!$K21="lamp",Z274*SUM(Z$311:Z$314),Z274*SUMIF($B$347:$B$350,"&lt;&gt;LED",Z$311:Z$314))</f>
        <v>8.3648930397251439E-5</v>
      </c>
      <c r="AA347" s="549">
        <f>IF(Tech_Specs!$K21="lamp",AA274*SUM(AA$311:AA$314),AA274*SUMIF($B$347:$B$350,"&lt;&gt;LED",AA$311:AA$314))</f>
        <v>7.3523887713800465E-5</v>
      </c>
      <c r="AB347" s="549">
        <f>IF(Tech_Specs!$K21="lamp",AB274*SUM(AB$311:AB$314),AB274*SUMIF($B$347:$B$350,"&lt;&gt;LED",AB$311:AB$314))</f>
        <v>6.4710063802758428E-5</v>
      </c>
      <c r="AC347" s="549">
        <f>IF(Tech_Specs!$K21="lamp",AC274*SUM(AC$311:AC$314),AC274*SUMIF($B$347:$B$350,"&lt;&gt;LED",AC$311:AC$314))</f>
        <v>5.6976942399800969E-5</v>
      </c>
      <c r="AD347" s="549">
        <f>IF(Tech_Specs!$K21="lamp",AD274*SUM(AD$311:AD$314),AD274*SUMIF($B$347:$B$350,"&lt;&gt;LED",AD$311:AD$314))</f>
        <v>5.0120520006201694E-5</v>
      </c>
      <c r="AE347" s="549">
        <f>IF(Tech_Specs!$K21="lamp",AE274*SUM(AE$311:AE$314),AE274*SUMIF($B$347:$B$350,"&lt;&gt;LED",AE$311:AE$314))</f>
        <v>4.3657731502868599E-5</v>
      </c>
    </row>
    <row r="348" spans="1:31" x14ac:dyDescent="0.25">
      <c r="A348" s="252"/>
      <c r="B348" s="252" t="s">
        <v>39</v>
      </c>
      <c r="G348" s="549">
        <f>IF(Tech_Specs!$K22="lamp",G275*SUM(G$311:G$314),G275*SUMIF($B$347:$B$350,"&lt;&gt;LED",G$311:G$314))</f>
        <v>0.21080637024223384</v>
      </c>
      <c r="H348" s="549">
        <f>IF(Tech_Specs!$K22="lamp",H275*SUM(H$311:H$314),H275*SUMIF($B$347:$B$350,"&lt;&gt;LED",H$311:H$314))</f>
        <v>0.26013375257500554</v>
      </c>
      <c r="I348" s="549">
        <f>IF(Tech_Specs!$K22="lamp",I275*SUM(I$311:I$314),I275*SUMIF($B$347:$B$350,"&lt;&gt;LED",I$311:I$314))</f>
        <v>0.2911148496437061</v>
      </c>
      <c r="J348" s="549">
        <f>IF(Tech_Specs!$K22="lamp",J275*SUM(J$311:J$314),J275*SUMIF($B$347:$B$350,"&lt;&gt;LED",J$311:J$314))</f>
        <v>0.30383465673131183</v>
      </c>
      <c r="K348" s="549">
        <f>IF(Tech_Specs!$K22="lamp",K275*SUM(K$311:K$314),K275*SUMIF($B$347:$B$350,"&lt;&gt;LED",K$311:K$314))</f>
        <v>0.2647314966362847</v>
      </c>
      <c r="L348" s="549">
        <f>IF(Tech_Specs!$K22="lamp",L275*SUM(L$311:L$314),L275*SUMIF($B$347:$B$350,"&lt;&gt;LED",L$311:L$314))</f>
        <v>0.22876254965889267</v>
      </c>
      <c r="M348" s="549">
        <f>IF(Tech_Specs!$K22="lamp",M275*SUM(M$311:M$314),M275*SUMIF($B$347:$B$350,"&lt;&gt;LED",M$311:M$314))</f>
        <v>0.19880201498828992</v>
      </c>
      <c r="N348" s="549">
        <f>IF(Tech_Specs!$K22="lamp",N275*SUM(N$311:N$314),N275*SUMIF($B$347:$B$350,"&lt;&gt;LED",N$311:N$314))</f>
        <v>0.17237270759511172</v>
      </c>
      <c r="O348" s="549">
        <f>IF(Tech_Specs!$K22="lamp",O275*SUM(O$311:O$314),O275*SUMIF($B$347:$B$350,"&lt;&gt;LED",O$311:O$314))</f>
        <v>0.15026536150728917</v>
      </c>
      <c r="P348" s="549">
        <f>IF(Tech_Specs!$K22="lamp",P275*SUM(P$311:P$314),P275*SUMIF($B$347:$B$350,"&lt;&gt;LED",P$311:P$314))</f>
        <v>0.13149696204562791</v>
      </c>
      <c r="Q348" s="549">
        <f>IF(Tech_Specs!$K22="lamp",Q275*SUM(Q$311:Q$314),Q275*SUMIF($B$347:$B$350,"&lt;&gt;LED",Q$311:Q$314))</f>
        <v>0.11551150276691809</v>
      </c>
      <c r="R348" s="549">
        <f>IF(Tech_Specs!$K22="lamp",R275*SUM(R$311:R$314),R275*SUMIF($B$347:$B$350,"&lt;&gt;LED",R$311:R$314))</f>
        <v>0.10203027453221034</v>
      </c>
      <c r="S348" s="549">
        <f>IF(Tech_Specs!$K22="lamp",S275*SUM(S$311:S$314),S275*SUMIF($B$347:$B$350,"&lt;&gt;LED",S$311:S$314))</f>
        <v>9.0529748969000332E-2</v>
      </c>
      <c r="T348" s="549">
        <f>IF(Tech_Specs!$K22="lamp",T275*SUM(T$311:T$314),T275*SUMIF($B$347:$B$350,"&lt;&gt;LED",T$311:T$314))</f>
        <v>8.0582000559818484E-2</v>
      </c>
      <c r="U348" s="549">
        <f>IF(Tech_Specs!$K22="lamp",U275*SUM(U$311:U$314),U275*SUMIF($B$347:$B$350,"&lt;&gt;LED",U$311:U$314))</f>
        <v>7.2062083356157144E-2</v>
      </c>
      <c r="V348" s="549">
        <f>IF(Tech_Specs!$K22="lamp",V275*SUM(V$311:V$314),V275*SUMIF($B$347:$B$350,"&lt;&gt;LED",V$311:V$314))</f>
        <v>6.456330975558576E-2</v>
      </c>
      <c r="W348" s="549">
        <f>IF(Tech_Specs!$K22="lamp",W275*SUM(W$311:W$314),W275*SUMIF($B$347:$B$350,"&lt;&gt;LED",W$311:W$314))</f>
        <v>5.7935075843761126E-2</v>
      </c>
      <c r="X348" s="549">
        <f>IF(Tech_Specs!$K22="lamp",X275*SUM(X$311:X$314),X275*SUMIF($B$347:$B$350,"&lt;&gt;LED",X$311:X$314))</f>
        <v>5.2037015359991827E-2</v>
      </c>
      <c r="Y348" s="549">
        <f>IF(Tech_Specs!$K22="lamp",Y275*SUM(Y$311:Y$314),Y275*SUMIF($B$347:$B$350,"&lt;&gt;LED",Y$311:Y$314))</f>
        <v>4.684183436578887E-2</v>
      </c>
      <c r="Z348" s="549">
        <f>IF(Tech_Specs!$K22="lamp",Z275*SUM(Z$311:Z$314),Z275*SUMIF($B$347:$B$350,"&lt;&gt;LED",Z$311:Z$314))</f>
        <v>4.2290650339041252E-2</v>
      </c>
      <c r="AA348" s="549">
        <f>IF(Tech_Specs!$K22="lamp",AA275*SUM(AA$311:AA$314),AA275*SUMIF($B$347:$B$350,"&lt;&gt;LED",AA$311:AA$314))</f>
        <v>3.8188463613652003E-2</v>
      </c>
      <c r="AB348" s="549">
        <f>IF(Tech_Specs!$K22="lamp",AB275*SUM(AB$311:AB$314),AB275*SUMIF($B$347:$B$350,"&lt;&gt;LED",AB$311:AB$314))</f>
        <v>3.4548696718755871E-2</v>
      </c>
      <c r="AC348" s="549">
        <f>IF(Tech_Specs!$K22="lamp",AC275*SUM(AC$311:AC$314),AC275*SUMIF($B$347:$B$350,"&lt;&gt;LED",AC$311:AC$314))</f>
        <v>3.1295848657787298E-2</v>
      </c>
      <c r="AD348" s="549">
        <f>IF(Tech_Specs!$K22="lamp",AD275*SUM(AD$311:AD$314),AD275*SUMIF($B$347:$B$350,"&lt;&gt;LED",AD$311:AD$314))</f>
        <v>2.836140505472309E-2</v>
      </c>
      <c r="AE348" s="549">
        <f>IF(Tech_Specs!$K22="lamp",AE275*SUM(AE$311:AE$314),AE275*SUMIF($B$347:$B$350,"&lt;&gt;LED",AE$311:AE$314))</f>
        <v>2.5570203904959683E-2</v>
      </c>
    </row>
    <row r="349" spans="1:31" x14ac:dyDescent="0.25">
      <c r="A349" s="252"/>
      <c r="B349" s="252" t="s">
        <v>40</v>
      </c>
      <c r="G349" s="549">
        <f>IF(Tech_Specs!$K23="lamp",G276*SUM(G$311:G$314),G276*SUMIF($B$347:$B$350,"&lt;&gt;LED",G$311:G$314))</f>
        <v>8.3942407327726232E-2</v>
      </c>
      <c r="H349" s="549">
        <f>IF(Tech_Specs!$K23="lamp",H276*SUM(H$311:H$314),H276*SUMIF($B$347:$B$350,"&lt;&gt;LED",H$311:H$314))</f>
        <v>0.13484034665470415</v>
      </c>
      <c r="I349" s="549">
        <f>IF(Tech_Specs!$K23="lamp",I276*SUM(I$311:I$314),I276*SUMIF($B$347:$B$350,"&lt;&gt;LED",I$311:I$314))</f>
        <v>0.19290927324360624</v>
      </c>
      <c r="J349" s="549">
        <f>IF(Tech_Specs!$K23="lamp",J276*SUM(J$311:J$314),J276*SUMIF($B$347:$B$350,"&lt;&gt;LED",J$311:J$314))</f>
        <v>0.25676976452820122</v>
      </c>
      <c r="K349" s="549">
        <f>IF(Tech_Specs!$K23="lamp",K276*SUM(K$311:K$314),K276*SUMIF($B$347:$B$350,"&lt;&gt;LED",K$311:K$314))</f>
        <v>0.2798774694456192</v>
      </c>
      <c r="L349" s="549">
        <f>IF(Tech_Specs!$K23="lamp",L276*SUM(L$311:L$314),L276*SUMIF($B$347:$B$350,"&lt;&gt;LED",L$311:L$314))</f>
        <v>0.29978008440520337</v>
      </c>
      <c r="M349" s="549">
        <f>IF(Tech_Specs!$K23="lamp",M276*SUM(M$311:M$314),M276*SUMIF($B$347:$B$350,"&lt;&gt;LED",M$311:M$314))</f>
        <v>0.31234454604247147</v>
      </c>
      <c r="N349" s="549">
        <f>IF(Tech_Specs!$K23="lamp",N276*SUM(N$311:N$314),N276*SUMIF($B$347:$B$350,"&lt;&gt;LED",N$311:N$314))</f>
        <v>0.31886786295868486</v>
      </c>
      <c r="O349" s="549">
        <f>IF(Tech_Specs!$K23="lamp",O276*SUM(O$311:O$314),O276*SUMIF($B$347:$B$350,"&lt;&gt;LED",O$311:O$314))</f>
        <v>0.31949629171462829</v>
      </c>
      <c r="P349" s="549">
        <f>IF(Tech_Specs!$K23="lamp",P276*SUM(P$311:P$314),P276*SUMIF($B$347:$B$350,"&lt;&gt;LED",P$311:P$314))</f>
        <v>0.31486806184861965</v>
      </c>
      <c r="Q349" s="549">
        <f>IF(Tech_Specs!$K23="lamp",Q276*SUM(Q$311:Q$314),Q276*SUMIF($B$347:$B$350,"&lt;&gt;LED",Q$311:Q$314))</f>
        <v>0.30568043012142848</v>
      </c>
      <c r="R349" s="549">
        <f>IF(Tech_Specs!$K23="lamp",R276*SUM(R$311:R$314),R276*SUMIF($B$347:$B$350,"&lt;&gt;LED",R$311:R$314))</f>
        <v>0.29253969984273553</v>
      </c>
      <c r="S349" s="549">
        <f>IF(Tech_Specs!$K23="lamp",S276*SUM(S$311:S$314),S276*SUMIF($B$347:$B$350,"&lt;&gt;LED",S$311:S$314))</f>
        <v>0.27660275871802381</v>
      </c>
      <c r="T349" s="549">
        <f>IF(Tech_Specs!$K23="lamp",T276*SUM(T$311:T$314),T276*SUMIF($B$347:$B$350,"&lt;&gt;LED",T$311:T$314))</f>
        <v>0.25893208290749958</v>
      </c>
      <c r="U349" s="549">
        <f>IF(Tech_Specs!$K23="lamp",U276*SUM(U$311:U$314),U276*SUMIF($B$347:$B$350,"&lt;&gt;LED",U$311:U$314))</f>
        <v>0.24047560826054012</v>
      </c>
      <c r="V349" s="549">
        <f>IF(Tech_Specs!$K23="lamp",V276*SUM(V$311:V$314),V276*SUMIF($B$347:$B$350,"&lt;&gt;LED",V$311:V$314))</f>
        <v>0.22204102129871911</v>
      </c>
      <c r="W349" s="549">
        <f>IF(Tech_Specs!$K23="lamp",W276*SUM(W$311:W$314),W276*SUMIF($B$347:$B$350,"&lt;&gt;LED",W$311:W$314))</f>
        <v>0.2041573059763008</v>
      </c>
      <c r="X349" s="549">
        <f>IF(Tech_Specs!$K23="lamp",X276*SUM(X$311:X$314),X276*SUMIF($B$347:$B$350,"&lt;&gt;LED",X$311:X$314))</f>
        <v>0.1871634770670178</v>
      </c>
      <c r="Y349" s="549">
        <f>IF(Tech_Specs!$K23="lamp",Y276*SUM(Y$311:Y$314),Y276*SUMIF($B$347:$B$350,"&lt;&gt;LED",Y$311:Y$314))</f>
        <v>0.17130441098241961</v>
      </c>
      <c r="Z349" s="549">
        <f>IF(Tech_Specs!$K23="lamp",Z276*SUM(Z$311:Z$314),Z276*SUMIF($B$347:$B$350,"&lt;&gt;LED",Z$311:Z$314))</f>
        <v>0.15671815579836093</v>
      </c>
      <c r="AA349" s="549">
        <f>IF(Tech_Specs!$K23="lamp",AA276*SUM(AA$311:AA$314),AA276*SUMIF($B$347:$B$350,"&lt;&gt;LED",AA$311:AA$314))</f>
        <v>0.14333129128223565</v>
      </c>
      <c r="AB349" s="549">
        <f>IF(Tech_Specs!$K23="lamp",AB276*SUM(AB$311:AB$314),AB276*SUMIF($B$347:$B$350,"&lt;&gt;LED",AB$311:AB$314))</f>
        <v>0.13116349811626288</v>
      </c>
      <c r="AC349" s="549">
        <f>IF(Tech_Specs!$K23="lamp",AC276*SUM(AC$311:AC$314),AC276*SUMIF($B$347:$B$350,"&lt;&gt;LED",AC$311:AC$314))</f>
        <v>0.12011070557294494</v>
      </c>
      <c r="AD349" s="549">
        <f>IF(Tech_Specs!$K23="lamp",AD276*SUM(AD$311:AD$314),AD276*SUMIF($B$347:$B$350,"&lt;&gt;LED",AD$311:AD$314))</f>
        <v>0.11006058946972269</v>
      </c>
      <c r="AE349" s="549">
        <f>IF(Tech_Specs!$K23="lamp",AE276*SUM(AE$311:AE$314),AE276*SUMIF($B$347:$B$350,"&lt;&gt;LED",AE$311:AE$314))</f>
        <v>0.1007454595809588</v>
      </c>
    </row>
    <row r="350" spans="1:31" x14ac:dyDescent="0.25">
      <c r="A350" s="252"/>
      <c r="B350" s="252" t="s">
        <v>29</v>
      </c>
      <c r="G350" s="549">
        <f>IF(Tech_Specs!$K24="lamp",G277*SUM(G$311:G$314),G277*SUMIF($B$347:$B$350,"&lt;&gt;LED",G$311:G$314))</f>
        <v>1.4077470751261645E-11</v>
      </c>
      <c r="H350" s="549">
        <f>IF(Tech_Specs!$K24="lamp",H277*SUM(H$311:H$314),H277*SUMIF($B$347:$B$350,"&lt;&gt;LED",H$311:H$314))</f>
        <v>2.2824185344326436E-8</v>
      </c>
      <c r="I350" s="549">
        <f>IF(Tech_Specs!$K24="lamp",I277*SUM(I$311:I$314),I277*SUMIF($B$347:$B$350,"&lt;&gt;LED",I$311:I$314))</f>
        <v>1.6110735216579103E-6</v>
      </c>
      <c r="J350" s="549">
        <f>IF(Tech_Specs!$K24="lamp",J277*SUM(J$311:J$314),J277*SUMIF($B$347:$B$350,"&lt;&gt;LED",J$311:J$314))</f>
        <v>2.6842236890471182E-5</v>
      </c>
      <c r="K350" s="549">
        <f>IF(Tech_Specs!$K24="lamp",K277*SUM(K$311:K$314),K277*SUMIF($B$347:$B$350,"&lt;&gt;LED",K$311:K$314))</f>
        <v>1.7262723765547826E-4</v>
      </c>
      <c r="L350" s="549">
        <f>IF(Tech_Specs!$K24="lamp",L277*SUM(L$311:L$314),L277*SUMIF($B$347:$B$350,"&lt;&gt;LED",L$311:L$314))</f>
        <v>6.9993163208883938E-4</v>
      </c>
      <c r="M350" s="549">
        <f>IF(Tech_Specs!$K24="lamp",M277*SUM(M$311:M$314),M277*SUMIF($B$347:$B$350,"&lt;&gt;LED",M$311:M$314))</f>
        <v>2.0360608198592917E-3</v>
      </c>
      <c r="N350" s="549">
        <f>IF(Tech_Specs!$K24="lamp",N277*SUM(N$311:N$314),N277*SUMIF($B$347:$B$350,"&lt;&gt;LED",N$311:N$314))</f>
        <v>4.6916862111492487E-3</v>
      </c>
      <c r="O350" s="549">
        <f>IF(Tech_Specs!$K24="lamp",O277*SUM(O$311:O$314),O277*SUMIF($B$347:$B$350,"&lt;&gt;LED",O$311:O$314))</f>
        <v>9.0593859234896178E-3</v>
      </c>
      <c r="P350" s="549">
        <f>IF(Tech_Specs!$K24="lamp",P277*SUM(P$311:P$314),P277*SUMIF($B$347:$B$350,"&lt;&gt;LED",P$311:P$314))</f>
        <v>1.5391099417075896E-2</v>
      </c>
      <c r="Q350" s="549">
        <f>IF(Tech_Specs!$K24="lamp",Q277*SUM(Q$311:Q$314),Q277*SUMIF($B$347:$B$350,"&lt;&gt;LED",Q$311:Q$314))</f>
        <v>2.3472764720507844E-2</v>
      </c>
      <c r="R350" s="549">
        <f>IF(Tech_Specs!$K24="lamp",R277*SUM(R$311:R$314),R277*SUMIF($B$347:$B$350,"&lt;&gt;LED",R$311:R$314))</f>
        <v>3.2943606838711351E-2</v>
      </c>
      <c r="S350" s="549">
        <f>IF(Tech_Specs!$K24="lamp",S277*SUM(S$311:S$314),S277*SUMIF($B$347:$B$350,"&lt;&gt;LED",S$311:S$314))</f>
        <v>4.328094831502155E-2</v>
      </c>
      <c r="T350" s="549">
        <f>IF(Tech_Specs!$K24="lamp",T277*SUM(T$311:T$314),T277*SUMIF($B$347:$B$350,"&lt;&gt;LED",T$311:T$314))</f>
        <v>5.3912362741642954E-2</v>
      </c>
      <c r="U350" s="549">
        <f>IF(Tech_Specs!$K24="lamp",U277*SUM(U$311:U$314),U277*SUMIF($B$347:$B$350,"&lt;&gt;LED",U$311:U$314))</f>
        <v>6.4094772786122314E-2</v>
      </c>
      <c r="V350" s="549">
        <f>IF(Tech_Specs!$K24="lamp",V277*SUM(V$311:V$314),V277*SUMIF($B$347:$B$350,"&lt;&gt;LED",V$311:V$314))</f>
        <v>7.3558523867358019E-2</v>
      </c>
      <c r="W350" s="549">
        <f>IF(Tech_Specs!$K24="lamp",W277*SUM(W$311:W$314),W277*SUMIF($B$347:$B$350,"&lt;&gt;LED",W$311:W$314))</f>
        <v>8.1995367034713676E-2</v>
      </c>
      <c r="X350" s="549">
        <f>IF(Tech_Specs!$K24="lamp",X277*SUM(X$311:X$314),X277*SUMIF($B$347:$B$350,"&lt;&gt;LED",X$311:X$314))</f>
        <v>8.9271022161872299E-2</v>
      </c>
      <c r="Y350" s="549">
        <f>IF(Tech_Specs!$K24="lamp",Y277*SUM(Y$311:Y$314),Y277*SUMIF($B$347:$B$350,"&lt;&gt;LED",Y$311:Y$314))</f>
        <v>9.522535253336549E-2</v>
      </c>
      <c r="Z350" s="549">
        <f>IF(Tech_Specs!$K24="lamp",Z277*SUM(Z$311:Z$314),Z277*SUMIF($B$347:$B$350,"&lt;&gt;LED",Z$311:Z$314))</f>
        <v>9.9849710431560629E-2</v>
      </c>
      <c r="AA350" s="549">
        <f>IF(Tech_Specs!$K24="lamp",AA277*SUM(AA$311:AA$314),AA277*SUMIF($B$347:$B$350,"&lt;&gt;LED",AA$311:AA$314))</f>
        <v>0.10347079752485847</v>
      </c>
      <c r="AB350" s="549">
        <f>IF(Tech_Specs!$K24="lamp",AB277*SUM(AB$311:AB$314),AB277*SUMIF($B$347:$B$350,"&lt;&gt;LED",AB$311:AB$314))</f>
        <v>0.10608417311002426</v>
      </c>
      <c r="AC350" s="549">
        <f>IF(Tech_Specs!$K24="lamp",AC277*SUM(AC$311:AC$314),AC277*SUMIF($B$347:$B$350,"&lt;&gt;LED",AC$311:AC$314))</f>
        <v>0.1078373844242583</v>
      </c>
      <c r="AD350" s="549">
        <f>IF(Tech_Specs!$K24="lamp",AD277*SUM(AD$311:AD$314),AD277*SUMIF($B$347:$B$350,"&lt;&gt;LED",AD$311:AD$314))</f>
        <v>0.10890253648606901</v>
      </c>
      <c r="AE350" s="549">
        <f>IF(Tech_Specs!$K24="lamp",AE277*SUM(AE$311:AE$314),AE277*SUMIF($B$347:$B$350,"&lt;&gt;LED",AE$311:AE$314))</f>
        <v>0.10970297098221801</v>
      </c>
    </row>
    <row r="351" spans="1:31" x14ac:dyDescent="0.25">
      <c r="A351" s="252"/>
      <c r="B351" s="252"/>
      <c r="G351" s="549"/>
      <c r="H351" s="549"/>
      <c r="I351" s="549"/>
      <c r="J351" s="549"/>
      <c r="K351" s="549"/>
      <c r="L351" s="549"/>
      <c r="M351" s="549"/>
      <c r="N351" s="549"/>
      <c r="O351" s="549"/>
      <c r="P351" s="549"/>
      <c r="Q351" s="549"/>
      <c r="R351" s="549"/>
      <c r="S351" s="549"/>
      <c r="T351" s="549"/>
      <c r="U351" s="549"/>
      <c r="V351" s="549"/>
      <c r="W351" s="549"/>
      <c r="X351" s="549"/>
      <c r="Y351" s="549"/>
      <c r="Z351" s="549"/>
      <c r="AA351" s="549"/>
      <c r="AB351" s="549"/>
      <c r="AC351" s="549"/>
      <c r="AD351" s="549"/>
      <c r="AE351" s="549"/>
    </row>
    <row r="352" spans="1:31" x14ac:dyDescent="0.25">
      <c r="A352" s="267" t="s">
        <v>42</v>
      </c>
      <c r="B352" s="267"/>
      <c r="C352" s="267"/>
      <c r="D352" s="267"/>
      <c r="E352" s="267"/>
      <c r="F352" s="267"/>
      <c r="G352" s="632"/>
      <c r="H352" s="632"/>
      <c r="I352" s="632"/>
      <c r="J352" s="632"/>
      <c r="K352" s="632"/>
      <c r="L352" s="632"/>
      <c r="M352" s="632"/>
      <c r="N352" s="632"/>
      <c r="O352" s="632"/>
      <c r="P352" s="632"/>
      <c r="Q352" s="632"/>
      <c r="R352" s="632"/>
      <c r="S352" s="632"/>
      <c r="T352" s="632"/>
      <c r="U352" s="632"/>
      <c r="V352" s="632"/>
      <c r="W352" s="632"/>
      <c r="X352" s="632"/>
      <c r="Y352" s="632"/>
      <c r="Z352" s="632"/>
      <c r="AA352" s="632"/>
      <c r="AB352" s="632"/>
      <c r="AC352" s="632"/>
      <c r="AD352" s="632"/>
      <c r="AE352" s="632"/>
    </row>
    <row r="353" spans="1:31" x14ac:dyDescent="0.25">
      <c r="A353" s="252"/>
      <c r="B353" s="257" t="s">
        <v>43</v>
      </c>
      <c r="G353" s="549">
        <f>IF(Tech_Specs!$K27="lamp",G280*SUM(G$317:G$321),G280*SUMIF($B$353:$B$357,"&lt;&gt;LED",G$317:G$321))</f>
        <v>3.4334037488728851E-5</v>
      </c>
      <c r="H353" s="549">
        <f>IF(Tech_Specs!$K27="lamp",H280*SUM(H$317:H$321),H280*SUMIF($B$353:$B$357,"&lt;&gt;LED",H$317:H$321))</f>
        <v>3.3502399885291376E-5</v>
      </c>
      <c r="I353" s="549">
        <f>IF(Tech_Specs!$K27="lamp",I280*SUM(I$317:I$321),I280*SUMIF($B$353:$B$357,"&lt;&gt;LED",I$317:I$321))</f>
        <v>3.242329302968576E-5</v>
      </c>
      <c r="J353" s="549">
        <f>IF(Tech_Specs!$K27="lamp",J280*SUM(J$317:J$321),J280*SUMIF($B$353:$B$357,"&lt;&gt;LED",J$317:J$321))</f>
        <v>3.1117156950056305E-5</v>
      </c>
      <c r="K353" s="549">
        <f>IF(Tech_Specs!$K27="lamp",K280*SUM(K$317:K$321),K280*SUMIF($B$353:$B$357,"&lt;&gt;LED",K$317:K$321))</f>
        <v>2.9635659606127608E-5</v>
      </c>
      <c r="L353" s="549">
        <f>IF(Tech_Specs!$K27="lamp",L280*SUM(L$317:L$321),L280*SUMIF($B$353:$B$357,"&lt;&gt;LED",L$317:L$321))</f>
        <v>2.8053553315797769E-5</v>
      </c>
      <c r="M353" s="549">
        <f>IF(Tech_Specs!$K27="lamp",M280*SUM(M$317:M$321),M280*SUMIF($B$353:$B$357,"&lt;&gt;LED",M$317:M$321))</f>
        <v>2.6451579401925789E-5</v>
      </c>
      <c r="N353" s="549">
        <f>IF(Tech_Specs!$K27="lamp",N280*SUM(N$317:N$321),N280*SUMIF($B$353:$B$357,"&lt;&gt;LED",N$317:N$321))</f>
        <v>2.4882149429912952E-5</v>
      </c>
      <c r="O353" s="549">
        <f>IF(Tech_Specs!$K27="lamp",O280*SUM(O$317:O$321),O280*SUMIF($B$353:$B$357,"&lt;&gt;LED",O$317:O$321))</f>
        <v>2.3397766298570737E-5</v>
      </c>
      <c r="P353" s="549">
        <f>IF(Tech_Specs!$K27="lamp",P280*SUM(P$317:P$321),P280*SUMIF($B$353:$B$357,"&lt;&gt;LED",P$317:P$321))</f>
        <v>2.2032391288927822E-5</v>
      </c>
      <c r="Q353" s="549">
        <f>IF(Tech_Specs!$K27="lamp",Q280*SUM(Q$317:Q$321),Q280*SUMIF($B$353:$B$357,"&lt;&gt;LED",Q$317:Q$321))</f>
        <v>2.0810267519828917E-5</v>
      </c>
      <c r="R353" s="549">
        <f>IF(Tech_Specs!$K27="lamp",R280*SUM(R$317:R$321),R280*SUMIF($B$353:$B$357,"&lt;&gt;LED",R$317:R$321))</f>
        <v>1.974114421529441E-5</v>
      </c>
      <c r="S353" s="549">
        <f>IF(Tech_Specs!$K27="lamp",S280*SUM(S$317:S$321),S280*SUMIF($B$353:$B$357,"&lt;&gt;LED",S$317:S$321))</f>
        <v>1.8825821738081467E-5</v>
      </c>
      <c r="T353" s="549">
        <f>IF(Tech_Specs!$K27="lamp",T280*SUM(T$317:T$321),T280*SUMIF($B$353:$B$357,"&lt;&gt;LED",T$317:T$321))</f>
        <v>1.8050829199336335E-5</v>
      </c>
      <c r="U353" s="549">
        <f>IF(Tech_Specs!$K27="lamp",U280*SUM(U$317:U$321),U280*SUMIF($B$353:$B$357,"&lt;&gt;LED",U$317:U$321))</f>
        <v>1.7399511978743618E-5</v>
      </c>
      <c r="V353" s="549">
        <f>IF(Tech_Specs!$K27="lamp",V280*SUM(V$317:V$321),V280*SUMIF($B$353:$B$357,"&lt;&gt;LED",V$317:V$321))</f>
        <v>1.685219368109644E-5</v>
      </c>
      <c r="W353" s="549">
        <f>IF(Tech_Specs!$K27="lamp",W280*SUM(W$317:W$321),W280*SUMIF($B$353:$B$357,"&lt;&gt;LED",W$317:W$321))</f>
        <v>1.6389262651494062E-5</v>
      </c>
      <c r="X353" s="549">
        <f>IF(Tech_Specs!$K27="lamp",X280*SUM(X$317:X$321),X280*SUMIF($B$353:$B$357,"&lt;&gt;LED",X$317:X$321))</f>
        <v>1.5993230454247103E-5</v>
      </c>
      <c r="Y353" s="549">
        <f>IF(Tech_Specs!$K27="lamp",Y280*SUM(Y$317:Y$321),Y280*SUMIF($B$353:$B$357,"&lt;&gt;LED",Y$317:Y$321))</f>
        <v>1.565104927042563E-5</v>
      </c>
      <c r="Z353" s="549">
        <f>IF(Tech_Specs!$K27="lamp",Z280*SUM(Z$317:Z$321),Z280*SUMIF($B$353:$B$357,"&lt;&gt;LED",Z$317:Z$321))</f>
        <v>1.5353891910789379E-5</v>
      </c>
      <c r="AA353" s="549">
        <f>IF(Tech_Specs!$K27="lamp",AA280*SUM(AA$317:AA$321),AA280*SUMIF($B$353:$B$357,"&lt;&gt;LED",AA$317:AA$321))</f>
        <v>1.509388852341199E-5</v>
      </c>
      <c r="AB353" s="549">
        <f>IF(Tech_Specs!$K27="lamp",AB280*SUM(AB$317:AB$321),AB280*SUMIF($B$353:$B$357,"&lt;&gt;LED",AB$317:AB$321))</f>
        <v>1.4867944067797987E-5</v>
      </c>
      <c r="AC353" s="549">
        <f>IF(Tech_Specs!$K27="lamp",AC280*SUM(AC$317:AC$321),AC280*SUMIF($B$353:$B$357,"&lt;&gt;LED",AC$317:AC$321))</f>
        <v>1.4667069974387254E-5</v>
      </c>
      <c r="AD353" s="549">
        <f>IF(Tech_Specs!$K27="lamp",AD280*SUM(AD$317:AD$321),AD280*SUMIF($B$353:$B$357,"&lt;&gt;LED",AD$317:AD$321))</f>
        <v>1.4486911720688351E-5</v>
      </c>
      <c r="AE353" s="549">
        <f>IF(Tech_Specs!$K27="lamp",AE280*SUM(AE$317:AE$321),AE280*SUMIF($B$353:$B$357,"&lt;&gt;LED",AE$317:AE$321))</f>
        <v>1.4322017565386419E-5</v>
      </c>
    </row>
    <row r="354" spans="1:31" x14ac:dyDescent="0.25">
      <c r="A354" s="252"/>
      <c r="B354" s="257" t="s">
        <v>44</v>
      </c>
      <c r="G354" s="549">
        <f>IF(Tech_Specs!$K28="lamp",G281*SUM(G$317:G$321),G281*SUMIF($B$353:$B$357,"&lt;&gt;LED",G$317:G$321))</f>
        <v>3.2844403539730588E-3</v>
      </c>
      <c r="H354" s="549">
        <f>IF(Tech_Specs!$K28="lamp",H281*SUM(H$317:H$321),H281*SUMIF($B$353:$B$357,"&lt;&gt;LED",H$317:H$321))</f>
        <v>3.205678994797206E-3</v>
      </c>
      <c r="I354" s="549">
        <f>IF(Tech_Specs!$K28="lamp",I281*SUM(I$317:I$321),I281*SUMIF($B$353:$B$357,"&lt;&gt;LED",I$317:I$321))</f>
        <v>3.1040139008339947E-3</v>
      </c>
      <c r="J354" s="549">
        <f>IF(Tech_Specs!$K28="lamp",J281*SUM(J$317:J$321),J281*SUMIF($B$353:$B$357,"&lt;&gt;LED",J$317:J$321))</f>
        <v>2.9812660661531474E-3</v>
      </c>
      <c r="K354" s="549">
        <f>IF(Tech_Specs!$K28="lamp",K281*SUM(K$317:K$321),K281*SUMIF($B$353:$B$357,"&lt;&gt;LED",K$317:K$321))</f>
        <v>2.8411024621135266E-3</v>
      </c>
      <c r="L354" s="549">
        <f>IF(Tech_Specs!$K28="lamp",L281*SUM(L$317:L$321),L281*SUMIF($B$353:$B$357,"&lt;&gt;LED",L$317:L$321))</f>
        <v>2.6918565796460003E-3</v>
      </c>
      <c r="M354" s="549">
        <f>IF(Tech_Specs!$K28="lamp",M281*SUM(M$317:M$321),M281*SUMIF($B$353:$B$357,"&lt;&gt;LED",M$317:M$321))</f>
        <v>2.5401345008493172E-3</v>
      </c>
      <c r="N354" s="549">
        <f>IF(Tech_Specs!$K28="lamp",N281*SUM(N$317:N$321),N281*SUMIF($B$353:$B$357,"&lt;&gt;LED",N$317:N$321))</f>
        <v>2.3911579824376339E-3</v>
      </c>
      <c r="O354" s="549">
        <f>IF(Tech_Specs!$K28="lamp",O281*SUM(O$317:O$321),O281*SUMIF($B$353:$B$357,"&lt;&gt;LED",O$317:O$321))</f>
        <v>2.2499048791619993E-3</v>
      </c>
      <c r="P354" s="549">
        <f>IF(Tech_Specs!$K28="lamp",P281*SUM(P$317:P$321),P281*SUMIF($B$353:$B$357,"&lt;&gt;LED",P$317:P$321))</f>
        <v>2.1200431433140514E-3</v>
      </c>
      <c r="Q354" s="549">
        <f>IF(Tech_Specs!$K28="lamp",Q281*SUM(Q$317:Q$321),Q281*SUMIF($B$353:$B$357,"&lt;&gt;LED",Q$317:Q$321))</f>
        <v>2.0039494588649028E-3</v>
      </c>
      <c r="R354" s="549">
        <f>IF(Tech_Specs!$K28="lamp",R281*SUM(R$317:R$321),R281*SUMIF($B$353:$B$357,"&lt;&gt;LED",R$317:R$321))</f>
        <v>1.902396639211756E-3</v>
      </c>
      <c r="S354" s="549">
        <f>IF(Tech_Specs!$K28="lamp",S281*SUM(S$317:S$321),S281*SUMIF($B$353:$B$357,"&lt;&gt;LED",S$317:S$321))</f>
        <v>1.8155485295164456E-3</v>
      </c>
      <c r="T354" s="549">
        <f>IF(Tech_Specs!$K28="lamp",T281*SUM(T$317:T$321),T281*SUMIF($B$353:$B$357,"&lt;&gt;LED",T$317:T$321))</f>
        <v>1.7421670534193546E-3</v>
      </c>
      <c r="U354" s="549">
        <f>IF(Tech_Specs!$K28="lamp",U281*SUM(U$317:U$321),U281*SUMIF($B$353:$B$357,"&lt;&gt;LED",U$317:U$321))</f>
        <v>1.6805667075593968E-3</v>
      </c>
      <c r="V354" s="549">
        <f>IF(Tech_Specs!$K28="lamp",V281*SUM(V$317:V$321),V281*SUMIF($B$353:$B$357,"&lt;&gt;LED",V$317:V$321))</f>
        <v>1.6289911990201931E-3</v>
      </c>
      <c r="W354" s="549">
        <f>IF(Tech_Specs!$K28="lamp",W281*SUM(W$317:W$321),W281*SUMIF($B$353:$B$357,"&lt;&gt;LED",W$317:W$321))</f>
        <v>1.5855519967774988E-3</v>
      </c>
      <c r="X354" s="549">
        <f>IF(Tech_Specs!$K28="lamp",X281*SUM(X$317:X$321),X281*SUMIF($B$353:$B$357,"&lt;&gt;LED",X$317:X$321))</f>
        <v>1.5485803194651595E-3</v>
      </c>
      <c r="Y354" s="549">
        <f>IF(Tech_Specs!$K28="lamp",Y281*SUM(Y$317:Y$321),Y281*SUMIF($B$353:$B$357,"&lt;&gt;LED",Y$317:Y$321))</f>
        <v>1.5167721271359478E-3</v>
      </c>
      <c r="Z354" s="549">
        <f>IF(Tech_Specs!$K28="lamp",Z281*SUM(Z$317:Z$321),Z281*SUMIF($B$353:$B$357,"&lt;&gt;LED",Z$317:Z$321))</f>
        <v>1.4892592966631081E-3</v>
      </c>
      <c r="AA354" s="549">
        <f>IF(Tech_Specs!$K28="lamp",AA281*SUM(AA$317:AA$321),AA281*SUMIF($B$353:$B$357,"&lt;&gt;LED",AA$317:AA$321))</f>
        <v>1.4653806149655044E-3</v>
      </c>
      <c r="AB354" s="549">
        <f>IF(Tech_Specs!$K28="lamp",AB281*SUM(AB$317:AB$321),AB281*SUMIF($B$353:$B$357,"&lt;&gt;LED",AB$317:AB$321))</f>
        <v>1.4447869675691988E-3</v>
      </c>
      <c r="AC354" s="549">
        <f>IF(Tech_Specs!$K28="lamp",AC281*SUM(AC$317:AC$321),AC281*SUMIF($B$353:$B$357,"&lt;&gt;LED",AC$317:AC$321))</f>
        <v>1.4266247833380668E-3</v>
      </c>
      <c r="AD354" s="549">
        <f>IF(Tech_Specs!$K28="lamp",AD281*SUM(AD$317:AD$321),AD281*SUMIF($B$353:$B$357,"&lt;&gt;LED",AD$317:AD$321))</f>
        <v>1.4104980884213083E-3</v>
      </c>
      <c r="AE354" s="549">
        <f>IF(Tech_Specs!$K28="lamp",AE281*SUM(AE$317:AE$321),AE281*SUMIF($B$353:$B$357,"&lt;&gt;LED",AE$317:AE$321))</f>
        <v>1.3960331191017182E-3</v>
      </c>
    </row>
    <row r="355" spans="1:31" x14ac:dyDescent="0.25">
      <c r="A355" s="252"/>
      <c r="B355" s="257" t="s">
        <v>45</v>
      </c>
      <c r="G355" s="549">
        <f>IF(Tech_Specs!$K29="lamp",G282*SUM(G$317:G$321),G282*SUMIF($B$353:$B$357,"&lt;&gt;LED",G$317:G$321))</f>
        <v>1.8040266682874748E-5</v>
      </c>
      <c r="H355" s="549">
        <f>IF(Tech_Specs!$K29="lamp",H282*SUM(H$317:H$321),H282*SUMIF($B$353:$B$357,"&lt;&gt;LED",H$317:H$321))</f>
        <v>1.7590735194563061E-5</v>
      </c>
      <c r="I355" s="549">
        <f>IF(Tech_Specs!$K29="lamp",I282*SUM(I$317:I$321),I282*SUMIF($B$353:$B$357,"&lt;&gt;LED",I$317:I$321))</f>
        <v>1.7019864679950824E-5</v>
      </c>
      <c r="J355" s="549">
        <f>IF(Tech_Specs!$K29="lamp",J282*SUM(J$317:J$321),J282*SUMIF($B$353:$B$357,"&lt;&gt;LED",J$317:J$321))</f>
        <v>1.6336996502883266E-5</v>
      </c>
      <c r="K355" s="549">
        <f>IF(Tech_Specs!$K29="lamp",K282*SUM(K$317:K$321),K282*SUMIF($B$353:$B$357,"&lt;&gt;LED",K$317:K$321))</f>
        <v>1.5559278796483547E-5</v>
      </c>
      <c r="L355" s="549">
        <f>IF(Tech_Specs!$K29="lamp",L282*SUM(L$317:L$321),L282*SUMIF($B$353:$B$357,"&lt;&gt;LED",L$317:L$321))</f>
        <v>1.4734771189815688E-5</v>
      </c>
      <c r="M355" s="549">
        <f>IF(Tech_Specs!$K29="lamp",M282*SUM(M$317:M$321),M282*SUMIF($B$353:$B$357,"&lt;&gt;LED",M$317:M$321))</f>
        <v>1.3897132242368844E-5</v>
      </c>
      <c r="N355" s="549">
        <f>IF(Tech_Specs!$K29="lamp",N282*SUM(N$317:N$321),N282*SUMIF($B$353:$B$357,"&lt;&gt;LED",N$317:N$321))</f>
        <v>1.3075243360166738E-5</v>
      </c>
      <c r="O355" s="549">
        <f>IF(Tech_Specs!$K29="lamp",O282*SUM(O$317:O$321),O282*SUMIF($B$353:$B$357,"&lt;&gt;LED",O$317:O$321))</f>
        <v>1.2296084445350507E-5</v>
      </c>
      <c r="P355" s="549">
        <f>IF(Tech_Specs!$K29="lamp",P282*SUM(P$317:P$321),P282*SUMIF($B$353:$B$357,"&lt;&gt;LED",P$317:P$321))</f>
        <v>1.1580307883640831E-5</v>
      </c>
      <c r="Q355" s="549">
        <f>IF(Tech_Specs!$K29="lamp",Q282*SUM(Q$317:Q$321),Q282*SUMIF($B$353:$B$357,"&lt;&gt;LED",Q$317:Q$321))</f>
        <v>1.094076590380854E-5</v>
      </c>
      <c r="R355" s="549">
        <f>IF(Tech_Specs!$K29="lamp",R282*SUM(R$317:R$321),R282*SUMIF($B$353:$B$357,"&lt;&gt;LED",R$317:R$321))</f>
        <v>1.0381175005685842E-5</v>
      </c>
      <c r="S355" s="549">
        <f>IF(Tech_Specs!$K29="lamp",S282*SUM(S$317:S$321),S282*SUMIF($B$353:$B$357,"&lt;&gt;LED",S$317:S$321))</f>
        <v>9.9023920233723089E-6</v>
      </c>
      <c r="T355" s="549">
        <f>IF(Tech_Specs!$K29="lamp",T282*SUM(T$317:T$321),T282*SUMIF($B$353:$B$357,"&lt;&gt;LED",T$317:T$321))</f>
        <v>9.4975841933179347E-6</v>
      </c>
      <c r="U355" s="549">
        <f>IF(Tech_Specs!$K29="lamp",U282*SUM(U$317:U$321),U282*SUMIF($B$353:$B$357,"&lt;&gt;LED",U$317:U$321))</f>
        <v>9.1572767405604727E-6</v>
      </c>
      <c r="V355" s="549">
        <f>IF(Tech_Specs!$K29="lamp",V282*SUM(V$317:V$321),V282*SUMIF($B$353:$B$357,"&lt;&gt;LED",V$317:V$321))</f>
        <v>8.8719974044050768E-6</v>
      </c>
      <c r="W355" s="549">
        <f>IF(Tech_Specs!$K29="lamp",W282*SUM(W$317:W$321),W282*SUMIF($B$353:$B$357,"&lt;&gt;LED",W$317:W$321))</f>
        <v>8.6313544313682921E-6</v>
      </c>
      <c r="X355" s="549">
        <f>IF(Tech_Specs!$K29="lamp",X282*SUM(X$317:X$321),X282*SUMIF($B$353:$B$357,"&lt;&gt;LED",X$317:X$321))</f>
        <v>8.4262044430534715E-6</v>
      </c>
      <c r="Y355" s="549">
        <f>IF(Tech_Specs!$K29="lamp",Y282*SUM(Y$317:Y$321),Y282*SUMIF($B$353:$B$357,"&lt;&gt;LED",Y$317:Y$321))</f>
        <v>8.2493196424731939E-6</v>
      </c>
      <c r="Z355" s="549">
        <f>IF(Tech_Specs!$K29="lamp",Z282*SUM(Z$317:Z$321),Z282*SUMIF($B$353:$B$357,"&lt;&gt;LED",Z$317:Z$321))</f>
        <v>8.0959068241829507E-6</v>
      </c>
      <c r="AA355" s="549">
        <f>IF(Tech_Specs!$K29="lamp",AA282*SUM(AA$317:AA$321),AA282*SUMIF($B$353:$B$357,"&lt;&gt;LED",AA$317:AA$321))</f>
        <v>7.962470105663867E-6</v>
      </c>
      <c r="AB355" s="549">
        <f>IF(Tech_Specs!$K29="lamp",AB282*SUM(AB$317:AB$321),AB282*SUMIF($B$353:$B$357,"&lt;&gt;LED",AB$317:AB$321))</f>
        <v>7.8469986783206664E-6</v>
      </c>
      <c r="AC355" s="549">
        <f>IF(Tech_Specs!$K29="lamp",AC282*SUM(AC$317:AC$321),AC282*SUMIF($B$353:$B$357,"&lt;&gt;LED",AC$317:AC$321))</f>
        <v>7.7448488670537522E-6</v>
      </c>
      <c r="AD355" s="549">
        <f>IF(Tech_Specs!$K29="lamp",AD282*SUM(AD$317:AD$321),AD282*SUMIF($B$353:$B$357,"&lt;&gt;LED",AD$317:AD$321))</f>
        <v>7.6538786863655012E-6</v>
      </c>
      <c r="AE355" s="549">
        <f>IF(Tech_Specs!$K29="lamp",AE282*SUM(AE$317:AE$321),AE282*SUMIF($B$353:$B$357,"&lt;&gt;LED",AE$317:AE$321))</f>
        <v>7.5722249827157906E-6</v>
      </c>
    </row>
    <row r="356" spans="1:31" x14ac:dyDescent="0.25">
      <c r="A356" s="252"/>
      <c r="B356" s="257" t="s">
        <v>46</v>
      </c>
      <c r="G356" s="549">
        <f>IF(Tech_Specs!$K30="lamp",G283*SUM(G$317:G$321),G283*SUMIF($B$353:$B$357,"&lt;&gt;LED",G$317:G$321))</f>
        <v>0</v>
      </c>
      <c r="H356" s="549">
        <f>IF(Tech_Specs!$K30="lamp",H283*SUM(H$317:H$321),H283*SUMIF($B$353:$B$357,"&lt;&gt;LED",H$317:H$321))</f>
        <v>0</v>
      </c>
      <c r="I356" s="549">
        <f>IF(Tech_Specs!$K30="lamp",I283*SUM(I$317:I$321),I283*SUMIF($B$353:$B$357,"&lt;&gt;LED",I$317:I$321))</f>
        <v>0</v>
      </c>
      <c r="J356" s="549">
        <f>IF(Tech_Specs!$K30="lamp",J283*SUM(J$317:J$321),J283*SUMIF($B$353:$B$357,"&lt;&gt;LED",J$317:J$321))</f>
        <v>0</v>
      </c>
      <c r="K356" s="549">
        <f>IF(Tech_Specs!$K30="lamp",K283*SUM(K$317:K$321),K283*SUMIF($B$353:$B$357,"&lt;&gt;LED",K$317:K$321))</f>
        <v>0</v>
      </c>
      <c r="L356" s="549">
        <f>IF(Tech_Specs!$K30="lamp",L283*SUM(L$317:L$321),L283*SUMIF($B$353:$B$357,"&lt;&gt;LED",L$317:L$321))</f>
        <v>0</v>
      </c>
      <c r="M356" s="549">
        <f>IF(Tech_Specs!$K30="lamp",M283*SUM(M$317:M$321),M283*SUMIF($B$353:$B$357,"&lt;&gt;LED",M$317:M$321))</f>
        <v>0</v>
      </c>
      <c r="N356" s="549">
        <f>IF(Tech_Specs!$K30="lamp",N283*SUM(N$317:N$321),N283*SUMIF($B$353:$B$357,"&lt;&gt;LED",N$317:N$321))</f>
        <v>0</v>
      </c>
      <c r="O356" s="549">
        <f>IF(Tech_Specs!$K30="lamp",O283*SUM(O$317:O$321),O283*SUMIF($B$353:$B$357,"&lt;&gt;LED",O$317:O$321))</f>
        <v>0</v>
      </c>
      <c r="P356" s="549">
        <f>IF(Tech_Specs!$K30="lamp",P283*SUM(P$317:P$321),P283*SUMIF($B$353:$B$357,"&lt;&gt;LED",P$317:P$321))</f>
        <v>0</v>
      </c>
      <c r="Q356" s="549">
        <f>IF(Tech_Specs!$K30="lamp",Q283*SUM(Q$317:Q$321),Q283*SUMIF($B$353:$B$357,"&lt;&gt;LED",Q$317:Q$321))</f>
        <v>0</v>
      </c>
      <c r="R356" s="549">
        <f>IF(Tech_Specs!$K30="lamp",R283*SUM(R$317:R$321),R283*SUMIF($B$353:$B$357,"&lt;&gt;LED",R$317:R$321))</f>
        <v>0</v>
      </c>
      <c r="S356" s="549">
        <f>IF(Tech_Specs!$K30="lamp",S283*SUM(S$317:S$321),S283*SUMIF($B$353:$B$357,"&lt;&gt;LED",S$317:S$321))</f>
        <v>0</v>
      </c>
      <c r="T356" s="549">
        <f>IF(Tech_Specs!$K30="lamp",T283*SUM(T$317:T$321),T283*SUMIF($B$353:$B$357,"&lt;&gt;LED",T$317:T$321))</f>
        <v>0</v>
      </c>
      <c r="U356" s="549">
        <f>IF(Tech_Specs!$K30="lamp",U283*SUM(U$317:U$321),U283*SUMIF($B$353:$B$357,"&lt;&gt;LED",U$317:U$321))</f>
        <v>0</v>
      </c>
      <c r="V356" s="549">
        <f>IF(Tech_Specs!$K30="lamp",V283*SUM(V$317:V$321),V283*SUMIF($B$353:$B$357,"&lt;&gt;LED",V$317:V$321))</f>
        <v>0</v>
      </c>
      <c r="W356" s="549">
        <f>IF(Tech_Specs!$K30="lamp",W283*SUM(W$317:W$321),W283*SUMIF($B$353:$B$357,"&lt;&gt;LED",W$317:W$321))</f>
        <v>0</v>
      </c>
      <c r="X356" s="549">
        <f>IF(Tech_Specs!$K30="lamp",X283*SUM(X$317:X$321),X283*SUMIF($B$353:$B$357,"&lt;&gt;LED",X$317:X$321))</f>
        <v>0</v>
      </c>
      <c r="Y356" s="549">
        <f>IF(Tech_Specs!$K30="lamp",Y283*SUM(Y$317:Y$321),Y283*SUMIF($B$353:$B$357,"&lt;&gt;LED",Y$317:Y$321))</f>
        <v>0</v>
      </c>
      <c r="Z356" s="549">
        <f>IF(Tech_Specs!$K30="lamp",Z283*SUM(Z$317:Z$321),Z283*SUMIF($B$353:$B$357,"&lt;&gt;LED",Z$317:Z$321))</f>
        <v>0</v>
      </c>
      <c r="AA356" s="549">
        <f>IF(Tech_Specs!$K30="lamp",AA283*SUM(AA$317:AA$321),AA283*SUMIF($B$353:$B$357,"&lt;&gt;LED",AA$317:AA$321))</f>
        <v>0</v>
      </c>
      <c r="AB356" s="549">
        <f>IF(Tech_Specs!$K30="lamp",AB283*SUM(AB$317:AB$321),AB283*SUMIF($B$353:$B$357,"&lt;&gt;LED",AB$317:AB$321))</f>
        <v>0</v>
      </c>
      <c r="AC356" s="549">
        <f>IF(Tech_Specs!$K30="lamp",AC283*SUM(AC$317:AC$321),AC283*SUMIF($B$353:$B$357,"&lt;&gt;LED",AC$317:AC$321))</f>
        <v>0</v>
      </c>
      <c r="AD356" s="549">
        <f>IF(Tech_Specs!$K30="lamp",AD283*SUM(AD$317:AD$321),AD283*SUMIF($B$353:$B$357,"&lt;&gt;LED",AD$317:AD$321))</f>
        <v>0</v>
      </c>
      <c r="AE356" s="549">
        <f>IF(Tech_Specs!$K30="lamp",AE283*SUM(AE$317:AE$321),AE283*SUMIF($B$353:$B$357,"&lt;&gt;LED",AE$317:AE$321))</f>
        <v>0</v>
      </c>
    </row>
    <row r="357" spans="1:31" x14ac:dyDescent="0.25">
      <c r="A357" s="252"/>
      <c r="B357" s="252" t="s">
        <v>29</v>
      </c>
      <c r="G357" s="549">
        <f>IF(Tech_Specs!$K31="lamp",G284*SUM(G$317:G$321),G284*SUMIF($B$353:$B$357,"&lt;&gt;LED",G$317:G$321))</f>
        <v>2.6316304503627209E-4</v>
      </c>
      <c r="H357" s="549">
        <f>IF(Tech_Specs!$K31="lamp",H284*SUM(H$317:H$321),H284*SUMIF($B$353:$B$357,"&lt;&gt;LED",H$317:H$321))</f>
        <v>3.7851550666486881E-4</v>
      </c>
      <c r="I357" s="549">
        <f>IF(Tech_Specs!$K31="lamp",I284*SUM(I$317:I$321),I284*SUMIF($B$353:$B$357,"&lt;&gt;LED",I$317:I$321))</f>
        <v>5.1135685319975751E-4</v>
      </c>
      <c r="J357" s="549">
        <f>IF(Tech_Specs!$K31="lamp",J284*SUM(J$317:J$321),J284*SUMIF($B$353:$B$357,"&lt;&gt;LED",J$317:J$321))</f>
        <v>6.575920535237034E-4</v>
      </c>
      <c r="K357" s="549">
        <f>IF(Tech_Specs!$K31="lamp",K284*SUM(K$317:K$321),K284*SUMIF($B$353:$B$357,"&lt;&gt;LED",K$317:K$321))</f>
        <v>8.0974772514341362E-4</v>
      </c>
      <c r="L357" s="549">
        <f>IF(Tech_Specs!$K31="lamp",L284*SUM(L$317:L$321),L284*SUMIF($B$353:$B$357,"&lt;&gt;LED",L$317:L$321))</f>
        <v>9.6076812464561401E-4</v>
      </c>
      <c r="M357" s="549">
        <f>IF(Tech_Specs!$K31="lamp",M284*SUM(M$317:M$321),M284*SUMIF($B$353:$B$357,"&lt;&gt;LED",M$317:M$321))</f>
        <v>1.1038445510111333E-3</v>
      </c>
      <c r="N357" s="549">
        <f>IF(Tech_Specs!$K31="lamp",N284*SUM(N$317:N$321),N284*SUMIF($B$353:$B$357,"&lt;&gt;LED",N$317:N$321))</f>
        <v>1.233641601664605E-3</v>
      </c>
      <c r="O357" s="549">
        <f>IF(Tech_Specs!$K31="lamp",O284*SUM(O$317:O$321),O284*SUMIF($B$353:$B$357,"&lt;&gt;LED",O$317:O$321))</f>
        <v>1.3465423810095577E-3</v>
      </c>
      <c r="P357" s="549">
        <f>IF(Tech_Specs!$K31="lamp",P284*SUM(P$317:P$321),P284*SUMIF($B$353:$B$357,"&lt;&gt;LED",P$317:P$321))</f>
        <v>1.4404848093676262E-3</v>
      </c>
      <c r="Q357" s="549">
        <f>IF(Tech_Specs!$K31="lamp",Q284*SUM(Q$317:Q$321),Q284*SUMIF($B$353:$B$357,"&lt;&gt;LED",Q$317:Q$321))</f>
        <v>1.5146233390590463E-3</v>
      </c>
      <c r="R357" s="549">
        <f>IF(Tech_Specs!$K31="lamp",R284*SUM(R$317:R$321),R284*SUMIF($B$353:$B$357,"&lt;&gt;LED",R$317:R$321))</f>
        <v>1.5693223393777641E-3</v>
      </c>
      <c r="S357" s="549">
        <f>IF(Tech_Specs!$K31="lamp",S284*SUM(S$317:S$321),S284*SUMIF($B$353:$B$357,"&lt;&gt;LED",S$317:S$321))</f>
        <v>1.6067586400638019E-3</v>
      </c>
      <c r="T357" s="549">
        <f>IF(Tech_Specs!$K31="lamp",T284*SUM(T$317:T$321),T284*SUMIF($B$353:$B$357,"&lt;&gt;LED",T$317:T$321))</f>
        <v>1.6295592984980377E-3</v>
      </c>
      <c r="U357" s="549">
        <f>IF(Tech_Specs!$K31="lamp",U284*SUM(U$317:U$321),U284*SUMIF($B$353:$B$357,"&lt;&gt;LED",U$317:U$321))</f>
        <v>1.6405958249714264E-3</v>
      </c>
      <c r="V357" s="549">
        <f>IF(Tech_Specs!$K31="lamp",V284*SUM(V$317:V$321),V284*SUMIF($B$353:$B$357,"&lt;&gt;LED",V$317:V$321))</f>
        <v>1.6429135802391341E-3</v>
      </c>
      <c r="W357" s="549">
        <f>IF(Tech_Specs!$K31="lamp",W284*SUM(W$317:W$321),W284*SUMIF($B$353:$B$357,"&lt;&gt;LED",W$317:W$321))</f>
        <v>1.6388695883393074E-3</v>
      </c>
      <c r="X357" s="549">
        <f>IF(Tech_Specs!$K31="lamp",X284*SUM(X$317:X$321),X284*SUMIF($B$353:$B$357,"&lt;&gt;LED",X$317:X$321))</f>
        <v>1.6303623648586563E-3</v>
      </c>
      <c r="Y357" s="549">
        <f>IF(Tech_Specs!$K31="lamp",Y284*SUM(Y$317:Y$321),Y284*SUMIF($B$353:$B$357,"&lt;&gt;LED",Y$317:Y$321))</f>
        <v>1.6188755734065543E-3</v>
      </c>
      <c r="Z357" s="549">
        <f>IF(Tech_Specs!$K31="lamp",Z284*SUM(Z$317:Z$321),Z284*SUMIF($B$353:$B$357,"&lt;&gt;LED",Z$317:Z$321))</f>
        <v>1.6057166038075002E-3</v>
      </c>
      <c r="AA357" s="549">
        <f>IF(Tech_Specs!$K31="lamp",AA284*SUM(AA$317:AA$321),AA284*SUMIF($B$353:$B$357,"&lt;&gt;LED",AA$317:AA$321))</f>
        <v>1.5919698089704906E-3</v>
      </c>
      <c r="AB357" s="549">
        <f>IF(Tech_Specs!$K31="lamp",AB284*SUM(AB$317:AB$321),AB284*SUMIF($B$353:$B$357,"&lt;&gt;LED",AB$317:AB$321))</f>
        <v>1.5784714817389505E-3</v>
      </c>
      <c r="AC357" s="549">
        <f>IF(Tech_Specs!$K31="lamp",AC284*SUM(AC$317:AC$321),AC284*SUMIF($B$353:$B$357,"&lt;&gt;LED",AC$317:AC$321))</f>
        <v>1.5652306406139947E-3</v>
      </c>
      <c r="AD357" s="549">
        <f>IF(Tech_Specs!$K31="lamp",AD284*SUM(AD$317:AD$321),AD284*SUMIF($B$353:$B$357,"&lt;&gt;LED",AD$317:AD$321))</f>
        <v>1.5525037218507333E-3</v>
      </c>
      <c r="AE357" s="549">
        <f>IF(Tech_Specs!$K31="lamp",AE284*SUM(AE$317:AE$321),AE284*SUMIF($B$353:$B$357,"&lt;&gt;LED",AE$317:AE$321))</f>
        <v>1.5405011569016372E-3</v>
      </c>
    </row>
    <row r="358" spans="1:31" x14ac:dyDescent="0.25">
      <c r="A358" s="252"/>
      <c r="B358" s="252"/>
      <c r="G358" s="549"/>
      <c r="H358" s="549"/>
      <c r="I358" s="549"/>
      <c r="J358" s="549"/>
      <c r="K358" s="549"/>
      <c r="L358" s="549"/>
      <c r="M358" s="549"/>
      <c r="N358" s="549"/>
      <c r="O358" s="549"/>
      <c r="P358" s="549"/>
      <c r="Q358" s="549"/>
      <c r="R358" s="549"/>
      <c r="S358" s="549"/>
      <c r="T358" s="549"/>
      <c r="U358" s="549"/>
      <c r="V358" s="549"/>
      <c r="W358" s="549"/>
      <c r="X358" s="549"/>
      <c r="Y358" s="549"/>
      <c r="Z358" s="549"/>
      <c r="AA358" s="549"/>
      <c r="AB358" s="549"/>
      <c r="AC358" s="549"/>
      <c r="AD358" s="549"/>
      <c r="AE358" s="549"/>
    </row>
    <row r="359" spans="1:31" x14ac:dyDescent="0.25">
      <c r="A359" s="267" t="s">
        <v>47</v>
      </c>
      <c r="B359" s="267"/>
      <c r="C359" s="267"/>
      <c r="D359" s="267"/>
      <c r="E359" s="267"/>
      <c r="F359" s="267"/>
      <c r="G359" s="632"/>
      <c r="H359" s="632"/>
      <c r="I359" s="632"/>
      <c r="J359" s="632"/>
      <c r="K359" s="632"/>
      <c r="L359" s="632"/>
      <c r="M359" s="632"/>
      <c r="N359" s="632"/>
      <c r="O359" s="632"/>
      <c r="P359" s="632"/>
      <c r="Q359" s="632"/>
      <c r="R359" s="632"/>
      <c r="S359" s="632"/>
      <c r="T359" s="632"/>
      <c r="U359" s="632"/>
      <c r="V359" s="632"/>
      <c r="W359" s="632"/>
      <c r="X359" s="632"/>
      <c r="Y359" s="632"/>
      <c r="Z359" s="632"/>
      <c r="AA359" s="632"/>
      <c r="AB359" s="632"/>
      <c r="AC359" s="632"/>
      <c r="AD359" s="632"/>
      <c r="AE359" s="632"/>
    </row>
    <row r="360" spans="1:31" x14ac:dyDescent="0.25">
      <c r="A360" s="252"/>
      <c r="B360" s="252" t="s">
        <v>48</v>
      </c>
      <c r="G360" s="549">
        <f t="shared" ref="G360:AE360" si="14">G324*G287</f>
        <v>11.042907323926162</v>
      </c>
      <c r="H360" s="549">
        <f t="shared" si="14"/>
        <v>8.4944092686729533</v>
      </c>
      <c r="I360" s="549">
        <f t="shared" si="14"/>
        <v>4.9706403673265953</v>
      </c>
      <c r="J360" s="549">
        <f t="shared" si="14"/>
        <v>2.210171470465228</v>
      </c>
      <c r="K360" s="549">
        <f t="shared" si="14"/>
        <v>0.80431619674455124</v>
      </c>
      <c r="L360" s="549">
        <f t="shared" si="14"/>
        <v>0.24625660985517847</v>
      </c>
      <c r="M360" s="549">
        <f t="shared" si="14"/>
        <v>7.1353825560608999E-2</v>
      </c>
      <c r="N360" s="549">
        <f t="shared" si="14"/>
        <v>2.0407764554793321E-2</v>
      </c>
      <c r="O360" s="549">
        <f t="shared" si="14"/>
        <v>5.9758925656179154E-3</v>
      </c>
      <c r="P360" s="549">
        <f t="shared" si="14"/>
        <v>1.7558243352279359E-3</v>
      </c>
      <c r="Q360" s="549">
        <f t="shared" si="14"/>
        <v>5.1887053378928995E-4</v>
      </c>
      <c r="R360" s="549">
        <f t="shared" si="14"/>
        <v>1.5674790608224506E-4</v>
      </c>
      <c r="S360" s="549">
        <f t="shared" si="14"/>
        <v>4.8167982888295989E-5</v>
      </c>
      <c r="T360" s="549">
        <f t="shared" si="14"/>
        <v>1.499250288658005E-5</v>
      </c>
      <c r="U360" s="549">
        <f t="shared" si="14"/>
        <v>4.7817966911205341E-6</v>
      </c>
      <c r="V360" s="549">
        <f t="shared" si="14"/>
        <v>1.5387382509840372E-6</v>
      </c>
      <c r="W360" s="549">
        <f t="shared" si="14"/>
        <v>4.9935255358482371E-7</v>
      </c>
      <c r="X360" s="549">
        <f t="shared" si="14"/>
        <v>1.6298911647324139E-7</v>
      </c>
      <c r="Y360" s="549">
        <f t="shared" si="14"/>
        <v>5.3806615765128143E-8</v>
      </c>
      <c r="Z360" s="549">
        <f t="shared" si="14"/>
        <v>1.8005495860093541E-8</v>
      </c>
      <c r="AA360" s="549">
        <f t="shared" si="14"/>
        <v>6.026641237141157E-9</v>
      </c>
      <c r="AB360" s="549">
        <f t="shared" si="14"/>
        <v>2.0314263450491743E-9</v>
      </c>
      <c r="AC360" s="549">
        <f t="shared" si="14"/>
        <v>6.8799866468573811E-10</v>
      </c>
      <c r="AD360" s="549">
        <f t="shared" si="14"/>
        <v>2.3330069946721217E-10</v>
      </c>
      <c r="AE360" s="549">
        <f t="shared" si="14"/>
        <v>7.7532122685285003E-11</v>
      </c>
    </row>
    <row r="361" spans="1:31" x14ac:dyDescent="0.25">
      <c r="A361" s="252"/>
      <c r="B361" s="257" t="s">
        <v>50</v>
      </c>
      <c r="G361" s="549">
        <f t="shared" ref="G361:AE361" si="15">G325*G288</f>
        <v>0.48847340353918156</v>
      </c>
      <c r="H361" s="549">
        <f t="shared" si="15"/>
        <v>0.4527896349790218</v>
      </c>
      <c r="I361" s="549">
        <f t="shared" si="15"/>
        <v>0.37786454783704582</v>
      </c>
      <c r="J361" s="549">
        <f t="shared" si="15"/>
        <v>0.28038681011654726</v>
      </c>
      <c r="K361" s="549">
        <f t="shared" si="15"/>
        <v>0.19324457721081401</v>
      </c>
      <c r="L361" s="549">
        <f t="shared" si="15"/>
        <v>0.12380201531635304</v>
      </c>
      <c r="M361" s="549">
        <f t="shared" si="15"/>
        <v>7.8508198220509071E-2</v>
      </c>
      <c r="N361" s="549">
        <f t="shared" si="15"/>
        <v>5.0389480922780623E-2</v>
      </c>
      <c r="O361" s="549">
        <f t="shared" si="15"/>
        <v>3.3372630269902621E-2</v>
      </c>
      <c r="P361" s="549">
        <f t="shared" si="15"/>
        <v>2.2444295707019196E-2</v>
      </c>
      <c r="Q361" s="549">
        <f t="shared" si="15"/>
        <v>1.5242568340132694E-2</v>
      </c>
      <c r="R361" s="549">
        <f t="shared" si="15"/>
        <v>1.0572918934707808E-2</v>
      </c>
      <c r="S361" s="549">
        <f t="shared" si="15"/>
        <v>7.4502867526580708E-3</v>
      </c>
      <c r="T361" s="549">
        <f t="shared" si="15"/>
        <v>5.3095402366944381E-3</v>
      </c>
      <c r="U361" s="549">
        <f t="shared" si="15"/>
        <v>3.8553402418400975E-3</v>
      </c>
      <c r="V361" s="549">
        <f t="shared" si="15"/>
        <v>2.817270415148627E-3</v>
      </c>
      <c r="W361" s="549">
        <f t="shared" si="15"/>
        <v>2.0696791792474624E-3</v>
      </c>
      <c r="X361" s="549">
        <f t="shared" si="15"/>
        <v>1.5246205589352442E-3</v>
      </c>
      <c r="Y361" s="549">
        <f t="shared" si="15"/>
        <v>1.1302289612522142E-3</v>
      </c>
      <c r="Z361" s="549">
        <f t="shared" si="15"/>
        <v>8.4419275062039821E-4</v>
      </c>
      <c r="AA361" s="549">
        <f t="shared" si="15"/>
        <v>6.2885333198850176E-4</v>
      </c>
      <c r="AB361" s="549">
        <f t="shared" si="15"/>
        <v>4.6944837914971084E-4</v>
      </c>
      <c r="AC361" s="549">
        <f t="shared" si="15"/>
        <v>3.5053237135563469E-4</v>
      </c>
      <c r="AD361" s="549">
        <f t="shared" si="15"/>
        <v>2.6108440990113292E-4</v>
      </c>
      <c r="AE361" s="549">
        <f t="shared" si="15"/>
        <v>1.9088593493196145E-4</v>
      </c>
    </row>
    <row r="362" spans="1:31" x14ac:dyDescent="0.25">
      <c r="A362" s="252"/>
      <c r="B362" s="252" t="s">
        <v>51</v>
      </c>
      <c r="G362" s="549">
        <f t="shared" ref="G362:AE362" si="16">G326*G289</f>
        <v>0.17156477336709058</v>
      </c>
      <c r="H362" s="549">
        <f t="shared" si="16"/>
        <v>0.17138302743955408</v>
      </c>
      <c r="I362" s="549">
        <f t="shared" si="16"/>
        <v>0.16746182929160036</v>
      </c>
      <c r="J362" s="549">
        <f t="shared" si="16"/>
        <v>0.15964192461476634</v>
      </c>
      <c r="K362" s="549">
        <f t="shared" si="16"/>
        <v>0.14856679443726997</v>
      </c>
      <c r="L362" s="549">
        <f t="shared" si="16"/>
        <v>0.13520985590704873</v>
      </c>
      <c r="M362" s="549">
        <f t="shared" si="16"/>
        <v>0.12110688049470206</v>
      </c>
      <c r="N362" s="549">
        <f t="shared" si="16"/>
        <v>0.10735721423974365</v>
      </c>
      <c r="O362" s="549">
        <f t="shared" si="16"/>
        <v>9.4780391072277509E-2</v>
      </c>
      <c r="P362" s="549">
        <f t="shared" si="16"/>
        <v>8.3487893254576229E-2</v>
      </c>
      <c r="Q362" s="549">
        <f t="shared" si="16"/>
        <v>7.3660633083299717E-2</v>
      </c>
      <c r="R362" s="549">
        <f t="shared" si="16"/>
        <v>6.5188518225999151E-2</v>
      </c>
      <c r="S362" s="549">
        <f t="shared" si="16"/>
        <v>5.7914948617765E-2</v>
      </c>
      <c r="T362" s="549">
        <f t="shared" si="16"/>
        <v>5.1664775377986159E-2</v>
      </c>
      <c r="U362" s="549">
        <f t="shared" si="16"/>
        <v>4.6346955191288661E-2</v>
      </c>
      <c r="V362" s="549">
        <f t="shared" si="16"/>
        <v>4.1741928984565642E-2</v>
      </c>
      <c r="W362" s="549">
        <f t="shared" si="16"/>
        <v>3.7727283445255208E-2</v>
      </c>
      <c r="X362" s="549">
        <f t="shared" si="16"/>
        <v>3.4191258577771853E-2</v>
      </c>
      <c r="Y362" s="549">
        <f t="shared" si="16"/>
        <v>3.0999382033661559E-2</v>
      </c>
      <c r="Z362" s="549">
        <f t="shared" si="16"/>
        <v>2.8182650160916072E-2</v>
      </c>
      <c r="AA362" s="549">
        <f t="shared" si="16"/>
        <v>2.5643907813679617E-2</v>
      </c>
      <c r="AB362" s="549">
        <f t="shared" si="16"/>
        <v>2.3420268624824745E-2</v>
      </c>
      <c r="AC362" s="549">
        <f t="shared" si="16"/>
        <v>2.1351463644457253E-2</v>
      </c>
      <c r="AD362" s="549">
        <f t="shared" si="16"/>
        <v>1.9465983592548676E-2</v>
      </c>
      <c r="AE362" s="549">
        <f t="shared" si="16"/>
        <v>1.7698723449791971E-2</v>
      </c>
    </row>
    <row r="363" spans="1:31" x14ac:dyDescent="0.25">
      <c r="A363" s="252"/>
      <c r="B363" s="252" t="s">
        <v>52</v>
      </c>
      <c r="G363" s="549">
        <f t="shared" ref="G363:AE363" si="17">G327*G290</f>
        <v>4.7029063620349587E-2</v>
      </c>
      <c r="H363" s="549">
        <f t="shared" si="17"/>
        <v>4.5108416054062579E-2</v>
      </c>
      <c r="I363" s="549">
        <f t="shared" si="17"/>
        <v>4.1146644397300071E-2</v>
      </c>
      <c r="J363" s="549">
        <f t="shared" si="17"/>
        <v>3.5489214853212797E-2</v>
      </c>
      <c r="K363" s="549">
        <f t="shared" si="17"/>
        <v>2.9230543989793009E-2</v>
      </c>
      <c r="L363" s="549">
        <f t="shared" si="17"/>
        <v>2.3269351847491192E-2</v>
      </c>
      <c r="M363" s="549">
        <f t="shared" si="17"/>
        <v>1.8313491361421491E-2</v>
      </c>
      <c r="N363" s="549">
        <f t="shared" si="17"/>
        <v>1.4458038303288635E-2</v>
      </c>
      <c r="O363" s="549">
        <f t="shared" si="17"/>
        <v>1.1577933547218441E-2</v>
      </c>
      <c r="P363" s="549">
        <f t="shared" si="17"/>
        <v>9.4006668884684483E-3</v>
      </c>
      <c r="Q363" s="549">
        <f t="shared" si="17"/>
        <v>7.7624017412581047E-3</v>
      </c>
      <c r="R363" s="549">
        <f t="shared" si="17"/>
        <v>6.5172815008837119E-3</v>
      </c>
      <c r="S363" s="549">
        <f t="shared" si="17"/>
        <v>5.5537752796232919E-3</v>
      </c>
      <c r="T363" s="549">
        <f t="shared" si="17"/>
        <v>4.794175281694249E-3</v>
      </c>
      <c r="U363" s="549">
        <f t="shared" si="17"/>
        <v>4.195447275232341E-3</v>
      </c>
      <c r="V363" s="549">
        <f t="shared" si="17"/>
        <v>3.7064421793661976E-3</v>
      </c>
      <c r="W363" s="549">
        <f t="shared" si="17"/>
        <v>3.3006889603159535E-3</v>
      </c>
      <c r="X363" s="549">
        <f t="shared" si="17"/>
        <v>2.9575401253827752E-3</v>
      </c>
      <c r="Y363" s="549">
        <f t="shared" si="17"/>
        <v>2.6660852250919129E-3</v>
      </c>
      <c r="Z363" s="549">
        <f t="shared" si="17"/>
        <v>2.416502423420429E-3</v>
      </c>
      <c r="AA363" s="549">
        <f t="shared" si="17"/>
        <v>2.1950341831272644E-3</v>
      </c>
      <c r="AB363" s="549">
        <f t="shared" si="17"/>
        <v>1.9994883841732321E-3</v>
      </c>
      <c r="AC363" s="549">
        <f t="shared" si="17"/>
        <v>1.8247267578661702E-3</v>
      </c>
      <c r="AD363" s="549">
        <f t="shared" si="17"/>
        <v>1.6665624147002363E-3</v>
      </c>
      <c r="AE363" s="549">
        <f t="shared" si="17"/>
        <v>1.5167229023432623E-3</v>
      </c>
    </row>
    <row r="364" spans="1:31" x14ac:dyDescent="0.25">
      <c r="A364" s="252"/>
      <c r="B364" s="257" t="s">
        <v>29</v>
      </c>
      <c r="G364" s="549">
        <f>SUM(G324:G329)-SUM(G360:G363,G365)</f>
        <v>0.84184652243142821</v>
      </c>
      <c r="H364" s="549">
        <f t="shared" ref="H364:AE364" si="18">SUM(H324:H329)-SUM(H360:H363,H365)</f>
        <v>2.8524161980706015</v>
      </c>
      <c r="I364" s="549">
        <f t="shared" si="18"/>
        <v>4.4769104424191974</v>
      </c>
      <c r="J364" s="549">
        <f t="shared" si="18"/>
        <v>4.4089518830038035</v>
      </c>
      <c r="K364" s="549">
        <f t="shared" si="18"/>
        <v>3.195079974621009</v>
      </c>
      <c r="L364" s="549">
        <f t="shared" si="18"/>
        <v>2.0519283028723678</v>
      </c>
      <c r="M364" s="549">
        <f t="shared" si="18"/>
        <v>1.3309349747974484</v>
      </c>
      <c r="N364" s="549">
        <f t="shared" si="18"/>
        <v>0.97562570899153622</v>
      </c>
      <c r="O364" s="549">
        <f t="shared" si="18"/>
        <v>0.81531425783370182</v>
      </c>
      <c r="P364" s="549">
        <f t="shared" si="18"/>
        <v>0.74356594658724595</v>
      </c>
      <c r="Q364" s="549">
        <f t="shared" si="18"/>
        <v>0.70757235819476394</v>
      </c>
      <c r="R364" s="549">
        <f t="shared" si="18"/>
        <v>0.68661571021746404</v>
      </c>
      <c r="S364" s="549">
        <f t="shared" si="18"/>
        <v>0.67289774202238672</v>
      </c>
      <c r="T364" s="549">
        <f t="shared" si="18"/>
        <v>0.66328370188127805</v>
      </c>
      <c r="U364" s="549">
        <f t="shared" si="18"/>
        <v>0.65633835231376558</v>
      </c>
      <c r="V364" s="549">
        <f t="shared" si="18"/>
        <v>0.65167920127477186</v>
      </c>
      <c r="W364" s="549">
        <f t="shared" si="18"/>
        <v>0.64882965805359161</v>
      </c>
      <c r="X364" s="549">
        <f t="shared" si="18"/>
        <v>0.64743177270212882</v>
      </c>
      <c r="Y364" s="549">
        <f t="shared" si="18"/>
        <v>0.64702622536288867</v>
      </c>
      <c r="Z364" s="549">
        <f t="shared" si="18"/>
        <v>0.64765221684564811</v>
      </c>
      <c r="AA364" s="549">
        <f t="shared" si="18"/>
        <v>0.64929859887747166</v>
      </c>
      <c r="AB364" s="549">
        <f t="shared" si="18"/>
        <v>0.65204639963906974</v>
      </c>
      <c r="AC364" s="549">
        <f t="shared" si="18"/>
        <v>0.65529672489377644</v>
      </c>
      <c r="AD364" s="549">
        <f t="shared" si="18"/>
        <v>0.65907089954666509</v>
      </c>
      <c r="AE364" s="549">
        <f t="shared" si="18"/>
        <v>0.66331701819974964</v>
      </c>
    </row>
    <row r="365" spans="1:31" x14ac:dyDescent="0.25">
      <c r="A365" s="252"/>
      <c r="B365" s="257" t="s">
        <v>53</v>
      </c>
      <c r="G365" s="549">
        <f t="shared" ref="G365:AE365" si="19">G329*G292</f>
        <v>2.0770037124281954E-3</v>
      </c>
      <c r="H365" s="549">
        <f t="shared" si="19"/>
        <v>2.0573953055303732E-3</v>
      </c>
      <c r="I365" s="549">
        <f t="shared" si="19"/>
        <v>1.9805636986486501E-3</v>
      </c>
      <c r="J365" s="549">
        <f t="shared" si="19"/>
        <v>1.8504200741865755E-3</v>
      </c>
      <c r="K365" s="549">
        <f t="shared" si="19"/>
        <v>1.6840122636674277E-3</v>
      </c>
      <c r="L365" s="549">
        <f t="shared" si="19"/>
        <v>1.4981408934333479E-3</v>
      </c>
      <c r="M365" s="549">
        <f t="shared" si="19"/>
        <v>1.3157761015479476E-3</v>
      </c>
      <c r="N365" s="549">
        <f t="shared" si="19"/>
        <v>1.1491223756843524E-3</v>
      </c>
      <c r="O365" s="549">
        <f t="shared" si="19"/>
        <v>1.0052281970211855E-3</v>
      </c>
      <c r="P365" s="549">
        <f t="shared" si="19"/>
        <v>8.8155845743683326E-4</v>
      </c>
      <c r="Q365" s="549">
        <f t="shared" si="19"/>
        <v>7.778504407318891E-4</v>
      </c>
      <c r="R365" s="549">
        <f t="shared" si="19"/>
        <v>6.9125145585112696E-4</v>
      </c>
      <c r="S365" s="549">
        <f t="shared" si="19"/>
        <v>6.187352427848322E-4</v>
      </c>
      <c r="T365" s="549">
        <f t="shared" si="19"/>
        <v>5.5760257105673633E-4</v>
      </c>
      <c r="U365" s="549">
        <f t="shared" si="19"/>
        <v>5.0662602242285799E-4</v>
      </c>
      <c r="V365" s="549">
        <f t="shared" si="19"/>
        <v>4.6293151364429813E-4</v>
      </c>
      <c r="W365" s="549">
        <f t="shared" si="19"/>
        <v>4.2508923160382512E-4</v>
      </c>
      <c r="X365" s="549">
        <f t="shared" si="19"/>
        <v>3.9181307381445257E-4</v>
      </c>
      <c r="Y365" s="549">
        <f t="shared" si="19"/>
        <v>3.6252285742892972E-4</v>
      </c>
      <c r="Z365" s="549">
        <f t="shared" si="19"/>
        <v>3.3661201402818971E-4</v>
      </c>
      <c r="AA365" s="549">
        <f t="shared" si="19"/>
        <v>3.1290593305776125E-4</v>
      </c>
      <c r="AB365" s="549">
        <f t="shared" si="19"/>
        <v>2.9136738012408092E-4</v>
      </c>
      <c r="AC365" s="549">
        <f t="shared" si="19"/>
        <v>2.7156120335901189E-4</v>
      </c>
      <c r="AD365" s="549">
        <f t="shared" si="19"/>
        <v>2.5313164494970451E-4</v>
      </c>
      <c r="AE365" s="549">
        <f t="shared" si="19"/>
        <v>2.351799564294824E-4</v>
      </c>
    </row>
    <row r="367" spans="1:31" x14ac:dyDescent="0.25">
      <c r="F367" s="1059" t="s">
        <v>238</v>
      </c>
      <c r="G367" s="853">
        <f ca="1">SUM(G335:G365)</f>
        <v>45.421137568814174</v>
      </c>
      <c r="H367" s="853">
        <f t="shared" ref="H367:AE367" ca="1" si="20">SUM(H335:H365)</f>
        <v>43.454990902824605</v>
      </c>
      <c r="I367" s="853">
        <f t="shared" ca="1" si="20"/>
        <v>40.195794394322228</v>
      </c>
      <c r="J367" s="853">
        <f t="shared" ca="1" si="20"/>
        <v>35.274771836747917</v>
      </c>
      <c r="K367" s="853">
        <f t="shared" ca="1" si="20"/>
        <v>30.60958067701624</v>
      </c>
      <c r="L367" s="853">
        <f t="shared" ca="1" si="20"/>
        <v>26.664331337744272</v>
      </c>
      <c r="M367" s="853">
        <f t="shared" ca="1" si="20"/>
        <v>23.132357803740597</v>
      </c>
      <c r="N367" s="853">
        <f t="shared" ca="1" si="20"/>
        <v>20.770567892924227</v>
      </c>
      <c r="O367" s="853">
        <f t="shared" ca="1" si="20"/>
        <v>19.018077789986965</v>
      </c>
      <c r="P367" s="853">
        <f t="shared" ca="1" si="20"/>
        <v>17.577580791341834</v>
      </c>
      <c r="Q367" s="853">
        <f t="shared" ca="1" si="20"/>
        <v>16.272613221528768</v>
      </c>
      <c r="R367" s="853">
        <f t="shared" ca="1" si="20"/>
        <v>15.028306534625244</v>
      </c>
      <c r="S367" s="853">
        <f t="shared" ca="1" si="20"/>
        <v>13.84668725829108</v>
      </c>
      <c r="T367" s="853">
        <f t="shared" ca="1" si="20"/>
        <v>12.737916900780748</v>
      </c>
      <c r="U367" s="853">
        <f t="shared" ca="1" si="20"/>
        <v>11.715651045832214</v>
      </c>
      <c r="V367" s="853">
        <f t="shared" ca="1" si="20"/>
        <v>10.799961434982478</v>
      </c>
      <c r="W367" s="853">
        <f t="shared" ca="1" si="20"/>
        <v>9.9806414404262931</v>
      </c>
      <c r="X367" s="853">
        <f t="shared" ca="1" si="20"/>
        <v>9.2649661387099993</v>
      </c>
      <c r="Y367" s="853">
        <f t="shared" ca="1" si="20"/>
        <v>8.6454860596410867</v>
      </c>
      <c r="Z367" s="853">
        <f t="shared" ca="1" si="20"/>
        <v>8.1162274118211499</v>
      </c>
      <c r="AA367" s="853">
        <f t="shared" ca="1" si="20"/>
        <v>7.6691174110858977</v>
      </c>
      <c r="AB367" s="853">
        <f t="shared" ca="1" si="20"/>
        <v>7.2989359126722206</v>
      </c>
      <c r="AC367" s="853">
        <f t="shared" ca="1" si="20"/>
        <v>6.9787209470203901</v>
      </c>
      <c r="AD367" s="853">
        <f t="shared" ca="1" si="20"/>
        <v>6.7047616539165285</v>
      </c>
      <c r="AE367" s="853">
        <f t="shared" ca="1" si="20"/>
        <v>6.4699408720801754</v>
      </c>
    </row>
    <row r="368" spans="1:31" x14ac:dyDescent="0.25">
      <c r="F368" s="1059" t="s">
        <v>13</v>
      </c>
      <c r="G368" s="853">
        <v>45.421137558321504</v>
      </c>
      <c r="H368" s="853">
        <v>43.569152039544484</v>
      </c>
      <c r="I368" s="853">
        <v>40.387194138838773</v>
      </c>
      <c r="J368" s="853">
        <v>35.425040908994816</v>
      </c>
      <c r="K368" s="853">
        <v>30.678730511061026</v>
      </c>
      <c r="L368" s="853">
        <v>26.687656649685138</v>
      </c>
      <c r="M368" s="853">
        <v>23.142339054444918</v>
      </c>
      <c r="N368" s="853">
        <v>20.780231647887032</v>
      </c>
      <c r="O368" s="853">
        <v>19.030095688287965</v>
      </c>
      <c r="P368" s="853">
        <v>17.591847380191126</v>
      </c>
      <c r="Q368" s="853">
        <v>16.288692448815848</v>
      </c>
      <c r="R368" s="853">
        <v>15.045941572653293</v>
      </c>
      <c r="S368" s="853">
        <v>13.865766466766539</v>
      </c>
      <c r="T368" s="853">
        <v>12.758376953941371</v>
      </c>
      <c r="U368" s="853">
        <v>11.737428687055139</v>
      </c>
      <c r="V368" s="853">
        <v>10.822981654959941</v>
      </c>
      <c r="W368" s="853">
        <v>10.004800026241384</v>
      </c>
      <c r="X368" s="853">
        <v>9.2901333572907454</v>
      </c>
      <c r="Y368" s="853">
        <v>8.6714940938716332</v>
      </c>
      <c r="Z368" s="853">
        <v>8.1429292757481324</v>
      </c>
      <c r="AA368" s="853">
        <v>7.6963712025072235</v>
      </c>
      <c r="AB368" s="853">
        <v>7.3266286964814968</v>
      </c>
      <c r="AC368" s="853">
        <v>7.0066934482645955</v>
      </c>
      <c r="AD368" s="853">
        <v>6.7328843745999176</v>
      </c>
      <c r="AE368" s="853">
        <v>6.4980939545597405</v>
      </c>
    </row>
    <row r="369" spans="6:31" x14ac:dyDescent="0.25">
      <c r="F369" s="1059" t="s">
        <v>751</v>
      </c>
      <c r="G369" s="853">
        <v>68.462019435704207</v>
      </c>
      <c r="H369" s="853">
        <v>72.763837342073799</v>
      </c>
      <c r="I369" s="853">
        <v>75.674451031036341</v>
      </c>
      <c r="J369" s="853">
        <v>75.901955321071199</v>
      </c>
      <c r="K369" s="853">
        <v>71.17302487896724</v>
      </c>
      <c r="L369" s="853">
        <v>66.84206914942402</v>
      </c>
      <c r="M369" s="853">
        <v>62.655695891973366</v>
      </c>
      <c r="N369" s="853">
        <v>58.820033260359544</v>
      </c>
      <c r="O369" s="853">
        <v>55.410805542289502</v>
      </c>
      <c r="P369" s="853">
        <v>52.298459364133059</v>
      </c>
      <c r="Q369" s="853">
        <v>49.440320799172504</v>
      </c>
      <c r="R369" s="853">
        <v>46.864861096271248</v>
      </c>
      <c r="S369" s="853">
        <v>44.484074052430671</v>
      </c>
      <c r="T369" s="853">
        <v>42.336464047772871</v>
      </c>
      <c r="U369" s="853">
        <v>39.849224323265695</v>
      </c>
      <c r="V369" s="853">
        <v>37.625463779235062</v>
      </c>
      <c r="W369" s="853">
        <v>35.9455413696801</v>
      </c>
      <c r="X369" s="853">
        <v>34.031304096089606</v>
      </c>
      <c r="Y369" s="853">
        <v>32.312364164014141</v>
      </c>
      <c r="Z369" s="853">
        <v>31.043701380337673</v>
      </c>
      <c r="AA369" s="853">
        <v>29.556025115045585</v>
      </c>
      <c r="AB369" s="853">
        <v>28.206619369278478</v>
      </c>
      <c r="AC369" s="853">
        <v>27.250708026184785</v>
      </c>
      <c r="AD369" s="853">
        <v>26.111411991061878</v>
      </c>
      <c r="AE369" s="853">
        <v>25.299532780830109</v>
      </c>
    </row>
    <row r="370" spans="6:31" x14ac:dyDescent="0.25">
      <c r="F370" s="1059" t="s">
        <v>15</v>
      </c>
      <c r="G370" s="853">
        <v>9.4434510343658982</v>
      </c>
      <c r="H370" s="853">
        <v>9.7220406725931863</v>
      </c>
      <c r="I370" s="853">
        <v>9.8192294620097638</v>
      </c>
      <c r="J370" s="853">
        <v>9.6923244555977757</v>
      </c>
      <c r="K370" s="853">
        <v>9.1135731166123062</v>
      </c>
      <c r="L370" s="853">
        <v>8.6236904149330851</v>
      </c>
      <c r="M370" s="853">
        <v>8.1935885840019882</v>
      </c>
      <c r="N370" s="853">
        <v>7.8092205215512429</v>
      </c>
      <c r="O370" s="853">
        <v>7.4564065587126676</v>
      </c>
      <c r="P370" s="853">
        <v>7.1279660485671084</v>
      </c>
      <c r="Q370" s="853">
        <v>6.8179827431332836</v>
      </c>
      <c r="R370" s="853">
        <v>6.5233636236742001</v>
      </c>
      <c r="S370" s="853">
        <v>6.1950202244687995</v>
      </c>
      <c r="T370" s="853">
        <v>5.9086030970863606</v>
      </c>
      <c r="U370" s="853">
        <v>5.6174449052464261</v>
      </c>
      <c r="V370" s="853">
        <v>5.3250599474969622</v>
      </c>
      <c r="W370" s="853">
        <v>5.0891240534668087</v>
      </c>
      <c r="X370" s="853">
        <v>4.8343561120500516</v>
      </c>
      <c r="Y370" s="853">
        <v>4.598443086941912</v>
      </c>
      <c r="Z370" s="853">
        <v>4.4242697401761966</v>
      </c>
      <c r="AA370" s="853">
        <v>4.2185236558211274</v>
      </c>
      <c r="AB370" s="853">
        <v>4.0283125035088414</v>
      </c>
      <c r="AC370" s="853">
        <v>3.8744321360203822</v>
      </c>
      <c r="AD370" s="853">
        <v>3.7094133362457717</v>
      </c>
      <c r="AE370" s="853">
        <v>3.5564694006784943</v>
      </c>
    </row>
    <row r="371" spans="6:31" x14ac:dyDescent="0.25">
      <c r="F371" s="1059" t="s">
        <v>16</v>
      </c>
      <c r="G371" s="853">
        <v>15.564325731424919</v>
      </c>
      <c r="H371" s="853">
        <v>13.174117902373956</v>
      </c>
      <c r="I371" s="853">
        <v>12.737192244478328</v>
      </c>
      <c r="J371" s="853">
        <v>12.624155742836425</v>
      </c>
      <c r="K371" s="853">
        <v>12.570840900257032</v>
      </c>
      <c r="L371" s="853">
        <v>12.507331513231733</v>
      </c>
      <c r="M371" s="853">
        <v>12.400743976486357</v>
      </c>
      <c r="N371" s="853">
        <v>12.206354872448548</v>
      </c>
      <c r="O371" s="853">
        <v>12.045081685442419</v>
      </c>
      <c r="P371" s="853">
        <v>11.850294197299947</v>
      </c>
      <c r="Q371" s="853">
        <v>11.601551763287922</v>
      </c>
      <c r="R371" s="853">
        <v>11.358095215286642</v>
      </c>
      <c r="S371" s="853">
        <v>11.072973010345871</v>
      </c>
      <c r="T371" s="853">
        <v>10.772539400354921</v>
      </c>
      <c r="U371" s="853">
        <v>10.500779767943929</v>
      </c>
      <c r="V371" s="853">
        <v>10.207526110550891</v>
      </c>
      <c r="W371" s="853">
        <v>9.934237657038123</v>
      </c>
      <c r="X371" s="853">
        <v>9.6178331415114116</v>
      </c>
      <c r="Y371" s="853">
        <v>9.3181053980559607</v>
      </c>
      <c r="Z371" s="853">
        <v>9.088268651888523</v>
      </c>
      <c r="AA371" s="853">
        <v>8.8328570814914364</v>
      </c>
      <c r="AB371" s="853">
        <v>8.5952632320263653</v>
      </c>
      <c r="AC371" s="853">
        <v>8.3730909973906389</v>
      </c>
      <c r="AD371" s="853">
        <v>8.2131708637823913</v>
      </c>
      <c r="AE371" s="853">
        <v>8.0242584896358533</v>
      </c>
    </row>
    <row r="372" spans="6:31" x14ac:dyDescent="0.25">
      <c r="F372" s="1059" t="s">
        <v>752</v>
      </c>
      <c r="G372" s="853">
        <f>SUM(G368:G371)</f>
        <v>138.89093375981653</v>
      </c>
      <c r="H372" s="853">
        <f t="shared" ref="H372:AE372" si="21">SUM(H368:H371)</f>
        <v>139.22914795658542</v>
      </c>
      <c r="I372" s="853">
        <f t="shared" si="21"/>
        <v>138.6180668763632</v>
      </c>
      <c r="J372" s="853">
        <f t="shared" si="21"/>
        <v>133.64347642850021</v>
      </c>
      <c r="K372" s="853">
        <f t="shared" si="21"/>
        <v>123.53616940689761</v>
      </c>
      <c r="L372" s="853">
        <f t="shared" si="21"/>
        <v>114.66074772727397</v>
      </c>
      <c r="M372" s="853">
        <f t="shared" si="21"/>
        <v>106.39236750690662</v>
      </c>
      <c r="N372" s="853">
        <f t="shared" si="21"/>
        <v>99.615840302246355</v>
      </c>
      <c r="O372" s="853">
        <f t="shared" si="21"/>
        <v>93.942389474732551</v>
      </c>
      <c r="P372" s="853">
        <f t="shared" si="21"/>
        <v>88.868566990191241</v>
      </c>
      <c r="Q372" s="853">
        <f t="shared" si="21"/>
        <v>84.148547754409549</v>
      </c>
      <c r="R372" s="853">
        <f t="shared" si="21"/>
        <v>79.792261507885385</v>
      </c>
      <c r="S372" s="853">
        <f t="shared" si="21"/>
        <v>75.617833754011883</v>
      </c>
      <c r="T372" s="853">
        <f t="shared" si="21"/>
        <v>71.775983499155529</v>
      </c>
      <c r="U372" s="853">
        <f t="shared" si="21"/>
        <v>67.704877683511185</v>
      </c>
      <c r="V372" s="853">
        <f t="shared" si="21"/>
        <v>63.981031492242849</v>
      </c>
      <c r="W372" s="853">
        <f t="shared" si="21"/>
        <v>60.97370310642642</v>
      </c>
      <c r="X372" s="853">
        <f t="shared" si="21"/>
        <v>57.773626706941819</v>
      </c>
      <c r="Y372" s="853">
        <f t="shared" si="21"/>
        <v>54.900406742883646</v>
      </c>
      <c r="Z372" s="853">
        <f t="shared" si="21"/>
        <v>52.699169048150523</v>
      </c>
      <c r="AA372" s="853">
        <f t="shared" si="21"/>
        <v>50.303777054865378</v>
      </c>
      <c r="AB372" s="853">
        <f t="shared" si="21"/>
        <v>48.156823801295189</v>
      </c>
      <c r="AC372" s="853">
        <f t="shared" si="21"/>
        <v>46.504924607860403</v>
      </c>
      <c r="AD372" s="853">
        <f t="shared" si="21"/>
        <v>44.766880565689959</v>
      </c>
      <c r="AE372" s="853">
        <f t="shared" si="21"/>
        <v>43.378354625704198</v>
      </c>
    </row>
  </sheetData>
  <pageMargins left="0.7" right="0.7" top="0.75" bottom="0.75" header="0.3" footer="0.3"/>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B0F0"/>
  </sheetPr>
  <dimension ref="A1:BE379"/>
  <sheetViews>
    <sheetView topLeftCell="C1" zoomScale="59" zoomScaleNormal="59" workbookViewId="0">
      <selection activeCell="F37" sqref="F37"/>
    </sheetView>
  </sheetViews>
  <sheetFormatPr defaultRowHeight="15" x14ac:dyDescent="0.25"/>
  <sheetData>
    <row r="1" spans="1:32" ht="18" x14ac:dyDescent="0.4">
      <c r="A1" s="268" t="s">
        <v>286</v>
      </c>
      <c r="B1" s="252"/>
      <c r="C1" s="252"/>
      <c r="D1" s="252"/>
      <c r="E1" s="252"/>
      <c r="F1" s="252"/>
      <c r="G1" s="252"/>
      <c r="H1" s="252"/>
      <c r="I1" s="252"/>
      <c r="J1" s="252"/>
      <c r="K1" s="252"/>
      <c r="L1" s="252"/>
      <c r="M1" s="252"/>
      <c r="N1" s="252"/>
      <c r="O1" s="252"/>
      <c r="P1" s="252"/>
      <c r="Q1" s="252"/>
      <c r="R1" s="252"/>
      <c r="S1" s="252"/>
      <c r="T1" s="252"/>
      <c r="U1" s="252"/>
      <c r="V1" s="252"/>
      <c r="W1" s="252"/>
      <c r="X1" s="252"/>
      <c r="Y1" s="252"/>
      <c r="Z1" s="252"/>
      <c r="AA1" s="252"/>
      <c r="AB1" s="252"/>
      <c r="AC1" s="252"/>
      <c r="AD1" s="252"/>
      <c r="AE1" s="252"/>
      <c r="AF1" s="252"/>
    </row>
    <row r="2" spans="1:32" ht="14.45" x14ac:dyDescent="0.35">
      <c r="A2" s="1040" t="s">
        <v>675</v>
      </c>
      <c r="B2" s="252"/>
      <c r="C2" s="252"/>
      <c r="D2" s="252"/>
      <c r="E2" s="252"/>
      <c r="F2" s="252"/>
      <c r="G2" s="252"/>
      <c r="H2" s="252"/>
      <c r="I2" s="252"/>
      <c r="J2" s="252"/>
      <c r="K2" s="252"/>
      <c r="L2" s="252"/>
      <c r="M2" s="252"/>
      <c r="N2" s="252"/>
      <c r="O2" s="252"/>
      <c r="P2" s="252"/>
      <c r="Q2" s="252"/>
      <c r="R2" s="252"/>
      <c r="S2" s="252"/>
      <c r="T2" s="252"/>
      <c r="U2" s="252"/>
      <c r="V2" s="252"/>
      <c r="W2" s="252"/>
      <c r="X2" s="252"/>
      <c r="Y2" s="252"/>
      <c r="Z2" s="252"/>
      <c r="AA2" s="252"/>
      <c r="AB2" s="252"/>
      <c r="AC2" s="252"/>
      <c r="AD2" s="252"/>
      <c r="AE2" s="252"/>
      <c r="AF2" s="252"/>
    </row>
    <row r="3" spans="1:32" ht="14.45" x14ac:dyDescent="0.35">
      <c r="A3" s="252"/>
      <c r="B3" s="261" t="s">
        <v>158</v>
      </c>
      <c r="C3" s="252"/>
      <c r="D3" s="263"/>
      <c r="E3" s="262"/>
      <c r="F3" s="262"/>
      <c r="G3" s="262">
        <v>2010</v>
      </c>
      <c r="H3" s="262">
        <v>2011</v>
      </c>
      <c r="I3" s="262">
        <v>2012</v>
      </c>
      <c r="J3" s="262">
        <v>2013</v>
      </c>
      <c r="K3" s="262">
        <v>2014</v>
      </c>
      <c r="L3" s="262">
        <v>2015</v>
      </c>
      <c r="M3" s="262">
        <v>2016</v>
      </c>
      <c r="N3" s="262">
        <v>2017</v>
      </c>
      <c r="O3" s="262">
        <v>2018</v>
      </c>
      <c r="P3" s="262">
        <v>2019</v>
      </c>
      <c r="Q3" s="262">
        <v>2020</v>
      </c>
      <c r="R3" s="262">
        <v>2021</v>
      </c>
      <c r="S3" s="262">
        <v>2022</v>
      </c>
      <c r="T3" s="262">
        <v>2023</v>
      </c>
      <c r="U3" s="262">
        <v>2024</v>
      </c>
      <c r="V3" s="262">
        <v>2025</v>
      </c>
      <c r="W3" s="262">
        <v>2026</v>
      </c>
      <c r="X3" s="262">
        <v>2027</v>
      </c>
      <c r="Y3" s="262">
        <v>2028</v>
      </c>
      <c r="Z3" s="262">
        <v>2029</v>
      </c>
      <c r="AA3" s="262">
        <v>2030</v>
      </c>
      <c r="AB3" s="262">
        <v>2031</v>
      </c>
      <c r="AC3" s="262">
        <v>2032</v>
      </c>
      <c r="AD3" s="262">
        <v>2033</v>
      </c>
      <c r="AE3" s="262">
        <v>2034</v>
      </c>
      <c r="AF3" s="262">
        <v>2035</v>
      </c>
    </row>
    <row r="4" spans="1:32" ht="14.45" x14ac:dyDescent="0.35">
      <c r="A4" s="376"/>
      <c r="B4" s="395"/>
      <c r="C4" s="376"/>
      <c r="D4" s="397"/>
      <c r="E4" s="396"/>
      <c r="F4" s="396"/>
      <c r="G4" s="396"/>
      <c r="H4" s="396"/>
      <c r="I4" s="396"/>
      <c r="J4" s="396"/>
      <c r="K4" s="396"/>
      <c r="L4" s="396"/>
      <c r="M4" s="396"/>
      <c r="N4" s="396"/>
      <c r="O4" s="396"/>
      <c r="P4" s="396"/>
      <c r="Q4" s="396"/>
      <c r="R4" s="396"/>
      <c r="S4" s="396"/>
      <c r="T4" s="396"/>
      <c r="U4" s="396"/>
      <c r="V4" s="396"/>
      <c r="W4" s="396"/>
      <c r="X4" s="396"/>
      <c r="Y4" s="396"/>
      <c r="Z4" s="396"/>
      <c r="AA4" s="396"/>
      <c r="AB4" s="396"/>
      <c r="AC4" s="396"/>
      <c r="AD4" s="396"/>
      <c r="AE4" s="396"/>
      <c r="AF4" s="396"/>
    </row>
    <row r="5" spans="1:32" ht="14.45" x14ac:dyDescent="0.35">
      <c r="A5" s="398" t="s">
        <v>206</v>
      </c>
      <c r="B5" s="399"/>
      <c r="C5" s="398"/>
      <c r="D5" s="399"/>
      <c r="E5" s="399"/>
      <c r="F5" s="399"/>
      <c r="G5" s="829" t="s">
        <v>436</v>
      </c>
      <c r="H5" s="409"/>
      <c r="I5" s="409"/>
      <c r="J5" s="409"/>
      <c r="K5" s="409"/>
      <c r="L5" s="409"/>
      <c r="M5" s="409"/>
      <c r="N5" s="409"/>
      <c r="O5" s="409"/>
      <c r="P5" s="409"/>
      <c r="Q5" s="409"/>
      <c r="R5" s="409"/>
      <c r="S5" s="409"/>
      <c r="T5" s="409"/>
      <c r="U5" s="409"/>
      <c r="V5" s="409"/>
      <c r="W5" s="409"/>
      <c r="X5" s="409"/>
      <c r="Y5" s="409"/>
      <c r="Z5" s="409"/>
      <c r="AA5" s="409"/>
      <c r="AB5" s="409"/>
      <c r="AC5" s="409"/>
      <c r="AD5" s="409"/>
      <c r="AE5" s="409"/>
      <c r="AF5" s="409"/>
    </row>
    <row r="6" spans="1:32" ht="14.45" x14ac:dyDescent="0.35">
      <c r="A6" s="378" t="s">
        <v>12</v>
      </c>
      <c r="B6" s="376"/>
    </row>
    <row r="7" spans="1:32" ht="14.45" x14ac:dyDescent="0.35">
      <c r="A7" s="376"/>
      <c r="B7" s="376" t="s">
        <v>20</v>
      </c>
    </row>
    <row r="8" spans="1:32" s="202" customFormat="1" ht="12.95" x14ac:dyDescent="0.3">
      <c r="A8" s="402" t="s">
        <v>21</v>
      </c>
      <c r="B8" s="402"/>
      <c r="C8" s="402"/>
      <c r="D8" s="402"/>
      <c r="E8" s="402"/>
      <c r="F8" s="402"/>
      <c r="G8" s="402"/>
      <c r="H8" s="402"/>
      <c r="I8" s="402"/>
      <c r="J8" s="402"/>
      <c r="K8" s="402"/>
      <c r="L8" s="402"/>
      <c r="M8" s="402"/>
      <c r="N8" s="402"/>
      <c r="O8" s="402"/>
      <c r="P8" s="402"/>
      <c r="Q8" s="402"/>
      <c r="R8" s="402"/>
      <c r="S8" s="402"/>
      <c r="T8" s="402"/>
      <c r="U8" s="402"/>
      <c r="V8" s="402"/>
      <c r="W8" s="402"/>
      <c r="X8" s="402"/>
      <c r="Y8" s="402"/>
      <c r="Z8" s="402"/>
      <c r="AA8" s="402"/>
      <c r="AB8" s="402"/>
      <c r="AC8" s="402"/>
      <c r="AD8" s="402"/>
      <c r="AE8" s="402"/>
      <c r="AF8" s="402"/>
    </row>
    <row r="9" spans="1:32" s="221" customFormat="1" ht="14.45" x14ac:dyDescent="0.35">
      <c r="A9" s="376"/>
      <c r="B9" s="376" t="s">
        <v>22</v>
      </c>
      <c r="C9"/>
      <c r="D9" s="201"/>
      <c r="E9" s="201"/>
      <c r="F9" s="201"/>
      <c r="G9" s="276">
        <f t="array" ref="G9:AF39">Cost_System_NC</f>
        <v>25.350281669796331</v>
      </c>
      <c r="H9" s="276">
        <v>25.347272377100484</v>
      </c>
      <c r="I9" s="276">
        <v>25.344263084404641</v>
      </c>
      <c r="J9" s="276">
        <v>25.341253791708798</v>
      </c>
      <c r="K9" s="276">
        <v>25.338244499012951</v>
      </c>
      <c r="L9" s="276">
        <v>25.335235206317105</v>
      </c>
      <c r="M9" s="276">
        <v>25.332225913621262</v>
      </c>
      <c r="N9" s="276">
        <v>25.329216620925415</v>
      </c>
      <c r="O9" s="276">
        <v>25.326207328229572</v>
      </c>
      <c r="P9" s="276">
        <v>25.323198035533729</v>
      </c>
      <c r="Q9" s="276">
        <v>25.320188742837882</v>
      </c>
      <c r="R9" s="276">
        <v>25.317179450142039</v>
      </c>
      <c r="S9" s="276">
        <v>25.314170157446192</v>
      </c>
      <c r="T9" s="276">
        <v>25.311160864750349</v>
      </c>
      <c r="U9" s="276">
        <v>25.308151572054502</v>
      </c>
      <c r="V9" s="276">
        <v>25.305142279358659</v>
      </c>
      <c r="W9" s="276">
        <v>25.302132986662812</v>
      </c>
      <c r="X9" s="276">
        <v>25.299123693966969</v>
      </c>
      <c r="Y9" s="276">
        <v>25.296114401271126</v>
      </c>
      <c r="Z9" s="276">
        <v>25.293105108575279</v>
      </c>
      <c r="AA9" s="276">
        <v>25.290095815879436</v>
      </c>
      <c r="AB9" s="276">
        <v>25.287086523183589</v>
      </c>
      <c r="AC9" s="276">
        <v>25.284077230487746</v>
      </c>
      <c r="AD9" s="276">
        <v>25.281067937791899</v>
      </c>
      <c r="AE9" s="276">
        <v>25.278058645096056</v>
      </c>
      <c r="AF9" s="276">
        <v>25.27504935240021</v>
      </c>
    </row>
    <row r="10" spans="1:32" s="221" customFormat="1" ht="14.45" x14ac:dyDescent="0.35">
      <c r="A10" s="376"/>
      <c r="B10" s="376" t="s">
        <v>26</v>
      </c>
      <c r="C10"/>
      <c r="D10" s="201"/>
      <c r="E10" s="201"/>
      <c r="F10" s="201"/>
      <c r="G10" s="276">
        <v>29.650165016501653</v>
      </c>
      <c r="H10" s="276">
        <v>29.637623762376244</v>
      </c>
      <c r="I10" s="276">
        <v>29.625082508250827</v>
      </c>
      <c r="J10" s="276">
        <v>29.612541254125414</v>
      </c>
      <c r="K10" s="276">
        <v>29.600000000000005</v>
      </c>
      <c r="L10" s="276">
        <v>29.587458745874592</v>
      </c>
      <c r="M10" s="276">
        <v>29.574917491749176</v>
      </c>
      <c r="N10" s="276">
        <v>29.562376237623766</v>
      </c>
      <c r="O10" s="276">
        <v>29.549834983498354</v>
      </c>
      <c r="P10" s="276">
        <v>29.537293729372941</v>
      </c>
      <c r="Q10" s="276">
        <v>29.524752475247531</v>
      </c>
      <c r="R10" s="276">
        <v>29.512211221122115</v>
      </c>
      <c r="S10" s="276">
        <v>29.499669966996702</v>
      </c>
      <c r="T10" s="276">
        <v>29.487128712871293</v>
      </c>
      <c r="U10" s="276">
        <v>29.47458745874588</v>
      </c>
      <c r="V10" s="276">
        <v>29.462046204620464</v>
      </c>
      <c r="W10" s="276">
        <v>29.449504950495054</v>
      </c>
      <c r="X10" s="276">
        <v>29.436963696369641</v>
      </c>
      <c r="Y10" s="276">
        <v>29.424422442244229</v>
      </c>
      <c r="Z10" s="276">
        <v>29.411881188118812</v>
      </c>
      <c r="AA10" s="276">
        <v>29.399339933993403</v>
      </c>
      <c r="AB10" s="276">
        <v>29.38679867986799</v>
      </c>
      <c r="AC10" s="276">
        <v>29.374257425742581</v>
      </c>
      <c r="AD10" s="276">
        <v>29.361716171617164</v>
      </c>
      <c r="AE10" s="276">
        <v>29.349174917491752</v>
      </c>
      <c r="AF10" s="276">
        <v>29.336633663366339</v>
      </c>
    </row>
    <row r="11" spans="1:32" s="221" customFormat="1" ht="14.45" x14ac:dyDescent="0.35">
      <c r="A11" s="376"/>
      <c r="B11" s="376" t="s">
        <v>27</v>
      </c>
      <c r="C11"/>
      <c r="D11" s="201"/>
      <c r="E11" s="201"/>
      <c r="F11" s="201"/>
      <c r="G11" s="276">
        <v>26.460017969451926</v>
      </c>
      <c r="H11" s="276">
        <v>26.443171608265942</v>
      </c>
      <c r="I11" s="276">
        <v>26.426325247079959</v>
      </c>
      <c r="J11" s="276">
        <v>26.409478885893972</v>
      </c>
      <c r="K11" s="276">
        <v>26.392632524707992</v>
      </c>
      <c r="L11" s="276">
        <v>26.375786163522008</v>
      </c>
      <c r="M11" s="276">
        <v>26.358939802336025</v>
      </c>
      <c r="N11" s="276">
        <v>26.342093441150038</v>
      </c>
      <c r="O11" s="276">
        <v>26.325247079964054</v>
      </c>
      <c r="P11" s="276">
        <v>26.308400718778071</v>
      </c>
      <c r="Q11" s="276">
        <v>26.291554357592091</v>
      </c>
      <c r="R11" s="276">
        <v>26.274707996406104</v>
      </c>
      <c r="S11" s="276">
        <v>26.25786163522012</v>
      </c>
      <c r="T11" s="276">
        <v>26.241015274034137</v>
      </c>
      <c r="U11" s="276">
        <v>26.224168912848153</v>
      </c>
      <c r="V11" s="276">
        <v>26.207322551662166</v>
      </c>
      <c r="W11" s="276">
        <v>26.190476190476183</v>
      </c>
      <c r="X11" s="276">
        <v>26.173629829290203</v>
      </c>
      <c r="Y11" s="276">
        <v>26.156783468104219</v>
      </c>
      <c r="Z11" s="276">
        <v>26.139937106918232</v>
      </c>
      <c r="AA11" s="276">
        <v>26.123090745732249</v>
      </c>
      <c r="AB11" s="276">
        <v>26.106244384546265</v>
      </c>
      <c r="AC11" s="276">
        <v>26.089398023360282</v>
      </c>
      <c r="AD11" s="276">
        <v>26.072551662174298</v>
      </c>
      <c r="AE11" s="276">
        <v>26.055705300988315</v>
      </c>
      <c r="AF11" s="276">
        <v>26.038858939802331</v>
      </c>
    </row>
    <row r="12" spans="1:32" s="221" customFormat="1" ht="14.45" x14ac:dyDescent="0.35">
      <c r="A12" s="376"/>
      <c r="B12" s="376" t="s">
        <v>29</v>
      </c>
      <c r="C12"/>
      <c r="D12" s="201"/>
      <c r="E12" s="201"/>
      <c r="F12" s="201"/>
      <c r="G12" s="276">
        <v>79.255310459712717</v>
      </c>
      <c r="H12" s="276">
        <v>55.053624492542738</v>
      </c>
      <c r="I12" s="276">
        <v>45.620146682251807</v>
      </c>
      <c r="J12" s="276">
        <v>40.597372664536771</v>
      </c>
      <c r="K12" s="276">
        <v>37.478051912115653</v>
      </c>
      <c r="L12" s="276">
        <v>35.352534929945243</v>
      </c>
      <c r="M12" s="276">
        <v>33.811148683720347</v>
      </c>
      <c r="N12" s="276">
        <v>32.642188668324913</v>
      </c>
      <c r="O12" s="276">
        <v>31.725226530557126</v>
      </c>
      <c r="P12" s="276">
        <v>30.986704421202052</v>
      </c>
      <c r="Q12" s="276">
        <v>30.379154527879809</v>
      </c>
      <c r="R12" s="276">
        <v>29.870573966163484</v>
      </c>
      <c r="S12" s="276">
        <v>29.438601061627086</v>
      </c>
      <c r="T12" s="276">
        <v>29.06713899405791</v>
      </c>
      <c r="U12" s="276">
        <v>28.744305449430222</v>
      </c>
      <c r="V12" s="276">
        <v>28.461138042667052</v>
      </c>
      <c r="W12" s="276">
        <v>28.210749310425793</v>
      </c>
      <c r="X12" s="276">
        <v>27.987759095900522</v>
      </c>
      <c r="Y12" s="276">
        <v>27.787903599912553</v>
      </c>
      <c r="Z12" s="276">
        <v>27.607760111399035</v>
      </c>
      <c r="AA12" s="276">
        <v>27.444549360464073</v>
      </c>
      <c r="AB12" s="276">
        <v>27.295991103598624</v>
      </c>
      <c r="AC12" s="276">
        <v>27.160196933140305</v>
      </c>
      <c r="AD12" s="276">
        <v>27.035589578020168</v>
      </c>
      <c r="AE12" s="276">
        <v>26.920841359678313</v>
      </c>
      <c r="AF12" s="276">
        <v>26.8148267004565</v>
      </c>
    </row>
    <row r="13" spans="1:32" s="221" customFormat="1" ht="14.45" x14ac:dyDescent="0.35">
      <c r="A13" s="376"/>
      <c r="B13" s="376"/>
      <c r="C13"/>
      <c r="D13"/>
      <c r="E13"/>
      <c r="F13"/>
      <c r="G13" s="276" t="str">
        <v/>
      </c>
      <c r="H13" s="276" t="str">
        <v/>
      </c>
      <c r="I13" s="276" t="str">
        <v/>
      </c>
      <c r="J13" s="276" t="str">
        <v/>
      </c>
      <c r="K13" s="276" t="str">
        <v/>
      </c>
      <c r="L13" s="276" t="str">
        <v/>
      </c>
      <c r="M13" s="276" t="str">
        <v/>
      </c>
      <c r="N13" s="276" t="str">
        <v/>
      </c>
      <c r="O13" s="276" t="str">
        <v/>
      </c>
      <c r="P13" s="276" t="str">
        <v/>
      </c>
      <c r="Q13" s="276" t="str">
        <v/>
      </c>
      <c r="R13" s="276" t="str">
        <v/>
      </c>
      <c r="S13" s="276" t="str">
        <v/>
      </c>
      <c r="T13" s="276" t="str">
        <v/>
      </c>
      <c r="U13" s="276" t="str">
        <v/>
      </c>
      <c r="V13" s="276" t="str">
        <v/>
      </c>
      <c r="W13" s="276" t="str">
        <v/>
      </c>
      <c r="X13" s="276" t="str">
        <v/>
      </c>
      <c r="Y13" s="276" t="str">
        <v/>
      </c>
      <c r="Z13" s="276" t="str">
        <v/>
      </c>
      <c r="AA13" s="276" t="str">
        <v/>
      </c>
      <c r="AB13" s="276" t="str">
        <v/>
      </c>
      <c r="AC13" s="276" t="str">
        <v/>
      </c>
      <c r="AD13" s="276" t="str">
        <v/>
      </c>
      <c r="AE13" s="276" t="str">
        <v/>
      </c>
      <c r="AF13" s="276" t="str">
        <v/>
      </c>
    </row>
    <row r="14" spans="1:32" s="202" customFormat="1" ht="12.95" x14ac:dyDescent="0.3">
      <c r="A14" s="402" t="s">
        <v>32</v>
      </c>
      <c r="B14" s="402"/>
      <c r="C14" s="402"/>
      <c r="D14" s="402"/>
      <c r="E14" s="402"/>
      <c r="F14" s="402"/>
      <c r="G14" s="274" t="str">
        <v/>
      </c>
      <c r="H14" s="274" t="str">
        <v/>
      </c>
      <c r="I14" s="274" t="str">
        <v/>
      </c>
      <c r="J14" s="274" t="str">
        <v/>
      </c>
      <c r="K14" s="274" t="str">
        <v/>
      </c>
      <c r="L14" s="274" t="str">
        <v/>
      </c>
      <c r="M14" s="274" t="str">
        <v/>
      </c>
      <c r="N14" s="274" t="str">
        <v/>
      </c>
      <c r="O14" s="274" t="str">
        <v/>
      </c>
      <c r="P14" s="274" t="str">
        <v/>
      </c>
      <c r="Q14" s="274" t="str">
        <v/>
      </c>
      <c r="R14" s="274" t="str">
        <v/>
      </c>
      <c r="S14" s="274" t="str">
        <v/>
      </c>
      <c r="T14" s="274" t="str">
        <v/>
      </c>
      <c r="U14" s="274" t="str">
        <v/>
      </c>
      <c r="V14" s="274" t="str">
        <v/>
      </c>
      <c r="W14" s="274" t="str">
        <v/>
      </c>
      <c r="X14" s="274" t="str">
        <v/>
      </c>
      <c r="Y14" s="274" t="str">
        <v/>
      </c>
      <c r="Z14" s="274" t="str">
        <v/>
      </c>
      <c r="AA14" s="274" t="str">
        <v/>
      </c>
      <c r="AB14" s="274" t="str">
        <v/>
      </c>
      <c r="AC14" s="274" t="str">
        <v/>
      </c>
      <c r="AD14" s="274" t="str">
        <v/>
      </c>
      <c r="AE14" s="274" t="str">
        <v/>
      </c>
      <c r="AF14" s="274" t="str">
        <v/>
      </c>
    </row>
    <row r="15" spans="1:32" s="221" customFormat="1" ht="14.45" x14ac:dyDescent="0.35">
      <c r="A15" s="376"/>
      <c r="B15" s="376" t="s">
        <v>33</v>
      </c>
      <c r="C15"/>
      <c r="D15"/>
      <c r="E15"/>
      <c r="F15"/>
      <c r="G15" s="276">
        <v>33.568854459294577</v>
      </c>
      <c r="H15" s="276">
        <v>33.546863028858432</v>
      </c>
      <c r="I15" s="276">
        <v>33.524871598422294</v>
      </c>
      <c r="J15" s="276">
        <v>33.502880167986156</v>
      </c>
      <c r="K15" s="276">
        <v>33.480888737550018</v>
      </c>
      <c r="L15" s="276">
        <v>33.45889730711388</v>
      </c>
      <c r="M15" s="276">
        <v>33.436905876677734</v>
      </c>
      <c r="N15" s="276">
        <v>33.414914446241596</v>
      </c>
      <c r="O15" s="276">
        <v>33.392923015805458</v>
      </c>
      <c r="P15" s="276">
        <v>33.37093158536932</v>
      </c>
      <c r="Q15" s="276">
        <v>33.348940154933175</v>
      </c>
      <c r="R15" s="276">
        <v>33.326948724497036</v>
      </c>
      <c r="S15" s="276">
        <v>33.304957294060898</v>
      </c>
      <c r="T15" s="276">
        <v>33.282965863624753</v>
      </c>
      <c r="U15" s="276">
        <v>33.260974433188615</v>
      </c>
      <c r="V15" s="276">
        <v>33.238983002752477</v>
      </c>
      <c r="W15" s="276">
        <v>33.216991572316338</v>
      </c>
      <c r="X15" s="276">
        <v>33.1950001418802</v>
      </c>
      <c r="Y15" s="276">
        <v>33.173008711444055</v>
      </c>
      <c r="Z15" s="276">
        <v>33.151017281007917</v>
      </c>
      <c r="AA15" s="276">
        <v>33.129025850571779</v>
      </c>
      <c r="AB15" s="276">
        <v>33.107034420135641</v>
      </c>
      <c r="AC15" s="276">
        <v>33.085042989699502</v>
      </c>
      <c r="AD15" s="276">
        <v>33.063051559263364</v>
      </c>
      <c r="AE15" s="276">
        <v>33.041060128827219</v>
      </c>
      <c r="AF15" s="276">
        <v>33.019068698391081</v>
      </c>
    </row>
    <row r="16" spans="1:32" s="221" customFormat="1" ht="14.45" x14ac:dyDescent="0.35">
      <c r="A16" s="388"/>
      <c r="B16" s="388" t="s">
        <v>34</v>
      </c>
      <c r="C16"/>
      <c r="D16"/>
      <c r="E16"/>
      <c r="F16"/>
      <c r="G16" s="276">
        <v>26.384232131106447</v>
      </c>
      <c r="H16" s="276">
        <v>26.359686230271887</v>
      </c>
      <c r="I16" s="276">
        <v>27.287033845489649</v>
      </c>
      <c r="J16" s="276">
        <v>28.214381460707408</v>
      </c>
      <c r="K16" s="276">
        <v>29.14172907592517</v>
      </c>
      <c r="L16" s="276">
        <v>29.103395690366515</v>
      </c>
      <c r="M16" s="276">
        <v>29.065253971735654</v>
      </c>
      <c r="N16" s="276">
        <v>29.027302961697949</v>
      </c>
      <c r="O16" s="276">
        <v>28.98954170671043</v>
      </c>
      <c r="P16" s="276">
        <v>28.951969257997849</v>
      </c>
      <c r="Q16" s="276">
        <v>28.914584671528832</v>
      </c>
      <c r="R16" s="276">
        <v>28.877387007992159</v>
      </c>
      <c r="S16" s="276">
        <v>28.840375332773171</v>
      </c>
      <c r="T16" s="276">
        <v>28.803548715930276</v>
      </c>
      <c r="U16" s="276">
        <v>28.766906232171593</v>
      </c>
      <c r="V16" s="276">
        <v>28.730446960831706</v>
      </c>
      <c r="W16" s="276">
        <v>28.694169985848522</v>
      </c>
      <c r="X16" s="276">
        <v>28.65807439574025</v>
      </c>
      <c r="Y16" s="276">
        <v>28.622159283582523</v>
      </c>
      <c r="Z16" s="276">
        <v>28.586423746985581</v>
      </c>
      <c r="AA16" s="276">
        <v>28.550866888071624</v>
      </c>
      <c r="AB16" s="276">
        <v>28.515487813452239</v>
      </c>
      <c r="AC16" s="276">
        <v>28.480285634205948</v>
      </c>
      <c r="AD16" s="276">
        <v>28.445259465855891</v>
      </c>
      <c r="AE16" s="276">
        <v>28.410408428347584</v>
      </c>
      <c r="AF16" s="276">
        <v>28.375731646026814</v>
      </c>
    </row>
    <row r="17" spans="1:32" s="221" customFormat="1" ht="14.45" x14ac:dyDescent="0.35">
      <c r="A17" s="376"/>
      <c r="B17" s="388" t="s">
        <v>35</v>
      </c>
      <c r="C17"/>
      <c r="D17"/>
      <c r="E17"/>
      <c r="F17"/>
      <c r="G17" s="276">
        <v>41.628446554794138</v>
      </c>
      <c r="H17" s="276">
        <v>41.558975880861169</v>
      </c>
      <c r="I17" s="276">
        <v>41.489505206928179</v>
      </c>
      <c r="J17" s="276">
        <v>41.420034532995189</v>
      </c>
      <c r="K17" s="276">
        <v>41.35056385906222</v>
      </c>
      <c r="L17" s="276">
        <v>41.28109318512923</v>
      </c>
      <c r="M17" s="276">
        <v>41.211622511196239</v>
      </c>
      <c r="N17" s="276">
        <v>41.14215183726327</v>
      </c>
      <c r="O17" s="276">
        <v>41.072681163330273</v>
      </c>
      <c r="P17" s="276">
        <v>41.00321048939729</v>
      </c>
      <c r="Q17" s="276">
        <v>40.933739815464293</v>
      </c>
      <c r="R17" s="276">
        <v>40.864269141531324</v>
      </c>
      <c r="S17" s="276">
        <v>40.794798467598334</v>
      </c>
      <c r="T17" s="276">
        <v>40.725327793665343</v>
      </c>
      <c r="U17" s="276">
        <v>40.655857119732374</v>
      </c>
      <c r="V17" s="276">
        <v>40.586386445799384</v>
      </c>
      <c r="W17" s="276">
        <v>40.516915771866394</v>
      </c>
      <c r="X17" s="276">
        <v>40.447445097933425</v>
      </c>
      <c r="Y17" s="276">
        <v>40.377974424000435</v>
      </c>
      <c r="Z17" s="276">
        <v>40.308503750067445</v>
      </c>
      <c r="AA17" s="276">
        <v>40.239033076134469</v>
      </c>
      <c r="AB17" s="276">
        <v>40.169562402201478</v>
      </c>
      <c r="AC17" s="276">
        <v>40.100091728268488</v>
      </c>
      <c r="AD17" s="276">
        <v>40.030621054335498</v>
      </c>
      <c r="AE17" s="276">
        <v>39.961150380402529</v>
      </c>
      <c r="AF17" s="276">
        <v>39.891679706469539</v>
      </c>
    </row>
    <row r="18" spans="1:32" s="221" customFormat="1" ht="14.45" x14ac:dyDescent="0.35">
      <c r="A18" s="376"/>
      <c r="B18" s="388" t="s">
        <v>29</v>
      </c>
      <c r="C18"/>
      <c r="D18"/>
      <c r="E18"/>
      <c r="F18"/>
      <c r="G18" s="276">
        <v>81.301212108069819</v>
      </c>
      <c r="H18" s="276">
        <v>57.099526140899826</v>
      </c>
      <c r="I18" s="276">
        <v>47.666048330608902</v>
      </c>
      <c r="J18" s="276">
        <v>42.643274312893865</v>
      </c>
      <c r="K18" s="276">
        <v>39.523953560472748</v>
      </c>
      <c r="L18" s="276">
        <v>37.398436578302338</v>
      </c>
      <c r="M18" s="276">
        <v>35.857050332077442</v>
      </c>
      <c r="N18" s="276">
        <v>34.688090316682008</v>
      </c>
      <c r="O18" s="276">
        <v>33.771128178914225</v>
      </c>
      <c r="P18" s="276">
        <v>33.032606069559144</v>
      </c>
      <c r="Q18" s="276">
        <v>32.4250561762369</v>
      </c>
      <c r="R18" s="276">
        <v>31.916475614520579</v>
      </c>
      <c r="S18" s="276">
        <v>31.484502709984181</v>
      </c>
      <c r="T18" s="276">
        <v>31.113040642415001</v>
      </c>
      <c r="U18" s="276">
        <v>30.790207097787317</v>
      </c>
      <c r="V18" s="276">
        <v>30.507039691024147</v>
      </c>
      <c r="W18" s="276">
        <v>30.256650958782885</v>
      </c>
      <c r="X18" s="276">
        <v>30.033660744257617</v>
      </c>
      <c r="Y18" s="276">
        <v>29.833805248269648</v>
      </c>
      <c r="Z18" s="276">
        <v>29.65366175975613</v>
      </c>
      <c r="AA18" s="276">
        <v>29.490451008821168</v>
      </c>
      <c r="AB18" s="276">
        <v>29.341892751955719</v>
      </c>
      <c r="AC18" s="276">
        <v>29.2060985814974</v>
      </c>
      <c r="AD18" s="276">
        <v>29.081491226377263</v>
      </c>
      <c r="AE18" s="276">
        <v>28.966743008035408</v>
      </c>
      <c r="AF18" s="276">
        <v>28.860728348813595</v>
      </c>
    </row>
    <row r="19" spans="1:32" s="221" customFormat="1" ht="14.45" x14ac:dyDescent="0.35">
      <c r="A19" s="376"/>
      <c r="B19" s="376"/>
      <c r="C19"/>
      <c r="D19"/>
      <c r="E19"/>
      <c r="F19"/>
      <c r="G19" s="276" t="str">
        <v/>
      </c>
      <c r="H19" s="276" t="str">
        <v/>
      </c>
      <c r="I19" s="276" t="str">
        <v/>
      </c>
      <c r="J19" s="276" t="str">
        <v/>
      </c>
      <c r="K19" s="276" t="str">
        <v/>
      </c>
      <c r="L19" s="276" t="str">
        <v/>
      </c>
      <c r="M19" s="276" t="str">
        <v/>
      </c>
      <c r="N19" s="276" t="str">
        <v/>
      </c>
      <c r="O19" s="276" t="str">
        <v/>
      </c>
      <c r="P19" s="276" t="str">
        <v/>
      </c>
      <c r="Q19" s="276" t="str">
        <v/>
      </c>
      <c r="R19" s="276" t="str">
        <v/>
      </c>
      <c r="S19" s="276" t="str">
        <v/>
      </c>
      <c r="T19" s="276" t="str">
        <v/>
      </c>
      <c r="U19" s="276" t="str">
        <v/>
      </c>
      <c r="V19" s="276" t="str">
        <v/>
      </c>
      <c r="W19" s="276" t="str">
        <v/>
      </c>
      <c r="X19" s="276" t="str">
        <v/>
      </c>
      <c r="Y19" s="276" t="str">
        <v/>
      </c>
      <c r="Z19" s="276" t="str">
        <v/>
      </c>
      <c r="AA19" s="276" t="str">
        <v/>
      </c>
      <c r="AB19" s="276" t="str">
        <v/>
      </c>
      <c r="AC19" s="276" t="str">
        <v/>
      </c>
      <c r="AD19" s="276" t="str">
        <v/>
      </c>
      <c r="AE19" s="276" t="str">
        <v/>
      </c>
      <c r="AF19" s="276" t="str">
        <v/>
      </c>
    </row>
    <row r="20" spans="1:32" s="202" customFormat="1" ht="12.95" x14ac:dyDescent="0.3">
      <c r="A20" s="402" t="s">
        <v>36</v>
      </c>
      <c r="B20" s="402"/>
      <c r="C20" s="402"/>
      <c r="D20" s="402"/>
      <c r="E20" s="402"/>
      <c r="F20" s="402"/>
      <c r="G20" s="274" t="str">
        <v/>
      </c>
      <c r="H20" s="274" t="str">
        <v/>
      </c>
      <c r="I20" s="274" t="str">
        <v/>
      </c>
      <c r="J20" s="274" t="str">
        <v/>
      </c>
      <c r="K20" s="274" t="str">
        <v/>
      </c>
      <c r="L20" s="274" t="str">
        <v/>
      </c>
      <c r="M20" s="274" t="str">
        <v/>
      </c>
      <c r="N20" s="274" t="str">
        <v/>
      </c>
      <c r="O20" s="274" t="str">
        <v/>
      </c>
      <c r="P20" s="274" t="str">
        <v/>
      </c>
      <c r="Q20" s="274" t="str">
        <v/>
      </c>
      <c r="R20" s="274" t="str">
        <v/>
      </c>
      <c r="S20" s="274" t="str">
        <v/>
      </c>
      <c r="T20" s="274" t="str">
        <v/>
      </c>
      <c r="U20" s="274" t="str">
        <v/>
      </c>
      <c r="V20" s="274" t="str">
        <v/>
      </c>
      <c r="W20" s="274" t="str">
        <v/>
      </c>
      <c r="X20" s="274" t="str">
        <v/>
      </c>
      <c r="Y20" s="274" t="str">
        <v/>
      </c>
      <c r="Z20" s="274" t="str">
        <v/>
      </c>
      <c r="AA20" s="274" t="str">
        <v/>
      </c>
      <c r="AB20" s="274" t="str">
        <v/>
      </c>
      <c r="AC20" s="274" t="str">
        <v/>
      </c>
      <c r="AD20" s="274" t="str">
        <v/>
      </c>
      <c r="AE20" s="274" t="str">
        <v/>
      </c>
      <c r="AF20" s="274" t="str">
        <v/>
      </c>
    </row>
    <row r="21" spans="1:32" s="221" customFormat="1" ht="14.45" x14ac:dyDescent="0.35">
      <c r="A21" s="376"/>
      <c r="B21" s="376" t="s">
        <v>37</v>
      </c>
      <c r="C21"/>
      <c r="D21"/>
      <c r="E21"/>
      <c r="F21"/>
      <c r="G21" s="276">
        <v>32.170539430266111</v>
      </c>
      <c r="H21" s="276">
        <v>32.1278198972322</v>
      </c>
      <c r="I21" s="276">
        <v>32.085100364198276</v>
      </c>
      <c r="J21" s="276">
        <v>32.042380831164358</v>
      </c>
      <c r="K21" s="276">
        <v>31.999661298130437</v>
      </c>
      <c r="L21" s="276">
        <v>31.956941765096513</v>
      </c>
      <c r="M21" s="276">
        <v>31.914222232062599</v>
      </c>
      <c r="N21" s="276">
        <v>31.871502699028674</v>
      </c>
      <c r="O21" s="276">
        <v>31.828783165994764</v>
      </c>
      <c r="P21" s="276">
        <v>31.78606363296084</v>
      </c>
      <c r="Q21" s="276">
        <v>31.743344099926933</v>
      </c>
      <c r="R21" s="276">
        <v>31.700624566893008</v>
      </c>
      <c r="S21" s="276">
        <v>31.657905033859095</v>
      </c>
      <c r="T21" s="276">
        <v>31.61518550082517</v>
      </c>
      <c r="U21" s="276">
        <v>31.572465967791249</v>
      </c>
      <c r="V21" s="276">
        <v>31.529746434757335</v>
      </c>
      <c r="W21" s="276">
        <v>31.487026901723411</v>
      </c>
      <c r="X21" s="276">
        <v>31.4443073686895</v>
      </c>
      <c r="Y21" s="276">
        <v>31.401587835655576</v>
      </c>
      <c r="Z21" s="276">
        <v>31.358868302621662</v>
      </c>
      <c r="AA21" s="276">
        <v>31.316148769587738</v>
      </c>
      <c r="AB21" s="276">
        <v>31.273429236553831</v>
      </c>
      <c r="AC21" s="276">
        <v>31.230709703519906</v>
      </c>
      <c r="AD21" s="276">
        <v>31.187990170485982</v>
      </c>
      <c r="AE21" s="276">
        <v>31.145270637452068</v>
      </c>
      <c r="AF21" s="276">
        <v>31.102551104418147</v>
      </c>
    </row>
    <row r="22" spans="1:32" s="221" customFormat="1" ht="14.45" x14ac:dyDescent="0.35">
      <c r="A22" s="376"/>
      <c r="B22" s="376" t="s">
        <v>39</v>
      </c>
      <c r="C22"/>
      <c r="D22"/>
      <c r="E22"/>
      <c r="F22"/>
      <c r="G22" s="276">
        <v>31.199639625269306</v>
      </c>
      <c r="H22" s="276">
        <v>31.152851105574385</v>
      </c>
      <c r="I22" s="276">
        <v>31.106062585879457</v>
      </c>
      <c r="J22" s="276">
        <v>31.059274066184539</v>
      </c>
      <c r="K22" s="276">
        <v>31.24807652099684</v>
      </c>
      <c r="L22" s="276">
        <v>31.436878975809144</v>
      </c>
      <c r="M22" s="276">
        <v>31.625681430621462</v>
      </c>
      <c r="N22" s="276">
        <v>31.575849755174016</v>
      </c>
      <c r="O22" s="276">
        <v>31.526115080316195</v>
      </c>
      <c r="P22" s="276">
        <v>31.476476921045027</v>
      </c>
      <c r="Q22" s="276">
        <v>31.426934794782596</v>
      </c>
      <c r="R22" s="276">
        <v>31.377488221363848</v>
      </c>
      <c r="S22" s="276">
        <v>31.328136723024571</v>
      </c>
      <c r="T22" s="276">
        <v>31.278879824389357</v>
      </c>
      <c r="U22" s="276">
        <v>31.229717052459694</v>
      </c>
      <c r="V22" s="276">
        <v>31.180647936602064</v>
      </c>
      <c r="W22" s="276">
        <v>31.131672008536086</v>
      </c>
      <c r="X22" s="276">
        <v>31.082788802322824</v>
      </c>
      <c r="Y22" s="276">
        <v>31.03399785435299</v>
      </c>
      <c r="Z22" s="276">
        <v>30.985298703335388</v>
      </c>
      <c r="AA22" s="276">
        <v>30.936690890285242</v>
      </c>
      <c r="AB22" s="276">
        <v>30.888173958512727</v>
      </c>
      <c r="AC22" s="276">
        <v>30.839747453611441</v>
      </c>
      <c r="AD22" s="276">
        <v>30.791410923447035</v>
      </c>
      <c r="AE22" s="276">
        <v>30.743163918145836</v>
      </c>
      <c r="AF22" s="276">
        <v>30.695005990083509</v>
      </c>
    </row>
    <row r="23" spans="1:32" s="221" customFormat="1" ht="14.45" x14ac:dyDescent="0.35">
      <c r="A23" s="376"/>
      <c r="B23" s="376" t="s">
        <v>40</v>
      </c>
      <c r="C23"/>
      <c r="D23"/>
      <c r="E23"/>
      <c r="F23"/>
      <c r="G23" s="276">
        <v>23.312304083877237</v>
      </c>
      <c r="H23" s="276">
        <v>23.286517097280019</v>
      </c>
      <c r="I23" s="276">
        <v>23.260730110682807</v>
      </c>
      <c r="J23" s="276">
        <v>23.234943124085596</v>
      </c>
      <c r="K23" s="276">
        <v>23.209156137488382</v>
      </c>
      <c r="L23" s="276">
        <v>23.183369150891167</v>
      </c>
      <c r="M23" s="276">
        <v>23.157582164293952</v>
      </c>
      <c r="N23" s="276">
        <v>23.131795177696741</v>
      </c>
      <c r="O23" s="276">
        <v>23.106008191099527</v>
      </c>
      <c r="P23" s="276">
        <v>23.080221204502315</v>
      </c>
      <c r="Q23" s="276">
        <v>23.054434217905101</v>
      </c>
      <c r="R23" s="276">
        <v>23.028647231307886</v>
      </c>
      <c r="S23" s="276">
        <v>23.002860244710671</v>
      </c>
      <c r="T23" s="276">
        <v>22.977073258113457</v>
      </c>
      <c r="U23" s="276">
        <v>22.951286271516246</v>
      </c>
      <c r="V23" s="276">
        <v>22.925499284919034</v>
      </c>
      <c r="W23" s="276">
        <v>22.899712298321816</v>
      </c>
      <c r="X23" s="276">
        <v>22.873925311724605</v>
      </c>
      <c r="Y23" s="276">
        <v>22.848138325127387</v>
      </c>
      <c r="Z23" s="276">
        <v>22.822351338530176</v>
      </c>
      <c r="AA23" s="276">
        <v>22.796564351932965</v>
      </c>
      <c r="AB23" s="276">
        <v>22.770777365335746</v>
      </c>
      <c r="AC23" s="276">
        <v>22.744990378738532</v>
      </c>
      <c r="AD23" s="276">
        <v>22.719203392141321</v>
      </c>
      <c r="AE23" s="276">
        <v>22.693416405544106</v>
      </c>
      <c r="AF23" s="276">
        <v>22.667629418946895</v>
      </c>
    </row>
    <row r="24" spans="1:32" s="221" customFormat="1" ht="14.45" x14ac:dyDescent="0.35">
      <c r="A24" s="376"/>
      <c r="B24" s="376" t="s">
        <v>29</v>
      </c>
      <c r="C24"/>
      <c r="D24"/>
      <c r="E24"/>
      <c r="F24"/>
      <c r="G24" s="276">
        <v>185.6089442348019</v>
      </c>
      <c r="H24" s="276">
        <v>113.25819715617203</v>
      </c>
      <c r="I24" s="276">
        <v>82.271469214723723</v>
      </c>
      <c r="J24" s="276">
        <v>65.061991929504316</v>
      </c>
      <c r="K24" s="276">
        <v>54.112503311154541</v>
      </c>
      <c r="L24" s="276">
        <v>46.532997745659614</v>
      </c>
      <c r="M24" s="276">
        <v>40.975166599060024</v>
      </c>
      <c r="N24" s="276">
        <v>36.725330412381616</v>
      </c>
      <c r="O24" s="276">
        <v>33.370361847919639</v>
      </c>
      <c r="P24" s="276">
        <v>30.654541712929614</v>
      </c>
      <c r="Q24" s="276">
        <v>28.411110192880685</v>
      </c>
      <c r="R24" s="276">
        <v>26.526678104957767</v>
      </c>
      <c r="S24" s="276">
        <v>24.921457428139512</v>
      </c>
      <c r="T24" s="276">
        <v>23.537673293540777</v>
      </c>
      <c r="U24" s="276">
        <v>22.332462163718105</v>
      </c>
      <c r="V24" s="276">
        <v>21.273352766859333</v>
      </c>
      <c r="W24" s="276">
        <v>20.335296580317952</v>
      </c>
      <c r="X24" s="276">
        <v>19.498661491914113</v>
      </c>
      <c r="Y24" s="276">
        <v>18.747842851768873</v>
      </c>
      <c r="Z24" s="276">
        <v>18.070281080347986</v>
      </c>
      <c r="AA24" s="276">
        <v>17.455753454774502</v>
      </c>
      <c r="AB24" s="276">
        <v>16.895854766852462</v>
      </c>
      <c r="AC24" s="276">
        <v>16.38361058894235</v>
      </c>
      <c r="AD24" s="276">
        <v>15.913185257017252</v>
      </c>
      <c r="AE24" s="276">
        <v>15.479658568316028</v>
      </c>
      <c r="AF24" s="276">
        <v>15.078853041365932</v>
      </c>
    </row>
    <row r="25" spans="1:32" s="221" customFormat="1" ht="14.45" x14ac:dyDescent="0.35">
      <c r="A25" s="376"/>
      <c r="B25" s="376"/>
      <c r="C25"/>
      <c r="D25"/>
      <c r="E25"/>
      <c r="F25"/>
      <c r="G25" s="276" t="str">
        <v/>
      </c>
      <c r="H25" s="276" t="str">
        <v/>
      </c>
      <c r="I25" s="276" t="str">
        <v/>
      </c>
      <c r="J25" s="276" t="str">
        <v/>
      </c>
      <c r="K25" s="276" t="str">
        <v/>
      </c>
      <c r="L25" s="276" t="str">
        <v/>
      </c>
      <c r="M25" s="276" t="str">
        <v/>
      </c>
      <c r="N25" s="276" t="str">
        <v/>
      </c>
      <c r="O25" s="276" t="str">
        <v/>
      </c>
      <c r="P25" s="276" t="str">
        <v/>
      </c>
      <c r="Q25" s="276" t="str">
        <v/>
      </c>
      <c r="R25" s="276" t="str">
        <v/>
      </c>
      <c r="S25" s="276" t="str">
        <v/>
      </c>
      <c r="T25" s="276" t="str">
        <v/>
      </c>
      <c r="U25" s="276" t="str">
        <v/>
      </c>
      <c r="V25" s="276" t="str">
        <v/>
      </c>
      <c r="W25" s="276" t="str">
        <v/>
      </c>
      <c r="X25" s="276" t="str">
        <v/>
      </c>
      <c r="Y25" s="276" t="str">
        <v/>
      </c>
      <c r="Z25" s="276" t="str">
        <v/>
      </c>
      <c r="AA25" s="276" t="str">
        <v/>
      </c>
      <c r="AB25" s="276" t="str">
        <v/>
      </c>
      <c r="AC25" s="276" t="str">
        <v/>
      </c>
      <c r="AD25" s="276" t="str">
        <v/>
      </c>
      <c r="AE25" s="276" t="str">
        <v/>
      </c>
      <c r="AF25" s="276" t="str">
        <v/>
      </c>
    </row>
    <row r="26" spans="1:32" s="202" customFormat="1" ht="12.95" x14ac:dyDescent="0.3">
      <c r="A26" s="402" t="s">
        <v>42</v>
      </c>
      <c r="B26" s="402"/>
      <c r="C26" s="402"/>
      <c r="D26" s="402"/>
      <c r="E26" s="402"/>
      <c r="F26" s="402"/>
      <c r="G26" s="274" t="str">
        <v/>
      </c>
      <c r="H26" s="274" t="str">
        <v/>
      </c>
      <c r="I26" s="274" t="str">
        <v/>
      </c>
      <c r="J26" s="274" t="str">
        <v/>
      </c>
      <c r="K26" s="274" t="str">
        <v/>
      </c>
      <c r="L26" s="274" t="str">
        <v/>
      </c>
      <c r="M26" s="274" t="str">
        <v/>
      </c>
      <c r="N26" s="274" t="str">
        <v/>
      </c>
      <c r="O26" s="274" t="str">
        <v/>
      </c>
      <c r="P26" s="274" t="str">
        <v/>
      </c>
      <c r="Q26" s="274" t="str">
        <v/>
      </c>
      <c r="R26" s="274" t="str">
        <v/>
      </c>
      <c r="S26" s="274" t="str">
        <v/>
      </c>
      <c r="T26" s="274" t="str">
        <v/>
      </c>
      <c r="U26" s="274" t="str">
        <v/>
      </c>
      <c r="V26" s="274" t="str">
        <v/>
      </c>
      <c r="W26" s="274" t="str">
        <v/>
      </c>
      <c r="X26" s="274" t="str">
        <v/>
      </c>
      <c r="Y26" s="274" t="str">
        <v/>
      </c>
      <c r="Z26" s="274" t="str">
        <v/>
      </c>
      <c r="AA26" s="274" t="str">
        <v/>
      </c>
      <c r="AB26" s="274" t="str">
        <v/>
      </c>
      <c r="AC26" s="274" t="str">
        <v/>
      </c>
      <c r="AD26" s="274" t="str">
        <v/>
      </c>
      <c r="AE26" s="274" t="str">
        <v/>
      </c>
      <c r="AF26" s="274" t="str">
        <v/>
      </c>
    </row>
    <row r="27" spans="1:32" s="221" customFormat="1" ht="14.45" x14ac:dyDescent="0.35">
      <c r="A27" s="376"/>
      <c r="B27" s="388" t="s">
        <v>43</v>
      </c>
      <c r="C27"/>
      <c r="D27"/>
      <c r="E27"/>
      <c r="F27"/>
      <c r="G27" s="276">
        <v>75.58433286645166</v>
      </c>
      <c r="H27" s="276">
        <v>75.443969719569651</v>
      </c>
      <c r="I27" s="276">
        <v>75.303606572687599</v>
      </c>
      <c r="J27" s="276">
        <v>75.163243425805589</v>
      </c>
      <c r="K27" s="276">
        <v>75.02288027892358</v>
      </c>
      <c r="L27" s="276">
        <v>74.882517132041528</v>
      </c>
      <c r="M27" s="276">
        <v>74.742153985159518</v>
      </c>
      <c r="N27" s="276">
        <v>74.601790838277481</v>
      </c>
      <c r="O27" s="276">
        <v>74.461427691395471</v>
      </c>
      <c r="P27" s="276">
        <v>74.321064544513462</v>
      </c>
      <c r="Q27" s="276">
        <v>74.18070139763141</v>
      </c>
      <c r="R27" s="276">
        <v>74.040338250749414</v>
      </c>
      <c r="S27" s="276">
        <v>73.899975103867362</v>
      </c>
      <c r="T27" s="276">
        <v>73.759611956985353</v>
      </c>
      <c r="U27" s="276">
        <v>73.619248810103329</v>
      </c>
      <c r="V27" s="276">
        <v>73.478885663221291</v>
      </c>
      <c r="W27" s="276">
        <v>73.338522516339282</v>
      </c>
      <c r="X27" s="276">
        <v>73.198159369457244</v>
      </c>
      <c r="Y27" s="276">
        <v>73.057796222575234</v>
      </c>
      <c r="Z27" s="276">
        <v>72.917433075693225</v>
      </c>
      <c r="AA27" s="276">
        <v>72.777069928811173</v>
      </c>
      <c r="AB27" s="276">
        <v>72.636706781929163</v>
      </c>
      <c r="AC27" s="276">
        <v>72.496343635047126</v>
      </c>
      <c r="AD27" s="276">
        <v>72.355980488165102</v>
      </c>
      <c r="AE27" s="276">
        <v>72.215617341283092</v>
      </c>
      <c r="AF27" s="276">
        <v>72.075254194401055</v>
      </c>
    </row>
    <row r="28" spans="1:32" s="221" customFormat="1" ht="14.45" x14ac:dyDescent="0.35">
      <c r="A28" s="376"/>
      <c r="B28" s="388" t="s">
        <v>44</v>
      </c>
      <c r="C28"/>
      <c r="D28"/>
      <c r="E28"/>
      <c r="F28"/>
      <c r="G28" s="276">
        <v>118.8323430638078</v>
      </c>
      <c r="H28" s="276">
        <v>118.58593486079927</v>
      </c>
      <c r="I28" s="276">
        <v>118.33952665779071</v>
      </c>
      <c r="J28" s="276">
        <v>118.09311845478211</v>
      </c>
      <c r="K28" s="276">
        <v>117.84671025177354</v>
      </c>
      <c r="L28" s="276">
        <v>117.60030204876497</v>
      </c>
      <c r="M28" s="276">
        <v>117.35389384575643</v>
      </c>
      <c r="N28" s="276">
        <v>117.10748564274787</v>
      </c>
      <c r="O28" s="276">
        <v>116.86107743973932</v>
      </c>
      <c r="P28" s="276">
        <v>116.61466923673072</v>
      </c>
      <c r="Q28" s="276">
        <v>116.36826103372215</v>
      </c>
      <c r="R28" s="276">
        <v>116.12185283071364</v>
      </c>
      <c r="S28" s="276">
        <v>115.87544462770504</v>
      </c>
      <c r="T28" s="276">
        <v>115.62903642469647</v>
      </c>
      <c r="U28" s="276">
        <v>115.38262822168791</v>
      </c>
      <c r="V28" s="276">
        <v>115.13622001867932</v>
      </c>
      <c r="W28" s="276">
        <v>114.8898118156708</v>
      </c>
      <c r="X28" s="276">
        <v>114.64340361266224</v>
      </c>
      <c r="Y28" s="276">
        <v>114.39699540965364</v>
      </c>
      <c r="Z28" s="276">
        <v>114.15058720664507</v>
      </c>
      <c r="AA28" s="276">
        <v>113.90417900363651</v>
      </c>
      <c r="AB28" s="276">
        <v>113.65777080062796</v>
      </c>
      <c r="AC28" s="276">
        <v>113.41136259761939</v>
      </c>
      <c r="AD28" s="276">
        <v>113.16495439461083</v>
      </c>
      <c r="AE28" s="276">
        <v>112.91854619160225</v>
      </c>
      <c r="AF28" s="276">
        <v>112.67213798859368</v>
      </c>
    </row>
    <row r="29" spans="1:32" s="221" customFormat="1" ht="14.45" x14ac:dyDescent="0.35">
      <c r="A29" s="376"/>
      <c r="B29" s="388" t="s">
        <v>45</v>
      </c>
      <c r="C29"/>
      <c r="D29"/>
      <c r="E29"/>
      <c r="F29"/>
      <c r="G29" s="276">
        <v>41.250930806701589</v>
      </c>
      <c r="H29" s="276">
        <v>41.173126559984325</v>
      </c>
      <c r="I29" s="276">
        <v>41.095322313267047</v>
      </c>
      <c r="J29" s="276">
        <v>41.01751806654979</v>
      </c>
      <c r="K29" s="276">
        <v>40.939713819832534</v>
      </c>
      <c r="L29" s="276">
        <v>40.861909573115256</v>
      </c>
      <c r="M29" s="276">
        <v>40.784105326397999</v>
      </c>
      <c r="N29" s="276">
        <v>40.706301079680721</v>
      </c>
      <c r="O29" s="276">
        <v>40.628496832963464</v>
      </c>
      <c r="P29" s="276">
        <v>40.5506925862462</v>
      </c>
      <c r="Q29" s="276">
        <v>40.472888339528922</v>
      </c>
      <c r="R29" s="276">
        <v>40.395084092811665</v>
      </c>
      <c r="S29" s="276">
        <v>40.317279846094387</v>
      </c>
      <c r="T29" s="276">
        <v>40.23947559937713</v>
      </c>
      <c r="U29" s="276">
        <v>40.161671352659866</v>
      </c>
      <c r="V29" s="276">
        <v>40.083867105942588</v>
      </c>
      <c r="W29" s="276">
        <v>40.006062859225331</v>
      </c>
      <c r="X29" s="276">
        <v>39.92825861250806</v>
      </c>
      <c r="Y29" s="276">
        <v>39.850454365790796</v>
      </c>
      <c r="Z29" s="276">
        <v>39.772650119073539</v>
      </c>
      <c r="AA29" s="276">
        <v>39.694845872356254</v>
      </c>
      <c r="AB29" s="276">
        <v>39.617041625638997</v>
      </c>
      <c r="AC29" s="276">
        <v>39.539237378921726</v>
      </c>
      <c r="AD29" s="276">
        <v>39.461433132204462</v>
      </c>
      <c r="AE29" s="276">
        <v>39.383628885487205</v>
      </c>
      <c r="AF29" s="276">
        <v>39.305824638769927</v>
      </c>
    </row>
    <row r="30" spans="1:32" s="221" customFormat="1" ht="14.45" x14ac:dyDescent="0.35">
      <c r="A30" s="376"/>
      <c r="B30" s="388" t="s">
        <v>46</v>
      </c>
      <c r="C30"/>
      <c r="D30"/>
      <c r="E30"/>
      <c r="F30"/>
      <c r="G30" s="276">
        <v>3000</v>
      </c>
      <c r="H30" s="276">
        <v>3000</v>
      </c>
      <c r="I30" s="276">
        <v>3000</v>
      </c>
      <c r="J30" s="276">
        <v>3000</v>
      </c>
      <c r="K30" s="276">
        <v>3000</v>
      </c>
      <c r="L30" s="276">
        <v>3000</v>
      </c>
      <c r="M30" s="276">
        <v>3000</v>
      </c>
      <c r="N30" s="276">
        <v>3000</v>
      </c>
      <c r="O30" s="276">
        <v>3000</v>
      </c>
      <c r="P30" s="276">
        <v>3000</v>
      </c>
      <c r="Q30" s="276">
        <v>3000</v>
      </c>
      <c r="R30" s="276">
        <v>3000</v>
      </c>
      <c r="S30" s="276">
        <v>3000</v>
      </c>
      <c r="T30" s="276">
        <v>3000</v>
      </c>
      <c r="U30" s="276">
        <v>3000</v>
      </c>
      <c r="V30" s="276">
        <v>3000</v>
      </c>
      <c r="W30" s="276">
        <v>3000</v>
      </c>
      <c r="X30" s="276">
        <v>3000</v>
      </c>
      <c r="Y30" s="276">
        <v>3000</v>
      </c>
      <c r="Z30" s="276">
        <v>3000</v>
      </c>
      <c r="AA30" s="276">
        <v>3000</v>
      </c>
      <c r="AB30" s="276">
        <v>3000</v>
      </c>
      <c r="AC30" s="276">
        <v>3000</v>
      </c>
      <c r="AD30" s="276">
        <v>3000</v>
      </c>
      <c r="AE30" s="276">
        <v>3000</v>
      </c>
      <c r="AF30" s="276">
        <v>3000</v>
      </c>
    </row>
    <row r="31" spans="1:32" s="221" customFormat="1" ht="14.45" x14ac:dyDescent="0.35">
      <c r="A31" s="376"/>
      <c r="B31" s="376" t="s">
        <v>29</v>
      </c>
      <c r="C31"/>
      <c r="D31"/>
      <c r="E31"/>
      <c r="F31"/>
      <c r="G31" s="276">
        <v>180.88475965641621</v>
      </c>
      <c r="H31" s="276">
        <v>108.53401257778634</v>
      </c>
      <c r="I31" s="276">
        <v>77.547284636338048</v>
      </c>
      <c r="J31" s="276">
        <v>60.337807351118627</v>
      </c>
      <c r="K31" s="276">
        <v>49.388318732768852</v>
      </c>
      <c r="L31" s="276">
        <v>41.808813167273925</v>
      </c>
      <c r="M31" s="276">
        <v>36.250982020674343</v>
      </c>
      <c r="N31" s="276">
        <v>32.00114583399592</v>
      </c>
      <c r="O31" s="276">
        <v>28.646177269533947</v>
      </c>
      <c r="P31" s="276">
        <v>25.930357134543918</v>
      </c>
      <c r="Q31" s="276">
        <v>23.686925614494996</v>
      </c>
      <c r="R31" s="276">
        <v>21.802493526572075</v>
      </c>
      <c r="S31" s="276">
        <v>20.197272849753823</v>
      </c>
      <c r="T31" s="276">
        <v>18.813488715155085</v>
      </c>
      <c r="U31" s="276">
        <v>17.608277585332416</v>
      </c>
      <c r="V31" s="276">
        <v>16.549168188473637</v>
      </c>
      <c r="W31" s="276">
        <v>15.611112001932257</v>
      </c>
      <c r="X31" s="276">
        <v>14.774476913528421</v>
      </c>
      <c r="Y31" s="276">
        <v>14.02365827338318</v>
      </c>
      <c r="Z31" s="276">
        <v>13.346096501962293</v>
      </c>
      <c r="AA31" s="276">
        <v>12.731568876388808</v>
      </c>
      <c r="AB31" s="276">
        <v>12.17167018846677</v>
      </c>
      <c r="AC31" s="276">
        <v>11.659426010556658</v>
      </c>
      <c r="AD31" s="276">
        <v>11.189000678631562</v>
      </c>
      <c r="AE31" s="276">
        <v>10.755473989930337</v>
      </c>
      <c r="AF31" s="276">
        <v>10.354668462980239</v>
      </c>
    </row>
    <row r="32" spans="1:32" s="221" customFormat="1" ht="14.45" x14ac:dyDescent="0.35">
      <c r="A32" s="376"/>
      <c r="B32" s="376"/>
      <c r="C32"/>
      <c r="D32"/>
      <c r="E32"/>
      <c r="F32"/>
      <c r="G32" s="276" t="str">
        <v/>
      </c>
      <c r="H32" s="276" t="str">
        <v/>
      </c>
      <c r="I32" s="276" t="str">
        <v/>
      </c>
      <c r="J32" s="276" t="str">
        <v/>
      </c>
      <c r="K32" s="276" t="str">
        <v/>
      </c>
      <c r="L32" s="276" t="str">
        <v/>
      </c>
      <c r="M32" s="276" t="str">
        <v/>
      </c>
      <c r="N32" s="276" t="str">
        <v/>
      </c>
      <c r="O32" s="276" t="str">
        <v/>
      </c>
      <c r="P32" s="276" t="str">
        <v/>
      </c>
      <c r="Q32" s="276" t="str">
        <v/>
      </c>
      <c r="R32" s="276" t="str">
        <v/>
      </c>
      <c r="S32" s="276" t="str">
        <v/>
      </c>
      <c r="T32" s="276" t="str">
        <v/>
      </c>
      <c r="U32" s="276" t="str">
        <v/>
      </c>
      <c r="V32" s="276" t="str">
        <v/>
      </c>
      <c r="W32" s="276" t="str">
        <v/>
      </c>
      <c r="X32" s="276" t="str">
        <v/>
      </c>
      <c r="Y32" s="276" t="str">
        <v/>
      </c>
      <c r="Z32" s="276" t="str">
        <v/>
      </c>
      <c r="AA32" s="276" t="str">
        <v/>
      </c>
      <c r="AB32" s="276" t="str">
        <v/>
      </c>
      <c r="AC32" s="276" t="str">
        <v/>
      </c>
      <c r="AD32" s="276" t="str">
        <v/>
      </c>
      <c r="AE32" s="276" t="str">
        <v/>
      </c>
      <c r="AF32" s="276" t="str">
        <v/>
      </c>
    </row>
    <row r="33" spans="1:32" s="202" customFormat="1" ht="12.95" x14ac:dyDescent="0.3">
      <c r="A33" s="402" t="s">
        <v>47</v>
      </c>
      <c r="B33" s="402"/>
      <c r="C33" s="402"/>
      <c r="D33" s="402"/>
      <c r="E33" s="402"/>
      <c r="F33" s="402"/>
      <c r="G33" s="274" t="str">
        <v/>
      </c>
      <c r="H33" s="274" t="str">
        <v/>
      </c>
      <c r="I33" s="274" t="str">
        <v/>
      </c>
      <c r="J33" s="274" t="str">
        <v/>
      </c>
      <c r="K33" s="274" t="str">
        <v/>
      </c>
      <c r="L33" s="274" t="str">
        <v/>
      </c>
      <c r="M33" s="274" t="str">
        <v/>
      </c>
      <c r="N33" s="274" t="str">
        <v/>
      </c>
      <c r="O33" s="274" t="str">
        <v/>
      </c>
      <c r="P33" s="274" t="str">
        <v/>
      </c>
      <c r="Q33" s="274" t="str">
        <v/>
      </c>
      <c r="R33" s="274" t="str">
        <v/>
      </c>
      <c r="S33" s="274" t="str">
        <v/>
      </c>
      <c r="T33" s="274" t="str">
        <v/>
      </c>
      <c r="U33" s="274" t="str">
        <v/>
      </c>
      <c r="V33" s="274" t="str">
        <v/>
      </c>
      <c r="W33" s="274" t="str">
        <v/>
      </c>
      <c r="X33" s="274" t="str">
        <v/>
      </c>
      <c r="Y33" s="274" t="str">
        <v/>
      </c>
      <c r="Z33" s="274" t="str">
        <v/>
      </c>
      <c r="AA33" s="274" t="str">
        <v/>
      </c>
      <c r="AB33" s="274" t="str">
        <v/>
      </c>
      <c r="AC33" s="274" t="str">
        <v/>
      </c>
      <c r="AD33" s="274" t="str">
        <v/>
      </c>
      <c r="AE33" s="274" t="str">
        <v/>
      </c>
      <c r="AF33" s="274" t="str">
        <v/>
      </c>
    </row>
    <row r="34" spans="1:32" s="221" customFormat="1" ht="14.45" x14ac:dyDescent="0.35">
      <c r="A34" s="376"/>
      <c r="B34" s="376" t="s">
        <v>48</v>
      </c>
      <c r="C34"/>
      <c r="D34"/>
      <c r="E34"/>
      <c r="F34"/>
      <c r="G34" s="276">
        <v>42.852279600041747</v>
      </c>
      <c r="H34" s="276">
        <v>42.842357976866531</v>
      </c>
      <c r="I34" s="276">
        <v>42.832436353691314</v>
      </c>
      <c r="J34" s="276">
        <v>42.82251473051609</v>
      </c>
      <c r="K34" s="276">
        <v>42.812593107340874</v>
      </c>
      <c r="L34" s="276">
        <v>42.802671484165664</v>
      </c>
      <c r="M34" s="276">
        <v>42.79274986099044</v>
      </c>
      <c r="N34" s="276">
        <v>42.782828237815224</v>
      </c>
      <c r="O34" s="276">
        <v>42.772906614640007</v>
      </c>
      <c r="P34" s="276">
        <v>42.762984991464791</v>
      </c>
      <c r="Q34" s="276">
        <v>42.753063368289574</v>
      </c>
      <c r="R34" s="276">
        <v>42.743141745114357</v>
      </c>
      <c r="S34" s="276">
        <v>42.733220121939141</v>
      </c>
      <c r="T34" s="276">
        <v>42.723298498763917</v>
      </c>
      <c r="U34" s="276">
        <v>42.713376875588708</v>
      </c>
      <c r="V34" s="276">
        <v>42.703455252413484</v>
      </c>
      <c r="W34" s="276">
        <v>42.693533629238267</v>
      </c>
      <c r="X34" s="276">
        <v>42.683612006063051</v>
      </c>
      <c r="Y34" s="276">
        <v>42.673690382887834</v>
      </c>
      <c r="Z34" s="276">
        <v>42.663768759712617</v>
      </c>
      <c r="AA34" s="276">
        <v>42.653847136537401</v>
      </c>
      <c r="AB34" s="276">
        <v>42.643925513362184</v>
      </c>
      <c r="AC34" s="276">
        <v>42.63400389018696</v>
      </c>
      <c r="AD34" s="276">
        <v>42.624082267011751</v>
      </c>
      <c r="AE34" s="276">
        <v>42.614160643836527</v>
      </c>
      <c r="AF34" s="276">
        <v>42.604239020661311</v>
      </c>
    </row>
    <row r="35" spans="1:32" s="221" customFormat="1" ht="14.45" x14ac:dyDescent="0.35">
      <c r="A35" s="376"/>
      <c r="B35" s="388" t="s">
        <v>50</v>
      </c>
      <c r="C35"/>
      <c r="D35"/>
      <c r="E35"/>
      <c r="F35"/>
      <c r="G35" s="276">
        <v>23.821406781216748</v>
      </c>
      <c r="H35" s="276">
        <v>23.800981814431594</v>
      </c>
      <c r="I35" s="276">
        <v>23.780556847646452</v>
      </c>
      <c r="J35" s="276">
        <v>23.760131880861305</v>
      </c>
      <c r="K35" s="276">
        <v>23.739706914076155</v>
      </c>
      <c r="L35" s="276">
        <v>23.719281947291009</v>
      </c>
      <c r="M35" s="276">
        <v>23.698856980505855</v>
      </c>
      <c r="N35" s="276">
        <v>23.678432013720712</v>
      </c>
      <c r="O35" s="276">
        <v>23.658007046935559</v>
      </c>
      <c r="P35" s="276">
        <v>23.637582080150416</v>
      </c>
      <c r="Q35" s="276">
        <v>23.61715711336527</v>
      </c>
      <c r="R35" s="276">
        <v>23.596732146580116</v>
      </c>
      <c r="S35" s="276">
        <v>23.576307179794973</v>
      </c>
      <c r="T35" s="276">
        <v>23.55588221300982</v>
      </c>
      <c r="U35" s="276">
        <v>23.535457246224674</v>
      </c>
      <c r="V35" s="276">
        <v>23.515032279439531</v>
      </c>
      <c r="W35" s="276">
        <v>23.494607312654377</v>
      </c>
      <c r="X35" s="276">
        <v>23.474182345869234</v>
      </c>
      <c r="Y35" s="276">
        <v>23.453757379084081</v>
      </c>
      <c r="Z35" s="276">
        <v>23.433332412298935</v>
      </c>
      <c r="AA35" s="276">
        <v>23.412907445513785</v>
      </c>
      <c r="AB35" s="276">
        <v>23.392482478728638</v>
      </c>
      <c r="AC35" s="276">
        <v>23.372057511943495</v>
      </c>
      <c r="AD35" s="276">
        <v>23.351632545158342</v>
      </c>
      <c r="AE35" s="276">
        <v>23.331207578373196</v>
      </c>
      <c r="AF35" s="276">
        <v>23.310782611588046</v>
      </c>
    </row>
    <row r="36" spans="1:32" s="221" customFormat="1" ht="14.45" x14ac:dyDescent="0.35">
      <c r="A36" s="376"/>
      <c r="B36" s="376" t="s">
        <v>51</v>
      </c>
      <c r="C36"/>
      <c r="D36"/>
      <c r="E36"/>
      <c r="F36"/>
      <c r="G36" s="276">
        <v>28.06292777096337</v>
      </c>
      <c r="H36" s="276">
        <v>28.043576859525611</v>
      </c>
      <c r="I36" s="276">
        <v>28.024225948087846</v>
      </c>
      <c r="J36" s="276">
        <v>28.00487503665008</v>
      </c>
      <c r="K36" s="276">
        <v>27.985524125212322</v>
      </c>
      <c r="L36" s="276">
        <v>27.966173213774557</v>
      </c>
      <c r="M36" s="276">
        <v>27.946822302336798</v>
      </c>
      <c r="N36" s="276">
        <v>27.927471390899029</v>
      </c>
      <c r="O36" s="276">
        <v>27.908120479461264</v>
      </c>
      <c r="P36" s="276">
        <v>27.888769568023505</v>
      </c>
      <c r="Q36" s="276">
        <v>27.86941865658574</v>
      </c>
      <c r="R36" s="276">
        <v>27.850067745147975</v>
      </c>
      <c r="S36" s="276">
        <v>27.830716833710216</v>
      </c>
      <c r="T36" s="276">
        <v>27.811365922272451</v>
      </c>
      <c r="U36" s="276">
        <v>27.792015010834682</v>
      </c>
      <c r="V36" s="276">
        <v>27.772664099396923</v>
      </c>
      <c r="W36" s="276">
        <v>27.753313187959158</v>
      </c>
      <c r="X36" s="276">
        <v>27.733962276521392</v>
      </c>
      <c r="Y36" s="276">
        <v>27.714611365083634</v>
      </c>
      <c r="Z36" s="276">
        <v>27.695260453645865</v>
      </c>
      <c r="AA36" s="276">
        <v>27.67590954220811</v>
      </c>
      <c r="AB36" s="276">
        <v>27.656558630770341</v>
      </c>
      <c r="AC36" s="276">
        <v>27.637207719332576</v>
      </c>
      <c r="AD36" s="276">
        <v>27.617856807894817</v>
      </c>
      <c r="AE36" s="276">
        <v>27.598505896457052</v>
      </c>
      <c r="AF36" s="276">
        <v>27.579154985019287</v>
      </c>
    </row>
    <row r="37" spans="1:32" s="221" customFormat="1" ht="14.45" x14ac:dyDescent="0.35">
      <c r="A37" s="376"/>
      <c r="B37" s="376" t="s">
        <v>52</v>
      </c>
      <c r="C37"/>
      <c r="D37"/>
      <c r="E37"/>
      <c r="F37"/>
      <c r="G37" s="276">
        <v>68.617139503165106</v>
      </c>
      <c r="H37" s="276">
        <v>68.540799169354997</v>
      </c>
      <c r="I37" s="276">
        <v>68.464458835544875</v>
      </c>
      <c r="J37" s="276">
        <v>68.38811850173478</v>
      </c>
      <c r="K37" s="276">
        <v>68.311778167924672</v>
      </c>
      <c r="L37" s="276">
        <v>68.235437834114549</v>
      </c>
      <c r="M37" s="276">
        <v>68.159097500304441</v>
      </c>
      <c r="N37" s="276">
        <v>68.082757166494318</v>
      </c>
      <c r="O37" s="276">
        <v>68.006416832684224</v>
      </c>
      <c r="P37" s="276">
        <v>67.930076498874115</v>
      </c>
      <c r="Q37" s="276">
        <v>67.853736165063992</v>
      </c>
      <c r="R37" s="276">
        <v>67.777395831253884</v>
      </c>
      <c r="S37" s="276">
        <v>67.701055497443775</v>
      </c>
      <c r="T37" s="276">
        <v>67.624715163633667</v>
      </c>
      <c r="U37" s="276">
        <v>67.548374829823558</v>
      </c>
      <c r="V37" s="276">
        <v>67.472034496013436</v>
      </c>
      <c r="W37" s="276">
        <v>67.395694162203341</v>
      </c>
      <c r="X37" s="276">
        <v>67.319353828393218</v>
      </c>
      <c r="Y37" s="276">
        <v>67.24301349458311</v>
      </c>
      <c r="Z37" s="276">
        <v>67.166673160773016</v>
      </c>
      <c r="AA37" s="276">
        <v>67.090332826962879</v>
      </c>
      <c r="AB37" s="276">
        <v>67.013992493152784</v>
      </c>
      <c r="AC37" s="276">
        <v>66.937652159342662</v>
      </c>
      <c r="AD37" s="276">
        <v>66.861311825532553</v>
      </c>
      <c r="AE37" s="276">
        <v>66.784971491722459</v>
      </c>
      <c r="AF37" s="276">
        <v>66.708631157912336</v>
      </c>
    </row>
    <row r="38" spans="1:32" s="221" customFormat="1" x14ac:dyDescent="0.25">
      <c r="A38" s="376"/>
      <c r="B38" s="388" t="s">
        <v>29</v>
      </c>
      <c r="C38"/>
      <c r="D38"/>
      <c r="E38"/>
      <c r="F38"/>
      <c r="G38" s="276">
        <v>70.616251908048994</v>
      </c>
      <c r="H38" s="276">
        <v>46.414565940879001</v>
      </c>
      <c r="I38" s="276">
        <v>36.98108813058807</v>
      </c>
      <c r="J38" s="276">
        <v>31.95831411287304</v>
      </c>
      <c r="K38" s="276">
        <v>28.838993360451916</v>
      </c>
      <c r="L38" s="276">
        <v>26.713476378281506</v>
      </c>
      <c r="M38" s="276">
        <v>25.172090132056617</v>
      </c>
      <c r="N38" s="276">
        <v>24.003130116661175</v>
      </c>
      <c r="O38" s="276">
        <v>23.086167978893393</v>
      </c>
      <c r="P38" s="276">
        <v>22.347645869538319</v>
      </c>
      <c r="Q38" s="276">
        <v>21.740095976216075</v>
      </c>
      <c r="R38" s="276">
        <v>21.231515414499746</v>
      </c>
      <c r="S38" s="276">
        <v>20.799542509963352</v>
      </c>
      <c r="T38" s="276">
        <v>20.428080442394172</v>
      </c>
      <c r="U38" s="276">
        <v>20.105246897766484</v>
      </c>
      <c r="V38" s="276">
        <v>19.822079491003315</v>
      </c>
      <c r="W38" s="276">
        <v>19.571690758762056</v>
      </c>
      <c r="X38" s="276">
        <v>19.348700544236785</v>
      </c>
      <c r="Y38" s="276">
        <v>19.148845048248816</v>
      </c>
      <c r="Z38" s="276">
        <v>18.968701559735301</v>
      </c>
      <c r="AA38" s="276">
        <v>18.805490808800339</v>
      </c>
      <c r="AB38" s="276">
        <v>18.65693255193489</v>
      </c>
      <c r="AC38" s="276">
        <v>18.521138381476568</v>
      </c>
      <c r="AD38" s="276">
        <v>18.396531026356431</v>
      </c>
      <c r="AE38" s="276">
        <v>18.281782808014576</v>
      </c>
      <c r="AF38" s="276">
        <v>18.175768148792763</v>
      </c>
    </row>
    <row r="39" spans="1:32" s="221" customFormat="1" x14ac:dyDescent="0.25">
      <c r="A39" s="376"/>
      <c r="B39" s="388" t="s">
        <v>53</v>
      </c>
      <c r="C39"/>
      <c r="D39"/>
      <c r="E39"/>
      <c r="F39"/>
      <c r="G39" s="276">
        <v>32.627909128451691</v>
      </c>
      <c r="H39" s="276">
        <v>32.588822199120862</v>
      </c>
      <c r="I39" s="276">
        <v>32.549735269790041</v>
      </c>
      <c r="J39" s="276">
        <v>32.510648340459213</v>
      </c>
      <c r="K39" s="276">
        <v>32.471561411128377</v>
      </c>
      <c r="L39" s="276">
        <v>32.432474481797541</v>
      </c>
      <c r="M39" s="276">
        <v>32.393387552466706</v>
      </c>
      <c r="N39" s="276">
        <v>32.354300623135877</v>
      </c>
      <c r="O39" s="276">
        <v>32.315213693805042</v>
      </c>
      <c r="P39" s="276">
        <v>32.276126764474213</v>
      </c>
      <c r="Q39" s="276">
        <v>32.237039835143378</v>
      </c>
      <c r="R39" s="276">
        <v>32.197952905812542</v>
      </c>
      <c r="S39" s="276">
        <v>32.158865976481728</v>
      </c>
      <c r="T39" s="276">
        <v>32.119779047150892</v>
      </c>
      <c r="U39" s="276">
        <v>32.080692117820057</v>
      </c>
      <c r="V39" s="276">
        <v>32.041605188489228</v>
      </c>
      <c r="W39" s="276">
        <v>32.002518259158393</v>
      </c>
      <c r="X39" s="276">
        <v>31.963431329827557</v>
      </c>
      <c r="Y39" s="276">
        <v>31.924344400496725</v>
      </c>
      <c r="Z39" s="276">
        <v>31.885257471165893</v>
      </c>
      <c r="AA39" s="276">
        <v>31.846170541835058</v>
      </c>
      <c r="AB39" s="276">
        <v>31.807083612504226</v>
      </c>
      <c r="AC39" s="276">
        <v>31.767996683173394</v>
      </c>
      <c r="AD39" s="276">
        <v>31.728909753842576</v>
      </c>
      <c r="AE39" s="276">
        <v>31.689822824511744</v>
      </c>
      <c r="AF39" s="276">
        <v>31.650735895180908</v>
      </c>
    </row>
    <row r="40" spans="1:32" s="221" customFormat="1" x14ac:dyDescent="0.25">
      <c r="A40"/>
      <c r="B40"/>
      <c r="C40"/>
      <c r="D40"/>
      <c r="E40"/>
      <c r="F40"/>
      <c r="G40"/>
      <c r="H40"/>
      <c r="I40"/>
      <c r="J40"/>
      <c r="K40"/>
      <c r="L40"/>
      <c r="M40"/>
      <c r="N40"/>
      <c r="O40"/>
      <c r="P40"/>
      <c r="Q40"/>
      <c r="R40"/>
      <c r="S40"/>
      <c r="T40"/>
      <c r="U40"/>
      <c r="V40"/>
      <c r="W40"/>
      <c r="X40"/>
      <c r="Y40"/>
      <c r="Z40"/>
      <c r="AA40"/>
      <c r="AB40"/>
      <c r="AC40"/>
      <c r="AD40"/>
      <c r="AE40"/>
      <c r="AF40"/>
    </row>
    <row r="41" spans="1:32" x14ac:dyDescent="0.25">
      <c r="A41" s="398" t="s">
        <v>207</v>
      </c>
      <c r="B41" s="399"/>
      <c r="C41" s="398"/>
      <c r="D41" s="399"/>
      <c r="E41" s="399"/>
      <c r="F41" s="399"/>
      <c r="G41" s="829" t="s">
        <v>434</v>
      </c>
      <c r="H41" s="409"/>
      <c r="I41" s="409"/>
      <c r="J41" s="409"/>
      <c r="K41" s="409"/>
      <c r="L41" s="409"/>
      <c r="M41" s="409"/>
      <c r="N41" s="409"/>
      <c r="O41" s="409"/>
      <c r="P41" s="409"/>
      <c r="Q41" s="409"/>
      <c r="R41" s="409"/>
      <c r="S41" s="409"/>
      <c r="T41" s="409"/>
      <c r="U41" s="409"/>
      <c r="V41" s="409"/>
      <c r="W41" s="409"/>
      <c r="X41" s="409"/>
      <c r="Y41" s="409"/>
      <c r="Z41" s="409"/>
      <c r="AA41" s="409"/>
      <c r="AB41" s="409"/>
      <c r="AC41" s="409"/>
      <c r="AD41" s="409"/>
      <c r="AE41" s="409"/>
      <c r="AF41" s="409"/>
    </row>
    <row r="42" spans="1:32" x14ac:dyDescent="0.25">
      <c r="A42" s="378" t="s">
        <v>12</v>
      </c>
      <c r="B42" s="376"/>
    </row>
    <row r="43" spans="1:32" x14ac:dyDescent="0.25">
      <c r="A43" s="376"/>
      <c r="B43" s="376" t="s">
        <v>20</v>
      </c>
    </row>
    <row r="44" spans="1:32" s="202" customFormat="1" ht="12.75" x14ac:dyDescent="0.2">
      <c r="A44" s="402" t="s">
        <v>21</v>
      </c>
      <c r="B44" s="402"/>
      <c r="C44" s="402"/>
      <c r="D44" s="402"/>
      <c r="E44" s="402"/>
      <c r="F44" s="402"/>
      <c r="G44" s="402"/>
      <c r="H44" s="402"/>
      <c r="I44" s="402"/>
      <c r="J44" s="402"/>
      <c r="K44" s="402"/>
      <c r="L44" s="402"/>
      <c r="M44" s="402"/>
      <c r="N44" s="402"/>
      <c r="O44" s="402"/>
      <c r="P44" s="402"/>
      <c r="Q44" s="402"/>
      <c r="R44" s="402"/>
      <c r="S44" s="402"/>
      <c r="T44" s="402"/>
      <c r="U44" s="402"/>
      <c r="V44" s="402"/>
      <c r="W44" s="402"/>
      <c r="X44" s="402"/>
      <c r="Y44" s="402"/>
      <c r="Z44" s="402"/>
      <c r="AA44" s="402"/>
      <c r="AB44" s="402"/>
      <c r="AC44" s="402"/>
      <c r="AD44" s="402"/>
      <c r="AE44" s="402"/>
      <c r="AF44" s="402"/>
    </row>
    <row r="45" spans="1:32" s="221" customFormat="1" x14ac:dyDescent="0.25">
      <c r="A45" s="376"/>
      <c r="B45" s="376" t="s">
        <v>22</v>
      </c>
      <c r="C45"/>
      <c r="D45" s="201"/>
      <c r="E45" s="201"/>
      <c r="F45" s="201"/>
      <c r="G45" s="276">
        <f t="array" ref="G45:AF75" ca="1">Cost_OM_NC</f>
        <v>4.7224537158724615</v>
      </c>
      <c r="H45" s="276">
        <f ca="1"/>
        <v>4.7572172697726938</v>
      </c>
      <c r="I45" s="276">
        <f ca="1"/>
        <v>4.6133776464897043</v>
      </c>
      <c r="J45" s="276">
        <f ca="1"/>
        <v>4.5853749409798334</v>
      </c>
      <c r="K45" s="276">
        <f ca="1"/>
        <v>4.6619826678201344</v>
      </c>
      <c r="L45" s="276">
        <f ca="1"/>
        <v>4.6977668113042688</v>
      </c>
      <c r="M45" s="276">
        <f ca="1"/>
        <v>4.835099618386864</v>
      </c>
      <c r="N45" s="276">
        <f ca="1"/>
        <v>4.936201495240863</v>
      </c>
      <c r="O45" s="276">
        <f ca="1"/>
        <v>5.0199533491684925</v>
      </c>
      <c r="P45" s="276">
        <f ca="1"/>
        <v>5.0705360416192375</v>
      </c>
      <c r="Q45" s="276">
        <f ca="1"/>
        <v>5.141020230956113</v>
      </c>
      <c r="R45" s="276">
        <f ca="1"/>
        <v>5.2370191598905915</v>
      </c>
      <c r="S45" s="276">
        <f ca="1"/>
        <v>5.3284254356975023</v>
      </c>
      <c r="T45" s="276">
        <f ca="1"/>
        <v>5.4239140698400288</v>
      </c>
      <c r="U45" s="276">
        <f ca="1"/>
        <v>5.5290983050296427</v>
      </c>
      <c r="V45" s="276">
        <f ca="1"/>
        <v>5.624586939172171</v>
      </c>
      <c r="W45" s="276">
        <f ca="1"/>
        <v>5.7323226483215457</v>
      </c>
      <c r="X45" s="276">
        <f ca="1"/>
        <v>5.8502642533099625</v>
      </c>
      <c r="Y45" s="276">
        <f ca="1"/>
        <v>5.9799426385132772</v>
      </c>
      <c r="Z45" s="276">
        <f ca="1"/>
        <v>6.1106416133004968</v>
      </c>
      <c r="AA45" s="276">
        <f ca="1"/>
        <v>6.2372582297520971</v>
      </c>
      <c r="AB45" s="276">
        <f ca="1"/>
        <v>6.3786733951703098</v>
      </c>
      <c r="AC45" s="276">
        <f ca="1"/>
        <v>6.5231503293402344</v>
      </c>
      <c r="AD45" s="276">
        <f ca="1"/>
        <v>6.6732405062216307</v>
      </c>
      <c r="AE45" s="276">
        <f ca="1"/>
        <v>6.8335365789420672</v>
      </c>
      <c r="AF45" s="276">
        <f ca="1"/>
        <v>7.0361871193945262</v>
      </c>
    </row>
    <row r="46" spans="1:32" s="221" customFormat="1" x14ac:dyDescent="0.25">
      <c r="A46" s="376"/>
      <c r="B46" s="376" t="s">
        <v>26</v>
      </c>
      <c r="C46"/>
      <c r="D46" s="201"/>
      <c r="E46" s="201"/>
      <c r="F46" s="201"/>
      <c r="G46" s="276">
        <f ca="1"/>
        <v>4.9482400117305367</v>
      </c>
      <c r="H46" s="276">
        <f ca="1"/>
        <v>4.9500379975535633</v>
      </c>
      <c r="I46" s="276">
        <f ca="1"/>
        <v>4.7997402286876696</v>
      </c>
      <c r="J46" s="276">
        <f ca="1"/>
        <v>4.7490707622587705</v>
      </c>
      <c r="K46" s="276">
        <f ca="1"/>
        <v>4.7870990080704967</v>
      </c>
      <c r="L46" s="276">
        <f ca="1"/>
        <v>4.7905042644730251</v>
      </c>
      <c r="M46" s="276">
        <f ca="1"/>
        <v>4.8786646646917236</v>
      </c>
      <c r="N46" s="276">
        <f ca="1"/>
        <v>4.9358683460710164</v>
      </c>
      <c r="O46" s="276">
        <f ca="1"/>
        <v>4.9781748577094787</v>
      </c>
      <c r="P46" s="276">
        <f ca="1"/>
        <v>4.9927794133799948</v>
      </c>
      <c r="Q46" s="276">
        <f ca="1"/>
        <v>5.0235451516841865</v>
      </c>
      <c r="R46" s="276">
        <f ca="1"/>
        <v>5.0748180166906547</v>
      </c>
      <c r="S46" s="276">
        <f ca="1"/>
        <v>5.1218810606218597</v>
      </c>
      <c r="T46" s="276">
        <f ca="1"/>
        <v>5.1717987503082998</v>
      </c>
      <c r="U46" s="276">
        <f ca="1"/>
        <v>5.2290426456056096</v>
      </c>
      <c r="V46" s="276">
        <f ca="1"/>
        <v>5.2779975587136381</v>
      </c>
      <c r="W46" s="276">
        <f ca="1"/>
        <v>5.3362514860576109</v>
      </c>
      <c r="X46" s="276">
        <f ca="1"/>
        <v>5.4020579766717471</v>
      </c>
      <c r="Y46" s="276">
        <f ca="1"/>
        <v>5.4765209499268739</v>
      </c>
      <c r="Z46" s="276">
        <f ca="1"/>
        <v>5.5511054549715926</v>
      </c>
      <c r="AA46" s="276">
        <f ca="1"/>
        <v>5.6218202570898708</v>
      </c>
      <c r="AB46" s="276">
        <f ca="1"/>
        <v>5.7034125289729554</v>
      </c>
      <c r="AC46" s="276">
        <f ca="1"/>
        <v>5.7866419165385921</v>
      </c>
      <c r="AD46" s="276">
        <f ca="1"/>
        <v>5.873454348818326</v>
      </c>
      <c r="AE46" s="276">
        <f ca="1"/>
        <v>5.9673283401148254</v>
      </c>
      <c r="AF46" s="276">
        <f ca="1"/>
        <v>6.0927455334882712</v>
      </c>
    </row>
    <row r="47" spans="1:32" s="221" customFormat="1" x14ac:dyDescent="0.25">
      <c r="A47" s="376"/>
      <c r="B47" s="376" t="s">
        <v>27</v>
      </c>
      <c r="C47"/>
      <c r="D47" s="201"/>
      <c r="E47" s="201"/>
      <c r="F47" s="201"/>
      <c r="G47" s="276">
        <f ca="1"/>
        <v>1.4056783880137185</v>
      </c>
      <c r="H47" s="276">
        <f ca="1"/>
        <v>1.4071444835701994</v>
      </c>
      <c r="I47" s="276">
        <f ca="1"/>
        <v>1.3655551332774671</v>
      </c>
      <c r="J47" s="276">
        <f ca="1"/>
        <v>1.3521531348748426</v>
      </c>
      <c r="K47" s="276">
        <f ca="1"/>
        <v>1.3638450624150715</v>
      </c>
      <c r="L47" s="276">
        <f ca="1"/>
        <v>1.3657289651620947</v>
      </c>
      <c r="M47" s="276">
        <f ca="1"/>
        <v>1.3915912392585268</v>
      </c>
      <c r="N47" s="276">
        <f ca="1"/>
        <v>1.4086833738012263</v>
      </c>
      <c r="O47" s="276">
        <f ca="1"/>
        <v>1.4215506511766942</v>
      </c>
      <c r="P47" s="276">
        <f ca="1"/>
        <v>1.4265691998339003</v>
      </c>
      <c r="Q47" s="276">
        <f ca="1"/>
        <v>1.4361532377820838</v>
      </c>
      <c r="R47" s="276">
        <f ca="1"/>
        <v>1.4515328690540008</v>
      </c>
      <c r="S47" s="276">
        <f ca="1"/>
        <v>1.4657128486719526</v>
      </c>
      <c r="T47" s="276">
        <f ca="1"/>
        <v>1.4806926694331755</v>
      </c>
      <c r="U47" s="276">
        <f ca="1"/>
        <v>1.4977379803813844</v>
      </c>
      <c r="V47" s="276">
        <f ca="1"/>
        <v>1.5124294998717616</v>
      </c>
      <c r="W47" s="276">
        <f ca="1"/>
        <v>1.5297450718124956</v>
      </c>
      <c r="X47" s="276">
        <f ca="1"/>
        <v>1.549190524688715</v>
      </c>
      <c r="Y47" s="276">
        <f ca="1"/>
        <v>1.5710783936069566</v>
      </c>
      <c r="Z47" s="276">
        <f ca="1"/>
        <v>1.5929932296158473</v>
      </c>
      <c r="AA47" s="276">
        <f ca="1"/>
        <v>1.6138055392848725</v>
      </c>
      <c r="AB47" s="276">
        <f ca="1"/>
        <v>1.6376891502011388</v>
      </c>
      <c r="AC47" s="276">
        <f ca="1"/>
        <v>1.6620289654878193</v>
      </c>
      <c r="AD47" s="276">
        <f ca="1"/>
        <v>1.6873758156992156</v>
      </c>
      <c r="AE47" s="276">
        <f ca="1"/>
        <v>1.7147142802251598</v>
      </c>
      <c r="AF47" s="276">
        <f ca="1"/>
        <v>1.750973218504468</v>
      </c>
    </row>
    <row r="48" spans="1:32" s="221" customFormat="1" x14ac:dyDescent="0.25">
      <c r="A48" s="376"/>
      <c r="B48" s="376" t="s">
        <v>29</v>
      </c>
      <c r="C48"/>
      <c r="D48" s="201"/>
      <c r="E48" s="201"/>
      <c r="F48" s="201"/>
      <c r="G48" s="276">
        <f ca="1"/>
        <v>3.1034014131259937</v>
      </c>
      <c r="H48" s="276">
        <f ca="1"/>
        <v>1.9260611042127924</v>
      </c>
      <c r="I48" s="276">
        <f ca="1"/>
        <v>1.4157322376512125</v>
      </c>
      <c r="J48" s="276">
        <f ca="1"/>
        <v>1.1198631446601852</v>
      </c>
      <c r="K48" s="276">
        <f ca="1"/>
        <v>0.94068278685449935</v>
      </c>
      <c r="L48" s="276">
        <f ca="1"/>
        <v>0.81365288884835274</v>
      </c>
      <c r="M48" s="276">
        <f ca="1"/>
        <v>0.73617063559210605</v>
      </c>
      <c r="N48" s="276">
        <f ca="1"/>
        <v>0.67806812643148473</v>
      </c>
      <c r="O48" s="276">
        <f ca="1"/>
        <v>0.63476540026031691</v>
      </c>
      <c r="P48" s="276">
        <f ca="1"/>
        <v>0.60051604241686651</v>
      </c>
      <c r="Q48" s="276">
        <f ca="1"/>
        <v>0.57613548687497795</v>
      </c>
      <c r="R48" s="276">
        <f ca="1"/>
        <v>0.56532280048996553</v>
      </c>
      <c r="S48" s="276">
        <f ca="1"/>
        <v>0.55806537837439341</v>
      </c>
      <c r="T48" s="276">
        <f ca="1"/>
        <v>0.55394270726681616</v>
      </c>
      <c r="U48" s="276">
        <f ca="1"/>
        <v>0.55257876258805849</v>
      </c>
      <c r="V48" s="276">
        <f ca="1"/>
        <v>0.55217275108167896</v>
      </c>
      <c r="W48" s="276">
        <f ca="1"/>
        <v>0.55376421198088766</v>
      </c>
      <c r="X48" s="276">
        <f ca="1"/>
        <v>0.55692618521055592</v>
      </c>
      <c r="Y48" s="276">
        <f ca="1"/>
        <v>0.56154157835522756</v>
      </c>
      <c r="Z48" s="276">
        <f ca="1"/>
        <v>0.56676888665743541</v>
      </c>
      <c r="AA48" s="276">
        <f ca="1"/>
        <v>0.57216893003862002</v>
      </c>
      <c r="AB48" s="276">
        <f ca="1"/>
        <v>0.57885510293895837</v>
      </c>
      <c r="AC48" s="276">
        <f ca="1"/>
        <v>0.58601377453575354</v>
      </c>
      <c r="AD48" s="276">
        <f ca="1"/>
        <v>0.59375598443180244</v>
      </c>
      <c r="AE48" s="276">
        <f ca="1"/>
        <v>0.60233337039774582</v>
      </c>
      <c r="AF48" s="276">
        <f ca="1"/>
        <v>0.61375246455781096</v>
      </c>
    </row>
    <row r="49" spans="1:32" s="221" customFormat="1" x14ac:dyDescent="0.25">
      <c r="A49" s="376"/>
      <c r="B49" s="376"/>
      <c r="C49"/>
      <c r="D49"/>
      <c r="E49"/>
      <c r="F49"/>
      <c r="G49" s="276" t="str">
        <v/>
      </c>
      <c r="H49" s="276" t="str">
        <v/>
      </c>
      <c r="I49" s="276" t="str">
        <v/>
      </c>
      <c r="J49" s="276" t="str">
        <v/>
      </c>
      <c r="K49" s="276" t="str">
        <v/>
      </c>
      <c r="L49" s="276" t="str">
        <v/>
      </c>
      <c r="M49" s="276" t="str">
        <v/>
      </c>
      <c r="N49" s="276" t="str">
        <v/>
      </c>
      <c r="O49" s="276" t="str">
        <v/>
      </c>
      <c r="P49" s="276" t="str">
        <v/>
      </c>
      <c r="Q49" s="276" t="str">
        <v/>
      </c>
      <c r="R49" s="276" t="str">
        <v/>
      </c>
      <c r="S49" s="276" t="str">
        <v/>
      </c>
      <c r="T49" s="276" t="str">
        <v/>
      </c>
      <c r="U49" s="276" t="str">
        <v/>
      </c>
      <c r="V49" s="276" t="str">
        <v/>
      </c>
      <c r="W49" s="276" t="str">
        <v/>
      </c>
      <c r="X49" s="276" t="str">
        <v/>
      </c>
      <c r="Y49" s="276" t="str">
        <v/>
      </c>
      <c r="Z49" s="276" t="str">
        <v/>
      </c>
      <c r="AA49" s="276" t="str">
        <v/>
      </c>
      <c r="AB49" s="276" t="str">
        <v/>
      </c>
      <c r="AC49" s="276" t="str">
        <v/>
      </c>
      <c r="AD49" s="276" t="str">
        <v/>
      </c>
      <c r="AE49" s="276" t="str">
        <v/>
      </c>
      <c r="AF49" s="276" t="str">
        <v/>
      </c>
    </row>
    <row r="50" spans="1:32" s="202" customFormat="1" ht="12.75" x14ac:dyDescent="0.2">
      <c r="A50" s="402" t="s">
        <v>32</v>
      </c>
      <c r="B50" s="402"/>
      <c r="C50" s="402"/>
      <c r="D50" s="402"/>
      <c r="E50" s="402"/>
      <c r="F50" s="402"/>
      <c r="G50" s="274" t="str">
        <v/>
      </c>
      <c r="H50" s="274" t="str">
        <v/>
      </c>
      <c r="I50" s="274" t="str">
        <v/>
      </c>
      <c r="J50" s="274" t="str">
        <v/>
      </c>
      <c r="K50" s="274" t="str">
        <v/>
      </c>
      <c r="L50" s="274" t="str">
        <v/>
      </c>
      <c r="M50" s="274" t="str">
        <v/>
      </c>
      <c r="N50" s="274" t="str">
        <v/>
      </c>
      <c r="O50" s="274" t="str">
        <v/>
      </c>
      <c r="P50" s="274" t="str">
        <v/>
      </c>
      <c r="Q50" s="274" t="str">
        <v/>
      </c>
      <c r="R50" s="274" t="str">
        <v/>
      </c>
      <c r="S50" s="274" t="str">
        <v/>
      </c>
      <c r="T50" s="274" t="str">
        <v/>
      </c>
      <c r="U50" s="274" t="str">
        <v/>
      </c>
      <c r="V50" s="274" t="str">
        <v/>
      </c>
      <c r="W50" s="274" t="str">
        <v/>
      </c>
      <c r="X50" s="274" t="str">
        <v/>
      </c>
      <c r="Y50" s="274" t="str">
        <v/>
      </c>
      <c r="Z50" s="274" t="str">
        <v/>
      </c>
      <c r="AA50" s="274" t="str">
        <v/>
      </c>
      <c r="AB50" s="274" t="str">
        <v/>
      </c>
      <c r="AC50" s="274" t="str">
        <v/>
      </c>
      <c r="AD50" s="274" t="str">
        <v/>
      </c>
      <c r="AE50" s="274" t="str">
        <v/>
      </c>
      <c r="AF50" s="274" t="str">
        <v/>
      </c>
    </row>
    <row r="51" spans="1:32" s="221" customFormat="1" x14ac:dyDescent="0.25">
      <c r="A51" s="376"/>
      <c r="B51" s="376" t="s">
        <v>33</v>
      </c>
      <c r="C51"/>
      <c r="D51"/>
      <c r="E51"/>
      <c r="F51"/>
      <c r="G51" s="276">
        <v>6.6484794469397519</v>
      </c>
      <c r="H51" s="276">
        <v>6.68793476037958</v>
      </c>
      <c r="I51" s="276">
        <v>6.5047572011514196</v>
      </c>
      <c r="J51" s="276">
        <v>6.4659729621964992</v>
      </c>
      <c r="K51" s="276">
        <v>6.5575879772328296</v>
      </c>
      <c r="L51" s="276">
        <v>6.5983154785164757</v>
      </c>
      <c r="M51" s="276">
        <v>6.7656256702599205</v>
      </c>
      <c r="N51" s="276">
        <v>6.8877731935478597</v>
      </c>
      <c r="O51" s="276">
        <v>6.988293523490908</v>
      </c>
      <c r="P51" s="276">
        <v>7.0474677485099031</v>
      </c>
      <c r="Q51" s="276">
        <v>7.13144963648333</v>
      </c>
      <c r="R51" s="276">
        <v>7.2472362205521845</v>
      </c>
      <c r="S51" s="276">
        <v>7.3572979593238612</v>
      </c>
      <c r="T51" s="276">
        <v>7.4724484494708072</v>
      </c>
      <c r="U51" s="276">
        <v>7.5996847241340149</v>
      </c>
      <c r="V51" s="276">
        <v>7.71483521428096</v>
      </c>
      <c r="W51" s="276">
        <v>7.8452519585537113</v>
      </c>
      <c r="X51" s="276">
        <v>7.9883905812646319</v>
      </c>
      <c r="Y51" s="276">
        <v>8.1461593641794501</v>
      </c>
      <c r="Z51" s="276">
        <v>8.3052003349380854</v>
      </c>
      <c r="AA51" s="276">
        <v>8.4591525543214505</v>
      </c>
      <c r="AB51" s="276">
        <v>8.6315514974401655</v>
      </c>
      <c r="AC51" s="276">
        <v>8.8077670040903318</v>
      </c>
      <c r="AD51" s="276">
        <v>8.9909795438814903</v>
      </c>
      <c r="AE51" s="276">
        <v>9.18691396211082</v>
      </c>
      <c r="AF51" s="276">
        <v>9.4356441758585596</v>
      </c>
    </row>
    <row r="52" spans="1:32" s="221" customFormat="1" x14ac:dyDescent="0.25">
      <c r="A52" s="388"/>
      <c r="B52" s="388" t="s">
        <v>34</v>
      </c>
      <c r="C52"/>
      <c r="D52"/>
      <c r="E52"/>
      <c r="F52"/>
      <c r="G52" s="276">
        <v>5.0479309137145965</v>
      </c>
      <c r="H52" s="276">
        <v>5.0507361775885782</v>
      </c>
      <c r="I52" s="276">
        <v>4.8522375082044329</v>
      </c>
      <c r="J52" s="276">
        <v>4.7938259816796638</v>
      </c>
      <c r="K52" s="276">
        <v>4.8409235559317638</v>
      </c>
      <c r="L52" s="276">
        <v>4.8366749442011265</v>
      </c>
      <c r="M52" s="276">
        <v>4.9058628962857407</v>
      </c>
      <c r="N52" s="276">
        <v>4.9482515300686449</v>
      </c>
      <c r="O52" s="276">
        <v>4.9777520897863319</v>
      </c>
      <c r="P52" s="276">
        <v>4.9832825632266582</v>
      </c>
      <c r="Q52" s="276">
        <v>5.0028164442974896</v>
      </c>
      <c r="R52" s="276">
        <v>5.040101911794916</v>
      </c>
      <c r="S52" s="276">
        <v>5.0737409642388798</v>
      </c>
      <c r="T52" s="276">
        <v>5.1098417251850314</v>
      </c>
      <c r="U52" s="276">
        <v>5.1522638132540539</v>
      </c>
      <c r="V52" s="276">
        <v>5.1875016241237946</v>
      </c>
      <c r="W52" s="276">
        <v>5.2307533985001582</v>
      </c>
      <c r="X52" s="276">
        <v>5.2804981603814909</v>
      </c>
      <c r="Y52" s="276">
        <v>5.3376770497614094</v>
      </c>
      <c r="Z52" s="276">
        <v>5.394911145883948</v>
      </c>
      <c r="AA52" s="276">
        <v>5.4487526594054527</v>
      </c>
      <c r="AB52" s="276">
        <v>5.5119159195622744</v>
      </c>
      <c r="AC52" s="276">
        <v>5.5764200014499075</v>
      </c>
      <c r="AD52" s="276">
        <v>5.643933877532513</v>
      </c>
      <c r="AE52" s="276">
        <v>5.7174424078388526</v>
      </c>
      <c r="AF52" s="276">
        <v>5.8179957908221116</v>
      </c>
    </row>
    <row r="53" spans="1:32" s="221" customFormat="1" x14ac:dyDescent="0.25">
      <c r="A53" s="376"/>
      <c r="B53" s="388" t="s">
        <v>35</v>
      </c>
      <c r="C53"/>
      <c r="D53"/>
      <c r="E53"/>
      <c r="F53"/>
      <c r="G53" s="276">
        <v>2.339909915479065</v>
      </c>
      <c r="H53" s="276">
        <v>2.3353138510326277</v>
      </c>
      <c r="I53" s="276">
        <v>2.2785968980828915</v>
      </c>
      <c r="J53" s="276">
        <v>2.256105697444962</v>
      </c>
      <c r="K53" s="276">
        <v>2.2640900461038278</v>
      </c>
      <c r="L53" s="276">
        <v>2.2602472453189852</v>
      </c>
      <c r="M53" s="276">
        <v>2.2855261459246377</v>
      </c>
      <c r="N53" s="276">
        <v>2.3002340920169764</v>
      </c>
      <c r="O53" s="276">
        <v>2.3098792035366809</v>
      </c>
      <c r="P53" s="276">
        <v>2.3100684526846837</v>
      </c>
      <c r="Q53" s="276">
        <v>2.3158472852102658</v>
      </c>
      <c r="R53" s="276">
        <v>2.3287058116770822</v>
      </c>
      <c r="S53" s="276">
        <v>2.3401648843300729</v>
      </c>
      <c r="T53" s="276">
        <v>2.3526471567415523</v>
      </c>
      <c r="U53" s="276">
        <v>2.3676858647983825</v>
      </c>
      <c r="V53" s="276">
        <v>2.3799240184875772</v>
      </c>
      <c r="W53" s="276">
        <v>2.3953941294647993</v>
      </c>
      <c r="X53" s="276">
        <v>2.4134965400397492</v>
      </c>
      <c r="Y53" s="276">
        <v>2.4346093487739151</v>
      </c>
      <c r="Z53" s="276">
        <v>2.4558043004578423</v>
      </c>
      <c r="AA53" s="276">
        <v>2.4757117539725355</v>
      </c>
      <c r="AB53" s="276">
        <v>2.49938980243396</v>
      </c>
      <c r="AC53" s="276">
        <v>2.5236682503254544</v>
      </c>
      <c r="AD53" s="276">
        <v>2.5492140757204496</v>
      </c>
      <c r="AE53" s="276">
        <v>2.577219979614866</v>
      </c>
      <c r="AF53" s="276">
        <v>2.6160832502472915</v>
      </c>
    </row>
    <row r="54" spans="1:32" s="221" customFormat="1" x14ac:dyDescent="0.25">
      <c r="A54" s="376"/>
      <c r="B54" s="388" t="s">
        <v>29</v>
      </c>
      <c r="C54"/>
      <c r="D54"/>
      <c r="E54"/>
      <c r="F54"/>
      <c r="G54" s="276">
        <v>3.0720561259928809</v>
      </c>
      <c r="H54" s="276">
        <v>1.9116431284620488</v>
      </c>
      <c r="I54" s="276">
        <v>1.4086515589982587</v>
      </c>
      <c r="J54" s="276">
        <v>1.117036349296169</v>
      </c>
      <c r="K54" s="276">
        <v>0.94043217246994937</v>
      </c>
      <c r="L54" s="276">
        <v>0.81522865772966202</v>
      </c>
      <c r="M54" s="276">
        <v>0.73886041222253152</v>
      </c>
      <c r="N54" s="276">
        <v>0.68159327687627191</v>
      </c>
      <c r="O54" s="276">
        <v>0.63891313936876881</v>
      </c>
      <c r="P54" s="276">
        <v>0.60515620460849417</v>
      </c>
      <c r="Q54" s="276">
        <v>0.58112618259731752</v>
      </c>
      <c r="R54" s="276">
        <v>0.57046895653922447</v>
      </c>
      <c r="S54" s="276">
        <v>0.56331587863326915</v>
      </c>
      <c r="T54" s="276">
        <v>0.55925248158352958</v>
      </c>
      <c r="U54" s="276">
        <v>0.55790814713650438</v>
      </c>
      <c r="V54" s="276">
        <v>0.55750797309541944</v>
      </c>
      <c r="W54" s="276">
        <v>0.55907655262890088</v>
      </c>
      <c r="X54" s="276">
        <v>0.56219306431696026</v>
      </c>
      <c r="Y54" s="276">
        <v>0.56674209925039898</v>
      </c>
      <c r="Z54" s="276">
        <v>0.57189425147865514</v>
      </c>
      <c r="AA54" s="276">
        <v>0.57721665527245825</v>
      </c>
      <c r="AB54" s="276">
        <v>0.58380669714782141</v>
      </c>
      <c r="AC54" s="276">
        <v>0.59086244432906254</v>
      </c>
      <c r="AD54" s="276">
        <v>0.59849333993755516</v>
      </c>
      <c r="AE54" s="276">
        <v>0.60694740380028578</v>
      </c>
      <c r="AF54" s="276">
        <v>0.61820231895357725</v>
      </c>
    </row>
    <row r="55" spans="1:32" s="221" customFormat="1" x14ac:dyDescent="0.25">
      <c r="A55" s="376"/>
      <c r="B55" s="376"/>
      <c r="C55"/>
      <c r="D55"/>
      <c r="E55"/>
      <c r="F55"/>
      <c r="G55" s="276" t="str">
        <v/>
      </c>
      <c r="H55" s="276" t="str">
        <v/>
      </c>
      <c r="I55" s="276" t="str">
        <v/>
      </c>
      <c r="J55" s="276" t="str">
        <v/>
      </c>
      <c r="K55" s="276" t="str">
        <v/>
      </c>
      <c r="L55" s="276" t="str">
        <v/>
      </c>
      <c r="M55" s="276" t="str">
        <v/>
      </c>
      <c r="N55" s="276" t="str">
        <v/>
      </c>
      <c r="O55" s="276" t="str">
        <v/>
      </c>
      <c r="P55" s="276" t="str">
        <v/>
      </c>
      <c r="Q55" s="276" t="str">
        <v/>
      </c>
      <c r="R55" s="276" t="str">
        <v/>
      </c>
      <c r="S55" s="276" t="str">
        <v/>
      </c>
      <c r="T55" s="276" t="str">
        <v/>
      </c>
      <c r="U55" s="276" t="str">
        <v/>
      </c>
      <c r="V55" s="276" t="str">
        <v/>
      </c>
      <c r="W55" s="276" t="str">
        <v/>
      </c>
      <c r="X55" s="276" t="str">
        <v/>
      </c>
      <c r="Y55" s="276" t="str">
        <v/>
      </c>
      <c r="Z55" s="276" t="str">
        <v/>
      </c>
      <c r="AA55" s="276" t="str">
        <v/>
      </c>
      <c r="AB55" s="276" t="str">
        <v/>
      </c>
      <c r="AC55" s="276" t="str">
        <v/>
      </c>
      <c r="AD55" s="276" t="str">
        <v/>
      </c>
      <c r="AE55" s="276" t="str">
        <v/>
      </c>
      <c r="AF55" s="276" t="str">
        <v/>
      </c>
    </row>
    <row r="56" spans="1:32" s="202" customFormat="1" ht="12.75" x14ac:dyDescent="0.2">
      <c r="A56" s="402" t="s">
        <v>36</v>
      </c>
      <c r="B56" s="402"/>
      <c r="C56" s="402"/>
      <c r="D56" s="402"/>
      <c r="E56" s="402"/>
      <c r="F56" s="402"/>
      <c r="G56" s="274" t="str">
        <v/>
      </c>
      <c r="H56" s="274" t="str">
        <v/>
      </c>
      <c r="I56" s="274" t="str">
        <v/>
      </c>
      <c r="J56" s="274" t="str">
        <v/>
      </c>
      <c r="K56" s="274" t="str">
        <v/>
      </c>
      <c r="L56" s="274" t="str">
        <v/>
      </c>
      <c r="M56" s="274" t="str">
        <v/>
      </c>
      <c r="N56" s="274" t="str">
        <v/>
      </c>
      <c r="O56" s="274" t="str">
        <v/>
      </c>
      <c r="P56" s="274" t="str">
        <v/>
      </c>
      <c r="Q56" s="274" t="str">
        <v/>
      </c>
      <c r="R56" s="274" t="str">
        <v/>
      </c>
      <c r="S56" s="274" t="str">
        <v/>
      </c>
      <c r="T56" s="274" t="str">
        <v/>
      </c>
      <c r="U56" s="274" t="str">
        <v/>
      </c>
      <c r="V56" s="274" t="str">
        <v/>
      </c>
      <c r="W56" s="274" t="str">
        <v/>
      </c>
      <c r="X56" s="274" t="str">
        <v/>
      </c>
      <c r="Y56" s="274" t="str">
        <v/>
      </c>
      <c r="Z56" s="274" t="str">
        <v/>
      </c>
      <c r="AA56" s="274" t="str">
        <v/>
      </c>
      <c r="AB56" s="274" t="str">
        <v/>
      </c>
      <c r="AC56" s="274" t="str">
        <v/>
      </c>
      <c r="AD56" s="274" t="str">
        <v/>
      </c>
      <c r="AE56" s="274" t="str">
        <v/>
      </c>
      <c r="AF56" s="274" t="str">
        <v/>
      </c>
    </row>
    <row r="57" spans="1:32" s="221" customFormat="1" x14ac:dyDescent="0.25">
      <c r="A57" s="376"/>
      <c r="B57" s="376" t="s">
        <v>37</v>
      </c>
      <c r="C57"/>
      <c r="D57"/>
      <c r="E57"/>
      <c r="F57"/>
      <c r="G57" s="276">
        <v>1.5715162050895815</v>
      </c>
      <c r="H57" s="276">
        <v>1.5776487477750023</v>
      </c>
      <c r="I57" s="276">
        <v>1.5323108180719602</v>
      </c>
      <c r="J57" s="276">
        <v>1.5208434132805984</v>
      </c>
      <c r="K57" s="276">
        <v>1.539959611802219</v>
      </c>
      <c r="L57" s="276">
        <v>1.5474611821119515</v>
      </c>
      <c r="M57" s="276">
        <v>1.5846082210414287</v>
      </c>
      <c r="N57" s="276">
        <v>1.6114289308928518</v>
      </c>
      <c r="O57" s="276">
        <v>1.6333806449552335</v>
      </c>
      <c r="P57" s="276">
        <v>1.6458610080396827</v>
      </c>
      <c r="Q57" s="276">
        <v>1.6642453628468941</v>
      </c>
      <c r="R57" s="276">
        <v>1.6901495215373217</v>
      </c>
      <c r="S57" s="276">
        <v>1.7148328251133189</v>
      </c>
      <c r="T57" s="276">
        <v>1.740801438576518</v>
      </c>
      <c r="U57" s="276">
        <v>1.7696747263259767</v>
      </c>
      <c r="V57" s="276">
        <v>1.795822447210677</v>
      </c>
      <c r="W57" s="276">
        <v>1.8256006217861191</v>
      </c>
      <c r="X57" s="276">
        <v>1.8584113932667408</v>
      </c>
      <c r="Y57" s="276">
        <v>1.8946932758149817</v>
      </c>
      <c r="Z57" s="276">
        <v>1.931334042581923</v>
      </c>
      <c r="AA57" s="276">
        <v>1.9668495831195634</v>
      </c>
      <c r="AB57" s="276">
        <v>2.0067107381774565</v>
      </c>
      <c r="AC57" s="276">
        <v>2.0475105626101189</v>
      </c>
      <c r="AD57" s="276">
        <v>2.0899855654299437</v>
      </c>
      <c r="AE57" s="276">
        <v>2.1354644175884627</v>
      </c>
      <c r="AF57" s="276">
        <v>2.1932663762134457</v>
      </c>
    </row>
    <row r="58" spans="1:32" s="221" customFormat="1" x14ac:dyDescent="0.25">
      <c r="A58" s="376"/>
      <c r="B58" s="376" t="s">
        <v>39</v>
      </c>
      <c r="C58"/>
      <c r="D58"/>
      <c r="E58"/>
      <c r="F58"/>
      <c r="G58" s="276">
        <v>1.4927442840981169</v>
      </c>
      <c r="H58" s="276">
        <v>1.4916230332180542</v>
      </c>
      <c r="I58" s="276">
        <v>1.4434078321986152</v>
      </c>
      <c r="J58" s="276">
        <v>1.4264971651683771</v>
      </c>
      <c r="K58" s="276">
        <v>1.4310313823798084</v>
      </c>
      <c r="L58" s="276">
        <v>1.4252978221585799</v>
      </c>
      <c r="M58" s="276">
        <v>1.4454545687573193</v>
      </c>
      <c r="N58" s="276">
        <v>1.4617534466027953</v>
      </c>
      <c r="O58" s="276">
        <v>1.473703639266118</v>
      </c>
      <c r="P58" s="276">
        <v>1.4774542010354639</v>
      </c>
      <c r="Q58" s="276">
        <v>1.4861378126721916</v>
      </c>
      <c r="R58" s="276">
        <v>1.5010408180735098</v>
      </c>
      <c r="S58" s="276">
        <v>1.5147459573012081</v>
      </c>
      <c r="T58" s="276">
        <v>1.5293590525337726</v>
      </c>
      <c r="U58" s="276">
        <v>1.5462085578059006</v>
      </c>
      <c r="V58" s="276">
        <v>1.5606124040273506</v>
      </c>
      <c r="W58" s="276">
        <v>1.5778258148832203</v>
      </c>
      <c r="X58" s="276">
        <v>1.5973169110732568</v>
      </c>
      <c r="Y58" s="276">
        <v>1.6194067133518131</v>
      </c>
      <c r="Z58" s="276">
        <v>1.6415365589225237</v>
      </c>
      <c r="AA58" s="276">
        <v>1.6625090893745864</v>
      </c>
      <c r="AB58" s="276">
        <v>1.6867222525134253</v>
      </c>
      <c r="AC58" s="276">
        <v>1.711410179950021</v>
      </c>
      <c r="AD58" s="276">
        <v>1.7371478610712814</v>
      </c>
      <c r="AE58" s="276">
        <v>1.764966088390777</v>
      </c>
      <c r="AF58" s="276">
        <v>1.8021496580164611</v>
      </c>
    </row>
    <row r="59" spans="1:32" s="221" customFormat="1" x14ac:dyDescent="0.25">
      <c r="A59" s="376"/>
      <c r="B59" s="376" t="s">
        <v>40</v>
      </c>
      <c r="C59"/>
      <c r="D59"/>
      <c r="E59"/>
      <c r="F59"/>
      <c r="G59" s="276">
        <v>0.996239905538155</v>
      </c>
      <c r="H59" s="276">
        <v>0.99584086501853863</v>
      </c>
      <c r="I59" s="276">
        <v>0.96443202586842813</v>
      </c>
      <c r="J59" s="276">
        <v>0.95360063434884856</v>
      </c>
      <c r="K59" s="276">
        <v>0.96108718966283935</v>
      </c>
      <c r="L59" s="276">
        <v>0.96159241717290644</v>
      </c>
      <c r="M59" s="276">
        <v>0.97957791859488175</v>
      </c>
      <c r="N59" s="276">
        <v>0.99130847592083049</v>
      </c>
      <c r="O59" s="276">
        <v>1.0000664856739052</v>
      </c>
      <c r="P59" s="276">
        <v>1.0032178187020158</v>
      </c>
      <c r="Q59" s="276">
        <v>1.0097476332857682</v>
      </c>
      <c r="R59" s="276">
        <v>1.0205401253618771</v>
      </c>
      <c r="S59" s="276">
        <v>1.0305217569290046</v>
      </c>
      <c r="T59" s="276">
        <v>1.0411355771232884</v>
      </c>
      <c r="U59" s="276">
        <v>1.0532936283746024</v>
      </c>
      <c r="V59" s="276">
        <v>1.0637902410781923</v>
      </c>
      <c r="W59" s="276">
        <v>1.0762275859525761</v>
      </c>
      <c r="X59" s="276">
        <v>1.0902442357833915</v>
      </c>
      <c r="Y59" s="276">
        <v>1.1060634971478982</v>
      </c>
      <c r="Z59" s="276">
        <v>1.1219327971356878</v>
      </c>
      <c r="AA59" s="276">
        <v>1.1370313927729707</v>
      </c>
      <c r="AB59" s="276">
        <v>1.1543805671364089</v>
      </c>
      <c r="AC59" s="276">
        <v>1.1720838372833158</v>
      </c>
      <c r="AD59" s="276">
        <v>1.1905383432455781</v>
      </c>
      <c r="AE59" s="276">
        <v>1.2104556053800477</v>
      </c>
      <c r="AF59" s="276">
        <v>1.2368534005367933</v>
      </c>
    </row>
    <row r="60" spans="1:32" s="221" customFormat="1" x14ac:dyDescent="0.25">
      <c r="A60" s="376"/>
      <c r="B60" s="376" t="s">
        <v>29</v>
      </c>
      <c r="C60"/>
      <c r="D60"/>
      <c r="E60"/>
      <c r="F60"/>
      <c r="G60" s="276">
        <v>5.982466611948773</v>
      </c>
      <c r="H60" s="276">
        <v>3.0735770707268091</v>
      </c>
      <c r="I60" s="276">
        <v>2.1282173652282048</v>
      </c>
      <c r="J60" s="276">
        <v>1.6246582540162633</v>
      </c>
      <c r="K60" s="276">
        <v>1.3275971736225487</v>
      </c>
      <c r="L60" s="276">
        <v>1.1288482946718199</v>
      </c>
      <c r="M60" s="276">
        <v>1.0007635552203409</v>
      </c>
      <c r="N60" s="276">
        <v>0.90636629250499845</v>
      </c>
      <c r="O60" s="276">
        <v>0.83503680923807477</v>
      </c>
      <c r="P60" s="276">
        <v>0.77806141153293495</v>
      </c>
      <c r="Q60" s="276">
        <v>0.73447416276447608</v>
      </c>
      <c r="R60" s="276">
        <v>0.7072088367522098</v>
      </c>
      <c r="S60" s="276">
        <v>0.68575869122395949</v>
      </c>
      <c r="T60" s="276">
        <v>0.66923015888902093</v>
      </c>
      <c r="U60" s="276">
        <v>0.65693234009047607</v>
      </c>
      <c r="V60" s="276">
        <v>0.64677478573572222</v>
      </c>
      <c r="W60" s="276">
        <v>0.63966888168523584</v>
      </c>
      <c r="X60" s="276">
        <v>0.63504205428362304</v>
      </c>
      <c r="Y60" s="276">
        <v>0.63266733177574741</v>
      </c>
      <c r="Z60" s="276">
        <v>0.63157310757942176</v>
      </c>
      <c r="AA60" s="276">
        <v>0.63122156201459434</v>
      </c>
      <c r="AB60" s="276">
        <v>0.63272009242452343</v>
      </c>
      <c r="AC60" s="276">
        <v>0.63515798706407511</v>
      </c>
      <c r="AD60" s="276">
        <v>0.63860456742655847</v>
      </c>
      <c r="AE60" s="276">
        <v>0.64328368324338836</v>
      </c>
      <c r="AF60" s="276">
        <v>0.65127401476834335</v>
      </c>
    </row>
    <row r="61" spans="1:32" s="221" customFormat="1" x14ac:dyDescent="0.25">
      <c r="A61" s="376"/>
      <c r="B61" s="376"/>
      <c r="C61"/>
      <c r="D61"/>
      <c r="E61"/>
      <c r="F61"/>
      <c r="G61" s="276" t="str">
        <v/>
      </c>
      <c r="H61" s="276" t="str">
        <v/>
      </c>
      <c r="I61" s="276" t="str">
        <v/>
      </c>
      <c r="J61" s="276" t="str">
        <v/>
      </c>
      <c r="K61" s="276" t="str">
        <v/>
      </c>
      <c r="L61" s="276" t="str">
        <v/>
      </c>
      <c r="M61" s="276" t="str">
        <v/>
      </c>
      <c r="N61" s="276" t="str">
        <v/>
      </c>
      <c r="O61" s="276" t="str">
        <v/>
      </c>
      <c r="P61" s="276" t="str">
        <v/>
      </c>
      <c r="Q61" s="276" t="str">
        <v/>
      </c>
      <c r="R61" s="276" t="str">
        <v/>
      </c>
      <c r="S61" s="276" t="str">
        <v/>
      </c>
      <c r="T61" s="276" t="str">
        <v/>
      </c>
      <c r="U61" s="276" t="str">
        <v/>
      </c>
      <c r="V61" s="276" t="str">
        <v/>
      </c>
      <c r="W61" s="276" t="str">
        <v/>
      </c>
      <c r="X61" s="276" t="str">
        <v/>
      </c>
      <c r="Y61" s="276" t="str">
        <v/>
      </c>
      <c r="Z61" s="276" t="str">
        <v/>
      </c>
      <c r="AA61" s="276" t="str">
        <v/>
      </c>
      <c r="AB61" s="276" t="str">
        <v/>
      </c>
      <c r="AC61" s="276" t="str">
        <v/>
      </c>
      <c r="AD61" s="276" t="str">
        <v/>
      </c>
      <c r="AE61" s="276" t="str">
        <v/>
      </c>
      <c r="AF61" s="276" t="str">
        <v/>
      </c>
    </row>
    <row r="62" spans="1:32" s="202" customFormat="1" ht="12.75" x14ac:dyDescent="0.2">
      <c r="A62" s="402" t="s">
        <v>42</v>
      </c>
      <c r="B62" s="402"/>
      <c r="C62" s="402"/>
      <c r="D62" s="402"/>
      <c r="E62" s="402"/>
      <c r="F62" s="402"/>
      <c r="G62" s="274" t="str">
        <v/>
      </c>
      <c r="H62" s="274" t="str">
        <v/>
      </c>
      <c r="I62" s="274" t="str">
        <v/>
      </c>
      <c r="J62" s="274" t="str">
        <v/>
      </c>
      <c r="K62" s="274" t="str">
        <v/>
      </c>
      <c r="L62" s="274" t="str">
        <v/>
      </c>
      <c r="M62" s="274" t="str">
        <v/>
      </c>
      <c r="N62" s="274" t="str">
        <v/>
      </c>
      <c r="O62" s="274" t="str">
        <v/>
      </c>
      <c r="P62" s="274" t="str">
        <v/>
      </c>
      <c r="Q62" s="274" t="str">
        <v/>
      </c>
      <c r="R62" s="274" t="str">
        <v/>
      </c>
      <c r="S62" s="274" t="str">
        <v/>
      </c>
      <c r="T62" s="274" t="str">
        <v/>
      </c>
      <c r="U62" s="274" t="str">
        <v/>
      </c>
      <c r="V62" s="274" t="str">
        <v/>
      </c>
      <c r="W62" s="274" t="str">
        <v/>
      </c>
      <c r="X62" s="274" t="str">
        <v/>
      </c>
      <c r="Y62" s="274" t="str">
        <v/>
      </c>
      <c r="Z62" s="274" t="str">
        <v/>
      </c>
      <c r="AA62" s="274" t="str">
        <v/>
      </c>
      <c r="AB62" s="274" t="str">
        <v/>
      </c>
      <c r="AC62" s="274" t="str">
        <v/>
      </c>
      <c r="AD62" s="274" t="str">
        <v/>
      </c>
      <c r="AE62" s="274" t="str">
        <v/>
      </c>
      <c r="AF62" s="274" t="str">
        <v/>
      </c>
    </row>
    <row r="63" spans="1:32" s="221" customFormat="1" x14ac:dyDescent="0.25">
      <c r="A63" s="376"/>
      <c r="B63" s="388" t="s">
        <v>43</v>
      </c>
      <c r="C63"/>
      <c r="D63"/>
      <c r="E63"/>
      <c r="F63"/>
      <c r="G63" s="276">
        <v>4.8978290656757402</v>
      </c>
      <c r="H63" s="276">
        <v>4.9246310540661931</v>
      </c>
      <c r="I63" s="276">
        <v>4.7856082053759188</v>
      </c>
      <c r="J63" s="276">
        <v>4.7544201146986707</v>
      </c>
      <c r="K63" s="276">
        <v>4.820624641597286</v>
      </c>
      <c r="L63" s="276">
        <v>4.849040725223178</v>
      </c>
      <c r="M63" s="276">
        <v>4.9719896552168077</v>
      </c>
      <c r="N63" s="276">
        <v>5.0614055959035289</v>
      </c>
      <c r="O63" s="276">
        <v>5.1348313944600381</v>
      </c>
      <c r="P63" s="276">
        <v>5.1775582302124414</v>
      </c>
      <c r="Q63" s="276">
        <v>5.2389073141034821</v>
      </c>
      <c r="R63" s="276">
        <v>5.3240907895131926</v>
      </c>
      <c r="S63" s="276">
        <v>5.405120479205495</v>
      </c>
      <c r="T63" s="276">
        <v>5.4900548205375834</v>
      </c>
      <c r="U63" s="276">
        <v>5.5841067243052738</v>
      </c>
      <c r="V63" s="276">
        <v>5.6692489087119071</v>
      </c>
      <c r="W63" s="276">
        <v>5.7658721312538619</v>
      </c>
      <c r="X63" s="276">
        <v>5.8720755178706945</v>
      </c>
      <c r="Y63" s="276">
        <v>5.9892784376222741</v>
      </c>
      <c r="Z63" s="276">
        <v>6.1075173711928716</v>
      </c>
      <c r="AA63" s="276">
        <v>6.2220461974683134</v>
      </c>
      <c r="AB63" s="276">
        <v>6.3504107750649315</v>
      </c>
      <c r="AC63" s="276">
        <v>6.4816994538316663</v>
      </c>
      <c r="AD63" s="276">
        <v>6.6182809561422022</v>
      </c>
      <c r="AE63" s="276">
        <v>6.7644213082777469</v>
      </c>
      <c r="AF63" s="276">
        <v>6.9499985432043436</v>
      </c>
    </row>
    <row r="64" spans="1:32" s="221" customFormat="1" x14ac:dyDescent="0.25">
      <c r="A64" s="376"/>
      <c r="B64" s="388" t="s">
        <v>44</v>
      </c>
      <c r="C64"/>
      <c r="D64"/>
      <c r="E64"/>
      <c r="F64"/>
      <c r="G64" s="276">
        <v>4.0323315351513571</v>
      </c>
      <c r="H64" s="276">
        <v>4.0180929899360587</v>
      </c>
      <c r="I64" s="276">
        <v>3.9064213467398057</v>
      </c>
      <c r="J64" s="276">
        <v>3.85949489411703</v>
      </c>
      <c r="K64" s="276">
        <v>3.8698351658478831</v>
      </c>
      <c r="L64" s="276">
        <v>3.858287256390498</v>
      </c>
      <c r="M64" s="276">
        <v>3.9010362109573231</v>
      </c>
      <c r="N64" s="276">
        <v>3.9241613092264118</v>
      </c>
      <c r="O64" s="276">
        <v>3.9379736886566876</v>
      </c>
      <c r="P64" s="276">
        <v>3.9344290548684357</v>
      </c>
      <c r="Q64" s="276">
        <v>3.9413238200542158</v>
      </c>
      <c r="R64" s="276">
        <v>3.9613188445331224</v>
      </c>
      <c r="S64" s="276">
        <v>3.9787885773738276</v>
      </c>
      <c r="T64" s="276">
        <v>3.9981742011420307</v>
      </c>
      <c r="U64" s="276">
        <v>4.0222565549698261</v>
      </c>
      <c r="V64" s="276">
        <v>4.0412501398158023</v>
      </c>
      <c r="W64" s="276">
        <v>4.0661427075990035</v>
      </c>
      <c r="X64" s="276">
        <v>4.0958075399581828</v>
      </c>
      <c r="Y64" s="276">
        <v>4.130896968084512</v>
      </c>
      <c r="Z64" s="276">
        <v>4.1660886835121866</v>
      </c>
      <c r="AA64" s="276">
        <v>4.1989121206950326</v>
      </c>
      <c r="AB64" s="276">
        <v>4.2384767160495818</v>
      </c>
      <c r="AC64" s="276">
        <v>4.2790509850094391</v>
      </c>
      <c r="AD64" s="276">
        <v>4.3218229328484172</v>
      </c>
      <c r="AE64" s="276">
        <v>4.3689118399331397</v>
      </c>
      <c r="AF64" s="276">
        <v>4.4352802613255449</v>
      </c>
    </row>
    <row r="65" spans="1:32" s="221" customFormat="1" x14ac:dyDescent="0.25">
      <c r="A65" s="376"/>
      <c r="B65" s="388" t="s">
        <v>45</v>
      </c>
      <c r="C65"/>
      <c r="D65"/>
      <c r="E65"/>
      <c r="F65"/>
      <c r="G65" s="276">
        <v>2.1391038736563859</v>
      </c>
      <c r="H65" s="276">
        <v>2.1451607611464589</v>
      </c>
      <c r="I65" s="276">
        <v>2.0822285991691931</v>
      </c>
      <c r="J65" s="276">
        <v>2.0643518439256887</v>
      </c>
      <c r="K65" s="276">
        <v>2.0868743019231815</v>
      </c>
      <c r="L65" s="276">
        <v>2.0936917930816796</v>
      </c>
      <c r="M65" s="276">
        <v>2.139409665989394</v>
      </c>
      <c r="N65" s="276">
        <v>2.1711333470751795</v>
      </c>
      <c r="O65" s="276">
        <v>2.1961541943151199</v>
      </c>
      <c r="P65" s="276">
        <v>2.2085085342186237</v>
      </c>
      <c r="Q65" s="276">
        <v>2.2284010424101175</v>
      </c>
      <c r="R65" s="276">
        <v>2.257896741793159</v>
      </c>
      <c r="S65" s="276">
        <v>2.2855679161618494</v>
      </c>
      <c r="T65" s="276">
        <v>2.3146898480878981</v>
      </c>
      <c r="U65" s="276">
        <v>2.347357046487069</v>
      </c>
      <c r="V65" s="276">
        <v>2.376281138057196</v>
      </c>
      <c r="W65" s="276">
        <v>2.4096839857169625</v>
      </c>
      <c r="X65" s="276">
        <v>2.4467711063593871</v>
      </c>
      <c r="Y65" s="276">
        <v>2.4880836419747143</v>
      </c>
      <c r="Z65" s="276">
        <v>2.5296155652170613</v>
      </c>
      <c r="AA65" s="276">
        <v>2.5694759010716792</v>
      </c>
      <c r="AB65" s="276">
        <v>2.6146443545220177</v>
      </c>
      <c r="AC65" s="276">
        <v>2.6607600622923426</v>
      </c>
      <c r="AD65" s="276">
        <v>2.7087524386482902</v>
      </c>
      <c r="AE65" s="276">
        <v>2.7602902705293082</v>
      </c>
      <c r="AF65" s="276">
        <v>2.8271020887373108</v>
      </c>
    </row>
    <row r="66" spans="1:32" s="221" customFormat="1" x14ac:dyDescent="0.25">
      <c r="A66" s="376"/>
      <c r="B66" s="388" t="s">
        <v>46</v>
      </c>
      <c r="C66"/>
      <c r="D66"/>
      <c r="E66"/>
      <c r="F66"/>
      <c r="G66" s="276">
        <v>1057.2085760111577</v>
      </c>
      <c r="H66" s="276">
        <v>1056.7499374142039</v>
      </c>
      <c r="I66" s="276">
        <v>1056.3011549286196</v>
      </c>
      <c r="J66" s="276">
        <v>1055.8618717195789</v>
      </c>
      <c r="K66" s="276">
        <v>1055.4317497023828</v>
      </c>
      <c r="L66" s="276">
        <v>1055.0104682501897</v>
      </c>
      <c r="M66" s="276">
        <v>1054.5977230108379</v>
      </c>
      <c r="N66" s="276">
        <v>1054.193224821973</v>
      </c>
      <c r="O66" s="276">
        <v>1053.7966987149089</v>
      </c>
      <c r="P66" s="276">
        <v>1053.4078829987034</v>
      </c>
      <c r="Q66" s="276">
        <v>1053.0265284168756</v>
      </c>
      <c r="R66" s="276">
        <v>1052.6523973699896</v>
      </c>
      <c r="S66" s="276">
        <v>1052.2852631980618</v>
      </c>
      <c r="T66" s="276">
        <v>1051.9249095173741</v>
      </c>
      <c r="U66" s="276">
        <v>1051.5711296068405</v>
      </c>
      <c r="V66" s="276">
        <v>1051.2237258395626</v>
      </c>
      <c r="W66" s="276">
        <v>1050.8825091556544</v>
      </c>
      <c r="X66" s="276">
        <v>1050.5472985728018</v>
      </c>
      <c r="Y66" s="276">
        <v>1050.2179207313684</v>
      </c>
      <c r="Z66" s="276">
        <v>1049.8942094711695</v>
      </c>
      <c r="AA66" s="276">
        <v>1049.5760054373093</v>
      </c>
      <c r="AB66" s="276">
        <v>1049.2631557127213</v>
      </c>
      <c r="AC66" s="276">
        <v>1048.9555134752713</v>
      </c>
      <c r="AD66" s="276">
        <v>1048.652937677482</v>
      </c>
      <c r="AE66" s="276">
        <v>1048.3552927471085</v>
      </c>
      <c r="AF66" s="276">
        <v>1048.0624483069598</v>
      </c>
    </row>
    <row r="67" spans="1:32" s="221" customFormat="1" x14ac:dyDescent="0.25">
      <c r="A67" s="376"/>
      <c r="B67" s="376" t="s">
        <v>29</v>
      </c>
      <c r="C67"/>
      <c r="D67"/>
      <c r="E67"/>
      <c r="F67"/>
      <c r="G67" s="276">
        <v>7.6162187186165262</v>
      </c>
      <c r="H67" s="276">
        <v>3.8713040536195114</v>
      </c>
      <c r="I67" s="276">
        <v>2.6534495050452236</v>
      </c>
      <c r="J67" s="276">
        <v>2.0070162991707807</v>
      </c>
      <c r="K67" s="276">
        <v>1.6267748375247775</v>
      </c>
      <c r="L67" s="276">
        <v>1.3726529051993026</v>
      </c>
      <c r="M67" s="276">
        <v>1.209193875112023</v>
      </c>
      <c r="N67" s="276">
        <v>1.0886462185314514</v>
      </c>
      <c r="O67" s="276">
        <v>0.99745650389953866</v>
      </c>
      <c r="P67" s="276">
        <v>0.92447473807598934</v>
      </c>
      <c r="Q67" s="276">
        <v>0.86858039372298101</v>
      </c>
      <c r="R67" s="276">
        <v>0.83368957329537519</v>
      </c>
      <c r="S67" s="276">
        <v>0.80619588947210596</v>
      </c>
      <c r="T67" s="276">
        <v>0.78498571732423561</v>
      </c>
      <c r="U67" s="276">
        <v>0.76919500739103708</v>
      </c>
      <c r="V67" s="276">
        <v>0.75612789313720297</v>
      </c>
      <c r="W67" s="276">
        <v>0.74698854406967341</v>
      </c>
      <c r="X67" s="276">
        <v>0.74104443144916643</v>
      </c>
      <c r="Y67" s="276">
        <v>0.73800920499916511</v>
      </c>
      <c r="Z67" s="276">
        <v>0.7366246701716066</v>
      </c>
      <c r="AA67" s="276">
        <v>0.73619539880765128</v>
      </c>
      <c r="AB67" s="276">
        <v>0.73816608841365561</v>
      </c>
      <c r="AC67" s="276">
        <v>0.74135367644556627</v>
      </c>
      <c r="AD67" s="276">
        <v>0.74585006060536807</v>
      </c>
      <c r="AE67" s="276">
        <v>0.75194779661001598</v>
      </c>
      <c r="AF67" s="276">
        <v>0.76235338731724323</v>
      </c>
    </row>
    <row r="68" spans="1:32" s="221" customFormat="1" x14ac:dyDescent="0.25">
      <c r="A68" s="376"/>
      <c r="B68" s="376"/>
      <c r="C68"/>
      <c r="D68"/>
      <c r="E68"/>
      <c r="F68"/>
      <c r="G68" s="276" t="str">
        <v/>
      </c>
      <c r="H68" s="276" t="str">
        <v/>
      </c>
      <c r="I68" s="276" t="str">
        <v/>
      </c>
      <c r="J68" s="276" t="str">
        <v/>
      </c>
      <c r="K68" s="276" t="str">
        <v/>
      </c>
      <c r="L68" s="276" t="str">
        <v/>
      </c>
      <c r="M68" s="276" t="str">
        <v/>
      </c>
      <c r="N68" s="276" t="str">
        <v/>
      </c>
      <c r="O68" s="276" t="str">
        <v/>
      </c>
      <c r="P68" s="276" t="str">
        <v/>
      </c>
      <c r="Q68" s="276" t="str">
        <v/>
      </c>
      <c r="R68" s="276" t="str">
        <v/>
      </c>
      <c r="S68" s="276" t="str">
        <v/>
      </c>
      <c r="T68" s="276" t="str">
        <v/>
      </c>
      <c r="U68" s="276" t="str">
        <v/>
      </c>
      <c r="V68" s="276" t="str">
        <v/>
      </c>
      <c r="W68" s="276" t="str">
        <v/>
      </c>
      <c r="X68" s="276" t="str">
        <v/>
      </c>
      <c r="Y68" s="276" t="str">
        <v/>
      </c>
      <c r="Z68" s="276" t="str">
        <v/>
      </c>
      <c r="AA68" s="276" t="str">
        <v/>
      </c>
      <c r="AB68" s="276" t="str">
        <v/>
      </c>
      <c r="AC68" s="276" t="str">
        <v/>
      </c>
      <c r="AD68" s="276" t="str">
        <v/>
      </c>
      <c r="AE68" s="276" t="str">
        <v/>
      </c>
      <c r="AF68" s="276" t="str">
        <v/>
      </c>
    </row>
    <row r="69" spans="1:32" s="202" customFormat="1" ht="12.75" x14ac:dyDescent="0.2">
      <c r="A69" s="402" t="s">
        <v>47</v>
      </c>
      <c r="B69" s="402"/>
      <c r="C69" s="402"/>
      <c r="D69" s="402"/>
      <c r="E69" s="402"/>
      <c r="F69" s="402"/>
      <c r="G69" s="274" t="str">
        <v/>
      </c>
      <c r="H69" s="274" t="str">
        <v/>
      </c>
      <c r="I69" s="274" t="str">
        <v/>
      </c>
      <c r="J69" s="274" t="str">
        <v/>
      </c>
      <c r="K69" s="274" t="str">
        <v/>
      </c>
      <c r="L69" s="274" t="str">
        <v/>
      </c>
      <c r="M69" s="274" t="str">
        <v/>
      </c>
      <c r="N69" s="274" t="str">
        <v/>
      </c>
      <c r="O69" s="274" t="str">
        <v/>
      </c>
      <c r="P69" s="274" t="str">
        <v/>
      </c>
      <c r="Q69" s="274" t="str">
        <v/>
      </c>
      <c r="R69" s="274" t="str">
        <v/>
      </c>
      <c r="S69" s="274" t="str">
        <v/>
      </c>
      <c r="T69" s="274" t="str">
        <v/>
      </c>
      <c r="U69" s="274" t="str">
        <v/>
      </c>
      <c r="V69" s="274" t="str">
        <v/>
      </c>
      <c r="W69" s="274" t="str">
        <v/>
      </c>
      <c r="X69" s="274" t="str">
        <v/>
      </c>
      <c r="Y69" s="274" t="str">
        <v/>
      </c>
      <c r="Z69" s="274" t="str">
        <v/>
      </c>
      <c r="AA69" s="274" t="str">
        <v/>
      </c>
      <c r="AB69" s="274" t="str">
        <v/>
      </c>
      <c r="AC69" s="274" t="str">
        <v/>
      </c>
      <c r="AD69" s="274" t="str">
        <v/>
      </c>
      <c r="AE69" s="274" t="str">
        <v/>
      </c>
      <c r="AF69" s="274" t="str">
        <v/>
      </c>
    </row>
    <row r="70" spans="1:32" s="221" customFormat="1" x14ac:dyDescent="0.25">
      <c r="A70" s="376"/>
      <c r="B70" s="376" t="s">
        <v>48</v>
      </c>
      <c r="C70"/>
      <c r="D70"/>
      <c r="E70"/>
      <c r="F70"/>
      <c r="G70" s="276">
        <v>6.7408087852462248</v>
      </c>
      <c r="H70" s="276">
        <v>6.75813625944149</v>
      </c>
      <c r="I70" s="276">
        <v>6.5003981695276032</v>
      </c>
      <c r="J70" s="276">
        <v>6.3847324886004779</v>
      </c>
      <c r="K70" s="276">
        <v>6.3921329385348074</v>
      </c>
      <c r="L70" s="276">
        <v>6.4099040044603619</v>
      </c>
      <c r="M70" s="276">
        <v>6.5435098054557619</v>
      </c>
      <c r="N70" s="276">
        <v>6.6352326447903121</v>
      </c>
      <c r="O70" s="276">
        <v>6.7068228074304326</v>
      </c>
      <c r="P70" s="276">
        <v>6.7405091095923471</v>
      </c>
      <c r="Q70" s="276">
        <v>6.7965379366475922</v>
      </c>
      <c r="R70" s="276">
        <v>6.8810670725365286</v>
      </c>
      <c r="S70" s="276">
        <v>6.9600318706096536</v>
      </c>
      <c r="T70" s="276">
        <v>7.0432001883383517</v>
      </c>
      <c r="U70" s="276">
        <v>7.1368175131639404</v>
      </c>
      <c r="V70" s="276">
        <v>7.2191645475011956</v>
      </c>
      <c r="W70" s="276">
        <v>7.3147475212947501</v>
      </c>
      <c r="X70" s="276">
        <v>7.4211984912791538</v>
      </c>
      <c r="Y70" s="276">
        <v>7.5401289533429692</v>
      </c>
      <c r="Z70" s="276">
        <v>7.6596032941963763</v>
      </c>
      <c r="AA70" s="276">
        <v>7.7739905788095109</v>
      </c>
      <c r="AB70" s="276">
        <v>7.9040815350836136</v>
      </c>
      <c r="AC70" s="276">
        <v>8.0368855394879191</v>
      </c>
      <c r="AD70" s="276">
        <v>8.1751698400711259</v>
      </c>
      <c r="AE70" s="276">
        <v>8.3239011131090006</v>
      </c>
      <c r="AF70" s="276">
        <v>8.5179875381734984</v>
      </c>
    </row>
    <row r="71" spans="1:32" s="221" customFormat="1" x14ac:dyDescent="0.25">
      <c r="A71" s="376"/>
      <c r="B71" s="388" t="s">
        <v>50</v>
      </c>
      <c r="C71"/>
      <c r="D71"/>
      <c r="E71"/>
      <c r="F71"/>
      <c r="G71" s="276">
        <v>4.6323301028593145</v>
      </c>
      <c r="H71" s="276">
        <v>4.6482530960149662</v>
      </c>
      <c r="I71" s="276">
        <v>4.5054016622870963</v>
      </c>
      <c r="J71" s="276">
        <v>4.4659839767464335</v>
      </c>
      <c r="K71" s="276">
        <v>4.5193036228320711</v>
      </c>
      <c r="L71" s="276">
        <v>4.5363798591136764</v>
      </c>
      <c r="M71" s="276">
        <v>4.6427630975009198</v>
      </c>
      <c r="N71" s="276">
        <v>4.7168508110956635</v>
      </c>
      <c r="O71" s="276">
        <v>4.7754131777109832</v>
      </c>
      <c r="P71" s="276">
        <v>4.8047454032371828</v>
      </c>
      <c r="Q71" s="276">
        <v>4.85130582425362</v>
      </c>
      <c r="R71" s="276">
        <v>4.9198476547350385</v>
      </c>
      <c r="S71" s="276">
        <v>4.9841027032466441</v>
      </c>
      <c r="T71" s="276">
        <v>5.0516060585438183</v>
      </c>
      <c r="U71" s="276">
        <v>5.1271778174878166</v>
      </c>
      <c r="V71" s="276">
        <v>5.1940656818591133</v>
      </c>
      <c r="W71" s="276">
        <v>5.2711766052296296</v>
      </c>
      <c r="X71" s="276">
        <v>5.3566878807466614</v>
      </c>
      <c r="Y71" s="276">
        <v>5.4518473149114657</v>
      </c>
      <c r="Z71" s="276">
        <v>5.5474481414580694</v>
      </c>
      <c r="AA71" s="276">
        <v>5.6391461106561724</v>
      </c>
      <c r="AB71" s="276">
        <v>5.7429913269013371</v>
      </c>
      <c r="AC71" s="276">
        <v>5.8489606916688075</v>
      </c>
      <c r="AD71" s="276">
        <v>5.959193798320328</v>
      </c>
      <c r="AE71" s="276">
        <v>6.0775299815662738</v>
      </c>
      <c r="AF71" s="276">
        <v>6.2309367395597874</v>
      </c>
    </row>
    <row r="72" spans="1:32" s="221" customFormat="1" x14ac:dyDescent="0.25">
      <c r="A72" s="376"/>
      <c r="B72" s="376" t="s">
        <v>51</v>
      </c>
      <c r="C72"/>
      <c r="D72"/>
      <c r="E72"/>
      <c r="F72"/>
      <c r="G72" s="276">
        <v>1.4548913607827378</v>
      </c>
      <c r="H72" s="276">
        <v>1.45914775722145</v>
      </c>
      <c r="I72" s="276">
        <v>1.4186471873575091</v>
      </c>
      <c r="J72" s="276">
        <v>1.407307350353151</v>
      </c>
      <c r="K72" s="276">
        <v>1.4221128421106601</v>
      </c>
      <c r="L72" s="276">
        <v>1.4267033447433521</v>
      </c>
      <c r="M72" s="276">
        <v>1.4564720851788338</v>
      </c>
      <c r="N72" s="276">
        <v>1.4771387005953356</v>
      </c>
      <c r="O72" s="276">
        <v>1.4934307531512339</v>
      </c>
      <c r="P72" s="276">
        <v>1.5014847658909163</v>
      </c>
      <c r="Q72" s="276">
        <v>1.5143975354670236</v>
      </c>
      <c r="R72" s="276">
        <v>1.5335089864363904</v>
      </c>
      <c r="S72" s="276">
        <v>1.5514139619989271</v>
      </c>
      <c r="T72" s="276">
        <v>1.5702366115442674</v>
      </c>
      <c r="U72" s="276">
        <v>1.5913357158421439</v>
      </c>
      <c r="V72" s="276">
        <v>1.6099886952747411</v>
      </c>
      <c r="W72" s="276">
        <v>1.6315254836097757</v>
      </c>
      <c r="X72" s="276">
        <v>1.6554322251166658</v>
      </c>
      <c r="Y72" s="276">
        <v>1.6820606568776628</v>
      </c>
      <c r="Z72" s="276">
        <v>1.7088153225942353</v>
      </c>
      <c r="AA72" s="276">
        <v>1.7344715329894975</v>
      </c>
      <c r="AB72" s="276">
        <v>1.7635538647756883</v>
      </c>
      <c r="AC72" s="276">
        <v>1.7932367350387755</v>
      </c>
      <c r="AD72" s="276">
        <v>1.8241232820504076</v>
      </c>
      <c r="AE72" s="276">
        <v>1.857295809678239</v>
      </c>
      <c r="AF72" s="276">
        <v>1.9003565616051254</v>
      </c>
    </row>
    <row r="73" spans="1:32" s="221" customFormat="1" x14ac:dyDescent="0.25">
      <c r="A73" s="376"/>
      <c r="B73" s="376" t="s">
        <v>52</v>
      </c>
      <c r="C73"/>
      <c r="D73"/>
      <c r="E73"/>
      <c r="F73"/>
      <c r="G73" s="276">
        <v>1.9488284578730166</v>
      </c>
      <c r="H73" s="276">
        <v>1.9482843658737465</v>
      </c>
      <c r="I73" s="276">
        <v>1.8947273442128503</v>
      </c>
      <c r="J73" s="276">
        <v>1.8765136077246112</v>
      </c>
      <c r="K73" s="276">
        <v>1.8899834381423091</v>
      </c>
      <c r="L73" s="276">
        <v>1.8915984874301304</v>
      </c>
      <c r="M73" s="276">
        <v>1.9236563088172121</v>
      </c>
      <c r="N73" s="276">
        <v>1.9451180828223356</v>
      </c>
      <c r="O73" s="276">
        <v>1.9616095758164307</v>
      </c>
      <c r="P73" s="276">
        <v>1.9684838881682019</v>
      </c>
      <c r="Q73" s="276">
        <v>1.981384660373511</v>
      </c>
      <c r="R73" s="276">
        <v>2.0018949557630386</v>
      </c>
      <c r="S73" s="276">
        <v>2.0211394967353939</v>
      </c>
      <c r="T73" s="276">
        <v>2.0416436602776042</v>
      </c>
      <c r="U73" s="276">
        <v>2.0650190061604614</v>
      </c>
      <c r="V73" s="276">
        <v>2.0856042101711836</v>
      </c>
      <c r="W73" s="276">
        <v>2.1097637661027315</v>
      </c>
      <c r="X73" s="276">
        <v>2.1368731080161858</v>
      </c>
      <c r="Y73" s="276">
        <v>2.1673440495774305</v>
      </c>
      <c r="Z73" s="276">
        <v>2.1980639172208538</v>
      </c>
      <c r="AA73" s="276">
        <v>2.2275604733006555</v>
      </c>
      <c r="AB73" s="276">
        <v>2.2612392676918978</v>
      </c>
      <c r="AC73" s="276">
        <v>2.2957143927617709</v>
      </c>
      <c r="AD73" s="276">
        <v>2.3317018157659639</v>
      </c>
      <c r="AE73" s="276">
        <v>2.3704911450427359</v>
      </c>
      <c r="AF73" s="276">
        <v>2.421171386434664</v>
      </c>
    </row>
    <row r="74" spans="1:32" s="221" customFormat="1" x14ac:dyDescent="0.25">
      <c r="A74" s="376"/>
      <c r="B74" s="388" t="s">
        <v>29</v>
      </c>
      <c r="C74"/>
      <c r="D74"/>
      <c r="E74"/>
      <c r="F74"/>
      <c r="G74" s="276">
        <v>3.4347178488880203</v>
      </c>
      <c r="H74" s="276">
        <v>2.1271897464390714</v>
      </c>
      <c r="I74" s="276">
        <v>1.5733375909326073</v>
      </c>
      <c r="J74" s="276">
        <v>1.2481332161399217</v>
      </c>
      <c r="K74" s="276">
        <v>1.0488336514539438</v>
      </c>
      <c r="L74" s="276">
        <v>0.90748481830059546</v>
      </c>
      <c r="M74" s="276">
        <v>0.82012253254280787</v>
      </c>
      <c r="N74" s="276">
        <v>0.75490904173534268</v>
      </c>
      <c r="O74" s="276">
        <v>0.70649275738095207</v>
      </c>
      <c r="P74" s="276">
        <v>0.66851610804737249</v>
      </c>
      <c r="Q74" s="276">
        <v>0.64148045447734292</v>
      </c>
      <c r="R74" s="276">
        <v>0.62893817002344954</v>
      </c>
      <c r="S74" s="276">
        <v>0.62045947519243816</v>
      </c>
      <c r="T74" s="276">
        <v>0.61549257780908695</v>
      </c>
      <c r="U74" s="276">
        <v>0.61356603038395785</v>
      </c>
      <c r="V74" s="276">
        <v>0.61277316009569938</v>
      </c>
      <c r="W74" s="276">
        <v>0.61413548218625291</v>
      </c>
      <c r="X74" s="276">
        <v>0.61718433172815379</v>
      </c>
      <c r="Y74" s="276">
        <v>0.62177752761551841</v>
      </c>
      <c r="Z74" s="276">
        <v>0.62703695035492135</v>
      </c>
      <c r="AA74" s="276">
        <v>0.63250129699215696</v>
      </c>
      <c r="AB74" s="276">
        <v>0.63930345760037699</v>
      </c>
      <c r="AC74" s="276">
        <v>0.64660396942250409</v>
      </c>
      <c r="AD74" s="276">
        <v>0.65451254209091692</v>
      </c>
      <c r="AE74" s="276">
        <v>0.66328413054001167</v>
      </c>
      <c r="AF74" s="276">
        <v>0.67497279928316889</v>
      </c>
    </row>
    <row r="75" spans="1:32" s="221" customFormat="1" x14ac:dyDescent="0.25">
      <c r="A75" s="376"/>
      <c r="B75" s="388" t="s">
        <v>53</v>
      </c>
      <c r="C75"/>
      <c r="D75"/>
      <c r="E75"/>
      <c r="F75"/>
      <c r="G75" s="276">
        <v>1.4747718954404359</v>
      </c>
      <c r="H75" s="276">
        <v>1.4804876234792146</v>
      </c>
      <c r="I75" s="276">
        <v>1.4372093357695352</v>
      </c>
      <c r="J75" s="276">
        <v>1.4258352317643832</v>
      </c>
      <c r="K75" s="276">
        <v>1.443065302314039</v>
      </c>
      <c r="L75" s="276">
        <v>1.4491057272223777</v>
      </c>
      <c r="M75" s="276">
        <v>1.4826922039964581</v>
      </c>
      <c r="N75" s="276">
        <v>1.5063072803199988</v>
      </c>
      <c r="O75" s="276">
        <v>1.5251251013235563</v>
      </c>
      <c r="P75" s="276">
        <v>1.5349174839687945</v>
      </c>
      <c r="Q75" s="276">
        <v>1.5500181430435733</v>
      </c>
      <c r="R75" s="276">
        <v>1.5718936699719481</v>
      </c>
      <c r="S75" s="276">
        <v>1.5924397391240621</v>
      </c>
      <c r="T75" s="276">
        <v>1.6139812193236072</v>
      </c>
      <c r="U75" s="276">
        <v>1.6380053315553074</v>
      </c>
      <c r="V75" s="276">
        <v>1.6593436467730713</v>
      </c>
      <c r="W75" s="276">
        <v>1.6838295463058852</v>
      </c>
      <c r="X75" s="276">
        <v>1.7109007672218182</v>
      </c>
      <c r="Y75" s="276">
        <v>1.7409423786419285</v>
      </c>
      <c r="Z75" s="276">
        <v>1.7711139388637038</v>
      </c>
      <c r="AA75" s="276">
        <v>1.8000752181761444</v>
      </c>
      <c r="AB75" s="276">
        <v>1.832778177138717</v>
      </c>
      <c r="AC75" s="276">
        <v>1.8661305095744725</v>
      </c>
      <c r="AD75" s="276">
        <v>1.9007924164861782</v>
      </c>
      <c r="AE75" s="276">
        <v>1.9379485121145705</v>
      </c>
      <c r="AF75" s="276">
        <v>1.9859190528006518</v>
      </c>
    </row>
    <row r="76" spans="1:32" s="221" customFormat="1" x14ac:dyDescent="0.25">
      <c r="A76"/>
      <c r="B76"/>
      <c r="C76"/>
      <c r="D76"/>
      <c r="E76"/>
      <c r="F76"/>
      <c r="G76"/>
      <c r="H76"/>
      <c r="I76"/>
      <c r="J76"/>
      <c r="K76"/>
      <c r="L76"/>
      <c r="M76"/>
      <c r="N76"/>
      <c r="O76"/>
      <c r="P76"/>
      <c r="Q76"/>
      <c r="R76"/>
      <c r="S76"/>
      <c r="T76"/>
      <c r="U76"/>
      <c r="V76"/>
      <c r="W76"/>
      <c r="X76"/>
      <c r="Y76"/>
      <c r="Z76"/>
      <c r="AA76"/>
      <c r="AB76"/>
      <c r="AC76"/>
      <c r="AD76"/>
      <c r="AE76"/>
      <c r="AF76"/>
    </row>
    <row r="77" spans="1:32" x14ac:dyDescent="0.25">
      <c r="A77" s="398" t="s">
        <v>208</v>
      </c>
      <c r="B77" s="399"/>
      <c r="C77" s="398"/>
      <c r="D77" s="399"/>
      <c r="E77" s="399"/>
      <c r="F77" s="399"/>
      <c r="G77" s="1055" t="s">
        <v>691</v>
      </c>
      <c r="H77" s="409"/>
      <c r="I77" s="409"/>
      <c r="J77" s="409"/>
      <c r="K77" s="409"/>
      <c r="L77" s="409"/>
      <c r="M77" s="409"/>
      <c r="N77" s="409"/>
      <c r="O77" s="409"/>
      <c r="P77" s="409"/>
      <c r="Q77" s="409"/>
      <c r="R77" s="409"/>
      <c r="S77" s="409"/>
      <c r="T77" s="409"/>
      <c r="U77" s="409"/>
      <c r="V77" s="409"/>
      <c r="W77" s="409"/>
      <c r="X77" s="409"/>
      <c r="Y77" s="409"/>
      <c r="Z77" s="409"/>
      <c r="AA77" s="409"/>
      <c r="AB77" s="409"/>
      <c r="AC77" s="409"/>
      <c r="AD77" s="409"/>
      <c r="AE77" s="409"/>
      <c r="AF77" s="409"/>
    </row>
    <row r="78" spans="1:32" x14ac:dyDescent="0.25">
      <c r="A78" s="378" t="s">
        <v>12</v>
      </c>
      <c r="B78" s="376"/>
    </row>
    <row r="79" spans="1:32" x14ac:dyDescent="0.25">
      <c r="A79" s="376"/>
      <c r="B79" s="376" t="s">
        <v>20</v>
      </c>
    </row>
    <row r="80" spans="1:32" s="202" customFormat="1" ht="12.75" x14ac:dyDescent="0.2">
      <c r="A80" s="402" t="s">
        <v>21</v>
      </c>
      <c r="B80" s="402"/>
      <c r="C80" s="402"/>
      <c r="D80" s="402"/>
      <c r="E80" s="402"/>
      <c r="F80" s="402"/>
      <c r="G80" s="402"/>
      <c r="H80" s="402"/>
      <c r="I80" s="402"/>
      <c r="J80" s="402"/>
      <c r="K80" s="402"/>
      <c r="L80" s="402"/>
      <c r="M80" s="402"/>
      <c r="N80" s="402"/>
      <c r="O80" s="402"/>
      <c r="P80" s="402"/>
      <c r="Q80" s="402"/>
      <c r="R80" s="402"/>
      <c r="S80" s="402"/>
      <c r="T80" s="402"/>
      <c r="U80" s="402"/>
      <c r="V80" s="402"/>
      <c r="W80" s="402"/>
      <c r="X80" s="402"/>
      <c r="Y80" s="402"/>
      <c r="Z80" s="402"/>
      <c r="AA80" s="402"/>
      <c r="AB80" s="402"/>
      <c r="AC80" s="402"/>
      <c r="AD80" s="402"/>
      <c r="AE80" s="402"/>
      <c r="AF80" s="402"/>
    </row>
    <row r="81" spans="1:32" s="221" customFormat="1" x14ac:dyDescent="0.25">
      <c r="A81" s="376"/>
      <c r="B81" s="376" t="s">
        <v>22</v>
      </c>
      <c r="C81"/>
      <c r="D81" s="201"/>
      <c r="E81" s="201"/>
      <c r="F81" s="201"/>
      <c r="G81" s="353">
        <f t="array" ref="G81:AF84" ca="1">IF(ISNUMBER(G9:AF12),Logit!$J$5/AVERAGE($G$9:$G$11)*G9:AF12+Logit!$K$5/AVERAGE($G$45:$G$47)*G45:AF48,"")</f>
        <v>-3.6941052833639385</v>
      </c>
      <c r="H81" s="321">
        <f ca="1"/>
        <v>-3.7123235226654892</v>
      </c>
      <c r="I81" s="321">
        <f ca="1"/>
        <v>-3.6362109190078735</v>
      </c>
      <c r="J81" s="321">
        <f ca="1"/>
        <v>-3.6212786049266317</v>
      </c>
      <c r="K81" s="321">
        <f ca="1"/>
        <v>-3.6615972131500438</v>
      </c>
      <c r="L81" s="321">
        <f ca="1"/>
        <v>-3.6803544858399313</v>
      </c>
      <c r="M81" s="321">
        <f ca="1"/>
        <v>-3.7527455806694592</v>
      </c>
      <c r="N81" s="321">
        <f ca="1"/>
        <v>-3.8060009902129845</v>
      </c>
      <c r="O81" s="321">
        <f ca="1"/>
        <v>-3.8500928321547634</v>
      </c>
      <c r="P81" s="321">
        <f ca="1"/>
        <v>-3.8766660889755538</v>
      </c>
      <c r="Q81" s="321">
        <f ca="1"/>
        <v>-3.9137504968689369</v>
      </c>
      <c r="R81" s="321">
        <f ca="1"/>
        <v>-3.9643107394707719</v>
      </c>
      <c r="S81" s="321">
        <f ca="1"/>
        <v>-4.0124453318250861</v>
      </c>
      <c r="T81" s="321">
        <f ca="1"/>
        <v>-4.0627360577327529</v>
      </c>
      <c r="U81" s="321">
        <f ca="1"/>
        <v>-4.1181476008296301</v>
      </c>
      <c r="V81" s="321">
        <f ca="1"/>
        <v>-4.1684383267372969</v>
      </c>
      <c r="W81" s="321">
        <f ca="1"/>
        <v>-4.2251974533050198</v>
      </c>
      <c r="X81" s="321">
        <f ca="1"/>
        <v>-4.2873469137561244</v>
      </c>
      <c r="Y81" s="321">
        <f ca="1"/>
        <v>-4.3556952581731165</v>
      </c>
      <c r="Z81" s="321">
        <f ca="1"/>
        <v>-4.4245826359784477</v>
      </c>
      <c r="AA81" s="321">
        <f ca="1"/>
        <v>-4.4913138802304244</v>
      </c>
      <c r="AB81" s="321">
        <f ca="1"/>
        <v>-4.565861108613305</v>
      </c>
      <c r="AC81" s="321">
        <f ca="1"/>
        <v>-4.6420254371612</v>
      </c>
      <c r="AD81" s="321">
        <f ca="1"/>
        <v>-4.7211544493449535</v>
      </c>
      <c r="AE81" s="321">
        <f ca="1"/>
        <v>-4.8056737954120878</v>
      </c>
      <c r="AF81" s="321">
        <f ca="1"/>
        <v>-4.9125630270952527</v>
      </c>
    </row>
    <row r="82" spans="1:32" s="221" customFormat="1" x14ac:dyDescent="0.25">
      <c r="A82" s="376"/>
      <c r="B82" s="376" t="s">
        <v>26</v>
      </c>
      <c r="C82"/>
      <c r="D82" s="201"/>
      <c r="E82" s="201"/>
      <c r="F82" s="201"/>
      <c r="G82" s="321">
        <f ca="1"/>
        <v>-4.0168818077404316</v>
      </c>
      <c r="H82" s="321">
        <f ca="1"/>
        <v>-4.0172378171846068</v>
      </c>
      <c r="I82" s="321">
        <f ca="1"/>
        <v>-3.9372631126034765</v>
      </c>
      <c r="J82" s="321">
        <f ca="1"/>
        <v>-3.9099079744807383</v>
      </c>
      <c r="K82" s="321">
        <f ca="1"/>
        <v>-3.9293993152178048</v>
      </c>
      <c r="L82" s="321">
        <f ca="1"/>
        <v>-3.9306042187915189</v>
      </c>
      <c r="M82" s="321">
        <f ca="1"/>
        <v>-3.9765732989459384</v>
      </c>
      <c r="N82" s="321">
        <f ca="1"/>
        <v>-4.0061923150677607</v>
      </c>
      <c r="O82" s="321">
        <f ca="1"/>
        <v>-4.0279432596271336</v>
      </c>
      <c r="P82" s="321">
        <f ca="1"/>
        <v>-4.0350631718650973</v>
      </c>
      <c r="Q82" s="321">
        <f ca="1"/>
        <v>-4.0507187552209825</v>
      </c>
      <c r="R82" s="321">
        <f ca="1"/>
        <v>-4.0772053583773245</v>
      </c>
      <c r="S82" s="321">
        <f ca="1"/>
        <v>-4.1014685074103987</v>
      </c>
      <c r="T82" s="321">
        <f ca="1"/>
        <v>-4.127239362771479</v>
      </c>
      <c r="U82" s="321">
        <f ca="1"/>
        <v>-4.1568796182287091</v>
      </c>
      <c r="V82" s="321">
        <f ca="1"/>
        <v>-4.1821419746500998</v>
      </c>
      <c r="W82" s="321">
        <f ca="1"/>
        <v>-4.2123156874392782</v>
      </c>
      <c r="X82" s="321">
        <f ca="1"/>
        <v>-4.2464783531183929</v>
      </c>
      <c r="Y82" s="321">
        <f ca="1"/>
        <v>-4.2852130164375515</v>
      </c>
      <c r="Z82" s="321">
        <f ca="1"/>
        <v>-4.3240118678430548</v>
      </c>
      <c r="AA82" s="321">
        <f ca="1"/>
        <v>-4.3607669015247676</v>
      </c>
      <c r="AB82" s="321">
        <f ca="1"/>
        <v>-4.4032669667807181</v>
      </c>
      <c r="AC82" s="321">
        <f ca="1"/>
        <v>-4.4466316891205597</v>
      </c>
      <c r="AD82" s="321">
        <f ca="1"/>
        <v>-4.4918888281215796</v>
      </c>
      <c r="AE82" s="321">
        <f ca="1"/>
        <v>-4.5408755917864116</v>
      </c>
      <c r="AF82" s="321">
        <f ca="1"/>
        <v>-4.6065221757773793</v>
      </c>
    </row>
    <row r="83" spans="1:32" s="221" customFormat="1" x14ac:dyDescent="0.25">
      <c r="A83" s="376"/>
      <c r="B83" s="376" t="s">
        <v>27</v>
      </c>
      <c r="C83"/>
      <c r="D83" s="201"/>
      <c r="E83" s="201"/>
      <c r="F83" s="201"/>
      <c r="G83" s="321">
        <f ca="1"/>
        <v>-1.9948480683732495</v>
      </c>
      <c r="H83" s="321">
        <f ca="1"/>
        <v>-1.9948250142923178</v>
      </c>
      <c r="I83" s="321">
        <f ca="1"/>
        <v>-1.9720618468215081</v>
      </c>
      <c r="J83" s="321">
        <f ca="1"/>
        <v>-1.9641860778086371</v>
      </c>
      <c r="K83" s="321">
        <f ca="1"/>
        <v>-1.9695638870617114</v>
      </c>
      <c r="L83" s="321">
        <f ca="1"/>
        <v>-1.9697615015327052</v>
      </c>
      <c r="M83" s="321">
        <f ca="1"/>
        <v>-1.9826235042741116</v>
      </c>
      <c r="N83" s="321">
        <f ca="1"/>
        <v>-1.9908534804747786</v>
      </c>
      <c r="O83" s="321">
        <f ca="1"/>
        <v>-1.996852061107615</v>
      </c>
      <c r="P83" s="321">
        <f ca="1"/>
        <v>-1.9987052664575029</v>
      </c>
      <c r="Q83" s="321">
        <f ca="1"/>
        <v>-2.0029697752350848</v>
      </c>
      <c r="R83" s="321">
        <f ca="1"/>
        <v>-2.0102952777323666</v>
      </c>
      <c r="S83" s="321">
        <f ca="1"/>
        <v>-2.0169871736300311</v>
      </c>
      <c r="T83" s="321">
        <f ca="1"/>
        <v>-2.0241015126805451</v>
      </c>
      <c r="U83" s="321">
        <f ca="1"/>
        <v>-2.0323067585868895</v>
      </c>
      <c r="V83" s="321">
        <f ca="1"/>
        <v>-2.0392688287789542</v>
      </c>
      <c r="W83" s="321">
        <f ca="1"/>
        <v>-2.047616815411673</v>
      </c>
      <c r="X83" s="321">
        <f ca="1"/>
        <v>-2.0570897174418419</v>
      </c>
      <c r="Y83" s="321">
        <f ca="1"/>
        <v>-2.067852603041926</v>
      </c>
      <c r="Z83" s="321">
        <f ca="1"/>
        <v>-2.078629731548733</v>
      </c>
      <c r="AA83" s="321">
        <f ca="1"/>
        <v>-2.0888245510470194</v>
      </c>
      <c r="AB83" s="321">
        <f ca="1"/>
        <v>-2.1006415053818914</v>
      </c>
      <c r="AC83" s="321">
        <f ca="1"/>
        <v>-2.1126994080778259</v>
      </c>
      <c r="AD83" s="321">
        <f ca="1"/>
        <v>-2.125289185149323</v>
      </c>
      <c r="AE83" s="321">
        <f ca="1"/>
        <v>-2.1389308508831815</v>
      </c>
      <c r="AF83" s="321">
        <f ca="1"/>
        <v>-2.1572839434909681</v>
      </c>
    </row>
    <row r="84" spans="1:32" s="221" customFormat="1" x14ac:dyDescent="0.25">
      <c r="A84" s="376"/>
      <c r="B84" s="376" t="s">
        <v>29</v>
      </c>
      <c r="C84"/>
      <c r="D84" s="201"/>
      <c r="E84" s="201"/>
      <c r="F84" s="201"/>
      <c r="G84" s="321">
        <f ca="1"/>
        <v>-5.3904642633020492</v>
      </c>
      <c r="H84" s="321">
        <f ca="1"/>
        <v>-3.6231081328396142</v>
      </c>
      <c r="I84" s="321">
        <f ca="1"/>
        <v>-2.9070605612027163</v>
      </c>
      <c r="J84" s="321">
        <f ca="1"/>
        <v>-2.5130527528742519</v>
      </c>
      <c r="K84" s="321">
        <f ca="1"/>
        <v>-2.270770894080762</v>
      </c>
      <c r="L84" s="321">
        <f ca="1"/>
        <v>-2.1030722716056984</v>
      </c>
      <c r="M84" s="321">
        <f ca="1"/>
        <v>-1.989191215573858</v>
      </c>
      <c r="N84" s="321">
        <f ca="1"/>
        <v>-1.9031737170823155</v>
      </c>
      <c r="O84" s="321">
        <f ca="1"/>
        <v>-1.8369006186131618</v>
      </c>
      <c r="P84" s="321">
        <f ca="1"/>
        <v>-1.7838552019204015</v>
      </c>
      <c r="Q84" s="321">
        <f ca="1"/>
        <v>-1.742221361368423</v>
      </c>
      <c r="R84" s="321">
        <f ca="1"/>
        <v>-1.7124380057357351</v>
      </c>
      <c r="S84" s="321">
        <f ca="1"/>
        <v>-1.688158448885914</v>
      </c>
      <c r="T84" s="321">
        <f ca="1"/>
        <v>-1.6683986855246236</v>
      </c>
      <c r="U84" s="321">
        <f ca="1"/>
        <v>-1.6523976918089138</v>
      </c>
      <c r="V84" s="321">
        <f ca="1"/>
        <v>-1.6387801481565056</v>
      </c>
      <c r="W84" s="321">
        <f ca="1"/>
        <v>-1.6277690934828384</v>
      </c>
      <c r="X84" s="321">
        <f ca="1"/>
        <v>-1.6188843671947981</v>
      </c>
      <c r="Y84" s="321">
        <f ca="1"/>
        <v>-1.6118623083639725</v>
      </c>
      <c r="Z84" s="321">
        <f ca="1"/>
        <v>-1.6060964623478156</v>
      </c>
      <c r="AA84" s="321">
        <f ca="1"/>
        <v>-1.6012233217001484</v>
      </c>
      <c r="AB84" s="321">
        <f ca="1"/>
        <v>-1.5977230052116866</v>
      </c>
      <c r="AC84" s="321">
        <f ca="1"/>
        <v>-1.5950764029741671</v>
      </c>
      <c r="AD84" s="321">
        <f ca="1"/>
        <v>-1.5932675048832319</v>
      </c>
      <c r="AE84" s="321">
        <f ca="1"/>
        <v>-1.5923663729079822</v>
      </c>
      <c r="AF84" s="321">
        <f ca="1"/>
        <v>-1.5933794979458407</v>
      </c>
    </row>
    <row r="85" spans="1:32" s="221" customFormat="1" x14ac:dyDescent="0.25">
      <c r="A85" s="376"/>
      <c r="B85" s="376"/>
      <c r="C85"/>
      <c r="D85"/>
      <c r="E85"/>
      <c r="F85"/>
      <c r="G85"/>
      <c r="H85"/>
      <c r="I85"/>
      <c r="J85"/>
      <c r="K85"/>
      <c r="L85"/>
      <c r="M85"/>
      <c r="N85"/>
      <c r="O85"/>
      <c r="P85"/>
      <c r="Q85"/>
      <c r="R85"/>
      <c r="S85"/>
      <c r="T85"/>
      <c r="U85"/>
      <c r="V85"/>
      <c r="W85"/>
      <c r="X85"/>
      <c r="Y85"/>
      <c r="Z85"/>
      <c r="AA85"/>
      <c r="AB85"/>
      <c r="AC85"/>
      <c r="AD85"/>
      <c r="AE85"/>
      <c r="AF85"/>
    </row>
    <row r="86" spans="1:32" s="202" customFormat="1" ht="12.75" x14ac:dyDescent="0.2">
      <c r="A86" s="402" t="s">
        <v>32</v>
      </c>
      <c r="B86" s="402"/>
      <c r="C86" s="402"/>
      <c r="D86" s="402"/>
      <c r="E86" s="402"/>
      <c r="F86" s="402"/>
      <c r="G86" s="402"/>
      <c r="H86" s="402"/>
      <c r="I86" s="402"/>
      <c r="J86" s="402"/>
      <c r="K86" s="402"/>
      <c r="L86" s="402"/>
      <c r="M86" s="402"/>
      <c r="N86" s="402"/>
      <c r="O86" s="402"/>
      <c r="P86" s="402"/>
      <c r="Q86" s="402"/>
      <c r="R86" s="402"/>
      <c r="S86" s="402"/>
      <c r="T86" s="402"/>
      <c r="U86" s="402"/>
      <c r="V86" s="402"/>
      <c r="W86" s="402"/>
      <c r="X86" s="402"/>
      <c r="Y86" s="402"/>
      <c r="Z86" s="402"/>
      <c r="AA86" s="402"/>
      <c r="AB86" s="402"/>
      <c r="AC86" s="402"/>
      <c r="AD86" s="402"/>
      <c r="AE86" s="402"/>
      <c r="AF86" s="402"/>
    </row>
    <row r="87" spans="1:32" s="221" customFormat="1" x14ac:dyDescent="0.25">
      <c r="A87" s="376"/>
      <c r="B87" s="376" t="s">
        <v>33</v>
      </c>
      <c r="C87"/>
      <c r="D87"/>
      <c r="E87"/>
      <c r="F87"/>
      <c r="G87" s="321">
        <f t="array" ref="G87:AF90">IF(ISNUMBER(G15:AF18),Logit!$J$5/AVERAGE($G$15:$G$17)*G15:AF18+Logit!$K$5/AVERAGE($G$51:$G$53)*G51:AF54,"")</f>
        <v>-4.0451456460293738</v>
      </c>
      <c r="H87" s="321">
        <v>-4.0607551714254289</v>
      </c>
      <c r="I87" s="321">
        <v>-3.9835753551243163</v>
      </c>
      <c r="J87" s="321">
        <v>-3.9665760547239386</v>
      </c>
      <c r="K87" s="321">
        <v>-4.003924797317616</v>
      </c>
      <c r="L87" s="321">
        <v>-4.0200645475233703</v>
      </c>
      <c r="M87" s="321">
        <v>-4.0889616662940842</v>
      </c>
      <c r="N87" s="321">
        <v>-4.1390358043205158</v>
      </c>
      <c r="O87" s="321">
        <v>-4.1800961205820792</v>
      </c>
      <c r="P87" s="321">
        <v>-4.2039241305284563</v>
      </c>
      <c r="Q87" s="321">
        <v>-4.238091524263945</v>
      </c>
      <c r="R87" s="321">
        <v>-4.2855145382418858</v>
      </c>
      <c r="S87" s="321">
        <v>-4.3305515405761863</v>
      </c>
      <c r="T87" s="321">
        <v>-4.3777094421492784</v>
      </c>
      <c r="U87" s="321">
        <v>-4.4299044794145024</v>
      </c>
      <c r="V87" s="321">
        <v>-4.4770623809875945</v>
      </c>
      <c r="W87" s="321">
        <v>-4.5305829802770647</v>
      </c>
      <c r="X87" s="321">
        <v>-4.5894058276635148</v>
      </c>
      <c r="Y87" s="321">
        <v>-4.6543262603614934</v>
      </c>
      <c r="Z87" s="321">
        <v>-4.7197769178691704</v>
      </c>
      <c r="AA87" s="321">
        <v>-4.7831066761380541</v>
      </c>
      <c r="AB87" s="321">
        <v>-4.8541246941475613</v>
      </c>
      <c r="AC87" s="321">
        <v>-4.9267333865861627</v>
      </c>
      <c r="AD87" s="321">
        <v>-5.0022583154781026</v>
      </c>
      <c r="AE87" s="321">
        <v>-5.0830854924670241</v>
      </c>
      <c r="AF87" s="321">
        <v>-5.1859169990584171</v>
      </c>
    </row>
    <row r="88" spans="1:32" s="221" customFormat="1" x14ac:dyDescent="0.25">
      <c r="A88" s="388"/>
      <c r="B88" s="388" t="s">
        <v>34</v>
      </c>
      <c r="C88"/>
      <c r="D88"/>
      <c r="E88"/>
      <c r="F88"/>
      <c r="G88" s="321">
        <v>-3.1053578427375901</v>
      </c>
      <c r="H88" s="321">
        <v>-3.1055953319141603</v>
      </c>
      <c r="I88" s="321">
        <v>-3.0580642161261569</v>
      </c>
      <c r="J88" s="321">
        <v>-3.0689188796275548</v>
      </c>
      <c r="K88" s="321">
        <v>-3.1237478218903192</v>
      </c>
      <c r="L88" s="321">
        <v>-3.1205220492572674</v>
      </c>
      <c r="M88" s="321">
        <v>-3.1479105790717918</v>
      </c>
      <c r="N88" s="321">
        <v>-3.1641368780527248</v>
      </c>
      <c r="O88" s="321">
        <v>-3.1749988641871418</v>
      </c>
      <c r="P88" s="321">
        <v>-3.1758777198531511</v>
      </c>
      <c r="Q88" s="321">
        <v>-3.1826000724569767</v>
      </c>
      <c r="R88" s="321">
        <v>-3.19672805925721</v>
      </c>
      <c r="S88" s="321">
        <v>-3.2093433460242387</v>
      </c>
      <c r="T88" s="321">
        <v>-3.2229916525273365</v>
      </c>
      <c r="U88" s="321">
        <v>-3.2392815626540665</v>
      </c>
      <c r="V88" s="321">
        <v>-3.2525841506336679</v>
      </c>
      <c r="W88" s="321">
        <v>-3.2692337326520353</v>
      </c>
      <c r="X88" s="321">
        <v>-3.2885963589121907</v>
      </c>
      <c r="Y88" s="321">
        <v>-3.3110642450623509</v>
      </c>
      <c r="Z88" s="321">
        <v>-3.3335619565683356</v>
      </c>
      <c r="AA88" s="321">
        <v>-3.3546524833102525</v>
      </c>
      <c r="AB88" s="321">
        <v>-3.3796348931042113</v>
      </c>
      <c r="AC88" s="321">
        <v>-3.4051828475213886</v>
      </c>
      <c r="AD88" s="321">
        <v>-3.4319919104293879</v>
      </c>
      <c r="AE88" s="321">
        <v>-3.4613060839240717</v>
      </c>
      <c r="AF88" s="321">
        <v>-3.5018986755315145</v>
      </c>
    </row>
    <row r="89" spans="1:32" s="221" customFormat="1" x14ac:dyDescent="0.25">
      <c r="A89" s="376"/>
      <c r="B89" s="388" t="s">
        <v>35</v>
      </c>
      <c r="C89"/>
      <c r="D89"/>
      <c r="E89"/>
      <c r="F89"/>
      <c r="G89" s="321">
        <v>-2.5553316707106561</v>
      </c>
      <c r="H89" s="321">
        <v>-2.5507792015059656</v>
      </c>
      <c r="I89" s="321">
        <v>-2.5245036916966423</v>
      </c>
      <c r="J89" s="321">
        <v>-2.5124928544311573</v>
      </c>
      <c r="K89" s="321">
        <v>-2.5131836731395696</v>
      </c>
      <c r="L89" s="321">
        <v>-2.5089451505612059</v>
      </c>
      <c r="M89" s="321">
        <v>-2.5168440247147044</v>
      </c>
      <c r="N89" s="321">
        <v>-2.5203371168350004</v>
      </c>
      <c r="O89" s="321">
        <v>-2.5217201113695853</v>
      </c>
      <c r="P89" s="321">
        <v>-2.5191620740424576</v>
      </c>
      <c r="Q89" s="321">
        <v>-2.5189336736451842</v>
      </c>
      <c r="R89" s="321">
        <v>-2.5216559612229275</v>
      </c>
      <c r="S89" s="321">
        <v>-2.523794981843889</v>
      </c>
      <c r="T89" s="321">
        <v>-2.5263604535584245</v>
      </c>
      <c r="U89" s="321">
        <v>-2.5299914012639082</v>
      </c>
      <c r="V89" s="321">
        <v>-2.5324551287244832</v>
      </c>
      <c r="W89" s="321">
        <v>-2.5362658773394613</v>
      </c>
      <c r="X89" s="321">
        <v>-2.5411737206642018</v>
      </c>
      <c r="Y89" s="321">
        <v>-2.547336243318604</v>
      </c>
      <c r="Z89" s="321">
        <v>-2.5535330016639985</v>
      </c>
      <c r="AA89" s="321">
        <v>-2.5591931541338644</v>
      </c>
      <c r="AB89" s="321">
        <v>-2.5664248221608044</v>
      </c>
      <c r="AC89" s="321">
        <v>-2.5739067257760651</v>
      </c>
      <c r="AD89" s="321">
        <v>-2.5819168493384623</v>
      </c>
      <c r="AE89" s="321">
        <v>-2.5909522889817653</v>
      </c>
      <c r="AF89" s="321">
        <v>-2.6045128820766297</v>
      </c>
    </row>
    <row r="90" spans="1:32" s="221" customFormat="1" x14ac:dyDescent="0.25">
      <c r="A90" s="376"/>
      <c r="B90" s="388" t="s">
        <v>29</v>
      </c>
      <c r="C90"/>
      <c r="D90"/>
      <c r="E90"/>
      <c r="F90"/>
      <c r="G90" s="321">
        <v>-4.3663444078852933</v>
      </c>
      <c r="H90" s="321">
        <v>-2.9640768567582927</v>
      </c>
      <c r="I90" s="321">
        <v>-2.3963706018933992</v>
      </c>
      <c r="J90" s="321">
        <v>-2.0841801871508321</v>
      </c>
      <c r="K90" s="321">
        <v>-1.8921740587931024</v>
      </c>
      <c r="L90" s="321">
        <v>-1.7593128118406807</v>
      </c>
      <c r="M90" s="321">
        <v>-1.6689771918315923</v>
      </c>
      <c r="N90" s="321">
        <v>-1.6007388284910715</v>
      </c>
      <c r="O90" s="321">
        <v>-1.5481451974552631</v>
      </c>
      <c r="P90" s="321">
        <v>-1.5060436809911324</v>
      </c>
      <c r="Q90" s="321">
        <v>-1.47296750513603</v>
      </c>
      <c r="R90" s="321">
        <v>-1.4492214676604884</v>
      </c>
      <c r="S90" s="321">
        <v>-1.4298437084604796</v>
      </c>
      <c r="T90" s="321">
        <v>-1.414050494707257</v>
      </c>
      <c r="U90" s="321">
        <v>-1.4012363399524228</v>
      </c>
      <c r="V90" s="321">
        <v>-1.390321310035888</v>
      </c>
      <c r="W90" s="321">
        <v>-1.381471007908927</v>
      </c>
      <c r="X90" s="321">
        <v>-1.3743058270993389</v>
      </c>
      <c r="Y90" s="321">
        <v>-1.3686158253483196</v>
      </c>
      <c r="Z90" s="321">
        <v>-1.3639254047435487</v>
      </c>
      <c r="AA90" s="321">
        <v>-1.3599486613730953</v>
      </c>
      <c r="AB90" s="321">
        <v>-1.3570564143439368</v>
      </c>
      <c r="AC90" s="321">
        <v>-1.3548427539404544</v>
      </c>
      <c r="AD90" s="321">
        <v>-1.3532934252611029</v>
      </c>
      <c r="AE90" s="321">
        <v>-1.3524614034959923</v>
      </c>
      <c r="AF90" s="321">
        <v>-1.3531282272627798</v>
      </c>
    </row>
    <row r="91" spans="1:32" s="221" customFormat="1" x14ac:dyDescent="0.25">
      <c r="A91" s="376"/>
      <c r="B91" s="376"/>
      <c r="C91"/>
      <c r="D91"/>
      <c r="E91"/>
      <c r="F91"/>
      <c r="G91"/>
      <c r="H91"/>
      <c r="I91"/>
      <c r="J91"/>
      <c r="K91"/>
      <c r="L91"/>
      <c r="M91"/>
      <c r="N91"/>
      <c r="O91"/>
      <c r="P91"/>
      <c r="Q91"/>
      <c r="R91"/>
      <c r="S91"/>
      <c r="T91"/>
      <c r="U91"/>
      <c r="V91"/>
      <c r="W91"/>
      <c r="X91"/>
      <c r="Y91"/>
      <c r="Z91"/>
      <c r="AA91"/>
      <c r="AB91"/>
      <c r="AC91"/>
      <c r="AD91"/>
      <c r="AE91"/>
      <c r="AF91"/>
    </row>
    <row r="92" spans="1:32" s="202" customFormat="1" ht="12.75" x14ac:dyDescent="0.2">
      <c r="A92" s="402" t="s">
        <v>36</v>
      </c>
      <c r="B92" s="402"/>
      <c r="C92" s="402"/>
      <c r="D92" s="402"/>
      <c r="E92" s="402"/>
      <c r="F92" s="402"/>
      <c r="G92" s="402"/>
      <c r="H92" s="402"/>
      <c r="I92" s="402"/>
      <c r="J92" s="402"/>
      <c r="K92" s="402"/>
      <c r="L92" s="402"/>
      <c r="M92" s="402"/>
      <c r="N92" s="402"/>
      <c r="O92" s="402"/>
      <c r="P92" s="402"/>
      <c r="Q92" s="402"/>
      <c r="R92" s="402"/>
      <c r="S92" s="402"/>
      <c r="T92" s="402"/>
      <c r="U92" s="402"/>
      <c r="V92" s="402"/>
      <c r="W92" s="402"/>
      <c r="X92" s="402"/>
      <c r="Y92" s="402"/>
      <c r="Z92" s="402"/>
      <c r="AA92" s="402"/>
      <c r="AB92" s="402"/>
      <c r="AC92" s="402"/>
      <c r="AD92" s="402"/>
      <c r="AE92" s="402"/>
      <c r="AF92" s="402"/>
    </row>
    <row r="93" spans="1:32" s="221" customFormat="1" x14ac:dyDescent="0.25">
      <c r="A93" s="376"/>
      <c r="B93" s="376" t="s">
        <v>37</v>
      </c>
      <c r="C93"/>
      <c r="D93"/>
      <c r="E93"/>
      <c r="F93"/>
      <c r="G93" s="321">
        <f t="array" ref="G93:AF96">IF(ISNUMBER(G21:AF24),Logit!$J$5/AVERAGE($G$21:$G$23)*G21:AF24+Logit!$K$5/AVERAGE($G$57:$G$59)*G57:AF60,"")</f>
        <v>-3.6951182695295586</v>
      </c>
      <c r="H93" s="321">
        <v>-3.7020533846886861</v>
      </c>
      <c r="I93" s="321">
        <v>-3.6348334604739705</v>
      </c>
      <c r="J93" s="321">
        <v>-3.6164118081982042</v>
      </c>
      <c r="K93" s="321">
        <v>-3.6420528622203605</v>
      </c>
      <c r="L93" s="321">
        <v>-3.65096037616803</v>
      </c>
      <c r="M93" s="321">
        <v>-3.7025789978778647</v>
      </c>
      <c r="N93" s="321">
        <v>-3.7393201703661143</v>
      </c>
      <c r="O93" s="321">
        <v>-3.7690464359049503</v>
      </c>
      <c r="P93" s="321">
        <v>-3.7851270445826786</v>
      </c>
      <c r="Q93" s="321">
        <v>-3.80971370961365</v>
      </c>
      <c r="R93" s="321">
        <v>-3.8451343796025474</v>
      </c>
      <c r="S93" s="321">
        <v>-3.8787961273418681</v>
      </c>
      <c r="T93" s="321">
        <v>-3.9143096592376212</v>
      </c>
      <c r="U93" s="321">
        <v>-3.9540080417102268</v>
      </c>
      <c r="V93" s="321">
        <v>-3.989779618991562</v>
      </c>
      <c r="W93" s="321">
        <v>-4.0307816988093803</v>
      </c>
      <c r="X93" s="321">
        <v>-4.0761529311232421</v>
      </c>
      <c r="Y93" s="321">
        <v>-4.1265250963204787</v>
      </c>
      <c r="Z93" s="321">
        <v>-4.1774143166783428</v>
      </c>
      <c r="AA93" s="321">
        <v>-4.2266823901637132</v>
      </c>
      <c r="AB93" s="321">
        <v>-4.2822113196486322</v>
      </c>
      <c r="AC93" s="321">
        <v>-4.3390926180008833</v>
      </c>
      <c r="AD93" s="321">
        <v>-4.3983873956451189</v>
      </c>
      <c r="AE93" s="321">
        <v>-4.4620099083119289</v>
      </c>
      <c r="AF93" s="321">
        <v>-4.5433866867319601</v>
      </c>
    </row>
    <row r="94" spans="1:32" s="221" customFormat="1" x14ac:dyDescent="0.25">
      <c r="A94" s="376"/>
      <c r="B94" s="376" t="s">
        <v>39</v>
      </c>
      <c r="C94"/>
      <c r="D94"/>
      <c r="E94"/>
      <c r="F94"/>
      <c r="G94" s="321">
        <v>-3.5384423136077019</v>
      </c>
      <c r="H94" s="321">
        <v>-3.5347456788689433</v>
      </c>
      <c r="I94" s="321">
        <v>-3.4631993904394598</v>
      </c>
      <c r="J94" s="321">
        <v>-3.4367544745606069</v>
      </c>
      <c r="K94" s="321">
        <v>-3.4516852390904367</v>
      </c>
      <c r="L94" s="321">
        <v>-3.4518229114944705</v>
      </c>
      <c r="M94" s="321">
        <v>-3.4892615184449287</v>
      </c>
      <c r="N94" s="321">
        <v>-3.5105272173267781</v>
      </c>
      <c r="O94" s="321">
        <v>-3.525531950929798</v>
      </c>
      <c r="P94" s="321">
        <v>-3.5287275257357011</v>
      </c>
      <c r="Q94" s="321">
        <v>-3.5390345637808034</v>
      </c>
      <c r="R94" s="321">
        <v>-3.558306317592109</v>
      </c>
      <c r="S94" s="321">
        <v>-3.5758564990694843</v>
      </c>
      <c r="T94" s="321">
        <v>-3.5947190076693287</v>
      </c>
      <c r="U94" s="321">
        <v>-3.6168077655641007</v>
      </c>
      <c r="V94" s="321">
        <v>-3.635377155720775</v>
      </c>
      <c r="W94" s="321">
        <v>-3.6579985142683364</v>
      </c>
      <c r="X94" s="321">
        <v>-3.6839055261648292</v>
      </c>
      <c r="Y94" s="321">
        <v>-3.7135606749304655</v>
      </c>
      <c r="Z94" s="321">
        <v>-3.743277598507182</v>
      </c>
      <c r="AA94" s="321">
        <v>-3.7713312066284361</v>
      </c>
      <c r="AB94" s="321">
        <v>-3.8040577330990026</v>
      </c>
      <c r="AC94" s="321">
        <v>-3.8374722889111688</v>
      </c>
      <c r="AD94" s="321">
        <v>-3.8724032582529353</v>
      </c>
      <c r="AE94" s="321">
        <v>-3.9103357145248103</v>
      </c>
      <c r="AF94" s="321">
        <v>-3.9617650600870835</v>
      </c>
    </row>
    <row r="95" spans="1:32" s="221" customFormat="1" x14ac:dyDescent="0.25">
      <c r="A95" s="376"/>
      <c r="B95" s="376" t="s">
        <v>40</v>
      </c>
      <c r="C95"/>
      <c r="D95"/>
      <c r="E95"/>
      <c r="F95"/>
      <c r="G95" s="321">
        <v>-2.4722745763403609</v>
      </c>
      <c r="H95" s="321">
        <v>-2.4705526275163825</v>
      </c>
      <c r="I95" s="321">
        <v>-2.4241539401331789</v>
      </c>
      <c r="J95" s="321">
        <v>-2.4074017931535412</v>
      </c>
      <c r="K95" s="321">
        <v>-2.4170408566224761</v>
      </c>
      <c r="L95" s="321">
        <v>-2.4166217136254895</v>
      </c>
      <c r="M95" s="321">
        <v>-2.4413869208015484</v>
      </c>
      <c r="N95" s="321">
        <v>-2.4571404441092071</v>
      </c>
      <c r="O95" s="321">
        <v>-2.4686113297786596</v>
      </c>
      <c r="P95" s="321">
        <v>-2.4720045096489844</v>
      </c>
      <c r="Q95" s="321">
        <v>-2.4802651683116466</v>
      </c>
      <c r="R95" s="321">
        <v>-2.4946671931327149</v>
      </c>
      <c r="S95" s="321">
        <v>-2.5079009871181226</v>
      </c>
      <c r="T95" s="321">
        <v>-2.5220455940485653</v>
      </c>
      <c r="U95" s="321">
        <v>-2.5384150205604588</v>
      </c>
      <c r="V95" s="321">
        <v>-2.5523907631754219</v>
      </c>
      <c r="W95" s="321">
        <v>-2.5691625763112285</v>
      </c>
      <c r="X95" s="321">
        <v>-2.5882097410378191</v>
      </c>
      <c r="Y95" s="321">
        <v>-2.609853981778163</v>
      </c>
      <c r="Z95" s="321">
        <v>-2.6315703146503169</v>
      </c>
      <c r="AA95" s="321">
        <v>-2.6521762708578454</v>
      </c>
      <c r="AB95" s="321">
        <v>-2.6760247027277764</v>
      </c>
      <c r="AC95" s="321">
        <v>-2.7003832909173742</v>
      </c>
      <c r="AD95" s="321">
        <v>-2.7258242068743632</v>
      </c>
      <c r="AE95" s="321">
        <v>-2.7533725591246441</v>
      </c>
      <c r="AF95" s="321">
        <v>-2.7902576079143202</v>
      </c>
    </row>
    <row r="96" spans="1:32" s="221" customFormat="1" x14ac:dyDescent="0.25">
      <c r="A96" s="376"/>
      <c r="B96" s="376" t="s">
        <v>29</v>
      </c>
      <c r="C96"/>
      <c r="D96"/>
      <c r="E96"/>
      <c r="F96"/>
      <c r="G96" s="321">
        <v>-16.875248909601495</v>
      </c>
      <c r="H96" s="321">
        <v>-9.4660683197083095</v>
      </c>
      <c r="I96" s="321">
        <v>-6.7257298312732754</v>
      </c>
      <c r="J96" s="321">
        <v>-5.234736930479154</v>
      </c>
      <c r="K96" s="321">
        <v>-4.3197044597963927</v>
      </c>
      <c r="L96" s="321">
        <v>-3.6962146053671479</v>
      </c>
      <c r="M96" s="321">
        <v>-3.2644594303737753</v>
      </c>
      <c r="N96" s="321">
        <v>-2.9394201510254914</v>
      </c>
      <c r="O96" s="321">
        <v>-2.6874202031397383</v>
      </c>
      <c r="P96" s="321">
        <v>-2.4845307808660335</v>
      </c>
      <c r="Q96" s="321">
        <v>-2.3219425333797701</v>
      </c>
      <c r="R96" s="321">
        <v>-2.1988385349236643</v>
      </c>
      <c r="S96" s="321">
        <v>-2.0965323328686694</v>
      </c>
      <c r="T96" s="321">
        <v>-2.0111666356404871</v>
      </c>
      <c r="U96" s="321">
        <v>-1.9398394167028026</v>
      </c>
      <c r="V96" s="321">
        <v>-1.8780945387770402</v>
      </c>
      <c r="W96" s="321">
        <v>-1.8261308711271915</v>
      </c>
      <c r="X96" s="321">
        <v>-1.7822502275414887</v>
      </c>
      <c r="Y96" s="321">
        <v>-1.7454314875904138</v>
      </c>
      <c r="Z96" s="321">
        <v>-1.713716162075499</v>
      </c>
      <c r="AA96" s="321">
        <v>-1.6858746779576028</v>
      </c>
      <c r="AB96" s="321">
        <v>-1.6631286207202356</v>
      </c>
      <c r="AC96" s="321">
        <v>-1.6438556691135515</v>
      </c>
      <c r="AD96" s="321">
        <v>-1.6278961186152316</v>
      </c>
      <c r="AE96" s="321">
        <v>-1.6153536190569873</v>
      </c>
      <c r="AF96" s="321">
        <v>-1.6090371669590469</v>
      </c>
    </row>
    <row r="97" spans="1:32" s="221" customFormat="1" x14ac:dyDescent="0.25">
      <c r="A97" s="376"/>
      <c r="B97" s="376"/>
      <c r="C97"/>
      <c r="D97"/>
      <c r="E97"/>
      <c r="F97"/>
      <c r="G97"/>
      <c r="H97"/>
      <c r="I97"/>
      <c r="J97"/>
      <c r="K97"/>
      <c r="L97"/>
      <c r="M97"/>
      <c r="N97"/>
      <c r="O97"/>
      <c r="P97"/>
      <c r="Q97"/>
      <c r="R97"/>
      <c r="S97"/>
      <c r="T97"/>
      <c r="U97"/>
      <c r="V97"/>
      <c r="W97"/>
      <c r="X97"/>
      <c r="Y97"/>
      <c r="Z97"/>
      <c r="AA97"/>
      <c r="AB97"/>
      <c r="AC97"/>
      <c r="AD97"/>
      <c r="AE97"/>
      <c r="AF97"/>
    </row>
    <row r="98" spans="1:32" s="202" customFormat="1" ht="12.75" x14ac:dyDescent="0.2">
      <c r="A98" s="402" t="s">
        <v>42</v>
      </c>
      <c r="B98" s="402"/>
      <c r="C98" s="402"/>
      <c r="D98" s="402"/>
      <c r="E98" s="402"/>
      <c r="F98" s="402"/>
      <c r="G98" s="402"/>
      <c r="H98" s="402"/>
      <c r="I98" s="402"/>
      <c r="J98" s="402"/>
      <c r="K98" s="402"/>
      <c r="L98" s="402"/>
      <c r="M98" s="402"/>
      <c r="N98" s="402"/>
      <c r="O98" s="402"/>
      <c r="P98" s="402"/>
      <c r="Q98" s="402"/>
      <c r="R98" s="402"/>
      <c r="S98" s="402"/>
      <c r="T98" s="402"/>
      <c r="U98" s="402"/>
      <c r="V98" s="402"/>
      <c r="W98" s="402"/>
      <c r="X98" s="402"/>
      <c r="Y98" s="402"/>
      <c r="Z98" s="402"/>
      <c r="AA98" s="402"/>
      <c r="AB98" s="402"/>
      <c r="AC98" s="402"/>
      <c r="AD98" s="402"/>
      <c r="AE98" s="402"/>
      <c r="AF98" s="402"/>
    </row>
    <row r="99" spans="1:32" s="221" customFormat="1" x14ac:dyDescent="0.25">
      <c r="A99" s="376"/>
      <c r="B99" s="388" t="s">
        <v>43</v>
      </c>
      <c r="C99"/>
      <c r="D99"/>
      <c r="E99"/>
      <c r="F99"/>
      <c r="G99" s="321">
        <f t="array" ref="G99:AF103">IF(ISNUMBER(G27:AF31),Logit!$J$5/AVERAGE($G$27:$G$30)*G27:AF31+Logit!$K$5/AVERAGE($G$63:$G$66)*G63:AF67)</f>
        <v>-0.15585430762342051</v>
      </c>
      <c r="H99" s="321">
        <v>-0.15582698788040322</v>
      </c>
      <c r="I99" s="321">
        <v>-0.1545888855439424</v>
      </c>
      <c r="J99" s="321">
        <v>-0.15413814685136573</v>
      </c>
      <c r="K99" s="321">
        <v>-0.15439852772426971</v>
      </c>
      <c r="L99" s="321">
        <v>-0.1543829934197285</v>
      </c>
      <c r="M99" s="321">
        <v>-0.15505769784483553</v>
      </c>
      <c r="N99" s="321">
        <v>-0.15548755861157568</v>
      </c>
      <c r="O99" s="321">
        <v>-0.15580066614581597</v>
      </c>
      <c r="P99" s="321">
        <v>-0.15588962288060826</v>
      </c>
      <c r="Q99" s="321">
        <v>-0.15611455136905322</v>
      </c>
      <c r="R99" s="321">
        <v>-0.15651350847036566</v>
      </c>
      <c r="S99" s="321">
        <v>-0.1568821363910072</v>
      </c>
      <c r="T99" s="321">
        <v>-0.15727927442100362</v>
      </c>
      <c r="U99" s="321">
        <v>-0.15774298502291384</v>
      </c>
      <c r="V99" s="321">
        <v>-0.15814164063484337</v>
      </c>
      <c r="W99" s="321">
        <v>-0.15862412591531738</v>
      </c>
      <c r="X99" s="321">
        <v>-0.15917656148857254</v>
      </c>
      <c r="Y99" s="321">
        <v>-0.15980931098518214</v>
      </c>
      <c r="Z99" s="321">
        <v>-0.16044962501507104</v>
      </c>
      <c r="AA99" s="321">
        <v>-0.16106284941585569</v>
      </c>
      <c r="AB99" s="321">
        <v>-0.16177709660165743</v>
      </c>
      <c r="AC99" s="321">
        <v>-0.16251269433337601</v>
      </c>
      <c r="AD99" s="321">
        <v>-0.16328693801662883</v>
      </c>
      <c r="AE99" s="321">
        <v>-0.16413097636505497</v>
      </c>
      <c r="AF99" s="321">
        <v>-0.16526296609678218</v>
      </c>
    </row>
    <row r="100" spans="1:32" s="221" customFormat="1" x14ac:dyDescent="0.25">
      <c r="A100" s="376"/>
      <c r="B100" s="388" t="s">
        <v>44</v>
      </c>
      <c r="C100"/>
      <c r="D100"/>
      <c r="E100"/>
      <c r="F100"/>
      <c r="G100" s="321">
        <v>-0.21824956791956737</v>
      </c>
      <c r="H100" s="321">
        <v>-0.21775409754802941</v>
      </c>
      <c r="I100" s="321">
        <v>-0.21654721204027044</v>
      </c>
      <c r="J100" s="321">
        <v>-0.21581306843978901</v>
      </c>
      <c r="K100" s="321">
        <v>-0.21549706215969675</v>
      </c>
      <c r="L100" s="321">
        <v>-0.21502123766870551</v>
      </c>
      <c r="M100" s="321">
        <v>-0.21494186583822303</v>
      </c>
      <c r="N100" s="321">
        <v>-0.21471920893633734</v>
      </c>
      <c r="O100" s="321">
        <v>-0.21442855451329518</v>
      </c>
      <c r="P100" s="321">
        <v>-0.21401116654509089</v>
      </c>
      <c r="Q100" s="321">
        <v>-0.21367000263828953</v>
      </c>
      <c r="R100" s="321">
        <v>-0.21342449126581881</v>
      </c>
      <c r="S100" s="321">
        <v>-0.21316054128540032</v>
      </c>
      <c r="T100" s="321">
        <v>-0.21291058032753601</v>
      </c>
      <c r="U100" s="321">
        <v>-0.21269491289953352</v>
      </c>
      <c r="V100" s="321">
        <v>-0.21244208943981877</v>
      </c>
      <c r="W100" s="321">
        <v>-0.21223233785030854</v>
      </c>
      <c r="X100" s="321">
        <v>-0.21205743131164603</v>
      </c>
      <c r="Y100" s="321">
        <v>-0.21192213286937578</v>
      </c>
      <c r="Z100" s="321">
        <v>-0.2117875812855749</v>
      </c>
      <c r="AA100" s="321">
        <v>-0.21163573753899703</v>
      </c>
      <c r="AB100" s="321">
        <v>-0.21153311486881302</v>
      </c>
      <c r="AC100" s="321">
        <v>-0.21143786440684512</v>
      </c>
      <c r="AD100" s="321">
        <v>-0.21135866046347879</v>
      </c>
      <c r="AE100" s="321">
        <v>-0.21131097712464533</v>
      </c>
      <c r="AF100" s="321">
        <v>-0.2114040646181235</v>
      </c>
    </row>
    <row r="101" spans="1:32" s="221" customFormat="1" x14ac:dyDescent="0.25">
      <c r="A101" s="376"/>
      <c r="B101" s="388" t="s">
        <v>45</v>
      </c>
      <c r="C101"/>
      <c r="D101"/>
      <c r="E101"/>
      <c r="F101"/>
      <c r="G101" s="321">
        <v>-8.1160518015274102E-2</v>
      </c>
      <c r="H101" s="321">
        <v>-8.1081123281285306E-2</v>
      </c>
      <c r="I101" s="321">
        <v>-8.0497999783235658E-2</v>
      </c>
      <c r="J101" s="321">
        <v>-8.0243851746124958E-2</v>
      </c>
      <c r="K101" s="321">
        <v>-8.0284681620900869E-2</v>
      </c>
      <c r="L101" s="321">
        <v>-8.0210840492140639E-2</v>
      </c>
      <c r="M101" s="321">
        <v>-8.042103344373551E-2</v>
      </c>
      <c r="N101" s="321">
        <v>-8.0529046745010213E-2</v>
      </c>
      <c r="O101" s="321">
        <v>-8.0588118797855796E-2</v>
      </c>
      <c r="P101" s="321">
        <v>-8.055470538909823E-2</v>
      </c>
      <c r="Q101" s="321">
        <v>-8.057633248639641E-2</v>
      </c>
      <c r="R101" s="321">
        <v>-8.0668078010710353E-2</v>
      </c>
      <c r="S101" s="321">
        <v>-8.0746501627597306E-2</v>
      </c>
      <c r="T101" s="321">
        <v>-8.0835518060546577E-2</v>
      </c>
      <c r="U101" s="321">
        <v>-8.0950420524866923E-2</v>
      </c>
      <c r="V101" s="321">
        <v>-8.1037992411489748E-2</v>
      </c>
      <c r="W101" s="321">
        <v>-8.1158266274541979E-2</v>
      </c>
      <c r="X101" s="321">
        <v>-8.1305441135511192E-2</v>
      </c>
      <c r="Y101" s="321">
        <v>-8.148346818357935E-2</v>
      </c>
      <c r="Z101" s="321">
        <v>-8.1663097107004007E-2</v>
      </c>
      <c r="AA101" s="321">
        <v>-8.1830520808652968E-2</v>
      </c>
      <c r="AB101" s="321">
        <v>-8.2036702132513406E-2</v>
      </c>
      <c r="AC101" s="321">
        <v>-8.2249799905455848E-2</v>
      </c>
      <c r="AD101" s="321">
        <v>-8.2476600316055818E-2</v>
      </c>
      <c r="AE101" s="321">
        <v>-8.2729288138403981E-2</v>
      </c>
      <c r="AF101" s="321">
        <v>-8.3093500127473907E-2</v>
      </c>
    </row>
    <row r="102" spans="1:32" s="221" customFormat="1" x14ac:dyDescent="0.25">
      <c r="A102" s="376"/>
      <c r="B102" s="388" t="s">
        <v>46</v>
      </c>
      <c r="C102"/>
      <c r="D102"/>
      <c r="E102"/>
      <c r="F102"/>
      <c r="G102" s="321">
        <v>-12.485849152411898</v>
      </c>
      <c r="H102" s="321">
        <v>-12.482500367997879</v>
      </c>
      <c r="I102" s="321">
        <v>-12.479223548726692</v>
      </c>
      <c r="J102" s="321">
        <v>-12.476016089141856</v>
      </c>
      <c r="K102" s="321">
        <v>-12.472875520692366</v>
      </c>
      <c r="L102" s="321">
        <v>-12.469799502297075</v>
      </c>
      <c r="M102" s="321">
        <v>-12.466785811705657</v>
      </c>
      <c r="N102" s="321">
        <v>-12.463832337577299</v>
      </c>
      <c r="O102" s="321">
        <v>-12.46093707220734</v>
      </c>
      <c r="P102" s="321">
        <v>-12.458098104839564</v>
      </c>
      <c r="Q102" s="321">
        <v>-12.455313615508921</v>
      </c>
      <c r="R102" s="321">
        <v>-12.452581869365151</v>
      </c>
      <c r="S102" s="321">
        <v>-12.449901211433239</v>
      </c>
      <c r="T102" s="321">
        <v>-12.447270061771096</v>
      </c>
      <c r="U102" s="321">
        <v>-12.444686910989073</v>
      </c>
      <c r="V102" s="321">
        <v>-12.442150316099418</v>
      </c>
      <c r="W102" s="321">
        <v>-12.439658896667073</v>
      </c>
      <c r="X102" s="321">
        <v>-12.437211331235975</v>
      </c>
      <c r="Y102" s="321">
        <v>-12.434806354007629</v>
      </c>
      <c r="Z102" s="321">
        <v>-12.43244275175087</v>
      </c>
      <c r="AA102" s="321">
        <v>-12.430119360923875</v>
      </c>
      <c r="AB102" s="321">
        <v>-12.427835064991111</v>
      </c>
      <c r="AC102" s="321">
        <v>-12.425588791919658</v>
      </c>
      <c r="AD102" s="321">
        <v>-12.42337951184069</v>
      </c>
      <c r="AE102" s="321">
        <v>-12.421206234863206</v>
      </c>
      <c r="AF102" s="321">
        <v>-12.419068009028276</v>
      </c>
    </row>
    <row r="103" spans="1:32" s="221" customFormat="1" x14ac:dyDescent="0.25">
      <c r="A103" s="376"/>
      <c r="B103" s="376" t="s">
        <v>29</v>
      </c>
      <c r="C103"/>
      <c r="D103"/>
      <c r="E103"/>
      <c r="F103"/>
      <c r="G103" s="321">
        <v>-0.34300979581611934</v>
      </c>
      <c r="H103" s="321">
        <v>-0.20071127428066404</v>
      </c>
      <c r="I103" s="321">
        <v>-0.14258564341708854</v>
      </c>
      <c r="J103" s="321">
        <v>-0.11052232279834544</v>
      </c>
      <c r="K103" s="321">
        <v>-9.0348826766802892E-2</v>
      </c>
      <c r="L103" s="321">
        <v>-7.6450611671080193E-2</v>
      </c>
      <c r="M103" s="321">
        <v>-6.6426523260915638E-2</v>
      </c>
      <c r="N103" s="321">
        <v>-5.8793967970547853E-2</v>
      </c>
      <c r="O103" s="321">
        <v>-5.279758554298844E-2</v>
      </c>
      <c r="P103" s="321">
        <v>-4.7949663103929036E-2</v>
      </c>
      <c r="Q103" s="321">
        <v>-4.3977062109286598E-2</v>
      </c>
      <c r="R103" s="321">
        <v>-4.0728217467927777E-2</v>
      </c>
      <c r="S103" s="321">
        <v>-3.7977009630290277E-2</v>
      </c>
      <c r="T103" s="321">
        <v>-3.5623511572221864E-2</v>
      </c>
      <c r="U103" s="321">
        <v>-3.3593310486133621E-2</v>
      </c>
      <c r="V103" s="321">
        <v>-3.1815130201972311E-2</v>
      </c>
      <c r="W103" s="321">
        <v>-3.0257964619518518E-2</v>
      </c>
      <c r="X103" s="321">
        <v>-2.8885272572968149E-2</v>
      </c>
      <c r="Y103" s="321">
        <v>-2.7670169750229134E-2</v>
      </c>
      <c r="Z103" s="321">
        <v>-2.6583514015665829E-2</v>
      </c>
      <c r="AA103" s="321">
        <v>-2.5603985238084465E-2</v>
      </c>
      <c r="AB103" s="321">
        <v>-2.4728777340461673E-2</v>
      </c>
      <c r="AC103" s="321">
        <v>-2.3938170757777259E-2</v>
      </c>
      <c r="AD103" s="321">
        <v>-2.322356447235174E-2</v>
      </c>
      <c r="AE103" s="321">
        <v>-2.2579277120095703E-2</v>
      </c>
      <c r="AF103" s="321">
        <v>-2.2018433029976435E-2</v>
      </c>
    </row>
    <row r="104" spans="1:32" s="221" customFormat="1" x14ac:dyDescent="0.25">
      <c r="A104" s="376"/>
      <c r="B104" s="376"/>
      <c r="C104"/>
      <c r="D104"/>
      <c r="E104"/>
      <c r="F104"/>
      <c r="G104"/>
      <c r="H104"/>
      <c r="I104"/>
      <c r="J104"/>
      <c r="K104"/>
      <c r="L104"/>
      <c r="M104"/>
      <c r="N104"/>
      <c r="O104"/>
      <c r="P104"/>
      <c r="Q104"/>
      <c r="R104"/>
      <c r="S104"/>
      <c r="T104"/>
      <c r="U104"/>
      <c r="V104"/>
      <c r="W104"/>
      <c r="X104"/>
      <c r="Y104"/>
      <c r="Z104"/>
      <c r="AA104"/>
      <c r="AB104"/>
      <c r="AC104"/>
      <c r="AD104"/>
      <c r="AE104"/>
      <c r="AF104"/>
    </row>
    <row r="105" spans="1:32" s="202" customFormat="1" ht="12.75" x14ac:dyDescent="0.2">
      <c r="A105" s="402" t="s">
        <v>47</v>
      </c>
      <c r="B105" s="402"/>
      <c r="C105" s="402"/>
      <c r="D105" s="402"/>
      <c r="E105" s="402"/>
      <c r="F105" s="402"/>
      <c r="G105" s="402"/>
      <c r="H105" s="402"/>
      <c r="I105" s="402"/>
      <c r="J105" s="402"/>
      <c r="K105" s="402"/>
      <c r="L105" s="402"/>
      <c r="M105" s="402"/>
      <c r="N105" s="402"/>
      <c r="O105" s="402"/>
      <c r="P105" s="402"/>
      <c r="Q105" s="402"/>
      <c r="R105" s="402"/>
      <c r="S105" s="402"/>
      <c r="T105" s="402"/>
      <c r="U105" s="402"/>
      <c r="V105" s="402"/>
      <c r="W105" s="402"/>
      <c r="X105" s="402"/>
      <c r="Y105" s="402"/>
      <c r="Z105" s="402"/>
      <c r="AA105" s="402"/>
      <c r="AB105" s="402"/>
      <c r="AC105" s="402"/>
      <c r="AD105" s="402"/>
      <c r="AE105" s="402"/>
      <c r="AF105" s="402"/>
    </row>
    <row r="106" spans="1:32" s="221" customFormat="1" x14ac:dyDescent="0.25">
      <c r="A106" s="376"/>
      <c r="B106" s="376" t="s">
        <v>48</v>
      </c>
      <c r="C106"/>
      <c r="D106"/>
      <c r="E106"/>
      <c r="F106"/>
      <c r="G106" s="321">
        <f t="array" ref="G106:AF111">IF(ISNUMBER(G34:AF34),Logit!$J$5/AVERAGE($G34:$G39)*G34:AF39+Logit!$K$5/AVERAGE($G70:$G75)*G70:AF75,"")</f>
        <v>-5.2457855988286681</v>
      </c>
      <c r="H106" s="321">
        <v>-5.2557968298836517</v>
      </c>
      <c r="I106" s="321">
        <v>-5.1023286273784993</v>
      </c>
      <c r="J106" s="321">
        <v>-5.033298173454857</v>
      </c>
      <c r="K106" s="321">
        <v>-5.0374094863998744</v>
      </c>
      <c r="L106" s="321">
        <v>-5.0476843568712804</v>
      </c>
      <c r="M106" s="321">
        <v>-5.1268031661946321</v>
      </c>
      <c r="N106" s="321">
        <v>-5.1810297180290776</v>
      </c>
      <c r="O106" s="321">
        <v>-5.2232908368486184</v>
      </c>
      <c r="P106" s="321">
        <v>-5.2430245932889834</v>
      </c>
      <c r="Q106" s="321">
        <v>-5.2760371595494524</v>
      </c>
      <c r="R106" s="321">
        <v>-5.3259882850203777</v>
      </c>
      <c r="S106" s="321">
        <v>-5.3726323633252502</v>
      </c>
      <c r="T106" s="321">
        <v>-5.4217747151398488</v>
      </c>
      <c r="U106" s="321">
        <v>-5.4771272145859689</v>
      </c>
      <c r="V106" s="321">
        <v>-5.5257814538879746</v>
      </c>
      <c r="W106" s="321">
        <v>-5.5823021954617547</v>
      </c>
      <c r="X106" s="321">
        <v>-5.6452821020239563</v>
      </c>
      <c r="Y106" s="321">
        <v>-5.7156789322671271</v>
      </c>
      <c r="Z106" s="321">
        <v>-5.7863990054314378</v>
      </c>
      <c r="AA106" s="321">
        <v>-5.8540956936971638</v>
      </c>
      <c r="AB106" s="321">
        <v>-5.9311255289755449</v>
      </c>
      <c r="AC106" s="321">
        <v>-6.0097678073562939</v>
      </c>
      <c r="AD106" s="321">
        <v>-6.0916671845235459</v>
      </c>
      <c r="AE106" s="321">
        <v>-6.1797755000755004</v>
      </c>
      <c r="AF106" s="321">
        <v>-6.2948396964421258</v>
      </c>
    </row>
    <row r="107" spans="1:32" s="221" customFormat="1" x14ac:dyDescent="0.25">
      <c r="A107" s="376"/>
      <c r="B107" s="388" t="s">
        <v>50</v>
      </c>
      <c r="C107"/>
      <c r="D107"/>
      <c r="E107"/>
      <c r="F107"/>
      <c r="G107" s="321">
        <v>-3.4421763285618026</v>
      </c>
      <c r="H107" s="321">
        <v>-3.4510490203907316</v>
      </c>
      <c r="I107" s="321">
        <v>-3.3655574705348923</v>
      </c>
      <c r="J107" s="321">
        <v>-3.3415395937628136</v>
      </c>
      <c r="K107" s="321">
        <v>-3.372638199830913</v>
      </c>
      <c r="L107" s="321">
        <v>-3.3821962974597231</v>
      </c>
      <c r="M107" s="321">
        <v>-3.4448321337159316</v>
      </c>
      <c r="N107" s="321">
        <v>-3.4882738039677395</v>
      </c>
      <c r="O107" s="321">
        <v>-3.5224883107313052</v>
      </c>
      <c r="P107" s="321">
        <v>-3.5393304978313456</v>
      </c>
      <c r="Q107" s="321">
        <v>-3.5664119006221204</v>
      </c>
      <c r="R107" s="321">
        <v>-3.6065574918722061</v>
      </c>
      <c r="S107" s="321">
        <v>-3.6441553244070546</v>
      </c>
      <c r="T107" s="321">
        <v>-3.6836837197699106</v>
      </c>
      <c r="U107" s="321">
        <v>-3.7280074011664417</v>
      </c>
      <c r="V107" s="321">
        <v>-3.7671699924409174</v>
      </c>
      <c r="W107" s="321">
        <v>-3.8124084438466204</v>
      </c>
      <c r="X107" s="321">
        <v>-3.8626394678961065</v>
      </c>
      <c r="Y107" s="321">
        <v>-3.9186046721427545</v>
      </c>
      <c r="Z107" s="321">
        <v>-3.974832208669302</v>
      </c>
      <c r="AA107" s="321">
        <v>-4.028740164005578</v>
      </c>
      <c r="AB107" s="321">
        <v>-4.089867580174765</v>
      </c>
      <c r="AC107" s="321">
        <v>-4.1522574393485829</v>
      </c>
      <c r="AD107" s="321">
        <v>-4.2171813638471836</v>
      </c>
      <c r="AE107" s="321">
        <v>-4.2869211815167132</v>
      </c>
      <c r="AF107" s="321">
        <v>-4.3775044577737594</v>
      </c>
    </row>
    <row r="108" spans="1:32" s="221" customFormat="1" x14ac:dyDescent="0.25">
      <c r="A108" s="376"/>
      <c r="B108" s="376" t="s">
        <v>51</v>
      </c>
      <c r="C108"/>
      <c r="D108"/>
      <c r="E108"/>
      <c r="F108"/>
      <c r="G108" s="321">
        <v>-1.6764209470604219</v>
      </c>
      <c r="H108" s="321">
        <v>-1.6783909101615373</v>
      </c>
      <c r="I108" s="321">
        <v>-1.6537605115535281</v>
      </c>
      <c r="J108" s="321">
        <v>-1.6464611812874339</v>
      </c>
      <c r="K108" s="321">
        <v>-1.6547007773499636</v>
      </c>
      <c r="L108" s="321">
        <v>-1.6568693094414129</v>
      </c>
      <c r="M108" s="321">
        <v>-1.6740019976873164</v>
      </c>
      <c r="N108" s="321">
        <v>-1.6857250293405615</v>
      </c>
      <c r="O108" s="321">
        <v>-1.6948481315521087</v>
      </c>
      <c r="P108" s="321">
        <v>-1.6990751280400531</v>
      </c>
      <c r="Q108" s="321">
        <v>-1.7061898244769085</v>
      </c>
      <c r="R108" s="321">
        <v>-1.7169885768451989</v>
      </c>
      <c r="S108" s="321">
        <v>-1.7270702859269131</v>
      </c>
      <c r="T108" s="321">
        <v>-1.7376973952421584</v>
      </c>
      <c r="U108" s="321">
        <v>-1.7496774675670599</v>
      </c>
      <c r="V108" s="321">
        <v>-1.7602037370188601</v>
      </c>
      <c r="W108" s="321">
        <v>-1.7724439376470071</v>
      </c>
      <c r="X108" s="321">
        <v>-1.7860926701041153</v>
      </c>
      <c r="Y108" s="321">
        <v>-1.8013589819281961</v>
      </c>
      <c r="Z108" s="321">
        <v>-1.8167003182491466</v>
      </c>
      <c r="AA108" s="321">
        <v>-1.8313888107497505</v>
      </c>
      <c r="AB108" s="321">
        <v>-1.8481135464497207</v>
      </c>
      <c r="AC108" s="321">
        <v>-1.8651951995644611</v>
      </c>
      <c r="AD108" s="321">
        <v>-1.8829922326420805</v>
      </c>
      <c r="AE108" s="321">
        <v>-1.9021478902261006</v>
      </c>
      <c r="AF108" s="321">
        <v>-1.927180405978683</v>
      </c>
    </row>
    <row r="109" spans="1:32" s="221" customFormat="1" x14ac:dyDescent="0.25">
      <c r="A109" s="376"/>
      <c r="B109" s="376" t="s">
        <v>52</v>
      </c>
      <c r="C109"/>
      <c r="D109"/>
      <c r="E109"/>
      <c r="F109"/>
      <c r="G109" s="321">
        <v>-3.1430367473819083</v>
      </c>
      <c r="H109" s="321">
        <v>-3.140505188223039</v>
      </c>
      <c r="I109" s="321">
        <v>-3.1064665091507262</v>
      </c>
      <c r="J109" s="321">
        <v>-3.0934333683721409</v>
      </c>
      <c r="K109" s="321">
        <v>-3.0992306892971939</v>
      </c>
      <c r="L109" s="321">
        <v>-3.097982370356827</v>
      </c>
      <c r="M109" s="321">
        <v>-3.1148270728199408</v>
      </c>
      <c r="N109" s="321">
        <v>-3.1253742373502744</v>
      </c>
      <c r="O109" s="321">
        <v>-3.1329674198838111</v>
      </c>
      <c r="P109" s="321">
        <v>-3.1348448333462731</v>
      </c>
      <c r="Q109" s="321">
        <v>-3.1403039464897544</v>
      </c>
      <c r="R109" s="321">
        <v>-3.1502856197139479</v>
      </c>
      <c r="S109" s="321">
        <v>-3.1595150184183725</v>
      </c>
      <c r="T109" s="321">
        <v>-3.1694930473080625</v>
      </c>
      <c r="U109" s="321">
        <v>-3.1811775030426293</v>
      </c>
      <c r="V109" s="321">
        <v>-3.191203696630545</v>
      </c>
      <c r="W109" s="321">
        <v>-3.2033542311160721</v>
      </c>
      <c r="X109" s="321">
        <v>-3.2172579088676683</v>
      </c>
      <c r="Y109" s="321">
        <v>-3.2331594826774523</v>
      </c>
      <c r="Z109" s="321">
        <v>-3.249209000469409</v>
      </c>
      <c r="AA109" s="321">
        <v>-3.2645314687590536</v>
      </c>
      <c r="AB109" s="321">
        <v>-3.2823395624390752</v>
      </c>
      <c r="AC109" s="321">
        <v>-3.3006209385115719</v>
      </c>
      <c r="AD109" s="321">
        <v>-3.3198011170585895</v>
      </c>
      <c r="AE109" s="321">
        <v>-3.3406465496762623</v>
      </c>
      <c r="AF109" s="321">
        <v>-3.3685590958506415</v>
      </c>
    </row>
    <row r="110" spans="1:32" s="221" customFormat="1" x14ac:dyDescent="0.25">
      <c r="A110" s="376"/>
      <c r="B110" s="388" t="s">
        <v>29</v>
      </c>
      <c r="C110"/>
      <c r="D110"/>
      <c r="E110"/>
      <c r="F110"/>
      <c r="G110" s="321">
        <v>-4.0839693738384328</v>
      </c>
      <c r="H110" s="321">
        <v>-2.606819394140282</v>
      </c>
      <c r="I110" s="321">
        <v>-2.0047800611535411</v>
      </c>
      <c r="J110" s="321">
        <v>-1.666214956585357</v>
      </c>
      <c r="K110" s="321">
        <v>-1.4575372450336723</v>
      </c>
      <c r="L110" s="321">
        <v>-1.3120476967251817</v>
      </c>
      <c r="M110" s="321">
        <v>-1.2155402462151967</v>
      </c>
      <c r="N110" s="321">
        <v>-1.1429691162504003</v>
      </c>
      <c r="O110" s="321">
        <v>-1.0876702410667878</v>
      </c>
      <c r="P110" s="321">
        <v>-1.0437374272789854</v>
      </c>
      <c r="Q110" s="321">
        <v>-1.0100956134200703</v>
      </c>
      <c r="R110" s="321">
        <v>-0.98793037543791051</v>
      </c>
      <c r="S110" s="321">
        <v>-0.97039616850156485</v>
      </c>
      <c r="T110" s="321">
        <v>-0.95669943644529742</v>
      </c>
      <c r="U110" s="321">
        <v>-0.94621628137371427</v>
      </c>
      <c r="V110" s="321">
        <v>-0.93755427007737213</v>
      </c>
      <c r="W110" s="321">
        <v>-0.93112129468835947</v>
      </c>
      <c r="X110" s="321">
        <v>-0.92648318982999367</v>
      </c>
      <c r="Y110" s="321">
        <v>-0.92343212022695353</v>
      </c>
      <c r="Z110" s="321">
        <v>-0.92134719007320753</v>
      </c>
      <c r="AA110" s="321">
        <v>-0.91987384162552277</v>
      </c>
      <c r="AB110" s="321">
        <v>-0.91961942687631648</v>
      </c>
      <c r="AC110" s="321">
        <v>-0.92003040547550219</v>
      </c>
      <c r="AD110" s="321">
        <v>-0.92112635753298522</v>
      </c>
      <c r="AE110" s="321">
        <v>-0.92302040626114645</v>
      </c>
      <c r="AF110" s="321">
        <v>-0.92690078370509243</v>
      </c>
    </row>
    <row r="111" spans="1:32" s="221" customFormat="1" x14ac:dyDescent="0.25">
      <c r="A111" s="376"/>
      <c r="B111" s="388" t="s">
        <v>53</v>
      </c>
      <c r="C111"/>
      <c r="D111"/>
      <c r="E111"/>
      <c r="F111"/>
      <c r="G111" s="321">
        <v>-1.8202813232840049</v>
      </c>
      <c r="H111" s="321">
        <v>-1.8225477333869553</v>
      </c>
      <c r="I111" s="321">
        <v>-1.7956955805453423</v>
      </c>
      <c r="J111" s="321">
        <v>-1.7878050083621679</v>
      </c>
      <c r="K111" s="321">
        <v>-1.7969147257965608</v>
      </c>
      <c r="L111" s="321">
        <v>-1.7993741126557485</v>
      </c>
      <c r="M111" s="321">
        <v>-1.8182049161639595</v>
      </c>
      <c r="N111" s="321">
        <v>-1.8311094275071196</v>
      </c>
      <c r="O111" s="321">
        <v>-1.8411627910343245</v>
      </c>
      <c r="P111" s="321">
        <v>-1.845852075072959</v>
      </c>
      <c r="Q111" s="321">
        <v>-1.8536962215775383</v>
      </c>
      <c r="R111" s="321">
        <v>-1.8655668683193889</v>
      </c>
      <c r="S111" s="321">
        <v>-1.8766473797896397</v>
      </c>
      <c r="T111" s="321">
        <v>-1.8883194928830178</v>
      </c>
      <c r="U111" s="321">
        <v>-1.9014671061164061</v>
      </c>
      <c r="V111" s="321">
        <v>-1.9130184723753036</v>
      </c>
      <c r="W111" s="321">
        <v>-1.9264405391799915</v>
      </c>
      <c r="X111" s="321">
        <v>-1.9413991373809374</v>
      </c>
      <c r="Y111" s="321">
        <v>-1.9581231247124644</v>
      </c>
      <c r="Z111" s="321">
        <v>-1.9749243443815132</v>
      </c>
      <c r="AA111" s="321">
        <v>-1.9910062590435995</v>
      </c>
      <c r="AB111" s="321">
        <v>-2.0093119623204045</v>
      </c>
      <c r="AC111" s="321">
        <v>-2.0280036070650507</v>
      </c>
      <c r="AD111" s="321">
        <v>-2.0474735698598927</v>
      </c>
      <c r="AE111" s="321">
        <v>-2.0684259012671644</v>
      </c>
      <c r="AF111" s="321">
        <v>-2.0958055706730114</v>
      </c>
    </row>
    <row r="112" spans="1:32" s="221" customFormat="1" x14ac:dyDescent="0.25">
      <c r="A112"/>
      <c r="B112"/>
      <c r="C112"/>
      <c r="D112"/>
      <c r="E112"/>
      <c r="F112"/>
      <c r="G112"/>
      <c r="H112"/>
      <c r="I112"/>
      <c r="J112"/>
      <c r="K112"/>
      <c r="L112"/>
      <c r="M112"/>
      <c r="N112"/>
      <c r="O112"/>
      <c r="P112"/>
      <c r="Q112"/>
      <c r="R112"/>
      <c r="S112"/>
      <c r="T112"/>
      <c r="U112"/>
      <c r="V112"/>
      <c r="W112"/>
      <c r="X112"/>
      <c r="Y112"/>
      <c r="Z112"/>
      <c r="AA112"/>
      <c r="AB112"/>
      <c r="AC112"/>
      <c r="AD112"/>
      <c r="AE112"/>
      <c r="AF112"/>
    </row>
    <row r="113" spans="1:32" x14ac:dyDescent="0.25">
      <c r="A113" s="398" t="s">
        <v>209</v>
      </c>
      <c r="B113" s="399"/>
      <c r="C113" s="398"/>
      <c r="D113" s="399"/>
      <c r="E113" s="399"/>
      <c r="F113" s="399"/>
      <c r="G113" s="829" t="s">
        <v>435</v>
      </c>
      <c r="H113" s="409"/>
      <c r="I113" s="409"/>
      <c r="J113" s="409"/>
      <c r="K113" s="409"/>
      <c r="L113" s="409"/>
      <c r="M113" s="409"/>
      <c r="N113" s="409"/>
      <c r="O113" s="409"/>
      <c r="P113" s="409"/>
      <c r="Q113" s="409"/>
      <c r="R113" s="409"/>
      <c r="S113" s="409"/>
      <c r="T113" s="409"/>
      <c r="U113" s="409"/>
      <c r="V113" s="409"/>
      <c r="W113" s="409"/>
      <c r="X113" s="409"/>
      <c r="Y113" s="409"/>
      <c r="Z113" s="409"/>
      <c r="AA113" s="409"/>
      <c r="AB113" s="409"/>
      <c r="AC113" s="409"/>
      <c r="AD113" s="409"/>
      <c r="AE113" s="409"/>
      <c r="AF113" s="409"/>
    </row>
    <row r="114" spans="1:32" x14ac:dyDescent="0.25">
      <c r="A114" s="378" t="s">
        <v>12</v>
      </c>
      <c r="B114" s="376"/>
    </row>
    <row r="115" spans="1:32" x14ac:dyDescent="0.25">
      <c r="A115" s="376"/>
      <c r="B115" s="376" t="s">
        <v>20</v>
      </c>
    </row>
    <row r="116" spans="1:32" s="202" customFormat="1" ht="12.75" x14ac:dyDescent="0.2">
      <c r="A116" s="402" t="s">
        <v>21</v>
      </c>
      <c r="B116" s="402"/>
      <c r="C116" s="402"/>
      <c r="D116" s="402"/>
      <c r="E116" s="402"/>
      <c r="F116" s="402"/>
      <c r="G116" s="402"/>
      <c r="H116" s="402"/>
      <c r="I116" s="402"/>
      <c r="J116" s="402"/>
      <c r="K116" s="402"/>
      <c r="L116" s="402"/>
      <c r="M116" s="402"/>
      <c r="N116" s="402"/>
      <c r="O116" s="402"/>
      <c r="P116" s="402"/>
      <c r="Q116" s="402"/>
      <c r="R116" s="402"/>
      <c r="S116" s="402"/>
      <c r="T116" s="402"/>
      <c r="U116" s="402"/>
      <c r="V116" s="402"/>
      <c r="W116" s="402"/>
      <c r="X116" s="402"/>
      <c r="Y116" s="402"/>
      <c r="Z116" s="402"/>
      <c r="AA116" s="402"/>
      <c r="AB116" s="402"/>
      <c r="AC116" s="402"/>
      <c r="AD116" s="402"/>
      <c r="AE116" s="402"/>
      <c r="AF116" s="402"/>
    </row>
    <row r="117" spans="1:32" s="221" customFormat="1" x14ac:dyDescent="0.25">
      <c r="A117" s="376"/>
      <c r="B117" s="376" t="s">
        <v>22</v>
      </c>
      <c r="C117"/>
      <c r="D117" s="201"/>
      <c r="E117" s="201"/>
      <c r="F117" s="1031"/>
      <c r="G117" s="201">
        <f>IF(G$3&gt;=Tech_Specs!$C9,IF(G$3=2010,VLOOKUP(G$3-Tech_Specs!$C9,Bass_Curve,IF(LEFT($B117,3)="LED",3,2)),IF(User_Inputs!$D$4="Frozen Efficiency",$G117,VLOOKUP(G$3-Tech_Specs!$C9,Bass_Curve,IF(LEFT($B117,3)="LED",3,2)))),)</f>
        <v>0.99999998049294159</v>
      </c>
      <c r="H117" s="201">
        <f>IF(H$3&gt;=Tech_Specs!$C9,IF(H$3=2010,VLOOKUP(H$3-Tech_Specs!$C9,Bass_Curve,IF(LEFT($B117,3)="LED",3,2)),IF(User_Inputs!$D$4="Frozen Efficiency",$G117,VLOOKUP(H$3-Tech_Specs!$C9,Bass_Curve,IF(LEFT($B117,3)="LED",3,2)))),)</f>
        <v>0.99999998049294159</v>
      </c>
      <c r="I117" s="201">
        <f>IF(I$3&gt;=Tech_Specs!$C9,IF(I$3=2010,VLOOKUP(I$3-Tech_Specs!$C9,Bass_Curve,IF(LEFT($B117,3)="LED",3,2)),IF(User_Inputs!$D$4="Frozen Efficiency",$G117,VLOOKUP(I$3-Tech_Specs!$C9,Bass_Curve,IF(LEFT($B117,3)="LED",3,2)))),)</f>
        <v>0.99999998049294159</v>
      </c>
      <c r="J117" s="201">
        <f>IF(J$3&gt;=Tech_Specs!$C9,IF(J$3=2010,VLOOKUP(J$3-Tech_Specs!$C9,Bass_Curve,IF(LEFT($B117,3)="LED",3,2)),IF(User_Inputs!$D$4="Frozen Efficiency",$G117,VLOOKUP(J$3-Tech_Specs!$C9,Bass_Curve,IF(LEFT($B117,3)="LED",3,2)))),)</f>
        <v>0.99999998049294159</v>
      </c>
      <c r="K117" s="201">
        <f>IF(K$3&gt;=Tech_Specs!$C9,IF(K$3=2010,VLOOKUP(K$3-Tech_Specs!$C9,Bass_Curve,IF(LEFT($B117,3)="LED",3,2)),IF(User_Inputs!$D$4="Frozen Efficiency",$G117,VLOOKUP(K$3-Tech_Specs!$C9,Bass_Curve,IF(LEFT($B117,3)="LED",3,2)))),)</f>
        <v>0.99999998049294159</v>
      </c>
      <c r="L117" s="201">
        <f>IF(L$3&gt;=Tech_Specs!$C9,IF(L$3=2010,VLOOKUP(L$3-Tech_Specs!$C9,Bass_Curve,IF(LEFT($B117,3)="LED",3,2)),IF(User_Inputs!$D$4="Frozen Efficiency",$G117,VLOOKUP(L$3-Tech_Specs!$C9,Bass_Curve,IF(LEFT($B117,3)="LED",3,2)))),)</f>
        <v>0.99999998049294159</v>
      </c>
      <c r="M117" s="201">
        <f>IF(M$3&gt;=Tech_Specs!$C9,IF(M$3=2010,VLOOKUP(M$3-Tech_Specs!$C9,Bass_Curve,IF(LEFT($B117,3)="LED",3,2)),IF(User_Inputs!$D$4="Frozen Efficiency",$G117,VLOOKUP(M$3-Tech_Specs!$C9,Bass_Curve,IF(LEFT($B117,3)="LED",3,2)))),)</f>
        <v>0.99999998049294159</v>
      </c>
      <c r="N117" s="201">
        <f>IF(N$3&gt;=Tech_Specs!$C9,IF(N$3=2010,VLOOKUP(N$3-Tech_Specs!$C9,Bass_Curve,IF(LEFT($B117,3)="LED",3,2)),IF(User_Inputs!$D$4="Frozen Efficiency",$G117,VLOOKUP(N$3-Tech_Specs!$C9,Bass_Curve,IF(LEFT($B117,3)="LED",3,2)))),)</f>
        <v>0.99999998049294159</v>
      </c>
      <c r="O117" s="201">
        <f>IF(O$3&gt;=Tech_Specs!$C9,IF(O$3=2010,VLOOKUP(O$3-Tech_Specs!$C9,Bass_Curve,IF(LEFT($B117,3)="LED",3,2)),IF(User_Inputs!$D$4="Frozen Efficiency",$G117,VLOOKUP(O$3-Tech_Specs!$C9,Bass_Curve,IF(LEFT($B117,3)="LED",3,2)))),)</f>
        <v>0.99999998049294159</v>
      </c>
      <c r="P117" s="201">
        <f>IF(P$3&gt;=Tech_Specs!$C9,IF(P$3=2010,VLOOKUP(P$3-Tech_Specs!$C9,Bass_Curve,IF(LEFT($B117,3)="LED",3,2)),IF(User_Inputs!$D$4="Frozen Efficiency",$G117,VLOOKUP(P$3-Tech_Specs!$C9,Bass_Curve,IF(LEFT($B117,3)="LED",3,2)))),)</f>
        <v>0.99999998049294159</v>
      </c>
      <c r="Q117" s="201">
        <f>IF(Q$3&gt;=Tech_Specs!$C9,IF(Q$3=2010,VLOOKUP(Q$3-Tech_Specs!$C9,Bass_Curve,IF(LEFT($B117,3)="LED",3,2)),IF(User_Inputs!$D$4="Frozen Efficiency",$G117,VLOOKUP(Q$3-Tech_Specs!$C9,Bass_Curve,IF(LEFT($B117,3)="LED",3,2)))),)</f>
        <v>0.99999998049294159</v>
      </c>
      <c r="R117" s="201">
        <f>IF(R$3&gt;=Tech_Specs!$C9,IF(R$3=2010,VLOOKUP(R$3-Tech_Specs!$C9,Bass_Curve,IF(LEFT($B117,3)="LED",3,2)),IF(User_Inputs!$D$4="Frozen Efficiency",$G117,VLOOKUP(R$3-Tech_Specs!$C9,Bass_Curve,IF(LEFT($B117,3)="LED",3,2)))),)</f>
        <v>0.99999998049294159</v>
      </c>
      <c r="S117" s="201">
        <f>IF(S$3&gt;=Tech_Specs!$C9,IF(S$3=2010,VLOOKUP(S$3-Tech_Specs!$C9,Bass_Curve,IF(LEFT($B117,3)="LED",3,2)),IF(User_Inputs!$D$4="Frozen Efficiency",$G117,VLOOKUP(S$3-Tech_Specs!$C9,Bass_Curve,IF(LEFT($B117,3)="LED",3,2)))),)</f>
        <v>0.99999998049294159</v>
      </c>
      <c r="T117" s="201">
        <f>IF(T$3&gt;=Tech_Specs!$C9,IF(T$3=2010,VLOOKUP(T$3-Tech_Specs!$C9,Bass_Curve,IF(LEFT($B117,3)="LED",3,2)),IF(User_Inputs!$D$4="Frozen Efficiency",$G117,VLOOKUP(T$3-Tech_Specs!$C9,Bass_Curve,IF(LEFT($B117,3)="LED",3,2)))),)</f>
        <v>0.99999998049294159</v>
      </c>
      <c r="U117" s="201">
        <f>IF(U$3&gt;=Tech_Specs!$C9,IF(U$3=2010,VLOOKUP(U$3-Tech_Specs!$C9,Bass_Curve,IF(LEFT($B117,3)="LED",3,2)),IF(User_Inputs!$D$4="Frozen Efficiency",$G117,VLOOKUP(U$3-Tech_Specs!$C9,Bass_Curve,IF(LEFT($B117,3)="LED",3,2)))),)</f>
        <v>0.99999998049294159</v>
      </c>
      <c r="V117" s="201">
        <f>IF(V$3&gt;=Tech_Specs!$C9,IF(V$3=2010,VLOOKUP(V$3-Tech_Specs!$C9,Bass_Curve,IF(LEFT($B117,3)="LED",3,2)),IF(User_Inputs!$D$4="Frozen Efficiency",$G117,VLOOKUP(V$3-Tech_Specs!$C9,Bass_Curve,IF(LEFT($B117,3)="LED",3,2)))),)</f>
        <v>0.99999998049294159</v>
      </c>
      <c r="W117" s="201">
        <f>IF(W$3&gt;=Tech_Specs!$C9,IF(W$3=2010,VLOOKUP(W$3-Tech_Specs!$C9,Bass_Curve,IF(LEFT($B117,3)="LED",3,2)),IF(User_Inputs!$D$4="Frozen Efficiency",$G117,VLOOKUP(W$3-Tech_Specs!$C9,Bass_Curve,IF(LEFT($B117,3)="LED",3,2)))),)</f>
        <v>0.99999998049294159</v>
      </c>
      <c r="X117" s="201">
        <f>IF(X$3&gt;=Tech_Specs!$C9,IF(X$3=2010,VLOOKUP(X$3-Tech_Specs!$C9,Bass_Curve,IF(LEFT($B117,3)="LED",3,2)),IF(User_Inputs!$D$4="Frozen Efficiency",$G117,VLOOKUP(X$3-Tech_Specs!$C9,Bass_Curve,IF(LEFT($B117,3)="LED",3,2)))),)</f>
        <v>0.99999998049294159</v>
      </c>
      <c r="Y117" s="201">
        <f>IF(Y$3&gt;=Tech_Specs!$C9,IF(Y$3=2010,VLOOKUP(Y$3-Tech_Specs!$C9,Bass_Curve,IF(LEFT($B117,3)="LED",3,2)),IF(User_Inputs!$D$4="Frozen Efficiency",$G117,VLOOKUP(Y$3-Tech_Specs!$C9,Bass_Curve,IF(LEFT($B117,3)="LED",3,2)))),)</f>
        <v>0.99999998049294159</v>
      </c>
      <c r="Z117" s="201">
        <f>IF(Z$3&gt;=Tech_Specs!$C9,IF(Z$3=2010,VLOOKUP(Z$3-Tech_Specs!$C9,Bass_Curve,IF(LEFT($B117,3)="LED",3,2)),IF(User_Inputs!$D$4="Frozen Efficiency",$G117,VLOOKUP(Z$3-Tech_Specs!$C9,Bass_Curve,IF(LEFT($B117,3)="LED",3,2)))),)</f>
        <v>0.99999998049294159</v>
      </c>
      <c r="AA117" s="201">
        <f>IF(AA$3&gt;=Tech_Specs!$C9,IF(AA$3=2010,VLOOKUP(AA$3-Tech_Specs!$C9,Bass_Curve,IF(LEFT($B117,3)="LED",3,2)),IF(User_Inputs!$D$4="Frozen Efficiency",$G117,VLOOKUP(AA$3-Tech_Specs!$C9,Bass_Curve,IF(LEFT($B117,3)="LED",3,2)))),)</f>
        <v>0.99999998049294159</v>
      </c>
      <c r="AB117" s="201">
        <f>IF(AB$3&gt;=Tech_Specs!$C9,IF(AB$3=2010,VLOOKUP(AB$3-Tech_Specs!$C9,Bass_Curve,IF(LEFT($B117,3)="LED",3,2)),IF(User_Inputs!$D$4="Frozen Efficiency",$G117,VLOOKUP(AB$3-Tech_Specs!$C9,Bass_Curve,IF(LEFT($B117,3)="LED",3,2)))),)</f>
        <v>0.99999998049294159</v>
      </c>
      <c r="AC117" s="201">
        <f>IF(AC$3&gt;=Tech_Specs!$C9,IF(AC$3=2010,VLOOKUP(AC$3-Tech_Specs!$C9,Bass_Curve,IF(LEFT($B117,3)="LED",3,2)),IF(User_Inputs!$D$4="Frozen Efficiency",$G117,VLOOKUP(AC$3-Tech_Specs!$C9,Bass_Curve,IF(LEFT($B117,3)="LED",3,2)))),)</f>
        <v>0.99999998049294159</v>
      </c>
      <c r="AD117" s="201">
        <f>IF(AD$3&gt;=Tech_Specs!$C9,IF(AD$3=2010,VLOOKUP(AD$3-Tech_Specs!$C9,Bass_Curve,IF(LEFT($B117,3)="LED",3,2)),IF(User_Inputs!$D$4="Frozen Efficiency",$G117,VLOOKUP(AD$3-Tech_Specs!$C9,Bass_Curve,IF(LEFT($B117,3)="LED",3,2)))),)</f>
        <v>0.99999998049294159</v>
      </c>
      <c r="AE117" s="201">
        <f>IF(AE$3&gt;=Tech_Specs!$C9,IF(AE$3=2010,VLOOKUP(AE$3-Tech_Specs!$C9,Bass_Curve,IF(LEFT($B117,3)="LED",3,2)),IF(User_Inputs!$D$4="Frozen Efficiency",$G117,VLOOKUP(AE$3-Tech_Specs!$C9,Bass_Curve,IF(LEFT($B117,3)="LED",3,2)))),)</f>
        <v>0.99999998049294159</v>
      </c>
      <c r="AF117" s="201">
        <f>IF(AF$3&gt;=Tech_Specs!$C9,IF(AF$3=2010,VLOOKUP(AF$3-Tech_Specs!$C9,Bass_Curve,IF(LEFT($B117,3)="LED",3,2)),IF(User_Inputs!$D$4="Frozen Efficiency",$G117,VLOOKUP(AF$3-Tech_Specs!$C9,Bass_Curve,IF(LEFT($B117,3)="LED",3,2)))),)</f>
        <v>0.99999998049294159</v>
      </c>
    </row>
    <row r="118" spans="1:32" s="221" customFormat="1" x14ac:dyDescent="0.25">
      <c r="A118" s="376"/>
      <c r="B118" s="376" t="s">
        <v>26</v>
      </c>
      <c r="C118"/>
      <c r="D118" s="201"/>
      <c r="E118" s="201"/>
      <c r="F118" s="1031"/>
      <c r="G118" s="201">
        <f>IF(G$3&gt;=Tech_Specs!$C10,IF(G$3=2010,VLOOKUP(G$3-Tech_Specs!$C10,Bass_Curve,IF(LEFT($B118,3)="LED",3,2)),IF(User_Inputs!$D$4="Frozen Efficiency",$G118,VLOOKUP(G$3-Tech_Specs!$C10,Bass_Curve,IF(LEFT($B118,3)="LED",3,2)))),)</f>
        <v>0.99992312620537604</v>
      </c>
      <c r="H118" s="201">
        <f>IF(H$3&gt;=Tech_Specs!$C10,IF(H$3=2010,VLOOKUP(H$3-Tech_Specs!$C10,Bass_Curve,IF(LEFT($B118,3)="LED",3,2)),IF(User_Inputs!$D$4="Frozen Efficiency",$G118,VLOOKUP(H$3-Tech_Specs!$C10,Bass_Curve,IF(LEFT($B118,3)="LED",3,2)))),)</f>
        <v>0.9999448431048531</v>
      </c>
      <c r="I118" s="201">
        <f>IF(I$3&gt;=Tech_Specs!$C10,IF(I$3=2010,VLOOKUP(I$3-Tech_Specs!$C10,Bass_Curve,IF(LEFT($B118,3)="LED",3,2)),IF(User_Inputs!$D$4="Frozen Efficiency",$G118,VLOOKUP(I$3-Tech_Specs!$C10,Bass_Curve,IF(LEFT($B118,3)="LED",3,2)))),)</f>
        <v>0.99996042135098673</v>
      </c>
      <c r="J118" s="201">
        <f>IF(J$3&gt;=Tech_Specs!$C10,IF(J$3=2010,VLOOKUP(J$3-Tech_Specs!$C10,Bass_Curve,IF(LEFT($B118,3)="LED",3,2)),IF(User_Inputs!$D$4="Frozen Efficiency",$G118,VLOOKUP(J$3-Tech_Specs!$C10,Bass_Curve,IF(LEFT($B118,3)="LED",3,2)))),)</f>
        <v>0.99997159722102513</v>
      </c>
      <c r="K118" s="201">
        <f>IF(K$3&gt;=Tech_Specs!$C10,IF(K$3=2010,VLOOKUP(K$3-Tech_Specs!$C10,Bass_Curve,IF(LEFT($B118,3)="LED",3,2)),IF(User_Inputs!$D$4="Frozen Efficiency",$G118,VLOOKUP(K$3-Tech_Specs!$C10,Bass_Curve,IF(LEFT($B118,3)="LED",3,2)))),)</f>
        <v>0.9999796155873415</v>
      </c>
      <c r="L118" s="201">
        <f>IF(L$3&gt;=Tech_Specs!$C10,IF(L$3=2010,VLOOKUP(L$3-Tech_Specs!$C10,Bass_Curve,IF(LEFT($B118,3)="LED",3,2)),IF(User_Inputs!$D$4="Frozen Efficiency",$G118,VLOOKUP(L$3-Tech_Specs!$C10,Bass_Curve,IF(LEFT($B118,3)="LED",3,2)))),)</f>
        <v>0.99998536907810021</v>
      </c>
      <c r="M118" s="201">
        <f>IF(M$3&gt;=Tech_Specs!$C10,IF(M$3=2010,VLOOKUP(M$3-Tech_Specs!$C10,Bass_Curve,IF(LEFT($B118,3)="LED",3,2)),IF(User_Inputs!$D$4="Frozen Efficiency",$G118,VLOOKUP(M$3-Tech_Specs!$C10,Bass_Curve,IF(LEFT($B118,3)="LED",3,2)))),)</f>
        <v>0.99998949781098223</v>
      </c>
      <c r="N118" s="201">
        <f>IF(N$3&gt;=Tech_Specs!$C10,IF(N$3=2010,VLOOKUP(N$3-Tech_Specs!$C10,Bass_Curve,IF(LEFT($B118,3)="LED",3,2)),IF(User_Inputs!$D$4="Frozen Efficiency",$G118,VLOOKUP(N$3-Tech_Specs!$C10,Bass_Curve,IF(LEFT($B118,3)="LED",3,2)))),)</f>
        <v>0.99999246087225968</v>
      </c>
      <c r="O118" s="201">
        <f>IF(O$3&gt;=Tech_Specs!$C10,IF(O$3=2010,VLOOKUP(O$3-Tech_Specs!$C10,Bass_Curve,IF(LEFT($B118,3)="LED",3,2)),IF(User_Inputs!$D$4="Frozen Efficiency",$G118,VLOOKUP(O$3-Tech_Specs!$C10,Bass_Curve,IF(LEFT($B118,3)="LED",3,2)))),)</f>
        <v>0.99999458754894088</v>
      </c>
      <c r="P118" s="201">
        <f>IF(P$3&gt;=Tech_Specs!$C10,IF(P$3=2010,VLOOKUP(P$3-Tech_Specs!$C10,Bass_Curve,IF(LEFT($B118,3)="LED",3,2)),IF(User_Inputs!$D$4="Frozen Efficiency",$G118,VLOOKUP(P$3-Tech_Specs!$C10,Bass_Curve,IF(LEFT($B118,3)="LED",3,2)))),)</f>
        <v>0.99999611405218891</v>
      </c>
      <c r="Q118" s="201">
        <f>IF(Q$3&gt;=Tech_Specs!$C10,IF(Q$3=2010,VLOOKUP(Q$3-Tech_Specs!$C10,Bass_Curve,IF(LEFT($B118,3)="LED",3,2)),IF(User_Inputs!$D$4="Frozen Efficiency",$G118,VLOOKUP(Q$3-Tech_Specs!$C10,Bass_Curve,IF(LEFT($B118,3)="LED",3,2)))),)</f>
        <v>0.99999720984345863</v>
      </c>
      <c r="R118" s="201">
        <f>IF(R$3&gt;=Tech_Specs!$C10,IF(R$3=2010,VLOOKUP(R$3-Tech_Specs!$C10,Bass_Curve,IF(LEFT($B118,3)="LED",3,2)),IF(User_Inputs!$D$4="Frozen Efficiency",$G118,VLOOKUP(R$3-Tech_Specs!$C10,Bass_Curve,IF(LEFT($B118,3)="LED",3,2)))),)</f>
        <v>0.99999799650912424</v>
      </c>
      <c r="S118" s="201">
        <f>IF(S$3&gt;=Tech_Specs!$C10,IF(S$3=2010,VLOOKUP(S$3-Tech_Specs!$C10,Bass_Curve,IF(LEFT($B118,3)="LED",3,2)),IF(User_Inputs!$D$4="Frozen Efficiency",$G118,VLOOKUP(S$3-Tech_Specs!$C10,Bass_Curve,IF(LEFT($B118,3)="LED",3,2)))),)</f>
        <v>0.99999856129425391</v>
      </c>
      <c r="T118" s="201">
        <f>IF(T$3&gt;=Tech_Specs!$C10,IF(T$3=2010,VLOOKUP(T$3-Tech_Specs!$C10,Bass_Curve,IF(LEFT($B118,3)="LED",3,2)),IF(User_Inputs!$D$4="Frozen Efficiency",$G118,VLOOKUP(T$3-Tech_Specs!$C10,Bass_Curve,IF(LEFT($B118,3)="LED",3,2)))),)</f>
        <v>0.99999896680791711</v>
      </c>
      <c r="U118" s="201">
        <f>IF(U$3&gt;=Tech_Specs!$C10,IF(U$3=2010,VLOOKUP(U$3-Tech_Specs!$C10,Bass_Curve,IF(LEFT($B118,3)="LED",3,2)),IF(User_Inputs!$D$4="Frozen Efficiency",$G118,VLOOKUP(U$3-Tech_Specs!$C10,Bass_Curve,IF(LEFT($B118,3)="LED",3,2)))),)</f>
        <v>0.99999925798382638</v>
      </c>
      <c r="V118" s="201">
        <f>IF(V$3&gt;=Tech_Specs!$C10,IF(V$3=2010,VLOOKUP(V$3-Tech_Specs!$C10,Bass_Curve,IF(LEFT($B118,3)="LED",3,2)),IF(User_Inputs!$D$4="Frozen Efficiency",$G118,VLOOKUP(V$3-Tech_Specs!$C10,Bass_Curve,IF(LEFT($B118,3)="LED",3,2)))),)</f>
        <v>0.99999946707306653</v>
      </c>
      <c r="W118" s="201">
        <f>IF(W$3&gt;=Tech_Specs!$C10,IF(W$3=2010,VLOOKUP(W$3-Tech_Specs!$C10,Bass_Curve,IF(LEFT($B118,3)="LED",3,2)),IF(User_Inputs!$D$4="Frozen Efficiency",$G118,VLOOKUP(W$3-Tech_Specs!$C10,Bass_Curve,IF(LEFT($B118,3)="LED",3,2)))),)</f>
        <v>0.99999961722567021</v>
      </c>
      <c r="X118" s="201">
        <f>IF(X$3&gt;=Tech_Specs!$C10,IF(X$3=2010,VLOOKUP(X$3-Tech_Specs!$C10,Bass_Curve,IF(LEFT($B118,3)="LED",3,2)),IF(User_Inputs!$D$4="Frozen Efficiency",$G118,VLOOKUP(X$3-Tech_Specs!$C10,Bass_Curve,IF(LEFT($B118,3)="LED",3,2)))),)</f>
        <v>0.99999972506016011</v>
      </c>
      <c r="Y118" s="201">
        <f>IF(Y$3&gt;=Tech_Specs!$C10,IF(Y$3=2010,VLOOKUP(Y$3-Tech_Specs!$C10,Bass_Curve,IF(LEFT($B118,3)="LED",3,2)),IF(User_Inputs!$D$4="Frozen Efficiency",$G118,VLOOKUP(Y$3-Tech_Specs!$C10,Bass_Curve,IF(LEFT($B118,3)="LED",3,2)))),)</f>
        <v>0.99999980250721576</v>
      </c>
      <c r="Z118" s="201">
        <f>IF(Z$3&gt;=Tech_Specs!$C10,IF(Z$3=2010,VLOOKUP(Z$3-Tech_Specs!$C10,Bass_Curve,IF(LEFT($B118,3)="LED",3,2)),IF(User_Inputs!$D$4="Frozen Efficiency",$G118,VLOOKUP(Z$3-Tech_Specs!$C10,Bass_Curve,IF(LEFT($B118,3)="LED",3,2)))),)</f>
        <v>0.99999985813264225</v>
      </c>
      <c r="AA118" s="201">
        <f>IF(AA$3&gt;=Tech_Specs!$C10,IF(AA$3=2010,VLOOKUP(AA$3-Tech_Specs!$C10,Bass_Curve,IF(LEFT($B118,3)="LED",3,2)),IF(User_Inputs!$D$4="Frozen Efficiency",$G118,VLOOKUP(AA$3-Tech_Specs!$C10,Bass_Curve,IF(LEFT($B118,3)="LED",3,2)))),)</f>
        <v>0.99999989808679191</v>
      </c>
      <c r="AB118" s="201">
        <f>IF(AB$3&gt;=Tech_Specs!$C10,IF(AB$3=2010,VLOOKUP(AB$3-Tech_Specs!$C10,Bass_Curve,IF(LEFT($B118,3)="LED",3,2)),IF(User_Inputs!$D$4="Frozen Efficiency",$G118,VLOOKUP(AB$3-Tech_Specs!$C10,Bass_Curve,IF(LEFT($B118,3)="LED",3,2)))),)</f>
        <v>0.99999992678597005</v>
      </c>
      <c r="AC118" s="201">
        <f>IF(AC$3&gt;=Tech_Specs!$C10,IF(AC$3=2010,VLOOKUP(AC$3-Tech_Specs!$C10,Bass_Curve,IF(LEFT($B118,3)="LED",3,2)),IF(User_Inputs!$D$4="Frozen Efficiency",$G118,VLOOKUP(AC$3-Tech_Specs!$C10,Bass_Curve,IF(LEFT($B118,3)="LED",3,2)))),)</f>
        <v>0.99999994740152531</v>
      </c>
      <c r="AD118" s="201">
        <f>IF(AD$3&gt;=Tech_Specs!$C10,IF(AD$3=2010,VLOOKUP(AD$3-Tech_Specs!$C10,Bass_Curve,IF(LEFT($B118,3)="LED",3,2)),IF(User_Inputs!$D$4="Frozen Efficiency",$G118,VLOOKUP(AD$3-Tech_Specs!$C10,Bass_Curve,IF(LEFT($B118,3)="LED",3,2)))),)</f>
        <v>0.99999996221093224</v>
      </c>
      <c r="AE118" s="201">
        <f>IF(AE$3&gt;=Tech_Specs!$C10,IF(AE$3=2010,VLOOKUP(AE$3-Tech_Specs!$C10,Bass_Curve,IF(LEFT($B118,3)="LED",3,2)),IF(User_Inputs!$D$4="Frozen Efficiency",$G118,VLOOKUP(AE$3-Tech_Specs!$C10,Bass_Curve,IF(LEFT($B118,3)="LED",3,2)))),)</f>
        <v>0.99999997284982522</v>
      </c>
      <c r="AF118" s="201">
        <f>IF(AF$3&gt;=Tech_Specs!$C10,IF(AF$3=2010,VLOOKUP(AF$3-Tech_Specs!$C10,Bass_Curve,IF(LEFT($B118,3)="LED",3,2)),IF(User_Inputs!$D$4="Frozen Efficiency",$G118,VLOOKUP(AF$3-Tech_Specs!$C10,Bass_Curve,IF(LEFT($B118,3)="LED",3,2)))),)</f>
        <v>0.99999998049294159</v>
      </c>
    </row>
    <row r="119" spans="1:32" s="221" customFormat="1" x14ac:dyDescent="0.25">
      <c r="A119" s="376"/>
      <c r="B119" s="376" t="s">
        <v>27</v>
      </c>
      <c r="C119"/>
      <c r="D119" s="201"/>
      <c r="E119" s="201"/>
      <c r="F119" s="1031"/>
      <c r="G119" s="201">
        <f>IF(G$3&gt;=Tech_Specs!$C11,IF(G$3=2010,VLOOKUP(G$3-Tech_Specs!$C11,Bass_Curve,IF(LEFT($B119,3)="LED",3,2)),IF(User_Inputs!$D$4="Frozen Efficiency",$G119,VLOOKUP(G$3-Tech_Specs!$C11,Bass_Curve,IF(LEFT($B119,3)="LED",3,2)))),)</f>
        <v>0.9984693766950139</v>
      </c>
      <c r="H119" s="201">
        <f>IF(H$3&gt;=Tech_Specs!$C11,IF(H$3=2010,VLOOKUP(H$3-Tech_Specs!$C11,Bass_Curve,IF(LEFT($B119,3)="LED",3,2)),IF(User_Inputs!$D$4="Frozen Efficiency",$G119,VLOOKUP(H$3-Tech_Specs!$C11,Bass_Curve,IF(LEFT($B119,3)="LED",3,2)))),)</f>
        <v>0.99890231984592681</v>
      </c>
      <c r="I119" s="201">
        <f>IF(I$3&gt;=Tech_Specs!$C11,IF(I$3=2010,VLOOKUP(I$3-Tech_Specs!$C11,Bass_Curve,IF(LEFT($B119,3)="LED",3,2)),IF(User_Inputs!$D$4="Frozen Efficiency",$G119,VLOOKUP(I$3-Tech_Specs!$C11,Bass_Curve,IF(LEFT($B119,3)="LED",3,2)))),)</f>
        <v>0.99921283993037913</v>
      </c>
      <c r="J119" s="201">
        <f>IF(J$3&gt;=Tech_Specs!$C11,IF(J$3=2010,VLOOKUP(J$3-Tech_Specs!$C11,Bass_Curve,IF(LEFT($B119,3)="LED",3,2)),IF(User_Inputs!$D$4="Frozen Efficiency",$G119,VLOOKUP(J$3-Tech_Specs!$C11,Bass_Curve,IF(LEFT($B119,3)="LED",3,2)))),)</f>
        <v>0.99943551570827049</v>
      </c>
      <c r="K119" s="201">
        <f>IF(K$3&gt;=Tech_Specs!$C11,IF(K$3=2010,VLOOKUP(K$3-Tech_Specs!$C11,Bass_Curve,IF(LEFT($B119,3)="LED",3,2)),IF(User_Inputs!$D$4="Frozen Efficiency",$G119,VLOOKUP(K$3-Tech_Specs!$C11,Bass_Curve,IF(LEFT($B119,3)="LED",3,2)))),)</f>
        <v>0.99959518445151951</v>
      </c>
      <c r="L119" s="201">
        <f>IF(L$3&gt;=Tech_Specs!$C11,IF(L$3=2010,VLOOKUP(L$3-Tech_Specs!$C11,Bass_Curve,IF(LEFT($B119,3)="LED",3,2)),IF(User_Inputs!$D$4="Frozen Efficiency",$G119,VLOOKUP(L$3-Tech_Specs!$C11,Bass_Curve,IF(LEFT($B119,3)="LED",3,2)))),)</f>
        <v>0.99970967191209748</v>
      </c>
      <c r="M119" s="201">
        <f>IF(M$3&gt;=Tech_Specs!$C11,IF(M$3=2010,VLOOKUP(M$3-Tech_Specs!$C11,Bass_Curve,IF(LEFT($B119,3)="LED",3,2)),IF(User_Inputs!$D$4="Frozen Efficiency",$G119,VLOOKUP(M$3-Tech_Specs!$C11,Bass_Curve,IF(LEFT($B119,3)="LED",3,2)))),)</f>
        <v>0.99979176488656052</v>
      </c>
      <c r="N119" s="201">
        <f>IF(N$3&gt;=Tech_Specs!$C11,IF(N$3=2010,VLOOKUP(N$3-Tech_Specs!$C11,Bass_Curve,IF(LEFT($B119,3)="LED",3,2)),IF(User_Inputs!$D$4="Frozen Efficiency",$G119,VLOOKUP(N$3-Tech_Specs!$C11,Bass_Curve,IF(LEFT($B119,3)="LED",3,2)))),)</f>
        <v>0.99985063257548779</v>
      </c>
      <c r="O119" s="201">
        <f>IF(O$3&gt;=Tech_Specs!$C11,IF(O$3=2010,VLOOKUP(O$3-Tech_Specs!$C11,Bass_Curve,IF(LEFT($B119,3)="LED",3,2)),IF(User_Inputs!$D$4="Frozen Efficiency",$G119,VLOOKUP(O$3-Tech_Specs!$C11,Bass_Curve,IF(LEFT($B119,3)="LED",3,2)))),)</f>
        <v>0.99989284880158935</v>
      </c>
      <c r="P119" s="201">
        <f>IF(P$3&gt;=Tech_Specs!$C11,IF(P$3=2010,VLOOKUP(P$3-Tech_Specs!$C11,Bass_Curve,IF(LEFT($B119,3)="LED",3,2)),IF(User_Inputs!$D$4="Frozen Efficiency",$G119,VLOOKUP(P$3-Tech_Specs!$C11,Bass_Curve,IF(LEFT($B119,3)="LED",3,2)))),)</f>
        <v>0.99992312620537604</v>
      </c>
      <c r="Q119" s="201">
        <f>IF(Q$3&gt;=Tech_Specs!$C11,IF(Q$3=2010,VLOOKUP(Q$3-Tech_Specs!$C11,Bass_Curve,IF(LEFT($B119,3)="LED",3,2)),IF(User_Inputs!$D$4="Frozen Efficiency",$G119,VLOOKUP(Q$3-Tech_Specs!$C11,Bass_Curve,IF(LEFT($B119,3)="LED",3,2)))),)</f>
        <v>0.9999448431048531</v>
      </c>
      <c r="R119" s="201">
        <f>IF(R$3&gt;=Tech_Specs!$C11,IF(R$3=2010,VLOOKUP(R$3-Tech_Specs!$C11,Bass_Curve,IF(LEFT($B119,3)="LED",3,2)),IF(User_Inputs!$D$4="Frozen Efficiency",$G119,VLOOKUP(R$3-Tech_Specs!$C11,Bass_Curve,IF(LEFT($B119,3)="LED",3,2)))),)</f>
        <v>0.99996042135098673</v>
      </c>
      <c r="S119" s="201">
        <f>IF(S$3&gt;=Tech_Specs!$C11,IF(S$3=2010,VLOOKUP(S$3-Tech_Specs!$C11,Bass_Curve,IF(LEFT($B119,3)="LED",3,2)),IF(User_Inputs!$D$4="Frozen Efficiency",$G119,VLOOKUP(S$3-Tech_Specs!$C11,Bass_Curve,IF(LEFT($B119,3)="LED",3,2)))),)</f>
        <v>0.99997159722102513</v>
      </c>
      <c r="T119" s="201">
        <f>IF(T$3&gt;=Tech_Specs!$C11,IF(T$3=2010,VLOOKUP(T$3-Tech_Specs!$C11,Bass_Curve,IF(LEFT($B119,3)="LED",3,2)),IF(User_Inputs!$D$4="Frozen Efficiency",$G119,VLOOKUP(T$3-Tech_Specs!$C11,Bass_Curve,IF(LEFT($B119,3)="LED",3,2)))),)</f>
        <v>0.9999796155873415</v>
      </c>
      <c r="U119" s="201">
        <f>IF(U$3&gt;=Tech_Specs!$C11,IF(U$3=2010,VLOOKUP(U$3-Tech_Specs!$C11,Bass_Curve,IF(LEFT($B119,3)="LED",3,2)),IF(User_Inputs!$D$4="Frozen Efficiency",$G119,VLOOKUP(U$3-Tech_Specs!$C11,Bass_Curve,IF(LEFT($B119,3)="LED",3,2)))),)</f>
        <v>0.99998536907810021</v>
      </c>
      <c r="V119" s="201">
        <f>IF(V$3&gt;=Tech_Specs!$C11,IF(V$3=2010,VLOOKUP(V$3-Tech_Specs!$C11,Bass_Curve,IF(LEFT($B119,3)="LED",3,2)),IF(User_Inputs!$D$4="Frozen Efficiency",$G119,VLOOKUP(V$3-Tech_Specs!$C11,Bass_Curve,IF(LEFT($B119,3)="LED",3,2)))),)</f>
        <v>0.99998949781098223</v>
      </c>
      <c r="W119" s="201">
        <f>IF(W$3&gt;=Tech_Specs!$C11,IF(W$3=2010,VLOOKUP(W$3-Tech_Specs!$C11,Bass_Curve,IF(LEFT($B119,3)="LED",3,2)),IF(User_Inputs!$D$4="Frozen Efficiency",$G119,VLOOKUP(W$3-Tech_Specs!$C11,Bass_Curve,IF(LEFT($B119,3)="LED",3,2)))),)</f>
        <v>0.99999246087225968</v>
      </c>
      <c r="X119" s="201">
        <f>IF(X$3&gt;=Tech_Specs!$C11,IF(X$3=2010,VLOOKUP(X$3-Tech_Specs!$C11,Bass_Curve,IF(LEFT($B119,3)="LED",3,2)),IF(User_Inputs!$D$4="Frozen Efficiency",$G119,VLOOKUP(X$3-Tech_Specs!$C11,Bass_Curve,IF(LEFT($B119,3)="LED",3,2)))),)</f>
        <v>0.99999458754894088</v>
      </c>
      <c r="Y119" s="201">
        <f>IF(Y$3&gt;=Tech_Specs!$C11,IF(Y$3=2010,VLOOKUP(Y$3-Tech_Specs!$C11,Bass_Curve,IF(LEFT($B119,3)="LED",3,2)),IF(User_Inputs!$D$4="Frozen Efficiency",$G119,VLOOKUP(Y$3-Tech_Specs!$C11,Bass_Curve,IF(LEFT($B119,3)="LED",3,2)))),)</f>
        <v>0.99999611405218891</v>
      </c>
      <c r="Z119" s="201">
        <f>IF(Z$3&gt;=Tech_Specs!$C11,IF(Z$3=2010,VLOOKUP(Z$3-Tech_Specs!$C11,Bass_Curve,IF(LEFT($B119,3)="LED",3,2)),IF(User_Inputs!$D$4="Frozen Efficiency",$G119,VLOOKUP(Z$3-Tech_Specs!$C11,Bass_Curve,IF(LEFT($B119,3)="LED",3,2)))),)</f>
        <v>0.99999720984345863</v>
      </c>
      <c r="AA119" s="201">
        <f>IF(AA$3&gt;=Tech_Specs!$C11,IF(AA$3=2010,VLOOKUP(AA$3-Tech_Specs!$C11,Bass_Curve,IF(LEFT($B119,3)="LED",3,2)),IF(User_Inputs!$D$4="Frozen Efficiency",$G119,VLOOKUP(AA$3-Tech_Specs!$C11,Bass_Curve,IF(LEFT($B119,3)="LED",3,2)))),)</f>
        <v>0.99999799650912424</v>
      </c>
      <c r="AB119" s="201">
        <f>IF(AB$3&gt;=Tech_Specs!$C11,IF(AB$3=2010,VLOOKUP(AB$3-Tech_Specs!$C11,Bass_Curve,IF(LEFT($B119,3)="LED",3,2)),IF(User_Inputs!$D$4="Frozen Efficiency",$G119,VLOOKUP(AB$3-Tech_Specs!$C11,Bass_Curve,IF(LEFT($B119,3)="LED",3,2)))),)</f>
        <v>0.99999856129425391</v>
      </c>
      <c r="AC119" s="201">
        <f>IF(AC$3&gt;=Tech_Specs!$C11,IF(AC$3=2010,VLOOKUP(AC$3-Tech_Specs!$C11,Bass_Curve,IF(LEFT($B119,3)="LED",3,2)),IF(User_Inputs!$D$4="Frozen Efficiency",$G119,VLOOKUP(AC$3-Tech_Specs!$C11,Bass_Curve,IF(LEFT($B119,3)="LED",3,2)))),)</f>
        <v>0.99999896680791711</v>
      </c>
      <c r="AD119" s="201">
        <f>IF(AD$3&gt;=Tech_Specs!$C11,IF(AD$3=2010,VLOOKUP(AD$3-Tech_Specs!$C11,Bass_Curve,IF(LEFT($B119,3)="LED",3,2)),IF(User_Inputs!$D$4="Frozen Efficiency",$G119,VLOOKUP(AD$3-Tech_Specs!$C11,Bass_Curve,IF(LEFT($B119,3)="LED",3,2)))),)</f>
        <v>0.99999925798382638</v>
      </c>
      <c r="AE119" s="201">
        <f>IF(AE$3&gt;=Tech_Specs!$C11,IF(AE$3=2010,VLOOKUP(AE$3-Tech_Specs!$C11,Bass_Curve,IF(LEFT($B119,3)="LED",3,2)),IF(User_Inputs!$D$4="Frozen Efficiency",$G119,VLOOKUP(AE$3-Tech_Specs!$C11,Bass_Curve,IF(LEFT($B119,3)="LED",3,2)))),)</f>
        <v>0.99999946707306653</v>
      </c>
      <c r="AF119" s="201">
        <f>IF(AF$3&gt;=Tech_Specs!$C11,IF(AF$3=2010,VLOOKUP(AF$3-Tech_Specs!$C11,Bass_Curve,IF(LEFT($B119,3)="LED",3,2)),IF(User_Inputs!$D$4="Frozen Efficiency",$G119,VLOOKUP(AF$3-Tech_Specs!$C11,Bass_Curve,IF(LEFT($B119,3)="LED",3,2)))),)</f>
        <v>0.99999961722567021</v>
      </c>
    </row>
    <row r="120" spans="1:32" s="221" customFormat="1" x14ac:dyDescent="0.25">
      <c r="A120" s="376"/>
      <c r="B120" s="376" t="s">
        <v>29</v>
      </c>
      <c r="C120"/>
      <c r="D120" s="201"/>
      <c r="E120" s="201"/>
      <c r="F120" s="1031"/>
      <c r="G120" s="201">
        <f>IF(G$3&gt;=Tech_Specs!$C12,IF(G$3=2010,VLOOKUP(G$3-Tech_Specs!$C12,Bass_Curve,IF(LEFT($B120,3)="LED",3,2)),IF(User_Inputs!$D$4="Frozen Efficiency",$G120,VLOOKUP(G$3-Tech_Specs!$C12,Bass_Curve,IF(LEFT($B120,3)="LED",3,2)))),)</f>
        <v>2.573359512642789E-2</v>
      </c>
      <c r="H120" s="201">
        <f>IF(H$3&gt;=Tech_Specs!$C12,IF(H$3=2010,VLOOKUP(H$3-Tech_Specs!$C12,Bass_Curve,IF(LEFT($B120,3)="LED",3,2)),IF(User_Inputs!$D$4="Frozen Efficiency",$G120,VLOOKUP(H$3-Tech_Specs!$C12,Bass_Curve,IF(LEFT($B120,3)="LED",3,2)))),)</f>
        <v>4.6539757716903177E-2</v>
      </c>
      <c r="I120" s="201">
        <f>IF(I$3&gt;=Tech_Specs!$C12,IF(I$3=2010,VLOOKUP(I$3-Tech_Specs!$C12,Bass_Curve,IF(LEFT($B120,3)="LED",3,2)),IF(User_Inputs!$D$4="Frozen Efficiency",$G120,VLOOKUP(I$3-Tech_Specs!$C12,Bass_Curve,IF(LEFT($B120,3)="LED",3,2)))),)</f>
        <v>7.4754332929684128E-2</v>
      </c>
      <c r="J120" s="201">
        <f>IF(J$3&gt;=Tech_Specs!$C12,IF(J$3=2010,VLOOKUP(J$3-Tech_Specs!$C12,Bass_Curve,IF(LEFT($B120,3)="LED",3,2)),IF(User_Inputs!$D$4="Frozen Efficiency",$G120,VLOOKUP(J$3-Tech_Specs!$C12,Bass_Curve,IF(LEFT($B120,3)="LED",3,2)))),)</f>
        <v>0.11197478620001509</v>
      </c>
      <c r="K120" s="201">
        <f>IF(K$3&gt;=Tech_Specs!$C12,IF(K$3=2010,VLOOKUP(K$3-Tech_Specs!$C12,Bass_Curve,IF(LEFT($B120,3)="LED",3,2)),IF(User_Inputs!$D$4="Frozen Efficiency",$G120,VLOOKUP(K$3-Tech_Specs!$C12,Bass_Curve,IF(LEFT($B120,3)="LED",3,2)))),)</f>
        <v>0.15936056895239697</v>
      </c>
      <c r="L120" s="201">
        <f>IF(L$3&gt;=Tech_Specs!$C12,IF(L$3=2010,VLOOKUP(L$3-Tech_Specs!$C12,Bass_Curve,IF(LEFT($B120,3)="LED",3,2)),IF(User_Inputs!$D$4="Frozen Efficiency",$G120,VLOOKUP(L$3-Tech_Specs!$C12,Bass_Curve,IF(LEFT($B120,3)="LED",3,2)))),)</f>
        <v>0.21712504966565391</v>
      </c>
      <c r="M120" s="201">
        <f>IF(M$3&gt;=Tech_Specs!$C12,IF(M$3=2010,VLOOKUP(M$3-Tech_Specs!$C12,Bass_Curve,IF(LEFT($B120,3)="LED",3,2)),IF(User_Inputs!$D$4="Frozen Efficiency",$G120,VLOOKUP(M$3-Tech_Specs!$C12,Bass_Curve,IF(LEFT($B120,3)="LED",3,2)))),)</f>
        <v>0.28414080977412093</v>
      </c>
      <c r="N120" s="201">
        <f>IF(N$3&gt;=Tech_Specs!$C12,IF(N$3=2010,VLOOKUP(N$3-Tech_Specs!$C12,Bass_Curve,IF(LEFT($B120,3)="LED",3,2)),IF(User_Inputs!$D$4="Frozen Efficiency",$G120,VLOOKUP(N$3-Tech_Specs!$C12,Bass_Curve,IF(LEFT($B120,3)="LED",3,2)))),)</f>
        <v>0.35795009041805559</v>
      </c>
      <c r="O120" s="201">
        <f>IF(O$3&gt;=Tech_Specs!$C12,IF(O$3=2010,VLOOKUP(O$3-Tech_Specs!$C12,Bass_Curve,IF(LEFT($B120,3)="LED",3,2)),IF(User_Inputs!$D$4="Frozen Efficiency",$G120,VLOOKUP(O$3-Tech_Specs!$C12,Bass_Curve,IF(LEFT($B120,3)="LED",3,2)))),)</f>
        <v>0.43528730962994305</v>
      </c>
      <c r="P120" s="201">
        <f>IF(P$3&gt;=Tech_Specs!$C12,IF(P$3=2010,VLOOKUP(P$3-Tech_Specs!$C12,Bass_Curve,IF(LEFT($B120,3)="LED",3,2)),IF(User_Inputs!$D$4="Frozen Efficiency",$G120,VLOOKUP(P$3-Tech_Specs!$C12,Bass_Curve,IF(LEFT($B120,3)="LED",3,2)))),)</f>
        <v>0.51284484369923866</v>
      </c>
      <c r="Q120" s="201">
        <f>IF(Q$3&gt;=Tech_Specs!$C12,IF(Q$3=2010,VLOOKUP(Q$3-Tech_Specs!$C12,Bass_Curve,IF(LEFT($B120,3)="LED",3,2)),IF(User_Inputs!$D$4="Frozen Efficiency",$G120,VLOOKUP(Q$3-Tech_Specs!$C12,Bass_Curve,IF(LEFT($B120,3)="LED",3,2)))),)</f>
        <v>0.58783004379238735</v>
      </c>
      <c r="R120" s="201">
        <f>IF(R$3&gt;=Tech_Specs!$C12,IF(R$3=2010,VLOOKUP(R$3-Tech_Specs!$C12,Bass_Curve,IF(LEFT($B120,3)="LED",3,2)),IF(User_Inputs!$D$4="Frozen Efficiency",$G120,VLOOKUP(R$3-Tech_Specs!$C12,Bass_Curve,IF(LEFT($B120,3)="LED",3,2)))),)</f>
        <v>0.65810308249900329</v>
      </c>
      <c r="S120" s="201">
        <f>IF(S$3&gt;=Tech_Specs!$C12,IF(S$3=2010,VLOOKUP(S$3-Tech_Specs!$C12,Bass_Curve,IF(LEFT($B120,3)="LED",3,2)),IF(User_Inputs!$D$4="Frozen Efficiency",$G120,VLOOKUP(S$3-Tech_Specs!$C12,Bass_Curve,IF(LEFT($B120,3)="LED",3,2)))),)</f>
        <v>0.72206467330281499</v>
      </c>
      <c r="T120" s="201">
        <f>IF(T$3&gt;=Tech_Specs!$C12,IF(T$3=2010,VLOOKUP(T$3-Tech_Specs!$C12,Bass_Curve,IF(LEFT($B120,3)="LED",3,2)),IF(User_Inputs!$D$4="Frozen Efficiency",$G120,VLOOKUP(T$3-Tech_Specs!$C12,Bass_Curve,IF(LEFT($B120,3)="LED",3,2)))),)</f>
        <v>0.77856976904215913</v>
      </c>
      <c r="U120" s="201">
        <f>IF(U$3&gt;=Tech_Specs!$C12,IF(U$3=2010,VLOOKUP(U$3-Tech_Specs!$C12,Bass_Curve,IF(LEFT($B120,3)="LED",3,2)),IF(User_Inputs!$D$4="Frozen Efficiency",$G120,VLOOKUP(U$3-Tech_Specs!$C12,Bass_Curve,IF(LEFT($B120,3)="LED",3,2)))),)</f>
        <v>0.82696350840215249</v>
      </c>
      <c r="V120" s="201">
        <f>IF(V$3&gt;=Tech_Specs!$C12,IF(V$3=2010,VLOOKUP(V$3-Tech_Specs!$C12,Bass_Curve,IF(LEFT($B120,3)="LED",3,2)),IF(User_Inputs!$D$4="Frozen Efficiency",$G120,VLOOKUP(V$3-Tech_Specs!$C12,Bass_Curve,IF(LEFT($B120,3)="LED",3,2)))),)</f>
        <v>0.86714658256559263</v>
      </c>
      <c r="W120" s="201">
        <f>IF(W$3&gt;=Tech_Specs!$C12,IF(W$3=2010,VLOOKUP(W$3-Tech_Specs!$C12,Bass_Curve,IF(LEFT($B120,3)="LED",3,2)),IF(User_Inputs!$D$4="Frozen Efficiency",$G120,VLOOKUP(W$3-Tech_Specs!$C12,Bass_Curve,IF(LEFT($B120,3)="LED",3,2)))),)</f>
        <v>0.89955419985356344</v>
      </c>
      <c r="X120" s="201">
        <f>IF(X$3&gt;=Tech_Specs!$C12,IF(X$3=2010,VLOOKUP(X$3-Tech_Specs!$C12,Bass_Curve,IF(LEFT($B120,3)="LED",3,2)),IF(User_Inputs!$D$4="Frozen Efficiency",$G120,VLOOKUP(X$3-Tech_Specs!$C12,Bass_Curve,IF(LEFT($B120,3)="LED",3,2)))),)</f>
        <v>0.92502432100062038</v>
      </c>
      <c r="Y120" s="201">
        <f>IF(Y$3&gt;=Tech_Specs!$C12,IF(Y$3=2010,VLOOKUP(Y$3-Tech_Specs!$C12,Bass_Curve,IF(LEFT($B120,3)="LED",3,2)),IF(User_Inputs!$D$4="Frozen Efficiency",$G120,VLOOKUP(Y$3-Tech_Specs!$C12,Bass_Curve,IF(LEFT($B120,3)="LED",3,2)))),)</f>
        <v>0.94461059131409331</v>
      </c>
      <c r="Z120" s="201">
        <f>IF(Z$3&gt;=Tech_Specs!$C12,IF(Z$3=2010,VLOOKUP(Z$3-Tech_Specs!$C12,Bass_Curve,IF(LEFT($B120,3)="LED",3,2)),IF(User_Inputs!$D$4="Frozen Efficiency",$G120,VLOOKUP(Z$3-Tech_Specs!$C12,Bass_Curve,IF(LEFT($B120,3)="LED",3,2)))),)</f>
        <v>0.95940876722590474</v>
      </c>
      <c r="AA120" s="201">
        <f>IF(AA$3&gt;=Tech_Specs!$C12,IF(AA$3=2010,VLOOKUP(AA$3-Tech_Specs!$C12,Bass_Curve,IF(LEFT($B120,3)="LED",3,2)),IF(User_Inputs!$D$4="Frozen Efficiency",$G120,VLOOKUP(AA$3-Tech_Specs!$C12,Bass_Curve,IF(LEFT($B120,3)="LED",3,2)))),)</f>
        <v>0.97043561397505118</v>
      </c>
      <c r="AB120" s="201">
        <f>IF(AB$3&gt;=Tech_Specs!$C12,IF(AB$3=2010,VLOOKUP(AB$3-Tech_Specs!$C12,Bass_Curve,IF(LEFT($B120,3)="LED",3,2)),IF(User_Inputs!$D$4="Frozen Efficiency",$G120,VLOOKUP(AB$3-Tech_Specs!$C12,Bass_Curve,IF(LEFT($B120,3)="LED",3,2)))),)</f>
        <v>0.97856563119743434</v>
      </c>
      <c r="AC120" s="201">
        <f>IF(AC$3&gt;=Tech_Specs!$C12,IF(AC$3=2010,VLOOKUP(AC$3-Tech_Specs!$C12,Bass_Curve,IF(LEFT($B120,3)="LED",3,2)),IF(User_Inputs!$D$4="Frozen Efficiency",$G120,VLOOKUP(AC$3-Tech_Specs!$C12,Bass_Curve,IF(LEFT($B120,3)="LED",3,2)))),)</f>
        <v>0.98451232141945333</v>
      </c>
      <c r="AD120" s="201">
        <f>IF(AD$3&gt;=Tech_Specs!$C12,IF(AD$3=2010,VLOOKUP(AD$3-Tech_Specs!$C12,Bass_Curve,IF(LEFT($B120,3)="LED",3,2)),IF(User_Inputs!$D$4="Frozen Efficiency",$G120,VLOOKUP(AD$3-Tech_Specs!$C12,Bass_Curve,IF(LEFT($B120,3)="LED",3,2)))),)</f>
        <v>0.98883650057565198</v>
      </c>
      <c r="AE120" s="201">
        <f>IF(AE$3&gt;=Tech_Specs!$C12,IF(AE$3=2010,VLOOKUP(AE$3-Tech_Specs!$C12,Bass_Curve,IF(LEFT($B120,3)="LED",3,2)),IF(User_Inputs!$D$4="Frozen Efficiency",$G120,VLOOKUP(AE$3-Tech_Specs!$C12,Bass_Curve,IF(LEFT($B120,3)="LED",3,2)))),)</f>
        <v>0.99196738407609564</v>
      </c>
      <c r="AF120" s="201">
        <f>IF(AF$3&gt;=Tech_Specs!$C12,IF(AF$3=2010,VLOOKUP(AF$3-Tech_Specs!$C12,Bass_Curve,IF(LEFT($B120,3)="LED",3,2)),IF(User_Inputs!$D$4="Frozen Efficiency",$G120,VLOOKUP(AF$3-Tech_Specs!$C12,Bass_Curve,IF(LEFT($B120,3)="LED",3,2)))),)</f>
        <v>0.99422726069133227</v>
      </c>
    </row>
    <row r="121" spans="1:32" s="221" customFormat="1" x14ac:dyDescent="0.25">
      <c r="A121" s="376"/>
      <c r="B121" s="376"/>
      <c r="C121"/>
      <c r="D121"/>
      <c r="E121"/>
      <c r="F121" s="1031"/>
      <c r="G121"/>
      <c r="H121"/>
      <c r="I121"/>
      <c r="J121"/>
      <c r="K121"/>
      <c r="L121"/>
      <c r="M121"/>
      <c r="N121"/>
      <c r="O121"/>
      <c r="P121"/>
      <c r="Q121"/>
      <c r="R121"/>
      <c r="S121"/>
      <c r="T121"/>
      <c r="U121"/>
      <c r="V121"/>
      <c r="W121"/>
      <c r="X121"/>
      <c r="Y121"/>
      <c r="Z121"/>
      <c r="AA121"/>
      <c r="AB121"/>
      <c r="AC121"/>
      <c r="AD121"/>
      <c r="AE121"/>
      <c r="AF121"/>
    </row>
    <row r="122" spans="1:32" s="202" customFormat="1" ht="12.75" x14ac:dyDescent="0.2">
      <c r="A122" s="402" t="s">
        <v>32</v>
      </c>
      <c r="B122" s="402"/>
      <c r="C122" s="402"/>
      <c r="D122" s="402"/>
      <c r="E122" s="402"/>
      <c r="F122" s="1112"/>
      <c r="G122" s="402"/>
      <c r="H122" s="402"/>
      <c r="I122" s="402"/>
      <c r="J122" s="402"/>
      <c r="K122" s="402"/>
      <c r="L122" s="402"/>
      <c r="M122" s="402"/>
      <c r="N122" s="402"/>
      <c r="O122" s="402"/>
      <c r="P122" s="402"/>
      <c r="Q122" s="402"/>
      <c r="R122" s="402"/>
      <c r="S122" s="402"/>
      <c r="T122" s="402"/>
      <c r="U122" s="402"/>
      <c r="V122" s="402"/>
      <c r="W122" s="402"/>
      <c r="X122" s="402"/>
      <c r="Y122" s="402"/>
      <c r="Z122" s="402"/>
      <c r="AA122" s="402"/>
      <c r="AB122" s="402"/>
      <c r="AC122" s="402"/>
      <c r="AD122" s="402"/>
      <c r="AE122" s="402"/>
      <c r="AF122" s="402"/>
    </row>
    <row r="123" spans="1:32" s="221" customFormat="1" x14ac:dyDescent="0.25">
      <c r="A123" s="376"/>
      <c r="B123" s="376" t="s">
        <v>33</v>
      </c>
      <c r="C123"/>
      <c r="D123"/>
      <c r="E123"/>
      <c r="F123" s="1031"/>
      <c r="G123" s="201">
        <f>IF(G$3&gt;=Tech_Specs!$C15,IF(G$3=2010,VLOOKUP(G$3-Tech_Specs!$C15,Bass_Curve,IF(LEFT($B123,3)="LED",3,2)),IF(User_Inputs!$D$4="Frozen Efficiency",$G123,VLOOKUP(G$3-Tech_Specs!$C15,Bass_Curve,IF(LEFT($B123,3)="LED",3,2)))),)</f>
        <v>0.99999998049294159</v>
      </c>
      <c r="H123" s="201">
        <f>IF(H$3&gt;=Tech_Specs!$C15,IF(H$3=2010,VLOOKUP(H$3-Tech_Specs!$C15,Bass_Curve,IF(LEFT($B123,3)="LED",3,2)),IF(User_Inputs!$D$4="Frozen Efficiency",$G123,VLOOKUP(H$3-Tech_Specs!$C15,Bass_Curve,IF(LEFT($B123,3)="LED",3,2)))),)</f>
        <v>0.99999998049294159</v>
      </c>
      <c r="I123" s="201">
        <f>IF(I$3&gt;=Tech_Specs!$C15,IF(I$3=2010,VLOOKUP(I$3-Tech_Specs!$C15,Bass_Curve,IF(LEFT($B123,3)="LED",3,2)),IF(User_Inputs!$D$4="Frozen Efficiency",$G123,VLOOKUP(I$3-Tech_Specs!$C15,Bass_Curve,IF(LEFT($B123,3)="LED",3,2)))),)</f>
        <v>0.99999998049294159</v>
      </c>
      <c r="J123" s="201">
        <f>IF(J$3&gt;=Tech_Specs!$C15,IF(J$3=2010,VLOOKUP(J$3-Tech_Specs!$C15,Bass_Curve,IF(LEFT($B123,3)="LED",3,2)),IF(User_Inputs!$D$4="Frozen Efficiency",$G123,VLOOKUP(J$3-Tech_Specs!$C15,Bass_Curve,IF(LEFT($B123,3)="LED",3,2)))),)</f>
        <v>0.99999998049294159</v>
      </c>
      <c r="K123" s="201">
        <f>IF(K$3&gt;=Tech_Specs!$C15,IF(K$3=2010,VLOOKUP(K$3-Tech_Specs!$C15,Bass_Curve,IF(LEFT($B123,3)="LED",3,2)),IF(User_Inputs!$D$4="Frozen Efficiency",$G123,VLOOKUP(K$3-Tech_Specs!$C15,Bass_Curve,IF(LEFT($B123,3)="LED",3,2)))),)</f>
        <v>0.99999998049294159</v>
      </c>
      <c r="L123" s="201">
        <f>IF(L$3&gt;=Tech_Specs!$C15,IF(L$3=2010,VLOOKUP(L$3-Tech_Specs!$C15,Bass_Curve,IF(LEFT($B123,3)="LED",3,2)),IF(User_Inputs!$D$4="Frozen Efficiency",$G123,VLOOKUP(L$3-Tech_Specs!$C15,Bass_Curve,IF(LEFT($B123,3)="LED",3,2)))),)</f>
        <v>0.99999998049294159</v>
      </c>
      <c r="M123" s="201">
        <f>IF(M$3&gt;=Tech_Specs!$C15,IF(M$3=2010,VLOOKUP(M$3-Tech_Specs!$C15,Bass_Curve,IF(LEFT($B123,3)="LED",3,2)),IF(User_Inputs!$D$4="Frozen Efficiency",$G123,VLOOKUP(M$3-Tech_Specs!$C15,Bass_Curve,IF(LEFT($B123,3)="LED",3,2)))),)</f>
        <v>0.99999998049294159</v>
      </c>
      <c r="N123" s="201">
        <f>IF(N$3&gt;=Tech_Specs!$C15,IF(N$3=2010,VLOOKUP(N$3-Tech_Specs!$C15,Bass_Curve,IF(LEFT($B123,3)="LED",3,2)),IF(User_Inputs!$D$4="Frozen Efficiency",$G123,VLOOKUP(N$3-Tech_Specs!$C15,Bass_Curve,IF(LEFT($B123,3)="LED",3,2)))),)</f>
        <v>0.99999998049294159</v>
      </c>
      <c r="O123" s="201">
        <f>IF(O$3&gt;=Tech_Specs!$C15,IF(O$3=2010,VLOOKUP(O$3-Tech_Specs!$C15,Bass_Curve,IF(LEFT($B123,3)="LED",3,2)),IF(User_Inputs!$D$4="Frozen Efficiency",$G123,VLOOKUP(O$3-Tech_Specs!$C15,Bass_Curve,IF(LEFT($B123,3)="LED",3,2)))),)</f>
        <v>0.99999998049294159</v>
      </c>
      <c r="P123" s="201">
        <f>IF(P$3&gt;=Tech_Specs!$C15,IF(P$3=2010,VLOOKUP(P$3-Tech_Specs!$C15,Bass_Curve,IF(LEFT($B123,3)="LED",3,2)),IF(User_Inputs!$D$4="Frozen Efficiency",$G123,VLOOKUP(P$3-Tech_Specs!$C15,Bass_Curve,IF(LEFT($B123,3)="LED",3,2)))),)</f>
        <v>0.99999998049294159</v>
      </c>
      <c r="Q123" s="201">
        <f>IF(Q$3&gt;=Tech_Specs!$C15,IF(Q$3=2010,VLOOKUP(Q$3-Tech_Specs!$C15,Bass_Curve,IF(LEFT($B123,3)="LED",3,2)),IF(User_Inputs!$D$4="Frozen Efficiency",$G123,VLOOKUP(Q$3-Tech_Specs!$C15,Bass_Curve,IF(LEFT($B123,3)="LED",3,2)))),)</f>
        <v>0.99999998049294159</v>
      </c>
      <c r="R123" s="201">
        <f>IF(R$3&gt;=Tech_Specs!$C15,IF(R$3=2010,VLOOKUP(R$3-Tech_Specs!$C15,Bass_Curve,IF(LEFT($B123,3)="LED",3,2)),IF(User_Inputs!$D$4="Frozen Efficiency",$G123,VLOOKUP(R$3-Tech_Specs!$C15,Bass_Curve,IF(LEFT($B123,3)="LED",3,2)))),)</f>
        <v>0.99999998049294159</v>
      </c>
      <c r="S123" s="201">
        <f>IF(S$3&gt;=Tech_Specs!$C15,IF(S$3=2010,VLOOKUP(S$3-Tech_Specs!$C15,Bass_Curve,IF(LEFT($B123,3)="LED",3,2)),IF(User_Inputs!$D$4="Frozen Efficiency",$G123,VLOOKUP(S$3-Tech_Specs!$C15,Bass_Curve,IF(LEFT($B123,3)="LED",3,2)))),)</f>
        <v>0.99999998049294159</v>
      </c>
      <c r="T123" s="201">
        <f>IF(T$3&gt;=Tech_Specs!$C15,IF(T$3=2010,VLOOKUP(T$3-Tech_Specs!$C15,Bass_Curve,IF(LEFT($B123,3)="LED",3,2)),IF(User_Inputs!$D$4="Frozen Efficiency",$G123,VLOOKUP(T$3-Tech_Specs!$C15,Bass_Curve,IF(LEFT($B123,3)="LED",3,2)))),)</f>
        <v>0.99999998049294159</v>
      </c>
      <c r="U123" s="201">
        <f>IF(U$3&gt;=Tech_Specs!$C15,IF(U$3=2010,VLOOKUP(U$3-Tech_Specs!$C15,Bass_Curve,IF(LEFT($B123,3)="LED",3,2)),IF(User_Inputs!$D$4="Frozen Efficiency",$G123,VLOOKUP(U$3-Tech_Specs!$C15,Bass_Curve,IF(LEFT($B123,3)="LED",3,2)))),)</f>
        <v>0.99999998049294159</v>
      </c>
      <c r="V123" s="201">
        <f>IF(V$3&gt;=Tech_Specs!$C15,IF(V$3=2010,VLOOKUP(V$3-Tech_Specs!$C15,Bass_Curve,IF(LEFT($B123,3)="LED",3,2)),IF(User_Inputs!$D$4="Frozen Efficiency",$G123,VLOOKUP(V$3-Tech_Specs!$C15,Bass_Curve,IF(LEFT($B123,3)="LED",3,2)))),)</f>
        <v>0.99999998049294159</v>
      </c>
      <c r="W123" s="201">
        <f>IF(W$3&gt;=Tech_Specs!$C15,IF(W$3=2010,VLOOKUP(W$3-Tech_Specs!$C15,Bass_Curve,IF(LEFT($B123,3)="LED",3,2)),IF(User_Inputs!$D$4="Frozen Efficiency",$G123,VLOOKUP(W$3-Tech_Specs!$C15,Bass_Curve,IF(LEFT($B123,3)="LED",3,2)))),)</f>
        <v>0.99999998049294159</v>
      </c>
      <c r="X123" s="201">
        <f>IF(X$3&gt;=Tech_Specs!$C15,IF(X$3=2010,VLOOKUP(X$3-Tech_Specs!$C15,Bass_Curve,IF(LEFT($B123,3)="LED",3,2)),IF(User_Inputs!$D$4="Frozen Efficiency",$G123,VLOOKUP(X$3-Tech_Specs!$C15,Bass_Curve,IF(LEFT($B123,3)="LED",3,2)))),)</f>
        <v>0.99999998049294159</v>
      </c>
      <c r="Y123" s="201">
        <f>IF(Y$3&gt;=Tech_Specs!$C15,IF(Y$3=2010,VLOOKUP(Y$3-Tech_Specs!$C15,Bass_Curve,IF(LEFT($B123,3)="LED",3,2)),IF(User_Inputs!$D$4="Frozen Efficiency",$G123,VLOOKUP(Y$3-Tech_Specs!$C15,Bass_Curve,IF(LEFT($B123,3)="LED",3,2)))),)</f>
        <v>0.99999998049294159</v>
      </c>
      <c r="Z123" s="201">
        <f>IF(Z$3&gt;=Tech_Specs!$C15,IF(Z$3=2010,VLOOKUP(Z$3-Tech_Specs!$C15,Bass_Curve,IF(LEFT($B123,3)="LED",3,2)),IF(User_Inputs!$D$4="Frozen Efficiency",$G123,VLOOKUP(Z$3-Tech_Specs!$C15,Bass_Curve,IF(LEFT($B123,3)="LED",3,2)))),)</f>
        <v>0.99999998049294159</v>
      </c>
      <c r="AA123" s="201">
        <f>IF(AA$3&gt;=Tech_Specs!$C15,IF(AA$3=2010,VLOOKUP(AA$3-Tech_Specs!$C15,Bass_Curve,IF(LEFT($B123,3)="LED",3,2)),IF(User_Inputs!$D$4="Frozen Efficiency",$G123,VLOOKUP(AA$3-Tech_Specs!$C15,Bass_Curve,IF(LEFT($B123,3)="LED",3,2)))),)</f>
        <v>0.99999998049294159</v>
      </c>
      <c r="AB123" s="201">
        <f>IF(AB$3&gt;=Tech_Specs!$C15,IF(AB$3=2010,VLOOKUP(AB$3-Tech_Specs!$C15,Bass_Curve,IF(LEFT($B123,3)="LED",3,2)),IF(User_Inputs!$D$4="Frozen Efficiency",$G123,VLOOKUP(AB$3-Tech_Specs!$C15,Bass_Curve,IF(LEFT($B123,3)="LED",3,2)))),)</f>
        <v>0.99999998049294159</v>
      </c>
      <c r="AC123" s="201">
        <f>IF(AC$3&gt;=Tech_Specs!$C15,IF(AC$3=2010,VLOOKUP(AC$3-Tech_Specs!$C15,Bass_Curve,IF(LEFT($B123,3)="LED",3,2)),IF(User_Inputs!$D$4="Frozen Efficiency",$G123,VLOOKUP(AC$3-Tech_Specs!$C15,Bass_Curve,IF(LEFT($B123,3)="LED",3,2)))),)</f>
        <v>0.99999998049294159</v>
      </c>
      <c r="AD123" s="201">
        <f>IF(AD$3&gt;=Tech_Specs!$C15,IF(AD$3=2010,VLOOKUP(AD$3-Tech_Specs!$C15,Bass_Curve,IF(LEFT($B123,3)="LED",3,2)),IF(User_Inputs!$D$4="Frozen Efficiency",$G123,VLOOKUP(AD$3-Tech_Specs!$C15,Bass_Curve,IF(LEFT($B123,3)="LED",3,2)))),)</f>
        <v>0.99999998049294159</v>
      </c>
      <c r="AE123" s="201">
        <f>IF(AE$3&gt;=Tech_Specs!$C15,IF(AE$3=2010,VLOOKUP(AE$3-Tech_Specs!$C15,Bass_Curve,IF(LEFT($B123,3)="LED",3,2)),IF(User_Inputs!$D$4="Frozen Efficiency",$G123,VLOOKUP(AE$3-Tech_Specs!$C15,Bass_Curve,IF(LEFT($B123,3)="LED",3,2)))),)</f>
        <v>0.99999998049294159</v>
      </c>
      <c r="AF123" s="201">
        <f>IF(AF$3&gt;=Tech_Specs!$C15,IF(AF$3=2010,VLOOKUP(AF$3-Tech_Specs!$C15,Bass_Curve,IF(LEFT($B123,3)="LED",3,2)),IF(User_Inputs!$D$4="Frozen Efficiency",$G123,VLOOKUP(AF$3-Tech_Specs!$C15,Bass_Curve,IF(LEFT($B123,3)="LED",3,2)))),)</f>
        <v>0.99999998049294159</v>
      </c>
    </row>
    <row r="124" spans="1:32" s="221" customFormat="1" x14ac:dyDescent="0.25">
      <c r="A124" s="388"/>
      <c r="B124" s="388" t="s">
        <v>34</v>
      </c>
      <c r="C124"/>
      <c r="D124"/>
      <c r="E124"/>
      <c r="F124" s="1031"/>
      <c r="G124" s="201">
        <f>IF(G$3&gt;=Tech_Specs!$C16,IF(G$3=2010,VLOOKUP(G$3-Tech_Specs!$C16,Bass_Curve,IF(LEFT($B124,3)="LED",3,2)),IF(User_Inputs!$D$4="Frozen Efficiency",$G124,VLOOKUP(G$3-Tech_Specs!$C16,Bass_Curve,IF(LEFT($B124,3)="LED",3,2)))),)</f>
        <v>0.99992312620537604</v>
      </c>
      <c r="H124" s="201">
        <f>IF(H$3&gt;=Tech_Specs!$C16,IF(H$3=2010,VLOOKUP(H$3-Tech_Specs!$C16,Bass_Curve,IF(LEFT($B124,3)="LED",3,2)),IF(User_Inputs!$D$4="Frozen Efficiency",$G124,VLOOKUP(H$3-Tech_Specs!$C16,Bass_Curve,IF(LEFT($B124,3)="LED",3,2)))),)</f>
        <v>0.9999448431048531</v>
      </c>
      <c r="I124" s="201">
        <f>IF(I$3&gt;=Tech_Specs!$C16,IF(I$3=2010,VLOOKUP(I$3-Tech_Specs!$C16,Bass_Curve,IF(LEFT($B124,3)="LED",3,2)),IF(User_Inputs!$D$4="Frozen Efficiency",$G124,VLOOKUP(I$3-Tech_Specs!$C16,Bass_Curve,IF(LEFT($B124,3)="LED",3,2)))),)</f>
        <v>0.99996042135098673</v>
      </c>
      <c r="J124" s="201">
        <f>IF(J$3&gt;=Tech_Specs!$C16,IF(J$3=2010,VLOOKUP(J$3-Tech_Specs!$C16,Bass_Curve,IF(LEFT($B124,3)="LED",3,2)),IF(User_Inputs!$D$4="Frozen Efficiency",$G124,VLOOKUP(J$3-Tech_Specs!$C16,Bass_Curve,IF(LEFT($B124,3)="LED",3,2)))),)</f>
        <v>0.99997159722102513</v>
      </c>
      <c r="K124" s="201">
        <f>IF(K$3&gt;=Tech_Specs!$C16,IF(K$3=2010,VLOOKUP(K$3-Tech_Specs!$C16,Bass_Curve,IF(LEFT($B124,3)="LED",3,2)),IF(User_Inputs!$D$4="Frozen Efficiency",$G124,VLOOKUP(K$3-Tech_Specs!$C16,Bass_Curve,IF(LEFT($B124,3)="LED",3,2)))),)</f>
        <v>0.9999796155873415</v>
      </c>
      <c r="L124" s="201">
        <f>IF(L$3&gt;=Tech_Specs!$C16,IF(L$3=2010,VLOOKUP(L$3-Tech_Specs!$C16,Bass_Curve,IF(LEFT($B124,3)="LED",3,2)),IF(User_Inputs!$D$4="Frozen Efficiency",$G124,VLOOKUP(L$3-Tech_Specs!$C16,Bass_Curve,IF(LEFT($B124,3)="LED",3,2)))),)</f>
        <v>0.99998536907810021</v>
      </c>
      <c r="M124" s="201">
        <f>IF(M$3&gt;=Tech_Specs!$C16,IF(M$3=2010,VLOOKUP(M$3-Tech_Specs!$C16,Bass_Curve,IF(LEFT($B124,3)="LED",3,2)),IF(User_Inputs!$D$4="Frozen Efficiency",$G124,VLOOKUP(M$3-Tech_Specs!$C16,Bass_Curve,IF(LEFT($B124,3)="LED",3,2)))),)</f>
        <v>0.99998949781098223</v>
      </c>
      <c r="N124" s="201">
        <f>IF(N$3&gt;=Tech_Specs!$C16,IF(N$3=2010,VLOOKUP(N$3-Tech_Specs!$C16,Bass_Curve,IF(LEFT($B124,3)="LED",3,2)),IF(User_Inputs!$D$4="Frozen Efficiency",$G124,VLOOKUP(N$3-Tech_Specs!$C16,Bass_Curve,IF(LEFT($B124,3)="LED",3,2)))),)</f>
        <v>0.99999246087225968</v>
      </c>
      <c r="O124" s="201">
        <f>IF(O$3&gt;=Tech_Specs!$C16,IF(O$3=2010,VLOOKUP(O$3-Tech_Specs!$C16,Bass_Curve,IF(LEFT($B124,3)="LED",3,2)),IF(User_Inputs!$D$4="Frozen Efficiency",$G124,VLOOKUP(O$3-Tech_Specs!$C16,Bass_Curve,IF(LEFT($B124,3)="LED",3,2)))),)</f>
        <v>0.99999458754894088</v>
      </c>
      <c r="P124" s="201">
        <f>IF(P$3&gt;=Tech_Specs!$C16,IF(P$3=2010,VLOOKUP(P$3-Tech_Specs!$C16,Bass_Curve,IF(LEFT($B124,3)="LED",3,2)),IF(User_Inputs!$D$4="Frozen Efficiency",$G124,VLOOKUP(P$3-Tech_Specs!$C16,Bass_Curve,IF(LEFT($B124,3)="LED",3,2)))),)</f>
        <v>0.99999611405218891</v>
      </c>
      <c r="Q124" s="201">
        <f>IF(Q$3&gt;=Tech_Specs!$C16,IF(Q$3=2010,VLOOKUP(Q$3-Tech_Specs!$C16,Bass_Curve,IF(LEFT($B124,3)="LED",3,2)),IF(User_Inputs!$D$4="Frozen Efficiency",$G124,VLOOKUP(Q$3-Tech_Specs!$C16,Bass_Curve,IF(LEFT($B124,3)="LED",3,2)))),)</f>
        <v>0.99999720984345863</v>
      </c>
      <c r="R124" s="201">
        <f>IF(R$3&gt;=Tech_Specs!$C16,IF(R$3=2010,VLOOKUP(R$3-Tech_Specs!$C16,Bass_Curve,IF(LEFT($B124,3)="LED",3,2)),IF(User_Inputs!$D$4="Frozen Efficiency",$G124,VLOOKUP(R$3-Tech_Specs!$C16,Bass_Curve,IF(LEFT($B124,3)="LED",3,2)))),)</f>
        <v>0.99999799650912424</v>
      </c>
      <c r="S124" s="201">
        <f>IF(S$3&gt;=Tech_Specs!$C16,IF(S$3=2010,VLOOKUP(S$3-Tech_Specs!$C16,Bass_Curve,IF(LEFT($B124,3)="LED",3,2)),IF(User_Inputs!$D$4="Frozen Efficiency",$G124,VLOOKUP(S$3-Tech_Specs!$C16,Bass_Curve,IF(LEFT($B124,3)="LED",3,2)))),)</f>
        <v>0.99999856129425391</v>
      </c>
      <c r="T124" s="201">
        <f>IF(T$3&gt;=Tech_Specs!$C16,IF(T$3=2010,VLOOKUP(T$3-Tech_Specs!$C16,Bass_Curve,IF(LEFT($B124,3)="LED",3,2)),IF(User_Inputs!$D$4="Frozen Efficiency",$G124,VLOOKUP(T$3-Tech_Specs!$C16,Bass_Curve,IF(LEFT($B124,3)="LED",3,2)))),)</f>
        <v>0.99999896680791711</v>
      </c>
      <c r="U124" s="201">
        <f>IF(U$3&gt;=Tech_Specs!$C16,IF(U$3=2010,VLOOKUP(U$3-Tech_Specs!$C16,Bass_Curve,IF(LEFT($B124,3)="LED",3,2)),IF(User_Inputs!$D$4="Frozen Efficiency",$G124,VLOOKUP(U$3-Tech_Specs!$C16,Bass_Curve,IF(LEFT($B124,3)="LED",3,2)))),)</f>
        <v>0.99999925798382638</v>
      </c>
      <c r="V124" s="201">
        <f>IF(V$3&gt;=Tech_Specs!$C16,IF(V$3=2010,VLOOKUP(V$3-Tech_Specs!$C16,Bass_Curve,IF(LEFT($B124,3)="LED",3,2)),IF(User_Inputs!$D$4="Frozen Efficiency",$G124,VLOOKUP(V$3-Tech_Specs!$C16,Bass_Curve,IF(LEFT($B124,3)="LED",3,2)))),)</f>
        <v>0.99999946707306653</v>
      </c>
      <c r="W124" s="201">
        <f>IF(W$3&gt;=Tech_Specs!$C16,IF(W$3=2010,VLOOKUP(W$3-Tech_Specs!$C16,Bass_Curve,IF(LEFT($B124,3)="LED",3,2)),IF(User_Inputs!$D$4="Frozen Efficiency",$G124,VLOOKUP(W$3-Tech_Specs!$C16,Bass_Curve,IF(LEFT($B124,3)="LED",3,2)))),)</f>
        <v>0.99999961722567021</v>
      </c>
      <c r="X124" s="201">
        <f>IF(X$3&gt;=Tech_Specs!$C16,IF(X$3=2010,VLOOKUP(X$3-Tech_Specs!$C16,Bass_Curve,IF(LEFT($B124,3)="LED",3,2)),IF(User_Inputs!$D$4="Frozen Efficiency",$G124,VLOOKUP(X$3-Tech_Specs!$C16,Bass_Curve,IF(LEFT($B124,3)="LED",3,2)))),)</f>
        <v>0.99999972506016011</v>
      </c>
      <c r="Y124" s="201">
        <f>IF(Y$3&gt;=Tech_Specs!$C16,IF(Y$3=2010,VLOOKUP(Y$3-Tech_Specs!$C16,Bass_Curve,IF(LEFT($B124,3)="LED",3,2)),IF(User_Inputs!$D$4="Frozen Efficiency",$G124,VLOOKUP(Y$3-Tech_Specs!$C16,Bass_Curve,IF(LEFT($B124,3)="LED",3,2)))),)</f>
        <v>0.99999980250721576</v>
      </c>
      <c r="Z124" s="201">
        <f>IF(Z$3&gt;=Tech_Specs!$C16,IF(Z$3=2010,VLOOKUP(Z$3-Tech_Specs!$C16,Bass_Curve,IF(LEFT($B124,3)="LED",3,2)),IF(User_Inputs!$D$4="Frozen Efficiency",$G124,VLOOKUP(Z$3-Tech_Specs!$C16,Bass_Curve,IF(LEFT($B124,3)="LED",3,2)))),)</f>
        <v>0.99999985813264225</v>
      </c>
      <c r="AA124" s="201">
        <f>IF(AA$3&gt;=Tech_Specs!$C16,IF(AA$3=2010,VLOOKUP(AA$3-Tech_Specs!$C16,Bass_Curve,IF(LEFT($B124,3)="LED",3,2)),IF(User_Inputs!$D$4="Frozen Efficiency",$G124,VLOOKUP(AA$3-Tech_Specs!$C16,Bass_Curve,IF(LEFT($B124,3)="LED",3,2)))),)</f>
        <v>0.99999989808679191</v>
      </c>
      <c r="AB124" s="201">
        <f>IF(AB$3&gt;=Tech_Specs!$C16,IF(AB$3=2010,VLOOKUP(AB$3-Tech_Specs!$C16,Bass_Curve,IF(LEFT($B124,3)="LED",3,2)),IF(User_Inputs!$D$4="Frozen Efficiency",$G124,VLOOKUP(AB$3-Tech_Specs!$C16,Bass_Curve,IF(LEFT($B124,3)="LED",3,2)))),)</f>
        <v>0.99999992678597005</v>
      </c>
      <c r="AC124" s="201">
        <f>IF(AC$3&gt;=Tech_Specs!$C16,IF(AC$3=2010,VLOOKUP(AC$3-Tech_Specs!$C16,Bass_Curve,IF(LEFT($B124,3)="LED",3,2)),IF(User_Inputs!$D$4="Frozen Efficiency",$G124,VLOOKUP(AC$3-Tech_Specs!$C16,Bass_Curve,IF(LEFT($B124,3)="LED",3,2)))),)</f>
        <v>0.99999994740152531</v>
      </c>
      <c r="AD124" s="201">
        <f>IF(AD$3&gt;=Tech_Specs!$C16,IF(AD$3=2010,VLOOKUP(AD$3-Tech_Specs!$C16,Bass_Curve,IF(LEFT($B124,3)="LED",3,2)),IF(User_Inputs!$D$4="Frozen Efficiency",$G124,VLOOKUP(AD$3-Tech_Specs!$C16,Bass_Curve,IF(LEFT($B124,3)="LED",3,2)))),)</f>
        <v>0.99999996221093224</v>
      </c>
      <c r="AE124" s="201">
        <f>IF(AE$3&gt;=Tech_Specs!$C16,IF(AE$3=2010,VLOOKUP(AE$3-Tech_Specs!$C16,Bass_Curve,IF(LEFT($B124,3)="LED",3,2)),IF(User_Inputs!$D$4="Frozen Efficiency",$G124,VLOOKUP(AE$3-Tech_Specs!$C16,Bass_Curve,IF(LEFT($B124,3)="LED",3,2)))),)</f>
        <v>0.99999997284982522</v>
      </c>
      <c r="AF124" s="201">
        <f>IF(AF$3&gt;=Tech_Specs!$C16,IF(AF$3=2010,VLOOKUP(AF$3-Tech_Specs!$C16,Bass_Curve,IF(LEFT($B124,3)="LED",3,2)),IF(User_Inputs!$D$4="Frozen Efficiency",$G124,VLOOKUP(AF$3-Tech_Specs!$C16,Bass_Curve,IF(LEFT($B124,3)="LED",3,2)))),)</f>
        <v>0.99999998049294159</v>
      </c>
    </row>
    <row r="125" spans="1:32" s="221" customFormat="1" x14ac:dyDescent="0.25">
      <c r="A125" s="376"/>
      <c r="B125" s="388" t="s">
        <v>35</v>
      </c>
      <c r="C125"/>
      <c r="D125"/>
      <c r="E125"/>
      <c r="F125" s="1031"/>
      <c r="G125" s="201">
        <f>IF(G$3&gt;=Tech_Specs!$C17,IF(G$3=2010,VLOOKUP(G$3-Tech_Specs!$C17,Bass_Curve,IF(LEFT($B125,3)="LED",3,2)),IF(User_Inputs!$D$4="Frozen Efficiency",$G125,VLOOKUP(G$3-Tech_Specs!$C17,Bass_Curve,IF(LEFT($B125,3)="LED",3,2)))),)</f>
        <v>0.94461059131409331</v>
      </c>
      <c r="H125" s="201">
        <f>IF(H$3&gt;=Tech_Specs!$C17,IF(H$3=2010,VLOOKUP(H$3-Tech_Specs!$C17,Bass_Curve,IF(LEFT($B125,3)="LED",3,2)),IF(User_Inputs!$D$4="Frozen Efficiency",$G125,VLOOKUP(H$3-Tech_Specs!$C17,Bass_Curve,IF(LEFT($B125,3)="LED",3,2)))),)</f>
        <v>0.95940876722590474</v>
      </c>
      <c r="I125" s="201">
        <f>IF(I$3&gt;=Tech_Specs!$C17,IF(I$3=2010,VLOOKUP(I$3-Tech_Specs!$C17,Bass_Curve,IF(LEFT($B125,3)="LED",3,2)),IF(User_Inputs!$D$4="Frozen Efficiency",$G125,VLOOKUP(I$3-Tech_Specs!$C17,Bass_Curve,IF(LEFT($B125,3)="LED",3,2)))),)</f>
        <v>0.97043561397505118</v>
      </c>
      <c r="J125" s="201">
        <f>IF(J$3&gt;=Tech_Specs!$C17,IF(J$3=2010,VLOOKUP(J$3-Tech_Specs!$C17,Bass_Curve,IF(LEFT($B125,3)="LED",3,2)),IF(User_Inputs!$D$4="Frozen Efficiency",$G125,VLOOKUP(J$3-Tech_Specs!$C17,Bass_Curve,IF(LEFT($B125,3)="LED",3,2)))),)</f>
        <v>0.97856563119743434</v>
      </c>
      <c r="K125" s="201">
        <f>IF(K$3&gt;=Tech_Specs!$C17,IF(K$3=2010,VLOOKUP(K$3-Tech_Specs!$C17,Bass_Curve,IF(LEFT($B125,3)="LED",3,2)),IF(User_Inputs!$D$4="Frozen Efficiency",$G125,VLOOKUP(K$3-Tech_Specs!$C17,Bass_Curve,IF(LEFT($B125,3)="LED",3,2)))),)</f>
        <v>0.98451232141945333</v>
      </c>
      <c r="L125" s="201">
        <f>IF(L$3&gt;=Tech_Specs!$C17,IF(L$3=2010,VLOOKUP(L$3-Tech_Specs!$C17,Bass_Curve,IF(LEFT($B125,3)="LED",3,2)),IF(User_Inputs!$D$4="Frozen Efficiency",$G125,VLOOKUP(L$3-Tech_Specs!$C17,Bass_Curve,IF(LEFT($B125,3)="LED",3,2)))),)</f>
        <v>0.98883650057565198</v>
      </c>
      <c r="M125" s="201">
        <f>IF(M$3&gt;=Tech_Specs!$C17,IF(M$3=2010,VLOOKUP(M$3-Tech_Specs!$C17,Bass_Curve,IF(LEFT($B125,3)="LED",3,2)),IF(User_Inputs!$D$4="Frozen Efficiency",$G125,VLOOKUP(M$3-Tech_Specs!$C17,Bass_Curve,IF(LEFT($B125,3)="LED",3,2)))),)</f>
        <v>0.99196738407609564</v>
      </c>
      <c r="N125" s="201">
        <f>IF(N$3&gt;=Tech_Specs!$C17,IF(N$3=2010,VLOOKUP(N$3-Tech_Specs!$C17,Bass_Curve,IF(LEFT($B125,3)="LED",3,2)),IF(User_Inputs!$D$4="Frozen Efficiency",$G125,VLOOKUP(N$3-Tech_Specs!$C17,Bass_Curve,IF(LEFT($B125,3)="LED",3,2)))),)</f>
        <v>0.99422726069133227</v>
      </c>
      <c r="O125" s="201">
        <f>IF(O$3&gt;=Tech_Specs!$C17,IF(O$3=2010,VLOOKUP(O$3-Tech_Specs!$C17,Bass_Curve,IF(LEFT($B125,3)="LED",3,2)),IF(User_Inputs!$D$4="Frozen Efficiency",$G125,VLOOKUP(O$3-Tech_Specs!$C17,Bass_Curve,IF(LEFT($B125,3)="LED",3,2)))),)</f>
        <v>0.99585484432697347</v>
      </c>
      <c r="P125" s="201">
        <f>IF(P$3&gt;=Tech_Specs!$C17,IF(P$3=2010,VLOOKUP(P$3-Tech_Specs!$C17,Bass_Curve,IF(LEFT($B125,3)="LED",3,2)),IF(User_Inputs!$D$4="Frozen Efficiency",$G125,VLOOKUP(P$3-Tech_Specs!$C17,Bass_Curve,IF(LEFT($B125,3)="LED",3,2)))),)</f>
        <v>0.99702522404198501</v>
      </c>
      <c r="Q125" s="201">
        <f>IF(Q$3&gt;=Tech_Specs!$C17,IF(Q$3=2010,VLOOKUP(Q$3-Tech_Specs!$C17,Bass_Curve,IF(LEFT($B125,3)="LED",3,2)),IF(User_Inputs!$D$4="Frozen Efficiency",$G125,VLOOKUP(Q$3-Tech_Specs!$C17,Bass_Curve,IF(LEFT($B125,3)="LED",3,2)))),)</f>
        <v>0.99786592697261467</v>
      </c>
      <c r="R125" s="201">
        <f>IF(R$3&gt;=Tech_Specs!$C17,IF(R$3=2010,VLOOKUP(R$3-Tech_Specs!$C17,Bass_Curve,IF(LEFT($B125,3)="LED",3,2)),IF(User_Inputs!$D$4="Frozen Efficiency",$G125,VLOOKUP(R$3-Tech_Specs!$C17,Bass_Curve,IF(LEFT($B125,3)="LED",3,2)))),)</f>
        <v>0.9984693766950139</v>
      </c>
      <c r="S125" s="201">
        <f>IF(S$3&gt;=Tech_Specs!$C17,IF(S$3=2010,VLOOKUP(S$3-Tech_Specs!$C17,Bass_Curve,IF(LEFT($B125,3)="LED",3,2)),IF(User_Inputs!$D$4="Frozen Efficiency",$G125,VLOOKUP(S$3-Tech_Specs!$C17,Bass_Curve,IF(LEFT($B125,3)="LED",3,2)))),)</f>
        <v>0.99890231984592681</v>
      </c>
      <c r="T125" s="201">
        <f>IF(T$3&gt;=Tech_Specs!$C17,IF(T$3=2010,VLOOKUP(T$3-Tech_Specs!$C17,Bass_Curve,IF(LEFT($B125,3)="LED",3,2)),IF(User_Inputs!$D$4="Frozen Efficiency",$G125,VLOOKUP(T$3-Tech_Specs!$C17,Bass_Curve,IF(LEFT($B125,3)="LED",3,2)))),)</f>
        <v>0.99921283993037913</v>
      </c>
      <c r="U125" s="201">
        <f>IF(U$3&gt;=Tech_Specs!$C17,IF(U$3=2010,VLOOKUP(U$3-Tech_Specs!$C17,Bass_Curve,IF(LEFT($B125,3)="LED",3,2)),IF(User_Inputs!$D$4="Frozen Efficiency",$G125,VLOOKUP(U$3-Tech_Specs!$C17,Bass_Curve,IF(LEFT($B125,3)="LED",3,2)))),)</f>
        <v>0.99943551570827049</v>
      </c>
      <c r="V125" s="201">
        <f>IF(V$3&gt;=Tech_Specs!$C17,IF(V$3=2010,VLOOKUP(V$3-Tech_Specs!$C17,Bass_Curve,IF(LEFT($B125,3)="LED",3,2)),IF(User_Inputs!$D$4="Frozen Efficiency",$G125,VLOOKUP(V$3-Tech_Specs!$C17,Bass_Curve,IF(LEFT($B125,3)="LED",3,2)))),)</f>
        <v>0.99959518445151951</v>
      </c>
      <c r="W125" s="201">
        <f>IF(W$3&gt;=Tech_Specs!$C17,IF(W$3=2010,VLOOKUP(W$3-Tech_Specs!$C17,Bass_Curve,IF(LEFT($B125,3)="LED",3,2)),IF(User_Inputs!$D$4="Frozen Efficiency",$G125,VLOOKUP(W$3-Tech_Specs!$C17,Bass_Curve,IF(LEFT($B125,3)="LED",3,2)))),)</f>
        <v>0.99970967191209748</v>
      </c>
      <c r="X125" s="201">
        <f>IF(X$3&gt;=Tech_Specs!$C17,IF(X$3=2010,VLOOKUP(X$3-Tech_Specs!$C17,Bass_Curve,IF(LEFT($B125,3)="LED",3,2)),IF(User_Inputs!$D$4="Frozen Efficiency",$G125,VLOOKUP(X$3-Tech_Specs!$C17,Bass_Curve,IF(LEFT($B125,3)="LED",3,2)))),)</f>
        <v>0.99979176488656052</v>
      </c>
      <c r="Y125" s="201">
        <f>IF(Y$3&gt;=Tech_Specs!$C17,IF(Y$3=2010,VLOOKUP(Y$3-Tech_Specs!$C17,Bass_Curve,IF(LEFT($B125,3)="LED",3,2)),IF(User_Inputs!$D$4="Frozen Efficiency",$G125,VLOOKUP(Y$3-Tech_Specs!$C17,Bass_Curve,IF(LEFT($B125,3)="LED",3,2)))),)</f>
        <v>0.99985063257548779</v>
      </c>
      <c r="Z125" s="201">
        <f>IF(Z$3&gt;=Tech_Specs!$C17,IF(Z$3=2010,VLOOKUP(Z$3-Tech_Specs!$C17,Bass_Curve,IF(LEFT($B125,3)="LED",3,2)),IF(User_Inputs!$D$4="Frozen Efficiency",$G125,VLOOKUP(Z$3-Tech_Specs!$C17,Bass_Curve,IF(LEFT($B125,3)="LED",3,2)))),)</f>
        <v>0.99989284880158935</v>
      </c>
      <c r="AA125" s="201">
        <f>IF(AA$3&gt;=Tech_Specs!$C17,IF(AA$3=2010,VLOOKUP(AA$3-Tech_Specs!$C17,Bass_Curve,IF(LEFT($B125,3)="LED",3,2)),IF(User_Inputs!$D$4="Frozen Efficiency",$G125,VLOOKUP(AA$3-Tech_Specs!$C17,Bass_Curve,IF(LEFT($B125,3)="LED",3,2)))),)</f>
        <v>0.99992312620537604</v>
      </c>
      <c r="AB125" s="201">
        <f>IF(AB$3&gt;=Tech_Specs!$C17,IF(AB$3=2010,VLOOKUP(AB$3-Tech_Specs!$C17,Bass_Curve,IF(LEFT($B125,3)="LED",3,2)),IF(User_Inputs!$D$4="Frozen Efficiency",$G125,VLOOKUP(AB$3-Tech_Specs!$C17,Bass_Curve,IF(LEFT($B125,3)="LED",3,2)))),)</f>
        <v>0.9999448431048531</v>
      </c>
      <c r="AC125" s="201">
        <f>IF(AC$3&gt;=Tech_Specs!$C17,IF(AC$3=2010,VLOOKUP(AC$3-Tech_Specs!$C17,Bass_Curve,IF(LEFT($B125,3)="LED",3,2)),IF(User_Inputs!$D$4="Frozen Efficiency",$G125,VLOOKUP(AC$3-Tech_Specs!$C17,Bass_Curve,IF(LEFT($B125,3)="LED",3,2)))),)</f>
        <v>0.99996042135098673</v>
      </c>
      <c r="AD125" s="201">
        <f>IF(AD$3&gt;=Tech_Specs!$C17,IF(AD$3=2010,VLOOKUP(AD$3-Tech_Specs!$C17,Bass_Curve,IF(LEFT($B125,3)="LED",3,2)),IF(User_Inputs!$D$4="Frozen Efficiency",$G125,VLOOKUP(AD$3-Tech_Specs!$C17,Bass_Curve,IF(LEFT($B125,3)="LED",3,2)))),)</f>
        <v>0.99997159722102513</v>
      </c>
      <c r="AE125" s="201">
        <f>IF(AE$3&gt;=Tech_Specs!$C17,IF(AE$3=2010,VLOOKUP(AE$3-Tech_Specs!$C17,Bass_Curve,IF(LEFT($B125,3)="LED",3,2)),IF(User_Inputs!$D$4="Frozen Efficiency",$G125,VLOOKUP(AE$3-Tech_Specs!$C17,Bass_Curve,IF(LEFT($B125,3)="LED",3,2)))),)</f>
        <v>0.9999796155873415</v>
      </c>
      <c r="AF125" s="201">
        <f>IF(AF$3&gt;=Tech_Specs!$C17,IF(AF$3=2010,VLOOKUP(AF$3-Tech_Specs!$C17,Bass_Curve,IF(LEFT($B125,3)="LED",3,2)),IF(User_Inputs!$D$4="Frozen Efficiency",$G125,VLOOKUP(AF$3-Tech_Specs!$C17,Bass_Curve,IF(LEFT($B125,3)="LED",3,2)))),)</f>
        <v>0.99998536907810021</v>
      </c>
    </row>
    <row r="126" spans="1:32" s="221" customFormat="1" x14ac:dyDescent="0.25">
      <c r="A126" s="376"/>
      <c r="B126" s="388" t="s">
        <v>29</v>
      </c>
      <c r="C126"/>
      <c r="D126"/>
      <c r="E126"/>
      <c r="F126" s="1031"/>
      <c r="G126" s="201">
        <f>IF(G$3&gt;=Tech_Specs!$C18,IF(G$3=2010,VLOOKUP(G$3-Tech_Specs!$C18,Bass_Curve,IF(LEFT($B126,3)="LED",3,2)),IF(User_Inputs!$D$4="Frozen Efficiency",$G126,VLOOKUP(G$3-Tech_Specs!$C18,Bass_Curve,IF(LEFT($B126,3)="LED",3,2)))),)</f>
        <v>2.573359512642789E-2</v>
      </c>
      <c r="H126" s="201">
        <f>IF(H$3&gt;=Tech_Specs!$C18,IF(H$3=2010,VLOOKUP(H$3-Tech_Specs!$C18,Bass_Curve,IF(LEFT($B126,3)="LED",3,2)),IF(User_Inputs!$D$4="Frozen Efficiency",$G126,VLOOKUP(H$3-Tech_Specs!$C18,Bass_Curve,IF(LEFT($B126,3)="LED",3,2)))),)</f>
        <v>4.6539757716903177E-2</v>
      </c>
      <c r="I126" s="201">
        <f>IF(I$3&gt;=Tech_Specs!$C18,IF(I$3=2010,VLOOKUP(I$3-Tech_Specs!$C18,Bass_Curve,IF(LEFT($B126,3)="LED",3,2)),IF(User_Inputs!$D$4="Frozen Efficiency",$G126,VLOOKUP(I$3-Tech_Specs!$C18,Bass_Curve,IF(LEFT($B126,3)="LED",3,2)))),)</f>
        <v>7.4754332929684128E-2</v>
      </c>
      <c r="J126" s="201">
        <f>IF(J$3&gt;=Tech_Specs!$C18,IF(J$3=2010,VLOOKUP(J$3-Tech_Specs!$C18,Bass_Curve,IF(LEFT($B126,3)="LED",3,2)),IF(User_Inputs!$D$4="Frozen Efficiency",$G126,VLOOKUP(J$3-Tech_Specs!$C18,Bass_Curve,IF(LEFT($B126,3)="LED",3,2)))),)</f>
        <v>0.11197478620001509</v>
      </c>
      <c r="K126" s="201">
        <f>IF(K$3&gt;=Tech_Specs!$C18,IF(K$3=2010,VLOOKUP(K$3-Tech_Specs!$C18,Bass_Curve,IF(LEFT($B126,3)="LED",3,2)),IF(User_Inputs!$D$4="Frozen Efficiency",$G126,VLOOKUP(K$3-Tech_Specs!$C18,Bass_Curve,IF(LEFT($B126,3)="LED",3,2)))),)</f>
        <v>0.15936056895239697</v>
      </c>
      <c r="L126" s="201">
        <f>IF(L$3&gt;=Tech_Specs!$C18,IF(L$3=2010,VLOOKUP(L$3-Tech_Specs!$C18,Bass_Curve,IF(LEFT($B126,3)="LED",3,2)),IF(User_Inputs!$D$4="Frozen Efficiency",$G126,VLOOKUP(L$3-Tech_Specs!$C18,Bass_Curve,IF(LEFT($B126,3)="LED",3,2)))),)</f>
        <v>0.21712504966565391</v>
      </c>
      <c r="M126" s="201">
        <f>IF(M$3&gt;=Tech_Specs!$C18,IF(M$3=2010,VLOOKUP(M$3-Tech_Specs!$C18,Bass_Curve,IF(LEFT($B126,3)="LED",3,2)),IF(User_Inputs!$D$4="Frozen Efficiency",$G126,VLOOKUP(M$3-Tech_Specs!$C18,Bass_Curve,IF(LEFT($B126,3)="LED",3,2)))),)</f>
        <v>0.28414080977412093</v>
      </c>
      <c r="N126" s="201">
        <f>IF(N$3&gt;=Tech_Specs!$C18,IF(N$3=2010,VLOOKUP(N$3-Tech_Specs!$C18,Bass_Curve,IF(LEFT($B126,3)="LED",3,2)),IF(User_Inputs!$D$4="Frozen Efficiency",$G126,VLOOKUP(N$3-Tech_Specs!$C18,Bass_Curve,IF(LEFT($B126,3)="LED",3,2)))),)</f>
        <v>0.35795009041805559</v>
      </c>
      <c r="O126" s="201">
        <f>IF(O$3&gt;=Tech_Specs!$C18,IF(O$3=2010,VLOOKUP(O$3-Tech_Specs!$C18,Bass_Curve,IF(LEFT($B126,3)="LED",3,2)),IF(User_Inputs!$D$4="Frozen Efficiency",$G126,VLOOKUP(O$3-Tech_Specs!$C18,Bass_Curve,IF(LEFT($B126,3)="LED",3,2)))),)</f>
        <v>0.43528730962994305</v>
      </c>
      <c r="P126" s="201">
        <f>IF(P$3&gt;=Tech_Specs!$C18,IF(P$3=2010,VLOOKUP(P$3-Tech_Specs!$C18,Bass_Curve,IF(LEFT($B126,3)="LED",3,2)),IF(User_Inputs!$D$4="Frozen Efficiency",$G126,VLOOKUP(P$3-Tech_Specs!$C18,Bass_Curve,IF(LEFT($B126,3)="LED",3,2)))),)</f>
        <v>0.51284484369923866</v>
      </c>
      <c r="Q126" s="201">
        <f>IF(Q$3&gt;=Tech_Specs!$C18,IF(Q$3=2010,VLOOKUP(Q$3-Tech_Specs!$C18,Bass_Curve,IF(LEFT($B126,3)="LED",3,2)),IF(User_Inputs!$D$4="Frozen Efficiency",$G126,VLOOKUP(Q$3-Tech_Specs!$C18,Bass_Curve,IF(LEFT($B126,3)="LED",3,2)))),)</f>
        <v>0.58783004379238735</v>
      </c>
      <c r="R126" s="201">
        <f>IF(R$3&gt;=Tech_Specs!$C18,IF(R$3=2010,VLOOKUP(R$3-Tech_Specs!$C18,Bass_Curve,IF(LEFT($B126,3)="LED",3,2)),IF(User_Inputs!$D$4="Frozen Efficiency",$G126,VLOOKUP(R$3-Tech_Specs!$C18,Bass_Curve,IF(LEFT($B126,3)="LED",3,2)))),)</f>
        <v>0.65810308249900329</v>
      </c>
      <c r="S126" s="201">
        <f>IF(S$3&gt;=Tech_Specs!$C18,IF(S$3=2010,VLOOKUP(S$3-Tech_Specs!$C18,Bass_Curve,IF(LEFT($B126,3)="LED",3,2)),IF(User_Inputs!$D$4="Frozen Efficiency",$G126,VLOOKUP(S$3-Tech_Specs!$C18,Bass_Curve,IF(LEFT($B126,3)="LED",3,2)))),)</f>
        <v>0.72206467330281499</v>
      </c>
      <c r="T126" s="201">
        <f>IF(T$3&gt;=Tech_Specs!$C18,IF(T$3=2010,VLOOKUP(T$3-Tech_Specs!$C18,Bass_Curve,IF(LEFT($B126,3)="LED",3,2)),IF(User_Inputs!$D$4="Frozen Efficiency",$G126,VLOOKUP(T$3-Tech_Specs!$C18,Bass_Curve,IF(LEFT($B126,3)="LED",3,2)))),)</f>
        <v>0.77856976904215913</v>
      </c>
      <c r="U126" s="201">
        <f>IF(U$3&gt;=Tech_Specs!$C18,IF(U$3=2010,VLOOKUP(U$3-Tech_Specs!$C18,Bass_Curve,IF(LEFT($B126,3)="LED",3,2)),IF(User_Inputs!$D$4="Frozen Efficiency",$G126,VLOOKUP(U$3-Tech_Specs!$C18,Bass_Curve,IF(LEFT($B126,3)="LED",3,2)))),)</f>
        <v>0.82696350840215249</v>
      </c>
      <c r="V126" s="201">
        <f>IF(V$3&gt;=Tech_Specs!$C18,IF(V$3=2010,VLOOKUP(V$3-Tech_Specs!$C18,Bass_Curve,IF(LEFT($B126,3)="LED",3,2)),IF(User_Inputs!$D$4="Frozen Efficiency",$G126,VLOOKUP(V$3-Tech_Specs!$C18,Bass_Curve,IF(LEFT($B126,3)="LED",3,2)))),)</f>
        <v>0.86714658256559263</v>
      </c>
      <c r="W126" s="201">
        <f>IF(W$3&gt;=Tech_Specs!$C18,IF(W$3=2010,VLOOKUP(W$3-Tech_Specs!$C18,Bass_Curve,IF(LEFT($B126,3)="LED",3,2)),IF(User_Inputs!$D$4="Frozen Efficiency",$G126,VLOOKUP(W$3-Tech_Specs!$C18,Bass_Curve,IF(LEFT($B126,3)="LED",3,2)))),)</f>
        <v>0.89955419985356344</v>
      </c>
      <c r="X126" s="201">
        <f>IF(X$3&gt;=Tech_Specs!$C18,IF(X$3=2010,VLOOKUP(X$3-Tech_Specs!$C18,Bass_Curve,IF(LEFT($B126,3)="LED",3,2)),IF(User_Inputs!$D$4="Frozen Efficiency",$G126,VLOOKUP(X$3-Tech_Specs!$C18,Bass_Curve,IF(LEFT($B126,3)="LED",3,2)))),)</f>
        <v>0.92502432100062038</v>
      </c>
      <c r="Y126" s="201">
        <f>IF(Y$3&gt;=Tech_Specs!$C18,IF(Y$3=2010,VLOOKUP(Y$3-Tech_Specs!$C18,Bass_Curve,IF(LEFT($B126,3)="LED",3,2)),IF(User_Inputs!$D$4="Frozen Efficiency",$G126,VLOOKUP(Y$3-Tech_Specs!$C18,Bass_Curve,IF(LEFT($B126,3)="LED",3,2)))),)</f>
        <v>0.94461059131409331</v>
      </c>
      <c r="Z126" s="201">
        <f>IF(Z$3&gt;=Tech_Specs!$C18,IF(Z$3=2010,VLOOKUP(Z$3-Tech_Specs!$C18,Bass_Curve,IF(LEFT($B126,3)="LED",3,2)),IF(User_Inputs!$D$4="Frozen Efficiency",$G126,VLOOKUP(Z$3-Tech_Specs!$C18,Bass_Curve,IF(LEFT($B126,3)="LED",3,2)))),)</f>
        <v>0.95940876722590474</v>
      </c>
      <c r="AA126" s="201">
        <f>IF(AA$3&gt;=Tech_Specs!$C18,IF(AA$3=2010,VLOOKUP(AA$3-Tech_Specs!$C18,Bass_Curve,IF(LEFT($B126,3)="LED",3,2)),IF(User_Inputs!$D$4="Frozen Efficiency",$G126,VLOOKUP(AA$3-Tech_Specs!$C18,Bass_Curve,IF(LEFT($B126,3)="LED",3,2)))),)</f>
        <v>0.97043561397505118</v>
      </c>
      <c r="AB126" s="201">
        <f>IF(AB$3&gt;=Tech_Specs!$C18,IF(AB$3=2010,VLOOKUP(AB$3-Tech_Specs!$C18,Bass_Curve,IF(LEFT($B126,3)="LED",3,2)),IF(User_Inputs!$D$4="Frozen Efficiency",$G126,VLOOKUP(AB$3-Tech_Specs!$C18,Bass_Curve,IF(LEFT($B126,3)="LED",3,2)))),)</f>
        <v>0.97856563119743434</v>
      </c>
      <c r="AC126" s="201">
        <f>IF(AC$3&gt;=Tech_Specs!$C18,IF(AC$3=2010,VLOOKUP(AC$3-Tech_Specs!$C18,Bass_Curve,IF(LEFT($B126,3)="LED",3,2)),IF(User_Inputs!$D$4="Frozen Efficiency",$G126,VLOOKUP(AC$3-Tech_Specs!$C18,Bass_Curve,IF(LEFT($B126,3)="LED",3,2)))),)</f>
        <v>0.98451232141945333</v>
      </c>
      <c r="AD126" s="201">
        <f>IF(AD$3&gt;=Tech_Specs!$C18,IF(AD$3=2010,VLOOKUP(AD$3-Tech_Specs!$C18,Bass_Curve,IF(LEFT($B126,3)="LED",3,2)),IF(User_Inputs!$D$4="Frozen Efficiency",$G126,VLOOKUP(AD$3-Tech_Specs!$C18,Bass_Curve,IF(LEFT($B126,3)="LED",3,2)))),)</f>
        <v>0.98883650057565198</v>
      </c>
      <c r="AE126" s="201">
        <f>IF(AE$3&gt;=Tech_Specs!$C18,IF(AE$3=2010,VLOOKUP(AE$3-Tech_Specs!$C18,Bass_Curve,IF(LEFT($B126,3)="LED",3,2)),IF(User_Inputs!$D$4="Frozen Efficiency",$G126,VLOOKUP(AE$3-Tech_Specs!$C18,Bass_Curve,IF(LEFT($B126,3)="LED",3,2)))),)</f>
        <v>0.99196738407609564</v>
      </c>
      <c r="AF126" s="201">
        <f>IF(AF$3&gt;=Tech_Specs!$C18,IF(AF$3=2010,VLOOKUP(AF$3-Tech_Specs!$C18,Bass_Curve,IF(LEFT($B126,3)="LED",3,2)),IF(User_Inputs!$D$4="Frozen Efficiency",$G126,VLOOKUP(AF$3-Tech_Specs!$C18,Bass_Curve,IF(LEFT($B126,3)="LED",3,2)))),)</f>
        <v>0.99422726069133227</v>
      </c>
    </row>
    <row r="127" spans="1:32" s="221" customFormat="1" x14ac:dyDescent="0.25">
      <c r="A127" s="376"/>
      <c r="B127" s="376"/>
      <c r="C127"/>
      <c r="D127"/>
      <c r="E127"/>
      <c r="F127" s="1031"/>
      <c r="G127"/>
      <c r="H127"/>
      <c r="I127"/>
      <c r="J127"/>
      <c r="K127"/>
      <c r="L127"/>
      <c r="M127"/>
      <c r="N127"/>
      <c r="O127"/>
      <c r="P127"/>
      <c r="Q127"/>
      <c r="R127"/>
      <c r="S127"/>
      <c r="T127"/>
      <c r="U127"/>
      <c r="V127"/>
      <c r="W127"/>
      <c r="X127"/>
      <c r="Y127"/>
      <c r="Z127"/>
      <c r="AA127"/>
      <c r="AB127"/>
      <c r="AC127"/>
      <c r="AD127"/>
      <c r="AE127"/>
      <c r="AF127"/>
    </row>
    <row r="128" spans="1:32" s="202" customFormat="1" ht="12.75" x14ac:dyDescent="0.2">
      <c r="A128" s="402" t="s">
        <v>36</v>
      </c>
      <c r="B128" s="402"/>
      <c r="C128" s="402"/>
      <c r="D128" s="402"/>
      <c r="E128" s="402"/>
      <c r="F128" s="1112"/>
      <c r="G128" s="402"/>
      <c r="H128" s="402"/>
      <c r="I128" s="402"/>
      <c r="J128" s="402"/>
      <c r="K128" s="402"/>
      <c r="L128" s="402"/>
      <c r="M128" s="402"/>
      <c r="N128" s="402"/>
      <c r="O128" s="402"/>
      <c r="P128" s="402"/>
      <c r="Q128" s="402"/>
      <c r="R128" s="402"/>
      <c r="S128" s="402"/>
      <c r="T128" s="402"/>
      <c r="U128" s="402"/>
      <c r="V128" s="402"/>
      <c r="W128" s="402"/>
      <c r="X128" s="402"/>
      <c r="Y128" s="402"/>
      <c r="Z128" s="402"/>
      <c r="AA128" s="402"/>
      <c r="AB128" s="402"/>
      <c r="AC128" s="402"/>
      <c r="AD128" s="402"/>
      <c r="AE128" s="402"/>
      <c r="AF128" s="402"/>
    </row>
    <row r="129" spans="1:32" s="221" customFormat="1" x14ac:dyDescent="0.25">
      <c r="A129" s="376"/>
      <c r="B129" s="376" t="s">
        <v>37</v>
      </c>
      <c r="C129"/>
      <c r="D129"/>
      <c r="E129"/>
      <c r="F129" s="1031"/>
      <c r="G129" s="201">
        <f>IF(G$3&gt;=Tech_Specs!$C21,IF(G$3=2010,VLOOKUP(G$3-Tech_Specs!$C21,Bass_Curve,IF(LEFT($B129,3)="LED",3,2)),IF(User_Inputs!$D$4="Frozen Efficiency",$G129,VLOOKUP(G$3-Tech_Specs!$C21,Bass_Curve,IF(LEFT($B129,3)="LED",3,2)))),)</f>
        <v>0.99999458754894088</v>
      </c>
      <c r="H129" s="201">
        <f>IF(H$3&gt;=Tech_Specs!$C21,IF(H$3=2010,VLOOKUP(H$3-Tech_Specs!$C21,Bass_Curve,IF(LEFT($B129,3)="LED",3,2)),IF(User_Inputs!$D$4="Frozen Efficiency",$G129,VLOOKUP(H$3-Tech_Specs!$C21,Bass_Curve,IF(LEFT($B129,3)="LED",3,2)))),)</f>
        <v>0.99999611405218891</v>
      </c>
      <c r="I129" s="201">
        <f>IF(I$3&gt;=Tech_Specs!$C21,IF(I$3=2010,VLOOKUP(I$3-Tech_Specs!$C21,Bass_Curve,IF(LEFT($B129,3)="LED",3,2)),IF(User_Inputs!$D$4="Frozen Efficiency",$G129,VLOOKUP(I$3-Tech_Specs!$C21,Bass_Curve,IF(LEFT($B129,3)="LED",3,2)))),)</f>
        <v>0.99999720984345863</v>
      </c>
      <c r="J129" s="201">
        <f>IF(J$3&gt;=Tech_Specs!$C21,IF(J$3=2010,VLOOKUP(J$3-Tech_Specs!$C21,Bass_Curve,IF(LEFT($B129,3)="LED",3,2)),IF(User_Inputs!$D$4="Frozen Efficiency",$G129,VLOOKUP(J$3-Tech_Specs!$C21,Bass_Curve,IF(LEFT($B129,3)="LED",3,2)))),)</f>
        <v>0.99999799650912424</v>
      </c>
      <c r="K129" s="201">
        <f>IF(K$3&gt;=Tech_Specs!$C21,IF(K$3=2010,VLOOKUP(K$3-Tech_Specs!$C21,Bass_Curve,IF(LEFT($B129,3)="LED",3,2)),IF(User_Inputs!$D$4="Frozen Efficiency",$G129,VLOOKUP(K$3-Tech_Specs!$C21,Bass_Curve,IF(LEFT($B129,3)="LED",3,2)))),)</f>
        <v>0.99999856129425391</v>
      </c>
      <c r="L129" s="201">
        <f>IF(L$3&gt;=Tech_Specs!$C21,IF(L$3=2010,VLOOKUP(L$3-Tech_Specs!$C21,Bass_Curve,IF(LEFT($B129,3)="LED",3,2)),IF(User_Inputs!$D$4="Frozen Efficiency",$G129,VLOOKUP(L$3-Tech_Specs!$C21,Bass_Curve,IF(LEFT($B129,3)="LED",3,2)))),)</f>
        <v>0.99999896680791711</v>
      </c>
      <c r="M129" s="201">
        <f>IF(M$3&gt;=Tech_Specs!$C21,IF(M$3=2010,VLOOKUP(M$3-Tech_Specs!$C21,Bass_Curve,IF(LEFT($B129,3)="LED",3,2)),IF(User_Inputs!$D$4="Frozen Efficiency",$G129,VLOOKUP(M$3-Tech_Specs!$C21,Bass_Curve,IF(LEFT($B129,3)="LED",3,2)))),)</f>
        <v>0.99999925798382638</v>
      </c>
      <c r="N129" s="201">
        <f>IF(N$3&gt;=Tech_Specs!$C21,IF(N$3=2010,VLOOKUP(N$3-Tech_Specs!$C21,Bass_Curve,IF(LEFT($B129,3)="LED",3,2)),IF(User_Inputs!$D$4="Frozen Efficiency",$G129,VLOOKUP(N$3-Tech_Specs!$C21,Bass_Curve,IF(LEFT($B129,3)="LED",3,2)))),)</f>
        <v>0.99999946707306653</v>
      </c>
      <c r="O129" s="201">
        <f>IF(O$3&gt;=Tech_Specs!$C21,IF(O$3=2010,VLOOKUP(O$3-Tech_Specs!$C21,Bass_Curve,IF(LEFT($B129,3)="LED",3,2)),IF(User_Inputs!$D$4="Frozen Efficiency",$G129,VLOOKUP(O$3-Tech_Specs!$C21,Bass_Curve,IF(LEFT($B129,3)="LED",3,2)))),)</f>
        <v>0.99999961722567021</v>
      </c>
      <c r="P129" s="201">
        <f>IF(P$3&gt;=Tech_Specs!$C21,IF(P$3=2010,VLOOKUP(P$3-Tech_Specs!$C21,Bass_Curve,IF(LEFT($B129,3)="LED",3,2)),IF(User_Inputs!$D$4="Frozen Efficiency",$G129,VLOOKUP(P$3-Tech_Specs!$C21,Bass_Curve,IF(LEFT($B129,3)="LED",3,2)))),)</f>
        <v>0.99999972506016011</v>
      </c>
      <c r="Q129" s="201">
        <f>IF(Q$3&gt;=Tech_Specs!$C21,IF(Q$3=2010,VLOOKUP(Q$3-Tech_Specs!$C21,Bass_Curve,IF(LEFT($B129,3)="LED",3,2)),IF(User_Inputs!$D$4="Frozen Efficiency",$G129,VLOOKUP(Q$3-Tech_Specs!$C21,Bass_Curve,IF(LEFT($B129,3)="LED",3,2)))),)</f>
        <v>0.99999980250721576</v>
      </c>
      <c r="R129" s="201">
        <f>IF(R$3&gt;=Tech_Specs!$C21,IF(R$3=2010,VLOOKUP(R$3-Tech_Specs!$C21,Bass_Curve,IF(LEFT($B129,3)="LED",3,2)),IF(User_Inputs!$D$4="Frozen Efficiency",$G129,VLOOKUP(R$3-Tech_Specs!$C21,Bass_Curve,IF(LEFT($B129,3)="LED",3,2)))),)</f>
        <v>0.99999985813264225</v>
      </c>
      <c r="S129" s="201">
        <f>IF(S$3&gt;=Tech_Specs!$C21,IF(S$3=2010,VLOOKUP(S$3-Tech_Specs!$C21,Bass_Curve,IF(LEFT($B129,3)="LED",3,2)),IF(User_Inputs!$D$4="Frozen Efficiency",$G129,VLOOKUP(S$3-Tech_Specs!$C21,Bass_Curve,IF(LEFT($B129,3)="LED",3,2)))),)</f>
        <v>0.99999989808679191</v>
      </c>
      <c r="T129" s="201">
        <f>IF(T$3&gt;=Tech_Specs!$C21,IF(T$3=2010,VLOOKUP(T$3-Tech_Specs!$C21,Bass_Curve,IF(LEFT($B129,3)="LED",3,2)),IF(User_Inputs!$D$4="Frozen Efficiency",$G129,VLOOKUP(T$3-Tech_Specs!$C21,Bass_Curve,IF(LEFT($B129,3)="LED",3,2)))),)</f>
        <v>0.99999992678597005</v>
      </c>
      <c r="U129" s="201">
        <f>IF(U$3&gt;=Tech_Specs!$C21,IF(U$3=2010,VLOOKUP(U$3-Tech_Specs!$C21,Bass_Curve,IF(LEFT($B129,3)="LED",3,2)),IF(User_Inputs!$D$4="Frozen Efficiency",$G129,VLOOKUP(U$3-Tech_Specs!$C21,Bass_Curve,IF(LEFT($B129,3)="LED",3,2)))),)</f>
        <v>0.99999994740152531</v>
      </c>
      <c r="V129" s="201">
        <f>IF(V$3&gt;=Tech_Specs!$C21,IF(V$3=2010,VLOOKUP(V$3-Tech_Specs!$C21,Bass_Curve,IF(LEFT($B129,3)="LED",3,2)),IF(User_Inputs!$D$4="Frozen Efficiency",$G129,VLOOKUP(V$3-Tech_Specs!$C21,Bass_Curve,IF(LEFT($B129,3)="LED",3,2)))),)</f>
        <v>0.99999996221093224</v>
      </c>
      <c r="W129" s="201">
        <f>IF(W$3&gt;=Tech_Specs!$C21,IF(W$3=2010,VLOOKUP(W$3-Tech_Specs!$C21,Bass_Curve,IF(LEFT($B129,3)="LED",3,2)),IF(User_Inputs!$D$4="Frozen Efficiency",$G129,VLOOKUP(W$3-Tech_Specs!$C21,Bass_Curve,IF(LEFT($B129,3)="LED",3,2)))),)</f>
        <v>0.99999997284982522</v>
      </c>
      <c r="X129" s="201">
        <f>IF(X$3&gt;=Tech_Specs!$C21,IF(X$3=2010,VLOOKUP(X$3-Tech_Specs!$C21,Bass_Curve,IF(LEFT($B129,3)="LED",3,2)),IF(User_Inputs!$D$4="Frozen Efficiency",$G129,VLOOKUP(X$3-Tech_Specs!$C21,Bass_Curve,IF(LEFT($B129,3)="LED",3,2)))),)</f>
        <v>0.99999998049294159</v>
      </c>
      <c r="Y129" s="201">
        <f>IF(Y$3&gt;=Tech_Specs!$C21,IF(Y$3=2010,VLOOKUP(Y$3-Tech_Specs!$C21,Bass_Curve,IF(LEFT($B129,3)="LED",3,2)),IF(User_Inputs!$D$4="Frozen Efficiency",$G129,VLOOKUP(Y$3-Tech_Specs!$C21,Bass_Curve,IF(LEFT($B129,3)="LED",3,2)))),)</f>
        <v>0.99999998049294159</v>
      </c>
      <c r="Z129" s="201">
        <f>IF(Z$3&gt;=Tech_Specs!$C21,IF(Z$3=2010,VLOOKUP(Z$3-Tech_Specs!$C21,Bass_Curve,IF(LEFT($B129,3)="LED",3,2)),IF(User_Inputs!$D$4="Frozen Efficiency",$G129,VLOOKUP(Z$3-Tech_Specs!$C21,Bass_Curve,IF(LEFT($B129,3)="LED",3,2)))),)</f>
        <v>0.99999998049294159</v>
      </c>
      <c r="AA129" s="201">
        <f>IF(AA$3&gt;=Tech_Specs!$C21,IF(AA$3=2010,VLOOKUP(AA$3-Tech_Specs!$C21,Bass_Curve,IF(LEFT($B129,3)="LED",3,2)),IF(User_Inputs!$D$4="Frozen Efficiency",$G129,VLOOKUP(AA$3-Tech_Specs!$C21,Bass_Curve,IF(LEFT($B129,3)="LED",3,2)))),)</f>
        <v>0.99999998049294159</v>
      </c>
      <c r="AB129" s="201">
        <f>IF(AB$3&gt;=Tech_Specs!$C21,IF(AB$3=2010,VLOOKUP(AB$3-Tech_Specs!$C21,Bass_Curve,IF(LEFT($B129,3)="LED",3,2)),IF(User_Inputs!$D$4="Frozen Efficiency",$G129,VLOOKUP(AB$3-Tech_Specs!$C21,Bass_Curve,IF(LEFT($B129,3)="LED",3,2)))),)</f>
        <v>0.99999998049294159</v>
      </c>
      <c r="AC129" s="201">
        <f>IF(AC$3&gt;=Tech_Specs!$C21,IF(AC$3=2010,VLOOKUP(AC$3-Tech_Specs!$C21,Bass_Curve,IF(LEFT($B129,3)="LED",3,2)),IF(User_Inputs!$D$4="Frozen Efficiency",$G129,VLOOKUP(AC$3-Tech_Specs!$C21,Bass_Curve,IF(LEFT($B129,3)="LED",3,2)))),)</f>
        <v>0.99999998049294159</v>
      </c>
      <c r="AD129" s="201">
        <f>IF(AD$3&gt;=Tech_Specs!$C21,IF(AD$3=2010,VLOOKUP(AD$3-Tech_Specs!$C21,Bass_Curve,IF(LEFT($B129,3)="LED",3,2)),IF(User_Inputs!$D$4="Frozen Efficiency",$G129,VLOOKUP(AD$3-Tech_Specs!$C21,Bass_Curve,IF(LEFT($B129,3)="LED",3,2)))),)</f>
        <v>0.99999998049294159</v>
      </c>
      <c r="AE129" s="201">
        <f>IF(AE$3&gt;=Tech_Specs!$C21,IF(AE$3=2010,VLOOKUP(AE$3-Tech_Specs!$C21,Bass_Curve,IF(LEFT($B129,3)="LED",3,2)),IF(User_Inputs!$D$4="Frozen Efficiency",$G129,VLOOKUP(AE$3-Tech_Specs!$C21,Bass_Curve,IF(LEFT($B129,3)="LED",3,2)))),)</f>
        <v>0.99999998049294159</v>
      </c>
      <c r="AF129" s="201">
        <f>IF(AF$3&gt;=Tech_Specs!$C21,IF(AF$3=2010,VLOOKUP(AF$3-Tech_Specs!$C21,Bass_Curve,IF(LEFT($B129,3)="LED",3,2)),IF(User_Inputs!$D$4="Frozen Efficiency",$G129,VLOOKUP(AF$3-Tech_Specs!$C21,Bass_Curve,IF(LEFT($B129,3)="LED",3,2)))),)</f>
        <v>0.99999998049294159</v>
      </c>
    </row>
    <row r="130" spans="1:32" s="221" customFormat="1" x14ac:dyDescent="0.25">
      <c r="A130" s="376"/>
      <c r="B130" s="376" t="s">
        <v>39</v>
      </c>
      <c r="C130"/>
      <c r="D130"/>
      <c r="E130"/>
      <c r="F130" s="1031"/>
      <c r="G130" s="201">
        <f>IF(G$3&gt;=Tech_Specs!$C22,IF(G$3=2010,VLOOKUP(G$3-Tech_Specs!$C22,Bass_Curve,IF(LEFT($B130,3)="LED",3,2)),IF(User_Inputs!$D$4="Frozen Efficiency",$G130,VLOOKUP(G$3-Tech_Specs!$C22,Bass_Curve,IF(LEFT($B130,3)="LED",3,2)))),)</f>
        <v>0.99585484432697347</v>
      </c>
      <c r="H130" s="201">
        <f>IF(H$3&gt;=Tech_Specs!$C22,IF(H$3=2010,VLOOKUP(H$3-Tech_Specs!$C22,Bass_Curve,IF(LEFT($B130,3)="LED",3,2)),IF(User_Inputs!$D$4="Frozen Efficiency",$G130,VLOOKUP(H$3-Tech_Specs!$C22,Bass_Curve,IF(LEFT($B130,3)="LED",3,2)))),)</f>
        <v>0.99702522404198501</v>
      </c>
      <c r="I130" s="201">
        <f>IF(I$3&gt;=Tech_Specs!$C22,IF(I$3=2010,VLOOKUP(I$3-Tech_Specs!$C22,Bass_Curve,IF(LEFT($B130,3)="LED",3,2)),IF(User_Inputs!$D$4="Frozen Efficiency",$G130,VLOOKUP(I$3-Tech_Specs!$C22,Bass_Curve,IF(LEFT($B130,3)="LED",3,2)))),)</f>
        <v>0.99786592697261467</v>
      </c>
      <c r="J130" s="201">
        <f>IF(J$3&gt;=Tech_Specs!$C22,IF(J$3=2010,VLOOKUP(J$3-Tech_Specs!$C22,Bass_Curve,IF(LEFT($B130,3)="LED",3,2)),IF(User_Inputs!$D$4="Frozen Efficiency",$G130,VLOOKUP(J$3-Tech_Specs!$C22,Bass_Curve,IF(LEFT($B130,3)="LED",3,2)))),)</f>
        <v>0.9984693766950139</v>
      </c>
      <c r="K130" s="201">
        <f>IF(K$3&gt;=Tech_Specs!$C22,IF(K$3=2010,VLOOKUP(K$3-Tech_Specs!$C22,Bass_Curve,IF(LEFT($B130,3)="LED",3,2)),IF(User_Inputs!$D$4="Frozen Efficiency",$G130,VLOOKUP(K$3-Tech_Specs!$C22,Bass_Curve,IF(LEFT($B130,3)="LED",3,2)))),)</f>
        <v>0.99890231984592681</v>
      </c>
      <c r="L130" s="201">
        <f>IF(L$3&gt;=Tech_Specs!$C22,IF(L$3=2010,VLOOKUP(L$3-Tech_Specs!$C22,Bass_Curve,IF(LEFT($B130,3)="LED",3,2)),IF(User_Inputs!$D$4="Frozen Efficiency",$G130,VLOOKUP(L$3-Tech_Specs!$C22,Bass_Curve,IF(LEFT($B130,3)="LED",3,2)))),)</f>
        <v>0.99921283993037913</v>
      </c>
      <c r="M130" s="201">
        <f>IF(M$3&gt;=Tech_Specs!$C22,IF(M$3=2010,VLOOKUP(M$3-Tech_Specs!$C22,Bass_Curve,IF(LEFT($B130,3)="LED",3,2)),IF(User_Inputs!$D$4="Frozen Efficiency",$G130,VLOOKUP(M$3-Tech_Specs!$C22,Bass_Curve,IF(LEFT($B130,3)="LED",3,2)))),)</f>
        <v>0.99943551570827049</v>
      </c>
      <c r="N130" s="201">
        <f>IF(N$3&gt;=Tech_Specs!$C22,IF(N$3=2010,VLOOKUP(N$3-Tech_Specs!$C22,Bass_Curve,IF(LEFT($B130,3)="LED",3,2)),IF(User_Inputs!$D$4="Frozen Efficiency",$G130,VLOOKUP(N$3-Tech_Specs!$C22,Bass_Curve,IF(LEFT($B130,3)="LED",3,2)))),)</f>
        <v>0.99959518445151951</v>
      </c>
      <c r="O130" s="201">
        <f>IF(O$3&gt;=Tech_Specs!$C22,IF(O$3=2010,VLOOKUP(O$3-Tech_Specs!$C22,Bass_Curve,IF(LEFT($B130,3)="LED",3,2)),IF(User_Inputs!$D$4="Frozen Efficiency",$G130,VLOOKUP(O$3-Tech_Specs!$C22,Bass_Curve,IF(LEFT($B130,3)="LED",3,2)))),)</f>
        <v>0.99970967191209748</v>
      </c>
      <c r="P130" s="201">
        <f>IF(P$3&gt;=Tech_Specs!$C22,IF(P$3=2010,VLOOKUP(P$3-Tech_Specs!$C22,Bass_Curve,IF(LEFT($B130,3)="LED",3,2)),IF(User_Inputs!$D$4="Frozen Efficiency",$G130,VLOOKUP(P$3-Tech_Specs!$C22,Bass_Curve,IF(LEFT($B130,3)="LED",3,2)))),)</f>
        <v>0.99979176488656052</v>
      </c>
      <c r="Q130" s="201">
        <f>IF(Q$3&gt;=Tech_Specs!$C22,IF(Q$3=2010,VLOOKUP(Q$3-Tech_Specs!$C22,Bass_Curve,IF(LEFT($B130,3)="LED",3,2)),IF(User_Inputs!$D$4="Frozen Efficiency",$G130,VLOOKUP(Q$3-Tech_Specs!$C22,Bass_Curve,IF(LEFT($B130,3)="LED",3,2)))),)</f>
        <v>0.99985063257548779</v>
      </c>
      <c r="R130" s="201">
        <f>IF(R$3&gt;=Tech_Specs!$C22,IF(R$3=2010,VLOOKUP(R$3-Tech_Specs!$C22,Bass_Curve,IF(LEFT($B130,3)="LED",3,2)),IF(User_Inputs!$D$4="Frozen Efficiency",$G130,VLOOKUP(R$3-Tech_Specs!$C22,Bass_Curve,IF(LEFT($B130,3)="LED",3,2)))),)</f>
        <v>0.99989284880158935</v>
      </c>
      <c r="S130" s="201">
        <f>IF(S$3&gt;=Tech_Specs!$C22,IF(S$3=2010,VLOOKUP(S$3-Tech_Specs!$C22,Bass_Curve,IF(LEFT($B130,3)="LED",3,2)),IF(User_Inputs!$D$4="Frozen Efficiency",$G130,VLOOKUP(S$3-Tech_Specs!$C22,Bass_Curve,IF(LEFT($B130,3)="LED",3,2)))),)</f>
        <v>0.99992312620537604</v>
      </c>
      <c r="T130" s="201">
        <f>IF(T$3&gt;=Tech_Specs!$C22,IF(T$3=2010,VLOOKUP(T$3-Tech_Specs!$C22,Bass_Curve,IF(LEFT($B130,3)="LED",3,2)),IF(User_Inputs!$D$4="Frozen Efficiency",$G130,VLOOKUP(T$3-Tech_Specs!$C22,Bass_Curve,IF(LEFT($B130,3)="LED",3,2)))),)</f>
        <v>0.9999448431048531</v>
      </c>
      <c r="U130" s="201">
        <f>IF(U$3&gt;=Tech_Specs!$C22,IF(U$3=2010,VLOOKUP(U$3-Tech_Specs!$C22,Bass_Curve,IF(LEFT($B130,3)="LED",3,2)),IF(User_Inputs!$D$4="Frozen Efficiency",$G130,VLOOKUP(U$3-Tech_Specs!$C22,Bass_Curve,IF(LEFT($B130,3)="LED",3,2)))),)</f>
        <v>0.99996042135098673</v>
      </c>
      <c r="V130" s="201">
        <f>IF(V$3&gt;=Tech_Specs!$C22,IF(V$3=2010,VLOOKUP(V$3-Tech_Specs!$C22,Bass_Curve,IF(LEFT($B130,3)="LED",3,2)),IF(User_Inputs!$D$4="Frozen Efficiency",$G130,VLOOKUP(V$3-Tech_Specs!$C22,Bass_Curve,IF(LEFT($B130,3)="LED",3,2)))),)</f>
        <v>0.99997159722102513</v>
      </c>
      <c r="W130" s="201">
        <f>IF(W$3&gt;=Tech_Specs!$C22,IF(W$3=2010,VLOOKUP(W$3-Tech_Specs!$C22,Bass_Curve,IF(LEFT($B130,3)="LED",3,2)),IF(User_Inputs!$D$4="Frozen Efficiency",$G130,VLOOKUP(W$3-Tech_Specs!$C22,Bass_Curve,IF(LEFT($B130,3)="LED",3,2)))),)</f>
        <v>0.9999796155873415</v>
      </c>
      <c r="X130" s="201">
        <f>IF(X$3&gt;=Tech_Specs!$C22,IF(X$3=2010,VLOOKUP(X$3-Tech_Specs!$C22,Bass_Curve,IF(LEFT($B130,3)="LED",3,2)),IF(User_Inputs!$D$4="Frozen Efficiency",$G130,VLOOKUP(X$3-Tech_Specs!$C22,Bass_Curve,IF(LEFT($B130,3)="LED",3,2)))),)</f>
        <v>0.99998536907810021</v>
      </c>
      <c r="Y130" s="201">
        <f>IF(Y$3&gt;=Tech_Specs!$C22,IF(Y$3=2010,VLOOKUP(Y$3-Tech_Specs!$C22,Bass_Curve,IF(LEFT($B130,3)="LED",3,2)),IF(User_Inputs!$D$4="Frozen Efficiency",$G130,VLOOKUP(Y$3-Tech_Specs!$C22,Bass_Curve,IF(LEFT($B130,3)="LED",3,2)))),)</f>
        <v>0.99998949781098223</v>
      </c>
      <c r="Z130" s="201">
        <f>IF(Z$3&gt;=Tech_Specs!$C22,IF(Z$3=2010,VLOOKUP(Z$3-Tech_Specs!$C22,Bass_Curve,IF(LEFT($B130,3)="LED",3,2)),IF(User_Inputs!$D$4="Frozen Efficiency",$G130,VLOOKUP(Z$3-Tech_Specs!$C22,Bass_Curve,IF(LEFT($B130,3)="LED",3,2)))),)</f>
        <v>0.99999246087225968</v>
      </c>
      <c r="AA130" s="201">
        <f>IF(AA$3&gt;=Tech_Specs!$C22,IF(AA$3=2010,VLOOKUP(AA$3-Tech_Specs!$C22,Bass_Curve,IF(LEFT($B130,3)="LED",3,2)),IF(User_Inputs!$D$4="Frozen Efficiency",$G130,VLOOKUP(AA$3-Tech_Specs!$C22,Bass_Curve,IF(LEFT($B130,3)="LED",3,2)))),)</f>
        <v>0.99999458754894088</v>
      </c>
      <c r="AB130" s="201">
        <f>IF(AB$3&gt;=Tech_Specs!$C22,IF(AB$3=2010,VLOOKUP(AB$3-Tech_Specs!$C22,Bass_Curve,IF(LEFT($B130,3)="LED",3,2)),IF(User_Inputs!$D$4="Frozen Efficiency",$G130,VLOOKUP(AB$3-Tech_Specs!$C22,Bass_Curve,IF(LEFT($B130,3)="LED",3,2)))),)</f>
        <v>0.99999611405218891</v>
      </c>
      <c r="AC130" s="201">
        <f>IF(AC$3&gt;=Tech_Specs!$C22,IF(AC$3=2010,VLOOKUP(AC$3-Tech_Specs!$C22,Bass_Curve,IF(LEFT($B130,3)="LED",3,2)),IF(User_Inputs!$D$4="Frozen Efficiency",$G130,VLOOKUP(AC$3-Tech_Specs!$C22,Bass_Curve,IF(LEFT($B130,3)="LED",3,2)))),)</f>
        <v>0.99999720984345863</v>
      </c>
      <c r="AD130" s="201">
        <f>IF(AD$3&gt;=Tech_Specs!$C22,IF(AD$3=2010,VLOOKUP(AD$3-Tech_Specs!$C22,Bass_Curve,IF(LEFT($B130,3)="LED",3,2)),IF(User_Inputs!$D$4="Frozen Efficiency",$G130,VLOOKUP(AD$3-Tech_Specs!$C22,Bass_Curve,IF(LEFT($B130,3)="LED",3,2)))),)</f>
        <v>0.99999799650912424</v>
      </c>
      <c r="AE130" s="201">
        <f>IF(AE$3&gt;=Tech_Specs!$C22,IF(AE$3=2010,VLOOKUP(AE$3-Tech_Specs!$C22,Bass_Curve,IF(LEFT($B130,3)="LED",3,2)),IF(User_Inputs!$D$4="Frozen Efficiency",$G130,VLOOKUP(AE$3-Tech_Specs!$C22,Bass_Curve,IF(LEFT($B130,3)="LED",3,2)))),)</f>
        <v>0.99999856129425391</v>
      </c>
      <c r="AF130" s="201">
        <f>IF(AF$3&gt;=Tech_Specs!$C22,IF(AF$3=2010,VLOOKUP(AF$3-Tech_Specs!$C22,Bass_Curve,IF(LEFT($B130,3)="LED",3,2)),IF(User_Inputs!$D$4="Frozen Efficiency",$G130,VLOOKUP(AF$3-Tech_Specs!$C22,Bass_Curve,IF(LEFT($B130,3)="LED",3,2)))),)</f>
        <v>0.99999896680791711</v>
      </c>
    </row>
    <row r="131" spans="1:32" s="221" customFormat="1" x14ac:dyDescent="0.25">
      <c r="A131" s="376"/>
      <c r="B131" s="376" t="s">
        <v>40</v>
      </c>
      <c r="C131"/>
      <c r="D131"/>
      <c r="E131"/>
      <c r="F131" s="1031"/>
      <c r="G131" s="201">
        <f>IF(G$3&gt;=Tech_Specs!$C23,IF(G$3=2010,VLOOKUP(G$3-Tech_Specs!$C23,Bass_Curve,IF(LEFT($B131,3)="LED",3,2)),IF(User_Inputs!$D$4="Frozen Efficiency",$G131,VLOOKUP(G$3-Tech_Specs!$C23,Bass_Curve,IF(LEFT($B131,3)="LED",3,2)))),)</f>
        <v>0.28414080977412093</v>
      </c>
      <c r="H131" s="201">
        <f>IF(H$3&gt;=Tech_Specs!$C23,IF(H$3=2010,VLOOKUP(H$3-Tech_Specs!$C23,Bass_Curve,IF(LEFT($B131,3)="LED",3,2)),IF(User_Inputs!$D$4="Frozen Efficiency",$G131,VLOOKUP(H$3-Tech_Specs!$C23,Bass_Curve,IF(LEFT($B131,3)="LED",3,2)))),)</f>
        <v>0.35795009041805559</v>
      </c>
      <c r="I131" s="201">
        <f>IF(I$3&gt;=Tech_Specs!$C23,IF(I$3=2010,VLOOKUP(I$3-Tech_Specs!$C23,Bass_Curve,IF(LEFT($B131,3)="LED",3,2)),IF(User_Inputs!$D$4="Frozen Efficiency",$G131,VLOOKUP(I$3-Tech_Specs!$C23,Bass_Curve,IF(LEFT($B131,3)="LED",3,2)))),)</f>
        <v>0.43528730962994305</v>
      </c>
      <c r="J131" s="201">
        <f>IF(J$3&gt;=Tech_Specs!$C23,IF(J$3=2010,VLOOKUP(J$3-Tech_Specs!$C23,Bass_Curve,IF(LEFT($B131,3)="LED",3,2)),IF(User_Inputs!$D$4="Frozen Efficiency",$G131,VLOOKUP(J$3-Tech_Specs!$C23,Bass_Curve,IF(LEFT($B131,3)="LED",3,2)))),)</f>
        <v>0.51284484369923866</v>
      </c>
      <c r="K131" s="201">
        <f>IF(K$3&gt;=Tech_Specs!$C23,IF(K$3=2010,VLOOKUP(K$3-Tech_Specs!$C23,Bass_Curve,IF(LEFT($B131,3)="LED",3,2)),IF(User_Inputs!$D$4="Frozen Efficiency",$G131,VLOOKUP(K$3-Tech_Specs!$C23,Bass_Curve,IF(LEFT($B131,3)="LED",3,2)))),)</f>
        <v>0.58783004379238735</v>
      </c>
      <c r="L131" s="201">
        <f>IF(L$3&gt;=Tech_Specs!$C23,IF(L$3=2010,VLOOKUP(L$3-Tech_Specs!$C23,Bass_Curve,IF(LEFT($B131,3)="LED",3,2)),IF(User_Inputs!$D$4="Frozen Efficiency",$G131,VLOOKUP(L$3-Tech_Specs!$C23,Bass_Curve,IF(LEFT($B131,3)="LED",3,2)))),)</f>
        <v>0.65810308249900329</v>
      </c>
      <c r="M131" s="201">
        <f>IF(M$3&gt;=Tech_Specs!$C23,IF(M$3=2010,VLOOKUP(M$3-Tech_Specs!$C23,Bass_Curve,IF(LEFT($B131,3)="LED",3,2)),IF(User_Inputs!$D$4="Frozen Efficiency",$G131,VLOOKUP(M$3-Tech_Specs!$C23,Bass_Curve,IF(LEFT($B131,3)="LED",3,2)))),)</f>
        <v>0.72206467330281499</v>
      </c>
      <c r="N131" s="201">
        <f>IF(N$3&gt;=Tech_Specs!$C23,IF(N$3=2010,VLOOKUP(N$3-Tech_Specs!$C23,Bass_Curve,IF(LEFT($B131,3)="LED",3,2)),IF(User_Inputs!$D$4="Frozen Efficiency",$G131,VLOOKUP(N$3-Tech_Specs!$C23,Bass_Curve,IF(LEFT($B131,3)="LED",3,2)))),)</f>
        <v>0.77856976904215913</v>
      </c>
      <c r="O131" s="201">
        <f>IF(O$3&gt;=Tech_Specs!$C23,IF(O$3=2010,VLOOKUP(O$3-Tech_Specs!$C23,Bass_Curve,IF(LEFT($B131,3)="LED",3,2)),IF(User_Inputs!$D$4="Frozen Efficiency",$G131,VLOOKUP(O$3-Tech_Specs!$C23,Bass_Curve,IF(LEFT($B131,3)="LED",3,2)))),)</f>
        <v>0.82696350840215249</v>
      </c>
      <c r="P131" s="201">
        <f>IF(P$3&gt;=Tech_Specs!$C23,IF(P$3=2010,VLOOKUP(P$3-Tech_Specs!$C23,Bass_Curve,IF(LEFT($B131,3)="LED",3,2)),IF(User_Inputs!$D$4="Frozen Efficiency",$G131,VLOOKUP(P$3-Tech_Specs!$C23,Bass_Curve,IF(LEFT($B131,3)="LED",3,2)))),)</f>
        <v>0.86714658256559263</v>
      </c>
      <c r="Q131" s="201">
        <f>IF(Q$3&gt;=Tech_Specs!$C23,IF(Q$3=2010,VLOOKUP(Q$3-Tech_Specs!$C23,Bass_Curve,IF(LEFT($B131,3)="LED",3,2)),IF(User_Inputs!$D$4="Frozen Efficiency",$G131,VLOOKUP(Q$3-Tech_Specs!$C23,Bass_Curve,IF(LEFT($B131,3)="LED",3,2)))),)</f>
        <v>0.89955419985356344</v>
      </c>
      <c r="R131" s="201">
        <f>IF(R$3&gt;=Tech_Specs!$C23,IF(R$3=2010,VLOOKUP(R$3-Tech_Specs!$C23,Bass_Curve,IF(LEFT($B131,3)="LED",3,2)),IF(User_Inputs!$D$4="Frozen Efficiency",$G131,VLOOKUP(R$3-Tech_Specs!$C23,Bass_Curve,IF(LEFT($B131,3)="LED",3,2)))),)</f>
        <v>0.92502432100062038</v>
      </c>
      <c r="S131" s="201">
        <f>IF(S$3&gt;=Tech_Specs!$C23,IF(S$3=2010,VLOOKUP(S$3-Tech_Specs!$C23,Bass_Curve,IF(LEFT($B131,3)="LED",3,2)),IF(User_Inputs!$D$4="Frozen Efficiency",$G131,VLOOKUP(S$3-Tech_Specs!$C23,Bass_Curve,IF(LEFT($B131,3)="LED",3,2)))),)</f>
        <v>0.94461059131409331</v>
      </c>
      <c r="T131" s="201">
        <f>IF(T$3&gt;=Tech_Specs!$C23,IF(T$3=2010,VLOOKUP(T$3-Tech_Specs!$C23,Bass_Curve,IF(LEFT($B131,3)="LED",3,2)),IF(User_Inputs!$D$4="Frozen Efficiency",$G131,VLOOKUP(T$3-Tech_Specs!$C23,Bass_Curve,IF(LEFT($B131,3)="LED",3,2)))),)</f>
        <v>0.95940876722590474</v>
      </c>
      <c r="U131" s="201">
        <f>IF(U$3&gt;=Tech_Specs!$C23,IF(U$3=2010,VLOOKUP(U$3-Tech_Specs!$C23,Bass_Curve,IF(LEFT($B131,3)="LED",3,2)),IF(User_Inputs!$D$4="Frozen Efficiency",$G131,VLOOKUP(U$3-Tech_Specs!$C23,Bass_Curve,IF(LEFT($B131,3)="LED",3,2)))),)</f>
        <v>0.97043561397505118</v>
      </c>
      <c r="V131" s="201">
        <f>IF(V$3&gt;=Tech_Specs!$C23,IF(V$3=2010,VLOOKUP(V$3-Tech_Specs!$C23,Bass_Curve,IF(LEFT($B131,3)="LED",3,2)),IF(User_Inputs!$D$4="Frozen Efficiency",$G131,VLOOKUP(V$3-Tech_Specs!$C23,Bass_Curve,IF(LEFT($B131,3)="LED",3,2)))),)</f>
        <v>0.97856563119743434</v>
      </c>
      <c r="W131" s="201">
        <f>IF(W$3&gt;=Tech_Specs!$C23,IF(W$3=2010,VLOOKUP(W$3-Tech_Specs!$C23,Bass_Curve,IF(LEFT($B131,3)="LED",3,2)),IF(User_Inputs!$D$4="Frozen Efficiency",$G131,VLOOKUP(W$3-Tech_Specs!$C23,Bass_Curve,IF(LEFT($B131,3)="LED",3,2)))),)</f>
        <v>0.98451232141945333</v>
      </c>
      <c r="X131" s="201">
        <f>IF(X$3&gt;=Tech_Specs!$C23,IF(X$3=2010,VLOOKUP(X$3-Tech_Specs!$C23,Bass_Curve,IF(LEFT($B131,3)="LED",3,2)),IF(User_Inputs!$D$4="Frozen Efficiency",$G131,VLOOKUP(X$3-Tech_Specs!$C23,Bass_Curve,IF(LEFT($B131,3)="LED",3,2)))),)</f>
        <v>0.98883650057565198</v>
      </c>
      <c r="Y131" s="201">
        <f>IF(Y$3&gt;=Tech_Specs!$C23,IF(Y$3=2010,VLOOKUP(Y$3-Tech_Specs!$C23,Bass_Curve,IF(LEFT($B131,3)="LED",3,2)),IF(User_Inputs!$D$4="Frozen Efficiency",$G131,VLOOKUP(Y$3-Tech_Specs!$C23,Bass_Curve,IF(LEFT($B131,3)="LED",3,2)))),)</f>
        <v>0.99196738407609564</v>
      </c>
      <c r="Z131" s="201">
        <f>IF(Z$3&gt;=Tech_Specs!$C23,IF(Z$3=2010,VLOOKUP(Z$3-Tech_Specs!$C23,Bass_Curve,IF(LEFT($B131,3)="LED",3,2)),IF(User_Inputs!$D$4="Frozen Efficiency",$G131,VLOOKUP(Z$3-Tech_Specs!$C23,Bass_Curve,IF(LEFT($B131,3)="LED",3,2)))),)</f>
        <v>0.99422726069133227</v>
      </c>
      <c r="AA131" s="201">
        <f>IF(AA$3&gt;=Tech_Specs!$C23,IF(AA$3=2010,VLOOKUP(AA$3-Tech_Specs!$C23,Bass_Curve,IF(LEFT($B131,3)="LED",3,2)),IF(User_Inputs!$D$4="Frozen Efficiency",$G131,VLOOKUP(AA$3-Tech_Specs!$C23,Bass_Curve,IF(LEFT($B131,3)="LED",3,2)))),)</f>
        <v>0.99585484432697347</v>
      </c>
      <c r="AB131" s="201">
        <f>IF(AB$3&gt;=Tech_Specs!$C23,IF(AB$3=2010,VLOOKUP(AB$3-Tech_Specs!$C23,Bass_Curve,IF(LEFT($B131,3)="LED",3,2)),IF(User_Inputs!$D$4="Frozen Efficiency",$G131,VLOOKUP(AB$3-Tech_Specs!$C23,Bass_Curve,IF(LEFT($B131,3)="LED",3,2)))),)</f>
        <v>0.99702522404198501</v>
      </c>
      <c r="AC131" s="201">
        <f>IF(AC$3&gt;=Tech_Specs!$C23,IF(AC$3=2010,VLOOKUP(AC$3-Tech_Specs!$C23,Bass_Curve,IF(LEFT($B131,3)="LED",3,2)),IF(User_Inputs!$D$4="Frozen Efficiency",$G131,VLOOKUP(AC$3-Tech_Specs!$C23,Bass_Curve,IF(LEFT($B131,3)="LED",3,2)))),)</f>
        <v>0.99786592697261467</v>
      </c>
      <c r="AD131" s="201">
        <f>IF(AD$3&gt;=Tech_Specs!$C23,IF(AD$3=2010,VLOOKUP(AD$3-Tech_Specs!$C23,Bass_Curve,IF(LEFT($B131,3)="LED",3,2)),IF(User_Inputs!$D$4="Frozen Efficiency",$G131,VLOOKUP(AD$3-Tech_Specs!$C23,Bass_Curve,IF(LEFT($B131,3)="LED",3,2)))),)</f>
        <v>0.9984693766950139</v>
      </c>
      <c r="AE131" s="201">
        <f>IF(AE$3&gt;=Tech_Specs!$C23,IF(AE$3=2010,VLOOKUP(AE$3-Tech_Specs!$C23,Bass_Curve,IF(LEFT($B131,3)="LED",3,2)),IF(User_Inputs!$D$4="Frozen Efficiency",$G131,VLOOKUP(AE$3-Tech_Specs!$C23,Bass_Curve,IF(LEFT($B131,3)="LED",3,2)))),)</f>
        <v>0.99890231984592681</v>
      </c>
      <c r="AF131" s="201">
        <f>IF(AF$3&gt;=Tech_Specs!$C23,IF(AF$3=2010,VLOOKUP(AF$3-Tech_Specs!$C23,Bass_Curve,IF(LEFT($B131,3)="LED",3,2)),IF(User_Inputs!$D$4="Frozen Efficiency",$G131,VLOOKUP(AF$3-Tech_Specs!$C23,Bass_Curve,IF(LEFT($B131,3)="LED",3,2)))),)</f>
        <v>0.99921283993037913</v>
      </c>
    </row>
    <row r="132" spans="1:32" s="221" customFormat="1" x14ac:dyDescent="0.25">
      <c r="A132" s="376"/>
      <c r="B132" s="376" t="s">
        <v>29</v>
      </c>
      <c r="C132"/>
      <c r="D132"/>
      <c r="E132"/>
      <c r="F132" s="1031"/>
      <c r="G132" s="201">
        <f>IF(G$3&gt;=Tech_Specs!$C24,IF(G$3=2010,VLOOKUP(G$3-Tech_Specs!$C24,Bass_Curve,IF(LEFT($B132,3)="LED",3,2)),IF(User_Inputs!$D$4="Frozen Efficiency",$G132,VLOOKUP(G$3-Tech_Specs!$C24,Bass_Curve,IF(LEFT($B132,3)="LED",3,2)))),)</f>
        <v>2.573359512642789E-2</v>
      </c>
      <c r="H132" s="201">
        <f>IF(H$3&gt;=Tech_Specs!$C24,IF(H$3=2010,VLOOKUP(H$3-Tech_Specs!$C24,Bass_Curve,IF(LEFT($B132,3)="LED",3,2)),IF(User_Inputs!$D$4="Frozen Efficiency",$G132,VLOOKUP(H$3-Tech_Specs!$C24,Bass_Curve,IF(LEFT($B132,3)="LED",3,2)))),)</f>
        <v>4.6539757716903177E-2</v>
      </c>
      <c r="I132" s="201">
        <f>IF(I$3&gt;=Tech_Specs!$C24,IF(I$3=2010,VLOOKUP(I$3-Tech_Specs!$C24,Bass_Curve,IF(LEFT($B132,3)="LED",3,2)),IF(User_Inputs!$D$4="Frozen Efficiency",$G132,VLOOKUP(I$3-Tech_Specs!$C24,Bass_Curve,IF(LEFT($B132,3)="LED",3,2)))),)</f>
        <v>7.4754332929684128E-2</v>
      </c>
      <c r="J132" s="201">
        <f>IF(J$3&gt;=Tech_Specs!$C24,IF(J$3=2010,VLOOKUP(J$3-Tech_Specs!$C24,Bass_Curve,IF(LEFT($B132,3)="LED",3,2)),IF(User_Inputs!$D$4="Frozen Efficiency",$G132,VLOOKUP(J$3-Tech_Specs!$C24,Bass_Curve,IF(LEFT($B132,3)="LED",3,2)))),)</f>
        <v>0.11197478620001509</v>
      </c>
      <c r="K132" s="201">
        <f>IF(K$3&gt;=Tech_Specs!$C24,IF(K$3=2010,VLOOKUP(K$3-Tech_Specs!$C24,Bass_Curve,IF(LEFT($B132,3)="LED",3,2)),IF(User_Inputs!$D$4="Frozen Efficiency",$G132,VLOOKUP(K$3-Tech_Specs!$C24,Bass_Curve,IF(LEFT($B132,3)="LED",3,2)))),)</f>
        <v>0.15936056895239697</v>
      </c>
      <c r="L132" s="201">
        <f>IF(L$3&gt;=Tech_Specs!$C24,IF(L$3=2010,VLOOKUP(L$3-Tech_Specs!$C24,Bass_Curve,IF(LEFT($B132,3)="LED",3,2)),IF(User_Inputs!$D$4="Frozen Efficiency",$G132,VLOOKUP(L$3-Tech_Specs!$C24,Bass_Curve,IF(LEFT($B132,3)="LED",3,2)))),)</f>
        <v>0.21712504966565391</v>
      </c>
      <c r="M132" s="201">
        <f>IF(M$3&gt;=Tech_Specs!$C24,IF(M$3=2010,VLOOKUP(M$3-Tech_Specs!$C24,Bass_Curve,IF(LEFT($B132,3)="LED",3,2)),IF(User_Inputs!$D$4="Frozen Efficiency",$G132,VLOOKUP(M$3-Tech_Specs!$C24,Bass_Curve,IF(LEFT($B132,3)="LED",3,2)))),)</f>
        <v>0.28414080977412093</v>
      </c>
      <c r="N132" s="201">
        <f>IF(N$3&gt;=Tech_Specs!$C24,IF(N$3=2010,VLOOKUP(N$3-Tech_Specs!$C24,Bass_Curve,IF(LEFT($B132,3)="LED",3,2)),IF(User_Inputs!$D$4="Frozen Efficiency",$G132,VLOOKUP(N$3-Tech_Specs!$C24,Bass_Curve,IF(LEFT($B132,3)="LED",3,2)))),)</f>
        <v>0.35795009041805559</v>
      </c>
      <c r="O132" s="201">
        <f>IF(O$3&gt;=Tech_Specs!$C24,IF(O$3=2010,VLOOKUP(O$3-Tech_Specs!$C24,Bass_Curve,IF(LEFT($B132,3)="LED",3,2)),IF(User_Inputs!$D$4="Frozen Efficiency",$G132,VLOOKUP(O$3-Tech_Specs!$C24,Bass_Curve,IF(LEFT($B132,3)="LED",3,2)))),)</f>
        <v>0.43528730962994305</v>
      </c>
      <c r="P132" s="201">
        <f>IF(P$3&gt;=Tech_Specs!$C24,IF(P$3=2010,VLOOKUP(P$3-Tech_Specs!$C24,Bass_Curve,IF(LEFT($B132,3)="LED",3,2)),IF(User_Inputs!$D$4="Frozen Efficiency",$G132,VLOOKUP(P$3-Tech_Specs!$C24,Bass_Curve,IF(LEFT($B132,3)="LED",3,2)))),)</f>
        <v>0.51284484369923866</v>
      </c>
      <c r="Q132" s="201">
        <f>IF(Q$3&gt;=Tech_Specs!$C24,IF(Q$3=2010,VLOOKUP(Q$3-Tech_Specs!$C24,Bass_Curve,IF(LEFT($B132,3)="LED",3,2)),IF(User_Inputs!$D$4="Frozen Efficiency",$G132,VLOOKUP(Q$3-Tech_Specs!$C24,Bass_Curve,IF(LEFT($B132,3)="LED",3,2)))),)</f>
        <v>0.58783004379238735</v>
      </c>
      <c r="R132" s="201">
        <f>IF(R$3&gt;=Tech_Specs!$C24,IF(R$3=2010,VLOOKUP(R$3-Tech_Specs!$C24,Bass_Curve,IF(LEFT($B132,3)="LED",3,2)),IF(User_Inputs!$D$4="Frozen Efficiency",$G132,VLOOKUP(R$3-Tech_Specs!$C24,Bass_Curve,IF(LEFT($B132,3)="LED",3,2)))),)</f>
        <v>0.65810308249900329</v>
      </c>
      <c r="S132" s="201">
        <f>IF(S$3&gt;=Tech_Specs!$C24,IF(S$3=2010,VLOOKUP(S$3-Tech_Specs!$C24,Bass_Curve,IF(LEFT($B132,3)="LED",3,2)),IF(User_Inputs!$D$4="Frozen Efficiency",$G132,VLOOKUP(S$3-Tech_Specs!$C24,Bass_Curve,IF(LEFT($B132,3)="LED",3,2)))),)</f>
        <v>0.72206467330281499</v>
      </c>
      <c r="T132" s="201">
        <f>IF(T$3&gt;=Tech_Specs!$C24,IF(T$3=2010,VLOOKUP(T$3-Tech_Specs!$C24,Bass_Curve,IF(LEFT($B132,3)="LED",3,2)),IF(User_Inputs!$D$4="Frozen Efficiency",$G132,VLOOKUP(T$3-Tech_Specs!$C24,Bass_Curve,IF(LEFT($B132,3)="LED",3,2)))),)</f>
        <v>0.77856976904215913</v>
      </c>
      <c r="U132" s="201">
        <f>IF(U$3&gt;=Tech_Specs!$C24,IF(U$3=2010,VLOOKUP(U$3-Tech_Specs!$C24,Bass_Curve,IF(LEFT($B132,3)="LED",3,2)),IF(User_Inputs!$D$4="Frozen Efficiency",$G132,VLOOKUP(U$3-Tech_Specs!$C24,Bass_Curve,IF(LEFT($B132,3)="LED",3,2)))),)</f>
        <v>0.82696350840215249</v>
      </c>
      <c r="V132" s="201">
        <f>IF(V$3&gt;=Tech_Specs!$C24,IF(V$3=2010,VLOOKUP(V$3-Tech_Specs!$C24,Bass_Curve,IF(LEFT($B132,3)="LED",3,2)),IF(User_Inputs!$D$4="Frozen Efficiency",$G132,VLOOKUP(V$3-Tech_Specs!$C24,Bass_Curve,IF(LEFT($B132,3)="LED",3,2)))),)</f>
        <v>0.86714658256559263</v>
      </c>
      <c r="W132" s="201">
        <f>IF(W$3&gt;=Tech_Specs!$C24,IF(W$3=2010,VLOOKUP(W$3-Tech_Specs!$C24,Bass_Curve,IF(LEFT($B132,3)="LED",3,2)),IF(User_Inputs!$D$4="Frozen Efficiency",$G132,VLOOKUP(W$3-Tech_Specs!$C24,Bass_Curve,IF(LEFT($B132,3)="LED",3,2)))),)</f>
        <v>0.89955419985356344</v>
      </c>
      <c r="X132" s="201">
        <f>IF(X$3&gt;=Tech_Specs!$C24,IF(X$3=2010,VLOOKUP(X$3-Tech_Specs!$C24,Bass_Curve,IF(LEFT($B132,3)="LED",3,2)),IF(User_Inputs!$D$4="Frozen Efficiency",$G132,VLOOKUP(X$3-Tech_Specs!$C24,Bass_Curve,IF(LEFT($B132,3)="LED",3,2)))),)</f>
        <v>0.92502432100062038</v>
      </c>
      <c r="Y132" s="201">
        <f>IF(Y$3&gt;=Tech_Specs!$C24,IF(Y$3=2010,VLOOKUP(Y$3-Tech_Specs!$C24,Bass_Curve,IF(LEFT($B132,3)="LED",3,2)),IF(User_Inputs!$D$4="Frozen Efficiency",$G132,VLOOKUP(Y$3-Tech_Specs!$C24,Bass_Curve,IF(LEFT($B132,3)="LED",3,2)))),)</f>
        <v>0.94461059131409331</v>
      </c>
      <c r="Z132" s="201">
        <f>IF(Z$3&gt;=Tech_Specs!$C24,IF(Z$3=2010,VLOOKUP(Z$3-Tech_Specs!$C24,Bass_Curve,IF(LEFT($B132,3)="LED",3,2)),IF(User_Inputs!$D$4="Frozen Efficiency",$G132,VLOOKUP(Z$3-Tech_Specs!$C24,Bass_Curve,IF(LEFT($B132,3)="LED",3,2)))),)</f>
        <v>0.95940876722590474</v>
      </c>
      <c r="AA132" s="201">
        <f>IF(AA$3&gt;=Tech_Specs!$C24,IF(AA$3=2010,VLOOKUP(AA$3-Tech_Specs!$C24,Bass_Curve,IF(LEFT($B132,3)="LED",3,2)),IF(User_Inputs!$D$4="Frozen Efficiency",$G132,VLOOKUP(AA$3-Tech_Specs!$C24,Bass_Curve,IF(LEFT($B132,3)="LED",3,2)))),)</f>
        <v>0.97043561397505118</v>
      </c>
      <c r="AB132" s="201">
        <f>IF(AB$3&gt;=Tech_Specs!$C24,IF(AB$3=2010,VLOOKUP(AB$3-Tech_Specs!$C24,Bass_Curve,IF(LEFT($B132,3)="LED",3,2)),IF(User_Inputs!$D$4="Frozen Efficiency",$G132,VLOOKUP(AB$3-Tech_Specs!$C24,Bass_Curve,IF(LEFT($B132,3)="LED",3,2)))),)</f>
        <v>0.97856563119743434</v>
      </c>
      <c r="AC132" s="201">
        <f>IF(AC$3&gt;=Tech_Specs!$C24,IF(AC$3=2010,VLOOKUP(AC$3-Tech_Specs!$C24,Bass_Curve,IF(LEFT($B132,3)="LED",3,2)),IF(User_Inputs!$D$4="Frozen Efficiency",$G132,VLOOKUP(AC$3-Tech_Specs!$C24,Bass_Curve,IF(LEFT($B132,3)="LED",3,2)))),)</f>
        <v>0.98451232141945333</v>
      </c>
      <c r="AD132" s="201">
        <f>IF(AD$3&gt;=Tech_Specs!$C24,IF(AD$3=2010,VLOOKUP(AD$3-Tech_Specs!$C24,Bass_Curve,IF(LEFT($B132,3)="LED",3,2)),IF(User_Inputs!$D$4="Frozen Efficiency",$G132,VLOOKUP(AD$3-Tech_Specs!$C24,Bass_Curve,IF(LEFT($B132,3)="LED",3,2)))),)</f>
        <v>0.98883650057565198</v>
      </c>
      <c r="AE132" s="201">
        <f>IF(AE$3&gt;=Tech_Specs!$C24,IF(AE$3=2010,VLOOKUP(AE$3-Tech_Specs!$C24,Bass_Curve,IF(LEFT($B132,3)="LED",3,2)),IF(User_Inputs!$D$4="Frozen Efficiency",$G132,VLOOKUP(AE$3-Tech_Specs!$C24,Bass_Curve,IF(LEFT($B132,3)="LED",3,2)))),)</f>
        <v>0.99196738407609564</v>
      </c>
      <c r="AF132" s="201">
        <f>IF(AF$3&gt;=Tech_Specs!$C24,IF(AF$3=2010,VLOOKUP(AF$3-Tech_Specs!$C24,Bass_Curve,IF(LEFT($B132,3)="LED",3,2)),IF(User_Inputs!$D$4="Frozen Efficiency",$G132,VLOOKUP(AF$3-Tech_Specs!$C24,Bass_Curve,IF(LEFT($B132,3)="LED",3,2)))),)</f>
        <v>0.99422726069133227</v>
      </c>
    </row>
    <row r="133" spans="1:32" s="221" customFormat="1" x14ac:dyDescent="0.25">
      <c r="A133" s="376"/>
      <c r="B133" s="376"/>
      <c r="C133"/>
      <c r="D133"/>
      <c r="E133"/>
      <c r="F133" s="1031"/>
      <c r="G133"/>
      <c r="H133"/>
      <c r="I133"/>
      <c r="J133"/>
      <c r="K133"/>
      <c r="L133"/>
      <c r="M133"/>
      <c r="N133"/>
      <c r="O133"/>
      <c r="P133"/>
      <c r="Q133"/>
      <c r="R133"/>
      <c r="S133"/>
      <c r="T133"/>
      <c r="U133"/>
      <c r="V133"/>
      <c r="W133"/>
      <c r="X133"/>
      <c r="Y133"/>
      <c r="Z133"/>
      <c r="AA133"/>
      <c r="AB133"/>
      <c r="AC133"/>
      <c r="AD133"/>
      <c r="AE133"/>
      <c r="AF133"/>
    </row>
    <row r="134" spans="1:32" s="202" customFormat="1" ht="12.75" x14ac:dyDescent="0.2">
      <c r="A134" s="402" t="s">
        <v>42</v>
      </c>
      <c r="B134" s="402"/>
      <c r="C134" s="402"/>
      <c r="D134" s="402"/>
      <c r="E134" s="402"/>
      <c r="F134" s="1112"/>
      <c r="G134" s="402"/>
      <c r="H134" s="402"/>
      <c r="I134" s="402"/>
      <c r="J134" s="402"/>
      <c r="K134" s="402"/>
      <c r="L134" s="402"/>
      <c r="M134" s="402"/>
      <c r="N134" s="402"/>
      <c r="O134" s="402"/>
      <c r="P134" s="402"/>
      <c r="Q134" s="402"/>
      <c r="R134" s="402"/>
      <c r="S134" s="402"/>
      <c r="T134" s="402"/>
      <c r="U134" s="402"/>
      <c r="V134" s="402"/>
      <c r="W134" s="402"/>
      <c r="X134" s="402"/>
      <c r="Y134" s="402"/>
      <c r="Z134" s="402"/>
      <c r="AA134" s="402"/>
      <c r="AB134" s="402"/>
      <c r="AC134" s="402"/>
      <c r="AD134" s="402"/>
      <c r="AE134" s="402"/>
      <c r="AF134" s="402"/>
    </row>
    <row r="135" spans="1:32" s="221" customFormat="1" x14ac:dyDescent="0.25">
      <c r="A135" s="376"/>
      <c r="B135" s="388" t="s">
        <v>43</v>
      </c>
      <c r="C135"/>
      <c r="D135"/>
      <c r="E135"/>
      <c r="F135" s="1031"/>
      <c r="G135" s="201">
        <f>IF(G$3&gt;=Tech_Specs!$C27,IF(G$3=2010,VLOOKUP(G$3-Tech_Specs!$C27,Bass_Curve,IF(LEFT($B135,3)="LED",3,2)),IF(User_Inputs!$D$4="Frozen Efficiency",$G135,VLOOKUP(G$3-Tech_Specs!$C27,Bass_Curve,IF(LEFT($B135,3)="LED",3,2)))),)</f>
        <v>0.99999998049294159</v>
      </c>
      <c r="H135" s="201">
        <f>IF(H$3&gt;=Tech_Specs!$C27,IF(H$3=2010,VLOOKUP(H$3-Tech_Specs!$C27,Bass_Curve,IF(LEFT($B135,3)="LED",3,2)),IF(User_Inputs!$D$4="Frozen Efficiency",$G135,VLOOKUP(H$3-Tech_Specs!$C27,Bass_Curve,IF(LEFT($B135,3)="LED",3,2)))),)</f>
        <v>0.99999998049294159</v>
      </c>
      <c r="I135" s="201">
        <f>IF(I$3&gt;=Tech_Specs!$C27,IF(I$3=2010,VLOOKUP(I$3-Tech_Specs!$C27,Bass_Curve,IF(LEFT($B135,3)="LED",3,2)),IF(User_Inputs!$D$4="Frozen Efficiency",$G135,VLOOKUP(I$3-Tech_Specs!$C27,Bass_Curve,IF(LEFT($B135,3)="LED",3,2)))),)</f>
        <v>0.99999998049294159</v>
      </c>
      <c r="J135" s="201">
        <f>IF(J$3&gt;=Tech_Specs!$C27,IF(J$3=2010,VLOOKUP(J$3-Tech_Specs!$C27,Bass_Curve,IF(LEFT($B135,3)="LED",3,2)),IF(User_Inputs!$D$4="Frozen Efficiency",$G135,VLOOKUP(J$3-Tech_Specs!$C27,Bass_Curve,IF(LEFT($B135,3)="LED",3,2)))),)</f>
        <v>0.99999998049294159</v>
      </c>
      <c r="K135" s="201">
        <f>IF(K$3&gt;=Tech_Specs!$C27,IF(K$3=2010,VLOOKUP(K$3-Tech_Specs!$C27,Bass_Curve,IF(LEFT($B135,3)="LED",3,2)),IF(User_Inputs!$D$4="Frozen Efficiency",$G135,VLOOKUP(K$3-Tech_Specs!$C27,Bass_Curve,IF(LEFT($B135,3)="LED",3,2)))),)</f>
        <v>0.99999998049294159</v>
      </c>
      <c r="L135" s="201">
        <f>IF(L$3&gt;=Tech_Specs!$C27,IF(L$3=2010,VLOOKUP(L$3-Tech_Specs!$C27,Bass_Curve,IF(LEFT($B135,3)="LED",3,2)),IF(User_Inputs!$D$4="Frozen Efficiency",$G135,VLOOKUP(L$3-Tech_Specs!$C27,Bass_Curve,IF(LEFT($B135,3)="LED",3,2)))),)</f>
        <v>0.99999998049294159</v>
      </c>
      <c r="M135" s="201">
        <f>IF(M$3&gt;=Tech_Specs!$C27,IF(M$3=2010,VLOOKUP(M$3-Tech_Specs!$C27,Bass_Curve,IF(LEFT($B135,3)="LED",3,2)),IF(User_Inputs!$D$4="Frozen Efficiency",$G135,VLOOKUP(M$3-Tech_Specs!$C27,Bass_Curve,IF(LEFT($B135,3)="LED",3,2)))),)</f>
        <v>0.99999998049294159</v>
      </c>
      <c r="N135" s="201">
        <f>IF(N$3&gt;=Tech_Specs!$C27,IF(N$3=2010,VLOOKUP(N$3-Tech_Specs!$C27,Bass_Curve,IF(LEFT($B135,3)="LED",3,2)),IF(User_Inputs!$D$4="Frozen Efficiency",$G135,VLOOKUP(N$3-Tech_Specs!$C27,Bass_Curve,IF(LEFT($B135,3)="LED",3,2)))),)</f>
        <v>0.99999998049294159</v>
      </c>
      <c r="O135" s="201">
        <f>IF(O$3&gt;=Tech_Specs!$C27,IF(O$3=2010,VLOOKUP(O$3-Tech_Specs!$C27,Bass_Curve,IF(LEFT($B135,3)="LED",3,2)),IF(User_Inputs!$D$4="Frozen Efficiency",$G135,VLOOKUP(O$3-Tech_Specs!$C27,Bass_Curve,IF(LEFT($B135,3)="LED",3,2)))),)</f>
        <v>0.99999998049294159</v>
      </c>
      <c r="P135" s="201">
        <f>IF(P$3&gt;=Tech_Specs!$C27,IF(P$3=2010,VLOOKUP(P$3-Tech_Specs!$C27,Bass_Curve,IF(LEFT($B135,3)="LED",3,2)),IF(User_Inputs!$D$4="Frozen Efficiency",$G135,VLOOKUP(P$3-Tech_Specs!$C27,Bass_Curve,IF(LEFT($B135,3)="LED",3,2)))),)</f>
        <v>0.99999998049294159</v>
      </c>
      <c r="Q135" s="201">
        <f>IF(Q$3&gt;=Tech_Specs!$C27,IF(Q$3=2010,VLOOKUP(Q$3-Tech_Specs!$C27,Bass_Curve,IF(LEFT($B135,3)="LED",3,2)),IF(User_Inputs!$D$4="Frozen Efficiency",$G135,VLOOKUP(Q$3-Tech_Specs!$C27,Bass_Curve,IF(LEFT($B135,3)="LED",3,2)))),)</f>
        <v>0.99999998049294159</v>
      </c>
      <c r="R135" s="201">
        <f>IF(R$3&gt;=Tech_Specs!$C27,IF(R$3=2010,VLOOKUP(R$3-Tech_Specs!$C27,Bass_Curve,IF(LEFT($B135,3)="LED",3,2)),IF(User_Inputs!$D$4="Frozen Efficiency",$G135,VLOOKUP(R$3-Tech_Specs!$C27,Bass_Curve,IF(LEFT($B135,3)="LED",3,2)))),)</f>
        <v>0.99999998049294159</v>
      </c>
      <c r="S135" s="201">
        <f>IF(S$3&gt;=Tech_Specs!$C27,IF(S$3=2010,VLOOKUP(S$3-Tech_Specs!$C27,Bass_Curve,IF(LEFT($B135,3)="LED",3,2)),IF(User_Inputs!$D$4="Frozen Efficiency",$G135,VLOOKUP(S$3-Tech_Specs!$C27,Bass_Curve,IF(LEFT($B135,3)="LED",3,2)))),)</f>
        <v>0.99999998049294159</v>
      </c>
      <c r="T135" s="201">
        <f>IF(T$3&gt;=Tech_Specs!$C27,IF(T$3=2010,VLOOKUP(T$3-Tech_Specs!$C27,Bass_Curve,IF(LEFT($B135,3)="LED",3,2)),IF(User_Inputs!$D$4="Frozen Efficiency",$G135,VLOOKUP(T$3-Tech_Specs!$C27,Bass_Curve,IF(LEFT($B135,3)="LED",3,2)))),)</f>
        <v>0.99999998049294159</v>
      </c>
      <c r="U135" s="201">
        <f>IF(U$3&gt;=Tech_Specs!$C27,IF(U$3=2010,VLOOKUP(U$3-Tech_Specs!$C27,Bass_Curve,IF(LEFT($B135,3)="LED",3,2)),IF(User_Inputs!$D$4="Frozen Efficiency",$G135,VLOOKUP(U$3-Tech_Specs!$C27,Bass_Curve,IF(LEFT($B135,3)="LED",3,2)))),)</f>
        <v>0.99999998049294159</v>
      </c>
      <c r="V135" s="201">
        <f>IF(V$3&gt;=Tech_Specs!$C27,IF(V$3=2010,VLOOKUP(V$3-Tech_Specs!$C27,Bass_Curve,IF(LEFT($B135,3)="LED",3,2)),IF(User_Inputs!$D$4="Frozen Efficiency",$G135,VLOOKUP(V$3-Tech_Specs!$C27,Bass_Curve,IF(LEFT($B135,3)="LED",3,2)))),)</f>
        <v>0.99999998049294159</v>
      </c>
      <c r="W135" s="201">
        <f>IF(W$3&gt;=Tech_Specs!$C27,IF(W$3=2010,VLOOKUP(W$3-Tech_Specs!$C27,Bass_Curve,IF(LEFT($B135,3)="LED",3,2)),IF(User_Inputs!$D$4="Frozen Efficiency",$G135,VLOOKUP(W$3-Tech_Specs!$C27,Bass_Curve,IF(LEFT($B135,3)="LED",3,2)))),)</f>
        <v>0.99999998049294159</v>
      </c>
      <c r="X135" s="201">
        <f>IF(X$3&gt;=Tech_Specs!$C27,IF(X$3=2010,VLOOKUP(X$3-Tech_Specs!$C27,Bass_Curve,IF(LEFT($B135,3)="LED",3,2)),IF(User_Inputs!$D$4="Frozen Efficiency",$G135,VLOOKUP(X$3-Tech_Specs!$C27,Bass_Curve,IF(LEFT($B135,3)="LED",3,2)))),)</f>
        <v>0.99999998049294159</v>
      </c>
      <c r="Y135" s="201">
        <f>IF(Y$3&gt;=Tech_Specs!$C27,IF(Y$3=2010,VLOOKUP(Y$3-Tech_Specs!$C27,Bass_Curve,IF(LEFT($B135,3)="LED",3,2)),IF(User_Inputs!$D$4="Frozen Efficiency",$G135,VLOOKUP(Y$3-Tech_Specs!$C27,Bass_Curve,IF(LEFT($B135,3)="LED",3,2)))),)</f>
        <v>0.99999998049294159</v>
      </c>
      <c r="Z135" s="201">
        <f>IF(Z$3&gt;=Tech_Specs!$C27,IF(Z$3=2010,VLOOKUP(Z$3-Tech_Specs!$C27,Bass_Curve,IF(LEFT($B135,3)="LED",3,2)),IF(User_Inputs!$D$4="Frozen Efficiency",$G135,VLOOKUP(Z$3-Tech_Specs!$C27,Bass_Curve,IF(LEFT($B135,3)="LED",3,2)))),)</f>
        <v>0.99999998049294159</v>
      </c>
      <c r="AA135" s="201">
        <f>IF(AA$3&gt;=Tech_Specs!$C27,IF(AA$3=2010,VLOOKUP(AA$3-Tech_Specs!$C27,Bass_Curve,IF(LEFT($B135,3)="LED",3,2)),IF(User_Inputs!$D$4="Frozen Efficiency",$G135,VLOOKUP(AA$3-Tech_Specs!$C27,Bass_Curve,IF(LEFT($B135,3)="LED",3,2)))),)</f>
        <v>0.99999998049294159</v>
      </c>
      <c r="AB135" s="201">
        <f>IF(AB$3&gt;=Tech_Specs!$C27,IF(AB$3=2010,VLOOKUP(AB$3-Tech_Specs!$C27,Bass_Curve,IF(LEFT($B135,3)="LED",3,2)),IF(User_Inputs!$D$4="Frozen Efficiency",$G135,VLOOKUP(AB$3-Tech_Specs!$C27,Bass_Curve,IF(LEFT($B135,3)="LED",3,2)))),)</f>
        <v>0.99999998049294159</v>
      </c>
      <c r="AC135" s="201">
        <f>IF(AC$3&gt;=Tech_Specs!$C27,IF(AC$3=2010,VLOOKUP(AC$3-Tech_Specs!$C27,Bass_Curve,IF(LEFT($B135,3)="LED",3,2)),IF(User_Inputs!$D$4="Frozen Efficiency",$G135,VLOOKUP(AC$3-Tech_Specs!$C27,Bass_Curve,IF(LEFT($B135,3)="LED",3,2)))),)</f>
        <v>0.99999998049294159</v>
      </c>
      <c r="AD135" s="201">
        <f>IF(AD$3&gt;=Tech_Specs!$C27,IF(AD$3=2010,VLOOKUP(AD$3-Tech_Specs!$C27,Bass_Curve,IF(LEFT($B135,3)="LED",3,2)),IF(User_Inputs!$D$4="Frozen Efficiency",$G135,VLOOKUP(AD$3-Tech_Specs!$C27,Bass_Curve,IF(LEFT($B135,3)="LED",3,2)))),)</f>
        <v>0.99999998049294159</v>
      </c>
      <c r="AE135" s="201">
        <f>IF(AE$3&gt;=Tech_Specs!$C27,IF(AE$3=2010,VLOOKUP(AE$3-Tech_Specs!$C27,Bass_Curve,IF(LEFT($B135,3)="LED",3,2)),IF(User_Inputs!$D$4="Frozen Efficiency",$G135,VLOOKUP(AE$3-Tech_Specs!$C27,Bass_Curve,IF(LEFT($B135,3)="LED",3,2)))),)</f>
        <v>0.99999998049294159</v>
      </c>
      <c r="AF135" s="201">
        <f>IF(AF$3&gt;=Tech_Specs!$C27,IF(AF$3=2010,VLOOKUP(AF$3-Tech_Specs!$C27,Bass_Curve,IF(LEFT($B135,3)="LED",3,2)),IF(User_Inputs!$D$4="Frozen Efficiency",$G135,VLOOKUP(AF$3-Tech_Specs!$C27,Bass_Curve,IF(LEFT($B135,3)="LED",3,2)))),)</f>
        <v>0.99999998049294159</v>
      </c>
    </row>
    <row r="136" spans="1:32" s="221" customFormat="1" x14ac:dyDescent="0.25">
      <c r="A136" s="376"/>
      <c r="B136" s="388" t="s">
        <v>44</v>
      </c>
      <c r="C136"/>
      <c r="D136"/>
      <c r="E136"/>
      <c r="F136" s="1031"/>
      <c r="G136" s="201">
        <f>IF(G$3&gt;=Tech_Specs!$C28,IF(G$3=2010,VLOOKUP(G$3-Tech_Specs!$C28,Bass_Curve,IF(LEFT($B136,3)="LED",3,2)),IF(User_Inputs!$D$4="Frozen Efficiency",$G136,VLOOKUP(G$3-Tech_Specs!$C28,Bass_Curve,IF(LEFT($B136,3)="LED",3,2)))),)</f>
        <v>0.99998536907810021</v>
      </c>
      <c r="H136" s="201">
        <f>IF(H$3&gt;=Tech_Specs!$C28,IF(H$3=2010,VLOOKUP(H$3-Tech_Specs!$C28,Bass_Curve,IF(LEFT($B136,3)="LED",3,2)),IF(User_Inputs!$D$4="Frozen Efficiency",$G136,VLOOKUP(H$3-Tech_Specs!$C28,Bass_Curve,IF(LEFT($B136,3)="LED",3,2)))),)</f>
        <v>0.99998949781098223</v>
      </c>
      <c r="I136" s="201">
        <f>IF(I$3&gt;=Tech_Specs!$C28,IF(I$3=2010,VLOOKUP(I$3-Tech_Specs!$C28,Bass_Curve,IF(LEFT($B136,3)="LED",3,2)),IF(User_Inputs!$D$4="Frozen Efficiency",$G136,VLOOKUP(I$3-Tech_Specs!$C28,Bass_Curve,IF(LEFT($B136,3)="LED",3,2)))),)</f>
        <v>0.99999246087225968</v>
      </c>
      <c r="J136" s="201">
        <f>IF(J$3&gt;=Tech_Specs!$C28,IF(J$3=2010,VLOOKUP(J$3-Tech_Specs!$C28,Bass_Curve,IF(LEFT($B136,3)="LED",3,2)),IF(User_Inputs!$D$4="Frozen Efficiency",$G136,VLOOKUP(J$3-Tech_Specs!$C28,Bass_Curve,IF(LEFT($B136,3)="LED",3,2)))),)</f>
        <v>0.99999458754894088</v>
      </c>
      <c r="K136" s="201">
        <f>IF(K$3&gt;=Tech_Specs!$C28,IF(K$3=2010,VLOOKUP(K$3-Tech_Specs!$C28,Bass_Curve,IF(LEFT($B136,3)="LED",3,2)),IF(User_Inputs!$D$4="Frozen Efficiency",$G136,VLOOKUP(K$3-Tech_Specs!$C28,Bass_Curve,IF(LEFT($B136,3)="LED",3,2)))),)</f>
        <v>0.99999611405218891</v>
      </c>
      <c r="L136" s="201">
        <f>IF(L$3&gt;=Tech_Specs!$C28,IF(L$3=2010,VLOOKUP(L$3-Tech_Specs!$C28,Bass_Curve,IF(LEFT($B136,3)="LED",3,2)),IF(User_Inputs!$D$4="Frozen Efficiency",$G136,VLOOKUP(L$3-Tech_Specs!$C28,Bass_Curve,IF(LEFT($B136,3)="LED",3,2)))),)</f>
        <v>0.99999720984345863</v>
      </c>
      <c r="M136" s="201">
        <f>IF(M$3&gt;=Tech_Specs!$C28,IF(M$3=2010,VLOOKUP(M$3-Tech_Specs!$C28,Bass_Curve,IF(LEFT($B136,3)="LED",3,2)),IF(User_Inputs!$D$4="Frozen Efficiency",$G136,VLOOKUP(M$3-Tech_Specs!$C28,Bass_Curve,IF(LEFT($B136,3)="LED",3,2)))),)</f>
        <v>0.99999799650912424</v>
      </c>
      <c r="N136" s="201">
        <f>IF(N$3&gt;=Tech_Specs!$C28,IF(N$3=2010,VLOOKUP(N$3-Tech_Specs!$C28,Bass_Curve,IF(LEFT($B136,3)="LED",3,2)),IF(User_Inputs!$D$4="Frozen Efficiency",$G136,VLOOKUP(N$3-Tech_Specs!$C28,Bass_Curve,IF(LEFT($B136,3)="LED",3,2)))),)</f>
        <v>0.99999856129425391</v>
      </c>
      <c r="O136" s="201">
        <f>IF(O$3&gt;=Tech_Specs!$C28,IF(O$3=2010,VLOOKUP(O$3-Tech_Specs!$C28,Bass_Curve,IF(LEFT($B136,3)="LED",3,2)),IF(User_Inputs!$D$4="Frozen Efficiency",$G136,VLOOKUP(O$3-Tech_Specs!$C28,Bass_Curve,IF(LEFT($B136,3)="LED",3,2)))),)</f>
        <v>0.99999896680791711</v>
      </c>
      <c r="P136" s="201">
        <f>IF(P$3&gt;=Tech_Specs!$C28,IF(P$3=2010,VLOOKUP(P$3-Tech_Specs!$C28,Bass_Curve,IF(LEFT($B136,3)="LED",3,2)),IF(User_Inputs!$D$4="Frozen Efficiency",$G136,VLOOKUP(P$3-Tech_Specs!$C28,Bass_Curve,IF(LEFT($B136,3)="LED",3,2)))),)</f>
        <v>0.99999925798382638</v>
      </c>
      <c r="Q136" s="201">
        <f>IF(Q$3&gt;=Tech_Specs!$C28,IF(Q$3=2010,VLOOKUP(Q$3-Tech_Specs!$C28,Bass_Curve,IF(LEFT($B136,3)="LED",3,2)),IF(User_Inputs!$D$4="Frozen Efficiency",$G136,VLOOKUP(Q$3-Tech_Specs!$C28,Bass_Curve,IF(LEFT($B136,3)="LED",3,2)))),)</f>
        <v>0.99999946707306653</v>
      </c>
      <c r="R136" s="201">
        <f>IF(R$3&gt;=Tech_Specs!$C28,IF(R$3=2010,VLOOKUP(R$3-Tech_Specs!$C28,Bass_Curve,IF(LEFT($B136,3)="LED",3,2)),IF(User_Inputs!$D$4="Frozen Efficiency",$G136,VLOOKUP(R$3-Tech_Specs!$C28,Bass_Curve,IF(LEFT($B136,3)="LED",3,2)))),)</f>
        <v>0.99999961722567021</v>
      </c>
      <c r="S136" s="201">
        <f>IF(S$3&gt;=Tech_Specs!$C28,IF(S$3=2010,VLOOKUP(S$3-Tech_Specs!$C28,Bass_Curve,IF(LEFT($B136,3)="LED",3,2)),IF(User_Inputs!$D$4="Frozen Efficiency",$G136,VLOOKUP(S$3-Tech_Specs!$C28,Bass_Curve,IF(LEFT($B136,3)="LED",3,2)))),)</f>
        <v>0.99999972506016011</v>
      </c>
      <c r="T136" s="201">
        <f>IF(T$3&gt;=Tech_Specs!$C28,IF(T$3=2010,VLOOKUP(T$3-Tech_Specs!$C28,Bass_Curve,IF(LEFT($B136,3)="LED",3,2)),IF(User_Inputs!$D$4="Frozen Efficiency",$G136,VLOOKUP(T$3-Tech_Specs!$C28,Bass_Curve,IF(LEFT($B136,3)="LED",3,2)))),)</f>
        <v>0.99999980250721576</v>
      </c>
      <c r="U136" s="201">
        <f>IF(U$3&gt;=Tech_Specs!$C28,IF(U$3=2010,VLOOKUP(U$3-Tech_Specs!$C28,Bass_Curve,IF(LEFT($B136,3)="LED",3,2)),IF(User_Inputs!$D$4="Frozen Efficiency",$G136,VLOOKUP(U$3-Tech_Specs!$C28,Bass_Curve,IF(LEFT($B136,3)="LED",3,2)))),)</f>
        <v>0.99999985813264225</v>
      </c>
      <c r="V136" s="201">
        <f>IF(V$3&gt;=Tech_Specs!$C28,IF(V$3=2010,VLOOKUP(V$3-Tech_Specs!$C28,Bass_Curve,IF(LEFT($B136,3)="LED",3,2)),IF(User_Inputs!$D$4="Frozen Efficiency",$G136,VLOOKUP(V$3-Tech_Specs!$C28,Bass_Curve,IF(LEFT($B136,3)="LED",3,2)))),)</f>
        <v>0.99999989808679191</v>
      </c>
      <c r="W136" s="201">
        <f>IF(W$3&gt;=Tech_Specs!$C28,IF(W$3=2010,VLOOKUP(W$3-Tech_Specs!$C28,Bass_Curve,IF(LEFT($B136,3)="LED",3,2)),IF(User_Inputs!$D$4="Frozen Efficiency",$G136,VLOOKUP(W$3-Tech_Specs!$C28,Bass_Curve,IF(LEFT($B136,3)="LED",3,2)))),)</f>
        <v>0.99999992678597005</v>
      </c>
      <c r="X136" s="201">
        <f>IF(X$3&gt;=Tech_Specs!$C28,IF(X$3=2010,VLOOKUP(X$3-Tech_Specs!$C28,Bass_Curve,IF(LEFT($B136,3)="LED",3,2)),IF(User_Inputs!$D$4="Frozen Efficiency",$G136,VLOOKUP(X$3-Tech_Specs!$C28,Bass_Curve,IF(LEFT($B136,3)="LED",3,2)))),)</f>
        <v>0.99999994740152531</v>
      </c>
      <c r="Y136" s="201">
        <f>IF(Y$3&gt;=Tech_Specs!$C28,IF(Y$3=2010,VLOOKUP(Y$3-Tech_Specs!$C28,Bass_Curve,IF(LEFT($B136,3)="LED",3,2)),IF(User_Inputs!$D$4="Frozen Efficiency",$G136,VLOOKUP(Y$3-Tech_Specs!$C28,Bass_Curve,IF(LEFT($B136,3)="LED",3,2)))),)</f>
        <v>0.99999996221093224</v>
      </c>
      <c r="Z136" s="201">
        <f>IF(Z$3&gt;=Tech_Specs!$C28,IF(Z$3=2010,VLOOKUP(Z$3-Tech_Specs!$C28,Bass_Curve,IF(LEFT($B136,3)="LED",3,2)),IF(User_Inputs!$D$4="Frozen Efficiency",$G136,VLOOKUP(Z$3-Tech_Specs!$C28,Bass_Curve,IF(LEFT($B136,3)="LED",3,2)))),)</f>
        <v>0.99999997284982522</v>
      </c>
      <c r="AA136" s="201">
        <f>IF(AA$3&gt;=Tech_Specs!$C28,IF(AA$3=2010,VLOOKUP(AA$3-Tech_Specs!$C28,Bass_Curve,IF(LEFT($B136,3)="LED",3,2)),IF(User_Inputs!$D$4="Frozen Efficiency",$G136,VLOOKUP(AA$3-Tech_Specs!$C28,Bass_Curve,IF(LEFT($B136,3)="LED",3,2)))),)</f>
        <v>0.99999998049294159</v>
      </c>
      <c r="AB136" s="201">
        <f>IF(AB$3&gt;=Tech_Specs!$C28,IF(AB$3=2010,VLOOKUP(AB$3-Tech_Specs!$C28,Bass_Curve,IF(LEFT($B136,3)="LED",3,2)),IF(User_Inputs!$D$4="Frozen Efficiency",$G136,VLOOKUP(AB$3-Tech_Specs!$C28,Bass_Curve,IF(LEFT($B136,3)="LED",3,2)))),)</f>
        <v>0.99999998049294159</v>
      </c>
      <c r="AC136" s="201">
        <f>IF(AC$3&gt;=Tech_Specs!$C28,IF(AC$3=2010,VLOOKUP(AC$3-Tech_Specs!$C28,Bass_Curve,IF(LEFT($B136,3)="LED",3,2)),IF(User_Inputs!$D$4="Frozen Efficiency",$G136,VLOOKUP(AC$3-Tech_Specs!$C28,Bass_Curve,IF(LEFT($B136,3)="LED",3,2)))),)</f>
        <v>0.99999998049294159</v>
      </c>
      <c r="AD136" s="201">
        <f>IF(AD$3&gt;=Tech_Specs!$C28,IF(AD$3=2010,VLOOKUP(AD$3-Tech_Specs!$C28,Bass_Curve,IF(LEFT($B136,3)="LED",3,2)),IF(User_Inputs!$D$4="Frozen Efficiency",$G136,VLOOKUP(AD$3-Tech_Specs!$C28,Bass_Curve,IF(LEFT($B136,3)="LED",3,2)))),)</f>
        <v>0.99999998049294159</v>
      </c>
      <c r="AE136" s="201">
        <f>IF(AE$3&gt;=Tech_Specs!$C28,IF(AE$3=2010,VLOOKUP(AE$3-Tech_Specs!$C28,Bass_Curve,IF(LEFT($B136,3)="LED",3,2)),IF(User_Inputs!$D$4="Frozen Efficiency",$G136,VLOOKUP(AE$3-Tech_Specs!$C28,Bass_Curve,IF(LEFT($B136,3)="LED",3,2)))),)</f>
        <v>0.99999998049294159</v>
      </c>
      <c r="AF136" s="201">
        <f>IF(AF$3&gt;=Tech_Specs!$C28,IF(AF$3=2010,VLOOKUP(AF$3-Tech_Specs!$C28,Bass_Curve,IF(LEFT($B136,3)="LED",3,2)),IF(User_Inputs!$D$4="Frozen Efficiency",$G136,VLOOKUP(AF$3-Tech_Specs!$C28,Bass_Curve,IF(LEFT($B136,3)="LED",3,2)))),)</f>
        <v>0.99999998049294159</v>
      </c>
    </row>
    <row r="137" spans="1:32" s="221" customFormat="1" x14ac:dyDescent="0.25">
      <c r="A137" s="376"/>
      <c r="B137" s="388" t="s">
        <v>45</v>
      </c>
      <c r="C137"/>
      <c r="D137"/>
      <c r="E137"/>
      <c r="F137" s="1031"/>
      <c r="G137" s="201">
        <f>IF(G$3&gt;=Tech_Specs!$C29,IF(G$3=2010,VLOOKUP(G$3-Tech_Specs!$C29,Bass_Curve,IF(LEFT($B137,3)="LED",3,2)),IF(User_Inputs!$D$4="Frozen Efficiency",$G137,VLOOKUP(G$3-Tech_Specs!$C29,Bass_Curve,IF(LEFT($B137,3)="LED",3,2)))),)</f>
        <v>0.99999720984345863</v>
      </c>
      <c r="H137" s="201">
        <f>IF(H$3&gt;=Tech_Specs!$C29,IF(H$3=2010,VLOOKUP(H$3-Tech_Specs!$C29,Bass_Curve,IF(LEFT($B137,3)="LED",3,2)),IF(User_Inputs!$D$4="Frozen Efficiency",$G137,VLOOKUP(H$3-Tech_Specs!$C29,Bass_Curve,IF(LEFT($B137,3)="LED",3,2)))),)</f>
        <v>0.99999799650912424</v>
      </c>
      <c r="I137" s="201">
        <f>IF(I$3&gt;=Tech_Specs!$C29,IF(I$3=2010,VLOOKUP(I$3-Tech_Specs!$C29,Bass_Curve,IF(LEFT($B137,3)="LED",3,2)),IF(User_Inputs!$D$4="Frozen Efficiency",$G137,VLOOKUP(I$3-Tech_Specs!$C29,Bass_Curve,IF(LEFT($B137,3)="LED",3,2)))),)</f>
        <v>0.99999856129425391</v>
      </c>
      <c r="J137" s="201">
        <f>IF(J$3&gt;=Tech_Specs!$C29,IF(J$3=2010,VLOOKUP(J$3-Tech_Specs!$C29,Bass_Curve,IF(LEFT($B137,3)="LED",3,2)),IF(User_Inputs!$D$4="Frozen Efficiency",$G137,VLOOKUP(J$3-Tech_Specs!$C29,Bass_Curve,IF(LEFT($B137,3)="LED",3,2)))),)</f>
        <v>0.99999896680791711</v>
      </c>
      <c r="K137" s="201">
        <f>IF(K$3&gt;=Tech_Specs!$C29,IF(K$3=2010,VLOOKUP(K$3-Tech_Specs!$C29,Bass_Curve,IF(LEFT($B137,3)="LED",3,2)),IF(User_Inputs!$D$4="Frozen Efficiency",$G137,VLOOKUP(K$3-Tech_Specs!$C29,Bass_Curve,IF(LEFT($B137,3)="LED",3,2)))),)</f>
        <v>0.99999925798382638</v>
      </c>
      <c r="L137" s="201">
        <f>IF(L$3&gt;=Tech_Specs!$C29,IF(L$3=2010,VLOOKUP(L$3-Tech_Specs!$C29,Bass_Curve,IF(LEFT($B137,3)="LED",3,2)),IF(User_Inputs!$D$4="Frozen Efficiency",$G137,VLOOKUP(L$3-Tech_Specs!$C29,Bass_Curve,IF(LEFT($B137,3)="LED",3,2)))),)</f>
        <v>0.99999946707306653</v>
      </c>
      <c r="M137" s="201">
        <f>IF(M$3&gt;=Tech_Specs!$C29,IF(M$3=2010,VLOOKUP(M$3-Tech_Specs!$C29,Bass_Curve,IF(LEFT($B137,3)="LED",3,2)),IF(User_Inputs!$D$4="Frozen Efficiency",$G137,VLOOKUP(M$3-Tech_Specs!$C29,Bass_Curve,IF(LEFT($B137,3)="LED",3,2)))),)</f>
        <v>0.99999961722567021</v>
      </c>
      <c r="N137" s="201">
        <f>IF(N$3&gt;=Tech_Specs!$C29,IF(N$3=2010,VLOOKUP(N$3-Tech_Specs!$C29,Bass_Curve,IF(LEFT($B137,3)="LED",3,2)),IF(User_Inputs!$D$4="Frozen Efficiency",$G137,VLOOKUP(N$3-Tech_Specs!$C29,Bass_Curve,IF(LEFT($B137,3)="LED",3,2)))),)</f>
        <v>0.99999972506016011</v>
      </c>
      <c r="O137" s="201">
        <f>IF(O$3&gt;=Tech_Specs!$C29,IF(O$3=2010,VLOOKUP(O$3-Tech_Specs!$C29,Bass_Curve,IF(LEFT($B137,3)="LED",3,2)),IF(User_Inputs!$D$4="Frozen Efficiency",$G137,VLOOKUP(O$3-Tech_Specs!$C29,Bass_Curve,IF(LEFT($B137,3)="LED",3,2)))),)</f>
        <v>0.99999980250721576</v>
      </c>
      <c r="P137" s="201">
        <f>IF(P$3&gt;=Tech_Specs!$C29,IF(P$3=2010,VLOOKUP(P$3-Tech_Specs!$C29,Bass_Curve,IF(LEFT($B137,3)="LED",3,2)),IF(User_Inputs!$D$4="Frozen Efficiency",$G137,VLOOKUP(P$3-Tech_Specs!$C29,Bass_Curve,IF(LEFT($B137,3)="LED",3,2)))),)</f>
        <v>0.99999985813264225</v>
      </c>
      <c r="Q137" s="201">
        <f>IF(Q$3&gt;=Tech_Specs!$C29,IF(Q$3=2010,VLOOKUP(Q$3-Tech_Specs!$C29,Bass_Curve,IF(LEFT($B137,3)="LED",3,2)),IF(User_Inputs!$D$4="Frozen Efficiency",$G137,VLOOKUP(Q$3-Tech_Specs!$C29,Bass_Curve,IF(LEFT($B137,3)="LED",3,2)))),)</f>
        <v>0.99999989808679191</v>
      </c>
      <c r="R137" s="201">
        <f>IF(R$3&gt;=Tech_Specs!$C29,IF(R$3=2010,VLOOKUP(R$3-Tech_Specs!$C29,Bass_Curve,IF(LEFT($B137,3)="LED",3,2)),IF(User_Inputs!$D$4="Frozen Efficiency",$G137,VLOOKUP(R$3-Tech_Specs!$C29,Bass_Curve,IF(LEFT($B137,3)="LED",3,2)))),)</f>
        <v>0.99999992678597005</v>
      </c>
      <c r="S137" s="201">
        <f>IF(S$3&gt;=Tech_Specs!$C29,IF(S$3=2010,VLOOKUP(S$3-Tech_Specs!$C29,Bass_Curve,IF(LEFT($B137,3)="LED",3,2)),IF(User_Inputs!$D$4="Frozen Efficiency",$G137,VLOOKUP(S$3-Tech_Specs!$C29,Bass_Curve,IF(LEFT($B137,3)="LED",3,2)))),)</f>
        <v>0.99999994740152531</v>
      </c>
      <c r="T137" s="201">
        <f>IF(T$3&gt;=Tech_Specs!$C29,IF(T$3=2010,VLOOKUP(T$3-Tech_Specs!$C29,Bass_Curve,IF(LEFT($B137,3)="LED",3,2)),IF(User_Inputs!$D$4="Frozen Efficiency",$G137,VLOOKUP(T$3-Tech_Specs!$C29,Bass_Curve,IF(LEFT($B137,3)="LED",3,2)))),)</f>
        <v>0.99999996221093224</v>
      </c>
      <c r="U137" s="201">
        <f>IF(U$3&gt;=Tech_Specs!$C29,IF(U$3=2010,VLOOKUP(U$3-Tech_Specs!$C29,Bass_Curve,IF(LEFT($B137,3)="LED",3,2)),IF(User_Inputs!$D$4="Frozen Efficiency",$G137,VLOOKUP(U$3-Tech_Specs!$C29,Bass_Curve,IF(LEFT($B137,3)="LED",3,2)))),)</f>
        <v>0.99999997284982522</v>
      </c>
      <c r="V137" s="201">
        <f>IF(V$3&gt;=Tech_Specs!$C29,IF(V$3=2010,VLOOKUP(V$3-Tech_Specs!$C29,Bass_Curve,IF(LEFT($B137,3)="LED",3,2)),IF(User_Inputs!$D$4="Frozen Efficiency",$G137,VLOOKUP(V$3-Tech_Specs!$C29,Bass_Curve,IF(LEFT($B137,3)="LED",3,2)))),)</f>
        <v>0.99999998049294159</v>
      </c>
      <c r="W137" s="201">
        <f>IF(W$3&gt;=Tech_Specs!$C29,IF(W$3=2010,VLOOKUP(W$3-Tech_Specs!$C29,Bass_Curve,IF(LEFT($B137,3)="LED",3,2)),IF(User_Inputs!$D$4="Frozen Efficiency",$G137,VLOOKUP(W$3-Tech_Specs!$C29,Bass_Curve,IF(LEFT($B137,3)="LED",3,2)))),)</f>
        <v>0.99999998049294159</v>
      </c>
      <c r="X137" s="201">
        <f>IF(X$3&gt;=Tech_Specs!$C29,IF(X$3=2010,VLOOKUP(X$3-Tech_Specs!$C29,Bass_Curve,IF(LEFT($B137,3)="LED",3,2)),IF(User_Inputs!$D$4="Frozen Efficiency",$G137,VLOOKUP(X$3-Tech_Specs!$C29,Bass_Curve,IF(LEFT($B137,3)="LED",3,2)))),)</f>
        <v>0.99999998049294159</v>
      </c>
      <c r="Y137" s="201">
        <f>IF(Y$3&gt;=Tech_Specs!$C29,IF(Y$3=2010,VLOOKUP(Y$3-Tech_Specs!$C29,Bass_Curve,IF(LEFT($B137,3)="LED",3,2)),IF(User_Inputs!$D$4="Frozen Efficiency",$G137,VLOOKUP(Y$3-Tech_Specs!$C29,Bass_Curve,IF(LEFT($B137,3)="LED",3,2)))),)</f>
        <v>0.99999998049294159</v>
      </c>
      <c r="Z137" s="201">
        <f>IF(Z$3&gt;=Tech_Specs!$C29,IF(Z$3=2010,VLOOKUP(Z$3-Tech_Specs!$C29,Bass_Curve,IF(LEFT($B137,3)="LED",3,2)),IF(User_Inputs!$D$4="Frozen Efficiency",$G137,VLOOKUP(Z$3-Tech_Specs!$C29,Bass_Curve,IF(LEFT($B137,3)="LED",3,2)))),)</f>
        <v>0.99999998049294159</v>
      </c>
      <c r="AA137" s="201">
        <f>IF(AA$3&gt;=Tech_Specs!$C29,IF(AA$3=2010,VLOOKUP(AA$3-Tech_Specs!$C29,Bass_Curve,IF(LEFT($B137,3)="LED",3,2)),IF(User_Inputs!$D$4="Frozen Efficiency",$G137,VLOOKUP(AA$3-Tech_Specs!$C29,Bass_Curve,IF(LEFT($B137,3)="LED",3,2)))),)</f>
        <v>0.99999998049294159</v>
      </c>
      <c r="AB137" s="201">
        <f>IF(AB$3&gt;=Tech_Specs!$C29,IF(AB$3=2010,VLOOKUP(AB$3-Tech_Specs!$C29,Bass_Curve,IF(LEFT($B137,3)="LED",3,2)),IF(User_Inputs!$D$4="Frozen Efficiency",$G137,VLOOKUP(AB$3-Tech_Specs!$C29,Bass_Curve,IF(LEFT($B137,3)="LED",3,2)))),)</f>
        <v>0.99999998049294159</v>
      </c>
      <c r="AC137" s="201">
        <f>IF(AC$3&gt;=Tech_Specs!$C29,IF(AC$3=2010,VLOOKUP(AC$3-Tech_Specs!$C29,Bass_Curve,IF(LEFT($B137,3)="LED",3,2)),IF(User_Inputs!$D$4="Frozen Efficiency",$G137,VLOOKUP(AC$3-Tech_Specs!$C29,Bass_Curve,IF(LEFT($B137,3)="LED",3,2)))),)</f>
        <v>0.99999998049294159</v>
      </c>
      <c r="AD137" s="201">
        <f>IF(AD$3&gt;=Tech_Specs!$C29,IF(AD$3=2010,VLOOKUP(AD$3-Tech_Specs!$C29,Bass_Curve,IF(LEFT($B137,3)="LED",3,2)),IF(User_Inputs!$D$4="Frozen Efficiency",$G137,VLOOKUP(AD$3-Tech_Specs!$C29,Bass_Curve,IF(LEFT($B137,3)="LED",3,2)))),)</f>
        <v>0.99999998049294159</v>
      </c>
      <c r="AE137" s="201">
        <f>IF(AE$3&gt;=Tech_Specs!$C29,IF(AE$3=2010,VLOOKUP(AE$3-Tech_Specs!$C29,Bass_Curve,IF(LEFT($B137,3)="LED",3,2)),IF(User_Inputs!$D$4="Frozen Efficiency",$G137,VLOOKUP(AE$3-Tech_Specs!$C29,Bass_Curve,IF(LEFT($B137,3)="LED",3,2)))),)</f>
        <v>0.99999998049294159</v>
      </c>
      <c r="AF137" s="201">
        <f>IF(AF$3&gt;=Tech_Specs!$C29,IF(AF$3=2010,VLOOKUP(AF$3-Tech_Specs!$C29,Bass_Curve,IF(LEFT($B137,3)="LED",3,2)),IF(User_Inputs!$D$4="Frozen Efficiency",$G137,VLOOKUP(AF$3-Tech_Specs!$C29,Bass_Curve,IF(LEFT($B137,3)="LED",3,2)))),)</f>
        <v>0.99999998049294159</v>
      </c>
    </row>
    <row r="138" spans="1:32" s="221" customFormat="1" x14ac:dyDescent="0.25">
      <c r="A138" s="376"/>
      <c r="B138" s="388" t="s">
        <v>46</v>
      </c>
      <c r="C138"/>
      <c r="D138"/>
      <c r="E138"/>
      <c r="F138" s="1031"/>
      <c r="G138" s="201">
        <f>IF(G$3&gt;=Tech_Specs!$C30,IF(G$3=2010,VLOOKUP(G$3-Tech_Specs!$C30,Bass_Curve,IF(LEFT($B138,3)="LED",3,2)),IF(User_Inputs!$D$4="Frozen Efficiency",$G138,VLOOKUP(G$3-Tech_Specs!$C30,Bass_Curve,IF(LEFT($B138,3)="LED",3,2)))),)</f>
        <v>0.99999989808679191</v>
      </c>
      <c r="H138" s="201">
        <f>IF(H$3&gt;=Tech_Specs!$C30,IF(H$3=2010,VLOOKUP(H$3-Tech_Specs!$C30,Bass_Curve,IF(LEFT($B138,3)="LED",3,2)),IF(User_Inputs!$D$4="Frozen Efficiency",$G138,VLOOKUP(H$3-Tech_Specs!$C30,Bass_Curve,IF(LEFT($B138,3)="LED",3,2)))),)</f>
        <v>0.99999992678597005</v>
      </c>
      <c r="I138" s="201">
        <f>IF(I$3&gt;=Tech_Specs!$C30,IF(I$3=2010,VLOOKUP(I$3-Tech_Specs!$C30,Bass_Curve,IF(LEFT($B138,3)="LED",3,2)),IF(User_Inputs!$D$4="Frozen Efficiency",$G138,VLOOKUP(I$3-Tech_Specs!$C30,Bass_Curve,IF(LEFT($B138,3)="LED",3,2)))),)</f>
        <v>0.99999994740152531</v>
      </c>
      <c r="J138" s="201">
        <f>IF(J$3&gt;=Tech_Specs!$C30,IF(J$3=2010,VLOOKUP(J$3-Tech_Specs!$C30,Bass_Curve,IF(LEFT($B138,3)="LED",3,2)),IF(User_Inputs!$D$4="Frozen Efficiency",$G138,VLOOKUP(J$3-Tech_Specs!$C30,Bass_Curve,IF(LEFT($B138,3)="LED",3,2)))),)</f>
        <v>0.99999996221093224</v>
      </c>
      <c r="K138" s="201">
        <f>IF(K$3&gt;=Tech_Specs!$C30,IF(K$3=2010,VLOOKUP(K$3-Tech_Specs!$C30,Bass_Curve,IF(LEFT($B138,3)="LED",3,2)),IF(User_Inputs!$D$4="Frozen Efficiency",$G138,VLOOKUP(K$3-Tech_Specs!$C30,Bass_Curve,IF(LEFT($B138,3)="LED",3,2)))),)</f>
        <v>0.99999997284982522</v>
      </c>
      <c r="L138" s="201">
        <f>IF(L$3&gt;=Tech_Specs!$C30,IF(L$3=2010,VLOOKUP(L$3-Tech_Specs!$C30,Bass_Curve,IF(LEFT($B138,3)="LED",3,2)),IF(User_Inputs!$D$4="Frozen Efficiency",$G138,VLOOKUP(L$3-Tech_Specs!$C30,Bass_Curve,IF(LEFT($B138,3)="LED",3,2)))),)</f>
        <v>0.99999998049294159</v>
      </c>
      <c r="M138" s="201">
        <f>IF(M$3&gt;=Tech_Specs!$C30,IF(M$3=2010,VLOOKUP(M$3-Tech_Specs!$C30,Bass_Curve,IF(LEFT($B138,3)="LED",3,2)),IF(User_Inputs!$D$4="Frozen Efficiency",$G138,VLOOKUP(M$3-Tech_Specs!$C30,Bass_Curve,IF(LEFT($B138,3)="LED",3,2)))),)</f>
        <v>0.99999998049294159</v>
      </c>
      <c r="N138" s="201">
        <f>IF(N$3&gt;=Tech_Specs!$C30,IF(N$3=2010,VLOOKUP(N$3-Tech_Specs!$C30,Bass_Curve,IF(LEFT($B138,3)="LED",3,2)),IF(User_Inputs!$D$4="Frozen Efficiency",$G138,VLOOKUP(N$3-Tech_Specs!$C30,Bass_Curve,IF(LEFT($B138,3)="LED",3,2)))),)</f>
        <v>0.99999998049294159</v>
      </c>
      <c r="O138" s="201">
        <f>IF(O$3&gt;=Tech_Specs!$C30,IF(O$3=2010,VLOOKUP(O$3-Tech_Specs!$C30,Bass_Curve,IF(LEFT($B138,3)="LED",3,2)),IF(User_Inputs!$D$4="Frozen Efficiency",$G138,VLOOKUP(O$3-Tech_Specs!$C30,Bass_Curve,IF(LEFT($B138,3)="LED",3,2)))),)</f>
        <v>0.99999998049294159</v>
      </c>
      <c r="P138" s="201">
        <f>IF(P$3&gt;=Tech_Specs!$C30,IF(P$3=2010,VLOOKUP(P$3-Tech_Specs!$C30,Bass_Curve,IF(LEFT($B138,3)="LED",3,2)),IF(User_Inputs!$D$4="Frozen Efficiency",$G138,VLOOKUP(P$3-Tech_Specs!$C30,Bass_Curve,IF(LEFT($B138,3)="LED",3,2)))),)</f>
        <v>0.99999998049294159</v>
      </c>
      <c r="Q138" s="201">
        <f>IF(Q$3&gt;=Tech_Specs!$C30,IF(Q$3=2010,VLOOKUP(Q$3-Tech_Specs!$C30,Bass_Curve,IF(LEFT($B138,3)="LED",3,2)),IF(User_Inputs!$D$4="Frozen Efficiency",$G138,VLOOKUP(Q$3-Tech_Specs!$C30,Bass_Curve,IF(LEFT($B138,3)="LED",3,2)))),)</f>
        <v>0.99999998049294159</v>
      </c>
      <c r="R138" s="201">
        <f>IF(R$3&gt;=Tech_Specs!$C30,IF(R$3=2010,VLOOKUP(R$3-Tech_Specs!$C30,Bass_Curve,IF(LEFT($B138,3)="LED",3,2)),IF(User_Inputs!$D$4="Frozen Efficiency",$G138,VLOOKUP(R$3-Tech_Specs!$C30,Bass_Curve,IF(LEFT($B138,3)="LED",3,2)))),)</f>
        <v>0.99999998049294159</v>
      </c>
      <c r="S138" s="201">
        <f>IF(S$3&gt;=Tech_Specs!$C30,IF(S$3=2010,VLOOKUP(S$3-Tech_Specs!$C30,Bass_Curve,IF(LEFT($B138,3)="LED",3,2)),IF(User_Inputs!$D$4="Frozen Efficiency",$G138,VLOOKUP(S$3-Tech_Specs!$C30,Bass_Curve,IF(LEFT($B138,3)="LED",3,2)))),)</f>
        <v>0.99999998049294159</v>
      </c>
      <c r="T138" s="201">
        <f>IF(T$3&gt;=Tech_Specs!$C30,IF(T$3=2010,VLOOKUP(T$3-Tech_Specs!$C30,Bass_Curve,IF(LEFT($B138,3)="LED",3,2)),IF(User_Inputs!$D$4="Frozen Efficiency",$G138,VLOOKUP(T$3-Tech_Specs!$C30,Bass_Curve,IF(LEFT($B138,3)="LED",3,2)))),)</f>
        <v>0.99999998049294159</v>
      </c>
      <c r="U138" s="201">
        <f>IF(U$3&gt;=Tech_Specs!$C30,IF(U$3=2010,VLOOKUP(U$3-Tech_Specs!$C30,Bass_Curve,IF(LEFT($B138,3)="LED",3,2)),IF(User_Inputs!$D$4="Frozen Efficiency",$G138,VLOOKUP(U$3-Tech_Specs!$C30,Bass_Curve,IF(LEFT($B138,3)="LED",3,2)))),)</f>
        <v>0.99999998049294159</v>
      </c>
      <c r="V138" s="201">
        <f>IF(V$3&gt;=Tech_Specs!$C30,IF(V$3=2010,VLOOKUP(V$3-Tech_Specs!$C30,Bass_Curve,IF(LEFT($B138,3)="LED",3,2)),IF(User_Inputs!$D$4="Frozen Efficiency",$G138,VLOOKUP(V$3-Tech_Specs!$C30,Bass_Curve,IF(LEFT($B138,3)="LED",3,2)))),)</f>
        <v>0.99999998049294159</v>
      </c>
      <c r="W138" s="201">
        <f>IF(W$3&gt;=Tech_Specs!$C30,IF(W$3=2010,VLOOKUP(W$3-Tech_Specs!$C30,Bass_Curve,IF(LEFT($B138,3)="LED",3,2)),IF(User_Inputs!$D$4="Frozen Efficiency",$G138,VLOOKUP(W$3-Tech_Specs!$C30,Bass_Curve,IF(LEFT($B138,3)="LED",3,2)))),)</f>
        <v>0.99999998049294159</v>
      </c>
      <c r="X138" s="201">
        <f>IF(X$3&gt;=Tech_Specs!$C30,IF(X$3=2010,VLOOKUP(X$3-Tech_Specs!$C30,Bass_Curve,IF(LEFT($B138,3)="LED",3,2)),IF(User_Inputs!$D$4="Frozen Efficiency",$G138,VLOOKUP(X$3-Tech_Specs!$C30,Bass_Curve,IF(LEFT($B138,3)="LED",3,2)))),)</f>
        <v>0.99999998049294159</v>
      </c>
      <c r="Y138" s="201">
        <f>IF(Y$3&gt;=Tech_Specs!$C30,IF(Y$3=2010,VLOOKUP(Y$3-Tech_Specs!$C30,Bass_Curve,IF(LEFT($B138,3)="LED",3,2)),IF(User_Inputs!$D$4="Frozen Efficiency",$G138,VLOOKUP(Y$3-Tech_Specs!$C30,Bass_Curve,IF(LEFT($B138,3)="LED",3,2)))),)</f>
        <v>0.99999998049294159</v>
      </c>
      <c r="Z138" s="201">
        <f>IF(Z$3&gt;=Tech_Specs!$C30,IF(Z$3=2010,VLOOKUP(Z$3-Tech_Specs!$C30,Bass_Curve,IF(LEFT($B138,3)="LED",3,2)),IF(User_Inputs!$D$4="Frozen Efficiency",$G138,VLOOKUP(Z$3-Tech_Specs!$C30,Bass_Curve,IF(LEFT($B138,3)="LED",3,2)))),)</f>
        <v>0.99999998049294159</v>
      </c>
      <c r="AA138" s="201">
        <f>IF(AA$3&gt;=Tech_Specs!$C30,IF(AA$3=2010,VLOOKUP(AA$3-Tech_Specs!$C30,Bass_Curve,IF(LEFT($B138,3)="LED",3,2)),IF(User_Inputs!$D$4="Frozen Efficiency",$G138,VLOOKUP(AA$3-Tech_Specs!$C30,Bass_Curve,IF(LEFT($B138,3)="LED",3,2)))),)</f>
        <v>0.99999998049294159</v>
      </c>
      <c r="AB138" s="201">
        <f>IF(AB$3&gt;=Tech_Specs!$C30,IF(AB$3=2010,VLOOKUP(AB$3-Tech_Specs!$C30,Bass_Curve,IF(LEFT($B138,3)="LED",3,2)),IF(User_Inputs!$D$4="Frozen Efficiency",$G138,VLOOKUP(AB$3-Tech_Specs!$C30,Bass_Curve,IF(LEFT($B138,3)="LED",3,2)))),)</f>
        <v>0.99999998049294159</v>
      </c>
      <c r="AC138" s="201">
        <f>IF(AC$3&gt;=Tech_Specs!$C30,IF(AC$3=2010,VLOOKUP(AC$3-Tech_Specs!$C30,Bass_Curve,IF(LEFT($B138,3)="LED",3,2)),IF(User_Inputs!$D$4="Frozen Efficiency",$G138,VLOOKUP(AC$3-Tech_Specs!$C30,Bass_Curve,IF(LEFT($B138,3)="LED",3,2)))),)</f>
        <v>0.99999998049294159</v>
      </c>
      <c r="AD138" s="201">
        <f>IF(AD$3&gt;=Tech_Specs!$C30,IF(AD$3=2010,VLOOKUP(AD$3-Tech_Specs!$C30,Bass_Curve,IF(LEFT($B138,3)="LED",3,2)),IF(User_Inputs!$D$4="Frozen Efficiency",$G138,VLOOKUP(AD$3-Tech_Specs!$C30,Bass_Curve,IF(LEFT($B138,3)="LED",3,2)))),)</f>
        <v>0.99999998049294159</v>
      </c>
      <c r="AE138" s="201">
        <f>IF(AE$3&gt;=Tech_Specs!$C30,IF(AE$3=2010,VLOOKUP(AE$3-Tech_Specs!$C30,Bass_Curve,IF(LEFT($B138,3)="LED",3,2)),IF(User_Inputs!$D$4="Frozen Efficiency",$G138,VLOOKUP(AE$3-Tech_Specs!$C30,Bass_Curve,IF(LEFT($B138,3)="LED",3,2)))),)</f>
        <v>0.99999998049294159</v>
      </c>
      <c r="AF138" s="201">
        <f>IF(AF$3&gt;=Tech_Specs!$C30,IF(AF$3=2010,VLOOKUP(AF$3-Tech_Specs!$C30,Bass_Curve,IF(LEFT($B138,3)="LED",3,2)),IF(User_Inputs!$D$4="Frozen Efficiency",$G138,VLOOKUP(AF$3-Tech_Specs!$C30,Bass_Curve,IF(LEFT($B138,3)="LED",3,2)))),)</f>
        <v>0.99999998049294159</v>
      </c>
    </row>
    <row r="139" spans="1:32" s="221" customFormat="1" x14ac:dyDescent="0.25">
      <c r="A139" s="376"/>
      <c r="B139" s="376" t="s">
        <v>29</v>
      </c>
      <c r="C139"/>
      <c r="D139"/>
      <c r="E139"/>
      <c r="F139" s="1031"/>
      <c r="G139" s="201">
        <f>IF(G$3&gt;=Tech_Specs!$C31,IF(G$3=2010,VLOOKUP(G$3-Tech_Specs!$C31,Bass_Curve,IF(LEFT($B139,3)="LED",3,2)),IF(User_Inputs!$D$4="Frozen Efficiency",$G139,VLOOKUP(G$3-Tech_Specs!$C31,Bass_Curve,IF(LEFT($B139,3)="LED",3,2)))),)</f>
        <v>0.11197478620001509</v>
      </c>
      <c r="H139" s="201">
        <f>IF(H$3&gt;=Tech_Specs!$C31,IF(H$3=2010,VLOOKUP(H$3-Tech_Specs!$C31,Bass_Curve,IF(LEFT($B139,3)="LED",3,2)),IF(User_Inputs!$D$4="Frozen Efficiency",$G139,VLOOKUP(H$3-Tech_Specs!$C31,Bass_Curve,IF(LEFT($B139,3)="LED",3,2)))),)</f>
        <v>0.15936056895239697</v>
      </c>
      <c r="I139" s="201">
        <f>IF(I$3&gt;=Tech_Specs!$C31,IF(I$3=2010,VLOOKUP(I$3-Tech_Specs!$C31,Bass_Curve,IF(LEFT($B139,3)="LED",3,2)),IF(User_Inputs!$D$4="Frozen Efficiency",$G139,VLOOKUP(I$3-Tech_Specs!$C31,Bass_Curve,IF(LEFT($B139,3)="LED",3,2)))),)</f>
        <v>0.21712504966565391</v>
      </c>
      <c r="J139" s="201">
        <f>IF(J$3&gt;=Tech_Specs!$C31,IF(J$3=2010,VLOOKUP(J$3-Tech_Specs!$C31,Bass_Curve,IF(LEFT($B139,3)="LED",3,2)),IF(User_Inputs!$D$4="Frozen Efficiency",$G139,VLOOKUP(J$3-Tech_Specs!$C31,Bass_Curve,IF(LEFT($B139,3)="LED",3,2)))),)</f>
        <v>0.28414080977412093</v>
      </c>
      <c r="K139" s="201">
        <f>IF(K$3&gt;=Tech_Specs!$C31,IF(K$3=2010,VLOOKUP(K$3-Tech_Specs!$C31,Bass_Curve,IF(LEFT($B139,3)="LED",3,2)),IF(User_Inputs!$D$4="Frozen Efficiency",$G139,VLOOKUP(K$3-Tech_Specs!$C31,Bass_Curve,IF(LEFT($B139,3)="LED",3,2)))),)</f>
        <v>0.35795009041805559</v>
      </c>
      <c r="L139" s="201">
        <f>IF(L$3&gt;=Tech_Specs!$C31,IF(L$3=2010,VLOOKUP(L$3-Tech_Specs!$C31,Bass_Curve,IF(LEFT($B139,3)="LED",3,2)),IF(User_Inputs!$D$4="Frozen Efficiency",$G139,VLOOKUP(L$3-Tech_Specs!$C31,Bass_Curve,IF(LEFT($B139,3)="LED",3,2)))),)</f>
        <v>0.43528730962994305</v>
      </c>
      <c r="M139" s="201">
        <f>IF(M$3&gt;=Tech_Specs!$C31,IF(M$3=2010,VLOOKUP(M$3-Tech_Specs!$C31,Bass_Curve,IF(LEFT($B139,3)="LED",3,2)),IF(User_Inputs!$D$4="Frozen Efficiency",$G139,VLOOKUP(M$3-Tech_Specs!$C31,Bass_Curve,IF(LEFT($B139,3)="LED",3,2)))),)</f>
        <v>0.51284484369923866</v>
      </c>
      <c r="N139" s="201">
        <f>IF(N$3&gt;=Tech_Specs!$C31,IF(N$3=2010,VLOOKUP(N$3-Tech_Specs!$C31,Bass_Curve,IF(LEFT($B139,3)="LED",3,2)),IF(User_Inputs!$D$4="Frozen Efficiency",$G139,VLOOKUP(N$3-Tech_Specs!$C31,Bass_Curve,IF(LEFT($B139,3)="LED",3,2)))),)</f>
        <v>0.58783004379238735</v>
      </c>
      <c r="O139" s="201">
        <f>IF(O$3&gt;=Tech_Specs!$C31,IF(O$3=2010,VLOOKUP(O$3-Tech_Specs!$C31,Bass_Curve,IF(LEFT($B139,3)="LED",3,2)),IF(User_Inputs!$D$4="Frozen Efficiency",$G139,VLOOKUP(O$3-Tech_Specs!$C31,Bass_Curve,IF(LEFT($B139,3)="LED",3,2)))),)</f>
        <v>0.65810308249900329</v>
      </c>
      <c r="P139" s="201">
        <f>IF(P$3&gt;=Tech_Specs!$C31,IF(P$3=2010,VLOOKUP(P$3-Tech_Specs!$C31,Bass_Curve,IF(LEFT($B139,3)="LED",3,2)),IF(User_Inputs!$D$4="Frozen Efficiency",$G139,VLOOKUP(P$3-Tech_Specs!$C31,Bass_Curve,IF(LEFT($B139,3)="LED",3,2)))),)</f>
        <v>0.72206467330281499</v>
      </c>
      <c r="Q139" s="201">
        <f>IF(Q$3&gt;=Tech_Specs!$C31,IF(Q$3=2010,VLOOKUP(Q$3-Tech_Specs!$C31,Bass_Curve,IF(LEFT($B139,3)="LED",3,2)),IF(User_Inputs!$D$4="Frozen Efficiency",$G139,VLOOKUP(Q$3-Tech_Specs!$C31,Bass_Curve,IF(LEFT($B139,3)="LED",3,2)))),)</f>
        <v>0.77856976904215913</v>
      </c>
      <c r="R139" s="201">
        <f>IF(R$3&gt;=Tech_Specs!$C31,IF(R$3=2010,VLOOKUP(R$3-Tech_Specs!$C31,Bass_Curve,IF(LEFT($B139,3)="LED",3,2)),IF(User_Inputs!$D$4="Frozen Efficiency",$G139,VLOOKUP(R$3-Tech_Specs!$C31,Bass_Curve,IF(LEFT($B139,3)="LED",3,2)))),)</f>
        <v>0.82696350840215249</v>
      </c>
      <c r="S139" s="201">
        <f>IF(S$3&gt;=Tech_Specs!$C31,IF(S$3=2010,VLOOKUP(S$3-Tech_Specs!$C31,Bass_Curve,IF(LEFT($B139,3)="LED",3,2)),IF(User_Inputs!$D$4="Frozen Efficiency",$G139,VLOOKUP(S$3-Tech_Specs!$C31,Bass_Curve,IF(LEFT($B139,3)="LED",3,2)))),)</f>
        <v>0.86714658256559263</v>
      </c>
      <c r="T139" s="201">
        <f>IF(T$3&gt;=Tech_Specs!$C31,IF(T$3=2010,VLOOKUP(T$3-Tech_Specs!$C31,Bass_Curve,IF(LEFT($B139,3)="LED",3,2)),IF(User_Inputs!$D$4="Frozen Efficiency",$G139,VLOOKUP(T$3-Tech_Specs!$C31,Bass_Curve,IF(LEFT($B139,3)="LED",3,2)))),)</f>
        <v>0.89955419985356344</v>
      </c>
      <c r="U139" s="201">
        <f>IF(U$3&gt;=Tech_Specs!$C31,IF(U$3=2010,VLOOKUP(U$3-Tech_Specs!$C31,Bass_Curve,IF(LEFT($B139,3)="LED",3,2)),IF(User_Inputs!$D$4="Frozen Efficiency",$G139,VLOOKUP(U$3-Tech_Specs!$C31,Bass_Curve,IF(LEFT($B139,3)="LED",3,2)))),)</f>
        <v>0.92502432100062038</v>
      </c>
      <c r="V139" s="201">
        <f>IF(V$3&gt;=Tech_Specs!$C31,IF(V$3=2010,VLOOKUP(V$3-Tech_Specs!$C31,Bass_Curve,IF(LEFT($B139,3)="LED",3,2)),IF(User_Inputs!$D$4="Frozen Efficiency",$G139,VLOOKUP(V$3-Tech_Specs!$C31,Bass_Curve,IF(LEFT($B139,3)="LED",3,2)))),)</f>
        <v>0.94461059131409331</v>
      </c>
      <c r="W139" s="201">
        <f>IF(W$3&gt;=Tech_Specs!$C31,IF(W$3=2010,VLOOKUP(W$3-Tech_Specs!$C31,Bass_Curve,IF(LEFT($B139,3)="LED",3,2)),IF(User_Inputs!$D$4="Frozen Efficiency",$G139,VLOOKUP(W$3-Tech_Specs!$C31,Bass_Curve,IF(LEFT($B139,3)="LED",3,2)))),)</f>
        <v>0.95940876722590474</v>
      </c>
      <c r="X139" s="201">
        <f>IF(X$3&gt;=Tech_Specs!$C31,IF(X$3=2010,VLOOKUP(X$3-Tech_Specs!$C31,Bass_Curve,IF(LEFT($B139,3)="LED",3,2)),IF(User_Inputs!$D$4="Frozen Efficiency",$G139,VLOOKUP(X$3-Tech_Specs!$C31,Bass_Curve,IF(LEFT($B139,3)="LED",3,2)))),)</f>
        <v>0.97043561397505118</v>
      </c>
      <c r="Y139" s="201">
        <f>IF(Y$3&gt;=Tech_Specs!$C31,IF(Y$3=2010,VLOOKUP(Y$3-Tech_Specs!$C31,Bass_Curve,IF(LEFT($B139,3)="LED",3,2)),IF(User_Inputs!$D$4="Frozen Efficiency",$G139,VLOOKUP(Y$3-Tech_Specs!$C31,Bass_Curve,IF(LEFT($B139,3)="LED",3,2)))),)</f>
        <v>0.97856563119743434</v>
      </c>
      <c r="Z139" s="201">
        <f>IF(Z$3&gt;=Tech_Specs!$C31,IF(Z$3=2010,VLOOKUP(Z$3-Tech_Specs!$C31,Bass_Curve,IF(LEFT($B139,3)="LED",3,2)),IF(User_Inputs!$D$4="Frozen Efficiency",$G139,VLOOKUP(Z$3-Tech_Specs!$C31,Bass_Curve,IF(LEFT($B139,3)="LED",3,2)))),)</f>
        <v>0.98451232141945333</v>
      </c>
      <c r="AA139" s="201">
        <f>IF(AA$3&gt;=Tech_Specs!$C31,IF(AA$3=2010,VLOOKUP(AA$3-Tech_Specs!$C31,Bass_Curve,IF(LEFT($B139,3)="LED",3,2)),IF(User_Inputs!$D$4="Frozen Efficiency",$G139,VLOOKUP(AA$3-Tech_Specs!$C31,Bass_Curve,IF(LEFT($B139,3)="LED",3,2)))),)</f>
        <v>0.98883650057565198</v>
      </c>
      <c r="AB139" s="201">
        <f>IF(AB$3&gt;=Tech_Specs!$C31,IF(AB$3=2010,VLOOKUP(AB$3-Tech_Specs!$C31,Bass_Curve,IF(LEFT($B139,3)="LED",3,2)),IF(User_Inputs!$D$4="Frozen Efficiency",$G139,VLOOKUP(AB$3-Tech_Specs!$C31,Bass_Curve,IF(LEFT($B139,3)="LED",3,2)))),)</f>
        <v>0.99196738407609564</v>
      </c>
      <c r="AC139" s="201">
        <f>IF(AC$3&gt;=Tech_Specs!$C31,IF(AC$3=2010,VLOOKUP(AC$3-Tech_Specs!$C31,Bass_Curve,IF(LEFT($B139,3)="LED",3,2)),IF(User_Inputs!$D$4="Frozen Efficiency",$G139,VLOOKUP(AC$3-Tech_Specs!$C31,Bass_Curve,IF(LEFT($B139,3)="LED",3,2)))),)</f>
        <v>0.99422726069133227</v>
      </c>
      <c r="AD139" s="201">
        <f>IF(AD$3&gt;=Tech_Specs!$C31,IF(AD$3=2010,VLOOKUP(AD$3-Tech_Specs!$C31,Bass_Curve,IF(LEFT($B139,3)="LED",3,2)),IF(User_Inputs!$D$4="Frozen Efficiency",$G139,VLOOKUP(AD$3-Tech_Specs!$C31,Bass_Curve,IF(LEFT($B139,3)="LED",3,2)))),)</f>
        <v>0.99585484432697347</v>
      </c>
      <c r="AE139" s="201">
        <f>IF(AE$3&gt;=Tech_Specs!$C31,IF(AE$3=2010,VLOOKUP(AE$3-Tech_Specs!$C31,Bass_Curve,IF(LEFT($B139,3)="LED",3,2)),IF(User_Inputs!$D$4="Frozen Efficiency",$G139,VLOOKUP(AE$3-Tech_Specs!$C31,Bass_Curve,IF(LEFT($B139,3)="LED",3,2)))),)</f>
        <v>0.99702522404198501</v>
      </c>
      <c r="AF139" s="201">
        <f>IF(AF$3&gt;=Tech_Specs!$C31,IF(AF$3=2010,VLOOKUP(AF$3-Tech_Specs!$C31,Bass_Curve,IF(LEFT($B139,3)="LED",3,2)),IF(User_Inputs!$D$4="Frozen Efficiency",$G139,VLOOKUP(AF$3-Tech_Specs!$C31,Bass_Curve,IF(LEFT($B139,3)="LED",3,2)))),)</f>
        <v>0.99786592697261467</v>
      </c>
    </row>
    <row r="140" spans="1:32" s="221" customFormat="1" x14ac:dyDescent="0.25">
      <c r="A140" s="376"/>
      <c r="B140" s="376"/>
      <c r="C140"/>
      <c r="D140"/>
      <c r="E140"/>
      <c r="F140" s="1031"/>
      <c r="G140"/>
      <c r="H140"/>
      <c r="I140"/>
      <c r="J140"/>
      <c r="K140"/>
      <c r="L140"/>
      <c r="M140"/>
      <c r="N140"/>
      <c r="O140"/>
      <c r="P140"/>
      <c r="Q140"/>
      <c r="R140"/>
      <c r="S140"/>
      <c r="T140"/>
      <c r="U140"/>
      <c r="V140"/>
      <c r="W140"/>
      <c r="X140"/>
      <c r="Y140"/>
      <c r="Z140"/>
      <c r="AA140"/>
      <c r="AB140"/>
      <c r="AC140"/>
      <c r="AD140"/>
      <c r="AE140"/>
      <c r="AF140"/>
    </row>
    <row r="141" spans="1:32" s="202" customFormat="1" ht="12.75" x14ac:dyDescent="0.2">
      <c r="A141" s="402" t="s">
        <v>47</v>
      </c>
      <c r="B141" s="402"/>
      <c r="C141" s="402"/>
      <c r="D141" s="402"/>
      <c r="E141" s="402"/>
      <c r="F141" s="1112"/>
      <c r="G141" s="402"/>
      <c r="H141" s="402"/>
      <c r="I141" s="402"/>
      <c r="J141" s="402"/>
      <c r="K141" s="402"/>
      <c r="L141" s="402"/>
      <c r="M141" s="402"/>
      <c r="N141" s="402"/>
      <c r="O141" s="402"/>
      <c r="P141" s="402"/>
      <c r="Q141" s="402"/>
      <c r="R141" s="402"/>
      <c r="S141" s="402"/>
      <c r="T141" s="402"/>
      <c r="U141" s="402"/>
      <c r="V141" s="402"/>
      <c r="W141" s="402"/>
      <c r="X141" s="402"/>
      <c r="Y141" s="402"/>
      <c r="Z141" s="402"/>
      <c r="AA141" s="402"/>
      <c r="AB141" s="402"/>
      <c r="AC141" s="402"/>
      <c r="AD141" s="402"/>
      <c r="AE141" s="402"/>
      <c r="AF141" s="402"/>
    </row>
    <row r="142" spans="1:32" s="221" customFormat="1" x14ac:dyDescent="0.25">
      <c r="A142" s="376"/>
      <c r="B142" s="376" t="s">
        <v>48</v>
      </c>
      <c r="C142"/>
      <c r="D142"/>
      <c r="E142"/>
      <c r="F142" s="1031"/>
      <c r="G142" s="201">
        <f>IF(G$3&gt;=Tech_Specs!$C34,IF(G$3=2010,VLOOKUP(G$3-Tech_Specs!$C34,Bass_Curve,IF(LEFT($B142,3)="LED",3,2)),IF(User_Inputs!$D$4="Frozen Efficiency",$G142,VLOOKUP(G$3-Tech_Specs!$C34,Bass_Curve,IF(LEFT($B142,3)="LED",3,2)))),)</f>
        <v>0.99999998049294159</v>
      </c>
      <c r="H142" s="201">
        <f>IF(H$3&gt;=Tech_Specs!$C34,IF(H$3=2010,VLOOKUP(H$3-Tech_Specs!$C34,Bass_Curve,IF(LEFT($B142,3)="LED",3,2)),IF(User_Inputs!$D$4="Frozen Efficiency",$G142,VLOOKUP(H$3-Tech_Specs!$C34,Bass_Curve,IF(LEFT($B142,3)="LED",3,2)))),)</f>
        <v>0.99999998049294159</v>
      </c>
      <c r="I142" s="201">
        <f>IF(I$3&gt;=Tech_Specs!$C34,IF(I$3=2010,VLOOKUP(I$3-Tech_Specs!$C34,Bass_Curve,IF(LEFT($B142,3)="LED",3,2)),IF(User_Inputs!$D$4="Frozen Efficiency",$G142,VLOOKUP(I$3-Tech_Specs!$C34,Bass_Curve,IF(LEFT($B142,3)="LED",3,2)))),)</f>
        <v>0.99999998049294159</v>
      </c>
      <c r="J142" s="201">
        <f>IF(J$3&gt;=Tech_Specs!$C34,IF(J$3=2010,VLOOKUP(J$3-Tech_Specs!$C34,Bass_Curve,IF(LEFT($B142,3)="LED",3,2)),IF(User_Inputs!$D$4="Frozen Efficiency",$G142,VLOOKUP(J$3-Tech_Specs!$C34,Bass_Curve,IF(LEFT($B142,3)="LED",3,2)))),)</f>
        <v>0.99999998049294159</v>
      </c>
      <c r="K142" s="201">
        <f>IF(K$3&gt;=Tech_Specs!$C34,IF(K$3=2010,VLOOKUP(K$3-Tech_Specs!$C34,Bass_Curve,IF(LEFT($B142,3)="LED",3,2)),IF(User_Inputs!$D$4="Frozen Efficiency",$G142,VLOOKUP(K$3-Tech_Specs!$C34,Bass_Curve,IF(LEFT($B142,3)="LED",3,2)))),)</f>
        <v>0.99999998049294159</v>
      </c>
      <c r="L142" s="201">
        <f>IF(L$3&gt;=Tech_Specs!$C34,IF(L$3=2010,VLOOKUP(L$3-Tech_Specs!$C34,Bass_Curve,IF(LEFT($B142,3)="LED",3,2)),IF(User_Inputs!$D$4="Frozen Efficiency",$G142,VLOOKUP(L$3-Tech_Specs!$C34,Bass_Curve,IF(LEFT($B142,3)="LED",3,2)))),)</f>
        <v>0.99999998049294159</v>
      </c>
      <c r="M142" s="201">
        <f>IF(M$3&gt;=Tech_Specs!$C34,IF(M$3=2010,VLOOKUP(M$3-Tech_Specs!$C34,Bass_Curve,IF(LEFT($B142,3)="LED",3,2)),IF(User_Inputs!$D$4="Frozen Efficiency",$G142,VLOOKUP(M$3-Tech_Specs!$C34,Bass_Curve,IF(LEFT($B142,3)="LED",3,2)))),)</f>
        <v>0.99999998049294159</v>
      </c>
      <c r="N142" s="201">
        <f>IF(N$3&gt;=Tech_Specs!$C34,IF(N$3=2010,VLOOKUP(N$3-Tech_Specs!$C34,Bass_Curve,IF(LEFT($B142,3)="LED",3,2)),IF(User_Inputs!$D$4="Frozen Efficiency",$G142,VLOOKUP(N$3-Tech_Specs!$C34,Bass_Curve,IF(LEFT($B142,3)="LED",3,2)))),)</f>
        <v>0.99999998049294159</v>
      </c>
      <c r="O142" s="201">
        <f>IF(O$3&gt;=Tech_Specs!$C34,IF(O$3=2010,VLOOKUP(O$3-Tech_Specs!$C34,Bass_Curve,IF(LEFT($B142,3)="LED",3,2)),IF(User_Inputs!$D$4="Frozen Efficiency",$G142,VLOOKUP(O$3-Tech_Specs!$C34,Bass_Curve,IF(LEFT($B142,3)="LED",3,2)))),)</f>
        <v>0.99999998049294159</v>
      </c>
      <c r="P142" s="201">
        <f>IF(P$3&gt;=Tech_Specs!$C34,IF(P$3=2010,VLOOKUP(P$3-Tech_Specs!$C34,Bass_Curve,IF(LEFT($B142,3)="LED",3,2)),IF(User_Inputs!$D$4="Frozen Efficiency",$G142,VLOOKUP(P$3-Tech_Specs!$C34,Bass_Curve,IF(LEFT($B142,3)="LED",3,2)))),)</f>
        <v>0.99999998049294159</v>
      </c>
      <c r="Q142" s="201">
        <f>IF(Q$3&gt;=Tech_Specs!$C34,IF(Q$3=2010,VLOOKUP(Q$3-Tech_Specs!$C34,Bass_Curve,IF(LEFT($B142,3)="LED",3,2)),IF(User_Inputs!$D$4="Frozen Efficiency",$G142,VLOOKUP(Q$3-Tech_Specs!$C34,Bass_Curve,IF(LEFT($B142,3)="LED",3,2)))),)</f>
        <v>0.99999998049294159</v>
      </c>
      <c r="R142" s="201">
        <f>IF(R$3&gt;=Tech_Specs!$C34,IF(R$3=2010,VLOOKUP(R$3-Tech_Specs!$C34,Bass_Curve,IF(LEFT($B142,3)="LED",3,2)),IF(User_Inputs!$D$4="Frozen Efficiency",$G142,VLOOKUP(R$3-Tech_Specs!$C34,Bass_Curve,IF(LEFT($B142,3)="LED",3,2)))),)</f>
        <v>0.99999998049294159</v>
      </c>
      <c r="S142" s="201">
        <f>IF(S$3&gt;=Tech_Specs!$C34,IF(S$3=2010,VLOOKUP(S$3-Tech_Specs!$C34,Bass_Curve,IF(LEFT($B142,3)="LED",3,2)),IF(User_Inputs!$D$4="Frozen Efficiency",$G142,VLOOKUP(S$3-Tech_Specs!$C34,Bass_Curve,IF(LEFT($B142,3)="LED",3,2)))),)</f>
        <v>0.99999998049294159</v>
      </c>
      <c r="T142" s="201">
        <f>IF(T$3&gt;=Tech_Specs!$C34,IF(T$3=2010,VLOOKUP(T$3-Tech_Specs!$C34,Bass_Curve,IF(LEFT($B142,3)="LED",3,2)),IF(User_Inputs!$D$4="Frozen Efficiency",$G142,VLOOKUP(T$3-Tech_Specs!$C34,Bass_Curve,IF(LEFT($B142,3)="LED",3,2)))),)</f>
        <v>0.99999998049294159</v>
      </c>
      <c r="U142" s="201">
        <f>IF(U$3&gt;=Tech_Specs!$C34,IF(U$3=2010,VLOOKUP(U$3-Tech_Specs!$C34,Bass_Curve,IF(LEFT($B142,3)="LED",3,2)),IF(User_Inputs!$D$4="Frozen Efficiency",$G142,VLOOKUP(U$3-Tech_Specs!$C34,Bass_Curve,IF(LEFT($B142,3)="LED",3,2)))),)</f>
        <v>0.99999998049294159</v>
      </c>
      <c r="V142" s="201">
        <f>IF(V$3&gt;=Tech_Specs!$C34,IF(V$3=2010,VLOOKUP(V$3-Tech_Specs!$C34,Bass_Curve,IF(LEFT($B142,3)="LED",3,2)),IF(User_Inputs!$D$4="Frozen Efficiency",$G142,VLOOKUP(V$3-Tech_Specs!$C34,Bass_Curve,IF(LEFT($B142,3)="LED",3,2)))),)</f>
        <v>0.99999998049294159</v>
      </c>
      <c r="W142" s="201">
        <f>IF(W$3&gt;=Tech_Specs!$C34,IF(W$3=2010,VLOOKUP(W$3-Tech_Specs!$C34,Bass_Curve,IF(LEFT($B142,3)="LED",3,2)),IF(User_Inputs!$D$4="Frozen Efficiency",$G142,VLOOKUP(W$3-Tech_Specs!$C34,Bass_Curve,IF(LEFT($B142,3)="LED",3,2)))),)</f>
        <v>0.99999998049294159</v>
      </c>
      <c r="X142" s="201">
        <f>IF(X$3&gt;=Tech_Specs!$C34,IF(X$3=2010,VLOOKUP(X$3-Tech_Specs!$C34,Bass_Curve,IF(LEFT($B142,3)="LED",3,2)),IF(User_Inputs!$D$4="Frozen Efficiency",$G142,VLOOKUP(X$3-Tech_Specs!$C34,Bass_Curve,IF(LEFT($B142,3)="LED",3,2)))),)</f>
        <v>0.99999998049294159</v>
      </c>
      <c r="Y142" s="201">
        <f>IF(Y$3&gt;=Tech_Specs!$C34,IF(Y$3=2010,VLOOKUP(Y$3-Tech_Specs!$C34,Bass_Curve,IF(LEFT($B142,3)="LED",3,2)),IF(User_Inputs!$D$4="Frozen Efficiency",$G142,VLOOKUP(Y$3-Tech_Specs!$C34,Bass_Curve,IF(LEFT($B142,3)="LED",3,2)))),)</f>
        <v>0.99999998049294159</v>
      </c>
      <c r="Z142" s="201">
        <f>IF(Z$3&gt;=Tech_Specs!$C34,IF(Z$3=2010,VLOOKUP(Z$3-Tech_Specs!$C34,Bass_Curve,IF(LEFT($B142,3)="LED",3,2)),IF(User_Inputs!$D$4="Frozen Efficiency",$G142,VLOOKUP(Z$3-Tech_Specs!$C34,Bass_Curve,IF(LEFT($B142,3)="LED",3,2)))),)</f>
        <v>0.99999998049294159</v>
      </c>
      <c r="AA142" s="201">
        <f>IF(AA$3&gt;=Tech_Specs!$C34,IF(AA$3=2010,VLOOKUP(AA$3-Tech_Specs!$C34,Bass_Curve,IF(LEFT($B142,3)="LED",3,2)),IF(User_Inputs!$D$4="Frozen Efficiency",$G142,VLOOKUP(AA$3-Tech_Specs!$C34,Bass_Curve,IF(LEFT($B142,3)="LED",3,2)))),)</f>
        <v>0.99999998049294159</v>
      </c>
      <c r="AB142" s="201">
        <f>IF(AB$3&gt;=Tech_Specs!$C34,IF(AB$3=2010,VLOOKUP(AB$3-Tech_Specs!$C34,Bass_Curve,IF(LEFT($B142,3)="LED",3,2)),IF(User_Inputs!$D$4="Frozen Efficiency",$G142,VLOOKUP(AB$3-Tech_Specs!$C34,Bass_Curve,IF(LEFT($B142,3)="LED",3,2)))),)</f>
        <v>0.99999998049294159</v>
      </c>
      <c r="AC142" s="201">
        <f>IF(AC$3&gt;=Tech_Specs!$C34,IF(AC$3=2010,VLOOKUP(AC$3-Tech_Specs!$C34,Bass_Curve,IF(LEFT($B142,3)="LED",3,2)),IF(User_Inputs!$D$4="Frozen Efficiency",$G142,VLOOKUP(AC$3-Tech_Specs!$C34,Bass_Curve,IF(LEFT($B142,3)="LED",3,2)))),)</f>
        <v>0.99999998049294159</v>
      </c>
      <c r="AD142" s="201">
        <f>IF(AD$3&gt;=Tech_Specs!$C34,IF(AD$3=2010,VLOOKUP(AD$3-Tech_Specs!$C34,Bass_Curve,IF(LEFT($B142,3)="LED",3,2)),IF(User_Inputs!$D$4="Frozen Efficiency",$G142,VLOOKUP(AD$3-Tech_Specs!$C34,Bass_Curve,IF(LEFT($B142,3)="LED",3,2)))),)</f>
        <v>0.99999998049294159</v>
      </c>
      <c r="AE142" s="201">
        <f>IF(AE$3&gt;=Tech_Specs!$C34,IF(AE$3=2010,VLOOKUP(AE$3-Tech_Specs!$C34,Bass_Curve,IF(LEFT($B142,3)="LED",3,2)),IF(User_Inputs!$D$4="Frozen Efficiency",$G142,VLOOKUP(AE$3-Tech_Specs!$C34,Bass_Curve,IF(LEFT($B142,3)="LED",3,2)))),)</f>
        <v>0.99999998049294159</v>
      </c>
      <c r="AF142" s="201">
        <f>IF(AF$3&gt;=Tech_Specs!$C34,IF(AF$3=2010,VLOOKUP(AF$3-Tech_Specs!$C34,Bass_Curve,IF(LEFT($B142,3)="LED",3,2)),IF(User_Inputs!$D$4="Frozen Efficiency",$G142,VLOOKUP(AF$3-Tech_Specs!$C34,Bass_Curve,IF(LEFT($B142,3)="LED",3,2)))),)</f>
        <v>0.99999998049294159</v>
      </c>
    </row>
    <row r="143" spans="1:32" s="221" customFormat="1" x14ac:dyDescent="0.25">
      <c r="A143" s="376"/>
      <c r="B143" s="388" t="s">
        <v>50</v>
      </c>
      <c r="C143"/>
      <c r="D143"/>
      <c r="E143"/>
      <c r="F143" s="1031"/>
      <c r="G143" s="201">
        <f>IF(G$3&gt;=Tech_Specs!$C35,IF(G$3=2010,VLOOKUP(G$3-Tech_Specs!$C35,Bass_Curve,IF(LEFT($B143,3)="LED",3,2)),IF(User_Inputs!$D$4="Frozen Efficiency",$G143,VLOOKUP(G$3-Tech_Specs!$C35,Bass_Curve,IF(LEFT($B143,3)="LED",3,2)))),)</f>
        <v>0.99992312620537604</v>
      </c>
      <c r="H143" s="201">
        <f>IF(H$3&gt;=Tech_Specs!$C35,IF(H$3=2010,VLOOKUP(H$3-Tech_Specs!$C35,Bass_Curve,IF(LEFT($B143,3)="LED",3,2)),IF(User_Inputs!$D$4="Frozen Efficiency",$G143,VLOOKUP(H$3-Tech_Specs!$C35,Bass_Curve,IF(LEFT($B143,3)="LED",3,2)))),)</f>
        <v>0.9999448431048531</v>
      </c>
      <c r="I143" s="201">
        <f>IF(I$3&gt;=Tech_Specs!$C35,IF(I$3=2010,VLOOKUP(I$3-Tech_Specs!$C35,Bass_Curve,IF(LEFT($B143,3)="LED",3,2)),IF(User_Inputs!$D$4="Frozen Efficiency",$G143,VLOOKUP(I$3-Tech_Specs!$C35,Bass_Curve,IF(LEFT($B143,3)="LED",3,2)))),)</f>
        <v>0.99996042135098673</v>
      </c>
      <c r="J143" s="201">
        <f>IF(J$3&gt;=Tech_Specs!$C35,IF(J$3=2010,VLOOKUP(J$3-Tech_Specs!$C35,Bass_Curve,IF(LEFT($B143,3)="LED",3,2)),IF(User_Inputs!$D$4="Frozen Efficiency",$G143,VLOOKUP(J$3-Tech_Specs!$C35,Bass_Curve,IF(LEFT($B143,3)="LED",3,2)))),)</f>
        <v>0.99997159722102513</v>
      </c>
      <c r="K143" s="201">
        <f>IF(K$3&gt;=Tech_Specs!$C35,IF(K$3=2010,VLOOKUP(K$3-Tech_Specs!$C35,Bass_Curve,IF(LEFT($B143,3)="LED",3,2)),IF(User_Inputs!$D$4="Frozen Efficiency",$G143,VLOOKUP(K$3-Tech_Specs!$C35,Bass_Curve,IF(LEFT($B143,3)="LED",3,2)))),)</f>
        <v>0.9999796155873415</v>
      </c>
      <c r="L143" s="201">
        <f>IF(L$3&gt;=Tech_Specs!$C35,IF(L$3=2010,VLOOKUP(L$3-Tech_Specs!$C35,Bass_Curve,IF(LEFT($B143,3)="LED",3,2)),IF(User_Inputs!$D$4="Frozen Efficiency",$G143,VLOOKUP(L$3-Tech_Specs!$C35,Bass_Curve,IF(LEFT($B143,3)="LED",3,2)))),)</f>
        <v>0.99998536907810021</v>
      </c>
      <c r="M143" s="201">
        <f>IF(M$3&gt;=Tech_Specs!$C35,IF(M$3=2010,VLOOKUP(M$3-Tech_Specs!$C35,Bass_Curve,IF(LEFT($B143,3)="LED",3,2)),IF(User_Inputs!$D$4="Frozen Efficiency",$G143,VLOOKUP(M$3-Tech_Specs!$C35,Bass_Curve,IF(LEFT($B143,3)="LED",3,2)))),)</f>
        <v>0.99998949781098223</v>
      </c>
      <c r="N143" s="201">
        <f>IF(N$3&gt;=Tech_Specs!$C35,IF(N$3=2010,VLOOKUP(N$3-Tech_Specs!$C35,Bass_Curve,IF(LEFT($B143,3)="LED",3,2)),IF(User_Inputs!$D$4="Frozen Efficiency",$G143,VLOOKUP(N$3-Tech_Specs!$C35,Bass_Curve,IF(LEFT($B143,3)="LED",3,2)))),)</f>
        <v>0.99999246087225968</v>
      </c>
      <c r="O143" s="201">
        <f>IF(O$3&gt;=Tech_Specs!$C35,IF(O$3=2010,VLOOKUP(O$3-Tech_Specs!$C35,Bass_Curve,IF(LEFT($B143,3)="LED",3,2)),IF(User_Inputs!$D$4="Frozen Efficiency",$G143,VLOOKUP(O$3-Tech_Specs!$C35,Bass_Curve,IF(LEFT($B143,3)="LED",3,2)))),)</f>
        <v>0.99999458754894088</v>
      </c>
      <c r="P143" s="201">
        <f>IF(P$3&gt;=Tech_Specs!$C35,IF(P$3=2010,VLOOKUP(P$3-Tech_Specs!$C35,Bass_Curve,IF(LEFT($B143,3)="LED",3,2)),IF(User_Inputs!$D$4="Frozen Efficiency",$G143,VLOOKUP(P$3-Tech_Specs!$C35,Bass_Curve,IF(LEFT($B143,3)="LED",3,2)))),)</f>
        <v>0.99999611405218891</v>
      </c>
      <c r="Q143" s="201">
        <f>IF(Q$3&gt;=Tech_Specs!$C35,IF(Q$3=2010,VLOOKUP(Q$3-Tech_Specs!$C35,Bass_Curve,IF(LEFT($B143,3)="LED",3,2)),IF(User_Inputs!$D$4="Frozen Efficiency",$G143,VLOOKUP(Q$3-Tech_Specs!$C35,Bass_Curve,IF(LEFT($B143,3)="LED",3,2)))),)</f>
        <v>0.99999720984345863</v>
      </c>
      <c r="R143" s="201">
        <f>IF(R$3&gt;=Tech_Specs!$C35,IF(R$3=2010,VLOOKUP(R$3-Tech_Specs!$C35,Bass_Curve,IF(LEFT($B143,3)="LED",3,2)),IF(User_Inputs!$D$4="Frozen Efficiency",$G143,VLOOKUP(R$3-Tech_Specs!$C35,Bass_Curve,IF(LEFT($B143,3)="LED",3,2)))),)</f>
        <v>0.99999799650912424</v>
      </c>
      <c r="S143" s="201">
        <f>IF(S$3&gt;=Tech_Specs!$C35,IF(S$3=2010,VLOOKUP(S$3-Tech_Specs!$C35,Bass_Curve,IF(LEFT($B143,3)="LED",3,2)),IF(User_Inputs!$D$4="Frozen Efficiency",$G143,VLOOKUP(S$3-Tech_Specs!$C35,Bass_Curve,IF(LEFT($B143,3)="LED",3,2)))),)</f>
        <v>0.99999856129425391</v>
      </c>
      <c r="T143" s="201">
        <f>IF(T$3&gt;=Tech_Specs!$C35,IF(T$3=2010,VLOOKUP(T$3-Tech_Specs!$C35,Bass_Curve,IF(LEFT($B143,3)="LED",3,2)),IF(User_Inputs!$D$4="Frozen Efficiency",$G143,VLOOKUP(T$3-Tech_Specs!$C35,Bass_Curve,IF(LEFT($B143,3)="LED",3,2)))),)</f>
        <v>0.99999896680791711</v>
      </c>
      <c r="U143" s="201">
        <f>IF(U$3&gt;=Tech_Specs!$C35,IF(U$3=2010,VLOOKUP(U$3-Tech_Specs!$C35,Bass_Curve,IF(LEFT($B143,3)="LED",3,2)),IF(User_Inputs!$D$4="Frozen Efficiency",$G143,VLOOKUP(U$3-Tech_Specs!$C35,Bass_Curve,IF(LEFT($B143,3)="LED",3,2)))),)</f>
        <v>0.99999925798382638</v>
      </c>
      <c r="V143" s="201">
        <f>IF(V$3&gt;=Tech_Specs!$C35,IF(V$3=2010,VLOOKUP(V$3-Tech_Specs!$C35,Bass_Curve,IF(LEFT($B143,3)="LED",3,2)),IF(User_Inputs!$D$4="Frozen Efficiency",$G143,VLOOKUP(V$3-Tech_Specs!$C35,Bass_Curve,IF(LEFT($B143,3)="LED",3,2)))),)</f>
        <v>0.99999946707306653</v>
      </c>
      <c r="W143" s="201">
        <f>IF(W$3&gt;=Tech_Specs!$C35,IF(W$3=2010,VLOOKUP(W$3-Tech_Specs!$C35,Bass_Curve,IF(LEFT($B143,3)="LED",3,2)),IF(User_Inputs!$D$4="Frozen Efficiency",$G143,VLOOKUP(W$3-Tech_Specs!$C35,Bass_Curve,IF(LEFT($B143,3)="LED",3,2)))),)</f>
        <v>0.99999961722567021</v>
      </c>
      <c r="X143" s="201">
        <f>IF(X$3&gt;=Tech_Specs!$C35,IF(X$3=2010,VLOOKUP(X$3-Tech_Specs!$C35,Bass_Curve,IF(LEFT($B143,3)="LED",3,2)),IF(User_Inputs!$D$4="Frozen Efficiency",$G143,VLOOKUP(X$3-Tech_Specs!$C35,Bass_Curve,IF(LEFT($B143,3)="LED",3,2)))),)</f>
        <v>0.99999972506016011</v>
      </c>
      <c r="Y143" s="201">
        <f>IF(Y$3&gt;=Tech_Specs!$C35,IF(Y$3=2010,VLOOKUP(Y$3-Tech_Specs!$C35,Bass_Curve,IF(LEFT($B143,3)="LED",3,2)),IF(User_Inputs!$D$4="Frozen Efficiency",$G143,VLOOKUP(Y$3-Tech_Specs!$C35,Bass_Curve,IF(LEFT($B143,3)="LED",3,2)))),)</f>
        <v>0.99999980250721576</v>
      </c>
      <c r="Z143" s="201">
        <f>IF(Z$3&gt;=Tech_Specs!$C35,IF(Z$3=2010,VLOOKUP(Z$3-Tech_Specs!$C35,Bass_Curve,IF(LEFT($B143,3)="LED",3,2)),IF(User_Inputs!$D$4="Frozen Efficiency",$G143,VLOOKUP(Z$3-Tech_Specs!$C35,Bass_Curve,IF(LEFT($B143,3)="LED",3,2)))),)</f>
        <v>0.99999985813264225</v>
      </c>
      <c r="AA143" s="201">
        <f>IF(AA$3&gt;=Tech_Specs!$C35,IF(AA$3=2010,VLOOKUP(AA$3-Tech_Specs!$C35,Bass_Curve,IF(LEFT($B143,3)="LED",3,2)),IF(User_Inputs!$D$4="Frozen Efficiency",$G143,VLOOKUP(AA$3-Tech_Specs!$C35,Bass_Curve,IF(LEFT($B143,3)="LED",3,2)))),)</f>
        <v>0.99999989808679191</v>
      </c>
      <c r="AB143" s="201">
        <f>IF(AB$3&gt;=Tech_Specs!$C35,IF(AB$3=2010,VLOOKUP(AB$3-Tech_Specs!$C35,Bass_Curve,IF(LEFT($B143,3)="LED",3,2)),IF(User_Inputs!$D$4="Frozen Efficiency",$G143,VLOOKUP(AB$3-Tech_Specs!$C35,Bass_Curve,IF(LEFT($B143,3)="LED",3,2)))),)</f>
        <v>0.99999992678597005</v>
      </c>
      <c r="AC143" s="201">
        <f>IF(AC$3&gt;=Tech_Specs!$C35,IF(AC$3=2010,VLOOKUP(AC$3-Tech_Specs!$C35,Bass_Curve,IF(LEFT($B143,3)="LED",3,2)),IF(User_Inputs!$D$4="Frozen Efficiency",$G143,VLOOKUP(AC$3-Tech_Specs!$C35,Bass_Curve,IF(LEFT($B143,3)="LED",3,2)))),)</f>
        <v>0.99999994740152531</v>
      </c>
      <c r="AD143" s="201">
        <f>IF(AD$3&gt;=Tech_Specs!$C35,IF(AD$3=2010,VLOOKUP(AD$3-Tech_Specs!$C35,Bass_Curve,IF(LEFT($B143,3)="LED",3,2)),IF(User_Inputs!$D$4="Frozen Efficiency",$G143,VLOOKUP(AD$3-Tech_Specs!$C35,Bass_Curve,IF(LEFT($B143,3)="LED",3,2)))),)</f>
        <v>0.99999996221093224</v>
      </c>
      <c r="AE143" s="201">
        <f>IF(AE$3&gt;=Tech_Specs!$C35,IF(AE$3=2010,VLOOKUP(AE$3-Tech_Specs!$C35,Bass_Curve,IF(LEFT($B143,3)="LED",3,2)),IF(User_Inputs!$D$4="Frozen Efficiency",$G143,VLOOKUP(AE$3-Tech_Specs!$C35,Bass_Curve,IF(LEFT($B143,3)="LED",3,2)))),)</f>
        <v>0.99999997284982522</v>
      </c>
      <c r="AF143" s="201">
        <f>IF(AF$3&gt;=Tech_Specs!$C35,IF(AF$3=2010,VLOOKUP(AF$3-Tech_Specs!$C35,Bass_Curve,IF(LEFT($B143,3)="LED",3,2)),IF(User_Inputs!$D$4="Frozen Efficiency",$G143,VLOOKUP(AF$3-Tech_Specs!$C35,Bass_Curve,IF(LEFT($B143,3)="LED",3,2)))),)</f>
        <v>0.99999998049294159</v>
      </c>
    </row>
    <row r="144" spans="1:32" s="221" customFormat="1" x14ac:dyDescent="0.25">
      <c r="A144" s="376"/>
      <c r="B144" s="376" t="s">
        <v>51</v>
      </c>
      <c r="C144"/>
      <c r="D144"/>
      <c r="E144"/>
      <c r="F144" s="1031"/>
      <c r="G144" s="201">
        <f>IF(G$3&gt;=Tech_Specs!$C36,IF(G$3=2010,VLOOKUP(G$3-Tech_Specs!$C36,Bass_Curve,IF(LEFT($B144,3)="LED",3,2)),IF(User_Inputs!$D$4="Frozen Efficiency",$G144,VLOOKUP(G$3-Tech_Specs!$C36,Bass_Curve,IF(LEFT($B144,3)="LED",3,2)))),)</f>
        <v>0.43528730962994305</v>
      </c>
      <c r="H144" s="201">
        <f>IF(H$3&gt;=Tech_Specs!$C36,IF(H$3=2010,VLOOKUP(H$3-Tech_Specs!$C36,Bass_Curve,IF(LEFT($B144,3)="LED",3,2)),IF(User_Inputs!$D$4="Frozen Efficiency",$G144,VLOOKUP(H$3-Tech_Specs!$C36,Bass_Curve,IF(LEFT($B144,3)="LED",3,2)))),)</f>
        <v>0.51284484369923866</v>
      </c>
      <c r="I144" s="201">
        <f>IF(I$3&gt;=Tech_Specs!$C36,IF(I$3=2010,VLOOKUP(I$3-Tech_Specs!$C36,Bass_Curve,IF(LEFT($B144,3)="LED",3,2)),IF(User_Inputs!$D$4="Frozen Efficiency",$G144,VLOOKUP(I$3-Tech_Specs!$C36,Bass_Curve,IF(LEFT($B144,3)="LED",3,2)))),)</f>
        <v>0.58783004379238735</v>
      </c>
      <c r="J144" s="201">
        <f>IF(J$3&gt;=Tech_Specs!$C36,IF(J$3=2010,VLOOKUP(J$3-Tech_Specs!$C36,Bass_Curve,IF(LEFT($B144,3)="LED",3,2)),IF(User_Inputs!$D$4="Frozen Efficiency",$G144,VLOOKUP(J$3-Tech_Specs!$C36,Bass_Curve,IF(LEFT($B144,3)="LED",3,2)))),)</f>
        <v>0.65810308249900329</v>
      </c>
      <c r="K144" s="201">
        <f>IF(K$3&gt;=Tech_Specs!$C36,IF(K$3=2010,VLOOKUP(K$3-Tech_Specs!$C36,Bass_Curve,IF(LEFT($B144,3)="LED",3,2)),IF(User_Inputs!$D$4="Frozen Efficiency",$G144,VLOOKUP(K$3-Tech_Specs!$C36,Bass_Curve,IF(LEFT($B144,3)="LED",3,2)))),)</f>
        <v>0.72206467330281499</v>
      </c>
      <c r="L144" s="201">
        <f>IF(L$3&gt;=Tech_Specs!$C36,IF(L$3=2010,VLOOKUP(L$3-Tech_Specs!$C36,Bass_Curve,IF(LEFT($B144,3)="LED",3,2)),IF(User_Inputs!$D$4="Frozen Efficiency",$G144,VLOOKUP(L$3-Tech_Specs!$C36,Bass_Curve,IF(LEFT($B144,3)="LED",3,2)))),)</f>
        <v>0.77856976904215913</v>
      </c>
      <c r="M144" s="201">
        <f>IF(M$3&gt;=Tech_Specs!$C36,IF(M$3=2010,VLOOKUP(M$3-Tech_Specs!$C36,Bass_Curve,IF(LEFT($B144,3)="LED",3,2)),IF(User_Inputs!$D$4="Frozen Efficiency",$G144,VLOOKUP(M$3-Tech_Specs!$C36,Bass_Curve,IF(LEFT($B144,3)="LED",3,2)))),)</f>
        <v>0.82696350840215249</v>
      </c>
      <c r="N144" s="201">
        <f>IF(N$3&gt;=Tech_Specs!$C36,IF(N$3=2010,VLOOKUP(N$3-Tech_Specs!$C36,Bass_Curve,IF(LEFT($B144,3)="LED",3,2)),IF(User_Inputs!$D$4="Frozen Efficiency",$G144,VLOOKUP(N$3-Tech_Specs!$C36,Bass_Curve,IF(LEFT($B144,3)="LED",3,2)))),)</f>
        <v>0.86714658256559263</v>
      </c>
      <c r="O144" s="201">
        <f>IF(O$3&gt;=Tech_Specs!$C36,IF(O$3=2010,VLOOKUP(O$3-Tech_Specs!$C36,Bass_Curve,IF(LEFT($B144,3)="LED",3,2)),IF(User_Inputs!$D$4="Frozen Efficiency",$G144,VLOOKUP(O$3-Tech_Specs!$C36,Bass_Curve,IF(LEFT($B144,3)="LED",3,2)))),)</f>
        <v>0.89955419985356344</v>
      </c>
      <c r="P144" s="201">
        <f>IF(P$3&gt;=Tech_Specs!$C36,IF(P$3=2010,VLOOKUP(P$3-Tech_Specs!$C36,Bass_Curve,IF(LEFT($B144,3)="LED",3,2)),IF(User_Inputs!$D$4="Frozen Efficiency",$G144,VLOOKUP(P$3-Tech_Specs!$C36,Bass_Curve,IF(LEFT($B144,3)="LED",3,2)))),)</f>
        <v>0.92502432100062038</v>
      </c>
      <c r="Q144" s="201">
        <f>IF(Q$3&gt;=Tech_Specs!$C36,IF(Q$3=2010,VLOOKUP(Q$3-Tech_Specs!$C36,Bass_Curve,IF(LEFT($B144,3)="LED",3,2)),IF(User_Inputs!$D$4="Frozen Efficiency",$G144,VLOOKUP(Q$3-Tech_Specs!$C36,Bass_Curve,IF(LEFT($B144,3)="LED",3,2)))),)</f>
        <v>0.94461059131409331</v>
      </c>
      <c r="R144" s="201">
        <f>IF(R$3&gt;=Tech_Specs!$C36,IF(R$3=2010,VLOOKUP(R$3-Tech_Specs!$C36,Bass_Curve,IF(LEFT($B144,3)="LED",3,2)),IF(User_Inputs!$D$4="Frozen Efficiency",$G144,VLOOKUP(R$3-Tech_Specs!$C36,Bass_Curve,IF(LEFT($B144,3)="LED",3,2)))),)</f>
        <v>0.95940876722590474</v>
      </c>
      <c r="S144" s="201">
        <f>IF(S$3&gt;=Tech_Specs!$C36,IF(S$3=2010,VLOOKUP(S$3-Tech_Specs!$C36,Bass_Curve,IF(LEFT($B144,3)="LED",3,2)),IF(User_Inputs!$D$4="Frozen Efficiency",$G144,VLOOKUP(S$3-Tech_Specs!$C36,Bass_Curve,IF(LEFT($B144,3)="LED",3,2)))),)</f>
        <v>0.97043561397505118</v>
      </c>
      <c r="T144" s="201">
        <f>IF(T$3&gt;=Tech_Specs!$C36,IF(T$3=2010,VLOOKUP(T$3-Tech_Specs!$C36,Bass_Curve,IF(LEFT($B144,3)="LED",3,2)),IF(User_Inputs!$D$4="Frozen Efficiency",$G144,VLOOKUP(T$3-Tech_Specs!$C36,Bass_Curve,IF(LEFT($B144,3)="LED",3,2)))),)</f>
        <v>0.97856563119743434</v>
      </c>
      <c r="U144" s="201">
        <f>IF(U$3&gt;=Tech_Specs!$C36,IF(U$3=2010,VLOOKUP(U$3-Tech_Specs!$C36,Bass_Curve,IF(LEFT($B144,3)="LED",3,2)),IF(User_Inputs!$D$4="Frozen Efficiency",$G144,VLOOKUP(U$3-Tech_Specs!$C36,Bass_Curve,IF(LEFT($B144,3)="LED",3,2)))),)</f>
        <v>0.98451232141945333</v>
      </c>
      <c r="V144" s="201">
        <f>IF(V$3&gt;=Tech_Specs!$C36,IF(V$3=2010,VLOOKUP(V$3-Tech_Specs!$C36,Bass_Curve,IF(LEFT($B144,3)="LED",3,2)),IF(User_Inputs!$D$4="Frozen Efficiency",$G144,VLOOKUP(V$3-Tech_Specs!$C36,Bass_Curve,IF(LEFT($B144,3)="LED",3,2)))),)</f>
        <v>0.98883650057565198</v>
      </c>
      <c r="W144" s="201">
        <f>IF(W$3&gt;=Tech_Specs!$C36,IF(W$3=2010,VLOOKUP(W$3-Tech_Specs!$C36,Bass_Curve,IF(LEFT($B144,3)="LED",3,2)),IF(User_Inputs!$D$4="Frozen Efficiency",$G144,VLOOKUP(W$3-Tech_Specs!$C36,Bass_Curve,IF(LEFT($B144,3)="LED",3,2)))),)</f>
        <v>0.99196738407609564</v>
      </c>
      <c r="X144" s="201">
        <f>IF(X$3&gt;=Tech_Specs!$C36,IF(X$3=2010,VLOOKUP(X$3-Tech_Specs!$C36,Bass_Curve,IF(LEFT($B144,3)="LED",3,2)),IF(User_Inputs!$D$4="Frozen Efficiency",$G144,VLOOKUP(X$3-Tech_Specs!$C36,Bass_Curve,IF(LEFT($B144,3)="LED",3,2)))),)</f>
        <v>0.99422726069133227</v>
      </c>
      <c r="Y144" s="201">
        <f>IF(Y$3&gt;=Tech_Specs!$C36,IF(Y$3=2010,VLOOKUP(Y$3-Tech_Specs!$C36,Bass_Curve,IF(LEFT($B144,3)="LED",3,2)),IF(User_Inputs!$D$4="Frozen Efficiency",$G144,VLOOKUP(Y$3-Tech_Specs!$C36,Bass_Curve,IF(LEFT($B144,3)="LED",3,2)))),)</f>
        <v>0.99585484432697347</v>
      </c>
      <c r="Z144" s="201">
        <f>IF(Z$3&gt;=Tech_Specs!$C36,IF(Z$3=2010,VLOOKUP(Z$3-Tech_Specs!$C36,Bass_Curve,IF(LEFT($B144,3)="LED",3,2)),IF(User_Inputs!$D$4="Frozen Efficiency",$G144,VLOOKUP(Z$3-Tech_Specs!$C36,Bass_Curve,IF(LEFT($B144,3)="LED",3,2)))),)</f>
        <v>0.99702522404198501</v>
      </c>
      <c r="AA144" s="201">
        <f>IF(AA$3&gt;=Tech_Specs!$C36,IF(AA$3=2010,VLOOKUP(AA$3-Tech_Specs!$C36,Bass_Curve,IF(LEFT($B144,3)="LED",3,2)),IF(User_Inputs!$D$4="Frozen Efficiency",$G144,VLOOKUP(AA$3-Tech_Specs!$C36,Bass_Curve,IF(LEFT($B144,3)="LED",3,2)))),)</f>
        <v>0.99786592697261467</v>
      </c>
      <c r="AB144" s="201">
        <f>IF(AB$3&gt;=Tech_Specs!$C36,IF(AB$3=2010,VLOOKUP(AB$3-Tech_Specs!$C36,Bass_Curve,IF(LEFT($B144,3)="LED",3,2)),IF(User_Inputs!$D$4="Frozen Efficiency",$G144,VLOOKUP(AB$3-Tech_Specs!$C36,Bass_Curve,IF(LEFT($B144,3)="LED",3,2)))),)</f>
        <v>0.9984693766950139</v>
      </c>
      <c r="AC144" s="201">
        <f>IF(AC$3&gt;=Tech_Specs!$C36,IF(AC$3=2010,VLOOKUP(AC$3-Tech_Specs!$C36,Bass_Curve,IF(LEFT($B144,3)="LED",3,2)),IF(User_Inputs!$D$4="Frozen Efficiency",$G144,VLOOKUP(AC$3-Tech_Specs!$C36,Bass_Curve,IF(LEFT($B144,3)="LED",3,2)))),)</f>
        <v>0.99890231984592681</v>
      </c>
      <c r="AD144" s="201">
        <f>IF(AD$3&gt;=Tech_Specs!$C36,IF(AD$3=2010,VLOOKUP(AD$3-Tech_Specs!$C36,Bass_Curve,IF(LEFT($B144,3)="LED",3,2)),IF(User_Inputs!$D$4="Frozen Efficiency",$G144,VLOOKUP(AD$3-Tech_Specs!$C36,Bass_Curve,IF(LEFT($B144,3)="LED",3,2)))),)</f>
        <v>0.99921283993037913</v>
      </c>
      <c r="AE144" s="201">
        <f>IF(AE$3&gt;=Tech_Specs!$C36,IF(AE$3=2010,VLOOKUP(AE$3-Tech_Specs!$C36,Bass_Curve,IF(LEFT($B144,3)="LED",3,2)),IF(User_Inputs!$D$4="Frozen Efficiency",$G144,VLOOKUP(AE$3-Tech_Specs!$C36,Bass_Curve,IF(LEFT($B144,3)="LED",3,2)))),)</f>
        <v>0.99943551570827049</v>
      </c>
      <c r="AF144" s="201">
        <f>IF(AF$3&gt;=Tech_Specs!$C36,IF(AF$3=2010,VLOOKUP(AF$3-Tech_Specs!$C36,Bass_Curve,IF(LEFT($B144,3)="LED",3,2)),IF(User_Inputs!$D$4="Frozen Efficiency",$G144,VLOOKUP(AF$3-Tech_Specs!$C36,Bass_Curve,IF(LEFT($B144,3)="LED",3,2)))),)</f>
        <v>0.99959518445151951</v>
      </c>
    </row>
    <row r="145" spans="1:32" s="221" customFormat="1" x14ac:dyDescent="0.25">
      <c r="A145" s="376"/>
      <c r="B145" s="376" t="s">
        <v>52</v>
      </c>
      <c r="C145"/>
      <c r="D145"/>
      <c r="E145"/>
      <c r="F145" s="1031"/>
      <c r="G145" s="201">
        <f>IF(G$3&gt;=Tech_Specs!$C37,IF(G$3=2010,VLOOKUP(G$3-Tech_Specs!$C37,Bass_Curve,IF(LEFT($B145,3)="LED",3,2)),IF(User_Inputs!$D$4="Frozen Efficiency",$G145,VLOOKUP(G$3-Tech_Specs!$C37,Bass_Curve,IF(LEFT($B145,3)="LED",3,2)))),)</f>
        <v>0.99585484432697347</v>
      </c>
      <c r="H145" s="201">
        <f>IF(H$3&gt;=Tech_Specs!$C37,IF(H$3=2010,VLOOKUP(H$3-Tech_Specs!$C37,Bass_Curve,IF(LEFT($B145,3)="LED",3,2)),IF(User_Inputs!$D$4="Frozen Efficiency",$G145,VLOOKUP(H$3-Tech_Specs!$C37,Bass_Curve,IF(LEFT($B145,3)="LED",3,2)))),)</f>
        <v>0.99702522404198501</v>
      </c>
      <c r="I145" s="201">
        <f>IF(I$3&gt;=Tech_Specs!$C37,IF(I$3=2010,VLOOKUP(I$3-Tech_Specs!$C37,Bass_Curve,IF(LEFT($B145,3)="LED",3,2)),IF(User_Inputs!$D$4="Frozen Efficiency",$G145,VLOOKUP(I$3-Tech_Specs!$C37,Bass_Curve,IF(LEFT($B145,3)="LED",3,2)))),)</f>
        <v>0.99786592697261467</v>
      </c>
      <c r="J145" s="201">
        <f>IF(J$3&gt;=Tech_Specs!$C37,IF(J$3=2010,VLOOKUP(J$3-Tech_Specs!$C37,Bass_Curve,IF(LEFT($B145,3)="LED",3,2)),IF(User_Inputs!$D$4="Frozen Efficiency",$G145,VLOOKUP(J$3-Tech_Specs!$C37,Bass_Curve,IF(LEFT($B145,3)="LED",3,2)))),)</f>
        <v>0.9984693766950139</v>
      </c>
      <c r="K145" s="201">
        <f>IF(K$3&gt;=Tech_Specs!$C37,IF(K$3=2010,VLOOKUP(K$3-Tech_Specs!$C37,Bass_Curve,IF(LEFT($B145,3)="LED",3,2)),IF(User_Inputs!$D$4="Frozen Efficiency",$G145,VLOOKUP(K$3-Tech_Specs!$C37,Bass_Curve,IF(LEFT($B145,3)="LED",3,2)))),)</f>
        <v>0.99890231984592681</v>
      </c>
      <c r="L145" s="201">
        <f>IF(L$3&gt;=Tech_Specs!$C37,IF(L$3=2010,VLOOKUP(L$3-Tech_Specs!$C37,Bass_Curve,IF(LEFT($B145,3)="LED",3,2)),IF(User_Inputs!$D$4="Frozen Efficiency",$G145,VLOOKUP(L$3-Tech_Specs!$C37,Bass_Curve,IF(LEFT($B145,3)="LED",3,2)))),)</f>
        <v>0.99921283993037913</v>
      </c>
      <c r="M145" s="201">
        <f>IF(M$3&gt;=Tech_Specs!$C37,IF(M$3=2010,VLOOKUP(M$3-Tech_Specs!$C37,Bass_Curve,IF(LEFT($B145,3)="LED",3,2)),IF(User_Inputs!$D$4="Frozen Efficiency",$G145,VLOOKUP(M$3-Tech_Specs!$C37,Bass_Curve,IF(LEFT($B145,3)="LED",3,2)))),)</f>
        <v>0.99943551570827049</v>
      </c>
      <c r="N145" s="201">
        <f>IF(N$3&gt;=Tech_Specs!$C37,IF(N$3=2010,VLOOKUP(N$3-Tech_Specs!$C37,Bass_Curve,IF(LEFT($B145,3)="LED",3,2)),IF(User_Inputs!$D$4="Frozen Efficiency",$G145,VLOOKUP(N$3-Tech_Specs!$C37,Bass_Curve,IF(LEFT($B145,3)="LED",3,2)))),)</f>
        <v>0.99959518445151951</v>
      </c>
      <c r="O145" s="201">
        <f>IF(O$3&gt;=Tech_Specs!$C37,IF(O$3=2010,VLOOKUP(O$3-Tech_Specs!$C37,Bass_Curve,IF(LEFT($B145,3)="LED",3,2)),IF(User_Inputs!$D$4="Frozen Efficiency",$G145,VLOOKUP(O$3-Tech_Specs!$C37,Bass_Curve,IF(LEFT($B145,3)="LED",3,2)))),)</f>
        <v>0.99970967191209748</v>
      </c>
      <c r="P145" s="201">
        <f>IF(P$3&gt;=Tech_Specs!$C37,IF(P$3=2010,VLOOKUP(P$3-Tech_Specs!$C37,Bass_Curve,IF(LEFT($B145,3)="LED",3,2)),IF(User_Inputs!$D$4="Frozen Efficiency",$G145,VLOOKUP(P$3-Tech_Specs!$C37,Bass_Curve,IF(LEFT($B145,3)="LED",3,2)))),)</f>
        <v>0.99979176488656052</v>
      </c>
      <c r="Q145" s="201">
        <f>IF(Q$3&gt;=Tech_Specs!$C37,IF(Q$3=2010,VLOOKUP(Q$3-Tech_Specs!$C37,Bass_Curve,IF(LEFT($B145,3)="LED",3,2)),IF(User_Inputs!$D$4="Frozen Efficiency",$G145,VLOOKUP(Q$3-Tech_Specs!$C37,Bass_Curve,IF(LEFT($B145,3)="LED",3,2)))),)</f>
        <v>0.99985063257548779</v>
      </c>
      <c r="R145" s="201">
        <f>IF(R$3&gt;=Tech_Specs!$C37,IF(R$3=2010,VLOOKUP(R$3-Tech_Specs!$C37,Bass_Curve,IF(LEFT($B145,3)="LED",3,2)),IF(User_Inputs!$D$4="Frozen Efficiency",$G145,VLOOKUP(R$3-Tech_Specs!$C37,Bass_Curve,IF(LEFT($B145,3)="LED",3,2)))),)</f>
        <v>0.99989284880158935</v>
      </c>
      <c r="S145" s="201">
        <f>IF(S$3&gt;=Tech_Specs!$C37,IF(S$3=2010,VLOOKUP(S$3-Tech_Specs!$C37,Bass_Curve,IF(LEFT($B145,3)="LED",3,2)),IF(User_Inputs!$D$4="Frozen Efficiency",$G145,VLOOKUP(S$3-Tech_Specs!$C37,Bass_Curve,IF(LEFT($B145,3)="LED",3,2)))),)</f>
        <v>0.99992312620537604</v>
      </c>
      <c r="T145" s="201">
        <f>IF(T$3&gt;=Tech_Specs!$C37,IF(T$3=2010,VLOOKUP(T$3-Tech_Specs!$C37,Bass_Curve,IF(LEFT($B145,3)="LED",3,2)),IF(User_Inputs!$D$4="Frozen Efficiency",$G145,VLOOKUP(T$3-Tech_Specs!$C37,Bass_Curve,IF(LEFT($B145,3)="LED",3,2)))),)</f>
        <v>0.9999448431048531</v>
      </c>
      <c r="U145" s="201">
        <f>IF(U$3&gt;=Tech_Specs!$C37,IF(U$3=2010,VLOOKUP(U$3-Tech_Specs!$C37,Bass_Curve,IF(LEFT($B145,3)="LED",3,2)),IF(User_Inputs!$D$4="Frozen Efficiency",$G145,VLOOKUP(U$3-Tech_Specs!$C37,Bass_Curve,IF(LEFT($B145,3)="LED",3,2)))),)</f>
        <v>0.99996042135098673</v>
      </c>
      <c r="V145" s="201">
        <f>IF(V$3&gt;=Tech_Specs!$C37,IF(V$3=2010,VLOOKUP(V$3-Tech_Specs!$C37,Bass_Curve,IF(LEFT($B145,3)="LED",3,2)),IF(User_Inputs!$D$4="Frozen Efficiency",$G145,VLOOKUP(V$3-Tech_Specs!$C37,Bass_Curve,IF(LEFT($B145,3)="LED",3,2)))),)</f>
        <v>0.99997159722102513</v>
      </c>
      <c r="W145" s="201">
        <f>IF(W$3&gt;=Tech_Specs!$C37,IF(W$3=2010,VLOOKUP(W$3-Tech_Specs!$C37,Bass_Curve,IF(LEFT($B145,3)="LED",3,2)),IF(User_Inputs!$D$4="Frozen Efficiency",$G145,VLOOKUP(W$3-Tech_Specs!$C37,Bass_Curve,IF(LEFT($B145,3)="LED",3,2)))),)</f>
        <v>0.9999796155873415</v>
      </c>
      <c r="X145" s="201">
        <f>IF(X$3&gt;=Tech_Specs!$C37,IF(X$3=2010,VLOOKUP(X$3-Tech_Specs!$C37,Bass_Curve,IF(LEFT($B145,3)="LED",3,2)),IF(User_Inputs!$D$4="Frozen Efficiency",$G145,VLOOKUP(X$3-Tech_Specs!$C37,Bass_Curve,IF(LEFT($B145,3)="LED",3,2)))),)</f>
        <v>0.99998536907810021</v>
      </c>
      <c r="Y145" s="201">
        <f>IF(Y$3&gt;=Tech_Specs!$C37,IF(Y$3=2010,VLOOKUP(Y$3-Tech_Specs!$C37,Bass_Curve,IF(LEFT($B145,3)="LED",3,2)),IF(User_Inputs!$D$4="Frozen Efficiency",$G145,VLOOKUP(Y$3-Tech_Specs!$C37,Bass_Curve,IF(LEFT($B145,3)="LED",3,2)))),)</f>
        <v>0.99998949781098223</v>
      </c>
      <c r="Z145" s="201">
        <f>IF(Z$3&gt;=Tech_Specs!$C37,IF(Z$3=2010,VLOOKUP(Z$3-Tech_Specs!$C37,Bass_Curve,IF(LEFT($B145,3)="LED",3,2)),IF(User_Inputs!$D$4="Frozen Efficiency",$G145,VLOOKUP(Z$3-Tech_Specs!$C37,Bass_Curve,IF(LEFT($B145,3)="LED",3,2)))),)</f>
        <v>0.99999246087225968</v>
      </c>
      <c r="AA145" s="201">
        <f>IF(AA$3&gt;=Tech_Specs!$C37,IF(AA$3=2010,VLOOKUP(AA$3-Tech_Specs!$C37,Bass_Curve,IF(LEFT($B145,3)="LED",3,2)),IF(User_Inputs!$D$4="Frozen Efficiency",$G145,VLOOKUP(AA$3-Tech_Specs!$C37,Bass_Curve,IF(LEFT($B145,3)="LED",3,2)))),)</f>
        <v>0.99999458754894088</v>
      </c>
      <c r="AB145" s="201">
        <f>IF(AB$3&gt;=Tech_Specs!$C37,IF(AB$3=2010,VLOOKUP(AB$3-Tech_Specs!$C37,Bass_Curve,IF(LEFT($B145,3)="LED",3,2)),IF(User_Inputs!$D$4="Frozen Efficiency",$G145,VLOOKUP(AB$3-Tech_Specs!$C37,Bass_Curve,IF(LEFT($B145,3)="LED",3,2)))),)</f>
        <v>0.99999611405218891</v>
      </c>
      <c r="AC145" s="201">
        <f>IF(AC$3&gt;=Tech_Specs!$C37,IF(AC$3=2010,VLOOKUP(AC$3-Tech_Specs!$C37,Bass_Curve,IF(LEFT($B145,3)="LED",3,2)),IF(User_Inputs!$D$4="Frozen Efficiency",$G145,VLOOKUP(AC$3-Tech_Specs!$C37,Bass_Curve,IF(LEFT($B145,3)="LED",3,2)))),)</f>
        <v>0.99999720984345863</v>
      </c>
      <c r="AD145" s="201">
        <f>IF(AD$3&gt;=Tech_Specs!$C37,IF(AD$3=2010,VLOOKUP(AD$3-Tech_Specs!$C37,Bass_Curve,IF(LEFT($B145,3)="LED",3,2)),IF(User_Inputs!$D$4="Frozen Efficiency",$G145,VLOOKUP(AD$3-Tech_Specs!$C37,Bass_Curve,IF(LEFT($B145,3)="LED",3,2)))),)</f>
        <v>0.99999799650912424</v>
      </c>
      <c r="AE145" s="201">
        <f>IF(AE$3&gt;=Tech_Specs!$C37,IF(AE$3=2010,VLOOKUP(AE$3-Tech_Specs!$C37,Bass_Curve,IF(LEFT($B145,3)="LED",3,2)),IF(User_Inputs!$D$4="Frozen Efficiency",$G145,VLOOKUP(AE$3-Tech_Specs!$C37,Bass_Curve,IF(LEFT($B145,3)="LED",3,2)))),)</f>
        <v>0.99999856129425391</v>
      </c>
      <c r="AF145" s="201">
        <f>IF(AF$3&gt;=Tech_Specs!$C37,IF(AF$3=2010,VLOOKUP(AF$3-Tech_Specs!$C37,Bass_Curve,IF(LEFT($B145,3)="LED",3,2)),IF(User_Inputs!$D$4="Frozen Efficiency",$G145,VLOOKUP(AF$3-Tech_Specs!$C37,Bass_Curve,IF(LEFT($B145,3)="LED",3,2)))),)</f>
        <v>0.99999896680791711</v>
      </c>
    </row>
    <row r="146" spans="1:32" s="221" customFormat="1" x14ac:dyDescent="0.25">
      <c r="A146" s="376"/>
      <c r="B146" s="388" t="s">
        <v>29</v>
      </c>
      <c r="C146"/>
      <c r="D146"/>
      <c r="E146"/>
      <c r="F146" s="1031"/>
      <c r="G146" s="201">
        <f>IF(G$3&gt;=Tech_Specs!$C38,IF(G$3=2010,VLOOKUP(G$3-Tech_Specs!$C38,Bass_Curve,IF(LEFT($B146,3)="LED",3,2)),IF(User_Inputs!$D$4="Frozen Efficiency",$G146,VLOOKUP(G$3-Tech_Specs!$C38,Bass_Curve,IF(LEFT($B146,3)="LED",3,2)))),)</f>
        <v>2.573359512642789E-2</v>
      </c>
      <c r="H146" s="201">
        <f>IF(H$3&gt;=Tech_Specs!$C38,IF(H$3=2010,VLOOKUP(H$3-Tech_Specs!$C38,Bass_Curve,IF(LEFT($B146,3)="LED",3,2)),IF(User_Inputs!$D$4="Frozen Efficiency",$G146,VLOOKUP(H$3-Tech_Specs!$C38,Bass_Curve,IF(LEFT($B146,3)="LED",3,2)))),)</f>
        <v>4.6539757716903177E-2</v>
      </c>
      <c r="I146" s="201">
        <f>IF(I$3&gt;=Tech_Specs!$C38,IF(I$3=2010,VLOOKUP(I$3-Tech_Specs!$C38,Bass_Curve,IF(LEFT($B146,3)="LED",3,2)),IF(User_Inputs!$D$4="Frozen Efficiency",$G146,VLOOKUP(I$3-Tech_Specs!$C38,Bass_Curve,IF(LEFT($B146,3)="LED",3,2)))),)</f>
        <v>7.4754332929684128E-2</v>
      </c>
      <c r="J146" s="201">
        <f>IF(J$3&gt;=Tech_Specs!$C38,IF(J$3=2010,VLOOKUP(J$3-Tech_Specs!$C38,Bass_Curve,IF(LEFT($B146,3)="LED",3,2)),IF(User_Inputs!$D$4="Frozen Efficiency",$G146,VLOOKUP(J$3-Tech_Specs!$C38,Bass_Curve,IF(LEFT($B146,3)="LED",3,2)))),)</f>
        <v>0.11197478620001509</v>
      </c>
      <c r="K146" s="201">
        <f>IF(K$3&gt;=Tech_Specs!$C38,IF(K$3=2010,VLOOKUP(K$3-Tech_Specs!$C38,Bass_Curve,IF(LEFT($B146,3)="LED",3,2)),IF(User_Inputs!$D$4="Frozen Efficiency",$G146,VLOOKUP(K$3-Tech_Specs!$C38,Bass_Curve,IF(LEFT($B146,3)="LED",3,2)))),)</f>
        <v>0.15936056895239697</v>
      </c>
      <c r="L146" s="201">
        <f>IF(L$3&gt;=Tech_Specs!$C38,IF(L$3=2010,VLOOKUP(L$3-Tech_Specs!$C38,Bass_Curve,IF(LEFT($B146,3)="LED",3,2)),IF(User_Inputs!$D$4="Frozen Efficiency",$G146,VLOOKUP(L$3-Tech_Specs!$C38,Bass_Curve,IF(LEFT($B146,3)="LED",3,2)))),)</f>
        <v>0.21712504966565391</v>
      </c>
      <c r="M146" s="201">
        <f>IF(M$3&gt;=Tech_Specs!$C38,IF(M$3=2010,VLOOKUP(M$3-Tech_Specs!$C38,Bass_Curve,IF(LEFT($B146,3)="LED",3,2)),IF(User_Inputs!$D$4="Frozen Efficiency",$G146,VLOOKUP(M$3-Tech_Specs!$C38,Bass_Curve,IF(LEFT($B146,3)="LED",3,2)))),)</f>
        <v>0.28414080977412093</v>
      </c>
      <c r="N146" s="201">
        <f>IF(N$3&gt;=Tech_Specs!$C38,IF(N$3=2010,VLOOKUP(N$3-Tech_Specs!$C38,Bass_Curve,IF(LEFT($B146,3)="LED",3,2)),IF(User_Inputs!$D$4="Frozen Efficiency",$G146,VLOOKUP(N$3-Tech_Specs!$C38,Bass_Curve,IF(LEFT($B146,3)="LED",3,2)))),)</f>
        <v>0.35795009041805559</v>
      </c>
      <c r="O146" s="201">
        <f>IF(O$3&gt;=Tech_Specs!$C38,IF(O$3=2010,VLOOKUP(O$3-Tech_Specs!$C38,Bass_Curve,IF(LEFT($B146,3)="LED",3,2)),IF(User_Inputs!$D$4="Frozen Efficiency",$G146,VLOOKUP(O$3-Tech_Specs!$C38,Bass_Curve,IF(LEFT($B146,3)="LED",3,2)))),)</f>
        <v>0.43528730962994305</v>
      </c>
      <c r="P146" s="201">
        <f>IF(P$3&gt;=Tech_Specs!$C38,IF(P$3=2010,VLOOKUP(P$3-Tech_Specs!$C38,Bass_Curve,IF(LEFT($B146,3)="LED",3,2)),IF(User_Inputs!$D$4="Frozen Efficiency",$G146,VLOOKUP(P$3-Tech_Specs!$C38,Bass_Curve,IF(LEFT($B146,3)="LED",3,2)))),)</f>
        <v>0.51284484369923866</v>
      </c>
      <c r="Q146" s="201">
        <f>IF(Q$3&gt;=Tech_Specs!$C38,IF(Q$3=2010,VLOOKUP(Q$3-Tech_Specs!$C38,Bass_Curve,IF(LEFT($B146,3)="LED",3,2)),IF(User_Inputs!$D$4="Frozen Efficiency",$G146,VLOOKUP(Q$3-Tech_Specs!$C38,Bass_Curve,IF(LEFT($B146,3)="LED",3,2)))),)</f>
        <v>0.58783004379238735</v>
      </c>
      <c r="R146" s="201">
        <f>IF(R$3&gt;=Tech_Specs!$C38,IF(R$3=2010,VLOOKUP(R$3-Tech_Specs!$C38,Bass_Curve,IF(LEFT($B146,3)="LED",3,2)),IF(User_Inputs!$D$4="Frozen Efficiency",$G146,VLOOKUP(R$3-Tech_Specs!$C38,Bass_Curve,IF(LEFT($B146,3)="LED",3,2)))),)</f>
        <v>0.65810308249900329</v>
      </c>
      <c r="S146" s="201">
        <f>IF(S$3&gt;=Tech_Specs!$C38,IF(S$3=2010,VLOOKUP(S$3-Tech_Specs!$C38,Bass_Curve,IF(LEFT($B146,3)="LED",3,2)),IF(User_Inputs!$D$4="Frozen Efficiency",$G146,VLOOKUP(S$3-Tech_Specs!$C38,Bass_Curve,IF(LEFT($B146,3)="LED",3,2)))),)</f>
        <v>0.72206467330281499</v>
      </c>
      <c r="T146" s="201">
        <f>IF(T$3&gt;=Tech_Specs!$C38,IF(T$3=2010,VLOOKUP(T$3-Tech_Specs!$C38,Bass_Curve,IF(LEFT($B146,3)="LED",3,2)),IF(User_Inputs!$D$4="Frozen Efficiency",$G146,VLOOKUP(T$3-Tech_Specs!$C38,Bass_Curve,IF(LEFT($B146,3)="LED",3,2)))),)</f>
        <v>0.77856976904215913</v>
      </c>
      <c r="U146" s="201">
        <f>IF(U$3&gt;=Tech_Specs!$C38,IF(U$3=2010,VLOOKUP(U$3-Tech_Specs!$C38,Bass_Curve,IF(LEFT($B146,3)="LED",3,2)),IF(User_Inputs!$D$4="Frozen Efficiency",$G146,VLOOKUP(U$3-Tech_Specs!$C38,Bass_Curve,IF(LEFT($B146,3)="LED",3,2)))),)</f>
        <v>0.82696350840215249</v>
      </c>
      <c r="V146" s="201">
        <f>IF(V$3&gt;=Tech_Specs!$C38,IF(V$3=2010,VLOOKUP(V$3-Tech_Specs!$C38,Bass_Curve,IF(LEFT($B146,3)="LED",3,2)),IF(User_Inputs!$D$4="Frozen Efficiency",$G146,VLOOKUP(V$3-Tech_Specs!$C38,Bass_Curve,IF(LEFT($B146,3)="LED",3,2)))),)</f>
        <v>0.86714658256559263</v>
      </c>
      <c r="W146" s="201">
        <f>IF(W$3&gt;=Tech_Specs!$C38,IF(W$3=2010,VLOOKUP(W$3-Tech_Specs!$C38,Bass_Curve,IF(LEFT($B146,3)="LED",3,2)),IF(User_Inputs!$D$4="Frozen Efficiency",$G146,VLOOKUP(W$3-Tech_Specs!$C38,Bass_Curve,IF(LEFT($B146,3)="LED",3,2)))),)</f>
        <v>0.89955419985356344</v>
      </c>
      <c r="X146" s="201">
        <f>IF(X$3&gt;=Tech_Specs!$C38,IF(X$3=2010,VLOOKUP(X$3-Tech_Specs!$C38,Bass_Curve,IF(LEFT($B146,3)="LED",3,2)),IF(User_Inputs!$D$4="Frozen Efficiency",$G146,VLOOKUP(X$3-Tech_Specs!$C38,Bass_Curve,IF(LEFT($B146,3)="LED",3,2)))),)</f>
        <v>0.92502432100062038</v>
      </c>
      <c r="Y146" s="201">
        <f>IF(Y$3&gt;=Tech_Specs!$C38,IF(Y$3=2010,VLOOKUP(Y$3-Tech_Specs!$C38,Bass_Curve,IF(LEFT($B146,3)="LED",3,2)),IF(User_Inputs!$D$4="Frozen Efficiency",$G146,VLOOKUP(Y$3-Tech_Specs!$C38,Bass_Curve,IF(LEFT($B146,3)="LED",3,2)))),)</f>
        <v>0.94461059131409331</v>
      </c>
      <c r="Z146" s="201">
        <f>IF(Z$3&gt;=Tech_Specs!$C38,IF(Z$3=2010,VLOOKUP(Z$3-Tech_Specs!$C38,Bass_Curve,IF(LEFT($B146,3)="LED",3,2)),IF(User_Inputs!$D$4="Frozen Efficiency",$G146,VLOOKUP(Z$3-Tech_Specs!$C38,Bass_Curve,IF(LEFT($B146,3)="LED",3,2)))),)</f>
        <v>0.95940876722590474</v>
      </c>
      <c r="AA146" s="201">
        <f>IF(AA$3&gt;=Tech_Specs!$C38,IF(AA$3=2010,VLOOKUP(AA$3-Tech_Specs!$C38,Bass_Curve,IF(LEFT($B146,3)="LED",3,2)),IF(User_Inputs!$D$4="Frozen Efficiency",$G146,VLOOKUP(AA$3-Tech_Specs!$C38,Bass_Curve,IF(LEFT($B146,3)="LED",3,2)))),)</f>
        <v>0.97043561397505118</v>
      </c>
      <c r="AB146" s="201">
        <f>IF(AB$3&gt;=Tech_Specs!$C38,IF(AB$3=2010,VLOOKUP(AB$3-Tech_Specs!$C38,Bass_Curve,IF(LEFT($B146,3)="LED",3,2)),IF(User_Inputs!$D$4="Frozen Efficiency",$G146,VLOOKUP(AB$3-Tech_Specs!$C38,Bass_Curve,IF(LEFT($B146,3)="LED",3,2)))),)</f>
        <v>0.97856563119743434</v>
      </c>
      <c r="AC146" s="201">
        <f>IF(AC$3&gt;=Tech_Specs!$C38,IF(AC$3=2010,VLOOKUP(AC$3-Tech_Specs!$C38,Bass_Curve,IF(LEFT($B146,3)="LED",3,2)),IF(User_Inputs!$D$4="Frozen Efficiency",$G146,VLOOKUP(AC$3-Tech_Specs!$C38,Bass_Curve,IF(LEFT($B146,3)="LED",3,2)))),)</f>
        <v>0.98451232141945333</v>
      </c>
      <c r="AD146" s="201">
        <f>IF(AD$3&gt;=Tech_Specs!$C38,IF(AD$3=2010,VLOOKUP(AD$3-Tech_Specs!$C38,Bass_Curve,IF(LEFT($B146,3)="LED",3,2)),IF(User_Inputs!$D$4="Frozen Efficiency",$G146,VLOOKUP(AD$3-Tech_Specs!$C38,Bass_Curve,IF(LEFT($B146,3)="LED",3,2)))),)</f>
        <v>0.98883650057565198</v>
      </c>
      <c r="AE146" s="201">
        <f>IF(AE$3&gt;=Tech_Specs!$C38,IF(AE$3=2010,VLOOKUP(AE$3-Tech_Specs!$C38,Bass_Curve,IF(LEFT($B146,3)="LED",3,2)),IF(User_Inputs!$D$4="Frozen Efficiency",$G146,VLOOKUP(AE$3-Tech_Specs!$C38,Bass_Curve,IF(LEFT($B146,3)="LED",3,2)))),)</f>
        <v>0.99196738407609564</v>
      </c>
      <c r="AF146" s="201">
        <f>IF(AF$3&gt;=Tech_Specs!$C38,IF(AF$3=2010,VLOOKUP(AF$3-Tech_Specs!$C38,Bass_Curve,IF(LEFT($B146,3)="LED",3,2)),IF(User_Inputs!$D$4="Frozen Efficiency",$G146,VLOOKUP(AF$3-Tech_Specs!$C38,Bass_Curve,IF(LEFT($B146,3)="LED",3,2)))),)</f>
        <v>0.99422726069133227</v>
      </c>
    </row>
    <row r="147" spans="1:32" s="221" customFormat="1" x14ac:dyDescent="0.25">
      <c r="A147" s="376"/>
      <c r="B147" s="388" t="s">
        <v>53</v>
      </c>
      <c r="C147"/>
      <c r="D147"/>
      <c r="E147"/>
      <c r="F147" s="1031"/>
      <c r="G147" s="201">
        <f>IF(G$3&gt;=Tech_Specs!$C39,IF(G$3=2010,VLOOKUP(G$3-Tech_Specs!$C39,Bass_Curve,IF(LEFT($B147,3)="LED",3,2)),IF(User_Inputs!$D$4="Frozen Efficiency",$G147,VLOOKUP(G$3-Tech_Specs!$C39,Bass_Curve,IF(LEFT($B147,3)="LED",3,2)))),)</f>
        <v>0.43528730962994305</v>
      </c>
      <c r="H147" s="201">
        <f>IF(H$3&gt;=Tech_Specs!$C39,IF(H$3=2010,VLOOKUP(H$3-Tech_Specs!$C39,Bass_Curve,IF(LEFT($B147,3)="LED",3,2)),IF(User_Inputs!$D$4="Frozen Efficiency",$G147,VLOOKUP(H$3-Tech_Specs!$C39,Bass_Curve,IF(LEFT($B147,3)="LED",3,2)))),)</f>
        <v>0.51284484369923866</v>
      </c>
      <c r="I147" s="201">
        <f>IF(I$3&gt;=Tech_Specs!$C39,IF(I$3=2010,VLOOKUP(I$3-Tech_Specs!$C39,Bass_Curve,IF(LEFT($B147,3)="LED",3,2)),IF(User_Inputs!$D$4="Frozen Efficiency",$G147,VLOOKUP(I$3-Tech_Specs!$C39,Bass_Curve,IF(LEFT($B147,3)="LED",3,2)))),)</f>
        <v>0.58783004379238735</v>
      </c>
      <c r="J147" s="201">
        <f>IF(J$3&gt;=Tech_Specs!$C39,IF(J$3=2010,VLOOKUP(J$3-Tech_Specs!$C39,Bass_Curve,IF(LEFT($B147,3)="LED",3,2)),IF(User_Inputs!$D$4="Frozen Efficiency",$G147,VLOOKUP(J$3-Tech_Specs!$C39,Bass_Curve,IF(LEFT($B147,3)="LED",3,2)))),)</f>
        <v>0.65810308249900329</v>
      </c>
      <c r="K147" s="201">
        <f>IF(K$3&gt;=Tech_Specs!$C39,IF(K$3=2010,VLOOKUP(K$3-Tech_Specs!$C39,Bass_Curve,IF(LEFT($B147,3)="LED",3,2)),IF(User_Inputs!$D$4="Frozen Efficiency",$G147,VLOOKUP(K$3-Tech_Specs!$C39,Bass_Curve,IF(LEFT($B147,3)="LED",3,2)))),)</f>
        <v>0.72206467330281499</v>
      </c>
      <c r="L147" s="201">
        <f>IF(L$3&gt;=Tech_Specs!$C39,IF(L$3=2010,VLOOKUP(L$3-Tech_Specs!$C39,Bass_Curve,IF(LEFT($B147,3)="LED",3,2)),IF(User_Inputs!$D$4="Frozen Efficiency",$G147,VLOOKUP(L$3-Tech_Specs!$C39,Bass_Curve,IF(LEFT($B147,3)="LED",3,2)))),)</f>
        <v>0.77856976904215913</v>
      </c>
      <c r="M147" s="201">
        <f>IF(M$3&gt;=Tech_Specs!$C39,IF(M$3=2010,VLOOKUP(M$3-Tech_Specs!$C39,Bass_Curve,IF(LEFT($B147,3)="LED",3,2)),IF(User_Inputs!$D$4="Frozen Efficiency",$G147,VLOOKUP(M$3-Tech_Specs!$C39,Bass_Curve,IF(LEFT($B147,3)="LED",3,2)))),)</f>
        <v>0.82696350840215249</v>
      </c>
      <c r="N147" s="201">
        <f>IF(N$3&gt;=Tech_Specs!$C39,IF(N$3=2010,VLOOKUP(N$3-Tech_Specs!$C39,Bass_Curve,IF(LEFT($B147,3)="LED",3,2)),IF(User_Inputs!$D$4="Frozen Efficiency",$G147,VLOOKUP(N$3-Tech_Specs!$C39,Bass_Curve,IF(LEFT($B147,3)="LED",3,2)))),)</f>
        <v>0.86714658256559263</v>
      </c>
      <c r="O147" s="201">
        <f>IF(O$3&gt;=Tech_Specs!$C39,IF(O$3=2010,VLOOKUP(O$3-Tech_Specs!$C39,Bass_Curve,IF(LEFT($B147,3)="LED",3,2)),IF(User_Inputs!$D$4="Frozen Efficiency",$G147,VLOOKUP(O$3-Tech_Specs!$C39,Bass_Curve,IF(LEFT($B147,3)="LED",3,2)))),)</f>
        <v>0.89955419985356344</v>
      </c>
      <c r="P147" s="201">
        <f>IF(P$3&gt;=Tech_Specs!$C39,IF(P$3=2010,VLOOKUP(P$3-Tech_Specs!$C39,Bass_Curve,IF(LEFT($B147,3)="LED",3,2)),IF(User_Inputs!$D$4="Frozen Efficiency",$G147,VLOOKUP(P$3-Tech_Specs!$C39,Bass_Curve,IF(LEFT($B147,3)="LED",3,2)))),)</f>
        <v>0.92502432100062038</v>
      </c>
      <c r="Q147" s="201">
        <f>IF(Q$3&gt;=Tech_Specs!$C39,IF(Q$3=2010,VLOOKUP(Q$3-Tech_Specs!$C39,Bass_Curve,IF(LEFT($B147,3)="LED",3,2)),IF(User_Inputs!$D$4="Frozen Efficiency",$G147,VLOOKUP(Q$3-Tech_Specs!$C39,Bass_Curve,IF(LEFT($B147,3)="LED",3,2)))),)</f>
        <v>0.94461059131409331</v>
      </c>
      <c r="R147" s="201">
        <f>IF(R$3&gt;=Tech_Specs!$C39,IF(R$3=2010,VLOOKUP(R$3-Tech_Specs!$C39,Bass_Curve,IF(LEFT($B147,3)="LED",3,2)),IF(User_Inputs!$D$4="Frozen Efficiency",$G147,VLOOKUP(R$3-Tech_Specs!$C39,Bass_Curve,IF(LEFT($B147,3)="LED",3,2)))),)</f>
        <v>0.95940876722590474</v>
      </c>
      <c r="S147" s="201">
        <f>IF(S$3&gt;=Tech_Specs!$C39,IF(S$3=2010,VLOOKUP(S$3-Tech_Specs!$C39,Bass_Curve,IF(LEFT($B147,3)="LED",3,2)),IF(User_Inputs!$D$4="Frozen Efficiency",$G147,VLOOKUP(S$3-Tech_Specs!$C39,Bass_Curve,IF(LEFT($B147,3)="LED",3,2)))),)</f>
        <v>0.97043561397505118</v>
      </c>
      <c r="T147" s="201">
        <f>IF(T$3&gt;=Tech_Specs!$C39,IF(T$3=2010,VLOOKUP(T$3-Tech_Specs!$C39,Bass_Curve,IF(LEFT($B147,3)="LED",3,2)),IF(User_Inputs!$D$4="Frozen Efficiency",$G147,VLOOKUP(T$3-Tech_Specs!$C39,Bass_Curve,IF(LEFT($B147,3)="LED",3,2)))),)</f>
        <v>0.97856563119743434</v>
      </c>
      <c r="U147" s="201">
        <f>IF(U$3&gt;=Tech_Specs!$C39,IF(U$3=2010,VLOOKUP(U$3-Tech_Specs!$C39,Bass_Curve,IF(LEFT($B147,3)="LED",3,2)),IF(User_Inputs!$D$4="Frozen Efficiency",$G147,VLOOKUP(U$3-Tech_Specs!$C39,Bass_Curve,IF(LEFT($B147,3)="LED",3,2)))),)</f>
        <v>0.98451232141945333</v>
      </c>
      <c r="V147" s="201">
        <f>IF(V$3&gt;=Tech_Specs!$C39,IF(V$3=2010,VLOOKUP(V$3-Tech_Specs!$C39,Bass_Curve,IF(LEFT($B147,3)="LED",3,2)),IF(User_Inputs!$D$4="Frozen Efficiency",$G147,VLOOKUP(V$3-Tech_Specs!$C39,Bass_Curve,IF(LEFT($B147,3)="LED",3,2)))),)</f>
        <v>0.98883650057565198</v>
      </c>
      <c r="W147" s="201">
        <f>IF(W$3&gt;=Tech_Specs!$C39,IF(W$3=2010,VLOOKUP(W$3-Tech_Specs!$C39,Bass_Curve,IF(LEFT($B147,3)="LED",3,2)),IF(User_Inputs!$D$4="Frozen Efficiency",$G147,VLOOKUP(W$3-Tech_Specs!$C39,Bass_Curve,IF(LEFT($B147,3)="LED",3,2)))),)</f>
        <v>0.99196738407609564</v>
      </c>
      <c r="X147" s="201">
        <f>IF(X$3&gt;=Tech_Specs!$C39,IF(X$3=2010,VLOOKUP(X$3-Tech_Specs!$C39,Bass_Curve,IF(LEFT($B147,3)="LED",3,2)),IF(User_Inputs!$D$4="Frozen Efficiency",$G147,VLOOKUP(X$3-Tech_Specs!$C39,Bass_Curve,IF(LEFT($B147,3)="LED",3,2)))),)</f>
        <v>0.99422726069133227</v>
      </c>
      <c r="Y147" s="201">
        <f>IF(Y$3&gt;=Tech_Specs!$C39,IF(Y$3=2010,VLOOKUP(Y$3-Tech_Specs!$C39,Bass_Curve,IF(LEFT($B147,3)="LED",3,2)),IF(User_Inputs!$D$4="Frozen Efficiency",$G147,VLOOKUP(Y$3-Tech_Specs!$C39,Bass_Curve,IF(LEFT($B147,3)="LED",3,2)))),)</f>
        <v>0.99585484432697347</v>
      </c>
      <c r="Z147" s="201">
        <f>IF(Z$3&gt;=Tech_Specs!$C39,IF(Z$3=2010,VLOOKUP(Z$3-Tech_Specs!$C39,Bass_Curve,IF(LEFT($B147,3)="LED",3,2)),IF(User_Inputs!$D$4="Frozen Efficiency",$G147,VLOOKUP(Z$3-Tech_Specs!$C39,Bass_Curve,IF(LEFT($B147,3)="LED",3,2)))),)</f>
        <v>0.99702522404198501</v>
      </c>
      <c r="AA147" s="201">
        <f>IF(AA$3&gt;=Tech_Specs!$C39,IF(AA$3=2010,VLOOKUP(AA$3-Tech_Specs!$C39,Bass_Curve,IF(LEFT($B147,3)="LED",3,2)),IF(User_Inputs!$D$4="Frozen Efficiency",$G147,VLOOKUP(AA$3-Tech_Specs!$C39,Bass_Curve,IF(LEFT($B147,3)="LED",3,2)))),)</f>
        <v>0.99786592697261467</v>
      </c>
      <c r="AB147" s="201">
        <f>IF(AB$3&gt;=Tech_Specs!$C39,IF(AB$3=2010,VLOOKUP(AB$3-Tech_Specs!$C39,Bass_Curve,IF(LEFT($B147,3)="LED",3,2)),IF(User_Inputs!$D$4="Frozen Efficiency",$G147,VLOOKUP(AB$3-Tech_Specs!$C39,Bass_Curve,IF(LEFT($B147,3)="LED",3,2)))),)</f>
        <v>0.9984693766950139</v>
      </c>
      <c r="AC147" s="201">
        <f>IF(AC$3&gt;=Tech_Specs!$C39,IF(AC$3=2010,VLOOKUP(AC$3-Tech_Specs!$C39,Bass_Curve,IF(LEFT($B147,3)="LED",3,2)),IF(User_Inputs!$D$4="Frozen Efficiency",$G147,VLOOKUP(AC$3-Tech_Specs!$C39,Bass_Curve,IF(LEFT($B147,3)="LED",3,2)))),)</f>
        <v>0.99890231984592681</v>
      </c>
      <c r="AD147" s="201">
        <f>IF(AD$3&gt;=Tech_Specs!$C39,IF(AD$3=2010,VLOOKUP(AD$3-Tech_Specs!$C39,Bass_Curve,IF(LEFT($B147,3)="LED",3,2)),IF(User_Inputs!$D$4="Frozen Efficiency",$G147,VLOOKUP(AD$3-Tech_Specs!$C39,Bass_Curve,IF(LEFT($B147,3)="LED",3,2)))),)</f>
        <v>0.99921283993037913</v>
      </c>
      <c r="AE147" s="201">
        <f>IF(AE$3&gt;=Tech_Specs!$C39,IF(AE$3=2010,VLOOKUP(AE$3-Tech_Specs!$C39,Bass_Curve,IF(LEFT($B147,3)="LED",3,2)),IF(User_Inputs!$D$4="Frozen Efficiency",$G147,VLOOKUP(AE$3-Tech_Specs!$C39,Bass_Curve,IF(LEFT($B147,3)="LED",3,2)))),)</f>
        <v>0.99943551570827049</v>
      </c>
      <c r="AF147" s="201">
        <f>IF(AF$3&gt;=Tech_Specs!$C39,IF(AF$3=2010,VLOOKUP(AF$3-Tech_Specs!$C39,Bass_Curve,IF(LEFT($B147,3)="LED",3,2)),IF(User_Inputs!$D$4="Frozen Efficiency",$G147,VLOOKUP(AF$3-Tech_Specs!$C39,Bass_Curve,IF(LEFT($B147,3)="LED",3,2)))),)</f>
        <v>0.99959518445151951</v>
      </c>
    </row>
    <row r="148" spans="1:32" s="221" customFormat="1" x14ac:dyDescent="0.25">
      <c r="A148"/>
      <c r="B148"/>
      <c r="C148"/>
      <c r="D148"/>
      <c r="E148"/>
      <c r="F148"/>
      <c r="G148"/>
      <c r="H148"/>
      <c r="I148"/>
      <c r="J148"/>
      <c r="K148"/>
      <c r="L148"/>
      <c r="M148"/>
      <c r="N148"/>
      <c r="O148"/>
      <c r="P148"/>
      <c r="Q148"/>
      <c r="R148"/>
      <c r="S148"/>
      <c r="T148"/>
      <c r="U148"/>
      <c r="V148"/>
      <c r="W148"/>
      <c r="X148"/>
      <c r="Y148"/>
      <c r="Z148"/>
      <c r="AA148"/>
      <c r="AB148"/>
      <c r="AC148"/>
      <c r="AD148"/>
      <c r="AE148"/>
      <c r="AF148"/>
    </row>
    <row r="149" spans="1:32" x14ac:dyDescent="0.25">
      <c r="A149" s="398" t="s">
        <v>211</v>
      </c>
      <c r="B149" s="399"/>
      <c r="C149" s="398"/>
      <c r="D149" s="399"/>
      <c r="E149" s="399"/>
      <c r="F149" s="399"/>
      <c r="G149" s="409"/>
      <c r="H149" s="409"/>
      <c r="I149" s="409"/>
      <c r="J149" s="409"/>
      <c r="K149" s="409"/>
      <c r="L149" s="409"/>
      <c r="M149" s="409"/>
      <c r="N149" s="409"/>
      <c r="O149" s="409"/>
      <c r="P149" s="409"/>
      <c r="Q149" s="409"/>
      <c r="R149" s="409"/>
      <c r="S149" s="409"/>
      <c r="T149" s="409"/>
      <c r="U149" s="409"/>
      <c r="V149" s="409"/>
      <c r="W149" s="409"/>
      <c r="X149" s="409"/>
      <c r="Y149" s="409"/>
      <c r="Z149" s="409"/>
      <c r="AA149" s="409"/>
      <c r="AB149" s="409"/>
      <c r="AC149" s="409"/>
      <c r="AD149" s="409"/>
      <c r="AE149" s="409"/>
      <c r="AF149" s="409"/>
    </row>
    <row r="150" spans="1:32" x14ac:dyDescent="0.25">
      <c r="A150" s="378" t="s">
        <v>12</v>
      </c>
      <c r="B150" s="376"/>
    </row>
    <row r="151" spans="1:32" x14ac:dyDescent="0.25">
      <c r="A151" s="376"/>
      <c r="B151" s="376" t="s">
        <v>20</v>
      </c>
    </row>
    <row r="152" spans="1:32" s="202" customFormat="1" ht="12.75" x14ac:dyDescent="0.2">
      <c r="A152" s="402" t="s">
        <v>21</v>
      </c>
      <c r="B152" s="402"/>
      <c r="C152" s="402"/>
      <c r="D152" s="402"/>
      <c r="E152" s="402"/>
      <c r="F152" s="402"/>
      <c r="G152" s="402"/>
      <c r="H152" s="402"/>
      <c r="I152" s="402"/>
      <c r="J152" s="402"/>
      <c r="K152" s="402"/>
      <c r="L152" s="402"/>
      <c r="M152" s="402"/>
      <c r="N152" s="402"/>
      <c r="O152" s="402"/>
      <c r="P152" s="402"/>
      <c r="Q152" s="402"/>
      <c r="R152" s="402"/>
      <c r="S152" s="402"/>
      <c r="T152" s="402"/>
      <c r="U152" s="402"/>
      <c r="V152" s="402"/>
      <c r="W152" s="402"/>
      <c r="X152" s="402"/>
      <c r="Y152" s="402"/>
      <c r="Z152" s="402"/>
      <c r="AA152" s="402"/>
      <c r="AB152" s="402"/>
      <c r="AC152" s="402"/>
      <c r="AD152" s="402"/>
      <c r="AE152" s="402"/>
      <c r="AF152" s="402"/>
    </row>
    <row r="153" spans="1:32" s="221" customFormat="1" x14ac:dyDescent="0.25">
      <c r="A153" s="376"/>
      <c r="B153" s="376" t="s">
        <v>22</v>
      </c>
      <c r="C153"/>
      <c r="D153" s="372"/>
      <c r="E153" s="372"/>
      <c r="F153" s="372"/>
      <c r="G153" s="372">
        <f>System_Mkt_Repl!F153</f>
        <v>1</v>
      </c>
      <c r="H153" s="372">
        <f>System_Mkt_Repl!G153</f>
        <v>1</v>
      </c>
      <c r="I153" s="372">
        <f>System_Mkt_Repl!H153</f>
        <v>0.82000000000000006</v>
      </c>
      <c r="J153" s="372">
        <f>System_Mkt_Repl!I153</f>
        <v>0.64000000000000012</v>
      </c>
      <c r="K153" s="372">
        <f>System_Mkt_Repl!J153</f>
        <v>0.46000000000000013</v>
      </c>
      <c r="L153" s="372">
        <f>System_Mkt_Repl!K153</f>
        <v>0.28000000000000014</v>
      </c>
      <c r="M153" s="372">
        <f>System_Mkt_Repl!L153</f>
        <v>0.1</v>
      </c>
      <c r="N153" s="372">
        <f>System_Mkt_Repl!M153</f>
        <v>0.1</v>
      </c>
      <c r="O153" s="372">
        <f>System_Mkt_Repl!N153</f>
        <v>0.1</v>
      </c>
      <c r="P153" s="372">
        <f>System_Mkt_Repl!O153</f>
        <v>0.1</v>
      </c>
      <c r="Q153" s="372">
        <f>System_Mkt_Repl!P153</f>
        <v>0.1</v>
      </c>
      <c r="R153" s="372">
        <f>System_Mkt_Repl!Q153</f>
        <v>0.1</v>
      </c>
      <c r="S153" s="372">
        <f>System_Mkt_Repl!R153</f>
        <v>0.1</v>
      </c>
      <c r="T153" s="372">
        <f>System_Mkt_Repl!S153</f>
        <v>0.1</v>
      </c>
      <c r="U153" s="372">
        <f>System_Mkt_Repl!T153</f>
        <v>0.1</v>
      </c>
      <c r="V153" s="372">
        <f>System_Mkt_Repl!U153</f>
        <v>0.1</v>
      </c>
      <c r="W153" s="372">
        <f>System_Mkt_Repl!V153</f>
        <v>0.1</v>
      </c>
      <c r="X153" s="372">
        <f>System_Mkt_Repl!W153</f>
        <v>0.1</v>
      </c>
      <c r="Y153" s="372">
        <f>System_Mkt_Repl!X153</f>
        <v>0.1</v>
      </c>
      <c r="Z153" s="372">
        <f>System_Mkt_Repl!Y153</f>
        <v>0.1</v>
      </c>
      <c r="AA153" s="372">
        <f>System_Mkt_Repl!Z153</f>
        <v>0.1</v>
      </c>
      <c r="AB153" s="372">
        <f>System_Mkt_Repl!AA153</f>
        <v>0.1</v>
      </c>
      <c r="AC153" s="372">
        <f>System_Mkt_Repl!AB153</f>
        <v>0.1</v>
      </c>
      <c r="AD153" s="372">
        <f>System_Mkt_Repl!AC153</f>
        <v>0.1</v>
      </c>
      <c r="AE153" s="372">
        <f>System_Mkt_Repl!AD153</f>
        <v>0.1</v>
      </c>
      <c r="AF153" s="372">
        <f>System_Mkt_Repl!AE153</f>
        <v>0.1</v>
      </c>
    </row>
    <row r="154" spans="1:32" s="221" customFormat="1" x14ac:dyDescent="0.25">
      <c r="A154" s="376"/>
      <c r="B154" s="376" t="s">
        <v>26</v>
      </c>
      <c r="C154"/>
      <c r="D154" s="372"/>
      <c r="E154" s="372"/>
      <c r="F154" s="372"/>
      <c r="G154" s="372">
        <f>System_Mkt_Repl!F154</f>
        <v>0.05</v>
      </c>
      <c r="H154" s="372">
        <f>System_Mkt_Repl!G154</f>
        <v>0.05</v>
      </c>
      <c r="I154" s="372">
        <f>System_Mkt_Repl!H154</f>
        <v>0.2</v>
      </c>
      <c r="J154" s="372">
        <f>System_Mkt_Repl!I154</f>
        <v>0.7</v>
      </c>
      <c r="K154" s="372">
        <f>System_Mkt_Repl!J154</f>
        <v>1</v>
      </c>
      <c r="L154" s="372">
        <f>System_Mkt_Repl!K154</f>
        <v>1</v>
      </c>
      <c r="M154" s="372">
        <f>System_Mkt_Repl!L154</f>
        <v>1</v>
      </c>
      <c r="N154" s="372">
        <f>System_Mkt_Repl!M154</f>
        <v>1</v>
      </c>
      <c r="O154" s="372">
        <f>System_Mkt_Repl!N154</f>
        <v>1</v>
      </c>
      <c r="P154" s="372">
        <f>System_Mkt_Repl!O154</f>
        <v>1</v>
      </c>
      <c r="Q154" s="372">
        <f>System_Mkt_Repl!P154</f>
        <v>1</v>
      </c>
      <c r="R154" s="372">
        <f>System_Mkt_Repl!Q154</f>
        <v>1</v>
      </c>
      <c r="S154" s="372">
        <f>System_Mkt_Repl!R154</f>
        <v>1</v>
      </c>
      <c r="T154" s="372">
        <f>System_Mkt_Repl!S154</f>
        <v>1</v>
      </c>
      <c r="U154" s="372">
        <f>System_Mkt_Repl!T154</f>
        <v>1</v>
      </c>
      <c r="V154" s="372">
        <f>System_Mkt_Repl!U154</f>
        <v>1</v>
      </c>
      <c r="W154" s="372">
        <f>System_Mkt_Repl!V154</f>
        <v>1</v>
      </c>
      <c r="X154" s="372">
        <f>System_Mkt_Repl!W154</f>
        <v>1</v>
      </c>
      <c r="Y154" s="372">
        <f>System_Mkt_Repl!X154</f>
        <v>1</v>
      </c>
      <c r="Z154" s="372">
        <f>System_Mkt_Repl!Y154</f>
        <v>1</v>
      </c>
      <c r="AA154" s="372">
        <f>System_Mkt_Repl!Z154</f>
        <v>1</v>
      </c>
      <c r="AB154" s="372">
        <f>System_Mkt_Repl!AA154</f>
        <v>1</v>
      </c>
      <c r="AC154" s="372">
        <f>System_Mkt_Repl!AB154</f>
        <v>1</v>
      </c>
      <c r="AD154" s="372">
        <f>System_Mkt_Repl!AC154</f>
        <v>1</v>
      </c>
      <c r="AE154" s="372">
        <f>System_Mkt_Repl!AD154</f>
        <v>1</v>
      </c>
      <c r="AF154" s="372">
        <f>System_Mkt_Repl!AE154</f>
        <v>1</v>
      </c>
    </row>
    <row r="155" spans="1:32" s="221" customFormat="1" x14ac:dyDescent="0.25">
      <c r="A155" s="376"/>
      <c r="B155" s="376" t="s">
        <v>27</v>
      </c>
      <c r="C155"/>
      <c r="D155" s="372"/>
      <c r="E155" s="372"/>
      <c r="F155" s="372"/>
      <c r="G155" s="372">
        <f>System_Mkt_Repl!F155</f>
        <v>0.25</v>
      </c>
      <c r="H155" s="372">
        <f>System_Mkt_Repl!G155</f>
        <v>0.25</v>
      </c>
      <c r="I155" s="372">
        <f>System_Mkt_Repl!H155</f>
        <v>0.25</v>
      </c>
      <c r="J155" s="372">
        <f>System_Mkt_Repl!I155</f>
        <v>0.35</v>
      </c>
      <c r="K155" s="372">
        <f>System_Mkt_Repl!J155</f>
        <v>0.35</v>
      </c>
      <c r="L155" s="372">
        <f>System_Mkt_Repl!K155</f>
        <v>0.35</v>
      </c>
      <c r="M155" s="372">
        <f>System_Mkt_Repl!L155</f>
        <v>0.35</v>
      </c>
      <c r="N155" s="372">
        <f>System_Mkt_Repl!M155</f>
        <v>0.35</v>
      </c>
      <c r="O155" s="372">
        <f>System_Mkt_Repl!N155</f>
        <v>0.35</v>
      </c>
      <c r="P155" s="372">
        <f>System_Mkt_Repl!O155</f>
        <v>0.35</v>
      </c>
      <c r="Q155" s="372">
        <f>System_Mkt_Repl!P155</f>
        <v>0.35</v>
      </c>
      <c r="R155" s="372">
        <f>System_Mkt_Repl!Q155</f>
        <v>0.35</v>
      </c>
      <c r="S155" s="372">
        <f>System_Mkt_Repl!R155</f>
        <v>0.35</v>
      </c>
      <c r="T155" s="372">
        <f>System_Mkt_Repl!S155</f>
        <v>0.35</v>
      </c>
      <c r="U155" s="372">
        <f>System_Mkt_Repl!T155</f>
        <v>0.35</v>
      </c>
      <c r="V155" s="372">
        <f>System_Mkt_Repl!U155</f>
        <v>0.35</v>
      </c>
      <c r="W155" s="372">
        <f>System_Mkt_Repl!V155</f>
        <v>0.35</v>
      </c>
      <c r="X155" s="372">
        <f>System_Mkt_Repl!W155</f>
        <v>0.35</v>
      </c>
      <c r="Y155" s="372">
        <f>System_Mkt_Repl!X155</f>
        <v>0.35</v>
      </c>
      <c r="Z155" s="372">
        <f>System_Mkt_Repl!Y155</f>
        <v>0.35</v>
      </c>
      <c r="AA155" s="372">
        <f>System_Mkt_Repl!Z155</f>
        <v>0.35</v>
      </c>
      <c r="AB155" s="372">
        <f>System_Mkt_Repl!AA155</f>
        <v>0.35</v>
      </c>
      <c r="AC155" s="372">
        <f>System_Mkt_Repl!AB155</f>
        <v>0.35</v>
      </c>
      <c r="AD155" s="372">
        <f>System_Mkt_Repl!AC155</f>
        <v>0.35</v>
      </c>
      <c r="AE155" s="372">
        <f>System_Mkt_Repl!AD155</f>
        <v>0.35</v>
      </c>
      <c r="AF155" s="372">
        <f>System_Mkt_Repl!AE155</f>
        <v>0.35</v>
      </c>
    </row>
    <row r="156" spans="1:32" s="221" customFormat="1" x14ac:dyDescent="0.25">
      <c r="A156" s="376"/>
      <c r="B156" s="376" t="s">
        <v>29</v>
      </c>
      <c r="C156"/>
      <c r="D156" s="372"/>
      <c r="E156" s="372"/>
      <c r="F156" s="372"/>
      <c r="G156" s="372">
        <f>System_Mkt_Repl!F156</f>
        <v>1</v>
      </c>
      <c r="H156" s="372">
        <f>System_Mkt_Repl!G156</f>
        <v>1</v>
      </c>
      <c r="I156" s="372">
        <f>System_Mkt_Repl!H156</f>
        <v>1</v>
      </c>
      <c r="J156" s="372">
        <f>System_Mkt_Repl!I156</f>
        <v>1</v>
      </c>
      <c r="K156" s="372">
        <f>System_Mkt_Repl!J156</f>
        <v>1</v>
      </c>
      <c r="L156" s="372">
        <f>System_Mkt_Repl!K156</f>
        <v>1</v>
      </c>
      <c r="M156" s="372">
        <f>System_Mkt_Repl!L156</f>
        <v>1</v>
      </c>
      <c r="N156" s="372">
        <f>System_Mkt_Repl!M156</f>
        <v>1</v>
      </c>
      <c r="O156" s="372">
        <f>System_Mkt_Repl!N156</f>
        <v>1</v>
      </c>
      <c r="P156" s="372">
        <f>System_Mkt_Repl!O156</f>
        <v>1</v>
      </c>
      <c r="Q156" s="372">
        <f>System_Mkt_Repl!P156</f>
        <v>1</v>
      </c>
      <c r="R156" s="372">
        <f>System_Mkt_Repl!Q156</f>
        <v>1</v>
      </c>
      <c r="S156" s="372">
        <f>System_Mkt_Repl!R156</f>
        <v>1</v>
      </c>
      <c r="T156" s="372">
        <f>System_Mkt_Repl!S156</f>
        <v>1</v>
      </c>
      <c r="U156" s="372">
        <f>System_Mkt_Repl!T156</f>
        <v>1</v>
      </c>
      <c r="V156" s="372">
        <f>System_Mkt_Repl!U156</f>
        <v>1</v>
      </c>
      <c r="W156" s="372">
        <f>System_Mkt_Repl!V156</f>
        <v>1</v>
      </c>
      <c r="X156" s="372">
        <f>System_Mkt_Repl!W156</f>
        <v>1</v>
      </c>
      <c r="Y156" s="372">
        <f>System_Mkt_Repl!X156</f>
        <v>1</v>
      </c>
      <c r="Z156" s="372">
        <f>System_Mkt_Repl!Y156</f>
        <v>1</v>
      </c>
      <c r="AA156" s="372">
        <f>System_Mkt_Repl!Z156</f>
        <v>1</v>
      </c>
      <c r="AB156" s="372">
        <f>System_Mkt_Repl!AA156</f>
        <v>1</v>
      </c>
      <c r="AC156" s="372">
        <f>System_Mkt_Repl!AB156</f>
        <v>1</v>
      </c>
      <c r="AD156" s="372">
        <f>System_Mkt_Repl!AC156</f>
        <v>1</v>
      </c>
      <c r="AE156" s="372">
        <f>System_Mkt_Repl!AD156</f>
        <v>1</v>
      </c>
      <c r="AF156" s="372">
        <f>System_Mkt_Repl!AE156</f>
        <v>1</v>
      </c>
    </row>
    <row r="157" spans="1:32" s="221" customFormat="1" x14ac:dyDescent="0.25">
      <c r="A157" s="376"/>
      <c r="B157" s="376"/>
      <c r="C157"/>
      <c r="D157" s="201"/>
      <c r="E157" s="201"/>
      <c r="F157" s="201"/>
      <c r="G157" s="201"/>
      <c r="H157" s="201"/>
      <c r="I157" s="201"/>
      <c r="J157" s="201"/>
      <c r="K157" s="201"/>
      <c r="L157" s="201"/>
      <c r="M157" s="201"/>
      <c r="N157" s="201"/>
      <c r="O157" s="201"/>
      <c r="P157" s="201"/>
      <c r="Q157" s="201"/>
      <c r="R157" s="201"/>
      <c r="S157" s="201"/>
      <c r="T157" s="201"/>
      <c r="U157" s="201"/>
      <c r="V157" s="201"/>
      <c r="W157" s="201"/>
      <c r="X157" s="201"/>
      <c r="Y157" s="201"/>
      <c r="Z157" s="201"/>
      <c r="AA157" s="201"/>
      <c r="AB157" s="201"/>
      <c r="AC157" s="201"/>
      <c r="AD157" s="201"/>
      <c r="AE157" s="201"/>
      <c r="AF157" s="201"/>
    </row>
    <row r="158" spans="1:32" s="202" customFormat="1" ht="12.75" x14ac:dyDescent="0.2">
      <c r="A158" s="402" t="s">
        <v>32</v>
      </c>
      <c r="B158" s="402"/>
      <c r="C158" s="402"/>
      <c r="D158" s="402"/>
      <c r="E158" s="402"/>
      <c r="F158" s="402"/>
      <c r="G158" s="402"/>
      <c r="H158" s="402"/>
      <c r="I158" s="402"/>
      <c r="J158" s="402"/>
      <c r="K158" s="402"/>
      <c r="L158" s="402"/>
      <c r="M158" s="402"/>
      <c r="N158" s="402"/>
      <c r="O158" s="402"/>
      <c r="P158" s="402"/>
      <c r="Q158" s="402"/>
      <c r="R158" s="402"/>
      <c r="S158" s="402"/>
      <c r="T158" s="402"/>
      <c r="U158" s="402"/>
      <c r="V158" s="402"/>
      <c r="W158" s="402"/>
      <c r="X158" s="402"/>
      <c r="Y158" s="402"/>
      <c r="Z158" s="402"/>
      <c r="AA158" s="402"/>
      <c r="AB158" s="402"/>
      <c r="AC158" s="402"/>
      <c r="AD158" s="402"/>
      <c r="AE158" s="402"/>
      <c r="AF158" s="402"/>
    </row>
    <row r="159" spans="1:32" s="221" customFormat="1" x14ac:dyDescent="0.25">
      <c r="A159" s="376"/>
      <c r="B159" s="376" t="s">
        <v>33</v>
      </c>
      <c r="C159"/>
      <c r="D159"/>
      <c r="E159"/>
      <c r="F159"/>
      <c r="G159" s="372">
        <f>System_Mkt_Repl!F159</f>
        <v>1</v>
      </c>
      <c r="H159" s="372">
        <f>System_Mkt_Repl!G159</f>
        <v>1</v>
      </c>
      <c r="I159" s="372">
        <f>System_Mkt_Repl!H159</f>
        <v>1</v>
      </c>
      <c r="J159" s="372">
        <f>System_Mkt_Repl!I159</f>
        <v>1</v>
      </c>
      <c r="K159" s="372">
        <f>System_Mkt_Repl!J159</f>
        <v>1</v>
      </c>
      <c r="L159" s="372">
        <f>System_Mkt_Repl!K159</f>
        <v>1</v>
      </c>
      <c r="M159" s="372">
        <f>System_Mkt_Repl!L159</f>
        <v>1</v>
      </c>
      <c r="N159" s="372">
        <f>System_Mkt_Repl!M159</f>
        <v>1</v>
      </c>
      <c r="O159" s="372">
        <f>System_Mkt_Repl!N159</f>
        <v>1</v>
      </c>
      <c r="P159" s="372">
        <f>System_Mkt_Repl!O159</f>
        <v>1</v>
      </c>
      <c r="Q159" s="372">
        <f>System_Mkt_Repl!P159</f>
        <v>1</v>
      </c>
      <c r="R159" s="372">
        <f>System_Mkt_Repl!Q159</f>
        <v>1</v>
      </c>
      <c r="S159" s="372">
        <f>System_Mkt_Repl!R159</f>
        <v>1</v>
      </c>
      <c r="T159" s="372">
        <f>System_Mkt_Repl!S159</f>
        <v>1</v>
      </c>
      <c r="U159" s="372">
        <f>System_Mkt_Repl!T159</f>
        <v>1</v>
      </c>
      <c r="V159" s="372">
        <f>System_Mkt_Repl!U159</f>
        <v>1</v>
      </c>
      <c r="W159" s="372">
        <f>System_Mkt_Repl!V159</f>
        <v>1</v>
      </c>
      <c r="X159" s="372">
        <f>System_Mkt_Repl!W159</f>
        <v>1</v>
      </c>
      <c r="Y159" s="372">
        <f>System_Mkt_Repl!X159</f>
        <v>1</v>
      </c>
      <c r="Z159" s="372">
        <f>System_Mkt_Repl!Y159</f>
        <v>1</v>
      </c>
      <c r="AA159" s="372">
        <f>System_Mkt_Repl!Z159</f>
        <v>1</v>
      </c>
      <c r="AB159" s="372">
        <f>System_Mkt_Repl!AA159</f>
        <v>1</v>
      </c>
      <c r="AC159" s="372">
        <f>System_Mkt_Repl!AB159</f>
        <v>1</v>
      </c>
      <c r="AD159" s="372">
        <f>System_Mkt_Repl!AC159</f>
        <v>1</v>
      </c>
      <c r="AE159" s="372">
        <f>System_Mkt_Repl!AD159</f>
        <v>1</v>
      </c>
      <c r="AF159" s="372">
        <f>System_Mkt_Repl!AE159</f>
        <v>1</v>
      </c>
    </row>
    <row r="160" spans="1:32" s="221" customFormat="1" x14ac:dyDescent="0.25">
      <c r="A160" s="388"/>
      <c r="B160" s="388" t="s">
        <v>34</v>
      </c>
      <c r="C160"/>
      <c r="D160"/>
      <c r="E160"/>
      <c r="F160"/>
      <c r="G160" s="372">
        <f>System_Mkt_Repl!F160</f>
        <v>1</v>
      </c>
      <c r="H160" s="372">
        <f>System_Mkt_Repl!G160</f>
        <v>1</v>
      </c>
      <c r="I160" s="372">
        <f>System_Mkt_Repl!H160</f>
        <v>1</v>
      </c>
      <c r="J160" s="372">
        <f>System_Mkt_Repl!I160</f>
        <v>1</v>
      </c>
      <c r="K160" s="372">
        <f>System_Mkt_Repl!J160</f>
        <v>1</v>
      </c>
      <c r="L160" s="372">
        <f>System_Mkt_Repl!K160</f>
        <v>1</v>
      </c>
      <c r="M160" s="372">
        <f>System_Mkt_Repl!L160</f>
        <v>1</v>
      </c>
      <c r="N160" s="372">
        <f>System_Mkt_Repl!M160</f>
        <v>1</v>
      </c>
      <c r="O160" s="372">
        <f>System_Mkt_Repl!N160</f>
        <v>1</v>
      </c>
      <c r="P160" s="372">
        <f>System_Mkt_Repl!O160</f>
        <v>1</v>
      </c>
      <c r="Q160" s="372">
        <f>System_Mkt_Repl!P160</f>
        <v>1</v>
      </c>
      <c r="R160" s="372">
        <f>System_Mkt_Repl!Q160</f>
        <v>1</v>
      </c>
      <c r="S160" s="372">
        <f>System_Mkt_Repl!R160</f>
        <v>1</v>
      </c>
      <c r="T160" s="372">
        <f>System_Mkt_Repl!S160</f>
        <v>1</v>
      </c>
      <c r="U160" s="372">
        <f>System_Mkt_Repl!T160</f>
        <v>1</v>
      </c>
      <c r="V160" s="372">
        <f>System_Mkt_Repl!U160</f>
        <v>1</v>
      </c>
      <c r="W160" s="372">
        <f>System_Mkt_Repl!V160</f>
        <v>1</v>
      </c>
      <c r="X160" s="372">
        <f>System_Mkt_Repl!W160</f>
        <v>1</v>
      </c>
      <c r="Y160" s="372">
        <f>System_Mkt_Repl!X160</f>
        <v>1</v>
      </c>
      <c r="Z160" s="372">
        <f>System_Mkt_Repl!Y160</f>
        <v>1</v>
      </c>
      <c r="AA160" s="372">
        <f>System_Mkt_Repl!Z160</f>
        <v>1</v>
      </c>
      <c r="AB160" s="372">
        <f>System_Mkt_Repl!AA160</f>
        <v>1</v>
      </c>
      <c r="AC160" s="372">
        <f>System_Mkt_Repl!AB160</f>
        <v>1</v>
      </c>
      <c r="AD160" s="372">
        <f>System_Mkt_Repl!AC160</f>
        <v>1</v>
      </c>
      <c r="AE160" s="372">
        <f>System_Mkt_Repl!AD160</f>
        <v>1</v>
      </c>
      <c r="AF160" s="372">
        <f>System_Mkt_Repl!AE160</f>
        <v>1</v>
      </c>
    </row>
    <row r="161" spans="1:32" s="221" customFormat="1" x14ac:dyDescent="0.25">
      <c r="A161" s="376"/>
      <c r="B161" s="388" t="s">
        <v>35</v>
      </c>
      <c r="C161"/>
      <c r="D161"/>
      <c r="E161"/>
      <c r="F161"/>
      <c r="G161" s="372">
        <f>System_Mkt_Repl!F161</f>
        <v>0.15</v>
      </c>
      <c r="H161" s="372">
        <f>System_Mkt_Repl!G161</f>
        <v>0.15</v>
      </c>
      <c r="I161" s="372">
        <f>System_Mkt_Repl!H161</f>
        <v>0.15</v>
      </c>
      <c r="J161" s="372">
        <f>System_Mkt_Repl!I161</f>
        <v>0.15</v>
      </c>
      <c r="K161" s="372">
        <f>System_Mkt_Repl!J161</f>
        <v>0.15</v>
      </c>
      <c r="L161" s="372">
        <f>System_Mkt_Repl!K161</f>
        <v>0.15</v>
      </c>
      <c r="M161" s="372">
        <f>System_Mkt_Repl!L161</f>
        <v>0.15</v>
      </c>
      <c r="N161" s="372">
        <f>System_Mkt_Repl!M161</f>
        <v>0.15</v>
      </c>
      <c r="O161" s="372">
        <f>System_Mkt_Repl!N161</f>
        <v>0.15</v>
      </c>
      <c r="P161" s="372">
        <f>System_Mkt_Repl!O161</f>
        <v>0.15</v>
      </c>
      <c r="Q161" s="372">
        <f>System_Mkt_Repl!P161</f>
        <v>0.15</v>
      </c>
      <c r="R161" s="372">
        <f>System_Mkt_Repl!Q161</f>
        <v>0.15</v>
      </c>
      <c r="S161" s="372">
        <f>System_Mkt_Repl!R161</f>
        <v>0.15</v>
      </c>
      <c r="T161" s="372">
        <f>System_Mkt_Repl!S161</f>
        <v>0.15</v>
      </c>
      <c r="U161" s="372">
        <f>System_Mkt_Repl!T161</f>
        <v>0.15</v>
      </c>
      <c r="V161" s="372">
        <f>System_Mkt_Repl!U161</f>
        <v>0.15</v>
      </c>
      <c r="W161" s="372">
        <f>System_Mkt_Repl!V161</f>
        <v>0.15</v>
      </c>
      <c r="X161" s="372">
        <f>System_Mkt_Repl!W161</f>
        <v>0.15</v>
      </c>
      <c r="Y161" s="372">
        <f>System_Mkt_Repl!X161</f>
        <v>0.15</v>
      </c>
      <c r="Z161" s="372">
        <f>System_Mkt_Repl!Y161</f>
        <v>0.15</v>
      </c>
      <c r="AA161" s="372">
        <f>System_Mkt_Repl!Z161</f>
        <v>0.15</v>
      </c>
      <c r="AB161" s="372">
        <f>System_Mkt_Repl!AA161</f>
        <v>0.15</v>
      </c>
      <c r="AC161" s="372">
        <f>System_Mkt_Repl!AB161</f>
        <v>0.15</v>
      </c>
      <c r="AD161" s="372">
        <f>System_Mkt_Repl!AC161</f>
        <v>0.15</v>
      </c>
      <c r="AE161" s="372">
        <f>System_Mkt_Repl!AD161</f>
        <v>0.15</v>
      </c>
      <c r="AF161" s="372">
        <f>System_Mkt_Repl!AE161</f>
        <v>0.15</v>
      </c>
    </row>
    <row r="162" spans="1:32" s="221" customFormat="1" x14ac:dyDescent="0.25">
      <c r="A162" s="376"/>
      <c r="B162" s="388" t="s">
        <v>29</v>
      </c>
      <c r="C162"/>
      <c r="D162"/>
      <c r="E162"/>
      <c r="F162"/>
      <c r="G162" s="372">
        <f>System_Mkt_Repl!F162</f>
        <v>1</v>
      </c>
      <c r="H162" s="372">
        <f>System_Mkt_Repl!G162</f>
        <v>1</v>
      </c>
      <c r="I162" s="372">
        <f>System_Mkt_Repl!H162</f>
        <v>1</v>
      </c>
      <c r="J162" s="372">
        <f>System_Mkt_Repl!I162</f>
        <v>1</v>
      </c>
      <c r="K162" s="372">
        <f>System_Mkt_Repl!J162</f>
        <v>1</v>
      </c>
      <c r="L162" s="372">
        <f>System_Mkt_Repl!K162</f>
        <v>1</v>
      </c>
      <c r="M162" s="372">
        <f>System_Mkt_Repl!L162</f>
        <v>1</v>
      </c>
      <c r="N162" s="372">
        <f>System_Mkt_Repl!M162</f>
        <v>1</v>
      </c>
      <c r="O162" s="372">
        <f>System_Mkt_Repl!N162</f>
        <v>1</v>
      </c>
      <c r="P162" s="372">
        <f>System_Mkt_Repl!O162</f>
        <v>1</v>
      </c>
      <c r="Q162" s="372">
        <f>System_Mkt_Repl!P162</f>
        <v>1</v>
      </c>
      <c r="R162" s="372">
        <f>System_Mkt_Repl!Q162</f>
        <v>1</v>
      </c>
      <c r="S162" s="372">
        <f>System_Mkt_Repl!R162</f>
        <v>1</v>
      </c>
      <c r="T162" s="372">
        <f>System_Mkt_Repl!S162</f>
        <v>1</v>
      </c>
      <c r="U162" s="372">
        <f>System_Mkt_Repl!T162</f>
        <v>1</v>
      </c>
      <c r="V162" s="372">
        <f>System_Mkt_Repl!U162</f>
        <v>1</v>
      </c>
      <c r="W162" s="372">
        <f>System_Mkt_Repl!V162</f>
        <v>1</v>
      </c>
      <c r="X162" s="372">
        <f>System_Mkt_Repl!W162</f>
        <v>1</v>
      </c>
      <c r="Y162" s="372">
        <f>System_Mkt_Repl!X162</f>
        <v>1</v>
      </c>
      <c r="Z162" s="372">
        <f>System_Mkt_Repl!Y162</f>
        <v>1</v>
      </c>
      <c r="AA162" s="372">
        <f>System_Mkt_Repl!Z162</f>
        <v>1</v>
      </c>
      <c r="AB162" s="372">
        <f>System_Mkt_Repl!AA162</f>
        <v>1</v>
      </c>
      <c r="AC162" s="372">
        <f>System_Mkt_Repl!AB162</f>
        <v>1</v>
      </c>
      <c r="AD162" s="372">
        <f>System_Mkt_Repl!AC162</f>
        <v>1</v>
      </c>
      <c r="AE162" s="372">
        <f>System_Mkt_Repl!AD162</f>
        <v>1</v>
      </c>
      <c r="AF162" s="372">
        <f>System_Mkt_Repl!AE162</f>
        <v>1</v>
      </c>
    </row>
    <row r="163" spans="1:32" s="221" customFormat="1" x14ac:dyDescent="0.25">
      <c r="A163" s="376"/>
      <c r="B163" s="376"/>
      <c r="C163"/>
      <c r="D163"/>
      <c r="E163"/>
      <c r="F163"/>
      <c r="G163"/>
      <c r="H163"/>
      <c r="I163"/>
      <c r="J163"/>
      <c r="K163"/>
      <c r="L163"/>
      <c r="M163"/>
      <c r="N163"/>
      <c r="O163"/>
      <c r="P163"/>
      <c r="Q163"/>
      <c r="R163"/>
      <c r="S163"/>
      <c r="T163"/>
      <c r="U163"/>
      <c r="V163"/>
      <c r="W163"/>
      <c r="X163"/>
      <c r="Y163"/>
      <c r="Z163"/>
      <c r="AA163"/>
      <c r="AB163"/>
      <c r="AC163"/>
      <c r="AD163"/>
      <c r="AE163"/>
      <c r="AF163"/>
    </row>
    <row r="164" spans="1:32" s="202" customFormat="1" ht="12.75" x14ac:dyDescent="0.2">
      <c r="A164" s="402" t="s">
        <v>36</v>
      </c>
      <c r="B164" s="402"/>
      <c r="C164" s="402"/>
      <c r="D164" s="402"/>
      <c r="E164" s="402"/>
      <c r="F164" s="402"/>
      <c r="G164" s="402"/>
      <c r="H164" s="402"/>
      <c r="I164" s="402"/>
      <c r="J164" s="402"/>
      <c r="K164" s="402"/>
      <c r="L164" s="402"/>
      <c r="M164" s="402"/>
      <c r="N164" s="402"/>
      <c r="O164" s="402"/>
      <c r="P164" s="402"/>
      <c r="Q164" s="402"/>
      <c r="R164" s="402"/>
      <c r="S164" s="402"/>
      <c r="T164" s="402"/>
      <c r="U164" s="402"/>
      <c r="V164" s="402"/>
      <c r="W164" s="402"/>
      <c r="X164" s="402"/>
      <c r="Y164" s="402"/>
      <c r="Z164" s="402"/>
      <c r="AA164" s="402"/>
      <c r="AB164" s="402"/>
      <c r="AC164" s="402"/>
      <c r="AD164" s="402"/>
      <c r="AE164" s="402"/>
      <c r="AF164" s="402"/>
    </row>
    <row r="165" spans="1:32" s="221" customFormat="1" x14ac:dyDescent="0.25">
      <c r="A165" s="376"/>
      <c r="B165" s="376" t="s">
        <v>37</v>
      </c>
      <c r="C165"/>
      <c r="D165"/>
      <c r="E165"/>
      <c r="F165"/>
      <c r="G165" s="372">
        <f>System_Mkt_Repl!F165</f>
        <v>0.05</v>
      </c>
      <c r="H165" s="372">
        <f>System_Mkt_Repl!G165</f>
        <v>0.05</v>
      </c>
      <c r="I165" s="372">
        <f>System_Mkt_Repl!H165</f>
        <v>4.1666666666666671E-2</v>
      </c>
      <c r="J165" s="372">
        <f>System_Mkt_Repl!I165</f>
        <v>3.333333333333334E-2</v>
      </c>
      <c r="K165" s="372">
        <f>System_Mkt_Repl!J165</f>
        <v>2.5000000000000001E-2</v>
      </c>
      <c r="L165" s="372">
        <f>System_Mkt_Repl!K165</f>
        <v>1.6708333333333332E-2</v>
      </c>
      <c r="M165" s="372">
        <f>System_Mkt_Repl!L165</f>
        <v>8.4166666666666643E-3</v>
      </c>
      <c r="N165" s="372">
        <f>System_Mkt_Repl!M165</f>
        <v>2.5000000000000005E-3</v>
      </c>
      <c r="O165" s="372">
        <f>System_Mkt_Repl!N165</f>
        <v>2.5000000000000005E-3</v>
      </c>
      <c r="P165" s="372">
        <f>System_Mkt_Repl!O165</f>
        <v>2.5000000000000005E-3</v>
      </c>
      <c r="Q165" s="372">
        <f>System_Mkt_Repl!P165</f>
        <v>2.5000000000000005E-3</v>
      </c>
      <c r="R165" s="372">
        <f>System_Mkt_Repl!Q165</f>
        <v>2.5000000000000005E-3</v>
      </c>
      <c r="S165" s="372">
        <f>System_Mkt_Repl!R165</f>
        <v>2.5000000000000005E-3</v>
      </c>
      <c r="T165" s="372">
        <f>System_Mkt_Repl!S165</f>
        <v>2.5000000000000005E-3</v>
      </c>
      <c r="U165" s="372">
        <f>System_Mkt_Repl!T165</f>
        <v>2.5000000000000005E-3</v>
      </c>
      <c r="V165" s="372">
        <f>System_Mkt_Repl!U165</f>
        <v>2.5000000000000005E-3</v>
      </c>
      <c r="W165" s="372">
        <f>System_Mkt_Repl!V165</f>
        <v>2.5000000000000005E-3</v>
      </c>
      <c r="X165" s="372">
        <f>System_Mkt_Repl!W165</f>
        <v>2.5000000000000005E-3</v>
      </c>
      <c r="Y165" s="372">
        <f>System_Mkt_Repl!X165</f>
        <v>2.5000000000000005E-3</v>
      </c>
      <c r="Z165" s="372">
        <f>System_Mkt_Repl!Y165</f>
        <v>2.5000000000000005E-3</v>
      </c>
      <c r="AA165" s="372">
        <f>System_Mkt_Repl!Z165</f>
        <v>2.5000000000000005E-3</v>
      </c>
      <c r="AB165" s="372">
        <f>System_Mkt_Repl!AA165</f>
        <v>2.5000000000000005E-3</v>
      </c>
      <c r="AC165" s="372">
        <f>System_Mkt_Repl!AB165</f>
        <v>2.5000000000000005E-3</v>
      </c>
      <c r="AD165" s="372">
        <f>System_Mkt_Repl!AC165</f>
        <v>2.5000000000000005E-3</v>
      </c>
      <c r="AE165" s="372">
        <f>System_Mkt_Repl!AD165</f>
        <v>2.5000000000000005E-3</v>
      </c>
      <c r="AF165" s="372">
        <f>System_Mkt_Repl!AE165</f>
        <v>2.5000000000000005E-3</v>
      </c>
    </row>
    <row r="166" spans="1:32" s="221" customFormat="1" x14ac:dyDescent="0.25">
      <c r="A166" s="376"/>
      <c r="B166" s="376" t="s">
        <v>39</v>
      </c>
      <c r="C166"/>
      <c r="D166"/>
      <c r="E166"/>
      <c r="F166"/>
      <c r="G166" s="372">
        <f>System_Mkt_Repl!F166</f>
        <v>1</v>
      </c>
      <c r="H166" s="372">
        <f>System_Mkt_Repl!G166</f>
        <v>1</v>
      </c>
      <c r="I166" s="372">
        <f>System_Mkt_Repl!H166</f>
        <v>1</v>
      </c>
      <c r="J166" s="372">
        <f>System_Mkt_Repl!I166</f>
        <v>1</v>
      </c>
      <c r="K166" s="372">
        <f>System_Mkt_Repl!J166</f>
        <v>1</v>
      </c>
      <c r="L166" s="372">
        <f>System_Mkt_Repl!K166</f>
        <v>1</v>
      </c>
      <c r="M166" s="372">
        <f>System_Mkt_Repl!L166</f>
        <v>1</v>
      </c>
      <c r="N166" s="372">
        <f>System_Mkt_Repl!M166</f>
        <v>1</v>
      </c>
      <c r="O166" s="372">
        <f>System_Mkt_Repl!N166</f>
        <v>1</v>
      </c>
      <c r="P166" s="372">
        <f>System_Mkt_Repl!O166</f>
        <v>1</v>
      </c>
      <c r="Q166" s="372">
        <f>System_Mkt_Repl!P166</f>
        <v>1</v>
      </c>
      <c r="R166" s="372">
        <f>System_Mkt_Repl!Q166</f>
        <v>1</v>
      </c>
      <c r="S166" s="372">
        <f>System_Mkt_Repl!R166</f>
        <v>1</v>
      </c>
      <c r="T166" s="372">
        <f>System_Mkt_Repl!S166</f>
        <v>1</v>
      </c>
      <c r="U166" s="372">
        <f>System_Mkt_Repl!T166</f>
        <v>1</v>
      </c>
      <c r="V166" s="372">
        <f>System_Mkt_Repl!U166</f>
        <v>1</v>
      </c>
      <c r="W166" s="372">
        <f>System_Mkt_Repl!V166</f>
        <v>1</v>
      </c>
      <c r="X166" s="372">
        <f>System_Mkt_Repl!W166</f>
        <v>1</v>
      </c>
      <c r="Y166" s="372">
        <f>System_Mkt_Repl!X166</f>
        <v>1</v>
      </c>
      <c r="Z166" s="372">
        <f>System_Mkt_Repl!Y166</f>
        <v>1</v>
      </c>
      <c r="AA166" s="372">
        <f>System_Mkt_Repl!Z166</f>
        <v>1</v>
      </c>
      <c r="AB166" s="372">
        <f>System_Mkt_Repl!AA166</f>
        <v>1</v>
      </c>
      <c r="AC166" s="372">
        <f>System_Mkt_Repl!AB166</f>
        <v>1</v>
      </c>
      <c r="AD166" s="372">
        <f>System_Mkt_Repl!AC166</f>
        <v>1</v>
      </c>
      <c r="AE166" s="372">
        <f>System_Mkt_Repl!AD166</f>
        <v>1</v>
      </c>
      <c r="AF166" s="372">
        <f>System_Mkt_Repl!AE166</f>
        <v>1</v>
      </c>
    </row>
    <row r="167" spans="1:32" s="221" customFormat="1" x14ac:dyDescent="0.25">
      <c r="A167" s="376"/>
      <c r="B167" s="376" t="s">
        <v>40</v>
      </c>
      <c r="C167"/>
      <c r="D167"/>
      <c r="E167"/>
      <c r="F167"/>
      <c r="G167" s="372">
        <f>System_Mkt_Repl!F167</f>
        <v>0.8</v>
      </c>
      <c r="H167" s="372">
        <f>System_Mkt_Repl!G167</f>
        <v>0.8</v>
      </c>
      <c r="I167" s="372">
        <f>System_Mkt_Repl!H167</f>
        <v>0.8</v>
      </c>
      <c r="J167" s="372">
        <f>System_Mkt_Repl!I167</f>
        <v>0.8</v>
      </c>
      <c r="K167" s="372">
        <f>System_Mkt_Repl!J167</f>
        <v>0.8</v>
      </c>
      <c r="L167" s="372">
        <f>System_Mkt_Repl!K167</f>
        <v>0.8</v>
      </c>
      <c r="M167" s="372">
        <f>System_Mkt_Repl!L167</f>
        <v>0.8</v>
      </c>
      <c r="N167" s="372">
        <f>System_Mkt_Repl!M167</f>
        <v>0.8</v>
      </c>
      <c r="O167" s="372">
        <f>System_Mkt_Repl!N167</f>
        <v>0.8</v>
      </c>
      <c r="P167" s="372">
        <f>System_Mkt_Repl!O167</f>
        <v>0.8</v>
      </c>
      <c r="Q167" s="372">
        <f>System_Mkt_Repl!P167</f>
        <v>0.8</v>
      </c>
      <c r="R167" s="372">
        <f>System_Mkt_Repl!Q167</f>
        <v>0.8</v>
      </c>
      <c r="S167" s="372">
        <f>System_Mkt_Repl!R167</f>
        <v>0.8</v>
      </c>
      <c r="T167" s="372">
        <f>System_Mkt_Repl!S167</f>
        <v>0.8</v>
      </c>
      <c r="U167" s="372">
        <f>System_Mkt_Repl!T167</f>
        <v>0.8</v>
      </c>
      <c r="V167" s="372">
        <f>System_Mkt_Repl!U167</f>
        <v>0.8</v>
      </c>
      <c r="W167" s="372">
        <f>System_Mkt_Repl!V167</f>
        <v>0.8</v>
      </c>
      <c r="X167" s="372">
        <f>System_Mkt_Repl!W167</f>
        <v>0.8</v>
      </c>
      <c r="Y167" s="372">
        <f>System_Mkt_Repl!X167</f>
        <v>0.8</v>
      </c>
      <c r="Z167" s="372">
        <f>System_Mkt_Repl!Y167</f>
        <v>0.8</v>
      </c>
      <c r="AA167" s="372">
        <f>System_Mkt_Repl!Z167</f>
        <v>0.8</v>
      </c>
      <c r="AB167" s="372">
        <f>System_Mkt_Repl!AA167</f>
        <v>0.8</v>
      </c>
      <c r="AC167" s="372">
        <f>System_Mkt_Repl!AB167</f>
        <v>0.8</v>
      </c>
      <c r="AD167" s="372">
        <f>System_Mkt_Repl!AC167</f>
        <v>0.8</v>
      </c>
      <c r="AE167" s="372">
        <f>System_Mkt_Repl!AD167</f>
        <v>0.8</v>
      </c>
      <c r="AF167" s="372">
        <f>System_Mkt_Repl!AE167</f>
        <v>0.8</v>
      </c>
    </row>
    <row r="168" spans="1:32" s="221" customFormat="1" x14ac:dyDescent="0.25">
      <c r="A168" s="376"/>
      <c r="B168" s="376" t="s">
        <v>29</v>
      </c>
      <c r="C168"/>
      <c r="D168"/>
      <c r="E168"/>
      <c r="F168"/>
      <c r="G168" s="372">
        <f>System_Mkt_Repl!F168</f>
        <v>1</v>
      </c>
      <c r="H168" s="372">
        <f>System_Mkt_Repl!G168</f>
        <v>1</v>
      </c>
      <c r="I168" s="372">
        <f>System_Mkt_Repl!H168</f>
        <v>1</v>
      </c>
      <c r="J168" s="372">
        <f>System_Mkt_Repl!I168</f>
        <v>1</v>
      </c>
      <c r="K168" s="372">
        <f>System_Mkt_Repl!J168</f>
        <v>1</v>
      </c>
      <c r="L168" s="372">
        <f>System_Mkt_Repl!K168</f>
        <v>1</v>
      </c>
      <c r="M168" s="372">
        <f>System_Mkt_Repl!L168</f>
        <v>1</v>
      </c>
      <c r="N168" s="372">
        <f>System_Mkt_Repl!M168</f>
        <v>1</v>
      </c>
      <c r="O168" s="372">
        <f>System_Mkt_Repl!N168</f>
        <v>1</v>
      </c>
      <c r="P168" s="372">
        <f>System_Mkt_Repl!O168</f>
        <v>1</v>
      </c>
      <c r="Q168" s="372">
        <f>System_Mkt_Repl!P168</f>
        <v>1</v>
      </c>
      <c r="R168" s="372">
        <f>System_Mkt_Repl!Q168</f>
        <v>1</v>
      </c>
      <c r="S168" s="372">
        <f>System_Mkt_Repl!R168</f>
        <v>1</v>
      </c>
      <c r="T168" s="372">
        <f>System_Mkt_Repl!S168</f>
        <v>1</v>
      </c>
      <c r="U168" s="372">
        <f>System_Mkt_Repl!T168</f>
        <v>1</v>
      </c>
      <c r="V168" s="372">
        <f>System_Mkt_Repl!U168</f>
        <v>1</v>
      </c>
      <c r="W168" s="372">
        <f>System_Mkt_Repl!V168</f>
        <v>1</v>
      </c>
      <c r="X168" s="372">
        <f>System_Mkt_Repl!W168</f>
        <v>1</v>
      </c>
      <c r="Y168" s="372">
        <f>System_Mkt_Repl!X168</f>
        <v>1</v>
      </c>
      <c r="Z168" s="372">
        <f>System_Mkt_Repl!Y168</f>
        <v>1</v>
      </c>
      <c r="AA168" s="372">
        <f>System_Mkt_Repl!Z168</f>
        <v>1</v>
      </c>
      <c r="AB168" s="372">
        <f>System_Mkt_Repl!AA168</f>
        <v>1</v>
      </c>
      <c r="AC168" s="372">
        <f>System_Mkt_Repl!AB168</f>
        <v>1</v>
      </c>
      <c r="AD168" s="372">
        <f>System_Mkt_Repl!AC168</f>
        <v>1</v>
      </c>
      <c r="AE168" s="372">
        <f>System_Mkt_Repl!AD168</f>
        <v>1</v>
      </c>
      <c r="AF168" s="372">
        <f>System_Mkt_Repl!AE168</f>
        <v>1</v>
      </c>
    </row>
    <row r="169" spans="1:32" s="221" customFormat="1" x14ac:dyDescent="0.25">
      <c r="A169" s="376"/>
      <c r="B169" s="376"/>
      <c r="C169"/>
      <c r="D169"/>
      <c r="E169"/>
      <c r="F169"/>
      <c r="G169"/>
      <c r="H169"/>
      <c r="I169"/>
      <c r="J169"/>
      <c r="K169"/>
      <c r="L169"/>
      <c r="M169"/>
      <c r="N169"/>
      <c r="O169"/>
      <c r="P169"/>
      <c r="Q169"/>
      <c r="R169"/>
      <c r="S169"/>
      <c r="T169"/>
      <c r="U169"/>
      <c r="V169"/>
      <c r="W169"/>
      <c r="X169"/>
      <c r="Y169"/>
      <c r="Z169"/>
      <c r="AA169"/>
      <c r="AB169"/>
      <c r="AC169"/>
      <c r="AD169"/>
      <c r="AE169"/>
      <c r="AF169"/>
    </row>
    <row r="170" spans="1:32" s="202" customFormat="1" ht="12.75" x14ac:dyDescent="0.2">
      <c r="A170" s="402" t="s">
        <v>42</v>
      </c>
      <c r="B170" s="402"/>
      <c r="C170" s="402"/>
      <c r="D170" s="402"/>
      <c r="E170" s="402"/>
      <c r="F170" s="402"/>
      <c r="G170" s="402"/>
      <c r="H170" s="402"/>
      <c r="I170" s="402"/>
      <c r="J170" s="402"/>
      <c r="K170" s="402"/>
      <c r="L170" s="402"/>
      <c r="M170" s="402"/>
      <c r="N170" s="402"/>
      <c r="O170" s="402"/>
      <c r="P170" s="402"/>
      <c r="Q170" s="402"/>
      <c r="R170" s="402"/>
      <c r="S170" s="402"/>
      <c r="T170" s="402"/>
      <c r="U170" s="402"/>
      <c r="V170" s="402"/>
      <c r="W170" s="402"/>
      <c r="X170" s="402"/>
      <c r="Y170" s="402"/>
      <c r="Z170" s="402"/>
      <c r="AA170" s="402"/>
      <c r="AB170" s="402"/>
      <c r="AC170" s="402"/>
      <c r="AD170" s="402"/>
      <c r="AE170" s="402"/>
      <c r="AF170" s="402"/>
    </row>
    <row r="171" spans="1:32" s="221" customFormat="1" x14ac:dyDescent="0.25">
      <c r="A171" s="376"/>
      <c r="B171" s="388" t="s">
        <v>43</v>
      </c>
      <c r="C171"/>
      <c r="D171"/>
      <c r="E171"/>
      <c r="F171"/>
      <c r="G171" s="372">
        <f>System_Mkt_Repl!F171</f>
        <v>1.0000000000000002E-2</v>
      </c>
      <c r="H171" s="372">
        <f>System_Mkt_Repl!G171</f>
        <v>1.0000000000000002E-2</v>
      </c>
      <c r="I171" s="372">
        <f>System_Mkt_Repl!H171</f>
        <v>1.0000000000000002E-2</v>
      </c>
      <c r="J171" s="372">
        <f>System_Mkt_Repl!I171</f>
        <v>1.0000000000000002E-2</v>
      </c>
      <c r="K171" s="372">
        <f>System_Mkt_Repl!J171</f>
        <v>1.0000000000000002E-2</v>
      </c>
      <c r="L171" s="372">
        <f>System_Mkt_Repl!K171</f>
        <v>1.0000000000000002E-2</v>
      </c>
      <c r="M171" s="372">
        <f>System_Mkt_Repl!L171</f>
        <v>1.0000000000000002E-2</v>
      </c>
      <c r="N171" s="372">
        <f>System_Mkt_Repl!M171</f>
        <v>1.0000000000000002E-2</v>
      </c>
      <c r="O171" s="372">
        <f>System_Mkt_Repl!N171</f>
        <v>1.0000000000000002E-2</v>
      </c>
      <c r="P171" s="372">
        <f>System_Mkt_Repl!O171</f>
        <v>1.0000000000000002E-2</v>
      </c>
      <c r="Q171" s="372">
        <f>System_Mkt_Repl!P171</f>
        <v>1.0000000000000002E-2</v>
      </c>
      <c r="R171" s="372">
        <f>System_Mkt_Repl!Q171</f>
        <v>1.0000000000000002E-2</v>
      </c>
      <c r="S171" s="372">
        <f>System_Mkt_Repl!R171</f>
        <v>1.0000000000000002E-2</v>
      </c>
      <c r="T171" s="372">
        <f>System_Mkt_Repl!S171</f>
        <v>1.0000000000000002E-2</v>
      </c>
      <c r="U171" s="372">
        <f>System_Mkt_Repl!T171</f>
        <v>1.0000000000000002E-2</v>
      </c>
      <c r="V171" s="372">
        <f>System_Mkt_Repl!U171</f>
        <v>1.0000000000000002E-2</v>
      </c>
      <c r="W171" s="372">
        <f>System_Mkt_Repl!V171</f>
        <v>1.0000000000000002E-2</v>
      </c>
      <c r="X171" s="372">
        <f>System_Mkt_Repl!W171</f>
        <v>1.0000000000000002E-2</v>
      </c>
      <c r="Y171" s="372">
        <f>System_Mkt_Repl!X171</f>
        <v>1.0000000000000002E-2</v>
      </c>
      <c r="Z171" s="372">
        <f>System_Mkt_Repl!Y171</f>
        <v>1.0000000000000002E-2</v>
      </c>
      <c r="AA171" s="372">
        <f>System_Mkt_Repl!Z171</f>
        <v>1.0000000000000002E-2</v>
      </c>
      <c r="AB171" s="372">
        <f>System_Mkt_Repl!AA171</f>
        <v>1.0000000000000002E-2</v>
      </c>
      <c r="AC171" s="372">
        <f>System_Mkt_Repl!AB171</f>
        <v>1.0000000000000002E-2</v>
      </c>
      <c r="AD171" s="372">
        <f>System_Mkt_Repl!AC171</f>
        <v>1.0000000000000002E-2</v>
      </c>
      <c r="AE171" s="372">
        <f>System_Mkt_Repl!AD171</f>
        <v>1.0000000000000002E-2</v>
      </c>
      <c r="AF171" s="372">
        <f>System_Mkt_Repl!AE171</f>
        <v>1.0000000000000002E-2</v>
      </c>
    </row>
    <row r="172" spans="1:32" s="221" customFormat="1" x14ac:dyDescent="0.25">
      <c r="A172" s="376"/>
      <c r="B172" s="388" t="s">
        <v>44</v>
      </c>
      <c r="C172"/>
      <c r="D172"/>
      <c r="E172"/>
      <c r="F172"/>
      <c r="G172" s="372">
        <f>System_Mkt_Repl!F172</f>
        <v>1</v>
      </c>
      <c r="H172" s="372">
        <f>System_Mkt_Repl!G172</f>
        <v>1</v>
      </c>
      <c r="I172" s="372">
        <f>System_Mkt_Repl!H172</f>
        <v>1</v>
      </c>
      <c r="J172" s="372">
        <f>System_Mkt_Repl!I172</f>
        <v>1</v>
      </c>
      <c r="K172" s="372">
        <f>System_Mkt_Repl!J172</f>
        <v>1</v>
      </c>
      <c r="L172" s="372">
        <f>System_Mkt_Repl!K172</f>
        <v>1</v>
      </c>
      <c r="M172" s="372">
        <f>System_Mkt_Repl!L172</f>
        <v>1</v>
      </c>
      <c r="N172" s="372">
        <f>System_Mkt_Repl!M172</f>
        <v>1</v>
      </c>
      <c r="O172" s="372">
        <f>System_Mkt_Repl!N172</f>
        <v>1</v>
      </c>
      <c r="P172" s="372">
        <f>System_Mkt_Repl!O172</f>
        <v>1</v>
      </c>
      <c r="Q172" s="372">
        <f>System_Mkt_Repl!P172</f>
        <v>1</v>
      </c>
      <c r="R172" s="372">
        <f>System_Mkt_Repl!Q172</f>
        <v>1</v>
      </c>
      <c r="S172" s="372">
        <f>System_Mkt_Repl!R172</f>
        <v>1</v>
      </c>
      <c r="T172" s="372">
        <f>System_Mkt_Repl!S172</f>
        <v>1</v>
      </c>
      <c r="U172" s="372">
        <f>System_Mkt_Repl!T172</f>
        <v>1</v>
      </c>
      <c r="V172" s="372">
        <f>System_Mkt_Repl!U172</f>
        <v>1</v>
      </c>
      <c r="W172" s="372">
        <f>System_Mkt_Repl!V172</f>
        <v>1</v>
      </c>
      <c r="X172" s="372">
        <f>System_Mkt_Repl!W172</f>
        <v>1</v>
      </c>
      <c r="Y172" s="372">
        <f>System_Mkt_Repl!X172</f>
        <v>1</v>
      </c>
      <c r="Z172" s="372">
        <f>System_Mkt_Repl!Y172</f>
        <v>1</v>
      </c>
      <c r="AA172" s="372">
        <f>System_Mkt_Repl!Z172</f>
        <v>1</v>
      </c>
      <c r="AB172" s="372">
        <f>System_Mkt_Repl!AA172</f>
        <v>1</v>
      </c>
      <c r="AC172" s="372">
        <f>System_Mkt_Repl!AB172</f>
        <v>1</v>
      </c>
      <c r="AD172" s="372">
        <f>System_Mkt_Repl!AC172</f>
        <v>1</v>
      </c>
      <c r="AE172" s="372">
        <f>System_Mkt_Repl!AD172</f>
        <v>1</v>
      </c>
      <c r="AF172" s="372">
        <f>System_Mkt_Repl!AE172</f>
        <v>1</v>
      </c>
    </row>
    <row r="173" spans="1:32" s="221" customFormat="1" x14ac:dyDescent="0.25">
      <c r="A173" s="376"/>
      <c r="B173" s="388" t="s">
        <v>45</v>
      </c>
      <c r="C173"/>
      <c r="D173"/>
      <c r="E173"/>
      <c r="F173"/>
      <c r="G173" s="372">
        <f>System_Mkt_Repl!F173</f>
        <v>5.0000000000000001E-3</v>
      </c>
      <c r="H173" s="372">
        <f>System_Mkt_Repl!G173</f>
        <v>5.0000000000000001E-3</v>
      </c>
      <c r="I173" s="372">
        <f>System_Mkt_Repl!H173</f>
        <v>5.0000000000000001E-3</v>
      </c>
      <c r="J173" s="372">
        <f>System_Mkt_Repl!I173</f>
        <v>5.0000000000000001E-3</v>
      </c>
      <c r="K173" s="372">
        <f>System_Mkt_Repl!J173</f>
        <v>5.0000000000000001E-3</v>
      </c>
      <c r="L173" s="372">
        <f>System_Mkt_Repl!K173</f>
        <v>5.0000000000000001E-3</v>
      </c>
      <c r="M173" s="372">
        <f>System_Mkt_Repl!L173</f>
        <v>5.0000000000000001E-3</v>
      </c>
      <c r="N173" s="372">
        <f>System_Mkt_Repl!M173</f>
        <v>5.0000000000000001E-3</v>
      </c>
      <c r="O173" s="372">
        <f>System_Mkt_Repl!N173</f>
        <v>5.0000000000000001E-3</v>
      </c>
      <c r="P173" s="372">
        <f>System_Mkt_Repl!O173</f>
        <v>5.0000000000000001E-3</v>
      </c>
      <c r="Q173" s="372">
        <f>System_Mkt_Repl!P173</f>
        <v>5.0000000000000001E-3</v>
      </c>
      <c r="R173" s="372">
        <f>System_Mkt_Repl!Q173</f>
        <v>5.0000000000000001E-3</v>
      </c>
      <c r="S173" s="372">
        <f>System_Mkt_Repl!R173</f>
        <v>5.0000000000000001E-3</v>
      </c>
      <c r="T173" s="372">
        <f>System_Mkt_Repl!S173</f>
        <v>5.0000000000000001E-3</v>
      </c>
      <c r="U173" s="372">
        <f>System_Mkt_Repl!T173</f>
        <v>5.0000000000000001E-3</v>
      </c>
      <c r="V173" s="372">
        <f>System_Mkt_Repl!U173</f>
        <v>5.0000000000000001E-3</v>
      </c>
      <c r="W173" s="372">
        <f>System_Mkt_Repl!V173</f>
        <v>5.0000000000000001E-3</v>
      </c>
      <c r="X173" s="372">
        <f>System_Mkt_Repl!W173</f>
        <v>5.0000000000000001E-3</v>
      </c>
      <c r="Y173" s="372">
        <f>System_Mkt_Repl!X173</f>
        <v>5.0000000000000001E-3</v>
      </c>
      <c r="Z173" s="372">
        <f>System_Mkt_Repl!Y173</f>
        <v>5.0000000000000001E-3</v>
      </c>
      <c r="AA173" s="372">
        <f>System_Mkt_Repl!Z173</f>
        <v>5.0000000000000001E-3</v>
      </c>
      <c r="AB173" s="372">
        <f>System_Mkt_Repl!AA173</f>
        <v>5.0000000000000001E-3</v>
      </c>
      <c r="AC173" s="372">
        <f>System_Mkt_Repl!AB173</f>
        <v>5.0000000000000001E-3</v>
      </c>
      <c r="AD173" s="372">
        <f>System_Mkt_Repl!AC173</f>
        <v>5.0000000000000001E-3</v>
      </c>
      <c r="AE173" s="372">
        <f>System_Mkt_Repl!AD173</f>
        <v>5.0000000000000001E-3</v>
      </c>
      <c r="AF173" s="372">
        <f>System_Mkt_Repl!AE173</f>
        <v>5.0000000000000001E-3</v>
      </c>
    </row>
    <row r="174" spans="1:32" s="221" customFormat="1" x14ac:dyDescent="0.25">
      <c r="A174" s="376"/>
      <c r="B174" s="388" t="s">
        <v>46</v>
      </c>
      <c r="C174"/>
      <c r="D174"/>
      <c r="E174"/>
      <c r="F174"/>
      <c r="G174" s="372">
        <f>System_Mkt_Repl!F174</f>
        <v>0</v>
      </c>
      <c r="H174" s="372">
        <f>System_Mkt_Repl!G174</f>
        <v>0</v>
      </c>
      <c r="I174" s="372">
        <f>System_Mkt_Repl!H174</f>
        <v>0</v>
      </c>
      <c r="J174" s="372">
        <f>System_Mkt_Repl!I174</f>
        <v>0</v>
      </c>
      <c r="K174" s="372">
        <f>System_Mkt_Repl!J174</f>
        <v>0</v>
      </c>
      <c r="L174" s="372">
        <f>System_Mkt_Repl!K174</f>
        <v>0</v>
      </c>
      <c r="M174" s="372">
        <f>System_Mkt_Repl!L174</f>
        <v>0</v>
      </c>
      <c r="N174" s="372">
        <f>System_Mkt_Repl!M174</f>
        <v>0</v>
      </c>
      <c r="O174" s="372">
        <f>System_Mkt_Repl!N174</f>
        <v>0</v>
      </c>
      <c r="P174" s="372">
        <f>System_Mkt_Repl!O174</f>
        <v>0</v>
      </c>
      <c r="Q174" s="372">
        <f>System_Mkt_Repl!P174</f>
        <v>0</v>
      </c>
      <c r="R174" s="372">
        <f>System_Mkt_Repl!Q174</f>
        <v>0</v>
      </c>
      <c r="S174" s="372">
        <f>System_Mkt_Repl!R174</f>
        <v>0</v>
      </c>
      <c r="T174" s="372">
        <f>System_Mkt_Repl!S174</f>
        <v>0</v>
      </c>
      <c r="U174" s="372">
        <f>System_Mkt_Repl!T174</f>
        <v>0</v>
      </c>
      <c r="V174" s="372">
        <f>System_Mkt_Repl!U174</f>
        <v>0</v>
      </c>
      <c r="W174" s="372">
        <f>System_Mkt_Repl!V174</f>
        <v>0</v>
      </c>
      <c r="X174" s="372">
        <f>System_Mkt_Repl!W174</f>
        <v>0</v>
      </c>
      <c r="Y174" s="372">
        <f>System_Mkt_Repl!X174</f>
        <v>0</v>
      </c>
      <c r="Z174" s="372">
        <f>System_Mkt_Repl!Y174</f>
        <v>0</v>
      </c>
      <c r="AA174" s="372">
        <f>System_Mkt_Repl!Z174</f>
        <v>0</v>
      </c>
      <c r="AB174" s="372">
        <f>System_Mkt_Repl!AA174</f>
        <v>0</v>
      </c>
      <c r="AC174" s="372">
        <f>System_Mkt_Repl!AB174</f>
        <v>0</v>
      </c>
      <c r="AD174" s="372">
        <f>System_Mkt_Repl!AC174</f>
        <v>0</v>
      </c>
      <c r="AE174" s="372">
        <f>System_Mkt_Repl!AD174</f>
        <v>0</v>
      </c>
      <c r="AF174" s="372">
        <f>System_Mkt_Repl!AE174</f>
        <v>0</v>
      </c>
    </row>
    <row r="175" spans="1:32" s="221" customFormat="1" x14ac:dyDescent="0.25">
      <c r="A175" s="376"/>
      <c r="B175" s="376" t="s">
        <v>29</v>
      </c>
      <c r="C175"/>
      <c r="D175"/>
      <c r="E175"/>
      <c r="F175"/>
      <c r="G175" s="372">
        <f>System_Mkt_Repl!F175</f>
        <v>1</v>
      </c>
      <c r="H175" s="372">
        <f>System_Mkt_Repl!G175</f>
        <v>1</v>
      </c>
      <c r="I175" s="372">
        <f>System_Mkt_Repl!H175</f>
        <v>1</v>
      </c>
      <c r="J175" s="372">
        <f>System_Mkt_Repl!I175</f>
        <v>1</v>
      </c>
      <c r="K175" s="372">
        <f>System_Mkt_Repl!J175</f>
        <v>1</v>
      </c>
      <c r="L175" s="372">
        <f>System_Mkt_Repl!K175</f>
        <v>1</v>
      </c>
      <c r="M175" s="372">
        <f>System_Mkt_Repl!L175</f>
        <v>1</v>
      </c>
      <c r="N175" s="372">
        <f>System_Mkt_Repl!M175</f>
        <v>1</v>
      </c>
      <c r="O175" s="372">
        <f>System_Mkt_Repl!N175</f>
        <v>1</v>
      </c>
      <c r="P175" s="372">
        <f>System_Mkt_Repl!O175</f>
        <v>1</v>
      </c>
      <c r="Q175" s="372">
        <f>System_Mkt_Repl!P175</f>
        <v>1</v>
      </c>
      <c r="R175" s="372">
        <f>System_Mkt_Repl!Q175</f>
        <v>1</v>
      </c>
      <c r="S175" s="372">
        <f>System_Mkt_Repl!R175</f>
        <v>1</v>
      </c>
      <c r="T175" s="372">
        <f>System_Mkt_Repl!S175</f>
        <v>1</v>
      </c>
      <c r="U175" s="372">
        <f>System_Mkt_Repl!T175</f>
        <v>1</v>
      </c>
      <c r="V175" s="372">
        <f>System_Mkt_Repl!U175</f>
        <v>1</v>
      </c>
      <c r="W175" s="372">
        <f>System_Mkt_Repl!V175</f>
        <v>1</v>
      </c>
      <c r="X175" s="372">
        <f>System_Mkt_Repl!W175</f>
        <v>1</v>
      </c>
      <c r="Y175" s="372">
        <f>System_Mkt_Repl!X175</f>
        <v>1</v>
      </c>
      <c r="Z175" s="372">
        <f>System_Mkt_Repl!Y175</f>
        <v>1</v>
      </c>
      <c r="AA175" s="372">
        <f>System_Mkt_Repl!Z175</f>
        <v>1</v>
      </c>
      <c r="AB175" s="372">
        <f>System_Mkt_Repl!AA175</f>
        <v>1</v>
      </c>
      <c r="AC175" s="372">
        <f>System_Mkt_Repl!AB175</f>
        <v>1</v>
      </c>
      <c r="AD175" s="372">
        <f>System_Mkt_Repl!AC175</f>
        <v>1</v>
      </c>
      <c r="AE175" s="372">
        <f>System_Mkt_Repl!AD175</f>
        <v>1</v>
      </c>
      <c r="AF175" s="372">
        <f>System_Mkt_Repl!AE175</f>
        <v>1</v>
      </c>
    </row>
    <row r="176" spans="1:32" s="221" customFormat="1" x14ac:dyDescent="0.25">
      <c r="A176" s="376"/>
      <c r="B176" s="376"/>
      <c r="C176"/>
      <c r="D176"/>
      <c r="E176"/>
      <c r="F176"/>
      <c r="G176"/>
      <c r="H176"/>
      <c r="I176"/>
      <c r="J176"/>
      <c r="K176"/>
      <c r="L176"/>
      <c r="M176"/>
      <c r="N176"/>
      <c r="O176"/>
      <c r="P176"/>
      <c r="Q176"/>
      <c r="R176"/>
      <c r="S176"/>
      <c r="T176"/>
      <c r="U176"/>
      <c r="V176"/>
      <c r="W176"/>
      <c r="X176"/>
      <c r="Y176"/>
      <c r="Z176"/>
      <c r="AA176"/>
      <c r="AB176"/>
      <c r="AC176"/>
      <c r="AD176"/>
      <c r="AE176"/>
      <c r="AF176"/>
    </row>
    <row r="177" spans="1:32" s="202" customFormat="1" ht="12.75" x14ac:dyDescent="0.2">
      <c r="A177" s="402" t="s">
        <v>47</v>
      </c>
      <c r="B177" s="402"/>
      <c r="C177" s="402"/>
      <c r="D177" s="402"/>
      <c r="E177" s="402"/>
      <c r="F177" s="402"/>
      <c r="G177" s="402"/>
      <c r="H177" s="402"/>
      <c r="I177" s="402"/>
      <c r="J177" s="402"/>
      <c r="K177" s="402"/>
      <c r="L177" s="402"/>
      <c r="M177" s="402"/>
      <c r="N177" s="402"/>
      <c r="O177" s="402"/>
      <c r="P177" s="402"/>
      <c r="Q177" s="402"/>
      <c r="R177" s="402"/>
      <c r="S177" s="402"/>
      <c r="T177" s="402"/>
      <c r="U177" s="402"/>
      <c r="V177" s="402"/>
      <c r="W177" s="402"/>
      <c r="X177" s="402"/>
      <c r="Y177" s="402"/>
      <c r="Z177" s="402"/>
      <c r="AA177" s="402"/>
      <c r="AB177" s="402"/>
      <c r="AC177" s="402"/>
      <c r="AD177" s="402"/>
      <c r="AE177" s="402"/>
      <c r="AF177" s="402"/>
    </row>
    <row r="178" spans="1:32" s="221" customFormat="1" x14ac:dyDescent="0.25">
      <c r="A178" s="376"/>
      <c r="B178" s="376" t="s">
        <v>48</v>
      </c>
      <c r="C178"/>
      <c r="D178"/>
      <c r="E178"/>
      <c r="F178"/>
      <c r="G178" s="372">
        <f>System_Mkt_Repl!F178</f>
        <v>0</v>
      </c>
      <c r="H178" s="372">
        <f>System_Mkt_Repl!G178</f>
        <v>0</v>
      </c>
      <c r="I178" s="372">
        <f>System_Mkt_Repl!H178</f>
        <v>0</v>
      </c>
      <c r="J178" s="372">
        <f>System_Mkt_Repl!I178</f>
        <v>0</v>
      </c>
      <c r="K178" s="372">
        <f>System_Mkt_Repl!J178</f>
        <v>0</v>
      </c>
      <c r="L178" s="372">
        <f>System_Mkt_Repl!K178</f>
        <v>0</v>
      </c>
      <c r="M178" s="372">
        <f>System_Mkt_Repl!L178</f>
        <v>0</v>
      </c>
      <c r="N178" s="372">
        <f>System_Mkt_Repl!M178</f>
        <v>0</v>
      </c>
      <c r="O178" s="372">
        <f>System_Mkt_Repl!N178</f>
        <v>0</v>
      </c>
      <c r="P178" s="372">
        <f>System_Mkt_Repl!O178</f>
        <v>0</v>
      </c>
      <c r="Q178" s="372">
        <f>System_Mkt_Repl!P178</f>
        <v>0</v>
      </c>
      <c r="R178" s="372">
        <f>System_Mkt_Repl!Q178</f>
        <v>0</v>
      </c>
      <c r="S178" s="372">
        <f>System_Mkt_Repl!R178</f>
        <v>0</v>
      </c>
      <c r="T178" s="372">
        <f>System_Mkt_Repl!S178</f>
        <v>0</v>
      </c>
      <c r="U178" s="372">
        <f>System_Mkt_Repl!T178</f>
        <v>0</v>
      </c>
      <c r="V178" s="372">
        <f>System_Mkt_Repl!U178</f>
        <v>0</v>
      </c>
      <c r="W178" s="372">
        <f>System_Mkt_Repl!V178</f>
        <v>0</v>
      </c>
      <c r="X178" s="372">
        <f>System_Mkt_Repl!W178</f>
        <v>0</v>
      </c>
      <c r="Y178" s="372">
        <f>System_Mkt_Repl!X178</f>
        <v>0</v>
      </c>
      <c r="Z178" s="372">
        <f>System_Mkt_Repl!Y178</f>
        <v>0</v>
      </c>
      <c r="AA178" s="372">
        <f>System_Mkt_Repl!Z178</f>
        <v>0</v>
      </c>
      <c r="AB178" s="372">
        <f>System_Mkt_Repl!AA178</f>
        <v>0</v>
      </c>
      <c r="AC178" s="372">
        <f>System_Mkt_Repl!AB178</f>
        <v>0</v>
      </c>
      <c r="AD178" s="372">
        <f>System_Mkt_Repl!AC178</f>
        <v>0</v>
      </c>
      <c r="AE178" s="372">
        <f>System_Mkt_Repl!AD178</f>
        <v>0</v>
      </c>
      <c r="AF178" s="372">
        <f>System_Mkt_Repl!AE178</f>
        <v>0</v>
      </c>
    </row>
    <row r="179" spans="1:32" s="221" customFormat="1" x14ac:dyDescent="0.25">
      <c r="A179" s="376"/>
      <c r="B179" s="388" t="s">
        <v>50</v>
      </c>
      <c r="C179"/>
      <c r="D179"/>
      <c r="E179"/>
      <c r="F179"/>
      <c r="G179" s="372">
        <f>System_Mkt_Repl!F179</f>
        <v>1</v>
      </c>
      <c r="H179" s="372">
        <f>System_Mkt_Repl!G179</f>
        <v>1</v>
      </c>
      <c r="I179" s="372">
        <f>System_Mkt_Repl!H179</f>
        <v>1</v>
      </c>
      <c r="J179" s="372">
        <f>System_Mkt_Repl!I179</f>
        <v>1</v>
      </c>
      <c r="K179" s="372">
        <f>System_Mkt_Repl!J179</f>
        <v>1</v>
      </c>
      <c r="L179" s="372">
        <f>System_Mkt_Repl!K179</f>
        <v>1</v>
      </c>
      <c r="M179" s="372">
        <f>System_Mkt_Repl!L179</f>
        <v>1</v>
      </c>
      <c r="N179" s="372">
        <f>System_Mkt_Repl!M179</f>
        <v>1</v>
      </c>
      <c r="O179" s="372">
        <f>System_Mkt_Repl!N179</f>
        <v>1</v>
      </c>
      <c r="P179" s="372">
        <f>System_Mkt_Repl!O179</f>
        <v>1</v>
      </c>
      <c r="Q179" s="372">
        <f>System_Mkt_Repl!P179</f>
        <v>1</v>
      </c>
      <c r="R179" s="372">
        <f>System_Mkt_Repl!Q179</f>
        <v>1</v>
      </c>
      <c r="S179" s="372">
        <f>System_Mkt_Repl!R179</f>
        <v>1</v>
      </c>
      <c r="T179" s="372">
        <f>System_Mkt_Repl!S179</f>
        <v>1</v>
      </c>
      <c r="U179" s="372">
        <f>System_Mkt_Repl!T179</f>
        <v>1</v>
      </c>
      <c r="V179" s="372">
        <f>System_Mkt_Repl!U179</f>
        <v>1</v>
      </c>
      <c r="W179" s="372">
        <f>System_Mkt_Repl!V179</f>
        <v>1</v>
      </c>
      <c r="X179" s="372">
        <f>System_Mkt_Repl!W179</f>
        <v>1</v>
      </c>
      <c r="Y179" s="372">
        <f>System_Mkt_Repl!X179</f>
        <v>1</v>
      </c>
      <c r="Z179" s="372">
        <f>System_Mkt_Repl!Y179</f>
        <v>1</v>
      </c>
      <c r="AA179" s="372">
        <f>System_Mkt_Repl!Z179</f>
        <v>1</v>
      </c>
      <c r="AB179" s="372">
        <f>System_Mkt_Repl!AA179</f>
        <v>1</v>
      </c>
      <c r="AC179" s="372">
        <f>System_Mkt_Repl!AB179</f>
        <v>1</v>
      </c>
      <c r="AD179" s="372">
        <f>System_Mkt_Repl!AC179</f>
        <v>1</v>
      </c>
      <c r="AE179" s="372">
        <f>System_Mkt_Repl!AD179</f>
        <v>1</v>
      </c>
      <c r="AF179" s="372">
        <f>System_Mkt_Repl!AE179</f>
        <v>1</v>
      </c>
    </row>
    <row r="180" spans="1:32" s="221" customFormat="1" x14ac:dyDescent="0.25">
      <c r="A180" s="376"/>
      <c r="B180" s="376" t="s">
        <v>51</v>
      </c>
      <c r="C180"/>
      <c r="D180"/>
      <c r="E180"/>
      <c r="F180"/>
      <c r="G180" s="372">
        <f>System_Mkt_Repl!F180</f>
        <v>1</v>
      </c>
      <c r="H180" s="372">
        <f>System_Mkt_Repl!G180</f>
        <v>1</v>
      </c>
      <c r="I180" s="372">
        <f>System_Mkt_Repl!H180</f>
        <v>1</v>
      </c>
      <c r="J180" s="372">
        <f>System_Mkt_Repl!I180</f>
        <v>1</v>
      </c>
      <c r="K180" s="372">
        <f>System_Mkt_Repl!J180</f>
        <v>1</v>
      </c>
      <c r="L180" s="372">
        <f>System_Mkt_Repl!K180</f>
        <v>1</v>
      </c>
      <c r="M180" s="372">
        <f>System_Mkt_Repl!L180</f>
        <v>1</v>
      </c>
      <c r="N180" s="372">
        <f>System_Mkt_Repl!M180</f>
        <v>1</v>
      </c>
      <c r="O180" s="372">
        <f>System_Mkt_Repl!N180</f>
        <v>1</v>
      </c>
      <c r="P180" s="372">
        <f>System_Mkt_Repl!O180</f>
        <v>1</v>
      </c>
      <c r="Q180" s="372">
        <f>System_Mkt_Repl!P180</f>
        <v>1</v>
      </c>
      <c r="R180" s="372">
        <f>System_Mkt_Repl!Q180</f>
        <v>1</v>
      </c>
      <c r="S180" s="372">
        <f>System_Mkt_Repl!R180</f>
        <v>1</v>
      </c>
      <c r="T180" s="372">
        <f>System_Mkt_Repl!S180</f>
        <v>1</v>
      </c>
      <c r="U180" s="372">
        <f>System_Mkt_Repl!T180</f>
        <v>1</v>
      </c>
      <c r="V180" s="372">
        <f>System_Mkt_Repl!U180</f>
        <v>1</v>
      </c>
      <c r="W180" s="372">
        <f>System_Mkt_Repl!V180</f>
        <v>1</v>
      </c>
      <c r="X180" s="372">
        <f>System_Mkt_Repl!W180</f>
        <v>1</v>
      </c>
      <c r="Y180" s="372">
        <f>System_Mkt_Repl!X180</f>
        <v>1</v>
      </c>
      <c r="Z180" s="372">
        <f>System_Mkt_Repl!Y180</f>
        <v>1</v>
      </c>
      <c r="AA180" s="372">
        <f>System_Mkt_Repl!Z180</f>
        <v>1</v>
      </c>
      <c r="AB180" s="372">
        <f>System_Mkt_Repl!AA180</f>
        <v>1</v>
      </c>
      <c r="AC180" s="372">
        <f>System_Mkt_Repl!AB180</f>
        <v>1</v>
      </c>
      <c r="AD180" s="372">
        <f>System_Mkt_Repl!AC180</f>
        <v>1</v>
      </c>
      <c r="AE180" s="372">
        <f>System_Mkt_Repl!AD180</f>
        <v>1</v>
      </c>
      <c r="AF180" s="372">
        <f>System_Mkt_Repl!AE180</f>
        <v>1</v>
      </c>
    </row>
    <row r="181" spans="1:32" s="221" customFormat="1" x14ac:dyDescent="0.25">
      <c r="A181" s="376"/>
      <c r="B181" s="376" t="s">
        <v>52</v>
      </c>
      <c r="C181"/>
      <c r="D181"/>
      <c r="E181"/>
      <c r="F181"/>
      <c r="G181" s="372">
        <f>System_Mkt_Repl!F181</f>
        <v>1</v>
      </c>
      <c r="H181" s="372">
        <f>System_Mkt_Repl!G181</f>
        <v>1</v>
      </c>
      <c r="I181" s="372">
        <f>System_Mkt_Repl!H181</f>
        <v>1</v>
      </c>
      <c r="J181" s="372">
        <f>System_Mkt_Repl!I181</f>
        <v>1</v>
      </c>
      <c r="K181" s="372">
        <f>System_Mkt_Repl!J181</f>
        <v>1</v>
      </c>
      <c r="L181" s="372">
        <f>System_Mkt_Repl!K181</f>
        <v>1</v>
      </c>
      <c r="M181" s="372">
        <f>System_Mkt_Repl!L181</f>
        <v>1</v>
      </c>
      <c r="N181" s="372">
        <f>System_Mkt_Repl!M181</f>
        <v>1</v>
      </c>
      <c r="O181" s="372">
        <f>System_Mkt_Repl!N181</f>
        <v>1</v>
      </c>
      <c r="P181" s="372">
        <f>System_Mkt_Repl!O181</f>
        <v>1</v>
      </c>
      <c r="Q181" s="372">
        <f>System_Mkt_Repl!P181</f>
        <v>1</v>
      </c>
      <c r="R181" s="372">
        <f>System_Mkt_Repl!Q181</f>
        <v>1</v>
      </c>
      <c r="S181" s="372">
        <f>System_Mkt_Repl!R181</f>
        <v>1</v>
      </c>
      <c r="T181" s="372">
        <f>System_Mkt_Repl!S181</f>
        <v>1</v>
      </c>
      <c r="U181" s="372">
        <f>System_Mkt_Repl!T181</f>
        <v>1</v>
      </c>
      <c r="V181" s="372">
        <f>System_Mkt_Repl!U181</f>
        <v>1</v>
      </c>
      <c r="W181" s="372">
        <f>System_Mkt_Repl!V181</f>
        <v>1</v>
      </c>
      <c r="X181" s="372">
        <f>System_Mkt_Repl!W181</f>
        <v>1</v>
      </c>
      <c r="Y181" s="372">
        <f>System_Mkt_Repl!X181</f>
        <v>1</v>
      </c>
      <c r="Z181" s="372">
        <f>System_Mkt_Repl!Y181</f>
        <v>1</v>
      </c>
      <c r="AA181" s="372">
        <f>System_Mkt_Repl!Z181</f>
        <v>1</v>
      </c>
      <c r="AB181" s="372">
        <f>System_Mkt_Repl!AA181</f>
        <v>1</v>
      </c>
      <c r="AC181" s="372">
        <f>System_Mkt_Repl!AB181</f>
        <v>1</v>
      </c>
      <c r="AD181" s="372">
        <f>System_Mkt_Repl!AC181</f>
        <v>1</v>
      </c>
      <c r="AE181" s="372">
        <f>System_Mkt_Repl!AD181</f>
        <v>1</v>
      </c>
      <c r="AF181" s="372">
        <f>System_Mkt_Repl!AE181</f>
        <v>1</v>
      </c>
    </row>
    <row r="182" spans="1:32" s="221" customFormat="1" x14ac:dyDescent="0.25">
      <c r="A182" s="376"/>
      <c r="B182" s="388" t="s">
        <v>29</v>
      </c>
      <c r="C182"/>
      <c r="D182"/>
      <c r="E182"/>
      <c r="F182"/>
      <c r="G182" s="372">
        <f>System_Mkt_Repl!F182</f>
        <v>1</v>
      </c>
      <c r="H182" s="372">
        <f>System_Mkt_Repl!G182</f>
        <v>1</v>
      </c>
      <c r="I182" s="372">
        <f>System_Mkt_Repl!H182</f>
        <v>1</v>
      </c>
      <c r="J182" s="372">
        <f>System_Mkt_Repl!I182</f>
        <v>1</v>
      </c>
      <c r="K182" s="372">
        <f>System_Mkt_Repl!J182</f>
        <v>1</v>
      </c>
      <c r="L182" s="372">
        <f>System_Mkt_Repl!K182</f>
        <v>1</v>
      </c>
      <c r="M182" s="372">
        <f>System_Mkt_Repl!L182</f>
        <v>1</v>
      </c>
      <c r="N182" s="372">
        <f>System_Mkt_Repl!M182</f>
        <v>1</v>
      </c>
      <c r="O182" s="372">
        <f>System_Mkt_Repl!N182</f>
        <v>1</v>
      </c>
      <c r="P182" s="372">
        <f>System_Mkt_Repl!O182</f>
        <v>1</v>
      </c>
      <c r="Q182" s="372">
        <f>System_Mkt_Repl!P182</f>
        <v>1</v>
      </c>
      <c r="R182" s="372">
        <f>System_Mkt_Repl!Q182</f>
        <v>1</v>
      </c>
      <c r="S182" s="372">
        <f>System_Mkt_Repl!R182</f>
        <v>1</v>
      </c>
      <c r="T182" s="372">
        <f>System_Mkt_Repl!S182</f>
        <v>1</v>
      </c>
      <c r="U182" s="372">
        <f>System_Mkt_Repl!T182</f>
        <v>1</v>
      </c>
      <c r="V182" s="372">
        <f>System_Mkt_Repl!U182</f>
        <v>1</v>
      </c>
      <c r="W182" s="372">
        <f>System_Mkt_Repl!V182</f>
        <v>1</v>
      </c>
      <c r="X182" s="372">
        <f>System_Mkt_Repl!W182</f>
        <v>1</v>
      </c>
      <c r="Y182" s="372">
        <f>System_Mkt_Repl!X182</f>
        <v>1</v>
      </c>
      <c r="Z182" s="372">
        <f>System_Mkt_Repl!Y182</f>
        <v>1</v>
      </c>
      <c r="AA182" s="372">
        <f>System_Mkt_Repl!Z182</f>
        <v>1</v>
      </c>
      <c r="AB182" s="372">
        <f>System_Mkt_Repl!AA182</f>
        <v>1</v>
      </c>
      <c r="AC182" s="372">
        <f>System_Mkt_Repl!AB182</f>
        <v>1</v>
      </c>
      <c r="AD182" s="372">
        <f>System_Mkt_Repl!AC182</f>
        <v>1</v>
      </c>
      <c r="AE182" s="372">
        <f>System_Mkt_Repl!AD182</f>
        <v>1</v>
      </c>
      <c r="AF182" s="372">
        <f>System_Mkt_Repl!AE182</f>
        <v>1</v>
      </c>
    </row>
    <row r="183" spans="1:32" s="221" customFormat="1" x14ac:dyDescent="0.25">
      <c r="A183" s="376"/>
      <c r="B183" s="388" t="s">
        <v>53</v>
      </c>
      <c r="C183"/>
      <c r="D183"/>
      <c r="E183"/>
      <c r="F183"/>
      <c r="G183" s="372">
        <f>System_Mkt_Repl!F183</f>
        <v>1</v>
      </c>
      <c r="H183" s="372">
        <f>System_Mkt_Repl!G183</f>
        <v>1</v>
      </c>
      <c r="I183" s="372">
        <f>System_Mkt_Repl!H183</f>
        <v>1</v>
      </c>
      <c r="J183" s="372">
        <f>System_Mkt_Repl!I183</f>
        <v>1</v>
      </c>
      <c r="K183" s="372">
        <f>System_Mkt_Repl!J183</f>
        <v>1</v>
      </c>
      <c r="L183" s="372">
        <f>System_Mkt_Repl!K183</f>
        <v>1</v>
      </c>
      <c r="M183" s="372">
        <f>System_Mkt_Repl!L183</f>
        <v>1</v>
      </c>
      <c r="N183" s="372">
        <f>System_Mkt_Repl!M183</f>
        <v>1</v>
      </c>
      <c r="O183" s="372">
        <f>System_Mkt_Repl!N183</f>
        <v>1</v>
      </c>
      <c r="P183" s="372">
        <f>System_Mkt_Repl!O183</f>
        <v>1</v>
      </c>
      <c r="Q183" s="372">
        <f>System_Mkt_Repl!P183</f>
        <v>1</v>
      </c>
      <c r="R183" s="372">
        <f>System_Mkt_Repl!Q183</f>
        <v>1</v>
      </c>
      <c r="S183" s="372">
        <f>System_Mkt_Repl!R183</f>
        <v>1</v>
      </c>
      <c r="T183" s="372">
        <f>System_Mkt_Repl!S183</f>
        <v>1</v>
      </c>
      <c r="U183" s="372">
        <f>System_Mkt_Repl!T183</f>
        <v>1</v>
      </c>
      <c r="V183" s="372">
        <f>System_Mkt_Repl!U183</f>
        <v>1</v>
      </c>
      <c r="W183" s="372">
        <f>System_Mkt_Repl!V183</f>
        <v>1</v>
      </c>
      <c r="X183" s="372">
        <f>System_Mkt_Repl!W183</f>
        <v>1</v>
      </c>
      <c r="Y183" s="372">
        <f>System_Mkt_Repl!X183</f>
        <v>1</v>
      </c>
      <c r="Z183" s="372">
        <f>System_Mkt_Repl!Y183</f>
        <v>1</v>
      </c>
      <c r="AA183" s="372">
        <f>System_Mkt_Repl!Z183</f>
        <v>1</v>
      </c>
      <c r="AB183" s="372">
        <f>System_Mkt_Repl!AA183</f>
        <v>1</v>
      </c>
      <c r="AC183" s="372">
        <f>System_Mkt_Repl!AB183</f>
        <v>1</v>
      </c>
      <c r="AD183" s="372">
        <f>System_Mkt_Repl!AC183</f>
        <v>1</v>
      </c>
      <c r="AE183" s="372">
        <f>System_Mkt_Repl!AD183</f>
        <v>1</v>
      </c>
      <c r="AF183" s="372">
        <f>System_Mkt_Repl!AE183</f>
        <v>1</v>
      </c>
    </row>
    <row r="184" spans="1:32" s="221" customFormat="1" x14ac:dyDescent="0.25">
      <c r="A184"/>
      <c r="B184"/>
      <c r="C184"/>
      <c r="D184"/>
      <c r="E184"/>
      <c r="F184"/>
      <c r="G184"/>
      <c r="H184"/>
      <c r="I184"/>
      <c r="J184"/>
      <c r="K184"/>
      <c r="L184"/>
      <c r="M184"/>
      <c r="N184"/>
      <c r="O184"/>
      <c r="P184"/>
      <c r="Q184"/>
      <c r="R184"/>
      <c r="S184"/>
      <c r="T184"/>
      <c r="U184"/>
      <c r="V184"/>
      <c r="W184"/>
      <c r="X184"/>
      <c r="Y184"/>
      <c r="Z184"/>
      <c r="AA184"/>
      <c r="AB184"/>
      <c r="AC184"/>
      <c r="AD184"/>
      <c r="AE184"/>
      <c r="AF184"/>
    </row>
    <row r="185" spans="1:32" x14ac:dyDescent="0.25">
      <c r="A185" s="398" t="s">
        <v>210</v>
      </c>
      <c r="B185" s="399"/>
      <c r="C185" s="398"/>
      <c r="D185" s="399"/>
      <c r="E185" s="399"/>
      <c r="F185" s="399"/>
      <c r="G185" s="1055" t="s">
        <v>692</v>
      </c>
      <c r="H185" s="409"/>
      <c r="I185" s="409"/>
      <c r="J185" s="409"/>
      <c r="K185" s="409"/>
      <c r="L185" s="409"/>
      <c r="M185" s="409"/>
      <c r="N185" s="409"/>
      <c r="O185" s="409"/>
      <c r="P185" s="409"/>
      <c r="Q185" s="409"/>
      <c r="R185" s="409"/>
      <c r="S185" s="409"/>
      <c r="T185" s="409"/>
      <c r="U185" s="409"/>
      <c r="V185" s="409"/>
      <c r="W185" s="409"/>
      <c r="X185" s="409"/>
      <c r="Y185" s="409"/>
      <c r="Z185" s="409"/>
      <c r="AA185" s="409"/>
      <c r="AB185" s="409"/>
      <c r="AC185" s="409"/>
      <c r="AD185" s="409"/>
      <c r="AE185" s="409"/>
      <c r="AF185" s="409"/>
    </row>
    <row r="186" spans="1:32" x14ac:dyDescent="0.25">
      <c r="A186" s="378" t="s">
        <v>12</v>
      </c>
      <c r="B186" s="376"/>
    </row>
    <row r="187" spans="1:32" x14ac:dyDescent="0.25">
      <c r="A187" s="376"/>
      <c r="B187" s="376" t="s">
        <v>20</v>
      </c>
    </row>
    <row r="188" spans="1:32" s="202" customFormat="1" ht="12.75" x14ac:dyDescent="0.2">
      <c r="A188" s="402" t="s">
        <v>21</v>
      </c>
      <c r="B188" s="402"/>
      <c r="C188" s="402"/>
      <c r="D188" s="402"/>
      <c r="E188" s="402"/>
      <c r="F188" s="402"/>
      <c r="G188" s="402"/>
      <c r="H188" s="402"/>
      <c r="I188" s="402"/>
      <c r="J188" s="402"/>
      <c r="K188" s="402"/>
      <c r="L188" s="402"/>
      <c r="M188" s="402"/>
      <c r="N188" s="402"/>
      <c r="O188" s="402"/>
      <c r="P188" s="402"/>
      <c r="Q188" s="402"/>
      <c r="R188" s="402"/>
      <c r="S188" s="402"/>
      <c r="T188" s="402"/>
      <c r="U188" s="402"/>
      <c r="V188" s="402"/>
      <c r="W188" s="402"/>
      <c r="X188" s="402"/>
      <c r="Y188" s="402"/>
      <c r="Z188" s="402"/>
      <c r="AA188" s="402"/>
      <c r="AB188" s="402"/>
      <c r="AC188" s="402"/>
      <c r="AD188" s="402"/>
      <c r="AE188" s="402"/>
      <c r="AF188" s="402"/>
    </row>
    <row r="189" spans="1:32" s="221" customFormat="1" x14ac:dyDescent="0.25">
      <c r="A189" s="376"/>
      <c r="B189" s="376" t="s">
        <v>22</v>
      </c>
      <c r="C189"/>
      <c r="D189" s="201"/>
      <c r="E189" s="201"/>
      <c r="F189" s="201"/>
      <c r="G189" s="201">
        <f ca="1">G153*EXP(G81)/(G$153*EXP(G$81)+G$154*EXP(G$82)+G$155*EXP(G$83)+G$156*EXP(G$84))</f>
        <v>0.38654403002538762</v>
      </c>
      <c r="H189" s="201">
        <f t="shared" ref="H189:AF192" ca="1" si="0">H153*EXP(H81)/(H$153*EXP(H$81)+H$154*EXP(H$82)+H$155*EXP(H$83)+H$156*EXP(H$84))</f>
        <v>0.28386353476101334</v>
      </c>
      <c r="I189" s="201">
        <f t="shared" ca="1" si="0"/>
        <v>0.18800351976135177</v>
      </c>
      <c r="J189" s="201">
        <f t="shared" ca="1" si="0"/>
        <v>0.10615539956366064</v>
      </c>
      <c r="K189" s="201">
        <f t="shared" ca="1" si="0"/>
        <v>6.439053442288166E-2</v>
      </c>
      <c r="L189" s="201">
        <f t="shared" ca="1" si="0"/>
        <v>3.5729463108878659E-2</v>
      </c>
      <c r="M189" s="201">
        <f t="shared" ca="1" si="0"/>
        <v>1.1379624650774023E-2</v>
      </c>
      <c r="N189" s="201">
        <f t="shared" ca="1" si="0"/>
        <v>1.023217636680682E-2</v>
      </c>
      <c r="O189" s="201">
        <f t="shared" ca="1" si="0"/>
        <v>9.3831429673973434E-3</v>
      </c>
      <c r="P189" s="201">
        <f t="shared" ca="1" si="0"/>
        <v>8.810388042297182E-3</v>
      </c>
      <c r="Q189" s="201">
        <f t="shared" ca="1" si="0"/>
        <v>8.2582439483238016E-3</v>
      </c>
      <c r="R189" s="201">
        <f t="shared" ca="1" si="0"/>
        <v>7.7108707327668705E-3</v>
      </c>
      <c r="S189" s="201">
        <f t="shared" ca="1" si="0"/>
        <v>7.2418299225229651E-3</v>
      </c>
      <c r="T189" s="201">
        <f t="shared" ca="1" si="0"/>
        <v>6.8089714630269783E-3</v>
      </c>
      <c r="U189" s="201">
        <f t="shared" ca="1" si="0"/>
        <v>6.3888411076094961E-3</v>
      </c>
      <c r="V189" s="201">
        <f t="shared" ca="1" si="0"/>
        <v>6.0319582675920887E-3</v>
      </c>
      <c r="W189" s="201">
        <f t="shared" ca="1" si="0"/>
        <v>5.671876568472233E-3</v>
      </c>
      <c r="X189" s="201">
        <f t="shared" ca="1" si="0"/>
        <v>5.3148261049134962E-3</v>
      </c>
      <c r="Y189" s="201">
        <f t="shared" ca="1" si="0"/>
        <v>4.9582846360468258E-3</v>
      </c>
      <c r="Z189" s="201">
        <f t="shared" ca="1" si="0"/>
        <v>4.6269731207731826E-3</v>
      </c>
      <c r="AA189" s="201">
        <f t="shared" ca="1" si="0"/>
        <v>4.3286073715782681E-3</v>
      </c>
      <c r="AB189" s="201">
        <f t="shared" ca="1" si="0"/>
        <v>4.0240892435280846E-3</v>
      </c>
      <c r="AC189" s="201">
        <f t="shared" ca="1" si="0"/>
        <v>3.7372591819240897E-3</v>
      </c>
      <c r="AD189" s="201">
        <f t="shared" ca="1" si="0"/>
        <v>3.4630551027523761E-3</v>
      </c>
      <c r="AE189" s="201">
        <f t="shared" ca="1" si="0"/>
        <v>3.1946942866375918E-3</v>
      </c>
      <c r="AF189" s="201">
        <f t="shared" ca="1" si="0"/>
        <v>2.8901973139574774E-3</v>
      </c>
    </row>
    <row r="190" spans="1:32" s="221" customFormat="1" x14ac:dyDescent="0.25">
      <c r="A190" s="376"/>
      <c r="B190" s="376" t="s">
        <v>26</v>
      </c>
      <c r="C190"/>
      <c r="D190" s="201"/>
      <c r="E190" s="201"/>
      <c r="F190" s="201"/>
      <c r="G190" s="201">
        <f ca="1">G154*EXP(G82)/(G$153*EXP(G$81)+G$154*EXP(G$82)+G$155*EXP(G$83)+G$156*EXP(G$84))</f>
        <v>1.3995515872203719E-2</v>
      </c>
      <c r="H190" s="201">
        <f t="shared" ref="H190:V190" ca="1" si="1">H154*EXP(H82)/(H$153*EXP(H$81)+H$154*EXP(H$82)+H$155*EXP(H$83)+H$156*EXP(H$84))</f>
        <v>1.0463019030139537E-2</v>
      </c>
      <c r="I190" s="201">
        <f t="shared" ca="1" si="1"/>
        <v>3.3934137631931746E-2</v>
      </c>
      <c r="J190" s="201">
        <f t="shared" ca="1" si="1"/>
        <v>8.6998149062878796E-2</v>
      </c>
      <c r="K190" s="201">
        <f t="shared" ca="1" si="1"/>
        <v>0.10709254088119871</v>
      </c>
      <c r="L190" s="201">
        <f t="shared" ca="1" si="1"/>
        <v>9.9354234332200572E-2</v>
      </c>
      <c r="M190" s="201">
        <f t="shared" ca="1" si="1"/>
        <v>9.0974734002001845E-2</v>
      </c>
      <c r="N190" s="201">
        <f t="shared" ca="1" si="1"/>
        <v>8.3757948113879516E-2</v>
      </c>
      <c r="O190" s="201">
        <f t="shared" ca="1" si="1"/>
        <v>7.8543251184820514E-2</v>
      </c>
      <c r="P190" s="201">
        <f t="shared" ca="1" si="1"/>
        <v>7.519761347491638E-2</v>
      </c>
      <c r="Q190" s="201">
        <f t="shared" ca="1" si="1"/>
        <v>7.2011714164943244E-2</v>
      </c>
      <c r="R190" s="201">
        <f t="shared" ca="1" si="1"/>
        <v>6.8876950796356334E-2</v>
      </c>
      <c r="S190" s="201">
        <f t="shared" ca="1" si="1"/>
        <v>6.6250025091091222E-2</v>
      </c>
      <c r="T190" s="201">
        <f t="shared" ca="1" si="1"/>
        <v>6.3836355493699273E-2</v>
      </c>
      <c r="U190" s="201">
        <f t="shared" ca="1" si="1"/>
        <v>6.1461192982309364E-2</v>
      </c>
      <c r="V190" s="201">
        <f t="shared" ca="1" si="1"/>
        <v>5.9498622276121051E-2</v>
      </c>
      <c r="W190" s="201">
        <f t="shared" ca="1" si="0"/>
        <v>5.7454129769625745E-2</v>
      </c>
      <c r="X190" s="201">
        <f t="shared" ca="1" si="0"/>
        <v>5.5365350015548917E-2</v>
      </c>
      <c r="Y190" s="201">
        <f t="shared" ca="1" si="0"/>
        <v>5.3203659210979574E-2</v>
      </c>
      <c r="Z190" s="201">
        <f t="shared" ca="1" si="0"/>
        <v>5.1165156426281576E-2</v>
      </c>
      <c r="AA190" s="201">
        <f t="shared" ca="1" si="0"/>
        <v>4.9322380265001978E-2</v>
      </c>
      <c r="AB190" s="201">
        <f t="shared" ca="1" si="0"/>
        <v>4.734578724773874E-2</v>
      </c>
      <c r="AC190" s="201">
        <f t="shared" ca="1" si="0"/>
        <v>4.5437208721652189E-2</v>
      </c>
      <c r="AD190" s="201">
        <f t="shared" ca="1" si="0"/>
        <v>4.3554014975388848E-2</v>
      </c>
      <c r="AE190" s="201">
        <f t="shared" ca="1" si="0"/>
        <v>4.1632232832089368E-2</v>
      </c>
      <c r="AF190" s="201">
        <f t="shared" ca="1" si="0"/>
        <v>3.9249971528178079E-2</v>
      </c>
    </row>
    <row r="191" spans="1:32" s="221" customFormat="1" x14ac:dyDescent="0.25">
      <c r="A191" s="376"/>
      <c r="B191" s="376" t="s">
        <v>27</v>
      </c>
      <c r="C191"/>
      <c r="D191" s="201"/>
      <c r="E191" s="201"/>
      <c r="F191" s="201"/>
      <c r="G191" s="201">
        <f ca="1">G155*EXP(G83)/(G$153*EXP(G$81)+G$154*EXP(G$82)+G$155*EXP(G$83)+G$156*EXP(G$84))</f>
        <v>0.52858764840013051</v>
      </c>
      <c r="H191" s="201">
        <f t="shared" ca="1" si="0"/>
        <v>0.39532086773587161</v>
      </c>
      <c r="I191" s="201">
        <f t="shared" ca="1" si="0"/>
        <v>0.30270730077378716</v>
      </c>
      <c r="J191" s="201">
        <f t="shared" ca="1" si="0"/>
        <v>0.30443620548406758</v>
      </c>
      <c r="K191" s="201">
        <f t="shared" ca="1" si="0"/>
        <v>0.26605595196229082</v>
      </c>
      <c r="L191" s="201">
        <f t="shared" ca="1" si="0"/>
        <v>0.2470800025637887</v>
      </c>
      <c r="M191" s="201">
        <f t="shared" ca="1" si="0"/>
        <v>0.23385692338070221</v>
      </c>
      <c r="N191" s="201">
        <f t="shared" ca="1" si="0"/>
        <v>0.21996045476978673</v>
      </c>
      <c r="O191" s="201">
        <f t="shared" ca="1" si="0"/>
        <v>0.20954081001261829</v>
      </c>
      <c r="P191" s="201">
        <f t="shared" ca="1" si="0"/>
        <v>0.20167455325652583</v>
      </c>
      <c r="Q191" s="201">
        <f t="shared" ca="1" si="0"/>
        <v>0.19534274024592491</v>
      </c>
      <c r="R191" s="201">
        <f t="shared" ca="1" si="0"/>
        <v>0.19045378123482412</v>
      </c>
      <c r="S191" s="201">
        <f t="shared" ca="1" si="0"/>
        <v>0.18643731181128215</v>
      </c>
      <c r="T191" s="201">
        <f t="shared" ca="1" si="0"/>
        <v>0.18302789793834146</v>
      </c>
      <c r="U191" s="201">
        <f t="shared" ca="1" si="0"/>
        <v>0.18003597686094702</v>
      </c>
      <c r="V191" s="201">
        <f t="shared" ca="1" si="0"/>
        <v>0.17750595872484085</v>
      </c>
      <c r="W191" s="201">
        <f t="shared" ca="1" si="0"/>
        <v>0.17518869213815777</v>
      </c>
      <c r="X191" s="201">
        <f t="shared" ca="1" si="0"/>
        <v>0.17303959796406815</v>
      </c>
      <c r="Y191" s="201">
        <f t="shared" ca="1" si="0"/>
        <v>0.17100032636027052</v>
      </c>
      <c r="Z191" s="201">
        <f t="shared" ca="1" si="0"/>
        <v>0.1691217337423162</v>
      </c>
      <c r="AA191" s="201">
        <f t="shared" ca="1" si="0"/>
        <v>0.16741875097400127</v>
      </c>
      <c r="AB191" s="201">
        <f t="shared" ca="1" si="0"/>
        <v>0.16571694496077377</v>
      </c>
      <c r="AC191" s="201">
        <f t="shared" ca="1" si="0"/>
        <v>0.16409433917171087</v>
      </c>
      <c r="AD191" s="201">
        <f t="shared" ca="1" si="0"/>
        <v>0.16251647964685922</v>
      </c>
      <c r="AE191" s="201">
        <f t="shared" ca="1" si="0"/>
        <v>0.16093447770004837</v>
      </c>
      <c r="AF191" s="201">
        <f t="shared" ca="1" si="0"/>
        <v>0.1590735742967484</v>
      </c>
    </row>
    <row r="192" spans="1:32" s="221" customFormat="1" x14ac:dyDescent="0.25">
      <c r="A192" s="376"/>
      <c r="B192" s="376" t="s">
        <v>29</v>
      </c>
      <c r="C192"/>
      <c r="D192" s="201"/>
      <c r="E192" s="201"/>
      <c r="F192" s="201"/>
      <c r="G192" s="201">
        <f ca="1">G156*EXP(G84)/(G$153*EXP(G$81)+G$154*EXP(G$82)+G$155*EXP(G$83)+G$156*EXP(G$84))</f>
        <v>7.0872805702278149E-2</v>
      </c>
      <c r="H192" s="201">
        <f t="shared" ca="1" si="0"/>
        <v>0.31035257847297548</v>
      </c>
      <c r="I192" s="201">
        <f t="shared" ca="1" si="0"/>
        <v>0.47535504183292937</v>
      </c>
      <c r="J192" s="201">
        <f t="shared" ca="1" si="0"/>
        <v>0.50241024588939298</v>
      </c>
      <c r="K192" s="201">
        <f t="shared" ca="1" si="0"/>
        <v>0.56246097273362872</v>
      </c>
      <c r="L192" s="201">
        <f t="shared" ca="1" si="0"/>
        <v>0.61783629999513212</v>
      </c>
      <c r="M192" s="201">
        <f t="shared" ca="1" si="0"/>
        <v>0.66378871796652184</v>
      </c>
      <c r="N192" s="201">
        <f t="shared" ca="1" si="0"/>
        <v>0.68604942074952691</v>
      </c>
      <c r="O192" s="201">
        <f t="shared" ca="1" si="0"/>
        <v>0.70253279583516381</v>
      </c>
      <c r="P192" s="201">
        <f t="shared" ca="1" si="0"/>
        <v>0.71431744522626062</v>
      </c>
      <c r="Q192" s="201">
        <f t="shared" ca="1" si="0"/>
        <v>0.72438730164080811</v>
      </c>
      <c r="R192" s="201">
        <f t="shared" ca="1" si="0"/>
        <v>0.73295839723605261</v>
      </c>
      <c r="S192" s="201">
        <f t="shared" ca="1" si="0"/>
        <v>0.74007083317510358</v>
      </c>
      <c r="T192" s="201">
        <f t="shared" ca="1" si="0"/>
        <v>0.74632677510493228</v>
      </c>
      <c r="U192" s="201">
        <f t="shared" ca="1" si="0"/>
        <v>0.75211398904913418</v>
      </c>
      <c r="V192" s="201">
        <f t="shared" ca="1" si="0"/>
        <v>0.75696346073144605</v>
      </c>
      <c r="W192" s="201">
        <f t="shared" ca="1" si="0"/>
        <v>0.76168530152374425</v>
      </c>
      <c r="X192" s="201">
        <f t="shared" ca="1" si="0"/>
        <v>0.7662802259154694</v>
      </c>
      <c r="Y192" s="201">
        <f t="shared" ca="1" si="0"/>
        <v>0.77083772979270304</v>
      </c>
      <c r="Z192" s="201">
        <f t="shared" ca="1" si="0"/>
        <v>0.77508613671062898</v>
      </c>
      <c r="AA192" s="201">
        <f t="shared" ca="1" si="0"/>
        <v>0.77893026138941834</v>
      </c>
      <c r="AB192" s="201">
        <f t="shared" ca="1" si="0"/>
        <v>0.78291317854795928</v>
      </c>
      <c r="AC192" s="201">
        <f t="shared" ca="1" si="0"/>
        <v>0.78673119292471283</v>
      </c>
      <c r="AD192" s="201">
        <f t="shared" ca="1" si="0"/>
        <v>0.79046645027499951</v>
      </c>
      <c r="AE192" s="201">
        <f t="shared" ca="1" si="0"/>
        <v>0.79423859518122475</v>
      </c>
      <c r="AF192" s="201">
        <f t="shared" ca="1" si="0"/>
        <v>0.79878625686111604</v>
      </c>
    </row>
    <row r="193" spans="1:32" s="221" customFormat="1" x14ac:dyDescent="0.25">
      <c r="A193" s="376"/>
      <c r="B193" s="376"/>
      <c r="C193"/>
      <c r="D193"/>
      <c r="E193"/>
      <c r="F193"/>
      <c r="G193"/>
      <c r="H193"/>
      <c r="I193"/>
      <c r="J193"/>
      <c r="K193"/>
      <c r="L193"/>
      <c r="M193"/>
      <c r="N193"/>
      <c r="O193"/>
      <c r="P193"/>
      <c r="Q193"/>
      <c r="R193"/>
      <c r="S193"/>
      <c r="T193"/>
      <c r="U193"/>
      <c r="V193"/>
      <c r="W193"/>
      <c r="X193"/>
      <c r="Y193"/>
      <c r="Z193"/>
      <c r="AA193"/>
      <c r="AB193"/>
      <c r="AC193"/>
      <c r="AD193"/>
      <c r="AE193"/>
      <c r="AF193"/>
    </row>
    <row r="194" spans="1:32" s="202" customFormat="1" ht="12.75" x14ac:dyDescent="0.2">
      <c r="A194" s="402" t="s">
        <v>32</v>
      </c>
      <c r="B194" s="402"/>
      <c r="C194" s="402"/>
      <c r="D194" s="402"/>
      <c r="E194" s="402"/>
      <c r="F194" s="402"/>
      <c r="G194" s="402"/>
      <c r="H194" s="402"/>
      <c r="I194" s="402"/>
      <c r="J194" s="402"/>
      <c r="K194" s="402"/>
      <c r="L194" s="402"/>
      <c r="M194" s="402"/>
      <c r="N194" s="402"/>
      <c r="O194" s="402"/>
      <c r="P194" s="402"/>
      <c r="Q194" s="402"/>
      <c r="R194" s="402"/>
      <c r="S194" s="402"/>
      <c r="T194" s="402"/>
      <c r="U194" s="402"/>
      <c r="V194" s="402"/>
      <c r="W194" s="402"/>
      <c r="X194" s="402"/>
      <c r="Y194" s="402"/>
      <c r="Z194" s="402"/>
      <c r="AA194" s="402"/>
      <c r="AB194" s="402"/>
      <c r="AC194" s="402"/>
      <c r="AD194" s="402"/>
      <c r="AE194" s="402"/>
      <c r="AF194" s="402"/>
    </row>
    <row r="195" spans="1:32" s="221" customFormat="1" x14ac:dyDescent="0.25">
      <c r="A195" s="376"/>
      <c r="B195" s="376" t="s">
        <v>33</v>
      </c>
      <c r="C195"/>
      <c r="D195"/>
      <c r="E195"/>
      <c r="F195"/>
      <c r="G195" s="201">
        <f>G159*EXP(G87)/(G$159*EXP(G$87)+G$160*EXP(G$88)+G$161*EXP(G$89)+G$162*EXP(G$90))</f>
        <v>0.20201375948918496</v>
      </c>
      <c r="H195" s="201">
        <f t="shared" ref="H195:AF198" si="2">H159*EXP(H87)/(H$159*EXP(H$87)+H$160*EXP(H$88)+H$161*EXP(H$89)+H$162*EXP(H$90))</f>
        <v>0.13750840053967756</v>
      </c>
      <c r="I195" s="201">
        <f t="shared" si="2"/>
        <v>0.11039339342871962</v>
      </c>
      <c r="J195" s="201">
        <f t="shared" si="2"/>
        <v>9.376327886685909E-2</v>
      </c>
      <c r="K195" s="201">
        <f t="shared" si="2"/>
        <v>8.1036760736841684E-2</v>
      </c>
      <c r="L195" s="201">
        <f t="shared" si="2"/>
        <v>7.2840936123156202E-2</v>
      </c>
      <c r="M195" s="201">
        <f t="shared" si="2"/>
        <v>6.438783533376477E-2</v>
      </c>
      <c r="N195" s="201">
        <f t="shared" si="2"/>
        <v>5.8596132764858103E-2</v>
      </c>
      <c r="O195" s="201">
        <f t="shared" si="2"/>
        <v>5.4286893571559386E-2</v>
      </c>
      <c r="P195" s="201">
        <f t="shared" si="2"/>
        <v>5.1407271421676212E-2</v>
      </c>
      <c r="Q195" s="201">
        <f t="shared" si="2"/>
        <v>4.8564033239199104E-2</v>
      </c>
      <c r="R195" s="201">
        <f t="shared" si="2"/>
        <v>4.5665563449400343E-2</v>
      </c>
      <c r="S195" s="201">
        <f t="shared" si="2"/>
        <v>4.3160798843009718E-2</v>
      </c>
      <c r="T195" s="201">
        <f t="shared" si="2"/>
        <v>4.0821158665858726E-2</v>
      </c>
      <c r="U195" s="201">
        <f t="shared" si="2"/>
        <v>3.8518410106443274E-2</v>
      </c>
      <c r="V195" s="201">
        <f t="shared" si="2"/>
        <v>3.655425547931674E-2</v>
      </c>
      <c r="W195" s="201">
        <f t="shared" si="2"/>
        <v>3.4545166649736163E-2</v>
      </c>
      <c r="X195" s="201">
        <f t="shared" si="2"/>
        <v>3.2529658313401079E-2</v>
      </c>
      <c r="Y195" s="201">
        <f t="shared" si="2"/>
        <v>3.0494307779132975E-2</v>
      </c>
      <c r="Z195" s="201">
        <f t="shared" si="2"/>
        <v>2.8588985120692099E-2</v>
      </c>
      <c r="AA195" s="201">
        <f t="shared" si="2"/>
        <v>2.6863763460570629E-2</v>
      </c>
      <c r="AB195" s="201">
        <f t="shared" si="2"/>
        <v>2.5084564669269376E-2</v>
      </c>
      <c r="AC195" s="201">
        <f t="shared" si="2"/>
        <v>2.3397059702680946E-2</v>
      </c>
      <c r="AD195" s="201">
        <f t="shared" si="2"/>
        <v>2.1772145982998165E-2</v>
      </c>
      <c r="AE195" s="201">
        <f t="shared" si="2"/>
        <v>2.0169312301302769E-2</v>
      </c>
      <c r="AF195" s="201">
        <f t="shared" si="2"/>
        <v>1.8328214783759345E-2</v>
      </c>
    </row>
    <row r="196" spans="1:32" s="221" customFormat="1" x14ac:dyDescent="0.25">
      <c r="A196" s="388"/>
      <c r="B196" s="388" t="s">
        <v>34</v>
      </c>
      <c r="C196"/>
      <c r="D196"/>
      <c r="E196"/>
      <c r="F196"/>
      <c r="G196" s="201">
        <f>G160*EXP(G88)/(G$159*EXP(G$87)+G$160*EXP(G$88)+G$161*EXP(G$89)+G$162*EXP(G$90))</f>
        <v>0.51704174434163519</v>
      </c>
      <c r="H196" s="201">
        <f t="shared" ref="H196:V196" si="3">H160*EXP(H88)/(H$159*EXP(H$87)+H$160*EXP(H$88)+H$161*EXP(H$89)+H$162*EXP(H$90))</f>
        <v>0.35739615684855996</v>
      </c>
      <c r="I196" s="201">
        <f t="shared" si="3"/>
        <v>0.2785399312826401</v>
      </c>
      <c r="J196" s="201">
        <f t="shared" si="3"/>
        <v>0.23008078149808295</v>
      </c>
      <c r="K196" s="201">
        <f t="shared" si="3"/>
        <v>0.19540608168434753</v>
      </c>
      <c r="L196" s="201">
        <f t="shared" si="3"/>
        <v>0.17907784593902334</v>
      </c>
      <c r="M196" s="201">
        <f t="shared" si="3"/>
        <v>0.16500500555829178</v>
      </c>
      <c r="N196" s="201">
        <f t="shared" si="3"/>
        <v>0.15533244505316365</v>
      </c>
      <c r="O196" s="201">
        <f t="shared" si="3"/>
        <v>0.14832118384945628</v>
      </c>
      <c r="P196" s="201">
        <f t="shared" si="3"/>
        <v>0.14371411884402882</v>
      </c>
      <c r="Q196" s="201">
        <f t="shared" si="3"/>
        <v>0.13954325877406965</v>
      </c>
      <c r="R196" s="201">
        <f t="shared" si="3"/>
        <v>0.13565717861235599</v>
      </c>
      <c r="S196" s="201">
        <f t="shared" si="3"/>
        <v>0.13244147419330604</v>
      </c>
      <c r="T196" s="201">
        <f t="shared" si="3"/>
        <v>0.12953075345456819</v>
      </c>
      <c r="U196" s="201">
        <f t="shared" si="3"/>
        <v>0.12669203601706033</v>
      </c>
      <c r="V196" s="201">
        <f t="shared" si="3"/>
        <v>0.12437184629747418</v>
      </c>
      <c r="W196" s="201">
        <f t="shared" si="2"/>
        <v>0.12195070353487296</v>
      </c>
      <c r="X196" s="201">
        <f t="shared" si="2"/>
        <v>0.11945762493651982</v>
      </c>
      <c r="Y196" s="201">
        <f t="shared" si="2"/>
        <v>0.11683959968149447</v>
      </c>
      <c r="Z196" s="201">
        <f t="shared" si="2"/>
        <v>0.11434686100224542</v>
      </c>
      <c r="AA196" s="201">
        <f t="shared" si="2"/>
        <v>0.11208219522311193</v>
      </c>
      <c r="AB196" s="201">
        <f t="shared" si="2"/>
        <v>0.10958960275108726</v>
      </c>
      <c r="AC196" s="201">
        <f t="shared" si="2"/>
        <v>0.10714262596382569</v>
      </c>
      <c r="AD196" s="201">
        <f t="shared" si="2"/>
        <v>0.10467892944479744</v>
      </c>
      <c r="AE196" s="201">
        <f t="shared" si="2"/>
        <v>0.10209887074256123</v>
      </c>
      <c r="AF196" s="201">
        <f t="shared" si="2"/>
        <v>9.8737023494548187E-2</v>
      </c>
    </row>
    <row r="197" spans="1:32" s="221" customFormat="1" x14ac:dyDescent="0.25">
      <c r="A197" s="376"/>
      <c r="B197" s="388" t="s">
        <v>35</v>
      </c>
      <c r="C197"/>
      <c r="D197"/>
      <c r="E197"/>
      <c r="F197"/>
      <c r="G197" s="201">
        <f>G161*EXP(G89)/(G$159*EXP(G$87)+G$160*EXP(G$88)+G$161*EXP(G$89)+G$162*EXP(G$90))</f>
        <v>0.13442814277246795</v>
      </c>
      <c r="H197" s="201">
        <f t="shared" si="2"/>
        <v>9.3367283029690384E-2</v>
      </c>
      <c r="I197" s="201">
        <f t="shared" si="2"/>
        <v>7.1236260713498506E-2</v>
      </c>
      <c r="J197" s="201">
        <f t="shared" si="2"/>
        <v>6.0203862505276054E-2</v>
      </c>
      <c r="K197" s="201">
        <f t="shared" si="2"/>
        <v>5.3975164670879087E-2</v>
      </c>
      <c r="L197" s="201">
        <f t="shared" si="2"/>
        <v>4.9515092328378883E-2</v>
      </c>
      <c r="M197" s="201">
        <f t="shared" si="2"/>
        <v>4.6521863255334216E-2</v>
      </c>
      <c r="N197" s="201">
        <f t="shared" si="2"/>
        <v>4.4355974102322004E-2</v>
      </c>
      <c r="O197" s="201">
        <f t="shared" si="2"/>
        <v>4.275725341182425E-2</v>
      </c>
      <c r="P197" s="201">
        <f t="shared" si="2"/>
        <v>4.1571785392474074E-2</v>
      </c>
      <c r="Q197" s="201">
        <f t="shared" si="2"/>
        <v>4.0646838766803903E-2</v>
      </c>
      <c r="R197" s="201">
        <f t="shared" si="2"/>
        <v>3.9968157354956714E-2</v>
      </c>
      <c r="S197" s="201">
        <f t="shared" si="2"/>
        <v>3.9431666940444789E-2</v>
      </c>
      <c r="T197" s="201">
        <f t="shared" si="2"/>
        <v>3.8994848413482282E-2</v>
      </c>
      <c r="U197" s="201">
        <f t="shared" si="2"/>
        <v>3.8626146006446746E-2</v>
      </c>
      <c r="V197" s="201">
        <f t="shared" si="2"/>
        <v>3.8331993073287392E-2</v>
      </c>
      <c r="W197" s="201">
        <f t="shared" si="2"/>
        <v>3.807145406273485E-2</v>
      </c>
      <c r="X197" s="201">
        <f t="shared" si="2"/>
        <v>3.7836125935615875E-2</v>
      </c>
      <c r="Y197" s="201">
        <f t="shared" si="2"/>
        <v>3.761526936755577E-2</v>
      </c>
      <c r="Z197" s="201">
        <f t="shared" si="2"/>
        <v>3.7417759300432361E-2</v>
      </c>
      <c r="AA197" s="201">
        <f t="shared" si="2"/>
        <v>3.7247015929580879E-2</v>
      </c>
      <c r="AB197" s="201">
        <f t="shared" si="2"/>
        <v>3.7070910950800673E-2</v>
      </c>
      <c r="AC197" s="201">
        <f t="shared" si="2"/>
        <v>3.6903892624487337E-2</v>
      </c>
      <c r="AD197" s="201">
        <f t="shared" si="2"/>
        <v>3.6739516765488277E-2</v>
      </c>
      <c r="AE197" s="201">
        <f t="shared" si="2"/>
        <v>3.6568070716309492E-2</v>
      </c>
      <c r="AF197" s="201">
        <f t="shared" si="2"/>
        <v>3.6332977359400574E-2</v>
      </c>
    </row>
    <row r="198" spans="1:32" s="221" customFormat="1" x14ac:dyDescent="0.25">
      <c r="A198" s="376"/>
      <c r="B198" s="388" t="s">
        <v>29</v>
      </c>
      <c r="C198"/>
      <c r="D198"/>
      <c r="E198"/>
      <c r="F198"/>
      <c r="G198" s="201">
        <f>G162*EXP(G90)/(G$159*EXP(G$87)+G$160*EXP(G$88)+G$161*EXP(G$89)+G$162*EXP(G$90))</f>
        <v>0.14651635339671187</v>
      </c>
      <c r="H198" s="201">
        <f t="shared" si="2"/>
        <v>0.41172815958207204</v>
      </c>
      <c r="I198" s="201">
        <f t="shared" si="2"/>
        <v>0.5398304145751418</v>
      </c>
      <c r="J198" s="201">
        <f t="shared" si="2"/>
        <v>0.61595207712978184</v>
      </c>
      <c r="K198" s="201">
        <f t="shared" si="2"/>
        <v>0.66958199290793163</v>
      </c>
      <c r="L198" s="201">
        <f t="shared" si="2"/>
        <v>0.69856612560944154</v>
      </c>
      <c r="M198" s="201">
        <f t="shared" si="2"/>
        <v>0.72408529585260917</v>
      </c>
      <c r="N198" s="201">
        <f t="shared" si="2"/>
        <v>0.74171544807965628</v>
      </c>
      <c r="O198" s="201">
        <f t="shared" si="2"/>
        <v>0.75463466916716015</v>
      </c>
      <c r="P198" s="201">
        <f t="shared" si="2"/>
        <v>0.76330682434182096</v>
      </c>
      <c r="Q198" s="201">
        <f t="shared" si="2"/>
        <v>0.77124586921992733</v>
      </c>
      <c r="R198" s="201">
        <f t="shared" si="2"/>
        <v>0.77870910058328702</v>
      </c>
      <c r="S198" s="201">
        <f t="shared" si="2"/>
        <v>0.78496606002323954</v>
      </c>
      <c r="T198" s="201">
        <f t="shared" si="2"/>
        <v>0.79065323946609078</v>
      </c>
      <c r="U198" s="201">
        <f t="shared" si="2"/>
        <v>0.79616340787004969</v>
      </c>
      <c r="V198" s="201">
        <f t="shared" si="2"/>
        <v>0.80074190514992172</v>
      </c>
      <c r="W198" s="201">
        <f t="shared" si="2"/>
        <v>0.80543267575265598</v>
      </c>
      <c r="X198" s="201">
        <f t="shared" si="2"/>
        <v>0.81017659081446325</v>
      </c>
      <c r="Y198" s="201">
        <f t="shared" si="2"/>
        <v>0.81505082317181687</v>
      </c>
      <c r="Z198" s="201">
        <f t="shared" si="2"/>
        <v>0.81964639457663013</v>
      </c>
      <c r="AA198" s="201">
        <f t="shared" si="2"/>
        <v>0.82380702538673656</v>
      </c>
      <c r="AB198" s="201">
        <f t="shared" si="2"/>
        <v>0.82825492162884273</v>
      </c>
      <c r="AC198" s="201">
        <f t="shared" si="2"/>
        <v>0.83255642170900612</v>
      </c>
      <c r="AD198" s="201">
        <f t="shared" si="2"/>
        <v>0.8368094078067162</v>
      </c>
      <c r="AE198" s="201">
        <f t="shared" si="2"/>
        <v>0.84116374623982659</v>
      </c>
      <c r="AF198" s="201">
        <f t="shared" si="2"/>
        <v>0.84660178436229194</v>
      </c>
    </row>
    <row r="199" spans="1:32" s="221" customFormat="1" x14ac:dyDescent="0.25">
      <c r="A199" s="376"/>
      <c r="B199" s="376"/>
      <c r="C199"/>
      <c r="D199"/>
      <c r="E199"/>
      <c r="F199"/>
      <c r="G199"/>
      <c r="H199"/>
      <c r="I199"/>
      <c r="J199"/>
      <c r="K199"/>
      <c r="L199"/>
      <c r="M199"/>
      <c r="N199"/>
      <c r="O199"/>
      <c r="P199"/>
      <c r="Q199"/>
      <c r="R199"/>
      <c r="S199"/>
      <c r="T199"/>
      <c r="U199"/>
      <c r="V199"/>
      <c r="W199"/>
      <c r="X199"/>
      <c r="Y199"/>
      <c r="Z199"/>
      <c r="AA199"/>
      <c r="AB199"/>
      <c r="AC199"/>
      <c r="AD199"/>
      <c r="AE199"/>
      <c r="AF199"/>
    </row>
    <row r="200" spans="1:32" s="202" customFormat="1" ht="12.75" x14ac:dyDescent="0.2">
      <c r="A200" s="402" t="s">
        <v>36</v>
      </c>
      <c r="B200" s="402"/>
      <c r="C200" s="402"/>
      <c r="D200" s="402"/>
      <c r="E200" s="402"/>
      <c r="F200" s="402"/>
      <c r="G200" s="402"/>
      <c r="H200" s="402"/>
      <c r="I200" s="402"/>
      <c r="J200" s="402"/>
      <c r="K200" s="402"/>
      <c r="L200" s="402"/>
      <c r="M200" s="402"/>
      <c r="N200" s="402"/>
      <c r="O200" s="402"/>
      <c r="P200" s="402"/>
      <c r="Q200" s="402"/>
      <c r="R200" s="402"/>
      <c r="S200" s="402"/>
      <c r="T200" s="402"/>
      <c r="U200" s="402"/>
      <c r="V200" s="402"/>
      <c r="W200" s="402"/>
      <c r="X200" s="402"/>
      <c r="Y200" s="402"/>
      <c r="Z200" s="402"/>
      <c r="AA200" s="402"/>
      <c r="AB200" s="402"/>
      <c r="AC200" s="402"/>
      <c r="AD200" s="402"/>
      <c r="AE200" s="402"/>
      <c r="AF200" s="402"/>
    </row>
    <row r="201" spans="1:32" s="221" customFormat="1" x14ac:dyDescent="0.25">
      <c r="A201" s="376"/>
      <c r="B201" s="376" t="s">
        <v>37</v>
      </c>
      <c r="C201"/>
      <c r="D201"/>
      <c r="E201"/>
      <c r="F201"/>
      <c r="G201" s="201">
        <f>G165*EXP(G93)/(G$165*EXP(G$93)+G$166*EXP(G$94)+G$167*EXP(G$95)+G$168*EXP(G$96))</f>
        <v>1.2699750293613964E-2</v>
      </c>
      <c r="H201" s="201">
        <f t="shared" ref="H201:AF204" si="4">H165*EXP(H93)/(H$165*EXP(H$93)+H$166*EXP(H$94)+H$167*EXP(H$95)+H$168*EXP(H$96))</f>
        <v>1.2574343606122279E-2</v>
      </c>
      <c r="I201" s="201">
        <f t="shared" si="4"/>
        <v>1.0524589733017804E-2</v>
      </c>
      <c r="J201" s="201">
        <f t="shared" si="4"/>
        <v>8.1132530874241798E-3</v>
      </c>
      <c r="K201" s="201">
        <f t="shared" si="4"/>
        <v>5.5980159840668528E-3</v>
      </c>
      <c r="L201" s="201">
        <f t="shared" si="4"/>
        <v>3.3810923757226713E-3</v>
      </c>
      <c r="M201" s="201">
        <f t="shared" si="4"/>
        <v>1.4977112861899028E-3</v>
      </c>
      <c r="N201" s="201">
        <f t="shared" si="4"/>
        <v>3.9255770027303637E-4</v>
      </c>
      <c r="O201" s="201">
        <f t="shared" si="4"/>
        <v>3.4894699857791474E-4</v>
      </c>
      <c r="P201" s="201">
        <f t="shared" si="4"/>
        <v>3.1484299609587616E-4</v>
      </c>
      <c r="Q201" s="201">
        <f t="shared" si="4"/>
        <v>2.8526638371128221E-4</v>
      </c>
      <c r="R201" s="201">
        <f t="shared" si="4"/>
        <v>2.6015094272752669E-4</v>
      </c>
      <c r="S201" s="201">
        <f t="shared" si="4"/>
        <v>2.3921777776499147E-4</v>
      </c>
      <c r="T201" s="201">
        <f t="shared" si="4"/>
        <v>2.2113784546268884E-4</v>
      </c>
      <c r="U201" s="201">
        <f t="shared" si="4"/>
        <v>2.0503304683501051E-4</v>
      </c>
      <c r="V201" s="201">
        <f t="shared" si="4"/>
        <v>1.9145744244988651E-4</v>
      </c>
      <c r="W201" s="201">
        <f t="shared" si="4"/>
        <v>1.7893307505612065E-4</v>
      </c>
      <c r="X201" s="201">
        <f t="shared" si="4"/>
        <v>1.6735013862045932E-4</v>
      </c>
      <c r="Y201" s="201">
        <f t="shared" si="4"/>
        <v>1.5648334612484383E-4</v>
      </c>
      <c r="Z201" s="201">
        <f t="shared" si="4"/>
        <v>1.4664604303372831E-4</v>
      </c>
      <c r="AA201" s="201">
        <f t="shared" si="4"/>
        <v>1.3787908729355949E-4</v>
      </c>
      <c r="AB201" s="201">
        <f t="shared" si="4"/>
        <v>1.2936116111057099E-4</v>
      </c>
      <c r="AC201" s="201">
        <f t="shared" si="4"/>
        <v>1.2146690217300771E-4</v>
      </c>
      <c r="AD201" s="201">
        <f t="shared" si="4"/>
        <v>1.1404204000301757E-4</v>
      </c>
      <c r="AE201" s="201">
        <f t="shared" si="4"/>
        <v>1.0690213033832473E-4</v>
      </c>
      <c r="AF201" s="201">
        <f t="shared" si="4"/>
        <v>9.9132349445907566E-5</v>
      </c>
    </row>
    <row r="202" spans="1:32" s="221" customFormat="1" x14ac:dyDescent="0.25">
      <c r="A202" s="376"/>
      <c r="B202" s="376" t="s">
        <v>39</v>
      </c>
      <c r="C202"/>
      <c r="D202"/>
      <c r="E202"/>
      <c r="F202"/>
      <c r="G202" s="201">
        <f>G166*EXP(G94)/(G$165*EXP(G$93)+G$166*EXP(G$94)+G$167*EXP(G$95)+G$168*EXP(G$96))</f>
        <v>0.29707676125917065</v>
      </c>
      <c r="H202" s="201">
        <f t="shared" ref="H202:V202" si="5">H166*EXP(H94)/(H$165*EXP(H$93)+H$166*EXP(H$94)+H$167*EXP(H$95)+H$168*EXP(H$96))</f>
        <v>0.29728714671237971</v>
      </c>
      <c r="I202" s="201">
        <f t="shared" si="5"/>
        <v>0.29988596896702124</v>
      </c>
      <c r="J202" s="201">
        <f t="shared" si="5"/>
        <v>0.29129998821843467</v>
      </c>
      <c r="K202" s="201">
        <f t="shared" si="5"/>
        <v>0.27087550485565154</v>
      </c>
      <c r="L202" s="201">
        <f t="shared" si="5"/>
        <v>0.24694953204870923</v>
      </c>
      <c r="M202" s="201">
        <f t="shared" si="5"/>
        <v>0.22025743581279508</v>
      </c>
      <c r="N202" s="201">
        <f t="shared" si="5"/>
        <v>0.19739084631012252</v>
      </c>
      <c r="O202" s="201">
        <f t="shared" si="5"/>
        <v>0.17806413550685138</v>
      </c>
      <c r="P202" s="201">
        <f t="shared" si="5"/>
        <v>0.16274472623065295</v>
      </c>
      <c r="Q202" s="201">
        <f t="shared" si="5"/>
        <v>0.14957707882258756</v>
      </c>
      <c r="R202" s="201">
        <f t="shared" si="5"/>
        <v>0.13862872850536215</v>
      </c>
      <c r="S202" s="201">
        <f t="shared" si="5"/>
        <v>0.12954434273524842</v>
      </c>
      <c r="T202" s="201">
        <f t="shared" si="5"/>
        <v>0.12176417251661509</v>
      </c>
      <c r="U202" s="201">
        <f t="shared" si="5"/>
        <v>0.11490212907500646</v>
      </c>
      <c r="V202" s="201">
        <f t="shared" si="5"/>
        <v>0.10915591605609107</v>
      </c>
      <c r="W202" s="201">
        <f t="shared" si="4"/>
        <v>0.10390783519939294</v>
      </c>
      <c r="X202" s="201">
        <f t="shared" si="4"/>
        <v>9.9091625188125879E-2</v>
      </c>
      <c r="Y202" s="201">
        <f t="shared" si="4"/>
        <v>9.4596765041633876E-2</v>
      </c>
      <c r="Z202" s="201">
        <f t="shared" si="4"/>
        <v>9.0546886459666284E-2</v>
      </c>
      <c r="AA202" s="201">
        <f t="shared" si="4"/>
        <v>8.6959072220360076E-2</v>
      </c>
      <c r="AB202" s="201">
        <f t="shared" si="4"/>
        <v>8.3468644445667539E-2</v>
      </c>
      <c r="AC202" s="201">
        <f t="shared" si="4"/>
        <v>8.0235929458516722E-2</v>
      </c>
      <c r="AD202" s="201">
        <f t="shared" si="4"/>
        <v>7.7189277730944403E-2</v>
      </c>
      <c r="AE202" s="201">
        <f t="shared" si="4"/>
        <v>7.423956344009261E-2</v>
      </c>
      <c r="AF202" s="201">
        <f t="shared" si="4"/>
        <v>7.093661381978994E-2</v>
      </c>
    </row>
    <row r="203" spans="1:32" s="221" customFormat="1" x14ac:dyDescent="0.25">
      <c r="A203" s="376"/>
      <c r="B203" s="376" t="s">
        <v>40</v>
      </c>
      <c r="C203"/>
      <c r="D203"/>
      <c r="E203"/>
      <c r="F203"/>
      <c r="G203" s="201">
        <f>G167*EXP(G95)/(G$165*EXP(G$93)+G$166*EXP(G$94)+G$167*EXP(G$95)+G$168*EXP(G$96))</f>
        <v>0.6902230089708884</v>
      </c>
      <c r="H203" s="201">
        <f t="shared" si="4"/>
        <v>0.68934922179155189</v>
      </c>
      <c r="I203" s="201">
        <f t="shared" si="4"/>
        <v>0.67810639333160971</v>
      </c>
      <c r="J203" s="201">
        <f t="shared" si="4"/>
        <v>0.65233794853329685</v>
      </c>
      <c r="K203" s="201">
        <f t="shared" si="4"/>
        <v>0.60981775778703518</v>
      </c>
      <c r="L203" s="201">
        <f t="shared" si="4"/>
        <v>0.55626324176447328</v>
      </c>
      <c r="M203" s="201">
        <f t="shared" si="4"/>
        <v>0.50246604793906968</v>
      </c>
      <c r="N203" s="201">
        <f t="shared" si="4"/>
        <v>0.45279024211237462</v>
      </c>
      <c r="O203" s="201">
        <f t="shared" si="4"/>
        <v>0.40990313146688578</v>
      </c>
      <c r="P203" s="201">
        <f t="shared" si="4"/>
        <v>0.37456387202683272</v>
      </c>
      <c r="Q203" s="201">
        <f t="shared" si="4"/>
        <v>0.34496317821713901</v>
      </c>
      <c r="R203" s="201">
        <f t="shared" si="4"/>
        <v>0.32127418415609355</v>
      </c>
      <c r="S203" s="201">
        <f t="shared" si="4"/>
        <v>0.30151965299628453</v>
      </c>
      <c r="T203" s="201">
        <f t="shared" si="4"/>
        <v>0.2847512591315583</v>
      </c>
      <c r="U203" s="201">
        <f t="shared" si="4"/>
        <v>0.27024525760319468</v>
      </c>
      <c r="V203" s="201">
        <f t="shared" si="4"/>
        <v>0.25791243392337471</v>
      </c>
      <c r="W203" s="201">
        <f t="shared" si="4"/>
        <v>0.24695266852757736</v>
      </c>
      <c r="X203" s="201">
        <f t="shared" si="4"/>
        <v>0.23712730833430445</v>
      </c>
      <c r="Y203" s="201">
        <f t="shared" si="4"/>
        <v>0.2281917812297185</v>
      </c>
      <c r="Z203" s="201">
        <f t="shared" si="4"/>
        <v>0.22017694785850836</v>
      </c>
      <c r="AA203" s="201">
        <f t="shared" si="4"/>
        <v>0.21303339941312996</v>
      </c>
      <c r="AB203" s="201">
        <f t="shared" si="4"/>
        <v>0.20630600438538366</v>
      </c>
      <c r="AC203" s="201">
        <f t="shared" si="4"/>
        <v>0.20011993453008642</v>
      </c>
      <c r="AD203" s="201">
        <f t="shared" si="4"/>
        <v>0.194356880239136</v>
      </c>
      <c r="AE203" s="201">
        <f t="shared" si="4"/>
        <v>0.18888092917528437</v>
      </c>
      <c r="AF203" s="201">
        <f t="shared" si="4"/>
        <v>0.18312163717404145</v>
      </c>
    </row>
    <row r="204" spans="1:32" s="221" customFormat="1" x14ac:dyDescent="0.25">
      <c r="A204" s="376"/>
      <c r="B204" s="376" t="s">
        <v>29</v>
      </c>
      <c r="C204"/>
      <c r="D204"/>
      <c r="E204"/>
      <c r="F204"/>
      <c r="G204" s="201">
        <f>G168*EXP(G96)/(G$165*EXP(G$93)+G$166*EXP(G$94)+G$167*EXP(G$95)+G$168*EXP(G$96))</f>
        <v>4.7947632693763817E-7</v>
      </c>
      <c r="H204" s="201">
        <f t="shared" si="4"/>
        <v>7.892878899460955E-4</v>
      </c>
      <c r="I204" s="201">
        <f t="shared" si="4"/>
        <v>1.1483047968351253E-2</v>
      </c>
      <c r="J204" s="201">
        <f t="shared" si="4"/>
        <v>4.8248810160844174E-2</v>
      </c>
      <c r="K204" s="201">
        <f t="shared" si="4"/>
        <v>0.1137087213732464</v>
      </c>
      <c r="L204" s="201">
        <f t="shared" si="4"/>
        <v>0.19340613381109478</v>
      </c>
      <c r="M204" s="201">
        <f t="shared" si="4"/>
        <v>0.27577880496194529</v>
      </c>
      <c r="N204" s="201">
        <f t="shared" si="4"/>
        <v>0.34942635387722981</v>
      </c>
      <c r="O204" s="201">
        <f t="shared" si="4"/>
        <v>0.41168378602768485</v>
      </c>
      <c r="P204" s="201">
        <f t="shared" si="4"/>
        <v>0.46237655874641853</v>
      </c>
      <c r="Q204" s="201">
        <f t="shared" si="4"/>
        <v>0.50517447657656223</v>
      </c>
      <c r="R204" s="201">
        <f t="shared" si="4"/>
        <v>0.53983693639581676</v>
      </c>
      <c r="S204" s="201">
        <f t="shared" si="4"/>
        <v>0.56869678649070199</v>
      </c>
      <c r="T204" s="201">
        <f t="shared" si="4"/>
        <v>0.59326343050636399</v>
      </c>
      <c r="U204" s="201">
        <f t="shared" si="4"/>
        <v>0.6146475802749638</v>
      </c>
      <c r="V204" s="201">
        <f t="shared" si="4"/>
        <v>0.63274019257808434</v>
      </c>
      <c r="W204" s="201">
        <f t="shared" si="4"/>
        <v>0.64896056319797357</v>
      </c>
      <c r="X204" s="201">
        <f t="shared" si="4"/>
        <v>0.66361371633894928</v>
      </c>
      <c r="Y204" s="201">
        <f t="shared" si="4"/>
        <v>0.67705497038252282</v>
      </c>
      <c r="Z204" s="201">
        <f t="shared" si="4"/>
        <v>0.68912951963879154</v>
      </c>
      <c r="AA204" s="201">
        <f t="shared" si="4"/>
        <v>0.69986964927921647</v>
      </c>
      <c r="AB204" s="201">
        <f t="shared" si="4"/>
        <v>0.7100959900078383</v>
      </c>
      <c r="AC204" s="201">
        <f t="shared" si="4"/>
        <v>0.7195226691092238</v>
      </c>
      <c r="AD204" s="201">
        <f t="shared" si="4"/>
        <v>0.72833979998991649</v>
      </c>
      <c r="AE204" s="201">
        <f t="shared" si="4"/>
        <v>0.73677260525428478</v>
      </c>
      <c r="AF204" s="201">
        <f t="shared" si="4"/>
        <v>0.7458426166567228</v>
      </c>
    </row>
    <row r="205" spans="1:32" s="221" customFormat="1" x14ac:dyDescent="0.25">
      <c r="A205" s="376"/>
      <c r="B205" s="376"/>
      <c r="C205"/>
      <c r="D205"/>
      <c r="E205"/>
      <c r="F205"/>
      <c r="G205"/>
      <c r="H205"/>
      <c r="I205"/>
      <c r="J205"/>
      <c r="K205"/>
      <c r="L205"/>
      <c r="M205"/>
      <c r="N205"/>
      <c r="O205"/>
      <c r="P205"/>
      <c r="Q205"/>
      <c r="R205"/>
      <c r="S205"/>
      <c r="T205"/>
      <c r="U205"/>
      <c r="V205"/>
      <c r="W205"/>
      <c r="X205"/>
      <c r="Y205"/>
      <c r="Z205"/>
      <c r="AA205"/>
      <c r="AB205"/>
      <c r="AC205"/>
      <c r="AD205"/>
      <c r="AE205"/>
      <c r="AF205"/>
    </row>
    <row r="206" spans="1:32" s="202" customFormat="1" ht="12.75" x14ac:dyDescent="0.2">
      <c r="A206" s="402" t="s">
        <v>42</v>
      </c>
      <c r="B206" s="402"/>
      <c r="C206" s="402"/>
      <c r="D206" s="402"/>
      <c r="E206" s="402"/>
      <c r="F206" s="402"/>
      <c r="G206" s="402"/>
      <c r="H206" s="402"/>
      <c r="I206" s="402"/>
      <c r="J206" s="402"/>
      <c r="K206" s="402"/>
      <c r="L206" s="402"/>
      <c r="M206" s="402"/>
      <c r="N206" s="402"/>
      <c r="O206" s="402"/>
      <c r="P206" s="402"/>
      <c r="Q206" s="402"/>
      <c r="R206" s="402"/>
      <c r="S206" s="402"/>
      <c r="T206" s="402"/>
      <c r="U206" s="402"/>
      <c r="V206" s="402"/>
      <c r="W206" s="402"/>
      <c r="X206" s="402"/>
      <c r="Y206" s="402"/>
      <c r="Z206" s="402"/>
      <c r="AA206" s="402"/>
      <c r="AB206" s="402"/>
      <c r="AC206" s="402"/>
      <c r="AD206" s="402"/>
      <c r="AE206" s="402"/>
      <c r="AF206" s="402"/>
    </row>
    <row r="207" spans="1:32" s="221" customFormat="1" x14ac:dyDescent="0.25">
      <c r="A207" s="376"/>
      <c r="B207" s="388" t="s">
        <v>43</v>
      </c>
      <c r="C207"/>
      <c r="D207"/>
      <c r="E207"/>
      <c r="F207"/>
      <c r="G207" s="201">
        <f>G171*EXP(G99)/(G$171*EXP(G$99)+G$172*EXP(G$100)+G$173*EXP(G$101)+G$174*EXP(G$102)+G$175*EXP(G$103))</f>
        <v>5.6047088200638301E-3</v>
      </c>
      <c r="H207" s="201">
        <f t="shared" ref="H207:AF211" si="6">H171*EXP(H99)/(H$171*EXP(H$99)+H$172*EXP(H$100)+H$173*EXP(H$101)+H$174*EXP(H$102)+H$175*EXP(H$103))</f>
        <v>5.2316371183854533E-3</v>
      </c>
      <c r="I207" s="201">
        <f t="shared" si="6"/>
        <v>5.0828965807961602E-3</v>
      </c>
      <c r="J207" s="201">
        <f t="shared" si="6"/>
        <v>4.9996177493738768E-3</v>
      </c>
      <c r="K207" s="201">
        <f t="shared" si="6"/>
        <v>4.944961163635268E-3</v>
      </c>
      <c r="L207" s="201">
        <f t="shared" si="6"/>
        <v>4.9077390020901539E-3</v>
      </c>
      <c r="M207" s="201">
        <f t="shared" si="6"/>
        <v>4.878194735940776E-3</v>
      </c>
      <c r="N207" s="201">
        <f t="shared" si="6"/>
        <v>4.855782251561999E-3</v>
      </c>
      <c r="O207" s="201">
        <f t="shared" si="6"/>
        <v>4.8380627421104805E-3</v>
      </c>
      <c r="P207" s="201">
        <f t="shared" si="6"/>
        <v>4.8241422954126917E-3</v>
      </c>
      <c r="Q207" s="201">
        <f t="shared" si="6"/>
        <v>4.8120219336196066E-3</v>
      </c>
      <c r="R207" s="201">
        <f t="shared" si="6"/>
        <v>4.8011670646344387E-3</v>
      </c>
      <c r="S207" s="201">
        <f t="shared" si="6"/>
        <v>4.7917171478780501E-3</v>
      </c>
      <c r="T207" s="201">
        <f t="shared" si="6"/>
        <v>4.7832007386485508E-3</v>
      </c>
      <c r="U207" s="201">
        <f t="shared" si="6"/>
        <v>4.7752868061425712E-3</v>
      </c>
      <c r="V207" s="201">
        <f t="shared" si="6"/>
        <v>4.7682605165287476E-3</v>
      </c>
      <c r="W207" s="201">
        <f t="shared" si="6"/>
        <v>4.7615072006698513E-3</v>
      </c>
      <c r="X207" s="201">
        <f t="shared" si="6"/>
        <v>4.7549804319568338E-3</v>
      </c>
      <c r="Y207" s="201">
        <f t="shared" si="6"/>
        <v>4.7485720191740698E-3</v>
      </c>
      <c r="Z207" s="201">
        <f t="shared" si="6"/>
        <v>4.742467013435483E-3</v>
      </c>
      <c r="AA207" s="201">
        <f t="shared" si="6"/>
        <v>4.736734648964E-3</v>
      </c>
      <c r="AB207" s="201">
        <f t="shared" si="6"/>
        <v>4.7309057754139289E-3</v>
      </c>
      <c r="AC207" s="201">
        <f t="shared" si="6"/>
        <v>4.7252156622726287E-3</v>
      </c>
      <c r="AD207" s="201">
        <f t="shared" si="6"/>
        <v>4.7195792319577852E-3</v>
      </c>
      <c r="AE207" s="201">
        <f t="shared" si="6"/>
        <v>4.7138687051815464E-3</v>
      </c>
      <c r="AF207" s="201">
        <f t="shared" si="6"/>
        <v>4.7073280524590443E-3</v>
      </c>
    </row>
    <row r="208" spans="1:32" s="221" customFormat="1" x14ac:dyDescent="0.25">
      <c r="A208" s="376"/>
      <c r="B208" s="388" t="s">
        <v>44</v>
      </c>
      <c r="C208"/>
      <c r="D208"/>
      <c r="E208"/>
      <c r="F208"/>
      <c r="G208" s="201">
        <f>G172*EXP(G100)/(G$171*EXP(G$99)+G$172*EXP(G$100)+G$173*EXP(G$101)+G$174*EXP(G$102)+G$175*EXP(G$103))</f>
        <v>0.52656881765717023</v>
      </c>
      <c r="H208" s="201">
        <f t="shared" ref="H208:V208" si="7">H172*EXP(H100)/(H$171*EXP(H$99)+H$172*EXP(H$100)+H$173*EXP(H$101)+H$174*EXP(H$102)+H$175*EXP(H$103))</f>
        <v>0.49174846214970552</v>
      </c>
      <c r="I208" s="201">
        <f t="shared" si="7"/>
        <v>0.47775266037432518</v>
      </c>
      <c r="J208" s="201">
        <f t="shared" si="7"/>
        <v>0.47005829728373499</v>
      </c>
      <c r="K208" s="201">
        <f t="shared" si="7"/>
        <v>0.46518759899801743</v>
      </c>
      <c r="L208" s="201">
        <f t="shared" si="7"/>
        <v>0.46189855503077898</v>
      </c>
      <c r="M208" s="201">
        <f t="shared" si="7"/>
        <v>0.45946429661187393</v>
      </c>
      <c r="N208" s="201">
        <f t="shared" si="7"/>
        <v>0.45765185232964389</v>
      </c>
      <c r="O208" s="201">
        <f t="shared" si="7"/>
        <v>0.45625719668535869</v>
      </c>
      <c r="P208" s="201">
        <f t="shared" si="7"/>
        <v>0.4551748353696573</v>
      </c>
      <c r="Q208" s="201">
        <f t="shared" si="7"/>
        <v>0.4542883328918832</v>
      </c>
      <c r="R208" s="201">
        <f t="shared" si="7"/>
        <v>0.45355576599860337</v>
      </c>
      <c r="S208" s="201">
        <f t="shared" si="7"/>
        <v>0.45294948823361869</v>
      </c>
      <c r="T208" s="201">
        <f t="shared" si="7"/>
        <v>0.45243712947118958</v>
      </c>
      <c r="U208" s="201">
        <f t="shared" si="7"/>
        <v>0.45199553178593194</v>
      </c>
      <c r="V208" s="201">
        <f t="shared" si="7"/>
        <v>0.45162460009502081</v>
      </c>
      <c r="W208" s="201">
        <f t="shared" si="6"/>
        <v>0.45129725797279169</v>
      </c>
      <c r="X208" s="201">
        <f t="shared" si="6"/>
        <v>0.45100656543295026</v>
      </c>
      <c r="Y208" s="201">
        <f t="shared" si="6"/>
        <v>0.45074479266281536</v>
      </c>
      <c r="Z208" s="201">
        <f t="shared" si="6"/>
        <v>0.45051424501256782</v>
      </c>
      <c r="AA208" s="201">
        <f t="shared" si="6"/>
        <v>0.45031408391346911</v>
      </c>
      <c r="AB208" s="201">
        <f t="shared" si="6"/>
        <v>0.45012748729946245</v>
      </c>
      <c r="AC208" s="201">
        <f t="shared" si="6"/>
        <v>0.4499597879353075</v>
      </c>
      <c r="AD208" s="201">
        <f t="shared" si="6"/>
        <v>0.44980678027697996</v>
      </c>
      <c r="AE208" s="201">
        <f t="shared" si="6"/>
        <v>0.44966332552573623</v>
      </c>
      <c r="AF208" s="201">
        <f t="shared" si="6"/>
        <v>0.44950615286131262</v>
      </c>
    </row>
    <row r="209" spans="1:32" s="221" customFormat="1" x14ac:dyDescent="0.25">
      <c r="A209" s="376"/>
      <c r="B209" s="388" t="s">
        <v>45</v>
      </c>
      <c r="C209"/>
      <c r="D209"/>
      <c r="E209"/>
      <c r="F209"/>
      <c r="G209" s="201">
        <f>G173*EXP(G101)/(G$171*EXP(G$99)+G$172*EXP(G$100)+G$173*EXP(G$101)+G$174*EXP(G$102)+G$175*EXP(G$103))</f>
        <v>3.0196886021202161E-3</v>
      </c>
      <c r="H209" s="201">
        <f t="shared" si="6"/>
        <v>2.8188329102774448E-3</v>
      </c>
      <c r="I209" s="201">
        <f t="shared" si="6"/>
        <v>2.7368975486297218E-3</v>
      </c>
      <c r="J209" s="201">
        <f t="shared" si="6"/>
        <v>2.6915266861201946E-3</v>
      </c>
      <c r="K209" s="201">
        <f t="shared" si="6"/>
        <v>2.6626870362472465E-3</v>
      </c>
      <c r="L209" s="201">
        <f t="shared" si="6"/>
        <v>2.6427983048305818E-3</v>
      </c>
      <c r="M209" s="201">
        <f t="shared" si="6"/>
        <v>2.6281093362270566E-3</v>
      </c>
      <c r="N209" s="201">
        <f t="shared" si="6"/>
        <v>2.6168767929670152E-3</v>
      </c>
      <c r="O209" s="201">
        <f t="shared" si="6"/>
        <v>2.6079898377710984E-3</v>
      </c>
      <c r="P209" s="201">
        <f t="shared" si="6"/>
        <v>2.6008041698777941E-3</v>
      </c>
      <c r="Q209" s="201">
        <f t="shared" si="6"/>
        <v>2.5947972811097984E-3</v>
      </c>
      <c r="R209" s="201">
        <f t="shared" si="6"/>
        <v>2.5897394617320707E-3</v>
      </c>
      <c r="S209" s="201">
        <f t="shared" si="6"/>
        <v>2.5853923795573883E-3</v>
      </c>
      <c r="T209" s="201">
        <f t="shared" si="6"/>
        <v>2.5815926348478143E-3</v>
      </c>
      <c r="U209" s="201">
        <f t="shared" si="6"/>
        <v>2.5782204688075236E-3</v>
      </c>
      <c r="V209" s="201">
        <f t="shared" si="6"/>
        <v>2.57522789849039E-3</v>
      </c>
      <c r="W209" s="201">
        <f t="shared" si="6"/>
        <v>2.5725122123933957E-3</v>
      </c>
      <c r="X209" s="201">
        <f t="shared" si="6"/>
        <v>2.5700272977049981E-3</v>
      </c>
      <c r="Y209" s="201">
        <f t="shared" si="6"/>
        <v>2.5677309434745743E-3</v>
      </c>
      <c r="Z209" s="201">
        <f t="shared" si="6"/>
        <v>2.5656114047121928E-3</v>
      </c>
      <c r="AA209" s="201">
        <f t="shared" si="6"/>
        <v>2.5636528955278442E-3</v>
      </c>
      <c r="AB209" s="201">
        <f t="shared" si="6"/>
        <v>2.5617993788259082E-3</v>
      </c>
      <c r="AC209" s="201">
        <f t="shared" si="6"/>
        <v>2.5600554453098709E-3</v>
      </c>
      <c r="AD209" s="201">
        <f t="shared" si="6"/>
        <v>2.5584019031820917E-3</v>
      </c>
      <c r="AE209" s="201">
        <f t="shared" si="6"/>
        <v>2.5568178544496259E-3</v>
      </c>
      <c r="AF209" s="201">
        <f t="shared" si="6"/>
        <v>2.5552312797138595E-3</v>
      </c>
    </row>
    <row r="210" spans="1:32" s="221" customFormat="1" x14ac:dyDescent="0.25">
      <c r="A210" s="376"/>
      <c r="B210" s="388" t="s">
        <v>46</v>
      </c>
      <c r="C210"/>
      <c r="D210"/>
      <c r="E210"/>
      <c r="F210"/>
      <c r="G210" s="201">
        <f>G174*EXP(G102)/(G$171*EXP(G$99)+G$172*EXP(G$100)+G$173*EXP(G$101)+G$174*EXP(G$102)+G$175*EXP(G$103))</f>
        <v>0</v>
      </c>
      <c r="H210" s="201">
        <f t="shared" si="6"/>
        <v>0</v>
      </c>
      <c r="I210" s="201">
        <f t="shared" si="6"/>
        <v>0</v>
      </c>
      <c r="J210" s="201">
        <f t="shared" si="6"/>
        <v>0</v>
      </c>
      <c r="K210" s="201">
        <f t="shared" si="6"/>
        <v>0</v>
      </c>
      <c r="L210" s="201">
        <f t="shared" si="6"/>
        <v>0</v>
      </c>
      <c r="M210" s="201">
        <f t="shared" si="6"/>
        <v>0</v>
      </c>
      <c r="N210" s="201">
        <f t="shared" si="6"/>
        <v>0</v>
      </c>
      <c r="O210" s="201">
        <f t="shared" si="6"/>
        <v>0</v>
      </c>
      <c r="P210" s="201">
        <f t="shared" si="6"/>
        <v>0</v>
      </c>
      <c r="Q210" s="201">
        <f t="shared" si="6"/>
        <v>0</v>
      </c>
      <c r="R210" s="201">
        <f t="shared" si="6"/>
        <v>0</v>
      </c>
      <c r="S210" s="201">
        <f t="shared" si="6"/>
        <v>0</v>
      </c>
      <c r="T210" s="201">
        <f t="shared" si="6"/>
        <v>0</v>
      </c>
      <c r="U210" s="201">
        <f t="shared" si="6"/>
        <v>0</v>
      </c>
      <c r="V210" s="201">
        <f t="shared" si="6"/>
        <v>0</v>
      </c>
      <c r="W210" s="201">
        <f t="shared" si="6"/>
        <v>0</v>
      </c>
      <c r="X210" s="201">
        <f t="shared" si="6"/>
        <v>0</v>
      </c>
      <c r="Y210" s="201">
        <f t="shared" si="6"/>
        <v>0</v>
      </c>
      <c r="Z210" s="201">
        <f t="shared" si="6"/>
        <v>0</v>
      </c>
      <c r="AA210" s="201">
        <f t="shared" si="6"/>
        <v>0</v>
      </c>
      <c r="AB210" s="201">
        <f t="shared" si="6"/>
        <v>0</v>
      </c>
      <c r="AC210" s="201">
        <f t="shared" si="6"/>
        <v>0</v>
      </c>
      <c r="AD210" s="201">
        <f t="shared" si="6"/>
        <v>0</v>
      </c>
      <c r="AE210" s="201">
        <f t="shared" si="6"/>
        <v>0</v>
      </c>
      <c r="AF210" s="201">
        <f t="shared" si="6"/>
        <v>0</v>
      </c>
    </row>
    <row r="211" spans="1:32" s="221" customFormat="1" x14ac:dyDescent="0.25">
      <c r="A211" s="376"/>
      <c r="B211" s="376" t="s">
        <v>29</v>
      </c>
      <c r="C211"/>
      <c r="D211"/>
      <c r="E211"/>
      <c r="F211"/>
      <c r="G211" s="201">
        <f>G175*EXP(G103)/(G$171*EXP(G$99)+G$172*EXP(G$100)+G$173*EXP(G$101)+G$174*EXP(G$102)+G$175*EXP(G$103))</f>
        <v>0.4648067849206457</v>
      </c>
      <c r="H211" s="201">
        <f t="shared" si="6"/>
        <v>0.50020106782163165</v>
      </c>
      <c r="I211" s="201">
        <f t="shared" si="6"/>
        <v>0.51442754549624892</v>
      </c>
      <c r="J211" s="201">
        <f t="shared" si="6"/>
        <v>0.52225055828077105</v>
      </c>
      <c r="K211" s="201">
        <f t="shared" si="6"/>
        <v>0.5272047528021</v>
      </c>
      <c r="L211" s="201">
        <f t="shared" si="6"/>
        <v>0.5305509076623004</v>
      </c>
      <c r="M211" s="201">
        <f t="shared" si="6"/>
        <v>0.53302939931595827</v>
      </c>
      <c r="N211" s="201">
        <f t="shared" si="6"/>
        <v>0.53487548862582701</v>
      </c>
      <c r="O211" s="201">
        <f t="shared" si="6"/>
        <v>0.53629675073475969</v>
      </c>
      <c r="P211" s="201">
        <f t="shared" si="6"/>
        <v>0.53740021816505223</v>
      </c>
      <c r="Q211" s="201">
        <f t="shared" si="6"/>
        <v>0.53830484789338751</v>
      </c>
      <c r="R211" s="201">
        <f t="shared" si="6"/>
        <v>0.5390533274750301</v>
      </c>
      <c r="S211" s="201">
        <f t="shared" si="6"/>
        <v>0.53967340223894589</v>
      </c>
      <c r="T211" s="201">
        <f t="shared" si="6"/>
        <v>0.54019807715531398</v>
      </c>
      <c r="U211" s="201">
        <f t="shared" si="6"/>
        <v>0.54065096093911791</v>
      </c>
      <c r="V211" s="201">
        <f t="shared" si="6"/>
        <v>0.54103191148995999</v>
      </c>
      <c r="W211" s="201">
        <f t="shared" si="6"/>
        <v>0.54136872261414504</v>
      </c>
      <c r="X211" s="201">
        <f t="shared" si="6"/>
        <v>0.54166842683738781</v>
      </c>
      <c r="Y211" s="201">
        <f t="shared" si="6"/>
        <v>0.54193890437453596</v>
      </c>
      <c r="Z211" s="201">
        <f t="shared" si="6"/>
        <v>0.54217767656928451</v>
      </c>
      <c r="AA211" s="201">
        <f t="shared" si="6"/>
        <v>0.54238552854203903</v>
      </c>
      <c r="AB211" s="201">
        <f t="shared" si="6"/>
        <v>0.54257980754629764</v>
      </c>
      <c r="AC211" s="201">
        <f t="shared" si="6"/>
        <v>0.54275494095710997</v>
      </c>
      <c r="AD211" s="201">
        <f t="shared" si="6"/>
        <v>0.54291523858788016</v>
      </c>
      <c r="AE211" s="201">
        <f t="shared" si="6"/>
        <v>0.54306598791463256</v>
      </c>
      <c r="AF211" s="201">
        <f t="shared" si="6"/>
        <v>0.54323128780651453</v>
      </c>
    </row>
    <row r="212" spans="1:32" s="221" customFormat="1" x14ac:dyDescent="0.25">
      <c r="A212" s="376"/>
      <c r="B212" s="376"/>
      <c r="C212"/>
      <c r="D212"/>
      <c r="E212"/>
      <c r="F212"/>
      <c r="G212"/>
      <c r="H212"/>
      <c r="I212"/>
      <c r="J212"/>
      <c r="K212"/>
      <c r="L212"/>
      <c r="M212"/>
      <c r="N212"/>
      <c r="O212"/>
      <c r="P212"/>
      <c r="Q212"/>
      <c r="R212"/>
      <c r="S212"/>
      <c r="T212"/>
      <c r="U212"/>
      <c r="V212"/>
      <c r="W212"/>
      <c r="X212"/>
      <c r="Y212"/>
      <c r="Z212"/>
      <c r="AA212"/>
      <c r="AB212"/>
      <c r="AC212"/>
      <c r="AD212"/>
      <c r="AE212"/>
      <c r="AF212"/>
    </row>
    <row r="213" spans="1:32" s="202" customFormat="1" ht="12.75" x14ac:dyDescent="0.2">
      <c r="A213" s="402" t="s">
        <v>47</v>
      </c>
      <c r="B213" s="402"/>
      <c r="C213" s="402"/>
      <c r="D213" s="402"/>
      <c r="E213" s="402"/>
      <c r="F213" s="402"/>
      <c r="G213" s="402"/>
      <c r="H213" s="402"/>
      <c r="I213" s="402"/>
      <c r="J213" s="402"/>
      <c r="K213" s="402"/>
      <c r="L213" s="402"/>
      <c r="M213" s="402"/>
      <c r="N213" s="402"/>
      <c r="O213" s="402"/>
      <c r="P213" s="402"/>
      <c r="Q213" s="402"/>
      <c r="R213" s="402"/>
      <c r="S213" s="402"/>
      <c r="T213" s="402"/>
      <c r="U213" s="402"/>
      <c r="V213" s="402"/>
      <c r="W213" s="402"/>
      <c r="X213" s="402"/>
      <c r="Y213" s="402"/>
      <c r="Z213" s="402"/>
      <c r="AA213" s="402"/>
      <c r="AB213" s="402"/>
      <c r="AC213" s="402"/>
      <c r="AD213" s="402"/>
      <c r="AE213" s="402"/>
      <c r="AF213" s="402"/>
    </row>
    <row r="214" spans="1:32" s="221" customFormat="1" x14ac:dyDescent="0.25">
      <c r="A214" s="376"/>
      <c r="B214" s="376" t="s">
        <v>48</v>
      </c>
      <c r="C214"/>
      <c r="D214"/>
      <c r="E214"/>
      <c r="F214"/>
      <c r="G214" s="374">
        <f>(1-G$218)*IF(G$3=Tech_Specs!$B$3,Tech_Specs!$AN34/SUM(Tech_Specs!$AN$34:$AN$37,Tech_Specs!$AN$39),F214/SUM(F$214:F$217,F$219))</f>
        <v>0.6206046677816156</v>
      </c>
      <c r="H214" s="374">
        <f>(1-H$218)*IF(H$3=Tech_Specs!$B$3,Tech_Specs!$AN34/SUM(Tech_Specs!$AN$34:$AN$37,Tech_Specs!$AN$39),G214/SUM(G$214:G$217,G$219))</f>
        <v>0.55021427504908382</v>
      </c>
      <c r="I214" s="374">
        <f>(1-I$218)*IF(I$3=Tech_Specs!$B$3,Tech_Specs!$AN34/SUM(Tech_Specs!$AN$34:$AN$37,Tech_Specs!$AN$39),H214/SUM(H$214:H$217,H$219))</f>
        <v>0.49450031964342533</v>
      </c>
      <c r="J214" s="374">
        <f>(1-J$218)*IF(J$3=Tech_Specs!$B$3,Tech_Specs!$AN34/SUM(Tech_Specs!$AN$34:$AN$37,Tech_Specs!$AN$39),I214/SUM(I$214:I$217,I$219))</f>
        <v>0.45340378642218071</v>
      </c>
      <c r="K214" s="374">
        <f>(1-K$218)*IF(K$3=Tech_Specs!$B$3,Tech_Specs!$AN34/SUM(Tech_Specs!$AN$34:$AN$37,Tech_Specs!$AN$39),J214/SUM(J$214:J$217,J$219))</f>
        <v>0.42271111346084328</v>
      </c>
      <c r="L214" s="374">
        <f>(1-L$218)*IF(L$3=Tech_Specs!$B$3,Tech_Specs!$AN34/SUM(Tech_Specs!$AN$34:$AN$37,Tech_Specs!$AN$39),K214/SUM(K$214:K$217,K$219))</f>
        <v>0.40067140439065163</v>
      </c>
      <c r="M214" s="374">
        <f>(1-M$218)*IF(M$3=Tech_Specs!$B$3,Tech_Specs!$AN34/SUM(Tech_Specs!$AN$34:$AN$37,Tech_Specs!$AN$39),L214/SUM(L$214:L$217,L$219))</f>
        <v>0.3824397039855425</v>
      </c>
      <c r="N214" s="374">
        <f>(1-N$218)*IF(N$3=Tech_Specs!$B$3,Tech_Specs!$AN34/SUM(Tech_Specs!$AN$34:$AN$37,Tech_Specs!$AN$39),M214/SUM(M$214:M$217,M$219))</f>
        <v>0.3687166703986266</v>
      </c>
      <c r="O214" s="374">
        <f>(1-O$218)*IF(O$3=Tech_Specs!$B$3,Tech_Specs!$AN34/SUM(Tech_Specs!$AN$34:$AN$37,Tech_Specs!$AN$39),N214/SUM(N$214:N$217,N$219))</f>
        <v>0.3581166757198932</v>
      </c>
      <c r="P214" s="374">
        <f>(1-P$218)*IF(P$3=Tech_Specs!$B$3,Tech_Specs!$AN34/SUM(Tech_Specs!$AN$34:$AN$37,Tech_Specs!$AN$39),O214/SUM(O$214:O$217,O$219))</f>
        <v>0.35026622352437292</v>
      </c>
      <c r="Q214" s="374">
        <f>(1-Q$218)*IF(Q$3=Tech_Specs!$B$3,Tech_Specs!$AN34/SUM(Tech_Specs!$AN$34:$AN$37,Tech_Specs!$AN$39),P214/SUM(P$214:P$217,P$219))</f>
        <v>0.34344435788106475</v>
      </c>
      <c r="R214" s="374">
        <f>(1-R$218)*IF(R$3=Tech_Specs!$B$3,Tech_Specs!$AN34/SUM(Tech_Specs!$AN$34:$AN$37,Tech_Specs!$AN$39),Q214/SUM(Q$214:Q$217,Q$219))</f>
        <v>0.3377016967419228</v>
      </c>
      <c r="S214" s="374">
        <f>(1-S$218)*IF(S$3=Tech_Specs!$B$3,Tech_Specs!$AN34/SUM(Tech_Specs!$AN$34:$AN$37,Tech_Specs!$AN$39),R214/SUM(R$214:R$217,R$219))</f>
        <v>0.33285073767737811</v>
      </c>
      <c r="T214" s="374">
        <f>(1-T$218)*IF(T$3=Tech_Specs!$B$3,Tech_Specs!$AN34/SUM(Tech_Specs!$AN$34:$AN$37,Tech_Specs!$AN$39),S214/SUM(S$214:S$217,S$219))</f>
        <v>0.32851129926924411</v>
      </c>
      <c r="U214" s="374">
        <f>(1-U$218)*IF(U$3=Tech_Specs!$B$3,Tech_Specs!$AN34/SUM(Tech_Specs!$AN$34:$AN$37,Tech_Specs!$AN$39),T214/SUM(T$214:T$217,T$219))</f>
        <v>0.32442390549260369</v>
      </c>
      <c r="V214" s="374">
        <f>(1-V$218)*IF(V$3=Tech_Specs!$B$3,Tech_Specs!$AN34/SUM(Tech_Specs!$AN$34:$AN$37,Tech_Specs!$AN$39),U214/SUM(U$214:U$217,U$219))</f>
        <v>0.32093268930359048</v>
      </c>
      <c r="W214" s="374">
        <f>(1-W$218)*IF(W$3=Tech_Specs!$B$3,Tech_Specs!$AN34/SUM(Tech_Specs!$AN$34:$AN$37,Tech_Specs!$AN$39),V214/SUM(V$214:V$217,V$219))</f>
        <v>0.31746705633637062</v>
      </c>
      <c r="X214" s="374">
        <f>(1-X$218)*IF(X$3=Tech_Specs!$B$3,Tech_Specs!$AN34/SUM(Tech_Specs!$AN$34:$AN$37,Tech_Specs!$AN$39),W214/SUM(W$214:W$217,W$219))</f>
        <v>0.31402310535826566</v>
      </c>
      <c r="Y214" s="374">
        <f>(1-Y$218)*IF(Y$3=Tech_Specs!$B$3,Tech_Specs!$AN34/SUM(Tech_Specs!$AN$34:$AN$37,Tech_Specs!$AN$39),X214/SUM(X$214:X$217,X$219))</f>
        <v>0.31053072832884748</v>
      </c>
      <c r="Z214" s="374">
        <f>(1-Z$218)*IF(Z$3=Tech_Specs!$B$3,Tech_Specs!$AN34/SUM(Tech_Specs!$AN$34:$AN$37,Tech_Specs!$AN$39),Y214/SUM(Y$214:Y$217,Y$219))</f>
        <v>0.30719831079010046</v>
      </c>
      <c r="AA214" s="374">
        <f>(1-AA$218)*IF(AA$3=Tech_Specs!$B$3,Tech_Specs!$AN34/SUM(Tech_Specs!$AN$34:$AN$37,Tech_Specs!$AN$39),Z214/SUM(Z$214:Z$217,Z$219))</f>
        <v>0.30411079239729966</v>
      </c>
      <c r="AB214" s="374">
        <f>(1-AB$218)*IF(AB$3=Tech_Specs!$B$3,Tech_Specs!$AN34/SUM(Tech_Specs!$AN$34:$AN$37,Tech_Specs!$AN$39),AA214/SUM(AA$214:AA$217,AA$219))</f>
        <v>0.30084177982301946</v>
      </c>
      <c r="AC214" s="374">
        <f>(1-AC$218)*IF(AC$3=Tech_Specs!$B$3,Tech_Specs!$AN34/SUM(Tech_Specs!$AN$34:$AN$37,Tech_Specs!$AN$39),AB214/SUM(AB$214:AB$217,AB$219))</f>
        <v>0.29763276016639612</v>
      </c>
      <c r="AD214" s="374">
        <f>(1-AD$218)*IF(AD$3=Tech_Specs!$B$3,Tech_Specs!$AN34/SUM(Tech_Specs!$AN$34:$AN$37,Tech_Specs!$AN$39),AC214/SUM(AC$214:AC$217,AC$219))</f>
        <v>0.29441911433697487</v>
      </c>
      <c r="AE214" s="374">
        <f>(1-AE$218)*IF(AE$3=Tech_Specs!$B$3,Tech_Specs!$AN34/SUM(Tech_Specs!$AN$34:$AN$37,Tech_Specs!$AN$39),AD214/SUM(AD$214:AD$217,AD$219))</f>
        <v>0.29109896047608774</v>
      </c>
      <c r="AF214" s="374">
        <f>(1-AF$218)*IF(AF$3=Tech_Specs!$B$3,Tech_Specs!$AN34/SUM(Tech_Specs!$AN$34:$AN$37,Tech_Specs!$AN$39),AE214/SUM(AE$214:AE$217,AE$219))</f>
        <v>0.28701665621441907</v>
      </c>
    </row>
    <row r="215" spans="1:32" s="221" customFormat="1" x14ac:dyDescent="0.25">
      <c r="A215" s="376"/>
      <c r="B215" s="388" t="s">
        <v>50</v>
      </c>
      <c r="C215"/>
      <c r="D215"/>
      <c r="E215"/>
      <c r="F215"/>
      <c r="G215" s="374">
        <f>(1-G$218)*IF(G$3=Tech_Specs!$B$3,Tech_Specs!$AN35/SUM(Tech_Specs!$AN$34:$AN$37,Tech_Specs!$AN$39),F215/SUM(F$214:F$217,F$219))</f>
        <v>0.1047541174806229</v>
      </c>
      <c r="H215" s="374">
        <f>(1-H$218)*IF(H$3=Tech_Specs!$B$3,Tech_Specs!$AN35/SUM(Tech_Specs!$AN$34:$AN$37,Tech_Specs!$AN$39),G215/SUM(G$214:G$217,G$219))</f>
        <v>9.2872667255363639E-2</v>
      </c>
      <c r="I215" s="374">
        <f>(1-I$218)*IF(I$3=Tech_Specs!$B$3,Tech_Specs!$AN35/SUM(Tech_Specs!$AN$34:$AN$37,Tech_Specs!$AN$39),H215/SUM(H$214:H$217,H$219))</f>
        <v>8.3468506228446815E-2</v>
      </c>
      <c r="J215" s="374">
        <f>(1-J$218)*IF(J$3=Tech_Specs!$B$3,Tech_Specs!$AN35/SUM(Tech_Specs!$AN$34:$AN$37,Tech_Specs!$AN$39),I215/SUM(I$214:I$217,I$219))</f>
        <v>7.6531673019484422E-2</v>
      </c>
      <c r="K215" s="374">
        <f>(1-K$218)*IF(K$3=Tech_Specs!$B$3,Tech_Specs!$AN35/SUM(Tech_Specs!$AN$34:$AN$37,Tech_Specs!$AN$39),J215/SUM(J$214:J$217,J$219))</f>
        <v>7.1350945196925294E-2</v>
      </c>
      <c r="L215" s="374">
        <f>(1-L$218)*IF(L$3=Tech_Specs!$B$3,Tech_Specs!$AN35/SUM(Tech_Specs!$AN$34:$AN$37,Tech_Specs!$AN$39),K215/SUM(K$214:K$217,K$219))</f>
        <v>6.7630782599002279E-2</v>
      </c>
      <c r="M215" s="374">
        <f>(1-M$218)*IF(M$3=Tech_Specs!$B$3,Tech_Specs!$AN35/SUM(Tech_Specs!$AN$34:$AN$37,Tech_Specs!$AN$39),L215/SUM(L$214:L$217,L$219))</f>
        <v>6.4553387623977096E-2</v>
      </c>
      <c r="N215" s="374">
        <f>(1-N$218)*IF(N$3=Tech_Specs!$B$3,Tech_Specs!$AN35/SUM(Tech_Specs!$AN$34:$AN$37,Tech_Specs!$AN$39),M215/SUM(M$214:M$217,M$219))</f>
        <v>6.2237026908075782E-2</v>
      </c>
      <c r="O215" s="374">
        <f>(1-O$218)*IF(O$3=Tech_Specs!$B$3,Tech_Specs!$AN35/SUM(Tech_Specs!$AN$34:$AN$37,Tech_Specs!$AN$39),N215/SUM(N$214:N$217,N$219))</f>
        <v>6.0447815280262572E-2</v>
      </c>
      <c r="P215" s="374">
        <f>(1-P$218)*IF(P$3=Tech_Specs!$B$3,Tech_Specs!$AN35/SUM(Tech_Specs!$AN$34:$AN$37,Tech_Specs!$AN$39),O215/SUM(O$214:O$217,O$219))</f>
        <v>5.9122708921483261E-2</v>
      </c>
      <c r="Q215" s="374">
        <f>(1-Q$218)*IF(Q$3=Tech_Specs!$B$3,Tech_Specs!$AN35/SUM(Tech_Specs!$AN$34:$AN$37,Tech_Specs!$AN$39),P215/SUM(P$214:P$217,P$219))</f>
        <v>5.7971221425279648E-2</v>
      </c>
      <c r="R215" s="374">
        <f>(1-R$218)*IF(R$3=Tech_Specs!$B$3,Tech_Specs!$AN35/SUM(Tech_Specs!$AN$34:$AN$37,Tech_Specs!$AN$39),Q215/SUM(Q$214:Q$217,Q$219))</f>
        <v>5.7001896779734489E-2</v>
      </c>
      <c r="S215" s="374">
        <f>(1-S$218)*IF(S$3=Tech_Specs!$B$3,Tech_Specs!$AN35/SUM(Tech_Specs!$AN$34:$AN$37,Tech_Specs!$AN$39),R215/SUM(R$214:R$217,R$219))</f>
        <v>5.6183085768277796E-2</v>
      </c>
      <c r="T215" s="374">
        <f>(1-T$218)*IF(T$3=Tech_Specs!$B$3,Tech_Specs!$AN35/SUM(Tech_Specs!$AN$34:$AN$37,Tech_Specs!$AN$39),S215/SUM(S$214:S$217,S$219))</f>
        <v>5.5450616187553418E-2</v>
      </c>
      <c r="U215" s="374">
        <f>(1-U$218)*IF(U$3=Tech_Specs!$B$3,Tech_Specs!$AN35/SUM(Tech_Specs!$AN$34:$AN$37,Tech_Specs!$AN$39),T215/SUM(T$214:T$217,T$219))</f>
        <v>5.4760690136242393E-2</v>
      </c>
      <c r="V215" s="374">
        <f>(1-V$218)*IF(V$3=Tech_Specs!$B$3,Tech_Specs!$AN35/SUM(Tech_Specs!$AN$34:$AN$37,Tech_Specs!$AN$39),U215/SUM(U$214:U$217,U$219))</f>
        <v>5.4171395066771801E-2</v>
      </c>
      <c r="W215" s="374">
        <f>(1-W$218)*IF(W$3=Tech_Specs!$B$3,Tech_Specs!$AN35/SUM(Tech_Specs!$AN$34:$AN$37,Tech_Specs!$AN$39),V215/SUM(V$214:V$217,V$219))</f>
        <v>5.3586418282290667E-2</v>
      </c>
      <c r="X215" s="374">
        <f>(1-X$218)*IF(X$3=Tech_Specs!$B$3,Tech_Specs!$AN35/SUM(Tech_Specs!$AN$34:$AN$37,Tech_Specs!$AN$39),W215/SUM(W$214:W$217,W$219))</f>
        <v>5.3005101279556065E-2</v>
      </c>
      <c r="Y215" s="374">
        <f>(1-Y$218)*IF(Y$3=Tech_Specs!$B$3,Tech_Specs!$AN35/SUM(Tech_Specs!$AN$34:$AN$37,Tech_Specs!$AN$39),X215/SUM(X$214:X$217,X$219))</f>
        <v>5.2415610267614404E-2</v>
      </c>
      <c r="Z215" s="374">
        <f>(1-Z$218)*IF(Z$3=Tech_Specs!$B$3,Tech_Specs!$AN35/SUM(Tech_Specs!$AN$34:$AN$37,Tech_Specs!$AN$39),Y215/SUM(Y$214:Y$217,Y$219))</f>
        <v>5.185311939948057E-2</v>
      </c>
      <c r="AA215" s="374">
        <f>(1-AA$218)*IF(AA$3=Tech_Specs!$B$3,Tech_Specs!$AN35/SUM(Tech_Specs!$AN$34:$AN$37,Tech_Specs!$AN$39),Z215/SUM(Z$214:Z$217,Z$219))</f>
        <v>5.1331965948284076E-2</v>
      </c>
      <c r="AB215" s="374">
        <f>(1-AB$218)*IF(AB$3=Tech_Specs!$B$3,Tech_Specs!$AN35/SUM(Tech_Specs!$AN$34:$AN$37,Tech_Specs!$AN$39),AA215/SUM(AA$214:AA$217,AA$219))</f>
        <v>5.0780177434549788E-2</v>
      </c>
      <c r="AC215" s="374">
        <f>(1-AC$218)*IF(AC$3=Tech_Specs!$B$3,Tech_Specs!$AN35/SUM(Tech_Specs!$AN$34:$AN$37,Tech_Specs!$AN$39),AB215/SUM(AB$214:AB$217,AB$219))</f>
        <v>5.0238515343432807E-2</v>
      </c>
      <c r="AD215" s="374">
        <f>(1-AD$218)*IF(AD$3=Tech_Specs!$B$3,Tech_Specs!$AN35/SUM(Tech_Specs!$AN$34:$AN$37,Tech_Specs!$AN$39),AC215/SUM(AC$214:AC$217,AC$219))</f>
        <v>4.9696072383795309E-2</v>
      </c>
      <c r="AE215" s="374">
        <f>(1-AE$218)*IF(AE$3=Tech_Specs!$B$3,Tech_Specs!$AN35/SUM(Tech_Specs!$AN$34:$AN$37,Tech_Specs!$AN$39),AD215/SUM(AD$214:AD$217,AD$219))</f>
        <v>4.9135651546420141E-2</v>
      </c>
      <c r="AF215" s="374">
        <f>(1-AF$218)*IF(AF$3=Tech_Specs!$B$3,Tech_Specs!$AN35/SUM(Tech_Specs!$AN$34:$AN$37,Tech_Specs!$AN$39),AE215/SUM(AE$214:AE$217,AE$219))</f>
        <v>4.8446584572839194E-2</v>
      </c>
    </row>
    <row r="216" spans="1:32" s="221" customFormat="1" x14ac:dyDescent="0.25">
      <c r="A216" s="376"/>
      <c r="B216" s="376" t="s">
        <v>51</v>
      </c>
      <c r="C216"/>
      <c r="D216"/>
      <c r="E216"/>
      <c r="F216"/>
      <c r="G216" s="374">
        <f>(1-G$218)*IF(G$3=Tech_Specs!$B$3,Tech_Specs!$AN36/SUM(Tech_Specs!$AN$34:$AN$37,Tech_Specs!$AN$39),F216/SUM(F$214:F$217,F$219))</f>
        <v>0.10831089122666826</v>
      </c>
      <c r="H216" s="374">
        <f>(1-H$218)*IF(H$3=Tech_Specs!$B$3,Tech_Specs!$AN36/SUM(Tech_Specs!$AN$34:$AN$37,Tech_Specs!$AN$39),G216/SUM(G$214:G$217,G$219))</f>
        <v>9.6026023634698199E-2</v>
      </c>
      <c r="I216" s="374">
        <f>(1-I$218)*IF(I$3=Tech_Specs!$B$3,Tech_Specs!$AN36/SUM(Tech_Specs!$AN$34:$AN$37,Tech_Specs!$AN$39),H216/SUM(H$214:H$217,H$219))</f>
        <v>8.6302557993809439E-2</v>
      </c>
      <c r="J216" s="374">
        <f>(1-J$218)*IF(J$3=Tech_Specs!$B$3,Tech_Specs!$AN36/SUM(Tech_Specs!$AN$34:$AN$37,Tech_Specs!$AN$39),I216/SUM(I$214:I$217,I$219))</f>
        <v>7.9130194699426809E-2</v>
      </c>
      <c r="K216" s="374">
        <f>(1-K$218)*IF(K$3=Tech_Specs!$B$3,Tech_Specs!$AN36/SUM(Tech_Specs!$AN$34:$AN$37,Tech_Specs!$AN$39),J216/SUM(J$214:J$217,J$219))</f>
        <v>7.3773562796456776E-2</v>
      </c>
      <c r="L216" s="374">
        <f>(1-L$218)*IF(L$3=Tech_Specs!$B$3,Tech_Specs!$AN36/SUM(Tech_Specs!$AN$34:$AN$37,Tech_Specs!$AN$39),K216/SUM(K$214:K$217,K$219))</f>
        <v>6.9927087486656256E-2</v>
      </c>
      <c r="M216" s="374">
        <f>(1-M$218)*IF(M$3=Tech_Specs!$B$3,Tech_Specs!$AN36/SUM(Tech_Specs!$AN$34:$AN$37,Tech_Specs!$AN$39),L216/SUM(L$214:L$217,L$219))</f>
        <v>6.6745204039801734E-2</v>
      </c>
      <c r="N216" s="374">
        <f>(1-N$218)*IF(N$3=Tech_Specs!$B$3,Tech_Specs!$AN36/SUM(Tech_Specs!$AN$34:$AN$37,Tech_Specs!$AN$39),M216/SUM(M$214:M$217,M$219))</f>
        <v>6.4350194663792021E-2</v>
      </c>
      <c r="O216" s="374">
        <f>(1-O$218)*IF(O$3=Tech_Specs!$B$3,Tech_Specs!$AN36/SUM(Tech_Specs!$AN$34:$AN$37,Tech_Specs!$AN$39),N216/SUM(N$214:N$217,N$219))</f>
        <v>6.2500232956679044E-2</v>
      </c>
      <c r="P216" s="374">
        <f>(1-P$218)*IF(P$3=Tech_Specs!$B$3,Tech_Specs!$AN36/SUM(Tech_Specs!$AN$34:$AN$37,Tech_Specs!$AN$39),O216/SUM(O$214:O$217,O$219))</f>
        <v>6.1130134538198634E-2</v>
      </c>
      <c r="Q216" s="374">
        <f>(1-Q$218)*IF(Q$3=Tech_Specs!$B$3,Tech_Specs!$AN36/SUM(Tech_Specs!$AN$34:$AN$37,Tech_Specs!$AN$39),P216/SUM(P$214:P$217,P$219))</f>
        <v>5.9939549958329987E-2</v>
      </c>
      <c r="R216" s="374">
        <f>(1-R$218)*IF(R$3=Tech_Specs!$B$3,Tech_Specs!$AN36/SUM(Tech_Specs!$AN$34:$AN$37,Tech_Specs!$AN$39),Q216/SUM(Q$214:Q$217,Q$219))</f>
        <v>5.8937313303848209E-2</v>
      </c>
      <c r="S216" s="374">
        <f>(1-S$218)*IF(S$3=Tech_Specs!$B$3,Tech_Specs!$AN36/SUM(Tech_Specs!$AN$34:$AN$37,Tech_Specs!$AN$39),R216/SUM(R$214:R$217,R$219))</f>
        <v>5.80907007550528E-2</v>
      </c>
      <c r="T216" s="374">
        <f>(1-T$218)*IF(T$3=Tech_Specs!$B$3,Tech_Specs!$AN36/SUM(Tech_Specs!$AN$34:$AN$37,Tech_Specs!$AN$39),S216/SUM(S$214:S$217,S$219))</f>
        <v>5.7333361234729346E-2</v>
      </c>
      <c r="U216" s="374">
        <f>(1-U$218)*IF(U$3=Tech_Specs!$B$3,Tech_Specs!$AN36/SUM(Tech_Specs!$AN$34:$AN$37,Tech_Specs!$AN$39),T216/SUM(T$214:T$217,T$219))</f>
        <v>5.6620009747501976E-2</v>
      </c>
      <c r="V216" s="374">
        <f>(1-V$218)*IF(V$3=Tech_Specs!$B$3,Tech_Specs!$AN36/SUM(Tech_Specs!$AN$34:$AN$37,Tech_Specs!$AN$39),U216/SUM(U$214:U$217,U$219))</f>
        <v>5.6010706020785478E-2</v>
      </c>
      <c r="W216" s="374">
        <f>(1-W$218)*IF(W$3=Tech_Specs!$B$3,Tech_Specs!$AN36/SUM(Tech_Specs!$AN$34:$AN$37,Tech_Specs!$AN$39),V216/SUM(V$214:V$217,V$219))</f>
        <v>5.5405867200146453E-2</v>
      </c>
      <c r="X216" s="374">
        <f>(1-X$218)*IF(X$3=Tech_Specs!$B$3,Tech_Specs!$AN36/SUM(Tech_Specs!$AN$34:$AN$37,Tech_Specs!$AN$39),W216/SUM(W$214:W$217,W$219))</f>
        <v>5.4804812423821819E-2</v>
      </c>
      <c r="Y216" s="374">
        <f>(1-Y$218)*IF(Y$3=Tech_Specs!$B$3,Tech_Specs!$AN36/SUM(Tech_Specs!$AN$34:$AN$37,Tech_Specs!$AN$39),X216/SUM(X$214:X$217,X$219))</f>
        <v>5.4195306101692556E-2</v>
      </c>
      <c r="Z216" s="374">
        <f>(1-Z$218)*IF(Z$3=Tech_Specs!$B$3,Tech_Specs!$AN36/SUM(Tech_Specs!$AN$34:$AN$37,Tech_Specs!$AN$39),Y216/SUM(Y$214:Y$217,Y$219))</f>
        <v>5.3613716673995761E-2</v>
      </c>
      <c r="AA216" s="374">
        <f>(1-AA$218)*IF(AA$3=Tech_Specs!$B$3,Tech_Specs!$AN36/SUM(Tech_Specs!$AN$34:$AN$37,Tech_Specs!$AN$39),Z216/SUM(Z$214:Z$217,Z$219))</f>
        <v>5.3074868215123611E-2</v>
      </c>
      <c r="AB216" s="374">
        <f>(1-AB$218)*IF(AB$3=Tech_Specs!$B$3,Tech_Specs!$AN36/SUM(Tech_Specs!$AN$34:$AN$37,Tech_Specs!$AN$39),AA216/SUM(AA$214:AA$217,AA$219))</f>
        <v>5.2504344524708722E-2</v>
      </c>
      <c r="AC216" s="374">
        <f>(1-AC$218)*IF(AC$3=Tech_Specs!$B$3,Tech_Specs!$AN36/SUM(Tech_Specs!$AN$34:$AN$37,Tech_Specs!$AN$39),AB216/SUM(AB$214:AB$217,AB$219))</f>
        <v>5.1944291084867249E-2</v>
      </c>
      <c r="AD216" s="374">
        <f>(1-AD$218)*IF(AD$3=Tech_Specs!$B$3,Tech_Specs!$AN36/SUM(Tech_Specs!$AN$34:$AN$37,Tech_Specs!$AN$39),AC216/SUM(AC$214:AC$217,AC$219))</f>
        <v>5.138343026325002E-2</v>
      </c>
      <c r="AE216" s="374">
        <f>(1-AE$218)*IF(AE$3=Tech_Specs!$B$3,Tech_Specs!$AN36/SUM(Tech_Specs!$AN$34:$AN$37,Tech_Specs!$AN$39),AD216/SUM(AD$214:AD$217,AD$219))</f>
        <v>5.0803981151196463E-2</v>
      </c>
      <c r="AF216" s="374">
        <f>(1-AF$218)*IF(AF$3=Tech_Specs!$B$3,Tech_Specs!$AN36/SUM(Tech_Specs!$AN$34:$AN$37,Tech_Specs!$AN$39),AE216/SUM(AE$214:AE$217,AE$219))</f>
        <v>5.0091517910434397E-2</v>
      </c>
    </row>
    <row r="217" spans="1:32" s="221" customFormat="1" x14ac:dyDescent="0.25">
      <c r="A217" s="376"/>
      <c r="B217" s="376" t="s">
        <v>52</v>
      </c>
      <c r="C217"/>
      <c r="D217"/>
      <c r="E217"/>
      <c r="F217"/>
      <c r="G217" s="374">
        <f>(1-G$218)*IF(G$3=Tech_Specs!$B$3,Tech_Specs!$AN37/SUM(Tech_Specs!$AN$34:$AN$37,Tech_Specs!$AN$39),F217/SUM(F$214:F$217,F$219))</f>
        <v>0.12421295536310664</v>
      </c>
      <c r="H217" s="374">
        <f>(1-H$218)*IF(H$3=Tech_Specs!$B$3,Tech_Specs!$AN37/SUM(Tech_Specs!$AN$34:$AN$37,Tech_Specs!$AN$39),G217/SUM(G$214:G$217,G$219))</f>
        <v>0.11012443949400873</v>
      </c>
      <c r="I217" s="374">
        <f>(1-I$218)*IF(I$3=Tech_Specs!$B$3,Tech_Specs!$AN37/SUM(Tech_Specs!$AN$34:$AN$37,Tech_Specs!$AN$39),H217/SUM(H$214:H$217,H$219))</f>
        <v>9.8973387278042502E-2</v>
      </c>
      <c r="J217" s="374">
        <f>(1-J$218)*IF(J$3=Tech_Specs!$B$3,Tech_Specs!$AN37/SUM(Tech_Specs!$AN$34:$AN$37,Tech_Specs!$AN$39),I217/SUM(I$214:I$217,I$219))</f>
        <v>9.0747986936088931E-2</v>
      </c>
      <c r="K217" s="374">
        <f>(1-K$218)*IF(K$3=Tech_Specs!$B$3,Tech_Specs!$AN37/SUM(Tech_Specs!$AN$34:$AN$37,Tech_Specs!$AN$39),J217/SUM(J$214:J$217,J$219))</f>
        <v>8.4604901306151989E-2</v>
      </c>
      <c r="L217" s="374">
        <f>(1-L$218)*IF(L$3=Tech_Specs!$B$3,Tech_Specs!$AN37/SUM(Tech_Specs!$AN$34:$AN$37,Tech_Specs!$AN$39),K217/SUM(K$214:K$217,K$219))</f>
        <v>8.0193691495666131E-2</v>
      </c>
      <c r="M217" s="374">
        <f>(1-M$218)*IF(M$3=Tech_Specs!$B$3,Tech_Specs!$AN37/SUM(Tech_Specs!$AN$34:$AN$37,Tech_Specs!$AN$39),L217/SUM(L$214:L$217,L$219))</f>
        <v>7.6544648060803924E-2</v>
      </c>
      <c r="N217" s="374">
        <f>(1-N$218)*IF(N$3=Tech_Specs!$B$3,Tech_Specs!$AN37/SUM(Tech_Specs!$AN$34:$AN$37,Tech_Specs!$AN$39),M217/SUM(M$214:M$217,M$219))</f>
        <v>7.379800652413758E-2</v>
      </c>
      <c r="O217" s="374">
        <f>(1-O$218)*IF(O$3=Tech_Specs!$B$3,Tech_Specs!$AN37/SUM(Tech_Specs!$AN$34:$AN$37,Tech_Specs!$AN$39),N217/SUM(N$214:N$217,N$219))</f>
        <v>7.1676435846003389E-2</v>
      </c>
      <c r="P217" s="374">
        <f>(1-P$218)*IF(P$3=Tech_Specs!$B$3,Tech_Specs!$AN37/SUM(Tech_Specs!$AN$34:$AN$37,Tech_Specs!$AN$39),O217/SUM(O$214:O$217,O$219))</f>
        <v>7.0105181360232277E-2</v>
      </c>
      <c r="Q217" s="374">
        <f>(1-Q$218)*IF(Q$3=Tech_Specs!$B$3,Tech_Specs!$AN37/SUM(Tech_Specs!$AN$34:$AN$37,Tech_Specs!$AN$39),P217/SUM(P$214:P$217,P$219))</f>
        <v>6.8739796701308753E-2</v>
      </c>
      <c r="R217" s="374">
        <f>(1-R$218)*IF(R$3=Tech_Specs!$B$3,Tech_Specs!$AN37/SUM(Tech_Specs!$AN$34:$AN$37,Tech_Specs!$AN$39),Q217/SUM(Q$214:Q$217,Q$219))</f>
        <v>6.759041296513503E-2</v>
      </c>
      <c r="S217" s="374">
        <f>(1-S$218)*IF(S$3=Tech_Specs!$B$3,Tech_Specs!$AN37/SUM(Tech_Specs!$AN$34:$AN$37,Tech_Specs!$AN$39),R217/SUM(R$214:R$217,R$219))</f>
        <v>6.6619501863376146E-2</v>
      </c>
      <c r="T217" s="374">
        <f>(1-T$218)*IF(T$3=Tech_Specs!$B$3,Tech_Specs!$AN37/SUM(Tech_Specs!$AN$34:$AN$37,Tech_Specs!$AN$39),S217/SUM(S$214:S$217,S$219))</f>
        <v>6.5750970739984455E-2</v>
      </c>
      <c r="U217" s="374">
        <f>(1-U$218)*IF(U$3=Tech_Specs!$B$3,Tech_Specs!$AN37/SUM(Tech_Specs!$AN$34:$AN$37,Tech_Specs!$AN$39),T217/SUM(T$214:T$217,T$219))</f>
        <v>6.4932885915479174E-2</v>
      </c>
      <c r="V217" s="374">
        <f>(1-V$218)*IF(V$3=Tech_Specs!$B$3,Tech_Specs!$AN37/SUM(Tech_Specs!$AN$34:$AN$37,Tech_Specs!$AN$39),U217/SUM(U$214:U$217,U$219))</f>
        <v>6.4234125008315893E-2</v>
      </c>
      <c r="W217" s="374">
        <f>(1-W$218)*IF(W$3=Tech_Specs!$B$3,Tech_Specs!$AN37/SUM(Tech_Specs!$AN$34:$AN$37,Tech_Specs!$AN$39),V217/SUM(V$214:V$217,V$219))</f>
        <v>6.3540484538931491E-2</v>
      </c>
      <c r="X217" s="374">
        <f>(1-X$218)*IF(X$3=Tech_Specs!$B$3,Tech_Specs!$AN37/SUM(Tech_Specs!$AN$34:$AN$37,Tech_Specs!$AN$39),W217/SUM(W$214:W$217,W$219))</f>
        <v>6.2851183682324632E-2</v>
      </c>
      <c r="Y217" s="374">
        <f>(1-Y$218)*IF(Y$3=Tech_Specs!$B$3,Tech_Specs!$AN37/SUM(Tech_Specs!$AN$34:$AN$37,Tech_Specs!$AN$39),X217/SUM(X$214:X$217,X$219))</f>
        <v>6.2152190434953659E-2</v>
      </c>
      <c r="Z217" s="374">
        <f>(1-Z$218)*IF(Z$3=Tech_Specs!$B$3,Tech_Specs!$AN37/SUM(Tech_Specs!$AN$34:$AN$37,Tech_Specs!$AN$39),Y217/SUM(Y$214:Y$217,Y$219))</f>
        <v>6.1485212804135596E-2</v>
      </c>
      <c r="AA217" s="374">
        <f>(1-AA$218)*IF(AA$3=Tech_Specs!$B$3,Tech_Specs!$AN37/SUM(Tech_Specs!$AN$34:$AN$37,Tech_Specs!$AN$39),Z217/SUM(Z$214:Z$217,Z$219))</f>
        <v>6.0867251315578609E-2</v>
      </c>
      <c r="AB217" s="374">
        <f>(1-AB$218)*IF(AB$3=Tech_Specs!$B$3,Tech_Specs!$AN37/SUM(Tech_Specs!$AN$34:$AN$37,Tech_Specs!$AN$39),AA217/SUM(AA$214:AA$217,AA$219))</f>
        <v>6.0212964079193555E-2</v>
      </c>
      <c r="AC217" s="374">
        <f>(1-AC$218)*IF(AC$3=Tech_Specs!$B$3,Tech_Specs!$AN37/SUM(Tech_Specs!$AN$34:$AN$37,Tech_Specs!$AN$39),AB217/SUM(AB$214:AB$217,AB$219))</f>
        <v>5.9570684321949202E-2</v>
      </c>
      <c r="AD217" s="374">
        <f>(1-AD$218)*IF(AD$3=Tech_Specs!$B$3,Tech_Specs!$AN37/SUM(Tech_Specs!$AN$34:$AN$37,Tech_Specs!$AN$39),AC217/SUM(AC$214:AC$217,AC$219))</f>
        <v>5.8927478644187195E-2</v>
      </c>
      <c r="AE217" s="374">
        <f>(1-AE$218)*IF(AE$3=Tech_Specs!$B$3,Tech_Specs!$AN37/SUM(Tech_Specs!$AN$34:$AN$37,Tech_Specs!$AN$39),AD217/SUM(AD$214:AD$217,AD$219))</f>
        <v>5.8262955567370538E-2</v>
      </c>
      <c r="AF217" s="374">
        <f>(1-AF$218)*IF(AF$3=Tech_Specs!$B$3,Tech_Specs!$AN37/SUM(Tech_Specs!$AN$34:$AN$37,Tech_Specs!$AN$39),AE217/SUM(AE$214:AE$217,AE$219))</f>
        <v>5.7445889400520991E-2</v>
      </c>
    </row>
    <row r="218" spans="1:32" s="221" customFormat="1" x14ac:dyDescent="0.25">
      <c r="A218" s="376"/>
      <c r="B218" s="388" t="s">
        <v>29</v>
      </c>
      <c r="C218"/>
      <c r="D218"/>
      <c r="E218"/>
      <c r="F218"/>
      <c r="G218" s="201">
        <f>EXP(G$110)/(EXP(G$106)+EXP(G$107)+EXP(G$108)+EXP(G$109)+EXP(G$110)+EXP(G$111))</f>
        <v>3.7735325071895767E-2</v>
      </c>
      <c r="H218" s="201">
        <f t="shared" ref="H218:AF218" si="8">EXP(H$110)/(EXP(H$106)+EXP(H$107)+EXP(H$108)+EXP(H$109)+EXP(H$110)+EXP(H$111))</f>
        <v>0.14687757278161873</v>
      </c>
      <c r="I218" s="201">
        <f t="shared" si="8"/>
        <v>0.23326359913720879</v>
      </c>
      <c r="J218" s="201">
        <f t="shared" si="8"/>
        <v>0.29698490874670824</v>
      </c>
      <c r="K218" s="201">
        <f t="shared" si="8"/>
        <v>0.34457474572841917</v>
      </c>
      <c r="L218" s="201">
        <f t="shared" si="8"/>
        <v>0.37874792325179696</v>
      </c>
      <c r="M218" s="201">
        <f t="shared" si="8"/>
        <v>0.40701667818465925</v>
      </c>
      <c r="N218" s="201">
        <f t="shared" si="8"/>
        <v>0.42829462071245827</v>
      </c>
      <c r="O218" s="201">
        <f t="shared" si="8"/>
        <v>0.44473020517274198</v>
      </c>
      <c r="P218" s="201">
        <f t="shared" si="8"/>
        <v>0.45690254808624897</v>
      </c>
      <c r="Q218" s="201">
        <f t="shared" si="8"/>
        <v>0.46748003914690456</v>
      </c>
      <c r="R218" s="201">
        <f t="shared" si="8"/>
        <v>0.47638419382242686</v>
      </c>
      <c r="S218" s="201">
        <f t="shared" si="8"/>
        <v>0.48390573980760188</v>
      </c>
      <c r="T218" s="201">
        <f t="shared" si="8"/>
        <v>0.49063415888975254</v>
      </c>
      <c r="U218" s="201">
        <f t="shared" si="8"/>
        <v>0.49697177581074875</v>
      </c>
      <c r="V218" s="201">
        <f t="shared" si="8"/>
        <v>0.50238500291913202</v>
      </c>
      <c r="W218" s="201">
        <f t="shared" si="8"/>
        <v>0.50775856253566298</v>
      </c>
      <c r="X218" s="201">
        <f t="shared" si="8"/>
        <v>0.51309850362933951</v>
      </c>
      <c r="Y218" s="201">
        <f t="shared" si="8"/>
        <v>0.51851353065282624</v>
      </c>
      <c r="Z218" s="201">
        <f t="shared" si="8"/>
        <v>0.52368053606886589</v>
      </c>
      <c r="AA218" s="201">
        <f t="shared" si="8"/>
        <v>0.52846781859640968</v>
      </c>
      <c r="AB218" s="201">
        <f t="shared" si="8"/>
        <v>0.53353651286416293</v>
      </c>
      <c r="AC218" s="201">
        <f t="shared" si="8"/>
        <v>0.53851218645642984</v>
      </c>
      <c r="AD218" s="201">
        <f t="shared" si="8"/>
        <v>0.54349503305736813</v>
      </c>
      <c r="AE218" s="201">
        <f t="shared" si="8"/>
        <v>0.5486430233022338</v>
      </c>
      <c r="AF218" s="201">
        <f t="shared" si="8"/>
        <v>0.55497274878972325</v>
      </c>
    </row>
    <row r="219" spans="1:32" s="221" customFormat="1" x14ac:dyDescent="0.25">
      <c r="A219" s="376"/>
      <c r="B219" s="388" t="s">
        <v>53</v>
      </c>
      <c r="C219"/>
      <c r="D219"/>
      <c r="E219"/>
      <c r="F219"/>
      <c r="G219" s="374">
        <f>(1-G$218)*IF(G$3=Tech_Specs!$B$3,Tech_Specs!$AN39/SUM(Tech_Specs!$AN$34:$AN$37,Tech_Specs!$AN$39),F219/SUM(F$214:F$217,F$219))</f>
        <v>4.3820430760907322E-3</v>
      </c>
      <c r="H219" s="374">
        <f>(1-H$218)*IF(H$3=Tech_Specs!$B$3,Tech_Specs!$AN39/SUM(Tech_Specs!$AN$34:$AN$37,Tech_Specs!$AN$39),G219/SUM(G$214:G$217,G$219))</f>
        <v>3.885021785226964E-3</v>
      </c>
      <c r="I219" s="374">
        <f>(1-I$218)*IF(I$3=Tech_Specs!$B$3,Tech_Specs!$AN39/SUM(Tech_Specs!$AN$34:$AN$37,Tech_Specs!$AN$39),H219/SUM(H$214:H$217,H$219))</f>
        <v>3.4916297190672164E-3</v>
      </c>
      <c r="J219" s="374">
        <f>(1-J$218)*IF(J$3=Tech_Specs!$B$3,Tech_Specs!$AN39/SUM(Tech_Specs!$AN$34:$AN$37,Tech_Specs!$AN$39),I219/SUM(I$214:I$217,I$219))</f>
        <v>3.2014501761108002E-3</v>
      </c>
      <c r="K219" s="374">
        <f>(1-K$218)*IF(K$3=Tech_Specs!$B$3,Tech_Specs!$AN39/SUM(Tech_Specs!$AN$34:$AN$37,Tech_Specs!$AN$39),J219/SUM(J$214:J$217,J$219))</f>
        <v>2.9847315112033783E-3</v>
      </c>
      <c r="L219" s="374">
        <f>(1-L$218)*IF(L$3=Tech_Specs!$B$3,Tech_Specs!$AN39/SUM(Tech_Specs!$AN$34:$AN$37,Tech_Specs!$AN$39),K219/SUM(K$214:K$217,K$219))</f>
        <v>2.8291107762267722E-3</v>
      </c>
      <c r="M219" s="374">
        <f>(1-M$218)*IF(M$3=Tech_Specs!$B$3,Tech_Specs!$AN39/SUM(Tech_Specs!$AN$34:$AN$37,Tech_Specs!$AN$39),L219/SUM(L$214:L$217,L$219))</f>
        <v>2.7003781052155349E-3</v>
      </c>
      <c r="N219" s="374">
        <f>(1-N$218)*IF(N$3=Tech_Specs!$B$3,Tech_Specs!$AN39/SUM(Tech_Specs!$AN$34:$AN$37,Tech_Specs!$AN$39),M219/SUM(M$214:M$217,M$219))</f>
        <v>2.603480792909682E-3</v>
      </c>
      <c r="O219" s="374">
        <f>(1-O$218)*IF(O$3=Tech_Specs!$B$3,Tech_Specs!$AN39/SUM(Tech_Specs!$AN$34:$AN$37,Tech_Specs!$AN$39),N219/SUM(N$214:N$217,N$219))</f>
        <v>2.5286350244197683E-3</v>
      </c>
      <c r="P219" s="374">
        <f>(1-P$218)*IF(P$3=Tech_Specs!$B$3,Tech_Specs!$AN39/SUM(Tech_Specs!$AN$34:$AN$37,Tech_Specs!$AN$39),O219/SUM(O$214:O$217,O$219))</f>
        <v>2.4732035694638639E-3</v>
      </c>
      <c r="Q219" s="374">
        <f>(1-Q$218)*IF(Q$3=Tech_Specs!$B$3,Tech_Specs!$AN39/SUM(Tech_Specs!$AN$34:$AN$37,Tech_Specs!$AN$39),P219/SUM(P$214:P$217,P$219))</f>
        <v>2.4250348871122851E-3</v>
      </c>
      <c r="R219" s="374">
        <f>(1-R$218)*IF(R$3=Tech_Specs!$B$3,Tech_Specs!$AN39/SUM(Tech_Specs!$AN$34:$AN$37,Tech_Specs!$AN$39),Q219/SUM(Q$214:Q$217,Q$219))</f>
        <v>2.3844863869325094E-3</v>
      </c>
      <c r="S219" s="374">
        <f>(1-S$218)*IF(S$3=Tech_Specs!$B$3,Tech_Specs!$AN39/SUM(Tech_Specs!$AN$34:$AN$37,Tech_Specs!$AN$39),R219/SUM(R$214:R$217,R$219))</f>
        <v>2.3502341283132304E-3</v>
      </c>
      <c r="T219" s="374">
        <f>(1-T$218)*IF(T$3=Tech_Specs!$B$3,Tech_Specs!$AN39/SUM(Tech_Specs!$AN$34:$AN$37,Tech_Specs!$AN$39),S219/SUM(S$214:S$217,S$219))</f>
        <v>2.3195936787361138E-3</v>
      </c>
      <c r="U219" s="374">
        <f>(1-U$218)*IF(U$3=Tech_Specs!$B$3,Tech_Specs!$AN39/SUM(Tech_Specs!$AN$34:$AN$37,Tech_Specs!$AN$39),T219/SUM(T$214:T$217,T$219))</f>
        <v>2.2907328974239014E-3</v>
      </c>
      <c r="V219" s="374">
        <f>(1-V$218)*IF(V$3=Tech_Specs!$B$3,Tech_Specs!$AN39/SUM(Tech_Specs!$AN$34:$AN$37,Tech_Specs!$AN$39),U219/SUM(U$214:U$217,U$219))</f>
        <v>2.2660816814043909E-3</v>
      </c>
      <c r="W219" s="374">
        <f>(1-W$218)*IF(W$3=Tech_Specs!$B$3,Tech_Specs!$AN39/SUM(Tech_Specs!$AN$34:$AN$37,Tech_Specs!$AN$39),V219/SUM(V$214:V$217,V$219))</f>
        <v>2.2416111065977871E-3</v>
      </c>
      <c r="X219" s="374">
        <f>(1-X$218)*IF(X$3=Tech_Specs!$B$3,Tech_Specs!$AN39/SUM(Tech_Specs!$AN$34:$AN$37,Tech_Specs!$AN$39),W219/SUM(W$214:W$217,W$219))</f>
        <v>2.2172936266923486E-3</v>
      </c>
      <c r="Y219" s="374">
        <f>(1-Y$218)*IF(Y$3=Tech_Specs!$B$3,Tech_Specs!$AN39/SUM(Tech_Specs!$AN$34:$AN$37,Tech_Specs!$AN$39),X219/SUM(X$214:X$217,X$219))</f>
        <v>2.1926342140656855E-3</v>
      </c>
      <c r="Z219" s="374">
        <f>(1-Z$218)*IF(Z$3=Tech_Specs!$B$3,Tech_Specs!$AN39/SUM(Tech_Specs!$AN$34:$AN$37,Tech_Specs!$AN$39),Y219/SUM(Y$214:Y$217,Y$219))</f>
        <v>2.16910426342173E-3</v>
      </c>
      <c r="AA219" s="374">
        <f>(1-AA$218)*IF(AA$3=Tech_Specs!$B$3,Tech_Specs!$AN39/SUM(Tech_Specs!$AN$34:$AN$37,Tech_Specs!$AN$39),Z219/SUM(Z$214:Z$217,Z$219))</f>
        <v>2.1473035273044238E-3</v>
      </c>
      <c r="AB219" s="374">
        <f>(1-AB$218)*IF(AB$3=Tech_Specs!$B$3,Tech_Specs!$AN39/SUM(Tech_Specs!$AN$34:$AN$37,Tech_Specs!$AN$39),AA219/SUM(AA$214:AA$217,AA$219))</f>
        <v>2.1242212743655549E-3</v>
      </c>
      <c r="AC219" s="374">
        <f>(1-AC$218)*IF(AC$3=Tech_Specs!$B$3,Tech_Specs!$AN39/SUM(Tech_Specs!$AN$34:$AN$37,Tech_Specs!$AN$39),AB219/SUM(AB$214:AB$217,AB$219))</f>
        <v>2.101562626924808E-3</v>
      </c>
      <c r="AD219" s="374">
        <f>(1-AD$218)*IF(AD$3=Tech_Specs!$B$3,Tech_Specs!$AN39/SUM(Tech_Specs!$AN$34:$AN$37,Tech_Specs!$AN$39),AC219/SUM(AC$214:AC$217,AC$219))</f>
        <v>2.0788713144244343E-3</v>
      </c>
      <c r="AE219" s="374">
        <f>(1-AE$218)*IF(AE$3=Tech_Specs!$B$3,Tech_Specs!$AN39/SUM(Tech_Specs!$AN$34:$AN$37,Tech_Specs!$AN$39),AD219/SUM(AD$214:AD$217,AD$219))</f>
        <v>2.0554279566913016E-3</v>
      </c>
      <c r="AF219" s="374">
        <f>(1-AF$218)*IF(AF$3=Tech_Specs!$B$3,Tech_Specs!$AN39/SUM(Tech_Specs!$AN$34:$AN$37,Tech_Specs!$AN$39),AE219/SUM(AE$214:AE$217,AE$219))</f>
        <v>2.0266031120631015E-3</v>
      </c>
    </row>
    <row r="220" spans="1:32" s="221" customFormat="1" x14ac:dyDescent="0.25">
      <c r="A220"/>
      <c r="B220"/>
      <c r="C220"/>
      <c r="D220"/>
      <c r="E220"/>
      <c r="F220"/>
      <c r="G220"/>
      <c r="H220"/>
      <c r="I220"/>
      <c r="J220"/>
      <c r="K220"/>
      <c r="L220"/>
      <c r="M220"/>
      <c r="N220"/>
      <c r="O220"/>
      <c r="P220"/>
      <c r="Q220"/>
      <c r="R220"/>
      <c r="S220"/>
      <c r="T220"/>
      <c r="U220"/>
      <c r="V220"/>
      <c r="W220"/>
      <c r="X220"/>
      <c r="Y220"/>
      <c r="Z220"/>
      <c r="AA220"/>
      <c r="AB220"/>
      <c r="AC220"/>
      <c r="AD220"/>
      <c r="AE220"/>
      <c r="AF220"/>
    </row>
    <row r="221" spans="1:32" x14ac:dyDescent="0.25">
      <c r="A221" s="398" t="s">
        <v>212</v>
      </c>
      <c r="B221" s="399"/>
      <c r="C221" s="398"/>
      <c r="D221" s="399"/>
      <c r="E221" s="399"/>
      <c r="F221" s="399"/>
      <c r="G221" s="1055" t="s">
        <v>693</v>
      </c>
      <c r="H221" s="409"/>
      <c r="I221" s="409"/>
      <c r="J221" s="409"/>
      <c r="K221" s="409"/>
      <c r="L221" s="409"/>
      <c r="M221" s="409"/>
      <c r="N221" s="409"/>
      <c r="O221" s="409"/>
      <c r="P221" s="409"/>
      <c r="Q221" s="409"/>
      <c r="R221" s="409"/>
      <c r="S221" s="409"/>
      <c r="T221" s="409"/>
      <c r="U221" s="409"/>
      <c r="V221" s="409"/>
      <c r="W221" s="409"/>
      <c r="X221" s="409"/>
      <c r="Y221" s="409"/>
      <c r="Z221" s="409"/>
      <c r="AA221" s="409"/>
      <c r="AB221" s="409"/>
      <c r="AC221" s="409"/>
      <c r="AD221" s="409"/>
      <c r="AE221" s="409"/>
      <c r="AF221" s="409"/>
    </row>
    <row r="222" spans="1:32" x14ac:dyDescent="0.25">
      <c r="A222" s="378" t="s">
        <v>12</v>
      </c>
      <c r="B222" s="376"/>
    </row>
    <row r="223" spans="1:32" x14ac:dyDescent="0.25">
      <c r="A223" s="376"/>
      <c r="B223" s="376" t="s">
        <v>20</v>
      </c>
    </row>
    <row r="224" spans="1:32" s="202" customFormat="1" ht="12.75" x14ac:dyDescent="0.2">
      <c r="A224" s="402" t="s">
        <v>21</v>
      </c>
      <c r="B224" s="402"/>
      <c r="C224" s="402"/>
      <c r="D224" s="402"/>
      <c r="E224" s="402"/>
      <c r="F224" s="402"/>
      <c r="G224" s="402"/>
      <c r="H224" s="402"/>
      <c r="I224" s="402"/>
      <c r="J224" s="402"/>
      <c r="K224" s="402"/>
      <c r="L224" s="402"/>
      <c r="M224" s="402"/>
      <c r="N224" s="402"/>
      <c r="O224" s="402"/>
      <c r="P224" s="402"/>
      <c r="Q224" s="402"/>
      <c r="R224" s="402"/>
      <c r="S224" s="402"/>
      <c r="T224" s="402"/>
      <c r="U224" s="402"/>
      <c r="V224" s="402"/>
      <c r="W224" s="402"/>
      <c r="X224" s="402"/>
      <c r="Y224" s="402"/>
      <c r="Z224" s="402"/>
      <c r="AA224" s="402"/>
      <c r="AB224" s="402"/>
      <c r="AC224" s="402"/>
      <c r="AD224" s="402"/>
      <c r="AE224" s="402"/>
      <c r="AF224" s="402"/>
    </row>
    <row r="225" spans="1:32" s="221" customFormat="1" x14ac:dyDescent="0.25">
      <c r="A225" s="376"/>
      <c r="B225" s="376" t="s">
        <v>22</v>
      </c>
      <c r="C225"/>
      <c r="D225" s="201"/>
      <c r="E225" s="201"/>
      <c r="F225" s="201"/>
      <c r="G225" s="201">
        <f>IF(OR(SUMIF(Tech_Specs!$D$9:$D$12,"&lt;"&amp;Tech_Specs!$D9,G$189:G$192)=0,G117=0),0,G262*(1/G117-1)/SUMIF(Tech_Specs!$D$9:$D$12,"&lt;"&amp;Tech_Specs!$D9,G$189:G$192))</f>
        <v>0</v>
      </c>
      <c r="H225" s="201">
        <f>IF(OR(SUMIF(Tech_Specs!$D$9:$D$12,"&lt;"&amp;Tech_Specs!$D9,H$189:H$192)=0,H117=0),0,H262*(1/H117-1)/SUMIF(Tech_Specs!$D$9:$D$12,"&lt;"&amp;Tech_Specs!$D9,H$189:H$192))</f>
        <v>0</v>
      </c>
      <c r="I225" s="201">
        <f>IF(OR(SUMIF(Tech_Specs!$D$9:$D$12,"&lt;"&amp;Tech_Specs!$D9,I$189:I$192)=0,I117=0),0,I262*(1/I117-1)/SUMIF(Tech_Specs!$D$9:$D$12,"&lt;"&amp;Tech_Specs!$D9,I$189:I$192))</f>
        <v>0</v>
      </c>
      <c r="J225" s="201">
        <f>IF(OR(SUMIF(Tech_Specs!$D$9:$D$12,"&lt;"&amp;Tech_Specs!$D9,J$189:J$192)=0,J117=0),0,J262*(1/J117-1)/SUMIF(Tech_Specs!$D$9:$D$12,"&lt;"&amp;Tech_Specs!$D9,J$189:J$192))</f>
        <v>0</v>
      </c>
      <c r="K225" s="201">
        <f>IF(OR(SUMIF(Tech_Specs!$D$9:$D$12,"&lt;"&amp;Tech_Specs!$D9,K$189:K$192)=0,K117=0),0,K262*(1/K117-1)/SUMIF(Tech_Specs!$D$9:$D$12,"&lt;"&amp;Tech_Specs!$D9,K$189:K$192))</f>
        <v>0</v>
      </c>
      <c r="L225" s="201">
        <f>IF(OR(SUMIF(Tech_Specs!$D$9:$D$12,"&lt;"&amp;Tech_Specs!$D9,L$189:L$192)=0,L117=0),0,L262*(1/L117-1)/SUMIF(Tech_Specs!$D$9:$D$12,"&lt;"&amp;Tech_Specs!$D9,L$189:L$192))</f>
        <v>0</v>
      </c>
      <c r="M225" s="201">
        <f>IF(OR(SUMIF(Tech_Specs!$D$9:$D$12,"&lt;"&amp;Tech_Specs!$D9,M$189:M$192)=0,M117=0),0,M262*(1/M117-1)/SUMIF(Tech_Specs!$D$9:$D$12,"&lt;"&amp;Tech_Specs!$D9,M$189:M$192))</f>
        <v>0</v>
      </c>
      <c r="N225" s="201">
        <f>IF(OR(SUMIF(Tech_Specs!$D$9:$D$12,"&lt;"&amp;Tech_Specs!$D9,N$189:N$192)=0,N117=0),0,N262*(1/N117-1)/SUMIF(Tech_Specs!$D$9:$D$12,"&lt;"&amp;Tech_Specs!$D9,N$189:N$192))</f>
        <v>0</v>
      </c>
      <c r="O225" s="201">
        <f>IF(OR(SUMIF(Tech_Specs!$D$9:$D$12,"&lt;"&amp;Tech_Specs!$D9,O$189:O$192)=0,O117=0),0,O262*(1/O117-1)/SUMIF(Tech_Specs!$D$9:$D$12,"&lt;"&amp;Tech_Specs!$D9,O$189:O$192))</f>
        <v>0</v>
      </c>
      <c r="P225" s="201">
        <f>IF(OR(SUMIF(Tech_Specs!$D$9:$D$12,"&lt;"&amp;Tech_Specs!$D9,P$189:P$192)=0,P117=0),0,P262*(1/P117-1)/SUMIF(Tech_Specs!$D$9:$D$12,"&lt;"&amp;Tech_Specs!$D9,P$189:P$192))</f>
        <v>0</v>
      </c>
      <c r="Q225" s="201">
        <f>IF(OR(SUMIF(Tech_Specs!$D$9:$D$12,"&lt;"&amp;Tech_Specs!$D9,Q$189:Q$192)=0,Q117=0),0,Q262*(1/Q117-1)/SUMIF(Tech_Specs!$D$9:$D$12,"&lt;"&amp;Tech_Specs!$D9,Q$189:Q$192))</f>
        <v>0</v>
      </c>
      <c r="R225" s="201">
        <f>IF(OR(SUMIF(Tech_Specs!$D$9:$D$12,"&lt;"&amp;Tech_Specs!$D9,R$189:R$192)=0,R117=0),0,R262*(1/R117-1)/SUMIF(Tech_Specs!$D$9:$D$12,"&lt;"&amp;Tech_Specs!$D9,R$189:R$192))</f>
        <v>0</v>
      </c>
      <c r="S225" s="201">
        <f>IF(OR(SUMIF(Tech_Specs!$D$9:$D$12,"&lt;"&amp;Tech_Specs!$D9,S$189:S$192)=0,S117=0),0,S262*(1/S117-1)/SUMIF(Tech_Specs!$D$9:$D$12,"&lt;"&amp;Tech_Specs!$D9,S$189:S$192))</f>
        <v>0</v>
      </c>
      <c r="T225" s="201">
        <f>IF(OR(SUMIF(Tech_Specs!$D$9:$D$12,"&lt;"&amp;Tech_Specs!$D9,T$189:T$192)=0,T117=0),0,T262*(1/T117-1)/SUMIF(Tech_Specs!$D$9:$D$12,"&lt;"&amp;Tech_Specs!$D9,T$189:T$192))</f>
        <v>0</v>
      </c>
      <c r="U225" s="201">
        <f>IF(OR(SUMIF(Tech_Specs!$D$9:$D$12,"&lt;"&amp;Tech_Specs!$D9,U$189:U$192)=0,U117=0),0,U262*(1/U117-1)/SUMIF(Tech_Specs!$D$9:$D$12,"&lt;"&amp;Tech_Specs!$D9,U$189:U$192))</f>
        <v>0</v>
      </c>
      <c r="V225" s="201">
        <f>IF(OR(SUMIF(Tech_Specs!$D$9:$D$12,"&lt;"&amp;Tech_Specs!$D9,V$189:V$192)=0,V117=0),0,V262*(1/V117-1)/SUMIF(Tech_Specs!$D$9:$D$12,"&lt;"&amp;Tech_Specs!$D9,V$189:V$192))</f>
        <v>0</v>
      </c>
      <c r="W225" s="201">
        <f>IF(OR(SUMIF(Tech_Specs!$D$9:$D$12,"&lt;"&amp;Tech_Specs!$D9,W$189:W$192)=0,W117=0),0,W262*(1/W117-1)/SUMIF(Tech_Specs!$D$9:$D$12,"&lt;"&amp;Tech_Specs!$D9,W$189:W$192))</f>
        <v>0</v>
      </c>
      <c r="X225" s="201">
        <f>IF(OR(SUMIF(Tech_Specs!$D$9:$D$12,"&lt;"&amp;Tech_Specs!$D9,X$189:X$192)=0,X117=0),0,X262*(1/X117-1)/SUMIF(Tech_Specs!$D$9:$D$12,"&lt;"&amp;Tech_Specs!$D9,X$189:X$192))</f>
        <v>0</v>
      </c>
      <c r="Y225" s="201">
        <f>IF(OR(SUMIF(Tech_Specs!$D$9:$D$12,"&lt;"&amp;Tech_Specs!$D9,Y$189:Y$192)=0,Y117=0),0,Y262*(1/Y117-1)/SUMIF(Tech_Specs!$D$9:$D$12,"&lt;"&amp;Tech_Specs!$D9,Y$189:Y$192))</f>
        <v>0</v>
      </c>
      <c r="Z225" s="201">
        <f>IF(OR(SUMIF(Tech_Specs!$D$9:$D$12,"&lt;"&amp;Tech_Specs!$D9,Z$189:Z$192)=0,Z117=0),0,Z262*(1/Z117-1)/SUMIF(Tech_Specs!$D$9:$D$12,"&lt;"&amp;Tech_Specs!$D9,Z$189:Z$192))</f>
        <v>0</v>
      </c>
      <c r="AA225" s="201">
        <f>IF(OR(SUMIF(Tech_Specs!$D$9:$D$12,"&lt;"&amp;Tech_Specs!$D9,AA$189:AA$192)=0,AA117=0),0,AA262*(1/AA117-1)/SUMIF(Tech_Specs!$D$9:$D$12,"&lt;"&amp;Tech_Specs!$D9,AA$189:AA$192))</f>
        <v>0</v>
      </c>
      <c r="AB225" s="201">
        <f>IF(OR(SUMIF(Tech_Specs!$D$9:$D$12,"&lt;"&amp;Tech_Specs!$D9,AB$189:AB$192)=0,AB117=0),0,AB262*(1/AB117-1)/SUMIF(Tech_Specs!$D$9:$D$12,"&lt;"&amp;Tech_Specs!$D9,AB$189:AB$192))</f>
        <v>0</v>
      </c>
      <c r="AC225" s="201">
        <f>IF(OR(SUMIF(Tech_Specs!$D$9:$D$12,"&lt;"&amp;Tech_Specs!$D9,AC$189:AC$192)=0,AC117=0),0,AC262*(1/AC117-1)/SUMIF(Tech_Specs!$D$9:$D$12,"&lt;"&amp;Tech_Specs!$D9,AC$189:AC$192))</f>
        <v>0</v>
      </c>
      <c r="AD225" s="201">
        <f>IF(OR(SUMIF(Tech_Specs!$D$9:$D$12,"&lt;"&amp;Tech_Specs!$D9,AD$189:AD$192)=0,AD117=0),0,AD262*(1/AD117-1)/SUMIF(Tech_Specs!$D$9:$D$12,"&lt;"&amp;Tech_Specs!$D9,AD$189:AD$192))</f>
        <v>0</v>
      </c>
      <c r="AE225" s="201">
        <f>IF(OR(SUMIF(Tech_Specs!$D$9:$D$12,"&lt;"&amp;Tech_Specs!$D9,AE$189:AE$192)=0,AE117=0),0,AE262*(1/AE117-1)/SUMIF(Tech_Specs!$D$9:$D$12,"&lt;"&amp;Tech_Specs!$D9,AE$189:AE$192))</f>
        <v>0</v>
      </c>
      <c r="AF225" s="201">
        <f>IF(OR(SUMIF(Tech_Specs!$D$9:$D$12,"&lt;"&amp;Tech_Specs!$D9,AF$189:AF$192)=0,AF117=0),0,AF262*(1/AF117-1)/SUMIF(Tech_Specs!$D$9:$D$12,"&lt;"&amp;Tech_Specs!$D9,AF$189:AF$192))</f>
        <v>0</v>
      </c>
    </row>
    <row r="226" spans="1:32" s="221" customFormat="1" x14ac:dyDescent="0.25">
      <c r="A226" s="376"/>
      <c r="B226" s="376" t="s">
        <v>26</v>
      </c>
      <c r="C226"/>
      <c r="D226" s="201"/>
      <c r="E226" s="201"/>
      <c r="F226" s="201"/>
      <c r="G226" s="201">
        <f ca="1">IF(OR(SUMIF(Tech_Specs!$D$9:$D$12,"&lt;"&amp;Tech_Specs!$D10,G$189:G$192)=0,G118=0),0,G263*(1/G118-1)/SUMIF(Tech_Specs!$D$9:$D$12,"&lt;"&amp;Tech_Specs!$D10,G$189:G$192))</f>
        <v>2.996240436189139E-6</v>
      </c>
      <c r="H226" s="201">
        <f ca="1">IF(OR(SUMIF(Tech_Specs!$D$9:$D$12,"&lt;"&amp;Tech_Specs!$D10,H$189:H$192)=0,H118=0),0,H263*(1/H118-1)/SUMIF(Tech_Specs!$D$9:$D$12,"&lt;"&amp;Tech_Specs!$D10,H$189:H$192))</f>
        <v>2.9096540165514251E-6</v>
      </c>
      <c r="I226" s="201">
        <f ca="1">IF(OR(SUMIF(Tech_Specs!$D$9:$D$12,"&lt;"&amp;Tech_Specs!$D10,I$189:I$192)=0,I118=0),0,I263*(1/I118-1)/SUMIF(Tech_Specs!$D$9:$D$12,"&lt;"&amp;Tech_Specs!$D10,I$189:I$192))</f>
        <v>1.3146763811697834E-5</v>
      </c>
      <c r="J226" s="201">
        <f ca="1">IF(OR(SUMIF(Tech_Specs!$D$9:$D$12,"&lt;"&amp;Tech_Specs!$D10,J$189:J$192)=0,J118=0),0,J263*(1/J118-1)/SUMIF(Tech_Specs!$D$9:$D$12,"&lt;"&amp;Tech_Specs!$D10,J$189:J$192))</f>
        <v>4.4187269410423789E-5</v>
      </c>
      <c r="K226" s="201">
        <f ca="1">IF(OR(SUMIF(Tech_Specs!$D$9:$D$12,"&lt;"&amp;Tech_Specs!$D10,K$189:K$192)=0,K118=0),0,K263*(1/K118-1)/SUMIF(Tech_Specs!$D$9:$D$12,"&lt;"&amp;Tech_Specs!$D10,K$189:K$192))</f>
        <v>7.0584161914560576E-5</v>
      </c>
      <c r="L226" s="201">
        <f ca="1">IF(OR(SUMIF(Tech_Specs!$D$9:$D$12,"&lt;"&amp;Tech_Specs!$D10,L$189:L$192)=0,L118=0),0,L263*(1/L118-1)/SUMIF(Tech_Specs!$D$9:$D$12,"&lt;"&amp;Tech_Specs!$D10,L$189:L$192))</f>
        <v>9.2226666270834058E-5</v>
      </c>
      <c r="M226" s="201">
        <f ca="1">IF(OR(SUMIF(Tech_Specs!$D$9:$D$12,"&lt;"&amp;Tech_Specs!$D10,M$189:M$192)=0,M118=0),0,M263*(1/M118-1)/SUMIF(Tech_Specs!$D$9:$D$12,"&lt;"&amp;Tech_Specs!$D10,M$189:M$192))</f>
        <v>2.0272014968535361E-4</v>
      </c>
      <c r="N226" s="201">
        <f ca="1">IF(OR(SUMIF(Tech_Specs!$D$9:$D$12,"&lt;"&amp;Tech_Specs!$D10,N$189:N$192)=0,N118=0),0,N263*(1/N118-1)/SUMIF(Tech_Specs!$D$9:$D$12,"&lt;"&amp;Tech_Specs!$D10,N$189:N$192))</f>
        <v>1.4835005909127357E-4</v>
      </c>
      <c r="O226" s="201">
        <f ca="1">IF(OR(SUMIF(Tech_Specs!$D$9:$D$12,"&lt;"&amp;Tech_Specs!$D10,O$189:O$192)=0,O118=0),0,O263*(1/O118-1)/SUMIF(Tech_Specs!$D$9:$D$12,"&lt;"&amp;Tech_Specs!$D10,O$189:O$192))</f>
        <v>1.0575688917634189E-4</v>
      </c>
      <c r="P226" s="201">
        <f ca="1">IF(OR(SUMIF(Tech_Specs!$D$9:$D$12,"&lt;"&amp;Tech_Specs!$D10,P$189:P$192)=0,P118=0),0,P263*(1/P118-1)/SUMIF(Tech_Specs!$D$9:$D$12,"&lt;"&amp;Tech_Specs!$D10,P$189:P$192))</f>
        <v>7.3580510534143563E-5</v>
      </c>
      <c r="Q226" s="201">
        <f ca="1">IF(OR(SUMIF(Tech_Specs!$D$9:$D$12,"&lt;"&amp;Tech_Specs!$D10,Q$189:Q$192)=0,Q118=0),0,Q263*(1/Q118-1)/SUMIF(Tech_Specs!$D$9:$D$12,"&lt;"&amp;Tech_Specs!$D10,Q$189:Q$192))</f>
        <v>5.069366574510398E-5</v>
      </c>
      <c r="R226" s="201">
        <f ca="1">IF(OR(SUMIF(Tech_Specs!$D$9:$D$12,"&lt;"&amp;Tech_Specs!$D10,R$189:R$192)=0,R118=0),0,R263*(1/R118-1)/SUMIF(Tech_Specs!$D$9:$D$12,"&lt;"&amp;Tech_Specs!$D10,R$189:R$192))</f>
        <v>3.469346474937214E-5</v>
      </c>
      <c r="S226" s="201">
        <f ca="1">IF(OR(SUMIF(Tech_Specs!$D$9:$D$12,"&lt;"&amp;Tech_Specs!$D10,S$189:S$192)=0,S118=0),0,S263*(1/S118-1)/SUMIF(Tech_Specs!$D$9:$D$12,"&lt;"&amp;Tech_Specs!$D10,S$189:S$192))</f>
        <v>2.3578628287517478E-5</v>
      </c>
      <c r="T226" s="201">
        <f ca="1">IF(OR(SUMIF(Tech_Specs!$D$9:$D$12,"&lt;"&amp;Tech_Specs!$D10,T$189:T$192)=0,T118=0),0,T263*(1/T118-1)/SUMIF(Tech_Specs!$D$9:$D$12,"&lt;"&amp;Tech_Specs!$D10,T$189:T$192))</f>
        <v>1.5997791608140071E-5</v>
      </c>
      <c r="U226" s="201">
        <f ca="1">IF(OR(SUMIF(Tech_Specs!$D$9:$D$12,"&lt;"&amp;Tech_Specs!$D10,U$189:U$192)=0,U118=0),0,U263*(1/U118-1)/SUMIF(Tech_Specs!$D$9:$D$12,"&lt;"&amp;Tech_Specs!$D10,U$189:U$192))</f>
        <v>1.0886353489895975E-5</v>
      </c>
      <c r="V226" s="201">
        <f ca="1">IF(OR(SUMIF(Tech_Specs!$D$9:$D$12,"&lt;"&amp;Tech_Specs!$D10,V$189:V$192)=0,V118=0),0,V263*(1/V118-1)/SUMIF(Tech_Specs!$D$9:$D$12,"&lt;"&amp;Tech_Specs!$D10,V$189:V$192))</f>
        <v>7.4321140327068291E-6</v>
      </c>
      <c r="W226" s="201">
        <f ca="1">IF(OR(SUMIF(Tech_Specs!$D$9:$D$12,"&lt;"&amp;Tech_Specs!$D10,W$189:W$192)=0,W118=0),0,W263*(1/W118-1)/SUMIF(Tech_Specs!$D$9:$D$12,"&lt;"&amp;Tech_Specs!$D10,W$189:W$192))</f>
        <v>5.1222609885190283E-6</v>
      </c>
      <c r="X226" s="201">
        <f ca="1">IF(OR(SUMIF(Tech_Specs!$D$9:$D$12,"&lt;"&amp;Tech_Specs!$D10,X$189:X$192)=0,X118=0),0,X263*(1/X118-1)/SUMIF(Tech_Specs!$D$9:$D$12,"&lt;"&amp;Tech_Specs!$D10,X$189:X$192))</f>
        <v>3.5681881844071606E-6</v>
      </c>
      <c r="Y226" s="201">
        <f ca="1">IF(OR(SUMIF(Tech_Specs!$D$9:$D$12,"&lt;"&amp;Tech_Specs!$D10,Y$189:Y$192)=0,Y118=0),0,Y263*(1/Y118-1)/SUMIF(Tech_Specs!$D$9:$D$12,"&lt;"&amp;Tech_Specs!$D10,Y$189:Y$192))</f>
        <v>2.514004606827156E-6</v>
      </c>
      <c r="Z226" s="201">
        <f ca="1">IF(OR(SUMIF(Tech_Specs!$D$9:$D$12,"&lt;"&amp;Tech_Specs!$D10,Z$189:Z$192)=0,Z118=0),0,Z263*(1/Z118-1)/SUMIF(Tech_Specs!$D$9:$D$12,"&lt;"&amp;Tech_Specs!$D10,Z$189:Z$192))</f>
        <v>1.7882321064798159E-6</v>
      </c>
      <c r="AA226" s="201">
        <f ca="1">IF(OR(SUMIF(Tech_Specs!$D$9:$D$12,"&lt;"&amp;Tech_Specs!$D10,AA$189:AA$192)=0,AA118=0),0,AA263*(1/AA118-1)/SUMIF(Tech_Specs!$D$9:$D$12,"&lt;"&amp;Tech_Specs!$D10,AA$189:AA$192))</f>
        <v>1.2822258775544292E-6</v>
      </c>
      <c r="AB226" s="201">
        <f ca="1">IF(OR(SUMIF(Tech_Specs!$D$9:$D$12,"&lt;"&amp;Tech_Specs!$D10,AB$189:AB$192)=0,AB118=0),0,AB263*(1/AB118-1)/SUMIF(Tech_Specs!$D$9:$D$12,"&lt;"&amp;Tech_Specs!$D10,AB$189:AB$192))</f>
        <v>9.2799906953406206E-7</v>
      </c>
      <c r="AC226" s="201">
        <f ca="1">IF(OR(SUMIF(Tech_Specs!$D$9:$D$12,"&lt;"&amp;Tech_Specs!$D10,AC$189:AC$192)=0,AC118=0),0,AC263*(1/AC118-1)/SUMIF(Tech_Specs!$D$9:$D$12,"&lt;"&amp;Tech_Specs!$D10,AC$189:AC$192))</f>
        <v>6.7602477618137945E-7</v>
      </c>
      <c r="AD226" s="201">
        <f ca="1">IF(OR(SUMIF(Tech_Specs!$D$9:$D$12,"&lt;"&amp;Tech_Specs!$D10,AD$189:AD$192)=0,AD118=0),0,AD263*(1/AD118-1)/SUMIF(Tech_Specs!$D$9:$D$12,"&lt;"&amp;Tech_Specs!$D10,AD$189:AD$192))</f>
        <v>4.9528077170489866E-7</v>
      </c>
      <c r="AE226" s="201">
        <f ca="1">IF(OR(SUMIF(Tech_Specs!$D$9:$D$12,"&lt;"&amp;Tech_Specs!$D10,AE$189:AE$192)=0,AE118=0),0,AE263*(1/AE118-1)/SUMIF(Tech_Specs!$D$9:$D$12,"&lt;"&amp;Tech_Specs!$D10,AE$189:AE$192))</f>
        <v>3.6478334426963824E-7</v>
      </c>
      <c r="AF226" s="201">
        <f ca="1">IF(OR(SUMIF(Tech_Specs!$D$9:$D$12,"&lt;"&amp;Tech_Specs!$D10,AF$189:AF$192)=0,AF118=0),0,AF263*(1/AF118-1)/SUMIF(Tech_Specs!$D$9:$D$12,"&lt;"&amp;Tech_Specs!$D10,AF$189:AF$192))</f>
        <v>2.7098459219825785E-7</v>
      </c>
    </row>
    <row r="227" spans="1:32" s="221" customFormat="1" x14ac:dyDescent="0.25">
      <c r="A227" s="376"/>
      <c r="B227" s="376" t="s">
        <v>27</v>
      </c>
      <c r="C227"/>
      <c r="D227" s="201"/>
      <c r="E227" s="201"/>
      <c r="F227" s="201"/>
      <c r="G227" s="201">
        <f ca="1">IF(OR(SUMIF(Tech_Specs!$D$9:$D$12,"&lt;"&amp;Tech_Specs!$D11,G$189:G$192)=0,G119=0),0,G264*(1/G119-1)/SUMIF(Tech_Specs!$D$9:$D$12,"&lt;"&amp;Tech_Specs!$D11,G$189:G$192))</f>
        <v>2.1700611147633182E-3</v>
      </c>
      <c r="H227" s="201">
        <f ca="1">IF(OR(SUMIF(Tech_Specs!$D$9:$D$12,"&lt;"&amp;Tech_Specs!$D11,H$189:H$192)=0,H119=0),0,H264*(1/H119-1)/SUMIF(Tech_Specs!$D$9:$D$12,"&lt;"&amp;Tech_Specs!$D11,H$189:H$192))</f>
        <v>2.1069314875780619E-3</v>
      </c>
      <c r="I227" s="201">
        <f ca="1">IF(OR(SUMIF(Tech_Specs!$D$9:$D$12,"&lt;"&amp;Tech_Specs!$D11,I$189:I$192)=0,I119=0),0,I264*(1/I119-1)/SUMIF(Tech_Specs!$D$9:$D$12,"&lt;"&amp;Tech_Specs!$D11,I$189:I$192))</f>
        <v>1.9736765883514146E-3</v>
      </c>
      <c r="J227" s="201">
        <f ca="1">IF(OR(SUMIF(Tech_Specs!$D$9:$D$12,"&lt;"&amp;Tech_Specs!$D11,J$189:J$192)=0,J119=0),0,J264*(1/J119-1)/SUMIF(Tech_Specs!$D$9:$D$12,"&lt;"&amp;Tech_Specs!$D11,J$189:J$192))</f>
        <v>1.6874373406076512E-3</v>
      </c>
      <c r="K227" s="201">
        <f ca="1">IF(OR(SUMIF(Tech_Specs!$D$9:$D$12,"&lt;"&amp;Tech_Specs!$D11,K$189:K$192)=0,K119=0),0,K264*(1/K119-1)/SUMIF(Tech_Specs!$D$9:$D$12,"&lt;"&amp;Tech_Specs!$D11,K$189:K$192))</f>
        <v>1.3067968684230271E-3</v>
      </c>
      <c r="L227" s="201">
        <f ca="1">IF(OR(SUMIF(Tech_Specs!$D$9:$D$12,"&lt;"&amp;Tech_Specs!$D11,L$189:L$192)=0,L119=0),0,L264*(1/L119-1)/SUMIF(Tech_Specs!$D$9:$D$12,"&lt;"&amp;Tech_Specs!$D11,L$189:L$192))</f>
        <v>1.2031452887470613E-3</v>
      </c>
      <c r="M227" s="201">
        <f ca="1">IF(OR(SUMIF(Tech_Specs!$D$9:$D$12,"&lt;"&amp;Tech_Specs!$D11,M$189:M$192)=0,M119=0),0,M264*(1/M119-1)/SUMIF(Tech_Specs!$D$9:$D$12,"&lt;"&amp;Tech_Specs!$D11,M$189:M$192))</f>
        <v>1.1481946249569058E-3</v>
      </c>
      <c r="N227" s="201">
        <f ca="1">IF(OR(SUMIF(Tech_Specs!$D$9:$D$12,"&lt;"&amp;Tech_Specs!$D11,N$189:N$192)=0,N119=0),0,N264*(1/N119-1)/SUMIF(Tech_Specs!$D$9:$D$12,"&lt;"&amp;Tech_Specs!$D11,N$189:N$192))</f>
        <v>8.3999190736334516E-4</v>
      </c>
      <c r="O227" s="201">
        <f ca="1">IF(OR(SUMIF(Tech_Specs!$D$9:$D$12,"&lt;"&amp;Tech_Specs!$D11,O$189:O$192)=0,O119=0),0,O264*(1/O119-1)/SUMIF(Tech_Specs!$D$9:$D$12,"&lt;"&amp;Tech_Specs!$D11,O$189:O$192))</f>
        <v>5.9592231282029747E-4</v>
      </c>
      <c r="P227" s="201">
        <f ca="1">IF(OR(SUMIF(Tech_Specs!$D$9:$D$12,"&lt;"&amp;Tech_Specs!$D11,P$189:P$192)=0,P119=0),0,P264*(1/P119-1)/SUMIF(Tech_Specs!$D$9:$D$12,"&lt;"&amp;Tech_Specs!$D11,P$189:P$192))</f>
        <v>4.0934118356674332E-4</v>
      </c>
      <c r="Q227" s="201">
        <f ca="1">IF(OR(SUMIF(Tech_Specs!$D$9:$D$12,"&lt;"&amp;Tech_Specs!$D11,Q$189:Q$192)=0,Q119=0),0,Q264*(1/Q119-1)/SUMIF(Tech_Specs!$D$9:$D$12,"&lt;"&amp;Tech_Specs!$D11,Q$189:Q$192))</f>
        <v>2.7963752234862107E-4</v>
      </c>
      <c r="R227" s="201">
        <f ca="1">IF(OR(SUMIF(Tech_Specs!$D$9:$D$12,"&lt;"&amp;Tech_Specs!$D11,R$189:R$192)=0,R119=0),0,R264*(1/R119-1)/SUMIF(Tech_Specs!$D$9:$D$12,"&lt;"&amp;Tech_Specs!$D11,R$189:R$192))</f>
        <v>1.9078223043843777E-4</v>
      </c>
      <c r="S227" s="201">
        <f ca="1">IF(OR(SUMIF(Tech_Specs!$D$9:$D$12,"&lt;"&amp;Tech_Specs!$D11,S$189:S$192)=0,S119=0),0,S264*(1/S119-1)/SUMIF(Tech_Specs!$D$9:$D$12,"&lt;"&amp;Tech_Specs!$D11,S$189:S$192))</f>
        <v>1.2907198745939854E-4</v>
      </c>
      <c r="T227" s="201">
        <f ca="1">IF(OR(SUMIF(Tech_Specs!$D$9:$D$12,"&lt;"&amp;Tech_Specs!$D11,T$189:T$192)=0,T119=0),0,T264*(1/T119-1)/SUMIF(Tech_Specs!$D$9:$D$12,"&lt;"&amp;Tech_Specs!$D11,T$189:T$192))</f>
        <v>8.7217074414756043E-5</v>
      </c>
      <c r="U227" s="201">
        <f ca="1">IF(OR(SUMIF(Tech_Specs!$D$9:$D$12,"&lt;"&amp;Tech_Specs!$D11,U$189:U$192)=0,U119=0),0,U264*(1/U119-1)/SUMIF(Tech_Specs!$D$9:$D$12,"&lt;"&amp;Tech_Specs!$D11,U$189:U$192))</f>
        <v>5.9204432595093445E-5</v>
      </c>
      <c r="V227" s="201">
        <f ca="1">IF(OR(SUMIF(Tech_Specs!$D$9:$D$12,"&lt;"&amp;Tech_Specs!$D11,V$189:V$192)=0,V119=0),0,V264*(1/V119-1)/SUMIF(Tech_Specs!$D$9:$D$12,"&lt;"&amp;Tech_Specs!$D11,V$189:V$192))</f>
        <v>4.0219115066626518E-5</v>
      </c>
      <c r="W227" s="201">
        <f ca="1">IF(OR(SUMIF(Tech_Specs!$D$9:$D$12,"&lt;"&amp;Tech_Specs!$D11,W$189:W$192)=0,W119=0),0,W264*(1/W119-1)/SUMIF(Tech_Specs!$D$9:$D$12,"&lt;"&amp;Tech_Specs!$D11,W$189:W$192))</f>
        <v>2.7639755017821972E-5</v>
      </c>
      <c r="X227" s="201">
        <f ca="1">IF(OR(SUMIF(Tech_Specs!$D$9:$D$12,"&lt;"&amp;Tech_Specs!$D11,X$189:X$192)=0,X119=0),0,X264*(1/X119-1)/SUMIF(Tech_Specs!$D$9:$D$12,"&lt;"&amp;Tech_Specs!$D11,X$189:X$192))</f>
        <v>1.9228571833901488E-5</v>
      </c>
      <c r="Y227" s="201">
        <f ca="1">IF(OR(SUMIF(Tech_Specs!$D$9:$D$12,"&lt;"&amp;Tech_Specs!$D11,Y$189:Y$192)=0,Y119=0),0,Y264*(1/Y119-1)/SUMIF(Tech_Specs!$D$9:$D$12,"&lt;"&amp;Tech_Specs!$D11,Y$189:Y$192))</f>
        <v>1.3553604745585064E-5</v>
      </c>
      <c r="Z227" s="201">
        <f ca="1">IF(OR(SUMIF(Tech_Specs!$D$9:$D$12,"&lt;"&amp;Tech_Specs!$D11,Z$189:Z$192)=0,Z119=0),0,Z264*(1/Z119-1)/SUMIF(Tech_Specs!$D$9:$D$12,"&lt;"&amp;Tech_Specs!$D11,Z$189:Z$192))</f>
        <v>9.640852954659796E-6</v>
      </c>
      <c r="AA227" s="201">
        <f ca="1">IF(OR(SUMIF(Tech_Specs!$D$9:$D$12,"&lt;"&amp;Tech_Specs!$D11,AA$189:AA$192)=0,AA119=0),0,AA264*(1/AA119-1)/SUMIF(Tech_Specs!$D$9:$D$12,"&lt;"&amp;Tech_Specs!$D11,AA$189:AA$192))</f>
        <v>6.9031810237407571E-6</v>
      </c>
      <c r="AB227" s="201">
        <f ca="1">IF(OR(SUMIF(Tech_Specs!$D$9:$D$12,"&lt;"&amp;Tech_Specs!$D11,AB$189:AB$192)=0,AB119=0),0,AB264*(1/AB119-1)/SUMIF(Tech_Specs!$D$9:$D$12,"&lt;"&amp;Tech_Specs!$D11,AB$189:AB$192))</f>
        <v>4.9999751873249713E-6</v>
      </c>
      <c r="AC227" s="201">
        <f ca="1">IF(OR(SUMIF(Tech_Specs!$D$9:$D$12,"&lt;"&amp;Tech_Specs!$D11,AC$189:AC$192)=0,AC119=0),0,AC264*(1/AC119-1)/SUMIF(Tech_Specs!$D$9:$D$12,"&lt;"&amp;Tech_Specs!$D11,AC$189:AC$192))</f>
        <v>3.6447231009349388E-6</v>
      </c>
      <c r="AD227" s="201">
        <f ca="1">IF(OR(SUMIF(Tech_Specs!$D$9:$D$12,"&lt;"&amp;Tech_Specs!$D11,AD$189:AD$192)=0,AD119=0),0,AD264*(1/AD119-1)/SUMIF(Tech_Specs!$D$9:$D$12,"&lt;"&amp;Tech_Specs!$D11,AD$189:AD$192))</f>
        <v>2.6728254450185123E-6</v>
      </c>
      <c r="AE227" s="201">
        <f ca="1">IF(OR(SUMIF(Tech_Specs!$D$9:$D$12,"&lt;"&amp;Tech_Specs!$D11,AE$189:AE$192)=0,AE119=0),0,AE264*(1/AE119-1)/SUMIF(Tech_Specs!$D$9:$D$12,"&lt;"&amp;Tech_Specs!$D11,AE$189:AE$192))</f>
        <v>1.9725995867394639E-6</v>
      </c>
      <c r="AF227" s="201">
        <f ca="1">IF(OR(SUMIF(Tech_Specs!$D$9:$D$12,"&lt;"&amp;Tech_Specs!$D11,AF$189:AF$192)=0,AF119=0),0,AF264*(1/AF119-1)/SUMIF(Tech_Specs!$D$9:$D$12,"&lt;"&amp;Tech_Specs!$D11,AF$189:AF$192))</f>
        <v>1.4780356347669872E-6</v>
      </c>
    </row>
    <row r="228" spans="1:32" s="221" customFormat="1" x14ac:dyDescent="0.25">
      <c r="A228" s="376"/>
      <c r="B228" s="376" t="s">
        <v>29</v>
      </c>
      <c r="C228"/>
      <c r="D228" s="201"/>
      <c r="E228" s="201"/>
      <c r="F228" s="201"/>
      <c r="G228" s="201">
        <f ca="1">IF(OR(SUMIF(Tech_Specs!$D$9:$D$12,"&lt;"&amp;Tech_Specs!$D12,G$189:G$192)=0,G120=0),0,G265*(1/G120-1)/SUMIF(Tech_Specs!$D$9:$D$12,"&lt;"&amp;Tech_Specs!$D12,G$189:G$192))</f>
        <v>7.4315975292330375E-2</v>
      </c>
      <c r="H228" s="201">
        <f ca="1">IF(OR(SUMIF(Tech_Specs!$D$9:$D$12,"&lt;"&amp;Tech_Specs!$D12,H$189:H$192)=0,H120=0),0,H265*(1/H120-1)/SUMIF(Tech_Specs!$D$9:$D$12,"&lt;"&amp;Tech_Specs!$D12,H$189:H$192))</f>
        <v>0.42907264701841785</v>
      </c>
      <c r="I228" s="201">
        <f ca="1">IF(OR(SUMIF(Tech_Specs!$D$9:$D$12,"&lt;"&amp;Tech_Specs!$D12,I$189:I$192)=0,I120=0),0,I265*(1/I120-1)/SUMIF(Tech_Specs!$D$9:$D$12,"&lt;"&amp;Tech_Specs!$D12,I$189:I$192))</f>
        <v>0.83831967872621393</v>
      </c>
      <c r="J228" s="201">
        <f ca="1">IF(OR(SUMIF(Tech_Specs!$D$9:$D$12,"&lt;"&amp;Tech_Specs!$D12,J$189:J$192)=0,J120=0),0,J265*(1/J120-1)/SUMIF(Tech_Specs!$D$9:$D$12,"&lt;"&amp;Tech_Specs!$D12,J$189:J$192))</f>
        <v>0.89662812052608665</v>
      </c>
      <c r="K228" s="201">
        <f ca="1">IF(OR(SUMIF(Tech_Specs!$D$9:$D$12,"&lt;"&amp;Tech_Specs!$D12,K$189:K$192)=0,K120=0),0,K265*(1/K120-1)/SUMIF(Tech_Specs!$D$9:$D$12,"&lt;"&amp;Tech_Specs!$D12,K$189:K$192))</f>
        <v>1.0806507365968632</v>
      </c>
      <c r="L228" s="201">
        <f ca="1">IF(OR(SUMIF(Tech_Specs!$D$9:$D$12,"&lt;"&amp;Tech_Specs!$D12,L$189:L$192)=0,L120=0),0,L265*(1/L120-1)/SUMIF(Tech_Specs!$D$9:$D$12,"&lt;"&amp;Tech_Specs!$D12,L$189:L$192))</f>
        <v>1.2656580482847639</v>
      </c>
      <c r="M228" s="201">
        <f ca="1">IF(OR(SUMIF(Tech_Specs!$D$9:$D$12,"&lt;"&amp;Tech_Specs!$D12,M$189:M$192)=0,M120=0),0,M265*(1/M120-1)/SUMIF(Tech_Specs!$D$9:$D$12,"&lt;"&amp;Tech_Specs!$D12,M$189:M$192))</f>
        <v>1.413335243393983</v>
      </c>
      <c r="N228" s="201">
        <f ca="1">IF(OR(SUMIF(Tech_Specs!$D$9:$D$12,"&lt;"&amp;Tech_Specs!$D12,N$189:N$192)=0,N120=0),0,N265*(1/N120-1)/SUMIF(Tech_Specs!$D$9:$D$12,"&lt;"&amp;Tech_Specs!$D12,N$189:N$192))</f>
        <v>1.4030169003432897</v>
      </c>
      <c r="O228" s="201">
        <f ca="1">IF(OR(SUMIF(Tech_Specs!$D$9:$D$12,"&lt;"&amp;Tech_Specs!$D12,O$189:O$192)=0,O120=0),0,O265*(1/O120-1)/SUMIF(Tech_Specs!$D$9:$D$12,"&lt;"&amp;Tech_Specs!$D12,O$189:O$192))</f>
        <v>1.3336905032039528</v>
      </c>
      <c r="P228" s="201">
        <f ca="1">IF(OR(SUMIF(Tech_Specs!$D$9:$D$12,"&lt;"&amp;Tech_Specs!$D12,P$189:P$192)=0,P120=0),0,P265*(1/P120-1)/SUMIF(Tech_Specs!$D$9:$D$12,"&lt;"&amp;Tech_Specs!$D12,P$189:P$192))</f>
        <v>1.2180772709525873</v>
      </c>
      <c r="Q228" s="201">
        <f ca="1">IF(OR(SUMIF(Tech_Specs!$D$9:$D$12,"&lt;"&amp;Tech_Specs!$D12,Q$189:Q$192)=0,Q120=0),0,Q265*(1/Q120-1)/SUMIF(Tech_Specs!$D$9:$D$12,"&lt;"&amp;Tech_Specs!$D12,Q$189:Q$192))</f>
        <v>1.0832979908840439</v>
      </c>
      <c r="R228" s="201">
        <f ca="1">IF(OR(SUMIF(Tech_Specs!$D$9:$D$12,"&lt;"&amp;Tech_Specs!$D12,R$189:R$192)=0,R120=0),0,R265*(1/R120-1)/SUMIF(Tech_Specs!$D$9:$D$12,"&lt;"&amp;Tech_Specs!$D12,R$189:R$192))</f>
        <v>0.93841638934811633</v>
      </c>
      <c r="S228" s="201">
        <f ca="1">IF(OR(SUMIF(Tech_Specs!$D$9:$D$12,"&lt;"&amp;Tech_Specs!$D12,S$189:S$192)=0,S120=0),0,S265*(1/S120-1)/SUMIF(Tech_Specs!$D$9:$D$12,"&lt;"&amp;Tech_Specs!$D12,S$189:S$192))</f>
        <v>0.79133800685071454</v>
      </c>
      <c r="T228" s="201">
        <f ca="1">IF(OR(SUMIF(Tech_Specs!$D$9:$D$12,"&lt;"&amp;Tech_Specs!$D12,T$189:T$192)=0,T120=0),0,T265*(1/T120-1)/SUMIF(Tech_Specs!$D$9:$D$12,"&lt;"&amp;Tech_Specs!$D12,T$189:T$192))</f>
        <v>0.65146532610946783</v>
      </c>
      <c r="U228" s="201">
        <f ca="1">IF(OR(SUMIF(Tech_Specs!$D$9:$D$12,"&lt;"&amp;Tech_Specs!$D12,U$189:U$192)=0,U120=0),0,U265*(1/U120-1)/SUMIF(Tech_Specs!$D$9:$D$12,"&lt;"&amp;Tech_Specs!$D12,U$189:U$192))</f>
        <v>0.52501214347476854</v>
      </c>
      <c r="V228" s="201">
        <f ca="1">IF(OR(SUMIF(Tech_Specs!$D$9:$D$12,"&lt;"&amp;Tech_Specs!$D12,V$189:V$192)=0,V120=0),0,V265*(1/V120-1)/SUMIF(Tech_Specs!$D$9:$D$12,"&lt;"&amp;Tech_Specs!$D12,V$189:V$192))</f>
        <v>0.41378626824514009</v>
      </c>
      <c r="W228" s="201">
        <f ca="1">IF(OR(SUMIF(Tech_Specs!$D$9:$D$12,"&lt;"&amp;Tech_Specs!$D12,W$189:W$192)=0,W120=0),0,W265*(1/W120-1)/SUMIF(Tech_Specs!$D$9:$D$12,"&lt;"&amp;Tech_Specs!$D12,W$189:W$192))</f>
        <v>0.3210380646284608</v>
      </c>
      <c r="X228" s="201">
        <f ca="1">IF(OR(SUMIF(Tech_Specs!$D$9:$D$12,"&lt;"&amp;Tech_Specs!$D12,X$189:X$192)=0,X120=0),0,X265*(1/X120-1)/SUMIF(Tech_Specs!$D$9:$D$12,"&lt;"&amp;Tech_Specs!$D12,X$189:X$192))</f>
        <v>0.24581737025396577</v>
      </c>
      <c r="Y228" s="201">
        <f ca="1">IF(OR(SUMIF(Tech_Specs!$D$9:$D$12,"&lt;"&amp;Tech_Specs!$D12,Y$189:Y$192)=0,Y120=0),0,Y265*(1/Y120-1)/SUMIF(Tech_Specs!$D$9:$D$12,"&lt;"&amp;Tech_Specs!$D12,Y$189:Y$192))</f>
        <v>0.18631446619629918</v>
      </c>
      <c r="Z228" s="201">
        <f ca="1">IF(OR(SUMIF(Tech_Specs!$D$9:$D$12,"&lt;"&amp;Tech_Specs!$D12,Z$189:Z$192)=0,Z120=0),0,Z265*(1/Z120-1)/SUMIF(Tech_Specs!$D$9:$D$12,"&lt;"&amp;Tech_Specs!$D12,Z$189:Z$192))</f>
        <v>0.13988333726995389</v>
      </c>
      <c r="AA228" s="201">
        <f ca="1">IF(OR(SUMIF(Tech_Specs!$D$9:$D$12,"&lt;"&amp;Tech_Specs!$D12,AA$189:AA$192)=0,AA120=0),0,AA265*(1/AA120-1)/SUMIF(Tech_Specs!$D$9:$D$12,"&lt;"&amp;Tech_Specs!$D12,AA$189:AA$192))</f>
        <v>0.10416891556015415</v>
      </c>
      <c r="AB228" s="201">
        <f ca="1">IF(OR(SUMIF(Tech_Specs!$D$9:$D$12,"&lt;"&amp;Tech_Specs!$D12,AB$189:AB$192)=0,AB120=0),0,AB265*(1/AB120-1)/SUMIF(Tech_Specs!$D$9:$D$12,"&lt;"&amp;Tech_Specs!$D12,AB$189:AB$192))</f>
        <v>7.7302019980486233E-2</v>
      </c>
      <c r="AC228" s="201">
        <f ca="1">IF(OR(SUMIF(Tech_Specs!$D$9:$D$12,"&lt;"&amp;Tech_Specs!$D12,AC$189:AC$192)=0,AC120=0),0,AC265*(1/AC120-1)/SUMIF(Tech_Specs!$D$9:$D$12,"&lt;"&amp;Tech_Specs!$D12,AC$189:AC$192))</f>
        <v>5.7132780046013035E-2</v>
      </c>
      <c r="AD228" s="201">
        <f ca="1">IF(OR(SUMIF(Tech_Specs!$D$9:$D$12,"&lt;"&amp;Tech_Specs!$D12,AD$189:AD$192)=0,AD120=0),0,AD265*(1/AD120-1)/SUMIF(Tech_Specs!$D$9:$D$12,"&lt;"&amp;Tech_Specs!$D12,AD$189:AD$192))</f>
        <v>4.2114361992114289E-2</v>
      </c>
      <c r="AE228" s="201">
        <f ca="1">IF(OR(SUMIF(Tech_Specs!$D$9:$D$12,"&lt;"&amp;Tech_Specs!$D12,AE$189:AE$192)=0,AE120=0),0,AE265*(1/AE120-1)/SUMIF(Tech_Specs!$D$9:$D$12,"&lt;"&amp;Tech_Specs!$D12,AE$189:AE$192))</f>
        <v>3.1005880780466132E-2</v>
      </c>
      <c r="AF228" s="201">
        <f ca="1">IF(OR(SUMIF(Tech_Specs!$D$9:$D$12,"&lt;"&amp;Tech_Specs!$D12,AF$189:AF$192)=0,AF120=0),0,AF265*(1/AF120-1)/SUMIF(Tech_Specs!$D$9:$D$12,"&lt;"&amp;Tech_Specs!$D12,AF$189:AF$192))</f>
        <v>2.2916848284180003E-2</v>
      </c>
    </row>
    <row r="229" spans="1:32" s="221" customFormat="1" x14ac:dyDescent="0.25">
      <c r="A229" s="376"/>
      <c r="B229" s="376"/>
      <c r="C229"/>
      <c r="D229"/>
      <c r="E229"/>
      <c r="F229"/>
      <c r="G229"/>
      <c r="H229"/>
      <c r="I229"/>
      <c r="J229"/>
      <c r="K229"/>
      <c r="L229"/>
      <c r="M229"/>
      <c r="N229"/>
      <c r="O229"/>
      <c r="P229"/>
      <c r="Q229"/>
      <c r="R229"/>
      <c r="S229"/>
      <c r="T229"/>
      <c r="U229"/>
      <c r="V229"/>
      <c r="W229"/>
      <c r="X229"/>
      <c r="Y229"/>
      <c r="Z229"/>
      <c r="AA229"/>
      <c r="AB229"/>
      <c r="AC229"/>
      <c r="AD229"/>
      <c r="AE229"/>
      <c r="AF229"/>
    </row>
    <row r="230" spans="1:32" s="202" customFormat="1" ht="12.75" x14ac:dyDescent="0.2">
      <c r="A230" s="402" t="s">
        <v>32</v>
      </c>
      <c r="B230" s="402"/>
      <c r="C230" s="402"/>
      <c r="D230" s="402"/>
      <c r="E230" s="402"/>
      <c r="F230" s="402"/>
      <c r="G230" s="402"/>
      <c r="H230" s="402"/>
      <c r="I230" s="402"/>
      <c r="J230" s="402"/>
      <c r="K230" s="402"/>
      <c r="L230" s="402"/>
      <c r="M230" s="402"/>
      <c r="N230" s="402"/>
      <c r="O230" s="402"/>
      <c r="P230" s="402"/>
      <c r="Q230" s="402"/>
      <c r="R230" s="402"/>
      <c r="S230" s="402"/>
      <c r="T230" s="402"/>
      <c r="U230" s="402"/>
      <c r="V230" s="402"/>
      <c r="W230" s="402"/>
      <c r="X230" s="402"/>
      <c r="Y230" s="402"/>
      <c r="Z230" s="402"/>
      <c r="AA230" s="402"/>
      <c r="AB230" s="402"/>
      <c r="AC230" s="402"/>
      <c r="AD230" s="402"/>
      <c r="AE230" s="402"/>
      <c r="AF230" s="402"/>
    </row>
    <row r="231" spans="1:32" s="221" customFormat="1" x14ac:dyDescent="0.25">
      <c r="A231" s="376"/>
      <c r="B231" s="376" t="s">
        <v>33</v>
      </c>
      <c r="C231"/>
      <c r="D231"/>
      <c r="E231"/>
      <c r="F231"/>
      <c r="G231" s="201">
        <f>IF(OR(SUMIF(Tech_Specs!$D$15:$D$18,"&lt;"&amp;Tech_Specs!$D15,G$195:G$198)=0,G123=0),0,G268*(1/G123-1)/SUMIF(Tech_Specs!$D$15:$D$18,"&lt;"&amp;Tech_Specs!$D15,G$195:G$198))</f>
        <v>0</v>
      </c>
      <c r="H231" s="201">
        <f>IF(OR(SUMIF(Tech_Specs!$D$15:$D$18,"&lt;"&amp;Tech_Specs!$D15,H$195:H$198)=0,H123=0),0,H268*(1/H123-1)/SUMIF(Tech_Specs!$D$15:$D$18,"&lt;"&amp;Tech_Specs!$D15,H$195:H$198))</f>
        <v>0</v>
      </c>
      <c r="I231" s="201">
        <f>IF(OR(SUMIF(Tech_Specs!$D$15:$D$18,"&lt;"&amp;Tech_Specs!$D15,I$195:I$198)=0,I123=0),0,I268*(1/I123-1)/SUMIF(Tech_Specs!$D$15:$D$18,"&lt;"&amp;Tech_Specs!$D15,I$195:I$198))</f>
        <v>0</v>
      </c>
      <c r="J231" s="201">
        <f>IF(OR(SUMIF(Tech_Specs!$D$15:$D$18,"&lt;"&amp;Tech_Specs!$D15,J$195:J$198)=0,J123=0),0,J268*(1/J123-1)/SUMIF(Tech_Specs!$D$15:$D$18,"&lt;"&amp;Tech_Specs!$D15,J$195:J$198))</f>
        <v>0</v>
      </c>
      <c r="K231" s="201">
        <f>IF(OR(SUMIF(Tech_Specs!$D$15:$D$18,"&lt;"&amp;Tech_Specs!$D15,K$195:K$198)=0,K123=0),0,K268*(1/K123-1)/SUMIF(Tech_Specs!$D$15:$D$18,"&lt;"&amp;Tech_Specs!$D15,K$195:K$198))</f>
        <v>0</v>
      </c>
      <c r="L231" s="201">
        <f>IF(OR(SUMIF(Tech_Specs!$D$15:$D$18,"&lt;"&amp;Tech_Specs!$D15,L$195:L$198)=0,L123=0),0,L268*(1/L123-1)/SUMIF(Tech_Specs!$D$15:$D$18,"&lt;"&amp;Tech_Specs!$D15,L$195:L$198))</f>
        <v>0</v>
      </c>
      <c r="M231" s="201">
        <f>IF(OR(SUMIF(Tech_Specs!$D$15:$D$18,"&lt;"&amp;Tech_Specs!$D15,M$195:M$198)=0,M123=0),0,M268*(1/M123-1)/SUMIF(Tech_Specs!$D$15:$D$18,"&lt;"&amp;Tech_Specs!$D15,M$195:M$198))</f>
        <v>0</v>
      </c>
      <c r="N231" s="201">
        <f>IF(OR(SUMIF(Tech_Specs!$D$15:$D$18,"&lt;"&amp;Tech_Specs!$D15,N$195:N$198)=0,N123=0),0,N268*(1/N123-1)/SUMIF(Tech_Specs!$D$15:$D$18,"&lt;"&amp;Tech_Specs!$D15,N$195:N$198))</f>
        <v>0</v>
      </c>
      <c r="O231" s="201">
        <f>IF(OR(SUMIF(Tech_Specs!$D$15:$D$18,"&lt;"&amp;Tech_Specs!$D15,O$195:O$198)=0,O123=0),0,O268*(1/O123-1)/SUMIF(Tech_Specs!$D$15:$D$18,"&lt;"&amp;Tech_Specs!$D15,O$195:O$198))</f>
        <v>0</v>
      </c>
      <c r="P231" s="201">
        <f>IF(OR(SUMIF(Tech_Specs!$D$15:$D$18,"&lt;"&amp;Tech_Specs!$D15,P$195:P$198)=0,P123=0),0,P268*(1/P123-1)/SUMIF(Tech_Specs!$D$15:$D$18,"&lt;"&amp;Tech_Specs!$D15,P$195:P$198))</f>
        <v>0</v>
      </c>
      <c r="Q231" s="201">
        <f>IF(OR(SUMIF(Tech_Specs!$D$15:$D$18,"&lt;"&amp;Tech_Specs!$D15,Q$195:Q$198)=0,Q123=0),0,Q268*(1/Q123-1)/SUMIF(Tech_Specs!$D$15:$D$18,"&lt;"&amp;Tech_Specs!$D15,Q$195:Q$198))</f>
        <v>0</v>
      </c>
      <c r="R231" s="201">
        <f>IF(OR(SUMIF(Tech_Specs!$D$15:$D$18,"&lt;"&amp;Tech_Specs!$D15,R$195:R$198)=0,R123=0),0,R268*(1/R123-1)/SUMIF(Tech_Specs!$D$15:$D$18,"&lt;"&amp;Tech_Specs!$D15,R$195:R$198))</f>
        <v>0</v>
      </c>
      <c r="S231" s="201">
        <f>IF(OR(SUMIF(Tech_Specs!$D$15:$D$18,"&lt;"&amp;Tech_Specs!$D15,S$195:S$198)=0,S123=0),0,S268*(1/S123-1)/SUMIF(Tech_Specs!$D$15:$D$18,"&lt;"&amp;Tech_Specs!$D15,S$195:S$198))</f>
        <v>0</v>
      </c>
      <c r="T231" s="201">
        <f>IF(OR(SUMIF(Tech_Specs!$D$15:$D$18,"&lt;"&amp;Tech_Specs!$D15,T$195:T$198)=0,T123=0),0,T268*(1/T123-1)/SUMIF(Tech_Specs!$D$15:$D$18,"&lt;"&amp;Tech_Specs!$D15,T$195:T$198))</f>
        <v>0</v>
      </c>
      <c r="U231" s="201">
        <f>IF(OR(SUMIF(Tech_Specs!$D$15:$D$18,"&lt;"&amp;Tech_Specs!$D15,U$195:U$198)=0,U123=0),0,U268*(1/U123-1)/SUMIF(Tech_Specs!$D$15:$D$18,"&lt;"&amp;Tech_Specs!$D15,U$195:U$198))</f>
        <v>0</v>
      </c>
      <c r="V231" s="201">
        <f>IF(OR(SUMIF(Tech_Specs!$D$15:$D$18,"&lt;"&amp;Tech_Specs!$D15,V$195:V$198)=0,V123=0),0,V268*(1/V123-1)/SUMIF(Tech_Specs!$D$15:$D$18,"&lt;"&amp;Tech_Specs!$D15,V$195:V$198))</f>
        <v>0</v>
      </c>
      <c r="W231" s="201">
        <f>IF(OR(SUMIF(Tech_Specs!$D$15:$D$18,"&lt;"&amp;Tech_Specs!$D15,W$195:W$198)=0,W123=0),0,W268*(1/W123-1)/SUMIF(Tech_Specs!$D$15:$D$18,"&lt;"&amp;Tech_Specs!$D15,W$195:W$198))</f>
        <v>0</v>
      </c>
      <c r="X231" s="201">
        <f>IF(OR(SUMIF(Tech_Specs!$D$15:$D$18,"&lt;"&amp;Tech_Specs!$D15,X$195:X$198)=0,X123=0),0,X268*(1/X123-1)/SUMIF(Tech_Specs!$D$15:$D$18,"&lt;"&amp;Tech_Specs!$D15,X$195:X$198))</f>
        <v>0</v>
      </c>
      <c r="Y231" s="201">
        <f>IF(OR(SUMIF(Tech_Specs!$D$15:$D$18,"&lt;"&amp;Tech_Specs!$D15,Y$195:Y$198)=0,Y123=0),0,Y268*(1/Y123-1)/SUMIF(Tech_Specs!$D$15:$D$18,"&lt;"&amp;Tech_Specs!$D15,Y$195:Y$198))</f>
        <v>0</v>
      </c>
      <c r="Z231" s="201">
        <f>IF(OR(SUMIF(Tech_Specs!$D$15:$D$18,"&lt;"&amp;Tech_Specs!$D15,Z$195:Z$198)=0,Z123=0),0,Z268*(1/Z123-1)/SUMIF(Tech_Specs!$D$15:$D$18,"&lt;"&amp;Tech_Specs!$D15,Z$195:Z$198))</f>
        <v>0</v>
      </c>
      <c r="AA231" s="201">
        <f>IF(OR(SUMIF(Tech_Specs!$D$15:$D$18,"&lt;"&amp;Tech_Specs!$D15,AA$195:AA$198)=0,AA123=0),0,AA268*(1/AA123-1)/SUMIF(Tech_Specs!$D$15:$D$18,"&lt;"&amp;Tech_Specs!$D15,AA$195:AA$198))</f>
        <v>0</v>
      </c>
      <c r="AB231" s="201">
        <f>IF(OR(SUMIF(Tech_Specs!$D$15:$D$18,"&lt;"&amp;Tech_Specs!$D15,AB$195:AB$198)=0,AB123=0),0,AB268*(1/AB123-1)/SUMIF(Tech_Specs!$D$15:$D$18,"&lt;"&amp;Tech_Specs!$D15,AB$195:AB$198))</f>
        <v>0</v>
      </c>
      <c r="AC231" s="201">
        <f>IF(OR(SUMIF(Tech_Specs!$D$15:$D$18,"&lt;"&amp;Tech_Specs!$D15,AC$195:AC$198)=0,AC123=0),0,AC268*(1/AC123-1)/SUMIF(Tech_Specs!$D$15:$D$18,"&lt;"&amp;Tech_Specs!$D15,AC$195:AC$198))</f>
        <v>0</v>
      </c>
      <c r="AD231" s="201">
        <f>IF(OR(SUMIF(Tech_Specs!$D$15:$D$18,"&lt;"&amp;Tech_Specs!$D15,AD$195:AD$198)=0,AD123=0),0,AD268*(1/AD123-1)/SUMIF(Tech_Specs!$D$15:$D$18,"&lt;"&amp;Tech_Specs!$D15,AD$195:AD$198))</f>
        <v>0</v>
      </c>
      <c r="AE231" s="201">
        <f>IF(OR(SUMIF(Tech_Specs!$D$15:$D$18,"&lt;"&amp;Tech_Specs!$D15,AE$195:AE$198)=0,AE123=0),0,AE268*(1/AE123-1)/SUMIF(Tech_Specs!$D$15:$D$18,"&lt;"&amp;Tech_Specs!$D15,AE$195:AE$198))</f>
        <v>0</v>
      </c>
      <c r="AF231" s="201">
        <f>IF(OR(SUMIF(Tech_Specs!$D$15:$D$18,"&lt;"&amp;Tech_Specs!$D15,AF$195:AF$198)=0,AF123=0),0,AF268*(1/AF123-1)/SUMIF(Tech_Specs!$D$15:$D$18,"&lt;"&amp;Tech_Specs!$D15,AF$195:AF$198))</f>
        <v>0</v>
      </c>
    </row>
    <row r="232" spans="1:32" s="221" customFormat="1" x14ac:dyDescent="0.25">
      <c r="A232" s="388"/>
      <c r="B232" s="388" t="s">
        <v>34</v>
      </c>
      <c r="C232"/>
      <c r="D232"/>
      <c r="E232"/>
      <c r="F232"/>
      <c r="G232" s="201">
        <f>IF(OR(SUMIF(Tech_Specs!$D$15:$D$18,"&lt;"&amp;Tech_Specs!$D16,G$195:G$198)=0,G124=0),0,G269*(1/G124-1)/SUMIF(Tech_Specs!$D$15:$D$18,"&lt;"&amp;Tech_Specs!$D16,G$195:G$198))</f>
        <v>2.320391452293671E-4</v>
      </c>
      <c r="H232" s="201">
        <f>IF(OR(SUMIF(Tech_Specs!$D$15:$D$18,"&lt;"&amp;Tech_Specs!$D16,H$195:H$198)=0,H124=0),0,H269*(1/H124-1)/SUMIF(Tech_Specs!$D$15:$D$18,"&lt;"&amp;Tech_Specs!$D16,H$195:H$198))</f>
        <v>2.4085345711795064E-4</v>
      </c>
      <c r="I232" s="201">
        <f>IF(OR(SUMIF(Tech_Specs!$D$15:$D$18,"&lt;"&amp;Tech_Specs!$D16,I$195:I$198)=0,I124=0),0,I269*(1/I124-1)/SUMIF(Tech_Specs!$D$15:$D$18,"&lt;"&amp;Tech_Specs!$D16,I$195:I$198))</f>
        <v>2.0938402006399697E-4</v>
      </c>
      <c r="J232" s="201">
        <f>IF(OR(SUMIF(Tech_Specs!$D$15:$D$18,"&lt;"&amp;Tech_Specs!$D16,J$195:J$198)=0,J124=0),0,J269*(1/J124-1)/SUMIF(Tech_Specs!$D$15:$D$18,"&lt;"&amp;Tech_Specs!$D16,J$195:J$198))</f>
        <v>1.6963413200374978E-4</v>
      </c>
      <c r="K232" s="201">
        <f>IF(OR(SUMIF(Tech_Specs!$D$15:$D$18,"&lt;"&amp;Tech_Specs!$D16,K$195:K$198)=0,K124=0),0,K269*(1/K124-1)/SUMIF(Tech_Specs!$D$15:$D$18,"&lt;"&amp;Tech_Specs!$D16,K$195:K$198))</f>
        <v>1.3328974030780286E-4</v>
      </c>
      <c r="L232" s="201">
        <f>IF(OR(SUMIF(Tech_Specs!$D$15:$D$18,"&lt;"&amp;Tech_Specs!$D16,L$195:L$198)=0,L124=0),0,L269*(1/L124-1)/SUMIF(Tech_Specs!$D$15:$D$18,"&lt;"&amp;Tech_Specs!$D16,L$195:L$198))</f>
        <v>1.0145174379618959E-4</v>
      </c>
      <c r="M232" s="201">
        <f>IF(OR(SUMIF(Tech_Specs!$D$15:$D$18,"&lt;"&amp;Tech_Specs!$D16,M$195:M$198)=0,M124=0),0,M269*(1/M124-1)/SUMIF(Tech_Specs!$D$15:$D$18,"&lt;"&amp;Tech_Specs!$D16,M$195:M$198))</f>
        <v>7.7600887608863554E-5</v>
      </c>
      <c r="N232" s="201">
        <f>IF(OR(SUMIF(Tech_Specs!$D$15:$D$18,"&lt;"&amp;Tech_Specs!$D16,N$195:N$198)=0,N124=0),0,N269*(1/N124-1)/SUMIF(Tech_Specs!$D$15:$D$18,"&lt;"&amp;Tech_Specs!$D16,N$195:N$198))</f>
        <v>5.6902180288776263E-5</v>
      </c>
      <c r="O232" s="201">
        <f>IF(OR(SUMIF(Tech_Specs!$D$15:$D$18,"&lt;"&amp;Tech_Specs!$D16,O$195:O$198)=0,O124=0),0,O269*(1/O124-1)/SUMIF(Tech_Specs!$D$15:$D$18,"&lt;"&amp;Tech_Specs!$D16,O$195:O$198))</f>
        <v>4.050660055856476E-5</v>
      </c>
      <c r="P232" s="201">
        <f>IF(OR(SUMIF(Tech_Specs!$D$15:$D$18,"&lt;"&amp;Tech_Specs!$D16,P$195:P$198)=0,P124=0),0,P269*(1/P124-1)/SUMIF(Tech_Specs!$D$15:$D$18,"&lt;"&amp;Tech_Specs!$D16,P$195:P$198))</f>
        <v>2.7948072167664254E-5</v>
      </c>
      <c r="Q232" s="201">
        <f>IF(OR(SUMIF(Tech_Specs!$D$15:$D$18,"&lt;"&amp;Tech_Specs!$D16,Q$195:Q$198)=0,Q124=0),0,Q269*(1/Q124-1)/SUMIF(Tech_Specs!$D$15:$D$18,"&lt;"&amp;Tech_Specs!$D16,Q$195:Q$198))</f>
        <v>1.9167001764671686E-5</v>
      </c>
      <c r="R232" s="201">
        <f>IF(OR(SUMIF(Tech_Specs!$D$15:$D$18,"&lt;"&amp;Tech_Specs!$D16,R$195:R$198)=0,R124=0),0,R269*(1/R124-1)/SUMIF(Tech_Specs!$D$15:$D$18,"&lt;"&amp;Tech_Specs!$D16,R$195:R$198))</f>
        <v>1.3116708147347212E-5</v>
      </c>
      <c r="S232" s="201">
        <f>IF(OR(SUMIF(Tech_Specs!$D$15:$D$18,"&lt;"&amp;Tech_Specs!$D16,S$195:S$198)=0,S124=0),0,S269*(1/S124-1)/SUMIF(Tech_Specs!$D$15:$D$18,"&lt;"&amp;Tech_Specs!$D16,S$195:S$198))</f>
        <v>8.8960809759473551E-6</v>
      </c>
      <c r="T232" s="201">
        <f>IF(OR(SUMIF(Tech_Specs!$D$15:$D$18,"&lt;"&amp;Tech_Specs!$D16,T$195:T$198)=0,T124=0),0,T269*(1/T124-1)/SUMIF(Tech_Specs!$D$15:$D$18,"&lt;"&amp;Tech_Specs!$D16,T$195:T$198))</f>
        <v>6.0212695262986334E-6</v>
      </c>
      <c r="U232" s="201">
        <f>IF(OR(SUMIF(Tech_Specs!$D$15:$D$18,"&lt;"&amp;Tech_Specs!$D16,U$195:U$198)=0,U124=0),0,U269*(1/U124-1)/SUMIF(Tech_Specs!$D$15:$D$18,"&lt;"&amp;Tech_Specs!$D16,U$195:U$198))</f>
        <v>4.0906261839980353E-6</v>
      </c>
      <c r="V232" s="201">
        <f>IF(OR(SUMIF(Tech_Specs!$D$15:$D$18,"&lt;"&amp;Tech_Specs!$D16,V$195:V$198)=0,V124=0),0,V269*(1/V124-1)/SUMIF(Tech_Specs!$D$15:$D$18,"&lt;"&amp;Tech_Specs!$D16,V$195:V$198))</f>
        <v>2.7815510738232352E-6</v>
      </c>
      <c r="W232" s="201">
        <f>IF(OR(SUMIF(Tech_Specs!$D$15:$D$18,"&lt;"&amp;Tech_Specs!$D16,W$195:W$198)=0,W124=0),0,W269*(1/W124-1)/SUMIF(Tech_Specs!$D$15:$D$18,"&lt;"&amp;Tech_Specs!$D16,W$195:W$198))</f>
        <v>1.9132615886504429E-6</v>
      </c>
      <c r="X232" s="201">
        <f>IF(OR(SUMIF(Tech_Specs!$D$15:$D$18,"&lt;"&amp;Tech_Specs!$D16,X$195:X$198)=0,X124=0),0,X269*(1/X124-1)/SUMIF(Tech_Specs!$D$15:$D$18,"&lt;"&amp;Tech_Specs!$D16,X$195:X$198))</f>
        <v>1.3328110313586084E-6</v>
      </c>
      <c r="Y232" s="201">
        <f>IF(OR(SUMIF(Tech_Specs!$D$15:$D$18,"&lt;"&amp;Tech_Specs!$D16,Y$195:Y$198)=0,Y124=0),0,Y269*(1/Y124-1)/SUMIF(Tech_Specs!$D$15:$D$18,"&lt;"&amp;Tech_Specs!$D16,Y$195:Y$198))</f>
        <v>9.4143999725242453E-7</v>
      </c>
      <c r="Z232" s="201">
        <f>IF(OR(SUMIF(Tech_Specs!$D$15:$D$18,"&lt;"&amp;Tech_Specs!$D16,Z$195:Z$198)=0,Z124=0),0,Z269*(1/Z124-1)/SUMIF(Tech_Specs!$D$15:$D$18,"&lt;"&amp;Tech_Specs!$D16,Z$195:Z$198))</f>
        <v>6.7211797849954878E-7</v>
      </c>
      <c r="AA232" s="201">
        <f>IF(OR(SUMIF(Tech_Specs!$D$15:$D$18,"&lt;"&amp;Tech_Specs!$D16,AA$195:AA$198)=0,AA124=0),0,AA269*(1/AA124-1)/SUMIF(Tech_Specs!$D$15:$D$18,"&lt;"&amp;Tech_Specs!$D16,AA$195:AA$198))</f>
        <v>4.8399362846470802E-7</v>
      </c>
      <c r="AB232" s="201">
        <f>IF(OR(SUMIF(Tech_Specs!$D$15:$D$18,"&lt;"&amp;Tech_Specs!$D16,AB$195:AB$198)=0,AB124=0),0,AB269*(1/AB124-1)/SUMIF(Tech_Specs!$D$15:$D$18,"&lt;"&amp;Tech_Specs!$D16,AB$195:AB$198))</f>
        <v>3.5292667002820817E-7</v>
      </c>
      <c r="AC232" s="201">
        <f>IF(OR(SUMIF(Tech_Specs!$D$15:$D$18,"&lt;"&amp;Tech_Specs!$D16,AC$195:AC$198)=0,AC124=0),0,AC269*(1/AC124-1)/SUMIF(Tech_Specs!$D$15:$D$18,"&lt;"&amp;Tech_Specs!$D16,AC$195:AC$198))</f>
        <v>2.5941652093713291E-7</v>
      </c>
      <c r="AD232" s="201">
        <f>IF(OR(SUMIF(Tech_Specs!$D$15:$D$18,"&lt;"&amp;Tech_Specs!$D16,AD$195:AD$198)=0,AD124=0),0,AD269*(1/AD124-1)/SUMIF(Tech_Specs!$D$15:$D$18,"&lt;"&amp;Tech_Specs!$D16,AD$195:AD$198))</f>
        <v>1.9208927821087258E-7</v>
      </c>
      <c r="AE232" s="201">
        <f>IF(OR(SUMIF(Tech_Specs!$D$15:$D$18,"&lt;"&amp;Tech_Specs!$D16,AE$195:AE$198)=0,AE124=0),0,AE269*(1/AE124-1)/SUMIF(Tech_Specs!$D$15:$D$18,"&lt;"&amp;Tech_Specs!$D16,AE$195:AE$198))</f>
        <v>1.4328392196576963E-7</v>
      </c>
      <c r="AF232" s="201">
        <f>IF(OR(SUMIF(Tech_Specs!$D$15:$D$18,"&lt;"&amp;Tech_Specs!$D16,AF$195:AF$198)=0,AF124=0),0,AF269*(1/AF124-1)/SUMIF(Tech_Specs!$D$15:$D$18,"&lt;"&amp;Tech_Specs!$D16,AF$195:AF$198))</f>
        <v>1.0843618946063224E-7</v>
      </c>
    </row>
    <row r="233" spans="1:32" s="221" customFormat="1" x14ac:dyDescent="0.25">
      <c r="A233" s="376"/>
      <c r="B233" s="388" t="s">
        <v>35</v>
      </c>
      <c r="C233"/>
      <c r="D233"/>
      <c r="E233"/>
      <c r="F233"/>
      <c r="G233" s="201">
        <f>IF(OR(SUMIF(Tech_Specs!$D$15:$D$18,"&lt;"&amp;Tech_Specs!$D17,G$195:G$198)=0,G125=0),0,G270*(1/G125-1)/SUMIF(Tech_Specs!$D$15:$D$18,"&lt;"&amp;Tech_Specs!$D17,G$195:G$198))</f>
        <v>1.208700642775304E-2</v>
      </c>
      <c r="H233" s="201">
        <f>IF(OR(SUMIF(Tech_Specs!$D$15:$D$18,"&lt;"&amp;Tech_Specs!$D17,H$195:H$198)=0,H125=0),0,H270*(1/H125-1)/SUMIF(Tech_Specs!$D$15:$D$18,"&lt;"&amp;Tech_Specs!$D17,H$195:H$198))</f>
        <v>1.2768058166846515E-2</v>
      </c>
      <c r="I233" s="201">
        <f>IF(OR(SUMIF(Tech_Specs!$D$15:$D$18,"&lt;"&amp;Tech_Specs!$D17,I$195:I$198)=0,I125=0),0,I270*(1/I125-1)/SUMIF(Tech_Specs!$D$15:$D$18,"&lt;"&amp;Tech_Specs!$D17,I$195:I$198))</f>
        <v>1.1292436823266083E-2</v>
      </c>
      <c r="J233" s="201">
        <f>IF(OR(SUMIF(Tech_Specs!$D$15:$D$18,"&lt;"&amp;Tech_Specs!$D17,J$195:J$198)=0,J125=0),0,J270*(1/J125-1)/SUMIF(Tech_Specs!$D$15:$D$18,"&lt;"&amp;Tech_Specs!$D17,J$195:J$198))</f>
        <v>9.6599940445668813E-3</v>
      </c>
      <c r="K233" s="201">
        <f>IF(OR(SUMIF(Tech_Specs!$D$15:$D$18,"&lt;"&amp;Tech_Specs!$D17,K$195:K$198)=0,K125=0),0,K270*(1/K125-1)/SUMIF(Tech_Specs!$D$15:$D$18,"&lt;"&amp;Tech_Specs!$D17,K$195:K$198))</f>
        <v>8.1753464275929298E-3</v>
      </c>
      <c r="L233" s="201">
        <f>IF(OR(SUMIF(Tech_Specs!$D$15:$D$18,"&lt;"&amp;Tech_Specs!$D17,L$195:L$198)=0,L125=0),0,L270*(1/L125-1)/SUMIF(Tech_Specs!$D$15:$D$18,"&lt;"&amp;Tech_Specs!$D17,L$195:L$198))</f>
        <v>6.175142626792576E-3</v>
      </c>
      <c r="M233" s="201">
        <f>IF(OR(SUMIF(Tech_Specs!$D$15:$D$18,"&lt;"&amp;Tech_Specs!$D17,M$195:M$198)=0,M125=0),0,M270*(1/M125-1)/SUMIF(Tech_Specs!$D$15:$D$18,"&lt;"&amp;Tech_Specs!$D17,M$195:M$198))</f>
        <v>4.6894390422197443E-3</v>
      </c>
      <c r="N233" s="201">
        <f>IF(OR(SUMIF(Tech_Specs!$D$15:$D$18,"&lt;"&amp;Tech_Specs!$D17,N$195:N$198)=0,N125=0),0,N270*(1/N125-1)/SUMIF(Tech_Specs!$D$15:$D$18,"&lt;"&amp;Tech_Specs!$D17,N$195:N$198))</f>
        <v>3.4037710415186231E-3</v>
      </c>
      <c r="O233" s="201">
        <f>IF(OR(SUMIF(Tech_Specs!$D$15:$D$18,"&lt;"&amp;Tech_Specs!$D17,O$195:O$198)=0,O125=0),0,O270*(1/O125-1)/SUMIF(Tech_Specs!$D$15:$D$18,"&lt;"&amp;Tech_Specs!$D17,O$195:O$198))</f>
        <v>2.3940751049091103E-3</v>
      </c>
      <c r="P233" s="201">
        <f>IF(OR(SUMIF(Tech_Specs!$D$15:$D$18,"&lt;"&amp;Tech_Specs!$D17,P$195:P$198)=0,P125=0),0,P270*(1/P125-1)/SUMIF(Tech_Specs!$D$15:$D$18,"&lt;"&amp;Tech_Specs!$D17,P$195:P$198))</f>
        <v>1.6294945072734242E-3</v>
      </c>
      <c r="Q233" s="201">
        <f>IF(OR(SUMIF(Tech_Specs!$D$15:$D$18,"&lt;"&amp;Tech_Specs!$D17,Q$195:Q$198)=0,Q125=0),0,Q270*(1/Q125-1)/SUMIF(Tech_Specs!$D$15:$D$18,"&lt;"&amp;Tech_Specs!$D17,Q$195:Q$198))</f>
        <v>1.1019495109542089E-3</v>
      </c>
      <c r="R233" s="201">
        <f>IF(OR(SUMIF(Tech_Specs!$D$15:$D$18,"&lt;"&amp;Tech_Specs!$D17,R$195:R$198)=0,R125=0),0,R270*(1/R125-1)/SUMIF(Tech_Specs!$D$15:$D$18,"&lt;"&amp;Tech_Specs!$D17,R$195:R$198))</f>
        <v>7.4330524175849808E-4</v>
      </c>
      <c r="S233" s="201">
        <f>IF(OR(SUMIF(Tech_Specs!$D$15:$D$18,"&lt;"&amp;Tech_Specs!$D17,S$195:S$198)=0,S125=0),0,S270*(1/S125-1)/SUMIF(Tech_Specs!$D$15:$D$18,"&lt;"&amp;Tech_Specs!$D17,S$195:S$198))</f>
        <v>4.9656487867371822E-4</v>
      </c>
      <c r="T233" s="201">
        <f>IF(OR(SUMIF(Tech_Specs!$D$15:$D$18,"&lt;"&amp;Tech_Specs!$D17,T$195:T$198)=0,T125=0),0,T270*(1/T125-1)/SUMIF(Tech_Specs!$D$15:$D$18,"&lt;"&amp;Tech_Specs!$D17,T$195:T$198))</f>
        <v>3.3087538981145054E-4</v>
      </c>
      <c r="U233" s="201">
        <f>IF(OR(SUMIF(Tech_Specs!$D$15:$D$18,"&lt;"&amp;Tech_Specs!$D17,U$195:U$198)=0,U125=0),0,U270*(1/U125-1)/SUMIF(Tech_Specs!$D$15:$D$18,"&lt;"&amp;Tech_Specs!$D17,U$195:U$198))</f>
        <v>2.211739028445396E-4</v>
      </c>
      <c r="V233" s="201">
        <f>IF(OR(SUMIF(Tech_Specs!$D$15:$D$18,"&lt;"&amp;Tech_Specs!$D17,V$195:V$198)=0,V125=0),0,V270*(1/V125-1)/SUMIF(Tech_Specs!$D$15:$D$18,"&lt;"&amp;Tech_Specs!$D17,V$195:V$198))</f>
        <v>1.4790588356214846E-4</v>
      </c>
      <c r="W233" s="201">
        <f>IF(OR(SUMIF(Tech_Specs!$D$15:$D$18,"&lt;"&amp;Tech_Specs!$D17,W$195:W$198)=0,W125=0),0,W270*(1/W125-1)/SUMIF(Tech_Specs!$D$15:$D$18,"&lt;"&amp;Tech_Specs!$D17,W$195:W$198))</f>
        <v>9.9997580830419485E-5</v>
      </c>
      <c r="X233" s="201">
        <f>IF(OR(SUMIF(Tech_Specs!$D$15:$D$18,"&lt;"&amp;Tech_Specs!$D17,X$195:X$198)=0,X125=0),0,X270*(1/X125-1)/SUMIF(Tech_Specs!$D$15:$D$18,"&lt;"&amp;Tech_Specs!$D17,X$195:X$198))</f>
        <v>6.8426982724490514E-5</v>
      </c>
      <c r="Y233" s="201">
        <f>IF(OR(SUMIF(Tech_Specs!$D$15:$D$18,"&lt;"&amp;Tech_Specs!$D17,Y$195:Y$198)=0,Y125=0),0,Y270*(1/Y125-1)/SUMIF(Tech_Specs!$D$15:$D$18,"&lt;"&amp;Tech_Specs!$D17,Y$195:Y$198))</f>
        <v>4.7442867747701742E-5</v>
      </c>
      <c r="Z233" s="201">
        <f>IF(OR(SUMIF(Tech_Specs!$D$15:$D$18,"&lt;"&amp;Tech_Specs!$D17,Z$195:Z$198)=0,Z125=0),0,Z270*(1/Z125-1)/SUMIF(Tech_Specs!$D$15:$D$18,"&lt;"&amp;Tech_Specs!$D17,Z$195:Z$198))</f>
        <v>3.3224541392710989E-5</v>
      </c>
      <c r="AA233" s="201">
        <f>IF(OR(SUMIF(Tech_Specs!$D$15:$D$18,"&lt;"&amp;Tech_Specs!$D17,AA$195:AA$198)=0,AA125=0),0,AA270*(1/AA125-1)/SUMIF(Tech_Specs!$D$15:$D$18,"&lt;"&amp;Tech_Specs!$D17,AA$195:AA$198))</f>
        <v>2.3456020491245443E-5</v>
      </c>
      <c r="AB233" s="201">
        <f>IF(OR(SUMIF(Tech_Specs!$D$15:$D$18,"&lt;"&amp;Tech_Specs!$D17,AB$195:AB$198)=0,AB125=0),0,AB270*(1/AB125-1)/SUMIF(Tech_Specs!$D$15:$D$18,"&lt;"&amp;Tech_Specs!$D17,AB$195:AB$198))</f>
        <v>1.6752111623734031E-5</v>
      </c>
      <c r="AC233" s="201">
        <f>IF(OR(SUMIF(Tech_Specs!$D$15:$D$18,"&lt;"&amp;Tech_Specs!$D17,AC$195:AC$198)=0,AC125=0),0,AC270*(1/AC125-1)/SUMIF(Tech_Specs!$D$15:$D$18,"&lt;"&amp;Tech_Specs!$D17,AC$195:AC$198))</f>
        <v>1.2050614684589669E-5</v>
      </c>
      <c r="AD233" s="201">
        <f>IF(OR(SUMIF(Tech_Specs!$D$15:$D$18,"&lt;"&amp;Tech_Specs!$D17,AD$195:AD$198)=0,AD125=0),0,AD270*(1/AD125-1)/SUMIF(Tech_Specs!$D$15:$D$18,"&lt;"&amp;Tech_Specs!$D17,AD$195:AD$198))</f>
        <v>8.7246311264428465E-6</v>
      </c>
      <c r="AE233" s="201">
        <f>IF(OR(SUMIF(Tech_Specs!$D$15:$D$18,"&lt;"&amp;Tech_Specs!$D17,AE$195:AE$198)=0,AE125=0),0,AE270*(1/AE125-1)/SUMIF(Tech_Specs!$D$15:$D$18,"&lt;"&amp;Tech_Specs!$D17,AE$195:AE$198))</f>
        <v>6.3559303362367588E-6</v>
      </c>
      <c r="AF233" s="201">
        <f>IF(OR(SUMIF(Tech_Specs!$D$15:$D$18,"&lt;"&amp;Tech_Specs!$D17,AF$195:AF$198)=0,AF125=0),0,AF270*(1/AF125-1)/SUMIF(Tech_Specs!$D$15:$D$18,"&lt;"&amp;Tech_Specs!$D17,AF$195:AF$198))</f>
        <v>4.6856015127879626E-6</v>
      </c>
    </row>
    <row r="234" spans="1:32" s="221" customFormat="1" x14ac:dyDescent="0.25">
      <c r="A234" s="376"/>
      <c r="B234" s="388" t="s">
        <v>29</v>
      </c>
      <c r="C234"/>
      <c r="D234"/>
      <c r="E234"/>
      <c r="F234"/>
      <c r="G234" s="201">
        <f>IF(OR(SUMIF(Tech_Specs!$D$15:$D$18,"&lt;"&amp;Tech_Specs!$D18,G$195:G$198)=0,G126=0),0,G271*(1/G126-1)/SUMIF(Tech_Specs!$D$15:$D$18,"&lt;"&amp;Tech_Specs!$D18,G$195:G$198))</f>
        <v>0.16725096192188754</v>
      </c>
      <c r="H234" s="201">
        <f>IF(OR(SUMIF(Tech_Specs!$D$15:$D$18,"&lt;"&amp;Tech_Specs!$D18,H$195:H$198)=0,H126=0),0,H271*(1/H126-1)/SUMIF(Tech_Specs!$D$15:$D$18,"&lt;"&amp;Tech_Specs!$D18,H$195:H$198))</f>
        <v>0.66732147252026153</v>
      </c>
      <c r="I234" s="201">
        <f>IF(OR(SUMIF(Tech_Specs!$D$15:$D$18,"&lt;"&amp;Tech_Specs!$D18,I$195:I$198)=0,I126=0),0,I271*(1/I126-1)/SUMIF(Tech_Specs!$D$15:$D$18,"&lt;"&amp;Tech_Specs!$D18,I$195:I$198))</f>
        <v>1.0854166982315314</v>
      </c>
      <c r="J234" s="201">
        <f>IF(OR(SUMIF(Tech_Specs!$D$15:$D$18,"&lt;"&amp;Tech_Specs!$D18,J$195:J$198)=0,J126=0),0,J271*(1/J126-1)/SUMIF(Tech_Specs!$D$15:$D$18,"&lt;"&amp;Tech_Specs!$D18,J$195:J$198))</f>
        <v>1.4242518769423507</v>
      </c>
      <c r="K234" s="201">
        <f>IF(OR(SUMIF(Tech_Specs!$D$15:$D$18,"&lt;"&amp;Tech_Specs!$D18,K$195:K$198)=0,K126=0),0,K271*(1/K126-1)/SUMIF(Tech_Specs!$D$15:$D$18,"&lt;"&amp;Tech_Specs!$D18,K$195:K$198))</f>
        <v>1.7035301148130304</v>
      </c>
      <c r="L234" s="201">
        <f>IF(OR(SUMIF(Tech_Specs!$D$15:$D$18,"&lt;"&amp;Tech_Specs!$D18,L$195:L$198)=0,L126=0),0,L271*(1/L126-1)/SUMIF(Tech_Specs!$D$15:$D$18,"&lt;"&amp;Tech_Specs!$D18,L$195:L$198))</f>
        <v>1.8142948333111359</v>
      </c>
      <c r="M234" s="201">
        <f>IF(OR(SUMIF(Tech_Specs!$D$15:$D$18,"&lt;"&amp;Tech_Specs!$D18,M$195:M$198)=0,M126=0),0,M271*(1/M126-1)/SUMIF(Tech_Specs!$D$15:$D$18,"&lt;"&amp;Tech_Specs!$D18,M$195:M$198))</f>
        <v>1.8786353382117011</v>
      </c>
      <c r="N234" s="201">
        <f>IF(OR(SUMIF(Tech_Specs!$D$15:$D$18,"&lt;"&amp;Tech_Specs!$D18,N$195:N$198)=0,N126=0),0,N271*(1/N126-1)/SUMIF(Tech_Specs!$D$15:$D$18,"&lt;"&amp;Tech_Specs!$D18,N$195:N$198))</f>
        <v>1.8437739804196374</v>
      </c>
      <c r="O234" s="201">
        <f>IF(OR(SUMIF(Tech_Specs!$D$15:$D$18,"&lt;"&amp;Tech_Specs!$D18,O$195:O$198)=0,O126=0),0,O271*(1/O126-1)/SUMIF(Tech_Specs!$D$15:$D$18,"&lt;"&amp;Tech_Specs!$D18,O$195:O$198))</f>
        <v>1.7368051665058961</v>
      </c>
      <c r="P234" s="201">
        <f>IF(OR(SUMIF(Tech_Specs!$D$15:$D$18,"&lt;"&amp;Tech_Specs!$D18,P$195:P$198)=0,P126=0),0,P271*(1/P126-1)/SUMIF(Tech_Specs!$D$15:$D$18,"&lt;"&amp;Tech_Specs!$D18,P$195:P$198))</f>
        <v>1.5710163771459291</v>
      </c>
      <c r="Q234" s="201">
        <f>IF(OR(SUMIF(Tech_Specs!$D$15:$D$18,"&lt;"&amp;Tech_Specs!$D18,Q$195:Q$198)=0,Q126=0),0,Q271*(1/Q126-1)/SUMIF(Tech_Specs!$D$15:$D$18,"&lt;"&amp;Tech_Specs!$D18,Q$195:Q$198))</f>
        <v>1.3896333808603352</v>
      </c>
      <c r="R234" s="201">
        <f>IF(OR(SUMIF(Tech_Specs!$D$15:$D$18,"&lt;"&amp;Tech_Specs!$D18,R$195:R$198)=0,R126=0),0,R271*(1/R126-1)/SUMIF(Tech_Specs!$D$15:$D$18,"&lt;"&amp;Tech_Specs!$D18,R$195:R$198))</f>
        <v>1.2031142799869325</v>
      </c>
      <c r="S234" s="201">
        <f>IF(OR(SUMIF(Tech_Specs!$D$15:$D$18,"&lt;"&amp;Tech_Specs!$D18,S$195:S$198)=0,S126=0),0,S271*(1/S126-1)/SUMIF(Tech_Specs!$D$15:$D$18,"&lt;"&amp;Tech_Specs!$D18,S$195:S$198))</f>
        <v>1.01458308563913</v>
      </c>
      <c r="T234" s="201">
        <f>IF(OR(SUMIF(Tech_Specs!$D$15:$D$18,"&lt;"&amp;Tech_Specs!$D18,T$195:T$198)=0,T126=0),0,T271*(1/T126-1)/SUMIF(Tech_Specs!$D$15:$D$18,"&lt;"&amp;Tech_Specs!$D18,T$195:T$198))</f>
        <v>0.83628965156202451</v>
      </c>
      <c r="U234" s="201">
        <f>IF(OR(SUMIF(Tech_Specs!$D$15:$D$18,"&lt;"&amp;Tech_Specs!$D18,U$195:U$198)=0,U126=0),0,U271*(1/U126-1)/SUMIF(Tech_Specs!$D$15:$D$18,"&lt;"&amp;Tech_Specs!$D18,U$195:U$198))</f>
        <v>0.67586158793604123</v>
      </c>
      <c r="V234" s="201">
        <f>IF(OR(SUMIF(Tech_Specs!$D$15:$D$18,"&lt;"&amp;Tech_Specs!$D18,V$195:V$198)=0,V126=0),0,V271*(1/V126-1)/SUMIF(Tech_Specs!$D$15:$D$18,"&lt;"&amp;Tech_Specs!$D18,V$195:V$198))</f>
        <v>0.53388696033727712</v>
      </c>
      <c r="W234" s="201">
        <f>IF(OR(SUMIF(Tech_Specs!$D$15:$D$18,"&lt;"&amp;Tech_Specs!$D18,W$195:W$198)=0,W126=0),0,W271*(1/W126-1)/SUMIF(Tech_Specs!$D$15:$D$18,"&lt;"&amp;Tech_Specs!$D18,W$195:W$198))</f>
        <v>0.41580635336904664</v>
      </c>
      <c r="X234" s="201">
        <f>IF(OR(SUMIF(Tech_Specs!$D$15:$D$18,"&lt;"&amp;Tech_Specs!$D18,X$195:X$198)=0,X126=0),0,X271*(1/X126-1)/SUMIF(Tech_Specs!$D$15:$D$18,"&lt;"&amp;Tech_Specs!$D18,X$195:X$198))</f>
        <v>0.32000025848416341</v>
      </c>
      <c r="Y234" s="201">
        <f>IF(OR(SUMIF(Tech_Specs!$D$15:$D$18,"&lt;"&amp;Tech_Specs!$D18,Y$195:Y$198)=0,Y126=0),0,Y271*(1/Y126-1)/SUMIF(Tech_Specs!$D$15:$D$18,"&lt;"&amp;Tech_Specs!$D18,Y$195:Y$198))</f>
        <v>0.24409507475877074</v>
      </c>
      <c r="Z234" s="201">
        <f>IF(OR(SUMIF(Tech_Specs!$D$15:$D$18,"&lt;"&amp;Tech_Specs!$D18,Z$195:Z$198)=0,Z126=0),0,Z271*(1/Z126-1)/SUMIF(Tech_Specs!$D$15:$D$18,"&lt;"&amp;Tech_Specs!$D18,Z$195:Z$198))</f>
        <v>0.18447348206101796</v>
      </c>
      <c r="AA234" s="201">
        <f>IF(OR(SUMIF(Tech_Specs!$D$15:$D$18,"&lt;"&amp;Tech_Specs!$D18,AA$195:AA$198)=0,AA126=0),0,AA271*(1/AA126-1)/SUMIF(Tech_Specs!$D$15:$D$18,"&lt;"&amp;Tech_Specs!$D18,AA$195:AA$198))</f>
        <v>0.13823110122328813</v>
      </c>
      <c r="AB234" s="201">
        <f>IF(OR(SUMIF(Tech_Specs!$D$15:$D$18,"&lt;"&amp;Tech_Specs!$D18,AB$195:AB$198)=0,AB126=0),0,AB271*(1/AB126-1)/SUMIF(Tech_Specs!$D$15:$D$18,"&lt;"&amp;Tech_Specs!$D18,AB$195:AB$198))</f>
        <v>0.10336902589060838</v>
      </c>
      <c r="AC234" s="201">
        <f>IF(OR(SUMIF(Tech_Specs!$D$15:$D$18,"&lt;"&amp;Tech_Specs!$D18,AC$195:AC$198)=0,AC126=0),0,AC271*(1/AC126-1)/SUMIF(Tech_Specs!$D$15:$D$18,"&lt;"&amp;Tech_Specs!$D18,AC$195:AC$198))</f>
        <v>7.7007230681552172E-2</v>
      </c>
      <c r="AD234" s="201">
        <f>IF(OR(SUMIF(Tech_Specs!$D$15:$D$18,"&lt;"&amp;Tech_Specs!$D18,AD$195:AD$198)=0,AD126=0),0,AD271*(1/AD126-1)/SUMIF(Tech_Specs!$D$15:$D$18,"&lt;"&amp;Tech_Specs!$D18,AD$195:AD$198))</f>
        <v>5.7244239491911778E-2</v>
      </c>
      <c r="AE234" s="201">
        <f>IF(OR(SUMIF(Tech_Specs!$D$15:$D$18,"&lt;"&amp;Tech_Specs!$D18,AE$195:AE$198)=0,AE126=0),0,AE271*(1/AE126-1)/SUMIF(Tech_Specs!$D$15:$D$18,"&lt;"&amp;Tech_Specs!$D18,AE$195:AE$198))</f>
        <v>4.2539062353227734E-2</v>
      </c>
      <c r="AF234" s="201">
        <f>IF(OR(SUMIF(Tech_Specs!$D$15:$D$18,"&lt;"&amp;Tech_Specs!$D18,AF$195:AF$198)=0,AF126=0),0,AF271*(1/AF126-1)/SUMIF(Tech_Specs!$D$15:$D$18,"&lt;"&amp;Tech_Specs!$D18,AF$195:AF$198))</f>
        <v>3.1859636561346848E-2</v>
      </c>
    </row>
    <row r="235" spans="1:32" s="221" customFormat="1" x14ac:dyDescent="0.25">
      <c r="A235" s="376"/>
      <c r="B235" s="376"/>
      <c r="C235"/>
      <c r="D235"/>
      <c r="E235"/>
      <c r="F235"/>
      <c r="G235"/>
      <c r="H235"/>
      <c r="I235"/>
      <c r="J235"/>
      <c r="K235"/>
      <c r="L235"/>
      <c r="M235"/>
      <c r="N235"/>
      <c r="O235"/>
      <c r="P235"/>
      <c r="Q235"/>
      <c r="R235"/>
      <c r="S235"/>
      <c r="T235"/>
      <c r="U235"/>
      <c r="V235"/>
      <c r="W235"/>
      <c r="X235"/>
      <c r="Y235"/>
      <c r="Z235"/>
      <c r="AA235"/>
      <c r="AB235"/>
      <c r="AC235"/>
      <c r="AD235"/>
      <c r="AE235"/>
      <c r="AF235"/>
    </row>
    <row r="236" spans="1:32" s="202" customFormat="1" ht="12.75" x14ac:dyDescent="0.2">
      <c r="A236" s="402" t="s">
        <v>36</v>
      </c>
      <c r="B236" s="402"/>
      <c r="C236" s="402"/>
      <c r="D236" s="402"/>
      <c r="E236" s="402"/>
      <c r="F236" s="402"/>
      <c r="G236" s="402"/>
      <c r="H236" s="402"/>
      <c r="I236" s="402"/>
      <c r="J236" s="402"/>
      <c r="K236" s="402"/>
      <c r="L236" s="402"/>
      <c r="M236" s="402"/>
      <c r="N236" s="402"/>
      <c r="O236" s="402"/>
      <c r="P236" s="402"/>
      <c r="Q236" s="402"/>
      <c r="R236" s="402"/>
      <c r="S236" s="402"/>
      <c r="T236" s="402"/>
      <c r="U236" s="402"/>
      <c r="V236" s="402"/>
      <c r="W236" s="402"/>
      <c r="X236" s="402"/>
      <c r="Y236" s="402"/>
      <c r="Z236" s="402"/>
      <c r="AA236" s="402"/>
      <c r="AB236" s="402"/>
      <c r="AC236" s="402"/>
      <c r="AD236" s="402"/>
      <c r="AE236" s="402"/>
      <c r="AF236" s="402"/>
    </row>
    <row r="237" spans="1:32" s="221" customFormat="1" x14ac:dyDescent="0.25">
      <c r="A237" s="376"/>
      <c r="B237" s="376" t="s">
        <v>37</v>
      </c>
      <c r="C237"/>
      <c r="D237"/>
      <c r="E237"/>
      <c r="F237"/>
      <c r="G237" s="201">
        <f>IF(OR(SUMIF(Tech_Specs!$D$21:$D$24,"&lt;"&amp;Tech_Specs!$D21,G$201:G$204)=0,G129=0),0,G274*(1/G129-1)/SUMIF(Tech_Specs!$D$21:$D$24,"&lt;"&amp;Tech_Specs!$D21,G$201:G$204))</f>
        <v>0</v>
      </c>
      <c r="H237" s="201">
        <f>IF(OR(SUMIF(Tech_Specs!$D$21:$D$24,"&lt;"&amp;Tech_Specs!$D21,H$201:H$204)=0,H129=0),0,H274*(1/H129-1)/SUMIF(Tech_Specs!$D$21:$D$24,"&lt;"&amp;Tech_Specs!$D21,H$201:H$204))</f>
        <v>0</v>
      </c>
      <c r="I237" s="201">
        <f>IF(OR(SUMIF(Tech_Specs!$D$21:$D$24,"&lt;"&amp;Tech_Specs!$D21,I$201:I$204)=0,I129=0),0,I274*(1/I129-1)/SUMIF(Tech_Specs!$D$21:$D$24,"&lt;"&amp;Tech_Specs!$D21,I$201:I$204))</f>
        <v>0</v>
      </c>
      <c r="J237" s="201">
        <f>IF(OR(SUMIF(Tech_Specs!$D$21:$D$24,"&lt;"&amp;Tech_Specs!$D21,J$201:J$204)=0,J129=0),0,J274*(1/J129-1)/SUMIF(Tech_Specs!$D$21:$D$24,"&lt;"&amp;Tech_Specs!$D21,J$201:J$204))</f>
        <v>0</v>
      </c>
      <c r="K237" s="201">
        <f>IF(OR(SUMIF(Tech_Specs!$D$21:$D$24,"&lt;"&amp;Tech_Specs!$D21,K$201:K$204)=0,K129=0),0,K274*(1/K129-1)/SUMIF(Tech_Specs!$D$21:$D$24,"&lt;"&amp;Tech_Specs!$D21,K$201:K$204))</f>
        <v>0</v>
      </c>
      <c r="L237" s="201">
        <f>IF(OR(SUMIF(Tech_Specs!$D$21:$D$24,"&lt;"&amp;Tech_Specs!$D21,L$201:L$204)=0,L129=0),0,L274*(1/L129-1)/SUMIF(Tech_Specs!$D$21:$D$24,"&lt;"&amp;Tech_Specs!$D21,L$201:L$204))</f>
        <v>0</v>
      </c>
      <c r="M237" s="201">
        <f>IF(OR(SUMIF(Tech_Specs!$D$21:$D$24,"&lt;"&amp;Tech_Specs!$D21,M$201:M$204)=0,M129=0),0,M274*(1/M129-1)/SUMIF(Tech_Specs!$D$21:$D$24,"&lt;"&amp;Tech_Specs!$D21,M$201:M$204))</f>
        <v>0</v>
      </c>
      <c r="N237" s="201">
        <f>IF(OR(SUMIF(Tech_Specs!$D$21:$D$24,"&lt;"&amp;Tech_Specs!$D21,N$201:N$204)=0,N129=0),0,N274*(1/N129-1)/SUMIF(Tech_Specs!$D$21:$D$24,"&lt;"&amp;Tech_Specs!$D21,N$201:N$204))</f>
        <v>0</v>
      </c>
      <c r="O237" s="201">
        <f>IF(OR(SUMIF(Tech_Specs!$D$21:$D$24,"&lt;"&amp;Tech_Specs!$D21,O$201:O$204)=0,O129=0),0,O274*(1/O129-1)/SUMIF(Tech_Specs!$D$21:$D$24,"&lt;"&amp;Tech_Specs!$D21,O$201:O$204))</f>
        <v>0</v>
      </c>
      <c r="P237" s="201">
        <f>IF(OR(SUMIF(Tech_Specs!$D$21:$D$24,"&lt;"&amp;Tech_Specs!$D21,P$201:P$204)=0,P129=0),0,P274*(1/P129-1)/SUMIF(Tech_Specs!$D$21:$D$24,"&lt;"&amp;Tech_Specs!$D21,P$201:P$204))</f>
        <v>0</v>
      </c>
      <c r="Q237" s="201">
        <f>IF(OR(SUMIF(Tech_Specs!$D$21:$D$24,"&lt;"&amp;Tech_Specs!$D21,Q$201:Q$204)=0,Q129=0),0,Q274*(1/Q129-1)/SUMIF(Tech_Specs!$D$21:$D$24,"&lt;"&amp;Tech_Specs!$D21,Q$201:Q$204))</f>
        <v>0</v>
      </c>
      <c r="R237" s="201">
        <f>IF(OR(SUMIF(Tech_Specs!$D$21:$D$24,"&lt;"&amp;Tech_Specs!$D21,R$201:R$204)=0,R129=0),0,R274*(1/R129-1)/SUMIF(Tech_Specs!$D$21:$D$24,"&lt;"&amp;Tech_Specs!$D21,R$201:R$204))</f>
        <v>0</v>
      </c>
      <c r="S237" s="201">
        <f>IF(OR(SUMIF(Tech_Specs!$D$21:$D$24,"&lt;"&amp;Tech_Specs!$D21,S$201:S$204)=0,S129=0),0,S274*(1/S129-1)/SUMIF(Tech_Specs!$D$21:$D$24,"&lt;"&amp;Tech_Specs!$D21,S$201:S$204))</f>
        <v>0</v>
      </c>
      <c r="T237" s="201">
        <f>IF(OR(SUMIF(Tech_Specs!$D$21:$D$24,"&lt;"&amp;Tech_Specs!$D21,T$201:T$204)=0,T129=0),0,T274*(1/T129-1)/SUMIF(Tech_Specs!$D$21:$D$24,"&lt;"&amp;Tech_Specs!$D21,T$201:T$204))</f>
        <v>0</v>
      </c>
      <c r="U237" s="201">
        <f>IF(OR(SUMIF(Tech_Specs!$D$21:$D$24,"&lt;"&amp;Tech_Specs!$D21,U$201:U$204)=0,U129=0),0,U274*(1/U129-1)/SUMIF(Tech_Specs!$D$21:$D$24,"&lt;"&amp;Tech_Specs!$D21,U$201:U$204))</f>
        <v>0</v>
      </c>
      <c r="V237" s="201">
        <f>IF(OR(SUMIF(Tech_Specs!$D$21:$D$24,"&lt;"&amp;Tech_Specs!$D21,V$201:V$204)=0,V129=0),0,V274*(1/V129-1)/SUMIF(Tech_Specs!$D$21:$D$24,"&lt;"&amp;Tech_Specs!$D21,V$201:V$204))</f>
        <v>0</v>
      </c>
      <c r="W237" s="201">
        <f>IF(OR(SUMIF(Tech_Specs!$D$21:$D$24,"&lt;"&amp;Tech_Specs!$D21,W$201:W$204)=0,W129=0),0,W274*(1/W129-1)/SUMIF(Tech_Specs!$D$21:$D$24,"&lt;"&amp;Tech_Specs!$D21,W$201:W$204))</f>
        <v>0</v>
      </c>
      <c r="X237" s="201">
        <f>IF(OR(SUMIF(Tech_Specs!$D$21:$D$24,"&lt;"&amp;Tech_Specs!$D21,X$201:X$204)=0,X129=0),0,X274*(1/X129-1)/SUMIF(Tech_Specs!$D$21:$D$24,"&lt;"&amp;Tech_Specs!$D21,X$201:X$204))</f>
        <v>0</v>
      </c>
      <c r="Y237" s="201">
        <f>IF(OR(SUMIF(Tech_Specs!$D$21:$D$24,"&lt;"&amp;Tech_Specs!$D21,Y$201:Y$204)=0,Y129=0),0,Y274*(1/Y129-1)/SUMIF(Tech_Specs!$D$21:$D$24,"&lt;"&amp;Tech_Specs!$D21,Y$201:Y$204))</f>
        <v>0</v>
      </c>
      <c r="Z237" s="201">
        <f>IF(OR(SUMIF(Tech_Specs!$D$21:$D$24,"&lt;"&amp;Tech_Specs!$D21,Z$201:Z$204)=0,Z129=0),0,Z274*(1/Z129-1)/SUMIF(Tech_Specs!$D$21:$D$24,"&lt;"&amp;Tech_Specs!$D21,Z$201:Z$204))</f>
        <v>0</v>
      </c>
      <c r="AA237" s="201">
        <f>IF(OR(SUMIF(Tech_Specs!$D$21:$D$24,"&lt;"&amp;Tech_Specs!$D21,AA$201:AA$204)=0,AA129=0),0,AA274*(1/AA129-1)/SUMIF(Tech_Specs!$D$21:$D$24,"&lt;"&amp;Tech_Specs!$D21,AA$201:AA$204))</f>
        <v>0</v>
      </c>
      <c r="AB237" s="201">
        <f>IF(OR(SUMIF(Tech_Specs!$D$21:$D$24,"&lt;"&amp;Tech_Specs!$D21,AB$201:AB$204)=0,AB129=0),0,AB274*(1/AB129-1)/SUMIF(Tech_Specs!$D$21:$D$24,"&lt;"&amp;Tech_Specs!$D21,AB$201:AB$204))</f>
        <v>0</v>
      </c>
      <c r="AC237" s="201">
        <f>IF(OR(SUMIF(Tech_Specs!$D$21:$D$24,"&lt;"&amp;Tech_Specs!$D21,AC$201:AC$204)=0,AC129=0),0,AC274*(1/AC129-1)/SUMIF(Tech_Specs!$D$21:$D$24,"&lt;"&amp;Tech_Specs!$D21,AC$201:AC$204))</f>
        <v>0</v>
      </c>
      <c r="AD237" s="201">
        <f>IF(OR(SUMIF(Tech_Specs!$D$21:$D$24,"&lt;"&amp;Tech_Specs!$D21,AD$201:AD$204)=0,AD129=0),0,AD274*(1/AD129-1)/SUMIF(Tech_Specs!$D$21:$D$24,"&lt;"&amp;Tech_Specs!$D21,AD$201:AD$204))</f>
        <v>0</v>
      </c>
      <c r="AE237" s="201">
        <f>IF(OR(SUMIF(Tech_Specs!$D$21:$D$24,"&lt;"&amp;Tech_Specs!$D21,AE$201:AE$204)=0,AE129=0),0,AE274*(1/AE129-1)/SUMIF(Tech_Specs!$D$21:$D$24,"&lt;"&amp;Tech_Specs!$D21,AE$201:AE$204))</f>
        <v>0</v>
      </c>
      <c r="AF237" s="201">
        <f>IF(OR(SUMIF(Tech_Specs!$D$21:$D$24,"&lt;"&amp;Tech_Specs!$D21,AF$201:AF$204)=0,AF129=0),0,AF274*(1/AF129-1)/SUMIF(Tech_Specs!$D$21:$D$24,"&lt;"&amp;Tech_Specs!$D21,AF$201:AF$204))</f>
        <v>0</v>
      </c>
    </row>
    <row r="238" spans="1:32" s="221" customFormat="1" x14ac:dyDescent="0.25">
      <c r="A238" s="376"/>
      <c r="B238" s="376" t="s">
        <v>39</v>
      </c>
      <c r="C238"/>
      <c r="D238"/>
      <c r="E238"/>
      <c r="F238"/>
      <c r="G238" s="201">
        <f>IF(OR(SUMIF(Tech_Specs!$D$21:$D$24,"&lt;"&amp;Tech_Specs!$D22,G$201:G$204)=0,G130=0),0,G275*(1/G130-1)/SUMIF(Tech_Specs!$D$21:$D$24,"&lt;"&amp;Tech_Specs!$D22,G$201:G$204))</f>
        <v>0.25162671244022528</v>
      </c>
      <c r="H238" s="201">
        <f>IF(OR(SUMIF(Tech_Specs!$D$21:$D$24,"&lt;"&amp;Tech_Specs!$D22,H$201:H$204)=0,H130=0),0,H275*(1/H130-1)/SUMIF(Tech_Specs!$D$21:$D$24,"&lt;"&amp;Tech_Specs!$D22,H$201:H$204))</f>
        <v>0.17091758635364784</v>
      </c>
      <c r="I238" s="201">
        <f>IF(OR(SUMIF(Tech_Specs!$D$21:$D$24,"&lt;"&amp;Tech_Specs!$D22,I$201:I$204)=0,I130=0),0,I275*(1/I130-1)/SUMIF(Tech_Specs!$D$21:$D$24,"&lt;"&amp;Tech_Specs!$D22,I$201:I$204))</f>
        <v>0.13728294790396067</v>
      </c>
      <c r="J238" s="201">
        <f>IF(OR(SUMIF(Tech_Specs!$D$21:$D$24,"&lt;"&amp;Tech_Specs!$D22,J$201:J$204)=0,J130=0),0,J275*(1/J130-1)/SUMIF(Tech_Specs!$D$21:$D$24,"&lt;"&amp;Tech_Specs!$D22,J$201:J$204))</f>
        <v>0.11838445672306289</v>
      </c>
      <c r="K238" s="201">
        <f>IF(OR(SUMIF(Tech_Specs!$D$21:$D$24,"&lt;"&amp;Tech_Specs!$D22,K$201:K$204)=0,K130=0),0,K275*(1/K130-1)/SUMIF(Tech_Specs!$D$21:$D$24,"&lt;"&amp;Tech_Specs!$D22,K$201:K$204))</f>
        <v>0.11233809538893823</v>
      </c>
      <c r="L238" s="201">
        <f>IF(OR(SUMIF(Tech_Specs!$D$21:$D$24,"&lt;"&amp;Tech_Specs!$D22,L$201:L$204)=0,L130=0),0,L275*(1/L130-1)/SUMIF(Tech_Specs!$D$21:$D$24,"&lt;"&amp;Tech_Specs!$D22,L$201:L$204))</f>
        <v>0.12016413837317748</v>
      </c>
      <c r="M238" s="201">
        <f>IF(OR(SUMIF(Tech_Specs!$D$21:$D$24,"&lt;"&amp;Tech_Specs!$D22,M$201:M$204)=0,M130=0),0,M275*(1/M130-1)/SUMIF(Tech_Specs!$D$21:$D$24,"&lt;"&amp;Tech_Specs!$D22,M$201:M$204))</f>
        <v>0.17217445773726753</v>
      </c>
      <c r="N238" s="201">
        <f>IF(OR(SUMIF(Tech_Specs!$D$21:$D$24,"&lt;"&amp;Tech_Specs!$D22,N$201:N$204)=0,N130=0),0,N275*(1/N130-1)/SUMIF(Tech_Specs!$D$21:$D$24,"&lt;"&amp;Tech_Specs!$D22,N$201:N$204))</f>
        <v>0.41252069501758848</v>
      </c>
      <c r="O238" s="201">
        <f>IF(OR(SUMIF(Tech_Specs!$D$21:$D$24,"&lt;"&amp;Tech_Specs!$D22,O$201:O$204)=0,O130=0),0,O275*(1/O130-1)/SUMIF(Tech_Specs!$D$21:$D$24,"&lt;"&amp;Tech_Specs!$D22,O$201:O$204))</f>
        <v>0.28886816269220561</v>
      </c>
      <c r="P238" s="201">
        <f>IF(OR(SUMIF(Tech_Specs!$D$21:$D$24,"&lt;"&amp;Tech_Specs!$D22,P$201:P$204)=0,P130=0),0,P275*(1/P130-1)/SUMIF(Tech_Specs!$D$21:$D$24,"&lt;"&amp;Tech_Specs!$D22,P$201:P$204))</f>
        <v>0.19934722170075364</v>
      </c>
      <c r="Q238" s="201">
        <f>IF(OR(SUMIF(Tech_Specs!$D$21:$D$24,"&lt;"&amp;Tech_Specs!$D22,Q$201:Q$204)=0,Q130=0),0,Q275*(1/Q130-1)/SUMIF(Tech_Specs!$D$21:$D$24,"&lt;"&amp;Tech_Specs!$D22,Q$201:Q$204))</f>
        <v>0.13700406352117758</v>
      </c>
      <c r="R238" s="201">
        <f>IF(OR(SUMIF(Tech_Specs!$D$21:$D$24,"&lt;"&amp;Tech_Specs!$D22,R$201:R$204)=0,R130=0),0,R275*(1/R130-1)/SUMIF(Tech_Specs!$D$21:$D$24,"&lt;"&amp;Tech_Specs!$D22,R$201:R$204))</f>
        <v>9.3875002149380493E-2</v>
      </c>
      <c r="S238" s="201">
        <f>IF(OR(SUMIF(Tech_Specs!$D$21:$D$24,"&lt;"&amp;Tech_Specs!$D22,S$201:S$204)=0,S130=0),0,S275*(1/S130-1)/SUMIF(Tech_Specs!$D$21:$D$24,"&lt;"&amp;Tech_Specs!$D22,S$201:S$204))</f>
        <v>6.4206129055655994E-2</v>
      </c>
      <c r="T238" s="201">
        <f>IF(OR(SUMIF(Tech_Specs!$D$21:$D$24,"&lt;"&amp;Tech_Specs!$D22,T$201:T$204)=0,T130=0),0,T275*(1/T130-1)/SUMIF(Tech_Specs!$D$21:$D$24,"&lt;"&amp;Tech_Specs!$D22,T$201:T$204))</f>
        <v>4.3987004886891168E-2</v>
      </c>
      <c r="U238" s="201">
        <f>IF(OR(SUMIF(Tech_Specs!$D$21:$D$24,"&lt;"&amp;Tech_Specs!$D22,U$201:U$204)=0,U130=0),0,U275*(1/U130-1)/SUMIF(Tech_Specs!$D$21:$D$24,"&lt;"&amp;Tech_Specs!$D22,U$201:U$204))</f>
        <v>3.0266314785162673E-2</v>
      </c>
      <c r="V238" s="201">
        <f>IF(OR(SUMIF(Tech_Specs!$D$21:$D$24,"&lt;"&amp;Tech_Specs!$D22,V$201:V$204)=0,V130=0),0,V275*(1/V130-1)/SUMIF(Tech_Specs!$D$21:$D$24,"&lt;"&amp;Tech_Specs!$D22,V$201:V$204))</f>
        <v>2.090584780510131E-2</v>
      </c>
      <c r="W238" s="201">
        <f>IF(OR(SUMIF(Tech_Specs!$D$21:$D$24,"&lt;"&amp;Tech_Specs!$D22,W$201:W$204)=0,W130=0),0,W275*(1/W130-1)/SUMIF(Tech_Specs!$D$21:$D$24,"&lt;"&amp;Tech_Specs!$D22,W$201:W$204))</f>
        <v>1.4551242880397827E-2</v>
      </c>
      <c r="X238" s="201">
        <f>IF(OR(SUMIF(Tech_Specs!$D$21:$D$24,"&lt;"&amp;Tech_Specs!$D22,X$201:X$204)=0,X130=0),0,X275*(1/X130-1)/SUMIF(Tech_Specs!$D$21:$D$24,"&lt;"&amp;Tech_Specs!$D22,X$201:X$204))</f>
        <v>1.0209888243910779E-2</v>
      </c>
      <c r="Y238" s="201">
        <f>IF(OR(SUMIF(Tech_Specs!$D$21:$D$24,"&lt;"&amp;Tech_Specs!$D22,Y$201:Y$204)=0,Y130=0),0,Y275*(1/Y130-1)/SUMIF(Tech_Specs!$D$21:$D$24,"&lt;"&amp;Tech_Specs!$D22,Y$201:Y$204))</f>
        <v>7.2230651355798432E-3</v>
      </c>
      <c r="Z238" s="201">
        <f>IF(OR(SUMIF(Tech_Specs!$D$21:$D$24,"&lt;"&amp;Tech_Specs!$D22,Z$201:Z$204)=0,Z130=0),0,Z275*(1/Z130-1)/SUMIF(Tech_Specs!$D$21:$D$24,"&lt;"&amp;Tech_Specs!$D22,Z$201:Z$204))</f>
        <v>5.1450262649924529E-3</v>
      </c>
      <c r="AA238" s="201">
        <f>IF(OR(SUMIF(Tech_Specs!$D$21:$D$24,"&lt;"&amp;Tech_Specs!$D22,AA$201:AA$204)=0,AA130=0),0,AA275*(1/AA130-1)/SUMIF(Tech_Specs!$D$21:$D$24,"&lt;"&amp;Tech_Specs!$D22,AA$201:AA$204))</f>
        <v>3.6859137072643724E-3</v>
      </c>
      <c r="AB238" s="201">
        <f>IF(OR(SUMIF(Tech_Specs!$D$21:$D$24,"&lt;"&amp;Tech_Specs!$D22,AB$201:AB$204)=0,AB130=0),0,AB275*(1/AB130-1)/SUMIF(Tech_Specs!$D$21:$D$24,"&lt;"&amp;Tech_Specs!$D22,AB$201:AB$204))</f>
        <v>2.6583726090105677E-3</v>
      </c>
      <c r="AC238" s="201">
        <f>IF(OR(SUMIF(Tech_Specs!$D$21:$D$24,"&lt;"&amp;Tech_Specs!$D22,AC$201:AC$204)=0,AC130=0),0,AC275*(1/AC130-1)/SUMIF(Tech_Specs!$D$21:$D$24,"&lt;"&amp;Tech_Specs!$D22,AC$201:AC$204))</f>
        <v>1.9264717163066691E-3</v>
      </c>
      <c r="AD238" s="201">
        <f>IF(OR(SUMIF(Tech_Specs!$D$21:$D$24,"&lt;"&amp;Tech_Specs!$D22,AD$201:AD$204)=0,AD130=0),0,AD275*(1/AD130-1)/SUMIF(Tech_Specs!$D$21:$D$24,"&lt;"&amp;Tech_Specs!$D22,AD$201:AD$204))</f>
        <v>1.4020232573619016E-3</v>
      </c>
      <c r="AE238" s="201">
        <f>IF(OR(SUMIF(Tech_Specs!$D$21:$D$24,"&lt;"&amp;Tech_Specs!$D22,AE$201:AE$204)=0,AE130=0),0,AE275*(1/AE130-1)/SUMIF(Tech_Specs!$D$21:$D$24,"&lt;"&amp;Tech_Specs!$D22,AE$201:AE$204))</f>
        <v>1.024440342981596E-3</v>
      </c>
      <c r="AF238" s="201">
        <f>IF(OR(SUMIF(Tech_Specs!$D$21:$D$24,"&lt;"&amp;Tech_Specs!$D22,AF$201:AF$204)=0,AF130=0),0,AF275*(1/AF130-1)/SUMIF(Tech_Specs!$D$21:$D$24,"&lt;"&amp;Tech_Specs!$D22,AF$201:AF$204))</f>
        <v>7.5337646662462505E-4</v>
      </c>
    </row>
    <row r="239" spans="1:32" s="221" customFormat="1" x14ac:dyDescent="0.25">
      <c r="A239" s="376"/>
      <c r="B239" s="376" t="s">
        <v>40</v>
      </c>
      <c r="C239"/>
      <c r="D239"/>
      <c r="E239"/>
      <c r="F239"/>
      <c r="G239" s="201">
        <f>IF(OR(SUMIF(Tech_Specs!$D$21:$D$24,"&lt;"&amp;Tech_Specs!$D23,G$201:G$204)=0,G131=0),0,G276*(1/G131-1)/SUMIF(Tech_Specs!$D$21:$D$24,"&lt;"&amp;Tech_Specs!$D23,G$201:G$204))</f>
        <v>1.5950296315702888</v>
      </c>
      <c r="H239" s="201">
        <f>IF(OR(SUMIF(Tech_Specs!$D$21:$D$24,"&lt;"&amp;Tech_Specs!$D23,H$201:H$204)=0,H131=0),0,H276*(1/H131-1)/SUMIF(Tech_Specs!$D$21:$D$24,"&lt;"&amp;Tech_Specs!$D23,H$201:H$204))</f>
        <v>1.429444963587025</v>
      </c>
      <c r="I239" s="201">
        <f>IF(OR(SUMIF(Tech_Specs!$D$21:$D$24,"&lt;"&amp;Tech_Specs!$D23,I$201:I$204)=0,I131=0),0,I276*(1/I131-1)/SUMIF(Tech_Specs!$D$21:$D$24,"&lt;"&amp;Tech_Specs!$D23,I$201:I$204))</f>
        <v>1.246900553637855</v>
      </c>
      <c r="J239" s="201">
        <f>IF(OR(SUMIF(Tech_Specs!$D$21:$D$24,"&lt;"&amp;Tech_Specs!$D23,J$201:J$204)=0,J131=0),0,J276*(1/J131-1)/SUMIF(Tech_Specs!$D$21:$D$24,"&lt;"&amp;Tech_Specs!$D23,J$201:J$204))</f>
        <v>1.1091564619066265</v>
      </c>
      <c r="K239" s="201">
        <f>IF(OR(SUMIF(Tech_Specs!$D$21:$D$24,"&lt;"&amp;Tech_Specs!$D23,K$201:K$204)=0,K131=0),0,K276*(1/K131-1)/SUMIF(Tech_Specs!$D$21:$D$24,"&lt;"&amp;Tech_Specs!$D23,K$201:K$204))</f>
        <v>1.0071739633625194</v>
      </c>
      <c r="L239" s="201">
        <f>IF(OR(SUMIF(Tech_Specs!$D$21:$D$24,"&lt;"&amp;Tech_Specs!$D23,L$201:L$204)=0,L131=0),0,L276*(1/L131-1)/SUMIF(Tech_Specs!$D$21:$D$24,"&lt;"&amp;Tech_Specs!$D23,L$201:L$204))</f>
        <v>0.90235034547670101</v>
      </c>
      <c r="M239" s="201">
        <f>IF(OR(SUMIF(Tech_Specs!$D$21:$D$24,"&lt;"&amp;Tech_Specs!$D23,M$201:M$204)=0,M131=0),0,M276*(1/M131-1)/SUMIF(Tech_Specs!$D$21:$D$24,"&lt;"&amp;Tech_Specs!$D23,M$201:M$204))</f>
        <v>0.80143230011379274</v>
      </c>
      <c r="N239" s="201">
        <f>IF(OR(SUMIF(Tech_Specs!$D$21:$D$24,"&lt;"&amp;Tech_Specs!$D23,N$201:N$204)=0,N131=0),0,N276*(1/N131-1)/SUMIF(Tech_Specs!$D$21:$D$24,"&lt;"&amp;Tech_Specs!$D23,N$201:N$204))</f>
        <v>0.68173783153964751</v>
      </c>
      <c r="O239" s="201">
        <f>IF(OR(SUMIF(Tech_Specs!$D$21:$D$24,"&lt;"&amp;Tech_Specs!$D23,O$201:O$204)=0,O131=0),0,O276*(1/O131-1)/SUMIF(Tech_Specs!$D$21:$D$24,"&lt;"&amp;Tech_Specs!$D23,O$201:O$204))</f>
        <v>0.5546491930116868</v>
      </c>
      <c r="P239" s="201">
        <f>IF(OR(SUMIF(Tech_Specs!$D$21:$D$24,"&lt;"&amp;Tech_Specs!$D23,P$201:P$204)=0,P131=0),0,P276*(1/P131-1)/SUMIF(Tech_Specs!$D$21:$D$24,"&lt;"&amp;Tech_Specs!$D23,P$201:P$204))</f>
        <v>0.43303811788688212</v>
      </c>
      <c r="Q239" s="201">
        <f>IF(OR(SUMIF(Tech_Specs!$D$21:$D$24,"&lt;"&amp;Tech_Specs!$D23,Q$201:Q$204)=0,Q131=0),0,Q276*(1/Q131-1)/SUMIF(Tech_Specs!$D$21:$D$24,"&lt;"&amp;Tech_Specs!$D23,Q$201:Q$204))</f>
        <v>0.32850498033382775</v>
      </c>
      <c r="R239" s="201">
        <f>IF(OR(SUMIF(Tech_Specs!$D$21:$D$24,"&lt;"&amp;Tech_Specs!$D23,R$201:R$204)=0,R131=0),0,R276*(1/R131-1)/SUMIF(Tech_Specs!$D$21:$D$24,"&lt;"&amp;Tech_Specs!$D23,R$201:R$204))</f>
        <v>0.24299424957652188</v>
      </c>
      <c r="S239" s="201">
        <f>IF(OR(SUMIF(Tech_Specs!$D$21:$D$24,"&lt;"&amp;Tech_Specs!$D23,S$201:S$204)=0,S131=0),0,S276*(1/S131-1)/SUMIF(Tech_Specs!$D$21:$D$24,"&lt;"&amp;Tech_Specs!$D23,S$201:S$204))</f>
        <v>0.17584243255582696</v>
      </c>
      <c r="T239" s="201">
        <f>IF(OR(SUMIF(Tech_Specs!$D$21:$D$24,"&lt;"&amp;Tech_Specs!$D23,T$201:T$204)=0,T131=0),0,T276*(1/T131-1)/SUMIF(Tech_Specs!$D$21:$D$24,"&lt;"&amp;Tech_Specs!$D23,T$201:T$204))</f>
        <v>0.12535526328331506</v>
      </c>
      <c r="U239" s="201">
        <f>IF(OR(SUMIF(Tech_Specs!$D$21:$D$24,"&lt;"&amp;Tech_Specs!$D23,U$201:U$204)=0,U131=0),0,U276*(1/U131-1)/SUMIF(Tech_Specs!$D$21:$D$24,"&lt;"&amp;Tech_Specs!$D23,U$201:U$204))</f>
        <v>8.8567535591609736E-2</v>
      </c>
      <c r="V239" s="201">
        <f>IF(OR(SUMIF(Tech_Specs!$D$21:$D$24,"&lt;"&amp;Tech_Specs!$D23,V$201:V$204)=0,V131=0),0,V276*(1/V131-1)/SUMIF(Tech_Specs!$D$21:$D$24,"&lt;"&amp;Tech_Specs!$D23,V$201:V$204))</f>
        <v>6.2127982085237531E-2</v>
      </c>
      <c r="W239" s="201">
        <f>IF(OR(SUMIF(Tech_Specs!$D$21:$D$24,"&lt;"&amp;Tech_Specs!$D23,W$201:W$204)=0,W131=0),0,W276*(1/W131-1)/SUMIF(Tech_Specs!$D$21:$D$24,"&lt;"&amp;Tech_Specs!$D23,W$201:W$204))</f>
        <v>4.3568897450581637E-2</v>
      </c>
      <c r="X239" s="201">
        <f>IF(OR(SUMIF(Tech_Specs!$D$21:$D$24,"&lt;"&amp;Tech_Specs!$D23,X$201:X$204)=0,X131=0),0,X276*(1/X131-1)/SUMIF(Tech_Specs!$D$21:$D$24,"&lt;"&amp;Tech_Specs!$D23,X$201:X$204))</f>
        <v>3.0613992437425699E-2</v>
      </c>
      <c r="Y239" s="201">
        <f>IF(OR(SUMIF(Tech_Specs!$D$21:$D$24,"&lt;"&amp;Tech_Specs!$D23,Y$201:Y$204)=0,Y131=0),0,Y276*(1/Y131-1)/SUMIF(Tech_Specs!$D$21:$D$24,"&lt;"&amp;Tech_Specs!$D23,Y$201:Y$204))</f>
        <v>2.1591128718291854E-2</v>
      </c>
      <c r="Z239" s="201">
        <f>IF(OR(SUMIF(Tech_Specs!$D$21:$D$24,"&lt;"&amp;Tech_Specs!$D23,Z$201:Z$204)=0,Z131=0),0,Z276*(1/Z131-1)/SUMIF(Tech_Specs!$D$21:$D$24,"&lt;"&amp;Tech_Specs!$D23,Z$201:Z$204))</f>
        <v>1.5275542160358689E-2</v>
      </c>
      <c r="AA239" s="201">
        <f>IF(OR(SUMIF(Tech_Specs!$D$21:$D$24,"&lt;"&amp;Tech_Specs!$D23,AA$201:AA$204)=0,AA131=0),0,AA276*(1/AA131-1)/SUMIF(Tech_Specs!$D$21:$D$24,"&lt;"&amp;Tech_Specs!$D23,AA$201:AA$204))</f>
        <v>1.0837752518854972E-2</v>
      </c>
      <c r="AB239" s="201">
        <f>IF(OR(SUMIF(Tech_Specs!$D$21:$D$24,"&lt;"&amp;Tech_Specs!$D23,AB$201:AB$204)=0,AB131=0),0,AB276*(1/AB131-1)/SUMIF(Tech_Specs!$D$21:$D$24,"&lt;"&amp;Tech_Specs!$D23,AB$201:AB$204))</f>
        <v>7.7266818216290408E-3</v>
      </c>
      <c r="AC239" s="201">
        <f>IF(OR(SUMIF(Tech_Specs!$D$21:$D$24,"&lt;"&amp;Tech_Specs!$D23,AC$201:AC$204)=0,AC131=0),0,AC276*(1/AC131-1)/SUMIF(Tech_Specs!$D$21:$D$24,"&lt;"&amp;Tech_Specs!$D23,AC$201:AC$204))</f>
        <v>5.5257966707697491E-3</v>
      </c>
      <c r="AD239" s="201">
        <f>IF(OR(SUMIF(Tech_Specs!$D$21:$D$24,"&lt;"&amp;Tech_Specs!$D23,AD$201:AD$204)=0,AD131=0),0,AD276*(1/AD131-1)/SUMIF(Tech_Specs!$D$21:$D$24,"&lt;"&amp;Tech_Specs!$D23,AD$201:AD$204))</f>
        <v>3.9634907842109454E-3</v>
      </c>
      <c r="AE239" s="201">
        <f>IF(OR(SUMIF(Tech_Specs!$D$21:$D$24,"&lt;"&amp;Tech_Specs!$D23,AE$201:AE$204)=0,AE131=0),0,AE276*(1/AE131-1)/SUMIF(Tech_Specs!$D$21:$D$24,"&lt;"&amp;Tech_Specs!$D23,AE$201:AE$204))</f>
        <v>2.8514108945001029E-3</v>
      </c>
      <c r="AF239" s="201">
        <f>IF(OR(SUMIF(Tech_Specs!$D$21:$D$24,"&lt;"&amp;Tech_Specs!$D23,AF$201:AF$204)=0,AF131=0),0,AF276*(1/AF131-1)/SUMIF(Tech_Specs!$D$21:$D$24,"&lt;"&amp;Tech_Specs!$D23,AF$201:AF$204))</f>
        <v>2.0635800370499007E-3</v>
      </c>
    </row>
    <row r="240" spans="1:32" s="221" customFormat="1" x14ac:dyDescent="0.25">
      <c r="A240" s="376"/>
      <c r="B240" s="376" t="s">
        <v>29</v>
      </c>
      <c r="C240"/>
      <c r="D240"/>
      <c r="E240"/>
      <c r="F240"/>
      <c r="G240" s="201">
        <f>IF(OR(SUMIF(Tech_Specs!$D$21:$D$24,"&lt;"&amp;Tech_Specs!$D24,G$201:G$204)=0,G132=0),0,G277*(1/G132-1)/SUMIF(Tech_Specs!$D$21:$D$24,"&lt;"&amp;Tech_Specs!$D24,G$201:G$204))</f>
        <v>4.6713790124908332E-7</v>
      </c>
      <c r="H240" s="201">
        <f>IF(OR(SUMIF(Tech_Specs!$D$21:$D$24,"&lt;"&amp;Tech_Specs!$D24,H$201:H$204)=0,H132=0),0,H277*(1/H132-1)/SUMIF(Tech_Specs!$D$21:$D$24,"&lt;"&amp;Tech_Specs!$D24,H$201:H$204))</f>
        <v>7.5314907422272654E-4</v>
      </c>
      <c r="I240" s="201">
        <f>IF(OR(SUMIF(Tech_Specs!$D$21:$D$24,"&lt;"&amp;Tech_Specs!$D24,I$201:I$204)=0,I132=0),0,I277*(1/I132-1)/SUMIF(Tech_Specs!$D$21:$D$24,"&lt;"&amp;Tech_Specs!$D24,I$201:I$204))</f>
        <v>1.0748060876084426E-2</v>
      </c>
      <c r="J240" s="201">
        <f>IF(OR(SUMIF(Tech_Specs!$D$21:$D$24,"&lt;"&amp;Tech_Specs!$D24,J$201:J$204)=0,J132=0),0,J277*(1/J132-1)/SUMIF(Tech_Specs!$D$21:$D$24,"&lt;"&amp;Tech_Specs!$D24,J$201:J$204))</f>
        <v>4.5018236295474925E-2</v>
      </c>
      <c r="K240" s="201">
        <f>IF(OR(SUMIF(Tech_Specs!$D$21:$D$24,"&lt;"&amp;Tech_Specs!$D24,K$201:K$204)=0,K132=0),0,K277*(1/K132-1)/SUMIF(Tech_Specs!$D$21:$D$24,"&lt;"&amp;Tech_Specs!$D24,K$201:K$204))</f>
        <v>0.1078517155087696</v>
      </c>
      <c r="L240" s="201">
        <f>IF(OR(SUMIF(Tech_Specs!$D$21:$D$24,"&lt;"&amp;Tech_Specs!$D24,L$201:L$204)=0,L132=0),0,L277*(1/L132-1)/SUMIF(Tech_Specs!$D$21:$D$24,"&lt;"&amp;Tech_Specs!$D24,L$201:L$204))</f>
        <v>0.18771878109752158</v>
      </c>
      <c r="M240" s="201">
        <f>IF(OR(SUMIF(Tech_Specs!$D$21:$D$24,"&lt;"&amp;Tech_Specs!$D24,M$201:M$204)=0,M132=0),0,M277*(1/M132-1)/SUMIF(Tech_Specs!$D$21:$D$24,"&lt;"&amp;Tech_Specs!$D24,M$201:M$204))</f>
        <v>0.2725946069434565</v>
      </c>
      <c r="N240" s="201">
        <f>IF(OR(SUMIF(Tech_Specs!$D$21:$D$24,"&lt;"&amp;Tech_Specs!$D24,N$201:N$204)=0,N132=0),0,N277*(1/N132-1)/SUMIF(Tech_Specs!$D$21:$D$24,"&lt;"&amp;Tech_Specs!$D24,N$201:N$204))</f>
        <v>0.34484821241911612</v>
      </c>
      <c r="O240" s="201">
        <f>IF(OR(SUMIF(Tech_Specs!$D$21:$D$24,"&lt;"&amp;Tech_Specs!$D24,O$201:O$204)=0,O132=0),0,O277*(1/O132-1)/SUMIF(Tech_Specs!$D$21:$D$24,"&lt;"&amp;Tech_Specs!$D24,O$201:O$204))</f>
        <v>0.39516683862866464</v>
      </c>
      <c r="P240" s="201">
        <f>IF(OR(SUMIF(Tech_Specs!$D$21:$D$24,"&lt;"&amp;Tech_Specs!$D24,P$201:P$204)=0,P132=0),0,P277*(1/P132-1)/SUMIF(Tech_Specs!$D$21:$D$24,"&lt;"&amp;Tech_Specs!$D24,P$201:P$204))</f>
        <v>0.41897191874800732</v>
      </c>
      <c r="Q240" s="201">
        <f>IF(OR(SUMIF(Tech_Specs!$D$21:$D$24,"&lt;"&amp;Tech_Specs!$D24,Q$201:Q$204)=0,Q132=0),0,Q277*(1/Q132-1)/SUMIF(Tech_Specs!$D$21:$D$24,"&lt;"&amp;Tech_Specs!$D24,Q$201:Q$204))</f>
        <v>0.4207902220710365</v>
      </c>
      <c r="R240" s="201">
        <f>IF(OR(SUMIF(Tech_Specs!$D$21:$D$24,"&lt;"&amp;Tech_Specs!$D24,R$201:R$204)=0,R132=0),0,R277*(1/R132-1)/SUMIF(Tech_Specs!$D$21:$D$24,"&lt;"&amp;Tech_Specs!$D24,R$201:R$204))</f>
        <v>0.40109387107538697</v>
      </c>
      <c r="S240" s="201">
        <f>IF(OR(SUMIF(Tech_Specs!$D$21:$D$24,"&lt;"&amp;Tech_Specs!$D24,S$201:S$204)=0,S132=0),0,S277*(1/S132-1)/SUMIF(Tech_Specs!$D$21:$D$24,"&lt;"&amp;Tech_Specs!$D24,S$201:S$204))</f>
        <v>0.36647287150696151</v>
      </c>
      <c r="T240" s="201">
        <f>IF(OR(SUMIF(Tech_Specs!$D$21:$D$24,"&lt;"&amp;Tech_Specs!$D24,T$201:T$204)=0,T132=0),0,T277*(1/T132-1)/SUMIF(Tech_Specs!$D$21:$D$24,"&lt;"&amp;Tech_Specs!$D24,T$201:T$204))</f>
        <v>0.32297675765768713</v>
      </c>
      <c r="U240" s="201">
        <f>IF(OR(SUMIF(Tech_Specs!$D$21:$D$24,"&lt;"&amp;Tech_Specs!$D24,U$201:U$204)=0,U132=0),0,U277*(1/U132-1)/SUMIF(Tech_Specs!$D$21:$D$24,"&lt;"&amp;Tech_Specs!$D24,U$201:U$204))</f>
        <v>0.27599790585401146</v>
      </c>
      <c r="V240" s="201">
        <f>IF(OR(SUMIF(Tech_Specs!$D$21:$D$24,"&lt;"&amp;Tech_Specs!$D24,V$201:V$204)=0,V132=0),0,V277*(1/V132-1)/SUMIF(Tech_Specs!$D$21:$D$24,"&lt;"&amp;Tech_Specs!$D24,V$201:V$204))</f>
        <v>0.22888890979439988</v>
      </c>
      <c r="W240" s="201">
        <f>IF(OR(SUMIF(Tech_Specs!$D$21:$D$24,"&lt;"&amp;Tech_Specs!$D24,W$201:W$204)=0,W132=0),0,W277*(1/W132-1)/SUMIF(Tech_Specs!$D$21:$D$24,"&lt;"&amp;Tech_Specs!$D24,W$201:W$204))</f>
        <v>0.1856924214206303</v>
      </c>
      <c r="X240" s="201">
        <f>IF(OR(SUMIF(Tech_Specs!$D$21:$D$24,"&lt;"&amp;Tech_Specs!$D24,X$201:X$204)=0,X132=0),0,X277*(1/X132-1)/SUMIF(Tech_Specs!$D$21:$D$24,"&lt;"&amp;Tech_Specs!$D24,X$201:X$204))</f>
        <v>0.14790998144843609</v>
      </c>
      <c r="Y240" s="201">
        <f>IF(OR(SUMIF(Tech_Specs!$D$21:$D$24,"&lt;"&amp;Tech_Specs!$D24,Y$201:Y$204)=0,Y132=0),0,Y277*(1/Y132-1)/SUMIF(Tech_Specs!$D$21:$D$24,"&lt;"&amp;Tech_Specs!$D24,Y$201:Y$204))</f>
        <v>0.11612401807751041</v>
      </c>
      <c r="Z240" s="201">
        <f>IF(OR(SUMIF(Tech_Specs!$D$21:$D$24,"&lt;"&amp;Tech_Specs!$D24,Z$201:Z$204)=0,Z132=0),0,Z277*(1/Z132-1)/SUMIF(Tech_Specs!$D$21:$D$24,"&lt;"&amp;Tech_Specs!$D24,Z$201:Z$204))</f>
        <v>8.998157917939506E-2</v>
      </c>
      <c r="AA240" s="201">
        <f>IF(OR(SUMIF(Tech_Specs!$D$21:$D$24,"&lt;"&amp;Tech_Specs!$D24,AA$201:AA$204)=0,AA132=0),0,AA277*(1/AA132-1)/SUMIF(Tech_Specs!$D$21:$D$24,"&lt;"&amp;Tech_Specs!$D24,AA$201:AA$204))</f>
        <v>6.8940766666033257E-2</v>
      </c>
      <c r="AB240" s="201">
        <f>IF(OR(SUMIF(Tech_Specs!$D$21:$D$24,"&lt;"&amp;Tech_Specs!$D24,AB$201:AB$204)=0,AB132=0),0,AB277*(1/AB132-1)/SUMIF(Tech_Specs!$D$21:$D$24,"&lt;"&amp;Tech_Specs!$D24,AB$201:AB$204))</f>
        <v>5.2501720605598039E-2</v>
      </c>
      <c r="AC240" s="201">
        <f>IF(OR(SUMIF(Tech_Specs!$D$21:$D$24,"&lt;"&amp;Tech_Specs!$D24,AC$201:AC$204)=0,AC132=0),0,AC277*(1/AC132-1)/SUMIF(Tech_Specs!$D$21:$D$24,"&lt;"&amp;Tech_Specs!$D24,AC$201:AC$204))</f>
        <v>3.9731324436056724E-2</v>
      </c>
      <c r="AD240" s="201">
        <f>IF(OR(SUMIF(Tech_Specs!$D$21:$D$24,"&lt;"&amp;Tech_Specs!$D24,AD$201:AD$204)=0,AD132=0),0,AD277*(1/AD132-1)/SUMIF(Tech_Specs!$D$21:$D$24,"&lt;"&amp;Tech_Specs!$D24,AD$201:AD$204))</f>
        <v>2.9930114671252391E-2</v>
      </c>
      <c r="AE240" s="201">
        <f>IF(OR(SUMIF(Tech_Specs!$D$21:$D$24,"&lt;"&amp;Tech_Specs!$D24,AE$201:AE$204)=0,AE132=0),0,AE277*(1/AE132-1)/SUMIF(Tech_Specs!$D$21:$D$24,"&lt;"&amp;Tech_Specs!$D24,AE$201:AE$204))</f>
        <v>2.2483265341661188E-2</v>
      </c>
      <c r="AF240" s="201">
        <f>IF(OR(SUMIF(Tech_Specs!$D$21:$D$24,"&lt;"&amp;Tech_Specs!$D24,AF$201:AF$204)=0,AF132=0),0,AF277*(1/AF132-1)/SUMIF(Tech_Specs!$D$21:$D$24,"&lt;"&amp;Tech_Specs!$D24,AF$201:AF$204))</f>
        <v>1.694050723460043E-2</v>
      </c>
    </row>
    <row r="241" spans="1:32" s="221" customFormat="1" x14ac:dyDescent="0.25">
      <c r="A241" s="376"/>
      <c r="B241" s="376"/>
      <c r="C241"/>
      <c r="D241"/>
      <c r="E241"/>
      <c r="F241"/>
      <c r="G241"/>
      <c r="H241"/>
      <c r="I241"/>
      <c r="J241"/>
      <c r="K241"/>
      <c r="L241"/>
      <c r="M241"/>
      <c r="N241"/>
      <c r="O241"/>
      <c r="P241"/>
      <c r="Q241"/>
      <c r="R241"/>
      <c r="S241"/>
      <c r="T241"/>
      <c r="U241"/>
      <c r="V241"/>
      <c r="W241"/>
      <c r="X241"/>
      <c r="Y241"/>
      <c r="Z241"/>
      <c r="AA241"/>
      <c r="AB241"/>
      <c r="AC241"/>
      <c r="AD241"/>
      <c r="AE241"/>
      <c r="AF241"/>
    </row>
    <row r="242" spans="1:32" s="202" customFormat="1" ht="12.75" x14ac:dyDescent="0.2">
      <c r="A242" s="402" t="s">
        <v>42</v>
      </c>
      <c r="B242" s="402"/>
      <c r="C242" s="402"/>
      <c r="D242" s="402"/>
      <c r="E242" s="402"/>
      <c r="F242" s="402"/>
      <c r="G242" s="402"/>
      <c r="H242" s="402"/>
      <c r="I242" s="402"/>
      <c r="J242" s="402"/>
      <c r="K242" s="402"/>
      <c r="L242" s="402"/>
      <c r="M242" s="402"/>
      <c r="N242" s="402"/>
      <c r="O242" s="402"/>
      <c r="P242" s="402"/>
      <c r="Q242" s="402"/>
      <c r="R242" s="402"/>
      <c r="S242" s="402"/>
      <c r="T242" s="402"/>
      <c r="U242" s="402"/>
      <c r="V242" s="402"/>
      <c r="W242" s="402"/>
      <c r="X242" s="402"/>
      <c r="Y242" s="402"/>
      <c r="Z242" s="402"/>
      <c r="AA242" s="402"/>
      <c r="AB242" s="402"/>
      <c r="AC242" s="402"/>
      <c r="AD242" s="402"/>
      <c r="AE242" s="402"/>
      <c r="AF242" s="402"/>
    </row>
    <row r="243" spans="1:32" s="221" customFormat="1" x14ac:dyDescent="0.25">
      <c r="A243" s="376"/>
      <c r="B243" s="388" t="s">
        <v>43</v>
      </c>
      <c r="C243"/>
      <c r="D243"/>
      <c r="E243"/>
      <c r="F243"/>
      <c r="G243" s="201">
        <f>IF(OR(SUMIF(Tech_Specs!$D$27:$D$31,"&lt;"&amp;Tech_Specs!$D27,G$207:G$211)=0,G135=0),0,G280*(1/G135-1)/SUMIF(Tech_Specs!$D$27:$D$31,"&lt;"&amp;Tech_Specs!$D27,G$207:G$211))</f>
        <v>0</v>
      </c>
      <c r="H243" s="201">
        <f>IF(OR(SUMIF(Tech_Specs!$D$27:$D$31,"&lt;"&amp;Tech_Specs!$D27,H$207:H$211)=0,H135=0),0,H280*(1/H135-1)/SUMIF(Tech_Specs!$D$27:$D$31,"&lt;"&amp;Tech_Specs!$D27,H$207:H$211))</f>
        <v>0</v>
      </c>
      <c r="I243" s="201">
        <f>IF(OR(SUMIF(Tech_Specs!$D$27:$D$31,"&lt;"&amp;Tech_Specs!$D27,I$207:I$211)=0,I135=0),0,I280*(1/I135-1)/SUMIF(Tech_Specs!$D$27:$D$31,"&lt;"&amp;Tech_Specs!$D27,I$207:I$211))</f>
        <v>0</v>
      </c>
      <c r="J243" s="201">
        <f>IF(OR(SUMIF(Tech_Specs!$D$27:$D$31,"&lt;"&amp;Tech_Specs!$D27,J$207:J$211)=0,J135=0),0,J280*(1/J135-1)/SUMIF(Tech_Specs!$D$27:$D$31,"&lt;"&amp;Tech_Specs!$D27,J$207:J$211))</f>
        <v>0</v>
      </c>
      <c r="K243" s="201">
        <f>IF(OR(SUMIF(Tech_Specs!$D$27:$D$31,"&lt;"&amp;Tech_Specs!$D27,K$207:K$211)=0,K135=0),0,K280*(1/K135-1)/SUMIF(Tech_Specs!$D$27:$D$31,"&lt;"&amp;Tech_Specs!$D27,K$207:K$211))</f>
        <v>0</v>
      </c>
      <c r="L243" s="201">
        <f>IF(OR(SUMIF(Tech_Specs!$D$27:$D$31,"&lt;"&amp;Tech_Specs!$D27,L$207:L$211)=0,L135=0),0,L280*(1/L135-1)/SUMIF(Tech_Specs!$D$27:$D$31,"&lt;"&amp;Tech_Specs!$D27,L$207:L$211))</f>
        <v>0</v>
      </c>
      <c r="M243" s="201">
        <f>IF(OR(SUMIF(Tech_Specs!$D$27:$D$31,"&lt;"&amp;Tech_Specs!$D27,M$207:M$211)=0,M135=0),0,M280*(1/M135-1)/SUMIF(Tech_Specs!$D$27:$D$31,"&lt;"&amp;Tech_Specs!$D27,M$207:M$211))</f>
        <v>0</v>
      </c>
      <c r="N243" s="201">
        <f>IF(OR(SUMIF(Tech_Specs!$D$27:$D$31,"&lt;"&amp;Tech_Specs!$D27,N$207:N$211)=0,N135=0),0,N280*(1/N135-1)/SUMIF(Tech_Specs!$D$27:$D$31,"&lt;"&amp;Tech_Specs!$D27,N$207:N$211))</f>
        <v>0</v>
      </c>
      <c r="O243" s="201">
        <f>IF(OR(SUMIF(Tech_Specs!$D$27:$D$31,"&lt;"&amp;Tech_Specs!$D27,O$207:O$211)=0,O135=0),0,O280*(1/O135-1)/SUMIF(Tech_Specs!$D$27:$D$31,"&lt;"&amp;Tech_Specs!$D27,O$207:O$211))</f>
        <v>0</v>
      </c>
      <c r="P243" s="201">
        <f>IF(OR(SUMIF(Tech_Specs!$D$27:$D$31,"&lt;"&amp;Tech_Specs!$D27,P$207:P$211)=0,P135=0),0,P280*(1/P135-1)/SUMIF(Tech_Specs!$D$27:$D$31,"&lt;"&amp;Tech_Specs!$D27,P$207:P$211))</f>
        <v>0</v>
      </c>
      <c r="Q243" s="201">
        <f>IF(OR(SUMIF(Tech_Specs!$D$27:$D$31,"&lt;"&amp;Tech_Specs!$D27,Q$207:Q$211)=0,Q135=0),0,Q280*(1/Q135-1)/SUMIF(Tech_Specs!$D$27:$D$31,"&lt;"&amp;Tech_Specs!$D27,Q$207:Q$211))</f>
        <v>0</v>
      </c>
      <c r="R243" s="201">
        <f>IF(OR(SUMIF(Tech_Specs!$D$27:$D$31,"&lt;"&amp;Tech_Specs!$D27,R$207:R$211)=0,R135=0),0,R280*(1/R135-1)/SUMIF(Tech_Specs!$D$27:$D$31,"&lt;"&amp;Tech_Specs!$D27,R$207:R$211))</f>
        <v>0</v>
      </c>
      <c r="S243" s="201">
        <f>IF(OR(SUMIF(Tech_Specs!$D$27:$D$31,"&lt;"&amp;Tech_Specs!$D27,S$207:S$211)=0,S135=0),0,S280*(1/S135-1)/SUMIF(Tech_Specs!$D$27:$D$31,"&lt;"&amp;Tech_Specs!$D27,S$207:S$211))</f>
        <v>0</v>
      </c>
      <c r="T243" s="201">
        <f>IF(OR(SUMIF(Tech_Specs!$D$27:$D$31,"&lt;"&amp;Tech_Specs!$D27,T$207:T$211)=0,T135=0),0,T280*(1/T135-1)/SUMIF(Tech_Specs!$D$27:$D$31,"&lt;"&amp;Tech_Specs!$D27,T$207:T$211))</f>
        <v>0</v>
      </c>
      <c r="U243" s="201">
        <f>IF(OR(SUMIF(Tech_Specs!$D$27:$D$31,"&lt;"&amp;Tech_Specs!$D27,U$207:U$211)=0,U135=0),0,U280*(1/U135-1)/SUMIF(Tech_Specs!$D$27:$D$31,"&lt;"&amp;Tech_Specs!$D27,U$207:U$211))</f>
        <v>0</v>
      </c>
      <c r="V243" s="201">
        <f>IF(OR(SUMIF(Tech_Specs!$D$27:$D$31,"&lt;"&amp;Tech_Specs!$D27,V$207:V$211)=0,V135=0),0,V280*(1/V135-1)/SUMIF(Tech_Specs!$D$27:$D$31,"&lt;"&amp;Tech_Specs!$D27,V$207:V$211))</f>
        <v>0</v>
      </c>
      <c r="W243" s="201">
        <f>IF(OR(SUMIF(Tech_Specs!$D$27:$D$31,"&lt;"&amp;Tech_Specs!$D27,W$207:W$211)=0,W135=0),0,W280*(1/W135-1)/SUMIF(Tech_Specs!$D$27:$D$31,"&lt;"&amp;Tech_Specs!$D27,W$207:W$211))</f>
        <v>0</v>
      </c>
      <c r="X243" s="201">
        <f>IF(OR(SUMIF(Tech_Specs!$D$27:$D$31,"&lt;"&amp;Tech_Specs!$D27,X$207:X$211)=0,X135=0),0,X280*(1/X135-1)/SUMIF(Tech_Specs!$D$27:$D$31,"&lt;"&amp;Tech_Specs!$D27,X$207:X$211))</f>
        <v>0</v>
      </c>
      <c r="Y243" s="201">
        <f>IF(OR(SUMIF(Tech_Specs!$D$27:$D$31,"&lt;"&amp;Tech_Specs!$D27,Y$207:Y$211)=0,Y135=0),0,Y280*(1/Y135-1)/SUMIF(Tech_Specs!$D$27:$D$31,"&lt;"&amp;Tech_Specs!$D27,Y$207:Y$211))</f>
        <v>0</v>
      </c>
      <c r="Z243" s="201">
        <f>IF(OR(SUMIF(Tech_Specs!$D$27:$D$31,"&lt;"&amp;Tech_Specs!$D27,Z$207:Z$211)=0,Z135=0),0,Z280*(1/Z135-1)/SUMIF(Tech_Specs!$D$27:$D$31,"&lt;"&amp;Tech_Specs!$D27,Z$207:Z$211))</f>
        <v>0</v>
      </c>
      <c r="AA243" s="201">
        <f>IF(OR(SUMIF(Tech_Specs!$D$27:$D$31,"&lt;"&amp;Tech_Specs!$D27,AA$207:AA$211)=0,AA135=0),0,AA280*(1/AA135-1)/SUMIF(Tech_Specs!$D$27:$D$31,"&lt;"&amp;Tech_Specs!$D27,AA$207:AA$211))</f>
        <v>0</v>
      </c>
      <c r="AB243" s="201">
        <f>IF(OR(SUMIF(Tech_Specs!$D$27:$D$31,"&lt;"&amp;Tech_Specs!$D27,AB$207:AB$211)=0,AB135=0),0,AB280*(1/AB135-1)/SUMIF(Tech_Specs!$D$27:$D$31,"&lt;"&amp;Tech_Specs!$D27,AB$207:AB$211))</f>
        <v>0</v>
      </c>
      <c r="AC243" s="201">
        <f>IF(OR(SUMIF(Tech_Specs!$D$27:$D$31,"&lt;"&amp;Tech_Specs!$D27,AC$207:AC$211)=0,AC135=0),0,AC280*(1/AC135-1)/SUMIF(Tech_Specs!$D$27:$D$31,"&lt;"&amp;Tech_Specs!$D27,AC$207:AC$211))</f>
        <v>0</v>
      </c>
      <c r="AD243" s="201">
        <f>IF(OR(SUMIF(Tech_Specs!$D$27:$D$31,"&lt;"&amp;Tech_Specs!$D27,AD$207:AD$211)=0,AD135=0),0,AD280*(1/AD135-1)/SUMIF(Tech_Specs!$D$27:$D$31,"&lt;"&amp;Tech_Specs!$D27,AD$207:AD$211))</f>
        <v>0</v>
      </c>
      <c r="AE243" s="201">
        <f>IF(OR(SUMIF(Tech_Specs!$D$27:$D$31,"&lt;"&amp;Tech_Specs!$D27,AE$207:AE$211)=0,AE135=0),0,AE280*(1/AE135-1)/SUMIF(Tech_Specs!$D$27:$D$31,"&lt;"&amp;Tech_Specs!$D27,AE$207:AE$211))</f>
        <v>0</v>
      </c>
      <c r="AF243" s="201">
        <f>IF(OR(SUMIF(Tech_Specs!$D$27:$D$31,"&lt;"&amp;Tech_Specs!$D27,AF$207:AF$211)=0,AF135=0),0,AF280*(1/AF135-1)/SUMIF(Tech_Specs!$D$27:$D$31,"&lt;"&amp;Tech_Specs!$D27,AF$207:AF$211))</f>
        <v>0</v>
      </c>
    </row>
    <row r="244" spans="1:32" s="221" customFormat="1" x14ac:dyDescent="0.25">
      <c r="A244" s="376"/>
      <c r="B244" s="388" t="s">
        <v>44</v>
      </c>
      <c r="C244"/>
      <c r="D244"/>
      <c r="E244"/>
      <c r="F244"/>
      <c r="G244" s="201">
        <f>IF(OR(SUMIF(Tech_Specs!$D$27:$D$31,"&lt;"&amp;Tech_Specs!$D28,G$207:G$211)=0,G136=0),0,G281*(1/G136-1)/SUMIF(Tech_Specs!$D$27:$D$31,"&lt;"&amp;Tech_Specs!$D28,G$207:G$211))</f>
        <v>1.5822475778135892E-3</v>
      </c>
      <c r="H244" s="201">
        <f>IF(OR(SUMIF(Tech_Specs!$D$27:$D$31,"&lt;"&amp;Tech_Specs!$D28,H$207:H$211)=0,H136=0),0,H281*(1/H136-1)/SUMIF(Tech_Specs!$D$27:$D$31,"&lt;"&amp;Tech_Specs!$D28,H$207:H$211))</f>
        <v>1.1812175322095562E-3</v>
      </c>
      <c r="I244" s="201">
        <f>IF(OR(SUMIF(Tech_Specs!$D$27:$D$31,"&lt;"&amp;Tech_Specs!$D28,I$207:I$211)=0,I136=0),0,I281*(1/I136-1)/SUMIF(Tech_Specs!$D$27:$D$31,"&lt;"&amp;Tech_Specs!$D28,I$207:I$211))</f>
        <v>8.4262998392204802E-4</v>
      </c>
      <c r="J244" s="201">
        <f>IF(OR(SUMIF(Tech_Specs!$D$27:$D$31,"&lt;"&amp;Tech_Specs!$D28,J$207:J$211)=0,J136=0),0,J281*(1/J136-1)/SUMIF(Tech_Specs!$D$27:$D$31,"&lt;"&amp;Tech_Specs!$D28,J$207:J$211))</f>
        <v>5.8964949008954504E-4</v>
      </c>
      <c r="K244" s="201">
        <f>IF(OR(SUMIF(Tech_Specs!$D$27:$D$31,"&lt;"&amp;Tech_Specs!$D28,K$207:K$211)=0,K136=0),0,K281*(1/K136-1)/SUMIF(Tech_Specs!$D$27:$D$31,"&lt;"&amp;Tech_Specs!$D28,K$207:K$211))</f>
        <v>4.0773321515475444E-4</v>
      </c>
      <c r="L244" s="201">
        <f>IF(OR(SUMIF(Tech_Specs!$D$27:$D$31,"&lt;"&amp;Tech_Specs!$D28,L$207:L$211)=0,L136=0),0,L281*(1/L136-1)/SUMIF(Tech_Specs!$D$27:$D$31,"&lt;"&amp;Tech_Specs!$D28,L$207:L$211))</f>
        <v>2.7961976268700269E-4</v>
      </c>
      <c r="M244" s="201">
        <f>IF(OR(SUMIF(Tech_Specs!$D$27:$D$31,"&lt;"&amp;Tech_Specs!$D28,M$207:M$211)=0,M136=0),0,M281*(1/M136-1)/SUMIF(Tech_Specs!$D$27:$D$31,"&lt;"&amp;Tech_Specs!$D28,M$207:M$211))</f>
        <v>1.9082792277538366E-4</v>
      </c>
      <c r="N244" s="201">
        <f>IF(OR(SUMIF(Tech_Specs!$D$27:$D$31,"&lt;"&amp;Tech_Specs!$D28,N$207:N$211)=0,N136=0),0,N281*(1/N136-1)/SUMIF(Tech_Specs!$D$27:$D$31,"&lt;"&amp;Tech_Specs!$D28,N$207:N$211))</f>
        <v>1.2987440087231075E-4</v>
      </c>
      <c r="O244" s="201">
        <f>IF(OR(SUMIF(Tech_Specs!$D$27:$D$31,"&lt;"&amp;Tech_Specs!$D28,O$207:O$211)=0,O136=0),0,O281*(1/O136-1)/SUMIF(Tech_Specs!$D$27:$D$31,"&lt;"&amp;Tech_Specs!$D28,O$207:O$211))</f>
        <v>8.8342582300705811E-5</v>
      </c>
      <c r="P244" s="201">
        <f>IF(OR(SUMIF(Tech_Specs!$D$27:$D$31,"&lt;"&amp;Tech_Specs!$D28,P$207:P$211)=0,P136=0),0,P281*(1/P136-1)/SUMIF(Tech_Specs!$D$27:$D$31,"&lt;"&amp;Tech_Specs!$D28,P$207:P$211))</f>
        <v>6.0175197479877868E-5</v>
      </c>
      <c r="Q244" s="201">
        <f>IF(OR(SUMIF(Tech_Specs!$D$27:$D$31,"&lt;"&amp;Tech_Specs!$D28,Q$207:Q$211)=0,Q136=0),0,Q281*(1/Q136-1)/SUMIF(Tech_Specs!$D$27:$D$31,"&lt;"&amp;Tech_Specs!$D28,Q$207:Q$211))</f>
        <v>4.1125167350155181E-5</v>
      </c>
      <c r="R244" s="201">
        <f>IF(OR(SUMIF(Tech_Specs!$D$27:$D$31,"&lt;"&amp;Tech_Specs!$D28,R$207:R$211)=0,R136=0),0,R281*(1/R136-1)/SUMIF(Tech_Specs!$D$27:$D$31,"&lt;"&amp;Tech_Specs!$D28,R$207:R$211))</f>
        <v>2.8242901437426763E-5</v>
      </c>
      <c r="S244" s="201">
        <f>IF(OR(SUMIF(Tech_Specs!$D$27:$D$31,"&lt;"&amp;Tech_Specs!$D28,S$207:S$211)=0,S136=0),0,S281*(1/S136-1)/SUMIF(Tech_Specs!$D$27:$D$31,"&lt;"&amp;Tech_Specs!$D28,S$207:S$211))</f>
        <v>1.9510410895365548E-5</v>
      </c>
      <c r="T244" s="201">
        <f>IF(OR(SUMIF(Tech_Specs!$D$27:$D$31,"&lt;"&amp;Tech_Specs!$D28,T$207:T$211)=0,T136=0),0,T281*(1/T136-1)/SUMIF(Tech_Specs!$D$27:$D$31,"&lt;"&amp;Tech_Specs!$D28,T$207:T$211))</f>
        <v>1.3564196974667392E-5</v>
      </c>
      <c r="U244" s="201">
        <f>IF(OR(SUMIF(Tech_Specs!$D$27:$D$31,"&lt;"&amp;Tech_Specs!$D28,U$207:U$211)=0,U136=0),0,U281*(1/U136-1)/SUMIF(Tech_Specs!$D$27:$D$31,"&lt;"&amp;Tech_Specs!$D28,U$207:U$211))</f>
        <v>9.4896269037416345E-6</v>
      </c>
      <c r="V244" s="201">
        <f>IF(OR(SUMIF(Tech_Specs!$D$27:$D$31,"&lt;"&amp;Tech_Specs!$D28,V$207:V$211)=0,V136=0),0,V281*(1/V136-1)/SUMIF(Tech_Specs!$D$27:$D$31,"&lt;"&amp;Tech_Specs!$D28,V$207:V$211))</f>
        <v>6.67689816835203E-6</v>
      </c>
      <c r="W244" s="201">
        <f>IF(OR(SUMIF(Tech_Specs!$D$27:$D$31,"&lt;"&amp;Tech_Specs!$D28,W$207:W$211)=0,W136=0),0,W281*(1/W136-1)/SUMIF(Tech_Specs!$D$27:$D$31,"&lt;"&amp;Tech_Specs!$D28,W$207:W$211))</f>
        <v>4.7210713357345905E-6</v>
      </c>
      <c r="X244" s="201">
        <f>IF(OR(SUMIF(Tech_Specs!$D$27:$D$31,"&lt;"&amp;Tech_Specs!$D28,X$207:X$211)=0,X136=0),0,X281*(1/X136-1)/SUMIF(Tech_Specs!$D$27:$D$31,"&lt;"&amp;Tech_Specs!$D28,X$207:X$211))</f>
        <v>3.3516841748687238E-6</v>
      </c>
      <c r="Y244" s="201">
        <f>IF(OR(SUMIF(Tech_Specs!$D$27:$D$31,"&lt;"&amp;Tech_Specs!$D28,Y$207:Y$211)=0,Y136=0),0,Y281*(1/Y136-1)/SUMIF(Tech_Specs!$D$27:$D$31,"&lt;"&amp;Tech_Specs!$D28,Y$207:Y$211))</f>
        <v>2.3871587389452975E-6</v>
      </c>
      <c r="Z244" s="201">
        <f>IF(OR(SUMIF(Tech_Specs!$D$27:$D$31,"&lt;"&amp;Tech_Specs!$D28,Z$207:Z$211)=0,Z136=0),0,Z281*(1/Z136-1)/SUMIF(Tech_Specs!$D$27:$D$31,"&lt;"&amp;Tech_Specs!$D28,Z$207:Z$211))</f>
        <v>1.7043992351300905E-6</v>
      </c>
      <c r="AA244" s="201">
        <f>IF(OR(SUMIF(Tech_Specs!$D$27:$D$31,"&lt;"&amp;Tech_Specs!$D28,AA$207:AA$211)=0,AA136=0),0,AA281*(1/AA136-1)/SUMIF(Tech_Specs!$D$27:$D$31,"&lt;"&amp;Tech_Specs!$D28,AA$207:AA$211))</f>
        <v>1.2191863128197286E-6</v>
      </c>
      <c r="AB244" s="201">
        <f>IF(OR(SUMIF(Tech_Specs!$D$27:$D$31,"&lt;"&amp;Tech_Specs!$D28,AB$207:AB$211)=0,AB136=0),0,AB281*(1/AB136-1)/SUMIF(Tech_Specs!$D$27:$D$31,"&lt;"&amp;Tech_Specs!$D28,AB$207:AB$211))</f>
        <v>1.2155058886737914E-6</v>
      </c>
      <c r="AC244" s="201">
        <f>IF(OR(SUMIF(Tech_Specs!$D$27:$D$31,"&lt;"&amp;Tech_Specs!$D28,AC$207:AC$211)=0,AC136=0),0,AC281*(1/AC136-1)/SUMIF(Tech_Specs!$D$27:$D$31,"&lt;"&amp;Tech_Specs!$D28,AC$207:AC$211))</f>
        <v>1.2130690999220306E-6</v>
      </c>
      <c r="AD244" s="201">
        <f>IF(OR(SUMIF(Tech_Specs!$D$27:$D$31,"&lt;"&amp;Tech_Specs!$D28,AD$207:AD$211)=0,AD136=0),0,AD281*(1/AD136-1)/SUMIF(Tech_Specs!$D$27:$D$31,"&lt;"&amp;Tech_Specs!$D28,AD$207:AD$211))</f>
        <v>1.2115458963171903E-6</v>
      </c>
      <c r="AE244" s="201">
        <f>IF(OR(SUMIF(Tech_Specs!$D$27:$D$31,"&lt;"&amp;Tech_Specs!$D28,AE$207:AE$211)=0,AE136=0),0,AE281*(1/AE136-1)/SUMIF(Tech_Specs!$D$27:$D$31,"&lt;"&amp;Tech_Specs!$D28,AE$207:AE$211))</f>
        <v>1.2107001062118074E-6</v>
      </c>
      <c r="AF244" s="201">
        <f>IF(OR(SUMIF(Tech_Specs!$D$27:$D$31,"&lt;"&amp;Tech_Specs!$D28,AF$207:AF$211)=0,AF136=0),0,AF281*(1/AF136-1)/SUMIF(Tech_Specs!$D$27:$D$31,"&lt;"&amp;Tech_Specs!$D28,AF$207:AF$211))</f>
        <v>1.2104269694651206E-6</v>
      </c>
    </row>
    <row r="245" spans="1:32" s="221" customFormat="1" x14ac:dyDescent="0.25">
      <c r="A245" s="376"/>
      <c r="B245" s="388" t="s">
        <v>45</v>
      </c>
      <c r="C245"/>
      <c r="D245"/>
      <c r="E245"/>
      <c r="F245"/>
      <c r="G245" s="201">
        <f>IF(OR(SUMIF(Tech_Specs!$D$27:$D$31,"&lt;"&amp;Tech_Specs!$D29,G$207:G$211)=0,G137=0),0,G282*(1/G137-1)/SUMIF(Tech_Specs!$D$27:$D$31,"&lt;"&amp;Tech_Specs!$D29,G$207:G$211))</f>
        <v>2.6650283223540135E-6</v>
      </c>
      <c r="H245" s="201">
        <f>IF(OR(SUMIF(Tech_Specs!$D$27:$D$31,"&lt;"&amp;Tech_Specs!$D29,H$207:H$211)=0,H137=0),0,H282*(1/H137-1)/SUMIF(Tech_Specs!$D$27:$D$31,"&lt;"&amp;Tech_Specs!$D29,H$207:H$211))</f>
        <v>1.988959246419206E-6</v>
      </c>
      <c r="I245" s="201">
        <f>IF(OR(SUMIF(Tech_Specs!$D$27:$D$31,"&lt;"&amp;Tech_Specs!$D29,I$207:I$211)=0,I137=0),0,I282*(1/I137-1)/SUMIF(Tech_Specs!$D$27:$D$31,"&lt;"&amp;Tech_Specs!$D29,I$207:I$211))</f>
        <v>1.4178400835754776E-6</v>
      </c>
      <c r="J245" s="201">
        <f>IF(OR(SUMIF(Tech_Specs!$D$27:$D$31,"&lt;"&amp;Tech_Specs!$D29,J$207:J$211)=0,J137=0),0,J282*(1/J137-1)/SUMIF(Tech_Specs!$D$27:$D$31,"&lt;"&amp;Tech_Specs!$D29,J$207:J$211))</f>
        <v>9.9180383893062634E-7</v>
      </c>
      <c r="K245" s="201">
        <f>IF(OR(SUMIF(Tech_Specs!$D$27:$D$31,"&lt;"&amp;Tech_Specs!$D29,K$207:K$211)=0,K137=0),0,K282*(1/K137-1)/SUMIF(Tech_Specs!$D$27:$D$31,"&lt;"&amp;Tech_Specs!$D29,K$207:K$211))</f>
        <v>6.8576483908909939E-7</v>
      </c>
      <c r="L245" s="201">
        <f>IF(OR(SUMIF(Tech_Specs!$D$27:$D$31,"&lt;"&amp;Tech_Specs!$D29,L$207:L$211)=0,L137=0),0,L282*(1/L137-1)/SUMIF(Tech_Specs!$D$27:$D$31,"&lt;"&amp;Tech_Specs!$D29,L$207:L$211))</f>
        <v>4.702132891800298E-7</v>
      </c>
      <c r="M245" s="201">
        <f>IF(OR(SUMIF(Tech_Specs!$D$27:$D$31,"&lt;"&amp;Tech_Specs!$D29,M$207:M$211)=0,M137=0),0,M282*(1/M137-1)/SUMIF(Tech_Specs!$D$27:$D$31,"&lt;"&amp;Tech_Specs!$D29,M$207:M$211))</f>
        <v>3.2092924509983804E-7</v>
      </c>
      <c r="N245" s="201">
        <f>IF(OR(SUMIF(Tech_Specs!$D$27:$D$31,"&lt;"&amp;Tech_Specs!$D29,N$207:N$211)=0,N137=0),0,N282*(1/N137-1)/SUMIF(Tech_Specs!$D$27:$D$31,"&lt;"&amp;Tech_Specs!$D29,N$207:N$211))</f>
        <v>2.1841956309838875E-7</v>
      </c>
      <c r="O245" s="201">
        <f>IF(OR(SUMIF(Tech_Specs!$D$27:$D$31,"&lt;"&amp;Tech_Specs!$D29,O$207:O$211)=0,O137=0),0,O282*(1/O137-1)/SUMIF(Tech_Specs!$D$27:$D$31,"&lt;"&amp;Tech_Specs!$D29,O$207:O$211))</f>
        <v>1.4856568711130165E-7</v>
      </c>
      <c r="P245" s="201">
        <f>IF(OR(SUMIF(Tech_Specs!$D$27:$D$31,"&lt;"&amp;Tech_Specs!$D29,P$207:P$211)=0,P137=0),0,P282*(1/P137-1)/SUMIF(Tech_Specs!$D$27:$D$31,"&lt;"&amp;Tech_Specs!$D29,P$207:P$211))</f>
        <v>1.0118334057421514E-7</v>
      </c>
      <c r="Q245" s="201">
        <f>IF(OR(SUMIF(Tech_Specs!$D$27:$D$31,"&lt;"&amp;Tech_Specs!$D29,Q$207:Q$211)=0,Q137=0),0,Q282*(1/Q137-1)/SUMIF(Tech_Specs!$D$27:$D$31,"&lt;"&amp;Tech_Specs!$D29,Q$207:Q$211))</f>
        <v>6.9144983012259974E-8</v>
      </c>
      <c r="R245" s="201">
        <f>IF(OR(SUMIF(Tech_Specs!$D$27:$D$31,"&lt;"&amp;Tech_Specs!$D29,R$207:R$211)=0,R137=0),0,R282*(1/R137-1)/SUMIF(Tech_Specs!$D$27:$D$31,"&lt;"&amp;Tech_Specs!$D29,R$207:R$211))</f>
        <v>4.7483999622448329E-8</v>
      </c>
      <c r="S245" s="201">
        <f>IF(OR(SUMIF(Tech_Specs!$D$27:$D$31,"&lt;"&amp;Tech_Specs!$D29,S$207:S$211)=0,S137=0),0,S282*(1/S137-1)/SUMIF(Tech_Specs!$D$27:$D$31,"&lt;"&amp;Tech_Specs!$D29,S$207:S$211))</f>
        <v>3.280053818315921E-8</v>
      </c>
      <c r="T245" s="201">
        <f>IF(OR(SUMIF(Tech_Specs!$D$27:$D$31,"&lt;"&amp;Tech_Specs!$D29,T$207:T$211)=0,T137=0),0,T282*(1/T137-1)/SUMIF(Tech_Specs!$D$27:$D$31,"&lt;"&amp;Tech_Specs!$D29,T$207:T$211))</f>
        <v>2.2802671839704332E-8</v>
      </c>
      <c r="U245" s="201">
        <f>IF(OR(SUMIF(Tech_Specs!$D$27:$D$31,"&lt;"&amp;Tech_Specs!$D29,U$207:U$211)=0,U137=0),0,U282*(1/U137-1)/SUMIF(Tech_Specs!$D$27:$D$31,"&lt;"&amp;Tech_Specs!$D29,U$207:U$211))</f>
        <v>1.5952327225403442E-8</v>
      </c>
      <c r="V245" s="201">
        <f>IF(OR(SUMIF(Tech_Specs!$D$27:$D$31,"&lt;"&amp;Tech_Specs!$D29,V$207:V$211)=0,V137=0),0,V282*(1/V137-1)/SUMIF(Tech_Specs!$D$27:$D$31,"&lt;"&amp;Tech_Specs!$D29,V$207:V$211))</f>
        <v>1.1223267259381059E-8</v>
      </c>
      <c r="W245" s="201">
        <f>IF(OR(SUMIF(Tech_Specs!$D$27:$D$31,"&lt;"&amp;Tech_Specs!$D29,W$207:W$211)=0,W137=0),0,W282*(1/W137-1)/SUMIF(Tech_Specs!$D$27:$D$31,"&lt;"&amp;Tech_Specs!$D29,W$207:W$211))</f>
        <v>1.1044151432939922E-8</v>
      </c>
      <c r="X245" s="201">
        <f>IF(OR(SUMIF(Tech_Specs!$D$27:$D$31,"&lt;"&amp;Tech_Specs!$D29,X$207:X$211)=0,X137=0),0,X282*(1/X137-1)/SUMIF(Tech_Specs!$D$27:$D$31,"&lt;"&amp;Tech_Specs!$D29,X$207:X$211))</f>
        <v>1.0911824120909616E-8</v>
      </c>
      <c r="Y245" s="201">
        <f>IF(OR(SUMIF(Tech_Specs!$D$27:$D$31,"&lt;"&amp;Tech_Specs!$D29,Y$207:Y$211)=0,Y137=0),0,Y282*(1/Y137-1)/SUMIF(Tech_Specs!$D$27:$D$31,"&lt;"&amp;Tech_Specs!$D29,Y$207:Y$211))</f>
        <v>1.0815718273761444E-8</v>
      </c>
      <c r="Z245" s="201">
        <f>IF(OR(SUMIF(Tech_Specs!$D$27:$D$31,"&lt;"&amp;Tech_Specs!$D29,Z$207:Z$211)=0,Z137=0),0,Z282*(1/Z137-1)/SUMIF(Tech_Specs!$D$27:$D$31,"&lt;"&amp;Tech_Specs!$D29,Z$207:Z$211))</f>
        <v>1.0746633663214875E-8</v>
      </c>
      <c r="AA245" s="201">
        <f>IF(OR(SUMIF(Tech_Specs!$D$27:$D$31,"&lt;"&amp;Tech_Specs!$D29,AA$207:AA$211)=0,AA137=0),0,AA282*(1/AA137-1)/SUMIF(Tech_Specs!$D$27:$D$31,"&lt;"&amp;Tech_Specs!$D29,AA$207:AA$211))</f>
        <v>1.0697471886896018E-8</v>
      </c>
      <c r="AB245" s="201">
        <f>IF(OR(SUMIF(Tech_Specs!$D$27:$D$31,"&lt;"&amp;Tech_Specs!$D29,AB$207:AB$211)=0,AB137=0),0,AB282*(1/AB137-1)/SUMIF(Tech_Specs!$D$27:$D$31,"&lt;"&amp;Tech_Specs!$D29,AB$207:AB$211))</f>
        <v>1.0663788644795002E-8</v>
      </c>
      <c r="AC245" s="201">
        <f>IF(OR(SUMIF(Tech_Specs!$D$27:$D$31,"&lt;"&amp;Tech_Specs!$D29,AC$207:AC$211)=0,AC137=0),0,AC282*(1/AC137-1)/SUMIF(Tech_Specs!$D$27:$D$31,"&lt;"&amp;Tech_Specs!$D29,AC$207:AC$211))</f>
        <v>1.0641082601060617E-8</v>
      </c>
      <c r="AD245" s="201">
        <f>IF(OR(SUMIF(Tech_Specs!$D$27:$D$31,"&lt;"&amp;Tech_Specs!$D29,AD$207:AD$211)=0,AD137=0),0,AD282*(1/AD137-1)/SUMIF(Tech_Specs!$D$27:$D$31,"&lt;"&amp;Tech_Specs!$D29,AD$207:AD$211))</f>
        <v>1.0626513799621727E-8</v>
      </c>
      <c r="AE245" s="201">
        <f>IF(OR(SUMIF(Tech_Specs!$D$27:$D$31,"&lt;"&amp;Tech_Specs!$D29,AE$207:AE$211)=0,AE137=0),0,AE282*(1/AE137-1)/SUMIF(Tech_Specs!$D$27:$D$31,"&lt;"&amp;Tech_Specs!$D29,AE$207:AE$211))</f>
        <v>1.0618113598127975E-8</v>
      </c>
      <c r="AF245" s="201">
        <f>IF(OR(SUMIF(Tech_Specs!$D$27:$D$31,"&lt;"&amp;Tech_Specs!$D29,AF$207:AF$211)=0,AF137=0),0,AF282*(1/AF137-1)/SUMIF(Tech_Specs!$D$27:$D$31,"&lt;"&amp;Tech_Specs!$D29,AF$207:AF$211))</f>
        <v>1.06157068874796E-8</v>
      </c>
    </row>
    <row r="246" spans="1:32" s="221" customFormat="1" x14ac:dyDescent="0.25">
      <c r="A246" s="376"/>
      <c r="B246" s="388" t="s">
        <v>46</v>
      </c>
      <c r="C246"/>
      <c r="D246"/>
      <c r="E246"/>
      <c r="F246"/>
      <c r="G246" s="201">
        <f>IF(OR(SUMIF(Tech_Specs!$D$27:$D$31,"&lt;"&amp;Tech_Specs!$D30,G$207:G$211)=0,G138=0),0,G283*(1/G138-1)/SUMIF(Tech_Specs!$D$27:$D$31,"&lt;"&amp;Tech_Specs!$D30,G$207:G$211))</f>
        <v>0</v>
      </c>
      <c r="H246" s="201">
        <f>IF(OR(SUMIF(Tech_Specs!$D$27:$D$31,"&lt;"&amp;Tech_Specs!$D30,H$207:H$211)=0,H138=0),0,H283*(1/H138-1)/SUMIF(Tech_Specs!$D$27:$D$31,"&lt;"&amp;Tech_Specs!$D30,H$207:H$211))</f>
        <v>0</v>
      </c>
      <c r="I246" s="201">
        <f>IF(OR(SUMIF(Tech_Specs!$D$27:$D$31,"&lt;"&amp;Tech_Specs!$D30,I$207:I$211)=0,I138=0),0,I283*(1/I138-1)/SUMIF(Tech_Specs!$D$27:$D$31,"&lt;"&amp;Tech_Specs!$D30,I$207:I$211))</f>
        <v>0</v>
      </c>
      <c r="J246" s="201">
        <f>IF(OR(SUMIF(Tech_Specs!$D$27:$D$31,"&lt;"&amp;Tech_Specs!$D30,J$207:J$211)=0,J138=0),0,J283*(1/J138-1)/SUMIF(Tech_Specs!$D$27:$D$31,"&lt;"&amp;Tech_Specs!$D30,J$207:J$211))</f>
        <v>0</v>
      </c>
      <c r="K246" s="201">
        <f>IF(OR(SUMIF(Tech_Specs!$D$27:$D$31,"&lt;"&amp;Tech_Specs!$D30,K$207:K$211)=0,K138=0),0,K283*(1/K138-1)/SUMIF(Tech_Specs!$D$27:$D$31,"&lt;"&amp;Tech_Specs!$D30,K$207:K$211))</f>
        <v>0</v>
      </c>
      <c r="L246" s="201">
        <f>IF(OR(SUMIF(Tech_Specs!$D$27:$D$31,"&lt;"&amp;Tech_Specs!$D30,L$207:L$211)=0,L138=0),0,L283*(1/L138-1)/SUMIF(Tech_Specs!$D$27:$D$31,"&lt;"&amp;Tech_Specs!$D30,L$207:L$211))</f>
        <v>0</v>
      </c>
      <c r="M246" s="201">
        <f>IF(OR(SUMIF(Tech_Specs!$D$27:$D$31,"&lt;"&amp;Tech_Specs!$D30,M$207:M$211)=0,M138=0),0,M283*(1/M138-1)/SUMIF(Tech_Specs!$D$27:$D$31,"&lt;"&amp;Tech_Specs!$D30,M$207:M$211))</f>
        <v>0</v>
      </c>
      <c r="N246" s="201">
        <f>IF(OR(SUMIF(Tech_Specs!$D$27:$D$31,"&lt;"&amp;Tech_Specs!$D30,N$207:N$211)=0,N138=0),0,N283*(1/N138-1)/SUMIF(Tech_Specs!$D$27:$D$31,"&lt;"&amp;Tech_Specs!$D30,N$207:N$211))</f>
        <v>0</v>
      </c>
      <c r="O246" s="201">
        <f>IF(OR(SUMIF(Tech_Specs!$D$27:$D$31,"&lt;"&amp;Tech_Specs!$D30,O$207:O$211)=0,O138=0),0,O283*(1/O138-1)/SUMIF(Tech_Specs!$D$27:$D$31,"&lt;"&amp;Tech_Specs!$D30,O$207:O$211))</f>
        <v>0</v>
      </c>
      <c r="P246" s="201">
        <f>IF(OR(SUMIF(Tech_Specs!$D$27:$D$31,"&lt;"&amp;Tech_Specs!$D30,P$207:P$211)=0,P138=0),0,P283*(1/P138-1)/SUMIF(Tech_Specs!$D$27:$D$31,"&lt;"&amp;Tech_Specs!$D30,P$207:P$211))</f>
        <v>0</v>
      </c>
      <c r="Q246" s="201">
        <f>IF(OR(SUMIF(Tech_Specs!$D$27:$D$31,"&lt;"&amp;Tech_Specs!$D30,Q$207:Q$211)=0,Q138=0),0,Q283*(1/Q138-1)/SUMIF(Tech_Specs!$D$27:$D$31,"&lt;"&amp;Tech_Specs!$D30,Q$207:Q$211))</f>
        <v>0</v>
      </c>
      <c r="R246" s="201">
        <f>IF(OR(SUMIF(Tech_Specs!$D$27:$D$31,"&lt;"&amp;Tech_Specs!$D30,R$207:R$211)=0,R138=0),0,R283*(1/R138-1)/SUMIF(Tech_Specs!$D$27:$D$31,"&lt;"&amp;Tech_Specs!$D30,R$207:R$211))</f>
        <v>0</v>
      </c>
      <c r="S246" s="201">
        <f>IF(OR(SUMIF(Tech_Specs!$D$27:$D$31,"&lt;"&amp;Tech_Specs!$D30,S$207:S$211)=0,S138=0),0,S283*(1/S138-1)/SUMIF(Tech_Specs!$D$27:$D$31,"&lt;"&amp;Tech_Specs!$D30,S$207:S$211))</f>
        <v>0</v>
      </c>
      <c r="T246" s="201">
        <f>IF(OR(SUMIF(Tech_Specs!$D$27:$D$31,"&lt;"&amp;Tech_Specs!$D30,T$207:T$211)=0,T138=0),0,T283*(1/T138-1)/SUMIF(Tech_Specs!$D$27:$D$31,"&lt;"&amp;Tech_Specs!$D30,T$207:T$211))</f>
        <v>0</v>
      </c>
      <c r="U246" s="201">
        <f>IF(OR(SUMIF(Tech_Specs!$D$27:$D$31,"&lt;"&amp;Tech_Specs!$D30,U$207:U$211)=0,U138=0),0,U283*(1/U138-1)/SUMIF(Tech_Specs!$D$27:$D$31,"&lt;"&amp;Tech_Specs!$D30,U$207:U$211))</f>
        <v>0</v>
      </c>
      <c r="V246" s="201">
        <f>IF(OR(SUMIF(Tech_Specs!$D$27:$D$31,"&lt;"&amp;Tech_Specs!$D30,V$207:V$211)=0,V138=0),0,V283*(1/V138-1)/SUMIF(Tech_Specs!$D$27:$D$31,"&lt;"&amp;Tech_Specs!$D30,V$207:V$211))</f>
        <v>0</v>
      </c>
      <c r="W246" s="201">
        <f>IF(OR(SUMIF(Tech_Specs!$D$27:$D$31,"&lt;"&amp;Tech_Specs!$D30,W$207:W$211)=0,W138=0),0,W283*(1/W138-1)/SUMIF(Tech_Specs!$D$27:$D$31,"&lt;"&amp;Tech_Specs!$D30,W$207:W$211))</f>
        <v>0</v>
      </c>
      <c r="X246" s="201">
        <f>IF(OR(SUMIF(Tech_Specs!$D$27:$D$31,"&lt;"&amp;Tech_Specs!$D30,X$207:X$211)=0,X138=0),0,X283*(1/X138-1)/SUMIF(Tech_Specs!$D$27:$D$31,"&lt;"&amp;Tech_Specs!$D30,X$207:X$211))</f>
        <v>0</v>
      </c>
      <c r="Y246" s="201">
        <f>IF(OR(SUMIF(Tech_Specs!$D$27:$D$31,"&lt;"&amp;Tech_Specs!$D30,Y$207:Y$211)=0,Y138=0),0,Y283*(1/Y138-1)/SUMIF(Tech_Specs!$D$27:$D$31,"&lt;"&amp;Tech_Specs!$D30,Y$207:Y$211))</f>
        <v>0</v>
      </c>
      <c r="Z246" s="201">
        <f>IF(OR(SUMIF(Tech_Specs!$D$27:$D$31,"&lt;"&amp;Tech_Specs!$D30,Z$207:Z$211)=0,Z138=0),0,Z283*(1/Z138-1)/SUMIF(Tech_Specs!$D$27:$D$31,"&lt;"&amp;Tech_Specs!$D30,Z$207:Z$211))</f>
        <v>0</v>
      </c>
      <c r="AA246" s="201">
        <f>IF(OR(SUMIF(Tech_Specs!$D$27:$D$31,"&lt;"&amp;Tech_Specs!$D30,AA$207:AA$211)=0,AA138=0),0,AA283*(1/AA138-1)/SUMIF(Tech_Specs!$D$27:$D$31,"&lt;"&amp;Tech_Specs!$D30,AA$207:AA$211))</f>
        <v>0</v>
      </c>
      <c r="AB246" s="201">
        <f>IF(OR(SUMIF(Tech_Specs!$D$27:$D$31,"&lt;"&amp;Tech_Specs!$D30,AB$207:AB$211)=0,AB138=0),0,AB283*(1/AB138-1)/SUMIF(Tech_Specs!$D$27:$D$31,"&lt;"&amp;Tech_Specs!$D30,AB$207:AB$211))</f>
        <v>0</v>
      </c>
      <c r="AC246" s="201">
        <f>IF(OR(SUMIF(Tech_Specs!$D$27:$D$31,"&lt;"&amp;Tech_Specs!$D30,AC$207:AC$211)=0,AC138=0),0,AC283*(1/AC138-1)/SUMIF(Tech_Specs!$D$27:$D$31,"&lt;"&amp;Tech_Specs!$D30,AC$207:AC$211))</f>
        <v>0</v>
      </c>
      <c r="AD246" s="201">
        <f>IF(OR(SUMIF(Tech_Specs!$D$27:$D$31,"&lt;"&amp;Tech_Specs!$D30,AD$207:AD$211)=0,AD138=0),0,AD283*(1/AD138-1)/SUMIF(Tech_Specs!$D$27:$D$31,"&lt;"&amp;Tech_Specs!$D30,AD$207:AD$211))</f>
        <v>0</v>
      </c>
      <c r="AE246" s="201">
        <f>IF(OR(SUMIF(Tech_Specs!$D$27:$D$31,"&lt;"&amp;Tech_Specs!$D30,AE$207:AE$211)=0,AE138=0),0,AE283*(1/AE138-1)/SUMIF(Tech_Specs!$D$27:$D$31,"&lt;"&amp;Tech_Specs!$D30,AE$207:AE$211))</f>
        <v>0</v>
      </c>
      <c r="AF246" s="201">
        <f>IF(OR(SUMIF(Tech_Specs!$D$27:$D$31,"&lt;"&amp;Tech_Specs!$D30,AF$207:AF$211)=0,AF138=0),0,AF283*(1/AF138-1)/SUMIF(Tech_Specs!$D$27:$D$31,"&lt;"&amp;Tech_Specs!$D30,AF$207:AF$211))</f>
        <v>0</v>
      </c>
    </row>
    <row r="247" spans="1:32" s="221" customFormat="1" x14ac:dyDescent="0.25">
      <c r="A247" s="376"/>
      <c r="B247" s="376" t="s">
        <v>29</v>
      </c>
      <c r="C247"/>
      <c r="D247"/>
      <c r="E247"/>
      <c r="F247"/>
      <c r="G247" s="201">
        <f>IF(OR(SUMIF(Tech_Specs!$D$27:$D$31,"&lt;"&amp;Tech_Specs!$D31,G$207:G$211)=0,G139=0),0,G284*(1/G139-1)/SUMIF(Tech_Specs!$D$27:$D$31,"&lt;"&amp;Tech_Specs!$D31,G$207:G$211))</f>
        <v>0.77123575733978456</v>
      </c>
      <c r="H247" s="201">
        <f>IF(OR(SUMIF(Tech_Specs!$D$27:$D$31,"&lt;"&amp;Tech_Specs!$D31,H$207:H$211)=0,H139=0),0,H284*(1/H139-1)/SUMIF(Tech_Specs!$D$27:$D$31,"&lt;"&amp;Tech_Specs!$D31,H$207:H$211))</f>
        <v>0.84131580519847082</v>
      </c>
      <c r="I247" s="201">
        <f>IF(OR(SUMIF(Tech_Specs!$D$27:$D$31,"&lt;"&amp;Tech_Specs!$D31,I$207:I$211)=0,I139=0),0,I284*(1/I139-1)/SUMIF(Tech_Specs!$D$27:$D$31,"&lt;"&amp;Tech_Specs!$D31,I$207:I$211))</f>
        <v>0.82939721023216384</v>
      </c>
      <c r="J247" s="201">
        <f>IF(OR(SUMIF(Tech_Specs!$D$27:$D$31,"&lt;"&amp;Tech_Specs!$D31,J$207:J$211)=0,J139=0),0,J284*(1/J139-1)/SUMIF(Tech_Specs!$D$27:$D$31,"&lt;"&amp;Tech_Specs!$D31,J$207:J$211))</f>
        <v>0.78253960988530136</v>
      </c>
      <c r="K247" s="201">
        <f>IF(OR(SUMIF(Tech_Specs!$D$27:$D$31,"&lt;"&amp;Tech_Specs!$D31,K$207:K$211)=0,K139=0),0,K284*(1/K139-1)/SUMIF(Tech_Specs!$D$27:$D$31,"&lt;"&amp;Tech_Specs!$D31,K$207:K$211))</f>
        <v>0.71593732355366868</v>
      </c>
      <c r="L247" s="201">
        <f>IF(OR(SUMIF(Tech_Specs!$D$27:$D$31,"&lt;"&amp;Tech_Specs!$D31,L$207:L$211)=0,L139=0),0,L284*(1/L139-1)/SUMIF(Tech_Specs!$D$27:$D$31,"&lt;"&amp;Tech_Specs!$D31,L$207:L$211))</f>
        <v>0.63821367499573034</v>
      </c>
      <c r="M247" s="201">
        <f>IF(OR(SUMIF(Tech_Specs!$D$27:$D$31,"&lt;"&amp;Tech_Specs!$D31,M$207:M$211)=0,M139=0),0,M284*(1/M139-1)/SUMIF(Tech_Specs!$D$27:$D$31,"&lt;"&amp;Tech_Specs!$D31,M$207:M$211))</f>
        <v>0.55606931133628534</v>
      </c>
      <c r="N247" s="201">
        <f>IF(OR(SUMIF(Tech_Specs!$D$27:$D$31,"&lt;"&amp;Tech_Specs!$D31,N$207:N$211)=0,N139=0),0,N284*(1/N139-1)/SUMIF(Tech_Specs!$D$27:$D$31,"&lt;"&amp;Tech_Specs!$D31,N$207:N$211))</f>
        <v>0.47397976527210395</v>
      </c>
      <c r="O247" s="201">
        <f>IF(OR(SUMIF(Tech_Specs!$D$27:$D$31,"&lt;"&amp;Tech_Specs!$D31,O$207:O$211)=0,O139=0),0,O284*(1/O139-1)/SUMIF(Tech_Specs!$D$27:$D$31,"&lt;"&amp;Tech_Specs!$D31,O$207:O$211))</f>
        <v>0.39542143867345003</v>
      </c>
      <c r="P247" s="201">
        <f>IF(OR(SUMIF(Tech_Specs!$D$27:$D$31,"&lt;"&amp;Tech_Specs!$D31,P$207:P$211)=0,P139=0),0,P284*(1/P139-1)/SUMIF(Tech_Specs!$D$27:$D$31,"&lt;"&amp;Tech_Specs!$D31,P$207:P$211))</f>
        <v>0.32287629840719151</v>
      </c>
      <c r="Q247" s="201">
        <f>IF(OR(SUMIF(Tech_Specs!$D$27:$D$31,"&lt;"&amp;Tech_Specs!$D31,Q$207:Q$211)=0,Q139=0),0,Q284*(1/Q139-1)/SUMIF(Tech_Specs!$D$27:$D$31,"&lt;"&amp;Tech_Specs!$D31,Q$207:Q$211))</f>
        <v>0.2581724461495617</v>
      </c>
      <c r="R247" s="201">
        <f>IF(OR(SUMIF(Tech_Specs!$D$27:$D$31,"&lt;"&amp;Tech_Specs!$D31,R$207:R$211)=0,R139=0),0,R284*(1/R139-1)/SUMIF(Tech_Specs!$D$27:$D$31,"&lt;"&amp;Tech_Specs!$D31,R$207:R$211))</f>
        <v>0.20235724028438865</v>
      </c>
      <c r="S247" s="201">
        <f>IF(OR(SUMIF(Tech_Specs!$D$27:$D$31,"&lt;"&amp;Tech_Specs!$D31,S$207:S$211)=0,S139=0),0,S284*(1/S139-1)/SUMIF(Tech_Specs!$D$27:$D$31,"&lt;"&amp;Tech_Specs!$D31,S$207:S$211))</f>
        <v>0.15575345012567388</v>
      </c>
      <c r="T247" s="201">
        <f>IF(OR(SUMIF(Tech_Specs!$D$27:$D$31,"&lt;"&amp;Tech_Specs!$D31,T$207:T$211)=0,T139=0),0,T284*(1/T139-1)/SUMIF(Tech_Specs!$D$27:$D$31,"&lt;"&amp;Tech_Specs!$D31,T$207:T$211))</f>
        <v>0.11800870201180179</v>
      </c>
      <c r="U247" s="201">
        <f>IF(OR(SUMIF(Tech_Specs!$D$27:$D$31,"&lt;"&amp;Tech_Specs!$D31,U$207:U$211)=0,U139=0),0,U284*(1/U139-1)/SUMIF(Tech_Specs!$D$27:$D$31,"&lt;"&amp;Tech_Specs!$D31,U$207:U$211))</f>
        <v>8.824590768917405E-2</v>
      </c>
      <c r="V247" s="201">
        <f>IF(OR(SUMIF(Tech_Specs!$D$27:$D$31,"&lt;"&amp;Tech_Specs!$D31,V$207:V$211)=0,V139=0),0,V284*(1/V139-1)/SUMIF(Tech_Specs!$D$27:$D$31,"&lt;"&amp;Tech_Specs!$D31,V$207:V$211))</f>
        <v>6.5293074633835227E-2</v>
      </c>
      <c r="W247" s="201">
        <f>IF(OR(SUMIF(Tech_Specs!$D$27:$D$31,"&lt;"&amp;Tech_Specs!$D31,W$207:W$211)=0,W139=0),0,W284*(1/W139-1)/SUMIF(Tech_Specs!$D$27:$D$31,"&lt;"&amp;Tech_Specs!$D31,W$207:W$211))</f>
        <v>4.7913923275140151E-2</v>
      </c>
      <c r="X247" s="201">
        <f>IF(OR(SUMIF(Tech_Specs!$D$27:$D$31,"&lt;"&amp;Tech_Specs!$D31,X$207:X$211)=0,X139=0),0,X284*(1/X139-1)/SUMIF(Tech_Specs!$D$27:$D$31,"&lt;"&amp;Tech_Specs!$D31,X$207:X$211))</f>
        <v>3.493997665935529E-2</v>
      </c>
      <c r="Y247" s="201">
        <f>IF(OR(SUMIF(Tech_Specs!$D$27:$D$31,"&lt;"&amp;Tech_Specs!$D31,Y$207:Y$211)=0,Y139=0),0,Y284*(1/Y139-1)/SUMIF(Tech_Specs!$D$27:$D$31,"&lt;"&amp;Tech_Specs!$D31,Y$207:Y$211))</f>
        <v>2.5359320963420442E-2</v>
      </c>
      <c r="Z247" s="201">
        <f>IF(OR(SUMIF(Tech_Specs!$D$27:$D$31,"&lt;"&amp;Tech_Specs!$D31,Z$207:Z$211)=0,Z139=0),0,Z284*(1/Z139-1)/SUMIF(Tech_Specs!$D$27:$D$31,"&lt;"&amp;Tech_Specs!$D31,Z$207:Z$211))</f>
        <v>1.8341337148719033E-2</v>
      </c>
      <c r="AA247" s="201">
        <f>IF(OR(SUMIF(Tech_Specs!$D$27:$D$31,"&lt;"&amp;Tech_Specs!$D31,AA$207:AA$211)=0,AA139=0),0,AA284*(1/AA139-1)/SUMIF(Tech_Specs!$D$27:$D$31,"&lt;"&amp;Tech_Specs!$D31,AA$207:AA$211))</f>
        <v>1.3231488323266384E-2</v>
      </c>
      <c r="AB247" s="201">
        <f>IF(OR(SUMIF(Tech_Specs!$D$27:$D$31,"&lt;"&amp;Tech_Specs!$D31,AB$207:AB$211)=0,AB139=0),0,AB284*(1/AB139-1)/SUMIF(Tech_Specs!$D$27:$D$31,"&lt;"&amp;Tech_Specs!$D31,AB$207:AB$211))</f>
        <v>9.5280778461185045E-3</v>
      </c>
      <c r="AC247" s="201">
        <f>IF(OR(SUMIF(Tech_Specs!$D$27:$D$31,"&lt;"&amp;Tech_Specs!$D31,AC$207:AC$211)=0,AC139=0),0,AC284*(1/AC139-1)/SUMIF(Tech_Specs!$D$27:$D$31,"&lt;"&amp;Tech_Specs!$D31,AC$207:AC$211))</f>
        <v>6.8523053900137994E-3</v>
      </c>
      <c r="AD247" s="201">
        <f>IF(OR(SUMIF(Tech_Specs!$D$27:$D$31,"&lt;"&amp;Tech_Specs!$D31,AD$207:AD$211)=0,AD139=0),0,AD284*(1/AD139-1)/SUMIF(Tech_Specs!$D$27:$D$31,"&lt;"&amp;Tech_Specs!$D31,AD$207:AD$211))</f>
        <v>4.9235248496417279E-3</v>
      </c>
      <c r="AE247" s="201">
        <f>IF(OR(SUMIF(Tech_Specs!$D$27:$D$31,"&lt;"&amp;Tech_Specs!$D31,AE$207:AE$211)=0,AE139=0),0,AE284*(1/AE139-1)/SUMIF(Tech_Specs!$D$27:$D$31,"&lt;"&amp;Tech_Specs!$D31,AE$207:AE$211))</f>
        <v>3.5355206698035242E-3</v>
      </c>
      <c r="AF247" s="201">
        <f>IF(OR(SUMIF(Tech_Specs!$D$27:$D$31,"&lt;"&amp;Tech_Specs!$D31,AF$207:AF$211)=0,AF139=0),0,AF284*(1/AF139-1)/SUMIF(Tech_Specs!$D$27:$D$31,"&lt;"&amp;Tech_Specs!$D31,AF$207:AF$211))</f>
        <v>2.5380355702836611E-3</v>
      </c>
    </row>
    <row r="248" spans="1:32" s="221" customFormat="1" x14ac:dyDescent="0.25">
      <c r="A248" s="376"/>
      <c r="B248" s="376"/>
      <c r="C248"/>
      <c r="D248"/>
      <c r="E248"/>
      <c r="F248"/>
      <c r="G248"/>
      <c r="H248"/>
      <c r="I248"/>
      <c r="J248"/>
      <c r="K248"/>
      <c r="L248"/>
      <c r="M248"/>
      <c r="N248"/>
      <c r="O248"/>
      <c r="P248"/>
      <c r="Q248"/>
      <c r="R248"/>
      <c r="S248"/>
      <c r="T248"/>
      <c r="U248"/>
      <c r="V248"/>
      <c r="W248"/>
      <c r="X248"/>
      <c r="Y248"/>
      <c r="Z248"/>
      <c r="AA248"/>
      <c r="AB248"/>
      <c r="AC248"/>
      <c r="AD248"/>
      <c r="AE248"/>
      <c r="AF248"/>
    </row>
    <row r="249" spans="1:32" s="202" customFormat="1" ht="12.75" x14ac:dyDescent="0.2">
      <c r="A249" s="402" t="s">
        <v>47</v>
      </c>
      <c r="B249" s="402"/>
      <c r="C249" s="402"/>
      <c r="D249" s="402"/>
      <c r="E249" s="402"/>
      <c r="F249" s="402"/>
      <c r="G249" s="402"/>
      <c r="H249" s="402"/>
      <c r="I249" s="402"/>
      <c r="J249" s="402"/>
      <c r="K249" s="402"/>
      <c r="L249" s="402"/>
      <c r="M249" s="402"/>
      <c r="N249" s="402"/>
      <c r="O249" s="402"/>
      <c r="P249" s="402"/>
      <c r="Q249" s="402"/>
      <c r="R249" s="402"/>
      <c r="S249" s="402"/>
      <c r="T249" s="402"/>
      <c r="U249" s="402"/>
      <c r="V249" s="402"/>
      <c r="W249" s="402"/>
      <c r="X249" s="402"/>
      <c r="Y249" s="402"/>
      <c r="Z249" s="402"/>
      <c r="AA249" s="402"/>
      <c r="AB249" s="402"/>
      <c r="AC249" s="402"/>
      <c r="AD249" s="402"/>
      <c r="AE249" s="402"/>
      <c r="AF249" s="402"/>
    </row>
    <row r="250" spans="1:32" s="221" customFormat="1" x14ac:dyDescent="0.25">
      <c r="A250" s="376"/>
      <c r="B250" s="376" t="s">
        <v>48</v>
      </c>
      <c r="C250"/>
      <c r="D250"/>
      <c r="E250"/>
      <c r="F250"/>
      <c r="G250" s="201">
        <f>IF(OR(SUMIF(Tech_Specs!$D$34:$D$39,"&lt;"&amp;Tech_Specs!$D34,G$214:G$219)=0,G142=0),0,G287*(1/G142-1)/SUMIF(Tech_Specs!$D$34:$D$39,"&lt;"&amp;Tech_Specs!$D34,G$214:G$219))</f>
        <v>0</v>
      </c>
      <c r="H250" s="201">
        <f>IF(OR(SUMIF(Tech_Specs!$D$34:$D$39,"&lt;"&amp;Tech_Specs!$D34,H$214:H$219)=0,H142=0),0,H287*(1/H142-1)/SUMIF(Tech_Specs!$D$34:$D$39,"&lt;"&amp;Tech_Specs!$D34,H$214:H$219))</f>
        <v>0</v>
      </c>
      <c r="I250" s="201">
        <f>IF(OR(SUMIF(Tech_Specs!$D$34:$D$39,"&lt;"&amp;Tech_Specs!$D34,I$214:I$219)=0,I142=0),0,I287*(1/I142-1)/SUMIF(Tech_Specs!$D$34:$D$39,"&lt;"&amp;Tech_Specs!$D34,I$214:I$219))</f>
        <v>0</v>
      </c>
      <c r="J250" s="201">
        <f>IF(OR(SUMIF(Tech_Specs!$D$34:$D$39,"&lt;"&amp;Tech_Specs!$D34,J$214:J$219)=0,J142=0),0,J287*(1/J142-1)/SUMIF(Tech_Specs!$D$34:$D$39,"&lt;"&amp;Tech_Specs!$D34,J$214:J$219))</f>
        <v>0</v>
      </c>
      <c r="K250" s="201">
        <f>IF(OR(SUMIF(Tech_Specs!$D$34:$D$39,"&lt;"&amp;Tech_Specs!$D34,K$214:K$219)=0,K142=0),0,K287*(1/K142-1)/SUMIF(Tech_Specs!$D$34:$D$39,"&lt;"&amp;Tech_Specs!$D34,K$214:K$219))</f>
        <v>0</v>
      </c>
      <c r="L250" s="201">
        <f>IF(OR(SUMIF(Tech_Specs!$D$34:$D$39,"&lt;"&amp;Tech_Specs!$D34,L$214:L$219)=0,L142=0),0,L287*(1/L142-1)/SUMIF(Tech_Specs!$D$34:$D$39,"&lt;"&amp;Tech_Specs!$D34,L$214:L$219))</f>
        <v>0</v>
      </c>
      <c r="M250" s="201">
        <f>IF(OR(SUMIF(Tech_Specs!$D$34:$D$39,"&lt;"&amp;Tech_Specs!$D34,M$214:M$219)=0,M142=0),0,M287*(1/M142-1)/SUMIF(Tech_Specs!$D$34:$D$39,"&lt;"&amp;Tech_Specs!$D34,M$214:M$219))</f>
        <v>0</v>
      </c>
      <c r="N250" s="201">
        <f>IF(OR(SUMIF(Tech_Specs!$D$34:$D$39,"&lt;"&amp;Tech_Specs!$D34,N$214:N$219)=0,N142=0),0,N287*(1/N142-1)/SUMIF(Tech_Specs!$D$34:$D$39,"&lt;"&amp;Tech_Specs!$D34,N$214:N$219))</f>
        <v>0</v>
      </c>
      <c r="O250" s="201">
        <f>IF(OR(SUMIF(Tech_Specs!$D$34:$D$39,"&lt;"&amp;Tech_Specs!$D34,O$214:O$219)=0,O142=0),0,O287*(1/O142-1)/SUMIF(Tech_Specs!$D$34:$D$39,"&lt;"&amp;Tech_Specs!$D34,O$214:O$219))</f>
        <v>0</v>
      </c>
      <c r="P250" s="201">
        <f>IF(OR(SUMIF(Tech_Specs!$D$34:$D$39,"&lt;"&amp;Tech_Specs!$D34,P$214:P$219)=0,P142=0),0,P287*(1/P142-1)/SUMIF(Tech_Specs!$D$34:$D$39,"&lt;"&amp;Tech_Specs!$D34,P$214:P$219))</f>
        <v>0</v>
      </c>
      <c r="Q250" s="201">
        <f>IF(OR(SUMIF(Tech_Specs!$D$34:$D$39,"&lt;"&amp;Tech_Specs!$D34,Q$214:Q$219)=0,Q142=0),0,Q287*(1/Q142-1)/SUMIF(Tech_Specs!$D$34:$D$39,"&lt;"&amp;Tech_Specs!$D34,Q$214:Q$219))</f>
        <v>0</v>
      </c>
      <c r="R250" s="201">
        <f>IF(OR(SUMIF(Tech_Specs!$D$34:$D$39,"&lt;"&amp;Tech_Specs!$D34,R$214:R$219)=0,R142=0),0,R287*(1/R142-1)/SUMIF(Tech_Specs!$D$34:$D$39,"&lt;"&amp;Tech_Specs!$D34,R$214:R$219))</f>
        <v>0</v>
      </c>
      <c r="S250" s="201">
        <f>IF(OR(SUMIF(Tech_Specs!$D$34:$D$39,"&lt;"&amp;Tech_Specs!$D34,S$214:S$219)=0,S142=0),0,S287*(1/S142-1)/SUMIF(Tech_Specs!$D$34:$D$39,"&lt;"&amp;Tech_Specs!$D34,S$214:S$219))</f>
        <v>0</v>
      </c>
      <c r="T250" s="201">
        <f>IF(OR(SUMIF(Tech_Specs!$D$34:$D$39,"&lt;"&amp;Tech_Specs!$D34,T$214:T$219)=0,T142=0),0,T287*(1/T142-1)/SUMIF(Tech_Specs!$D$34:$D$39,"&lt;"&amp;Tech_Specs!$D34,T$214:T$219))</f>
        <v>0</v>
      </c>
      <c r="U250" s="201">
        <f>IF(OR(SUMIF(Tech_Specs!$D$34:$D$39,"&lt;"&amp;Tech_Specs!$D34,U$214:U$219)=0,U142=0),0,U287*(1/U142-1)/SUMIF(Tech_Specs!$D$34:$D$39,"&lt;"&amp;Tech_Specs!$D34,U$214:U$219))</f>
        <v>0</v>
      </c>
      <c r="V250" s="201">
        <f>IF(OR(SUMIF(Tech_Specs!$D$34:$D$39,"&lt;"&amp;Tech_Specs!$D34,V$214:V$219)=0,V142=0),0,V287*(1/V142-1)/SUMIF(Tech_Specs!$D$34:$D$39,"&lt;"&amp;Tech_Specs!$D34,V$214:V$219))</f>
        <v>0</v>
      </c>
      <c r="W250" s="201">
        <f>IF(OR(SUMIF(Tech_Specs!$D$34:$D$39,"&lt;"&amp;Tech_Specs!$D34,W$214:W$219)=0,W142=0),0,W287*(1/W142-1)/SUMIF(Tech_Specs!$D$34:$D$39,"&lt;"&amp;Tech_Specs!$D34,W$214:W$219))</f>
        <v>0</v>
      </c>
      <c r="X250" s="201">
        <f>IF(OR(SUMIF(Tech_Specs!$D$34:$D$39,"&lt;"&amp;Tech_Specs!$D34,X$214:X$219)=0,X142=0),0,X287*(1/X142-1)/SUMIF(Tech_Specs!$D$34:$D$39,"&lt;"&amp;Tech_Specs!$D34,X$214:X$219))</f>
        <v>0</v>
      </c>
      <c r="Y250" s="201">
        <f>IF(OR(SUMIF(Tech_Specs!$D$34:$D$39,"&lt;"&amp;Tech_Specs!$D34,Y$214:Y$219)=0,Y142=0),0,Y287*(1/Y142-1)/SUMIF(Tech_Specs!$D$34:$D$39,"&lt;"&amp;Tech_Specs!$D34,Y$214:Y$219))</f>
        <v>0</v>
      </c>
      <c r="Z250" s="201">
        <f>IF(OR(SUMIF(Tech_Specs!$D$34:$D$39,"&lt;"&amp;Tech_Specs!$D34,Z$214:Z$219)=0,Z142=0),0,Z287*(1/Z142-1)/SUMIF(Tech_Specs!$D$34:$D$39,"&lt;"&amp;Tech_Specs!$D34,Z$214:Z$219))</f>
        <v>0</v>
      </c>
      <c r="AA250" s="201">
        <f>IF(OR(SUMIF(Tech_Specs!$D$34:$D$39,"&lt;"&amp;Tech_Specs!$D34,AA$214:AA$219)=0,AA142=0),0,AA287*(1/AA142-1)/SUMIF(Tech_Specs!$D$34:$D$39,"&lt;"&amp;Tech_Specs!$D34,AA$214:AA$219))</f>
        <v>0</v>
      </c>
      <c r="AB250" s="201">
        <f>IF(OR(SUMIF(Tech_Specs!$D$34:$D$39,"&lt;"&amp;Tech_Specs!$D34,AB$214:AB$219)=0,AB142=0),0,AB287*(1/AB142-1)/SUMIF(Tech_Specs!$D$34:$D$39,"&lt;"&amp;Tech_Specs!$D34,AB$214:AB$219))</f>
        <v>0</v>
      </c>
      <c r="AC250" s="201">
        <f>IF(OR(SUMIF(Tech_Specs!$D$34:$D$39,"&lt;"&amp;Tech_Specs!$D34,AC$214:AC$219)=0,AC142=0),0,AC287*(1/AC142-1)/SUMIF(Tech_Specs!$D$34:$D$39,"&lt;"&amp;Tech_Specs!$D34,AC$214:AC$219))</f>
        <v>0</v>
      </c>
      <c r="AD250" s="201">
        <f>IF(OR(SUMIF(Tech_Specs!$D$34:$D$39,"&lt;"&amp;Tech_Specs!$D34,AD$214:AD$219)=0,AD142=0),0,AD287*(1/AD142-1)/SUMIF(Tech_Specs!$D$34:$D$39,"&lt;"&amp;Tech_Specs!$D34,AD$214:AD$219))</f>
        <v>0</v>
      </c>
      <c r="AE250" s="201">
        <f>IF(OR(SUMIF(Tech_Specs!$D$34:$D$39,"&lt;"&amp;Tech_Specs!$D34,AE$214:AE$219)=0,AE142=0),0,AE287*(1/AE142-1)/SUMIF(Tech_Specs!$D$34:$D$39,"&lt;"&amp;Tech_Specs!$D34,AE$214:AE$219))</f>
        <v>0</v>
      </c>
      <c r="AF250" s="201">
        <f>IF(OR(SUMIF(Tech_Specs!$D$34:$D$39,"&lt;"&amp;Tech_Specs!$D34,AF$214:AF$219)=0,AF142=0),0,AF287*(1/AF142-1)/SUMIF(Tech_Specs!$D$34:$D$39,"&lt;"&amp;Tech_Specs!$D34,AF$214:AF$219))</f>
        <v>0</v>
      </c>
    </row>
    <row r="251" spans="1:32" s="221" customFormat="1" x14ac:dyDescent="0.25">
      <c r="A251" s="376"/>
      <c r="B251" s="388" t="s">
        <v>50</v>
      </c>
      <c r="C251"/>
      <c r="D251"/>
      <c r="E251"/>
      <c r="F251"/>
      <c r="G251" s="201">
        <f>IF(OR(SUMIF(Tech_Specs!$D$34:$D$39,"&lt;"&amp;Tech_Specs!$D35,G$214:G$219)=0,G143=0),0,G288*(1/G143-1)/SUMIF(Tech_Specs!$D$34:$D$39,"&lt;"&amp;Tech_Specs!$D35,G$214:G$219))</f>
        <v>1.2222309115371175E-4</v>
      </c>
      <c r="H251" s="201">
        <f>IF(OR(SUMIF(Tech_Specs!$D$34:$D$39,"&lt;"&amp;Tech_Specs!$D35,H$214:H$219)=0,H143=0),0,H288*(1/H143-1)/SUMIF(Tech_Specs!$D$34:$D$39,"&lt;"&amp;Tech_Specs!$D35,H$214:H$219))</f>
        <v>9.0458186779638502E-5</v>
      </c>
      <c r="I251" s="201">
        <f>IF(OR(SUMIF(Tech_Specs!$D$34:$D$39,"&lt;"&amp;Tech_Specs!$D35,I$214:I$219)=0,I143=0),0,I288*(1/I143-1)/SUMIF(Tech_Specs!$D$34:$D$39,"&lt;"&amp;Tech_Specs!$D35,I$214:I$219))</f>
        <v>6.1975311818526514E-5</v>
      </c>
      <c r="J251" s="201">
        <f>IF(OR(SUMIF(Tech_Specs!$D$34:$D$39,"&lt;"&amp;Tech_Specs!$D35,J$214:J$219)=0,J143=0),0,J288*(1/J143-1)/SUMIF(Tech_Specs!$D$34:$D$39,"&lt;"&amp;Tech_Specs!$D35,J$214:J$219))</f>
        <v>3.920174502706802E-5</v>
      </c>
      <c r="K251" s="201">
        <f>IF(OR(SUMIF(Tech_Specs!$D$34:$D$39,"&lt;"&amp;Tech_Specs!$D35,K$214:K$219)=0,K143=0),0,K288*(1/K143-1)/SUMIF(Tech_Specs!$D$34:$D$39,"&lt;"&amp;Tech_Specs!$D35,K$214:K$219))</f>
        <v>2.3165671747341752E-5</v>
      </c>
      <c r="L251" s="201">
        <f>IF(OR(SUMIF(Tech_Specs!$D$34:$D$39,"&lt;"&amp;Tech_Specs!$D35,L$214:L$219)=0,L143=0),0,L288*(1/L143-1)/SUMIF(Tech_Specs!$D$34:$D$39,"&lt;"&amp;Tech_Specs!$D35,L$214:L$219))</f>
        <v>1.342047165466678E-5</v>
      </c>
      <c r="M251" s="201">
        <f>IF(OR(SUMIF(Tech_Specs!$D$34:$D$39,"&lt;"&amp;Tech_Specs!$D35,M$214:M$219)=0,M143=0),0,M288*(1/M143-1)/SUMIF(Tech_Specs!$D$34:$D$39,"&lt;"&amp;Tech_Specs!$D35,M$214:M$219))</f>
        <v>7.5430160004958565E-6</v>
      </c>
      <c r="N251" s="201">
        <f>IF(OR(SUMIF(Tech_Specs!$D$34:$D$39,"&lt;"&amp;Tech_Specs!$D35,N$214:N$219)=0,N143=0),0,N288*(1/N143-1)/SUMIF(Tech_Specs!$D$34:$D$39,"&lt;"&amp;Tech_Specs!$D35,N$214:N$219))</f>
        <v>4.3175977651315978E-6</v>
      </c>
      <c r="O251" s="201">
        <f>IF(OR(SUMIF(Tech_Specs!$D$34:$D$39,"&lt;"&amp;Tech_Specs!$D35,O$214:O$219)=0,O143=0),0,O288*(1/O143-1)/SUMIF(Tech_Specs!$D$34:$D$39,"&lt;"&amp;Tech_Specs!$D35,O$214:O$219))</f>
        <v>2.5323417295234761E-6</v>
      </c>
      <c r="P251" s="201">
        <f>IF(OR(SUMIF(Tech_Specs!$D$34:$D$39,"&lt;"&amp;Tech_Specs!$D35,P$214:P$219)=0,P143=0),0,P288*(1/P143-1)/SUMIF(Tech_Specs!$D$34:$D$39,"&lt;"&amp;Tech_Specs!$D35,P$214:P$219))</f>
        <v>1.5365486377837318E-6</v>
      </c>
      <c r="Q251" s="201">
        <f>IF(OR(SUMIF(Tech_Specs!$D$34:$D$39,"&lt;"&amp;Tech_Specs!$D35,Q$214:Q$219)=0,Q143=0),0,Q288*(1/Q143-1)/SUMIF(Tech_Specs!$D$34:$D$39,"&lt;"&amp;Tech_Specs!$D35,Q$214:Q$219))</f>
        <v>9.4728872202593782E-7</v>
      </c>
      <c r="R251" s="201">
        <f>IF(OR(SUMIF(Tech_Specs!$D$34:$D$39,"&lt;"&amp;Tech_Specs!$D35,R$214:R$219)=0,R143=0),0,R288*(1/R143-1)/SUMIF(Tech_Specs!$D$34:$D$39,"&lt;"&amp;Tech_Specs!$D35,R$214:R$219))</f>
        <v>5.9166787016506153E-7</v>
      </c>
      <c r="S251" s="201">
        <f>IF(OR(SUMIF(Tech_Specs!$D$34:$D$39,"&lt;"&amp;Tech_Specs!$D35,S$214:S$219)=0,S143=0),0,S288*(1/S143-1)/SUMIF(Tech_Specs!$D$34:$D$39,"&lt;"&amp;Tech_Specs!$D35,S$214:S$219))</f>
        <v>3.7697786637048302E-7</v>
      </c>
      <c r="T251" s="201">
        <f>IF(OR(SUMIF(Tech_Specs!$D$34:$D$39,"&lt;"&amp;Tech_Specs!$D35,T$214:T$219)=0,T143=0),0,T288*(1/T143-1)/SUMIF(Tech_Specs!$D$34:$D$39,"&lt;"&amp;Tech_Specs!$D35,T$214:T$219))</f>
        <v>2.4377058727686667E-7</v>
      </c>
      <c r="U251" s="201">
        <f>IF(OR(SUMIF(Tech_Specs!$D$34:$D$39,"&lt;"&amp;Tech_Specs!$D35,U$214:U$219)=0,U143=0),0,U288*(1/U143-1)/SUMIF(Tech_Specs!$D$34:$D$39,"&lt;"&amp;Tech_Specs!$D35,U$214:U$219))</f>
        <v>1.5934392309234873E-7</v>
      </c>
      <c r="V251" s="201">
        <f>IF(OR(SUMIF(Tech_Specs!$D$34:$D$39,"&lt;"&amp;Tech_Specs!$D35,V$214:V$219)=0,V143=0),0,V288*(1/V143-1)/SUMIF(Tech_Specs!$D$34:$D$39,"&lt;"&amp;Tech_Specs!$D35,V$214:V$219))</f>
        <v>1.0584512083912675E-7</v>
      </c>
      <c r="W251" s="201">
        <f>IF(OR(SUMIF(Tech_Specs!$D$34:$D$39,"&lt;"&amp;Tech_Specs!$D35,W$214:W$219)=0,W143=0),0,W288*(1/W143-1)/SUMIF(Tech_Specs!$D$34:$D$39,"&lt;"&amp;Tech_Specs!$D35,W$214:W$219))</f>
        <v>7.0734825084022378E-8</v>
      </c>
      <c r="X251" s="201">
        <f>IF(OR(SUMIF(Tech_Specs!$D$34:$D$39,"&lt;"&amp;Tech_Specs!$D35,X$214:X$219)=0,X143=0),0,X288*(1/X143-1)/SUMIF(Tech_Specs!$D$34:$D$39,"&lt;"&amp;Tech_Specs!$D35,X$214:X$219))</f>
        <v>4.7504983607877389E-8</v>
      </c>
      <c r="Y251" s="201">
        <f>IF(OR(SUMIF(Tech_Specs!$D$34:$D$39,"&lt;"&amp;Tech_Specs!$D35,Y$214:Y$219)=0,Y143=0),0,Y288*(1/Y143-1)/SUMIF(Tech_Specs!$D$34:$D$39,"&lt;"&amp;Tech_Specs!$D35,Y$214:Y$219))</f>
        <v>3.1988541585603824E-8</v>
      </c>
      <c r="Z251" s="201">
        <f>IF(OR(SUMIF(Tech_Specs!$D$34:$D$39,"&lt;"&amp;Tech_Specs!$D35,Z$214:Z$219)=0,Z143=0),0,Z288*(1/Z143-1)/SUMIF(Tech_Specs!$D$34:$D$39,"&lt;"&amp;Tech_Specs!$D35,Z$214:Z$219))</f>
        <v>2.1651788413009E-8</v>
      </c>
      <c r="AA251" s="201">
        <f>IF(OR(SUMIF(Tech_Specs!$D$34:$D$39,"&lt;"&amp;Tech_Specs!$D35,AA$214:AA$219)=0,AA143=0),0,AA288*(1/AA143-1)/SUMIF(Tech_Specs!$D$34:$D$39,"&lt;"&amp;Tech_Specs!$D35,AA$214:AA$219))</f>
        <v>1.4741165380936514E-8</v>
      </c>
      <c r="AB251" s="201">
        <f>IF(OR(SUMIF(Tech_Specs!$D$34:$D$39,"&lt;"&amp;Tech_Specs!$D35,AB$214:AB$219)=0,AB143=0),0,AB288*(1/AB143-1)/SUMIF(Tech_Specs!$D$34:$D$39,"&lt;"&amp;Tech_Specs!$D35,AB$214:AB$219))</f>
        <v>1.0013752431770442E-8</v>
      </c>
      <c r="AC251" s="201">
        <f>IF(OR(SUMIF(Tech_Specs!$D$34:$D$39,"&lt;"&amp;Tech_Specs!$D35,AC$214:AC$219)=0,AC143=0),0,AC288*(1/AC143-1)/SUMIF(Tech_Specs!$D$34:$D$39,"&lt;"&amp;Tech_Specs!$D35,AC$214:AC$219))</f>
        <v>6.8117987112702403E-9</v>
      </c>
      <c r="AD251" s="201">
        <f>IF(OR(SUMIF(Tech_Specs!$D$34:$D$39,"&lt;"&amp;Tech_Specs!$D35,AD$214:AD$219)=0,AD143=0),0,AD288*(1/AD143-1)/SUMIF(Tech_Specs!$D$34:$D$39,"&lt;"&amp;Tech_Specs!$D35,AD$214:AD$219))</f>
        <v>4.6328823151816831E-9</v>
      </c>
      <c r="AE251" s="201">
        <f>IF(OR(SUMIF(Tech_Specs!$D$34:$D$39,"&lt;"&amp;Tech_Specs!$D35,AE$214:AE$219)=0,AE143=0),0,AE288*(1/AE143-1)/SUMIF(Tech_Specs!$D$34:$D$39,"&lt;"&amp;Tech_Specs!$D35,AE$214:AE$219))</f>
        <v>3.1435542248796883E-9</v>
      </c>
      <c r="AF251" s="201">
        <f>IF(OR(SUMIF(Tech_Specs!$D$34:$D$39,"&lt;"&amp;Tech_Specs!$D35,AF$214:AF$219)=0,AF143=0),0,AF288*(1/AF143-1)/SUMIF(Tech_Specs!$D$34:$D$39,"&lt;"&amp;Tech_Specs!$D35,AF$214:AF$219))</f>
        <v>2.1017389472868136E-9</v>
      </c>
    </row>
    <row r="252" spans="1:32" s="221" customFormat="1" x14ac:dyDescent="0.25">
      <c r="A252" s="376"/>
      <c r="B252" s="376" t="s">
        <v>51</v>
      </c>
      <c r="C252"/>
      <c r="D252"/>
      <c r="E252"/>
      <c r="F252"/>
      <c r="G252" s="201">
        <f>IF(OR(SUMIF(Tech_Specs!$D$34:$D$39,"&lt;"&amp;Tech_Specs!$D36,G$214:G$219)=0,G144=0),0,G289*(1/G144-1)/SUMIF(Tech_Specs!$D$34:$D$39,"&lt;"&amp;Tech_Specs!$D36,G$214:G$219))</f>
        <v>1.5189586625453966</v>
      </c>
      <c r="H252" s="201">
        <f>IF(OR(SUMIF(Tech_Specs!$D$34:$D$39,"&lt;"&amp;Tech_Specs!$D36,H$214:H$219)=0,H144=0),0,H289*(1/H144-1)/SUMIF(Tech_Specs!$D$34:$D$39,"&lt;"&amp;Tech_Specs!$D36,H$214:H$219))</f>
        <v>1.217482712123849</v>
      </c>
      <c r="I252" s="201">
        <f>IF(OR(SUMIF(Tech_Specs!$D$34:$D$39,"&lt;"&amp;Tech_Specs!$D36,I$214:I$219)=0,I144=0),0,I289*(1/I144-1)/SUMIF(Tech_Specs!$D$34:$D$39,"&lt;"&amp;Tech_Specs!$D36,I$214:I$219))</f>
        <v>0.95068406779684078</v>
      </c>
      <c r="J252" s="201">
        <f>IF(OR(SUMIF(Tech_Specs!$D$34:$D$39,"&lt;"&amp;Tech_Specs!$D36,J$214:J$219)=0,J144=0),0,J289*(1/J144-1)/SUMIF(Tech_Specs!$D$34:$D$39,"&lt;"&amp;Tech_Specs!$D36,J$214:J$219))</f>
        <v>0.71734378636597862</v>
      </c>
      <c r="K252" s="201">
        <f>IF(OR(SUMIF(Tech_Specs!$D$34:$D$39,"&lt;"&amp;Tech_Specs!$D36,K$214:K$219)=0,K144=0),0,K289*(1/K144-1)/SUMIF(Tech_Specs!$D$34:$D$39,"&lt;"&amp;Tech_Specs!$D36,K$214:K$219))</f>
        <v>0.52425823125387927</v>
      </c>
      <c r="L252" s="201">
        <f>IF(OR(SUMIF(Tech_Specs!$D$34:$D$39,"&lt;"&amp;Tech_Specs!$D36,L$214:L$219)=0,L144=0),0,L289*(1/L144-1)/SUMIF(Tech_Specs!$D$34:$D$39,"&lt;"&amp;Tech_Specs!$D36,L$214:L$219))</f>
        <v>0.37204579151659128</v>
      </c>
      <c r="M252" s="201">
        <f>IF(OR(SUMIF(Tech_Specs!$D$34:$D$39,"&lt;"&amp;Tech_Specs!$D36,M$214:M$219)=0,M144=0),0,M289*(1/M144-1)/SUMIF(Tech_Specs!$D$34:$D$39,"&lt;"&amp;Tech_Specs!$D36,M$214:M$219))</f>
        <v>0.25894797997050456</v>
      </c>
      <c r="N252" s="201">
        <f>IF(OR(SUMIF(Tech_Specs!$D$34:$D$39,"&lt;"&amp;Tech_Specs!$D36,N$214:N$219)=0,N144=0),0,N289*(1/N144-1)/SUMIF(Tech_Specs!$D$34:$D$39,"&lt;"&amp;Tech_Specs!$D36,N$214:N$219))</f>
        <v>0.17747142852662459</v>
      </c>
      <c r="O252" s="201">
        <f>IF(OR(SUMIF(Tech_Specs!$D$34:$D$39,"&lt;"&amp;Tech_Specs!$D36,O$214:O$219)=0,O144=0),0,O289*(1/O144-1)/SUMIF(Tech_Specs!$D$34:$D$39,"&lt;"&amp;Tech_Specs!$D36,O$214:O$219))</f>
        <v>0.12063655247753002</v>
      </c>
      <c r="P252" s="201">
        <f>IF(OR(SUMIF(Tech_Specs!$D$34:$D$39,"&lt;"&amp;Tech_Specs!$D36,P$214:P$219)=0,P144=0),0,P289*(1/P144-1)/SUMIF(Tech_Specs!$D$34:$D$39,"&lt;"&amp;Tech_Specs!$D36,P$214:P$219))</f>
        <v>8.1752301365603866E-2</v>
      </c>
      <c r="Q252" s="201">
        <f>IF(OR(SUMIF(Tech_Specs!$D$34:$D$39,"&lt;"&amp;Tech_Specs!$D36,Q$214:Q$219)=0,Q144=0),0,Q289*(1/Q144-1)/SUMIF(Tech_Specs!$D$34:$D$39,"&lt;"&amp;Tech_Specs!$D36,Q$214:Q$219))</f>
        <v>5.5473283673258322E-2</v>
      </c>
      <c r="R252" s="201">
        <f>IF(OR(SUMIF(Tech_Specs!$D$34:$D$39,"&lt;"&amp;Tech_Specs!$D36,R$214:R$219)=0,R144=0),0,R289*(1/R144-1)/SUMIF(Tech_Specs!$D$34:$D$39,"&lt;"&amp;Tech_Specs!$D36,R$214:R$219))</f>
        <v>3.7785607641018404E-2</v>
      </c>
      <c r="S252" s="201">
        <f>IF(OR(SUMIF(Tech_Specs!$D$34:$D$39,"&lt;"&amp;Tech_Specs!$D36,S$214:S$219)=0,S144=0),0,S289*(1/S144-1)/SUMIF(Tech_Specs!$D$34:$D$39,"&lt;"&amp;Tech_Specs!$D36,S$214:S$219))</f>
        <v>2.5857391580259244E-2</v>
      </c>
      <c r="T252" s="201">
        <f>IF(OR(SUMIF(Tech_Specs!$D$34:$D$39,"&lt;"&amp;Tech_Specs!$D36,T$214:T$219)=0,T144=0),0,T289*(1/T144-1)/SUMIF(Tech_Specs!$D$34:$D$39,"&lt;"&amp;Tech_Specs!$D36,T$214:T$219))</f>
        <v>1.7793154237924876E-2</v>
      </c>
      <c r="U252" s="201">
        <f>IF(OR(SUMIF(Tech_Specs!$D$34:$D$39,"&lt;"&amp;Tech_Specs!$D36,U$214:U$219)=0,U144=0),0,U289*(1/U144-1)/SUMIF(Tech_Specs!$D$34:$D$39,"&lt;"&amp;Tech_Specs!$D36,U$214:U$219))</f>
        <v>1.231678220946027E-2</v>
      </c>
      <c r="V252" s="201">
        <f>IF(OR(SUMIF(Tech_Specs!$D$34:$D$39,"&lt;"&amp;Tech_Specs!$D36,V$214:V$219)=0,V144=0),0,V289*(1/V144-1)/SUMIF(Tech_Specs!$D$34:$D$39,"&lt;"&amp;Tech_Specs!$D36,V$214:V$219))</f>
        <v>8.5759460017367714E-3</v>
      </c>
      <c r="W252" s="201">
        <f>IF(OR(SUMIF(Tech_Specs!$D$34:$D$39,"&lt;"&amp;Tech_Specs!$D36,W$214:W$219)=0,W144=0),0,W289*(1/W144-1)/SUMIF(Tech_Specs!$D$34:$D$39,"&lt;"&amp;Tech_Specs!$D36,W$214:W$219))</f>
        <v>6.0040602853839633E-3</v>
      </c>
      <c r="X252" s="201">
        <f>IF(OR(SUMIF(Tech_Specs!$D$34:$D$39,"&lt;"&amp;Tech_Specs!$D36,X$214:X$219)=0,X144=0),0,X289*(1/X144-1)/SUMIF(Tech_Specs!$D$34:$D$39,"&lt;"&amp;Tech_Specs!$D36,X$214:X$219))</f>
        <v>4.2237316252794884E-3</v>
      </c>
      <c r="Y252" s="201">
        <f>IF(OR(SUMIF(Tech_Specs!$D$34:$D$39,"&lt;"&amp;Tech_Specs!$D36,Y$214:Y$219)=0,Y144=0),0,Y289*(1/Y144-1)/SUMIF(Tech_Specs!$D$34:$D$39,"&lt;"&amp;Tech_Specs!$D36,Y$214:Y$219))</f>
        <v>2.9833401583949453E-3</v>
      </c>
      <c r="Z252" s="201">
        <f>IF(OR(SUMIF(Tech_Specs!$D$34:$D$39,"&lt;"&amp;Tech_Specs!$D36,Z$214:Z$219)=0,Z144=0),0,Z289*(1/Z144-1)/SUMIF(Tech_Specs!$D$34:$D$39,"&lt;"&amp;Tech_Specs!$D36,Z$214:Z$219))</f>
        <v>2.1141897451018299E-3</v>
      </c>
      <c r="AA252" s="201">
        <f>IF(OR(SUMIF(Tech_Specs!$D$34:$D$39,"&lt;"&amp;Tech_Specs!$D36,AA$214:AA$219)=0,AA144=0),0,AA289*(1/AA144-1)/SUMIF(Tech_Specs!$D$34:$D$39,"&lt;"&amp;Tech_Specs!$D36,AA$214:AA$219))</f>
        <v>1.5022180612186838E-3</v>
      </c>
      <c r="AB252" s="201">
        <f>IF(OR(SUMIF(Tech_Specs!$D$34:$D$39,"&lt;"&amp;Tech_Specs!$D36,AB$214:AB$219)=0,AB144=0),0,AB289*(1/AB144-1)/SUMIF(Tech_Specs!$D$34:$D$39,"&lt;"&amp;Tech_Specs!$D36,AB$214:AB$219))</f>
        <v>1.0695478737210737E-3</v>
      </c>
      <c r="AC252" s="201">
        <f>IF(OR(SUMIF(Tech_Specs!$D$34:$D$39,"&lt;"&amp;Tech_Specs!$D36,AC$214:AC$219)=0,AC144=0),0,AC289*(1/AC144-1)/SUMIF(Tech_Specs!$D$34:$D$39,"&lt;"&amp;Tech_Specs!$D36,AC$214:AC$219))</f>
        <v>7.6270074408785616E-4</v>
      </c>
      <c r="AD252" s="201">
        <f>IF(OR(SUMIF(Tech_Specs!$D$34:$D$39,"&lt;"&amp;Tech_Specs!$D36,AD$214:AD$219)=0,AD144=0),0,AD289*(1/AD144-1)/SUMIF(Tech_Specs!$D$34:$D$39,"&lt;"&amp;Tech_Specs!$D36,AD$214:AD$219))</f>
        <v>5.4454264152647167E-4</v>
      </c>
      <c r="AE252" s="201">
        <f>IF(OR(SUMIF(Tech_Specs!$D$34:$D$39,"&lt;"&amp;Tech_Specs!$D36,AE$214:AE$219)=0,AE144=0),0,AE289*(1/AE144-1)/SUMIF(Tech_Specs!$D$34:$D$39,"&lt;"&amp;Tech_Specs!$D36,AE$214:AE$219))</f>
        <v>3.8913727869218127E-4</v>
      </c>
      <c r="AF252" s="201">
        <f>IF(OR(SUMIF(Tech_Specs!$D$34:$D$39,"&lt;"&amp;Tech_Specs!$D36,AF$214:AF$219)=0,AF144=0),0,AF289*(1/AF144-1)/SUMIF(Tech_Specs!$D$34:$D$39,"&lt;"&amp;Tech_Specs!$D36,AF$214:AF$219))</f>
        <v>2.7823917987045919E-4</v>
      </c>
    </row>
    <row r="253" spans="1:32" s="221" customFormat="1" x14ac:dyDescent="0.25">
      <c r="A253" s="376"/>
      <c r="B253" s="376" t="s">
        <v>52</v>
      </c>
      <c r="C253"/>
      <c r="D253"/>
      <c r="E253"/>
      <c r="F253"/>
      <c r="G253" s="201">
        <f>IF(OR(SUMIF(Tech_Specs!$D$34:$D$39,"&lt;"&amp;Tech_Specs!$D37,G$214:G$219)=0,G145=0),0,G290*(1/G145-1)/SUMIF(Tech_Specs!$D$34:$D$39,"&lt;"&amp;Tech_Specs!$D37,G$214:G$219))</f>
        <v>5.6811223287637777E-3</v>
      </c>
      <c r="H253" s="201">
        <f>IF(OR(SUMIF(Tech_Specs!$D$34:$D$39,"&lt;"&amp;Tech_Specs!$D37,H$214:H$219)=0,H145=0),0,H290*(1/H145-1)/SUMIF(Tech_Specs!$D$34:$D$39,"&lt;"&amp;Tech_Specs!$D37,H$214:H$219))</f>
        <v>4.2975100304419433E-3</v>
      </c>
      <c r="I253" s="201">
        <f>IF(OR(SUMIF(Tech_Specs!$D$34:$D$39,"&lt;"&amp;Tech_Specs!$D37,I$214:I$219)=0,I145=0),0,I290*(1/I145-1)/SUMIF(Tech_Specs!$D$34:$D$39,"&lt;"&amp;Tech_Specs!$D37,I$214:I$219))</f>
        <v>3.0195521865350877E-3</v>
      </c>
      <c r="J253" s="201">
        <f>IF(OR(SUMIF(Tech_Specs!$D$34:$D$39,"&lt;"&amp;Tech_Specs!$D37,J$214:J$219)=0,J145=0),0,J290*(1/J145-1)/SUMIF(Tech_Specs!$D$34:$D$39,"&lt;"&amp;Tech_Specs!$D37,J$214:J$219))</f>
        <v>1.9714438643012801E-3</v>
      </c>
      <c r="K253" s="201">
        <f>IF(OR(SUMIF(Tech_Specs!$D$34:$D$39,"&lt;"&amp;Tech_Specs!$D37,K$214:K$219)=0,K145=0),0,K290*(1/K145-1)/SUMIF(Tech_Specs!$D$34:$D$39,"&lt;"&amp;Tech_Specs!$D37,K$214:K$219))</f>
        <v>1.2195161083966707E-3</v>
      </c>
      <c r="L253" s="201">
        <f>IF(OR(SUMIF(Tech_Specs!$D$34:$D$39,"&lt;"&amp;Tech_Specs!$D37,L$214:L$219)=0,L145=0),0,L290*(1/L145-1)/SUMIF(Tech_Specs!$D$34:$D$39,"&lt;"&amp;Tech_Specs!$D37,L$214:L$219))</f>
        <v>7.3260236201807877E-4</v>
      </c>
      <c r="M253" s="201">
        <f>IF(OR(SUMIF(Tech_Specs!$D$34:$D$39,"&lt;"&amp;Tech_Specs!$D37,M$214:M$219)=0,M145=0),0,M290*(1/M145-1)/SUMIF(Tech_Specs!$D$34:$D$39,"&lt;"&amp;Tech_Specs!$D37,M$214:M$219))</f>
        <v>4.3579290085530919E-4</v>
      </c>
      <c r="N253" s="201">
        <f>IF(OR(SUMIF(Tech_Specs!$D$34:$D$39,"&lt;"&amp;Tech_Specs!$D37,N$214:N$219)=0,N145=0),0,N290*(1/N145-1)/SUMIF(Tech_Specs!$D$34:$D$39,"&lt;"&amp;Tech_Specs!$D37,N$214:N$219))</f>
        <v>2.6104761051580109E-4</v>
      </c>
      <c r="O253" s="201">
        <f>IF(OR(SUMIF(Tech_Specs!$D$34:$D$39,"&lt;"&amp;Tech_Specs!$D37,O$214:O$219)=0,O145=0),0,O290*(1/O145-1)/SUMIF(Tech_Specs!$D$34:$D$39,"&lt;"&amp;Tech_Specs!$D37,O$214:O$219))</f>
        <v>1.5890261855260312E-4</v>
      </c>
      <c r="P253" s="201">
        <f>IF(OR(SUMIF(Tech_Specs!$D$34:$D$39,"&lt;"&amp;Tech_Specs!$D37,P$214:P$219)=0,P145=0),0,P290*(1/P145-1)/SUMIF(Tech_Specs!$D$34:$D$39,"&lt;"&amp;Tech_Specs!$D37,P$214:P$219))</f>
        <v>9.8753432623631534E-5</v>
      </c>
      <c r="Q253" s="201">
        <f>IF(OR(SUMIF(Tech_Specs!$D$34:$D$39,"&lt;"&amp;Tech_Specs!$D37,Q$214:Q$219)=0,Q145=0),0,Q290*(1/Q145-1)/SUMIF(Tech_Specs!$D$34:$D$39,"&lt;"&amp;Tech_Specs!$D37,Q$214:Q$219))</f>
        <v>6.2565518341523168E-5</v>
      </c>
      <c r="R253" s="201">
        <f>IF(OR(SUMIF(Tech_Specs!$D$34:$D$39,"&lt;"&amp;Tech_Specs!$D37,R$214:R$219)=0,R145=0),0,R290*(1/R145-1)/SUMIF(Tech_Specs!$D$34:$D$39,"&lt;"&amp;Tech_Specs!$D37,R$214:R$219))</f>
        <v>4.0398597509241624E-5</v>
      </c>
      <c r="S253" s="201">
        <f>IF(OR(SUMIF(Tech_Specs!$D$34:$D$39,"&lt;"&amp;Tech_Specs!$D37,S$214:S$219)=0,S145=0),0,S290*(1/S145-1)/SUMIF(Tech_Specs!$D$34:$D$39,"&lt;"&amp;Tech_Specs!$D37,S$214:S$219))</f>
        <v>2.653783288564617E-5</v>
      </c>
      <c r="T253" s="201">
        <f>IF(OR(SUMIF(Tech_Specs!$D$34:$D$39,"&lt;"&amp;Tech_Specs!$D37,T$214:T$219)=0,T145=0),0,T290*(1/T145-1)/SUMIF(Tech_Specs!$D$34:$D$39,"&lt;"&amp;Tech_Specs!$D37,T$214:T$219))</f>
        <v>1.7697625922548076E-5</v>
      </c>
      <c r="U253" s="201">
        <f>IF(OR(SUMIF(Tech_Specs!$D$34:$D$39,"&lt;"&amp;Tech_Specs!$D37,U$214:U$219)=0,U145=0),0,U290*(1/U145-1)/SUMIF(Tech_Specs!$D$34:$D$39,"&lt;"&amp;Tech_Specs!$D37,U$214:U$219))</f>
        <v>1.1957840210292071E-5</v>
      </c>
      <c r="V253" s="201">
        <f>IF(OR(SUMIF(Tech_Specs!$D$34:$D$39,"&lt;"&amp;Tech_Specs!$D37,V$214:V$219)=0,V145=0),0,V290*(1/V145-1)/SUMIF(Tech_Specs!$D$34:$D$39,"&lt;"&amp;Tech_Specs!$D37,V$214:V$219))</f>
        <v>8.1794534313183789E-6</v>
      </c>
      <c r="W253" s="201">
        <f>IF(OR(SUMIF(Tech_Specs!$D$34:$D$39,"&lt;"&amp;Tech_Specs!$D37,W$214:W$219)=0,W145=0),0,W290*(1/W145-1)/SUMIF(Tech_Specs!$D$34:$D$39,"&lt;"&amp;Tech_Specs!$D37,W$214:W$219))</f>
        <v>5.6480835520881548E-6</v>
      </c>
      <c r="X253" s="201">
        <f>IF(OR(SUMIF(Tech_Specs!$D$34:$D$39,"&lt;"&amp;Tech_Specs!$D37,X$214:X$219)=0,X145=0),0,X290*(1/X145-1)/SUMIF(Tech_Specs!$D$34:$D$39,"&lt;"&amp;Tech_Specs!$D37,X$214:X$219))</f>
        <v>3.9306539970519394E-6</v>
      </c>
      <c r="Y253" s="201">
        <f>IF(OR(SUMIF(Tech_Specs!$D$34:$D$39,"&lt;"&amp;Tech_Specs!$D37,Y$214:Y$219)=0,Y145=0),0,Y290*(1/Y145-1)/SUMIF(Tech_Specs!$D$34:$D$39,"&lt;"&amp;Tech_Specs!$D37,Y$214:Y$219))</f>
        <v>2.752184551640487E-6</v>
      </c>
      <c r="Z253" s="201">
        <f>IF(OR(SUMIF(Tech_Specs!$D$34:$D$39,"&lt;"&amp;Tech_Specs!$D37,Z$214:Z$219)=0,Z145=0),0,Z290*(1/Z145-1)/SUMIF(Tech_Specs!$D$34:$D$39,"&lt;"&amp;Tech_Specs!$D37,Z$214:Z$219))</f>
        <v>1.9370822312471202E-6</v>
      </c>
      <c r="AA253" s="201">
        <f>IF(OR(SUMIF(Tech_Specs!$D$34:$D$39,"&lt;"&amp;Tech_Specs!$D37,AA$214:AA$219)=0,AA145=0),0,AA290*(1/AA145-1)/SUMIF(Tech_Specs!$D$34:$D$39,"&lt;"&amp;Tech_Specs!$D37,AA$214:AA$219))</f>
        <v>1.369199953608517E-6</v>
      </c>
      <c r="AB253" s="201">
        <f>IF(OR(SUMIF(Tech_Specs!$D$34:$D$39,"&lt;"&amp;Tech_Specs!$D37,AB$214:AB$219)=0,AB145=0),0,AB290*(1/AB145-1)/SUMIF(Tech_Specs!$D$34:$D$39,"&lt;"&amp;Tech_Specs!$D37,AB$214:AB$219))</f>
        <v>9.7009582906857605E-7</v>
      </c>
      <c r="AC253" s="201">
        <f>IF(OR(SUMIF(Tech_Specs!$D$34:$D$39,"&lt;"&amp;Tech_Specs!$D37,AC$214:AC$219)=0,AC145=0),0,AC290*(1/AC145-1)/SUMIF(Tech_Specs!$D$34:$D$39,"&lt;"&amp;Tech_Specs!$D37,AC$214:AC$219))</f>
        <v>6.8883267189924926E-7</v>
      </c>
      <c r="AD253" s="201">
        <f>IF(OR(SUMIF(Tech_Specs!$D$34:$D$39,"&lt;"&amp;Tech_Specs!$D37,AD$214:AD$219)=0,AD145=0),0,AD290*(1/AD145-1)/SUMIF(Tech_Specs!$D$34:$D$39,"&lt;"&amp;Tech_Specs!$D37,AD$214:AD$219))</f>
        <v>4.8984586135694305E-7</v>
      </c>
      <c r="AE253" s="201">
        <f>IF(OR(SUMIF(Tech_Specs!$D$34:$D$39,"&lt;"&amp;Tech_Specs!$D37,AE$214:AE$219)=0,AE145=0),0,AE290*(1/AE145-1)/SUMIF(Tech_Specs!$D$34:$D$39,"&lt;"&amp;Tech_Specs!$D37,AE$214:AE$219))</f>
        <v>3.4863087052134941E-7</v>
      </c>
      <c r="AF253" s="201">
        <f>IF(OR(SUMIF(Tech_Specs!$D$34:$D$39,"&lt;"&amp;Tech_Specs!$D37,AF$214:AF$219)=0,AF145=0),0,AF290*(1/AF145-1)/SUMIF(Tech_Specs!$D$34:$D$39,"&lt;"&amp;Tech_Specs!$D37,AF$214:AF$219))</f>
        <v>2.4786422545120876E-7</v>
      </c>
    </row>
    <row r="254" spans="1:32" s="221" customFormat="1" x14ac:dyDescent="0.25">
      <c r="A254" s="376"/>
      <c r="B254" s="388" t="s">
        <v>29</v>
      </c>
      <c r="C254"/>
      <c r="D254"/>
      <c r="E254"/>
      <c r="F254"/>
      <c r="G254" s="201">
        <f>IF(OR(SUMIF(Tech_Specs!$D$34:$D$39,"&lt;"&amp;Tech_Specs!$D38,G$214:G$219)=0,G146=0),0,G291*(1/G146-1)/SUMIF(Tech_Specs!$D$34:$D$39,"&lt;"&amp;Tech_Specs!$D38,G$214:G$219))</f>
        <v>0</v>
      </c>
      <c r="H254" s="201">
        <f>IF(OR(SUMIF(Tech_Specs!$D$34:$D$39,"&lt;"&amp;Tech_Specs!$D38,H$214:H$219)=0,H146=0),0,H291*(1/H146-1)/SUMIF(Tech_Specs!$D$34:$D$39,"&lt;"&amp;Tech_Specs!$D38,H$214:H$219))</f>
        <v>0</v>
      </c>
      <c r="I254" s="201">
        <f>IF(OR(SUMIF(Tech_Specs!$D$34:$D$39,"&lt;"&amp;Tech_Specs!$D38,I$214:I$219)=0,I146=0),0,I291*(1/I146-1)/SUMIF(Tech_Specs!$D$34:$D$39,"&lt;"&amp;Tech_Specs!$D38,I$214:I$219))</f>
        <v>0</v>
      </c>
      <c r="J254" s="201">
        <f>IF(OR(SUMIF(Tech_Specs!$D$34:$D$39,"&lt;"&amp;Tech_Specs!$D38,J$214:J$219)=0,J146=0),0,J291*(1/J146-1)/SUMIF(Tech_Specs!$D$34:$D$39,"&lt;"&amp;Tech_Specs!$D38,J$214:J$219))</f>
        <v>0</v>
      </c>
      <c r="K254" s="201">
        <f>IF(OR(SUMIF(Tech_Specs!$D$34:$D$39,"&lt;"&amp;Tech_Specs!$D38,K$214:K$219)=0,K146=0),0,K291*(1/K146-1)/SUMIF(Tech_Specs!$D$34:$D$39,"&lt;"&amp;Tech_Specs!$D38,K$214:K$219))</f>
        <v>0</v>
      </c>
      <c r="L254" s="201">
        <f>IF(OR(SUMIF(Tech_Specs!$D$34:$D$39,"&lt;"&amp;Tech_Specs!$D38,L$214:L$219)=0,L146=0),0,L291*(1/L146-1)/SUMIF(Tech_Specs!$D$34:$D$39,"&lt;"&amp;Tech_Specs!$D38,L$214:L$219))</f>
        <v>0</v>
      </c>
      <c r="M254" s="201">
        <f>IF(OR(SUMIF(Tech_Specs!$D$34:$D$39,"&lt;"&amp;Tech_Specs!$D38,M$214:M$219)=0,M146=0),0,M291*(1/M146-1)/SUMIF(Tech_Specs!$D$34:$D$39,"&lt;"&amp;Tech_Specs!$D38,M$214:M$219))</f>
        <v>0</v>
      </c>
      <c r="N254" s="201">
        <f>IF(OR(SUMIF(Tech_Specs!$D$34:$D$39,"&lt;"&amp;Tech_Specs!$D38,N$214:N$219)=0,N146=0),0,N291*(1/N146-1)/SUMIF(Tech_Specs!$D$34:$D$39,"&lt;"&amp;Tech_Specs!$D38,N$214:N$219))</f>
        <v>0</v>
      </c>
      <c r="O254" s="201">
        <f>IF(OR(SUMIF(Tech_Specs!$D$34:$D$39,"&lt;"&amp;Tech_Specs!$D38,O$214:O$219)=0,O146=0),0,O291*(1/O146-1)/SUMIF(Tech_Specs!$D$34:$D$39,"&lt;"&amp;Tech_Specs!$D38,O$214:O$219))</f>
        <v>0</v>
      </c>
      <c r="P254" s="201">
        <f>IF(OR(SUMIF(Tech_Specs!$D$34:$D$39,"&lt;"&amp;Tech_Specs!$D38,P$214:P$219)=0,P146=0),0,P291*(1/P146-1)/SUMIF(Tech_Specs!$D$34:$D$39,"&lt;"&amp;Tech_Specs!$D38,P$214:P$219))</f>
        <v>0</v>
      </c>
      <c r="Q254" s="201">
        <f>IF(OR(SUMIF(Tech_Specs!$D$34:$D$39,"&lt;"&amp;Tech_Specs!$D38,Q$214:Q$219)=0,Q146=0),0,Q291*(1/Q146-1)/SUMIF(Tech_Specs!$D$34:$D$39,"&lt;"&amp;Tech_Specs!$D38,Q$214:Q$219))</f>
        <v>0</v>
      </c>
      <c r="R254" s="201">
        <f>IF(OR(SUMIF(Tech_Specs!$D$34:$D$39,"&lt;"&amp;Tech_Specs!$D38,R$214:R$219)=0,R146=0),0,R291*(1/R146-1)/SUMIF(Tech_Specs!$D$34:$D$39,"&lt;"&amp;Tech_Specs!$D38,R$214:R$219))</f>
        <v>0</v>
      </c>
      <c r="S254" s="201">
        <f>IF(OR(SUMIF(Tech_Specs!$D$34:$D$39,"&lt;"&amp;Tech_Specs!$D38,S$214:S$219)=0,S146=0),0,S291*(1/S146-1)/SUMIF(Tech_Specs!$D$34:$D$39,"&lt;"&amp;Tech_Specs!$D38,S$214:S$219))</f>
        <v>0</v>
      </c>
      <c r="T254" s="201">
        <f>IF(OR(SUMIF(Tech_Specs!$D$34:$D$39,"&lt;"&amp;Tech_Specs!$D38,T$214:T$219)=0,T146=0),0,T291*(1/T146-1)/SUMIF(Tech_Specs!$D$34:$D$39,"&lt;"&amp;Tech_Specs!$D38,T$214:T$219))</f>
        <v>0</v>
      </c>
      <c r="U254" s="201">
        <f>IF(OR(SUMIF(Tech_Specs!$D$34:$D$39,"&lt;"&amp;Tech_Specs!$D38,U$214:U$219)=0,U146=0),0,U291*(1/U146-1)/SUMIF(Tech_Specs!$D$34:$D$39,"&lt;"&amp;Tech_Specs!$D38,U$214:U$219))</f>
        <v>0</v>
      </c>
      <c r="V254" s="201">
        <f>IF(OR(SUMIF(Tech_Specs!$D$34:$D$39,"&lt;"&amp;Tech_Specs!$D38,V$214:V$219)=0,V146=0),0,V291*(1/V146-1)/SUMIF(Tech_Specs!$D$34:$D$39,"&lt;"&amp;Tech_Specs!$D38,V$214:V$219))</f>
        <v>0</v>
      </c>
      <c r="W254" s="201">
        <f>IF(OR(SUMIF(Tech_Specs!$D$34:$D$39,"&lt;"&amp;Tech_Specs!$D38,W$214:W$219)=0,W146=0),0,W291*(1/W146-1)/SUMIF(Tech_Specs!$D$34:$D$39,"&lt;"&amp;Tech_Specs!$D38,W$214:W$219))</f>
        <v>0</v>
      </c>
      <c r="X254" s="201">
        <f>IF(OR(SUMIF(Tech_Specs!$D$34:$D$39,"&lt;"&amp;Tech_Specs!$D38,X$214:X$219)=0,X146=0),0,X291*(1/X146-1)/SUMIF(Tech_Specs!$D$34:$D$39,"&lt;"&amp;Tech_Specs!$D38,X$214:X$219))</f>
        <v>0</v>
      </c>
      <c r="Y254" s="201">
        <f>IF(OR(SUMIF(Tech_Specs!$D$34:$D$39,"&lt;"&amp;Tech_Specs!$D38,Y$214:Y$219)=0,Y146=0),0,Y291*(1/Y146-1)/SUMIF(Tech_Specs!$D$34:$D$39,"&lt;"&amp;Tech_Specs!$D38,Y$214:Y$219))</f>
        <v>0</v>
      </c>
      <c r="Z254" s="201">
        <f>IF(OR(SUMIF(Tech_Specs!$D$34:$D$39,"&lt;"&amp;Tech_Specs!$D38,Z$214:Z$219)=0,Z146=0),0,Z291*(1/Z146-1)/SUMIF(Tech_Specs!$D$34:$D$39,"&lt;"&amp;Tech_Specs!$D38,Z$214:Z$219))</f>
        <v>0</v>
      </c>
      <c r="AA254" s="201">
        <f>IF(OR(SUMIF(Tech_Specs!$D$34:$D$39,"&lt;"&amp;Tech_Specs!$D38,AA$214:AA$219)=0,AA146=0),0,AA291*(1/AA146-1)/SUMIF(Tech_Specs!$D$34:$D$39,"&lt;"&amp;Tech_Specs!$D38,AA$214:AA$219))</f>
        <v>0</v>
      </c>
      <c r="AB254" s="201">
        <f>IF(OR(SUMIF(Tech_Specs!$D$34:$D$39,"&lt;"&amp;Tech_Specs!$D38,AB$214:AB$219)=0,AB146=0),0,AB291*(1/AB146-1)/SUMIF(Tech_Specs!$D$34:$D$39,"&lt;"&amp;Tech_Specs!$D38,AB$214:AB$219))</f>
        <v>0</v>
      </c>
      <c r="AC254" s="201">
        <f>IF(OR(SUMIF(Tech_Specs!$D$34:$D$39,"&lt;"&amp;Tech_Specs!$D38,AC$214:AC$219)=0,AC146=0),0,AC291*(1/AC146-1)/SUMIF(Tech_Specs!$D$34:$D$39,"&lt;"&amp;Tech_Specs!$D38,AC$214:AC$219))</f>
        <v>0</v>
      </c>
      <c r="AD254" s="201">
        <f>IF(OR(SUMIF(Tech_Specs!$D$34:$D$39,"&lt;"&amp;Tech_Specs!$D38,AD$214:AD$219)=0,AD146=0),0,AD291*(1/AD146-1)/SUMIF(Tech_Specs!$D$34:$D$39,"&lt;"&amp;Tech_Specs!$D38,AD$214:AD$219))</f>
        <v>0</v>
      </c>
      <c r="AE254" s="201">
        <f>IF(OR(SUMIF(Tech_Specs!$D$34:$D$39,"&lt;"&amp;Tech_Specs!$D38,AE$214:AE$219)=0,AE146=0),0,AE291*(1/AE146-1)/SUMIF(Tech_Specs!$D$34:$D$39,"&lt;"&amp;Tech_Specs!$D38,AE$214:AE$219))</f>
        <v>0</v>
      </c>
      <c r="AF254" s="201">
        <f>IF(OR(SUMIF(Tech_Specs!$D$34:$D$39,"&lt;"&amp;Tech_Specs!$D38,AF$214:AF$219)=0,AF146=0),0,AF291*(1/AF146-1)/SUMIF(Tech_Specs!$D$34:$D$39,"&lt;"&amp;Tech_Specs!$D38,AF$214:AF$219))</f>
        <v>0</v>
      </c>
    </row>
    <row r="255" spans="1:32" s="221" customFormat="1" x14ac:dyDescent="0.25">
      <c r="A255" s="376"/>
      <c r="B255" s="388" t="s">
        <v>53</v>
      </c>
      <c r="C255"/>
      <c r="D255"/>
      <c r="E255"/>
      <c r="F255"/>
      <c r="G255" s="201">
        <f>IF(OR(SUMIF(Tech_Specs!$D$34:$D$39,"&lt;"&amp;Tech_Specs!$D39,G$214:G$219)=0,G147=0),0,G292*(1/G147-1)/SUMIF(Tech_Specs!$D$34:$D$39,"&lt;"&amp;Tech_Specs!$D39,G$214:G$219))</f>
        <v>1.5177153544122839</v>
      </c>
      <c r="H255" s="201">
        <f>IF(OR(SUMIF(Tech_Specs!$D$34:$D$39,"&lt;"&amp;Tech_Specs!$D39,H$214:H$219)=0,H147=0),0,H292*(1/H147-1)/SUMIF(Tech_Specs!$D$34:$D$39,"&lt;"&amp;Tech_Specs!$D39,H$214:H$219))</f>
        <v>1.2109817570100117</v>
      </c>
      <c r="I255" s="201">
        <f>IF(OR(SUMIF(Tech_Specs!$D$34:$D$39,"&lt;"&amp;Tech_Specs!$D39,I$214:I$219)=0,I147=0),0,I292*(1/I147-1)/SUMIF(Tech_Specs!$D$34:$D$39,"&lt;"&amp;Tech_Specs!$D39,I$214:I$219))</f>
        <v>0.93891871378060598</v>
      </c>
      <c r="J255" s="201">
        <f>IF(OR(SUMIF(Tech_Specs!$D$34:$D$39,"&lt;"&amp;Tech_Specs!$D39,J$214:J$219)=0,J147=0),0,J292*(1/J147-1)/SUMIF(Tech_Specs!$D$34:$D$39,"&lt;"&amp;Tech_Specs!$D39,J$214:J$219))</f>
        <v>0.70210410659054323</v>
      </c>
      <c r="K255" s="201">
        <f>IF(OR(SUMIF(Tech_Specs!$D$34:$D$39,"&lt;"&amp;Tech_Specs!$D39,K$214:K$219)=0,K147=0),0,K292*(1/K147-1)/SUMIF(Tech_Specs!$D$34:$D$39,"&lt;"&amp;Tech_Specs!$D39,K$214:K$219))</f>
        <v>0.50781698254647289</v>
      </c>
      <c r="L255" s="201">
        <f>IF(OR(SUMIF(Tech_Specs!$D$34:$D$39,"&lt;"&amp;Tech_Specs!$D39,L$214:L$219)=0,L147=0),0,L292*(1/L147-1)/SUMIF(Tech_Specs!$D$34:$D$39,"&lt;"&amp;Tech_Specs!$D39,L$214:L$219))</f>
        <v>0.35661671116496874</v>
      </c>
      <c r="M255" s="201">
        <f>IF(OR(SUMIF(Tech_Specs!$D$34:$D$39,"&lt;"&amp;Tech_Specs!$D39,M$214:M$219)=0,M147=0),0,M292*(1/M147-1)/SUMIF(Tech_Specs!$D$34:$D$39,"&lt;"&amp;Tech_Specs!$D39,M$214:M$219))</f>
        <v>0.24553747394064651</v>
      </c>
      <c r="N255" s="201">
        <f>IF(OR(SUMIF(Tech_Specs!$D$34:$D$39,"&lt;"&amp;Tech_Specs!$D39,N$214:N$219)=0,N147=0),0,N292*(1/N147-1)/SUMIF(Tech_Specs!$D$34:$D$39,"&lt;"&amp;Tech_Specs!$D39,N$214:N$219))</f>
        <v>0.16664151182177137</v>
      </c>
      <c r="O255" s="201">
        <f>IF(OR(SUMIF(Tech_Specs!$D$34:$D$39,"&lt;"&amp;Tech_Specs!$D39,O$214:O$219)=0,O147=0),0,O292*(1/O147-1)/SUMIF(Tech_Specs!$D$34:$D$39,"&lt;"&amp;Tech_Specs!$D39,O$214:O$219))</f>
        <v>0.11231308911836806</v>
      </c>
      <c r="P255" s="201">
        <f>IF(OR(SUMIF(Tech_Specs!$D$34:$D$39,"&lt;"&amp;Tech_Specs!$D39,P$214:P$219)=0,P147=0),0,P292*(1/P147-1)/SUMIF(Tech_Specs!$D$34:$D$39,"&lt;"&amp;Tech_Specs!$D39,P$214:P$219))</f>
        <v>7.5582128260138409E-2</v>
      </c>
      <c r="Q255" s="201">
        <f>IF(OR(SUMIF(Tech_Specs!$D$34:$D$39,"&lt;"&amp;Tech_Specs!$D39,Q$214:Q$219)=0,Q147=0),0,Q292*(1/Q147-1)/SUMIF(Tech_Specs!$D$34:$D$39,"&lt;"&amp;Tech_Specs!$D39,Q$214:Q$219))</f>
        <v>5.0974945577229924E-2</v>
      </c>
      <c r="R255" s="201">
        <f>IF(OR(SUMIF(Tech_Specs!$D$34:$D$39,"&lt;"&amp;Tech_Specs!$D39,R$214:R$219)=0,R147=0),0,R292*(1/R147-1)/SUMIF(Tech_Specs!$D$34:$D$39,"&lt;"&amp;Tech_Specs!$D39,R$214:R$219))</f>
        <v>3.4537425360620252E-2</v>
      </c>
      <c r="S255" s="201">
        <f>IF(OR(SUMIF(Tech_Specs!$D$34:$D$39,"&lt;"&amp;Tech_Specs!$D39,S$214:S$219)=0,S147=0),0,S292*(1/S147-1)/SUMIF(Tech_Specs!$D$34:$D$39,"&lt;"&amp;Tech_Specs!$D39,S$214:S$219))</f>
        <v>2.3529275814885255E-2</v>
      </c>
      <c r="T255" s="201">
        <f>IF(OR(SUMIF(Tech_Specs!$D$34:$D$39,"&lt;"&amp;Tech_Specs!$D39,T$214:T$219)=0,T147=0),0,T292*(1/T147-1)/SUMIF(Tech_Specs!$D$34:$D$39,"&lt;"&amp;Tech_Specs!$D39,T$214:T$219))</f>
        <v>1.6129075005569576E-2</v>
      </c>
      <c r="U255" s="201">
        <f>IF(OR(SUMIF(Tech_Specs!$D$34:$D$39,"&lt;"&amp;Tech_Specs!$D39,U$214:U$219)=0,U147=0),0,U292*(1/U147-1)/SUMIF(Tech_Specs!$D$34:$D$39,"&lt;"&amp;Tech_Specs!$D39,U$214:U$219))</f>
        <v>1.1127088603359592E-2</v>
      </c>
      <c r="V255" s="201">
        <f>IF(OR(SUMIF(Tech_Specs!$D$34:$D$39,"&lt;"&amp;Tech_Specs!$D39,V$214:V$219)=0,V147=0),0,V292*(1/V147-1)/SUMIF(Tech_Specs!$D$34:$D$39,"&lt;"&amp;Tech_Specs!$D39,V$214:V$219))</f>
        <v>7.7260358028839521E-3</v>
      </c>
      <c r="W255" s="201">
        <f>IF(OR(SUMIF(Tech_Specs!$D$34:$D$39,"&lt;"&amp;Tech_Specs!$D39,W$214:W$219)=0,W147=0),0,W292*(1/W147-1)/SUMIF(Tech_Specs!$D$34:$D$39,"&lt;"&amp;Tech_Specs!$D39,W$214:W$219))</f>
        <v>5.3952618880916845E-3</v>
      </c>
      <c r="X255" s="201">
        <f>IF(OR(SUMIF(Tech_Specs!$D$34:$D$39,"&lt;"&amp;Tech_Specs!$D39,X$214:X$219)=0,X147=0),0,X292*(1/X147-1)/SUMIF(Tech_Specs!$D$34:$D$39,"&lt;"&amp;Tech_Specs!$D39,X$214:X$219))</f>
        <v>3.7864869261993316E-3</v>
      </c>
      <c r="Y255" s="201">
        <f>IF(OR(SUMIF(Tech_Specs!$D$34:$D$39,"&lt;"&amp;Tech_Specs!$D39,Y$214:Y$219)=0,Y147=0),0,Y292*(1/Y147-1)/SUMIF(Tech_Specs!$D$34:$D$39,"&lt;"&amp;Tech_Specs!$D39,Y$214:Y$219))</f>
        <v>2.6684400403542159E-3</v>
      </c>
      <c r="Z255" s="201">
        <f>IF(OR(SUMIF(Tech_Specs!$D$34:$D$39,"&lt;"&amp;Tech_Specs!$D39,Z$214:Z$219)=0,Z147=0),0,Z292*(1/Z147-1)/SUMIF(Tech_Specs!$D$34:$D$39,"&lt;"&amp;Tech_Specs!$D39,Z$214:Z$219))</f>
        <v>1.8870884210311939E-3</v>
      </c>
      <c r="AA255" s="201">
        <f>IF(OR(SUMIF(Tech_Specs!$D$34:$D$39,"&lt;"&amp;Tech_Specs!$D39,AA$214:AA$219)=0,AA147=0),0,AA292*(1/AA147-1)/SUMIF(Tech_Specs!$D$34:$D$39,"&lt;"&amp;Tech_Specs!$D39,AA$214:AA$219))</f>
        <v>1.3383330634018913E-3</v>
      </c>
      <c r="AB255" s="201">
        <f>IF(OR(SUMIF(Tech_Specs!$D$34:$D$39,"&lt;"&amp;Tech_Specs!$D39,AB$214:AB$219)=0,AB147=0),0,AB292*(1/AB147-1)/SUMIF(Tech_Specs!$D$34:$D$39,"&lt;"&amp;Tech_Specs!$D39,AB$214:AB$219))</f>
        <v>9.5099846410005655E-4</v>
      </c>
      <c r="AC255" s="201">
        <f>IF(OR(SUMIF(Tech_Specs!$D$34:$D$39,"&lt;"&amp;Tech_Specs!$D39,AC$214:AC$219)=0,AC147=0),0,AC292*(1/AC147-1)/SUMIF(Tech_Specs!$D$34:$D$39,"&lt;"&amp;Tech_Specs!$D39,AC$214:AC$219))</f>
        <v>6.7686696916817186E-4</v>
      </c>
      <c r="AD255" s="201">
        <f>IF(OR(SUMIF(Tech_Specs!$D$34:$D$39,"&lt;"&amp;Tech_Specs!$D39,AD$214:AD$219)=0,AD147=0),0,AD292*(1/AD147-1)/SUMIF(Tech_Specs!$D$34:$D$39,"&lt;"&amp;Tech_Specs!$D39,AD$214:AD$219))</f>
        <v>4.8233434291731846E-4</v>
      </c>
      <c r="AE255" s="201">
        <f>IF(OR(SUMIF(Tech_Specs!$D$34:$D$39,"&lt;"&amp;Tech_Specs!$D39,AE$214:AE$219)=0,AE147=0),0,AE292*(1/AE147-1)/SUMIF(Tech_Specs!$D$34:$D$39,"&lt;"&amp;Tech_Specs!$D39,AE$214:AE$219))</f>
        <v>3.4399369602745969E-4</v>
      </c>
      <c r="AF255" s="201">
        <f>IF(OR(SUMIF(Tech_Specs!$D$34:$D$39,"&lt;"&amp;Tech_Specs!$D39,AF$214:AF$219)=0,AF147=0),0,AF292*(1/AF147-1)/SUMIF(Tech_Specs!$D$34:$D$39,"&lt;"&amp;Tech_Specs!$D39,AF$214:AF$219))</f>
        <v>2.453405751387529E-4</v>
      </c>
    </row>
    <row r="256" spans="1:32" s="221" customFormat="1" x14ac:dyDescent="0.25">
      <c r="A256"/>
      <c r="B256"/>
      <c r="C256"/>
      <c r="D256"/>
      <c r="E256"/>
      <c r="F256"/>
      <c r="G256"/>
      <c r="H256"/>
      <c r="I256"/>
      <c r="J256"/>
      <c r="K256"/>
      <c r="L256"/>
      <c r="M256"/>
      <c r="N256"/>
      <c r="O256"/>
      <c r="P256"/>
      <c r="Q256"/>
      <c r="R256"/>
      <c r="S256"/>
      <c r="T256"/>
      <c r="U256"/>
      <c r="V256"/>
      <c r="W256"/>
      <c r="X256"/>
      <c r="Y256"/>
      <c r="Z256"/>
      <c r="AA256"/>
      <c r="AB256"/>
      <c r="AC256"/>
      <c r="AD256"/>
      <c r="AE256"/>
      <c r="AF256"/>
    </row>
    <row r="258" spans="1:32" x14ac:dyDescent="0.25">
      <c r="A258" s="264" t="s">
        <v>166</v>
      </c>
      <c r="B258" s="265"/>
      <c r="C258" s="264"/>
      <c r="D258" s="265"/>
      <c r="E258" s="265"/>
      <c r="F258" s="265"/>
      <c r="G258" s="829" t="s">
        <v>437</v>
      </c>
      <c r="H258" s="270"/>
      <c r="I258" s="270"/>
      <c r="J258" s="270"/>
      <c r="K258" s="270"/>
      <c r="L258" s="270"/>
      <c r="M258" s="270"/>
      <c r="N258" s="270"/>
      <c r="O258" s="270"/>
      <c r="P258" s="270"/>
      <c r="Q258" s="270"/>
      <c r="R258" s="270"/>
      <c r="S258" s="270"/>
      <c r="T258" s="270"/>
      <c r="U258" s="270"/>
      <c r="V258" s="270"/>
      <c r="W258" s="270"/>
      <c r="X258" s="270"/>
      <c r="Y258" s="270"/>
      <c r="Z258" s="270"/>
      <c r="AA258" s="270"/>
      <c r="AB258" s="270"/>
      <c r="AC258" s="270"/>
      <c r="AD258" s="270"/>
      <c r="AE258" s="270"/>
      <c r="AF258" s="270"/>
    </row>
    <row r="259" spans="1:32" x14ac:dyDescent="0.25">
      <c r="A259" s="253" t="s">
        <v>12</v>
      </c>
      <c r="B259" s="252"/>
    </row>
    <row r="260" spans="1:32" x14ac:dyDescent="0.25">
      <c r="A260" s="252"/>
      <c r="B260" s="252" t="s">
        <v>20</v>
      </c>
    </row>
    <row r="261" spans="1:32" s="202" customFormat="1" ht="12.75" x14ac:dyDescent="0.2">
      <c r="A261" s="267" t="s">
        <v>21</v>
      </c>
      <c r="B261" s="267"/>
      <c r="C261" s="267"/>
      <c r="D261" s="267"/>
      <c r="E261" s="267"/>
      <c r="F261" s="267"/>
      <c r="G261" s="267"/>
      <c r="H261" s="267"/>
      <c r="I261" s="267"/>
      <c r="J261" s="267"/>
      <c r="K261" s="267"/>
      <c r="L261" s="267"/>
      <c r="M261" s="267"/>
      <c r="N261" s="267"/>
      <c r="O261" s="267"/>
      <c r="P261" s="267"/>
      <c r="Q261" s="267"/>
      <c r="R261" s="267"/>
      <c r="S261" s="267"/>
      <c r="T261" s="267"/>
      <c r="U261" s="267"/>
      <c r="V261" s="267"/>
      <c r="W261" s="267"/>
      <c r="X261" s="267"/>
      <c r="Y261" s="267"/>
      <c r="Z261" s="267"/>
      <c r="AA261" s="267"/>
      <c r="AB261" s="267"/>
      <c r="AC261" s="267"/>
      <c r="AD261" s="267"/>
      <c r="AE261" s="267"/>
      <c r="AF261" s="267"/>
    </row>
    <row r="262" spans="1:32" s="221" customFormat="1" x14ac:dyDescent="0.25">
      <c r="A262" s="252"/>
      <c r="B262" s="252" t="s">
        <v>22</v>
      </c>
      <c r="C262"/>
      <c r="D262" s="201"/>
      <c r="E262" s="201"/>
      <c r="F262" s="201"/>
      <c r="G262" s="201">
        <f t="array" aca="1" ref="G262" ca="1">G189*G117*(1+IF(Tech_Specs!$D9=MAX(Tech_Specs!$D$9:$D$12),0,SUMIF(Tech_Specs!$D$9:$D$12,"&gt;"&amp;Tech_Specs!$D9,G$225:G$228)))</f>
        <v>0.41611040084061718</v>
      </c>
      <c r="H262" s="201">
        <f t="array" aca="1" ref="H262" ca="1">H189*H117*(1+IF(Tech_Specs!$D9=MAX(Tech_Specs!$D$9:$D$12),0,SUMIF(Tech_Specs!$D$9:$D$12,"&gt;"&amp;Tech_Specs!$D9,H$225:H$228)))</f>
        <v>0.40626051205221564</v>
      </c>
      <c r="I262" s="201">
        <f t="array" aca="1" ref="I262" ca="1">I189*I117*(1+IF(Tech_Specs!$D9=MAX(Tech_Specs!$D$9:$D$12),0,SUMIF(Tech_Specs!$D$9:$D$12,"&gt;"&amp;Tech_Specs!$D9,I$225:I$228)))</f>
        <v>0.34598409308130429</v>
      </c>
      <c r="J262" s="201">
        <f t="array" aca="1" ref="J262" ca="1">J189*J117*(1+IF(Tech_Specs!$D9=MAX(Tech_Specs!$D$9:$D$12),0,SUMIF(Tech_Specs!$D$9:$D$12,"&gt;"&amp;Tech_Specs!$D9,J$225:J$228)))</f>
        <v>0.2015211333294076</v>
      </c>
      <c r="K262" s="201">
        <f t="array" aca="1" ref="K262" ca="1">K189*K117*(1+IF(Tech_Specs!$D9=MAX(Tech_Specs!$D$9:$D$12),0,SUMIF(Tech_Specs!$D$9:$D$12,"&gt;"&amp;Tech_Specs!$D9,K$225:K$228)))</f>
        <v>0.13406290056230888</v>
      </c>
      <c r="L262" s="201">
        <f t="array" aca="1" ref="L262" ca="1">L189*L117*(1+IF(Tech_Specs!$D9=MAX(Tech_Specs!$D$9:$D$12),0,SUMIF(Tech_Specs!$D$9:$D$12,"&gt;"&amp;Tech_Specs!$D9,L$225:L$228)))</f>
        <v>8.0997027017989803E-2</v>
      </c>
      <c r="M262" s="201">
        <f t="array" aca="1" ref="M262" ca="1">M189*M117*(1+IF(Tech_Specs!$D9=MAX(Tech_Specs!$D$9:$D$12),0,SUMIF(Tech_Specs!$D$9:$D$12,"&gt;"&amp;Tech_Specs!$D9,M$225:M$228)))</f>
        <v>2.7478221593359227E-2</v>
      </c>
      <c r="N262" s="201">
        <f t="array" aca="1" ref="N262" ca="1">N189*N117*(1+IF(Tech_Specs!$D9=MAX(Tech_Specs!$D$9:$D$12),0,SUMIF(Tech_Specs!$D$9:$D$12,"&gt;"&amp;Tech_Specs!$D9,N$225:N$228)))</f>
        <v>2.4598205146202836E-2</v>
      </c>
      <c r="O262" s="201">
        <f t="array" aca="1" ref="O262" ca="1">O189*O117*(1+IF(Tech_Specs!$D9=MAX(Tech_Specs!$D$9:$D$12),0,SUMIF(Tech_Specs!$D$9:$D$12,"&gt;"&amp;Tech_Specs!$D9,O$225:O$228)))</f>
        <v>2.1903935162208368E-2</v>
      </c>
      <c r="P262" s="201">
        <f t="array" aca="1" ref="P262" ca="1">P189*P117*(1+IF(Tech_Specs!$D9=MAX(Tech_Specs!$D$9:$D$12),0,SUMIF(Tech_Specs!$D$9:$D$12,"&gt;"&amp;Tech_Specs!$D9,P$225:P$228)))</f>
        <v>1.9546375811118611E-2</v>
      </c>
      <c r="Q262" s="201">
        <f t="array" aca="1" ref="Q262" ca="1">Q189*Q117*(1+IF(Tech_Specs!$D9=MAX(Tech_Specs!$D$9:$D$12),0,SUMIF(Tech_Specs!$D$9:$D$12,"&gt;"&amp;Tech_Specs!$D9,Q$225:Q$228)))</f>
        <v>1.7207110645648189E-2</v>
      </c>
      <c r="R262" s="201">
        <f t="array" aca="1" ref="R262" ca="1">R189*R117*(1+IF(Tech_Specs!$D9=MAX(Tech_Specs!$D$9:$D$12),0,SUMIF(Tech_Specs!$D$9:$D$12,"&gt;"&amp;Tech_Specs!$D9,R$225:R$228)))</f>
        <v>1.4948616526875454E-2</v>
      </c>
      <c r="S262" s="201">
        <f t="array" aca="1" ref="S262" ca="1">S189*S117*(1+IF(Tech_Specs!$D9=MAX(Tech_Specs!$D$9:$D$12),0,SUMIF(Tech_Specs!$D$9:$D$12,"&gt;"&amp;Tech_Specs!$D9,S$225:S$228)))</f>
        <v>1.2973670396082809E-2</v>
      </c>
      <c r="T262" s="201">
        <f t="array" aca="1" ref="T262" ca="1">T189*T117*(1+IF(Tech_Specs!$D9=MAX(Tech_Specs!$D$9:$D$12),0,SUMIF(Tech_Specs!$D$9:$D$12,"&gt;"&amp;Tech_Specs!$D9,T$225:T$228)))</f>
        <v>1.1245482845368924E-2</v>
      </c>
      <c r="U262" s="201">
        <f t="array" aca="1" ref="U262" ca="1">U189*U117*(1+IF(Tech_Specs!$D9=MAX(Tech_Specs!$D$9:$D$12),0,SUMIF(Tech_Specs!$D$9:$D$12,"&gt;"&amp;Tech_Specs!$D9,U$225:U$228)))</f>
        <v>9.7435078806634955E-3</v>
      </c>
      <c r="V262" s="201">
        <f t="array" aca="1" ref="V262" ca="1">V189*V117*(1+IF(Tech_Specs!$D9=MAX(Tech_Specs!$D$9:$D$12),0,SUMIF(Tech_Specs!$D$9:$D$12,"&gt;"&amp;Tech_Specs!$D9,V$225:V$228)))</f>
        <v>8.5281870332149182E-3</v>
      </c>
      <c r="W262" s="201">
        <f t="array" aca="1" ref="W262" ca="1">W189*W117*(1+IF(Tech_Specs!$D9=MAX(Tech_Specs!$D$9:$D$12),0,SUMIF(Tech_Specs!$D$9:$D$12,"&gt;"&amp;Tech_Specs!$D9,W$225:W$228)))</f>
        <v>7.4929505207715691E-3</v>
      </c>
      <c r="X262" s="201">
        <f t="array" aca="1" ref="X262" ca="1">X189*X117*(1+IF(Tech_Specs!$D9=MAX(Tech_Specs!$D$9:$D$12),0,SUMIF(Tech_Specs!$D$9:$D$12,"&gt;"&amp;Tech_Specs!$D9,X$225:X$228)))</f>
        <v>6.62142371303121E-3</v>
      </c>
      <c r="Y262" s="201">
        <f t="array" aca="1" ref="Y262" ca="1">Y189*Y117*(1+IF(Tech_Specs!$D9=MAX(Tech_Specs!$D$9:$D$12),0,SUMIF(Tech_Specs!$D$9:$D$12,"&gt;"&amp;Tech_Specs!$D9,Y$225:Y$228)))</f>
        <v>5.8821643442980654E-3</v>
      </c>
      <c r="Z262" s="201">
        <f t="array" aca="1" ref="Z262" ca="1">Z189*Z117*(1+IF(Tech_Specs!$D9=MAX(Tech_Specs!$D$9:$D$12),0,SUMIF(Tech_Specs!$D$9:$D$12,"&gt;"&amp;Tech_Specs!$D9,Z$225:Z$228)))</f>
        <v>5.2742623415493357E-3</v>
      </c>
      <c r="AA262" s="201">
        <f t="array" aca="1" ref="AA262" ca="1">AA189*AA117*(1+IF(Tech_Specs!$D9=MAX(Tech_Specs!$D$9:$D$12),0,SUMIF(Tech_Specs!$D$9:$D$12,"&gt;"&amp;Tech_Specs!$D9,AA$225:AA$228)))</f>
        <v>4.7795490455389729E-3</v>
      </c>
      <c r="AB262" s="201">
        <f t="array" aca="1" ref="AB262" ca="1">AB189*AB117*(1+IF(Tech_Specs!$D9=MAX(Tech_Specs!$D$9:$D$12),0,SUMIF(Tech_Specs!$D$9:$D$12,"&gt;"&amp;Tech_Specs!$D9,AB$225:AB$228)))</f>
        <v>4.3351832407653211E-3</v>
      </c>
      <c r="AC262" s="201">
        <f t="array" aca="1" ref="AC262" ca="1">AC189*AC117*(1+IF(Tech_Specs!$D9=MAX(Tech_Specs!$D$9:$D$12),0,SUMIF(Tech_Specs!$D$9:$D$12,"&gt;"&amp;Tech_Specs!$D9,AC$225:AC$228)))</f>
        <v>3.9507952594261819E-3</v>
      </c>
      <c r="AD262" s="201">
        <f t="array" aca="1" ref="AD262" ca="1">AD189*AD117*(1+IF(Tech_Specs!$D9=MAX(Tech_Specs!$D$9:$D$12),0,SUMIF(Tech_Specs!$D$9:$D$12,"&gt;"&amp;Tech_Specs!$D9,AD$225:AD$228)))</f>
        <v>3.6089103598755013E-3</v>
      </c>
      <c r="AE262" s="201">
        <f t="array" aca="1" ref="AE262" ca="1">AE189*AE117*(1+IF(Tech_Specs!$D9=MAX(Tech_Specs!$D$9:$D$12),0,SUMIF(Tech_Specs!$D$9:$D$12,"&gt;"&amp;Tech_Specs!$D9,AE$225:AE$228)))</f>
        <v>3.2937559997915163E-3</v>
      </c>
      <c r="AF262" s="201">
        <f t="array" aca="1" ref="AF262" ca="1">AF189*AF117*(1+IF(Tech_Specs!$D9=MAX(Tech_Specs!$D$9:$D$12),0,SUMIF(Tech_Specs!$D$9:$D$12,"&gt;"&amp;Tech_Specs!$D9,AF$225:AF$228)))</f>
        <v>2.9564365246549668E-3</v>
      </c>
    </row>
    <row r="263" spans="1:32" s="221" customFormat="1" x14ac:dyDescent="0.25">
      <c r="A263" s="252"/>
      <c r="B263" s="252" t="s">
        <v>26</v>
      </c>
      <c r="C263"/>
      <c r="D263" s="201"/>
      <c r="E263" s="201"/>
      <c r="F263" s="201"/>
      <c r="G263" s="201">
        <f t="array" aca="1" ref="G263" ca="1">G190*G118*(1+IF(Tech_Specs!$D10=MAX(Tech_Specs!$D$9:$D$12),0,SUMIF(Tech_Specs!$D$9:$D$12,"&gt;"&amp;Tech_Specs!$D10,G$225:G$228)))</f>
        <v>1.506481922988802E-2</v>
      </c>
      <c r="H263" s="201">
        <f t="array" aca="1" ref="H263" ca="1">H190*H118*(1+IF(Tech_Specs!$D10=MAX(Tech_Specs!$D$9:$D$12),0,SUMIF(Tech_Specs!$D$9:$D$12,"&gt;"&amp;Tech_Specs!$D10,H$225:H$228)))</f>
        <v>1.4973633220781246E-2</v>
      </c>
      <c r="I263" s="201">
        <f t="array" aca="1" ref="I263" ca="1">I190*I118*(1+IF(Tech_Specs!$D10=MAX(Tech_Specs!$D$9:$D$12),0,SUMIF(Tech_Specs!$D$9:$D$12,"&gt;"&amp;Tech_Specs!$D10,I$225:I$228)))</f>
        <v>6.2446296364503849E-2</v>
      </c>
      <c r="J263" s="201">
        <f t="array" aca="1" ref="J263" ca="1">J190*J118*(1+IF(Tech_Specs!$D10=MAX(Tech_Specs!$D$9:$D$12),0,SUMIF(Tech_Specs!$D$9:$D$12,"&gt;"&amp;Tech_Specs!$D10,J$225:J$228)))</f>
        <v>0.16514524915442869</v>
      </c>
      <c r="K263" s="201">
        <f t="array" aca="1" ref="K263" ca="1">K190*K118*(1+IF(Tech_Specs!$D10=MAX(Tech_Specs!$D$9:$D$12),0,SUMIF(Tech_Specs!$D$9:$D$12,"&gt;"&amp;Tech_Specs!$D10,K$225:K$228)))</f>
        <v>0.22295757731364332</v>
      </c>
      <c r="L263" s="201">
        <f t="array" aca="1" ref="L263" ca="1">L190*L118*(1+IF(Tech_Specs!$D10=MAX(Tech_Specs!$D$9:$D$12),0,SUMIF(Tech_Specs!$D$9:$D$12,"&gt;"&amp;Tech_Specs!$D10,L$225:L$228)))</f>
        <v>0.22521896301560432</v>
      </c>
      <c r="M263" s="201">
        <f t="array" aca="1" ref="M263" ca="1">M190*M118*(1+IF(Tech_Specs!$D10=MAX(Tech_Specs!$D$9:$D$12),0,SUMIF(Tech_Specs!$D$9:$D$12,"&gt;"&amp;Tech_Specs!$D10,M$225:M$228)))</f>
        <v>0.21965468164679941</v>
      </c>
      <c r="N263" s="201">
        <f t="array" aca="1" ref="N263" ca="1">N190*N118*(1+IF(Tech_Specs!$D10=MAX(Tech_Specs!$D$9:$D$12),0,SUMIF(Tech_Specs!$D$9:$D$12,"&gt;"&amp;Tech_Specs!$D10,N$225:N$228)))</f>
        <v>0.20134060291035324</v>
      </c>
      <c r="O263" s="201">
        <f t="array" aca="1" ref="O263" ca="1">O190*O118*(1+IF(Tech_Specs!$D10=MAX(Tech_Specs!$D$9:$D$12),0,SUMIF(Tech_Specs!$D$9:$D$12,"&gt;"&amp;Tech_Specs!$D10,O$225:O$228)))</f>
        <v>0.18334145272466981</v>
      </c>
      <c r="P263" s="201">
        <f t="array" aca="1" ref="P263" ca="1">P190*P118*(1+IF(Tech_Specs!$D10=MAX(Tech_Specs!$D$9:$D$12),0,SUMIF(Tech_Specs!$D$9:$D$12,"&gt;"&amp;Tech_Specs!$D10,P$225:P$228)))</f>
        <v>0.1668242504858411</v>
      </c>
      <c r="Q263" s="201">
        <f t="array" aca="1" ref="Q263" ca="1">Q190*Q118*(1+IF(Tech_Specs!$D10=MAX(Tech_Specs!$D$9:$D$12),0,SUMIF(Tech_Specs!$D$9:$D$12,"&gt;"&amp;Tech_Specs!$D10,Q$225:Q$228)))</f>
        <v>0.15004157797661313</v>
      </c>
      <c r="R263" s="201">
        <f t="array" aca="1" ref="R263" ca="1">R190*R118*(1+IF(Tech_Specs!$D10=MAX(Tech_Specs!$D$9:$D$12),0,SUMIF(Tech_Specs!$D$9:$D$12,"&gt;"&amp;Tech_Specs!$D10,R$225:R$228)))</f>
        <v>0.13352508325345769</v>
      </c>
      <c r="S263" s="201">
        <f t="array" aca="1" ref="S263" ca="1">S190*S118*(1+IF(Tech_Specs!$D10=MAX(Tech_Specs!$D$9:$D$12),0,SUMIF(Tech_Specs!$D$9:$D$12,"&gt;"&amp;Tech_Specs!$D10,S$225:S$228)))</f>
        <v>0.11868456817047705</v>
      </c>
      <c r="T263" s="201">
        <f t="array" aca="1" ref="T263" ca="1">T190*T118*(1+IF(Tech_Specs!$D10=MAX(Tech_Specs!$D$9:$D$12),0,SUMIF(Tech_Specs!$D$9:$D$12,"&gt;"&amp;Tech_Specs!$D10,T$225:T$228)))</f>
        <v>0.10542898633470292</v>
      </c>
      <c r="U263" s="201">
        <f t="array" aca="1" ref="U263" ca="1">U190*U118*(1+IF(Tech_Specs!$D10=MAX(Tech_Specs!$D$9:$D$12),0,SUMIF(Tech_Specs!$D$9:$D$12,"&gt;"&amp;Tech_Specs!$D10,U$225:U$228)))</f>
        <v>9.3732634874342455E-2</v>
      </c>
      <c r="V263" s="201">
        <f t="array" aca="1" ref="V263" ca="1">V190*V118*(1+IF(Tech_Specs!$D10=MAX(Tech_Specs!$D$9:$D$12),0,SUMIF(Tech_Specs!$D$9:$D$12,"&gt;"&amp;Tech_Specs!$D10,V$225:V$228)))</f>
        <v>8.4120683305218283E-2</v>
      </c>
      <c r="W263" s="201">
        <f t="array" aca="1" ref="W263" ca="1">W190*W118*(1+IF(Tech_Specs!$D10=MAX(Tech_Specs!$D$9:$D$12),0,SUMIF(Tech_Specs!$D$9:$D$12,"&gt;"&amp;Tech_Specs!$D10,W$225:W$228)))</f>
        <v>7.590065136101834E-2</v>
      </c>
      <c r="X263" s="201">
        <f t="array" aca="1" ref="X263" ca="1">X190*X118*(1+IF(Tech_Specs!$D10=MAX(Tech_Specs!$D$9:$D$12),0,SUMIF(Tech_Specs!$D$9:$D$12,"&gt;"&amp;Tech_Specs!$D10,X$225:X$228)))</f>
        <v>6.8976160391871696E-2</v>
      </c>
      <c r="Y263" s="201">
        <f t="array" aca="1" ref="Y263" ca="1">Y190*Y118*(1+IF(Tech_Specs!$D10=MAX(Tech_Specs!$D$9:$D$12),0,SUMIF(Tech_Specs!$D$9:$D$12,"&gt;"&amp;Tech_Specs!$D10,Y$225:Y$228)))</f>
        <v>6.3116979212780602E-2</v>
      </c>
      <c r="Z263" s="201">
        <f t="array" aca="1" ref="Z263" ca="1">Z190*Z118*(1+IF(Tech_Specs!$D10=MAX(Tech_Specs!$D$9:$D$12),0,SUMIF(Tech_Specs!$D$9:$D$12,"&gt;"&amp;Tech_Specs!$D10,Z$225:Z$228)))</f>
        <v>5.8322794260776689E-2</v>
      </c>
      <c r="AA263" s="201">
        <f t="array" aca="1" ref="AA263" ca="1">AA190*AA118*(1+IF(Tech_Specs!$D10=MAX(Tech_Specs!$D$9:$D$12),0,SUMIF(Tech_Specs!$D$9:$D$12,"&gt;"&amp;Tech_Specs!$D10,AA$225:AA$228)))</f>
        <v>5.4460574061119892E-2</v>
      </c>
      <c r="AB263" s="201">
        <f t="array" aca="1" ref="AB263" ca="1">AB190*AB118*(1+IF(Tech_Specs!$D10=MAX(Tech_Specs!$D$9:$D$12),0,SUMIF(Tech_Specs!$D$9:$D$12,"&gt;"&amp;Tech_Specs!$D10,AB$225:AB$228)))</f>
        <v>5.1005945232965678E-2</v>
      </c>
      <c r="AC263" s="201">
        <f t="array" aca="1" ref="AC263" ca="1">AC190*AC118*(1+IF(Tech_Specs!$D10=MAX(Tech_Specs!$D$9:$D$12),0,SUMIF(Tech_Specs!$D$9:$D$12,"&gt;"&amp;Tech_Specs!$D10,AC$225:AC$228)))</f>
        <v>4.803332585301559E-2</v>
      </c>
      <c r="AD263" s="201">
        <f t="array" aca="1" ref="AD263" ca="1">AD190*AD118*(1+IF(Tech_Specs!$D10=MAX(Tech_Specs!$D$9:$D$12),0,SUMIF(Tech_Specs!$D$9:$D$12,"&gt;"&amp;Tech_Specs!$D10,AD$225:AD$228)))</f>
        <v>4.538837922536719E-2</v>
      </c>
      <c r="AE263" s="201">
        <f t="array" aca="1" ref="AE263" ca="1">AE190*AE118*(1+IF(Tech_Specs!$D10=MAX(Tech_Specs!$D$9:$D$12),0,SUMIF(Tech_Specs!$D$9:$D$12,"&gt;"&amp;Tech_Specs!$D10,AE$225:AE$228)))</f>
        <v>4.292315783825975E-2</v>
      </c>
      <c r="AF263" s="201">
        <f t="array" aca="1" ref="AF263" ca="1">AF190*AF118*(1+IF(Tech_Specs!$D10=MAX(Tech_Specs!$D$9:$D$12),0,SUMIF(Tech_Specs!$D$9:$D$12,"&gt;"&amp;Tech_Specs!$D10,AF$225:AF$228)))</f>
        <v>4.0149514400505362E-2</v>
      </c>
    </row>
    <row r="264" spans="1:32" s="221" customFormat="1" x14ac:dyDescent="0.25">
      <c r="A264" s="252"/>
      <c r="B264" s="252" t="s">
        <v>27</v>
      </c>
      <c r="C264"/>
      <c r="D264" s="201"/>
      <c r="E264" s="201"/>
      <c r="F264" s="201"/>
      <c r="G264" s="201">
        <f t="array" aca="1" ref="G264" ca="1">G191*G119*(1+IF(Tech_Specs!$D11=MAX(Tech_Specs!$D$9:$D$12),0,SUMIF(Tech_Specs!$D$9:$D$12,"&gt;"&amp;Tech_Specs!$D11,G$225:G$228)))</f>
        <v>0.56700095972498832</v>
      </c>
      <c r="H264" s="201">
        <f t="array" aca="1" ref="H264" ca="1">H191*H119*(1+IF(Tech_Specs!$D11=MAX(Tech_Specs!$D$9:$D$12),0,SUMIF(Tech_Specs!$D$9:$D$12,"&gt;"&amp;Tech_Specs!$D11,H$225:H$228)))</f>
        <v>0.56432211299310708</v>
      </c>
      <c r="I264" s="201">
        <f t="array" aca="1" ref="I264" ca="1">I191*I119*(1+IF(Tech_Specs!$D11=MAX(Tech_Specs!$D$9:$D$12),0,SUMIF(Tech_Specs!$D$9:$D$12,"&gt;"&amp;Tech_Specs!$D11,I$225:I$228)))</f>
        <v>0.55603475474807718</v>
      </c>
      <c r="J264" s="201">
        <f t="array" aca="1" ref="J264" ca="1">J191*J119*(1+IF(Tech_Specs!$D11=MAX(Tech_Specs!$D$9:$D$12),0,SUMIF(Tech_Specs!$D$9:$D$12,"&gt;"&amp;Tech_Specs!$D11,J$225:J$228)))</f>
        <v>0.57707633371691724</v>
      </c>
      <c r="K264" s="201">
        <f t="array" aca="1" ref="K264" ca="1">K191*K119*(1+IF(Tech_Specs!$D11=MAX(Tech_Specs!$D$9:$D$12),0,SUMIF(Tech_Specs!$D$9:$D$12,"&gt;"&amp;Tech_Specs!$D11,K$225:K$228)))</f>
        <v>0.55334541888052502</v>
      </c>
      <c r="L264" s="201">
        <f t="array" aca="1" ref="L264" ca="1">L191*L119*(1+IF(Tech_Specs!$D11=MAX(Tech_Specs!$D$9:$D$12),0,SUMIF(Tech_Specs!$D$9:$D$12,"&gt;"&amp;Tech_Specs!$D11,L$225:L$228)))</f>
        <v>0.55963627106470515</v>
      </c>
      <c r="M264" s="201">
        <f t="array" aca="1" ref="M264" ca="1">M191*M119*(1+IF(Tech_Specs!$D11=MAX(Tech_Specs!$D$9:$D$12),0,SUMIF(Tech_Specs!$D$9:$D$12,"&gt;"&amp;Tech_Specs!$D11,M$225:M$228)))</f>
        <v>0.56425763238188908</v>
      </c>
      <c r="N264" s="201">
        <f t="array" aca="1" ref="N264" ca="1">N191*N119*(1+IF(Tech_Specs!$D11=MAX(Tech_Specs!$D$9:$D$12),0,SUMIF(Tech_Specs!$D$9:$D$12,"&gt;"&amp;Tech_Specs!$D11,N$225:N$228)))</f>
        <v>0.52848973927505749</v>
      </c>
      <c r="O264" s="201">
        <f t="array" aca="1" ref="O264" ca="1">O191*O119*(1+IF(Tech_Specs!$D11=MAX(Tech_Specs!$D$9:$D$12),0,SUMIF(Tech_Specs!$D$9:$D$12,"&gt;"&amp;Tech_Specs!$D11,O$225:O$228)))</f>
        <v>0.48895100105994993</v>
      </c>
      <c r="P264" s="201">
        <f t="array" aca="1" ref="P264" ca="1">P191*P119*(1+IF(Tech_Specs!$D11=MAX(Tech_Specs!$D$9:$D$12),0,SUMIF(Tech_Specs!$D$9:$D$12,"&gt;"&amp;Tech_Specs!$D11,P$225:P$228)))</f>
        <v>0.44729535477304705</v>
      </c>
      <c r="Q264" s="201">
        <f t="array" aca="1" ref="Q264" ca="1">Q191*Q119*(1+IF(Tech_Specs!$D11=MAX(Tech_Specs!$D$9:$D$12),0,SUMIF(Tech_Specs!$D$9:$D$12,"&gt;"&amp;Tech_Specs!$D11,Q$225:Q$228)))</f>
        <v>0.40693469179591318</v>
      </c>
      <c r="R264" s="201">
        <f t="array" aca="1" ref="R264" ca="1">R191*R119*(1+IF(Tech_Specs!$D11=MAX(Tech_Specs!$D$9:$D$12),0,SUMIF(Tech_Specs!$D$9:$D$12,"&gt;"&amp;Tech_Specs!$D11,R$225:R$228)))</f>
        <v>0.36916411936348803</v>
      </c>
      <c r="S264" s="201">
        <f t="array" aca="1" ref="S264" ca="1">S191*S119*(1+IF(Tech_Specs!$D11=MAX(Tech_Specs!$D$9:$D$12),0,SUMIF(Tech_Specs!$D$9:$D$12,"&gt;"&amp;Tech_Specs!$D11,S$225:S$228)))</f>
        <v>0.33396275680283871</v>
      </c>
      <c r="T264" s="201">
        <f t="array" aca="1" ref="T264" ca="1">T191*T119*(1+IF(Tech_Specs!$D11=MAX(Tech_Specs!$D$9:$D$12),0,SUMIF(Tech_Specs!$D$9:$D$12,"&gt;"&amp;Tech_Specs!$D11,T$225:T$228)))</f>
        <v>0.3022580656771352</v>
      </c>
      <c r="U264" s="201">
        <f t="array" aca="1" ref="U264" ca="1">U191*U119*(1+IF(Tech_Specs!$D11=MAX(Tech_Specs!$D$9:$D$12),0,SUMIF(Tech_Specs!$D$9:$D$12,"&gt;"&amp;Tech_Specs!$D11,U$225:U$228)))</f>
        <v>0.27455303395251679</v>
      </c>
      <c r="V264" s="201">
        <f t="array" aca="1" ref="V264" ca="1">V191*V119*(1+IF(Tech_Specs!$D11=MAX(Tech_Specs!$D$9:$D$12),0,SUMIF(Tech_Specs!$D$9:$D$12,"&gt;"&amp;Tech_Specs!$D11,V$225:V$228)))</f>
        <v>0.25095285139490936</v>
      </c>
      <c r="W264" s="201">
        <f t="array" aca="1" ref="W264" ca="1">W191*W119*(1+IF(Tech_Specs!$D11=MAX(Tech_Specs!$D$9:$D$12),0,SUMIF(Tech_Specs!$D$9:$D$12,"&gt;"&amp;Tech_Specs!$D11,W$225:W$228)))</f>
        <v>0.23142918601963278</v>
      </c>
      <c r="X264" s="201">
        <f t="array" aca="1" ref="X264" ca="1">X191*X119*(1+IF(Tech_Specs!$D11=MAX(Tech_Specs!$D$9:$D$12),0,SUMIF(Tech_Specs!$D$9:$D$12,"&gt;"&amp;Tech_Specs!$D11,X$225:X$228)))</f>
        <v>0.21557457009227349</v>
      </c>
      <c r="Y264" s="201">
        <f t="array" aca="1" ref="Y264" ca="1">Y191*Y119*(1+IF(Tech_Specs!$D11=MAX(Tech_Specs!$D$9:$D$12),0,SUMIF(Tech_Specs!$D$9:$D$12,"&gt;"&amp;Tech_Specs!$D11,Y$225:Y$228)))</f>
        <v>0.20285937258147912</v>
      </c>
      <c r="Z264" s="201">
        <f t="array" aca="1" ref="Z264" ca="1">Z191*Z119*(1+IF(Tech_Specs!$D11=MAX(Tech_Specs!$D$9:$D$12),0,SUMIF(Tech_Specs!$D$9:$D$12,"&gt;"&amp;Tech_Specs!$D11,Z$225:Z$228)))</f>
        <v>0.19277850837935501</v>
      </c>
      <c r="AA264" s="201">
        <f t="array" aca="1" ref="AA264" ca="1">AA191*AA119*(1+IF(Tech_Specs!$D11=MAX(Tech_Specs!$D$9:$D$12),0,SUMIF(Tech_Specs!$D$9:$D$12,"&gt;"&amp;Tech_Specs!$D11,AA$225:AA$228)))</f>
        <v>0.18485821034491876</v>
      </c>
      <c r="AB264" s="201">
        <f t="array" aca="1" ref="AB264" ca="1">AB191*AB119*(1+IF(Tech_Specs!$D11=MAX(Tech_Specs!$D$9:$D$12),0,SUMIF(Tech_Specs!$D$9:$D$12,"&gt;"&amp;Tech_Specs!$D11,AB$225:AB$228)))</f>
        <v>0.1785269427031288</v>
      </c>
      <c r="AC264" s="201">
        <f t="array" aca="1" ref="AC264" ca="1">AC191*AC119*(1+IF(Tech_Specs!$D11=MAX(Tech_Specs!$D$9:$D$12),0,SUMIF(Tech_Specs!$D$9:$D$12,"&gt;"&amp;Tech_Specs!$D11,AC$225:AC$228)))</f>
        <v>0.17346932573108498</v>
      </c>
      <c r="AD264" s="201">
        <f t="array" aca="1" ref="AD264" ca="1">AD191*AD119*(1+IF(Tech_Specs!$D11=MAX(Tech_Specs!$D$9:$D$12),0,SUMIF(Tech_Specs!$D$9:$D$12,"&gt;"&amp;Tech_Specs!$D11,AD$225:AD$228)))</f>
        <v>0.16936063183196989</v>
      </c>
      <c r="AE264" s="201">
        <f t="array" aca="1" ref="AE264" ca="1">AE191*AE119*(1+IF(Tech_Specs!$D11=MAX(Tech_Specs!$D$9:$D$12),0,SUMIF(Tech_Specs!$D$9:$D$12,"&gt;"&amp;Tech_Specs!$D11,AE$225:AE$228)))</f>
        <v>0.16592430450350473</v>
      </c>
      <c r="AF264" s="201">
        <f t="array" aca="1" ref="AF264" ca="1">AF191*AF119*(1+IF(Tech_Specs!$D11=MAX(Tech_Specs!$D$9:$D$12),0,SUMIF(Tech_Specs!$D$9:$D$12,"&gt;"&amp;Tech_Specs!$D11,AF$225:AF$228)))</f>
        <v>0.162718976980258</v>
      </c>
    </row>
    <row r="265" spans="1:32" s="221" customFormat="1" x14ac:dyDescent="0.25">
      <c r="A265" s="252"/>
      <c r="B265" s="252" t="s">
        <v>29</v>
      </c>
      <c r="C265"/>
      <c r="D265" s="201"/>
      <c r="E265" s="201"/>
      <c r="F265" s="201"/>
      <c r="G265" s="201">
        <f t="array" aca="1" ref="G265" ca="1">G192*G120*(1+IF(Tech_Specs!$D12=MAX(Tech_Specs!$D$9:$D$12),0,SUMIF(Tech_Specs!$D$9:$D$12,"&gt;"&amp;Tech_Specs!$D12,G$225:G$228)))</f>
        <v>1.8238120874164159E-3</v>
      </c>
      <c r="H265" s="201">
        <f t="array" aca="1" ref="H265" ca="1">H192*H120*(1+IF(Tech_Specs!$D12=MAX(Tech_Specs!$D$9:$D$12),0,SUMIF(Tech_Specs!$D$9:$D$12,"&gt;"&amp;Tech_Specs!$D12,H$225:H$228)))</f>
        <v>1.4443733808948459E-2</v>
      </c>
      <c r="I265" s="201">
        <f t="array" aca="1" ref="I265" ca="1">I192*I120*(1+IF(Tech_Specs!$D12=MAX(Tech_Specs!$D$9:$D$12),0,SUMIF(Tech_Specs!$D$9:$D$12,"&gt;"&amp;Tech_Specs!$D12,I$225:I$228)))</f>
        <v>3.5534849056982731E-2</v>
      </c>
      <c r="J265" s="201">
        <f t="array" aca="1" ref="J265" ca="1">J192*J120*(1+IF(Tech_Specs!$D12=MAX(Tech_Specs!$D$9:$D$12),0,SUMIF(Tech_Specs!$D$9:$D$12,"&gt;"&amp;Tech_Specs!$D12,J$225:J$228)))</f>
        <v>5.6257279868161793E-2</v>
      </c>
      <c r="K265" s="201">
        <f t="array" aca="1" ref="K265" ca="1">K192*K120*(1+IF(Tech_Specs!$D12=MAX(Tech_Specs!$D$9:$D$12),0,SUMIF(Tech_Specs!$D$9:$D$12,"&gt;"&amp;Tech_Specs!$D12,K$225:K$228)))</f>
        <v>8.9634100628349714E-2</v>
      </c>
      <c r="L265" s="201">
        <f t="array" aca="1" ref="L265" ca="1">L192*L120*(1+IF(Tech_Specs!$D12=MAX(Tech_Specs!$D$9:$D$12),0,SUMIF(Tech_Specs!$D$9:$D$12,"&gt;"&amp;Tech_Specs!$D12,L$225:L$228)))</f>
        <v>0.13414773732168692</v>
      </c>
      <c r="M265" s="201">
        <f t="array" aca="1" ref="M265" ca="1">M192*M120*(1+IF(Tech_Specs!$D12=MAX(Tech_Specs!$D$9:$D$12),0,SUMIF(Tech_Specs!$D$9:$D$12,"&gt;"&amp;Tech_Specs!$D12,M$225:M$228)))</f>
        <v>0.18860946384193308</v>
      </c>
      <c r="N265" s="201">
        <f t="array" aca="1" ref="N265" ca="1">N192*N120*(1+IF(Tech_Specs!$D12=MAX(Tech_Specs!$D$9:$D$12),0,SUMIF(Tech_Specs!$D$9:$D$12,"&gt;"&amp;Tech_Specs!$D12,N$225:N$228)))</f>
        <v>0.24557145218854781</v>
      </c>
      <c r="O265" s="201">
        <f t="array" aca="1" ref="O265" ca="1">O192*O120*(1+IF(Tech_Specs!$D12=MAX(Tech_Specs!$D$9:$D$12),0,SUMIF(Tech_Specs!$D$9:$D$12,"&gt;"&amp;Tech_Specs!$D12,O$225:O$228)))</f>
        <v>0.30580361062589051</v>
      </c>
      <c r="P265" s="201">
        <f t="array" aca="1" ref="P265" ca="1">P192*P120*(1+IF(Tech_Specs!$D12=MAX(Tech_Specs!$D$9:$D$12),0,SUMIF(Tech_Specs!$D$9:$D$12,"&gt;"&amp;Tech_Specs!$D12,P$225:P$228)))</f>
        <v>0.36633401854870112</v>
      </c>
      <c r="Q265" s="201">
        <f t="array" aca="1" ref="Q265" ca="1">Q192*Q120*(1+IF(Tech_Specs!$D12=MAX(Tech_Specs!$D$9:$D$12),0,SUMIF(Tech_Specs!$D$9:$D$12,"&gt;"&amp;Tech_Specs!$D12,Q$225:Q$228)))</f>
        <v>0.42581661924616554</v>
      </c>
      <c r="R265" s="201">
        <f t="array" aca="1" ref="R265" ca="1">R192*R120*(1+IF(Tech_Specs!$D12=MAX(Tech_Specs!$D$9:$D$12),0,SUMIF(Tech_Specs!$D$9:$D$12,"&gt;"&amp;Tech_Specs!$D12,R$225:R$228)))</f>
        <v>0.48236218056457514</v>
      </c>
      <c r="S265" s="201">
        <f t="array" aca="1" ref="S265" ca="1">S192*S120*(1+IF(Tech_Specs!$D12=MAX(Tech_Specs!$D$9:$D$12),0,SUMIF(Tech_Specs!$D$9:$D$12,"&gt;"&amp;Tech_Specs!$D12,S$225:S$228)))</f>
        <v>0.53437900437752328</v>
      </c>
      <c r="T265" s="201">
        <f t="array" aca="1" ref="T265" ca="1">T192*T120*(1+IF(Tech_Specs!$D12=MAX(Tech_Specs!$D$9:$D$12),0,SUMIF(Tech_Specs!$D$9:$D$12,"&gt;"&amp;Tech_Specs!$D12,T$225:T$228)))</f>
        <v>0.58106746492342654</v>
      </c>
      <c r="U265" s="201">
        <f t="array" aca="1" ref="U265" ca="1">U192*U120*(1+IF(Tech_Specs!$D12=MAX(Tech_Specs!$D$9:$D$12),0,SUMIF(Tech_Specs!$D$9:$D$12,"&gt;"&amp;Tech_Specs!$D12,U$225:U$228)))</f>
        <v>0.62197082310241014</v>
      </c>
      <c r="V265" s="201">
        <f t="array" aca="1" ref="V265" ca="1">V192*V120*(1+IF(Tech_Specs!$D12=MAX(Tech_Specs!$D$9:$D$12),0,SUMIF(Tech_Specs!$D$9:$D$12,"&gt;"&amp;Tech_Specs!$D12,V$225:V$228)))</f>
        <v>0.65639827810029761</v>
      </c>
      <c r="W265" s="201">
        <f t="array" aca="1" ref="W265" ca="1">W192*W120*(1+IF(Tech_Specs!$D12=MAX(Tech_Specs!$D$9:$D$12),0,SUMIF(Tech_Specs!$D$9:$D$12,"&gt;"&amp;Tech_Specs!$D12,W$225:W$228)))</f>
        <v>0.68517721195241199</v>
      </c>
      <c r="X265" s="201">
        <f t="array" aca="1" ref="X265" ca="1">X192*X120*(1+IF(Tech_Specs!$D12=MAX(Tech_Specs!$D$9:$D$12),0,SUMIF(Tech_Specs!$D$9:$D$12,"&gt;"&amp;Tech_Specs!$D12,X$225:X$228)))</f>
        <v>0.70882784567365908</v>
      </c>
      <c r="Y265" s="201">
        <f t="array" aca="1" ref="Y265" ca="1">Y192*Y120*(1+IF(Tech_Specs!$D12=MAX(Tech_Specs!$D$9:$D$12),0,SUMIF(Tech_Specs!$D$9:$D$12,"&gt;"&amp;Tech_Specs!$D12,Y$225:Y$228)))</f>
        <v>0.72814148374669851</v>
      </c>
      <c r="Z265" s="201">
        <f t="array" aca="1" ref="Z265" ca="1">Z192*Z120*(1+IF(Tech_Specs!$D12=MAX(Tech_Specs!$D$9:$D$12),0,SUMIF(Tech_Specs!$D$9:$D$12,"&gt;"&amp;Tech_Specs!$D12,Z$225:Z$228)))</f>
        <v>0.74362443491543362</v>
      </c>
      <c r="AA265" s="201">
        <f t="array" aca="1" ref="AA265" ca="1">AA192*AA120*(1+IF(Tech_Specs!$D12=MAX(Tech_Specs!$D$9:$D$12),0,SUMIF(Tech_Specs!$D$9:$D$12,"&gt;"&amp;Tech_Specs!$D12,AA$225:AA$228)))</f>
        <v>0.7559016664551873</v>
      </c>
      <c r="AB265" s="201">
        <f t="array" aca="1" ref="AB265" ca="1">AB192*AB120*(1+IF(Tech_Specs!$D12=MAX(Tech_Specs!$D$9:$D$12),0,SUMIF(Tech_Specs!$D$9:$D$12,"&gt;"&amp;Tech_Specs!$D12,AB$225:AB$228)))</f>
        <v>0.76613192873857339</v>
      </c>
      <c r="AC265" s="201">
        <f t="array" aca="1" ref="AC265" ca="1">AC192*AC120*(1+IF(Tech_Specs!$D12=MAX(Tech_Specs!$D$9:$D$12),0,SUMIF(Tech_Specs!$D$9:$D$12,"&gt;"&amp;Tech_Specs!$D12,AC$225:AC$228)))</f>
        <v>0.77454655307940479</v>
      </c>
      <c r="AD265" s="201">
        <f t="array" aca="1" ref="AD265" ca="1">AD192*AD120*(1+IF(Tech_Specs!$D12=MAX(Tech_Specs!$D$9:$D$12),0,SUMIF(Tech_Specs!$D$9:$D$12,"&gt;"&amp;Tech_Specs!$D12,AD$225:AD$228)))</f>
        <v>0.78164207851238809</v>
      </c>
      <c r="AE265" s="201">
        <f t="array" aca="1" ref="AE265" ca="1">AE192*AE120*(1+IF(Tech_Specs!$D12=MAX(Tech_Specs!$D$9:$D$12),0,SUMIF(Tech_Specs!$D$9:$D$12,"&gt;"&amp;Tech_Specs!$D12,AE$225:AE$228)))</f>
        <v>0.78785878159419265</v>
      </c>
      <c r="AF265" s="201">
        <f t="array" aca="1" ref="AF265" ca="1">AF192*AF120*(1+IF(Tech_Specs!$D12=MAX(Tech_Specs!$D$9:$D$12),0,SUMIF(Tech_Specs!$D$9:$D$12,"&gt;"&amp;Tech_Specs!$D12,AF$225:AF$228)))</f>
        <v>0.79417507203691029</v>
      </c>
    </row>
    <row r="266" spans="1:32" s="221" customFormat="1" x14ac:dyDescent="0.25">
      <c r="A266" s="252"/>
      <c r="B266" s="252"/>
      <c r="C266"/>
      <c r="D266"/>
      <c r="E266"/>
      <c r="F266"/>
      <c r="G266"/>
      <c r="H266"/>
      <c r="I266"/>
      <c r="J266"/>
      <c r="K266"/>
      <c r="L266"/>
      <c r="M266"/>
      <c r="N266"/>
      <c r="O266"/>
      <c r="P266"/>
      <c r="Q266"/>
      <c r="R266"/>
      <c r="S266"/>
      <c r="T266"/>
      <c r="U266"/>
      <c r="V266"/>
      <c r="W266"/>
      <c r="X266"/>
      <c r="Y266"/>
      <c r="Z266"/>
      <c r="AA266"/>
      <c r="AB266"/>
      <c r="AC266"/>
      <c r="AD266"/>
      <c r="AE266"/>
      <c r="AF266"/>
    </row>
    <row r="267" spans="1:32" s="202" customFormat="1" ht="12.75" x14ac:dyDescent="0.2">
      <c r="A267" s="267" t="s">
        <v>32</v>
      </c>
      <c r="B267" s="267"/>
      <c r="C267" s="267"/>
      <c r="D267" s="267"/>
      <c r="E267" s="267"/>
      <c r="F267" s="267"/>
      <c r="G267" s="402"/>
      <c r="H267" s="402"/>
      <c r="I267" s="402"/>
      <c r="J267" s="402"/>
      <c r="K267" s="402"/>
      <c r="L267" s="402"/>
      <c r="M267" s="402"/>
      <c r="N267" s="402"/>
      <c r="O267" s="402"/>
      <c r="P267" s="402"/>
      <c r="Q267" s="402"/>
      <c r="R267" s="402"/>
      <c r="S267" s="402"/>
      <c r="T267" s="402"/>
      <c r="U267" s="402"/>
      <c r="V267" s="402"/>
      <c r="W267" s="402"/>
      <c r="X267" s="402"/>
      <c r="Y267" s="402"/>
      <c r="Z267" s="402"/>
      <c r="AA267" s="402"/>
      <c r="AB267" s="402"/>
      <c r="AC267" s="402"/>
      <c r="AD267" s="402"/>
      <c r="AE267" s="402"/>
      <c r="AF267" s="402"/>
    </row>
    <row r="268" spans="1:32" s="221" customFormat="1" x14ac:dyDescent="0.25">
      <c r="A268" s="252"/>
      <c r="B268" s="252" t="s">
        <v>33</v>
      </c>
      <c r="C268"/>
      <c r="D268"/>
      <c r="E268"/>
      <c r="F268"/>
      <c r="G268" s="201">
        <f t="array" ref="G268">G195*G123*(1+IF(Tech_Specs!$D15=MAX(Tech_Specs!$D$15:$D$18),0,SUMIF(Tech_Specs!$D$15:$D$18,"&gt;"&amp;Tech_Specs!$D15,G$231:G$234)))</f>
        <v>0.23828936714640006</v>
      </c>
      <c r="H268" s="201">
        <f t="array" ref="H268">H195*H123*(1+IF(Tech_Specs!$D15=MAX(Tech_Specs!$D$15:$D$18),0,SUMIF(Tech_Specs!$D$15:$D$18,"&gt;"&amp;Tech_Specs!$D15,H$231:H$234)))</f>
        <v>0.23105953899460246</v>
      </c>
      <c r="I268" s="201">
        <f t="array" ref="I268">I195*I123*(1+IF(Tech_Specs!$D15=MAX(Tech_Specs!$D$15:$D$18),0,SUMIF(Tech_Specs!$D$15:$D$18,"&gt;"&amp;Tech_Specs!$D15,I$231:I$234)))</f>
        <v>0.23148594654858937</v>
      </c>
      <c r="J268" s="201">
        <f t="array" ref="J268">J195*J123*(1+IF(Tech_Specs!$D15=MAX(Tech_Specs!$D$15:$D$18),0,SUMIF(Tech_Specs!$D$15:$D$18,"&gt;"&amp;Tech_Specs!$D15,J$231:J$234)))</f>
        <v>0.22822745849708306</v>
      </c>
      <c r="K268" s="201">
        <f t="array" ref="K268">K195*K123*(1+IF(Tech_Specs!$D15=MAX(Tech_Specs!$D$15:$D$18),0,SUMIF(Tech_Specs!$D$15:$D$18,"&gt;"&amp;Tech_Specs!$D15,K$231:K$234)))</f>
        <v>0.21975862373329291</v>
      </c>
      <c r="L268" s="201">
        <f t="array" ref="L268">L195*L123*(1+IF(Tech_Specs!$D15=MAX(Tech_Specs!$D$15:$D$18),0,SUMIF(Tech_Specs!$D$15:$D$18,"&gt;"&amp;Tech_Specs!$D15,L$231:L$234)))</f>
        <v>0.20545305918677909</v>
      </c>
      <c r="M268" s="201">
        <f t="array" ref="M268">M195*M123*(1+IF(Tech_Specs!$D15=MAX(Tech_Specs!$D$15:$D$18),0,SUMIF(Tech_Specs!$D$15:$D$18,"&gt;"&amp;Tech_Specs!$D15,M$231:M$234)))</f>
        <v>0.18565603390315941</v>
      </c>
      <c r="N268" s="201">
        <f t="array" ref="N268">N195*N123*(1+IF(Tech_Specs!$D15=MAX(Tech_Specs!$D$15:$D$18),0,SUMIF(Tech_Specs!$D$15:$D$18,"&gt;"&amp;Tech_Specs!$D15,N$231:N$234)))</f>
        <v>0.16683693652298096</v>
      </c>
      <c r="O268" s="201">
        <f t="array" ref="O268">O195*O123*(1+IF(Tech_Specs!$D15=MAX(Tech_Specs!$D$15:$D$18),0,SUMIF(Tech_Specs!$D$15:$D$18,"&gt;"&amp;Tech_Specs!$D15,O$231:O$234)))</f>
        <v>0.14870481377734188</v>
      </c>
      <c r="P268" s="201">
        <f t="array" ref="P268">P195*P123*(1+IF(Tech_Specs!$D15=MAX(Tech_Specs!$D$15:$D$18),0,SUMIF(Tech_Specs!$D$15:$D$18,"&gt;"&amp;Tech_Specs!$D15,P$231:P$234)))</f>
        <v>0.13225413875017336</v>
      </c>
      <c r="Q268" s="201">
        <f t="array" ref="Q268">Q195*Q123*(1+IF(Tech_Specs!$D15=MAX(Tech_Specs!$D$15:$D$18),0,SUMIF(Tech_Specs!$D$15:$D$18,"&gt;"&amp;Tech_Specs!$D15,Q$231:Q$234)))</f>
        <v>0.11610467861232895</v>
      </c>
      <c r="R268" s="201">
        <f t="array" ref="R268">R195*R123*(1+IF(Tech_Specs!$D15=MAX(Tech_Specs!$D$15:$D$18),0,SUMIF(Tech_Specs!$D$15:$D$18,"&gt;"&amp;Tech_Specs!$D15,R$231:R$234)))</f>
        <v>0.10064099541036135</v>
      </c>
      <c r="S268" s="201">
        <f t="array" ref="S268">S195*S123*(1+IF(Tech_Specs!$D15=MAX(Tech_Specs!$D$15:$D$18),0,SUMIF(Tech_Specs!$D$15:$D$18,"&gt;"&amp;Tech_Specs!$D15,S$231:S$234)))</f>
        <v>8.6972829714018651E-2</v>
      </c>
      <c r="T268" s="201">
        <f t="array" ref="T268">T195*T123*(1+IF(Tech_Specs!$D15=MAX(Tech_Specs!$D$15:$D$18),0,SUMIF(Tech_Specs!$D$15:$D$18,"&gt;"&amp;Tech_Specs!$D15,T$231:T$234)))</f>
        <v>7.4973222272365608E-2</v>
      </c>
      <c r="U268" s="201">
        <f t="array" ref="U268">U195*U123*(1+IF(Tech_Specs!$D15=MAX(Tech_Specs!$D$15:$D$18),0,SUMIF(Tech_Specs!$D$15:$D$18,"&gt;"&amp;Tech_Specs!$D15,U$231:U$234)))</f>
        <v>6.4560199497887633E-2</v>
      </c>
      <c r="V268" s="201">
        <f t="array" ref="V268">V195*V123*(1+IF(Tech_Specs!$D15=MAX(Tech_Specs!$D$15:$D$18),0,SUMIF(Tech_Specs!$D$15:$D$18,"&gt;"&amp;Tech_Specs!$D15,V$231:V$234)))</f>
        <v>5.6075602997674535E-2</v>
      </c>
      <c r="W268" s="201">
        <f t="array" ref="W268">W195*W123*(1+IF(Tech_Specs!$D15=MAX(Tech_Specs!$D$15:$D$18),0,SUMIF(Tech_Specs!$D$15:$D$18,"&gt;"&amp;Tech_Specs!$D15,W$231:W$234)))</f>
        <v>4.8912785993779156E-2</v>
      </c>
      <c r="X268" s="201">
        <f t="array" ref="X268">X195*X123*(1+IF(Tech_Specs!$D15=MAX(Tech_Specs!$D$15:$D$18),0,SUMIF(Tech_Specs!$D$15:$D$18,"&gt;"&amp;Tech_Specs!$D15,X$231:X$234)))</f>
        <v>4.2941425806684912E-2</v>
      </c>
      <c r="Y268" s="201">
        <f t="array" ref="Y268">Y195*Y123*(1+IF(Tech_Specs!$D15=MAX(Tech_Specs!$D$15:$D$18),0,SUMIF(Tech_Specs!$D$15:$D$18,"&gt;"&amp;Tech_Specs!$D15,Y$231:Y$234)))</f>
        <v>3.7939292822085441E-2</v>
      </c>
      <c r="Z268" s="201">
        <f t="array" ref="Z268">Z195*Z123*(1+IF(Tech_Specs!$D15=MAX(Tech_Specs!$D$15:$D$18),0,SUMIF(Tech_Specs!$D$15:$D$18,"&gt;"&amp;Tech_Specs!$D15,Z$231:Z$234)))</f>
        <v>3.3863863165002839E-2</v>
      </c>
      <c r="AA268" s="201">
        <f t="array" ref="AA268">AA195*AA123*(1+IF(Tech_Specs!$D15=MAX(Tech_Specs!$D$15:$D$18),0,SUMIF(Tech_Specs!$D$15:$D$18,"&gt;"&amp;Tech_Specs!$D15,AA$231:AA$234)))</f>
        <v>3.0577813589120578E-2</v>
      </c>
      <c r="AB268" s="201">
        <f t="array" ref="AB268">AB195*AB123*(1+IF(Tech_Specs!$D15=MAX(Tech_Specs!$D$15:$D$18),0,SUMIF(Tech_Specs!$D$15:$D$18,"&gt;"&amp;Tech_Specs!$D15,AB$231:AB$234)))</f>
        <v>2.7677960216545373E-2</v>
      </c>
      <c r="AC268" s="201">
        <f t="array" ref="AC268">AC195*AC123*(1+IF(Tech_Specs!$D15=MAX(Tech_Specs!$D$15:$D$18),0,SUMIF(Tech_Specs!$D$15:$D$18,"&gt;"&amp;Tech_Specs!$D15,AC$231:AC$234)))</f>
        <v>2.5199090003450272E-2</v>
      </c>
      <c r="AD268" s="201">
        <f t="array" ref="AD268">AD195*AD123*(1+IF(Tech_Specs!$D15=MAX(Tech_Specs!$D$15:$D$18),0,SUMIF(Tech_Specs!$D$15:$D$18,"&gt;"&amp;Tech_Specs!$D15,AD$231:AD$234)))</f>
        <v>2.3018669609013574E-2</v>
      </c>
      <c r="AE268" s="201">
        <f t="array" ref="AE268">AE195*AE123*(1+IF(Tech_Specs!$D15=MAX(Tech_Specs!$D$15:$D$18),0,SUMIF(Tech_Specs!$D$15:$D$18,"&gt;"&amp;Tech_Specs!$D15,AE$231:AE$234)))</f>
        <v>2.1027426609408449E-2</v>
      </c>
      <c r="AF268" s="201">
        <f t="array" ref="AF268">AF195*AF123*(1+IF(Tech_Specs!$D15=MAX(Tech_Specs!$D$15:$D$18),0,SUMIF(Tech_Specs!$D$15:$D$18,"&gt;"&amp;Tech_Specs!$D15,AF$231:AF$234)))</f>
        <v>1.8912232542818878E-2</v>
      </c>
    </row>
    <row r="269" spans="1:32" s="221" customFormat="1" x14ac:dyDescent="0.25">
      <c r="A269" s="257"/>
      <c r="B269" s="257" t="s">
        <v>34</v>
      </c>
      <c r="C269"/>
      <c r="D269"/>
      <c r="E269"/>
      <c r="F269"/>
      <c r="G269" s="201">
        <f t="array" ref="G269">G196*G124*(1+IF(Tech_Specs!$D16=MAX(Tech_Specs!$D$15:$D$18),0,SUMIF(Tech_Specs!$D$15:$D$18,"&gt;"&amp;Tech_Specs!$D16,G$231:G$234)))</f>
        <v>0.60972008522374188</v>
      </c>
      <c r="H269" s="201">
        <f t="array" ref="H269">H196*H124*(1+IF(Tech_Specs!$D16=MAX(Tech_Specs!$D$15:$D$18),0,SUMIF(Tech_Specs!$D$15:$D$18,"&gt;"&amp;Tech_Specs!$D16,H$231:H$234)))</f>
        <v>0.60042442205542046</v>
      </c>
      <c r="I269" s="201">
        <f t="array" ref="I269">I196*I124*(1+IF(Tech_Specs!$D16=MAX(Tech_Specs!$D$15:$D$18),0,SUMIF(Tech_Specs!$D$15:$D$18,"&gt;"&amp;Tech_Specs!$D16,I$231:I$234)))</f>
        <v>0.58399410378534233</v>
      </c>
      <c r="J269" s="201">
        <f t="array" ref="J269">J196*J124*(1+IF(Tech_Specs!$D16=MAX(Tech_Specs!$D$15:$D$18),0,SUMIF(Tech_Specs!$D$15:$D$18,"&gt;"&amp;Tech_Specs!$D16,J$231:J$234)))</f>
        <v>0.55998043992170687</v>
      </c>
      <c r="K269" s="201">
        <f t="array" ref="K269">K196*K124*(1+IF(Tech_Specs!$D16=MAX(Tech_Specs!$D$15:$D$18),0,SUMIF(Tech_Specs!$D$15:$D$18,"&gt;"&amp;Tech_Specs!$D16,K$231:K$234)))</f>
        <v>0.52987293749428255</v>
      </c>
      <c r="L269" s="201">
        <f t="array" ref="L269">L196*L124*(1+IF(Tech_Specs!$D16=MAX(Tech_Specs!$D$15:$D$18),0,SUMIF(Tech_Specs!$D$15:$D$18,"&gt;"&amp;Tech_Specs!$D16,L$231:L$234)))</f>
        <v>0.50507629798666387</v>
      </c>
      <c r="M269" s="201">
        <f t="array" ref="M269">M196*M124*(1+IF(Tech_Specs!$D16=MAX(Tech_Specs!$D$15:$D$18),0,SUMIF(Tech_Specs!$D$15:$D$18,"&gt;"&amp;Tech_Specs!$D16,M$231:M$234)))</f>
        <v>0.47575802434397052</v>
      </c>
      <c r="N269" s="201">
        <f t="array" ref="N269">N196*N124*(1+IF(Tech_Specs!$D16=MAX(Tech_Specs!$D$15:$D$18),0,SUMIF(Tech_Specs!$D$15:$D$18,"&gt;"&amp;Tech_Specs!$D16,N$231:N$234)))</f>
        <v>0.44225574738771928</v>
      </c>
      <c r="O269" s="201">
        <f t="array" ref="O269">O196*O124*(1+IF(Tech_Specs!$D16=MAX(Tech_Specs!$D$15:$D$18),0,SUMIF(Tech_Specs!$D$15:$D$18,"&gt;"&amp;Tech_Specs!$D16,O$231:O$234)))</f>
        <v>0.406279075337734</v>
      </c>
      <c r="P269" s="201">
        <f t="array" ref="P269">P196*P124*(1+IF(Tech_Specs!$D16=MAX(Tech_Specs!$D$15:$D$18),0,SUMIF(Tech_Specs!$D$15:$D$18,"&gt;"&amp;Tech_Specs!$D16,P$231:P$234)))</f>
        <v>0.36972409780823684</v>
      </c>
      <c r="Q269" s="201">
        <f t="array" ref="Q269">Q196*Q124*(1+IF(Tech_Specs!$D16=MAX(Tech_Specs!$D$15:$D$18),0,SUMIF(Tech_Specs!$D$15:$D$18,"&gt;"&amp;Tech_Specs!$D16,Q$231:Q$234)))</f>
        <v>0.33361006803940096</v>
      </c>
      <c r="R269" s="201">
        <f t="array" ref="R269">R196*R124*(1+IF(Tech_Specs!$D16=MAX(Tech_Specs!$D$15:$D$18),0,SUMIF(Tech_Specs!$D$15:$D$18,"&gt;"&amp;Tech_Specs!$D16,R$231:R$234)))</f>
        <v>0.29896850309369594</v>
      </c>
      <c r="S269" s="201">
        <f t="array" ref="S269">S196*S124*(1+IF(Tech_Specs!$D16=MAX(Tech_Specs!$D$15:$D$18),0,SUMIF(Tech_Specs!$D$15:$D$18,"&gt;"&amp;Tech_Specs!$D16,S$231:S$234)))</f>
        <v>0.26687973556954836</v>
      </c>
      <c r="T269" s="201">
        <f t="array" ref="T269">T196*T124*(1+IF(Tech_Specs!$D16=MAX(Tech_Specs!$D$15:$D$18),0,SUMIF(Tech_Specs!$D$15:$D$18,"&gt;"&amp;Tech_Specs!$D16,T$231:T$234)))</f>
        <v>0.23789859487099865</v>
      </c>
      <c r="U269" s="201">
        <f t="array" ref="U269">U196*U124*(1+IF(Tech_Specs!$D16=MAX(Tech_Specs!$D$15:$D$18),0,SUMIF(Tech_Specs!$D$15:$D$18,"&gt;"&amp;Tech_Specs!$D16,U$231:U$234)))</f>
        <v>0.21234618006604916</v>
      </c>
      <c r="V269" s="201">
        <f t="array" ref="V269">V196*V124*(1+IF(Tech_Specs!$D16=MAX(Tech_Specs!$D$15:$D$18),0,SUMIF(Tech_Specs!$D$15:$D$18,"&gt;"&amp;Tech_Specs!$D16,V$231:V$234)))</f>
        <v>0.19079064691905598</v>
      </c>
      <c r="W269" s="201">
        <f t="array" ref="W269">W196*W124*(1+IF(Tech_Specs!$D16=MAX(Tech_Specs!$D$15:$D$18),0,SUMIF(Tech_Specs!$D$15:$D$18,"&gt;"&amp;Tech_Specs!$D16,W$231:W$234)))</f>
        <v>0.17267070954389183</v>
      </c>
      <c r="X269" s="201">
        <f t="array" ref="X269">X196*X124*(1+IF(Tech_Specs!$D16=MAX(Tech_Specs!$D$15:$D$18),0,SUMIF(Tech_Specs!$D$15:$D$18,"&gt;"&amp;Tech_Specs!$D16,X$231:X$234)))</f>
        <v>0.15769222656306081</v>
      </c>
      <c r="Y269" s="201">
        <f t="array" ref="Y269">Y196*Y124*(1+IF(Tech_Specs!$D16=MAX(Tech_Specs!$D$15:$D$18),0,SUMIF(Tech_Specs!$D$15:$D$18,"&gt;"&amp;Tech_Specs!$D16,Y$231:Y$234)))</f>
        <v>0.14536508499764805</v>
      </c>
      <c r="Z269" s="201">
        <f t="array" ref="Z269">Z196*Z124*(1+IF(Tech_Specs!$D16=MAX(Tech_Specs!$D$15:$D$18),0,SUMIF(Tech_Specs!$D$15:$D$18,"&gt;"&amp;Tech_Specs!$D16,Z$231:Z$234)))</f>
        <v>0.13544460452092247</v>
      </c>
      <c r="AA269" s="201">
        <f t="array" ref="AA269">AA196*AA124*(1+IF(Tech_Specs!$D16=MAX(Tech_Specs!$D$15:$D$18),0,SUMIF(Tech_Specs!$D$15:$D$18,"&gt;"&amp;Tech_Specs!$D16,AA$231:AA$234)))</f>
        <v>0.12757805649670378</v>
      </c>
      <c r="AB269" s="201">
        <f t="array" ref="AB269">AB196*AB124*(1+IF(Tech_Specs!$D16=MAX(Tech_Specs!$D$15:$D$18),0,SUMIF(Tech_Specs!$D$15:$D$18,"&gt;"&amp;Tech_Specs!$D16,AB$231:AB$234)))</f>
        <v>0.12091960023945207</v>
      </c>
      <c r="AC269" s="201">
        <f t="array" ref="AC269">AC196*AC124*(1+IF(Tech_Specs!$D16=MAX(Tech_Specs!$D$15:$D$18),0,SUMIF(Tech_Specs!$D$15:$D$18,"&gt;"&amp;Tech_Specs!$D16,AC$231:AC$234)))</f>
        <v>0.11539466794216721</v>
      </c>
      <c r="AD269" s="201">
        <f t="array" ref="AD269">AD196*AD124*(1+IF(Tech_Specs!$D16=MAX(Tech_Specs!$D$15:$D$18),0,SUMIF(Tech_Specs!$D$15:$D$18,"&gt;"&amp;Tech_Specs!$D16,AD$231:AD$234)))</f>
        <v>0.11067210425454267</v>
      </c>
      <c r="AE269" s="201">
        <f t="array" ref="AE269">AE196*AE124*(1+IF(Tech_Specs!$D16=MAX(Tech_Specs!$D$15:$D$18),0,SUMIF(Tech_Specs!$D$15:$D$18,"&gt;"&amp;Tech_Specs!$D16,AE$231:AE$234)))</f>
        <v>0.10644270701464487</v>
      </c>
      <c r="AF269" s="201">
        <f t="array" ref="AF269">AF196*AF124*(1+IF(Tech_Specs!$D16=MAX(Tech_Specs!$D$15:$D$18),0,SUMIF(Tech_Specs!$D$15:$D$18,"&gt;"&amp;Tech_Specs!$D16,AF$231:AF$234)))</f>
        <v>0.10188320983313855</v>
      </c>
    </row>
    <row r="270" spans="1:32" s="221" customFormat="1" x14ac:dyDescent="0.25">
      <c r="A270" s="252"/>
      <c r="B270" s="257" t="s">
        <v>35</v>
      </c>
      <c r="C270"/>
      <c r="D270"/>
      <c r="E270"/>
      <c r="F270"/>
      <c r="G270" s="201">
        <f t="array" ref="G270">G197*G125*(1+IF(Tech_Specs!$D17=MAX(Tech_Specs!$D$15:$D$18),0,SUMIF(Tech_Specs!$D$15:$D$18,"&gt;"&amp;Tech_Specs!$D17,G$231:G$234)))</f>
        <v>0.14822015046382175</v>
      </c>
      <c r="H270" s="201">
        <f t="array" ref="H270">H197*H125*(1+IF(Tech_Specs!$D17=MAX(Tech_Specs!$D$15:$D$18),0,SUMIF(Tech_Specs!$D$15:$D$18,"&gt;"&amp;Tech_Specs!$D17,H$231:H$234)))</f>
        <v>0.14935430565050895</v>
      </c>
      <c r="I270" s="201">
        <f t="array" ref="I270">I197*I125*(1+IF(Tech_Specs!$D17=MAX(Tech_Specs!$D$15:$D$18),0,SUMIF(Tech_Specs!$D$15:$D$18,"&gt;"&amp;Tech_Specs!$D17,I$231:I$234)))</f>
        <v>0.14416528261373876</v>
      </c>
      <c r="J270" s="201">
        <f t="array" ref="J270">J197*J125*(1+IF(Tech_Specs!$D17=MAX(Tech_Specs!$D$15:$D$18),0,SUMIF(Tech_Specs!$D$15:$D$18,"&gt;"&amp;Tech_Specs!$D17,J$231:J$234)))</f>
        <v>0.14282099498310097</v>
      </c>
      <c r="K270" s="201">
        <f t="array" ref="K270">K197*K125*(1+IF(Tech_Specs!$D17=MAX(Tech_Specs!$D$15:$D$18),0,SUMIF(Tech_Specs!$D$15:$D$18,"&gt;"&amp;Tech_Specs!$D17,K$231:K$234)))</f>
        <v>0.14366346713549225</v>
      </c>
      <c r="L270" s="201">
        <f t="array" ref="L270">L197*L125*(1+IF(Tech_Specs!$D17=MAX(Tech_Specs!$D$15:$D$18),0,SUMIF(Tech_Specs!$D$15:$D$18,"&gt;"&amp;Tech_Specs!$D17,L$231:L$234)))</f>
        <v>0.13779443410107872</v>
      </c>
      <c r="M270" s="201">
        <f t="array" ref="M270">M197*M125*(1+IF(Tech_Specs!$D17=MAX(Tech_Specs!$D$15:$D$18),0,SUMIF(Tech_Specs!$D$15:$D$18,"&gt;"&amp;Tech_Specs!$D17,M$231:M$234)))</f>
        <v>0.13284375582217262</v>
      </c>
      <c r="N270" s="201">
        <f t="array" ref="N270">N197*N125*(1+IF(Tech_Specs!$D17=MAX(Tech_Specs!$D$15:$D$18),0,SUMIF(Tech_Specs!$D$15:$D$18,"&gt;"&amp;Tech_Specs!$D17,N$231:N$234)))</f>
        <v>0.12541020113022036</v>
      </c>
      <c r="O270" s="201">
        <f t="array" ref="O270">O197*O125*(1+IF(Tech_Specs!$D17=MAX(Tech_Specs!$D$15:$D$18),0,SUMIF(Tech_Specs!$D$15:$D$18,"&gt;"&amp;Tech_Specs!$D17,O$231:O$234)))</f>
        <v>0.11653321308887531</v>
      </c>
      <c r="P270" s="201">
        <f t="array" ref="P270">P197*P125*(1+IF(Tech_Specs!$D17=MAX(Tech_Specs!$D$15:$D$18),0,SUMIF(Tech_Specs!$D$15:$D$18,"&gt;"&amp;Tech_Specs!$D17,P$231:P$234)))</f>
        <v>0.10656379183755721</v>
      </c>
      <c r="Q270" s="201">
        <f t="array" ref="Q270">Q197*Q125*(1+IF(Tech_Specs!$D17=MAX(Tech_Specs!$D$15:$D$18),0,SUMIF(Tech_Specs!$D$15:$D$18,"&gt;"&amp;Tech_Specs!$D17,Q$231:Q$234)))</f>
        <v>9.6923758005161606E-2</v>
      </c>
      <c r="R270" s="201">
        <f t="array" ref="R270">R197*R125*(1+IF(Tech_Specs!$D17=MAX(Tech_Specs!$D$15:$D$18),0,SUMIF(Tech_Specs!$D$15:$D$18,"&gt;"&amp;Tech_Specs!$D17,R$231:R$234)))</f>
        <v>8.7919640068845353E-2</v>
      </c>
      <c r="S270" s="201">
        <f t="array" ref="S270">S197*S125*(1+IF(Tech_Specs!$D17=MAX(Tech_Specs!$D$15:$D$18),0,SUMIF(Tech_Specs!$D$15:$D$18,"&gt;"&amp;Tech_Specs!$D17,S$231:S$234)))</f>
        <v>7.9351171335370632E-2</v>
      </c>
      <c r="T270" s="201">
        <f t="array" ref="T270">T197*T125*(1+IF(Tech_Specs!$D17=MAX(Tech_Specs!$D$15:$D$18),0,SUMIF(Tech_Specs!$D$15:$D$18,"&gt;"&amp;Tech_Specs!$D17,T$231:T$234)))</f>
        <v>7.1549471350579374E-2</v>
      </c>
      <c r="U270" s="201">
        <f t="array" ref="U270">U197*U125*(1+IF(Tech_Specs!$D17=MAX(Tech_Specs!$D$15:$D$18),0,SUMIF(Tech_Specs!$D$15:$D$18,"&gt;"&amp;Tech_Specs!$D17,U$231:U$234)))</f>
        <v>6.4695534143053388E-2</v>
      </c>
      <c r="V270" s="201">
        <f t="array" ref="V270">V197*V125*(1+IF(Tech_Specs!$D17=MAX(Tech_Specs!$D$15:$D$18),0,SUMIF(Tech_Specs!$D$15:$D$18,"&gt;"&amp;Tech_Specs!$D17,V$231:V$234)))</f>
        <v>5.8773142421582845E-2</v>
      </c>
      <c r="W270" s="201">
        <f t="array" ref="W270">W197*W125*(1+IF(Tech_Specs!$D17=MAX(Tech_Specs!$D$15:$D$18),0,SUMIF(Tech_Specs!$D$15:$D$18,"&gt;"&amp;Tech_Specs!$D17,W$231:W$234)))</f>
        <v>5.388615733558938E-2</v>
      </c>
      <c r="X270" s="201">
        <f t="array" ref="X270">X197*X125*(1+IF(Tech_Specs!$D17=MAX(Tech_Specs!$D$15:$D$18),0,SUMIF(Tech_Specs!$D$15:$D$18,"&gt;"&amp;Tech_Specs!$D17,X$231:X$234)))</f>
        <v>4.9933295983847041E-2</v>
      </c>
      <c r="Y270" s="201">
        <f t="array" ref="Y270">Y197*Y125*(1+IF(Tech_Specs!$D17=MAX(Tech_Specs!$D$15:$D$18),0,SUMIF(Tech_Specs!$D$15:$D$18,"&gt;"&amp;Tech_Specs!$D17,Y$231:Y$234)))</f>
        <v>4.6789981412814187E-2</v>
      </c>
      <c r="Z270" s="201">
        <f t="array" ref="Z270">Z197*Z125*(1+IF(Tech_Specs!$D17=MAX(Tech_Specs!$D$15:$D$18),0,SUMIF(Tech_Specs!$D$15:$D$18,"&gt;"&amp;Tech_Specs!$D17,Z$231:Z$234)))</f>
        <v>4.4315594671568141E-2</v>
      </c>
      <c r="AA270" s="201">
        <f t="array" ref="AA270">AA197*AA125*(1+IF(Tech_Specs!$D17=MAX(Tech_Specs!$D$15:$D$18),0,SUMIF(Tech_Specs!$D$15:$D$18,"&gt;"&amp;Tech_Specs!$D17,AA$231:AA$234)))</f>
        <v>4.2392452839554139E-2</v>
      </c>
      <c r="AB270" s="201">
        <f t="array" ref="AB270">AB197*AB125*(1+IF(Tech_Specs!$D17=MAX(Tech_Specs!$D$15:$D$18),0,SUMIF(Tech_Specs!$D$15:$D$18,"&gt;"&amp;Tech_Specs!$D17,AB$231:AB$234)))</f>
        <v>4.0900638827976961E-2</v>
      </c>
      <c r="AC270" s="201">
        <f t="array" ref="AC270">AC197*AC125*(1+IF(Tech_Specs!$D17=MAX(Tech_Specs!$D$15:$D$18),0,SUMIF(Tech_Specs!$D$15:$D$18,"&gt;"&amp;Tech_Specs!$D17,AC$231:AC$234)))</f>
        <v>3.9744186113415444E-2</v>
      </c>
      <c r="AD270" s="201">
        <f t="array" ref="AD270">AD197*AD125*(1+IF(Tech_Specs!$D17=MAX(Tech_Specs!$D$15:$D$18),0,SUMIF(Tech_Specs!$D$15:$D$18,"&gt;"&amp;Tech_Specs!$D17,AD$231:AD$234)))</f>
        <v>3.8841539223040344E-2</v>
      </c>
      <c r="AE270" s="201">
        <f t="array" ref="AE270">AE197*AE125*(1+IF(Tech_Specs!$D17=MAX(Tech_Specs!$D$15:$D$18),0,SUMIF(Tech_Specs!$D$15:$D$18,"&gt;"&amp;Tech_Specs!$D17,AE$231:AE$234)))</f>
        <v>3.8122865028594057E-2</v>
      </c>
      <c r="AF270" s="201">
        <f t="array" ref="AF270">AF197*AF125*(1+IF(Tech_Specs!$D17=MAX(Tech_Specs!$D$15:$D$18),0,SUMIF(Tech_Specs!$D$15:$D$18,"&gt;"&amp;Tech_Specs!$D17,AF$231:AF$234)))</f>
        <v>3.7489984292205146E-2</v>
      </c>
    </row>
    <row r="271" spans="1:32" s="221" customFormat="1" x14ac:dyDescent="0.25">
      <c r="A271" s="252"/>
      <c r="B271" s="257" t="s">
        <v>29</v>
      </c>
      <c r="C271"/>
      <c r="D271"/>
      <c r="E271"/>
      <c r="F271"/>
      <c r="G271" s="201">
        <f t="array" ref="G271">G198*G126*(1+IF(Tech_Specs!$D18=MAX(Tech_Specs!$D$15:$D$18),0,SUMIF(Tech_Specs!$D$15:$D$18,"&gt;"&amp;Tech_Specs!$D18,G$231:G$234)))</f>
        <v>3.770392517711611E-3</v>
      </c>
      <c r="H271" s="201">
        <f t="array" ref="H271">H198*H126*(1+IF(Tech_Specs!$D18=MAX(Tech_Specs!$D$15:$D$18),0,SUMIF(Tech_Specs!$D$15:$D$18,"&gt;"&amp;Tech_Specs!$D18,H$231:H$234)))</f>
        <v>1.9161728792176081E-2</v>
      </c>
      <c r="I271" s="201">
        <f t="array" ref="I271">I198*I126*(1+IF(Tech_Specs!$D18=MAX(Tech_Specs!$D$15:$D$18),0,SUMIF(Tech_Specs!$D$15:$D$18,"&gt;"&amp;Tech_Specs!$D18,I$231:I$234)))</f>
        <v>4.0354662536719557E-2</v>
      </c>
      <c r="J271" s="201">
        <f t="array" ref="J271">J198*J126*(1+IF(Tech_Specs!$D18=MAX(Tech_Specs!$D$15:$D$18),0,SUMIF(Tech_Specs!$D$15:$D$18,"&gt;"&amp;Tech_Specs!$D18,J$231:J$234)))</f>
        <v>6.897110214606253E-2</v>
      </c>
      <c r="K271" s="201">
        <f t="array" ref="K271">K198*K126*(1+IF(Tech_Specs!$D18=MAX(Tech_Specs!$D$15:$D$18),0,SUMIF(Tech_Specs!$D$15:$D$18,"&gt;"&amp;Tech_Specs!$D18,K$231:K$234)))</f>
        <v>0.10670496735008782</v>
      </c>
      <c r="L271" s="201">
        <f t="array" ref="L271">L198*L126*(1+IF(Tech_Specs!$D18=MAX(Tech_Specs!$D$15:$D$18),0,SUMIF(Tech_Specs!$D$15:$D$18,"&gt;"&amp;Tech_Specs!$D18,L$231:L$234)))</f>
        <v>0.15167620471769341</v>
      </c>
      <c r="M271" s="201">
        <f t="array" ref="M271">M198*M126*(1+IF(Tech_Specs!$D18=MAX(Tech_Specs!$D$15:$D$18),0,SUMIF(Tech_Specs!$D$15:$D$18,"&gt;"&amp;Tech_Specs!$D18,M$231:M$234)))</f>
        <v>0.2057421823090943</v>
      </c>
      <c r="N271" s="201">
        <f t="array" ref="N271">N198*N126*(1+IF(Tech_Specs!$D18=MAX(Tech_Specs!$D$15:$D$18),0,SUMIF(Tech_Specs!$D$15:$D$18,"&gt;"&amp;Tech_Specs!$D18,N$231:N$234)))</f>
        <v>0.26549711170458157</v>
      </c>
      <c r="O271" s="201">
        <f t="array" ref="O271">O198*O126*(1+IF(Tech_Specs!$D18=MAX(Tech_Specs!$D$15:$D$18),0,SUMIF(Tech_Specs!$D$15:$D$18,"&gt;"&amp;Tech_Specs!$D18,O$231:O$234)))</f>
        <v>0.32848289489525528</v>
      </c>
      <c r="P271" s="201">
        <f t="array" ref="P271">P198*P126*(1+IF(Tech_Specs!$D18=MAX(Tech_Specs!$D$15:$D$18),0,SUMIF(Tech_Specs!$D$15:$D$18,"&gt;"&amp;Tech_Specs!$D18,P$231:P$234)))</f>
        <v>0.39145796902414337</v>
      </c>
      <c r="Q271" s="201">
        <f t="array" ref="Q271">Q198*Q126*(1+IF(Tech_Specs!$D18=MAX(Tech_Specs!$D$15:$D$18),0,SUMIF(Tech_Specs!$D$15:$D$18,"&gt;"&amp;Tech_Specs!$D18,Q$231:Q$234)))</f>
        <v>0.45336149307824775</v>
      </c>
      <c r="R271" s="201">
        <f t="array" ref="R271">R198*R126*(1+IF(Tech_Specs!$D18=MAX(Tech_Specs!$D$15:$D$18),0,SUMIF(Tech_Specs!$D$15:$D$18,"&gt;"&amp;Tech_Specs!$D18,R$231:R$234)))</f>
        <v>0.5124708594638876</v>
      </c>
      <c r="S271" s="201">
        <f t="array" ref="S271">S198*S126*(1+IF(Tech_Specs!$D18=MAX(Tech_Specs!$D$15:$D$18),0,SUMIF(Tech_Specs!$D$15:$D$18,"&gt;"&amp;Tech_Specs!$D18,S$231:S$234)))</f>
        <v>0.56679626168447828</v>
      </c>
      <c r="T271" s="201">
        <f t="array" ref="T271">T198*T126*(1+IF(Tech_Specs!$D18=MAX(Tech_Specs!$D$15:$D$18),0,SUMIF(Tech_Specs!$D$15:$D$18,"&gt;"&amp;Tech_Specs!$D18,T$231:T$234)))</f>
        <v>0.61557871004354925</v>
      </c>
      <c r="U271" s="201">
        <f t="array" ref="U271">U198*U126*(1+IF(Tech_Specs!$D18=MAX(Tech_Specs!$D$15:$D$18),0,SUMIF(Tech_Specs!$D$15:$D$18,"&gt;"&amp;Tech_Specs!$D18,U$231:U$234)))</f>
        <v>0.65839808503363018</v>
      </c>
      <c r="V271" s="201">
        <f t="array" ref="V271">V198*V126*(1+IF(Tech_Specs!$D18=MAX(Tech_Specs!$D$15:$D$18),0,SUMIF(Tech_Specs!$D$15:$D$18,"&gt;"&amp;Tech_Specs!$D18,V$231:V$234)))</f>
        <v>0.69436060656781651</v>
      </c>
      <c r="W271" s="201">
        <f t="array" ref="W271">W198*W126*(1+IF(Tech_Specs!$D18=MAX(Tech_Specs!$D$15:$D$18),0,SUMIF(Tech_Specs!$D$15:$D$18,"&gt;"&amp;Tech_Specs!$D18,W$231:W$234)))</f>
        <v>0.72453034617259504</v>
      </c>
      <c r="X271" s="201">
        <f t="array" ref="X271">X198*X126*(1+IF(Tech_Specs!$D18=MAX(Tech_Specs!$D$15:$D$18),0,SUMIF(Tech_Specs!$D$15:$D$18,"&gt;"&amp;Tech_Specs!$D18,X$231:X$234)))</f>
        <v>0.74943305080874634</v>
      </c>
      <c r="Y271" s="201">
        <f t="array" ref="Y271">Y198*Y126*(1+IF(Tech_Specs!$D18=MAX(Tech_Specs!$D$15:$D$18),0,SUMIF(Tech_Specs!$D$15:$D$18,"&gt;"&amp;Tech_Specs!$D18,Y$231:Y$234)))</f>
        <v>0.76990564002736839</v>
      </c>
      <c r="Z271" s="201">
        <f t="array" ref="Z271">Z198*Z126*(1+IF(Tech_Specs!$D18=MAX(Tech_Specs!$D$15:$D$18),0,SUMIF(Tech_Specs!$D$15:$D$18,"&gt;"&amp;Tech_Specs!$D18,Z$231:Z$234)))</f>
        <v>0.78637593698192221</v>
      </c>
      <c r="AA271" s="201">
        <f t="array" ref="AA271">AA198*AA126*(1+IF(Tech_Specs!$D18=MAX(Tech_Specs!$D$15:$D$18),0,SUMIF(Tech_Specs!$D$15:$D$18,"&gt;"&amp;Tech_Specs!$D18,AA$231:AA$234)))</f>
        <v>0.79945167647813831</v>
      </c>
      <c r="AB271" s="201">
        <f t="array" ref="AB271">AB198*AB126*(1+IF(Tech_Specs!$D18=MAX(Tech_Specs!$D$15:$D$18),0,SUMIF(Tech_Specs!$D$15:$D$18,"&gt;"&amp;Tech_Specs!$D18,AB$231:AB$234)))</f>
        <v>0.81050180017610995</v>
      </c>
      <c r="AC271" s="201">
        <f t="array" ref="AC271">AC198*AC126*(1+IF(Tech_Specs!$D18=MAX(Tech_Specs!$D$15:$D$18),0,SUMIF(Tech_Specs!$D$15:$D$18,"&gt;"&amp;Tech_Specs!$D18,AC$231:AC$234)))</f>
        <v>0.81966205544940696</v>
      </c>
      <c r="AD271" s="201">
        <f t="array" ref="AD271">AD198*AD126*(1+IF(Tech_Specs!$D18=MAX(Tech_Specs!$D$15:$D$18),0,SUMIF(Tech_Specs!$D$15:$D$18,"&gt;"&amp;Tech_Specs!$D18,AD$231:AD$234)))</f>
        <v>0.82746768646437696</v>
      </c>
      <c r="AE271" s="201">
        <f t="array" ref="AE271">AE198*AE126*(1+IF(Tech_Specs!$D18=MAX(Tech_Specs!$D$15:$D$18),0,SUMIF(Tech_Specs!$D$15:$D$18,"&gt;"&amp;Tech_Specs!$D18,AE$231:AE$234)))</f>
        <v>0.83440700093716946</v>
      </c>
      <c r="AF271" s="201">
        <f t="array" ref="AF271">AF198*AF126*(1+IF(Tech_Specs!$D18=MAX(Tech_Specs!$D$15:$D$18),0,SUMIF(Tech_Specs!$D$15:$D$18,"&gt;"&amp;Tech_Specs!$D18,AF$231:AF$234)))</f>
        <v>0.84171457296291552</v>
      </c>
    </row>
    <row r="272" spans="1:32" s="221" customFormat="1" x14ac:dyDescent="0.25">
      <c r="A272" s="252"/>
      <c r="B272" s="252"/>
      <c r="C272"/>
      <c r="D272"/>
      <c r="E272"/>
      <c r="F272"/>
      <c r="G272"/>
      <c r="H272"/>
      <c r="I272"/>
      <c r="J272"/>
      <c r="K272"/>
      <c r="L272"/>
      <c r="M272"/>
      <c r="N272"/>
      <c r="O272"/>
      <c r="P272"/>
      <c r="Q272"/>
      <c r="R272"/>
      <c r="S272"/>
      <c r="T272"/>
      <c r="U272"/>
      <c r="V272"/>
      <c r="W272"/>
      <c r="X272"/>
      <c r="Y272"/>
      <c r="Z272"/>
      <c r="AA272"/>
      <c r="AB272"/>
      <c r="AC272"/>
      <c r="AD272"/>
      <c r="AE272"/>
      <c r="AF272"/>
    </row>
    <row r="273" spans="1:32" s="202" customFormat="1" ht="12.75" x14ac:dyDescent="0.2">
      <c r="A273" s="267" t="s">
        <v>36</v>
      </c>
      <c r="B273" s="267"/>
      <c r="C273" s="267"/>
      <c r="D273" s="267"/>
      <c r="E273" s="267"/>
      <c r="F273" s="267"/>
      <c r="G273" s="402"/>
      <c r="H273" s="402"/>
      <c r="I273" s="402"/>
      <c r="J273" s="402"/>
      <c r="K273" s="402"/>
      <c r="L273" s="402"/>
      <c r="M273" s="402"/>
      <c r="N273" s="402"/>
      <c r="O273" s="402"/>
      <c r="P273" s="402"/>
      <c r="Q273" s="402"/>
      <c r="R273" s="402"/>
      <c r="S273" s="402"/>
      <c r="T273" s="402"/>
      <c r="U273" s="402"/>
      <c r="V273" s="402"/>
      <c r="W273" s="402"/>
      <c r="X273" s="402"/>
      <c r="Y273" s="402"/>
      <c r="Z273" s="402"/>
      <c r="AA273" s="402"/>
      <c r="AB273" s="402"/>
      <c r="AC273" s="402"/>
      <c r="AD273" s="402"/>
      <c r="AE273" s="402"/>
      <c r="AF273" s="402"/>
    </row>
    <row r="274" spans="1:32" s="221" customFormat="1" x14ac:dyDescent="0.25">
      <c r="A274" s="252"/>
      <c r="B274" s="252" t="s">
        <v>37</v>
      </c>
      <c r="C274"/>
      <c r="D274"/>
      <c r="E274"/>
      <c r="F274"/>
      <c r="G274" s="201">
        <f t="array" ref="G274">G201*G129*(1+IF(Tech_Specs!$D21=MAX(Tech_Specs!$D$21:$D$24),0,SUMIF(Tech_Specs!$D$21:$D$24,"&gt;"&amp;Tech_Specs!$D21,G$237:G$240)))</f>
        <v>3.6151635003186064E-2</v>
      </c>
      <c r="H274" s="201">
        <f t="array" ref="H274">H201*H129*(1+IF(Tech_Specs!$D21=MAX(Tech_Specs!$D$21:$D$24),0,SUMIF(Tech_Specs!$D$21:$D$24,"&gt;"&amp;Tech_Specs!$D21,H$237:H$240)))</f>
        <v>3.2707195459743731E-2</v>
      </c>
      <c r="I274" s="201">
        <f t="array" ref="I274">I201*I129*(1+IF(Tech_Specs!$D21=MAX(Tech_Specs!$D$21:$D$24),0,SUMIF(Tech_Specs!$D$21:$D$24,"&gt;"&amp;Tech_Specs!$D21,I$237:I$240)))</f>
        <v>2.5205601805332739E-2</v>
      </c>
      <c r="J274" s="201">
        <f t="array" ref="J274">J201*J129*(1+IF(Tech_Specs!$D21=MAX(Tech_Specs!$D$21:$D$24),0,SUMIF(Tech_Specs!$D$21:$D$24,"&gt;"&amp;Tech_Specs!$D21,J$237:J$240)))</f>
        <v>1.8437810639991281E-2</v>
      </c>
      <c r="K274" s="201">
        <f t="array" ref="K274">K201*K129*(1+IF(Tech_Specs!$D21=MAX(Tech_Specs!$D$21:$D$24),0,SUMIF(Tech_Specs!$D$21:$D$24,"&gt;"&amp;Tech_Specs!$D21,K$237:K$240)))</f>
        <v>1.2468800071680105E-2</v>
      </c>
      <c r="L274" s="201">
        <f t="array" ref="L274">L201*L129*(1+IF(Tech_Specs!$D21=MAX(Tech_Specs!$D$21:$D$24),0,SUMIF(Tech_Specs!$D$21:$D$24,"&gt;"&amp;Tech_Specs!$D21,L$237:L$240)))</f>
        <v>7.472995119634911E-3</v>
      </c>
      <c r="M274" s="201">
        <f t="array" ref="M274">M201*M129*(1+IF(Tech_Specs!$D21=MAX(Tech_Specs!$D$21:$D$24),0,SUMIF(Tech_Specs!$D$21:$D$24,"&gt;"&amp;Tech_Specs!$D21,M$237:M$240)))</f>
        <v>3.3641586388459379E-3</v>
      </c>
      <c r="N274" s="201">
        <f t="array" ref="N274">N201*N129*(1+IF(Tech_Specs!$D21=MAX(Tech_Specs!$D$21:$D$24),0,SUMIF(Tech_Specs!$D$21:$D$24,"&gt;"&amp;Tech_Specs!$D21,N$237:N$240)))</f>
        <v>9.574896219007419E-4</v>
      </c>
      <c r="O274" s="201">
        <f t="array" ref="O274">O201*O129*(1+IF(Tech_Specs!$D21=MAX(Tech_Specs!$D$21:$D$24),0,SUMIF(Tech_Specs!$D$21:$D$24,"&gt;"&amp;Tech_Specs!$D21,O$237:O$240)))</f>
        <v>7.8118183135969662E-4</v>
      </c>
      <c r="P274" s="201">
        <f t="array" ref="P274">P201*P129*(1+IF(Tech_Specs!$D21=MAX(Tech_Specs!$D$21:$D$24),0,SUMIF(Tech_Specs!$D$21:$D$24,"&gt;"&amp;Tech_Specs!$D21,P$237:P$240)))</f>
        <v>6.4585528770601784E-4</v>
      </c>
      <c r="Q274" s="201">
        <f t="array" ref="Q274">Q201*Q129*(1+IF(Tech_Specs!$D21=MAX(Tech_Specs!$D$21:$D$24),0,SUMIF(Tech_Specs!$D$21:$D$24,"&gt;"&amp;Tech_Specs!$D21,Q$237:Q$240)))</f>
        <v>5.3809766391754135E-4</v>
      </c>
      <c r="R274" s="201">
        <f t="array" ref="R274">R201*R129*(1+IF(Tech_Specs!$D21=MAX(Tech_Specs!$D$21:$D$24),0,SUMIF(Tech_Specs!$D$21:$D$24,"&gt;"&amp;Tech_Specs!$D21,R$237:R$240)))</f>
        <v>4.5213268067955385E-4</v>
      </c>
      <c r="S274" s="201">
        <f t="array" ref="S274">S201*S129*(1+IF(Tech_Specs!$D21=MAX(Tech_Specs!$D$21:$D$24),0,SUMIF(Tech_Specs!$D$21:$D$24,"&gt;"&amp;Tech_Specs!$D21,S$237:S$240)))</f>
        <v>3.8430844799631282E-4</v>
      </c>
      <c r="T274" s="201">
        <f t="array" ref="T274">T201*T129*(1+IF(Tech_Specs!$D21=MAX(Tech_Specs!$D$21:$D$24),0,SUMIF(Tech_Specs!$D$21:$D$24,"&gt;"&amp;Tech_Specs!$D21,T$237:T$240)))</f>
        <v>3.3000818995332777E-4</v>
      </c>
      <c r="U274" s="201">
        <f t="array" ref="U274">U201*U129*(1+IF(Tech_Specs!$D21=MAX(Tech_Specs!$D$21:$D$24),0,SUMIF(Tech_Specs!$D$21:$D$24,"&gt;"&amp;Tech_Specs!$D21,U$237:U$240)))</f>
        <v>2.8598658975976707E-4</v>
      </c>
      <c r="V274" s="201">
        <f t="array" ref="V274">V201*V129*(1+IF(Tech_Specs!$D21=MAX(Tech_Specs!$D$21:$D$24),0,SUMIF(Tech_Specs!$D$21:$D$24,"&gt;"&amp;Tech_Specs!$D21,V$237:V$240)))</f>
        <v>2.5117736294012955E-4</v>
      </c>
      <c r="W274" s="201">
        <f t="array" ref="W274">W201*W129*(1+IF(Tech_Specs!$D21=MAX(Tech_Specs!$D$21:$D$24),0,SUMIF(Tech_Specs!$D$21:$D$24,"&gt;"&amp;Tech_Specs!$D21,W$237:W$240)))</f>
        <v>2.2255920042512517E-4</v>
      </c>
      <c r="X274" s="201">
        <f t="array" ref="X274">X201*X129*(1+IF(Tech_Specs!$D21=MAX(Tech_Specs!$D$21:$D$24),0,SUMIF(Tech_Specs!$D$21:$D$24,"&gt;"&amp;Tech_Specs!$D21,X$237:X$240)))</f>
        <v>1.9893477272961912E-4</v>
      </c>
      <c r="Y274" s="201">
        <f t="array" ref="Y274">Y201*Y129*(1+IF(Tech_Specs!$D21=MAX(Tech_Specs!$D$21:$D$24),0,SUMIF(Tech_Specs!$D$21:$D$24,"&gt;"&amp;Tech_Specs!$D21,Y$237:Y$240)))</f>
        <v>1.7916375901426028E-4</v>
      </c>
      <c r="Z274" s="201">
        <f t="array" ref="Z274">Z201*Z129*(1+IF(Tech_Specs!$D21=MAX(Tech_Specs!$D$21:$D$24),0,SUMIF(Tech_Specs!$D$21:$D$24,"&gt;"&amp;Tech_Specs!$D21,Z$237:Z$240)))</f>
        <v>1.62836077945937E-4</v>
      </c>
      <c r="AA274" s="201">
        <f t="array" ref="AA274">AA201*AA129*(1+IF(Tech_Specs!$D21=MAX(Tech_Specs!$D$21:$D$24),0,SUMIF(Tech_Specs!$D$21:$D$24,"&gt;"&amp;Tech_Specs!$D21,AA$237:AA$240)))</f>
        <v>1.4938708420810141E-4</v>
      </c>
      <c r="AB274" s="201">
        <f t="array" ref="AB274">AB201*AB129*(1+IF(Tech_Specs!$D21=MAX(Tech_Specs!$D$21:$D$24),0,SUMIF(Tech_Specs!$D$21:$D$24,"&gt;"&amp;Tech_Specs!$D21,AB$237:AB$240)))</f>
        <v>1.3749626466561026E-4</v>
      </c>
      <c r="AC274" s="201">
        <f t="array" ref="AC274">AC201*AC129*(1+IF(Tech_Specs!$D21=MAX(Tech_Specs!$D$21:$D$24),0,SUMIF(Tech_Specs!$D$21:$D$24,"&gt;"&amp;Tech_Specs!$D21,AC$237:AC$240)))</f>
        <v>1.2719814454536458E-4</v>
      </c>
      <c r="AD274" s="201">
        <f t="array" ref="AD274">AD201*AD129*(1+IF(Tech_Specs!$D21=MAX(Tech_Specs!$D$21:$D$24),0,SUMIF(Tech_Specs!$D$21:$D$24,"&gt;"&amp;Tech_Specs!$D21,AD$237:AD$240)))</f>
        <v>1.1806722320147298E-4</v>
      </c>
      <c r="AE274" s="201">
        <f t="array" ref="AE274">AE201*AE129*(1+IF(Tech_Specs!$D21=MAX(Tech_Specs!$D$21:$D$24),0,SUMIF(Tech_Specs!$D$21:$D$24,"&gt;"&amp;Tech_Specs!$D21,AE$237:AE$240)))</f>
        <v>1.0971997391415737E-4</v>
      </c>
      <c r="AF274" s="201">
        <f t="array" ref="AF274">AF201*AF129*(1+IF(Tech_Specs!$D21=MAX(Tech_Specs!$D$21:$D$24),0,SUMIF(Tech_Specs!$D$21:$D$24,"&gt;"&amp;Tech_Specs!$D21,AF$237:AF$240)))</f>
        <v>1.0109095127338795E-4</v>
      </c>
    </row>
    <row r="275" spans="1:32" s="221" customFormat="1" x14ac:dyDescent="0.25">
      <c r="A275" s="252"/>
      <c r="B275" s="252" t="s">
        <v>39</v>
      </c>
      <c r="C275"/>
      <c r="D275"/>
      <c r="E275"/>
      <c r="F275"/>
      <c r="G275" s="201">
        <f t="array" ref="G275">G202*G130*(1+IF(Tech_Specs!$D22=MAX(Tech_Specs!$D$21:$D$24),0,SUMIF(Tech_Specs!$D$21:$D$24,"&gt;"&amp;Tech_Specs!$D22,G$237:G$240)))</f>
        <v>0.76772754067910121</v>
      </c>
      <c r="H275" s="201">
        <f t="array" ref="H275">H202*H130*(1+IF(Tech_Specs!$D22=MAX(Tech_Specs!$D$21:$D$24),0,SUMIF(Tech_Specs!$D$21:$D$24,"&gt;"&amp;Tech_Specs!$D22,H$237:H$240)))</f>
        <v>0.7203174863997327</v>
      </c>
      <c r="I275" s="201">
        <f t="array" ref="I275">I202*I130*(1+IF(Tech_Specs!$D22=MAX(Tech_Specs!$D$21:$D$24),0,SUMIF(Tech_Specs!$D$21:$D$24,"&gt;"&amp;Tech_Specs!$D22,I$237:I$240)))</f>
        <v>0.67559229564653733</v>
      </c>
      <c r="J275" s="201">
        <f t="array" ref="J275">J202*J130*(1+IF(Tech_Specs!$D22=MAX(Tech_Specs!$D$21:$D$24),0,SUMIF(Tech_Specs!$D$21:$D$24,"&gt;"&amp;Tech_Specs!$D22,J$237:J$240)))</f>
        <v>0.62655058114771078</v>
      </c>
      <c r="K275" s="201">
        <f t="array" ref="K275">K202*K130*(1+IF(Tech_Specs!$D22=MAX(Tech_Specs!$D$21:$D$24),0,SUMIF(Tech_Specs!$D$21:$D$24,"&gt;"&amp;Tech_Specs!$D22,K$237:K$240)))</f>
        <v>0.57227977809332076</v>
      </c>
      <c r="L275" s="201">
        <f t="array" ref="L275">L202*L130*(1+IF(Tech_Specs!$D22=MAX(Tech_Specs!$D$21:$D$24),0,SUMIF(Tech_Specs!$D$21:$D$24,"&gt;"&amp;Tech_Specs!$D22,L$237:L$240)))</f>
        <v>0.51573530670487</v>
      </c>
      <c r="M275" s="201">
        <f t="array" ref="M275">M202*M130*(1+IF(Tech_Specs!$D22=MAX(Tech_Specs!$D$21:$D$24),0,SUMIF(Tech_Specs!$D$21:$D$24,"&gt;"&amp;Tech_Specs!$D22,M$237:M$240)))</f>
        <v>0.45656198072662524</v>
      </c>
      <c r="N275" s="201">
        <f t="array" ref="N275">N202*N130*(1+IF(Tech_Specs!$D22=MAX(Tech_Specs!$D$21:$D$24),0,SUMIF(Tech_Specs!$D$21:$D$24,"&gt;"&amp;Tech_Specs!$D22,N$237:N$240)))</f>
        <v>0.39986759616195239</v>
      </c>
      <c r="O275" s="201">
        <f t="array" ref="O275">O202*O130*(1+IF(Tech_Specs!$D22=MAX(Tech_Specs!$D$21:$D$24),0,SUMIF(Tech_Specs!$D$21:$D$24,"&gt;"&amp;Tech_Specs!$D22,O$237:O$240)))</f>
        <v>0.34709150639308256</v>
      </c>
      <c r="P275" s="201">
        <f t="array" ref="P275">P202*P130*(1+IF(Tech_Specs!$D22=MAX(Tech_Specs!$D$21:$D$24),0,SUMIF(Tech_Specs!$D$21:$D$24,"&gt;"&amp;Tech_Specs!$D22,P$237:P$240)))</f>
        <v>0.30134210331202299</v>
      </c>
      <c r="Q275" s="201">
        <f t="array" ref="Q275">Q202*Q130*(1+IF(Tech_Specs!$D22=MAX(Tech_Specs!$D$21:$D$24),0,SUMIF(Tech_Specs!$D$21:$D$24,"&gt;"&amp;Tech_Specs!$D22,Q$237:Q$240)))</f>
        <v>0.26161538372033222</v>
      </c>
      <c r="R275" s="201">
        <f t="array" ref="R275">R202*R130*(1+IF(Tech_Specs!$D22=MAX(Tech_Specs!$D$21:$D$24),0,SUMIF(Tech_Specs!$D$21:$D$24,"&gt;"&amp;Tech_Specs!$D22,R$237:R$240)))</f>
        <v>0.22789342404643687</v>
      </c>
      <c r="S275" s="201">
        <f t="array" ref="S275">S202*S130*(1+IF(Tech_Specs!$D22=MAX(Tech_Specs!$D$21:$D$24),0,SUMIF(Tech_Specs!$D$21:$D$24,"&gt;"&amp;Tech_Specs!$D22,S$237:S$240)))</f>
        <v>0.1997828631078172</v>
      </c>
      <c r="T275" s="201">
        <f t="array" ref="T275">T202*T130*(1+IF(Tech_Specs!$D22=MAX(Tech_Specs!$D$21:$D$24),0,SUMIF(Tech_Specs!$D$21:$D$24,"&gt;"&amp;Tech_Specs!$D22,T$237:T$240)))</f>
        <v>0.17634522286770893</v>
      </c>
      <c r="U275" s="201">
        <f t="array" ref="U275">U202*U130*(1+IF(Tech_Specs!$D22=MAX(Tech_Specs!$D$21:$D$24),0,SUMIF(Tech_Specs!$D$21:$D$24,"&gt;"&amp;Tech_Specs!$D22,U$237:U$240)))</f>
        <v>0.15678526888954106</v>
      </c>
      <c r="V275" s="201">
        <f t="array" ref="V275">V202*V130*(1+IF(Tech_Specs!$D22=MAX(Tech_Specs!$D$21:$D$24),0,SUMIF(Tech_Specs!$D$21:$D$24,"&gt;"&amp;Tech_Specs!$D22,V$237:V$240)))</f>
        <v>0.14091812889685629</v>
      </c>
      <c r="W275" s="201">
        <f t="array" ref="W275">W202*W130*(1+IF(Tech_Specs!$D22=MAX(Tech_Specs!$D$21:$D$24),0,SUMIF(Tech_Specs!$D$21:$D$24,"&gt;"&amp;Tech_Specs!$D22,W$237:W$240)))</f>
        <v>0.12772727883962381</v>
      </c>
      <c r="X275" s="201">
        <f t="array" ref="X275">X202*X130*(1+IF(Tech_Specs!$D22=MAX(Tech_Specs!$D$21:$D$24),0,SUMIF(Tech_Specs!$D$21:$D$24,"&gt;"&amp;Tech_Specs!$D22,X$237:X$240)))</f>
        <v>0.11678014726930554</v>
      </c>
      <c r="Y275" s="201">
        <f t="array" ref="Y275">Y202*Y130*(1+IF(Tech_Specs!$D22=MAX(Tech_Specs!$D$21:$D$24),0,SUMIF(Tech_Specs!$D$21:$D$24,"&gt;"&amp;Tech_Specs!$D22,Y$237:Y$240)))</f>
        <v>0.10762304213634881</v>
      </c>
      <c r="Z275" s="201">
        <f t="array" ref="Z275">Z202*Z130*(1+IF(Tech_Specs!$D22=MAX(Tech_Specs!$D$21:$D$24),0,SUMIF(Tech_Specs!$D$21:$D$24,"&gt;"&amp;Tech_Specs!$D22,Z$237:Z$240)))</f>
        <v>0.10007683657694523</v>
      </c>
      <c r="AA275" s="201">
        <f t="array" ref="AA275">AA202*AA130*(1+IF(Tech_Specs!$D22=MAX(Tech_Specs!$D$21:$D$24),0,SUMIF(Tech_Specs!$D$21:$D$24,"&gt;"&amp;Tech_Specs!$D22,AA$237:AA$240)))</f>
        <v>9.3896030021374366E-2</v>
      </c>
      <c r="AB275" s="201">
        <f t="array" ref="AB275">AB202*AB130*(1+IF(Tech_Specs!$D22=MAX(Tech_Specs!$D$21:$D$24),0,SUMIF(Tech_Specs!$D$21:$D$24,"&gt;"&amp;Tech_Specs!$D22,AB$237:AB$240)))</f>
        <v>8.8495483663228972E-2</v>
      </c>
      <c r="AC275" s="201">
        <f t="array" ref="AC275">AC202*AC130*(1+IF(Tech_Specs!$D22=MAX(Tech_Specs!$D$21:$D$24),0,SUMIF(Tech_Specs!$D$21:$D$24,"&gt;"&amp;Tech_Specs!$D22,AC$237:AC$240)))</f>
        <v>8.3866942632588093E-2</v>
      </c>
      <c r="AD275" s="201">
        <f t="array" ref="AD275">AD202*AD130*(1+IF(Tech_Specs!$D22=MAX(Tech_Specs!$D$21:$D$24),0,SUMIF(Tech_Specs!$D$21:$D$24,"&gt;"&amp;Tech_Specs!$D22,AD$237:AD$240)))</f>
        <v>7.9805340766156807E-2</v>
      </c>
      <c r="AE275" s="201">
        <f t="array" ref="AE275">AE202*AE130*(1+IF(Tech_Specs!$D22=MAX(Tech_Specs!$D$21:$D$24),0,SUMIF(Tech_Specs!$D$21:$D$24,"&gt;"&amp;Tech_Specs!$D22,AE$237:AE$240)))</f>
        <v>7.6120289228906235E-2</v>
      </c>
      <c r="AF275" s="201">
        <f t="array" ref="AF275">AF202*AF130*(1+IF(Tech_Specs!$D22=MAX(Tech_Specs!$D$21:$D$24),0,SUMIF(Tech_Specs!$D$21:$D$24,"&gt;"&amp;Tech_Specs!$D22,AF$237:AF$240)))</f>
        <v>7.2284624735597436E-2</v>
      </c>
    </row>
    <row r="276" spans="1:32" s="221" customFormat="1" x14ac:dyDescent="0.25">
      <c r="A276" s="252"/>
      <c r="B276" s="252" t="s">
        <v>40</v>
      </c>
      <c r="C276"/>
      <c r="D276"/>
      <c r="E276"/>
      <c r="F276"/>
      <c r="G276" s="201">
        <f t="array" ref="G276">G203*G131*(1+IF(Tech_Specs!$D23=MAX(Tech_Specs!$D$21:$D$24),0,SUMIF(Tech_Specs!$D$21:$D$24,"&gt;"&amp;Tech_Specs!$D23,G$237:G$240)))</f>
        <v>0.19612061630904887</v>
      </c>
      <c r="H276" s="201">
        <f t="array" ref="H276">H203*H131*(1+IF(Tech_Specs!$D23=MAX(Tech_Specs!$D$21:$D$24),0,SUMIF(Tech_Specs!$D$21:$D$24,"&gt;"&amp;Tech_Specs!$D23,H$237:H$240)))</f>
        <v>0.24693845777440795</v>
      </c>
      <c r="I276" s="201">
        <f t="array" ref="I276">I203*I131*(1+IF(Tech_Specs!$D23=MAX(Tech_Specs!$D$21:$D$24),0,SUMIF(Tech_Specs!$D$21:$D$24,"&gt;"&amp;Tech_Specs!$D23,I$237:I$240)))</f>
        <v>0.29834362462948538</v>
      </c>
      <c r="J276" s="201">
        <f t="array" ref="J276">J203*J131*(1+IF(Tech_Specs!$D23=MAX(Tech_Specs!$D$21:$D$24),0,SUMIF(Tech_Specs!$D$21:$D$24,"&gt;"&amp;Tech_Specs!$D23,J$237:J$240)))</f>
        <v>0.3496089210700728</v>
      </c>
      <c r="K276" s="201">
        <f t="array" ref="K276">K203*K131*(1+IF(Tech_Specs!$D23=MAX(Tech_Specs!$D$21:$D$24),0,SUMIF(Tech_Specs!$D$21:$D$24,"&gt;"&amp;Tech_Specs!$D23,K$237:K$240)))</f>
        <v>0.39713071736314898</v>
      </c>
      <c r="L276" s="201">
        <f t="array" ref="L276">L203*L131*(1+IF(Tech_Specs!$D23=MAX(Tech_Specs!$D$21:$D$24),0,SUMIF(Tech_Specs!$D$21:$D$24,"&gt;"&amp;Tech_Specs!$D23,L$237:L$240)))</f>
        <v>0.43479837404507182</v>
      </c>
      <c r="M276" s="201">
        <f t="array" ref="M276">M203*M131*(1+IF(Tech_Specs!$D23=MAX(Tech_Specs!$D$21:$D$24),0,SUMIF(Tech_Specs!$D$21:$D$24,"&gt;"&amp;Tech_Specs!$D23,M$237:M$240)))</f>
        <v>0.46171384517784042</v>
      </c>
      <c r="N276" s="201">
        <f t="array" ref="N276">N203*N131*(1+IF(Tech_Specs!$D23=MAX(Tech_Specs!$D$21:$D$24),0,SUMIF(Tech_Specs!$D$21:$D$24,"&gt;"&amp;Tech_Specs!$D23,N$237:N$240)))</f>
        <v>0.47409771874106865</v>
      </c>
      <c r="O276" s="201">
        <f t="array" ref="O276">O203*O131*(1+IF(Tech_Specs!$D23=MAX(Tech_Specs!$D$21:$D$24),0,SUMIF(Tech_Specs!$D$21:$D$24,"&gt;"&amp;Tech_Specs!$D23,O$237:O$240)))</f>
        <v>0.47292658383828107</v>
      </c>
      <c r="P276" s="201">
        <f t="array" ref="P276">P203*P131*(1+IF(Tech_Specs!$D23=MAX(Tech_Specs!$D$21:$D$24),0,SUMIF(Tech_Specs!$D$21:$D$24,"&gt;"&amp;Tech_Specs!$D23,P$237:P$240)))</f>
        <v>0.46088460722220082</v>
      </c>
      <c r="Q276" s="201">
        <f t="array" ref="Q276">Q203*Q131*(1+IF(Tech_Specs!$D23=MAX(Tech_Specs!$D$21:$D$24),0,SUMIF(Tech_Specs!$D$21:$D$24,"&gt;"&amp;Tech_Specs!$D23,Q$237:Q$240)))</f>
        <v>0.44088978382068295</v>
      </c>
      <c r="R276" s="201">
        <f t="array" ref="R276">R203*R131*(1+IF(Tech_Specs!$D23=MAX(Tech_Specs!$D$21:$D$24),0,SUMIF(Tech_Specs!$D$21:$D$24,"&gt;"&amp;Tech_Specs!$D23,R$237:R$240)))</f>
        <v>0.41638609131983523</v>
      </c>
      <c r="S276" s="201">
        <f t="array" ref="S276">S203*S131*(1+IF(Tech_Specs!$D23=MAX(Tech_Specs!$D$21:$D$24),0,SUMIF(Tech_Specs!$D$21:$D$24,"&gt;"&amp;Tech_Specs!$D23,S$237:S$240)))</f>
        <v>0.38919696905925094</v>
      </c>
      <c r="T276" s="201">
        <f t="array" ref="T276">T203*T131*(1+IF(Tech_Specs!$D23=MAX(Tech_Specs!$D$21:$D$24),0,SUMIF(Tech_Specs!$D$21:$D$24,"&gt;"&amp;Tech_Specs!$D23,T$237:T$240)))</f>
        <v>0.36142779684767773</v>
      </c>
      <c r="U276" s="201">
        <f t="array" ref="U276">U203*U131*(1+IF(Tech_Specs!$D23=MAX(Tech_Specs!$D$21:$D$24),0,SUMIF(Tech_Specs!$D$21:$D$24,"&gt;"&amp;Tech_Specs!$D23,U$237:U$240)))</f>
        <v>0.33463762509057887</v>
      </c>
      <c r="V276" s="201">
        <f t="array" ref="V276">V203*V131*(1+IF(Tech_Specs!$D23=MAX(Tech_Specs!$D$21:$D$24),0,SUMIF(Tech_Specs!$D$21:$D$24,"&gt;"&amp;Tech_Specs!$D23,V$237:V$240)))</f>
        <v>0.31015219808473099</v>
      </c>
      <c r="W276" s="201">
        <f t="array" ref="W276">W203*W131*(1+IF(Tech_Specs!$D23=MAX(Tech_Specs!$D$21:$D$24),0,SUMIF(Tech_Specs!$D$21:$D$24,"&gt;"&amp;Tech_Specs!$D23,W$237:W$240)))</f>
        <v>0.28827496178983752</v>
      </c>
      <c r="X276" s="201">
        <f t="array" ref="X276">X203*X131*(1+IF(Tech_Specs!$D23=MAX(Tech_Specs!$D$21:$D$24),0,SUMIF(Tech_Specs!$D$21:$D$24,"&gt;"&amp;Tech_Specs!$D23,X$237:X$240)))</f>
        <v>0.26916209059094937</v>
      </c>
      <c r="Y276" s="201">
        <f t="array" ref="Y276">Y203*Y131*(1+IF(Tech_Specs!$D23=MAX(Tech_Specs!$D$21:$D$24),0,SUMIF(Tech_Specs!$D$21:$D$24,"&gt;"&amp;Tech_Specs!$D23,Y$237:Y$240)))</f>
        <v>0.2526444981759613</v>
      </c>
      <c r="Z276" s="201">
        <f t="array" ref="Z276">Z203*Z131*(1+IF(Tech_Specs!$D23=MAX(Tech_Specs!$D$21:$D$24),0,SUMIF(Tech_Specs!$D$21:$D$24,"&gt;"&amp;Tech_Specs!$D23,Z$237:Z$240)))</f>
        <v>0.23860342444629939</v>
      </c>
      <c r="AA276" s="201">
        <f t="array" ref="AA276">AA203*AA131*(1+IF(Tech_Specs!$D23=MAX(Tech_Specs!$D$21:$D$24),0,SUMIF(Tech_Specs!$D$21:$D$24,"&gt;"&amp;Tech_Specs!$D23,AA$237:AA$240)))</f>
        <v>0.22677615009072333</v>
      </c>
      <c r="AB276" s="201">
        <f t="array" ref="AB276">AB203*AB131*(1+IF(Tech_Specs!$D23=MAX(Tech_Specs!$D$21:$D$24),0,SUMIF(Tech_Specs!$D$21:$D$24,"&gt;"&amp;Tech_Specs!$D23,AB$237:AB$240)))</f>
        <v>0.21649148939663598</v>
      </c>
      <c r="AC276" s="201">
        <f t="array" ref="AC276">AC203*AC131*(1+IF(Tech_Specs!$D23=MAX(Tech_Specs!$D$21:$D$24),0,SUMIF(Tech_Specs!$D$21:$D$24,"&gt;"&amp;Tech_Specs!$D23,AC$237:AC$240)))</f>
        <v>0.20762692594174209</v>
      </c>
      <c r="AD276" s="201">
        <f t="array" ref="AD276">AD203*AD131*(1+IF(Tech_Specs!$D23=MAX(Tech_Specs!$D$21:$D$24),0,SUMIF(Tech_Specs!$D$21:$D$24,"&gt;"&amp;Tech_Specs!$D23,AD$237:AD$240)))</f>
        <v>0.19986761295633912</v>
      </c>
      <c r="AE276" s="201">
        <f t="array" ref="AE276">AE203*AE131*(1+IF(Tech_Specs!$D23=MAX(Tech_Specs!$D$21:$D$24),0,SUMIF(Tech_Specs!$D$21:$D$24,"&gt;"&amp;Tech_Specs!$D23,AE$237:AE$240)))</f>
        <v>0.19291559690201671</v>
      </c>
      <c r="AF276" s="201">
        <f t="array" ref="AF276">AF203*AF131*(1+IF(Tech_Specs!$D23=MAX(Tech_Specs!$D$21:$D$24),0,SUMIF(Tech_Specs!$D$21:$D$24,"&gt;"&amp;Tech_Specs!$D23,AF$237:AF$240)))</f>
        <v>0.18607722264568843</v>
      </c>
    </row>
    <row r="277" spans="1:32" s="221" customFormat="1" x14ac:dyDescent="0.25">
      <c r="A277" s="252"/>
      <c r="B277" s="252" t="s">
        <v>29</v>
      </c>
      <c r="C277"/>
      <c r="D277"/>
      <c r="E277"/>
      <c r="F277"/>
      <c r="G277" s="201">
        <f t="array" ref="G277">G204*G132*(1+IF(Tech_Specs!$D24=MAX(Tech_Specs!$D$21:$D$24),0,SUMIF(Tech_Specs!$D$21:$D$24,"&gt;"&amp;Tech_Specs!$D24,G$237:G$240)))</f>
        <v>1.2338649670119951E-8</v>
      </c>
      <c r="H277" s="201">
        <f t="array" ref="H277">H204*H132*(1+IF(Tech_Specs!$D24=MAX(Tech_Specs!$D$21:$D$24),0,SUMIF(Tech_Specs!$D$21:$D$24,"&gt;"&amp;Tech_Specs!$D24,H$237:H$240)))</f>
        <v>3.673326716697702E-5</v>
      </c>
      <c r="I277" s="201">
        <f t="array" ref="I277">I204*I132*(1+IF(Tech_Specs!$D24=MAX(Tech_Specs!$D$21:$D$24),0,SUMIF(Tech_Specs!$D$21:$D$24,"&gt;"&amp;Tech_Specs!$D24,I$237:I$240)))</f>
        <v>8.5840759087366255E-4</v>
      </c>
      <c r="J277" s="201">
        <f t="array" ref="J277">J204*J132*(1+IF(Tech_Specs!$D24=MAX(Tech_Specs!$D$21:$D$24),0,SUMIF(Tech_Specs!$D$21:$D$24,"&gt;"&amp;Tech_Specs!$D24,J$237:J$240)))</f>
        <v>5.402650202165642E-3</v>
      </c>
      <c r="K277" s="201">
        <f t="array" ref="K277">K204*K132*(1+IF(Tech_Specs!$D24=MAX(Tech_Specs!$D$21:$D$24),0,SUMIF(Tech_Specs!$D$21:$D$24,"&gt;"&amp;Tech_Specs!$D24,K$237:K$240)))</f>
        <v>1.8120686532890128E-2</v>
      </c>
      <c r="L277" s="201">
        <f t="array" ref="L277">L204*L132*(1+IF(Tech_Specs!$D24=MAX(Tech_Specs!$D$21:$D$24),0,SUMIF(Tech_Specs!$D$21:$D$24,"&gt;"&amp;Tech_Specs!$D24,L$237:L$240)))</f>
        <v>4.1993316409376057E-2</v>
      </c>
      <c r="M277" s="201">
        <f t="array" ref="M277">M204*M132*(1+IF(Tech_Specs!$D24=MAX(Tech_Specs!$D$21:$D$24),0,SUMIF(Tech_Specs!$D$21:$D$24,"&gt;"&amp;Tech_Specs!$D24,M$237:M$240)))</f>
        <v>7.8360012960426495E-2</v>
      </c>
      <c r="N277" s="201">
        <f t="array" ref="N277">N204*N132*(1+IF(Tech_Specs!$D24=MAX(Tech_Specs!$D$21:$D$24),0,SUMIF(Tech_Specs!$D$21:$D$24,"&gt;"&amp;Tech_Specs!$D24,N$237:N$240)))</f>
        <v>0.1250771949648059</v>
      </c>
      <c r="O277" s="201">
        <f t="array" ref="O277">O204*O132*(1+IF(Tech_Specs!$D24=MAX(Tech_Specs!$D$21:$D$24),0,SUMIF(Tech_Specs!$D$21:$D$24,"&gt;"&amp;Tech_Specs!$D24,O$237:O$240)))</f>
        <v>0.17920072763826009</v>
      </c>
      <c r="P277" s="201">
        <f t="array" ref="P277">P204*P132*(1+IF(Tech_Specs!$D24=MAX(Tech_Specs!$D$21:$D$24),0,SUMIF(Tech_Specs!$D$21:$D$24,"&gt;"&amp;Tech_Specs!$D24,P$237:P$240)))</f>
        <v>0.23712743400049885</v>
      </c>
      <c r="Q277" s="201">
        <f t="array" ref="Q277">Q204*Q132*(1+IF(Tech_Specs!$D24=MAX(Tech_Specs!$D$21:$D$24),0,SUMIF(Tech_Specs!$D$21:$D$24,"&gt;"&amp;Tech_Specs!$D24,Q$237:Q$240)))</f>
        <v>0.29695673468879691</v>
      </c>
      <c r="R277" s="201">
        <f t="array" ref="R277">R204*R132*(1+IF(Tech_Specs!$D24=MAX(Tech_Specs!$D$21:$D$24),0,SUMIF(Tech_Specs!$D$21:$D$24,"&gt;"&amp;Tech_Specs!$D24,R$237:R$240)))</f>
        <v>0.35526835188890538</v>
      </c>
      <c r="S277" s="201">
        <f t="array" ref="S277">S204*S132*(1+IF(Tech_Specs!$D24=MAX(Tech_Specs!$D$21:$D$24),0,SUMIF(Tech_Specs!$D$21:$D$24,"&gt;"&amp;Tech_Specs!$D24,S$237:S$240)))</f>
        <v>0.41063585934576946</v>
      </c>
      <c r="T277" s="201">
        <f t="array" ref="T277">T204*T132*(1+IF(Tech_Specs!$D24=MAX(Tech_Specs!$D$21:$D$24),0,SUMIF(Tech_Specs!$D$21:$D$24,"&gt;"&amp;Tech_Specs!$D24,T$237:T$240)))</f>
        <v>0.46189697207049885</v>
      </c>
      <c r="U277" s="201">
        <f t="array" ref="U277">U204*U132*(1+IF(Tech_Specs!$D24=MAX(Tech_Specs!$D$21:$D$24),0,SUMIF(Tech_Specs!$D$21:$D$24,"&gt;"&amp;Tech_Specs!$D24,U$237:U$240)))</f>
        <v>0.50829111941507776</v>
      </c>
      <c r="V277" s="201">
        <f t="array" ref="V277">V204*V132*(1+IF(Tech_Specs!$D24=MAX(Tech_Specs!$D$21:$D$24),0,SUMIF(Tech_Specs!$D$21:$D$24,"&gt;"&amp;Tech_Specs!$D24,V$237:V$240)))</f>
        <v>0.54867849564598081</v>
      </c>
      <c r="W277" s="201">
        <f t="array" ref="W277">W204*W132*(1+IF(Tech_Specs!$D24=MAX(Tech_Specs!$D$21:$D$24),0,SUMIF(Tech_Specs!$D$21:$D$24,"&gt;"&amp;Tech_Specs!$D24,W$237:W$240)))</f>
        <v>0.58377520016407103</v>
      </c>
      <c r="X277" s="201">
        <f t="array" ref="X277">X204*X132*(1+IF(Tech_Specs!$D24=MAX(Tech_Specs!$D$21:$D$24),0,SUMIF(Tech_Specs!$D$21:$D$24,"&gt;"&amp;Tech_Specs!$D24,X$237:X$240)))</f>
        <v>0.6138588273631348</v>
      </c>
      <c r="Y277" s="201">
        <f t="array" ref="Y277">Y204*Y132*(1+IF(Tech_Specs!$D24=MAX(Tech_Specs!$D$21:$D$24),0,SUMIF(Tech_Specs!$D$21:$D$24,"&gt;"&amp;Tech_Specs!$D24,Y$237:Y$240)))</f>
        <v>0.63955329592518084</v>
      </c>
      <c r="Z277" s="201">
        <f t="array" ref="Z277">Z204*Z132*(1+IF(Tech_Specs!$D24=MAX(Tech_Specs!$D$21:$D$24),0,SUMIF(Tech_Specs!$D$21:$D$24,"&gt;"&amp;Tech_Specs!$D24,Z$237:Z$240)))</f>
        <v>0.66115690289563289</v>
      </c>
      <c r="AA277" s="201">
        <f t="array" ref="AA277">AA204*AA132*(1+IF(Tech_Specs!$D24=MAX(Tech_Specs!$D$21:$D$24),0,SUMIF(Tech_Specs!$D$21:$D$24,"&gt;"&amp;Tech_Specs!$D24,AA$237:AA$240)))</f>
        <v>0.67917843280078016</v>
      </c>
      <c r="AB277" s="201">
        <f t="array" ref="AB277">AB204*AB132*(1+IF(Tech_Specs!$D24=MAX(Tech_Specs!$D$21:$D$24),0,SUMIF(Tech_Specs!$D$21:$D$24,"&gt;"&amp;Tech_Specs!$D24,AB$237:AB$240)))</f>
        <v>0.69487553067278729</v>
      </c>
      <c r="AC277" s="201">
        <f t="array" ref="AC277">AC204*AC132*(1+IF(Tech_Specs!$D24=MAX(Tech_Specs!$D$21:$D$24),0,SUMIF(Tech_Specs!$D$21:$D$24,"&gt;"&amp;Tech_Specs!$D24,AC$237:AC$240)))</f>
        <v>0.7083789332786431</v>
      </c>
      <c r="AD277" s="201">
        <f t="array" ref="AD277">AD204*AD132*(1+IF(Tech_Specs!$D24=MAX(Tech_Specs!$D$21:$D$24),0,SUMIF(Tech_Specs!$D$21:$D$24,"&gt;"&amp;Tech_Specs!$D24,AD$237:AD$240)))</f>
        <v>0.72020897905199932</v>
      </c>
      <c r="AE277" s="201">
        <f t="array" ref="AE277">AE204*AE132*(1+IF(Tech_Specs!$D24=MAX(Tech_Specs!$D$21:$D$24),0,SUMIF(Tech_Specs!$D$21:$D$24,"&gt;"&amp;Tech_Specs!$D24,AE$237:AE$240)))</f>
        <v>0.73085439389302276</v>
      </c>
      <c r="AF277" s="201">
        <f t="array" ref="AF277">AF204*AF132*(1+IF(Tech_Specs!$D24=MAX(Tech_Specs!$D$21:$D$24),0,SUMIF(Tech_Specs!$D$21:$D$24,"&gt;"&amp;Tech_Specs!$D24,AF$237:AF$240)))</f>
        <v>0.74153706166546896</v>
      </c>
    </row>
    <row r="278" spans="1:32" s="221" customFormat="1" x14ac:dyDescent="0.25">
      <c r="A278" s="252"/>
      <c r="B278" s="252"/>
      <c r="C278"/>
      <c r="D278"/>
      <c r="E278"/>
      <c r="F278"/>
      <c r="G278"/>
      <c r="H278"/>
      <c r="I278"/>
      <c r="J278"/>
      <c r="K278"/>
      <c r="L278"/>
      <c r="M278"/>
      <c r="N278"/>
      <c r="O278"/>
      <c r="P278"/>
      <c r="Q278"/>
      <c r="R278"/>
      <c r="S278"/>
      <c r="T278"/>
      <c r="U278"/>
      <c r="V278"/>
      <c r="W278"/>
      <c r="X278"/>
      <c r="Y278"/>
      <c r="Z278"/>
      <c r="AA278"/>
      <c r="AB278"/>
      <c r="AC278"/>
      <c r="AD278"/>
      <c r="AE278"/>
      <c r="AF278"/>
    </row>
    <row r="279" spans="1:32" s="202" customFormat="1" ht="12.75" x14ac:dyDescent="0.2">
      <c r="A279" s="267" t="s">
        <v>42</v>
      </c>
      <c r="B279" s="267"/>
      <c r="C279" s="267"/>
      <c r="D279" s="267"/>
      <c r="E279" s="267"/>
      <c r="F279" s="267"/>
      <c r="G279" s="402"/>
      <c r="H279" s="402"/>
      <c r="I279" s="402"/>
      <c r="J279" s="402"/>
      <c r="K279" s="402"/>
      <c r="L279" s="402"/>
      <c r="M279" s="402"/>
      <c r="N279" s="402"/>
      <c r="O279" s="402"/>
      <c r="P279" s="402"/>
      <c r="Q279" s="402"/>
      <c r="R279" s="402"/>
      <c r="S279" s="402"/>
      <c r="T279" s="402"/>
      <c r="U279" s="402"/>
      <c r="V279" s="402"/>
      <c r="W279" s="402"/>
      <c r="X279" s="402"/>
      <c r="Y279" s="402"/>
      <c r="Z279" s="402"/>
      <c r="AA279" s="402"/>
      <c r="AB279" s="402"/>
      <c r="AC279" s="402"/>
      <c r="AD279" s="402"/>
      <c r="AE279" s="402"/>
      <c r="AF279" s="402"/>
    </row>
    <row r="280" spans="1:32" s="221" customFormat="1" x14ac:dyDescent="0.25">
      <c r="A280" s="252"/>
      <c r="B280" s="257" t="s">
        <v>43</v>
      </c>
      <c r="C280"/>
      <c r="D280"/>
      <c r="E280"/>
      <c r="F280"/>
      <c r="G280" s="201">
        <f t="array" ref="G280">G207*G135*(1+IF(Tech_Specs!$D27=MAX(Tech_Specs!$D$27:$D$31),0,SUMIF(Tech_Specs!$D$27:$D$31,"&gt;"&amp;Tech_Specs!$D27,G$243:G$247)))</f>
        <v>9.9361434514124332E-3</v>
      </c>
      <c r="H280" s="201">
        <f t="array" ref="H280">H207*H135*(1+IF(Tech_Specs!$D27=MAX(Tech_Specs!$D$27:$D$31),0,SUMIF(Tech_Specs!$D$27:$D$31,"&gt;"&amp;Tech_Specs!$D27,H$243:H$247)))</f>
        <v>9.6392860321114163E-3</v>
      </c>
      <c r="I280" s="201">
        <f t="array" ref="I280">I207*I135*(1+IF(Tech_Specs!$D27=MAX(Tech_Specs!$D$27:$D$31),0,SUMIF(Tech_Specs!$D$27:$D$31,"&gt;"&amp;Tech_Specs!$D27,I$243:I$247)))</f>
        <v>9.3029268511330247E-3</v>
      </c>
      <c r="J280" s="201">
        <f t="array" ref="J280">J207*J135*(1+IF(Tech_Specs!$D27=MAX(Tech_Specs!$D$27:$D$31),0,SUMIF(Tech_Specs!$D$27:$D$31,"&gt;"&amp;Tech_Specs!$D27,J$243:J$247)))</f>
        <v>8.9149694793363415E-3</v>
      </c>
      <c r="K280" s="201">
        <f t="array" ref="K280">K207*K135*(1+IF(Tech_Specs!$D27=MAX(Tech_Specs!$D$27:$D$31),0,SUMIF(Tech_Specs!$D$27:$D$31,"&gt;"&amp;Tech_Specs!$D27,K$243:K$247)))</f>
        <v>8.4872628746381629E-3</v>
      </c>
      <c r="L280" s="201">
        <f t="array" ref="L280">L207*L135*(1+IF(Tech_Specs!$D27=MAX(Tech_Specs!$D$27:$D$31),0,SUMIF(Tech_Specs!$D$27:$D$31,"&gt;"&amp;Tech_Specs!$D27,L$243:L$247)))</f>
        <v>8.0412995981710769E-3</v>
      </c>
      <c r="M280" s="201">
        <f t="array" ref="M280">M207*M135*(1+IF(Tech_Specs!$D27=MAX(Tech_Specs!$D$27:$D$31),0,SUMIF(Tech_Specs!$D$27:$D$31,"&gt;"&amp;Tech_Specs!$D27,M$243:M$247)))</f>
        <v>7.5917414365508163E-3</v>
      </c>
      <c r="N280" s="201">
        <f t="array" ref="N280">N207*N135*(1+IF(Tech_Specs!$D27=MAX(Tech_Specs!$D$27:$D$31),0,SUMIF(Tech_Specs!$D$27:$D$31,"&gt;"&amp;Tech_Specs!$D27,N$243:N$247)))</f>
        <v>7.157956346147654E-3</v>
      </c>
      <c r="O280" s="201">
        <f t="array" ref="O280">O207*O135*(1+IF(Tech_Specs!$D27=MAX(Tech_Specs!$D$27:$D$31),0,SUMIF(Tech_Specs!$D$27:$D$31,"&gt;"&amp;Tech_Specs!$D27,O$243:O$247)))</f>
        <v>6.7515644660111444E-3</v>
      </c>
      <c r="P280" s="201">
        <f t="array" ref="P280">P207*P135*(1+IF(Tech_Specs!$D27=MAX(Tech_Specs!$D$27:$D$31),0,SUMIF(Tech_Specs!$D$27:$D$31,"&gt;"&amp;Tech_Specs!$D27,P$243:P$247)))</f>
        <v>6.3820341600885283E-3</v>
      </c>
      <c r="Q280" s="201">
        <f t="array" ref="Q280">Q207*Q135*(1+IF(Tech_Specs!$D27=MAX(Tech_Specs!$D$27:$D$31),0,SUMIF(Tech_Specs!$D$27:$D$31,"&gt;"&amp;Tech_Specs!$D27,Q$243:Q$247)))</f>
        <v>6.0545515169755197E-3</v>
      </c>
      <c r="R280" s="201">
        <f t="array" ref="R280">R207*R135*(1+IF(Tech_Specs!$D27=MAX(Tech_Specs!$D$27:$D$31),0,SUMIF(Tech_Specs!$D$27:$D$31,"&gt;"&amp;Tech_Specs!$D27,R$243:R$247)))</f>
        <v>5.7728536962335722E-3</v>
      </c>
      <c r="S280" s="201">
        <f t="array" ref="S280">S207*S135*(1+IF(Tech_Specs!$D27=MAX(Tech_Specs!$D$27:$D$31),0,SUMIF(Tech_Specs!$D$27:$D$31,"&gt;"&amp;Tech_Specs!$D27,S$243:S$247)))</f>
        <v>5.5381371631949942E-3</v>
      </c>
      <c r="T280" s="201">
        <f t="array" ref="T280">T207*T135*(1+IF(Tech_Specs!$D27=MAX(Tech_Specs!$D$27:$D$31),0,SUMIF(Tech_Specs!$D$27:$D$31,"&gt;"&amp;Tech_Specs!$D27,T$243:T$247)))</f>
        <v>5.3477249343067187E-3</v>
      </c>
      <c r="U280" s="201">
        <f t="array" ref="U280">U207*U135*(1+IF(Tech_Specs!$D27=MAX(Tech_Specs!$D$27:$D$31),0,SUMIF(Tech_Specs!$D$27:$D$31,"&gt;"&amp;Tech_Specs!$D27,U$243:U$247)))</f>
        <v>5.1967316153208962E-3</v>
      </c>
      <c r="V280" s="201">
        <f t="array" ref="V280">V207*V135*(1+IF(Tech_Specs!$D27=MAX(Tech_Specs!$D$27:$D$31),0,SUMIF(Tech_Specs!$D$27:$D$31,"&gt;"&amp;Tech_Specs!$D27,V$243:V$247)))</f>
        <v>5.0796266979248241E-3</v>
      </c>
      <c r="W280" s="201">
        <f t="array" ref="W280">W207*W135*(1+IF(Tech_Specs!$D27=MAX(Tech_Specs!$D$27:$D$31),0,SUMIF(Tech_Specs!$D$27:$D$31,"&gt;"&amp;Tech_Specs!$D27,W$243:W$247)))</f>
        <v>4.9896721260249124E-3</v>
      </c>
      <c r="X280" s="201">
        <f t="array" ref="X280">X207*X135*(1+IF(Tech_Specs!$D27=MAX(Tech_Specs!$D$27:$D$31),0,SUMIF(Tech_Specs!$D$27:$D$31,"&gt;"&amp;Tech_Specs!$D27,X$243:X$247)))</f>
        <v>4.9211352303463983E-3</v>
      </c>
      <c r="Y280" s="201">
        <f t="array" ref="Y280">Y207*Y135*(1+IF(Tech_Specs!$D27=MAX(Tech_Specs!$D$27:$D$31),0,SUMIF(Tech_Specs!$D$27:$D$31,"&gt;"&amp;Tech_Specs!$D27,Y$243:Y$247)))</f>
        <v>4.8690038731006883E-3</v>
      </c>
      <c r="Z280" s="201">
        <f t="array" ref="Z280">Z207*Z135*(1+IF(Tech_Specs!$D27=MAX(Tech_Specs!$D$27:$D$31),0,SUMIF(Tech_Specs!$D$27:$D$31,"&gt;"&amp;Tech_Specs!$D27,Z$243:Z$247)))</f>
        <v>4.8294582396597617E-3</v>
      </c>
      <c r="AA280" s="201">
        <f t="array" ref="AA280">AA207*AA135*(1+IF(Tech_Specs!$D27=MAX(Tech_Specs!$D$27:$D$31),0,SUMIF(Tech_Specs!$D$27:$D$31,"&gt;"&amp;Tech_Specs!$D27,AA$243:AA$247)))</f>
        <v>4.7994144301728558E-3</v>
      </c>
      <c r="AB280" s="201">
        <f t="array" ref="AB280">AB207*AB135*(1+IF(Tech_Specs!$D27=MAX(Tech_Specs!$D$27:$D$31),0,SUMIF(Tech_Specs!$D$27:$D$31,"&gt;"&amp;Tech_Specs!$D27,AB$243:AB$247)))</f>
        <v>4.7759879216524546E-3</v>
      </c>
      <c r="AC280" s="201">
        <f t="array" ref="AC280">AC207*AC135*(1+IF(Tech_Specs!$D27=MAX(Tech_Specs!$D$27:$D$31),0,SUMIF(Tech_Specs!$D$27:$D$31,"&gt;"&amp;Tech_Specs!$D27,AC$243:AC$247)))</f>
        <v>4.7575999725119359E-3</v>
      </c>
      <c r="AD280" s="201">
        <f t="array" ref="AD280">AD207*AD135*(1+IF(Tech_Specs!$D27=MAX(Tech_Specs!$D$27:$D$31),0,SUMIF(Tech_Specs!$D$27:$D$31,"&gt;"&amp;Tech_Specs!$D27,AD$243:AD$247)))</f>
        <v>4.7428218732072022E-3</v>
      </c>
      <c r="AE280" s="201">
        <f t="array" ref="AE280">AE207*AE135*(1+IF(Tech_Specs!$D27=MAX(Tech_Specs!$D$27:$D$31),0,SUMIF(Tech_Specs!$D$27:$D$31,"&gt;"&amp;Tech_Specs!$D27,AE$243:AE$247)))</f>
        <v>4.7305403502782622E-3</v>
      </c>
      <c r="AF280" s="201">
        <f t="array" ref="AF280">AF207*AF135*(1+IF(Tech_Specs!$D27=MAX(Tech_Specs!$D$27:$D$31),0,SUMIF(Tech_Specs!$D$27:$D$31,"&gt;"&amp;Tech_Specs!$D27,AF$243:AF$247)))</f>
        <v>4.7192810742863302E-3</v>
      </c>
    </row>
    <row r="281" spans="1:32" s="221" customFormat="1" x14ac:dyDescent="0.25">
      <c r="A281" s="252"/>
      <c r="B281" s="257" t="s">
        <v>44</v>
      </c>
      <c r="C281"/>
      <c r="D281"/>
      <c r="E281"/>
      <c r="F281"/>
      <c r="G281" s="201">
        <f t="array" ref="G281">G208*G136*(1+IF(Tech_Specs!$D28=MAX(Tech_Specs!$D$27:$D$31),0,SUMIF(Tech_Specs!$D$27:$D$31,"&gt;"&amp;Tech_Specs!$D28,G$243:G$247)))</f>
        <v>0.93266387260258143</v>
      </c>
      <c r="H281" s="201">
        <f t="array" ref="H281">H208*H136*(1+IF(Tech_Specs!$D28=MAX(Tech_Specs!$D$27:$D$31),0,SUMIF(Tech_Specs!$D$27:$D$31,"&gt;"&amp;Tech_Specs!$D28,H$243:H$247)))</f>
        <v>0.90545470618195434</v>
      </c>
      <c r="I281" s="201">
        <f t="array" ref="I281">I208*I136*(1+IF(Tech_Specs!$D28=MAX(Tech_Specs!$D$27:$D$31),0,SUMIF(Tech_Specs!$D$27:$D$31,"&gt;"&amp;Tech_Specs!$D28,I$243:I$247)))</f>
        <v>0.87399279487678339</v>
      </c>
      <c r="J281" s="201">
        <f t="array" ref="J281">J208*J136*(1+IF(Tech_Specs!$D28=MAX(Tech_Specs!$D$27:$D$31),0,SUMIF(Tech_Specs!$D$27:$D$31,"&gt;"&amp;Tech_Specs!$D28,J$243:J$247)))</f>
        <v>0.83789299878410328</v>
      </c>
      <c r="K281" s="201">
        <f t="array" ref="K281">K208*K136*(1+IF(Tech_Specs!$D28=MAX(Tech_Specs!$D$27:$D$31),0,SUMIF(Tech_Specs!$D$27:$D$31,"&gt;"&amp;Tech_Specs!$D28,K$243:K$247)))</f>
        <v>0.79822966168415488</v>
      </c>
      <c r="L281" s="201">
        <f t="array" ref="L281">L208*L136*(1+IF(Tech_Specs!$D28=MAX(Tech_Specs!$D$27:$D$31),0,SUMIF(Tech_Specs!$D$27:$D$31,"&gt;"&amp;Tech_Specs!$D28,L$243:L$247)))</f>
        <v>0.75668641803274017</v>
      </c>
      <c r="M281" s="201">
        <f t="array" ref="M281">M208*M136*(1+IF(Tech_Specs!$D28=MAX(Tech_Specs!$D$27:$D$31),0,SUMIF(Tech_Specs!$D$27:$D$31,"&gt;"&amp;Tech_Specs!$D28,M$243:M$247)))</f>
        <v>0.7149568592000356</v>
      </c>
      <c r="N281" s="201">
        <f t="array" ref="N281">N208*N136*(1+IF(Tech_Specs!$D28=MAX(Tech_Specs!$D$27:$D$31),0,SUMIF(Tech_Specs!$D$27:$D$31,"&gt;"&amp;Tech_Specs!$D28,N$243:N$247)))</f>
        <v>0.67456859936607572</v>
      </c>
      <c r="O281" s="201">
        <f t="array" ref="O281">O208*O136*(1+IF(Tech_Specs!$D28=MAX(Tech_Specs!$D$27:$D$31),0,SUMIF(Tech_Specs!$D$27:$D$31,"&gt;"&amp;Tech_Specs!$D28,O$243:O$247)))</f>
        <v>0.63667041600028562</v>
      </c>
      <c r="P281" s="201">
        <f t="array" ref="P281">P208*P136*(1+IF(Tech_Specs!$D28=MAX(Tech_Specs!$D$27:$D$31),0,SUMIF(Tech_Specs!$D$27:$D$31,"&gt;"&amp;Tech_Specs!$D28,P$243:P$247)))</f>
        <v>0.60213955454429524</v>
      </c>
      <c r="Q281" s="201">
        <f t="array" ref="Q281">Q208*Q136*(1+IF(Tech_Specs!$D28=MAX(Tech_Specs!$D$27:$D$31),0,SUMIF(Tech_Specs!$D$27:$D$31,"&gt;"&amp;Tech_Specs!$D28,Q$243:Q$247)))</f>
        <v>0.57157275844510735</v>
      </c>
      <c r="R281" s="201">
        <f t="array" ref="R281">R208*R136*(1+IF(Tech_Specs!$D28=MAX(Tech_Specs!$D$27:$D$31),0,SUMIF(Tech_Specs!$D$27:$D$31,"&gt;"&amp;Tech_Specs!$D28,R$243:R$247)))</f>
        <v>0.54533585038050825</v>
      </c>
      <c r="S281" s="201">
        <f t="array" ref="S281">S208*S136*(1+IF(Tech_Specs!$D28=MAX(Tech_Specs!$D$27:$D$31),0,SUMIF(Tech_Specs!$D$27:$D$31,"&gt;"&amp;Tech_Specs!$D28,S$243:S$247)))</f>
        <v>0.52349778982822504</v>
      </c>
      <c r="T281" s="201">
        <f t="array" ref="T281">T208*T136*(1+IF(Tech_Specs!$D28=MAX(Tech_Specs!$D$27:$D$31),0,SUMIF(Tech_Specs!$D$27:$D$31,"&gt;"&amp;Tech_Specs!$D28,T$243:T$247)))</f>
        <v>0.50582854796452215</v>
      </c>
      <c r="U281" s="201">
        <f t="array" ref="U281">U208*U136*(1+IF(Tech_Specs!$D28=MAX(Tech_Specs!$D$27:$D$31),0,SUMIF(Tech_Specs!$D$27:$D$31,"&gt;"&amp;Tech_Specs!$D28,U$243:U$247)))</f>
        <v>0.49188221797779191</v>
      </c>
      <c r="V281" s="201">
        <f t="array" ref="V281">V208*V136*(1+IF(Tech_Specs!$D28=MAX(Tech_Specs!$D$27:$D$31),0,SUMIF(Tech_Specs!$D$27:$D$31,"&gt;"&amp;Tech_Specs!$D28,V$243:V$247)))</f>
        <v>0.48111250978377668</v>
      </c>
      <c r="W281" s="201">
        <f t="array" ref="W281">W208*W136*(1+IF(Tech_Specs!$D28=MAX(Tech_Specs!$D$27:$D$31),0,SUMIF(Tech_Specs!$D$27:$D$31,"&gt;"&amp;Tech_Specs!$D28,W$243:W$247)))</f>
        <v>0.47292064554115232</v>
      </c>
      <c r="X281" s="201">
        <f t="array" ref="X281">X208*X136*(1+IF(Tech_Specs!$D28=MAX(Tech_Specs!$D$27:$D$31),0,SUMIF(Tech_Specs!$D$27:$D$31,"&gt;"&amp;Tech_Specs!$D28,X$243:X$247)))</f>
        <v>0.46676469975128093</v>
      </c>
      <c r="Y281" s="201">
        <f t="array" ref="Y281">Y208*Y136*(1+IF(Tech_Specs!$D28=MAX(Tech_Specs!$D$27:$D$31),0,SUMIF(Tech_Specs!$D$27:$D$31,"&gt;"&amp;Tech_Specs!$D28,Y$243:Y$247)))</f>
        <v>0.46217535706736557</v>
      </c>
      <c r="Z281" s="201">
        <f t="array" ref="Z281">Z208*Z136*(1+IF(Tech_Specs!$D28=MAX(Tech_Specs!$D$27:$D$31),0,SUMIF(Tech_Specs!$D$27:$D$31,"&gt;"&amp;Tech_Specs!$D28,Z$243:Z$247)))</f>
        <v>0.45877726621476067</v>
      </c>
      <c r="AA281" s="201">
        <f t="array" ref="AA281">AA208*AA136*(1+IF(Tech_Specs!$D28=MAX(Tech_Specs!$D$27:$D$31),0,SUMIF(Tech_Specs!$D$27:$D$31,"&gt;"&amp;Tech_Specs!$D28,AA$243:AA$247)))</f>
        <v>0.45627240055604007</v>
      </c>
      <c r="AB281" s="201">
        <f t="array" ref="AB281">AB208*AB136*(1+IF(Tech_Specs!$D28=MAX(Tech_Specs!$D$27:$D$31),0,SUMIF(Tech_Specs!$D$27:$D$31,"&gt;"&amp;Tech_Specs!$D28,AB$243:AB$247)))</f>
        <v>0.45441632817480337</v>
      </c>
      <c r="AC281" s="201">
        <f t="array" ref="AC281">AC208*AC136*(1+IF(Tech_Specs!$D28=MAX(Tech_Specs!$D$27:$D$31),0,SUMIF(Tech_Specs!$D$27:$D$31,"&gt;"&amp;Tech_Specs!$D28,AC$243:AC$247)))</f>
        <v>0.45304304097792886</v>
      </c>
      <c r="AD281" s="201">
        <f t="array" ref="AD281">AD208*AD136*(1+IF(Tech_Specs!$D28=MAX(Tech_Specs!$D$27:$D$31),0,SUMIF(Tech_Specs!$D$27:$D$31,"&gt;"&amp;Tech_Specs!$D28,AD$243:AD$247)))</f>
        <v>0.45202140631960286</v>
      </c>
      <c r="AE281" s="201">
        <f t="array" ref="AE281">AE208*AE136*(1+IF(Tech_Specs!$D28=MAX(Tech_Specs!$D$27:$D$31),0,SUMIF(Tech_Specs!$D$27:$D$31,"&gt;"&amp;Tech_Specs!$D28,AE$243:AE$247)))</f>
        <v>0.4512531107049641</v>
      </c>
      <c r="AF281" s="201">
        <f t="array" ref="AF281">AF208*AF136*(1+IF(Tech_Specs!$D28=MAX(Tech_Specs!$D$27:$D$31),0,SUMIF(Tech_Specs!$D$27:$D$31,"&gt;"&amp;Tech_Specs!$D28,AF$243:AF$247)))</f>
        <v>0.45064700667553836</v>
      </c>
    </row>
    <row r="282" spans="1:32" s="221" customFormat="1" x14ac:dyDescent="0.25">
      <c r="A282" s="252"/>
      <c r="B282" s="257" t="s">
        <v>45</v>
      </c>
      <c r="C282"/>
      <c r="D282"/>
      <c r="E282"/>
      <c r="F282"/>
      <c r="G282" s="201">
        <f t="array" ref="G282">G209*G137*(1+IF(Tech_Specs!$D29=MAX(Tech_Specs!$D$27:$D$31),0,SUMIF(Tech_Specs!$D$27:$D$31,"&gt;"&amp;Tech_Specs!$D29,G$243:G$247)))</f>
        <v>5.3533433863754282E-3</v>
      </c>
      <c r="H282" s="201">
        <f t="array" ref="H282">H209*H137*(1+IF(Tech_Specs!$D29=MAX(Tech_Specs!$D$27:$D$31),0,SUMIF(Tech_Specs!$D$27:$D$31,"&gt;"&amp;Tech_Specs!$D29,H$243:H$247)))</f>
        <v>5.1936808392484303E-3</v>
      </c>
      <c r="I282" s="201">
        <f t="array" ref="I282">I209*I137*(1+IF(Tech_Specs!$D29=MAX(Tech_Specs!$D$27:$D$31),0,SUMIF(Tech_Specs!$D$27:$D$31,"&gt;"&amp;Tech_Specs!$D29,I$243:I$247)))</f>
        <v>5.009171725357346E-3</v>
      </c>
      <c r="J282" s="201">
        <f t="array" ref="J282">J209*J137*(1+IF(Tech_Specs!$D29=MAX(Tech_Specs!$D$27:$D$31),0,SUMIF(Tech_Specs!$D$27:$D$31,"&gt;"&amp;Tech_Specs!$D29,J$243:J$247)))</f>
        <v>4.7993350277705255E-3</v>
      </c>
      <c r="K282" s="201">
        <f t="array" ref="K282">K209*K137*(1+IF(Tech_Specs!$D29=MAX(Tech_Specs!$D$27:$D$31),0,SUMIF(Tech_Specs!$D$27:$D$31,"&gt;"&amp;Tech_Specs!$D29,K$243:K$247)))</f>
        <v>4.5700863413048942E-3</v>
      </c>
      <c r="L282" s="201">
        <f t="array" ref="L282">L209*L137*(1+IF(Tech_Specs!$D29=MAX(Tech_Specs!$D$27:$D$31),0,SUMIF(Tech_Specs!$D$27:$D$31,"&gt;"&amp;Tech_Specs!$D29,L$243:L$247)))</f>
        <v>4.330204994179721E-3</v>
      </c>
      <c r="M282" s="201">
        <f t="array" ref="M282">M209*M137*(1+IF(Tech_Specs!$D29=MAX(Tech_Specs!$D$27:$D$31),0,SUMIF(Tech_Specs!$D$27:$D$31,"&gt;"&amp;Tech_Specs!$D29,M$243:M$247)))</f>
        <v>4.0900202360294024E-3</v>
      </c>
      <c r="N282" s="201">
        <f t="array" ref="N282">N209*N137*(1+IF(Tech_Specs!$D29=MAX(Tech_Specs!$D$27:$D$31),0,SUMIF(Tech_Specs!$D$27:$D$31,"&gt;"&amp;Tech_Specs!$D29,N$243:N$247)))</f>
        <v>3.8575622457513426E-3</v>
      </c>
      <c r="O282" s="201">
        <f t="array" ref="O282">O209*O137*(1+IF(Tech_Specs!$D29=MAX(Tech_Specs!$D$27:$D$31),0,SUMIF(Tech_Specs!$D$27:$D$31,"&gt;"&amp;Tech_Specs!$D29,O$243:O$247)))</f>
        <v>3.6394746092550511E-3</v>
      </c>
      <c r="P282" s="201">
        <f t="array" ref="P282">P209*P137*(1+IF(Tech_Specs!$D29=MAX(Tech_Specs!$D$27:$D$31),0,SUMIF(Tech_Specs!$D$27:$D$31,"&gt;"&amp;Tech_Specs!$D29,P$243:P$247)))</f>
        <v>3.4406982089116209E-3</v>
      </c>
      <c r="Q282" s="201">
        <f t="array" ref="Q282">Q209*Q137*(1+IF(Tech_Specs!$D29=MAX(Tech_Specs!$D$27:$D$31),0,SUMIF(Tech_Specs!$D$27:$D$31,"&gt;"&amp;Tech_Specs!$D29,Q$243:Q$247)))</f>
        <v>3.2648088211813973E-3</v>
      </c>
      <c r="R282" s="201">
        <f t="array" ref="R282">R209*R137*(1+IF(Tech_Specs!$D29=MAX(Tech_Specs!$D$27:$D$31),0,SUMIF(Tech_Specs!$D$27:$D$31,"&gt;"&amp;Tech_Specs!$D29,R$243:R$247)))</f>
        <v>3.1138649060415018E-3</v>
      </c>
      <c r="S282" s="201">
        <f t="array" ref="S282">S209*S137*(1+IF(Tech_Specs!$D29=MAX(Tech_Specs!$D$27:$D$31),0,SUMIF(Tech_Specs!$D$27:$D$31,"&gt;"&amp;Tech_Specs!$D29,S$243:S$247)))</f>
        <v>2.9881264474988264E-3</v>
      </c>
      <c r="T282" s="201">
        <f t="array" ref="T282">T209*T137*(1+IF(Tech_Specs!$D29=MAX(Tech_Specs!$D$27:$D$31),0,SUMIF(Tech_Specs!$D$27:$D$31,"&gt;"&amp;Tech_Specs!$D29,T$243:T$247)))</f>
        <v>2.8862779389706829E-3</v>
      </c>
      <c r="U282" s="201">
        <f t="array" ref="U282">U209*U137*(1+IF(Tech_Specs!$D29=MAX(Tech_Specs!$D$27:$D$31),0,SUMIF(Tech_Specs!$D$27:$D$31,"&gt;"&amp;Tech_Specs!$D29,U$243:U$247)))</f>
        <v>2.8057622644736381E-3</v>
      </c>
      <c r="V282" s="201">
        <f t="array" ref="V282">V209*V137*(1+IF(Tech_Specs!$D29=MAX(Tech_Specs!$D$27:$D$31),0,SUMIF(Tech_Specs!$D$27:$D$31,"&gt;"&amp;Tech_Specs!$D29,V$243:V$247)))</f>
        <v>2.7433895868846339E-3</v>
      </c>
      <c r="W282" s="201">
        <f t="array" ref="W282">W209*W137*(1+IF(Tech_Specs!$D29=MAX(Tech_Specs!$D$27:$D$31),0,SUMIF(Tech_Specs!$D$27:$D$31,"&gt;"&amp;Tech_Specs!$D29,W$243:W$247)))</f>
        <v>2.6957834575892341E-3</v>
      </c>
      <c r="X282" s="201">
        <f t="array" ref="X282">X209*X137*(1+IF(Tech_Specs!$D29=MAX(Tech_Specs!$D$27:$D$31),0,SUMIF(Tech_Specs!$D$27:$D$31,"&gt;"&amp;Tech_Specs!$D29,X$243:X$247)))</f>
        <v>2.659832553535029E-3</v>
      </c>
      <c r="Y282" s="201">
        <f t="array" ref="Y282">Y209*Y137*(1+IF(Tech_Specs!$D29=MAX(Tech_Specs!$D$27:$D$31),0,SUMIF(Tech_Specs!$D$27:$D$31,"&gt;"&amp;Tech_Specs!$D29,Y$243:Y$247)))</f>
        <v>2.6328529348399964E-3</v>
      </c>
      <c r="Z282" s="201">
        <f t="array" ref="Z282">Z209*Z137*(1+IF(Tech_Specs!$D29=MAX(Tech_Specs!$D$27:$D$31),0,SUMIF(Tech_Specs!$D$27:$D$31,"&gt;"&amp;Tech_Specs!$D29,Z$243:Z$247)))</f>
        <v>2.6126724703391781E-3</v>
      </c>
      <c r="AA282" s="201">
        <f t="array" ref="AA282">AA209*AA137*(1+IF(Tech_Specs!$D29=MAX(Tech_Specs!$D$27:$D$31),0,SUMIF(Tech_Specs!$D$27:$D$31,"&gt;"&amp;Tech_Specs!$D29,AA$243:AA$247)))</f>
        <v>2.5975769137793646E-3</v>
      </c>
      <c r="AB282" s="201">
        <f t="array" ref="AB282">AB209*AB137*(1+IF(Tech_Specs!$D29=MAX(Tech_Specs!$D$27:$D$31),0,SUMIF(Tech_Specs!$D$27:$D$31,"&gt;"&amp;Tech_Specs!$D29,AB$243:AB$247)))</f>
        <v>2.5862114661663509E-3</v>
      </c>
      <c r="AC282" s="201">
        <f t="array" ref="AC282">AC209*AC137*(1+IF(Tech_Specs!$D29=MAX(Tech_Specs!$D$27:$D$31),0,SUMIF(Tech_Specs!$D$27:$D$31,"&gt;"&amp;Tech_Specs!$D29,AC$243:AC$247)))</f>
        <v>2.5776007822792468E-3</v>
      </c>
      <c r="AD282" s="201">
        <f t="array" ref="AD282">AD209*AD137*(1+IF(Tech_Specs!$D29=MAX(Tech_Specs!$D$27:$D$31),0,SUMIF(Tech_Specs!$D$27:$D$31,"&gt;"&amp;Tech_Specs!$D29,AD$243:AD$247)))</f>
        <v>2.5710013079964325E-3</v>
      </c>
      <c r="AE282" s="201">
        <f t="array" ref="AE282">AE209*AE137*(1+IF(Tech_Specs!$D29=MAX(Tech_Specs!$D$27:$D$31),0,SUMIF(Tech_Specs!$D$27:$D$31,"&gt;"&amp;Tech_Specs!$D29,AE$243:AE$247)))</f>
        <v>2.5658605823102101E-3</v>
      </c>
      <c r="AF282" s="201">
        <f t="array" ref="AF282">AF209*AF137*(1+IF(Tech_Specs!$D29=MAX(Tech_Specs!$D$27:$D$31),0,SUMIF(Tech_Specs!$D$27:$D$31,"&gt;"&amp;Tech_Specs!$D29,AF$243:AF$247)))</f>
        <v>2.5617195905413143E-3</v>
      </c>
    </row>
    <row r="283" spans="1:32" s="221" customFormat="1" x14ac:dyDescent="0.25">
      <c r="A283" s="252"/>
      <c r="B283" s="257" t="s">
        <v>46</v>
      </c>
      <c r="C283"/>
      <c r="D283"/>
      <c r="E283"/>
      <c r="F283"/>
      <c r="G283" s="201">
        <f t="array" ref="G283">G210*G138*(1+IF(Tech_Specs!$D30=MAX(Tech_Specs!$D$27:$D$31),0,SUMIF(Tech_Specs!$D$27:$D$31,"&gt;"&amp;Tech_Specs!$D30,G$243:G$247)))</f>
        <v>0</v>
      </c>
      <c r="H283" s="201">
        <f t="array" ref="H283">H210*H138*(1+IF(Tech_Specs!$D30=MAX(Tech_Specs!$D$27:$D$31),0,SUMIF(Tech_Specs!$D$27:$D$31,"&gt;"&amp;Tech_Specs!$D30,H$243:H$247)))</f>
        <v>0</v>
      </c>
      <c r="I283" s="201">
        <f t="array" ref="I283">I210*I138*(1+IF(Tech_Specs!$D30=MAX(Tech_Specs!$D$27:$D$31),0,SUMIF(Tech_Specs!$D$27:$D$31,"&gt;"&amp;Tech_Specs!$D30,I$243:I$247)))</f>
        <v>0</v>
      </c>
      <c r="J283" s="201">
        <f t="array" ref="J283">J210*J138*(1+IF(Tech_Specs!$D30=MAX(Tech_Specs!$D$27:$D$31),0,SUMIF(Tech_Specs!$D$27:$D$31,"&gt;"&amp;Tech_Specs!$D30,J$243:J$247)))</f>
        <v>0</v>
      </c>
      <c r="K283" s="201">
        <f t="array" ref="K283">K210*K138*(1+IF(Tech_Specs!$D30=MAX(Tech_Specs!$D$27:$D$31),0,SUMIF(Tech_Specs!$D$27:$D$31,"&gt;"&amp;Tech_Specs!$D30,K$243:K$247)))</f>
        <v>0</v>
      </c>
      <c r="L283" s="201">
        <f t="array" ref="L283">L210*L138*(1+IF(Tech_Specs!$D30=MAX(Tech_Specs!$D$27:$D$31),0,SUMIF(Tech_Specs!$D$27:$D$31,"&gt;"&amp;Tech_Specs!$D30,L$243:L$247)))</f>
        <v>0</v>
      </c>
      <c r="M283" s="201">
        <f t="array" ref="M283">M210*M138*(1+IF(Tech_Specs!$D30=MAX(Tech_Specs!$D$27:$D$31),0,SUMIF(Tech_Specs!$D$27:$D$31,"&gt;"&amp;Tech_Specs!$D30,M$243:M$247)))</f>
        <v>0</v>
      </c>
      <c r="N283" s="201">
        <f t="array" ref="N283">N210*N138*(1+IF(Tech_Specs!$D30=MAX(Tech_Specs!$D$27:$D$31),0,SUMIF(Tech_Specs!$D$27:$D$31,"&gt;"&amp;Tech_Specs!$D30,N$243:N$247)))</f>
        <v>0</v>
      </c>
      <c r="O283" s="201">
        <f t="array" ref="O283">O210*O138*(1+IF(Tech_Specs!$D30=MAX(Tech_Specs!$D$27:$D$31),0,SUMIF(Tech_Specs!$D$27:$D$31,"&gt;"&amp;Tech_Specs!$D30,O$243:O$247)))</f>
        <v>0</v>
      </c>
      <c r="P283" s="201">
        <f t="array" ref="P283">P210*P138*(1+IF(Tech_Specs!$D30=MAX(Tech_Specs!$D$27:$D$31),0,SUMIF(Tech_Specs!$D$27:$D$31,"&gt;"&amp;Tech_Specs!$D30,P$243:P$247)))</f>
        <v>0</v>
      </c>
      <c r="Q283" s="201">
        <f t="array" ref="Q283">Q210*Q138*(1+IF(Tech_Specs!$D30=MAX(Tech_Specs!$D$27:$D$31),0,SUMIF(Tech_Specs!$D$27:$D$31,"&gt;"&amp;Tech_Specs!$D30,Q$243:Q$247)))</f>
        <v>0</v>
      </c>
      <c r="R283" s="201">
        <f t="array" ref="R283">R210*R138*(1+IF(Tech_Specs!$D30=MAX(Tech_Specs!$D$27:$D$31),0,SUMIF(Tech_Specs!$D$27:$D$31,"&gt;"&amp;Tech_Specs!$D30,R$243:R$247)))</f>
        <v>0</v>
      </c>
      <c r="S283" s="201">
        <f t="array" ref="S283">S210*S138*(1+IF(Tech_Specs!$D30=MAX(Tech_Specs!$D$27:$D$31),0,SUMIF(Tech_Specs!$D$27:$D$31,"&gt;"&amp;Tech_Specs!$D30,S$243:S$247)))</f>
        <v>0</v>
      </c>
      <c r="T283" s="201">
        <f t="array" ref="T283">T210*T138*(1+IF(Tech_Specs!$D30=MAX(Tech_Specs!$D$27:$D$31),0,SUMIF(Tech_Specs!$D$27:$D$31,"&gt;"&amp;Tech_Specs!$D30,T$243:T$247)))</f>
        <v>0</v>
      </c>
      <c r="U283" s="201">
        <f t="array" ref="U283">U210*U138*(1+IF(Tech_Specs!$D30=MAX(Tech_Specs!$D$27:$D$31),0,SUMIF(Tech_Specs!$D$27:$D$31,"&gt;"&amp;Tech_Specs!$D30,U$243:U$247)))</f>
        <v>0</v>
      </c>
      <c r="V283" s="201">
        <f t="array" ref="V283">V210*V138*(1+IF(Tech_Specs!$D30=MAX(Tech_Specs!$D$27:$D$31),0,SUMIF(Tech_Specs!$D$27:$D$31,"&gt;"&amp;Tech_Specs!$D30,V$243:V$247)))</f>
        <v>0</v>
      </c>
      <c r="W283" s="201">
        <f t="array" ref="W283">W210*W138*(1+IF(Tech_Specs!$D30=MAX(Tech_Specs!$D$27:$D$31),0,SUMIF(Tech_Specs!$D$27:$D$31,"&gt;"&amp;Tech_Specs!$D30,W$243:W$247)))</f>
        <v>0</v>
      </c>
      <c r="X283" s="201">
        <f t="array" ref="X283">X210*X138*(1+IF(Tech_Specs!$D30=MAX(Tech_Specs!$D$27:$D$31),0,SUMIF(Tech_Specs!$D$27:$D$31,"&gt;"&amp;Tech_Specs!$D30,X$243:X$247)))</f>
        <v>0</v>
      </c>
      <c r="Y283" s="201">
        <f t="array" ref="Y283">Y210*Y138*(1+IF(Tech_Specs!$D30=MAX(Tech_Specs!$D$27:$D$31),0,SUMIF(Tech_Specs!$D$27:$D$31,"&gt;"&amp;Tech_Specs!$D30,Y$243:Y$247)))</f>
        <v>0</v>
      </c>
      <c r="Z283" s="201">
        <f t="array" ref="Z283">Z210*Z138*(1+IF(Tech_Specs!$D30=MAX(Tech_Specs!$D$27:$D$31),0,SUMIF(Tech_Specs!$D$27:$D$31,"&gt;"&amp;Tech_Specs!$D30,Z$243:Z$247)))</f>
        <v>0</v>
      </c>
      <c r="AA283" s="201">
        <f t="array" ref="AA283">AA210*AA138*(1+IF(Tech_Specs!$D30=MAX(Tech_Specs!$D$27:$D$31),0,SUMIF(Tech_Specs!$D$27:$D$31,"&gt;"&amp;Tech_Specs!$D30,AA$243:AA$247)))</f>
        <v>0</v>
      </c>
      <c r="AB283" s="201">
        <f t="array" ref="AB283">AB210*AB138*(1+IF(Tech_Specs!$D30=MAX(Tech_Specs!$D$27:$D$31),0,SUMIF(Tech_Specs!$D$27:$D$31,"&gt;"&amp;Tech_Specs!$D30,AB$243:AB$247)))</f>
        <v>0</v>
      </c>
      <c r="AC283" s="201">
        <f t="array" ref="AC283">AC210*AC138*(1+IF(Tech_Specs!$D30=MAX(Tech_Specs!$D$27:$D$31),0,SUMIF(Tech_Specs!$D$27:$D$31,"&gt;"&amp;Tech_Specs!$D30,AC$243:AC$247)))</f>
        <v>0</v>
      </c>
      <c r="AD283" s="201">
        <f t="array" ref="AD283">AD210*AD138*(1+IF(Tech_Specs!$D30=MAX(Tech_Specs!$D$27:$D$31),0,SUMIF(Tech_Specs!$D$27:$D$31,"&gt;"&amp;Tech_Specs!$D30,AD$243:AD$247)))</f>
        <v>0</v>
      </c>
      <c r="AE283" s="201">
        <f t="array" ref="AE283">AE210*AE138*(1+IF(Tech_Specs!$D30=MAX(Tech_Specs!$D$27:$D$31),0,SUMIF(Tech_Specs!$D$27:$D$31,"&gt;"&amp;Tech_Specs!$D30,AE$243:AE$247)))</f>
        <v>0</v>
      </c>
      <c r="AF283" s="201">
        <f t="array" ref="AF283">AF210*AF138*(1+IF(Tech_Specs!$D30=MAX(Tech_Specs!$D$27:$D$31),0,SUMIF(Tech_Specs!$D$27:$D$31,"&gt;"&amp;Tech_Specs!$D30,AF$243:AF$247)))</f>
        <v>0</v>
      </c>
    </row>
    <row r="284" spans="1:32" s="221" customFormat="1" x14ac:dyDescent="0.25">
      <c r="A284" s="252"/>
      <c r="B284" s="252" t="s">
        <v>29</v>
      </c>
      <c r="C284"/>
      <c r="D284"/>
      <c r="E284"/>
      <c r="F284"/>
      <c r="G284" s="201">
        <f t="array" ref="G284">G211*G139*(1+IF(Tech_Specs!$D31=MAX(Tech_Specs!$D$27:$D$31),0,SUMIF(Tech_Specs!$D$27:$D$31,"&gt;"&amp;Tech_Specs!$D31,G$243:G$247)))</f>
        <v>5.2046640365805703E-2</v>
      </c>
      <c r="H284" s="201">
        <f t="array" ref="H284">H211*H139*(1+IF(Tech_Specs!$D31=MAX(Tech_Specs!$D$27:$D$31),0,SUMIF(Tech_Specs!$D$27:$D$31,"&gt;"&amp;Tech_Specs!$D31,H$243:H$247)))</f>
        <v>7.9712326758651725E-2</v>
      </c>
      <c r="I284" s="201">
        <f t="array" ref="I284">I211*I139*(1+IF(Tech_Specs!$D31=MAX(Tech_Specs!$D$27:$D$31),0,SUMIF(Tech_Specs!$D$27:$D$31,"&gt;"&amp;Tech_Specs!$D31,I$243:I$247)))</f>
        <v>0.11169510636525348</v>
      </c>
      <c r="J284" s="201">
        <f t="array" ref="J284">J211*J139*(1+IF(Tech_Specs!$D31=MAX(Tech_Specs!$D$27:$D$31),0,SUMIF(Tech_Specs!$D$27:$D$31,"&gt;"&amp;Tech_Specs!$D31,J$243:J$247)))</f>
        <v>0.14839269653488502</v>
      </c>
      <c r="K284" s="201">
        <f t="array" ref="K284">K211*K139*(1+IF(Tech_Specs!$D31=MAX(Tech_Specs!$D$27:$D$31),0,SUMIF(Tech_Specs!$D$27:$D$31,"&gt;"&amp;Tech_Specs!$D31,K$243:K$247)))</f>
        <v>0.18871298893434033</v>
      </c>
      <c r="L284" s="201">
        <f t="array" ref="L284">L211*L139*(1+IF(Tech_Specs!$D31=MAX(Tech_Specs!$D$27:$D$31),0,SUMIF(Tech_Specs!$D$27:$D$31,"&gt;"&amp;Tech_Specs!$D31,L$243:L$247)))</f>
        <v>0.23094207721804708</v>
      </c>
      <c r="M284" s="201">
        <f t="array" ref="M284">M211*M139*(1+IF(Tech_Specs!$D31=MAX(Tech_Specs!$D$27:$D$31),0,SUMIF(Tech_Specs!$D$27:$D$31,"&gt;"&amp;Tech_Specs!$D31,M$243:M$247)))</f>
        <v>0.27336137897929169</v>
      </c>
      <c r="N284" s="201">
        <f t="array" ref="N284">N211*N139*(1+IF(Tech_Specs!$D31=MAX(Tech_Specs!$D$27:$D$31),0,SUMIF(Tech_Specs!$D$27:$D$31,"&gt;"&amp;Tech_Specs!$D31,N$243:N$247)))</f>
        <v>0.31441588190239445</v>
      </c>
      <c r="O284" s="201">
        <f t="array" ref="O284">O211*O139*(1+IF(Tech_Specs!$D31=MAX(Tech_Specs!$D$27:$D$31),0,SUMIF(Tech_Specs!$D$27:$D$31,"&gt;"&amp;Tech_Specs!$D31,O$243:O$247)))</f>
        <v>0.35293854479274495</v>
      </c>
      <c r="P284" s="201">
        <f t="array" ref="P284">P211*P139*(1+IF(Tech_Specs!$D31=MAX(Tech_Specs!$D$27:$D$31),0,SUMIF(Tech_Specs!$D$27:$D$31,"&gt;"&amp;Tech_Specs!$D31,P$243:P$247)))</f>
        <v>0.38803771296220996</v>
      </c>
      <c r="Q284" s="201">
        <f t="array" ref="Q284">Q211*Q139*(1+IF(Tech_Specs!$D31=MAX(Tech_Specs!$D$27:$D$31),0,SUMIF(Tech_Specs!$D$27:$D$31,"&gt;"&amp;Tech_Specs!$D31,Q$243:Q$247)))</f>
        <v>0.41910788109862929</v>
      </c>
      <c r="R284" s="201">
        <f t="array" ref="R284">R211*R139*(1+IF(Tech_Specs!$D31=MAX(Tech_Specs!$D$27:$D$31),0,SUMIF(Tech_Specs!$D$27:$D$31,"&gt;"&amp;Tech_Specs!$D31,R$243:R$247)))</f>
        <v>0.44577743090460531</v>
      </c>
      <c r="S284" s="201">
        <f t="array" ref="S284">S211*S139*(1+IF(Tech_Specs!$D31=MAX(Tech_Specs!$D$27:$D$31),0,SUMIF(Tech_Specs!$D$27:$D$31,"&gt;"&amp;Tech_Specs!$D31,S$243:S$247)))</f>
        <v>0.46797594645304835</v>
      </c>
      <c r="T284" s="201">
        <f t="array" ref="T284">T211*T139*(1+IF(Tech_Specs!$D31=MAX(Tech_Specs!$D$27:$D$31),0,SUMIF(Tech_Specs!$D$27:$D$31,"&gt;"&amp;Tech_Specs!$D31,T$243:T$247)))</f>
        <v>0.485937449057882</v>
      </c>
      <c r="U284" s="201">
        <f t="array" ref="U284">U211*U139*(1+IF(Tech_Specs!$D31=MAX(Tech_Specs!$D$27:$D$31),0,SUMIF(Tech_Specs!$D$27:$D$31,"&gt;"&amp;Tech_Specs!$D31,U$243:U$247)))</f>
        <v>0.50011528804104044</v>
      </c>
      <c r="V284" s="201">
        <f t="array" ref="V284">V211*V139*(1+IF(Tech_Specs!$D31=MAX(Tech_Specs!$D$27:$D$31),0,SUMIF(Tech_Specs!$D$27:$D$31,"&gt;"&amp;Tech_Specs!$D31,V$243:V$247)))</f>
        <v>0.51106447383232534</v>
      </c>
      <c r="W284" s="201">
        <f t="array" ref="W284">W211*W139*(1+IF(Tech_Specs!$D31=MAX(Tech_Specs!$D$27:$D$31),0,SUMIF(Tech_Specs!$D$27:$D$31,"&gt;"&amp;Tech_Specs!$D31,W$243:W$247)))</f>
        <v>0.51939389877789965</v>
      </c>
      <c r="X284" s="201">
        <f t="array" ref="X284">X211*X139*(1+IF(Tech_Specs!$D31=MAX(Tech_Specs!$D$27:$D$31),0,SUMIF(Tech_Specs!$D$27:$D$31,"&gt;"&amp;Tech_Specs!$D31,X$243:X$247)))</f>
        <v>0.52565433236884052</v>
      </c>
      <c r="Y284" s="201">
        <f t="array" ref="Y284">Y211*Y139*(1+IF(Tech_Specs!$D31=MAX(Tech_Specs!$D$27:$D$31),0,SUMIF(Tech_Specs!$D$27:$D$31,"&gt;"&amp;Tech_Specs!$D31,Y$243:Y$247)))</f>
        <v>0.53032278602971383</v>
      </c>
      <c r="Z284" s="201">
        <f t="array" ref="Z284">Z211*Z139*(1+IF(Tech_Specs!$D31=MAX(Tech_Specs!$D$27:$D$31),0,SUMIF(Tech_Specs!$D$27:$D$31,"&gt;"&amp;Tech_Specs!$D31,Z$243:Z$247)))</f>
        <v>0.5337806029810318</v>
      </c>
      <c r="AA284" s="201">
        <f t="array" ref="AA284">AA211*AA139*(1+IF(Tech_Specs!$D31=MAX(Tech_Specs!$D$27:$D$31),0,SUMIF(Tech_Specs!$D$27:$D$31,"&gt;"&amp;Tech_Specs!$D31,AA$243:AA$247)))</f>
        <v>0.53633060800638532</v>
      </c>
      <c r="AB284" s="201">
        <f t="array" ref="AB284">AB211*AB139*(1+IF(Tech_Specs!$D31=MAX(Tech_Specs!$D$27:$D$31),0,SUMIF(Tech_Specs!$D$27:$D$31,"&gt;"&amp;Tech_Specs!$D31,AB$243:AB$247)))</f>
        <v>0.53822147234421225</v>
      </c>
      <c r="AC284" s="201">
        <f t="array" ref="AC284">AC211*AC139*(1+IF(Tech_Specs!$D31=MAX(Tech_Specs!$D$27:$D$31),0,SUMIF(Tech_Specs!$D$27:$D$31,"&gt;"&amp;Tech_Specs!$D31,AC$243:AC$247)))</f>
        <v>0.53962175817447322</v>
      </c>
      <c r="AD284" s="201">
        <f t="array" ref="AD284">AD211*AD139*(1+IF(Tech_Specs!$D31=MAX(Tech_Specs!$D$27:$D$31),0,SUMIF(Tech_Specs!$D$27:$D$31,"&gt;"&amp;Tech_Specs!$D31,AD$243:AD$247)))</f>
        <v>0.54066477040667504</v>
      </c>
      <c r="AE284" s="201">
        <f t="array" ref="AE284">AE211*AE139*(1+IF(Tech_Specs!$D31=MAX(Tech_Specs!$D$27:$D$31),0,SUMIF(Tech_Specs!$D$27:$D$31,"&gt;"&amp;Tech_Specs!$D31,AE$243:AE$247)))</f>
        <v>0.54145048827016851</v>
      </c>
      <c r="AF284" s="201">
        <f t="array" ref="AF284">AF211*AF139*(1+IF(Tech_Specs!$D31=MAX(Tech_Specs!$D$27:$D$31),0,SUMIF(Tech_Specs!$D$27:$D$31,"&gt;"&amp;Tech_Specs!$D31,AF$243:AF$247)))</f>
        <v>0.54207199256757488</v>
      </c>
    </row>
    <row r="285" spans="1:32" s="221" customFormat="1" x14ac:dyDescent="0.25">
      <c r="A285" s="252"/>
      <c r="B285" s="252"/>
      <c r="C285"/>
      <c r="D285"/>
      <c r="E285"/>
      <c r="F285"/>
      <c r="G285"/>
      <c r="H285"/>
      <c r="I285"/>
      <c r="J285"/>
      <c r="K285"/>
      <c r="L285"/>
      <c r="M285"/>
      <c r="N285"/>
      <c r="O285"/>
      <c r="P285"/>
      <c r="Q285"/>
      <c r="R285"/>
      <c r="S285"/>
      <c r="T285"/>
      <c r="U285"/>
      <c r="V285"/>
      <c r="W285"/>
      <c r="X285"/>
      <c r="Y285"/>
      <c r="Z285"/>
      <c r="AA285"/>
      <c r="AB285"/>
      <c r="AC285"/>
      <c r="AD285"/>
      <c r="AE285"/>
      <c r="AF285"/>
    </row>
    <row r="286" spans="1:32" s="202" customFormat="1" ht="12.75" x14ac:dyDescent="0.2">
      <c r="A286" s="267" t="s">
        <v>47</v>
      </c>
      <c r="B286" s="267"/>
      <c r="C286" s="267"/>
      <c r="D286" s="267"/>
      <c r="E286" s="267"/>
      <c r="F286" s="267"/>
      <c r="G286" s="402"/>
      <c r="H286" s="402"/>
      <c r="I286" s="402"/>
      <c r="J286" s="402"/>
      <c r="K286" s="402"/>
      <c r="L286" s="402"/>
      <c r="M286" s="402"/>
      <c r="N286" s="402"/>
      <c r="O286" s="402"/>
      <c r="P286" s="402"/>
      <c r="Q286" s="402"/>
      <c r="R286" s="402"/>
      <c r="S286" s="402"/>
      <c r="T286" s="402"/>
      <c r="U286" s="402"/>
      <c r="V286" s="402"/>
      <c r="W286" s="402"/>
      <c r="X286" s="402"/>
      <c r="Y286" s="402"/>
      <c r="Z286" s="402"/>
      <c r="AA286" s="402"/>
      <c r="AB286" s="402"/>
      <c r="AC286" s="402"/>
      <c r="AD286" s="402"/>
      <c r="AE286" s="402"/>
      <c r="AF286" s="402"/>
    </row>
    <row r="287" spans="1:32" s="221" customFormat="1" x14ac:dyDescent="0.25">
      <c r="A287" s="252"/>
      <c r="B287" s="252" t="s">
        <v>48</v>
      </c>
      <c r="C287"/>
      <c r="D287"/>
      <c r="E287"/>
      <c r="F287"/>
      <c r="G287" s="201">
        <f>EXP(G106)*G142/(EXP(G106)*G142+EXP(G$110)*G$146)</f>
        <v>0.92401144301851856</v>
      </c>
      <c r="H287" s="201">
        <f t="shared" ref="H287:AF290" si="9">EXP(H106)*H142/(EXP(H106)*H142+EXP(H$110)*H$146)</f>
        <v>0.60311728507386653</v>
      </c>
      <c r="I287" s="201">
        <f t="shared" si="9"/>
        <v>0.37660100204567898</v>
      </c>
      <c r="J287" s="201">
        <f t="shared" si="9"/>
        <v>0.23548369451116377</v>
      </c>
      <c r="K287" s="201">
        <f t="shared" si="9"/>
        <v>0.14889598842427121</v>
      </c>
      <c r="L287" s="201">
        <f t="shared" si="9"/>
        <v>9.9002725374972136E-2</v>
      </c>
      <c r="M287" s="201">
        <f t="shared" si="9"/>
        <v>6.5805724651373895E-2</v>
      </c>
      <c r="N287" s="201">
        <f t="shared" si="9"/>
        <v>4.6944865956532994E-2</v>
      </c>
      <c r="O287" s="201">
        <f t="shared" si="9"/>
        <v>3.5438608114812267E-2</v>
      </c>
      <c r="P287" s="201">
        <f t="shared" si="9"/>
        <v>2.8428981799195514E-2</v>
      </c>
      <c r="Q287" s="201">
        <f t="shared" si="9"/>
        <v>2.3325092203620234E-2</v>
      </c>
      <c r="R287" s="201">
        <f t="shared" si="9"/>
        <v>1.9461490956138475E-2</v>
      </c>
      <c r="S287" s="201">
        <f t="shared" si="9"/>
        <v>1.6682108725176639E-2</v>
      </c>
      <c r="T287" s="201">
        <f t="shared" si="9"/>
        <v>1.4560453014490308E-2</v>
      </c>
      <c r="U287" s="201">
        <f t="shared" si="9"/>
        <v>1.2857130214982984E-2</v>
      </c>
      <c r="V287" s="201">
        <f t="shared" si="9"/>
        <v>1.1593150487081188E-2</v>
      </c>
      <c r="W287" s="201">
        <f t="shared" si="9"/>
        <v>1.0505191567419546E-2</v>
      </c>
      <c r="X287" s="201">
        <f t="shared" si="9"/>
        <v>9.5571397581845682E-3</v>
      </c>
      <c r="Y287" s="201">
        <f t="shared" si="9"/>
        <v>8.7037080714596933E-3</v>
      </c>
      <c r="Z287" s="201">
        <f t="shared" si="9"/>
        <v>7.9735988294365283E-3</v>
      </c>
      <c r="AA287" s="201">
        <f t="shared" si="9"/>
        <v>7.3607048850442419E-3</v>
      </c>
      <c r="AB287" s="201">
        <f t="shared" si="9"/>
        <v>6.7607435565872325E-3</v>
      </c>
      <c r="AC287" s="201">
        <f t="shared" si="9"/>
        <v>6.2176354251752362E-3</v>
      </c>
      <c r="AD287" s="201">
        <f t="shared" si="9"/>
        <v>5.7128128356054159E-3</v>
      </c>
      <c r="AE287" s="201">
        <f t="shared" si="9"/>
        <v>5.2269324491657932E-3</v>
      </c>
      <c r="AF287" s="201">
        <f t="shared" si="9"/>
        <v>4.6689115315861635E-3</v>
      </c>
    </row>
    <row r="288" spans="1:32" s="221" customFormat="1" x14ac:dyDescent="0.25">
      <c r="A288" s="252"/>
      <c r="B288" s="257" t="s">
        <v>50</v>
      </c>
      <c r="C288"/>
      <c r="D288"/>
      <c r="E288"/>
      <c r="F288"/>
      <c r="G288" s="201">
        <f>EXP(G107)*G143/(EXP(G107)*G143+EXP(G$110)*G$146)</f>
        <v>0.98663517527142242</v>
      </c>
      <c r="H288" s="201">
        <f t="shared" si="9"/>
        <v>0.90231040550062114</v>
      </c>
      <c r="I288" s="201">
        <f t="shared" si="9"/>
        <v>0.77429622559059297</v>
      </c>
      <c r="J288" s="201">
        <f t="shared" si="9"/>
        <v>0.62577379516679843</v>
      </c>
      <c r="K288" s="201">
        <f t="shared" si="9"/>
        <v>0.48037622915084782</v>
      </c>
      <c r="L288" s="201">
        <f t="shared" si="9"/>
        <v>0.3675175487172696</v>
      </c>
      <c r="M288" s="201">
        <f t="shared" si="9"/>
        <v>0.27467783195840606</v>
      </c>
      <c r="N288" s="201">
        <f t="shared" si="9"/>
        <v>0.21115947690834877</v>
      </c>
      <c r="O288" s="201">
        <f t="shared" si="9"/>
        <v>0.16755234987768539</v>
      </c>
      <c r="P288" s="201">
        <f t="shared" si="9"/>
        <v>0.13849877130862556</v>
      </c>
      <c r="Q288" s="201">
        <f t="shared" si="9"/>
        <v>0.11660279782717767</v>
      </c>
      <c r="R288" s="201">
        <f t="shared" si="9"/>
        <v>9.9729350288240939E-2</v>
      </c>
      <c r="S288" s="201">
        <f t="shared" si="9"/>
        <v>8.721531885393681E-2</v>
      </c>
      <c r="T288" s="201">
        <f t="shared" si="9"/>
        <v>7.7508636523007352E-2</v>
      </c>
      <c r="U288" s="201">
        <f t="shared" si="9"/>
        <v>6.9668211179244224E-2</v>
      </c>
      <c r="V288" s="201">
        <f t="shared" si="9"/>
        <v>6.3740710114261648E-2</v>
      </c>
      <c r="W288" s="201">
        <f t="shared" si="9"/>
        <v>5.8666337721272985E-2</v>
      </c>
      <c r="X288" s="201">
        <f t="shared" si="9"/>
        <v>5.4257900113742617E-2</v>
      </c>
      <c r="Y288" s="201">
        <f t="shared" si="9"/>
        <v>5.0297651101890696E-2</v>
      </c>
      <c r="Z288" s="201">
        <f t="shared" si="9"/>
        <v>4.688458282012764E-2</v>
      </c>
      <c r="AA288" s="201">
        <f t="shared" si="9"/>
        <v>4.398789037847859E-2</v>
      </c>
      <c r="AB288" s="201">
        <f t="shared" si="9"/>
        <v>4.1147234854739145E-2</v>
      </c>
      <c r="AC288" s="201">
        <f t="shared" si="9"/>
        <v>3.8545116783299319E-2</v>
      </c>
      <c r="AD288" s="201">
        <f t="shared" si="9"/>
        <v>3.6095334886023921E-2</v>
      </c>
      <c r="AE288" s="201">
        <f t="shared" si="9"/>
        <v>3.3704583937026827E-2</v>
      </c>
      <c r="AF288" s="201">
        <f t="shared" si="9"/>
        <v>3.0923887055676436E-2</v>
      </c>
    </row>
    <row r="289" spans="1:32" s="221" customFormat="1" x14ac:dyDescent="0.25">
      <c r="A289" s="252"/>
      <c r="B289" s="252" t="s">
        <v>51</v>
      </c>
      <c r="C289"/>
      <c r="D289"/>
      <c r="E289"/>
      <c r="F289"/>
      <c r="G289" s="201">
        <f>EXP(G108)*G144/(EXP(G108)*G144+EXP(G$110)*G$146)</f>
        <v>0.99470539052255869</v>
      </c>
      <c r="H289" s="201">
        <f t="shared" si="9"/>
        <v>0.96538015460936699</v>
      </c>
      <c r="I289" s="201">
        <f t="shared" si="9"/>
        <v>0.91783213596590751</v>
      </c>
      <c r="J289" s="201">
        <f t="shared" si="9"/>
        <v>0.85703043205969121</v>
      </c>
      <c r="K289" s="201">
        <f t="shared" si="9"/>
        <v>0.78814530205800215</v>
      </c>
      <c r="L289" s="201">
        <f t="shared" si="9"/>
        <v>0.71751401485140087</v>
      </c>
      <c r="M289" s="201">
        <f t="shared" si="9"/>
        <v>0.64790176926279019</v>
      </c>
      <c r="N289" s="201">
        <f t="shared" si="9"/>
        <v>0.58469048340639462</v>
      </c>
      <c r="O289" s="201">
        <f t="shared" si="9"/>
        <v>0.52964397351896342</v>
      </c>
      <c r="P289" s="201">
        <f t="shared" si="9"/>
        <v>0.48363309420870609</v>
      </c>
      <c r="Q289" s="201">
        <f t="shared" si="9"/>
        <v>0.44478625961299223</v>
      </c>
      <c r="R289" s="201">
        <f t="shared" si="9"/>
        <v>0.41287265035480353</v>
      </c>
      <c r="S289" s="201">
        <f t="shared" si="9"/>
        <v>0.38673824177036281</v>
      </c>
      <c r="T289" s="201">
        <f t="shared" si="9"/>
        <v>0.36531502543277283</v>
      </c>
      <c r="U289" s="201">
        <f t="shared" si="9"/>
        <v>0.34772023085200121</v>
      </c>
      <c r="V289" s="201">
        <f t="shared" si="9"/>
        <v>0.33373760742071729</v>
      </c>
      <c r="W289" s="201">
        <f t="shared" si="9"/>
        <v>0.32223233659725636</v>
      </c>
      <c r="X289" s="201">
        <f t="shared" si="9"/>
        <v>0.31271352204069941</v>
      </c>
      <c r="Y289" s="201">
        <f t="shared" si="9"/>
        <v>0.30468254273648226</v>
      </c>
      <c r="Z289" s="201">
        <f t="shared" si="9"/>
        <v>0.2979886264863858</v>
      </c>
      <c r="AA289" s="201">
        <f t="shared" si="9"/>
        <v>0.29242382196937422</v>
      </c>
      <c r="AB289" s="201">
        <f t="shared" si="9"/>
        <v>0.28733585748625118</v>
      </c>
      <c r="AC289" s="201">
        <f t="shared" si="9"/>
        <v>0.28279200801489968</v>
      </c>
      <c r="AD289" s="201">
        <f t="shared" si="9"/>
        <v>0.27859791801559869</v>
      </c>
      <c r="AE289" s="201">
        <f t="shared" si="9"/>
        <v>0.27455631018041776</v>
      </c>
      <c r="AF289" s="201">
        <f t="shared" si="9"/>
        <v>0.26994629782074364</v>
      </c>
    </row>
    <row r="290" spans="1:32" s="221" customFormat="1" x14ac:dyDescent="0.25">
      <c r="A290" s="252"/>
      <c r="B290" s="252" t="s">
        <v>52</v>
      </c>
      <c r="C290"/>
      <c r="D290"/>
      <c r="E290"/>
      <c r="F290"/>
      <c r="G290" s="201">
        <f>EXP(G109)*G145/(EXP(G109)*G145+EXP(G$110)*G$146)</f>
        <v>0.99001599505969617</v>
      </c>
      <c r="H290" s="201">
        <f t="shared" si="9"/>
        <v>0.92627186622707702</v>
      </c>
      <c r="I290" s="201">
        <f t="shared" si="9"/>
        <v>0.81603703824049678</v>
      </c>
      <c r="J290" s="201">
        <f t="shared" si="9"/>
        <v>0.68151249641121869</v>
      </c>
      <c r="K290" s="201">
        <f t="shared" si="9"/>
        <v>0.54829748564751357</v>
      </c>
      <c r="L290" s="201">
        <f t="shared" si="9"/>
        <v>0.43550129540418059</v>
      </c>
      <c r="M290" s="201">
        <f t="shared" si="9"/>
        <v>0.34489260266457872</v>
      </c>
      <c r="N290" s="201">
        <f t="shared" si="9"/>
        <v>0.27779044512330259</v>
      </c>
      <c r="O290" s="201">
        <f t="shared" si="9"/>
        <v>0.22902256589721451</v>
      </c>
      <c r="P290" s="201">
        <f t="shared" si="9"/>
        <v>0.19410820319032521</v>
      </c>
      <c r="Q290" s="201">
        <f t="shared" si="9"/>
        <v>0.16811578925308779</v>
      </c>
      <c r="R290" s="201">
        <f t="shared" si="9"/>
        <v>0.14879687087255403</v>
      </c>
      <c r="S290" s="201">
        <f t="shared" si="9"/>
        <v>0.13428920726615565</v>
      </c>
      <c r="T290" s="201">
        <f t="shared" si="9"/>
        <v>0.12319111739779773</v>
      </c>
      <c r="U290" s="201">
        <f t="shared" si="9"/>
        <v>0.1145579614042839</v>
      </c>
      <c r="V290" s="201">
        <f t="shared" si="9"/>
        <v>0.10801968528620967</v>
      </c>
      <c r="W290" s="201">
        <f t="shared" si="9"/>
        <v>0.10280886389031492</v>
      </c>
      <c r="X290" s="201">
        <f t="shared" si="9"/>
        <v>9.860211064453682E-2</v>
      </c>
      <c r="Y290" s="201">
        <f t="shared" si="9"/>
        <v>9.5112058437047411E-2</v>
      </c>
      <c r="Z290" s="201">
        <f t="shared" si="9"/>
        <v>9.2252966910241638E-2</v>
      </c>
      <c r="AA290" s="201">
        <f t="shared" si="9"/>
        <v>8.9916669699515103E-2</v>
      </c>
      <c r="AB290" s="201">
        <f t="shared" si="9"/>
        <v>8.777927167538796E-2</v>
      </c>
      <c r="AC290" s="201">
        <f t="shared" si="9"/>
        <v>8.5882074368523187E-2</v>
      </c>
      <c r="AD290" s="201">
        <f t="shared" si="9"/>
        <v>8.413467930767729E-2</v>
      </c>
      <c r="AE290" s="201">
        <f t="shared" si="9"/>
        <v>8.2446406179458517E-2</v>
      </c>
      <c r="AF290" s="201">
        <f t="shared" si="9"/>
        <v>8.047801741180112E-2</v>
      </c>
    </row>
    <row r="291" spans="1:32" s="221" customFormat="1" x14ac:dyDescent="0.25">
      <c r="A291" s="252"/>
      <c r="B291" s="257" t="s">
        <v>29</v>
      </c>
      <c r="C291"/>
      <c r="D291"/>
      <c r="E291"/>
      <c r="F291"/>
      <c r="G291"/>
      <c r="H291"/>
      <c r="I291"/>
      <c r="J291"/>
      <c r="K291"/>
      <c r="L291"/>
      <c r="M291"/>
      <c r="N291"/>
      <c r="O291"/>
      <c r="P291"/>
      <c r="Q291"/>
      <c r="R291"/>
      <c r="S291"/>
      <c r="T291"/>
      <c r="U291"/>
      <c r="V291"/>
      <c r="W291"/>
      <c r="X291"/>
      <c r="Y291"/>
      <c r="Z291"/>
      <c r="AA291"/>
      <c r="AB291"/>
      <c r="AC291"/>
      <c r="AD291"/>
      <c r="AE291"/>
      <c r="AF291"/>
    </row>
    <row r="292" spans="1:32" s="221" customFormat="1" x14ac:dyDescent="0.25">
      <c r="A292" s="252"/>
      <c r="B292" s="257" t="s">
        <v>53</v>
      </c>
      <c r="C292"/>
      <c r="D292"/>
      <c r="E292"/>
      <c r="F292"/>
      <c r="G292" s="201">
        <f>EXP(G111)*G147/(EXP(G111)*G147+EXP(G$110)*G$146)</f>
        <v>0.99389119765965661</v>
      </c>
      <c r="H292" s="201">
        <f t="shared" ref="H292:AF292" si="10">EXP(H111)*H147/(EXP(H111)*H147+EXP(H$110)*H$146)</f>
        <v>0.96022534379323887</v>
      </c>
      <c r="I292" s="201">
        <f t="shared" si="10"/>
        <v>0.90647334667627399</v>
      </c>
      <c r="J292" s="201">
        <f t="shared" si="10"/>
        <v>0.83882316576613558</v>
      </c>
      <c r="K292" s="201">
        <f t="shared" si="10"/>
        <v>0.76342829781046295</v>
      </c>
      <c r="L292" s="201">
        <f t="shared" si="10"/>
        <v>0.68775805028738879</v>
      </c>
      <c r="M292" s="201">
        <f t="shared" si="10"/>
        <v>0.61434796210644915</v>
      </c>
      <c r="N292" s="201">
        <f t="shared" si="10"/>
        <v>0.54901065997801857</v>
      </c>
      <c r="O292" s="201">
        <f t="shared" si="10"/>
        <v>0.49310055349867415</v>
      </c>
      <c r="P292" s="201">
        <f t="shared" si="10"/>
        <v>0.44713137057582103</v>
      </c>
      <c r="Q292" s="201">
        <f t="shared" si="10"/>
        <v>0.4087184654655977</v>
      </c>
      <c r="R292" s="201">
        <f t="shared" si="10"/>
        <v>0.37738068103980776</v>
      </c>
      <c r="S292" s="201">
        <f t="shared" si="10"/>
        <v>0.35191758343195623</v>
      </c>
      <c r="T292" s="201">
        <f t="shared" si="10"/>
        <v>0.33114946158944358</v>
      </c>
      <c r="U292" s="201">
        <f t="shared" si="10"/>
        <v>0.31413349299130106</v>
      </c>
      <c r="V292" s="201">
        <f t="shared" si="10"/>
        <v>0.30066288933945107</v>
      </c>
      <c r="W292" s="201">
        <f t="shared" si="10"/>
        <v>0.28955869230462411</v>
      </c>
      <c r="X292" s="201">
        <f t="shared" si="10"/>
        <v>0.28034112199884448</v>
      </c>
      <c r="Y292" s="201">
        <f t="shared" si="10"/>
        <v>0.27252242569361496</v>
      </c>
      <c r="Z292" s="201">
        <f t="shared" si="10"/>
        <v>0.26597938427440598</v>
      </c>
      <c r="AA292" s="201">
        <f t="shared" si="10"/>
        <v>0.26052174419369462</v>
      </c>
      <c r="AB292" s="201">
        <f t="shared" si="10"/>
        <v>0.25548735672729672</v>
      </c>
      <c r="AC292" s="201">
        <f t="shared" si="10"/>
        <v>0.25096680559679319</v>
      </c>
      <c r="AD292" s="201">
        <f t="shared" si="10"/>
        <v>0.24677102117751107</v>
      </c>
      <c r="AE292" s="201">
        <f t="shared" si="10"/>
        <v>0.24270519705549151</v>
      </c>
      <c r="AF292" s="201">
        <f t="shared" si="10"/>
        <v>0.23802823166296244</v>
      </c>
    </row>
    <row r="293" spans="1:32" s="221" customFormat="1" x14ac:dyDescent="0.25">
      <c r="A293"/>
      <c r="B293"/>
      <c r="C293"/>
      <c r="D293"/>
      <c r="E293"/>
      <c r="F293"/>
      <c r="G293"/>
      <c r="H293"/>
      <c r="I293"/>
      <c r="J293"/>
      <c r="K293"/>
      <c r="L293"/>
      <c r="M293"/>
      <c r="N293"/>
      <c r="O293"/>
      <c r="P293"/>
      <c r="Q293"/>
      <c r="R293"/>
      <c r="S293"/>
      <c r="T293"/>
      <c r="U293"/>
      <c r="V293"/>
      <c r="W293"/>
      <c r="X293"/>
      <c r="Y293"/>
      <c r="Z293"/>
      <c r="AA293"/>
      <c r="AB293"/>
      <c r="AC293"/>
      <c r="AD293"/>
      <c r="AE293"/>
      <c r="AF293"/>
    </row>
    <row r="294" spans="1:32" s="221" customFormat="1" x14ac:dyDescent="0.25">
      <c r="A294"/>
      <c r="B294"/>
      <c r="C294"/>
      <c r="D294"/>
      <c r="E294"/>
      <c r="F294"/>
      <c r="G294"/>
      <c r="H294"/>
      <c r="I294"/>
      <c r="J294"/>
      <c r="K294"/>
      <c r="L294"/>
      <c r="M294"/>
      <c r="N294"/>
      <c r="O294"/>
      <c r="P294"/>
      <c r="Q294"/>
      <c r="R294"/>
      <c r="S294"/>
      <c r="T294"/>
      <c r="U294"/>
      <c r="V294"/>
      <c r="W294"/>
      <c r="X294"/>
      <c r="Y294"/>
      <c r="Z294"/>
      <c r="AA294"/>
      <c r="AB294"/>
      <c r="AC294"/>
      <c r="AD294"/>
      <c r="AE294"/>
      <c r="AF294"/>
    </row>
    <row r="295" spans="1:32" s="221" customFormat="1" x14ac:dyDescent="0.25">
      <c r="A295" s="264" t="s">
        <v>167</v>
      </c>
      <c r="B295" s="265"/>
      <c r="C295" s="264"/>
      <c r="D295" s="265"/>
      <c r="E295" s="265"/>
      <c r="F295" s="265"/>
      <c r="G295" s="1054" t="s">
        <v>696</v>
      </c>
      <c r="H295" s="265"/>
      <c r="I295" s="265"/>
      <c r="J295" s="265"/>
      <c r="K295" s="265"/>
      <c r="L295" s="265"/>
      <c r="M295" s="265"/>
      <c r="N295" s="265"/>
      <c r="O295" s="265"/>
      <c r="P295" s="265"/>
      <c r="Q295" s="265"/>
      <c r="R295" s="265"/>
      <c r="S295" s="265"/>
      <c r="T295" s="265"/>
      <c r="U295" s="265"/>
      <c r="V295" s="265"/>
      <c r="W295" s="265"/>
      <c r="X295" s="265"/>
      <c r="Y295" s="265"/>
      <c r="Z295" s="265"/>
      <c r="AA295" s="265"/>
      <c r="AB295" s="265"/>
      <c r="AC295" s="265"/>
      <c r="AD295" s="265"/>
      <c r="AE295" s="265"/>
      <c r="AF295" s="265"/>
    </row>
    <row r="296" spans="1:32" x14ac:dyDescent="0.25">
      <c r="A296" s="253" t="s">
        <v>12</v>
      </c>
      <c r="B296" s="252"/>
      <c r="H296" s="150"/>
    </row>
    <row r="297" spans="1:32" x14ac:dyDescent="0.25">
      <c r="A297" s="252"/>
      <c r="B297" s="252" t="s">
        <v>20</v>
      </c>
      <c r="H297" s="150"/>
    </row>
    <row r="298" spans="1:32" s="202" customFormat="1" ht="12.75" x14ac:dyDescent="0.2">
      <c r="A298" s="267" t="s">
        <v>21</v>
      </c>
      <c r="B298" s="267"/>
      <c r="C298" s="267"/>
      <c r="D298" s="267"/>
      <c r="E298" s="267"/>
      <c r="F298" s="267"/>
      <c r="G298" s="267"/>
      <c r="H298" s="267"/>
      <c r="I298" s="267"/>
      <c r="J298" s="267"/>
      <c r="K298" s="267"/>
      <c r="L298" s="267"/>
      <c r="M298" s="267"/>
      <c r="N298" s="267"/>
      <c r="O298" s="267"/>
      <c r="P298" s="267"/>
      <c r="Q298" s="267"/>
      <c r="R298" s="267"/>
      <c r="S298" s="267"/>
      <c r="T298" s="267"/>
      <c r="U298" s="267"/>
      <c r="V298" s="267"/>
      <c r="W298" s="267"/>
      <c r="X298" s="267"/>
      <c r="Y298" s="267"/>
      <c r="Z298" s="267"/>
      <c r="AA298" s="267"/>
      <c r="AB298" s="267"/>
      <c r="AC298" s="267"/>
      <c r="AD298" s="267"/>
      <c r="AE298" s="267"/>
      <c r="AF298" s="267"/>
    </row>
    <row r="299" spans="1:32" s="221" customFormat="1" x14ac:dyDescent="0.25">
      <c r="A299" s="252"/>
      <c r="B299" s="252" t="s">
        <v>22</v>
      </c>
      <c r="C299"/>
      <c r="D299" s="201"/>
      <c r="E299" s="201"/>
      <c r="F299" s="201"/>
      <c r="G299" s="201"/>
      <c r="H299" s="199">
        <f ca="1">System_Total_Mkt!G9*(Retrofit_Rate+Floor_Growth!H$11)</f>
        <v>4.1283748614935218</v>
      </c>
      <c r="I299" s="199">
        <f ca="1">System_Total_Mkt!H9*(Retrofit_Rate+Floor_Growth!I$11)</f>
        <v>3.8451648218042034</v>
      </c>
      <c r="J299" s="199">
        <f ca="1">System_Total_Mkt!I9*(Retrofit_Rate+Floor_Growth!J$11)</f>
        <v>3.4737094515658513</v>
      </c>
      <c r="K299" s="199">
        <f ca="1">System_Total_Mkt!J9*(Retrofit_Rate+Floor_Growth!K$11)</f>
        <v>2.7425443792298738</v>
      </c>
      <c r="L299" s="199">
        <f ca="1">System_Total_Mkt!K9*(Retrofit_Rate+Floor_Growth!L$11)</f>
        <v>2.0675801895441586</v>
      </c>
      <c r="M299" s="199">
        <f ca="1">System_Total_Mkt!L9*(Retrofit_Rate+Floor_Growth!M$11)</f>
        <v>1.4710149471641061</v>
      </c>
      <c r="N299" s="199">
        <f ca="1">System_Total_Mkt!M9*(Retrofit_Rate+Floor_Growth!N$11)</f>
        <v>0.87934679387038395</v>
      </c>
      <c r="O299" s="199">
        <f ca="1">System_Total_Mkt!N9*(Retrofit_Rate+Floor_Growth!O$11)</f>
        <v>0.56480264589288243</v>
      </c>
      <c r="P299" s="199">
        <f ca="1">System_Total_Mkt!O9*(Retrofit_Rate+Floor_Growth!P$11)</f>
        <v>0.39060435837750807</v>
      </c>
      <c r="Q299" s="199">
        <f ca="1">System_Total_Mkt!P9*(Retrofit_Rate+Floor_Growth!Q$11)</f>
        <v>0.28827133448226805</v>
      </c>
      <c r="R299" s="199">
        <f ca="1">System_Total_Mkt!Q9*(Retrofit_Rate+Floor_Growth!R$11)</f>
        <v>0.22177768976176576</v>
      </c>
      <c r="S299" s="199">
        <f ca="1">System_Total_Mkt!R9*(Retrofit_Rate+Floor_Growth!S$11)</f>
        <v>0.17538803783270118</v>
      </c>
      <c r="T299" s="199">
        <f ca="1">System_Total_Mkt!S9*(Retrofit_Rate+Floor_Growth!T$11)</f>
        <v>0.14011030140464165</v>
      </c>
      <c r="U299" s="199">
        <f ca="1">System_Total_Mkt!T9*(Retrofit_Rate+Floor_Growth!U$11)</f>
        <v>0.11214874265362494</v>
      </c>
      <c r="V299" s="199">
        <f ca="1">System_Total_Mkt!U9*(Retrofit_Rate+Floor_Growth!V$11)</f>
        <v>8.9772462661753066E-2</v>
      </c>
      <c r="W299" s="199">
        <f ca="1">System_Total_Mkt!V9*(Retrofit_Rate+Floor_Growth!W$11)</f>
        <v>7.1753049416592607E-2</v>
      </c>
      <c r="X299" s="199">
        <f ca="1">System_Total_Mkt!W9*(Retrofit_Rate+Floor_Growth!X$11)</f>
        <v>5.7259365868791955E-2</v>
      </c>
      <c r="Y299" s="199">
        <f ca="1">System_Total_Mkt!X9*(Retrofit_Rate+Floor_Growth!Y$11)</f>
        <v>4.5718501929972538E-2</v>
      </c>
      <c r="Z299" s="199">
        <f ca="1">System_Total_Mkt!Y9*(Retrofit_Rate+Floor_Growth!Z$11)</f>
        <v>3.6697604987659317E-2</v>
      </c>
      <c r="AA299" s="199">
        <f ca="1">System_Total_Mkt!Z9*(Retrofit_Rate+Floor_Growth!AA$11)</f>
        <v>2.9746103283259617E-2</v>
      </c>
      <c r="AB299" s="199">
        <f ca="1">System_Total_Mkt!AA9*(Retrofit_Rate+Floor_Growth!AB$11)</f>
        <v>2.4467900571948475E-2</v>
      </c>
      <c r="AC299" s="199">
        <f ca="1">System_Total_Mkt!AB9*(Retrofit_Rate+Floor_Growth!AC$11)</f>
        <v>2.0220517781436458E-2</v>
      </c>
      <c r="AD299" s="199">
        <f ca="1">System_Total_Mkt!AC9*(Retrofit_Rate+Floor_Growth!AD$11)</f>
        <v>1.6886062383453818E-2</v>
      </c>
      <c r="AE299" s="199">
        <f ca="1">System_Total_Mkt!AD9*(Retrofit_Rate+Floor_Growth!AE$11)</f>
        <v>1.4235223453568008E-2</v>
      </c>
      <c r="AF299" s="199">
        <f ca="1">System_Total_Mkt!AE9*(Retrofit_Rate+Floor_Growth!AF$11)</f>
        <v>1.2093051702752119E-2</v>
      </c>
    </row>
    <row r="300" spans="1:32" s="221" customFormat="1" x14ac:dyDescent="0.25">
      <c r="A300" s="252"/>
      <c r="B300" s="252" t="s">
        <v>26</v>
      </c>
      <c r="C300"/>
      <c r="D300" s="201"/>
      <c r="E300" s="201"/>
      <c r="F300" s="201"/>
      <c r="G300" s="201"/>
      <c r="H300" s="199">
        <f ca="1">System_Total_Mkt!G10*(Retrofit_Rate+Floor_Growth!H$11)</f>
        <v>7.1322714035048237E-2</v>
      </c>
      <c r="I300" s="199">
        <f ca="1">System_Total_Mkt!H10*(Retrofit_Rate+Floor_Growth!I$11)</f>
        <v>6.9765146308379711E-2</v>
      </c>
      <c r="J300" s="199">
        <f ca="1">System_Total_Mkt!I10*(Retrofit_Rate+Floor_Growth!J$11)</f>
        <v>0.17330134771528349</v>
      </c>
      <c r="K300" s="199">
        <f ca="1">System_Total_Mkt!J10*(Retrofit_Rate+Floor_Growth!K$11)</f>
        <v>0.49949419526929989</v>
      </c>
      <c r="L300" s="199">
        <f ca="1">System_Total_Mkt!K10*(Retrofit_Rate+Floor_Growth!L$11)</f>
        <v>0.83850123889254025</v>
      </c>
      <c r="M300" s="199">
        <f ca="1">System_Total_Mkt!L10*(Retrofit_Rate+Floor_Growth!M$11)</f>
        <v>1.0581897486722676</v>
      </c>
      <c r="N300" s="199">
        <f ca="1">System_Total_Mkt!M10*(Retrofit_Rate+Floor_Growth!N$11)</f>
        <v>1.2000911642205458</v>
      </c>
      <c r="O300" s="199">
        <f ca="1">System_Total_Mkt!N10*(Retrofit_Rate+Floor_Growth!O$11)</f>
        <v>1.1888503988413328</v>
      </c>
      <c r="P300" s="199">
        <f ca="1">System_Total_Mkt!O10*(Retrofit_Rate+Floor_Growth!P$11)</f>
        <v>1.1144559879383189</v>
      </c>
      <c r="Q300" s="199">
        <f ca="1">System_Total_Mkt!P10*(Retrofit_Rate+Floor_Growth!Q$11)</f>
        <v>1.0165982902336117</v>
      </c>
      <c r="R300" s="199">
        <f ca="1">System_Total_Mkt!Q10*(Retrofit_Rate+Floor_Growth!R$11)</f>
        <v>0.90689884227329653</v>
      </c>
      <c r="S300" s="199">
        <f ca="1">System_Total_Mkt!R10*(Retrofit_Rate+Floor_Growth!S$11)</f>
        <v>0.79892164693783341</v>
      </c>
      <c r="T300" s="199">
        <f ca="1">System_Total_Mkt!S10*(Retrofit_Rate+Floor_Growth!T$11)</f>
        <v>0.69425911364759252</v>
      </c>
      <c r="U300" s="199">
        <f ca="1">System_Total_Mkt!T10*(Retrofit_Rate+Floor_Growth!U$11)</f>
        <v>0.59656529367435862</v>
      </c>
      <c r="V300" s="199">
        <f ca="1">System_Total_Mkt!U10*(Retrofit_Rate+Floor_Growth!V$11)</f>
        <v>0.50926654217662359</v>
      </c>
      <c r="W300" s="199">
        <f ca="1">System_Total_Mkt!V10*(Retrofit_Rate+Floor_Growth!W$11)</f>
        <v>0.43242565598622612</v>
      </c>
      <c r="X300" s="199">
        <f ca="1">System_Total_Mkt!W10*(Retrofit_Rate+Floor_Growth!X$11)</f>
        <v>0.36606479856589108</v>
      </c>
      <c r="Y300" s="199">
        <f ca="1">System_Total_Mkt!X10*(Retrofit_Rate+Floor_Growth!Y$11)</f>
        <v>0.31000099410564413</v>
      </c>
      <c r="Z300" s="199">
        <f ca="1">System_Total_Mkt!Y10*(Retrofit_Rate+Floor_Growth!Z$11)</f>
        <v>0.26402851063334865</v>
      </c>
      <c r="AA300" s="199">
        <f ca="1">System_Total_Mkt!Z10*(Retrofit_Rate+Floor_Growth!AA$11)</f>
        <v>0.22711019086238265</v>
      </c>
      <c r="AB300" s="199">
        <f ca="1">System_Total_Mkt!AA10*(Retrofit_Rate+Floor_Growth!AB$11)</f>
        <v>0.19815037004687394</v>
      </c>
      <c r="AC300" s="199">
        <f ca="1">System_Total_Mkt!AB10*(Retrofit_Rate+Floor_Growth!AC$11)</f>
        <v>0.17378029439282425</v>
      </c>
      <c r="AD300" s="199">
        <f ca="1">System_Total_Mkt!AC10*(Retrofit_Rate+Floor_Growth!AD$11)</f>
        <v>0.15395948926390793</v>
      </c>
      <c r="AE300" s="199">
        <f ca="1">System_Total_Mkt!AD10*(Retrofit_Rate+Floor_Growth!AE$11)</f>
        <v>0.13768069134372179</v>
      </c>
      <c r="AF300" s="199">
        <f ca="1">System_Total_Mkt!AE10*(Retrofit_Rate+Floor_Growth!AF$11)</f>
        <v>0.12410464775330371</v>
      </c>
    </row>
    <row r="301" spans="1:32" s="221" customFormat="1" x14ac:dyDescent="0.25">
      <c r="A301" s="252"/>
      <c r="B301" s="252" t="s">
        <v>27</v>
      </c>
      <c r="C301"/>
      <c r="D301" s="201"/>
      <c r="E301" s="201"/>
      <c r="F301" s="201"/>
      <c r="G301" s="201"/>
      <c r="H301" s="199">
        <f ca="1">System_Total_Mkt!G11*(Retrofit_Rate+Floor_Growth!H$11)</f>
        <v>2.8674904027129986</v>
      </c>
      <c r="I301" s="199">
        <f ca="1">System_Total_Mkt!H11*(Retrofit_Rate+Floor_Growth!I$11)</f>
        <v>3.3571899926561959</v>
      </c>
      <c r="J301" s="199">
        <f ca="1">System_Total_Mkt!I11*(Retrofit_Rate+Floor_Growth!J$11)</f>
        <v>3.7972757700513404</v>
      </c>
      <c r="K301" s="199">
        <f ca="1">System_Total_Mkt!J11*(Retrofit_Rate+Floor_Growth!K$11)</f>
        <v>4.2745600942839204</v>
      </c>
      <c r="L301" s="199">
        <f ca="1">System_Total_Mkt!K11*(Retrofit_Rate+Floor_Growth!L$11)</f>
        <v>4.7152749678524453</v>
      </c>
      <c r="M301" s="199">
        <f ca="1">System_Total_Mkt!L11*(Retrofit_Rate+Floor_Growth!M$11)</f>
        <v>5.1567407800911793</v>
      </c>
      <c r="N301" s="199">
        <f ca="1">System_Total_Mkt!M11*(Retrofit_Rate+Floor_Growth!N$11)</f>
        <v>5.5973285281914311</v>
      </c>
      <c r="O301" s="199">
        <f ca="1">System_Total_Mkt!N11*(Retrofit_Rate+Floor_Growth!O$11)</f>
        <v>5.8723533785507076</v>
      </c>
      <c r="P301" s="199">
        <f ca="1">System_Total_Mkt!O11*(Retrofit_Rate+Floor_Growth!P$11)</f>
        <v>6.0199185877875596</v>
      </c>
      <c r="Q301" s="199">
        <f ca="1">System_Total_Mkt!P11*(Retrofit_Rate+Floor_Growth!Q$11)</f>
        <v>6.0556664663074296</v>
      </c>
      <c r="R301" s="199">
        <f ca="1">System_Total_Mkt!Q11*(Retrofit_Rate+Floor_Growth!R$11)</f>
        <v>5.9833177726079878</v>
      </c>
      <c r="S301" s="199">
        <f ca="1">System_Total_Mkt!R11*(Retrofit_Rate+Floor_Growth!S$11)</f>
        <v>5.86521163290523</v>
      </c>
      <c r="T301" s="199">
        <f ca="1">System_Total_Mkt!S11*(Retrofit_Rate+Floor_Growth!T$11)</f>
        <v>5.685611820558087</v>
      </c>
      <c r="U301" s="199">
        <f ca="1">System_Total_Mkt!T11*(Retrofit_Rate+Floor_Growth!U$11)</f>
        <v>5.459057886793711</v>
      </c>
      <c r="V301" s="199">
        <f ca="1">System_Total_Mkt!U11*(Retrofit_Rate+Floor_Growth!V$11)</f>
        <v>5.211781564190769</v>
      </c>
      <c r="W301" s="199">
        <f ca="1">System_Total_Mkt!V11*(Retrofit_Rate+Floor_Growth!W$11)</f>
        <v>4.9357179599499084</v>
      </c>
      <c r="X301" s="199">
        <f ca="1">System_Total_Mkt!W11*(Retrofit_Rate+Floor_Growth!X$11)</f>
        <v>4.6425047397437229</v>
      </c>
      <c r="Y301" s="199">
        <f ca="1">System_Total_Mkt!X11*(Retrofit_Rate+Floor_Growth!Y$11)</f>
        <v>4.3470520989553068</v>
      </c>
      <c r="Z301" s="199">
        <f ca="1">System_Total_Mkt!Y11*(Retrofit_Rate+Floor_Growth!Z$11)</f>
        <v>4.068244820908034</v>
      </c>
      <c r="AA301" s="199">
        <f ca="1">System_Total_Mkt!Z11*(Retrofit_Rate+Floor_Growth!AA$11)</f>
        <v>3.8117003959198534</v>
      </c>
      <c r="AB301" s="199">
        <f ca="1">System_Total_Mkt!AA11*(Retrofit_Rate+Floor_Growth!AB$11)</f>
        <v>3.5824605718469145</v>
      </c>
      <c r="AC301" s="199">
        <f ca="1">System_Total_Mkt!AB11*(Retrofit_Rate+Floor_Growth!AC$11)</f>
        <v>3.3492581193129176</v>
      </c>
      <c r="AD301" s="199">
        <f ca="1">System_Total_Mkt!AC11*(Retrofit_Rate+Floor_Growth!AD$11)</f>
        <v>3.1323503777327355</v>
      </c>
      <c r="AE301" s="199">
        <f ca="1">System_Total_Mkt!AD11*(Retrofit_Rate+Floor_Growth!AE$11)</f>
        <v>2.9321342333480671</v>
      </c>
      <c r="AF301" s="199">
        <f ca="1">System_Total_Mkt!AE11*(Retrofit_Rate+Floor_Growth!AF$11)</f>
        <v>2.7480786783957001</v>
      </c>
    </row>
    <row r="302" spans="1:32" s="221" customFormat="1" x14ac:dyDescent="0.25">
      <c r="A302" s="252"/>
      <c r="B302" s="252" t="s">
        <v>29</v>
      </c>
      <c r="C302"/>
      <c r="D302" s="201"/>
      <c r="E302" s="201"/>
      <c r="F302" s="201"/>
      <c r="G302" s="201"/>
      <c r="H302" s="199">
        <f ca="1">System_Total_Mkt!G12*(Retrofit_Rate+Floor_Growth!H$11)</f>
        <v>0</v>
      </c>
      <c r="I302" s="199">
        <f ca="1">System_Total_Mkt!H12*(Retrofit_Rate+Floor_Growth!I$11)</f>
        <v>7.6628753929375874E-3</v>
      </c>
      <c r="J302" s="199">
        <f ca="1">System_Total_Mkt!I12*(Retrofit_Rate+Floor_Growth!J$11)</f>
        <v>2.6567386800673196E-2</v>
      </c>
      <c r="K302" s="199">
        <f ca="1">System_Total_Mkt!J12*(Retrofit_Rate+Floor_Growth!K$11)</f>
        <v>5.5751950437803302E-2</v>
      </c>
      <c r="L302" s="199">
        <f ca="1">System_Total_Mkt!K12*(Retrofit_Rate+Floor_Growth!L$11)</f>
        <v>0.10282099337598238</v>
      </c>
      <c r="M302" s="199">
        <f ca="1">System_Total_Mkt!L12*(Retrofit_Rate+Floor_Growth!M$11)</f>
        <v>0.17637278329158526</v>
      </c>
      <c r="N302" s="199">
        <f ca="1">System_Total_Mkt!M12*(Retrofit_Rate+Floor_Growth!N$11)</f>
        <v>0.2887587727156658</v>
      </c>
      <c r="O302" s="199">
        <f ca="1">System_Total_Mkt!N12*(Retrofit_Rate+Floor_Growth!O$11)</f>
        <v>0.44743404259302982</v>
      </c>
      <c r="P302" s="199">
        <f ca="1">System_Total_Mkt!O12*(Retrofit_Rate+Floor_Growth!P$11)</f>
        <v>0.6621491247354051</v>
      </c>
      <c r="Q302" s="199">
        <f ca="1">System_Total_Mkt!P12*(Retrofit_Rate+Floor_Growth!Q$11)</f>
        <v>0.93686983634371546</v>
      </c>
      <c r="R302" s="199">
        <f ca="1">System_Total_Mkt!Q12*(Retrofit_Rate+Floor_Growth!R$11)</f>
        <v>1.2675106898877395</v>
      </c>
      <c r="S302" s="199">
        <f ca="1">System_Total_Mkt!R12*(Retrofit_Rate+Floor_Growth!S$11)</f>
        <v>1.6557737234884238</v>
      </c>
      <c r="T302" s="199">
        <f ca="1">System_Total_Mkt!S12*(Retrofit_Rate+Floor_Growth!T$11)</f>
        <v>2.0858513131194747</v>
      </c>
      <c r="U302" s="199">
        <f ca="1">System_Total_Mkt!T12*(Retrofit_Rate+Floor_Growth!U$11)</f>
        <v>2.5432451130047147</v>
      </c>
      <c r="V302" s="199">
        <f ca="1">System_Total_Mkt!U12*(Retrofit_Rate+Floor_Growth!V$11)</f>
        <v>3.0203204423703589</v>
      </c>
      <c r="W302" s="199">
        <f ca="1">System_Total_Mkt!V12*(Retrofit_Rate+Floor_Growth!W$11)</f>
        <v>3.4935463843123862</v>
      </c>
      <c r="X302" s="199">
        <f ca="1">System_Total_Mkt!W12*(Retrofit_Rate+Floor_Growth!X$11)</f>
        <v>3.9492424502042645</v>
      </c>
      <c r="Y302" s="199">
        <f ca="1">System_Total_Mkt!X12*(Retrofit_Rate+Floor_Growth!Y$11)</f>
        <v>4.3805668018199508</v>
      </c>
      <c r="Z302" s="199">
        <f ca="1">System_Total_Mkt!Y12*(Retrofit_Rate+Floor_Growth!Z$11)</f>
        <v>4.7951903050836444</v>
      </c>
      <c r="AA302" s="199">
        <f ca="1">System_Total_Mkt!Z12*(Retrofit_Rate+Floor_Growth!AA$11)</f>
        <v>5.1969820206390622</v>
      </c>
      <c r="AB302" s="199">
        <f ca="1">System_Total_Mkt!AA12*(Retrofit_Rate+Floor_Growth!AB$11)</f>
        <v>5.5948404875451327</v>
      </c>
      <c r="AC302" s="199">
        <f ca="1">System_Total_Mkt!AB12*(Retrofit_Rate+Floor_Growth!AC$11)</f>
        <v>5.9404009255162382</v>
      </c>
      <c r="AD302" s="199">
        <f ca="1">System_Total_Mkt!AC12*(Retrofit_Rate+Floor_Growth!AD$11)</f>
        <v>6.2602676646611304</v>
      </c>
      <c r="AE302" s="199">
        <f ca="1">System_Total_Mkt!AD12*(Retrofit_Rate+Floor_Growth!AE$11)</f>
        <v>6.5551606188591744</v>
      </c>
      <c r="AF302" s="199">
        <f ca="1">System_Total_Mkt!AE12*(Retrofit_Rate+Floor_Growth!AF$11)</f>
        <v>6.8265099018816091</v>
      </c>
    </row>
    <row r="303" spans="1:32" s="221" customFormat="1" x14ac:dyDescent="0.25">
      <c r="A303" s="252"/>
      <c r="B303" s="252"/>
      <c r="C303"/>
      <c r="D303"/>
      <c r="E303"/>
      <c r="F303"/>
      <c r="G303"/>
      <c r="H303"/>
      <c r="I303"/>
      <c r="J303"/>
      <c r="K303"/>
      <c r="L303"/>
      <c r="M303"/>
      <c r="N303"/>
      <c r="O303"/>
      <c r="P303"/>
      <c r="Q303"/>
      <c r="R303"/>
      <c r="S303"/>
      <c r="T303"/>
      <c r="U303"/>
      <c r="V303"/>
      <c r="W303"/>
      <c r="X303"/>
      <c r="Y303"/>
      <c r="Z303"/>
      <c r="AA303"/>
      <c r="AB303"/>
      <c r="AC303"/>
      <c r="AD303"/>
      <c r="AE303"/>
      <c r="AF303"/>
    </row>
    <row r="304" spans="1:32" s="202" customFormat="1" ht="12.75" x14ac:dyDescent="0.2">
      <c r="A304" s="267" t="s">
        <v>32</v>
      </c>
      <c r="B304" s="267"/>
      <c r="C304" s="267"/>
      <c r="D304" s="267"/>
      <c r="E304" s="267"/>
      <c r="F304" s="267"/>
      <c r="G304" s="267"/>
      <c r="H304" s="267"/>
      <c r="I304" s="267"/>
      <c r="J304" s="267"/>
      <c r="K304" s="267"/>
      <c r="L304" s="267"/>
      <c r="M304" s="267"/>
      <c r="N304" s="267"/>
      <c r="O304" s="267"/>
      <c r="P304" s="267"/>
      <c r="Q304" s="267"/>
      <c r="R304" s="267"/>
      <c r="S304" s="267"/>
      <c r="T304" s="267"/>
      <c r="U304" s="267"/>
      <c r="V304" s="267"/>
      <c r="W304" s="267"/>
      <c r="X304" s="267"/>
      <c r="Y304" s="267"/>
      <c r="Z304" s="267"/>
      <c r="AA304" s="267"/>
      <c r="AB304" s="267"/>
      <c r="AC304" s="267"/>
      <c r="AD304" s="267"/>
      <c r="AE304" s="267"/>
      <c r="AF304" s="267"/>
    </row>
    <row r="305" spans="1:32" s="221" customFormat="1" x14ac:dyDescent="0.25">
      <c r="A305" s="252"/>
      <c r="B305" s="252" t="s">
        <v>33</v>
      </c>
      <c r="C305"/>
      <c r="D305"/>
      <c r="E305"/>
      <c r="F305"/>
      <c r="G305" s="201"/>
      <c r="H305" s="875">
        <f>System_Total_Mkt!G15*(Retrofit_Rate+Floor_Growth!H$11)</f>
        <v>0.7385904039488973</v>
      </c>
      <c r="I305" s="199">
        <f>System_Total_Mkt!H15*(Retrofit_Rate+Floor_Growth!I$11)</f>
        <v>0.65270692680435838</v>
      </c>
      <c r="J305" s="199">
        <f>System_Total_Mkt!I15*(Retrofit_Rate+Floor_Growth!J$11)</f>
        <v>0.60042117703128273</v>
      </c>
      <c r="K305" s="199">
        <f>System_Total_Mkt!J15*(Retrofit_Rate+Floor_Growth!K$11)</f>
        <v>0.56424459391663873</v>
      </c>
      <c r="L305" s="199">
        <f>System_Total_Mkt!K15*(Retrofit_Rate+Floor_Growth!L$11)</f>
        <v>0.54370218237839241</v>
      </c>
      <c r="M305" s="199">
        <f>System_Total_Mkt!L15*(Retrofit_Rate+Floor_Growth!M$11)</f>
        <v>0.51760844640636583</v>
      </c>
      <c r="N305" s="199">
        <f>System_Total_Mkt!M15*(Retrofit_Rate+Floor_Growth!N$11)</f>
        <v>0.48177713100691649</v>
      </c>
      <c r="O305" s="199">
        <f>System_Total_Mkt!N15*(Retrofit_Rate+Floor_Growth!O$11)</f>
        <v>0.44096041641125899</v>
      </c>
      <c r="P305" s="199">
        <f>System_Total_Mkt!O15*(Retrofit_Rate+Floor_Growth!P$11)</f>
        <v>0.39690089392560324</v>
      </c>
      <c r="Q305" s="199">
        <f>System_Total_Mkt!P15*(Retrofit_Rate+Floor_Growth!Q$11)</f>
        <v>0.35137947044600715</v>
      </c>
      <c r="R305" s="199">
        <f>System_Total_Mkt!Q15*(Retrofit_Rate+Floor_Growth!R$11)</f>
        <v>0.30489674259920924</v>
      </c>
      <c r="S305" s="199">
        <f>System_Total_Mkt!R15*(Retrofit_Rate+Floor_Growth!S$11)</f>
        <v>0.26127476187410631</v>
      </c>
      <c r="T305" s="199">
        <f>System_Total_Mkt!S15*(Retrofit_Rate+Floor_Growth!T$11)</f>
        <v>0.22051780537543866</v>
      </c>
      <c r="U305" s="199">
        <f>System_Total_Mkt!T15*(Retrofit_Rate+Floor_Growth!U$11)</f>
        <v>0.18370333638645142</v>
      </c>
      <c r="V305" s="199">
        <f>System_Total_Mkt!U15*(Retrofit_Rate+Floor_Growth!V$11)</f>
        <v>0.15174357170939723</v>
      </c>
      <c r="W305" s="199">
        <f>System_Total_Mkt!V15*(Retrofit_Rate+Floor_Growth!W$11)</f>
        <v>0.12425635777692917</v>
      </c>
      <c r="X305" s="199">
        <f>System_Total_Mkt!W15*(Retrofit_Rate+Floor_Growth!X$11)</f>
        <v>0.10110330994801667</v>
      </c>
      <c r="Y305" s="199">
        <f>System_Total_Mkt!X15*(Retrofit_Rate+Floor_Growth!Y$11)</f>
        <v>8.2033652092785819E-2</v>
      </c>
      <c r="Z305" s="199">
        <f>System_Total_Mkt!Y15*(Retrofit_Rate+Floor_Growth!Z$11)</f>
        <v>6.6727403514816944E-2</v>
      </c>
      <c r="AA305" s="199">
        <f>System_Total_Mkt!Z15*(Retrofit_Rate+Floor_Growth!AA$11)</f>
        <v>5.461066465547762E-2</v>
      </c>
      <c r="AB305" s="199">
        <f>System_Total_Mkt!AA15*(Retrofit_Rate+Floor_Growth!AB$11)</f>
        <v>4.5152574045448708E-2</v>
      </c>
      <c r="AC305" s="199">
        <f>System_Total_Mkt!AB15*(Retrofit_Rate+Floor_Growth!AC$11)</f>
        <v>3.7426953619996477E-2</v>
      </c>
      <c r="AD305" s="199">
        <f>System_Total_Mkt!AC15*(Retrofit_Rate+Floor_Growth!AD$11)</f>
        <v>3.1296841882926689E-2</v>
      </c>
      <c r="AE305" s="199">
        <f>System_Total_Mkt!AD15*(Retrofit_Rate+Floor_Growth!AE$11)</f>
        <v>2.6419804388179591E-2</v>
      </c>
      <c r="AF305" s="199">
        <f>System_Total_Mkt!AE15*(Retrofit_Rate+Floor_Growth!AF$11)</f>
        <v>2.250774599155193E-2</v>
      </c>
    </row>
    <row r="306" spans="1:32" s="221" customFormat="1" x14ac:dyDescent="0.25">
      <c r="A306" s="257"/>
      <c r="B306" s="257" t="s">
        <v>34</v>
      </c>
      <c r="C306"/>
      <c r="D306"/>
      <c r="E306"/>
      <c r="F306"/>
      <c r="G306" s="201"/>
      <c r="H306" s="875">
        <f>System_Total_Mkt!G16*(Retrofit_Rate+Floor_Growth!H$11)</f>
        <v>0.56017144283372811</v>
      </c>
      <c r="I306" s="199">
        <f>System_Total_Mkt!H16*(Retrofit_Rate+Floor_Growth!I$11)</f>
        <v>0.67795477441824947</v>
      </c>
      <c r="J306" s="199">
        <f>System_Total_Mkt!I16*(Retrofit_Rate+Floor_Growth!J$11)</f>
        <v>0.75288627265827246</v>
      </c>
      <c r="K306" s="199">
        <f>System_Total_Mkt!J16*(Retrofit_Rate+Floor_Growth!K$11)</f>
        <v>0.78363726419708823</v>
      </c>
      <c r="L306" s="199">
        <f>System_Total_Mkt!K16*(Retrofit_Rate+Floor_Growth!L$11)</f>
        <v>0.79003147264421003</v>
      </c>
      <c r="M306" s="199">
        <f>System_Total_Mkt!L16*(Retrofit_Rate+Floor_Growth!M$11)</f>
        <v>0.78358438760271676</v>
      </c>
      <c r="N306" s="199">
        <f>System_Total_Mkt!M16*(Retrofit_Rate+Floor_Growth!N$11)</f>
        <v>0.76280635160174681</v>
      </c>
      <c r="O306" s="199">
        <f>System_Total_Mkt!N16*(Retrofit_Rate+Floor_Growth!O$11)</f>
        <v>0.73127292738573624</v>
      </c>
      <c r="P306" s="199">
        <f>System_Total_Mkt!O16*(Retrofit_Rate+Floor_Growth!P$11)</f>
        <v>0.69009677406403169</v>
      </c>
      <c r="Q306" s="199">
        <f>System_Total_Mkt!P16*(Retrofit_Rate+Floor_Growth!Q$11)</f>
        <v>0.64055612950864715</v>
      </c>
      <c r="R306" s="199">
        <f>System_Total_Mkt!Q16*(Retrofit_Rate+Floor_Growth!R$11)</f>
        <v>0.58374631842527214</v>
      </c>
      <c r="S306" s="199">
        <f>System_Total_Mkt!R16*(Retrofit_Rate+Floor_Growth!S$11)</f>
        <v>0.52691390185033016</v>
      </c>
      <c r="T306" s="199">
        <f>System_Total_Mkt!S16*(Retrofit_Rate+Floor_Growth!T$11)</f>
        <v>0.46971104499035993</v>
      </c>
      <c r="U306" s="199">
        <f>System_Total_Mkt!T16*(Retrofit_Rate+Floor_Growth!U$11)</f>
        <v>0.41438683514104835</v>
      </c>
      <c r="V306" s="199">
        <f>System_Total_Mkt!U16*(Retrofit_Rate+Floor_Growth!V$11)</f>
        <v>0.36347955675751764</v>
      </c>
      <c r="W306" s="199">
        <f>System_Total_Mkt!V16*(Retrofit_Rate+Floor_Growth!W$11)</f>
        <v>0.31669153731060001</v>
      </c>
      <c r="X306" s="199">
        <f>System_Total_Mkt!W16*(Retrofit_Rate+Floor_Growth!X$11)</f>
        <v>0.274713070905795</v>
      </c>
      <c r="Y306" s="199">
        <f>System_Total_Mkt!X16*(Retrofit_Rate+Floor_Growth!Y$11)</f>
        <v>0.23803985858475388</v>
      </c>
      <c r="Z306" s="199">
        <f>System_Total_Mkt!Y16*(Retrofit_Rate+Floor_Growth!Z$11)</f>
        <v>0.20708759079385228</v>
      </c>
      <c r="AA306" s="199">
        <f>System_Total_Mkt!Z16*(Retrofit_Rate+Floor_Growth!AA$11)</f>
        <v>0.18143179469432946</v>
      </c>
      <c r="AB306" s="199">
        <f>System_Total_Mkt!AA16*(Retrofit_Rate+Floor_Growth!AB$11)</f>
        <v>0.160608218015555</v>
      </c>
      <c r="AC306" s="199">
        <f>System_Total_Mkt!AB16*(Retrofit_Rate+Floor_Growth!AC$11)</f>
        <v>0.1425582186465304</v>
      </c>
      <c r="AD306" s="199">
        <f>System_Total_Mkt!AC16*(Retrofit_Rate+Floor_Growth!AD$11)</f>
        <v>0.12760622976150182</v>
      </c>
      <c r="AE306" s="199">
        <f>System_Total_Mkt!AD16*(Retrofit_Rate+Floor_Growth!AE$11)</f>
        <v>0.11518565260022702</v>
      </c>
      <c r="AF306" s="199">
        <f>System_Total_Mkt!AE16*(Retrofit_Rate+Floor_Growth!AF$11)</f>
        <v>0.10489062421928186</v>
      </c>
    </row>
    <row r="307" spans="1:32" s="221" customFormat="1" x14ac:dyDescent="0.25">
      <c r="A307" s="252"/>
      <c r="B307" s="257" t="s">
        <v>35</v>
      </c>
      <c r="C307"/>
      <c r="D307"/>
      <c r="E307"/>
      <c r="F307"/>
      <c r="G307" s="201"/>
      <c r="H307" s="875">
        <f>System_Total_Mkt!G17*(Retrofit_Rate+Floor_Growth!H$11)</f>
        <v>0.24077991288416212</v>
      </c>
      <c r="I307" s="199">
        <f>System_Total_Mkt!H17*(Retrofit_Rate+Floor_Growth!I$11)</f>
        <v>0.25253659833894349</v>
      </c>
      <c r="J307" s="199">
        <f>System_Total_Mkt!I17*(Retrofit_Rate+Floor_Growth!J$11)</f>
        <v>0.2631641662777377</v>
      </c>
      <c r="K307" s="199">
        <f>System_Total_Mkt!J17*(Retrofit_Rate+Floor_Growth!K$11)</f>
        <v>0.27116805854924469</v>
      </c>
      <c r="L307" s="199">
        <f>System_Total_Mkt!K17*(Retrofit_Rate+Floor_Growth!L$11)</f>
        <v>0.28191123631180781</v>
      </c>
      <c r="M307" s="199">
        <f>System_Total_Mkt!L17*(Retrofit_Rate+Floor_Growth!M$11)</f>
        <v>0.28932911354449248</v>
      </c>
      <c r="N307" s="199">
        <f>System_Total_Mkt!M17*(Retrofit_Rate+Floor_Growth!N$11)</f>
        <v>0.29303759967625792</v>
      </c>
      <c r="O307" s="199">
        <f>System_Total_Mkt!N17*(Retrofit_Rate+Floor_Growth!O$11)</f>
        <v>0.29376054475322044</v>
      </c>
      <c r="P307" s="199">
        <f>System_Total_Mkt!O17*(Retrofit_Rate+Floor_Growth!P$11)</f>
        <v>0.29129789637170872</v>
      </c>
      <c r="Q307" s="199">
        <f>System_Total_Mkt!P17*(Retrofit_Rate+Floor_Growth!Q$11)</f>
        <v>0.28532318195795431</v>
      </c>
      <c r="R307" s="199">
        <f>System_Total_Mkt!Q17*(Retrofit_Rate+Floor_Growth!R$11)</f>
        <v>0.2755964763971287</v>
      </c>
      <c r="S307" s="199">
        <f>System_Total_Mkt!R17*(Retrofit_Rate+Floor_Growth!S$11)</f>
        <v>0.26485065614215308</v>
      </c>
      <c r="T307" s="199">
        <f>System_Total_Mkt!S17*(Retrofit_Rate+Floor_Growth!T$11)</f>
        <v>0.25227292786815059</v>
      </c>
      <c r="U307" s="199">
        <f>System_Total_Mkt!T17*(Retrofit_Rate+Floor_Growth!U$11)</f>
        <v>0.23847488875604003</v>
      </c>
      <c r="V307" s="199">
        <f>System_Total_Mkt!U17*(Retrofit_Rate+Floor_Growth!V$11)</f>
        <v>0.22455309404299204</v>
      </c>
      <c r="W307" s="199">
        <f>System_Total_Mkt!V17*(Retrofit_Rate+Floor_Growth!W$11)</f>
        <v>0.21008430515821058</v>
      </c>
      <c r="X307" s="199">
        <f>System_Total_Mkt!W17*(Retrofit_Rate+Floor_Growth!X$11)</f>
        <v>0.19550356830406868</v>
      </c>
      <c r="Y307" s="199">
        <f>System_Total_Mkt!X17*(Retrofit_Rate+Floor_Growth!Y$11)</f>
        <v>0.18137397806424152</v>
      </c>
      <c r="Z307" s="199">
        <f>System_Total_Mkt!Y17*(Retrofit_Rate+Floor_Growth!Z$11)</f>
        <v>0.16840143250089987</v>
      </c>
      <c r="AA307" s="199">
        <f>System_Total_Mkt!Z17*(Retrofit_Rate+Floor_Growth!AA$11)</f>
        <v>0.15673517789973007</v>
      </c>
      <c r="AB307" s="199">
        <f>System_Total_Mkt!AA17*(Retrofit_Rate+Floor_Growth!AB$11)</f>
        <v>0.14650903282420286</v>
      </c>
      <c r="AC307" s="199">
        <f>System_Total_Mkt!AB17*(Retrofit_Rate+Floor_Growth!AC$11)</f>
        <v>0.13639149262888603</v>
      </c>
      <c r="AD307" s="199">
        <f>System_Total_Mkt!AC17*(Retrofit_Rate+Floor_Growth!AD$11)</f>
        <v>0.12717529658844673</v>
      </c>
      <c r="AE307" s="199">
        <f>System_Total_Mkt!AD17*(Retrofit_Rate+Floor_Growth!AE$11)</f>
        <v>0.1188182528055764</v>
      </c>
      <c r="AF307" s="199">
        <f>System_Total_Mkt!AE17*(Retrofit_Rate+Floor_Growth!AF$11)</f>
        <v>0.11126356308909717</v>
      </c>
    </row>
    <row r="308" spans="1:32" s="221" customFormat="1" x14ac:dyDescent="0.25">
      <c r="A308" s="252"/>
      <c r="B308" s="257" t="s">
        <v>29</v>
      </c>
      <c r="C308"/>
      <c r="D308"/>
      <c r="E308"/>
      <c r="F308"/>
      <c r="G308" s="201"/>
      <c r="H308" s="875">
        <f>System_Total_Mkt!G18*(Retrofit_Rate+Floor_Growth!H$11)</f>
        <v>0</v>
      </c>
      <c r="I308" s="199">
        <f>System_Total_Mkt!H18*(Retrofit_Rate+Floor_Growth!I$11)</f>
        <v>2.6558971731680757E-3</v>
      </c>
      <c r="J308" s="199">
        <f>System_Total_Mkt!I18*(Retrofit_Rate+Floor_Growth!J$11)</f>
        <v>1.1006207983558069E-2</v>
      </c>
      <c r="K308" s="199">
        <f>System_Total_Mkt!J18*(Retrofit_Rate+Floor_Growth!K$11)</f>
        <v>3.0538308852714878E-2</v>
      </c>
      <c r="L308" s="199">
        <f>System_Total_Mkt!K18*(Retrofit_Rate+Floor_Growth!L$11)</f>
        <v>6.7017826801049382E-2</v>
      </c>
      <c r="M308" s="199">
        <f>System_Total_Mkt!L18*(Retrofit_Rate+Floor_Growth!M$11)</f>
        <v>0.12223387617271544</v>
      </c>
      <c r="N308" s="199">
        <f>System_Total_Mkt!M18*(Retrofit_Rate+Floor_Growth!N$11)</f>
        <v>0.19761772561691429</v>
      </c>
      <c r="O308" s="199">
        <f>System_Total_Mkt!N18*(Retrofit_Rate+Floor_Growth!O$11)</f>
        <v>0.29275355654482504</v>
      </c>
      <c r="P308" s="199">
        <f>System_Total_Mkt!O18*(Retrofit_Rate+Floor_Growth!P$11)</f>
        <v>0.40521799556492377</v>
      </c>
      <c r="Q308" s="199">
        <f>System_Total_Mkt!P18*(Retrofit_Rate+Floor_Growth!Q$11)</f>
        <v>0.53027810634707506</v>
      </c>
      <c r="R308" s="199">
        <f>System_Total_Mkt!Q18*(Retrofit_Rate+Floor_Growth!R$11)</f>
        <v>0.66118210745205874</v>
      </c>
      <c r="S308" s="199">
        <f>System_Total_Mkt!R18*(Retrofit_Rate+Floor_Growth!S$11)</f>
        <v>0.79760644648910217</v>
      </c>
      <c r="T308" s="199">
        <f>System_Total_Mkt!S18*(Retrofit_Rate+Floor_Growth!T$11)</f>
        <v>0.93222387765078962</v>
      </c>
      <c r="U308" s="199">
        <f>System_Total_Mkt!T18*(Retrofit_Rate+Floor_Growth!U$11)</f>
        <v>1.0610743639846805</v>
      </c>
      <c r="V308" s="199">
        <f>System_Total_Mkt!U18*(Retrofit_Rate+Floor_Growth!V$11)</f>
        <v>1.1840314422415712</v>
      </c>
      <c r="W308" s="199">
        <f>System_Total_Mkt!V18*(Retrofit_Rate+Floor_Growth!W$11)</f>
        <v>1.2950613099025219</v>
      </c>
      <c r="X308" s="199">
        <f>System_Total_Mkt!W18*(Retrofit_Rate+Floor_Growth!X$11)</f>
        <v>1.3925557656243253</v>
      </c>
      <c r="Y308" s="199">
        <f>System_Total_Mkt!X18*(Retrofit_Rate+Floor_Growth!Y$11)</f>
        <v>1.4772997650586062</v>
      </c>
      <c r="Z308" s="199">
        <f>System_Total_Mkt!Y18*(Retrofit_Rate+Floor_Growth!Z$11)</f>
        <v>1.5541375673868909</v>
      </c>
      <c r="AA308" s="199">
        <f>System_Total_Mkt!Z18*(Retrofit_Rate+Floor_Growth!AA$11)</f>
        <v>1.625660790978489</v>
      </c>
      <c r="AB308" s="199">
        <f>System_Total_Mkt!AA18*(Retrofit_Rate+Floor_Growth!AB$11)</f>
        <v>1.6954425628666496</v>
      </c>
      <c r="AC308" s="199">
        <f>System_Total_Mkt!AB18*(Retrofit_Rate+Floor_Growth!AC$11)</f>
        <v>1.7495780617229968</v>
      </c>
      <c r="AD308" s="199">
        <f>System_Total_Mkt!AC18*(Retrofit_Rate+Floor_Growth!AD$11)</f>
        <v>1.7972610927133073</v>
      </c>
      <c r="AE308" s="199">
        <f>System_Total_Mkt!AD18*(Retrofit_Rate+Floor_Growth!AE$11)</f>
        <v>1.8394167889126896</v>
      </c>
      <c r="AF308" s="199">
        <f>System_Total_Mkt!AE18*(Retrofit_Rate+Floor_Growth!AF$11)</f>
        <v>1.8767708336357678</v>
      </c>
    </row>
    <row r="309" spans="1:32" s="221" customFormat="1" x14ac:dyDescent="0.25">
      <c r="A309" s="252"/>
      <c r="B309" s="252"/>
      <c r="C309"/>
      <c r="D309"/>
      <c r="E309"/>
      <c r="F309"/>
      <c r="G309"/>
      <c r="H309"/>
      <c r="I309"/>
      <c r="J309"/>
      <c r="K309"/>
      <c r="L309"/>
      <c r="M309"/>
      <c r="N309"/>
      <c r="O309"/>
      <c r="P309"/>
      <c r="Q309"/>
      <c r="R309"/>
      <c r="S309"/>
      <c r="T309"/>
      <c r="U309"/>
      <c r="V309"/>
      <c r="W309"/>
      <c r="X309"/>
      <c r="Y309"/>
      <c r="Z309"/>
      <c r="AA309"/>
      <c r="AB309"/>
      <c r="AC309"/>
      <c r="AD309"/>
      <c r="AE309"/>
      <c r="AF309"/>
    </row>
    <row r="310" spans="1:32" s="202" customFormat="1" ht="12.75" x14ac:dyDescent="0.2">
      <c r="A310" s="267" t="s">
        <v>36</v>
      </c>
      <c r="B310" s="267"/>
      <c r="C310" s="267"/>
      <c r="D310" s="267"/>
      <c r="E310" s="267"/>
      <c r="F310" s="267"/>
      <c r="G310" s="267"/>
      <c r="H310" s="267"/>
      <c r="I310" s="267"/>
      <c r="J310" s="267"/>
      <c r="K310" s="267"/>
      <c r="L310" s="267"/>
      <c r="M310" s="267"/>
      <c r="N310" s="267"/>
      <c r="O310" s="267"/>
      <c r="P310" s="267"/>
      <c r="Q310" s="267"/>
      <c r="R310" s="267"/>
      <c r="S310" s="267"/>
      <c r="T310" s="267"/>
      <c r="U310" s="267"/>
      <c r="V310" s="267"/>
      <c r="W310" s="267"/>
      <c r="X310" s="267"/>
      <c r="Y310" s="267"/>
      <c r="Z310" s="267"/>
      <c r="AA310" s="267"/>
      <c r="AB310" s="267"/>
      <c r="AC310" s="267"/>
      <c r="AD310" s="267"/>
      <c r="AE310" s="267"/>
      <c r="AF310" s="267"/>
    </row>
    <row r="311" spans="1:32" s="221" customFormat="1" x14ac:dyDescent="0.25">
      <c r="A311" s="252"/>
      <c r="B311" s="252" t="s">
        <v>37</v>
      </c>
      <c r="C311"/>
      <c r="D311"/>
      <c r="E311"/>
      <c r="F311"/>
      <c r="G311" s="201"/>
      <c r="H311" s="199">
        <f>System_Total_Mkt!G21*(Retrofit_Rate+Floor_Growth!H$11)</f>
        <v>1.4594043935448693</v>
      </c>
      <c r="I311" s="199">
        <f>System_Total_Mkt!H21*(Retrofit_Rate+Floor_Growth!I$11)</f>
        <v>1.3795151585140597</v>
      </c>
      <c r="J311" s="199">
        <f>System_Total_Mkt!I21*(Retrofit_Rate+Floor_Growth!J$11)</f>
        <v>1.2909913008258505</v>
      </c>
      <c r="K311" s="199">
        <f>System_Total_Mkt!J21*(Retrofit_Rate+Floor_Growth!K$11)</f>
        <v>1.1859073912215046</v>
      </c>
      <c r="L311" s="199">
        <f>System_Total_Mkt!K21*(Retrofit_Rate+Floor_Growth!L$11)</f>
        <v>1.0904212201489873</v>
      </c>
      <c r="M311" s="199">
        <f>System_Total_Mkt!L21*(Retrofit_Rate+Floor_Growth!M$11)</f>
        <v>1.000335729472871</v>
      </c>
      <c r="N311" s="199">
        <f>System_Total_Mkt!M21*(Retrofit_Rate+Floor_Growth!N$11)</f>
        <v>0.91338701650805953</v>
      </c>
      <c r="O311" s="199">
        <f>System_Total_Mkt!N21*(Retrofit_Rate+Floor_Growth!O$11)</f>
        <v>0.83476205042889917</v>
      </c>
      <c r="P311" s="199">
        <f>System_Total_Mkt!O21*(Retrofit_Rate+Floor_Growth!P$11)</f>
        <v>0.76396308507729616</v>
      </c>
      <c r="Q311" s="199">
        <f>System_Total_Mkt!P21*(Retrofit_Rate+Floor_Growth!Q$11)</f>
        <v>0.69928342431658075</v>
      </c>
      <c r="R311" s="199">
        <f>System_Total_Mkt!Q21*(Retrofit_Rate+Floor_Growth!R$11)</f>
        <v>0.63830748945896154</v>
      </c>
      <c r="S311" s="199">
        <f>System_Total_Mkt!R21*(Retrofit_Rate+Floor_Growth!S$11)</f>
        <v>0.58547195330022295</v>
      </c>
      <c r="T311" s="199">
        <f>System_Total_Mkt!S21*(Retrofit_Rate+Floor_Growth!T$11)</f>
        <v>0.53691943720796276</v>
      </c>
      <c r="U311" s="199">
        <f>System_Total_Mkt!T21*(Retrofit_Rate+Floor_Growth!U$11)</f>
        <v>0.49232687725745555</v>
      </c>
      <c r="V311" s="199">
        <f>System_Total_Mkt!U21*(Retrofit_Rate+Floor_Growth!V$11)</f>
        <v>0.4524345148491869</v>
      </c>
      <c r="W311" s="199">
        <f>System_Total_Mkt!V21*(Retrofit_Rate+Floor_Growth!W$11)</f>
        <v>0.41508349534963823</v>
      </c>
      <c r="X311" s="199">
        <f>System_Total_Mkt!W21*(Retrofit_Rate+Floor_Growth!X$11)</f>
        <v>0.38013464913668266</v>
      </c>
      <c r="Y311" s="199">
        <f>System_Total_Mkt!X21*(Retrofit_Rate+Floor_Growth!Y$11)</f>
        <v>0.34785050129235812</v>
      </c>
      <c r="Z311" s="199">
        <f>System_Total_Mkt!Y21*(Retrofit_Rate+Floor_Growth!Z$11)</f>
        <v>0.31898426927945178</v>
      </c>
      <c r="AA311" s="199">
        <f>System_Total_Mkt!Z21*(Retrofit_Rate+Floor_Growth!AA$11)</f>
        <v>0.29333736923893333</v>
      </c>
      <c r="AB311" s="199">
        <f>System_Total_Mkt!AA21*(Retrofit_Rate+Floor_Growth!AB$11)</f>
        <v>0.27080319845934703</v>
      </c>
      <c r="AC311" s="199">
        <f>System_Total_Mkt!AB21*(Retrofit_Rate+Floor_Growth!AC$11)</f>
        <v>0.24868177733929611</v>
      </c>
      <c r="AD311" s="199">
        <f>System_Total_Mkt!AC21*(Retrofit_Rate+Floor_Growth!AD$11)</f>
        <v>0.22839016810038715</v>
      </c>
      <c r="AE311" s="199">
        <f>System_Total_Mkt!AD21*(Retrofit_Rate+Floor_Growth!AE$11)</f>
        <v>0.20977419708526338</v>
      </c>
      <c r="AF311" s="199">
        <f>System_Total_Mkt!AE21*(Retrofit_Rate+Floor_Growth!AF$11)</f>
        <v>0.19269297786182385</v>
      </c>
    </row>
    <row r="312" spans="1:32" s="221" customFormat="1" x14ac:dyDescent="0.25">
      <c r="A312" s="252"/>
      <c r="B312" s="252" t="s">
        <v>39</v>
      </c>
      <c r="C312"/>
      <c r="D312"/>
      <c r="E312"/>
      <c r="F312"/>
      <c r="G312" s="201"/>
      <c r="H312" s="199">
        <f>System_Total_Mkt!G22*(Retrofit_Rate+Floor_Growth!H$11)</f>
        <v>0.2743190223324245</v>
      </c>
      <c r="I312" s="199">
        <f>System_Total_Mkt!H22*(Retrofit_Rate+Floor_Growth!I$11)</f>
        <v>0.36791660662695863</v>
      </c>
      <c r="J312" s="199">
        <f>System_Total_Mkt!I22*(Retrofit_Rate+Floor_Growth!J$11)</f>
        <v>0.45539819562931522</v>
      </c>
      <c r="K312" s="199">
        <f>System_Total_Mkt!J22*(Retrofit_Rate+Floor_Growth!K$11)</f>
        <v>0.52902087168899814</v>
      </c>
      <c r="L312" s="199">
        <f>System_Total_Mkt!K22*(Retrofit_Rate+Floor_Growth!L$11)</f>
        <v>0.59512531855258544</v>
      </c>
      <c r="M312" s="199">
        <f>System_Total_Mkt!L22*(Retrofit_Rate+Floor_Growth!M$11)</f>
        <v>0.64621269790416236</v>
      </c>
      <c r="N312" s="199">
        <f>System_Total_Mkt!M22*(Retrofit_Rate+Floor_Growth!N$11)</f>
        <v>0.68089101430688759</v>
      </c>
      <c r="O312" s="199">
        <f>System_Total_Mkt!N22*(Retrofit_Rate+Floor_Growth!O$11)</f>
        <v>0.70398237346856019</v>
      </c>
      <c r="P312" s="199">
        <f>System_Total_Mkt!O22*(Retrofit_Rate+Floor_Growth!P$11)</f>
        <v>0.71727654581364486</v>
      </c>
      <c r="Q312" s="199">
        <f>System_Total_Mkt!P22*(Retrofit_Rate+Floor_Growth!Q$11)</f>
        <v>0.72196334872970724</v>
      </c>
      <c r="R312" s="199">
        <f>System_Total_Mkt!Q22*(Retrofit_Rate+Floor_Growth!R$11)</f>
        <v>0.71754942623635654</v>
      </c>
      <c r="S312" s="199">
        <f>System_Total_Mkt!R22*(Retrofit_Rate+Floor_Growth!S$11)</f>
        <v>0.7108891877898349</v>
      </c>
      <c r="T312" s="199">
        <f>System_Total_Mkt!S22*(Retrofit_Rate+Floor_Growth!T$11)</f>
        <v>0.69982428229359994</v>
      </c>
      <c r="U312" s="199">
        <f>System_Total_Mkt!T22*(Retrofit_Rate+Floor_Growth!U$11)</f>
        <v>0.68540800445505856</v>
      </c>
      <c r="V312" s="199">
        <f>System_Total_Mkt!U22*(Retrofit_Rate+Floor_Growth!V$11)</f>
        <v>0.67004342305701658</v>
      </c>
      <c r="W312" s="199">
        <f>System_Total_Mkt!V22*(Retrofit_Rate+Floor_Growth!W$11)</f>
        <v>0.65189506598502966</v>
      </c>
      <c r="X312" s="199">
        <f>System_Total_Mkt!W22*(Retrofit_Rate+Floor_Growth!X$11)</f>
        <v>0.63147226444670979</v>
      </c>
      <c r="Y312" s="199">
        <f>System_Total_Mkt!X22*(Retrofit_Rate+Floor_Growth!Y$11)</f>
        <v>0.60989964450468126</v>
      </c>
      <c r="Z312" s="199">
        <f>System_Total_Mkt!Y22*(Retrofit_Rate+Floor_Growth!Z$11)</f>
        <v>0.58928012043518674</v>
      </c>
      <c r="AA312" s="199">
        <f>System_Total_Mkt!Z22*(Retrofit_Rate+Floor_Growth!AA$11)</f>
        <v>0.57020608909971215</v>
      </c>
      <c r="AB312" s="199">
        <f>System_Total_Mkt!AA22*(Retrofit_Rate+Floor_Growth!AB$11)</f>
        <v>0.55338821240595881</v>
      </c>
      <c r="AC312" s="199">
        <f>System_Total_Mkt!AB22*(Retrofit_Rate+Floor_Growth!AC$11)</f>
        <v>0.53388218469506032</v>
      </c>
      <c r="AD312" s="199">
        <f>System_Total_Mkt!AC22*(Retrofit_Rate+Floor_Growth!AD$11)</f>
        <v>0.51480506494489409</v>
      </c>
      <c r="AE312" s="199">
        <f>System_Total_Mkt!AD22*(Retrofit_Rate+Floor_Growth!AE$11)</f>
        <v>0.49622426437586276</v>
      </c>
      <c r="AF312" s="199">
        <f>System_Total_Mkt!AE22*(Retrofit_Rate+Floor_Growth!AF$11)</f>
        <v>0.47816986367569803</v>
      </c>
    </row>
    <row r="313" spans="1:32" s="221" customFormat="1" x14ac:dyDescent="0.25">
      <c r="A313" s="252"/>
      <c r="B313" s="252" t="s">
        <v>40</v>
      </c>
      <c r="C313"/>
      <c r="D313"/>
      <c r="E313"/>
      <c r="F313"/>
      <c r="G313" s="201"/>
      <c r="H313" s="199">
        <f>System_Total_Mkt!G23*(Retrofit_Rate+Floor_Growth!H$11)</f>
        <v>0</v>
      </c>
      <c r="I313" s="199">
        <f>System_Total_Mkt!H23*(Retrofit_Rate+Floor_Growth!I$11)</f>
        <v>3.8440655209980447E-2</v>
      </c>
      <c r="J313" s="199">
        <f>System_Total_Mkt!I23*(Retrofit_Rate+Floor_Growth!J$11)</f>
        <v>8.6241635710199271E-2</v>
      </c>
      <c r="K313" s="199">
        <f>System_Total_Mkt!J23*(Retrofit_Rate+Floor_Growth!K$11)</f>
        <v>0.14187587418786829</v>
      </c>
      <c r="L313" s="199">
        <f>System_Total_Mkt!K23*(Retrofit_Rate+Floor_Growth!L$11)</f>
        <v>0.2060727137669606</v>
      </c>
      <c r="M313" s="199">
        <f>System_Total_Mkt!L23*(Retrofit_Rate+Floor_Growth!M$11)</f>
        <v>0.27333447574766018</v>
      </c>
      <c r="N313" s="199">
        <f>System_Total_Mkt!M23*(Retrofit_Rate+Floor_Growth!N$11)</f>
        <v>0.34054554426147249</v>
      </c>
      <c r="O313" s="199">
        <f>System_Total_Mkt!N23*(Retrofit_Rate+Floor_Growth!O$11)</f>
        <v>0.40619163546746306</v>
      </c>
      <c r="P313" s="199">
        <f>System_Total_Mkt!O23*(Retrofit_Rate+Floor_Growth!P$11)</f>
        <v>0.46838393256023841</v>
      </c>
      <c r="Q313" s="199">
        <f>System_Total_Mkt!P23*(Retrofit_Rate+Floor_Growth!Q$11)</f>
        <v>0.52508557679543433</v>
      </c>
      <c r="R313" s="199">
        <f>System_Total_Mkt!Q23*(Retrofit_Rate+Floor_Growth!R$11)</f>
        <v>0.57346049485682238</v>
      </c>
      <c r="S313" s="199">
        <f>System_Total_Mkt!R23*(Retrofit_Rate+Floor_Growth!S$11)</f>
        <v>0.61710549889665578</v>
      </c>
      <c r="T313" s="199">
        <f>System_Total_Mkt!S23*(Retrofit_Rate+Floor_Growth!T$11)</f>
        <v>0.65338931525007893</v>
      </c>
      <c r="U313" s="199">
        <f>System_Total_Mkt!T23*(Retrofit_Rate+Floor_Growth!U$11)</f>
        <v>0.68242182798935125</v>
      </c>
      <c r="V313" s="199">
        <f>System_Total_Mkt!U23*(Retrofit_Rate+Floor_Growth!V$11)</f>
        <v>0.7062523666492444</v>
      </c>
      <c r="W313" s="199">
        <f>System_Total_Mkt!V23*(Retrofit_Rate+Floor_Growth!W$11)</f>
        <v>0.722958653193428</v>
      </c>
      <c r="X313" s="199">
        <f>System_Total_Mkt!W23*(Retrofit_Rate+Floor_Growth!X$11)</f>
        <v>0.7330014056033971</v>
      </c>
      <c r="Y313" s="199">
        <f>System_Total_Mkt!X23*(Retrofit_Rate+Floor_Growth!Y$11)</f>
        <v>0.73775671383318753</v>
      </c>
      <c r="Z313" s="199">
        <f>System_Total_Mkt!Y23*(Retrofit_Rate+Floor_Growth!Z$11)</f>
        <v>0.74008548531250928</v>
      </c>
      <c r="AA313" s="199">
        <f>System_Total_Mkt!Z23*(Retrofit_Rate+Floor_Growth!AA$11)</f>
        <v>0.74127010496704659</v>
      </c>
      <c r="AB313" s="199">
        <f>System_Total_Mkt!AA23*(Retrofit_Rate+Floor_Growth!AB$11)</f>
        <v>0.74279394020624423</v>
      </c>
      <c r="AC313" s="199">
        <f>System_Total_Mkt!AB23*(Retrofit_Rate+Floor_Growth!AC$11)</f>
        <v>0.73840528877409328</v>
      </c>
      <c r="AD313" s="199">
        <f>System_Total_Mkt!AC23*(Retrofit_Rate+Floor_Growth!AD$11)</f>
        <v>0.73233730670583275</v>
      </c>
      <c r="AE313" s="199">
        <f>System_Total_Mkt!AD23*(Retrofit_Rate+Floor_Growth!AE$11)</f>
        <v>0.72491690771235306</v>
      </c>
      <c r="AF313" s="199">
        <f>System_Total_Mkt!AE23*(Retrofit_Rate+Floor_Growth!AF$11)</f>
        <v>0.71639703825918699</v>
      </c>
    </row>
    <row r="314" spans="1:32" s="221" customFormat="1" x14ac:dyDescent="0.25">
      <c r="A314" s="252"/>
      <c r="B314" s="252" t="s">
        <v>29</v>
      </c>
      <c r="C314"/>
      <c r="D314"/>
      <c r="E314"/>
      <c r="F314"/>
      <c r="G314" s="201"/>
      <c r="H314" s="199">
        <f>System_Total_Mkt!G24*(Retrofit_Rate+Floor_Growth!H$11)</f>
        <v>0</v>
      </c>
      <c r="I314" s="199">
        <f>System_Total_Mkt!H24*(Retrofit_Rate+Floor_Growth!I$11)</f>
        <v>4.780846757649837E-6</v>
      </c>
      <c r="J314" s="199">
        <f>System_Total_Mkt!I24*(Retrofit_Rate+Floor_Growth!J$11)</f>
        <v>1.1965496864379357E-4</v>
      </c>
      <c r="K314" s="199">
        <f>System_Total_Mkt!J24*(Retrofit_Rate+Floor_Growth!K$11)</f>
        <v>8.458221558938101E-4</v>
      </c>
      <c r="L314" s="199">
        <f>System_Total_Mkt!K24*(Retrofit_Rate+Floor_Growth!L$11)</f>
        <v>3.2768684708707873E-3</v>
      </c>
      <c r="M314" s="199">
        <f>System_Total_Mkt!L24*(Retrofit_Rate+Floor_Growth!M$11)</f>
        <v>8.9019532649435903E-3</v>
      </c>
      <c r="N314" s="199">
        <f>System_Total_Mkt!M24*(Retrofit_Rate+Floor_Growth!N$11)</f>
        <v>1.9280035201380913E-2</v>
      </c>
      <c r="O314" s="199">
        <f>System_Total_Mkt!N24*(Retrofit_Rate+Floor_Growth!O$11)</f>
        <v>3.5641322963920169E-2</v>
      </c>
      <c r="P314" s="199">
        <f>System_Total_Mkt!O24*(Retrofit_Rate+Floor_Growth!P$11)</f>
        <v>5.8843673311264097E-2</v>
      </c>
      <c r="Q314" s="199">
        <f>System_Total_Mkt!P24*(Retrofit_Rate+Floor_Growth!Q$11)</f>
        <v>8.9188267290226386E-2</v>
      </c>
      <c r="R314" s="199">
        <f>System_Total_Mkt!Q24*(Retrofit_Rate+Floor_Growth!R$11)</f>
        <v>0.12634375995884062</v>
      </c>
      <c r="S314" s="199">
        <f>System_Total_Mkt!R24*(Retrofit_Rate+Floor_Growth!S$11)</f>
        <v>0.17060015896895803</v>
      </c>
      <c r="T314" s="199">
        <f>System_Total_Mkt!S24*(Retrofit_Rate+Floor_Growth!T$11)</f>
        <v>0.22105083908195722</v>
      </c>
      <c r="U314" s="199">
        <f>System_Total_Mkt!T24*(Retrofit_Rate+Floor_Growth!U$11)</f>
        <v>0.2768310354133382</v>
      </c>
      <c r="V314" s="199">
        <f>System_Total_Mkt!U24*(Retrofit_Rate+Floor_Growth!V$11)</f>
        <v>0.33772626876212181</v>
      </c>
      <c r="W314" s="199">
        <f>System_Total_Mkt!V24*(Retrofit_Rate+Floor_Growth!W$11)</f>
        <v>0.40161610723454466</v>
      </c>
      <c r="X314" s="199">
        <f>System_Total_Mkt!W24*(Retrofit_Rate+Floor_Growth!X$11)</f>
        <v>0.46697006819906506</v>
      </c>
      <c r="Y314" s="199">
        <f>System_Total_Mkt!X24*(Retrofit_Rate+Floor_Growth!Y$11)</f>
        <v>0.53281880688906502</v>
      </c>
      <c r="Z314" s="199">
        <f>System_Total_Mkt!Y24*(Retrofit_Rate+Floor_Growth!Z$11)</f>
        <v>0.59980326155594121</v>
      </c>
      <c r="AA314" s="199">
        <f>System_Total_Mkt!Z24*(Retrofit_Rate+Floor_Growth!AA$11)</f>
        <v>0.66820950622906694</v>
      </c>
      <c r="AB314" s="199">
        <f>System_Total_Mkt!AA24*(Retrofit_Rate+Floor_Growth!AB$11)</f>
        <v>0.73900398818125768</v>
      </c>
      <c r="AC314" s="199">
        <f>System_Total_Mkt!AB24*(Retrofit_Rate+Floor_Growth!AC$11)</f>
        <v>0.80556332462557045</v>
      </c>
      <c r="AD314" s="199">
        <f>System_Total_Mkt!AC24*(Retrofit_Rate+Floor_Growth!AD$11)</f>
        <v>0.87057749807374174</v>
      </c>
      <c r="AE314" s="199">
        <f>System_Total_Mkt!AD24*(Retrofit_Rate+Floor_Growth!AE$11)</f>
        <v>0.93377697425145345</v>
      </c>
      <c r="AF314" s="199">
        <f>System_Total_Mkt!AE24*(Retrofit_Rate+Floor_Growth!AF$11)</f>
        <v>0.99499137703453444</v>
      </c>
    </row>
    <row r="315" spans="1:32" s="221" customFormat="1" x14ac:dyDescent="0.25">
      <c r="A315" s="252"/>
      <c r="B315" s="252"/>
      <c r="C315"/>
      <c r="D315"/>
      <c r="E315"/>
      <c r="F315"/>
      <c r="G315"/>
      <c r="H315"/>
      <c r="I315"/>
      <c r="J315"/>
      <c r="K315"/>
      <c r="L315"/>
      <c r="M315"/>
      <c r="N315"/>
      <c r="O315"/>
      <c r="P315"/>
      <c r="Q315"/>
      <c r="R315"/>
      <c r="S315"/>
      <c r="T315"/>
      <c r="U315"/>
      <c r="V315"/>
      <c r="W315"/>
      <c r="X315"/>
      <c r="Y315"/>
      <c r="Z315"/>
      <c r="AA315"/>
      <c r="AB315"/>
      <c r="AC315"/>
      <c r="AD315"/>
      <c r="AE315"/>
      <c r="AF315"/>
    </row>
    <row r="316" spans="1:32" s="202" customFormat="1" ht="12.75" x14ac:dyDescent="0.2">
      <c r="A316" s="267" t="s">
        <v>42</v>
      </c>
      <c r="B316" s="267"/>
      <c r="C316" s="267"/>
      <c r="D316" s="267"/>
      <c r="E316" s="267"/>
      <c r="F316" s="267"/>
      <c r="G316" s="267"/>
      <c r="H316" s="267"/>
      <c r="I316" s="267"/>
      <c r="J316" s="267"/>
      <c r="K316" s="267"/>
      <c r="L316" s="267"/>
      <c r="M316" s="267"/>
      <c r="N316" s="267"/>
      <c r="O316" s="267"/>
      <c r="P316" s="267"/>
      <c r="Q316" s="267"/>
      <c r="R316" s="267"/>
      <c r="S316" s="267"/>
      <c r="T316" s="267"/>
      <c r="U316" s="267"/>
      <c r="V316" s="267"/>
      <c r="W316" s="267"/>
      <c r="X316" s="267"/>
      <c r="Y316" s="267"/>
      <c r="Z316" s="267"/>
      <c r="AA316" s="267"/>
      <c r="AB316" s="267"/>
      <c r="AC316" s="267"/>
      <c r="AD316" s="267"/>
      <c r="AE316" s="267"/>
      <c r="AF316" s="267"/>
    </row>
    <row r="317" spans="1:32" s="221" customFormat="1" x14ac:dyDescent="0.25">
      <c r="A317" s="252"/>
      <c r="B317" s="257" t="s">
        <v>43</v>
      </c>
      <c r="C317"/>
      <c r="D317"/>
      <c r="E317"/>
      <c r="F317"/>
      <c r="G317" s="201"/>
      <c r="H317" s="199">
        <f>System_Total_Mkt!G27*(Retrofit_Rate+Floor_Growth!H$11)</f>
        <v>1.9962524385916764E-3</v>
      </c>
      <c r="I317" s="199">
        <f>System_Total_Mkt!H27*(Retrofit_Rate+Floor_Growth!I$11)</f>
        <v>1.9030636794173091E-3</v>
      </c>
      <c r="J317" s="199">
        <f>System_Total_Mkt!I27*(Retrofit_Rate+Floor_Growth!J$11)</f>
        <v>1.8078438653598441E-3</v>
      </c>
      <c r="K317" s="199">
        <f>System_Total_Mkt!J27*(Retrofit_Rate+Floor_Growth!K$11)</f>
        <v>1.6968927805542078E-3</v>
      </c>
      <c r="L317" s="199">
        <f>System_Total_Mkt!K27*(Retrofit_Rate+Floor_Growth!L$11)</f>
        <v>1.6047225784529802E-3</v>
      </c>
      <c r="M317" s="199">
        <f>System_Total_Mkt!L27*(Retrofit_Rate+Floor_Growth!M$11)</f>
        <v>1.5152640288930285E-3</v>
      </c>
      <c r="N317" s="199">
        <f>System_Total_Mkt!M27*(Retrofit_Rate+Floor_Growth!N$11)</f>
        <v>1.4250733326533877E-3</v>
      </c>
      <c r="O317" s="199">
        <f>System_Total_Mkt!N27*(Retrofit_Rate+Floor_Growth!O$11)</f>
        <v>1.3420366202052021E-3</v>
      </c>
      <c r="P317" s="199">
        <f>System_Total_Mkt!O27*(Retrofit_Rate+Floor_Growth!P$11)</f>
        <v>1.2655597166757421E-3</v>
      </c>
      <c r="Q317" s="199">
        <f>System_Total_Mkt!P27*(Retrofit_Rate+Floor_Growth!Q$11)</f>
        <v>1.1936462970711756E-3</v>
      </c>
      <c r="R317" s="199">
        <f>System_Total_Mkt!Q27*(Retrofit_Rate+Floor_Growth!R$11)</f>
        <v>1.1227566601948666E-3</v>
      </c>
      <c r="S317" s="199">
        <f>System_Total_Mkt!R27*(Retrofit_Rate+Floor_Growth!S$11)</f>
        <v>1.0612760425911705E-3</v>
      </c>
      <c r="T317" s="199">
        <f>System_Total_Mkt!S27*(Retrofit_Rate+Floor_Growth!T$11)</f>
        <v>1.0031910000969407E-3</v>
      </c>
      <c r="U317" s="199">
        <f>System_Total_Mkt!T27*(Retrofit_Rate+Floor_Growth!U$11)</f>
        <v>9.4842130927418489E-4</v>
      </c>
      <c r="V317" s="199">
        <f>System_Total_Mkt!U27*(Retrofit_Rate+Floor_Growth!V$11)</f>
        <v>8.9894766032016431E-4</v>
      </c>
      <c r="W317" s="199">
        <f>System_Total_Mkt!V27*(Retrofit_Rate+Floor_Growth!W$11)</f>
        <v>8.5104147385774078E-4</v>
      </c>
      <c r="X317" s="199">
        <f>System_Total_Mkt!W27*(Retrofit_Rate+Floor_Growth!X$11)</f>
        <v>8.0467733030061309E-4</v>
      </c>
      <c r="Y317" s="199">
        <f>System_Total_Mkt!X27*(Retrofit_Rate+Floor_Growth!Y$11)</f>
        <v>7.6067607544052108E-4</v>
      </c>
      <c r="Z317" s="199">
        <f>System_Total_Mkt!Y27*(Retrofit_Rate+Floor_Growth!Z$11)</f>
        <v>7.2106510199099693E-4</v>
      </c>
      <c r="AA317" s="199">
        <f>System_Total_Mkt!Z27*(Retrofit_Rate+Floor_Growth!AA$11)</f>
        <v>6.8593177341230477E-4</v>
      </c>
      <c r="AB317" s="199">
        <f>System_Total_Mkt!AA27*(Retrofit_Rate+Floor_Growth!AB$11)</f>
        <v>6.5557830167974117E-4</v>
      </c>
      <c r="AC317" s="199">
        <f>System_Total_Mkt!AB27*(Retrofit_Rate+Floor_Growth!AC$11)</f>
        <v>6.2383135317345254E-4</v>
      </c>
      <c r="AD317" s="199">
        <f>System_Total_Mkt!AC27*(Retrofit_Rate+Floor_Growth!AD$11)</f>
        <v>5.9420017002936951E-4</v>
      </c>
      <c r="AE317" s="199">
        <f>System_Total_Mkt!AD27*(Retrofit_Rate+Floor_Growth!AE$11)</f>
        <v>5.6654404197846258E-4</v>
      </c>
      <c r="AF317" s="199">
        <f>System_Total_Mkt!AE27*(Retrofit_Rate+Floor_Growth!AF$11)</f>
        <v>5.407292303269745E-4</v>
      </c>
    </row>
    <row r="318" spans="1:32" s="221" customFormat="1" x14ac:dyDescent="0.25">
      <c r="A318" s="252"/>
      <c r="B318" s="257" t="s">
        <v>44</v>
      </c>
      <c r="C318"/>
      <c r="D318"/>
      <c r="E318"/>
      <c r="F318"/>
      <c r="G318" s="201"/>
      <c r="H318" s="199">
        <f>System_Total_Mkt!G28*(Retrofit_Rate+Floor_Growth!H$11)</f>
        <v>2.978926818521918E-4</v>
      </c>
      <c r="I318" s="199">
        <f>System_Total_Mkt!H28*(Retrofit_Rate+Floor_Growth!I$11)</f>
        <v>2.1246855895597459E-3</v>
      </c>
      <c r="J318" s="199">
        <f>System_Total_Mkt!I28*(Retrofit_Rate+Floor_Growth!J$11)</f>
        <v>3.8314643659645652E-3</v>
      </c>
      <c r="K318" s="199">
        <f>System_Total_Mkt!J28*(Retrofit_Rate+Floor_Growth!K$11)</f>
        <v>5.3418163618138264E-3</v>
      </c>
      <c r="L318" s="199">
        <f>System_Total_Mkt!K28*(Retrofit_Rate+Floor_Growth!L$11)</f>
        <v>6.7152743617364076E-3</v>
      </c>
      <c r="M318" s="199">
        <f>System_Total_Mkt!L28*(Retrofit_Rate+Floor_Growth!M$11)</f>
        <v>7.9242307523748126E-3</v>
      </c>
      <c r="N318" s="199">
        <f>System_Total_Mkt!M28*(Retrofit_Rate+Floor_Growth!N$11)</f>
        <v>8.9453198823113162E-3</v>
      </c>
      <c r="O318" s="199">
        <f>System_Total_Mkt!N28*(Retrofit_Rate+Floor_Growth!O$11)</f>
        <v>9.8253285733297061E-3</v>
      </c>
      <c r="P318" s="199">
        <f>System_Total_Mkt!O28*(Retrofit_Rate+Floor_Growth!P$11)</f>
        <v>1.0583109126423676E-2</v>
      </c>
      <c r="Q318" s="199">
        <f>System_Total_Mkt!P28*(Retrofit_Rate+Floor_Growth!Q$11)</f>
        <v>1.1223767028632427E-2</v>
      </c>
      <c r="R318" s="199">
        <f>System_Total_Mkt!Q28*(Retrofit_Rate+Floor_Growth!R$11)</f>
        <v>1.1727928007147483E-2</v>
      </c>
      <c r="S318" s="199">
        <f>System_Total_Mkt!R28*(Retrofit_Rate+Floor_Growth!S$11)</f>
        <v>1.219645920832454E-2</v>
      </c>
      <c r="T318" s="199">
        <f>System_Total_Mkt!S28*(Retrofit_Rate+Floor_Growth!T$11)</f>
        <v>1.2591974577531201E-2</v>
      </c>
      <c r="U318" s="199">
        <f>System_Total_Mkt!T28*(Retrofit_Rate+Floor_Growth!U$11)</f>
        <v>1.2927120898327879E-2</v>
      </c>
      <c r="V318" s="199">
        <f>System_Total_Mkt!U28*(Retrofit_Rate+Floor_Growth!V$11)</f>
        <v>1.3243629793526277E-2</v>
      </c>
      <c r="W318" s="199">
        <f>System_Total_Mkt!V28*(Retrofit_Rate+Floor_Growth!W$11)</f>
        <v>1.350239429123091E-2</v>
      </c>
      <c r="X318" s="199">
        <f>System_Total_Mkt!W28*(Retrofit_Rate+Floor_Growth!X$11)</f>
        <v>1.3706158135454614E-2</v>
      </c>
      <c r="Y318" s="199">
        <f>System_Total_Mkt!X28*(Retrofit_Rate+Floor_Growth!Y$11)</f>
        <v>1.3871799956722452E-2</v>
      </c>
      <c r="Z318" s="199">
        <f>System_Total_Mkt!Y28*(Retrofit_Rate+Floor_Growth!Z$11)</f>
        <v>1.4043669586127534E-2</v>
      </c>
      <c r="AA318" s="199">
        <f>System_Total_Mkt!Z28*(Retrofit_Rate+Floor_Growth!AA$11)</f>
        <v>1.4237898165680999E-2</v>
      </c>
      <c r="AB318" s="199">
        <f>System_Total_Mkt!AA28*(Retrofit_Rate+Floor_Growth!AB$11)</f>
        <v>1.4476501399508807E-2</v>
      </c>
      <c r="AC318" s="199">
        <f>System_Total_Mkt!AB28*(Retrofit_Rate+Floor_Growth!AC$11)</f>
        <v>1.463249615143499E-2</v>
      </c>
      <c r="AD318" s="199">
        <f>System_Total_Mkt!AC28*(Retrofit_Rate+Floor_Growth!AD$11)</f>
        <v>1.4779123290113364E-2</v>
      </c>
      <c r="AE318" s="199">
        <f>System_Total_Mkt!AD28*(Retrofit_Rate+Floor_Growth!AE$11)</f>
        <v>1.4917187340855889E-2</v>
      </c>
      <c r="AF318" s="199">
        <f>System_Total_Mkt!AE28*(Retrofit_Rate+Floor_Growth!AF$11)</f>
        <v>1.5047205820505899E-2</v>
      </c>
    </row>
    <row r="319" spans="1:32" s="221" customFormat="1" x14ac:dyDescent="0.25">
      <c r="A319" s="252"/>
      <c r="B319" s="257" t="s">
        <v>45</v>
      </c>
      <c r="C319"/>
      <c r="D319"/>
      <c r="E319"/>
      <c r="F319"/>
      <c r="G319" s="201"/>
      <c r="H319" s="199">
        <f>System_Total_Mkt!G29*(Retrofit_Rate+Floor_Growth!H$11)</f>
        <v>2.1201574020047916E-2</v>
      </c>
      <c r="I319" s="199">
        <f>System_Total_Mkt!H29*(Retrofit_Rate+Floor_Growth!I$11)</f>
        <v>2.0014413501667334E-2</v>
      </c>
      <c r="J319" s="199">
        <f>System_Total_Mkt!I29*(Retrofit_Rate+Floor_Growth!J$11)</f>
        <v>1.8818539424610602E-2</v>
      </c>
      <c r="K319" s="199">
        <f>System_Total_Mkt!J29*(Retrofit_Rate+Floor_Growth!K$11)</f>
        <v>1.7476476415525095E-2</v>
      </c>
      <c r="L319" s="199">
        <f>System_Total_Mkt!K29*(Retrofit_Rate+Floor_Growth!L$11)</f>
        <v>1.6348979227893409E-2</v>
      </c>
      <c r="M319" s="199">
        <f>System_Total_Mkt!L29*(Retrofit_Rate+Floor_Growth!M$11)</f>
        <v>1.5268037804715107E-2</v>
      </c>
      <c r="N319" s="199">
        <f>System_Total_Mkt!M29*(Retrofit_Rate+Floor_Growth!N$11)</f>
        <v>1.4199561014876487E-2</v>
      </c>
      <c r="O319" s="199">
        <f>System_Total_Mkt!N29*(Retrofit_Rate+Floor_Growth!O$11)</f>
        <v>1.3222374515464199E-2</v>
      </c>
      <c r="P319" s="199">
        <f>System_Total_Mkt!O29*(Retrofit_Rate+Floor_Growth!P$11)</f>
        <v>1.2328113310188354E-2</v>
      </c>
      <c r="Q319" s="199">
        <f>System_Total_Mkt!P29*(Retrofit_Rate+Floor_Growth!Q$11)</f>
        <v>1.1494968193523416E-2</v>
      </c>
      <c r="R319" s="199">
        <f>System_Total_Mkt!Q29*(Retrofit_Rate+Floor_Growth!R$11)</f>
        <v>1.0687361581881017E-2</v>
      </c>
      <c r="S319" s="199">
        <f>System_Total_Mkt!R29*(Retrofit_Rate+Floor_Growth!S$11)</f>
        <v>9.983692865527756E-3</v>
      </c>
      <c r="T319" s="199">
        <f>System_Total_Mkt!S29*(Retrofit_Rate+Floor_Growth!T$11)</f>
        <v>9.3239933075603409E-3</v>
      </c>
      <c r="U319" s="199">
        <f>System_Total_Mkt!T29*(Retrofit_Rate+Floor_Growth!U$11)</f>
        <v>8.7060536461101238E-3</v>
      </c>
      <c r="V319" s="199">
        <f>System_Total_Mkt!U29*(Retrofit_Rate+Floor_Growth!V$11)</f>
        <v>8.1464815248691574E-3</v>
      </c>
      <c r="W319" s="199">
        <f>System_Total_Mkt!V29*(Retrofit_Rate+Floor_Growth!W$11)</f>
        <v>7.6097913667313921E-3</v>
      </c>
      <c r="X319" s="199">
        <f>System_Total_Mkt!W29*(Retrofit_Rate+Floor_Growth!X$11)</f>
        <v>7.0954195597710381E-3</v>
      </c>
      <c r="Y319" s="199">
        <f>System_Total_Mkt!X29*(Retrofit_Rate+Floor_Growth!Y$11)</f>
        <v>6.610293447655219E-3</v>
      </c>
      <c r="Z319" s="199">
        <f>System_Total_Mkt!Y29*(Retrofit_Rate+Floor_Growth!Z$11)</f>
        <v>6.1712454781339826E-3</v>
      </c>
      <c r="AA319" s="199">
        <f>System_Total_Mkt!Z29*(Retrofit_Rate+Floor_Growth!AA$11)</f>
        <v>5.7774863092825372E-3</v>
      </c>
      <c r="AB319" s="199">
        <f>System_Total_Mkt!AA29*(Retrofit_Rate+Floor_Growth!AB$11)</f>
        <v>5.4298859721663272E-3</v>
      </c>
      <c r="AC319" s="199">
        <f>System_Total_Mkt!AB29*(Retrofit_Rate+Floor_Growth!AC$11)</f>
        <v>5.0763259276751732E-3</v>
      </c>
      <c r="AD319" s="199">
        <f>System_Total_Mkt!AC29*(Retrofit_Rate+Floor_Growth!AD$11)</f>
        <v>4.7463182332911514E-3</v>
      </c>
      <c r="AE319" s="199">
        <f>System_Total_Mkt!AD29*(Retrofit_Rate+Floor_Growth!AE$11)</f>
        <v>4.438280530708336E-3</v>
      </c>
      <c r="AF319" s="199">
        <f>System_Total_Mkt!AE29*(Retrofit_Rate+Floor_Growth!AF$11)</f>
        <v>4.1507369983036467E-3</v>
      </c>
    </row>
    <row r="320" spans="1:32" s="221" customFormat="1" x14ac:dyDescent="0.25">
      <c r="A320" s="252"/>
      <c r="B320" s="257" t="s">
        <v>46</v>
      </c>
      <c r="C320"/>
      <c r="D320"/>
      <c r="E320"/>
      <c r="F320"/>
      <c r="G320" s="201"/>
      <c r="H320" s="199">
        <f>System_Total_Mkt!G30*(Retrofit_Rate+Floor_Growth!H$11)</f>
        <v>0</v>
      </c>
      <c r="I320" s="199">
        <f>System_Total_Mkt!H30*(Retrofit_Rate+Floor_Growth!I$11)</f>
        <v>0</v>
      </c>
      <c r="J320" s="199">
        <f>System_Total_Mkt!I30*(Retrofit_Rate+Floor_Growth!J$11)</f>
        <v>0</v>
      </c>
      <c r="K320" s="199">
        <f>System_Total_Mkt!J30*(Retrofit_Rate+Floor_Growth!K$11)</f>
        <v>0</v>
      </c>
      <c r="L320" s="199">
        <f>System_Total_Mkt!K30*(Retrofit_Rate+Floor_Growth!L$11)</f>
        <v>0</v>
      </c>
      <c r="M320" s="199">
        <f>System_Total_Mkt!L30*(Retrofit_Rate+Floor_Growth!M$11)</f>
        <v>0</v>
      </c>
      <c r="N320" s="199">
        <f>System_Total_Mkt!M30*(Retrofit_Rate+Floor_Growth!N$11)</f>
        <v>0</v>
      </c>
      <c r="O320" s="199">
        <f>System_Total_Mkt!N30*(Retrofit_Rate+Floor_Growth!O$11)</f>
        <v>0</v>
      </c>
      <c r="P320" s="199">
        <f>System_Total_Mkt!O30*(Retrofit_Rate+Floor_Growth!P$11)</f>
        <v>0</v>
      </c>
      <c r="Q320" s="199">
        <f>System_Total_Mkt!P30*(Retrofit_Rate+Floor_Growth!Q$11)</f>
        <v>0</v>
      </c>
      <c r="R320" s="199">
        <f>System_Total_Mkt!Q30*(Retrofit_Rate+Floor_Growth!R$11)</f>
        <v>0</v>
      </c>
      <c r="S320" s="199">
        <f>System_Total_Mkt!R30*(Retrofit_Rate+Floor_Growth!S$11)</f>
        <v>0</v>
      </c>
      <c r="T320" s="199">
        <f>System_Total_Mkt!S30*(Retrofit_Rate+Floor_Growth!T$11)</f>
        <v>0</v>
      </c>
      <c r="U320" s="199">
        <f>System_Total_Mkt!T30*(Retrofit_Rate+Floor_Growth!U$11)</f>
        <v>0</v>
      </c>
      <c r="V320" s="199">
        <f>System_Total_Mkt!U30*(Retrofit_Rate+Floor_Growth!V$11)</f>
        <v>0</v>
      </c>
      <c r="W320" s="199">
        <f>System_Total_Mkt!V30*(Retrofit_Rate+Floor_Growth!W$11)</f>
        <v>0</v>
      </c>
      <c r="X320" s="199">
        <f>System_Total_Mkt!W30*(Retrofit_Rate+Floor_Growth!X$11)</f>
        <v>0</v>
      </c>
      <c r="Y320" s="199">
        <f>System_Total_Mkt!X30*(Retrofit_Rate+Floor_Growth!Y$11)</f>
        <v>0</v>
      </c>
      <c r="Z320" s="199">
        <f>System_Total_Mkt!Y30*(Retrofit_Rate+Floor_Growth!Z$11)</f>
        <v>0</v>
      </c>
      <c r="AA320" s="199">
        <f>System_Total_Mkt!Z30*(Retrofit_Rate+Floor_Growth!AA$11)</f>
        <v>0</v>
      </c>
      <c r="AB320" s="199">
        <f>System_Total_Mkt!AA30*(Retrofit_Rate+Floor_Growth!AB$11)</f>
        <v>0</v>
      </c>
      <c r="AC320" s="199">
        <f>System_Total_Mkt!AB30*(Retrofit_Rate+Floor_Growth!AC$11)</f>
        <v>0</v>
      </c>
      <c r="AD320" s="199">
        <f>System_Total_Mkt!AC30*(Retrofit_Rate+Floor_Growth!AD$11)</f>
        <v>0</v>
      </c>
      <c r="AE320" s="199">
        <f>System_Total_Mkt!AD30*(Retrofit_Rate+Floor_Growth!AE$11)</f>
        <v>0</v>
      </c>
      <c r="AF320" s="199">
        <f>System_Total_Mkt!AE30*(Retrofit_Rate+Floor_Growth!AF$11)</f>
        <v>0</v>
      </c>
    </row>
    <row r="321" spans="1:57" s="221" customFormat="1" x14ac:dyDescent="0.25">
      <c r="A321" s="252"/>
      <c r="B321" s="252" t="s">
        <v>29</v>
      </c>
      <c r="C321"/>
      <c r="D321"/>
      <c r="E321"/>
      <c r="F321"/>
      <c r="G321"/>
      <c r="H321" s="199">
        <f>System_Total_Mkt!G31*(Retrofit_Rate+Floor_Growth!H$11)</f>
        <v>0</v>
      </c>
      <c r="I321" s="199">
        <f>System_Total_Mkt!H31*(Retrofit_Rate+Floor_Growth!I$11)</f>
        <v>1.6035374407118042E-4</v>
      </c>
      <c r="J321" s="199">
        <f>System_Total_Mkt!I31*(Retrofit_Rate+Floor_Growth!J$11)</f>
        <v>3.7990795769765178E-4</v>
      </c>
      <c r="K321" s="199">
        <f>System_Total_Mkt!J31*(Retrofit_Rate+Floor_Growth!K$11)</f>
        <v>6.6000803059506935E-4</v>
      </c>
      <c r="L321" s="199">
        <f>System_Total_Mkt!K31*(Retrofit_Rate+Floor_Growth!L$11)</f>
        <v>1.0109838911961048E-3</v>
      </c>
      <c r="M321" s="199">
        <f>System_Total_Mkt!L31*(Retrofit_Rate+Floor_Growth!M$11)</f>
        <v>1.4316934982505477E-3</v>
      </c>
      <c r="N321" s="199">
        <f>System_Total_Mkt!M31*(Retrofit_Rate+Floor_Growth!N$11)</f>
        <v>1.9123959936314554E-3</v>
      </c>
      <c r="O321" s="199">
        <f>System_Total_Mkt!N31*(Retrofit_Rate+Floor_Growth!O$11)</f>
        <v>2.45138765474935E-3</v>
      </c>
      <c r="P321" s="199">
        <f>System_Total_Mkt!O31*(Retrofit_Rate+Floor_Growth!P$11)</f>
        <v>3.0423133436946869E-3</v>
      </c>
      <c r="Q321" s="199">
        <f>System_Total_Mkt!P31*(Retrofit_Rate+Floor_Growth!Q$11)</f>
        <v>3.6733460694620356E-3</v>
      </c>
      <c r="R321" s="199">
        <f>System_Total_Mkt!Q31*(Retrofit_Rate+Floor_Growth!R$11)</f>
        <v>4.3206296035763862E-3</v>
      </c>
      <c r="S321" s="199">
        <f>System_Total_Mkt!R31*(Retrofit_Rate+Floor_Growth!S$11)</f>
        <v>5.0022057276822357E-3</v>
      </c>
      <c r="T321" s="199">
        <f>System_Total_Mkt!S31*(Retrofit_Rate+Floor_Growth!T$11)</f>
        <v>5.6919702493246124E-3</v>
      </c>
      <c r="U321" s="199">
        <f>System_Total_Mkt!T31*(Retrofit_Rate+Floor_Growth!U$11)</f>
        <v>6.3792318088070239E-3</v>
      </c>
      <c r="V321" s="199">
        <f>System_Total_Mkt!U31*(Retrofit_Rate+Floor_Growth!V$11)</f>
        <v>7.0711353420880498E-3</v>
      </c>
      <c r="W321" s="199">
        <f>System_Total_Mkt!V31*(Retrofit_Rate+Floor_Growth!W$11)</f>
        <v>7.7370826659282823E-3</v>
      </c>
      <c r="X321" s="199">
        <f>System_Total_Mkt!W31*(Retrofit_Rate+Floor_Growth!X$11)</f>
        <v>8.3654379260569359E-3</v>
      </c>
      <c r="Y321" s="199">
        <f>System_Total_Mkt!X31*(Retrofit_Rate+Floor_Growth!Y$11)</f>
        <v>8.9558854959651841E-3</v>
      </c>
      <c r="Z321" s="199">
        <f>System_Total_Mkt!Y31*(Retrofit_Rate+Floor_Growth!Z$11)</f>
        <v>9.5313801141506706E-3</v>
      </c>
      <c r="AA321" s="199">
        <f>System_Total_Mkt!Z31*(Retrofit_Rate+Floor_Growth!AA$11)</f>
        <v>1.0103085666143761E-2</v>
      </c>
      <c r="AB321" s="199">
        <f>System_Total_Mkt!AA31*(Retrofit_Rate+Floor_Growth!AB$11)</f>
        <v>1.0689200831955074E-2</v>
      </c>
      <c r="AC321" s="199">
        <f>System_Total_Mkt!AB31*(Retrofit_Rate+Floor_Growth!AC$11)</f>
        <v>1.1196918563901237E-2</v>
      </c>
      <c r="AD321" s="199">
        <f>System_Total_Mkt!AC31*(Retrofit_Rate+Floor_Growth!AD$11)</f>
        <v>1.1675247460119187E-2</v>
      </c>
      <c r="AE321" s="199">
        <f>System_Total_Mkt!AD31*(Retrofit_Rate+Floor_Growth!AE$11)</f>
        <v>1.212470786036717E-2</v>
      </c>
      <c r="AF321" s="199">
        <f>System_Total_Mkt!AE31*(Retrofit_Rate+Floor_Growth!AF$11)</f>
        <v>1.254600915705212E-2</v>
      </c>
    </row>
    <row r="322" spans="1:57" s="221" customFormat="1" x14ac:dyDescent="0.25">
      <c r="A322" s="252"/>
      <c r="B322" s="252"/>
      <c r="C322"/>
      <c r="D322"/>
      <c r="E322"/>
      <c r="F322"/>
      <c r="G322"/>
      <c r="H322"/>
      <c r="I322"/>
      <c r="J322"/>
      <c r="K322"/>
      <c r="L322"/>
      <c r="M322"/>
      <c r="N322"/>
      <c r="O322"/>
      <c r="P322"/>
      <c r="Q322"/>
      <c r="R322"/>
      <c r="S322"/>
      <c r="T322"/>
      <c r="U322"/>
      <c r="V322"/>
      <c r="W322"/>
      <c r="X322"/>
      <c r="Y322"/>
      <c r="Z322"/>
      <c r="AA322"/>
      <c r="AB322"/>
      <c r="AC322"/>
      <c r="AD322"/>
      <c r="AE322"/>
      <c r="AF322"/>
    </row>
    <row r="323" spans="1:57" s="202" customFormat="1" ht="12.75" x14ac:dyDescent="0.2">
      <c r="A323" s="267" t="s">
        <v>47</v>
      </c>
      <c r="B323" s="267"/>
      <c r="C323" s="267"/>
      <c r="D323" s="267"/>
      <c r="E323" s="267"/>
      <c r="F323" s="267"/>
      <c r="G323" s="267"/>
      <c r="H323" s="267"/>
      <c r="I323" s="267"/>
      <c r="J323" s="267"/>
      <c r="K323" s="267"/>
      <c r="L323" s="267"/>
      <c r="M323" s="267"/>
      <c r="N323" s="267"/>
      <c r="O323" s="267"/>
      <c r="P323" s="267"/>
      <c r="Q323" s="267"/>
      <c r="R323" s="267"/>
      <c r="S323" s="267"/>
      <c r="T323" s="267"/>
      <c r="U323" s="267"/>
      <c r="V323" s="267"/>
      <c r="W323" s="267"/>
      <c r="X323" s="267"/>
      <c r="Y323" s="267"/>
      <c r="Z323" s="267"/>
      <c r="AA323" s="267"/>
      <c r="AB323" s="267"/>
      <c r="AC323" s="267"/>
      <c r="AD323" s="267"/>
      <c r="AE323" s="267"/>
      <c r="AF323" s="267"/>
    </row>
    <row r="324" spans="1:57" s="221" customFormat="1" x14ac:dyDescent="0.25">
      <c r="A324" s="252"/>
      <c r="B324" s="252" t="s">
        <v>48</v>
      </c>
      <c r="C324"/>
      <c r="D324"/>
      <c r="E324"/>
      <c r="F324"/>
      <c r="G324" s="201"/>
      <c r="H324" s="199">
        <f>System_Total_Mkt!G34*(Retrofit_Rate+Floor_Growth!H$11)</f>
        <v>1.3830198428954843</v>
      </c>
      <c r="I324" s="199">
        <f>System_Total_Mkt!H34*(Retrofit_Rate+Floor_Growth!I$11)</f>
        <v>1.3214574292977184</v>
      </c>
      <c r="J324" s="199">
        <f>System_Total_Mkt!I34*(Retrofit_Rate+Floor_Growth!J$11)</f>
        <v>1.0869529718481763</v>
      </c>
      <c r="K324" s="199">
        <f>System_Total_Mkt!J34*(Retrofit_Rate+Floor_Growth!K$11)</f>
        <v>0.72576933110219044</v>
      </c>
      <c r="L324" s="199">
        <f>System_Total_Mkt!K34*(Retrofit_Rate+Floor_Growth!L$11)</f>
        <v>0.40072183319561955</v>
      </c>
      <c r="M324" s="199">
        <f>System_Total_Mkt!L34*(Retrofit_Rate+Floor_Growth!M$11)</f>
        <v>0.18962481568799025</v>
      </c>
      <c r="N324" s="199">
        <f>System_Total_Mkt!M34*(Retrofit_Rate+Floor_Growth!N$11)</f>
        <v>7.9514349713520463E-2</v>
      </c>
      <c r="O324" s="199">
        <f>System_Total_Mkt!N34*(Retrofit_Rate+Floor_Growth!O$11)</f>
        <v>3.1130056230024728E-2</v>
      </c>
      <c r="P324" s="199">
        <f>System_Total_Mkt!O34*(Retrofit_Rate+Floor_Growth!P$11)</f>
        <v>1.1711383625507594E-2</v>
      </c>
      <c r="Q324" s="199">
        <f>System_Total_Mkt!P34*(Retrofit_Rate+Floor_Growth!Q$11)</f>
        <v>4.3092280386911241E-3</v>
      </c>
      <c r="R324" s="199">
        <f>System_Total_Mkt!Q34*(Retrofit_Rate+Floor_Growth!R$11)</f>
        <v>1.5595361805413096E-3</v>
      </c>
      <c r="S324" s="199">
        <f>System_Total_Mkt!R34*(Retrofit_Rate+Floor_Growth!S$11)</f>
        <v>5.6250208533604323E-4</v>
      </c>
      <c r="T324" s="199">
        <f>System_Total_Mkt!S34*(Retrofit_Rate+Floor_Growth!T$11)</f>
        <v>2.0213356048708758E-4</v>
      </c>
      <c r="U324" s="199">
        <f>System_Total_Mkt!T34*(Retrofit_Rate+Floor_Growth!U$11)</f>
        <v>7.2571669627630899E-5</v>
      </c>
      <c r="V324" s="199">
        <f>System_Total_Mkt!U34*(Retrofit_Rate+Floor_Growth!V$11)</f>
        <v>2.6138997222709821E-5</v>
      </c>
      <c r="W324" s="199">
        <f>System_Total_Mkt!V34*(Retrofit_Rate+Floor_Growth!W$11)</f>
        <v>9.4245411763594101E-6</v>
      </c>
      <c r="X324" s="199">
        <f>System_Total_Mkt!W34*(Retrofit_Rate+Floor_Growth!X$11)</f>
        <v>3.4035001797722815E-6</v>
      </c>
      <c r="Y324" s="199">
        <f>System_Total_Mkt!X34*(Retrofit_Rate+Floor_Growth!Y$11)</f>
        <v>1.2329419026155501E-6</v>
      </c>
      <c r="Z324" s="199">
        <f>System_Total_Mkt!Y34*(Retrofit_Rate+Floor_Growth!Z$11)</f>
        <v>4.4949645539249728E-7</v>
      </c>
      <c r="AA324" s="199">
        <f>System_Total_Mkt!Z34*(Retrofit_Rate+Floor_Growth!AA$11)</f>
        <v>1.6510196491328227E-7</v>
      </c>
      <c r="AB324" s="199">
        <f>System_Total_Mkt!AA34*(Retrofit_Rate+Floor_Growth!AB$11)</f>
        <v>6.1184463196809428E-8</v>
      </c>
      <c r="AC324" s="199">
        <f>System_Total_Mkt!AB34*(Retrofit_Rate+Floor_Growth!AC$11)</f>
        <v>2.2668211770505657E-8</v>
      </c>
      <c r="AD324" s="199">
        <f>System_Total_Mkt!AC34*(Retrofit_Rate+Floor_Growth!AD$11)</f>
        <v>8.4426140590494437E-9</v>
      </c>
      <c r="AE324" s="199">
        <f>System_Total_Mkt!AD34*(Retrofit_Rate+Floor_Growth!AE$11)</f>
        <v>3.1611829149659097E-9</v>
      </c>
      <c r="AF324" s="199">
        <f>System_Total_Mkt!AE34*(Retrofit_Rate+Floor_Growth!AF$11)</f>
        <v>1.1899753414550264E-9</v>
      </c>
    </row>
    <row r="325" spans="1:57" s="221" customFormat="1" x14ac:dyDescent="0.25">
      <c r="A325" s="252"/>
      <c r="B325" s="257" t="s">
        <v>50</v>
      </c>
      <c r="C325"/>
      <c r="D325"/>
      <c r="E325"/>
      <c r="F325"/>
      <c r="G325" s="201"/>
      <c r="H325" s="199">
        <f>System_Total_Mkt!G35*(Retrofit_Rate+Floor_Growth!H$11)</f>
        <v>0.23344494590828135</v>
      </c>
      <c r="I325" s="199">
        <f>System_Total_Mkt!H35*(Retrofit_Rate+Floor_Growth!I$11)</f>
        <v>0.23782839467364197</v>
      </c>
      <c r="J325" s="199">
        <f>System_Total_Mkt!I35*(Retrofit_Rate+Floor_Growth!J$11)</f>
        <v>0.23601598827207779</v>
      </c>
      <c r="K325" s="199">
        <f>System_Total_Mkt!J35*(Retrofit_Rate+Floor_Growth!K$11)</f>
        <v>0.22353908821973542</v>
      </c>
      <c r="L325" s="199">
        <f>System_Total_Mkt!K35*(Retrofit_Rate+Floor_Growth!L$11)</f>
        <v>0.20477593979839495</v>
      </c>
      <c r="M325" s="199">
        <f>System_Total_Mkt!L35*(Retrofit_Rate+Floor_Growth!M$11)</f>
        <v>0.18083817780271738</v>
      </c>
      <c r="N325" s="199">
        <f>System_Total_Mkt!M35*(Retrofit_Rate+Floor_Growth!N$11)</f>
        <v>0.15435369233673271</v>
      </c>
      <c r="O325" s="199">
        <f>System_Total_Mkt!N35*(Retrofit_Rate+Floor_Growth!O$11)</f>
        <v>0.12924115936063824</v>
      </c>
      <c r="P325" s="199">
        <f>System_Total_Mkt!O35*(Retrofit_Rate+Floor_Growth!P$11)</f>
        <v>0.10687716737647085</v>
      </c>
      <c r="Q325" s="199">
        <f>System_Total_Mkt!P35*(Retrofit_Rate+Floor_Growth!Q$11)</f>
        <v>8.7616430189677588E-2</v>
      </c>
      <c r="R325" s="199">
        <f>System_Total_Mkt!Q35*(Retrofit_Rate+Floor_Growth!R$11)</f>
        <v>7.1143895044473049E-2</v>
      </c>
      <c r="S325" s="199">
        <f>System_Total_Mkt!R35*(Retrofit_Rate+Floor_Growth!S$11)</f>
        <v>5.7777536980301733E-2</v>
      </c>
      <c r="T325" s="199">
        <f>System_Total_Mkt!S35*(Retrofit_Rate+Floor_Growth!T$11)</f>
        <v>4.6764817723111793E-2</v>
      </c>
      <c r="U325" s="199">
        <f>System_Total_Mkt!T35*(Retrofit_Rate+Floor_Growth!U$11)</f>
        <v>3.7759834226362587E-2</v>
      </c>
      <c r="V325" s="199">
        <f>System_Total_Mkt!U35*(Retrofit_Rate+Floor_Growth!V$11)</f>
        <v>3.0505015824686912E-2</v>
      </c>
      <c r="W325" s="199">
        <f>System_Total_Mkt!V35*(Retrofit_Rate+Floor_Growth!W$11)</f>
        <v>2.4576598451325649E-2</v>
      </c>
      <c r="X325" s="199">
        <f>System_Total_Mkt!W35*(Retrofit_Rate+Floor_Growth!X$11)</f>
        <v>1.9748866689992321E-2</v>
      </c>
      <c r="Y325" s="199">
        <f>System_Total_Mkt!X35*(Retrofit_Rate+Floor_Growth!Y$11)</f>
        <v>1.5847210379936458E-2</v>
      </c>
      <c r="Z325" s="199">
        <f>System_Total_Mkt!Y35*(Retrofit_Rate+Floor_Growth!Z$11)</f>
        <v>1.2737535293898124E-2</v>
      </c>
      <c r="AA325" s="199">
        <f>System_Total_Mkt!Z35*(Retrofit_Rate+Floor_Growth!AA$11)</f>
        <v>1.026398415165743E-2</v>
      </c>
      <c r="AB325" s="199">
        <f>System_Total_Mkt!AA35*(Retrofit_Rate+Floor_Growth!AB$11)</f>
        <v>8.3019643639635349E-3</v>
      </c>
      <c r="AC325" s="199">
        <f>System_Total_Mkt!AB35*(Retrofit_Rate+Floor_Growth!AC$11)</f>
        <v>6.6790438079082221E-3</v>
      </c>
      <c r="AD325" s="199">
        <f>System_Total_Mkt!AC35*(Retrofit_Rate+Floor_Growth!AD$11)</f>
        <v>5.3737755957621799E-3</v>
      </c>
      <c r="AE325" s="199">
        <f>System_Total_Mkt!AD35*(Retrofit_Rate+Floor_Growth!AE$11)</f>
        <v>4.3241048629817178E-3</v>
      </c>
      <c r="AF325" s="199">
        <f>System_Total_Mkt!AE35*(Retrofit_Rate+Floor_Growth!AF$11)</f>
        <v>3.4799542883701363E-3</v>
      </c>
    </row>
    <row r="326" spans="1:57" s="221" customFormat="1" x14ac:dyDescent="0.25">
      <c r="A326" s="252"/>
      <c r="B326" s="252" t="s">
        <v>51</v>
      </c>
      <c r="C326"/>
      <c r="D326"/>
      <c r="E326"/>
      <c r="F326"/>
      <c r="G326" s="201"/>
      <c r="H326" s="199">
        <f>System_Total_Mkt!G36*(Retrofit_Rate+Floor_Growth!H$11)</f>
        <v>0.24137122961648158</v>
      </c>
      <c r="I326" s="199">
        <f>System_Total_Mkt!H36*(Retrofit_Rate+Floor_Growth!I$11)</f>
        <v>0.24792645038700237</v>
      </c>
      <c r="J326" s="199">
        <f>System_Total_Mkt!I36*(Retrofit_Rate+Floor_Growth!J$11)</f>
        <v>0.25256120990355341</v>
      </c>
      <c r="K326" s="199">
        <f>System_Total_Mkt!J36*(Retrofit_Rate+Floor_Growth!K$11)</f>
        <v>0.25248426466956153</v>
      </c>
      <c r="L326" s="199">
        <f>System_Total_Mkt!K36*(Retrofit_Rate+Floor_Growth!L$11)</f>
        <v>0.25207454972511051</v>
      </c>
      <c r="M326" s="199">
        <f>System_Total_Mkt!L36*(Retrofit_Rate+Floor_Growth!M$11)</f>
        <v>0.2490245819285605</v>
      </c>
      <c r="N326" s="199">
        <f>System_Total_Mkt!M36*(Retrofit_Rate+Floor_Growth!N$11)</f>
        <v>0.2427535070844245</v>
      </c>
      <c r="O326" s="199">
        <f>System_Total_Mkt!N36*(Retrofit_Rate+Floor_Growth!O$11)</f>
        <v>0.23484976003590136</v>
      </c>
      <c r="P326" s="199">
        <f>System_Total_Mkt!O36*(Retrofit_Rate+Floor_Growth!P$11)</f>
        <v>0.22570603494640143</v>
      </c>
      <c r="Q326" s="199">
        <f>System_Total_Mkt!P36*(Retrofit_Rate+Floor_Growth!Q$11)</f>
        <v>0.21547751077633537</v>
      </c>
      <c r="R326" s="199">
        <f>System_Total_Mkt!Q36*(Retrofit_Rate+Floor_Growth!R$11)</f>
        <v>0.20393938376218029</v>
      </c>
      <c r="S326" s="199">
        <f>System_Total_Mkt!R36*(Retrofit_Rate+Floor_Growth!S$11)</f>
        <v>0.19298313191851835</v>
      </c>
      <c r="T326" s="199">
        <f>System_Total_Mkt!S36*(Retrofit_Rate+Floor_Growth!T$11)</f>
        <v>0.18184529324151089</v>
      </c>
      <c r="U326" s="199">
        <f>System_Total_Mkt!T36*(Retrofit_Rate+Floor_Growth!U$11)</f>
        <v>0.17074684681261879</v>
      </c>
      <c r="V326" s="199">
        <f>System_Total_Mkt!U36*(Retrofit_Rate+Floor_Growth!V$11)</f>
        <v>0.16022355124077228</v>
      </c>
      <c r="W326" s="199">
        <f>System_Total_Mkt!V36*(Retrofit_Rate+Floor_Growth!W$11)</f>
        <v>0.14975895457033592</v>
      </c>
      <c r="X326" s="199">
        <f>System_Total_Mkt!W36*(Retrofit_Rate+Floor_Growth!X$11)</f>
        <v>0.13945586396943585</v>
      </c>
      <c r="Y326" s="199">
        <f>System_Total_Mkt!X36*(Retrofit_Rate+Floor_Growth!Y$11)</f>
        <v>0.12953876701302319</v>
      </c>
      <c r="Z326" s="199">
        <f>System_Total_Mkt!Y36*(Retrofit_Rate+Floor_Growth!Z$11)</f>
        <v>0.12040401397740338</v>
      </c>
      <c r="AA326" s="199">
        <f>System_Total_Mkt!Z36*(Retrofit_Rate+Floor_Growth!AA$11)</f>
        <v>0.11210008859035785</v>
      </c>
      <c r="AB326" s="199">
        <f>System_Total_Mkt!AA36*(Retrofit_Rate+Floor_Growth!AB$11)</f>
        <v>0.10467929847119475</v>
      </c>
      <c r="AC326" s="199">
        <f>System_Total_Mkt!AB36*(Retrofit_Rate+Floor_Growth!AC$11)</f>
        <v>9.7160424555631175E-2</v>
      </c>
      <c r="AD326" s="199">
        <f>System_Total_Mkt!AC36*(Retrofit_Rate+Floor_Growth!AD$11)</f>
        <v>9.0112316451749289E-2</v>
      </c>
      <c r="AE326" s="199">
        <f>System_Total_Mkt!AD36*(Retrofit_Rate+Floor_Growth!AE$11)</f>
        <v>8.3523363562921268E-2</v>
      </c>
      <c r="AF326" s="199">
        <f>System_Total_Mkt!AE36*(Retrofit_Rate+Floor_Growth!AF$11)</f>
        <v>7.7370272296567608E-2</v>
      </c>
    </row>
    <row r="327" spans="1:57" s="221" customFormat="1" x14ac:dyDescent="0.25">
      <c r="A327" s="252"/>
      <c r="B327" s="252" t="s">
        <v>52</v>
      </c>
      <c r="C327"/>
      <c r="D327"/>
      <c r="E327"/>
      <c r="F327"/>
      <c r="G327" s="201"/>
      <c r="H327" s="199">
        <f>System_Total_Mkt!G37*(Retrofit_Rate+Floor_Growth!H$11)</f>
        <v>0.276809039522594</v>
      </c>
      <c r="I327" s="199">
        <f>System_Total_Mkt!H37*(Retrofit_Rate+Floor_Growth!I$11)</f>
        <v>0.28356794988460687</v>
      </c>
      <c r="J327" s="199">
        <f>System_Total_Mkt!I37*(Retrofit_Rate+Floor_Growth!J$11)</f>
        <v>0.28692008889996234</v>
      </c>
      <c r="K327" s="199">
        <f>System_Total_Mkt!J37*(Retrofit_Rate+Floor_Growth!K$11)</f>
        <v>0.28360275711520305</v>
      </c>
      <c r="L327" s="199">
        <f>System_Total_Mkt!K37*(Retrofit_Rate+Floor_Growth!L$11)</f>
        <v>0.27904005809211835</v>
      </c>
      <c r="M327" s="199">
        <f>System_Total_Mkt!L37*(Retrofit_Rate+Floor_Growth!M$11)</f>
        <v>0.27132661714829315</v>
      </c>
      <c r="N327" s="199">
        <f>System_Total_Mkt!M37*(Retrofit_Rate+Floor_Growth!N$11)</f>
        <v>0.26054013874864762</v>
      </c>
      <c r="O327" s="199">
        <f>System_Total_Mkt!N37*(Retrofit_Rate+Floor_Growth!O$11)</f>
        <v>0.24889227831044428</v>
      </c>
      <c r="P327" s="199">
        <f>System_Total_Mkt!O37*(Retrofit_Rate+Floor_Growth!P$11)</f>
        <v>0.23695426199691158</v>
      </c>
      <c r="Q327" s="199">
        <f>System_Total_Mkt!P37*(Retrofit_Rate+Floor_Growth!Q$11)</f>
        <v>0.22484601687417768</v>
      </c>
      <c r="R327" s="199">
        <f>System_Total_Mkt!Q37*(Retrofit_Rate+Floor_Growth!R$11)</f>
        <v>0.21221412081268232</v>
      </c>
      <c r="S327" s="199">
        <f>System_Total_Mkt!R37*(Retrofit_Rate+Floor_Growth!S$11)</f>
        <v>0.20086527133387699</v>
      </c>
      <c r="T327" s="199">
        <f>System_Total_Mkt!S37*(Retrofit_Rate+Floor_Growth!T$11)</f>
        <v>0.18981559679560173</v>
      </c>
      <c r="U327" s="199">
        <f>System_Total_Mkt!T37*(Retrofit_Rate+Floor_Growth!U$11)</f>
        <v>0.17914825163962617</v>
      </c>
      <c r="V327" s="199">
        <f>System_Total_Mkt!U37*(Retrofit_Rate+Floor_Growth!V$11)</f>
        <v>0.16930375512251067</v>
      </c>
      <c r="W327" s="199">
        <f>System_Total_Mkt!V37*(Retrofit_Rate+Floor_Growth!W$11)</f>
        <v>0.15962763584102496</v>
      </c>
      <c r="X327" s="199">
        <f>System_Total_Mkt!W37*(Retrofit_Rate+Floor_Growth!X$11)</f>
        <v>0.15015210088871397</v>
      </c>
      <c r="Y327" s="199">
        <f>System_Total_Mkt!X37*(Retrofit_Rate+Floor_Growth!Y$11)</f>
        <v>0.14106006544630989</v>
      </c>
      <c r="Z327" s="199">
        <f>System_Total_Mkt!Y37*(Retrofit_Rate+Floor_Growth!Z$11)</f>
        <v>0.13274637485562693</v>
      </c>
      <c r="AA327" s="199">
        <f>System_Total_Mkt!Z37*(Retrofit_Rate+Floor_Growth!AA$11)</f>
        <v>0.12523326336626067</v>
      </c>
      <c r="AB327" s="199">
        <f>System_Total_Mkt!AA37*(Retrofit_Rate+Floor_Growth!AB$11)</f>
        <v>0.11857437672595388</v>
      </c>
      <c r="AC327" s="199">
        <f>System_Total_Mkt!AB37*(Retrofit_Rate+Floor_Growth!AC$11)</f>
        <v>0.11165304110623385</v>
      </c>
      <c r="AD327" s="199">
        <f>System_Total_Mkt!AC37*(Retrofit_Rate+Floor_Growth!AD$11)</f>
        <v>0.10512217182500315</v>
      </c>
      <c r="AE327" s="199">
        <f>System_Total_Mkt!AD37*(Retrofit_Rate+Floor_Growth!AE$11)</f>
        <v>9.8961698298866835E-2</v>
      </c>
      <c r="AF327" s="199">
        <f>System_Total_Mkt!AE37*(Retrofit_Rate+Floor_Growth!AF$11)</f>
        <v>9.3151663207954774E-2</v>
      </c>
    </row>
    <row r="328" spans="1:57" s="221" customFormat="1" x14ac:dyDescent="0.25">
      <c r="A328" s="252"/>
      <c r="B328" s="257" t="s">
        <v>29</v>
      </c>
      <c r="C328"/>
      <c r="D328"/>
      <c r="E328"/>
      <c r="F328"/>
      <c r="G328"/>
      <c r="H328" s="199">
        <f>System_Total_Mkt!G38*(Retrofit_Rate+Floor_Growth!H$11)</f>
        <v>7.5163816233419943E-3</v>
      </c>
      <c r="I328" s="199">
        <f>System_Total_Mkt!H38*(Retrofit_Rate+Floor_Growth!I$11)</f>
        <v>0.11585214961600637</v>
      </c>
      <c r="J328" s="199">
        <f>System_Total_Mkt!I38*(Retrofit_Rate+Floor_Growth!J$11)</f>
        <v>0.40217551340327273</v>
      </c>
      <c r="K328" s="199">
        <f>System_Total_Mkt!J38*(Retrofit_Rate+Floor_Growth!K$11)</f>
        <v>0.8101330130250356</v>
      </c>
      <c r="L328" s="199">
        <f>System_Total_Mkt!K38*(Retrofit_Rate+Floor_Growth!L$11)</f>
        <v>1.2051455266925621</v>
      </c>
      <c r="M328" s="199">
        <f>System_Total_Mkt!L38*(Retrofit_Rate+Floor_Growth!M$11)</f>
        <v>1.4930961972264098</v>
      </c>
      <c r="N328" s="199">
        <f>System_Total_Mkt!M38*(Retrofit_Rate+Floor_Growth!N$11)</f>
        <v>1.6783758064967373</v>
      </c>
      <c r="O328" s="199">
        <f>System_Total_Mkt!N38*(Retrofit_Rate+Floor_Growth!O$11)</f>
        <v>1.8045328594865389</v>
      </c>
      <c r="P328" s="199">
        <f>System_Total_Mkt!O38*(Retrofit_Rate+Floor_Growth!P$11)</f>
        <v>1.9022984981969575</v>
      </c>
      <c r="Q328" s="199">
        <f>System_Total_Mkt!P38*(Retrofit_Rate+Floor_Growth!Q$11)</f>
        <v>1.9851946313380811</v>
      </c>
      <c r="R328" s="199">
        <f>System_Total_Mkt!Q38*(Retrofit_Rate+Floor_Growth!R$11)</f>
        <v>2.0539516753206479</v>
      </c>
      <c r="S328" s="199">
        <f>System_Total_Mkt!R38*(Retrofit_Rate+Floor_Growth!S$11)</f>
        <v>2.1262169814824374</v>
      </c>
      <c r="T328" s="199">
        <f>System_Total_Mkt!S38*(Retrofit_Rate+Floor_Growth!T$11)</f>
        <v>2.1937848143224068</v>
      </c>
      <c r="U328" s="199">
        <f>System_Total_Mkt!T38*(Retrofit_Rate+Floor_Growth!U$11)</f>
        <v>2.2570661408664408</v>
      </c>
      <c r="V328" s="199">
        <f>System_Total_Mkt!U38*(Retrofit_Rate+Floor_Growth!V$11)</f>
        <v>2.3216473137032052</v>
      </c>
      <c r="W328" s="199">
        <f>System_Total_Mkt!V38*(Retrofit_Rate+Floor_Growth!W$11)</f>
        <v>2.3792261133842487</v>
      </c>
      <c r="X328" s="199">
        <f>System_Total_Mkt!W38*(Retrofit_Rate+Floor_Growth!X$11)</f>
        <v>2.4290410135812892</v>
      </c>
      <c r="Y328" s="199">
        <f>System_Total_Mkt!X38*(Retrofit_Rate+Floor_Growth!Y$11)</f>
        <v>2.4730831706232994</v>
      </c>
      <c r="Z328" s="199">
        <f>System_Total_Mkt!Y38*(Retrofit_Rate+Floor_Growth!Z$11)</f>
        <v>2.5185703197668436</v>
      </c>
      <c r="AA328" s="199">
        <f>System_Total_Mkt!Z38*(Retrofit_Rate+Floor_Growth!AA$11)</f>
        <v>2.5680211078945128</v>
      </c>
      <c r="AB328" s="199">
        <f>System_Total_Mkt!AA38*(Retrofit_Rate+Floor_Growth!AB$11)</f>
        <v>2.6252407509459501</v>
      </c>
      <c r="AC328" s="199">
        <f>System_Total_Mkt!AB38*(Retrofit_Rate+Floor_Growth!AC$11)</f>
        <v>2.6670806997439147</v>
      </c>
      <c r="AD328" s="199">
        <f>System_Total_Mkt!AC38*(Retrofit_Rate+Floor_Growth!AD$11)</f>
        <v>2.7065314115634189</v>
      </c>
      <c r="AE328" s="199">
        <f>System_Total_Mkt!AD38*(Retrofit_Rate+Floor_Growth!AE$11)</f>
        <v>2.7436503324634427</v>
      </c>
      <c r="AF328" s="199">
        <f>System_Total_Mkt!AE38*(Retrofit_Rate+Floor_Growth!AF$11)</f>
        <v>2.7784960241753685</v>
      </c>
    </row>
    <row r="329" spans="1:57" s="221" customFormat="1" x14ac:dyDescent="0.25">
      <c r="A329" s="252"/>
      <c r="B329" s="257" t="s">
        <v>53</v>
      </c>
      <c r="C329"/>
      <c r="D329"/>
      <c r="E329"/>
      <c r="F329"/>
      <c r="G329" s="201"/>
      <c r="H329" s="199">
        <f>System_Total_Mkt!G39*(Retrofit_Rate+Floor_Growth!H$11)</f>
        <v>9.7653995228873455E-3</v>
      </c>
      <c r="I329" s="199">
        <f>System_Total_Mkt!H39*(Retrofit_Rate+Floor_Growth!I$11)</f>
        <v>1.0028650683926424E-2</v>
      </c>
      <c r="J329" s="199">
        <f>System_Total_Mkt!I39*(Retrofit_Rate+Floor_Growth!J$11)</f>
        <v>1.0215555566612879E-2</v>
      </c>
      <c r="K329" s="199">
        <f>System_Total_Mkt!J39*(Retrofit_Rate+Floor_Growth!K$11)</f>
        <v>1.0218156170855971E-2</v>
      </c>
      <c r="L329" s="199">
        <f>System_Total_Mkt!K39*(Retrofit_Rate+Floor_Growth!L$11)</f>
        <v>1.0219274005720704E-2</v>
      </c>
      <c r="M329" s="199">
        <f>System_Total_Mkt!L39*(Retrofit_Rate+Floor_Growth!M$11)</f>
        <v>1.0130066317550571E-2</v>
      </c>
      <c r="N329" s="199">
        <f>System_Total_Mkt!M39*(Retrofit_Rate+Floor_Growth!N$11)</f>
        <v>9.9290287826294312E-3</v>
      </c>
      <c r="O329" s="199">
        <f>System_Total_Mkt!N39*(Retrofit_Rate+Floor_Growth!O$11)</f>
        <v>9.6801044574625298E-3</v>
      </c>
      <c r="P329" s="199">
        <f>System_Total_Mkt!O39*(Retrofit_Rate+Floor_Growth!P$11)</f>
        <v>9.3962318662030152E-3</v>
      </c>
      <c r="Q329" s="199">
        <f>System_Total_Mkt!P39*(Retrofit_Rate+Floor_Growth!Q$11)</f>
        <v>9.0788751053287702E-3</v>
      </c>
      <c r="R329" s="199">
        <f>System_Total_Mkt!Q39*(Retrofit_Rate+Floor_Growth!R$11)</f>
        <v>8.7128774657299068E-3</v>
      </c>
      <c r="S329" s="199">
        <f>System_Total_Mkt!R39*(Retrofit_Rate+Floor_Growth!S$11)</f>
        <v>8.373612305899782E-3</v>
      </c>
      <c r="T329" s="199">
        <f>System_Total_Mkt!S39*(Retrofit_Rate+Floor_Growth!T$11)</f>
        <v>8.0245534495207872E-3</v>
      </c>
      <c r="U329" s="199">
        <f>System_Total_Mkt!T39*(Retrofit_Rate+Floor_Growth!U$11)</f>
        <v>7.6717662980645912E-3</v>
      </c>
      <c r="V329" s="199">
        <f>System_Total_Mkt!U39*(Retrofit_Rate+Floor_Growth!V$11)</f>
        <v>7.3368456939971799E-3</v>
      </c>
      <c r="W329" s="199">
        <f>System_Total_Mkt!V39*(Retrofit_Rate+Floor_Growth!W$11)</f>
        <v>6.9944033604626057E-3</v>
      </c>
      <c r="X329" s="199">
        <f>System_Total_Mkt!W39*(Retrofit_Rate+Floor_Growth!X$11)</f>
        <v>6.6473324000128767E-3</v>
      </c>
      <c r="Y329" s="199">
        <f>System_Total_Mkt!X39*(Retrofit_Rate+Floor_Growth!Y$11)</f>
        <v>6.3051413555713929E-3</v>
      </c>
      <c r="Z329" s="199">
        <f>System_Total_Mkt!Y39*(Retrofit_Rate+Floor_Growth!Z$11)</f>
        <v>5.9870862926366094E-3</v>
      </c>
      <c r="AA329" s="199">
        <f>System_Total_Mkt!Z39*(Retrofit_Rate+Floor_Growth!AA$11)</f>
        <v>5.6961529078430736E-3</v>
      </c>
      <c r="AB329" s="199">
        <f>System_Total_Mkt!AA39*(Retrofit_Rate+Floor_Growth!AB$11)</f>
        <v>5.4366030793892373E-3</v>
      </c>
      <c r="AC329" s="199">
        <f>System_Total_Mkt!AB39*(Retrofit_Rate+Floor_Growth!AC$11)</f>
        <v>5.158435848948025E-3</v>
      </c>
      <c r="AD329" s="199">
        <f>System_Total_Mkt!AC39*(Retrofit_Rate+Floor_Growth!AD$11)</f>
        <v>4.8918620135506991E-3</v>
      </c>
      <c r="AE329" s="199">
        <f>System_Total_Mkt!AD39*(Retrofit_Rate+Floor_Growth!AE$11)</f>
        <v>4.6367162271549614E-3</v>
      </c>
      <c r="AF329" s="199">
        <f>System_Total_Mkt!AE39*(Retrofit_Rate+Floor_Growth!AF$11)</f>
        <v>4.3927243651628745E-3</v>
      </c>
    </row>
    <row r="331" spans="1:57" x14ac:dyDescent="0.25">
      <c r="A331" s="264" t="s">
        <v>171</v>
      </c>
      <c r="B331" s="265"/>
      <c r="C331" s="264"/>
      <c r="D331" s="265"/>
      <c r="E331" s="265"/>
      <c r="F331" s="265"/>
      <c r="G331" s="828" t="s">
        <v>697</v>
      </c>
      <c r="H331" s="265"/>
      <c r="I331" s="265"/>
      <c r="J331" s="265"/>
      <c r="K331" s="265"/>
      <c r="L331" s="265"/>
      <c r="M331" s="265"/>
      <c r="N331" s="265"/>
      <c r="O331" s="265"/>
      <c r="P331" s="265"/>
      <c r="Q331" s="265"/>
      <c r="R331" s="265"/>
      <c r="S331" s="265"/>
      <c r="T331" s="265"/>
      <c r="U331" s="265"/>
      <c r="V331" s="265"/>
      <c r="W331" s="265"/>
      <c r="X331" s="265"/>
      <c r="Y331" s="265"/>
      <c r="Z331" s="265"/>
      <c r="AA331" s="265"/>
      <c r="AB331" s="265"/>
      <c r="AC331" s="265"/>
      <c r="AD331" s="265"/>
      <c r="AE331" s="265"/>
      <c r="AF331" s="265"/>
      <c r="AG331" s="252"/>
      <c r="AH331" s="252"/>
      <c r="AI331" s="252"/>
      <c r="AJ331" s="252"/>
      <c r="AK331" s="252"/>
      <c r="AL331" s="252"/>
      <c r="AM331" s="252"/>
      <c r="AN331" s="252"/>
      <c r="AO331" s="252"/>
      <c r="AP331" s="252"/>
      <c r="AQ331" s="252"/>
      <c r="AR331" s="252"/>
      <c r="AS331" s="252"/>
      <c r="AT331" s="252"/>
      <c r="AU331" s="252"/>
      <c r="AV331" s="252"/>
      <c r="AW331" s="252"/>
      <c r="AX331" s="252"/>
      <c r="AY331" s="252"/>
      <c r="AZ331" s="252"/>
      <c r="BA331" s="252"/>
      <c r="BB331" s="252"/>
      <c r="BC331" s="252"/>
      <c r="BD331" s="252"/>
      <c r="BE331" s="252"/>
    </row>
    <row r="332" spans="1:57" x14ac:dyDescent="0.25">
      <c r="A332" s="253" t="s">
        <v>12</v>
      </c>
      <c r="B332" s="252"/>
    </row>
    <row r="333" spans="1:57" x14ac:dyDescent="0.25">
      <c r="A333" s="252"/>
      <c r="B333" s="252" t="s">
        <v>20</v>
      </c>
    </row>
    <row r="334" spans="1:57" x14ac:dyDescent="0.25">
      <c r="A334" s="267" t="s">
        <v>21</v>
      </c>
      <c r="B334" s="267"/>
      <c r="C334" s="267"/>
      <c r="D334" s="267"/>
      <c r="E334" s="267"/>
      <c r="F334" s="267"/>
      <c r="G334" s="267"/>
      <c r="H334" s="267"/>
      <c r="I334" s="267"/>
      <c r="J334" s="267"/>
      <c r="K334" s="267"/>
      <c r="L334" s="267"/>
      <c r="M334" s="267"/>
      <c r="N334" s="267"/>
      <c r="O334" s="267"/>
      <c r="P334" s="267"/>
      <c r="Q334" s="267"/>
      <c r="R334" s="267"/>
      <c r="S334" s="267"/>
      <c r="T334" s="267"/>
      <c r="U334" s="267"/>
      <c r="V334" s="267"/>
      <c r="W334" s="267"/>
      <c r="X334" s="267"/>
      <c r="Y334" s="267"/>
      <c r="Z334" s="267"/>
      <c r="AA334" s="267"/>
      <c r="AB334" s="267"/>
      <c r="AC334" s="267"/>
      <c r="AD334" s="267"/>
      <c r="AE334" s="267"/>
      <c r="AF334" s="267"/>
    </row>
    <row r="335" spans="1:57" x14ac:dyDescent="0.25">
      <c r="A335" s="252"/>
      <c r="B335" s="252" t="s">
        <v>22</v>
      </c>
      <c r="H335" s="549">
        <f ca="1">H262*(SUM(H$299:H$302)+SUMIF(Tech_Specs!$K$9:$K$12,"luminaire",System_Mkt_Repl!G$299:G$302))</f>
        <v>2.8711194068096821</v>
      </c>
      <c r="I335" s="549">
        <f ca="1">I262*(SUM(I$299:I$302)+SUMIF(Tech_Specs!$K$9:$K$12,"luminaire",System_Mkt_Repl!H$299:H$302))</f>
        <v>2.5186890623982565</v>
      </c>
      <c r="J335" s="549">
        <f ca="1">J262*(SUM(J$299:J$302)+SUMIF(Tech_Specs!$K$9:$K$12,"luminaire",System_Mkt_Repl!I$299:I$302))</f>
        <v>1.5055349561784406</v>
      </c>
      <c r="K335" s="549">
        <f ca="1">K262*(SUM(K$299:K$302)+SUMIF(Tech_Specs!$K$9:$K$12,"luminaire",System_Mkt_Repl!J$299:J$302))</f>
        <v>1.0151712880875492</v>
      </c>
      <c r="L335" s="549">
        <f ca="1">L262*(SUM(L$299:L$302)+SUMIF(Tech_Specs!$K$9:$K$12,"luminaire",System_Mkt_Repl!K$299:K$302))</f>
        <v>0.62563540472245227</v>
      </c>
      <c r="M335" s="549">
        <f ca="1">M262*(SUM(M$299:M$302)+SUMIF(Tech_Specs!$K$9:$K$12,"luminaire",System_Mkt_Repl!L$299:L$302))</f>
        <v>0.21604252336433785</v>
      </c>
      <c r="N335" s="549">
        <f ca="1">N262*(SUM(N$299:N$302)+SUMIF(Tech_Specs!$K$9:$K$12,"luminaire",System_Mkt_Repl!M$299:M$302))</f>
        <v>0.19593762441809395</v>
      </c>
      <c r="O335" s="549">
        <f ca="1">O262*(SUM(O$299:O$302)+SUMIF(Tech_Specs!$K$9:$K$12,"luminaire",System_Mkt_Repl!N$299:N$302))</f>
        <v>0.17684011650053999</v>
      </c>
      <c r="P335" s="549">
        <f ca="1">P262*(SUM(P$299:P$302)+SUMIF(Tech_Specs!$K$9:$K$12,"luminaire",System_Mkt_Repl!O$299:O$302))</f>
        <v>0.16002868185181701</v>
      </c>
      <c r="Q335" s="549">
        <f ca="1">Q262*(SUM(Q$299:Q$302)+SUMIF(Tech_Specs!$K$9:$K$12,"luminaire",System_Mkt_Repl!P$299:P$302))</f>
        <v>0.14277438186406152</v>
      </c>
      <c r="R335" s="549">
        <f ca="1">R262*(SUM(R$299:R$302)+SUMIF(Tech_Specs!$K$9:$K$12,"luminaire",System_Mkt_Repl!Q$299:Q$302))</f>
        <v>0.12526200684827837</v>
      </c>
      <c r="S335" s="549">
        <f ca="1">S262*(SUM(S$299:S$302)+SUMIF(Tech_Specs!$K$9:$K$12,"luminaire",System_Mkt_Repl!R$299:R$302))</f>
        <v>0.1102151577815409</v>
      </c>
      <c r="T335" s="549">
        <f ca="1">T262*(SUM(T$299:T$302)+SUMIF(Tech_Specs!$K$9:$K$12,"luminaire",System_Mkt_Repl!S$299:S$302))</f>
        <v>9.677674229685844E-2</v>
      </c>
      <c r="U335" s="549">
        <f ca="1">U262*(SUM(U$299:U$302)+SUMIF(Tech_Specs!$K$9:$K$12,"luminaire",System_Mkt_Repl!T$299:T$302))</f>
        <v>8.4875863140091642E-2</v>
      </c>
      <c r="V335" s="549">
        <f ca="1">V262*(SUM(V$299:V$302)+SUMIF(Tech_Specs!$K$9:$K$12,"luminaire",System_Mkt_Repl!U$299:U$302))</f>
        <v>7.5313622261909727E-2</v>
      </c>
      <c r="W335" s="549">
        <f ca="1">W262*(SUM(W$299:W$302)+SUMIF(Tech_Specs!$K$9:$K$12,"luminaire",System_Mkt_Repl!V$299:V$302))</f>
        <v>6.693784675127136E-2</v>
      </c>
      <c r="X335" s="549">
        <f ca="1">X262*(SUM(X$299:X$302)+SUMIF(Tech_Specs!$K$9:$K$12,"luminaire",System_Mkt_Repl!W$299:W$302))</f>
        <v>5.9692607240577795E-2</v>
      </c>
      <c r="Y335" s="549">
        <f ca="1">Y262*(SUM(Y$299:Y$302)+SUMIF(Tech_Specs!$K$9:$K$12,"luminaire",System_Mkt_Repl!X$299:X$302))</f>
        <v>5.3429689244914473E-2</v>
      </c>
      <c r="Z335" s="549">
        <f ca="1">Z262*(SUM(Z$299:Z$302)+SUMIF(Tech_Specs!$K$9:$K$12,"luminaire",System_Mkt_Repl!Y$299:Y$302))</f>
        <v>4.8334190528523793E-2</v>
      </c>
      <c r="AA335" s="549">
        <f ca="1">AA262*(SUM(AA$299:AA$302)+SUMIF(Tech_Specs!$K$9:$K$12,"luminaire",System_Mkt_Repl!Z$299:Z$302))</f>
        <v>4.4285096701152375E-2</v>
      </c>
      <c r="AB335" s="549">
        <f ca="1">AB262*(SUM(AB$299:AB$302)+SUMIF(Tech_Specs!$K$9:$K$12,"luminaire",System_Mkt_Repl!AA$299:AA$302))</f>
        <v>4.0750372744009104E-2</v>
      </c>
      <c r="AC335" s="549">
        <f ca="1">AC262*(SUM(AC$299:AC$302)+SUMIF(Tech_Specs!$K$9:$K$12,"luminaire",System_Mkt_Repl!AB$299:AB$302))</f>
        <v>3.7467998405059481E-2</v>
      </c>
      <c r="AD335" s="549">
        <f ca="1">AD262*(SUM(AD$299:AD$302)+SUMIF(Tech_Specs!$K$9:$K$12,"luminaire",System_Mkt_Repl!AC$299:AC$302))</f>
        <v>3.4513682840827578E-2</v>
      </c>
      <c r="AE335" s="549">
        <f ca="1">AE262*(SUM(AE$299:AE$302)+SUMIF(Tech_Specs!$K$9:$K$12,"luminaire",System_Mkt_Repl!AD$299:AD$302))</f>
        <v>3.1749208297076156E-2</v>
      </c>
      <c r="AF335" s="549">
        <f ca="1">AF262*(SUM(AF$299:AF$302)+SUMIF(Tech_Specs!$K$9:$K$12,"luminaire",System_Mkt_Repl!AE$299:AE$302))</f>
        <v>2.8709323240522049E-2</v>
      </c>
    </row>
    <row r="336" spans="1:57" x14ac:dyDescent="0.25">
      <c r="A336" s="252"/>
      <c r="B336" s="252" t="s">
        <v>26</v>
      </c>
      <c r="H336" s="549">
        <f ca="1">H263*(SUM(H$299:H$302)+SUMIF(Tech_Specs!$K$9:$K$12,"luminaire",System_Mkt_Repl!G$299:G$302))</f>
        <v>0.10582148068850379</v>
      </c>
      <c r="I336" s="549">
        <f ca="1">I263*(SUM(I$299:I$302)+SUMIF(Tech_Specs!$K$9:$K$12,"luminaire",System_Mkt_Repl!H$299:H$302))</f>
        <v>0.45459547645618287</v>
      </c>
      <c r="J336" s="549">
        <f ca="1">J263*(SUM(J$299:J$302)+SUMIF(Tech_Specs!$K$9:$K$12,"luminaire",System_Mkt_Repl!I$299:I$302))</f>
        <v>1.233776037981958</v>
      </c>
      <c r="K336" s="549">
        <f ca="1">K263*(SUM(K$299:K$302)+SUMIF(Tech_Specs!$K$9:$K$12,"luminaire",System_Mkt_Repl!J$299:J$302))</f>
        <v>1.688312948630958</v>
      </c>
      <c r="L336" s="549">
        <f ca="1">L263*(SUM(L$299:L$302)+SUMIF(Tech_Specs!$K$9:$K$12,"luminaire",System_Mkt_Repl!K$299:K$302))</f>
        <v>1.7396312218489574</v>
      </c>
      <c r="M336" s="549">
        <f ca="1">M263*(SUM(M$299:M$302)+SUMIF(Tech_Specs!$K$9:$K$12,"luminaire",System_Mkt_Repl!L$299:L$302))</f>
        <v>1.7269950142345978</v>
      </c>
      <c r="N336" s="549">
        <f ca="1">N263*(SUM(N$299:N$302)+SUMIF(Tech_Specs!$K$9:$K$12,"luminaire",System_Mkt_Repl!M$299:M$302))</f>
        <v>1.6037836581443103</v>
      </c>
      <c r="O336" s="549">
        <f ca="1">O263*(SUM(O$299:O$302)+SUMIF(Tech_Specs!$K$9:$K$12,"luminaire",System_Mkt_Repl!N$299:N$302))</f>
        <v>1.4801963035001988</v>
      </c>
      <c r="P336" s="549">
        <f ca="1">P263*(SUM(P$299:P$302)+SUMIF(Tech_Specs!$K$9:$K$12,"luminaire",System_Mkt_Repl!O$299:O$302))</f>
        <v>1.3658115020473804</v>
      </c>
      <c r="Q336" s="549">
        <f ca="1">Q263*(SUM(Q$299:Q$302)+SUMIF(Tech_Specs!$K$9:$K$12,"luminaire",System_Mkt_Repl!P$299:P$302))</f>
        <v>1.2449558784546515</v>
      </c>
      <c r="R336" s="549">
        <f ca="1">R263*(SUM(R$299:R$302)+SUMIF(Tech_Specs!$K$9:$K$12,"luminaire",System_Mkt_Repl!Q$299:Q$302))</f>
        <v>1.1188741020174882</v>
      </c>
      <c r="S336" s="549">
        <f ca="1">S263*(SUM(S$299:S$302)+SUMIF(Tech_Specs!$K$9:$K$12,"luminaire",System_Mkt_Repl!R$299:R$302))</f>
        <v>1.0082604234413666</v>
      </c>
      <c r="T336" s="549">
        <f ca="1">T263*(SUM(T$299:T$302)+SUMIF(Tech_Specs!$K$9:$K$12,"luminaire",System_Mkt_Repl!S$299:S$302))</f>
        <v>0.90730420217877517</v>
      </c>
      <c r="U336" s="549">
        <f ca="1">U263*(SUM(U$299:U$302)+SUMIF(Tech_Specs!$K$9:$K$12,"luminaire",System_Mkt_Repl!T$299:T$302))</f>
        <v>0.81650657923141357</v>
      </c>
      <c r="V336" s="549">
        <f ca="1">V263*(SUM(V$299:V$302)+SUMIF(Tech_Specs!$K$9:$K$12,"luminaire",System_Mkt_Repl!U$299:U$302))</f>
        <v>0.74288161624366278</v>
      </c>
      <c r="W336" s="549">
        <f ca="1">W263*(SUM(W$299:W$302)+SUMIF(Tech_Specs!$K$9:$K$12,"luminaire",System_Mkt_Repl!V$299:V$302))</f>
        <v>0.67805414636614425</v>
      </c>
      <c r="X336" s="549">
        <f ca="1">X263*(SUM(X$299:X$302)+SUMIF(Tech_Specs!$K$9:$K$12,"luminaire",System_Mkt_Repl!W$299:W$302))</f>
        <v>0.62182500768406701</v>
      </c>
      <c r="Y336" s="549">
        <f ca="1">Y263*(SUM(Y$299:Y$302)+SUMIF(Tech_Specs!$K$9:$K$12,"luminaire",System_Mkt_Repl!X$299:X$302))</f>
        <v>0.57331288077416376</v>
      </c>
      <c r="Z336" s="549">
        <f ca="1">Z263*(SUM(Z$299:Z$302)+SUMIF(Tech_Specs!$K$9:$K$12,"luminaire",System_Mkt_Repl!Y$299:Y$302))</f>
        <v>0.5344794906671605</v>
      </c>
      <c r="AA336" s="549">
        <f ca="1">AA263*(SUM(AA$299:AA$302)+SUMIF(Tech_Specs!$K$9:$K$12,"luminaire",System_Mkt_Repl!Z$299:Z$302))</f>
        <v>0.50460655717049885</v>
      </c>
      <c r="AB336" s="549">
        <f ca="1">AB263*(SUM(AB$299:AB$302)+SUMIF(Tech_Specs!$K$9:$K$12,"luminaire",System_Mkt_Repl!AA$299:AA$302))</f>
        <v>0.47945177054082982</v>
      </c>
      <c r="AC336" s="549">
        <f ca="1">AC263*(SUM(AC$299:AC$302)+SUMIF(Tech_Specs!$K$9:$K$12,"luminaire",System_Mkt_Repl!AB$299:AB$302))</f>
        <v>0.45553172419060839</v>
      </c>
      <c r="AD336" s="549">
        <f ca="1">AD263*(SUM(AD$299:AD$302)+SUMIF(Tech_Specs!$K$9:$K$12,"luminaire",System_Mkt_Repl!AC$299:AC$302))</f>
        <v>0.43407011231433629</v>
      </c>
      <c r="AE336" s="549">
        <f ca="1">AE263*(SUM(AE$299:AE$302)+SUMIF(Tech_Specs!$K$9:$K$12,"luminaire",System_Mkt_Repl!AD$299:AD$302))</f>
        <v>0.41374536518838834</v>
      </c>
      <c r="AF336" s="549">
        <f ca="1">AF263*(SUM(AF$299:AF$302)+SUMIF(Tech_Specs!$K$9:$K$12,"luminaire",System_Mkt_Repl!AE$299:AE$302))</f>
        <v>0.38988335357838466</v>
      </c>
    </row>
    <row r="337" spans="1:32" x14ac:dyDescent="0.25">
      <c r="A337" s="252"/>
      <c r="B337" s="252" t="s">
        <v>27</v>
      </c>
      <c r="H337" s="549">
        <f ca="1">H264*(SUM(H$299:H$302)+SUMIF(Tech_Specs!$K$9:$K$12,"luminaire",System_Mkt_Repl!G$299:G$302))</f>
        <v>3.9881704528007664</v>
      </c>
      <c r="I337" s="549">
        <f ca="1">I264*(SUM(I$299:I$302)+SUMIF(Tech_Specs!$K$9:$K$12,"luminaire",System_Mkt_Repl!H$299:H$302))</f>
        <v>4.0478122639244409</v>
      </c>
      <c r="J337" s="549">
        <f ca="1">J264*(SUM(J$299:J$302)+SUMIF(Tech_Specs!$K$9:$K$12,"luminaire",System_Mkt_Repl!I$299:I$302))</f>
        <v>4.3112530107398443</v>
      </c>
      <c r="K337" s="549">
        <f ca="1">K264*(SUM(K$299:K$302)+SUMIF(Tech_Specs!$K$9:$K$12,"luminaire",System_Mkt_Repl!J$299:J$302))</f>
        <v>4.1901255253029905</v>
      </c>
      <c r="L337" s="549">
        <f ca="1">L264*(SUM(L$299:L$302)+SUMIF(Tech_Specs!$K$9:$K$12,"luminaire",System_Mkt_Repl!K$299:K$302))</f>
        <v>4.3227298313944997</v>
      </c>
      <c r="M337" s="549">
        <f ca="1">M264*(SUM(M$299:M$302)+SUMIF(Tech_Specs!$K$9:$K$12,"luminaire",System_Mkt_Repl!L$299:L$302))</f>
        <v>4.436373085979886</v>
      </c>
      <c r="N337" s="549">
        <f ca="1">N264*(SUM(N$299:N$302)+SUMIF(Tech_Specs!$K$9:$K$12,"luminaire",System_Mkt_Repl!M$299:M$302))</f>
        <v>4.2096983673167525</v>
      </c>
      <c r="O337" s="549">
        <f ca="1">O264*(SUM(O$299:O$302)+SUMIF(Tech_Specs!$K$9:$K$12,"luminaire",System_Mkt_Repl!N$299:N$302))</f>
        <v>3.9475167977889334</v>
      </c>
      <c r="P337" s="549">
        <f ca="1">P264*(SUM(P$299:P$302)+SUMIF(Tech_Specs!$K$9:$K$12,"luminaire",System_Mkt_Repl!O$299:O$302))</f>
        <v>3.6620643496506653</v>
      </c>
      <c r="Q337" s="549">
        <f ca="1">Q264*(SUM(Q$299:Q$302)+SUMIF(Tech_Specs!$K$9:$K$12,"luminaire",System_Mkt_Repl!P$299:P$302))</f>
        <v>3.3765023237586838</v>
      </c>
      <c r="R337" s="549">
        <f ca="1">R264*(SUM(R$299:R$302)+SUMIF(Tech_Specs!$K$9:$K$12,"luminaire",System_Mkt_Repl!Q$299:Q$302))</f>
        <v>3.0934125820079084</v>
      </c>
      <c r="S337" s="549">
        <f ca="1">S264*(SUM(S$299:S$302)+SUMIF(Tech_Specs!$K$9:$K$12,"luminaire",System_Mkt_Repl!R$299:R$302))</f>
        <v>2.8371121518006772</v>
      </c>
      <c r="T337" s="549">
        <f ca="1">T264*(SUM(T$299:T$302)+SUMIF(Tech_Specs!$K$9:$K$12,"luminaire",System_Mkt_Repl!S$299:S$302))</f>
        <v>2.6011822997203984</v>
      </c>
      <c r="U337" s="549">
        <f ca="1">U264*(SUM(U$299:U$302)+SUMIF(Tech_Specs!$K$9:$K$12,"luminaire",System_Mkt_Repl!T$299:T$302))</f>
        <v>2.3916361560805663</v>
      </c>
      <c r="V337" s="549">
        <f ca="1">V264*(SUM(V$299:V$302)+SUMIF(Tech_Specs!$K$9:$K$12,"luminaire",System_Mkt_Repl!U$299:U$302))</f>
        <v>2.2162000178812291</v>
      </c>
      <c r="W337" s="549">
        <f ca="1">W264*(SUM(W$299:W$302)+SUMIF(Tech_Specs!$K$9:$K$12,"luminaire",System_Mkt_Repl!V$299:V$302))</f>
        <v>2.0674594533367432</v>
      </c>
      <c r="X337" s="549">
        <f ca="1">X264*(SUM(X$299:X$302)+SUMIF(Tech_Specs!$K$9:$K$12,"luminaire",System_Mkt_Repl!W$299:W$302))</f>
        <v>1.9434201315722137</v>
      </c>
      <c r="Y337" s="549">
        <f ca="1">Y264*(SUM(Y$299:Y$302)+SUMIF(Tech_Specs!$K$9:$K$12,"luminaire",System_Mkt_Repl!X$299:X$302))</f>
        <v>1.8426403281223123</v>
      </c>
      <c r="Z337" s="549">
        <f ca="1">Z264*(SUM(Z$299:Z$302)+SUMIF(Tech_Specs!$K$9:$K$12,"luminaire",System_Mkt_Repl!Y$299:Y$302))</f>
        <v>1.7666533347059914</v>
      </c>
      <c r="AA337" s="549">
        <f ca="1">AA264*(SUM(AA$299:AA$302)+SUMIF(Tech_Specs!$K$9:$K$12,"luminaire",System_Mkt_Repl!Z$299:Z$302))</f>
        <v>1.7128109039424104</v>
      </c>
      <c r="AB337" s="549">
        <f ca="1">AB264*(SUM(AB$299:AB$302)+SUMIF(Tech_Specs!$K$9:$K$12,"luminaire",System_Mkt_Repl!AA$299:AA$302))</f>
        <v>1.6781388596428832</v>
      </c>
      <c r="AC337" s="549">
        <f ca="1">AC264*(SUM(AC$299:AC$302)+SUMIF(Tech_Specs!$K$9:$K$12,"luminaire",System_Mkt_Repl!AB$299:AB$302))</f>
        <v>1.6451240808573404</v>
      </c>
      <c r="AD337" s="549">
        <f ca="1">AD264*(SUM(AD$299:AD$302)+SUMIF(Tech_Specs!$K$9:$K$12,"luminaire",System_Mkt_Repl!AC$299:AC$302))</f>
        <v>1.6196742367888639</v>
      </c>
      <c r="AE337" s="549">
        <f ca="1">AE264*(SUM(AE$299:AE$302)+SUMIF(Tech_Specs!$K$9:$K$12,"luminaire",System_Mkt_Repl!AD$299:AD$302))</f>
        <v>1.5993793424779212</v>
      </c>
      <c r="AF337" s="549">
        <f ca="1">AF264*(SUM(AF$299:AF$302)+SUMIF(Tech_Specs!$K$9:$K$12,"luminaire",System_Mkt_Repl!AE$299:AE$302))</f>
        <v>1.5801292091121388</v>
      </c>
    </row>
    <row r="338" spans="1:32" x14ac:dyDescent="0.25">
      <c r="A338" s="252"/>
      <c r="B338" s="252" t="s">
        <v>29</v>
      </c>
      <c r="H338" s="549">
        <f ca="1">H265*(SUM(H$299:H$302)+SUMIF(Tech_Specs!$K$9:$K$12,"luminaire",System_Mkt_Repl!G$299:G$302))</f>
        <v>0.10207658193552184</v>
      </c>
      <c r="I338" s="549">
        <f ca="1">I265*(SUM(I$299:I$302)+SUMIF(Tech_Specs!$K$9:$K$12,"luminaire",System_Mkt_Repl!H$299:H$302))</f>
        <v>0.25868598425062023</v>
      </c>
      <c r="J338" s="549">
        <f ca="1">J265*(SUM(J$299:J$302)+SUMIF(Tech_Specs!$K$9:$K$12,"luminaire",System_Mkt_Repl!I$299:I$302))</f>
        <v>0.42028992186434627</v>
      </c>
      <c r="K338" s="549">
        <f ca="1">K265*(SUM(K$299:K$302)+SUMIF(Tech_Specs!$K$9:$K$12,"luminaire",System_Mkt_Repl!J$299:J$302))</f>
        <v>0.67874083739639213</v>
      </c>
      <c r="L338" s="549">
        <f ca="1">L265*(SUM(L$299:L$302)+SUMIF(Tech_Specs!$K$9:$K$12,"luminaire",System_Mkt_Repl!K$299:K$302))</f>
        <v>1.0361809194949108</v>
      </c>
      <c r="M338" s="549">
        <f ca="1">M265*(SUM(M$299:M$302)+SUMIF(Tech_Specs!$K$9:$K$12,"luminaire",System_Mkt_Repl!L$299:L$302))</f>
        <v>1.4829076314259622</v>
      </c>
      <c r="N338" s="549">
        <f ca="1">N265*(SUM(N$299:N$302)+SUMIF(Tech_Specs!$K$9:$K$12,"luminaire",System_Mkt_Repl!M$299:M$302))</f>
        <v>1.9561056052967039</v>
      </c>
      <c r="O338" s="549">
        <f ca="1">O265*(SUM(O$299:O$302)+SUMIF(Tech_Specs!$K$9:$K$12,"luminaire",System_Mkt_Repl!N$299:N$302))</f>
        <v>2.4688872446386494</v>
      </c>
      <c r="P338" s="549">
        <f ca="1">P265*(SUM(P$299:P$302)+SUMIF(Tech_Specs!$K$9:$K$12,"luminaire",System_Mkt_Repl!O$299:O$302))</f>
        <v>2.9992235221672412</v>
      </c>
      <c r="Q338" s="549">
        <f ca="1">Q265*(SUM(Q$299:Q$302)+SUMIF(Tech_Specs!$K$9:$K$12,"luminaire",System_Mkt_Repl!P$299:P$302))</f>
        <v>3.5331733405045216</v>
      </c>
      <c r="R338" s="549">
        <f ca="1">R265*(SUM(R$299:R$302)+SUMIF(Tech_Specs!$K$9:$K$12,"luminaire",System_Mkt_Repl!Q$299:Q$302))</f>
        <v>4.0419563012136202</v>
      </c>
      <c r="S338" s="549">
        <f ca="1">S265*(SUM(S$299:S$302)+SUMIF(Tech_Specs!$K$9:$K$12,"luminaire",System_Mkt_Repl!R$299:R$302))</f>
        <v>4.5397073059906292</v>
      </c>
      <c r="T338" s="549">
        <f ca="1">T265*(SUM(T$299:T$302)+SUMIF(Tech_Specs!$K$9:$K$12,"luminaire",System_Mkt_Repl!S$299:S$302))</f>
        <v>5.0005693026459328</v>
      </c>
      <c r="U338" s="549">
        <f ca="1">U265*(SUM(U$299:U$302)+SUMIF(Tech_Specs!$K$9:$K$12,"luminaire",System_Mkt_Repl!T$299:T$302))</f>
        <v>5.417998436018661</v>
      </c>
      <c r="V338" s="549">
        <f ca="1">V265*(SUM(V$299:V$302)+SUMIF(Tech_Specs!$K$9:$K$12,"luminaire",System_Mkt_Repl!U$299:U$302))</f>
        <v>5.7967457535435551</v>
      </c>
      <c r="W338" s="549">
        <f ca="1">W265*(SUM(W$299:W$302)+SUMIF(Tech_Specs!$K$9:$K$12,"luminaire",System_Mkt_Repl!V$299:V$302))</f>
        <v>6.1209916019051951</v>
      </c>
      <c r="X338" s="549">
        <f ca="1">X265*(SUM(X$299:X$302)+SUMIF(Tech_Specs!$K$9:$K$12,"luminaire",System_Mkt_Repl!W$299:W$302))</f>
        <v>6.3901336067213839</v>
      </c>
      <c r="Y338" s="549">
        <f ca="1">Y265*(SUM(Y$299:Y$302)+SUMIF(Tech_Specs!$K$9:$K$12,"luminaire",System_Mkt_Repl!X$299:X$302))</f>
        <v>6.6139554976272272</v>
      </c>
      <c r="Z338" s="549">
        <f ca="1">Z265*(SUM(Z$299:Z$302)+SUMIF(Tech_Specs!$K$9:$K$12,"luminaire",System_Mkt_Repl!Y$299:Y$302))</f>
        <v>6.8146942247681519</v>
      </c>
      <c r="AA338" s="549">
        <f ca="1">AA265*(SUM(AA$299:AA$302)+SUMIF(Tech_Specs!$K$9:$K$12,"luminaire",System_Mkt_Repl!Z$299:Z$302))</f>
        <v>7.003836152026623</v>
      </c>
      <c r="AB338" s="549">
        <f ca="1">AB265*(SUM(AB$299:AB$302)+SUMIF(Tech_Specs!$K$9:$K$12,"luminaire",System_Mkt_Repl!AA$299:AA$302))</f>
        <v>7.2015783262882254</v>
      </c>
      <c r="AC338" s="549">
        <f ca="1">AC265*(SUM(AC$299:AC$302)+SUMIF(Tech_Specs!$K$9:$K$12,"luminaire",System_Mkt_Repl!AB$299:AB$302))</f>
        <v>7.3455360528195177</v>
      </c>
      <c r="AD338" s="549">
        <f ca="1">AD265*(SUM(AD$299:AD$302)+SUMIF(Tech_Specs!$K$9:$K$12,"luminaire",System_Mkt_Repl!AC$299:AC$302))</f>
        <v>7.4752055614239383</v>
      </c>
      <c r="AE338" s="549">
        <f ca="1">AE265*(SUM(AE$299:AE$302)+SUMIF(Tech_Specs!$K$9:$K$12,"luminaire",System_Mkt_Repl!AD$299:AD$302))</f>
        <v>7.5943368504218132</v>
      </c>
      <c r="AF338" s="549">
        <f ca="1">AF265*(SUM(AF$299:AF$302)+SUMIF(Tech_Specs!$K$9:$K$12,"luminaire",System_Mkt_Repl!AE$299:AE$302))</f>
        <v>7.7120643932422857</v>
      </c>
    </row>
    <row r="339" spans="1:32" x14ac:dyDescent="0.25">
      <c r="A339" s="252"/>
      <c r="B339" s="252"/>
      <c r="H339" s="549"/>
      <c r="I339" s="549"/>
      <c r="J339" s="549"/>
      <c r="K339" s="549"/>
      <c r="L339" s="549"/>
      <c r="M339" s="549"/>
      <c r="N339" s="549"/>
      <c r="O339" s="549"/>
      <c r="P339" s="549"/>
      <c r="Q339" s="549"/>
      <c r="R339" s="549"/>
      <c r="S339" s="549"/>
      <c r="T339" s="549"/>
      <c r="U339" s="549"/>
      <c r="V339" s="549"/>
      <c r="W339" s="549"/>
      <c r="X339" s="549"/>
      <c r="Y339" s="549"/>
      <c r="Z339" s="549"/>
      <c r="AA339" s="549"/>
      <c r="AB339" s="549"/>
      <c r="AC339" s="549"/>
      <c r="AD339" s="549"/>
      <c r="AE339" s="549"/>
      <c r="AF339" s="549"/>
    </row>
    <row r="340" spans="1:32" x14ac:dyDescent="0.25">
      <c r="A340" s="267" t="s">
        <v>32</v>
      </c>
      <c r="B340" s="267"/>
      <c r="C340" s="267"/>
      <c r="D340" s="267"/>
      <c r="E340" s="267"/>
      <c r="F340" s="267"/>
      <c r="G340" s="267"/>
      <c r="H340" s="632"/>
      <c r="I340" s="632"/>
      <c r="J340" s="632"/>
      <c r="K340" s="632"/>
      <c r="L340" s="632"/>
      <c r="M340" s="632"/>
      <c r="N340" s="632"/>
      <c r="O340" s="632"/>
      <c r="P340" s="632"/>
      <c r="Q340" s="632"/>
      <c r="R340" s="632"/>
      <c r="S340" s="632"/>
      <c r="T340" s="632"/>
      <c r="U340" s="632"/>
      <c r="V340" s="632"/>
      <c r="W340" s="632"/>
      <c r="X340" s="632"/>
      <c r="Y340" s="632"/>
      <c r="Z340" s="632"/>
      <c r="AA340" s="632"/>
      <c r="AB340" s="632"/>
      <c r="AC340" s="632"/>
      <c r="AD340" s="632"/>
      <c r="AE340" s="632"/>
      <c r="AF340" s="632"/>
    </row>
    <row r="341" spans="1:32" x14ac:dyDescent="0.25">
      <c r="A341" s="252"/>
      <c r="B341" s="252" t="s">
        <v>33</v>
      </c>
      <c r="H341" s="549">
        <f>H268*(SUM(H$305:H$308)+SUMIF(Tech_Specs!$K$15:$K$18,"luminaire",System_Mkt_Repl!G$305:G$308))</f>
        <v>0.35572580925154701</v>
      </c>
      <c r="I341" s="549">
        <f>I268*(SUM(I$305:I$308)+SUMIF(Tech_Specs!$K$15:$K$18,"luminaire",System_Mkt_Repl!H$305:H$308))</f>
        <v>0.36710295981918939</v>
      </c>
      <c r="J341" s="549">
        <f>J268*(SUM(J$305:J$308)+SUMIF(Tech_Specs!$K$15:$K$18,"luminaire",System_Mkt_Repl!I$305:I$308))</f>
        <v>0.37143512752066588</v>
      </c>
      <c r="K341" s="549">
        <f>K268*(SUM(K$305:K$308)+SUMIF(Tech_Specs!$K$15:$K$18,"luminaire",System_Mkt_Repl!J$305:J$308))</f>
        <v>0.36251123816597208</v>
      </c>
      <c r="L341" s="549">
        <f>L268*(SUM(L$305:L$308)+SUMIF(Tech_Specs!$K$15:$K$18,"luminaire",System_Mkt_Repl!K$305:K$308))</f>
        <v>0.34570820302047117</v>
      </c>
      <c r="M341" s="549">
        <f>M268*(SUM(M$305:M$308)+SUMIF(Tech_Specs!$K$15:$K$18,"luminaire",System_Mkt_Repl!L$305:L$308))</f>
        <v>0.31798345327756189</v>
      </c>
      <c r="N341" s="549">
        <f>N268*(SUM(N$305:N$308)+SUMIF(Tech_Specs!$K$15:$K$18,"luminaire",System_Mkt_Repl!M$305:M$308))</f>
        <v>0.28950192684613169</v>
      </c>
      <c r="O341" s="549">
        <f>O268*(SUM(O$305:O$308)+SUMIF(Tech_Specs!$K$15:$K$18,"luminaire",System_Mkt_Repl!N$305:N$308))</f>
        <v>0.26153421130423388</v>
      </c>
      <c r="P341" s="549">
        <f>P268*(SUM(P$305:P$308)+SUMIF(Tech_Specs!$K$15:$K$18,"luminaire",System_Mkt_Repl!O$305:O$308))</f>
        <v>0.2358770498173042</v>
      </c>
      <c r="Q341" s="549">
        <f>Q268*(SUM(Q$305:Q$308)+SUMIF(Tech_Specs!$K$15:$K$18,"luminaire",System_Mkt_Repl!P$305:P$308))</f>
        <v>0.20986348949131975</v>
      </c>
      <c r="R341" s="549">
        <f>R268*(SUM(R$305:R$308)+SUMIF(Tech_Specs!$K$15:$K$18,"luminaire",System_Mkt_Repl!Q$305:Q$308))</f>
        <v>0.18371225138370517</v>
      </c>
      <c r="S341" s="549">
        <f>S268*(SUM(S$305:S$308)+SUMIF(Tech_Specs!$K$15:$K$18,"luminaire",System_Mkt_Repl!R$305:R$308))</f>
        <v>0.16095589909822311</v>
      </c>
      <c r="T341" s="549">
        <f>T268*(SUM(T$305:T$308)+SUMIF(Tech_Specs!$K$15:$K$18,"luminaire",System_Mkt_Repl!S$305:S$308))</f>
        <v>0.1405542232983529</v>
      </c>
      <c r="U341" s="549">
        <f>U268*(SUM(U$305:U$308)+SUMIF(Tech_Specs!$K$15:$K$18,"luminaire",System_Mkt_Repl!T$305:T$308))</f>
        <v>0.12251197980581294</v>
      </c>
      <c r="V341" s="549">
        <f>V268*(SUM(V$305:V$308)+SUMIF(Tech_Specs!$K$15:$K$18,"luminaire",System_Mkt_Repl!U$305:U$308))</f>
        <v>0.10787867485248724</v>
      </c>
      <c r="W341" s="549">
        <f>W268*(SUM(W$305:W$308)+SUMIF(Tech_Specs!$K$15:$K$18,"luminaire",System_Mkt_Repl!V$305:V$308))</f>
        <v>9.5188855385764409E-2</v>
      </c>
      <c r="X341" s="549">
        <f>X268*(SUM(X$305:X$308)+SUMIF(Tech_Specs!$K$15:$K$18,"luminaire",System_Mkt_Repl!W$305:W$308))</f>
        <v>8.4331623299870387E-2</v>
      </c>
      <c r="Y341" s="549">
        <f>Y268*(SUM(Y$305:Y$308)+SUMIF(Tech_Specs!$K$15:$K$18,"luminaire",System_Mkt_Repl!X$305:X$308))</f>
        <v>7.5072271482830313E-2</v>
      </c>
      <c r="Z341" s="549">
        <f>Z268*(SUM(Z$305:Z$308)+SUMIF(Tech_Specs!$K$15:$K$18,"luminaire",System_Mkt_Repl!Y$305:Y$308))</f>
        <v>6.7604258488375785E-2</v>
      </c>
      <c r="AA341" s="549">
        <f>AA268*(SUM(AA$305:AA$308)+SUMIF(Tech_Specs!$K$15:$K$18,"luminaire",System_Mkt_Repl!Z$305:Z$308))</f>
        <v>6.1719433999474119E-2</v>
      </c>
      <c r="AB341" s="549">
        <f>AB268*(SUM(AB$305:AB$308)+SUMIF(Tech_Specs!$K$15:$K$18,"luminaire",System_Mkt_Repl!AA$305:AA$308))</f>
        <v>5.6676502003123005E-2</v>
      </c>
      <c r="AC341" s="549">
        <f>AC268*(SUM(AC$305:AC$308)+SUMIF(Tech_Specs!$K$15:$K$18,"luminaire",System_Mkt_Repl!AB$305:AB$308))</f>
        <v>5.2060179099110801E-2</v>
      </c>
      <c r="AD341" s="549">
        <f>AD268*(SUM(AD$305:AD$308)+SUMIF(Tech_Specs!$K$15:$K$18,"luminaire",System_Mkt_Repl!AC$305:AC$308))</f>
        <v>4.7955702734940618E-2</v>
      </c>
      <c r="AE341" s="549">
        <f>AE268*(SUM(AE$305:AE$308)+SUMIF(Tech_Specs!$K$15:$K$18,"luminaire",System_Mkt_Repl!AD$305:AD$308))</f>
        <v>4.4154241978018198E-2</v>
      </c>
      <c r="AF341" s="549">
        <f>AF268*(SUM(AF$305:AF$308)+SUMIF(Tech_Specs!$K$15:$K$18,"luminaire",System_Mkt_Repl!AE$305:AE$308))</f>
        <v>4.0007556416986702E-2</v>
      </c>
    </row>
    <row r="342" spans="1:32" x14ac:dyDescent="0.25">
      <c r="A342" s="257"/>
      <c r="B342" s="257" t="s">
        <v>34</v>
      </c>
      <c r="H342" s="549">
        <f>H269*(SUM(H$305:H$308)+SUMIF(Tech_Specs!$K$15:$K$18,"luminaire",System_Mkt_Repl!G$305:G$308))</f>
        <v>0.9243784712781159</v>
      </c>
      <c r="I342" s="549">
        <f>I269*(SUM(I$305:I$308)+SUMIF(Tech_Specs!$K$15:$K$18,"luminaire",System_Mkt_Repl!H$305:H$308))</f>
        <v>0.92612950035631647</v>
      </c>
      <c r="J342" s="549">
        <f>J269*(SUM(J$305:J$308)+SUMIF(Tech_Specs!$K$15:$K$18,"luminaire",System_Mkt_Repl!I$305:I$308))</f>
        <v>0.91135574781881967</v>
      </c>
      <c r="K342" s="549">
        <f>K269*(SUM(K$305:K$308)+SUMIF(Tech_Specs!$K$15:$K$18,"luminaire",System_Mkt_Repl!J$305:J$308))</f>
        <v>0.87407215870997779</v>
      </c>
      <c r="L342" s="549">
        <f>L269*(SUM(L$305:L$308)+SUMIF(Tech_Specs!$K$15:$K$18,"luminaire",System_Mkt_Repl!K$305:K$308))</f>
        <v>0.84987305643603517</v>
      </c>
      <c r="M342" s="549">
        <f>M269*(SUM(M$305:M$308)+SUMIF(Tech_Specs!$K$15:$K$18,"luminaire",System_Mkt_Repl!L$305:L$308))</f>
        <v>0.81485732687964985</v>
      </c>
      <c r="N342" s="549">
        <f>N269*(SUM(N$305:N$308)+SUMIF(Tech_Specs!$K$15:$K$18,"luminaire",System_Mkt_Repl!M$305:M$308))</f>
        <v>0.76741933588480127</v>
      </c>
      <c r="O342" s="549">
        <f>O269*(SUM(O$305:O$308)+SUMIF(Tech_Specs!$K$15:$K$18,"luminaire",System_Mkt_Repl!N$305:N$308))</f>
        <v>0.71454228574581535</v>
      </c>
      <c r="P342" s="549">
        <f>P269*(SUM(P$305:P$308)+SUMIF(Tech_Specs!$K$15:$K$18,"luminaire",System_Mkt_Repl!O$305:O$308))</f>
        <v>0.65940794187249596</v>
      </c>
      <c r="Q342" s="549">
        <f>Q269*(SUM(Q$305:Q$308)+SUMIF(Tech_Specs!$K$15:$K$18,"luminaire",System_Mkt_Repl!P$305:P$308))</f>
        <v>0.60301250427604025</v>
      </c>
      <c r="R342" s="549">
        <f>R269*(SUM(R$305:R$308)+SUMIF(Tech_Specs!$K$15:$K$18,"luminaire",System_Mkt_Repl!Q$305:Q$308))</f>
        <v>0.54574357668271301</v>
      </c>
      <c r="S342" s="549">
        <f>S269*(SUM(S$305:S$308)+SUMIF(Tech_Specs!$K$15:$K$18,"luminaire",System_Mkt_Repl!R$305:R$308))</f>
        <v>0.49389985275791115</v>
      </c>
      <c r="T342" s="549">
        <f>T269*(SUM(T$305:T$308)+SUMIF(Tech_Specs!$K$15:$K$18,"luminaire",System_Mkt_Repl!S$305:S$308))</f>
        <v>0.4459945993035907</v>
      </c>
      <c r="U342" s="549">
        <f>U269*(SUM(U$305:U$308)+SUMIF(Tech_Specs!$K$15:$K$18,"luminaire",System_Mkt_Repl!T$305:T$308))</f>
        <v>0.40295648288609337</v>
      </c>
      <c r="V342" s="549">
        <f>V269*(SUM(V$305:V$308)+SUMIF(Tech_Specs!$K$15:$K$18,"luminaire",System_Mkt_Repl!U$305:U$308))</f>
        <v>0.36704450890577289</v>
      </c>
      <c r="W342" s="549">
        <f>W269*(SUM(W$305:W$308)+SUMIF(Tech_Specs!$K$15:$K$18,"luminaire",System_Mkt_Repl!V$305:V$308))</f>
        <v>0.33603334723606337</v>
      </c>
      <c r="X342" s="549">
        <f>X269*(SUM(X$305:X$308)+SUMIF(Tech_Specs!$K$15:$K$18,"luminaire",System_Mkt_Repl!W$305:W$308))</f>
        <v>0.30968793415712859</v>
      </c>
      <c r="Y342" s="549">
        <f>Y269*(SUM(Y$305:Y$308)+SUMIF(Tech_Specs!$K$15:$K$18,"luminaire",System_Mkt_Repl!X$305:X$308))</f>
        <v>0.28764076273755596</v>
      </c>
      <c r="Z342" s="549">
        <f>Z269*(SUM(Z$305:Z$308)+SUMIF(Tech_Specs!$K$15:$K$18,"luminaire",System_Mkt_Repl!Y$305:Y$308))</f>
        <v>0.27039537722770346</v>
      </c>
      <c r="AA342" s="549">
        <f>AA269*(SUM(AA$305:AA$308)+SUMIF(Tech_Specs!$K$15:$K$18,"luminaire",System_Mkt_Repl!Z$305:Z$308))</f>
        <v>0.2575084518315931</v>
      </c>
      <c r="AB342" s="549">
        <f>AB269*(SUM(AB$305:AB$308)+SUMIF(Tech_Specs!$K$15:$K$18,"luminaire",System_Mkt_Repl!AA$305:AA$308))</f>
        <v>0.24760856333232831</v>
      </c>
      <c r="AC342" s="549">
        <f>AC269*(SUM(AC$305:AC$308)+SUMIF(Tech_Specs!$K$15:$K$18,"luminaire",System_Mkt_Repl!AB$305:AB$308))</f>
        <v>0.23840015966168221</v>
      </c>
      <c r="AD342" s="549">
        <f>AD269*(SUM(AD$305:AD$308)+SUMIF(Tech_Specs!$K$15:$K$18,"luminaire",System_Mkt_Repl!AC$305:AC$308))</f>
        <v>0.23056756201943865</v>
      </c>
      <c r="AE342" s="549">
        <f>AE269*(SUM(AE$305:AE$308)+SUMIF(Tech_Specs!$K$15:$K$18,"luminaire",System_Mkt_Repl!AD$305:AD$308))</f>
        <v>0.22351270698132014</v>
      </c>
      <c r="AF342" s="549">
        <f>AF269*(SUM(AF$305:AF$308)+SUMIF(Tech_Specs!$K$15:$K$18,"luminaire",System_Mkt_Repl!AE$305:AE$308))</f>
        <v>0.21552708048160665</v>
      </c>
    </row>
    <row r="343" spans="1:32" x14ac:dyDescent="0.25">
      <c r="A343" s="252"/>
      <c r="B343" s="257" t="s">
        <v>35</v>
      </c>
      <c r="H343" s="549">
        <f>H270*(SUM(H$305:H$308)+SUMIF(Tech_Specs!$K$15:$K$18,"luminaire",System_Mkt_Repl!G$305:G$308))</f>
        <v>0.22993719053499576</v>
      </c>
      <c r="I343" s="549">
        <f>I270*(SUM(I$305:I$308)+SUMIF(Tech_Specs!$K$15:$K$18,"luminaire",System_Mkt_Repl!H$305:H$308))</f>
        <v>0.22862511845644451</v>
      </c>
      <c r="J343" s="549">
        <f>J270*(SUM(J$305:J$308)+SUMIF(Tech_Specs!$K$15:$K$18,"luminaire",System_Mkt_Repl!I$305:I$308))</f>
        <v>0.23243800212959256</v>
      </c>
      <c r="K343" s="549">
        <f>K270*(SUM(K$305:K$308)+SUMIF(Tech_Specs!$K$15:$K$18,"luminaire",System_Mkt_Repl!J$305:J$308))</f>
        <v>0.23698556382346778</v>
      </c>
      <c r="L343" s="549">
        <f>L270*(SUM(L$305:L$308)+SUMIF(Tech_Specs!$K$15:$K$18,"luminaire",System_Mkt_Repl!K$305:K$308))</f>
        <v>0.23186155702845859</v>
      </c>
      <c r="M343" s="549">
        <f>M270*(SUM(M$305:M$308)+SUMIF(Tech_Specs!$K$15:$K$18,"luminaire",System_Mkt_Repl!L$305:L$308))</f>
        <v>0.22752891643009945</v>
      </c>
      <c r="N343" s="549">
        <f>N270*(SUM(N$305:N$308)+SUMIF(Tech_Specs!$K$15:$K$18,"luminaire",System_Mkt_Repl!M$305:M$308))</f>
        <v>0.217616647907933</v>
      </c>
      <c r="O343" s="549">
        <f>O270*(SUM(O$305:O$308)+SUMIF(Tech_Specs!$K$15:$K$18,"luminaire",System_Mkt_Repl!N$305:N$308))</f>
        <v>0.20495249078877542</v>
      </c>
      <c r="P343" s="549">
        <f>P270*(SUM(P$305:P$308)+SUMIF(Tech_Specs!$K$15:$K$18,"luminaire",System_Mkt_Repl!O$305:O$308))</f>
        <v>0.19005796773944339</v>
      </c>
      <c r="Q343" s="549">
        <f>Q270*(SUM(Q$305:Q$308)+SUMIF(Tech_Specs!$K$15:$K$18,"luminaire",System_Mkt_Repl!P$305:P$308))</f>
        <v>0.17519326794308443</v>
      </c>
      <c r="R343" s="549">
        <f>R270*(SUM(R$305:R$308)+SUMIF(Tech_Specs!$K$15:$K$18,"luminaire",System_Mkt_Repl!Q$305:Q$308))</f>
        <v>0.16049041399117261</v>
      </c>
      <c r="S343" s="549">
        <f>S270*(SUM(S$305:S$308)+SUMIF(Tech_Specs!$K$15:$K$18,"luminaire",System_Mkt_Repl!R$305:R$308))</f>
        <v>0.14685090928716879</v>
      </c>
      <c r="T343" s="549">
        <f>T270*(SUM(T$305:T$308)+SUMIF(Tech_Specs!$K$15:$K$18,"luminaire",System_Mkt_Repl!S$305:S$308))</f>
        <v>0.13413562960592124</v>
      </c>
      <c r="U343" s="549">
        <f>U270*(SUM(U$305:U$308)+SUMIF(Tech_Specs!$K$15:$K$18,"luminaire",System_Mkt_Repl!T$305:T$308))</f>
        <v>0.12276879616394883</v>
      </c>
      <c r="V343" s="549">
        <f>V270*(SUM(V$305:V$308)+SUMIF(Tech_Specs!$K$15:$K$18,"luminaire",System_Mkt_Repl!U$305:U$308))</f>
        <v>0.11306822187217133</v>
      </c>
      <c r="W343" s="549">
        <f>W270*(SUM(W$305:W$308)+SUMIF(Tech_Specs!$K$15:$K$18,"luminaire",System_Mkt_Repl!V$305:V$308))</f>
        <v>0.10486750107761864</v>
      </c>
      <c r="X343" s="549">
        <f>X270*(SUM(X$305:X$308)+SUMIF(Tech_Specs!$K$15:$K$18,"luminaire",System_Mkt_Repl!W$305:W$308))</f>
        <v>9.8062787341709048E-2</v>
      </c>
      <c r="Y343" s="549">
        <f>Y270*(SUM(Y$305:Y$308)+SUMIF(Tech_Specs!$K$15:$K$18,"luminaire",System_Mkt_Repl!X$305:X$308))</f>
        <v>9.2585547225977241E-2</v>
      </c>
      <c r="Z343" s="549">
        <f>Z270*(SUM(Z$305:Z$308)+SUMIF(Tech_Specs!$K$15:$K$18,"luminaire",System_Mkt_Repl!Y$305:Y$308))</f>
        <v>8.8469614427776413E-2</v>
      </c>
      <c r="AA343" s="549">
        <f>AA270*(SUM(AA$305:AA$308)+SUMIF(Tech_Specs!$K$15:$K$18,"luminaire",System_Mkt_Repl!Z$305:Z$308))</f>
        <v>8.5566555878200376E-2</v>
      </c>
      <c r="AB343" s="549">
        <f>AB270*(SUM(AB$305:AB$308)+SUMIF(Tech_Specs!$K$15:$K$18,"luminaire",System_Mkt_Repl!AA$305:AA$308))</f>
        <v>8.3752744795012976E-2</v>
      </c>
      <c r="AC343" s="549">
        <f>AC270*(SUM(AC$305:AC$308)+SUMIF(Tech_Specs!$K$15:$K$18,"luminaire",System_Mkt_Repl!AB$305:AB$308))</f>
        <v>8.2109689156612389E-2</v>
      </c>
      <c r="AD343" s="549">
        <f>AD270*(SUM(AD$305:AD$308)+SUMIF(Tech_Specs!$K$15:$K$18,"luminaire",System_Mkt_Repl!AC$305:AC$308))</f>
        <v>8.0920111387248875E-2</v>
      </c>
      <c r="AE343" s="549">
        <f>AE270*(SUM(AE$305:AE$308)+SUMIF(Tech_Specs!$K$15:$K$18,"luminaire",System_Mkt_Repl!AD$305:AD$308))</f>
        <v>8.005193591377012E-2</v>
      </c>
      <c r="AF343" s="549">
        <f>AF270*(SUM(AF$305:AF$308)+SUMIF(Tech_Specs!$K$15:$K$18,"luminaire",System_Mkt_Repl!AE$305:AE$308))</f>
        <v>7.9307541203635409E-2</v>
      </c>
    </row>
    <row r="344" spans="1:32" x14ac:dyDescent="0.25">
      <c r="A344" s="252"/>
      <c r="B344" s="257" t="s">
        <v>29</v>
      </c>
      <c r="H344" s="549">
        <f>H271*(SUM(H$305:H$308)+SUMIF(Tech_Specs!$K$15:$K$18,"luminaire",System_Mkt_Repl!G$305:G$308))</f>
        <v>2.9500281662964509E-2</v>
      </c>
      <c r="I344" s="549">
        <f>I271*(SUM(I$305:I$308)+SUMIF(Tech_Specs!$K$15:$K$18,"luminaire",System_Mkt_Repl!H$305:H$308))</f>
        <v>6.3996610941670071E-2</v>
      </c>
      <c r="J344" s="549">
        <f>J271*(SUM(J$305:J$308)+SUMIF(Tech_Specs!$K$15:$K$18,"luminaire",System_Mkt_Repl!I$305:I$308))</f>
        <v>0.11224893923616572</v>
      </c>
      <c r="K344" s="549">
        <f>K271*(SUM(K$305:K$308)+SUMIF(Tech_Specs!$K$15:$K$18,"luminaire",System_Mkt_Repl!J$305:J$308))</f>
        <v>0.17601925774474061</v>
      </c>
      <c r="L344" s="549">
        <f>L271*(SUM(L$305:L$308)+SUMIF(Tech_Specs!$K$15:$K$18,"luminaire",System_Mkt_Repl!K$305:K$308))</f>
        <v>0.2552198949067444</v>
      </c>
      <c r="M344" s="549">
        <f>M271*(SUM(M$305:M$308)+SUMIF(Tech_Specs!$K$15:$K$18,"luminaire",System_Mkt_Repl!L$305:L$308))</f>
        <v>0.35238612093605748</v>
      </c>
      <c r="N344" s="549">
        <f>N271*(SUM(N$305:N$308)+SUMIF(Tech_Specs!$K$15:$K$18,"luminaire",System_Mkt_Repl!M$305:M$308))</f>
        <v>0.4607008916156386</v>
      </c>
      <c r="O344" s="549">
        <f>O271*(SUM(O$305:O$308)+SUMIF(Tech_Specs!$K$15:$K$18,"luminaire",System_Mkt_Repl!N$305:N$308))</f>
        <v>0.57771845215445305</v>
      </c>
      <c r="P344" s="549">
        <f>P271*(SUM(P$305:P$308)+SUMIF(Tech_Specs!$K$15:$K$18,"luminaire",System_Mkt_Repl!O$305:O$308))</f>
        <v>0.69817059589575647</v>
      </c>
      <c r="Q344" s="549">
        <f>Q271*(SUM(Q$305:Q$308)+SUMIF(Tech_Specs!$K$15:$K$18,"luminaire",System_Mkt_Repl!P$305:P$308))</f>
        <v>0.81946762245542015</v>
      </c>
      <c r="R344" s="549">
        <f>R271*(SUM(R$305:R$308)+SUMIF(Tech_Specs!$K$15:$K$18,"luminaire",System_Mkt_Repl!Q$305:Q$308))</f>
        <v>0.93547539923239253</v>
      </c>
      <c r="S344" s="549">
        <f>S271*(SUM(S$305:S$308)+SUMIF(Tech_Specs!$K$15:$K$18,"luminaire",System_Mkt_Repl!R$305:R$308))</f>
        <v>1.0489391020726124</v>
      </c>
      <c r="T344" s="549">
        <f>T271*(SUM(T$305:T$308)+SUMIF(Tech_Specs!$K$15:$K$18,"luminaire",System_Mkt_Repl!S$305:S$308))</f>
        <v>1.1540412009350742</v>
      </c>
      <c r="U344" s="549">
        <f>U271*(SUM(U$305:U$308)+SUMIF(Tech_Specs!$K$15:$K$18,"luminaire",System_Mkt_Repl!T$305:T$308))</f>
        <v>1.2494021630225167</v>
      </c>
      <c r="V344" s="549">
        <f>V271*(SUM(V$305:V$308)+SUMIF(Tech_Specs!$K$15:$K$18,"luminaire",System_Mkt_Repl!U$305:U$308))</f>
        <v>1.335816257016651</v>
      </c>
      <c r="W344" s="549">
        <f>W271*(SUM(W$305:W$308)+SUMIF(Tech_Specs!$K$15:$K$18,"luminaire",System_Mkt_Repl!V$305:V$308))</f>
        <v>1.4100038045919607</v>
      </c>
      <c r="X344" s="549">
        <f>X271*(SUM(X$305:X$308)+SUMIF(Tech_Specs!$K$15:$K$18,"luminaire",System_Mkt_Repl!W$305:W$308))</f>
        <v>1.4717933683384359</v>
      </c>
      <c r="Y344" s="549">
        <f>Y271*(SUM(Y$305:Y$308)+SUMIF(Tech_Specs!$K$15:$K$18,"luminaire",System_Mkt_Repl!X$305:X$308))</f>
        <v>1.5234486708895849</v>
      </c>
      <c r="Z344" s="549">
        <f>Z271*(SUM(Z$305:Z$308)+SUMIF(Tech_Specs!$K$15:$K$18,"luminaire",System_Mkt_Repl!Y$305:Y$308))</f>
        <v>1.569884742733844</v>
      </c>
      <c r="AA344" s="549">
        <f>AA271*(SUM(AA$305:AA$308)+SUMIF(Tech_Specs!$K$15:$K$18,"luminaire",System_Mkt_Repl!Z$305:Z$308))</f>
        <v>1.6136439853147939</v>
      </c>
      <c r="AB344" s="549">
        <f>AB271*(SUM(AB$305:AB$308)+SUMIF(Tech_Specs!$K$15:$K$18,"luminaire",System_Mkt_Repl!AA$305:AA$308))</f>
        <v>1.6596745765157999</v>
      </c>
      <c r="AC344" s="549">
        <f>AC271*(SUM(AC$305:AC$308)+SUMIF(Tech_Specs!$K$15:$K$18,"luminaire",System_Mkt_Repl!AB$305:AB$308))</f>
        <v>1.6933846976854632</v>
      </c>
      <c r="AD344" s="549">
        <f>AD271*(SUM(AD$305:AD$308)+SUMIF(Tech_Specs!$K$15:$K$18,"luminaire",System_Mkt_Repl!AC$305:AC$308))</f>
        <v>1.72389608386908</v>
      </c>
      <c r="AE344" s="549">
        <f>AE271*(SUM(AE$305:AE$308)+SUMIF(Tech_Specs!$K$15:$K$18,"luminaire",System_Mkt_Repl!AD$305:AD$308))</f>
        <v>1.752121612972245</v>
      </c>
      <c r="AF344" s="549">
        <f>AF271*(SUM(AF$305:AF$308)+SUMIF(Tech_Specs!$K$15:$K$18,"luminaire",System_Mkt_Repl!AE$305:AE$308))</f>
        <v>1.7805905880530404</v>
      </c>
    </row>
    <row r="345" spans="1:32" x14ac:dyDescent="0.25">
      <c r="A345" s="252"/>
      <c r="B345" s="252"/>
      <c r="H345" s="549"/>
      <c r="I345" s="549"/>
      <c r="J345" s="549"/>
      <c r="K345" s="549"/>
      <c r="L345" s="549"/>
      <c r="M345" s="549"/>
      <c r="N345" s="549"/>
      <c r="O345" s="549"/>
      <c r="P345" s="549"/>
      <c r="Q345" s="549"/>
      <c r="R345" s="549"/>
      <c r="S345" s="549"/>
      <c r="T345" s="549"/>
      <c r="U345" s="549"/>
      <c r="V345" s="549"/>
      <c r="W345" s="549"/>
      <c r="X345" s="549"/>
      <c r="Y345" s="549"/>
      <c r="Z345" s="549"/>
      <c r="AA345" s="549"/>
      <c r="AB345" s="549"/>
      <c r="AC345" s="549"/>
      <c r="AD345" s="549"/>
      <c r="AE345" s="549"/>
      <c r="AF345" s="549"/>
    </row>
    <row r="346" spans="1:32" x14ac:dyDescent="0.25">
      <c r="A346" s="267" t="s">
        <v>36</v>
      </c>
      <c r="B346" s="267"/>
      <c r="C346" s="267"/>
      <c r="D346" s="267"/>
      <c r="E346" s="267"/>
      <c r="F346" s="267"/>
      <c r="G346" s="267"/>
      <c r="H346" s="632"/>
      <c r="I346" s="632"/>
      <c r="J346" s="632"/>
      <c r="K346" s="632"/>
      <c r="L346" s="632"/>
      <c r="M346" s="632"/>
      <c r="N346" s="632"/>
      <c r="O346" s="632"/>
      <c r="P346" s="632"/>
      <c r="Q346" s="632"/>
      <c r="R346" s="632"/>
      <c r="S346" s="632"/>
      <c r="T346" s="632"/>
      <c r="U346" s="632"/>
      <c r="V346" s="632"/>
      <c r="W346" s="632"/>
      <c r="X346" s="632"/>
      <c r="Y346" s="632"/>
      <c r="Z346" s="632"/>
      <c r="AA346" s="632"/>
      <c r="AB346" s="632"/>
      <c r="AC346" s="632"/>
      <c r="AD346" s="632"/>
      <c r="AE346" s="632"/>
      <c r="AF346" s="632"/>
    </row>
    <row r="347" spans="1:32" x14ac:dyDescent="0.25">
      <c r="A347" s="252"/>
      <c r="B347" s="252" t="s">
        <v>37</v>
      </c>
      <c r="H347" s="549">
        <f>H274*(SUM(H$311:H$314)+SUMIF(Tech_Specs!$K$21:$K$24,"luminaire",System_Mkt_Repl!G$311:G$314))</f>
        <v>5.6705230636233214E-2</v>
      </c>
      <c r="I347" s="549">
        <f>I274*(SUM(I$311:I$314)+SUMIF(Tech_Specs!$K$21:$K$24,"luminaire",System_Mkt_Repl!H$311:H$314))</f>
        <v>4.5014146102427204E-2</v>
      </c>
      <c r="J347" s="549">
        <f>J274*(SUM(J$311:J$314)+SUMIF(Tech_Specs!$K$21:$K$24,"luminaire",System_Mkt_Repl!I$311:I$314))</f>
        <v>3.3792525908068624E-2</v>
      </c>
      <c r="K347" s="549">
        <f>K274*(SUM(K$311:K$314)+SUMIF(Tech_Specs!$K$21:$K$24,"luminaire",System_Mkt_Repl!J$311:J$314))</f>
        <v>2.3165454966594425E-2</v>
      </c>
      <c r="L347" s="549">
        <f>L274*(SUM(L$311:L$314)+SUMIF(Tech_Specs!$K$21:$K$24,"luminaire",System_Mkt_Repl!K$311:K$314))</f>
        <v>1.41667354684309E-2</v>
      </c>
      <c r="M347" s="549">
        <f>M274*(SUM(M$311:M$314)+SUMIF(Tech_Specs!$K$21:$K$24,"luminaire",System_Mkt_Repl!L$311:L$314))</f>
        <v>6.4960426776072555E-3</v>
      </c>
      <c r="N347" s="549">
        <f>N274*(SUM(N$311:N$314)+SUMIF(Tech_Specs!$K$21:$K$24,"luminaire",System_Mkt_Repl!M$311:M$314))</f>
        <v>1.8754302753702689E-3</v>
      </c>
      <c r="O347" s="549">
        <f>O274*(SUM(O$311:O$314)+SUMIF(Tech_Specs!$K$21:$K$24,"luminaire",System_Mkt_Repl!N$311:N$314))</f>
        <v>1.5536937540519789E-3</v>
      </c>
      <c r="P347" s="549">
        <f>P274*(SUM(P$311:P$314)+SUMIF(Tech_Specs!$K$21:$K$24,"luminaire",System_Mkt_Repl!O$311:O$314))</f>
        <v>1.3059129903515631E-3</v>
      </c>
      <c r="Q347" s="549">
        <f>Q274*(SUM(Q$311:Q$314)+SUMIF(Tech_Specs!$K$21:$K$24,"luminaire",System_Mkt_Repl!P$311:P$314))</f>
        <v>1.1062014939427008E-3</v>
      </c>
      <c r="R347" s="549">
        <f>R274*(SUM(R$311:R$314)+SUMIF(Tech_Specs!$K$21:$K$24,"luminaire",System_Mkt_Repl!Q$311:Q$314))</f>
        <v>9.4231331556929201E-4</v>
      </c>
      <c r="S347" s="549">
        <f>S274*(SUM(S$311:S$314)+SUMIF(Tech_Specs!$K$21:$K$24,"luminaire",System_Mkt_Repl!R$311:R$314))</f>
        <v>8.1558208442269857E-4</v>
      </c>
      <c r="T347" s="549">
        <f>T274*(SUM(T$311:T$314)+SUMIF(Tech_Specs!$K$21:$K$24,"luminaire",System_Mkt_Repl!S$311:S$314))</f>
        <v>7.1291531404671794E-4</v>
      </c>
      <c r="U347" s="549">
        <f>U274*(SUM(U$311:U$314)+SUMIF(Tech_Specs!$K$21:$K$24,"luminaire",System_Mkt_Repl!T$311:T$314))</f>
        <v>6.2866525663524109E-4</v>
      </c>
      <c r="V347" s="549">
        <f>V274*(SUM(V$311:V$314)+SUMIF(Tech_Specs!$K$21:$K$24,"luminaire",System_Mkt_Repl!U$311:U$314))</f>
        <v>5.6284169147883178E-4</v>
      </c>
      <c r="W347" s="549">
        <f>W274*(SUM(W$311:W$314)+SUMIF(Tech_Specs!$K$21:$K$24,"luminaire",System_Mkt_Repl!V$311:V$314))</f>
        <v>5.073941292273494E-4</v>
      </c>
      <c r="X347" s="549">
        <f>X274*(SUM(X$311:X$314)+SUMIF(Tech_Specs!$K$21:$K$24,"luminaire",System_Mkt_Repl!W$311:W$314))</f>
        <v>4.6039898562812571E-4</v>
      </c>
      <c r="Y347" s="549">
        <f>Y274*(SUM(Y$311:Y$314)+SUMIF(Tech_Specs!$K$21:$K$24,"luminaire",System_Mkt_Repl!X$311:X$314))</f>
        <v>4.2030075185490849E-4</v>
      </c>
      <c r="Z347" s="549">
        <f>Z274*(SUM(Z$311:Z$314)+SUMIF(Tech_Specs!$K$21:$K$24,"luminaire",System_Mkt_Repl!Y$311:Y$314))</f>
        <v>3.8766999792821033E-4</v>
      </c>
      <c r="AA347" s="549">
        <f>AA274*(SUM(AA$311:AA$314)+SUMIF(Tech_Specs!$K$21:$K$24,"luminaire",System_Mkt_Repl!Z$311:Z$314))</f>
        <v>3.6161827502952375E-4</v>
      </c>
      <c r="AB347" s="549">
        <f>AB274*(SUM(AB$311:AB$314)+SUMIF(Tech_Specs!$K$21:$K$24,"luminaire",System_Mkt_Repl!AA$311:AA$314))</f>
        <v>3.3943888409984494E-4</v>
      </c>
      <c r="AC347" s="549">
        <f>AC274*(SUM(AC$311:AC$314)+SUMIF(Tech_Specs!$K$21:$K$24,"luminaire",System_Mkt_Repl!AB$311:AB$314))</f>
        <v>3.1854642560755404E-4</v>
      </c>
      <c r="AD347" s="549">
        <f>AD274*(SUM(AD$311:AD$314)+SUMIF(Tech_Specs!$K$21:$K$24,"luminaire",System_Mkt_Repl!AC$311:AC$314))</f>
        <v>2.9974906598369256E-4</v>
      </c>
      <c r="AE347" s="549">
        <f>AE274*(SUM(AE$311:AE$314)+SUMIF(Tech_Specs!$K$21:$K$24,"luminaire",System_Mkt_Repl!AD$311:AD$314))</f>
        <v>2.8220355606361277E-4</v>
      </c>
      <c r="AF347" s="549">
        <f>AF274*(SUM(AF$311:AF$314)+SUMIF(Tech_Specs!$K$21:$K$24,"luminaire",System_Mkt_Repl!AE$311:AE$314))</f>
        <v>2.6323825009075085E-4</v>
      </c>
    </row>
    <row r="348" spans="1:32" x14ac:dyDescent="0.25">
      <c r="A348" s="252"/>
      <c r="B348" s="252" t="s">
        <v>39</v>
      </c>
      <c r="H348" s="549">
        <f>H275*(SUM(H$311:H$314)+SUMIF(Tech_Specs!$K$21:$K$24,"luminaire",System_Mkt_Repl!G$311:G$314))</f>
        <v>1.2488312930370906</v>
      </c>
      <c r="I348" s="549">
        <f>I275*(SUM(I$311:I$314)+SUMIF(Tech_Specs!$K$21:$K$24,"luminaire",System_Mkt_Repl!H$311:H$314))</f>
        <v>1.2065258563068046</v>
      </c>
      <c r="J348" s="549">
        <f>J275*(SUM(J$311:J$314)+SUMIF(Tech_Specs!$K$21:$K$24,"luminaire",System_Mkt_Repl!I$311:I$314))</f>
        <v>1.1483319337398012</v>
      </c>
      <c r="K348" s="549">
        <f>K275*(SUM(K$311:K$314)+SUMIF(Tech_Specs!$K$21:$K$24,"luminaire",System_Mkt_Repl!J$311:J$314))</f>
        <v>1.0632235140110917</v>
      </c>
      <c r="L348" s="549">
        <f>L275*(SUM(L$311:L$314)+SUMIF(Tech_Specs!$K$21:$K$24,"luminaire",System_Mkt_Repl!K$311:K$314))</f>
        <v>0.9776917480677968</v>
      </c>
      <c r="M348" s="549">
        <f>M275*(SUM(M$311:M$314)+SUMIF(Tech_Specs!$K$21:$K$24,"luminaire",System_Mkt_Repl!L$311:L$314))</f>
        <v>0.88160114613099261</v>
      </c>
      <c r="N348" s="549">
        <f>N275*(SUM(N$311:N$314)+SUMIF(Tech_Specs!$K$21:$K$24,"luminaire",System_Mkt_Repl!M$311:M$314))</f>
        <v>0.7832187198989804</v>
      </c>
      <c r="O348" s="549">
        <f>O275*(SUM(O$311:O$314)+SUMIF(Tech_Specs!$K$21:$K$24,"luminaire",System_Mkt_Repl!N$311:N$314))</f>
        <v>0.69033083453667177</v>
      </c>
      <c r="P348" s="549">
        <f>P275*(SUM(P$311:P$314)+SUMIF(Tech_Specs!$K$21:$K$24,"luminaire",System_Mkt_Repl!O$311:O$314))</f>
        <v>0.60931074614683667</v>
      </c>
      <c r="Q348" s="549">
        <f>Q275*(SUM(Q$311:Q$314)+SUMIF(Tech_Specs!$K$21:$K$24,"luminaire",System_Mkt_Repl!P$311:P$314))</f>
        <v>0.53781933599728893</v>
      </c>
      <c r="R348" s="549">
        <f>R275*(SUM(R$311:R$314)+SUMIF(Tech_Specs!$K$21:$K$24,"luminaire",System_Mkt_Repl!Q$311:Q$314))</f>
        <v>0.47496457828899369</v>
      </c>
      <c r="S348" s="549">
        <f>S275*(SUM(S$311:S$314)+SUMIF(Tech_Specs!$K$21:$K$24,"luminaire",System_Mkt_Repl!R$311:R$314))</f>
        <v>0.42398059364797391</v>
      </c>
      <c r="T348" s="549">
        <f>T275*(SUM(T$311:T$314)+SUMIF(Tech_Specs!$K$21:$K$24,"luminaire",System_Mkt_Repl!S$311:S$314))</f>
        <v>0.38095784822537687</v>
      </c>
      <c r="U348" s="549">
        <f>U275*(SUM(U$311:U$314)+SUMIF(Tech_Specs!$K$21:$K$24,"luminaire",System_Mkt_Repl!T$311:T$314))</f>
        <v>0.34465060542127179</v>
      </c>
      <c r="V348" s="549">
        <f>V275*(SUM(V$311:V$314)+SUMIF(Tech_Specs!$K$21:$K$24,"luminaire",System_Mkt_Repl!U$311:U$314))</f>
        <v>0.3157712824911057</v>
      </c>
      <c r="W348" s="549">
        <f>W275*(SUM(W$311:W$314)+SUMIF(Tech_Specs!$K$21:$K$24,"luminaire",System_Mkt_Repl!V$311:V$314))</f>
        <v>0.2911947531336182</v>
      </c>
      <c r="X348" s="549">
        <f>X275*(SUM(X$311:X$314)+SUMIF(Tech_Specs!$K$21:$K$24,"luminaire",System_Mkt_Repl!W$311:W$314))</f>
        <v>0.2702667844669186</v>
      </c>
      <c r="Y348" s="549">
        <f>Y275*(SUM(Y$311:Y$314)+SUMIF(Tech_Specs!$K$21:$K$24,"luminaire",System_Mkt_Repl!X$311:X$314))</f>
        <v>0.25247318863866641</v>
      </c>
      <c r="Z348" s="549">
        <f>Z275*(SUM(Z$311:Z$314)+SUMIF(Tech_Specs!$K$21:$K$24,"luminaire",System_Mkt_Repl!Y$311:Y$314))</f>
        <v>0.23825670280100378</v>
      </c>
      <c r="AA348" s="549">
        <f>AA275*(SUM(AA$311:AA$314)+SUMIF(Tech_Specs!$K$21:$K$24,"luminaire",System_Mkt_Repl!Z$311:Z$314))</f>
        <v>0.22729220928597776</v>
      </c>
      <c r="AB348" s="549">
        <f>AB275*(SUM(AB$311:AB$314)+SUMIF(Tech_Specs!$K$21:$K$24,"luminaire",System_Mkt_Repl!AA$311:AA$314))</f>
        <v>0.21846999477096071</v>
      </c>
      <c r="AC348" s="549">
        <f>AC275*(SUM(AC$311:AC$314)+SUMIF(Tech_Specs!$K$21:$K$24,"luminaire",System_Mkt_Repl!AB$311:AB$314))</f>
        <v>0.21003069579145292</v>
      </c>
      <c r="AD348" s="549">
        <f>AD275*(SUM(AD$311:AD$314)+SUMIF(Tech_Specs!$K$21:$K$24,"luminaire",System_Mkt_Repl!AC$311:AC$314))</f>
        <v>0.20260979894771816</v>
      </c>
      <c r="AE348" s="549">
        <f>AE275*(SUM(AE$311:AE$314)+SUMIF(Tech_Specs!$K$21:$K$24,"luminaire",System_Mkt_Repl!AD$311:AD$314))</f>
        <v>0.19578400853243619</v>
      </c>
      <c r="AF348" s="549">
        <f>AF275*(SUM(AF$311:AF$314)+SUMIF(Tech_Specs!$K$21:$K$24,"luminaire",System_Mkt_Repl!AE$311:AE$314))</f>
        <v>0.18822731297093243</v>
      </c>
    </row>
    <row r="349" spans="1:32" x14ac:dyDescent="0.25">
      <c r="A349" s="252"/>
      <c r="B349" s="252" t="s">
        <v>40</v>
      </c>
      <c r="H349" s="549">
        <f>H276*(SUM(H$311:H$314)+SUMIF(Tech_Specs!$K$21:$K$24,"luminaire",System_Mkt_Repl!G$311:G$314))</f>
        <v>0.42812298652411745</v>
      </c>
      <c r="I349" s="549">
        <f>I276*(SUM(I$311:I$314)+SUMIF(Tech_Specs!$K$21:$K$24,"luminaire",System_Mkt_Repl!H$311:H$314))</f>
        <v>0.53280550932761461</v>
      </c>
      <c r="J349" s="549">
        <f>J276*(SUM(J$311:J$314)+SUMIF(Tech_Specs!$K$21:$K$24,"luminaire",System_Mkt_Repl!I$311:I$314))</f>
        <v>0.64075766660319389</v>
      </c>
      <c r="K349" s="549">
        <f>K276*(SUM(K$311:K$314)+SUMIF(Tech_Specs!$K$21:$K$24,"luminaire",System_Mkt_Repl!J$311:J$314))</f>
        <v>0.73781869113631193</v>
      </c>
      <c r="L349" s="549">
        <f>L276*(SUM(L$311:L$314)+SUMIF(Tech_Specs!$K$21:$K$24,"luminaire",System_Mkt_Repl!K$311:K$314))</f>
        <v>0.82425767026345009</v>
      </c>
      <c r="M349" s="549">
        <f>M276*(SUM(M$311:M$314)+SUMIF(Tech_Specs!$K$21:$K$24,"luminaire",System_Mkt_Repl!L$311:L$314))</f>
        <v>0.89154917026930203</v>
      </c>
      <c r="N349" s="549">
        <f>N276*(SUM(N$311:N$314)+SUMIF(Tech_Specs!$K$21:$K$24,"luminaire",System_Mkt_Repl!M$311:M$314))</f>
        <v>0.9286129007288092</v>
      </c>
      <c r="O349" s="549">
        <f>O276*(SUM(O$311:O$314)+SUMIF(Tech_Specs!$K$21:$K$24,"luminaire",System_Mkt_Repl!N$311:N$314))</f>
        <v>0.94060441492314317</v>
      </c>
      <c r="P349" s="549">
        <f>P276*(SUM(P$311:P$314)+SUMIF(Tech_Specs!$K$21:$K$24,"luminaire",System_Mkt_Repl!O$311:O$314))</f>
        <v>0.93190410774884458</v>
      </c>
      <c r="Q349" s="549">
        <f>Q276*(SUM(Q$311:Q$314)+SUMIF(Tech_Specs!$K$21:$K$24,"luminaire",System_Mkt_Repl!P$311:P$314))</f>
        <v>0.90636508989054354</v>
      </c>
      <c r="R349" s="549">
        <f>R276*(SUM(R$311:R$314)+SUMIF(Tech_Specs!$K$21:$K$24,"luminaire",System_Mkt_Repl!Q$311:Q$314))</f>
        <v>0.86781198315239449</v>
      </c>
      <c r="S349" s="549">
        <f>S276*(SUM(S$311:S$314)+SUMIF(Tech_Specs!$K$21:$K$24,"luminaire",System_Mkt_Repl!R$311:R$314))</f>
        <v>0.82595653811749115</v>
      </c>
      <c r="T349" s="549">
        <f>T276*(SUM(T$311:T$314)+SUMIF(Tech_Specs!$K$21:$K$24,"luminaire",System_Mkt_Repl!S$311:S$314))</f>
        <v>0.78079095955563038</v>
      </c>
      <c r="U349" s="549">
        <f>U276*(SUM(U$311:U$314)+SUMIF(Tech_Specs!$K$21:$K$24,"luminaire",System_Mkt_Repl!T$311:T$314))</f>
        <v>0.73561158456448772</v>
      </c>
      <c r="V349" s="549">
        <f>V276*(SUM(V$311:V$314)+SUMIF(Tech_Specs!$K$21:$K$24,"luminaire",System_Mkt_Repl!U$311:U$314))</f>
        <v>0.69499331365899109</v>
      </c>
      <c r="W349" s="549">
        <f>W276*(SUM(W$311:W$314)+SUMIF(Tech_Specs!$K$21:$K$24,"luminaire",System_Mkt_Repl!V$311:V$314))</f>
        <v>0.65721400389650853</v>
      </c>
      <c r="X349" s="549">
        <f>X276*(SUM(X$311:X$314)+SUMIF(Tech_Specs!$K$21:$K$24,"luminaire",System_Mkt_Repl!W$311:W$314))</f>
        <v>0.62292756453416254</v>
      </c>
      <c r="Y349" s="549">
        <f>Y276*(SUM(Y$311:Y$314)+SUMIF(Tech_Specs!$K$21:$K$24,"luminaire",System_Mkt_Repl!X$311:X$314))</f>
        <v>0.59267941864800244</v>
      </c>
      <c r="Z349" s="549">
        <f>Z276*(SUM(Z$311:Z$314)+SUMIF(Tech_Specs!$K$21:$K$24,"luminaire",System_Mkt_Repl!Y$311:Y$314))</f>
        <v>0.56805218000565805</v>
      </c>
      <c r="AA349" s="549">
        <f>AA276*(SUM(AA$311:AA$314)+SUMIF(Tech_Specs!$K$21:$K$24,"luminaire",System_Mkt_Repl!Z$311:Z$314))</f>
        <v>0.54895241210683221</v>
      </c>
      <c r="AB349" s="549">
        <f>AB276*(SUM(AB$311:AB$314)+SUMIF(Tech_Specs!$K$21:$K$24,"luminaire",System_Mkt_Repl!AA$311:AA$314))</f>
        <v>0.53445546143834499</v>
      </c>
      <c r="AC349" s="549">
        <f>AC276*(SUM(AC$311:AC$314)+SUMIF(Tech_Specs!$K$21:$K$24,"luminaire",System_Mkt_Repl!AB$311:AB$314))</f>
        <v>0.51996682306193709</v>
      </c>
      <c r="AD349" s="549">
        <f>AD276*(SUM(AD$311:AD$314)+SUMIF(Tech_Specs!$K$21:$K$24,"luminaire",System_Mkt_Repl!AC$311:AC$314))</f>
        <v>0.50742389529921117</v>
      </c>
      <c r="AE349" s="549">
        <f>AE276*(SUM(AE$311:AE$314)+SUMIF(Tech_Specs!$K$21:$K$24,"luminaire",System_Mkt_Repl!AD$311:AD$314))</f>
        <v>0.49618556698233879</v>
      </c>
      <c r="AF349" s="549">
        <f>AF276*(SUM(AF$311:AF$314)+SUMIF(Tech_Specs!$K$21:$K$24,"luminaire",System_Mkt_Repl!AE$311:AE$314))</f>
        <v>0.48454032585498752</v>
      </c>
    </row>
    <row r="350" spans="1:32" x14ac:dyDescent="0.25">
      <c r="A350" s="252"/>
      <c r="B350" s="252" t="s">
        <v>29</v>
      </c>
      <c r="H350" s="549">
        <f>H277*(SUM(H$311:H$314)+SUMIF(Tech_Specs!$K$21:$K$24,"luminaire",System_Mkt_Repl!G$311:G$314))</f>
        <v>6.3685325429064648E-5</v>
      </c>
      <c r="I350" s="549">
        <f>I277*(SUM(I$311:I$314)+SUMIF(Tech_Specs!$K$21:$K$24,"luminaire",System_Mkt_Repl!H$311:H$314))</f>
        <v>1.5330117887859536E-3</v>
      </c>
      <c r="J350" s="549">
        <f>J277*(SUM(J$311:J$314)+SUMIF(Tech_Specs!$K$21:$K$24,"luminaire",System_Mkt_Repl!I$311:I$314))</f>
        <v>9.9018913087720577E-3</v>
      </c>
      <c r="K350" s="549">
        <f>K277*(SUM(K$311:K$314)+SUMIF(Tech_Specs!$K$21:$K$24,"luminaire",System_Mkt_Repl!J$311:J$314))</f>
        <v>3.366594583506527E-2</v>
      </c>
      <c r="L350" s="549">
        <f>L277*(SUM(L$311:L$314)+SUMIF(Tech_Specs!$K$21:$K$24,"luminaire",System_Mkt_Repl!K$311:K$314))</f>
        <v>7.9607733644928833E-2</v>
      </c>
      <c r="M350" s="549">
        <f>M277*(SUM(M$311:M$314)+SUMIF(Tech_Specs!$K$21:$K$24,"luminaire",System_Mkt_Repl!L$311:L$314))</f>
        <v>0.15130974578042164</v>
      </c>
      <c r="N350" s="549">
        <f>N277*(SUM(N$311:N$314)+SUMIF(Tech_Specs!$K$21:$K$24,"luminaire",System_Mkt_Repl!M$311:M$314))</f>
        <v>0.24498809473227251</v>
      </c>
      <c r="O350" s="549">
        <f>O277*(SUM(O$311:O$314)+SUMIF(Tech_Specs!$K$21:$K$24,"luminaire",System_Mkt_Repl!N$311:N$314))</f>
        <v>0.35641260469220276</v>
      </c>
      <c r="P350" s="549">
        <f>P277*(SUM(P$311:P$314)+SUMIF(Tech_Specs!$K$21:$K$24,"luminaire",System_Mkt_Repl!O$311:O$314))</f>
        <v>0.47946932126216452</v>
      </c>
      <c r="Q350" s="549">
        <f>Q277*(SUM(Q$311:Q$314)+SUMIF(Tech_Specs!$K$21:$K$24,"luminaire",System_Mkt_Repl!P$311:P$314))</f>
        <v>0.6104727925364718</v>
      </c>
      <c r="R350" s="549">
        <f>R277*(SUM(R$311:R$314)+SUMIF(Tech_Specs!$K$21:$K$24,"luminaire",System_Mkt_Repl!Q$311:Q$314))</f>
        <v>0.74043331281009828</v>
      </c>
      <c r="S350" s="549">
        <f>S277*(SUM(S$311:S$314)+SUMIF(Tech_Specs!$K$21:$K$24,"luminaire",System_Mkt_Repl!R$311:R$314))</f>
        <v>0.87145430148634662</v>
      </c>
      <c r="T350" s="549">
        <f>T277*(SUM(T$311:T$314)+SUMIF(Tech_Specs!$K$21:$K$24,"luminaire",System_Mkt_Repl!S$311:S$314))</f>
        <v>0.99783409904899301</v>
      </c>
      <c r="U350" s="549">
        <f>U277*(SUM(U$311:U$314)+SUMIF(Tech_Specs!$K$21:$K$24,"luminaire",System_Mkt_Repl!T$311:T$314))</f>
        <v>1.1173424855372285</v>
      </c>
      <c r="V350" s="549">
        <f>V277*(SUM(V$311:V$314)+SUMIF(Tech_Specs!$K$21:$K$24,"luminaire",System_Mkt_Repl!U$311:U$314))</f>
        <v>1.2294863237379181</v>
      </c>
      <c r="W350" s="549">
        <f>W277*(SUM(W$311:W$314)+SUMIF(Tech_Specs!$K$21:$K$24,"luminaire",System_Mkt_Repl!V$311:V$314))</f>
        <v>1.3309003123032939</v>
      </c>
      <c r="X350" s="549">
        <f>X277*(SUM(X$311:X$314)+SUMIF(Tech_Specs!$K$21:$K$24,"luminaire",System_Mkt_Repl!W$311:W$314))</f>
        <v>1.420666571052307</v>
      </c>
      <c r="Y350" s="549">
        <f>Y277*(SUM(Y$311:Y$314)+SUMIF(Tech_Specs!$K$21:$K$24,"luminaire",System_Mkt_Repl!X$311:X$314))</f>
        <v>1.5003298245558867</v>
      </c>
      <c r="Z350" s="549">
        <f>Z277*(SUM(Z$311:Z$314)+SUMIF(Tech_Specs!$K$21:$K$24,"luminaire",System_Mkt_Repl!Y$311:Y$314))</f>
        <v>1.5740411978042688</v>
      </c>
      <c r="AA350" s="549">
        <f>AA277*(SUM(AA$311:AA$314)+SUMIF(Tech_Specs!$K$21:$K$24,"luminaire",System_Mkt_Repl!Z$311:Z$314))</f>
        <v>1.6440734124279406</v>
      </c>
      <c r="AB350" s="549">
        <f>AB277*(SUM(AB$311:AB$314)+SUMIF(Tech_Specs!$K$21:$K$24,"luminaire",System_Mkt_Repl!AA$311:AA$314))</f>
        <v>1.7154485999564202</v>
      </c>
      <c r="AC350" s="549">
        <f>AC277*(SUM(AC$311:AC$314)+SUMIF(Tech_Specs!$K$21:$K$24,"luminaire",System_Mkt_Repl!AB$311:AB$314))</f>
        <v>1.774016263980378</v>
      </c>
      <c r="AD350" s="549">
        <f>AD277*(SUM(AD$311:AD$314)+SUMIF(Tech_Specs!$K$21:$K$24,"luminaire",System_Mkt_Repl!AC$311:AC$314))</f>
        <v>1.8284665543079555</v>
      </c>
      <c r="AE350" s="549">
        <f>AE277*(SUM(AE$311:AE$314)+SUMIF(Tech_Specs!$K$21:$K$24,"luminaire",System_Mkt_Repl!AD$311:AD$314))</f>
        <v>1.8797827010302872</v>
      </c>
      <c r="AF350" s="549">
        <f>AF277*(SUM(AF$311:AF$314)+SUMIF(Tech_Specs!$K$21:$K$24,"luminaire",System_Mkt_Repl!AE$311:AE$314))</f>
        <v>1.9309435318533958</v>
      </c>
    </row>
    <row r="351" spans="1:32" x14ac:dyDescent="0.25">
      <c r="A351" s="252"/>
      <c r="B351" s="252"/>
      <c r="H351" s="549"/>
      <c r="I351" s="549"/>
      <c r="J351" s="549"/>
      <c r="K351" s="549"/>
      <c r="L351" s="549"/>
      <c r="M351" s="549"/>
      <c r="N351" s="549"/>
      <c r="O351" s="549"/>
      <c r="P351" s="549"/>
      <c r="Q351" s="549"/>
      <c r="R351" s="549"/>
      <c r="S351" s="549"/>
      <c r="T351" s="549"/>
      <c r="U351" s="549"/>
      <c r="V351" s="549"/>
      <c r="W351" s="549"/>
      <c r="X351" s="549"/>
      <c r="Y351" s="549"/>
      <c r="Z351" s="549"/>
      <c r="AA351" s="549"/>
      <c r="AB351" s="549"/>
      <c r="AC351" s="549"/>
      <c r="AD351" s="549"/>
      <c r="AE351" s="549"/>
      <c r="AF351" s="549"/>
    </row>
    <row r="352" spans="1:32" x14ac:dyDescent="0.25">
      <c r="A352" s="267" t="s">
        <v>42</v>
      </c>
      <c r="B352" s="267"/>
      <c r="C352" s="267"/>
      <c r="D352" s="267"/>
      <c r="E352" s="267"/>
      <c r="F352" s="267"/>
      <c r="G352" s="267"/>
      <c r="H352" s="632"/>
      <c r="I352" s="632"/>
      <c r="J352" s="632"/>
      <c r="K352" s="632"/>
      <c r="L352" s="632"/>
      <c r="M352" s="632"/>
      <c r="N352" s="632"/>
      <c r="O352" s="632"/>
      <c r="P352" s="632"/>
      <c r="Q352" s="632"/>
      <c r="R352" s="632"/>
      <c r="S352" s="632"/>
      <c r="T352" s="632"/>
      <c r="U352" s="632"/>
      <c r="V352" s="632"/>
      <c r="W352" s="632"/>
      <c r="X352" s="632"/>
      <c r="Y352" s="632"/>
      <c r="Z352" s="632"/>
      <c r="AA352" s="632"/>
      <c r="AB352" s="632"/>
      <c r="AC352" s="632"/>
      <c r="AD352" s="632"/>
      <c r="AE352" s="632"/>
      <c r="AF352" s="632"/>
    </row>
    <row r="353" spans="1:32" x14ac:dyDescent="0.25">
      <c r="A353" s="252"/>
      <c r="B353" s="257" t="s">
        <v>43</v>
      </c>
      <c r="H353" s="549">
        <f>H280*(SUM(H$317:H$321)+SUMIF(Tech_Specs!$K$27:$K$31,"luminaire",System_Mkt_Repl!G$317:G$321))</f>
        <v>2.264819573253553E-4</v>
      </c>
      <c r="I353" s="549">
        <f>I280*(SUM(I$317:I$321)+SUMIF(Tech_Specs!$K$27:$K$31,"luminaire",System_Mkt_Repl!H$317:H$321))</f>
        <v>2.2574230508657137E-4</v>
      </c>
      <c r="J353" s="549">
        <f>J280*(SUM(J$317:J$321)+SUMIF(Tech_Specs!$K$27:$K$31,"luminaire",System_Mkt_Repl!I$317:I$321))</f>
        <v>2.226546291174091E-4</v>
      </c>
      <c r="K353" s="549">
        <f>K280*(SUM(K$317:K$321)+SUMIF(Tech_Specs!$K$27:$K$31,"luminaire",System_Mkt_Repl!J$317:J$321))</f>
        <v>2.1559667659455114E-4</v>
      </c>
      <c r="L353" s="549">
        <f>L280*(SUM(L$317:L$321)+SUMIF(Tech_Specs!$K$27:$K$31,"luminaire",System_Mkt_Repl!K$317:K$321))</f>
        <v>2.091733325487763E-4</v>
      </c>
      <c r="M353" s="549">
        <f>M280*(SUM(M$317:M$321)+SUMIF(Tech_Specs!$K$27:$K$31,"luminaire",System_Mkt_Repl!L$317:L$321))</f>
        <v>2.0189290130803524E-4</v>
      </c>
      <c r="N353" s="549">
        <f>N280*(SUM(N$317:N$321)+SUMIF(Tech_Specs!$K$27:$K$31,"luminaire",System_Mkt_Repl!M$317:M$321))</f>
        <v>1.9380279027566636E-4</v>
      </c>
      <c r="O353" s="549">
        <f>O280*(SUM(O$317:O$321)+SUMIF(Tech_Specs!$K$27:$K$31,"luminaire",System_Mkt_Repl!N$317:N$321))</f>
        <v>1.8625099547060165E-4</v>
      </c>
      <c r="P353" s="549">
        <f>P280*(SUM(P$317:P$321)+SUMIF(Tech_Specs!$K$27:$K$31,"luminaire",System_Mkt_Repl!O$317:O$321))</f>
        <v>1.7952106268112315E-4</v>
      </c>
      <c r="Q353" s="549">
        <f>Q280*(SUM(Q$317:Q$321)+SUMIF(Tech_Specs!$K$27:$K$31,"luminaire",System_Mkt_Repl!P$317:P$321))</f>
        <v>1.7358960734612013E-4</v>
      </c>
      <c r="R353" s="549">
        <f>R280*(SUM(R$317:R$321)+SUMIF(Tech_Specs!$K$27:$K$31,"luminaire",System_Mkt_Repl!Q$317:Q$321))</f>
        <v>1.6814516615048933E-4</v>
      </c>
      <c r="S353" s="549">
        <f>S280*(SUM(S$317:S$321)+SUMIF(Tech_Specs!$K$27:$K$31,"luminaire",System_Mkt_Repl!R$317:R$321))</f>
        <v>1.6447858269881844E-4</v>
      </c>
      <c r="T353" s="549">
        <f>T280*(SUM(T$317:T$321)+SUMIF(Tech_Specs!$K$27:$K$31,"luminaire",System_Mkt_Repl!S$317:S$321))</f>
        <v>1.6180706238803002E-4</v>
      </c>
      <c r="U353" s="549">
        <f>U280*(SUM(U$317:U$321)+SUMIF(Tech_Specs!$K$27:$K$31,"luminaire",System_Mkt_Repl!T$317:T$321))</f>
        <v>1.6004813876836793E-4</v>
      </c>
      <c r="V353" s="549">
        <f>V280*(SUM(V$317:V$321)+SUMIF(Tech_Specs!$K$27:$K$31,"luminaire",System_Mkt_Repl!U$317:U$321))</f>
        <v>1.5943234971210857E-4</v>
      </c>
      <c r="W353" s="549">
        <f>W280*(SUM(W$317:W$321)+SUMIF(Tech_Specs!$K$27:$K$31,"luminaire",System_Mkt_Repl!V$317:V$321))</f>
        <v>1.5923819950769226E-4</v>
      </c>
      <c r="X353" s="549">
        <f>X280*(SUM(X$317:X$321)+SUMIF(Tech_Specs!$K$27:$K$31,"luminaire",System_Mkt_Repl!W$317:W$321))</f>
        <v>1.5928442971331209E-4</v>
      </c>
      <c r="Y353" s="549">
        <f>Y280*(SUM(Y$317:Y$321)+SUMIF(Tech_Specs!$K$27:$K$31,"luminaire",System_Mkt_Repl!X$317:X$321))</f>
        <v>1.5956233796199655E-4</v>
      </c>
      <c r="Z353" s="549">
        <f>Z280*(SUM(Z$317:Z$321)+SUMIF(Tech_Specs!$K$27:$K$31,"luminaire",System_Mkt_Repl!Y$317:Y$321))</f>
        <v>1.6038497541105717E-4</v>
      </c>
      <c r="AA353" s="549">
        <f>AA280*(SUM(AA$317:AA$321)+SUMIF(Tech_Specs!$K$27:$K$31,"luminaire",System_Mkt_Repl!Z$317:Z$321))</f>
        <v>1.6178966126557893E-4</v>
      </c>
      <c r="AB353" s="549">
        <f>AB280*(SUM(AB$317:AB$321)+SUMIF(Tech_Specs!$K$27:$K$31,"luminaire",System_Mkt_Repl!AA$317:AA$321))</f>
        <v>1.6388702447295053E-4</v>
      </c>
      <c r="AC353" s="549">
        <f>AC280*(SUM(AC$317:AC$321)+SUMIF(Tech_Specs!$K$27:$K$31,"luminaire",System_Mkt_Repl!AB$317:AB$321))</f>
        <v>1.6530901761059054E-4</v>
      </c>
      <c r="AD353" s="549">
        <f>AD280*(SUM(AD$317:AD$321)+SUMIF(Tech_Specs!$K$27:$K$31,"luminaire",System_Mkt_Repl!AC$317:AC$321))</f>
        <v>1.6675039132643395E-4</v>
      </c>
      <c r="AE353" s="549">
        <f>AE280*(SUM(AE$317:AE$321)+SUMIF(Tech_Specs!$K$27:$K$31,"luminaire",System_Mkt_Repl!AD$317:AD$321))</f>
        <v>1.6817550985721502E-4</v>
      </c>
      <c r="AF353" s="549">
        <f>AF280*(SUM(AF$317:AF$321)+SUMIF(Tech_Specs!$K$27:$K$31,"luminaire",System_Mkt_Repl!AE$317:AE$321))</f>
        <v>1.6953395823310764E-4</v>
      </c>
    </row>
    <row r="354" spans="1:32" x14ac:dyDescent="0.25">
      <c r="A354" s="252"/>
      <c r="B354" s="257" t="s">
        <v>44</v>
      </c>
      <c r="H354" s="549">
        <f>H281*(SUM(H$317:H$321)+SUMIF(Tech_Specs!$K$27:$K$31,"luminaire",System_Mkt_Repl!G$317:G$321))</f>
        <v>2.1274309470887709E-2</v>
      </c>
      <c r="I354" s="549">
        <f>I281*(SUM(I$317:I$321)+SUMIF(Tech_Specs!$K$27:$K$31,"luminaire",System_Mkt_Repl!H$317:H$321))</f>
        <v>2.120807261002066E-2</v>
      </c>
      <c r="J354" s="549">
        <f>J281*(SUM(J$317:J$321)+SUMIF(Tech_Specs!$K$27:$K$31,"luminaire",System_Mkt_Repl!I$317:I$321))</f>
        <v>2.0926684641688353E-2</v>
      </c>
      <c r="K354" s="549">
        <f>K281*(SUM(K$317:K$321)+SUMIF(Tech_Specs!$K$27:$K$31,"luminaire",System_Mkt_Repl!J$317:J$321))</f>
        <v>2.0276933183318378E-2</v>
      </c>
      <c r="L354" s="549">
        <f>L281*(SUM(L$317:L$321)+SUMIF(Tech_Specs!$K$27:$K$31,"luminaire",System_Mkt_Repl!K$317:K$321))</f>
        <v>1.9683213866363566E-2</v>
      </c>
      <c r="M354" s="549">
        <f>M281*(SUM(M$317:M$321)+SUMIF(Tech_Specs!$K$27:$K$31,"luminaire",System_Mkt_Repl!L$317:L$321))</f>
        <v>1.9013386562274217E-2</v>
      </c>
      <c r="N354" s="549">
        <f>N281*(SUM(N$317:N$321)+SUMIF(Tech_Specs!$K$27:$K$31,"luminaire",System_Mkt_Repl!M$317:M$321))</f>
        <v>1.8264050584752868E-2</v>
      </c>
      <c r="O354" s="549">
        <f>O281*(SUM(O$317:O$321)+SUMIF(Tech_Specs!$K$27:$K$31,"luminaire",System_Mkt_Repl!N$317:N$321))</f>
        <v>1.7563410578939963E-2</v>
      </c>
      <c r="P354" s="549">
        <f>P281*(SUM(P$317:P$321)+SUMIF(Tech_Specs!$K$27:$K$31,"luminaire",System_Mkt_Repl!O$317:O$321))</f>
        <v>1.6937661253858056E-2</v>
      </c>
      <c r="Q354" s="549">
        <f>Q281*(SUM(Q$317:Q$321)+SUMIF(Tech_Specs!$K$27:$K$31,"luminaire",System_Mkt_Repl!P$317:P$321))</f>
        <v>1.638752109549952E-2</v>
      </c>
      <c r="R354" s="549">
        <f>R281*(SUM(R$317:R$321)+SUMIF(Tech_Specs!$K$27:$K$31,"luminaire",System_Mkt_Repl!Q$317:Q$321))</f>
        <v>1.5883927082696484E-2</v>
      </c>
      <c r="S354" s="549">
        <f>S281*(SUM(S$317:S$321)+SUMIF(Tech_Specs!$K$27:$K$31,"luminaire",System_Mkt_Repl!R$317:R$321))</f>
        <v>1.5547497647609041E-2</v>
      </c>
      <c r="T354" s="549">
        <f>T281*(SUM(T$317:T$321)+SUMIF(Tech_Specs!$K$27:$K$31,"luminaire",System_Mkt_Repl!S$317:S$321))</f>
        <v>1.5304944144206007E-2</v>
      </c>
      <c r="U354" s="549">
        <f>U281*(SUM(U$317:U$321)+SUMIF(Tech_Specs!$K$27:$K$31,"luminaire",System_Mkt_Repl!T$317:T$321))</f>
        <v>1.5148912683600463E-2</v>
      </c>
      <c r="V354" s="549">
        <f>V281*(SUM(V$317:V$321)+SUMIF(Tech_Specs!$K$27:$K$31,"luminaire",System_Mkt_Repl!U$317:U$321))</f>
        <v>1.5100499007545875E-2</v>
      </c>
      <c r="W354" s="549">
        <f>W281*(SUM(W$317:W$321)+SUMIF(Tech_Specs!$K$27:$K$31,"luminaire",System_Mkt_Repl!V$317:V$321))</f>
        <v>1.5092581276674578E-2</v>
      </c>
      <c r="X354" s="549">
        <f>X281*(SUM(X$317:X$321)+SUMIF(Tech_Specs!$K$27:$K$31,"luminaire",System_Mkt_Repl!W$317:W$321))</f>
        <v>1.5107967070629504E-2</v>
      </c>
      <c r="Y354" s="549">
        <f>Y281*(SUM(Y$317:Y$321)+SUMIF(Tech_Specs!$K$27:$K$31,"luminaire",System_Mkt_Repl!X$317:X$321))</f>
        <v>1.5145968753384148E-2</v>
      </c>
      <c r="Z354" s="549">
        <f>Z281*(SUM(Z$317:Z$321)+SUMIF(Tech_Specs!$K$27:$K$31,"luminaire",System_Mkt_Repl!Y$317:Y$321))</f>
        <v>1.5235866407696747E-2</v>
      </c>
      <c r="AA354" s="549">
        <f>AA281*(SUM(AA$317:AA$321)+SUMIF(Tech_Specs!$K$27:$K$31,"luminaire",System_Mkt_Repl!Z$317:Z$321))</f>
        <v>1.5381075796810398E-2</v>
      </c>
      <c r="AB354" s="549">
        <f>AB281*(SUM(AB$317:AB$321)+SUMIF(Tech_Specs!$K$27:$K$31,"luminaire",System_Mkt_Repl!AA$317:AA$321))</f>
        <v>1.5593201054563233E-2</v>
      </c>
      <c r="AC354" s="549">
        <f>AC281*(SUM(AC$317:AC$321)+SUMIF(Tech_Specs!$K$27:$K$31,"luminaire",System_Mkt_Repl!AB$317:AB$321))</f>
        <v>1.5741571479754763E-2</v>
      </c>
      <c r="AD354" s="549">
        <f>AD281*(SUM(AD$317:AD$321)+SUMIF(Tech_Specs!$K$27:$K$31,"luminaire",System_Mkt_Repl!AC$317:AC$321))</f>
        <v>1.5892383987161779E-2</v>
      </c>
      <c r="AE354" s="549">
        <f>AE281*(SUM(AE$317:AE$321)+SUMIF(Tech_Specs!$K$27:$K$31,"luminaire",System_Mkt_Repl!AD$317:AD$321))</f>
        <v>1.6042506003145624E-2</v>
      </c>
      <c r="AF354" s="549">
        <f>AF281*(SUM(AF$317:AF$321)+SUMIF(Tech_Specs!$K$27:$K$31,"luminaire",System_Mkt_Repl!AE$317:AE$321))</f>
        <v>1.6188900301760314E-2</v>
      </c>
    </row>
    <row r="355" spans="1:32" x14ac:dyDescent="0.25">
      <c r="A355" s="252"/>
      <c r="B355" s="257" t="s">
        <v>45</v>
      </c>
      <c r="H355" s="549">
        <f>H282*(SUM(H$317:H$321)+SUMIF(Tech_Specs!$K$27:$K$31,"luminaire",System_Mkt_Repl!G$317:G$321))</f>
        <v>1.2202926630433476E-4</v>
      </c>
      <c r="I355" s="549">
        <f>I282*(SUM(I$317:I$321)+SUMIF(Tech_Specs!$K$27:$K$31,"luminaire",System_Mkt_Repl!H$317:H$321))</f>
        <v>1.2155120533049496E-4</v>
      </c>
      <c r="J355" s="549">
        <f>J282*(SUM(J$317:J$321)+SUMIF(Tech_Specs!$K$27:$K$31,"luminaire",System_Mkt_Repl!I$317:I$321))</f>
        <v>1.1986515075517525E-4</v>
      </c>
      <c r="K355" s="549">
        <f>K282*(SUM(K$317:K$321)+SUMIF(Tech_Specs!$K$27:$K$31,"luminaire",System_Mkt_Repl!J$317:J$321))</f>
        <v>1.1609106981707489E-4</v>
      </c>
      <c r="L355" s="549">
        <f>L282*(SUM(L$317:L$321)+SUMIF(Tech_Specs!$K$27:$K$31,"luminaire",System_Mkt_Repl!K$317:K$321))</f>
        <v>1.1263893332091925E-4</v>
      </c>
      <c r="M355" s="549">
        <f>M282*(SUM(M$317:M$321)+SUMIF(Tech_Specs!$K$27:$K$31,"luminaire",System_Mkt_Repl!L$317:L$321))</f>
        <v>1.0876899045651842E-4</v>
      </c>
      <c r="N355" s="549">
        <f>N282*(SUM(N$317:N$321)+SUMIF(Tech_Specs!$K$27:$K$31,"luminaire",System_Mkt_Repl!M$317:M$321))</f>
        <v>1.0444410258118308E-4</v>
      </c>
      <c r="O355" s="549">
        <f>O282*(SUM(O$317:O$321)+SUMIF(Tech_Specs!$K$27:$K$31,"luminaire",System_Mkt_Repl!N$317:N$321))</f>
        <v>1.0039980694492466E-4</v>
      </c>
      <c r="P355" s="549">
        <f>P282*(SUM(P$317:P$321)+SUMIF(Tech_Specs!$K$27:$K$31,"luminaire",System_Mkt_Repl!O$317:O$321))</f>
        <v>9.6783844043273382E-5</v>
      </c>
      <c r="Q355" s="549">
        <f>Q282*(SUM(Q$317:Q$321)+SUMIF(Tech_Specs!$K$27:$K$31,"luminaire",System_Mkt_Repl!P$317:P$321))</f>
        <v>9.3605096882904188E-5</v>
      </c>
      <c r="R355" s="549">
        <f>R282*(SUM(R$317:R$321)+SUMIF(Tech_Specs!$K$27:$K$31,"luminaire",System_Mkt_Repl!Q$317:Q$321))</f>
        <v>9.0697142097699509E-5</v>
      </c>
      <c r="S355" s="549">
        <f>S282*(SUM(S$317:S$321)+SUMIF(Tech_Specs!$K$27:$K$31,"luminaire",System_Mkt_Repl!R$317:R$321))</f>
        <v>8.8745148147598794E-5</v>
      </c>
      <c r="T355" s="549">
        <f>T282*(SUM(T$317:T$321)+SUMIF(Tech_Specs!$K$27:$K$31,"luminaire",System_Mkt_Repl!S$317:S$321))</f>
        <v>8.7330623821767062E-5</v>
      </c>
      <c r="U355" s="549">
        <f>U282*(SUM(U$317:U$321)+SUMIF(Tech_Specs!$K$27:$K$31,"luminaire",System_Mkt_Repl!T$317:T$321))</f>
        <v>8.641143347322892E-5</v>
      </c>
      <c r="V355" s="549">
        <f>V282*(SUM(V$317:V$321)+SUMIF(Tech_Specs!$K$27:$K$31,"luminaire",System_Mkt_Repl!U$317:U$321))</f>
        <v>8.6105746351682215E-5</v>
      </c>
      <c r="W355" s="549">
        <f>W282*(SUM(W$317:W$321)+SUMIF(Tech_Specs!$K$27:$K$31,"luminaire",System_Mkt_Repl!V$317:V$321))</f>
        <v>8.6032046436509212E-5</v>
      </c>
      <c r="X355" s="549">
        <f>X282*(SUM(X$317:X$321)+SUMIF(Tech_Specs!$K$27:$K$31,"luminaire",System_Mkt_Repl!W$317:W$321))</f>
        <v>8.6091905950917678E-5</v>
      </c>
      <c r="Y355" s="549">
        <f>Y282*(SUM(Y$317:Y$321)+SUMIF(Tech_Specs!$K$27:$K$31,"luminaire",System_Mkt_Repl!X$317:X$321))</f>
        <v>8.628133818378799E-5</v>
      </c>
      <c r="Z355" s="549">
        <f>Z282*(SUM(Z$317:Z$321)+SUMIF(Tech_Specs!$K$27:$K$31,"luminaire",System_Mkt_Repl!Y$317:Y$321))</f>
        <v>8.6766131751874563E-5</v>
      </c>
      <c r="AA355" s="549">
        <f>AA282*(SUM(AA$317:AA$321)+SUMIF(Tech_Specs!$K$27:$K$31,"luminaire",System_Mkt_Repl!Z$317:Z$321))</f>
        <v>8.7565075928755585E-5</v>
      </c>
      <c r="AB355" s="549">
        <f>AB282*(SUM(AB$317:AB$321)+SUMIF(Tech_Specs!$K$27:$K$31,"luminaire",System_Mkt_Repl!AA$317:AA$321))</f>
        <v>8.874530438535582E-5</v>
      </c>
      <c r="AC355" s="549">
        <f>AC282*(SUM(AC$317:AC$321)+SUMIF(Tech_Specs!$K$27:$K$31,"luminaire",System_Mkt_Repl!AB$317:AB$321))</f>
        <v>8.9562101810316289E-5</v>
      </c>
      <c r="AD355" s="549">
        <f>AD282*(SUM(AD$317:AD$321)+SUMIF(Tech_Specs!$K$27:$K$31,"luminaire",System_Mkt_Repl!AC$317:AC$321))</f>
        <v>9.0392489043505166E-5</v>
      </c>
      <c r="AE355" s="549">
        <f>AE282*(SUM(AE$317:AE$321)+SUMIF(Tech_Specs!$K$27:$K$31,"luminaire",System_Mkt_Repl!AD$317:AD$321))</f>
        <v>9.1218947456429033E-5</v>
      </c>
      <c r="AF355" s="549">
        <f>AF282*(SUM(AF$317:AF$321)+SUMIF(Tech_Specs!$K$27:$K$31,"luminaire",System_Mkt_Repl!AE$317:AE$321))</f>
        <v>9.2026403011700512E-5</v>
      </c>
    </row>
    <row r="356" spans="1:32" x14ac:dyDescent="0.25">
      <c r="A356" s="252"/>
      <c r="B356" s="257" t="s">
        <v>46</v>
      </c>
      <c r="H356" s="549">
        <f>H283*(SUM(H$317:H$321)+SUMIF(Tech_Specs!$K$27:$K$31,"luminaire",System_Mkt_Repl!G$317:G$321))</f>
        <v>0</v>
      </c>
      <c r="I356" s="549">
        <f>I283*(SUM(I$317:I$321)+SUMIF(Tech_Specs!$K$27:$K$31,"luminaire",System_Mkt_Repl!H$317:H$321))</f>
        <v>0</v>
      </c>
      <c r="J356" s="549">
        <f>J283*(SUM(J$317:J$321)+SUMIF(Tech_Specs!$K$27:$K$31,"luminaire",System_Mkt_Repl!I$317:I$321))</f>
        <v>0</v>
      </c>
      <c r="K356" s="549">
        <f>K283*(SUM(K$317:K$321)+SUMIF(Tech_Specs!$K$27:$K$31,"luminaire",System_Mkt_Repl!J$317:J$321))</f>
        <v>0</v>
      </c>
      <c r="L356" s="549">
        <f>L283*(SUM(L$317:L$321)+SUMIF(Tech_Specs!$K$27:$K$31,"luminaire",System_Mkt_Repl!K$317:K$321))</f>
        <v>0</v>
      </c>
      <c r="M356" s="549">
        <f>M283*(SUM(M$317:M$321)+SUMIF(Tech_Specs!$K$27:$K$31,"luminaire",System_Mkt_Repl!L$317:L$321))</f>
        <v>0</v>
      </c>
      <c r="N356" s="549">
        <f>N283*(SUM(N$317:N$321)+SUMIF(Tech_Specs!$K$27:$K$31,"luminaire",System_Mkt_Repl!M$317:M$321))</f>
        <v>0</v>
      </c>
      <c r="O356" s="549">
        <f>O283*(SUM(O$317:O$321)+SUMIF(Tech_Specs!$K$27:$K$31,"luminaire",System_Mkt_Repl!N$317:N$321))</f>
        <v>0</v>
      </c>
      <c r="P356" s="549">
        <f>P283*(SUM(P$317:P$321)+SUMIF(Tech_Specs!$K$27:$K$31,"luminaire",System_Mkt_Repl!O$317:O$321))</f>
        <v>0</v>
      </c>
      <c r="Q356" s="549">
        <f>Q283*(SUM(Q$317:Q$321)+SUMIF(Tech_Specs!$K$27:$K$31,"luminaire",System_Mkt_Repl!P$317:P$321))</f>
        <v>0</v>
      </c>
      <c r="R356" s="549">
        <f>R283*(SUM(R$317:R$321)+SUMIF(Tech_Specs!$K$27:$K$31,"luminaire",System_Mkt_Repl!Q$317:Q$321))</f>
        <v>0</v>
      </c>
      <c r="S356" s="549">
        <f>S283*(SUM(S$317:S$321)+SUMIF(Tech_Specs!$K$27:$K$31,"luminaire",System_Mkt_Repl!R$317:R$321))</f>
        <v>0</v>
      </c>
      <c r="T356" s="549">
        <f>T283*(SUM(T$317:T$321)+SUMIF(Tech_Specs!$K$27:$K$31,"luminaire",System_Mkt_Repl!S$317:S$321))</f>
        <v>0</v>
      </c>
      <c r="U356" s="549">
        <f>U283*(SUM(U$317:U$321)+SUMIF(Tech_Specs!$K$27:$K$31,"luminaire",System_Mkt_Repl!T$317:T$321))</f>
        <v>0</v>
      </c>
      <c r="V356" s="549">
        <f>V283*(SUM(V$317:V$321)+SUMIF(Tech_Specs!$K$27:$K$31,"luminaire",System_Mkt_Repl!U$317:U$321))</f>
        <v>0</v>
      </c>
      <c r="W356" s="549">
        <f>W283*(SUM(W$317:W$321)+SUMIF(Tech_Specs!$K$27:$K$31,"luminaire",System_Mkt_Repl!V$317:V$321))</f>
        <v>0</v>
      </c>
      <c r="X356" s="549">
        <f>X283*(SUM(X$317:X$321)+SUMIF(Tech_Specs!$K$27:$K$31,"luminaire",System_Mkt_Repl!W$317:W$321))</f>
        <v>0</v>
      </c>
      <c r="Y356" s="549">
        <f>Y283*(SUM(Y$317:Y$321)+SUMIF(Tech_Specs!$K$27:$K$31,"luminaire",System_Mkt_Repl!X$317:X$321))</f>
        <v>0</v>
      </c>
      <c r="Z356" s="549">
        <f>Z283*(SUM(Z$317:Z$321)+SUMIF(Tech_Specs!$K$27:$K$31,"luminaire",System_Mkt_Repl!Y$317:Y$321))</f>
        <v>0</v>
      </c>
      <c r="AA356" s="549">
        <f>AA283*(SUM(AA$317:AA$321)+SUMIF(Tech_Specs!$K$27:$K$31,"luminaire",System_Mkt_Repl!Z$317:Z$321))</f>
        <v>0</v>
      </c>
      <c r="AB356" s="549">
        <f>AB283*(SUM(AB$317:AB$321)+SUMIF(Tech_Specs!$K$27:$K$31,"luminaire",System_Mkt_Repl!AA$317:AA$321))</f>
        <v>0</v>
      </c>
      <c r="AC356" s="549">
        <f>AC283*(SUM(AC$317:AC$321)+SUMIF(Tech_Specs!$K$27:$K$31,"luminaire",System_Mkt_Repl!AB$317:AB$321))</f>
        <v>0</v>
      </c>
      <c r="AD356" s="549">
        <f>AD283*(SUM(AD$317:AD$321)+SUMIF(Tech_Specs!$K$27:$K$31,"luminaire",System_Mkt_Repl!AC$317:AC$321))</f>
        <v>0</v>
      </c>
      <c r="AE356" s="549">
        <f>AE283*(SUM(AE$317:AE$321)+SUMIF(Tech_Specs!$K$27:$K$31,"luminaire",System_Mkt_Repl!AD$317:AD$321))</f>
        <v>0</v>
      </c>
      <c r="AF356" s="549">
        <f>AF283*(SUM(AF$317:AF$321)+SUMIF(Tech_Specs!$K$27:$K$31,"luminaire",System_Mkt_Repl!AE$317:AE$321))</f>
        <v>0</v>
      </c>
    </row>
    <row r="357" spans="1:32" x14ac:dyDescent="0.25">
      <c r="A357" s="252"/>
      <c r="B357" s="252" t="s">
        <v>29</v>
      </c>
      <c r="H357" s="549">
        <f>H284*(SUM(H$317:H$321)+SUMIF(Tech_Specs!$K$27:$K$31,"luminaire",System_Mkt_Repl!G$317:G$321))</f>
        <v>1.8728984415563887E-3</v>
      </c>
      <c r="I357" s="549">
        <f>I284*(SUM(I$317:I$321)+SUMIF(Tech_Specs!$K$27:$K$31,"luminaire",System_Mkt_Repl!H$317:H$321))</f>
        <v>2.7103632202279634E-3</v>
      </c>
      <c r="J357" s="549">
        <f>J284*(SUM(J$317:J$321)+SUMIF(Tech_Specs!$K$27:$K$31,"luminaire",System_Mkt_Repl!I$317:I$321))</f>
        <v>3.7061619658137843E-3</v>
      </c>
      <c r="K357" s="549">
        <f>K284*(SUM(K$317:K$321)+SUMIF(Tech_Specs!$K$27:$K$31,"luminaire",System_Mkt_Repl!J$317:J$321))</f>
        <v>4.7937590534690069E-3</v>
      </c>
      <c r="L357" s="549">
        <f>L284*(SUM(L$317:L$321)+SUMIF(Tech_Specs!$K$27:$K$31,"luminaire",System_Mkt_Repl!K$317:K$321))</f>
        <v>6.0073528324230971E-3</v>
      </c>
      <c r="M357" s="549">
        <f>M284*(SUM(M$317:M$321)+SUMIF(Tech_Specs!$K$27:$K$31,"luminaire",System_Mkt_Repl!L$317:L$321))</f>
        <v>7.2697051617143993E-3</v>
      </c>
      <c r="N357" s="549">
        <f>N284*(SUM(N$317:N$321)+SUMIF(Tech_Specs!$K$27:$K$31,"luminaire",System_Mkt_Repl!M$317:M$321))</f>
        <v>8.5128592957210356E-3</v>
      </c>
      <c r="O357" s="549">
        <f>O284*(SUM(O$317:O$321)+SUMIF(Tech_Specs!$K$27:$K$31,"luminaire",System_Mkt_Repl!N$317:N$321))</f>
        <v>9.7362849215940194E-3</v>
      </c>
      <c r="P357" s="549">
        <f>P284*(SUM(P$317:P$321)+SUMIF(Tech_Specs!$K$27:$K$31,"luminaire",System_Mkt_Repl!O$317:O$321))</f>
        <v>1.0915162915762625E-2</v>
      </c>
      <c r="Q357" s="549">
        <f>Q284*(SUM(Q$317:Q$321)+SUMIF(Tech_Specs!$K$27:$K$31,"luminaire",System_Mkt_Repl!P$317:P$321))</f>
        <v>1.2016211656898784E-2</v>
      </c>
      <c r="R357" s="549">
        <f>R284*(SUM(R$317:R$321)+SUMIF(Tech_Specs!$K$27:$K$31,"luminaire",System_Mkt_Repl!Q$317:Q$321))</f>
        <v>1.2984101820300213E-2</v>
      </c>
      <c r="S357" s="549">
        <f>S284*(SUM(S$317:S$321)+SUMIF(Tech_Specs!$K$27:$K$31,"luminaire",System_Mkt_Repl!R$317:R$321))</f>
        <v>1.3898539913614163E-2</v>
      </c>
      <c r="T357" s="549">
        <f>T284*(SUM(T$317:T$321)+SUMIF(Tech_Specs!$K$27:$K$31,"luminaire",System_Mkt_Repl!S$317:S$321))</f>
        <v>1.4703095634551791E-2</v>
      </c>
      <c r="U357" s="549">
        <f>U284*(SUM(U$317:U$321)+SUMIF(Tech_Specs!$K$27:$K$31,"luminaire",System_Mkt_Repl!T$317:T$321))</f>
        <v>1.5402473505577052E-2</v>
      </c>
      <c r="V357" s="549">
        <f>V284*(SUM(V$317:V$321)+SUMIF(Tech_Specs!$K$27:$K$31,"luminaire",System_Mkt_Repl!U$317:U$321))</f>
        <v>1.6040590138396805E-2</v>
      </c>
      <c r="W357" s="549">
        <f>W284*(SUM(W$317:W$321)+SUMIF(Tech_Specs!$K$27:$K$31,"luminaire",System_Mkt_Repl!V$317:V$321))</f>
        <v>1.6575708220444376E-2</v>
      </c>
      <c r="X357" s="549">
        <f>X284*(SUM(X$317:X$321)+SUMIF(Tech_Specs!$K$27:$K$31,"luminaire",System_Mkt_Repl!W$317:W$321))</f>
        <v>1.7014072289943741E-2</v>
      </c>
      <c r="Y357" s="549">
        <f>Y284*(SUM(Y$317:Y$321)+SUMIF(Tech_Specs!$K$27:$K$31,"luminaire",System_Mkt_Repl!X$317:X$321))</f>
        <v>1.7379231115610759E-2</v>
      </c>
      <c r="Z357" s="549">
        <f>Z284*(SUM(Z$317:Z$321)+SUMIF(Tech_Specs!$K$27:$K$31,"luminaire",System_Mkt_Repl!Y$317:Y$321))</f>
        <v>1.7726706523927487E-2</v>
      </c>
      <c r="AA357" s="549">
        <f>AA284*(SUM(AA$317:AA$321)+SUMIF(Tech_Specs!$K$27:$K$31,"luminaire",System_Mkt_Repl!Z$317:Z$321))</f>
        <v>1.8079861336873521E-2</v>
      </c>
      <c r="AB357" s="549">
        <f>AB284*(SUM(AB$317:AB$321)+SUMIF(Tech_Specs!$K$27:$K$31,"luminaire",System_Mkt_Repl!AA$317:AA$321))</f>
        <v>1.8468957010976748E-2</v>
      </c>
      <c r="AC357" s="549">
        <f>AC284*(SUM(AC$317:AC$321)+SUMIF(Tech_Specs!$K$27:$K$31,"luminaire",System_Mkt_Repl!AB$317:AB$321))</f>
        <v>1.8749861955717009E-2</v>
      </c>
      <c r="AD357" s="549">
        <f>AD284*(SUM(AD$317:AD$321)+SUMIF(Tech_Specs!$K$27:$K$31,"luminaire",System_Mkt_Repl!AC$317:AC$321))</f>
        <v>1.9008949619430695E-2</v>
      </c>
      <c r="AE357" s="549">
        <f>AE284*(SUM(AE$317:AE$321)+SUMIF(Tech_Specs!$K$27:$K$31,"luminaire",System_Mkt_Repl!AD$317:AD$321))</f>
        <v>1.9249114305074536E-2</v>
      </c>
      <c r="AF357" s="549">
        <f>AF284*(SUM(AF$317:AF$321)+SUMIF(Tech_Specs!$K$27:$K$31,"luminaire",System_Mkt_Repl!AE$317:AE$321))</f>
        <v>1.9473222531291193E-2</v>
      </c>
    </row>
    <row r="358" spans="1:32" x14ac:dyDescent="0.25">
      <c r="A358" s="252"/>
      <c r="B358" s="252"/>
      <c r="H358" s="549"/>
      <c r="I358" s="549"/>
      <c r="J358" s="549"/>
      <c r="K358" s="549"/>
      <c r="L358" s="549"/>
      <c r="M358" s="549"/>
      <c r="N358" s="549"/>
      <c r="O358" s="549"/>
      <c r="P358" s="549"/>
      <c r="Q358" s="549"/>
      <c r="R358" s="549"/>
      <c r="S358" s="549"/>
      <c r="T358" s="549"/>
      <c r="U358" s="549"/>
      <c r="V358" s="549"/>
      <c r="W358" s="549"/>
      <c r="X358" s="549"/>
      <c r="Y358" s="549"/>
      <c r="Z358" s="549"/>
      <c r="AA358" s="549"/>
      <c r="AB358" s="549"/>
      <c r="AC358" s="549"/>
      <c r="AD358" s="549"/>
      <c r="AE358" s="549"/>
      <c r="AF358" s="549"/>
    </row>
    <row r="359" spans="1:32" x14ac:dyDescent="0.25">
      <c r="A359" s="267" t="s">
        <v>47</v>
      </c>
      <c r="B359" s="267"/>
      <c r="C359" s="267"/>
      <c r="D359" s="267"/>
      <c r="E359" s="267"/>
      <c r="F359" s="267"/>
      <c r="G359" s="267"/>
      <c r="H359" s="632"/>
      <c r="I359" s="632"/>
      <c r="J359" s="632"/>
      <c r="K359" s="632"/>
      <c r="L359" s="632"/>
      <c r="M359" s="632"/>
      <c r="N359" s="632"/>
      <c r="O359" s="632"/>
      <c r="P359" s="632"/>
      <c r="Q359" s="632"/>
      <c r="R359" s="632"/>
      <c r="S359" s="632"/>
      <c r="T359" s="632"/>
      <c r="U359" s="632"/>
      <c r="V359" s="632"/>
      <c r="W359" s="632"/>
      <c r="X359" s="632"/>
      <c r="Y359" s="632"/>
      <c r="Z359" s="632"/>
      <c r="AA359" s="632"/>
      <c r="AB359" s="632"/>
      <c r="AC359" s="632"/>
      <c r="AD359" s="632"/>
      <c r="AE359" s="632"/>
      <c r="AF359" s="632"/>
    </row>
    <row r="360" spans="1:32" x14ac:dyDescent="0.25">
      <c r="A360" s="252"/>
      <c r="B360" s="252" t="s">
        <v>48</v>
      </c>
      <c r="H360" s="549">
        <f>H287*H324</f>
        <v>0.83412317285040993</v>
      </c>
      <c r="I360" s="549">
        <f t="shared" ref="I360:AE365" si="11">I287*I324</f>
        <v>0.49766219203422773</v>
      </c>
      <c r="J360" s="549">
        <f t="shared" si="11"/>
        <v>0.25595970157069753</v>
      </c>
      <c r="K360" s="549">
        <f t="shared" si="11"/>
        <v>0.1080641419224828</v>
      </c>
      <c r="L360" s="549">
        <f t="shared" si="11"/>
        <v>3.9672553603621312E-2</v>
      </c>
      <c r="M360" s="549">
        <f t="shared" si="11"/>
        <v>1.2478398408231412E-2</v>
      </c>
      <c r="N360" s="549">
        <f t="shared" si="11"/>
        <v>3.7327904889221056E-3</v>
      </c>
      <c r="O360" s="549">
        <f t="shared" si="11"/>
        <v>1.1032058633279164E-3</v>
      </c>
      <c r="P360" s="549">
        <f t="shared" si="11"/>
        <v>3.3294271193295174E-4</v>
      </c>
      <c r="Q360" s="549">
        <f t="shared" si="11"/>
        <v>1.0051314132889605E-4</v>
      </c>
      <c r="R360" s="549">
        <f t="shared" si="11"/>
        <v>3.0350899273375437E-5</v>
      </c>
      <c r="S360" s="549">
        <f t="shared" si="11"/>
        <v>9.3837209457144601E-6</v>
      </c>
      <c r="T360" s="549">
        <f t="shared" si="11"/>
        <v>2.9431562101238733E-6</v>
      </c>
      <c r="U360" s="549">
        <f t="shared" si="11"/>
        <v>9.3306340632117619E-7</v>
      </c>
      <c r="V360" s="549">
        <f t="shared" si="11"/>
        <v>3.0303332838427215E-7</v>
      </c>
      <c r="W360" s="549">
        <f t="shared" si="11"/>
        <v>9.9006610492689164E-8</v>
      </c>
      <c r="X360" s="549">
        <f t="shared" si="11"/>
        <v>3.2527726885089996E-8</v>
      </c>
      <c r="Y360" s="549">
        <f t="shared" si="11"/>
        <v>1.0731166389435835E-8</v>
      </c>
      <c r="Z360" s="549">
        <f t="shared" si="11"/>
        <v>3.5841044105534848E-9</v>
      </c>
      <c r="AA360" s="549">
        <f t="shared" si="11"/>
        <v>1.2152668396675998E-9</v>
      </c>
      <c r="AB360" s="549">
        <f t="shared" si="11"/>
        <v>4.13652465321078E-10</v>
      </c>
      <c r="AC360" s="549">
        <f t="shared" si="11"/>
        <v>1.4094267652967024E-10</v>
      </c>
      <c r="AD360" s="549">
        <f t="shared" si="11"/>
        <v>4.8231073962600403E-11</v>
      </c>
      <c r="AE360" s="549">
        <f t="shared" si="11"/>
        <v>1.6523289555983823E-11</v>
      </c>
      <c r="AF360" s="549">
        <f>AF287*AF324</f>
        <v>5.5558895940225548E-12</v>
      </c>
    </row>
    <row r="361" spans="1:32" x14ac:dyDescent="0.25">
      <c r="A361" s="252"/>
      <c r="B361" s="257" t="s">
        <v>50</v>
      </c>
      <c r="H361" s="549">
        <f>H288*H325</f>
        <v>0.21063980380457192</v>
      </c>
      <c r="I361" s="549">
        <f t="shared" ref="I361:W361" si="12">I288*I325</f>
        <v>0.18414962833407086</v>
      </c>
      <c r="J361" s="549">
        <f t="shared" si="12"/>
        <v>0.14769262070106071</v>
      </c>
      <c r="K361" s="549">
        <f t="shared" si="12"/>
        <v>0.1073828642668152</v>
      </c>
      <c r="L361" s="549">
        <f t="shared" si="12"/>
        <v>7.5258751430981291E-2</v>
      </c>
      <c r="M361" s="549">
        <f t="shared" si="12"/>
        <v>4.9672238614159162E-2</v>
      </c>
      <c r="N361" s="549">
        <f t="shared" si="12"/>
        <v>3.2593244932696684E-2</v>
      </c>
      <c r="O361" s="549">
        <f t="shared" si="12"/>
        <v>2.165465995179135E-2</v>
      </c>
      <c r="P361" s="549">
        <f t="shared" si="12"/>
        <v>1.4802356362587532E-2</v>
      </c>
      <c r="Q361" s="549">
        <f t="shared" si="12"/>
        <v>1.0216320895746001E-2</v>
      </c>
      <c r="R361" s="549">
        <f t="shared" si="12"/>
        <v>7.0951344297601011E-3</v>
      </c>
      <c r="S361" s="549">
        <f t="shared" si="12"/>
        <v>5.039086310332141E-3</v>
      </c>
      <c r="T361" s="549">
        <f t="shared" si="12"/>
        <v>3.6246772589653641E-3</v>
      </c>
      <c r="U361" s="549">
        <f t="shared" si="12"/>
        <v>2.6306601049754827E-3</v>
      </c>
      <c r="V361" s="549">
        <f t="shared" si="12"/>
        <v>1.9444113707123326E-3</v>
      </c>
      <c r="W361" s="549">
        <f t="shared" si="12"/>
        <v>1.441819024785585E-3</v>
      </c>
      <c r="X361" s="549">
        <f t="shared" si="11"/>
        <v>1.0715320362252221E-3</v>
      </c>
      <c r="Y361" s="549">
        <f t="shared" si="11"/>
        <v>7.970774586283047E-4</v>
      </c>
      <c r="Z361" s="549">
        <f t="shared" si="11"/>
        <v>5.9719402841106549E-4</v>
      </c>
      <c r="AA361" s="549">
        <f t="shared" si="11"/>
        <v>4.5149100970954859E-4</v>
      </c>
      <c r="AB361" s="549">
        <f t="shared" si="11"/>
        <v>3.4160287743968264E-4</v>
      </c>
      <c r="AC361" s="549">
        <f t="shared" si="11"/>
        <v>2.5744452357659458E-4</v>
      </c>
      <c r="AD361" s="549">
        <f t="shared" si="11"/>
        <v>1.939682297313786E-4</v>
      </c>
      <c r="AE361" s="549">
        <f t="shared" si="11"/>
        <v>1.4574215530687318E-4</v>
      </c>
      <c r="AF361" s="549">
        <f>AF288*AF325</f>
        <v>1.0761371337247496E-4</v>
      </c>
    </row>
    <row r="362" spans="1:32" x14ac:dyDescent="0.25">
      <c r="A362" s="252"/>
      <c r="B362" s="252" t="s">
        <v>51</v>
      </c>
      <c r="H362" s="549">
        <f>H289*H326</f>
        <v>0.233014994965412</v>
      </c>
      <c r="I362" s="549">
        <f t="shared" si="11"/>
        <v>0.22755486352114798</v>
      </c>
      <c r="J362" s="549">
        <f t="shared" si="11"/>
        <v>0.21645264284516075</v>
      </c>
      <c r="K362" s="549">
        <f t="shared" si="11"/>
        <v>0.19899428704288413</v>
      </c>
      <c r="L362" s="549">
        <f t="shared" si="11"/>
        <v>0.18086702221512313</v>
      </c>
      <c r="M362" s="549">
        <f t="shared" si="11"/>
        <v>0.16134346722144099</v>
      </c>
      <c r="N362" s="549">
        <f t="shared" si="11"/>
        <v>0.14193566540578981</v>
      </c>
      <c r="O362" s="549">
        <f t="shared" si="11"/>
        <v>0.12438676008538985</v>
      </c>
      <c r="P362" s="549">
        <f t="shared" si="11"/>
        <v>0.10915890806270648</v>
      </c>
      <c r="Q362" s="549">
        <f t="shared" si="11"/>
        <v>9.5841436048924436E-2</v>
      </c>
      <c r="R362" s="549">
        <f t="shared" si="11"/>
        <v>8.4200993885616762E-2</v>
      </c>
      <c r="S362" s="549">
        <f t="shared" si="11"/>
        <v>7.4633957129505768E-2</v>
      </c>
      <c r="T362" s="549">
        <f t="shared" si="11"/>
        <v>6.6430817925352589E-2</v>
      </c>
      <c r="U362" s="549">
        <f t="shared" si="11"/>
        <v>5.9372132990935092E-2</v>
      </c>
      <c r="V362" s="549">
        <f t="shared" si="11"/>
        <v>5.3472624643546039E-2</v>
      </c>
      <c r="W362" s="549">
        <f t="shared" si="11"/>
        <v>4.8257177857561707E-2</v>
      </c>
      <c r="X362" s="549">
        <f t="shared" si="11"/>
        <v>4.3609734391110953E-2</v>
      </c>
      <c r="Y362" s="549">
        <f t="shared" si="11"/>
        <v>3.946820091647666E-2</v>
      </c>
      <c r="Z362" s="549">
        <f t="shared" si="11"/>
        <v>3.5879026748574031E-2</v>
      </c>
      <c r="AA362" s="549">
        <f t="shared" si="11"/>
        <v>3.2780736348697881E-2</v>
      </c>
      <c r="AB362" s="549">
        <f t="shared" si="11"/>
        <v>3.0078115987279965E-2</v>
      </c>
      <c r="AC362" s="549">
        <f t="shared" si="11"/>
        <v>2.7476191559667108E-2</v>
      </c>
      <c r="AD362" s="549">
        <f t="shared" si="11"/>
        <v>2.5105103751020132E-2</v>
      </c>
      <c r="AE362" s="549">
        <f t="shared" si="11"/>
        <v>2.2931866513693215E-2</v>
      </c>
      <c r="AF362" s="549">
        <f>AF289*AF326</f>
        <v>2.0885818567841271E-2</v>
      </c>
    </row>
    <row r="363" spans="1:32" x14ac:dyDescent="0.25">
      <c r="A363" s="252"/>
      <c r="B363" s="252" t="s">
        <v>52</v>
      </c>
      <c r="H363" s="549">
        <f>H290*H327</f>
        <v>0.25640042562711785</v>
      </c>
      <c r="I363" s="549">
        <f t="shared" si="11"/>
        <v>0.2314019499637642</v>
      </c>
      <c r="J363" s="549">
        <f t="shared" si="11"/>
        <v>0.19553962605674213</v>
      </c>
      <c r="K363" s="549">
        <f t="shared" si="11"/>
        <v>0.15549867864896832</v>
      </c>
      <c r="L363" s="549">
        <f t="shared" si="11"/>
        <v>0.12152230676877535</v>
      </c>
      <c r="M363" s="549">
        <f t="shared" si="11"/>
        <v>9.3578543160450542E-2</v>
      </c>
      <c r="N363" s="549">
        <f t="shared" si="11"/>
        <v>7.2375561115473844E-2</v>
      </c>
      <c r="O363" s="549">
        <f t="shared" si="11"/>
        <v>5.7001948210661575E-2</v>
      </c>
      <c r="P363" s="549">
        <f t="shared" si="11"/>
        <v>4.5994766034510068E-2</v>
      </c>
      <c r="Q363" s="549">
        <f t="shared" si="11"/>
        <v>3.7800165587215474E-2</v>
      </c>
      <c r="R363" s="549">
        <f t="shared" si="11"/>
        <v>3.1576797131897268E-2</v>
      </c>
      <c r="S363" s="549">
        <f t="shared" si="11"/>
        <v>2.69740380547276E-2</v>
      </c>
      <c r="T363" s="549">
        <f t="shared" si="11"/>
        <v>2.3383595468780011E-2</v>
      </c>
      <c r="U363" s="549">
        <f t="shared" si="11"/>
        <v>2.0522858496977235E-2</v>
      </c>
      <c r="V363" s="549">
        <f t="shared" si="11"/>
        <v>1.8288138346107111E-2</v>
      </c>
      <c r="W363" s="549">
        <f t="shared" si="11"/>
        <v>1.641113588631269E-2</v>
      </c>
      <c r="X363" s="549">
        <f t="shared" si="11"/>
        <v>1.480531406533863E-2</v>
      </c>
      <c r="Y363" s="549">
        <f t="shared" si="11"/>
        <v>1.3416513187863159E-2</v>
      </c>
      <c r="Z363" s="549">
        <f t="shared" si="11"/>
        <v>1.2246246927010684E-2</v>
      </c>
      <c r="AA363" s="549">
        <f t="shared" si="11"/>
        <v>1.1260557977496446E-2</v>
      </c>
      <c r="AB363" s="549">
        <f t="shared" si="11"/>
        <v>1.0408372428367304E-2</v>
      </c>
      <c r="AC363" s="549">
        <f t="shared" si="11"/>
        <v>9.5889947797573524E-3</v>
      </c>
      <c r="AD363" s="549">
        <f t="shared" si="11"/>
        <v>8.8444202146231894E-3</v>
      </c>
      <c r="AE363" s="549">
        <f t="shared" si="11"/>
        <v>8.1590363741574044E-3</v>
      </c>
      <c r="AF363" s="549">
        <f>AF290*AF327</f>
        <v>7.496661173588018E-3</v>
      </c>
    </row>
    <row r="364" spans="1:32" x14ac:dyDescent="0.25">
      <c r="A364" s="252"/>
      <c r="B364" s="257" t="s">
        <v>29</v>
      </c>
      <c r="H364" s="549">
        <f>SUM(H324:H329)-SUM(H360:H363,H365)</f>
        <v>0.60837145772741619</v>
      </c>
      <c r="I364" s="549">
        <f t="shared" ref="I364:AE364" si="13">SUM(I324:I329)-SUM(I360:I363,I365)</f>
        <v>1.0668016861415857</v>
      </c>
      <c r="J364" s="549">
        <f t="shared" si="13"/>
        <v>1.4506276920595484</v>
      </c>
      <c r="K364" s="549">
        <f t="shared" si="13"/>
        <v>1.7280058088491534</v>
      </c>
      <c r="L364" s="549">
        <f t="shared" si="13"/>
        <v>1.927628159525498</v>
      </c>
      <c r="M364" s="549">
        <f t="shared" si="13"/>
        <v>2.0707444231090495</v>
      </c>
      <c r="N364" s="549">
        <f t="shared" si="13"/>
        <v>2.1693781185749175</v>
      </c>
      <c r="O364" s="549">
        <f t="shared" si="13"/>
        <v>2.2494063789039398</v>
      </c>
      <c r="P364" s="549">
        <f t="shared" si="13"/>
        <v>2.318453254804131</v>
      </c>
      <c r="Q364" s="549">
        <f t="shared" si="13"/>
        <v>2.3788535527478727</v>
      </c>
      <c r="R364" s="549">
        <f t="shared" si="13"/>
        <v>2.4253301406078736</v>
      </c>
      <c r="S364" s="549">
        <f t="shared" si="13"/>
        <v>2.4771757494835707</v>
      </c>
      <c r="T364" s="549">
        <f t="shared" si="13"/>
        <v>2.5243378487290267</v>
      </c>
      <c r="U364" s="549">
        <f t="shared" si="13"/>
        <v>2.5675288681118227</v>
      </c>
      <c r="V364" s="549">
        <f t="shared" si="13"/>
        <v>2.6131312259637061</v>
      </c>
      <c r="W364" s="549">
        <f t="shared" si="13"/>
        <v>2.6520576080827971</v>
      </c>
      <c r="X364" s="549">
        <f t="shared" si="13"/>
        <v>2.6836984473859036</v>
      </c>
      <c r="Y364" s="549">
        <f t="shared" si="13"/>
        <v>2.7104354930493471</v>
      </c>
      <c r="Z364" s="549">
        <f t="shared" si="13"/>
        <v>2.7401308668690505</v>
      </c>
      <c r="AA364" s="549">
        <f t="shared" si="13"/>
        <v>2.7753380037706807</v>
      </c>
      <c r="AB364" s="549">
        <f t="shared" si="13"/>
        <v>2.8200159797138467</v>
      </c>
      <c r="AC364" s="549">
        <f t="shared" si="13"/>
        <v>2.8491144405600175</v>
      </c>
      <c r="AD364" s="549">
        <f t="shared" si="13"/>
        <v>2.876680883863949</v>
      </c>
      <c r="AE364" s="549">
        <f t="shared" si="13"/>
        <v>2.9027342183912674</v>
      </c>
      <c r="AF364" s="549">
        <f>SUM(AF324:AF329)-SUM(AF360:AF363,AF365)</f>
        <v>2.927354953650219</v>
      </c>
    </row>
    <row r="365" spans="1:32" x14ac:dyDescent="0.25">
      <c r="A365" s="252"/>
      <c r="B365" s="257" t="s">
        <v>53</v>
      </c>
      <c r="H365" s="549">
        <f>H292*H329</f>
        <v>9.376984114142832E-3</v>
      </c>
      <c r="I365" s="549">
        <f t="shared" si="11"/>
        <v>9.0907045481060898E-3</v>
      </c>
      <c r="J365" s="549">
        <f t="shared" si="11"/>
        <v>8.5690446604460846E-3</v>
      </c>
      <c r="K365" s="549">
        <f t="shared" si="11"/>
        <v>7.8008295722780518E-3</v>
      </c>
      <c r="L365" s="549">
        <f t="shared" si="11"/>
        <v>7.0283879655270651E-3</v>
      </c>
      <c r="M365" s="549">
        <f t="shared" si="11"/>
        <v>6.2233855981903754E-3</v>
      </c>
      <c r="N365" s="549">
        <f t="shared" si="11"/>
        <v>5.4511426448921266E-3</v>
      </c>
      <c r="O365" s="549">
        <f t="shared" si="11"/>
        <v>4.7732648658997566E-3</v>
      </c>
      <c r="P365" s="549">
        <f t="shared" si="11"/>
        <v>4.2013500325835586E-3</v>
      </c>
      <c r="Q365" s="549">
        <f t="shared" si="11"/>
        <v>3.7107039012037918E-3</v>
      </c>
      <c r="R365" s="549">
        <f t="shared" si="11"/>
        <v>3.2880716318335465E-3</v>
      </c>
      <c r="S365" s="549">
        <f t="shared" si="11"/>
        <v>2.946821407288342E-3</v>
      </c>
      <c r="T365" s="549">
        <f t="shared" si="11"/>
        <v>2.6573265543045209E-3</v>
      </c>
      <c r="U365" s="549">
        <f t="shared" si="11"/>
        <v>2.409958744623973E-3</v>
      </c>
      <c r="V365" s="549">
        <f t="shared" si="11"/>
        <v>2.205917224994902E-3</v>
      </c>
      <c r="W365" s="549">
        <f t="shared" si="11"/>
        <v>2.0252902905066204E-3</v>
      </c>
      <c r="X365" s="549">
        <f t="shared" si="11"/>
        <v>1.8635206233188816E-3</v>
      </c>
      <c r="Y365" s="549">
        <f t="shared" si="11"/>
        <v>1.7182924165614435E-3</v>
      </c>
      <c r="Z365" s="549">
        <f t="shared" si="11"/>
        <v>1.5924415257132214E-3</v>
      </c>
      <c r="AA365" s="549">
        <f t="shared" si="11"/>
        <v>1.483971690745263E-3</v>
      </c>
      <c r="AB365" s="549">
        <f t="shared" si="11"/>
        <v>1.3889833503286379E-3</v>
      </c>
      <c r="AC365" s="549">
        <f t="shared" si="11"/>
        <v>1.2945961668864678E-3</v>
      </c>
      <c r="AD365" s="549">
        <f t="shared" si="11"/>
        <v>1.2071697845433816E-3</v>
      </c>
      <c r="AE365" s="549">
        <f t="shared" si="11"/>
        <v>1.12535512560204E-3</v>
      </c>
      <c r="AF365" s="549">
        <f>AF292*AF329</f>
        <v>1.0455924128225283E-3</v>
      </c>
    </row>
    <row r="367" spans="1:32" x14ac:dyDescent="0.25">
      <c r="G367" s="1059" t="s">
        <v>238</v>
      </c>
      <c r="H367" s="853">
        <f ca="1">SUM(H335:H365)</f>
        <v>12.515875428710112</v>
      </c>
      <c r="I367" s="853">
        <f t="shared" ref="I367:AF367" ca="1" si="14">SUM(I335:I365)</f>
        <v>12.892442254012321</v>
      </c>
      <c r="J367" s="853">
        <f t="shared" ca="1" si="14"/>
        <v>13.2309324553107</v>
      </c>
      <c r="K367" s="853">
        <f t="shared" ca="1" si="14"/>
        <v>13.410961414096896</v>
      </c>
      <c r="L367" s="853">
        <f t="shared" ca="1" si="14"/>
        <v>13.680553536771313</v>
      </c>
      <c r="M367" s="853">
        <f t="shared" ca="1" si="14"/>
        <v>13.92666438711375</v>
      </c>
      <c r="N367" s="853">
        <f t="shared" ca="1" si="14"/>
        <v>14.112000883001821</v>
      </c>
      <c r="O367" s="853">
        <f t="shared" ca="1" si="14"/>
        <v>14.307002014511632</v>
      </c>
      <c r="P367" s="853">
        <f t="shared" ca="1" si="14"/>
        <v>14.513704406275101</v>
      </c>
      <c r="Q367" s="853">
        <f t="shared" ca="1" si="14"/>
        <v>14.71589984844495</v>
      </c>
      <c r="R367" s="853">
        <f t="shared" ca="1" si="14"/>
        <v>14.869727180741835</v>
      </c>
      <c r="S367" s="853">
        <f t="shared" ca="1" si="14"/>
        <v>15.0846261149648</v>
      </c>
      <c r="T367" s="853">
        <f t="shared" ca="1" si="14"/>
        <v>15.291548408686561</v>
      </c>
      <c r="U367" s="853">
        <f t="shared" ca="1" si="14"/>
        <v>15.490153054402887</v>
      </c>
      <c r="V367" s="853">
        <f t="shared" ca="1" si="14"/>
        <v>15.716191681981334</v>
      </c>
      <c r="W367" s="853">
        <f t="shared" ca="1" si="14"/>
        <v>15.911459710005046</v>
      </c>
      <c r="X367" s="853">
        <f t="shared" ca="1" si="14"/>
        <v>16.070684382120266</v>
      </c>
      <c r="Y367" s="853">
        <f t="shared" ca="1" si="14"/>
        <v>16.206595012004165</v>
      </c>
      <c r="Z367" s="853">
        <f t="shared" ca="1" si="14"/>
        <v>16.364908487878033</v>
      </c>
      <c r="AA367" s="853">
        <f t="shared" ca="1" si="14"/>
        <v>16.559681842844</v>
      </c>
      <c r="AB367" s="853">
        <f t="shared" ca="1" si="14"/>
        <v>16.81289305607735</v>
      </c>
      <c r="AC367" s="853">
        <f t="shared" ca="1" si="14"/>
        <v>16.97642488342051</v>
      </c>
      <c r="AD367" s="853">
        <f t="shared" ca="1" si="14"/>
        <v>17.132793073378604</v>
      </c>
      <c r="AE367" s="853">
        <f t="shared" ca="1" si="14"/>
        <v>17.281732977673766</v>
      </c>
      <c r="AF367" s="853">
        <f t="shared" ca="1" si="14"/>
        <v>17.423007776975702</v>
      </c>
    </row>
    <row r="368" spans="1:32" x14ac:dyDescent="0.25">
      <c r="G368" s="1059" t="s">
        <v>13</v>
      </c>
      <c r="H368" s="853">
        <v>12.515875377444846</v>
      </c>
      <c r="I368" s="853">
        <v>12.892437924927149</v>
      </c>
      <c r="J368" s="853">
        <v>13.230895555639588</v>
      </c>
      <c r="K368" s="853">
        <v>13.410758799533395</v>
      </c>
      <c r="L368" s="853">
        <v>13.67988241119602</v>
      </c>
      <c r="M368" s="853">
        <v>13.92507425368318</v>
      </c>
      <c r="N368" s="853">
        <v>14.108970127532086</v>
      </c>
      <c r="O368" s="853">
        <v>14.302054305327928</v>
      </c>
      <c r="P368" s="853">
        <v>14.506453001092169</v>
      </c>
      <c r="Q368" s="853">
        <v>14.706063379984013</v>
      </c>
      <c r="R368" s="853">
        <v>14.857116466839837</v>
      </c>
      <c r="S368" s="853">
        <v>15.069131922446687</v>
      </c>
      <c r="T368" s="853">
        <v>15.273112054677629</v>
      </c>
      <c r="U368" s="853">
        <v>15.468775087150883</v>
      </c>
      <c r="V368" s="853">
        <v>15.69192653574645</v>
      </c>
      <c r="W368" s="853">
        <v>15.884402059662895</v>
      </c>
      <c r="X368" s="853">
        <v>16.040975647262307</v>
      </c>
      <c r="Y368" s="853">
        <v>16.174415485250723</v>
      </c>
      <c r="Z368" s="853">
        <v>16.330465041442288</v>
      </c>
      <c r="AA368" s="853">
        <v>16.52318934883527</v>
      </c>
      <c r="AB368" s="853">
        <v>16.774564558849846</v>
      </c>
      <c r="AC368" s="853">
        <v>16.936464850811344</v>
      </c>
      <c r="AD368" s="853">
        <v>17.091417673025667</v>
      </c>
      <c r="AE368" s="853">
        <v>17.239150928601333</v>
      </c>
      <c r="AF368" s="853">
        <v>17.379418528522848</v>
      </c>
    </row>
    <row r="369" spans="7:32" x14ac:dyDescent="0.25">
      <c r="G369" s="1059" t="s">
        <v>751</v>
      </c>
      <c r="H369" s="853">
        <v>58.726781420351919</v>
      </c>
      <c r="I369" s="853">
        <v>60.395329428209109</v>
      </c>
      <c r="J369" s="853">
        <v>61.276375006107067</v>
      </c>
      <c r="K369" s="853">
        <v>61.728932983947416</v>
      </c>
      <c r="L369" s="853">
        <v>62.365428294739338</v>
      </c>
      <c r="M369" s="853">
        <v>62.354828052179997</v>
      </c>
      <c r="N369" s="853">
        <v>63.224097006366954</v>
      </c>
      <c r="O369" s="853">
        <v>65.259291193598486</v>
      </c>
      <c r="P369" s="853">
        <v>66.477938183142072</v>
      </c>
      <c r="Q369" s="853">
        <v>68.455777221316339</v>
      </c>
      <c r="R369" s="853">
        <v>69.740385625090923</v>
      </c>
      <c r="S369" s="853">
        <v>71.466339906595408</v>
      </c>
      <c r="T369" s="853">
        <v>73.283934619356415</v>
      </c>
      <c r="U369" s="853">
        <v>75.41905147034548</v>
      </c>
      <c r="V369" s="853">
        <v>77.532858418956209</v>
      </c>
      <c r="W369" s="853">
        <v>79.466312790442529</v>
      </c>
      <c r="X369" s="853">
        <v>82.031435908443896</v>
      </c>
      <c r="Y369" s="853">
        <v>84.716842360743215</v>
      </c>
      <c r="Z369" s="853">
        <v>87.139978781786951</v>
      </c>
      <c r="AA369" s="853">
        <v>89.357304974907862</v>
      </c>
      <c r="AB369" s="853">
        <v>91.540120393223887</v>
      </c>
      <c r="AC369" s="853">
        <v>93.774807785707281</v>
      </c>
      <c r="AD369" s="853">
        <v>95.963728605091219</v>
      </c>
      <c r="AE369" s="853">
        <v>98.109009927670172</v>
      </c>
      <c r="AF369" s="853">
        <v>100.19946767826328</v>
      </c>
    </row>
    <row r="370" spans="7:32" x14ac:dyDescent="0.25">
      <c r="G370" s="1059" t="s">
        <v>15</v>
      </c>
      <c r="H370" s="853">
        <v>4.8532321749132636</v>
      </c>
      <c r="I370" s="853">
        <v>4.9061528285160021</v>
      </c>
      <c r="J370" s="853">
        <v>4.9611092374408408</v>
      </c>
      <c r="K370" s="853">
        <v>5.0258639300293337</v>
      </c>
      <c r="L370" s="853">
        <v>5.1024237490567481</v>
      </c>
      <c r="M370" s="853">
        <v>5.1563866817344213</v>
      </c>
      <c r="N370" s="853">
        <v>5.2549805958281484</v>
      </c>
      <c r="O370" s="853">
        <v>5.3368253347982009</v>
      </c>
      <c r="P370" s="853">
        <v>5.4527069082719164</v>
      </c>
      <c r="Q370" s="853">
        <v>5.5477619233753392</v>
      </c>
      <c r="R370" s="853">
        <v>5.6515388875957502</v>
      </c>
      <c r="S370" s="853">
        <v>5.7769346393407206</v>
      </c>
      <c r="T370" s="853">
        <v>5.8839093619142071</v>
      </c>
      <c r="U370" s="853">
        <v>5.9889439391269494</v>
      </c>
      <c r="V370" s="853">
        <v>6.0908970002349756</v>
      </c>
      <c r="W370" s="853">
        <v>6.1993975774565024</v>
      </c>
      <c r="X370" s="853">
        <v>6.2865903128487979</v>
      </c>
      <c r="Y370" s="853">
        <v>6.3666587712258282</v>
      </c>
      <c r="Z370" s="853">
        <v>6.4382374191728582</v>
      </c>
      <c r="AA370" s="853">
        <v>6.5022444970767577</v>
      </c>
      <c r="AB370" s="853">
        <v>6.556628274360083</v>
      </c>
      <c r="AC370" s="853">
        <v>6.6017752349380352</v>
      </c>
      <c r="AD370" s="853">
        <v>6.6379786982989222</v>
      </c>
      <c r="AE370" s="853">
        <v>6.6662592404289001</v>
      </c>
      <c r="AF370" s="853">
        <v>6.6865441291909846</v>
      </c>
    </row>
    <row r="371" spans="7:32" x14ac:dyDescent="0.25">
      <c r="G371" s="1059" t="s">
        <v>16</v>
      </c>
      <c r="H371" s="853">
        <v>12.491535483937099</v>
      </c>
      <c r="I371" s="853">
        <v>12.925489330164392</v>
      </c>
      <c r="J371" s="853">
        <v>13.125598782624262</v>
      </c>
      <c r="K371" s="853">
        <v>13.222180052899274</v>
      </c>
      <c r="L371" s="853">
        <v>13.413733111250648</v>
      </c>
      <c r="M371" s="853">
        <v>13.450655553493631</v>
      </c>
      <c r="N371" s="853">
        <v>13.759746645074143</v>
      </c>
      <c r="O371" s="853">
        <v>14.469806460840005</v>
      </c>
      <c r="P371" s="853">
        <v>14.936572625477652</v>
      </c>
      <c r="Q371" s="853">
        <v>15.592004798913214</v>
      </c>
      <c r="R371" s="853">
        <v>16.090408622580537</v>
      </c>
      <c r="S371" s="853">
        <v>16.642547039947623</v>
      </c>
      <c r="T371" s="853">
        <v>17.236614203313191</v>
      </c>
      <c r="U371" s="853">
        <v>17.922128025147355</v>
      </c>
      <c r="V371" s="853">
        <v>18.571558996169767</v>
      </c>
      <c r="W371" s="853">
        <v>19.129069630931898</v>
      </c>
      <c r="X371" s="853">
        <v>19.920242867105888</v>
      </c>
      <c r="Y371" s="853">
        <v>20.701697149507197</v>
      </c>
      <c r="Z371" s="853">
        <v>21.392378484620888</v>
      </c>
      <c r="AA371" s="853">
        <v>21.993246713746988</v>
      </c>
      <c r="AB371" s="853">
        <v>22.601827166760163</v>
      </c>
      <c r="AC371" s="853">
        <v>23.220620105476826</v>
      </c>
      <c r="AD371" s="853">
        <v>23.821299400153134</v>
      </c>
      <c r="AE371" s="853">
        <v>24.410015347359494</v>
      </c>
      <c r="AF371" s="853">
        <v>24.972857059562063</v>
      </c>
    </row>
    <row r="372" spans="7:32" x14ac:dyDescent="0.25">
      <c r="G372" s="1059" t="s">
        <v>752</v>
      </c>
      <c r="H372" s="853">
        <f>SUM(H368:H371)</f>
        <v>88.587424456647128</v>
      </c>
      <c r="I372" s="853">
        <f t="shared" ref="I372:AF372" si="15">SUM(I368:I371)</f>
        <v>91.119409511816656</v>
      </c>
      <c r="J372" s="853">
        <f t="shared" si="15"/>
        <v>92.593978581811754</v>
      </c>
      <c r="K372" s="853">
        <f t="shared" si="15"/>
        <v>93.387735766409421</v>
      </c>
      <c r="L372" s="853">
        <f t="shared" si="15"/>
        <v>94.561467566242769</v>
      </c>
      <c r="M372" s="853">
        <f t="shared" si="15"/>
        <v>94.886944541091225</v>
      </c>
      <c r="N372" s="853">
        <f t="shared" si="15"/>
        <v>96.347794374801325</v>
      </c>
      <c r="O372" s="853">
        <f t="shared" si="15"/>
        <v>99.367977294564625</v>
      </c>
      <c r="P372" s="853">
        <f t="shared" si="15"/>
        <v>101.37367071798381</v>
      </c>
      <c r="Q372" s="853">
        <f t="shared" si="15"/>
        <v>104.3016073235889</v>
      </c>
      <c r="R372" s="853">
        <f t="shared" si="15"/>
        <v>106.33944960210705</v>
      </c>
      <c r="S372" s="853">
        <f t="shared" si="15"/>
        <v>108.95495350833045</v>
      </c>
      <c r="T372" s="853">
        <f t="shared" si="15"/>
        <v>111.67757023926144</v>
      </c>
      <c r="U372" s="853">
        <f t="shared" si="15"/>
        <v>114.79889852177068</v>
      </c>
      <c r="V372" s="853">
        <f t="shared" si="15"/>
        <v>117.8872409511074</v>
      </c>
      <c r="W372" s="853">
        <f t="shared" si="15"/>
        <v>120.67918205849382</v>
      </c>
      <c r="X372" s="853">
        <f t="shared" si="15"/>
        <v>124.27924473566088</v>
      </c>
      <c r="Y372" s="853">
        <f t="shared" si="15"/>
        <v>127.95961376672696</v>
      </c>
      <c r="Z372" s="853">
        <f t="shared" si="15"/>
        <v>131.30105972702299</v>
      </c>
      <c r="AA372" s="853">
        <f t="shared" si="15"/>
        <v>134.37598553456689</v>
      </c>
      <c r="AB372" s="853">
        <f t="shared" si="15"/>
        <v>137.47314039319397</v>
      </c>
      <c r="AC372" s="853">
        <f t="shared" si="15"/>
        <v>140.53366797693349</v>
      </c>
      <c r="AD372" s="853">
        <f t="shared" si="15"/>
        <v>143.51442437656894</v>
      </c>
      <c r="AE372" s="853">
        <f t="shared" si="15"/>
        <v>146.4244354440599</v>
      </c>
      <c r="AF372" s="853">
        <f t="shared" si="15"/>
        <v>149.23828739553917</v>
      </c>
    </row>
    <row r="374" spans="7:32" x14ac:dyDescent="0.25">
      <c r="G374" s="1059"/>
      <c r="H374" s="1031">
        <f>H364/SUM(H360:H365)</f>
        <v>0.28271010272121755</v>
      </c>
      <c r="I374" s="1031">
        <f t="shared" ref="I374:AF374" si="16">I364/SUM(I360:I365)</f>
        <v>0.48126514353342353</v>
      </c>
      <c r="J374" s="1031">
        <f t="shared" si="16"/>
        <v>0.63768302178804204</v>
      </c>
      <c r="K374" s="1031">
        <f t="shared" si="16"/>
        <v>0.74943439193536887</v>
      </c>
      <c r="L374" s="1031">
        <f t="shared" si="16"/>
        <v>0.81957774704613595</v>
      </c>
      <c r="M374" s="1031">
        <f t="shared" si="16"/>
        <v>0.86495799092402115</v>
      </c>
      <c r="N374" s="1031">
        <f t="shared" si="16"/>
        <v>0.89441684635010033</v>
      </c>
      <c r="O374" s="1031">
        <f t="shared" si="16"/>
        <v>0.91501541273999354</v>
      </c>
      <c r="P374" s="1031">
        <f t="shared" si="16"/>
        <v>0.93000630870927437</v>
      </c>
      <c r="Q374" s="1031">
        <f t="shared" si="16"/>
        <v>0.94155241905281029</v>
      </c>
      <c r="R374" s="1031">
        <f t="shared" si="16"/>
        <v>0.95054270616850611</v>
      </c>
      <c r="S374" s="1031">
        <f t="shared" si="16"/>
        <v>0.95762943603108253</v>
      </c>
      <c r="T374" s="1031">
        <f t="shared" si="16"/>
        <v>0.96332697458647043</v>
      </c>
      <c r="U374" s="1031">
        <f t="shared" si="16"/>
        <v>0.96797826541591836</v>
      </c>
      <c r="V374" s="1031">
        <f t="shared" si="16"/>
        <v>0.97177010359090255</v>
      </c>
      <c r="W374" s="1031">
        <f t="shared" si="16"/>
        <v>0.97495195421581859</v>
      </c>
      <c r="X374" s="1031">
        <f t="shared" si="16"/>
        <v>0.97765062007729242</v>
      </c>
      <c r="Y374" s="1031">
        <f t="shared" si="16"/>
        <v>0.9799698525263526</v>
      </c>
      <c r="Z374" s="1031">
        <f t="shared" si="16"/>
        <v>0.9819688620434216</v>
      </c>
      <c r="AA374" s="1031">
        <f t="shared" si="16"/>
        <v>0.98370378276789006</v>
      </c>
      <c r="AB374" s="1031">
        <f t="shared" si="16"/>
        <v>0.98525030133842573</v>
      </c>
      <c r="AC374" s="1031">
        <f t="shared" si="16"/>
        <v>0.98662714143340902</v>
      </c>
      <c r="AD374" s="1031">
        <f t="shared" si="16"/>
        <v>0.9878604810864714</v>
      </c>
      <c r="AE374" s="1031">
        <f t="shared" si="16"/>
        <v>0.98897412630616344</v>
      </c>
      <c r="AF374" s="1031">
        <f t="shared" si="16"/>
        <v>0.99001123495120513</v>
      </c>
    </row>
    <row r="375" spans="7:32" x14ac:dyDescent="0.25">
      <c r="G375" s="1059"/>
      <c r="H375" s="1031"/>
      <c r="I375" s="1031"/>
      <c r="J375" s="1031"/>
      <c r="K375" s="1031"/>
      <c r="L375" s="1031"/>
      <c r="M375" s="1031"/>
      <c r="N375" s="1031"/>
      <c r="O375" s="1031"/>
      <c r="P375" s="1031"/>
      <c r="Q375" s="1031"/>
      <c r="R375" s="1031"/>
      <c r="S375" s="1031"/>
      <c r="T375" s="1031"/>
      <c r="U375" s="1031"/>
      <c r="V375" s="1031"/>
      <c r="W375" s="1031"/>
      <c r="X375" s="1031"/>
      <c r="Y375" s="1031"/>
      <c r="Z375" s="1031"/>
      <c r="AA375" s="1031"/>
      <c r="AB375" s="1031"/>
      <c r="AC375" s="1031"/>
      <c r="AD375" s="1031"/>
      <c r="AE375" s="1031"/>
      <c r="AF375" s="1031"/>
    </row>
    <row r="376" spans="7:32" x14ac:dyDescent="0.25">
      <c r="G376" s="1059"/>
      <c r="H376" s="1031"/>
      <c r="I376" s="1031"/>
      <c r="J376" s="1031"/>
      <c r="K376" s="1031"/>
      <c r="L376" s="1031"/>
      <c r="M376" s="1031"/>
      <c r="N376" s="1031"/>
      <c r="O376" s="1031"/>
      <c r="P376" s="1031"/>
      <c r="Q376" s="1031"/>
      <c r="R376" s="1031"/>
      <c r="S376" s="1031"/>
      <c r="T376" s="1031"/>
      <c r="U376" s="1031"/>
      <c r="V376" s="1031"/>
      <c r="W376" s="1031"/>
      <c r="X376" s="1031"/>
      <c r="Y376" s="1031"/>
      <c r="Z376" s="1031"/>
      <c r="AA376" s="1031"/>
      <c r="AB376" s="1031"/>
      <c r="AC376" s="1031"/>
      <c r="AD376" s="1031"/>
      <c r="AE376" s="1031"/>
      <c r="AF376" s="1031"/>
    </row>
    <row r="377" spans="7:32" x14ac:dyDescent="0.25">
      <c r="G377" s="1059"/>
      <c r="H377" s="1031"/>
      <c r="I377" s="1031"/>
      <c r="J377" s="1031"/>
      <c r="K377" s="1031"/>
      <c r="L377" s="1031"/>
      <c r="M377" s="1031"/>
      <c r="N377" s="1031"/>
      <c r="O377" s="1031"/>
      <c r="P377" s="1031"/>
      <c r="Q377" s="1031"/>
      <c r="R377" s="1031"/>
      <c r="S377" s="1031"/>
      <c r="T377" s="1031"/>
      <c r="U377" s="1031"/>
      <c r="V377" s="1031"/>
      <c r="W377" s="1031"/>
      <c r="X377" s="1031"/>
      <c r="Y377" s="1031"/>
      <c r="Z377" s="1031"/>
      <c r="AA377" s="1031"/>
      <c r="AB377" s="1031"/>
      <c r="AC377" s="1031"/>
      <c r="AD377" s="1031"/>
      <c r="AE377" s="1031"/>
      <c r="AF377" s="1031"/>
    </row>
    <row r="378" spans="7:32" x14ac:dyDescent="0.25">
      <c r="G378" s="1059"/>
      <c r="H378" s="1031"/>
      <c r="I378" s="1031"/>
      <c r="J378" s="1031"/>
      <c r="K378" s="1031"/>
      <c r="L378" s="1031"/>
      <c r="M378" s="1031"/>
      <c r="N378" s="1031"/>
      <c r="O378" s="1031"/>
      <c r="P378" s="1031"/>
      <c r="Q378" s="1031"/>
      <c r="R378" s="1031"/>
      <c r="S378" s="1031"/>
      <c r="T378" s="1031"/>
      <c r="U378" s="1031"/>
      <c r="V378" s="1031"/>
      <c r="W378" s="1031"/>
      <c r="X378" s="1031"/>
      <c r="Y378" s="1031"/>
      <c r="Z378" s="1031"/>
      <c r="AA378" s="1031"/>
      <c r="AB378" s="1031"/>
      <c r="AC378" s="1031"/>
      <c r="AD378" s="1031"/>
      <c r="AE378" s="1031"/>
      <c r="AF378" s="1031"/>
    </row>
    <row r="379" spans="7:32" x14ac:dyDescent="0.25">
      <c r="G379" s="1059"/>
      <c r="H379" s="1031"/>
      <c r="I379" s="1031"/>
      <c r="J379" s="1031"/>
      <c r="K379" s="1031"/>
      <c r="L379" s="1031"/>
      <c r="M379" s="1031"/>
      <c r="N379" s="1031"/>
      <c r="O379" s="1031"/>
      <c r="P379" s="1031"/>
      <c r="Q379" s="1031"/>
      <c r="R379" s="1031"/>
      <c r="S379" s="1031"/>
      <c r="T379" s="1031"/>
      <c r="U379" s="1031"/>
      <c r="V379" s="1031"/>
      <c r="W379" s="1031"/>
      <c r="X379" s="1031"/>
      <c r="Y379" s="1031"/>
      <c r="Z379" s="1031"/>
      <c r="AA379" s="1031"/>
      <c r="AB379" s="1031"/>
      <c r="AC379" s="1031"/>
      <c r="AD379" s="1031"/>
      <c r="AE379" s="1031"/>
      <c r="AF379" s="1031"/>
    </row>
  </sheetData>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B0F0"/>
  </sheetPr>
  <dimension ref="A1:AF193"/>
  <sheetViews>
    <sheetView zoomScale="59" zoomScaleNormal="59" workbookViewId="0">
      <selection activeCell="A37" sqref="A37"/>
    </sheetView>
  </sheetViews>
  <sheetFormatPr defaultRowHeight="15" x14ac:dyDescent="0.25"/>
  <cols>
    <col min="7" max="7" width="14.42578125" bestFit="1" customWidth="1"/>
  </cols>
  <sheetData>
    <row r="1" spans="1:32" ht="18" x14ac:dyDescent="0.4">
      <c r="A1" s="209" t="s">
        <v>161</v>
      </c>
      <c r="B1" s="206"/>
      <c r="C1" s="206"/>
      <c r="D1" s="206"/>
      <c r="E1" s="206"/>
      <c r="F1" s="206"/>
      <c r="G1" s="206"/>
      <c r="H1" s="207"/>
      <c r="I1" s="206"/>
      <c r="J1" s="206"/>
      <c r="K1" s="206"/>
      <c r="L1" s="206"/>
      <c r="M1" s="206"/>
      <c r="N1" s="206"/>
      <c r="O1" s="206"/>
      <c r="P1" s="206"/>
      <c r="Q1" s="206"/>
      <c r="R1" s="206"/>
      <c r="S1" s="206"/>
      <c r="T1" s="206"/>
      <c r="U1" s="206"/>
      <c r="V1" s="206"/>
      <c r="W1" s="206"/>
      <c r="X1" s="206"/>
      <c r="Y1" s="206"/>
      <c r="Z1" s="206"/>
      <c r="AA1" s="206"/>
      <c r="AB1" s="206"/>
      <c r="AC1" s="206"/>
      <c r="AD1" s="206"/>
      <c r="AE1" s="206"/>
      <c r="AF1" s="206"/>
    </row>
    <row r="2" spans="1:32" ht="14.45" x14ac:dyDescent="0.35">
      <c r="A2" s="1040" t="s">
        <v>675</v>
      </c>
      <c r="B2" s="206"/>
      <c r="C2" s="206"/>
      <c r="D2" s="206"/>
      <c r="E2" s="206"/>
      <c r="F2" s="206"/>
      <c r="G2" s="206"/>
      <c r="H2" s="207"/>
      <c r="I2" s="206"/>
      <c r="J2" s="206"/>
      <c r="K2" s="206"/>
      <c r="L2" s="206"/>
      <c r="M2" s="206"/>
      <c r="N2" s="206"/>
      <c r="O2" s="206"/>
      <c r="P2" s="206"/>
      <c r="Q2" s="206"/>
      <c r="R2" s="206"/>
      <c r="S2" s="206"/>
      <c r="T2" s="206"/>
      <c r="U2" s="206"/>
      <c r="V2" s="206"/>
      <c r="W2" s="206"/>
      <c r="X2" s="206"/>
      <c r="Y2" s="206"/>
      <c r="Z2" s="206"/>
      <c r="AA2" s="206"/>
      <c r="AB2" s="206"/>
      <c r="AC2" s="206"/>
      <c r="AD2" s="206"/>
      <c r="AE2" s="206"/>
      <c r="AF2" s="206"/>
    </row>
    <row r="4" spans="1:32" ht="14.45" x14ac:dyDescent="0.35">
      <c r="A4" s="206"/>
      <c r="B4" s="206"/>
      <c r="C4" s="206"/>
      <c r="D4" s="208"/>
      <c r="E4" s="208"/>
      <c r="F4" s="208"/>
      <c r="G4" s="208">
        <v>2010</v>
      </c>
      <c r="H4" s="208">
        <v>2011</v>
      </c>
      <c r="I4" s="208">
        <v>2012</v>
      </c>
      <c r="J4" s="208">
        <v>2013</v>
      </c>
      <c r="K4" s="208">
        <v>2014</v>
      </c>
      <c r="L4" s="208">
        <v>2015</v>
      </c>
      <c r="M4" s="208">
        <v>2016</v>
      </c>
      <c r="N4" s="208">
        <v>2017</v>
      </c>
      <c r="O4" s="208">
        <v>2018</v>
      </c>
      <c r="P4" s="208">
        <v>2019</v>
      </c>
      <c r="Q4" s="208">
        <v>2020</v>
      </c>
      <c r="R4" s="208">
        <v>2021</v>
      </c>
      <c r="S4" s="208">
        <v>2022</v>
      </c>
      <c r="T4" s="208">
        <v>2023</v>
      </c>
      <c r="U4" s="208">
        <v>2024</v>
      </c>
      <c r="V4" s="208">
        <v>2025</v>
      </c>
      <c r="W4" s="208">
        <v>2026</v>
      </c>
      <c r="X4" s="208">
        <v>2027</v>
      </c>
      <c r="Y4" s="208">
        <v>2028</v>
      </c>
      <c r="Z4" s="208">
        <v>2029</v>
      </c>
      <c r="AA4" s="208">
        <v>2030</v>
      </c>
      <c r="AB4" s="208">
        <v>2031</v>
      </c>
      <c r="AC4" s="208">
        <v>2032</v>
      </c>
      <c r="AD4" s="208">
        <v>2033</v>
      </c>
      <c r="AE4" s="208">
        <v>2034</v>
      </c>
      <c r="AF4" s="208">
        <v>2035</v>
      </c>
    </row>
    <row r="5" spans="1:32" ht="14.45" x14ac:dyDescent="0.35">
      <c r="A5" s="214" t="s">
        <v>163</v>
      </c>
      <c r="B5" s="215"/>
      <c r="C5" s="214"/>
      <c r="D5" s="213"/>
      <c r="E5" s="213"/>
      <c r="F5" s="213"/>
      <c r="G5" s="213" t="s">
        <v>698</v>
      </c>
      <c r="H5" s="217"/>
      <c r="I5" s="217"/>
      <c r="J5" s="217"/>
      <c r="K5" s="217"/>
      <c r="L5" s="217"/>
      <c r="M5" s="217"/>
      <c r="N5" s="217"/>
      <c r="O5" s="217"/>
      <c r="P5" s="217"/>
      <c r="Q5" s="217"/>
      <c r="R5" s="217"/>
      <c r="S5" s="217"/>
      <c r="T5" s="217"/>
      <c r="U5" s="217"/>
      <c r="V5" s="217"/>
      <c r="W5" s="217"/>
      <c r="X5" s="217"/>
      <c r="Y5" s="217"/>
      <c r="Z5" s="217"/>
      <c r="AA5" s="217"/>
      <c r="AB5" s="217"/>
      <c r="AC5" s="217"/>
      <c r="AD5" s="217"/>
      <c r="AE5" s="217"/>
      <c r="AF5" s="217"/>
    </row>
    <row r="6" spans="1:32" ht="14.45" x14ac:dyDescent="0.35">
      <c r="A6" s="211" t="s">
        <v>12</v>
      </c>
      <c r="B6" s="210"/>
    </row>
    <row r="7" spans="1:32" ht="14.45" x14ac:dyDescent="0.35">
      <c r="A7" s="210"/>
      <c r="B7" s="210" t="s">
        <v>20</v>
      </c>
    </row>
    <row r="8" spans="1:32" s="216" customFormat="1" ht="12.95" x14ac:dyDescent="0.3">
      <c r="A8" s="216" t="s">
        <v>21</v>
      </c>
    </row>
    <row r="9" spans="1:32" ht="14.45" x14ac:dyDescent="0.35">
      <c r="A9" s="210"/>
      <c r="B9" s="210" t="s">
        <v>22</v>
      </c>
      <c r="G9" s="549">
        <f t="array" ref="G9:G39" ca="1">Stock_2010</f>
        <v>55.283949334175901</v>
      </c>
      <c r="H9" s="549">
        <f ca="1">IF(Sys_Repl_Rate!G9&lt;1,System_Total_Mkt!G9*(1-Sys_Repl_Rate!G9)*(1-Retrofit_Rate)-(1-Standards_Acceptance!H9)*(Lamp_Mkt_Repl!H9)+System_Mkt_Repl!G335+System_Mkt_NC!H335,System_Mkt_Repl!G335+System_Mkt_NC!H335)</f>
        <v>51.221183097607906</v>
      </c>
      <c r="I9" s="549">
        <f ca="1">IF(Sys_Repl_Rate!H9&lt;1,System_Total_Mkt!H9*(1-Sys_Repl_Rate!H9)*(1-Retrofit_Rate)-(1-Standards_Acceptance!I9)*(Lamp_Mkt_Repl!I9)+System_Mkt_Repl!H335+System_Mkt_NC!I335,System_Mkt_Repl!H335+System_Mkt_NC!I335)</f>
        <v>46.219980373274005</v>
      </c>
      <c r="J9" s="549">
        <f ca="1">IF(Sys_Repl_Rate!I9&lt;1,System_Total_Mkt!I9*(1-Sys_Repl_Rate!I9)*(1-Retrofit_Rate)-(1-Standards_Acceptance!J9)*(Lamp_Mkt_Repl!J9)+System_Mkt_Repl!I335+System_Mkt_NC!J335,System_Mkt_Repl!I335+System_Mkt_NC!J335)</f>
        <v>36.90790759238255</v>
      </c>
      <c r="K9" s="549">
        <f ca="1">IF(Sys_Repl_Rate!J9&lt;1,System_Total_Mkt!J9*(1-Sys_Repl_Rate!J9)*(1-Retrofit_Rate)-(1-Standards_Acceptance!K9)*(Lamp_Mkt_Repl!K9)+System_Mkt_Repl!J335+System_Mkt_NC!K335,System_Mkt_Repl!J335+System_Mkt_NC!K335)</f>
        <v>27.940686068047334</v>
      </c>
      <c r="L9" s="549">
        <f ca="1">IF(Sys_Repl_Rate!K9&lt;1,System_Total_Mkt!K9*(1-Sys_Repl_Rate!K9)*(1-Retrofit_Rate)-(1-Standards_Acceptance!L9)*(Lamp_Mkt_Repl!L9)+System_Mkt_Repl!K335+System_Mkt_NC!L335,System_Mkt_Repl!K335+System_Mkt_NC!L335)</f>
        <v>19.99829177336526</v>
      </c>
      <c r="M9" s="549">
        <f ca="1">IF(Sys_Repl_Rate!L9&lt;1,System_Total_Mkt!L9*(1-Sys_Repl_Rate!L9)*(1-Retrofit_Rate)-(1-Standards_Acceptance!M9)*(Lamp_Mkt_Repl!M9)+System_Mkt_Repl!L335+System_Mkt_NC!M335,System_Mkt_Repl!L335+System_Mkt_NC!M335)</f>
        <v>12.077700198095089</v>
      </c>
      <c r="N9" s="549">
        <f ca="1">IF(Sys_Repl_Rate!M9&lt;1,System_Total_Mkt!M9*(1-Sys_Repl_Rate!M9)*(1-Retrofit_Rate)-(1-Standards_Acceptance!N9)*(Lamp_Mkt_Repl!N9)+System_Mkt_Repl!M335+System_Mkt_NC!N335,System_Mkt_Repl!M335+System_Mkt_NC!N335)</f>
        <v>7.8283538164915036</v>
      </c>
      <c r="O9" s="549">
        <f ca="1">IF(Sys_Repl_Rate!N9&lt;1,System_Total_Mkt!N9*(1-Sys_Repl_Rate!N9)*(1-Retrofit_Rate)-(1-Standards_Acceptance!O9)*(Lamp_Mkt_Repl!O9)+System_Mkt_Repl!N335+System_Mkt_NC!O335,System_Mkt_Repl!N335+System_Mkt_NC!O335)</f>
        <v>5.4569728735187928</v>
      </c>
      <c r="P9" s="549">
        <f ca="1">IF(Sys_Repl_Rate!O9&lt;1,System_Total_Mkt!O9*(1-Sys_Repl_Rate!O9)*(1-Retrofit_Rate)-(1-Standards_Acceptance!P9)*(Lamp_Mkt_Repl!P9)+System_Mkt_Repl!O335+System_Mkt_NC!P335,System_Mkt_Repl!O335+System_Mkt_NC!P335)</f>
        <v>4.0595448881071219</v>
      </c>
      <c r="Q9" s="549">
        <f ca="1">IF(Sys_Repl_Rate!P9&lt;1,System_Total_Mkt!P9*(1-Sys_Repl_Rate!P9)*(1-Retrofit_Rate)-(1-Standards_Acceptance!Q9)*(Lamp_Mkt_Repl!Q9)+System_Mkt_Repl!P335+System_Mkt_NC!Q335,System_Mkt_Repl!P335+System_Mkt_NC!Q335)</f>
        <v>3.1575339805525813</v>
      </c>
      <c r="R9" s="549">
        <f ca="1">IF(Sys_Repl_Rate!Q9&lt;1,System_Total_Mkt!Q9*(1-Sys_Repl_Rate!Q9)*(1-Retrofit_Rate)-(1-Standards_Acceptance!R9)*(Lamp_Mkt_Repl!R9)+System_Mkt_Repl!Q335+System_Mkt_NC!R335,System_Mkt_Repl!Q335+System_Mkt_NC!R335)</f>
        <v>2.5128778651858905</v>
      </c>
      <c r="S9" s="549">
        <f ca="1">IF(Sys_Repl_Rate!R9&lt;1,System_Total_Mkt!R9*(1-Sys_Repl_Rate!R9)*(1-Retrofit_Rate)-(1-Standards_Acceptance!S9)*(Lamp_Mkt_Repl!S9)+System_Mkt_Repl!R335+System_Mkt_NC!S335,System_Mkt_Repl!R335+System_Mkt_NC!S335)</f>
        <v>2.020878599400834</v>
      </c>
      <c r="T9" s="549">
        <f ca="1">IF(Sys_Repl_Rate!S9&lt;1,System_Total_Mkt!S9*(1-Sys_Repl_Rate!S9)*(1-Retrofit_Rate)-(1-Standards_Acceptance!T9)*(Lamp_Mkt_Repl!T9)+System_Mkt_Repl!S335+System_Mkt_NC!T335,System_Mkt_Repl!S335+System_Mkt_NC!T335)</f>
        <v>1.6289358769084621</v>
      </c>
      <c r="U9" s="549">
        <f ca="1">IF(Sys_Repl_Rate!T9&lt;1,System_Total_Mkt!T9*(1-Sys_Repl_Rate!T9)*(1-Retrofit_Rate)-(1-Standards_Acceptance!U9)*(Lamp_Mkt_Repl!U9)+System_Mkt_Repl!T335+System_Mkt_NC!U335,System_Mkt_Repl!T335+System_Mkt_NC!U335)</f>
        <v>1.3104308187319158</v>
      </c>
      <c r="V9" s="549">
        <f ca="1">IF(Sys_Repl_Rate!U9&lt;1,System_Total_Mkt!U9*(1-Sys_Repl_Rate!U9)*(1-Retrofit_Rate)-(1-Standards_Acceptance!V9)*(Lamp_Mkt_Repl!V9)+System_Mkt_Repl!U335+System_Mkt_NC!V335,System_Mkt_Repl!U335+System_Mkt_NC!V335)</f>
        <v>1.0545638723242301</v>
      </c>
      <c r="W9" s="549">
        <f ca="1">IF(Sys_Repl_Rate!V9&lt;1,System_Total_Mkt!V9*(1-Sys_Repl_Rate!V9)*(1-Retrofit_Rate)-(1-Standards_Acceptance!W9)*(Lamp_Mkt_Repl!W9)+System_Mkt_Repl!V335+System_Mkt_NC!W335,System_Mkt_Repl!V335+System_Mkt_NC!W335)</f>
        <v>0.84897288347291411</v>
      </c>
      <c r="X9" s="549">
        <f ca="1">IF(Sys_Repl_Rate!W9&lt;1,System_Total_Mkt!W9*(1-Sys_Repl_Rate!W9)*(1-Retrofit_Rate)-(1-Standards_Acceptance!X9)*(Lamp_Mkt_Repl!X9)+System_Mkt_Repl!W335+System_Mkt_NC!X335,System_Mkt_Repl!W335+System_Mkt_NC!X335)</f>
        <v>0.68450100257610169</v>
      </c>
      <c r="Y9" s="549">
        <f ca="1">IF(Sys_Repl_Rate!X9&lt;1,System_Total_Mkt!X9*(1-Sys_Repl_Rate!X9)*(1-Retrofit_Rate)-(1-Standards_Acceptance!Y9)*(Lamp_Mkt_Repl!Y9)+System_Mkt_Repl!X335+System_Mkt_NC!Y335,System_Mkt_Repl!X335+System_Mkt_NC!Y335)</f>
        <v>0.55373794108315266</v>
      </c>
      <c r="Z9" s="549">
        <f ca="1">IF(Sys_Repl_Rate!Y9&lt;1,System_Total_Mkt!Y9*(1-Sys_Repl_Rate!Y9)*(1-Retrofit_Rate)-(1-Standards_Acceptance!Z9)*(Lamp_Mkt_Repl!Z9)+System_Mkt_Repl!Y335+System_Mkt_NC!Z335,System_Mkt_Repl!Y335+System_Mkt_NC!Z335)</f>
        <v>0.45115821327451944</v>
      </c>
      <c r="AA9" s="549">
        <f ca="1">IF(Sys_Repl_Rate!Z9&lt;1,System_Total_Mkt!Z9*(1-Sys_Repl_Rate!Z9)*(1-Retrofit_Rate)-(1-Standards_Acceptance!AA9)*(Lamp_Mkt_Repl!AA9)+System_Mkt_Repl!Z335+System_Mkt_NC!AA335,System_Mkt_Repl!Z335+System_Mkt_NC!AA335)</f>
        <v>0.37162678139044325</v>
      </c>
      <c r="AB9" s="549">
        <f ca="1">IF(Sys_Repl_Rate!AA9&lt;1,System_Total_Mkt!AA9*(1-Sys_Repl_Rate!AA9)*(1-Retrofit_Rate)-(1-Standards_Acceptance!AB9)*(Lamp_Mkt_Repl!AB9)+System_Mkt_Repl!AA335+System_Mkt_NC!AB335,System_Mkt_Repl!AA335+System_Mkt_NC!AB335)</f>
        <v>0.30922601851814807</v>
      </c>
      <c r="AC9" s="549">
        <f ca="1">IF(Sys_Repl_Rate!AB9&lt;1,System_Total_Mkt!AB9*(1-Sys_Repl_Rate!AB9)*(1-Retrofit_Rate)-(1-Standards_Acceptance!AC9)*(Lamp_Mkt_Repl!AC9)+System_Mkt_Repl!AB335+System_Mkt_NC!AC335,System_Mkt_Repl!AB335+System_Mkt_NC!AC335)</f>
        <v>0.26001961076999874</v>
      </c>
      <c r="AD9" s="549">
        <f ca="1">IF(Sys_Repl_Rate!AC9&lt;1,System_Total_Mkt!AC9*(1-Sys_Repl_Rate!AC9)*(1-Retrofit_Rate)-(1-Standards_Acceptance!AD9)*(Lamp_Mkt_Repl!AD9)+System_Mkt_Repl!AC335+System_Mkt_NC!AD335,System_Mkt_Repl!AC335+System_Mkt_NC!AD335)</f>
        <v>0.22072765252310939</v>
      </c>
      <c r="AE9" s="549">
        <f ca="1">IF(Sys_Repl_Rate!AD9&lt;1,System_Total_Mkt!AD9*(1-Sys_Repl_Rate!AD9)*(1-Retrofit_Rate)-(1-Standards_Acceptance!AE9)*(Lamp_Mkt_Repl!AE9)+System_Mkt_Repl!AD335+System_Mkt_NC!AE335,System_Mkt_Repl!AD335+System_Mkt_NC!AE335)</f>
        <v>0.18882703791663097</v>
      </c>
      <c r="AF9" s="549">
        <f ca="1">IF(Sys_Repl_Rate!AE9&lt;1,System_Total_Mkt!AE9*(1-Sys_Repl_Rate!AE9)*(1-Retrofit_Rate)-(1-Standards_Acceptance!AF9)*(Lamp_Mkt_Repl!AF9)+System_Mkt_Repl!AE335+System_Mkt_NC!AF335,System_Mkt_Repl!AE335+System_Mkt_NC!AF335)</f>
        <v>0.16145584109527625</v>
      </c>
    </row>
    <row r="10" spans="1:32" ht="14.45" x14ac:dyDescent="0.35">
      <c r="A10" s="210"/>
      <c r="B10" s="210" t="s">
        <v>26</v>
      </c>
      <c r="G10" s="549">
        <f ca="1"/>
        <v>0.95509769373585018</v>
      </c>
      <c r="H10" s="549">
        <f ca="1">IF(Sys_Repl_Rate!G10&lt;1,System_Total_Mkt!G10*(1-Sys_Repl_Rate!G10)*(1-Retrofit_Rate)-(1-Standards_Acceptance!H10)*(Lamp_Mkt_Repl!H10)+System_Mkt_Repl!G336+System_Mkt_NC!H336,System_Mkt_Repl!G336+System_Mkt_NC!H336)</f>
        <v>0.92933684211128531</v>
      </c>
      <c r="I10" s="549">
        <f ca="1">IF(Sys_Repl_Rate!H10&lt;1,System_Total_Mkt!H10*(1-Sys_Repl_Rate!H10)*(1-Retrofit_Rate)-(1-Standards_Acceptance!I10)*(Lamp_Mkt_Repl!I10)+System_Mkt_Repl!H336+System_Mkt_NC!I336,System_Mkt_Repl!H336+System_Mkt_NC!I336)</f>
        <v>2.3058879856666366</v>
      </c>
      <c r="J10" s="549">
        <f ca="1">IF(Sys_Repl_Rate!I10&lt;1,System_Total_Mkt!I10*(1-Sys_Repl_Rate!I10)*(1-Retrofit_Rate)-(1-Standards_Acceptance!J10)*(Lamp_Mkt_Repl!J10)+System_Mkt_Repl!I336+System_Mkt_NC!J336,System_Mkt_Repl!I336+System_Mkt_NC!J336)</f>
        <v>6.7219643705847947</v>
      </c>
      <c r="K10" s="549">
        <f ca="1">IF(Sys_Repl_Rate!J10&lt;1,System_Total_Mkt!J10*(1-Sys_Repl_Rate!J10)*(1-Retrofit_Rate)-(1-Standards_Acceptance!K10)*(Lamp_Mkt_Repl!K10)+System_Mkt_Repl!J336+System_Mkt_NC!K336,System_Mkt_Repl!J336+System_Mkt_NC!K336)</f>
        <v>11.331265409701228</v>
      </c>
      <c r="L10" s="549">
        <f ca="1">IF(Sys_Repl_Rate!K10&lt;1,System_Total_Mkt!K10*(1-Sys_Repl_Rate!K10)*(1-Retrofit_Rate)-(1-Standards_Acceptance!L10)*(Lamp_Mkt_Repl!L10)+System_Mkt_Repl!K336+System_Mkt_NC!L336,System_Mkt_Repl!K336+System_Mkt_NC!L336)</f>
        <v>14.385977101272266</v>
      </c>
      <c r="M10" s="549">
        <f ca="1">IF(Sys_Repl_Rate!L10&lt;1,System_Total_Mkt!L10*(1-Sys_Repl_Rate!L10)*(1-Retrofit_Rate)-(1-Standards_Acceptance!M10)*(Lamp_Mkt_Repl!M10)+System_Mkt_Repl!L336+System_Mkt_NC!M336,System_Mkt_Repl!L336+System_Mkt_NC!M336)</f>
        <v>16.483077430740167</v>
      </c>
      <c r="N10" s="549">
        <f ca="1">IF(Sys_Repl_Rate!M10&lt;1,System_Total_Mkt!M10*(1-Sys_Repl_Rate!M10)*(1-Retrofit_Rate)-(1-Standards_Acceptance!N10)*(Lamp_Mkt_Repl!N10)+System_Mkt_Repl!M336+System_Mkt_NC!N336,System_Mkt_Repl!M336+System_Mkt_NC!N336)</f>
        <v>16.477864657121422</v>
      </c>
      <c r="O10" s="549">
        <f ca="1">IF(Sys_Repl_Rate!N10&lt;1,System_Total_Mkt!N10*(1-Sys_Repl_Rate!N10)*(1-Retrofit_Rate)-(1-Standards_Acceptance!O10)*(Lamp_Mkt_Repl!O10)+System_Mkt_Repl!N336+System_Mkt_NC!O336,System_Mkt_Repl!N336+System_Mkt_NC!O336)</f>
        <v>15.569606340726851</v>
      </c>
      <c r="P10" s="549">
        <f ca="1">IF(Sys_Repl_Rate!O10&lt;1,System_Total_Mkt!O10*(1-Sys_Repl_Rate!O10)*(1-Retrofit_Rate)-(1-Standards_Acceptance!P10)*(Lamp_Mkt_Repl!P10)+System_Mkt_Repl!O336+System_Mkt_NC!P336,System_Mkt_Repl!O336+System_Mkt_NC!P336)</f>
        <v>14.316117833180362</v>
      </c>
      <c r="Q10" s="549">
        <f ca="1">IF(Sys_Repl_Rate!P10&lt;1,System_Total_Mkt!P10*(1-Sys_Repl_Rate!P10)*(1-Retrofit_Rate)-(1-Standards_Acceptance!Q10)*(Lamp_Mkt_Repl!Q10)+System_Mkt_Repl!P336+System_Mkt_NC!Q336,System_Mkt_Repl!P336+System_Mkt_NC!Q336)</f>
        <v>12.911866448233717</v>
      </c>
      <c r="R10" s="549">
        <f ca="1">IF(Sys_Repl_Rate!Q10&lt;1,System_Total_Mkt!Q10*(1-Sys_Repl_Rate!Q10)*(1-Retrofit_Rate)-(1-Standards_Acceptance!R10)*(Lamp_Mkt_Repl!R10)+System_Mkt_Repl!Q336+System_Mkt_NC!R336,System_Mkt_Repl!Q336+System_Mkt_NC!R336)</f>
        <v>11.446576103000462</v>
      </c>
      <c r="S10" s="549">
        <f ca="1">IF(Sys_Repl_Rate!R10&lt;1,System_Total_Mkt!R10*(1-Sys_Repl_Rate!R10)*(1-Retrofit_Rate)-(1-Standards_Acceptance!S10)*(Lamp_Mkt_Repl!S10)+System_Mkt_Repl!R336+System_Mkt_NC!S336,System_Mkt_Repl!R336+System_Mkt_NC!S336)</f>
        <v>10.013634765922582</v>
      </c>
      <c r="T10" s="549">
        <f ca="1">IF(Sys_Repl_Rate!S10&lt;1,System_Total_Mkt!S10*(1-Sys_Repl_Rate!S10)*(1-Retrofit_Rate)-(1-Standards_Acceptance!T10)*(Lamp_Mkt_Repl!T10)+System_Mkt_Repl!S336+System_Mkt_NC!T336,System_Mkt_Repl!S336+System_Mkt_NC!T336)</f>
        <v>8.6649799791864677</v>
      </c>
      <c r="U10" s="549">
        <f ca="1">IF(Sys_Repl_Rate!T10&lt;1,System_Total_Mkt!T10*(1-Sys_Repl_Rate!T10)*(1-Retrofit_Rate)-(1-Standards_Acceptance!U10)*(Lamp_Mkt_Repl!U10)+System_Mkt_Repl!T336+System_Mkt_NC!U336,System_Mkt_Repl!T336+System_Mkt_NC!U336)</f>
        <v>7.4338895473077864</v>
      </c>
      <c r="V10" s="549">
        <f ca="1">IF(Sys_Repl_Rate!U10&lt;1,System_Total_Mkt!U10*(1-Sys_Repl_Rate!U10)*(1-Retrofit_Rate)-(1-Standards_Acceptance!V10)*(Lamp_Mkt_Repl!V10)+System_Mkt_Repl!U336+System_Mkt_NC!V336,System_Mkt_Repl!U336+System_Mkt_NC!V336)</f>
        <v>6.3554159436703621</v>
      </c>
      <c r="W10" s="549">
        <f ca="1">IF(Sys_Repl_Rate!V10&lt;1,System_Total_Mkt!V10*(1-Sys_Repl_Rate!V10)*(1-Retrofit_Rate)-(1-Standards_Acceptance!W10)*(Lamp_Mkt_Repl!W10)+System_Mkt_Repl!V336+System_Mkt_NC!W336,System_Mkt_Repl!V336+System_Mkt_NC!W336)</f>
        <v>5.4275677500263724</v>
      </c>
      <c r="X10" s="549">
        <f ca="1">IF(Sys_Repl_Rate!W10&lt;1,System_Total_Mkt!W10*(1-Sys_Repl_Rate!W10)*(1-Retrofit_Rate)-(1-Standards_Acceptance!X10)*(Lamp_Mkt_Repl!X10)+System_Mkt_Repl!W336+System_Mkt_NC!X336,System_Mkt_Repl!W336+System_Mkt_NC!X336)</f>
        <v>4.6413592376654025</v>
      </c>
      <c r="Y10" s="549">
        <f ca="1">IF(Sys_Repl_Rate!X10&lt;1,System_Total_Mkt!X10*(1-Sys_Repl_Rate!X10)*(1-Retrofit_Rate)-(1-Standards_Acceptance!Y10)*(Lamp_Mkt_Repl!Y10)+System_Mkt_Repl!X336+System_Mkt_NC!Y336,System_Mkt_Repl!X336+System_Mkt_NC!Y336)</f>
        <v>3.9839821676244767</v>
      </c>
      <c r="Z10" s="549">
        <f ca="1">IF(Sys_Repl_Rate!Y10&lt;1,System_Total_Mkt!Y10*(1-Sys_Repl_Rate!Y10)*(1-Retrofit_Rate)-(1-Standards_Acceptance!Z10)*(Lamp_Mkt_Repl!Z10)+System_Mkt_Repl!Y336+System_Mkt_NC!Z336,System_Mkt_Repl!Y336+System_Mkt_NC!Z336)</f>
        <v>3.4445731244257169</v>
      </c>
      <c r="AA10" s="549">
        <f ca="1">IF(Sys_Repl_Rate!Z10&lt;1,System_Total_Mkt!Z10*(1-Sys_Repl_Rate!Z10)*(1-Retrofit_Rate)-(1-Standards_Acceptance!AA10)*(Lamp_Mkt_Repl!AA10)+System_Mkt_Repl!Z336+System_Mkt_NC!AA336,System_Mkt_Repl!Z336+System_Mkt_NC!AA336)</f>
        <v>3.0095750975982067</v>
      </c>
      <c r="AB10" s="549">
        <f ca="1">IF(Sys_Repl_Rate!AA10&lt;1,System_Total_Mkt!AA10*(1-Sys_Repl_Rate!AA10)*(1-Retrofit_Rate)-(1-Standards_Acceptance!AB10)*(Lamp_Mkt_Repl!AB10)+System_Mkt_Repl!AA336+System_Mkt_NC!AB336,System_Mkt_Repl!AA336+System_Mkt_NC!AB336)</f>
        <v>2.6575673834296447</v>
      </c>
      <c r="AC10" s="549">
        <f ca="1">IF(Sys_Repl_Rate!AB10&lt;1,System_Total_Mkt!AB10*(1-Sys_Repl_Rate!AB10)*(1-Retrofit_Rate)-(1-Standards_Acceptance!AC10)*(Lamp_Mkt_Repl!AC10)+System_Mkt_Repl!AB336+System_Mkt_NC!AC336,System_Mkt_Repl!AB336+System_Mkt_NC!AC336)</f>
        <v>2.3707413583865389</v>
      </c>
      <c r="AD10" s="549">
        <f ca="1">IF(Sys_Repl_Rate!AC10&lt;1,System_Total_Mkt!AC10*(1-Sys_Repl_Rate!AC10)*(1-Retrofit_Rate)-(1-Standards_Acceptance!AD10)*(Lamp_Mkt_Repl!AD10)+System_Mkt_Repl!AC336+System_Mkt_NC!AD336,System_Mkt_Repl!AC336+System_Mkt_NC!AD336)</f>
        <v>2.1348407980516364</v>
      </c>
      <c r="AE10" s="549">
        <f ca="1">IF(Sys_Repl_Rate!AD10&lt;1,System_Total_Mkt!AD10*(1-Sys_Repl_Rate!AD10)*(1-Retrofit_Rate)-(1-Standards_Acceptance!AE10)*(Lamp_Mkt_Repl!AE10)+System_Mkt_Repl!AD336+System_Mkt_NC!AE336,System_Mkt_Repl!AD336+System_Mkt_NC!AE336)</f>
        <v>1.9378328649343377</v>
      </c>
      <c r="AF10" s="549">
        <f ca="1">IF(Sys_Repl_Rate!AE10&lt;1,System_Total_Mkt!AE10*(1-Sys_Repl_Rate!AE10)*(1-Retrofit_Rate)-(1-Standards_Acceptance!AF10)*(Lamp_Mkt_Repl!AF10)+System_Mkt_Repl!AE336+System_Mkt_NC!AF336,System_Mkt_Repl!AE336+System_Mkt_NC!AF336)</f>
        <v>1.7633920088831991</v>
      </c>
    </row>
    <row r="11" spans="1:32" ht="14.45" x14ac:dyDescent="0.35">
      <c r="A11" s="210"/>
      <c r="B11" s="210" t="s">
        <v>27</v>
      </c>
      <c r="G11" s="549">
        <f ca="1"/>
        <v>38.399176300204253</v>
      </c>
      <c r="H11" s="549">
        <f ca="1">IF(Sys_Repl_Rate!G11&lt;1,System_Total_Mkt!G11*(1-Sys_Repl_Rate!G11)*(1-Retrofit_Rate)-(1-Standards_Acceptance!H11)*(Lamp_Mkt_Repl!H11)+System_Mkt_Repl!G337+System_Mkt_NC!H337,System_Mkt_Repl!G337+System_Mkt_NC!H337)</f>
        <v>44.720903076038844</v>
      </c>
      <c r="I11" s="549">
        <f ca="1">IF(Sys_Repl_Rate!H11&lt;1,System_Total_Mkt!H11*(1-Sys_Repl_Rate!H11)*(1-Retrofit_Rate)-(1-Standards_Acceptance!I11)*(Lamp_Mkt_Repl!I11)+System_Mkt_Repl!H337+System_Mkt_NC!I337,System_Mkt_Repl!H337+System_Mkt_NC!I337)</f>
        <v>50.525242254952232</v>
      </c>
      <c r="J11" s="549">
        <f ca="1">IF(Sys_Repl_Rate!I11&lt;1,System_Total_Mkt!I11*(1-Sys_Repl_Rate!I11)*(1-Retrofit_Rate)-(1-Standards_Acceptance!J11)*(Lamp_Mkt_Repl!J11)+System_Mkt_Repl!I337+System_Mkt_NC!J337,System_Mkt_Repl!I337+System_Mkt_NC!J337)</f>
        <v>57.525074216745594</v>
      </c>
      <c r="K11" s="549">
        <f ca="1">IF(Sys_Repl_Rate!J11&lt;1,System_Total_Mkt!J11*(1-Sys_Repl_Rate!J11)*(1-Retrofit_Rate)-(1-Standards_Acceptance!K11)*(Lamp_Mkt_Repl!K11)+System_Mkt_Repl!J337+System_Mkt_NC!K337,System_Mkt_Repl!J337+System_Mkt_NC!K337)</f>
        <v>63.720874415194402</v>
      </c>
      <c r="L11" s="549">
        <f ca="1">IF(Sys_Repl_Rate!K11&lt;1,System_Total_Mkt!K11*(1-Sys_Repl_Rate!K11)*(1-Retrofit_Rate)-(1-Standards_Acceptance!L11)*(Lamp_Mkt_Repl!L11)+System_Mkt_Repl!K337+System_Mkt_NC!L337,System_Mkt_Repl!K337+System_Mkt_NC!L337)</f>
        <v>70.105342517889369</v>
      </c>
      <c r="M11" s="549">
        <f ca="1">IF(Sys_Repl_Rate!L11&lt;1,System_Total_Mkt!L11*(1-Sys_Repl_Rate!L11)*(1-Retrofit_Rate)-(1-Standards_Acceptance!M11)*(Lamp_Mkt_Repl!M11)+System_Mkt_Repl!L337+System_Mkt_NC!M337,System_Mkt_Repl!L337+System_Mkt_NC!M337)</f>
        <v>76.878492473022675</v>
      </c>
      <c r="N11" s="549">
        <f ca="1">IF(Sys_Repl_Rate!M11&lt;1,System_Total_Mkt!M11*(1-Sys_Repl_Rate!M11)*(1-Retrofit_Rate)-(1-Standards_Acceptance!N11)*(Lamp_Mkt_Repl!N11)+System_Mkt_Repl!M337+System_Mkt_NC!N337,System_Mkt_Repl!M337+System_Mkt_NC!N337)</f>
        <v>81.39278439478629</v>
      </c>
      <c r="O11" s="549">
        <f ca="1">IF(Sys_Repl_Rate!N11&lt;1,System_Total_Mkt!N11*(1-Sys_Repl_Rate!N11)*(1-Retrofit_Rate)-(1-Standards_Acceptance!O11)*(Lamp_Mkt_Repl!O11)+System_Mkt_Repl!N337+System_Mkt_NC!O337,System_Mkt_Repl!N337+System_Mkt_NC!O337)</f>
        <v>84.101807186183933</v>
      </c>
      <c r="P11" s="549">
        <f ca="1">IF(Sys_Repl_Rate!O11&lt;1,System_Total_Mkt!O11*(1-Sys_Repl_Rate!O11)*(1-Retrofit_Rate)-(1-Standards_Acceptance!P11)*(Lamp_Mkt_Repl!P11)+System_Mkt_Repl!O337+System_Mkt_NC!P337,System_Mkt_Repl!O337+System_Mkt_NC!P337)</f>
        <v>85.278162990195582</v>
      </c>
      <c r="Q11" s="549">
        <f ca="1">IF(Sys_Repl_Rate!P11&lt;1,System_Total_Mkt!P11*(1-Sys_Repl_Rate!P11)*(1-Retrofit_Rate)-(1-Standards_Acceptance!Q11)*(Lamp_Mkt_Repl!Q11)+System_Mkt_Repl!P337+System_Mkt_NC!Q337,System_Mkt_Repl!P337+System_Mkt_NC!Q337)</f>
        <v>85.1867886429348</v>
      </c>
      <c r="R11" s="549">
        <f ca="1">IF(Sys_Repl_Rate!Q11&lt;1,System_Total_Mkt!Q11*(1-Sys_Repl_Rate!Q11)*(1-Retrofit_Rate)-(1-Standards_Acceptance!R11)*(Lamp_Mkt_Repl!R11)+System_Mkt_Repl!Q337+System_Mkt_NC!R337,System_Mkt_Repl!Q337+System_Mkt_NC!R337)</f>
        <v>84.034012063109657</v>
      </c>
      <c r="S11" s="549">
        <f ca="1">IF(Sys_Repl_Rate!R11&lt;1,System_Total_Mkt!R11*(1-Sys_Repl_Rate!R11)*(1-Retrofit_Rate)-(1-Standards_Acceptance!S11)*(Lamp_Mkt_Repl!S11)+System_Mkt_Repl!R337+System_Mkt_NC!S337,System_Mkt_Repl!R337+System_Mkt_NC!S337)</f>
        <v>82.006327425440887</v>
      </c>
      <c r="T11" s="549">
        <f ca="1">IF(Sys_Repl_Rate!S11&lt;1,System_Total_Mkt!S11*(1-Sys_Repl_Rate!S11)*(1-Retrofit_Rate)-(1-Standards_Acceptance!T11)*(Lamp_Mkt_Repl!T11)+System_Mkt_Repl!S337+System_Mkt_NC!T337,System_Mkt_Repl!S337+System_Mkt_NC!T337)</f>
        <v>79.291617859533289</v>
      </c>
      <c r="U11" s="549">
        <f ca="1">IF(Sys_Repl_Rate!T11&lt;1,System_Total_Mkt!T11*(1-Sys_Repl_Rate!T11)*(1-Retrofit_Rate)-(1-Standards_Acceptance!U11)*(Lamp_Mkt_Repl!U11)+System_Mkt_Repl!T337+System_Mkt_NC!U337,System_Mkt_Repl!T337+System_Mkt_NC!U337)</f>
        <v>76.077663235634418</v>
      </c>
      <c r="V11" s="549">
        <f ca="1">IF(Sys_Repl_Rate!U11&lt;1,System_Total_Mkt!U11*(1-Sys_Repl_Rate!U11)*(1-Retrofit_Rate)-(1-Standards_Acceptance!V11)*(Lamp_Mkt_Repl!V11)+System_Mkt_Repl!U337+System_Mkt_NC!V337,System_Mkt_Repl!U337+System_Mkt_NC!V337)</f>
        <v>72.540886929070112</v>
      </c>
      <c r="W11" s="549">
        <f ca="1">IF(Sys_Repl_Rate!V11&lt;1,System_Total_Mkt!V11*(1-Sys_Repl_Rate!V11)*(1-Retrofit_Rate)-(1-Standards_Acceptance!W11)*(Lamp_Mkt_Repl!W11)+System_Mkt_Repl!V337+System_Mkt_NC!W337,System_Mkt_Repl!V337+System_Mkt_NC!W337)</f>
        <v>68.833466379428714</v>
      </c>
      <c r="X11" s="549">
        <f ca="1">IF(Sys_Repl_Rate!W11&lt;1,System_Total_Mkt!W11*(1-Sys_Repl_Rate!W11)*(1-Retrofit_Rate)-(1-Standards_Acceptance!X11)*(Lamp_Mkt_Repl!X11)+System_Mkt_Repl!W337+System_Mkt_NC!X337,System_Mkt_Repl!W337+System_Mkt_NC!X337)</f>
        <v>65.084405533303567</v>
      </c>
      <c r="Y11" s="549">
        <f ca="1">IF(Sys_Repl_Rate!X11&lt;1,System_Total_Mkt!X11*(1-Sys_Repl_Rate!X11)*(1-Retrofit_Rate)-(1-Standards_Acceptance!Y11)*(Lamp_Mkt_Repl!Y11)+System_Mkt_Repl!X337+System_Mkt_NC!Y337,System_Mkt_Repl!X337+System_Mkt_NC!Y337)</f>
        <v>61.386608518713047</v>
      </c>
      <c r="Z11" s="549">
        <f ca="1">IF(Sys_Repl_Rate!Y11&lt;1,System_Total_Mkt!Y11*(1-Sys_Repl_Rate!Y11)*(1-Retrofit_Rate)-(1-Standards_Acceptance!Z11)*(Lamp_Mkt_Repl!Z11)+System_Mkt_Repl!Y337+System_Mkt_NC!Z337,System_Mkt_Repl!Y337+System_Mkt_NC!Z337)</f>
        <v>57.811940064390669</v>
      </c>
      <c r="AA11" s="549">
        <f ca="1">IF(Sys_Repl_Rate!Z11&lt;1,System_Total_Mkt!Z11*(1-Sys_Repl_Rate!Z11)*(1-Retrofit_Rate)-(1-Standards_Acceptance!AA11)*(Lamp_Mkt_Repl!AA11)+System_Mkt_Repl!Z337+System_Mkt_NC!AA337,System_Mkt_Repl!Z337+System_Mkt_NC!AA337)</f>
        <v>54.411627505956297</v>
      </c>
      <c r="AB11" s="549">
        <f ca="1">IF(Sys_Repl_Rate!AA11&lt;1,System_Total_Mkt!AA11*(1-Sys_Repl_Rate!AA11)*(1-Retrofit_Rate)-(1-Standards_Acceptance!AB11)*(Lamp_Mkt_Repl!AB11)+System_Mkt_Repl!AA337+System_Mkt_NC!AB337,System_Mkt_Repl!AA337+System_Mkt_NC!AB337)</f>
        <v>51.219150984131716</v>
      </c>
      <c r="AC11" s="549">
        <f ca="1">IF(Sys_Repl_Rate!AB11&lt;1,System_Total_Mkt!AB11*(1-Sys_Repl_Rate!AB11)*(1-Retrofit_Rate)-(1-Standards_Acceptance!AC11)*(Lamp_Mkt_Repl!AC11)+System_Mkt_Repl!AB337+System_Mkt_NC!AC337,System_Mkt_Repl!AB337+System_Mkt_NC!AC337)</f>
        <v>48.233419225751724</v>
      </c>
      <c r="AD11" s="549">
        <f ca="1">IF(Sys_Repl_Rate!AC11&lt;1,System_Total_Mkt!AC11*(1-Sys_Repl_Rate!AC11)*(1-Retrofit_Rate)-(1-Standards_Acceptance!AD11)*(Lamp_Mkt_Repl!AD11)+System_Mkt_Repl!AC337+System_Mkt_NC!AD337,System_Mkt_Repl!AC337+System_Mkt_NC!AD337)</f>
        <v>45.464906702770918</v>
      </c>
      <c r="AE11" s="549">
        <f ca="1">IF(Sys_Repl_Rate!AD11&lt;1,System_Total_Mkt!AD11*(1-Sys_Repl_Rate!AD11)*(1-Retrofit_Rate)-(1-Standards_Acceptance!AE11)*(Lamp_Mkt_Repl!AE11)+System_Mkt_Repl!AD337+System_Mkt_NC!AE337,System_Mkt_Repl!AD337+System_Mkt_NC!AE337)</f>
        <v>42.909893181488414</v>
      </c>
      <c r="AF11" s="549">
        <f ca="1">IF(Sys_Repl_Rate!AE11&lt;1,System_Total_Mkt!AE11*(1-Sys_Repl_Rate!AE11)*(1-Retrofit_Rate)-(1-Standards_Acceptance!AF11)*(Lamp_Mkt_Repl!AF11)+System_Mkt_Repl!AE337+System_Mkt_NC!AF337,System_Mkt_Repl!AE337+System_Mkt_NC!AF337)</f>
        <v>40.5566619447413</v>
      </c>
    </row>
    <row r="12" spans="1:32" ht="14.45" x14ac:dyDescent="0.35">
      <c r="A12" s="210"/>
      <c r="B12" s="210" t="s">
        <v>29</v>
      </c>
      <c r="G12" s="549">
        <f ca="1"/>
        <v>0</v>
      </c>
      <c r="H12" s="549">
        <f ca="1">IF(Sys_Repl_Rate!G12&lt;1,System_Total_Mkt!G12*(1-Sys_Repl_Rate!G12)*(1-Retrofit_Rate)-(1-Standards_Acceptance!H12)*(Lamp_Mkt_Repl!H12)+System_Mkt_Repl!G338+System_Mkt_NC!H338,System_Mkt_Repl!G338+System_Mkt_NC!H338)</f>
        <v>0.10207664996051932</v>
      </c>
      <c r="I12" s="549">
        <f ca="1">IF(Sys_Repl_Rate!H12&lt;1,System_Total_Mkt!H12*(1-Sys_Repl_Rate!H12)*(1-Retrofit_Rate)-(1-Standards_Acceptance!I12)*(Lamp_Mkt_Repl!I12)+System_Mkt_Repl!H338+System_Mkt_NC!I338,System_Mkt_Repl!H338+System_Mkt_NC!I338)</f>
        <v>0.35349648944956263</v>
      </c>
      <c r="J12" s="549">
        <f ca="1">IF(Sys_Repl_Rate!I12&lt;1,System_Total_Mkt!I12*(1-Sys_Repl_Rate!I12)*(1-Retrofit_Rate)-(1-Standards_Acceptance!J12)*(Lamp_Mkt_Repl!J12)+System_Mkt_Repl!I338+System_Mkt_NC!J338,System_Mkt_Repl!I338+System_Mkt_NC!J338)</f>
        <v>0.75028424350651701</v>
      </c>
      <c r="K12" s="549">
        <f ca="1">IF(Sys_Repl_Rate!J12&lt;1,System_Total_Mkt!J12*(1-Sys_Repl_Rate!J12)*(1-Retrofit_Rate)-(1-Standards_Acceptance!K12)*(Lamp_Mkt_Repl!K12)+System_Mkt_Repl!J338+System_Mkt_NC!K338,System_Mkt_Repl!J338+System_Mkt_NC!K338)</f>
        <v>1.3894934337499563</v>
      </c>
      <c r="L12" s="549">
        <f ca="1">IF(Sys_Repl_Rate!K12&lt;1,System_Total_Mkt!K12*(1-Sys_Repl_Rate!K12)*(1-Retrofit_Rate)-(1-Standards_Acceptance!L12)*(Lamp_Mkt_Repl!L12)+System_Mkt_Repl!K338+System_Mkt_NC!L338,System_Mkt_Repl!K338+System_Mkt_NC!L338)</f>
        <v>2.3977692326957403</v>
      </c>
      <c r="M12" s="549">
        <f ca="1">IF(Sys_Repl_Rate!L12&lt;1,System_Total_Mkt!L12*(1-Sys_Repl_Rate!L12)*(1-Retrofit_Rate)-(1-Standards_Acceptance!M12)*(Lamp_Mkt_Repl!M12)+System_Mkt_Repl!L338+System_Mkt_NC!M338,System_Mkt_Repl!L338+System_Mkt_NC!M338)</f>
        <v>3.9660597056134335</v>
      </c>
      <c r="N12" s="549">
        <f ca="1">IF(Sys_Repl_Rate!M12&lt;1,System_Total_Mkt!M12*(1-Sys_Repl_Rate!M12)*(1-Retrofit_Rate)-(1-Standards_Acceptance!N12)*(Lamp_Mkt_Repl!N12)+System_Mkt_Repl!M338+System_Mkt_NC!N338,System_Mkt_Repl!M338+System_Mkt_NC!N338)</f>
        <v>6.2015856696706511</v>
      </c>
      <c r="O12" s="549">
        <f ca="1">IF(Sys_Repl_Rate!N12&lt;1,System_Total_Mkt!N12*(1-Sys_Repl_Rate!N12)*(1-Retrofit_Rate)-(1-Standards_Acceptance!O12)*(Lamp_Mkt_Repl!O12)+System_Mkt_Repl!N338+System_Mkt_NC!O338,System_Mkt_Repl!N338+System_Mkt_NC!O338)</f>
        <v>9.2506131444983417</v>
      </c>
      <c r="P12" s="549">
        <f ca="1">IF(Sys_Repl_Rate!O12&lt;1,System_Total_Mkt!O12*(1-Sys_Repl_Rate!O12)*(1-Retrofit_Rate)-(1-Standards_Acceptance!P12)*(Lamp_Mkt_Repl!P12)+System_Mkt_Repl!O338+System_Mkt_NC!P338,System_Mkt_Repl!O338+System_Mkt_NC!P338)</f>
        <v>13.193351887663425</v>
      </c>
      <c r="Q12" s="549">
        <f ca="1">IF(Sys_Repl_Rate!P12&lt;1,System_Total_Mkt!P12*(1-Sys_Repl_Rate!P12)*(1-Retrofit_Rate)-(1-Standards_Acceptance!Q12)*(Lamp_Mkt_Repl!Q12)+System_Mkt_Repl!P338+System_Mkt_NC!Q338,System_Mkt_Repl!P338+System_Mkt_NC!Q338)</f>
        <v>18.046035551787767</v>
      </c>
      <c r="R12" s="549">
        <f ca="1">IF(Sys_Repl_Rate!Q12&lt;1,System_Total_Mkt!Q12*(1-Sys_Repl_Rate!Q12)*(1-Retrofit_Rate)-(1-Standards_Acceptance!R12)*(Lamp_Mkt_Repl!R12)+System_Mkt_Repl!Q338+System_Mkt_NC!R338,System_Mkt_Repl!Q338+System_Mkt_NC!R338)</f>
        <v>23.723152336531289</v>
      </c>
      <c r="S12" s="549">
        <f ca="1">IF(Sys_Repl_Rate!R12&lt;1,System_Total_Mkt!R12*(1-Sys_Repl_Rate!R12)*(1-Retrofit_Rate)-(1-Standards_Acceptance!S12)*(Lamp_Mkt_Repl!S12)+System_Mkt_Repl!R338+System_Mkt_NC!S338,System_Mkt_Repl!R338+System_Mkt_NC!S338)</f>
        <v>30.085241684275111</v>
      </c>
      <c r="T12" s="549">
        <f ca="1">IF(Sys_Repl_Rate!S12&lt;1,System_Total_Mkt!S12*(1-Sys_Repl_Rate!S12)*(1-Retrofit_Rate)-(1-Standards_Acceptance!T12)*(Lamp_Mkt_Repl!T12)+System_Mkt_Repl!S338+System_Mkt_NC!T338,System_Mkt_Repl!S338+System_Mkt_NC!T338)</f>
        <v>36.940077171802251</v>
      </c>
      <c r="U12" s="549">
        <f ca="1">IF(Sys_Repl_Rate!T12&lt;1,System_Total_Mkt!T12*(1-Sys_Repl_Rate!T12)*(1-Retrofit_Rate)-(1-Standards_Acceptance!U12)*(Lamp_Mkt_Repl!U12)+System_Mkt_Repl!T338+System_Mkt_NC!U338,System_Mkt_Repl!T338+System_Mkt_NC!U338)</f>
        <v>44.088363767415913</v>
      </c>
      <c r="V12" s="549">
        <f ca="1">IF(Sys_Repl_Rate!U12&lt;1,System_Total_Mkt!U12*(1-Sys_Repl_Rate!U12)*(1-Retrofit_Rate)-(1-Standards_Acceptance!V12)*(Lamp_Mkt_Repl!V12)+System_Mkt_Repl!U338+System_Mkt_NC!V338,System_Mkt_Repl!U338+System_Mkt_NC!V338)</f>
        <v>51.345104258841907</v>
      </c>
      <c r="W12" s="549">
        <f ca="1">IF(Sys_Repl_Rate!V12&lt;1,System_Total_Mkt!V12*(1-Sys_Repl_Rate!V12)*(1-Retrofit_Rate)-(1-Standards_Acceptance!W12)*(Lamp_Mkt_Repl!W12)+System_Mkt_Repl!V338+System_Mkt_NC!W338,System_Mkt_Repl!V338+System_Mkt_NC!W338)</f>
        <v>58.5546084839009</v>
      </c>
      <c r="X12" s="549">
        <f ca="1">IF(Sys_Repl_Rate!W12&lt;1,System_Total_Mkt!W12*(1-Sys_Repl_Rate!W12)*(1-Retrofit_Rate)-(1-Standards_Acceptance!X12)*(Lamp_Mkt_Repl!X12)+System_Mkt_Repl!W338+System_Mkt_NC!X338,System_Mkt_Repl!W338+System_Mkt_NC!X338)</f>
        <v>65.586190297533761</v>
      </c>
      <c r="Y12" s="549">
        <f ca="1">IF(Sys_Repl_Rate!X12&lt;1,System_Total_Mkt!X12*(1-Sys_Repl_Rate!X12)*(1-Retrofit_Rate)-(1-Standards_Acceptance!Y12)*(Lamp_Mkt_Repl!Y12)+System_Mkt_Repl!X338+System_Mkt_NC!Y338,System_Mkt_Repl!X338+System_Mkt_NC!Y338)</f>
        <v>72.355643032612889</v>
      </c>
      <c r="Z12" s="549">
        <f ca="1">IF(Sys_Repl_Rate!Y12&lt;1,System_Total_Mkt!Y12*(1-Sys_Repl_Rate!Y12)*(1-Retrofit_Rate)-(1-Standards_Acceptance!Z12)*(Lamp_Mkt_Repl!Z12)+System_Mkt_Repl!Y338+System_Mkt_NC!Z338,System_Mkt_Repl!Y338+System_Mkt_NC!Z338)</f>
        <v>78.822462913010838</v>
      </c>
      <c r="AA12" s="549">
        <f ca="1">IF(Sys_Repl_Rate!Z12&lt;1,System_Total_Mkt!Z12*(1-Sys_Repl_Rate!Z12)*(1-Retrofit_Rate)-(1-Standards_Acceptance!AA12)*(Lamp_Mkt_Repl!AA12)+System_Mkt_Repl!Z338+System_Mkt_NC!AA338,System_Mkt_Repl!Z338+System_Mkt_NC!AA338)</f>
        <v>84.976336922140831</v>
      </c>
      <c r="AB12" s="549">
        <f ca="1">IF(Sys_Repl_Rate!AA12&lt;1,System_Total_Mkt!AA12*(1-Sys_Repl_Rate!AA12)*(1-Retrofit_Rate)-(1-Standards_Acceptance!AB12)*(Lamp_Mkt_Repl!AB12)+System_Mkt_Repl!AA338+System_Mkt_NC!AB338,System_Mkt_Repl!AA338+System_Mkt_NC!AB338)</f>
        <v>90.844682933159476</v>
      </c>
      <c r="AC12" s="549">
        <f ca="1">IF(Sys_Repl_Rate!AB12&lt;1,System_Total_Mkt!AB12*(1-Sys_Repl_Rate!AB12)*(1-Retrofit_Rate)-(1-Standards_Acceptance!AC12)*(Lamp_Mkt_Repl!AC12)+System_Mkt_Repl!AB338+System_Mkt_NC!AC338,System_Mkt_Repl!AB338+System_Mkt_NC!AC338)</f>
        <v>96.398575613236176</v>
      </c>
      <c r="AD12" s="549">
        <f ca="1">IF(Sys_Repl_Rate!AC12&lt;1,System_Total_Mkt!AC12*(1-Sys_Repl_Rate!AC12)*(1-Retrofit_Rate)-(1-Standards_Acceptance!AD12)*(Lamp_Mkt_Repl!AD12)+System_Mkt_Repl!AC338+System_Mkt_NC!AD338,System_Mkt_Repl!AC338+System_Mkt_NC!AD338)</f>
        <v>101.642606456596</v>
      </c>
      <c r="AE12" s="549">
        <f ca="1">IF(Sys_Repl_Rate!AD12&lt;1,System_Total_Mkt!AD12*(1-Sys_Repl_Rate!AD12)*(1-Retrofit_Rate)-(1-Standards_Acceptance!AE12)*(Lamp_Mkt_Repl!AE12)+System_Mkt_Repl!AD338+System_Mkt_NC!AE338,System_Mkt_Repl!AD338+System_Mkt_NC!AE338)</f>
        <v>106.59258521052216</v>
      </c>
      <c r="AF12" s="549">
        <f ca="1">IF(Sys_Repl_Rate!AE12&lt;1,System_Total_Mkt!AE12*(1-Sys_Repl_Rate!AE12)*(1-Retrofit_Rate)-(1-Standards_Acceptance!AF12)*(Lamp_Mkt_Repl!AF12)+System_Mkt_Repl!AE338+System_Mkt_NC!AF338,System_Mkt_Repl!AE338+System_Mkt_NC!AF338)</f>
        <v>111.27695786377548</v>
      </c>
    </row>
    <row r="13" spans="1:32" ht="14.45" x14ac:dyDescent="0.35">
      <c r="A13" s="210"/>
      <c r="B13" s="210"/>
      <c r="G13" s="549" t="str">
        <v/>
      </c>
      <c r="H13" s="549"/>
      <c r="I13" s="549"/>
      <c r="J13" s="549"/>
      <c r="K13" s="549"/>
      <c r="L13" s="549"/>
      <c r="M13" s="549"/>
      <c r="N13" s="549"/>
      <c r="O13" s="549"/>
      <c r="P13" s="549"/>
      <c r="Q13" s="549"/>
      <c r="R13" s="549"/>
      <c r="S13" s="549"/>
      <c r="T13" s="549"/>
      <c r="U13" s="549"/>
      <c r="V13" s="549"/>
      <c r="W13" s="549"/>
      <c r="X13" s="549"/>
      <c r="Y13" s="549"/>
      <c r="Z13" s="549"/>
      <c r="AA13" s="549"/>
      <c r="AB13" s="549"/>
      <c r="AC13" s="549"/>
      <c r="AD13" s="549"/>
      <c r="AE13" s="549"/>
      <c r="AF13" s="549"/>
    </row>
    <row r="14" spans="1:32" s="216" customFormat="1" ht="12.95" x14ac:dyDescent="0.3">
      <c r="A14" s="216" t="s">
        <v>32</v>
      </c>
      <c r="G14" s="632" t="str">
        <v/>
      </c>
      <c r="H14" s="632"/>
      <c r="I14" s="632"/>
      <c r="J14" s="632"/>
      <c r="K14" s="632"/>
      <c r="L14" s="632"/>
      <c r="M14" s="632"/>
      <c r="N14" s="632"/>
      <c r="O14" s="632"/>
      <c r="P14" s="632"/>
      <c r="Q14" s="632"/>
      <c r="R14" s="632"/>
      <c r="S14" s="632"/>
      <c r="T14" s="632"/>
      <c r="U14" s="632"/>
      <c r="V14" s="632"/>
      <c r="W14" s="632"/>
      <c r="X14" s="632"/>
      <c r="Y14" s="632"/>
      <c r="Z14" s="632"/>
      <c r="AA14" s="632"/>
      <c r="AB14" s="632"/>
      <c r="AC14" s="632"/>
      <c r="AD14" s="632"/>
      <c r="AE14" s="632"/>
      <c r="AF14" s="632"/>
    </row>
    <row r="15" spans="1:32" ht="14.45" x14ac:dyDescent="0.35">
      <c r="A15" s="210"/>
      <c r="B15" s="210" t="s">
        <v>33</v>
      </c>
      <c r="G15" s="549">
        <v>9.8906218162193458</v>
      </c>
      <c r="H15" s="549">
        <f>IF(Sys_Repl_Rate!G15&lt;1,System_Total_Mkt!G15*(1-Sys_Repl_Rate!G15)*(1-Retrofit_Rate)-(1-Standards_Acceptance!H15)*(Lamp_Mkt_Repl!H15)+System_Mkt_Repl!G341+System_Mkt_NC!H341,System_Mkt_Repl!G341+System_Mkt_NC!H341)</f>
        <v>8.6946652630708456</v>
      </c>
      <c r="I15" s="549">
        <f>IF(Sys_Repl_Rate!H15&lt;1,System_Total_Mkt!H15*(1-Sys_Repl_Rate!H15)*(1-Retrofit_Rate)-(1-Standards_Acceptance!I15)*(Lamp_Mkt_Repl!I15)+System_Mkt_Repl!H341+System_Mkt_NC!I341,System_Mkt_Repl!H341+System_Mkt_NC!I341)</f>
        <v>7.988997181550225</v>
      </c>
      <c r="J15" s="549">
        <f>IF(Sys_Repl_Rate!I15&lt;1,System_Total_Mkt!I15*(1-Sys_Repl_Rate!I15)*(1-Retrofit_Rate)-(1-Standards_Acceptance!J15)*(Lamp_Mkt_Repl!J15)+System_Mkt_Repl!I341+System_Mkt_NC!J341,System_Mkt_Repl!I341+System_Mkt_NC!J341)</f>
        <v>7.5933456134717332</v>
      </c>
      <c r="K15" s="549">
        <f>IF(Sys_Repl_Rate!J15&lt;1,System_Total_Mkt!J15*(1-Sys_Repl_Rate!J15)*(1-Retrofit_Rate)-(1-Standards_Acceptance!K15)*(Lamp_Mkt_Repl!K15)+System_Mkt_Repl!J341+System_Mkt_NC!K341,System_Mkt_Repl!J341+System_Mkt_NC!K341)</f>
        <v>7.3474354557905421</v>
      </c>
      <c r="L15" s="549">
        <f>IF(Sys_Repl_Rate!K15&lt;1,System_Total_Mkt!K15*(1-Sys_Repl_Rate!K15)*(1-Retrofit_Rate)-(1-Standards_Acceptance!L15)*(Lamp_Mkt_Repl!L15)+System_Mkt_Repl!K341+System_Mkt_NC!L341,System_Mkt_Repl!K341+System_Mkt_NC!L341)</f>
        <v>7.0368317844414214</v>
      </c>
      <c r="M15" s="549">
        <f>IF(Sys_Repl_Rate!L15&lt;1,System_Total_Mkt!L15*(1-Sys_Repl_Rate!L15)*(1-Retrofit_Rate)-(1-Standards_Acceptance!M15)*(Lamp_Mkt_Repl!M15)+System_Mkt_Repl!L341+System_Mkt_NC!M341,System_Mkt_Repl!L341+System_Mkt_NC!M341)</f>
        <v>6.6171387570415208</v>
      </c>
      <c r="N15" s="549">
        <f>IF(Sys_Repl_Rate!M15&lt;1,System_Total_Mkt!M15*(1-Sys_Repl_Rate!M15)*(1-Retrofit_Rate)-(1-Standards_Acceptance!N15)*(Lamp_Mkt_Repl!N15)+System_Mkt_Repl!M341+System_Mkt_NC!N341,System_Mkt_Repl!M341+System_Mkt_NC!N341)</f>
        <v>6.1118590428654782</v>
      </c>
      <c r="O15" s="549">
        <f>IF(Sys_Repl_Rate!N15&lt;1,System_Total_Mkt!N15*(1-Sys_Repl_Rate!N15)*(1-Retrofit_Rate)-(1-Standards_Acceptance!O15)*(Lamp_Mkt_Repl!O15)+System_Mkt_Repl!N341+System_Mkt_NC!O341,System_Mkt_Repl!N341+System_Mkt_NC!O341)</f>
        <v>5.5449391825119303</v>
      </c>
      <c r="P15" s="549">
        <f>IF(Sys_Repl_Rate!O15&lt;1,System_Total_Mkt!O15*(1-Sys_Repl_Rate!O15)*(1-Retrofit_Rate)-(1-Standards_Acceptance!P15)*(Lamp_Mkt_Repl!P15)+System_Mkt_Repl!O341+System_Mkt_NC!P341,System_Mkt_Repl!O341+System_Mkt_NC!P341)</f>
        <v>4.9482572923761108</v>
      </c>
      <c r="Q15" s="549">
        <f>IF(Sys_Repl_Rate!P15&lt;1,System_Total_Mkt!P15*(1-Sys_Repl_Rate!P15)*(1-Retrofit_Rate)-(1-Standards_Acceptance!Q15)*(Lamp_Mkt_Repl!Q15)+System_Mkt_Repl!P341+System_Mkt_NC!Q341,System_Mkt_Repl!P341+System_Mkt_NC!Q341)</f>
        <v>4.3409317968410415</v>
      </c>
      <c r="R15" s="549">
        <f>IF(Sys_Repl_Rate!Q15&lt;1,System_Total_Mkt!Q15*(1-Sys_Repl_Rate!Q15)*(1-Retrofit_Rate)-(1-Standards_Acceptance!R15)*(Lamp_Mkt_Repl!R15)+System_Mkt_Repl!Q341+System_Mkt_NC!R341,System_Mkt_Repl!Q341+System_Mkt_NC!R341)</f>
        <v>3.743422721174555</v>
      </c>
      <c r="S15" s="549">
        <f>IF(Sys_Repl_Rate!R15&lt;1,System_Total_Mkt!R15*(1-Sys_Repl_Rate!R15)*(1-Retrofit_Rate)-(1-Standards_Acceptance!S15)*(Lamp_Mkt_Repl!S15)+System_Mkt_Repl!R341+System_Mkt_NC!S341,System_Mkt_Repl!R341+System_Mkt_NC!S341)</f>
        <v>3.180634894097079</v>
      </c>
      <c r="T15" s="549">
        <f>IF(Sys_Repl_Rate!S15&lt;1,System_Total_Mkt!S15*(1-Sys_Repl_Rate!S15)*(1-Retrofit_Rate)-(1-Standards_Acceptance!T15)*(Lamp_Mkt_Repl!T15)+System_Mkt_Repl!S341+System_Mkt_NC!T341,System_Mkt_Repl!S341+System_Mkt_NC!T341)</f>
        <v>2.6682506488003161</v>
      </c>
      <c r="U15" s="549">
        <f>IF(Sys_Repl_Rate!T15&lt;1,System_Total_Mkt!T15*(1-Sys_Repl_Rate!T15)*(1-Retrofit_Rate)-(1-Standards_Acceptance!U15)*(Lamp_Mkt_Repl!U15)+System_Mkt_Repl!T341+System_Mkt_NC!U341,System_Mkt_Repl!T341+System_Mkt_NC!U341)</f>
        <v>2.2150384095140683</v>
      </c>
      <c r="V15" s="549">
        <f>IF(Sys_Repl_Rate!U15&lt;1,System_Total_Mkt!U15*(1-Sys_Repl_Rate!U15)*(1-Retrofit_Rate)-(1-Standards_Acceptance!V15)*(Lamp_Mkt_Repl!V15)+System_Mkt_Repl!U341+System_Mkt_NC!V341,System_Mkt_Repl!U341+System_Mkt_NC!V341)</f>
        <v>1.8262118040078974</v>
      </c>
      <c r="W15" s="549">
        <f>IF(Sys_Repl_Rate!V15&lt;1,System_Total_Mkt!V15*(1-Sys_Repl_Rate!V15)*(1-Retrofit_Rate)-(1-Standards_Acceptance!W15)*(Lamp_Mkt_Repl!W15)+System_Mkt_Repl!V341+System_Mkt_NC!W341,System_Mkt_Repl!V341+System_Mkt_NC!W341)</f>
        <v>1.499038057318157</v>
      </c>
      <c r="X15" s="549">
        <f>IF(Sys_Repl_Rate!W15&lt;1,System_Total_Mkt!W15*(1-Sys_Repl_Rate!W15)*(1-Retrofit_Rate)-(1-Standards_Acceptance!X15)*(Lamp_Mkt_Repl!X15)+System_Mkt_Repl!W341+System_Mkt_NC!X341,System_Mkt_Repl!W341+System_Mkt_NC!X341)</f>
        <v>1.2282142837597729</v>
      </c>
      <c r="Y15" s="549">
        <f>IF(Sys_Repl_Rate!X15&lt;1,System_Total_Mkt!X15*(1-Sys_Repl_Rate!X15)*(1-Retrofit_Rate)-(1-Standards_Acceptance!Y15)*(Lamp_Mkt_Repl!Y15)+System_Mkt_Repl!X341+System_Mkt_NC!Y341,System_Mkt_Repl!X341+System_Mkt_NC!Y341)</f>
        <v>1.0068639369938406</v>
      </c>
      <c r="Z15" s="549">
        <f>IF(Sys_Repl_Rate!Y15&lt;1,System_Total_Mkt!Y15*(1-Sys_Repl_Rate!Y15)*(1-Retrofit_Rate)-(1-Standards_Acceptance!Z15)*(Lamp_Mkt_Repl!Z15)+System_Mkt_Repl!Y341+System_Mkt_NC!Z341,System_Mkt_Repl!Y341+System_Mkt_NC!Z341)</f>
        <v>0.82827823386080046</v>
      </c>
      <c r="AA15" s="549">
        <f>IF(Sys_Repl_Rate!Z15&lt;1,System_Total_Mkt!Z15*(1-Sys_Repl_Rate!Z15)*(1-Retrofit_Rate)-(1-Standards_Acceptance!AA15)*(Lamp_Mkt_Repl!AA15)+System_Mkt_Repl!Z341+System_Mkt_NC!AA341,System_Mkt_Repl!Z341+System_Mkt_NC!AA341)</f>
        <v>0.68579262510332806</v>
      </c>
      <c r="AB15" s="549">
        <f>IF(Sys_Repl_Rate!AA15&lt;1,System_Total_Mkt!AA15*(1-Sys_Repl_Rate!AA15)*(1-Retrofit_Rate)-(1-Standards_Acceptance!AB15)*(Lamp_Mkt_Repl!AB15)+System_Mkt_Repl!AA341+System_Mkt_NC!AB341,System_Mkt_Repl!AA341+System_Mkt_NC!AB341)</f>
        <v>0.57235862989620889</v>
      </c>
      <c r="AC15" s="549">
        <f>IF(Sys_Repl_Rate!AB15&lt;1,System_Total_Mkt!AB15*(1-Sys_Repl_Rate!AB15)*(1-Retrofit_Rate)-(1-Standards_Acceptance!AC15)*(Lamp_Mkt_Repl!AC15)+System_Mkt_Repl!AB341+System_Mkt_NC!AC341,System_Mkt_Repl!AB341+System_Mkt_NC!AC341)</f>
        <v>0.48192363974106761</v>
      </c>
      <c r="AD15" s="549">
        <f>IF(Sys_Repl_Rate!AC15&lt;1,System_Total_Mkt!AC15*(1-Sys_Repl_Rate!AC15)*(1-Retrofit_Rate)-(1-Standards_Acceptance!AD15)*(Lamp_Mkt_Repl!AD15)+System_Mkt_Repl!AC341+System_Mkt_NC!AD341,System_Mkt_Repl!AC341+System_Mkt_NC!AD341)</f>
        <v>0.40965857836681585</v>
      </c>
      <c r="AE15" s="549">
        <f>IF(Sys_Repl_Rate!AD15&lt;1,System_Total_Mkt!AD15*(1-Sys_Repl_Rate!AD15)*(1-Retrofit_Rate)-(1-Standards_Acceptance!AE15)*(Lamp_Mkt_Repl!AE15)+System_Mkt_Repl!AD341+System_Mkt_NC!AE341,System_Mkt_Repl!AD341+System_Mkt_NC!AE341)</f>
        <v>0.35144735259814114</v>
      </c>
      <c r="AF15" s="549">
        <f>IF(Sys_Repl_Rate!AE15&lt;1,System_Total_Mkt!AE15*(1-Sys_Repl_Rate!AE15)*(1-Retrofit_Rate)-(1-Standards_Acceptance!AF15)*(Lamp_Mkt_Repl!AF15)+System_Mkt_Repl!AE341+System_Mkt_NC!AF341,System_Mkt_Repl!AE341+System_Mkt_NC!AF341)</f>
        <v>0.30325731435079978</v>
      </c>
    </row>
    <row r="16" spans="1:32" ht="14.45" x14ac:dyDescent="0.35">
      <c r="A16" s="212"/>
      <c r="B16" s="212" t="s">
        <v>34</v>
      </c>
      <c r="G16" s="549">
        <v>7.5013754087409996</v>
      </c>
      <c r="H16" s="549">
        <f>IF(Sys_Repl_Rate!G16&lt;1,System_Total_Mkt!G16*(1-Sys_Repl_Rate!G16)*(1-Retrofit_Rate)-(1-Standards_Acceptance!H16)*(Lamp_Mkt_Repl!H16)+System_Mkt_Repl!G342+System_Mkt_NC!H342,System_Mkt_Repl!G342+System_Mkt_NC!H342)</f>
        <v>9.0309901503990346</v>
      </c>
      <c r="I16" s="549">
        <f>IF(Sys_Repl_Rate!H16&lt;1,System_Total_Mkt!H16*(1-Sys_Repl_Rate!H16)*(1-Retrofit_Rate)-(1-Standards_Acceptance!I16)*(Lamp_Mkt_Repl!I16)+System_Mkt_Repl!H342+System_Mkt_NC!I342,System_Mkt_Repl!H342+System_Mkt_NC!I342)</f>
        <v>10.017645180395451</v>
      </c>
      <c r="J16" s="549">
        <f>IF(Sys_Repl_Rate!I16&lt;1,System_Total_Mkt!I16*(1-Sys_Repl_Rate!I16)*(1-Retrofit_Rate)-(1-Standards_Acceptance!J16)*(Lamp_Mkt_Repl!J16)+System_Mkt_Repl!I342+System_Mkt_NC!J342,System_Mkt_Repl!I342+System_Mkt_NC!J342)</f>
        <v>10.54583180202</v>
      </c>
      <c r="K16" s="549">
        <f>IF(Sys_Repl_Rate!J16&lt;1,System_Total_Mkt!J16*(1-Sys_Repl_Rate!J16)*(1-Retrofit_Rate)-(1-Standards_Acceptance!K16)*(Lamp_Mkt_Repl!K16)+System_Mkt_Repl!J342+System_Mkt_NC!K342,System_Mkt_Repl!J342+System_Mkt_NC!K342)</f>
        <v>10.676258881110522</v>
      </c>
      <c r="L16" s="549">
        <f>IF(Sys_Repl_Rate!K16&lt;1,System_Total_Mkt!K16*(1-Sys_Repl_Rate!K16)*(1-Retrofit_Rate)-(1-Standards_Acceptance!L16)*(Lamp_Mkt_Repl!L16)+System_Mkt_Repl!K342+System_Mkt_NC!L342,System_Mkt_Repl!K342+System_Mkt_NC!L342)</f>
        <v>10.65274642011145</v>
      </c>
      <c r="M16" s="549">
        <f>IF(Sys_Repl_Rate!L16&lt;1,System_Total_Mkt!L16*(1-Sys_Repl_Rate!L16)*(1-Retrofit_Rate)-(1-Standards_Acceptance!M16)*(Lamp_Mkt_Repl!M16)+System_Mkt_Repl!L342+System_Mkt_NC!M342,System_Mkt_Repl!L342+System_Mkt_NC!M342)</f>
        <v>10.477034189547066</v>
      </c>
      <c r="N16" s="549">
        <f>IF(Sys_Repl_Rate!M16&lt;1,System_Total_Mkt!M16*(1-Sys_Repl_Rate!M16)*(1-Retrofit_Rate)-(1-Standards_Acceptance!N16)*(Lamp_Mkt_Repl!N16)+System_Mkt_Repl!M342+System_Mkt_NC!N342,System_Mkt_Repl!M342+System_Mkt_NC!N342)</f>
        <v>10.135687666524765</v>
      </c>
      <c r="O16" s="549">
        <f>IF(Sys_Repl_Rate!N16&lt;1,System_Total_Mkt!N16*(1-Sys_Repl_Rate!N16)*(1-Retrofit_Rate)-(1-Standards_Acceptance!O16)*(Lamp_Mkt_Repl!O16)+System_Mkt_Repl!N342+System_Mkt_NC!O342,System_Mkt_Repl!N342+System_Mkt_NC!O342)</f>
        <v>9.641058261133562</v>
      </c>
      <c r="P16" s="549">
        <f>IF(Sys_Repl_Rate!O16&lt;1,System_Total_Mkt!O16*(1-Sys_Repl_Rate!O16)*(1-Retrofit_Rate)-(1-Standards_Acceptance!P16)*(Lamp_Mkt_Repl!P16)+System_Mkt_Repl!O342+System_Mkt_NC!P342,System_Mkt_Repl!O342+System_Mkt_NC!P342)</f>
        <v>9.0205513002627882</v>
      </c>
      <c r="Q16" s="549">
        <f>IF(Sys_Repl_Rate!P16&lt;1,System_Total_Mkt!P16*(1-Sys_Repl_Rate!P16)*(1-Retrofit_Rate)-(1-Standards_Acceptance!Q16)*(Lamp_Mkt_Repl!Q16)+System_Mkt_Repl!P342+System_Mkt_NC!Q342,System_Mkt_Repl!P342+System_Mkt_NC!Q342)</f>
        <v>8.3110200959809521</v>
      </c>
      <c r="R16" s="549">
        <f>IF(Sys_Repl_Rate!Q16&lt;1,System_Total_Mkt!Q16*(1-Sys_Repl_Rate!Q16)*(1-Retrofit_Rate)-(1-Standards_Acceptance!R16)*(Lamp_Mkt_Repl!R16)+System_Mkt_Repl!Q342+System_Mkt_NC!R342,System_Mkt_Repl!Q342+System_Mkt_NC!R342)</f>
        <v>7.5493762127690092</v>
      </c>
      <c r="S16" s="549">
        <f>IF(Sys_Repl_Rate!R16&lt;1,System_Total_Mkt!R16*(1-Sys_Repl_Rate!R16)*(1-Retrofit_Rate)-(1-Standards_Acceptance!S16)*(Lamp_Mkt_Repl!S16)+System_Mkt_Repl!R342+System_Mkt_NC!S342,System_Mkt_Repl!R342+System_Mkt_NC!S342)</f>
        <v>6.7748694364865178</v>
      </c>
      <c r="T16" s="549">
        <f>IF(Sys_Repl_Rate!S16&lt;1,System_Total_Mkt!S16*(1-Sys_Repl_Rate!S16)*(1-Retrofit_Rate)-(1-Standards_Acceptance!T16)*(Lamp_Mkt_Repl!T16)+System_Mkt_Repl!S342+System_Mkt_NC!T342,System_Mkt_Repl!S342+System_Mkt_NC!T342)</f>
        <v>6.018877846580903</v>
      </c>
      <c r="U16" s="549">
        <f>IF(Sys_Repl_Rate!T16&lt;1,System_Total_Mkt!T16*(1-Sys_Repl_Rate!T16)*(1-Retrofit_Rate)-(1-Standards_Acceptance!U16)*(Lamp_Mkt_Repl!U16)+System_Mkt_Repl!T342+System_Mkt_NC!U342,System_Mkt_Repl!T342+System_Mkt_NC!U342)</f>
        <v>5.3058008996449013</v>
      </c>
      <c r="V16" s="549">
        <f>IF(Sys_Repl_Rate!U16&lt;1,System_Total_Mkt!U16*(1-Sys_Repl_Rate!U16)*(1-Retrofit_Rate)-(1-Standards_Acceptance!V16)*(Lamp_Mkt_Repl!V16)+System_Mkt_Repl!U342+System_Mkt_NC!V342,System_Mkt_Repl!U342+System_Mkt_NC!V342)</f>
        <v>4.6544565929117176</v>
      </c>
      <c r="W16" s="549">
        <f>IF(Sys_Repl_Rate!V16&lt;1,System_Total_Mkt!V16*(1-Sys_Repl_Rate!V16)*(1-Retrofit_Rate)-(1-Standards_Acceptance!W16)*(Lamp_Mkt_Repl!W16)+System_Mkt_Repl!V342+System_Mkt_NC!W342,System_Mkt_Repl!V342+System_Mkt_NC!W342)</f>
        <v>4.0731144048821157</v>
      </c>
      <c r="X16" s="549">
        <f>IF(Sys_Repl_Rate!W16&lt;1,System_Total_Mkt!W16*(1-Sys_Repl_Rate!W16)*(1-Retrofit_Rate)-(1-Standards_Acceptance!X16)*(Lamp_Mkt_Repl!X16)+System_Mkt_Repl!W342+System_Mkt_NC!X342,System_Mkt_Repl!W342+System_Mkt_NC!X342)</f>
        <v>3.5639514633246723</v>
      </c>
      <c r="Y16" s="549">
        <f>IF(Sys_Repl_Rate!X16&lt;1,System_Total_Mkt!X16*(1-Sys_Repl_Rate!X16)*(1-Retrofit_Rate)-(1-Standards_Acceptance!Y16)*(Lamp_Mkt_Repl!Y16)+System_Mkt_Repl!X342+System_Mkt_NC!Y342,System_Mkt_Repl!X342+System_Mkt_NC!Y342)</f>
        <v>3.1247885574173093</v>
      </c>
      <c r="Z16" s="549">
        <f>IF(Sys_Repl_Rate!Y16&lt;1,System_Total_Mkt!Y16*(1-Sys_Repl_Rate!Y16)*(1-Retrofit_Rate)-(1-Standards_Acceptance!Z16)*(Lamp_Mkt_Repl!Z16)+System_Mkt_Repl!Y342+System_Mkt_NC!Z342,System_Mkt_Repl!Y342+System_Mkt_NC!Z342)</f>
        <v>2.7517703258816022</v>
      </c>
      <c r="AA16" s="549">
        <f>IF(Sys_Repl_Rate!Z16&lt;1,System_Total_Mkt!Z16*(1-Sys_Repl_Rate!Z16)*(1-Retrofit_Rate)-(1-Standards_Acceptance!AA16)*(Lamp_Mkt_Repl!AA16)+System_Mkt_Repl!Z342+System_Mkt_NC!AA342,System_Mkt_Repl!Z342+System_Mkt_NC!AA342)</f>
        <v>2.4393721459863791</v>
      </c>
      <c r="AB16" s="549">
        <f>IF(Sys_Repl_Rate!AA16&lt;1,System_Total_Mkt!AA16*(1-Sys_Repl_Rate!AA16)*(1-Retrofit_Rate)-(1-Standards_Acceptance!AB16)*(Lamp_Mkt_Repl!AB16)+System_Mkt_Repl!AA342+System_Mkt_NC!AB342,System_Mkt_Repl!AA342+System_Mkt_NC!AB342)</f>
        <v>2.1800979992498783</v>
      </c>
      <c r="AC16" s="549">
        <f>IF(Sys_Repl_Rate!AB16&lt;1,System_Total_Mkt!AB16*(1-Sys_Repl_Rate!AB16)*(1-Retrofit_Rate)-(1-Standards_Acceptance!AC16)*(Lamp_Mkt_Repl!AC16)+System_Mkt_Repl!AB342+System_Mkt_NC!AC342,System_Mkt_Repl!AB342+System_Mkt_NC!AC342)</f>
        <v>1.9649413487258587</v>
      </c>
      <c r="AD16" s="549">
        <f>IF(Sys_Repl_Rate!AC16&lt;1,System_Total_Mkt!AC16*(1-Sys_Repl_Rate!AC16)*(1-Retrofit_Rate)-(1-Standards_Acceptance!AD16)*(Lamp_Mkt_Repl!AD16)+System_Mkt_Repl!AC342+System_Mkt_NC!AD342,System_Mkt_Repl!AC342+System_Mkt_NC!AD342)</f>
        <v>1.7860386094900322</v>
      </c>
      <c r="AE16" s="549">
        <f>IF(Sys_Repl_Rate!AD16&lt;1,System_Total_Mkt!AD16*(1-Sys_Repl_Rate!AD16)*(1-Retrofit_Rate)-(1-Standards_Acceptance!AE16)*(Lamp_Mkt_Repl!AE16)+System_Mkt_Repl!AD342+System_Mkt_NC!AE342,System_Mkt_Repl!AD342+System_Mkt_NC!AE342)</f>
        <v>1.6378153640115474</v>
      </c>
      <c r="AF16" s="549">
        <f>IF(Sys_Repl_Rate!AE16&lt;1,System_Total_Mkt!AE16*(1-Sys_Repl_Rate!AE16)*(1-Retrofit_Rate)-(1-Standards_Acceptance!AF16)*(Lamp_Mkt_Repl!AF16)+System_Mkt_Repl!AE342+System_Mkt_NC!AF342,System_Mkt_Repl!AE342+System_Mkt_NC!AF342)</f>
        <v>1.5127498259670822</v>
      </c>
    </row>
    <row r="17" spans="1:32" ht="14.45" x14ac:dyDescent="0.35">
      <c r="A17" s="210"/>
      <c r="B17" s="212" t="s">
        <v>35</v>
      </c>
      <c r="G17" s="549">
        <v>3.2243352290348191</v>
      </c>
      <c r="H17" s="549">
        <f>IF(Sys_Repl_Rate!G17&lt;1,System_Total_Mkt!G17*(1-Sys_Repl_Rate!G17)*(1-Retrofit_Rate)-(1-Standards_Acceptance!H17)*(Lamp_Mkt_Repl!H17)+System_Mkt_Repl!G343+System_Mkt_NC!H343,System_Mkt_Repl!G343+System_Mkt_NC!H343)</f>
        <v>3.364023115216348</v>
      </c>
      <c r="I17" s="549">
        <f>IF(Sys_Repl_Rate!H17&lt;1,System_Total_Mkt!H17*(1-Sys_Repl_Rate!H17)*(1-Retrofit_Rate)-(1-Standards_Acceptance!I17)*(Lamp_Mkt_Repl!I17)+System_Mkt_Repl!H343+System_Mkt_NC!I343,System_Mkt_Repl!H343+System_Mkt_NC!I343)</f>
        <v>3.5015716685294773</v>
      </c>
      <c r="J17" s="549">
        <f>IF(Sys_Repl_Rate!I17&lt;1,System_Total_Mkt!I17*(1-Sys_Repl_Rate!I17)*(1-Retrofit_Rate)-(1-Standards_Acceptance!J17)*(Lamp_Mkt_Repl!J17)+System_Mkt_Repl!I343+System_Mkt_NC!J343,System_Mkt_Repl!I343+System_Mkt_NC!J343)</f>
        <v>3.6492556775878651</v>
      </c>
      <c r="K17" s="549">
        <f>IF(Sys_Repl_Rate!J17&lt;1,System_Total_Mkt!J17*(1-Sys_Repl_Rate!J17)*(1-Retrofit_Rate)-(1-Standards_Acceptance!K17)*(Lamp_Mkt_Repl!K17)+System_Mkt_Repl!J343+System_Mkt_NC!K343,System_Mkt_Repl!J343+System_Mkt_NC!K343)</f>
        <v>3.8096676456258427</v>
      </c>
      <c r="L17" s="549">
        <f>IF(Sys_Repl_Rate!K17&lt;1,System_Total_Mkt!K17*(1-Sys_Repl_Rate!K17)*(1-Retrofit_Rate)-(1-Standards_Acceptance!L17)*(Lamp_Mkt_Repl!L17)+System_Mkt_Repl!K343+System_Mkt_NC!L343,System_Mkt_Repl!K343+System_Mkt_NC!L343)</f>
        <v>3.933398530277743</v>
      </c>
      <c r="M17" s="549">
        <f>IF(Sys_Repl_Rate!L17&lt;1,System_Total_Mkt!L17*(1-Sys_Repl_Rate!L17)*(1-Retrofit_Rate)-(1-Standards_Acceptance!M17)*(Lamp_Mkt_Repl!M17)+System_Mkt_Repl!L343+System_Mkt_NC!M343,System_Mkt_Repl!L343+System_Mkt_NC!M343)</f>
        <v>4.0248287710035502</v>
      </c>
      <c r="N17" s="549">
        <f>IF(Sys_Repl_Rate!M17&lt;1,System_Total_Mkt!M17*(1-Sys_Repl_Rate!M17)*(1-Retrofit_Rate)-(1-Standards_Acceptance!N17)*(Lamp_Mkt_Repl!N17)+System_Mkt_Repl!M343+System_Mkt_NC!N343,System_Mkt_Repl!M343+System_Mkt_NC!N343)</f>
        <v>4.0716195265304025</v>
      </c>
      <c r="O17" s="549">
        <f>IF(Sys_Repl_Rate!N17&lt;1,System_Total_Mkt!N17*(1-Sys_Repl_Rate!N17)*(1-Retrofit_Rate)-(1-Standards_Acceptance!O17)*(Lamp_Mkt_Repl!O17)+System_Mkt_Repl!N343+System_Mkt_NC!O343,System_Mkt_Repl!N343+System_Mkt_NC!O343)</f>
        <v>4.0696031278718987</v>
      </c>
      <c r="P17" s="549">
        <f>IF(Sys_Repl_Rate!O17&lt;1,System_Total_Mkt!O17*(1-Sys_Repl_Rate!O17)*(1-Retrofit_Rate)-(1-Standards_Acceptance!P17)*(Lamp_Mkt_Repl!P17)+System_Mkt_Repl!O343+System_Mkt_NC!P343,System_Mkt_Repl!O343+System_Mkt_NC!P343)</f>
        <v>4.0180279001938679</v>
      </c>
      <c r="Q17" s="549">
        <f>IF(Sys_Repl_Rate!P17&lt;1,System_Total_Mkt!P17*(1-Sys_Repl_Rate!P17)*(1-Retrofit_Rate)-(1-Standards_Acceptance!Q17)*(Lamp_Mkt_Repl!Q17)+System_Mkt_Repl!P343+System_Mkt_NC!Q343,System_Mkt_Repl!P343+System_Mkt_NC!Q343)</f>
        <v>3.9237726755981104</v>
      </c>
      <c r="R17" s="549">
        <f>IF(Sys_Repl_Rate!Q17&lt;1,System_Total_Mkt!Q17*(1-Sys_Repl_Rate!Q17)*(1-Retrofit_Rate)-(1-Standards_Acceptance!R17)*(Lamp_Mkt_Repl!R17)+System_Mkt_Repl!Q343+System_Mkt_NC!R343,System_Mkt_Repl!Q343+System_Mkt_NC!R343)</f>
        <v>3.7946564635976912</v>
      </c>
      <c r="S17" s="549">
        <f>IF(Sys_Repl_Rate!R17&lt;1,System_Total_Mkt!R17*(1-Sys_Repl_Rate!R17)*(1-Retrofit_Rate)-(1-Standards_Acceptance!S17)*(Lamp_Mkt_Repl!S17)+System_Mkt_Repl!R343+System_Mkt_NC!S343,System_Mkt_Repl!R343+System_Mkt_NC!S343)</f>
        <v>3.6386543746314892</v>
      </c>
      <c r="T17" s="549">
        <f>IF(Sys_Repl_Rate!S17&lt;1,System_Total_Mkt!S17*(1-Sys_Repl_Rate!S17)*(1-Retrofit_Rate)-(1-Standards_Acceptance!T17)*(Lamp_Mkt_Repl!T17)+System_Mkt_Repl!S343+System_Mkt_NC!T343,System_Mkt_Repl!S343+System_Mkt_NC!T343)</f>
        <v>3.4637954277939644</v>
      </c>
      <c r="U17" s="549">
        <f>IF(Sys_Repl_Rate!T17&lt;1,System_Total_Mkt!T17*(1-Sys_Repl_Rate!T17)*(1-Retrofit_Rate)-(1-Standards_Acceptance!U17)*(Lamp_Mkt_Repl!U17)+System_Mkt_Repl!T343+System_Mkt_NC!U343,System_Mkt_Repl!T343+System_Mkt_NC!U343)</f>
        <v>3.2778569970199887</v>
      </c>
      <c r="V17" s="549">
        <f>IF(Sys_Repl_Rate!U17&lt;1,System_Total_Mkt!U17*(1-Sys_Repl_Rate!U17)*(1-Retrofit_Rate)-(1-Standards_Acceptance!V17)*(Lamp_Mkt_Repl!V17)+System_Mkt_Repl!U343+System_Mkt_NC!V343,System_Mkt_Repl!U343+System_Mkt_NC!V343)</f>
        <v>3.0876362769741164</v>
      </c>
      <c r="W17" s="549">
        <f>IF(Sys_Repl_Rate!V17&lt;1,System_Total_Mkt!V17*(1-Sys_Repl_Rate!V17)*(1-Retrofit_Rate)-(1-Standards_Acceptance!W17)*(Lamp_Mkt_Repl!W17)+System_Mkt_Repl!V343+System_Mkt_NC!W343,System_Mkt_Repl!V343+System_Mkt_NC!W343)</f>
        <v>2.8986913423505358</v>
      </c>
      <c r="X17" s="549">
        <f>IF(Sys_Repl_Rate!W17&lt;1,System_Total_Mkt!W17*(1-Sys_Repl_Rate!W17)*(1-Retrofit_Rate)-(1-Standards_Acceptance!X17)*(Lamp_Mkt_Repl!X17)+System_Mkt_Repl!W343+System_Mkt_NC!X343,System_Mkt_Repl!W343+System_Mkt_NC!X343)</f>
        <v>2.715545448456556</v>
      </c>
      <c r="Y17" s="549">
        <f>IF(Sys_Repl_Rate!X17&lt;1,System_Total_Mkt!X17*(1-Sys_Repl_Rate!X17)*(1-Retrofit_Rate)-(1-Standards_Acceptance!Y17)*(Lamp_Mkt_Repl!Y17)+System_Mkt_Repl!X343+System_Mkt_NC!Y343,System_Mkt_Repl!X343+System_Mkt_NC!Y343)</f>
        <v>2.5410449139626423</v>
      </c>
      <c r="Z17" s="549">
        <f>IF(Sys_Repl_Rate!Y17&lt;1,System_Total_Mkt!Y17*(1-Sys_Repl_Rate!Y17)*(1-Retrofit_Rate)-(1-Standards_Acceptance!Z17)*(Lamp_Mkt_Repl!Z17)+System_Mkt_Repl!Y343+System_Mkt_NC!Z343,System_Mkt_Repl!Y343+System_Mkt_NC!Z343)</f>
        <v>2.3771975154238558</v>
      </c>
      <c r="AA17" s="549">
        <f>IF(Sys_Repl_Rate!Z17&lt;1,System_Total_Mkt!Z17*(1-Sys_Repl_Rate!Z17)*(1-Retrofit_Rate)-(1-Standards_Acceptance!AA17)*(Lamp_Mkt_Repl!AA17)+System_Mkt_Repl!Z343+System_Mkt_NC!AA343,System_Mkt_Repl!Z343+System_Mkt_NC!AA343)</f>
        <v>2.2252289342513665</v>
      </c>
      <c r="AB17" s="549">
        <f>IF(Sys_Repl_Rate!AA17&lt;1,System_Total_Mkt!AA17*(1-Sys_Repl_Rate!AA17)*(1-Retrofit_Rate)-(1-Standards_Acceptance!AB17)*(Lamp_Mkt_Repl!AB17)+System_Mkt_Repl!AA343+System_Mkt_NC!AB343,System_Mkt_Repl!AA343+System_Mkt_NC!AB343)</f>
        <v>2.0857921978683187</v>
      </c>
      <c r="AC17" s="549">
        <f>IF(Sys_Repl_Rate!AB17&lt;1,System_Total_Mkt!AB17*(1-Sys_Repl_Rate!AB17)*(1-Retrofit_Rate)-(1-Standards_Acceptance!AC17)*(Lamp_Mkt_Repl!AC17)+System_Mkt_Repl!AB343+System_Mkt_NC!AC343,System_Mkt_Repl!AB343+System_Mkt_NC!AC343)</f>
        <v>1.9583056350004693</v>
      </c>
      <c r="AD17" s="549">
        <f>IF(Sys_Repl_Rate!AC17&lt;1,System_Total_Mkt!AC17*(1-Sys_Repl_Rate!AC17)*(1-Retrofit_Rate)-(1-Standards_Acceptance!AD17)*(Lamp_Mkt_Repl!AD17)+System_Mkt_Repl!AC343+System_Mkt_NC!AD343,System_Mkt_Repl!AC343+System_Mkt_NC!AD343)</f>
        <v>1.8423647583908254</v>
      </c>
      <c r="AE17" s="549">
        <f>IF(Sys_Repl_Rate!AD17&lt;1,System_Total_Mkt!AD17*(1-Sys_Repl_Rate!AD17)*(1-Retrofit_Rate)-(1-Standards_Acceptance!AE17)*(Lamp_Mkt_Repl!AE17)+System_Mkt_Repl!AD343+System_Mkt_NC!AE343,System_Mkt_Repl!AD343+System_Mkt_NC!AE343)</f>
        <v>1.7373256612624162</v>
      </c>
      <c r="AF17" s="549">
        <f>IF(Sys_Repl_Rate!AE17&lt;1,System_Total_Mkt!AE17*(1-Sys_Repl_Rate!AE17)*(1-Retrofit_Rate)-(1-Standards_Acceptance!AF17)*(Lamp_Mkt_Repl!AF17)+System_Mkt_Repl!AE343+System_Mkt_NC!AF343,System_Mkt_Repl!AE343+System_Mkt_NC!AF343)</f>
        <v>1.6421019375267034</v>
      </c>
    </row>
    <row r="18" spans="1:32" ht="14.45" x14ac:dyDescent="0.35">
      <c r="A18" s="210"/>
      <c r="B18" s="212" t="s">
        <v>29</v>
      </c>
      <c r="G18" s="549">
        <v>0</v>
      </c>
      <c r="H18" s="549">
        <f>IF(Sys_Repl_Rate!G18&lt;1,System_Total_Mkt!G18*(1-Sys_Repl_Rate!G18)*(1-Retrofit_Rate)-(1-Standards_Acceptance!H18)*(Lamp_Mkt_Repl!H18)+System_Mkt_Repl!G344+System_Mkt_NC!H344,System_Mkt_Repl!G344+System_Mkt_NC!H344)</f>
        <v>3.5379028390109507E-2</v>
      </c>
      <c r="I18" s="549">
        <f>IF(Sys_Repl_Rate!H18&lt;1,System_Total_Mkt!H18*(1-Sys_Repl_Rate!H18)*(1-Retrofit_Rate)-(1-Standards_Acceptance!I18)*(Lamp_Mkt_Repl!I18)+System_Mkt_Repl!H344+System_Mkt_NC!I344,System_Mkt_Repl!H344+System_Mkt_NC!I344)</f>
        <v>0.14644480895053408</v>
      </c>
      <c r="J18" s="549">
        <f>IF(Sys_Repl_Rate!I18&lt;1,System_Total_Mkt!I18*(1-Sys_Repl_Rate!I18)*(1-Retrofit_Rate)-(1-Standards_Acceptance!J18)*(Lamp_Mkt_Repl!J18)+System_Mkt_Repl!I344+System_Mkt_NC!J344,System_Mkt_Repl!I344+System_Mkt_NC!J344)</f>
        <v>0.41097058982875523</v>
      </c>
      <c r="K18" s="549">
        <f>IF(Sys_Repl_Rate!J18&lt;1,System_Total_Mkt!J18*(1-Sys_Repl_Rate!J18)*(1-Retrofit_Rate)-(1-Standards_Acceptance!K18)*(Lamp_Mkt_Repl!K18)+System_Mkt_Repl!J344+System_Mkt_NC!K344,System_Mkt_Repl!J344+System_Mkt_NC!K344)</f>
        <v>0.905659702622575</v>
      </c>
      <c r="L18" s="549">
        <f>IF(Sys_Repl_Rate!K18&lt;1,System_Total_Mkt!K18*(1-Sys_Repl_Rate!K18)*(1-Retrofit_Rate)-(1-Standards_Acceptance!L18)*(Lamp_Mkt_Repl!L18)+System_Mkt_Repl!K344+System_Mkt_NC!L344,System_Mkt_Repl!K344+System_Mkt_NC!L344)</f>
        <v>1.6617565477522362</v>
      </c>
      <c r="M18" s="549">
        <f>IF(Sys_Repl_Rate!L18&lt;1,System_Total_Mkt!L18*(1-Sys_Repl_Rate!L18)*(1-Retrofit_Rate)-(1-Standards_Acceptance!M18)*(Lamp_Mkt_Repl!M18)+System_Mkt_Repl!L344+System_Mkt_NC!M344,System_Mkt_Repl!L344+System_Mkt_NC!M344)</f>
        <v>2.7142506920680454</v>
      </c>
      <c r="N18" s="549">
        <f>IF(Sys_Repl_Rate!M18&lt;1,System_Total_Mkt!M18*(1-Sys_Repl_Rate!M18)*(1-Retrofit_Rate)-(1-Standards_Acceptance!N18)*(Lamp_Mkt_Repl!N18)+System_Mkt_Repl!M344+System_Mkt_NC!N344,System_Mkt_Repl!M344+System_Mkt_NC!N344)</f>
        <v>4.0576623327359362</v>
      </c>
      <c r="O18" s="549">
        <f>IF(Sys_Repl_Rate!N18&lt;1,System_Total_Mkt!N18*(1-Sys_Repl_Rate!N18)*(1-Retrofit_Rate)-(1-Standards_Acceptance!O18)*(Lamp_Mkt_Repl!O18)+System_Mkt_Repl!N344+System_Mkt_NC!O344,System_Mkt_Repl!N344+System_Mkt_NC!O344)</f>
        <v>5.6611339895043464</v>
      </c>
      <c r="P18" s="549">
        <f>IF(Sys_Repl_Rate!O18&lt;1,System_Total_Mkt!O18*(1-Sys_Repl_Rate!O18)*(1-Retrofit_Rate)-(1-Standards_Acceptance!P18)*(Lamp_Mkt_Repl!P18)+System_Mkt_Repl!O344+System_Mkt_NC!P344,System_Mkt_Repl!O344+System_Mkt_NC!P344)</f>
        <v>7.4675748796271932</v>
      </c>
      <c r="Q18" s="549">
        <f>IF(Sys_Repl_Rate!P18&lt;1,System_Total_Mkt!P18*(1-Sys_Repl_Rate!P18)*(1-Retrofit_Rate)-(1-Standards_Acceptance!Q18)*(Lamp_Mkt_Repl!Q18)+System_Mkt_Repl!P344+System_Mkt_NC!Q344,System_Mkt_Repl!P344+System_Mkt_NC!Q344)</f>
        <v>9.4135031068989061</v>
      </c>
      <c r="R18" s="549">
        <f>IF(Sys_Repl_Rate!Q18&lt;1,System_Total_Mkt!Q18*(1-Sys_Repl_Rate!Q18)*(1-Retrofit_Rate)-(1-Standards_Acceptance!R18)*(Lamp_Mkt_Repl!R18)+System_Mkt_Repl!Q344+System_Mkt_NC!R344,System_Mkt_Repl!Q344+System_Mkt_NC!R344)</f>
        <v>11.427732525429615</v>
      </c>
      <c r="S18" s="549">
        <f>IF(Sys_Repl_Rate!R18&lt;1,System_Total_Mkt!R18*(1-Sys_Repl_Rate!R18)*(1-Retrofit_Rate)-(1-Standards_Acceptance!S18)*(Lamp_Mkt_Repl!S18)+System_Mkt_Repl!R344+System_Mkt_NC!S344,System_Mkt_Repl!R344+System_Mkt_NC!S344)</f>
        <v>13.445915577286247</v>
      </c>
      <c r="T18" s="549">
        <f>IF(Sys_Repl_Rate!S18&lt;1,System_Total_Mkt!S18*(1-Sys_Repl_Rate!S18)*(1-Retrofit_Rate)-(1-Standards_Acceptance!T18)*(Lamp_Mkt_Repl!T18)+System_Mkt_Repl!S344+System_Mkt_NC!T344,System_Mkt_Repl!S344+System_Mkt_NC!T344)</f>
        <v>15.411872292681535</v>
      </c>
      <c r="U18" s="549">
        <f>IF(Sys_Repl_Rate!T18&lt;1,System_Total_Mkt!T18*(1-Sys_Repl_Rate!T18)*(1-Retrofit_Rate)-(1-Standards_Acceptance!U18)*(Lamp_Mkt_Repl!U18)+System_Mkt_Repl!T344+System_Mkt_NC!U344,System_Mkt_Repl!T344+System_Mkt_NC!U344)</f>
        <v>17.283599516558635</v>
      </c>
      <c r="V18" s="549">
        <f>IF(Sys_Repl_Rate!U18&lt;1,System_Total_Mkt!U18*(1-Sys_Repl_Rate!U18)*(1-Retrofit_Rate)-(1-Standards_Acceptance!V18)*(Lamp_Mkt_Repl!V18)+System_Mkt_Repl!U344+System_Mkt_NC!V344,System_Mkt_Repl!U344+System_Mkt_NC!V344)</f>
        <v>19.033684017229724</v>
      </c>
      <c r="W18" s="549">
        <f>IF(Sys_Repl_Rate!V18&lt;1,System_Total_Mkt!V18*(1-Sys_Repl_Rate!V18)*(1-Retrofit_Rate)-(1-Standards_Acceptance!W18)*(Lamp_Mkt_Repl!W18)+System_Mkt_Repl!V344+System_Mkt_NC!W344,System_Mkt_Repl!V344+System_Mkt_NC!W344)</f>
        <v>20.647138957982627</v>
      </c>
      <c r="X18" s="549">
        <f>IF(Sys_Repl_Rate!W18&lt;1,System_Total_Mkt!W18*(1-Sys_Repl_Rate!W18)*(1-Retrofit_Rate)-(1-Standards_Acceptance!X18)*(Lamp_Mkt_Repl!X18)+System_Mkt_Repl!W344+System_Mkt_NC!X344,System_Mkt_Repl!W344+System_Mkt_NC!X344)</f>
        <v>22.118248140259279</v>
      </c>
      <c r="Y18" s="549">
        <f>IF(Sys_Repl_Rate!X18&lt;1,System_Total_Mkt!X18*(1-Sys_Repl_Rate!X18)*(1-Retrofit_Rate)-(1-Standards_Acceptance!Y18)*(Lamp_Mkt_Repl!Y18)+System_Mkt_Repl!X344+System_Mkt_NC!Y344,System_Mkt_Repl!X344+System_Mkt_NC!Y344)</f>
        <v>23.450711211649757</v>
      </c>
      <c r="Z18" s="549">
        <f>IF(Sys_Repl_Rate!Y18&lt;1,System_Total_Mkt!Y18*(1-Sys_Repl_Rate!Y18)*(1-Retrofit_Rate)-(1-Standards_Acceptance!Z18)*(Lamp_Mkt_Repl!Z18)+System_Mkt_Repl!Y344+System_Mkt_NC!Z344,System_Mkt_Repl!Y344+System_Mkt_NC!Z344)</f>
        <v>24.65634610571173</v>
      </c>
      <c r="AA18" s="549">
        <f>IF(Sys_Repl_Rate!Z18&lt;1,System_Total_Mkt!Z18*(1-Sys_Repl_Rate!Z18)*(1-Retrofit_Rate)-(1-Standards_Acceptance!AA18)*(Lamp_Mkt_Repl!AA18)+System_Mkt_Repl!Z344+System_Mkt_NC!AA344,System_Mkt_Repl!Z344+System_Mkt_NC!AA344)</f>
        <v>25.750957292709078</v>
      </c>
      <c r="AB18" s="549">
        <f>IF(Sys_Repl_Rate!AA18&lt;1,System_Total_Mkt!AA18*(1-Sys_Repl_Rate!AA18)*(1-Retrofit_Rate)-(1-Standards_Acceptance!AB18)*(Lamp_Mkt_Repl!AB18)+System_Mkt_Repl!AA344+System_Mkt_NC!AB344,System_Mkt_Repl!AA344+System_Mkt_NC!AB344)</f>
        <v>26.755747007130669</v>
      </c>
      <c r="AC18" s="549">
        <f>IF(Sys_Repl_Rate!AB18&lt;1,System_Total_Mkt!AB18*(1-Sys_Repl_Rate!AB18)*(1-Retrofit_Rate)-(1-Standards_Acceptance!AC18)*(Lamp_Mkt_Repl!AC18)+System_Mkt_Repl!AB344+System_Mkt_NC!AC344,System_Mkt_Repl!AB344+System_Mkt_NC!AC344)</f>
        <v>27.675080144041967</v>
      </c>
      <c r="AD18" s="549">
        <f>IF(Sys_Repl_Rate!AC18&lt;1,System_Total_Mkt!AC18*(1-Sys_Repl_Rate!AC18)*(1-Retrofit_Rate)-(1-Standards_Acceptance!AD18)*(Lamp_Mkt_Repl!AD18)+System_Mkt_Repl!AC344+System_Mkt_NC!AD344,System_Mkt_Repl!AC344+System_Mkt_NC!AD344)</f>
        <v>28.521515742454241</v>
      </c>
      <c r="AE18" s="549">
        <f>IF(Sys_Repl_Rate!AD18&lt;1,System_Total_Mkt!AD18*(1-Sys_Repl_Rate!AD18)*(1-Retrofit_Rate)-(1-Standards_Acceptance!AE18)*(Lamp_Mkt_Repl!AE18)+System_Mkt_Repl!AD344+System_Mkt_NC!AE344,System_Mkt_Repl!AD344+System_Mkt_NC!AE344)</f>
        <v>29.304850923867114</v>
      </c>
      <c r="AF18" s="549">
        <f>IF(Sys_Repl_Rate!AE18&lt;1,System_Total_Mkt!AE18*(1-Sys_Repl_Rate!AE18)*(1-Retrofit_Rate)-(1-Standards_Acceptance!AF18)*(Lamp_Mkt_Repl!AF18)+System_Mkt_Repl!AE344+System_Mkt_NC!AF344,System_Mkt_Repl!AE344+System_Mkt_NC!AF344)</f>
        <v>30.037191024650358</v>
      </c>
    </row>
    <row r="19" spans="1:32" ht="14.45" x14ac:dyDescent="0.35">
      <c r="A19" s="210"/>
      <c r="B19" s="210"/>
      <c r="G19" s="549" t="str">
        <v/>
      </c>
      <c r="H19" s="549"/>
      <c r="I19" s="549"/>
      <c r="J19" s="549"/>
      <c r="K19" s="549"/>
      <c r="L19" s="549"/>
      <c r="M19" s="549"/>
      <c r="N19" s="549"/>
      <c r="O19" s="549"/>
      <c r="P19" s="549"/>
      <c r="Q19" s="549"/>
      <c r="R19" s="549"/>
      <c r="S19" s="549"/>
      <c r="T19" s="549"/>
      <c r="U19" s="549"/>
      <c r="V19" s="549"/>
      <c r="W19" s="549"/>
      <c r="X19" s="549"/>
      <c r="Y19" s="549"/>
      <c r="Z19" s="549"/>
      <c r="AA19" s="549"/>
      <c r="AB19" s="549"/>
      <c r="AC19" s="549"/>
      <c r="AD19" s="549"/>
      <c r="AE19" s="549"/>
      <c r="AF19" s="549"/>
    </row>
    <row r="20" spans="1:32" s="216" customFormat="1" ht="12.95" x14ac:dyDescent="0.3">
      <c r="A20" s="216" t="s">
        <v>36</v>
      </c>
      <c r="G20" s="632" t="str">
        <v/>
      </c>
      <c r="H20" s="632"/>
      <c r="I20" s="632"/>
      <c r="J20" s="632"/>
      <c r="K20" s="632"/>
      <c r="L20" s="632"/>
      <c r="M20" s="632"/>
      <c r="N20" s="632"/>
      <c r="O20" s="632"/>
      <c r="P20" s="632"/>
      <c r="Q20" s="632"/>
      <c r="R20" s="632"/>
      <c r="S20" s="632"/>
      <c r="T20" s="632"/>
      <c r="U20" s="632"/>
      <c r="V20" s="632"/>
      <c r="W20" s="632"/>
      <c r="X20" s="632"/>
      <c r="Y20" s="632"/>
      <c r="Z20" s="632"/>
      <c r="AA20" s="632"/>
      <c r="AB20" s="632"/>
      <c r="AC20" s="632"/>
      <c r="AD20" s="632"/>
      <c r="AE20" s="632"/>
      <c r="AF20" s="632"/>
    </row>
    <row r="21" spans="1:32" ht="14.45" x14ac:dyDescent="0.35">
      <c r="A21" s="210"/>
      <c r="B21" s="210" t="s">
        <v>37</v>
      </c>
      <c r="G21" s="549">
        <v>19.543195871902984</v>
      </c>
      <c r="H21" s="549">
        <f>IF(Sys_Repl_Rate!G21&lt;1,System_Total_Mkt!G21*(1-Sys_Repl_Rate!G21)*(1-Retrofit_Rate)-(1-Standards_Acceptance!H21)*(Lamp_Mkt_Repl!H21)+System_Mkt_Repl!G347+System_Mkt_NC!H347,System_Mkt_Repl!G347+System_Mkt_NC!H347)</f>
        <v>18.376429046549799</v>
      </c>
      <c r="I21" s="549">
        <f>IF(Sys_Repl_Rate!H21&lt;1,System_Total_Mkt!H21*(1-Sys_Repl_Rate!H21)*(1-Retrofit_Rate)-(1-Standards_Acceptance!I21)*(Lamp_Mkt_Repl!I21)+System_Mkt_Repl!H347+System_Mkt_NC!I347,System_Mkt_Repl!H347+System_Mkt_NC!I347)</f>
        <v>17.177485169158548</v>
      </c>
      <c r="J21" s="549">
        <f>IF(Sys_Repl_Rate!I21&lt;1,System_Total_Mkt!I21*(1-Sys_Repl_Rate!I21)*(1-Retrofit_Rate)-(1-Standards_Acceptance!J21)*(Lamp_Mkt_Repl!J21)+System_Mkt_Repl!I347+System_Mkt_NC!J347,System_Mkt_Repl!I347+System_Mkt_NC!J347)</f>
        <v>15.959399140376901</v>
      </c>
      <c r="K21" s="549">
        <f>IF(Sys_Repl_Rate!J21&lt;1,System_Total_Mkt!J21*(1-Sys_Repl_Rate!J21)*(1-Retrofit_Rate)-(1-Standards_Acceptance!K21)*(Lamp_Mkt_Repl!K21)+System_Mkt_Repl!J347+System_Mkt_NC!K347,System_Mkt_Repl!J347+System_Mkt_NC!K347)</f>
        <v>14.735639830654938</v>
      </c>
      <c r="L21" s="549">
        <f>IF(Sys_Repl_Rate!K21&lt;1,System_Total_Mkt!K21*(1-Sys_Repl_Rate!K21)*(1-Retrofit_Rate)-(1-Standards_Acceptance!L21)*(Lamp_Mkt_Repl!L21)+System_Mkt_Repl!K347+System_Mkt_NC!L347,System_Mkt_Repl!K347+System_Mkt_NC!L347)</f>
        <v>13.599457862673164</v>
      </c>
      <c r="M21" s="549">
        <f>IF(Sys_Repl_Rate!L21&lt;1,System_Total_Mkt!L21*(1-Sys_Repl_Rate!L21)*(1-Retrofit_Rate)-(1-Standards_Acceptance!M21)*(Lamp_Mkt_Repl!M21)+System_Mkt_Repl!L347+System_Mkt_NC!M347,System_Mkt_Repl!L347+System_Mkt_NC!M347)</f>
        <v>12.545237700432143</v>
      </c>
      <c r="N21" s="549">
        <f>IF(Sys_Repl_Rate!M21&lt;1,System_Total_Mkt!M21*(1-Sys_Repl_Rate!M21)*(1-Retrofit_Rate)-(1-Standards_Acceptance!N21)*(Lamp_Mkt_Repl!N21)+System_Mkt_Repl!M347+System_Mkt_NC!N347,System_Mkt_Repl!M347+System_Mkt_NC!N347)</f>
        <v>11.570081568946305</v>
      </c>
      <c r="O21" s="549">
        <f>IF(Sys_Repl_Rate!N21&lt;1,System_Total_Mkt!N21*(1-Sys_Repl_Rate!N21)*(1-Retrofit_Rate)-(1-Standards_Acceptance!O21)*(Lamp_Mkt_Repl!O21)+System_Mkt_Repl!N347+System_Mkt_NC!O347,System_Mkt_Repl!N347+System_Mkt_NC!O347)</f>
        <v>10.673014118309929</v>
      </c>
      <c r="P21" s="549">
        <f>IF(Sys_Repl_Rate!O21&lt;1,System_Total_Mkt!O21*(1-Sys_Repl_Rate!O21)*(1-Retrofit_Rate)-(1-Standards_Acceptance!P21)*(Lamp_Mkt_Repl!P21)+System_Mkt_Repl!O347+System_Mkt_NC!P347,System_Mkt_Repl!O347+System_Mkt_NC!P347)</f>
        <v>9.8475710587763459</v>
      </c>
      <c r="Q21" s="549">
        <f>IF(Sys_Repl_Rate!P21&lt;1,System_Total_Mkt!P21*(1-Sys_Repl_Rate!P21)*(1-Retrofit_Rate)-(1-Standards_Acceptance!Q21)*(Lamp_Mkt_Repl!Q21)+System_Mkt_Repl!P347+System_Mkt_NC!Q347,System_Mkt_Repl!P347+System_Mkt_NC!Q347)</f>
        <v>9.0878284022748712</v>
      </c>
      <c r="R21" s="549">
        <f>IF(Sys_Repl_Rate!Q21&lt;1,System_Total_Mkt!Q21*(1-Sys_Repl_Rate!Q21)*(1-Retrofit_Rate)-(1-Standards_Acceptance!R21)*(Lamp_Mkt_Repl!R21)+System_Mkt_Repl!Q347+System_Mkt_NC!R347,System_Mkt_Repl!Q347+System_Mkt_NC!R347)</f>
        <v>8.3883686157584005</v>
      </c>
      <c r="S21" s="549">
        <f>IF(Sys_Repl_Rate!R21&lt;1,System_Total_Mkt!R21*(1-Sys_Repl_Rate!R21)*(1-Retrofit_Rate)-(1-Standards_Acceptance!S21)*(Lamp_Mkt_Repl!S21)+System_Mkt_Repl!R347+System_Mkt_NC!S347,System_Mkt_Repl!R347+System_Mkt_NC!S347)</f>
        <v>7.744248562582607</v>
      </c>
      <c r="T21" s="549">
        <f>IF(Sys_Repl_Rate!S21&lt;1,System_Total_Mkt!S21*(1-Sys_Repl_Rate!S21)*(1-Retrofit_Rate)-(1-Standards_Acceptance!T21)*(Lamp_Mkt_Repl!T21)+System_Mkt_Repl!S347+System_Mkt_NC!T347,System_Mkt_Repl!S347+System_Mkt_NC!T347)</f>
        <v>7.150939855009212</v>
      </c>
      <c r="U21" s="549">
        <f>IF(Sys_Repl_Rate!T21&lt;1,System_Total_Mkt!T21*(1-Sys_Repl_Rate!T21)*(1-Retrofit_Rate)-(1-Standards_Acceptance!U21)*(Lamp_Mkt_Repl!U21)+System_Mkt_Repl!T347+System_Mkt_NC!U347,System_Mkt_Repl!T347+System_Mkt_NC!U347)</f>
        <v>6.6042984021757407</v>
      </c>
      <c r="V21" s="549">
        <f>IF(Sys_Repl_Rate!U21&lt;1,System_Total_Mkt!U21*(1-Sys_Repl_Rate!U21)*(1-Retrofit_Rate)-(1-Standards_Acceptance!V21)*(Lamp_Mkt_Repl!V21)+System_Mkt_Repl!U347+System_Mkt_NC!V347,System_Mkt_Repl!U347+System_Mkt_NC!V347)</f>
        <v>6.1005359598356979</v>
      </c>
      <c r="W21" s="549">
        <f>IF(Sys_Repl_Rate!V21&lt;1,System_Total_Mkt!V21*(1-Sys_Repl_Rate!V21)*(1-Retrofit_Rate)-(1-Standards_Acceptance!W21)*(Lamp_Mkt_Repl!W21)+System_Mkt_Repl!V347+System_Mkt_NC!W347,System_Mkt_Repl!V347+System_Mkt_NC!W347)</f>
        <v>5.6361785410800032</v>
      </c>
      <c r="X21" s="549">
        <f>IF(Sys_Repl_Rate!W21&lt;1,System_Total_Mkt!W21*(1-Sys_Repl_Rate!W21)*(1-Retrofit_Rate)-(1-Standards_Acceptance!X21)*(Lamp_Mkt_Repl!X21)+System_Mkt_Repl!W347+System_Mkt_NC!X347,System_Mkt_Repl!W347+System_Mkt_NC!X347)</f>
        <v>5.2080450327511789</v>
      </c>
      <c r="Y21" s="549">
        <f>IF(Sys_Repl_Rate!X21&lt;1,System_Total_Mkt!X21*(1-Sys_Repl_Rate!X21)*(1-Retrofit_Rate)-(1-Standards_Acceptance!Y21)*(Lamp_Mkt_Repl!Y21)+System_Mkt_Repl!X347+System_Mkt_NC!Y347,System_Mkt_Repl!X347+System_Mkt_NC!Y347)</f>
        <v>4.8132212597556716</v>
      </c>
      <c r="Z21" s="549">
        <f>IF(Sys_Repl_Rate!Y21&lt;1,System_Total_Mkt!Y21*(1-Sys_Repl_Rate!Y21)*(1-Retrofit_Rate)-(1-Standards_Acceptance!Z21)*(Lamp_Mkt_Repl!Z21)+System_Mkt_Repl!Y347+System_Mkt_NC!Z347,System_Mkt_Repl!Y347+System_Mkt_NC!Z347)</f>
        <v>4.4490386566688134</v>
      </c>
      <c r="AA21" s="549">
        <f>IF(Sys_Repl_Rate!Z21&lt;1,System_Total_Mkt!Z21*(1-Sys_Repl_Rate!Z21)*(1-Retrofit_Rate)-(1-Standards_Acceptance!AA21)*(Lamp_Mkt_Repl!AA21)+System_Mkt_Repl!Z347+System_Mkt_NC!AA347,System_Mkt_Repl!Z347+System_Mkt_NC!AA347)</f>
        <v>4.1130509230964396</v>
      </c>
      <c r="AB21" s="549">
        <f>IF(Sys_Repl_Rate!AA21&lt;1,System_Total_Mkt!AA21*(1-Sys_Repl_Rate!AA21)*(1-Retrofit_Rate)-(1-Standards_Acceptance!AB21)*(Lamp_Mkt_Repl!AB21)+System_Mkt_Repl!AA347+System_Mkt_NC!AB347,System_Mkt_Repl!AA347+System_Mkt_NC!AB347)</f>
        <v>3.8030122035373659</v>
      </c>
      <c r="AC21" s="549">
        <f>IF(Sys_Repl_Rate!AB21&lt;1,System_Total_Mkt!AB21*(1-Sys_Repl_Rate!AB21)*(1-Retrofit_Rate)-(1-Standards_Acceptance!AC21)*(Lamp_Mkt_Repl!AC21)+System_Mkt_Repl!AB347+System_Mkt_NC!AC347,System_Mkt_Repl!AB347+System_Mkt_NC!AC347)</f>
        <v>3.5168603114570898</v>
      </c>
      <c r="AD21" s="549">
        <f>IF(Sys_Repl_Rate!AC21&lt;1,System_Total_Mkt!AC21*(1-Sys_Repl_Rate!AC21)*(1-Retrofit_Rate)-(1-Standards_Acceptance!AD21)*(Lamp_Mkt_Repl!AD21)+System_Mkt_Repl!AC347+System_Mkt_NC!AD347,System_Mkt_Repl!AC347+System_Mkt_NC!AD347)</f>
        <v>3.2527038464538189</v>
      </c>
      <c r="AE21" s="549">
        <f>IF(Sys_Repl_Rate!AD21&lt;1,System_Total_Mkt!AD21*(1-Sys_Repl_Rate!AD21)*(1-Retrofit_Rate)-(1-Standards_Acceptance!AE21)*(Lamp_Mkt_Repl!AE21)+System_Mkt_Repl!AD347+System_Mkt_NC!AE347,System_Mkt_Repl!AD347+System_Mkt_NC!AE347)</f>
        <v>3.0088058110842733</v>
      </c>
      <c r="AF21" s="549">
        <f>IF(Sys_Repl_Rate!AE21&lt;1,System_Total_Mkt!AE21*(1-Sys_Repl_Rate!AE21)*(1-Retrofit_Rate)-(1-Standards_Acceptance!AF21)*(Lamp_Mkt_Repl!AF21)+System_Mkt_Repl!AE347+System_Mkt_NC!AF347,System_Mkt_Repl!AE347+System_Mkt_NC!AF347)</f>
        <v>2.783568218299207</v>
      </c>
    </row>
    <row r="22" spans="1:32" ht="14.45" x14ac:dyDescent="0.35">
      <c r="A22" s="210"/>
      <c r="B22" s="210" t="s">
        <v>39</v>
      </c>
      <c r="G22" s="549">
        <v>3.6734646055227707</v>
      </c>
      <c r="H22" s="549">
        <f>IF(Sys_Repl_Rate!G22&lt;1,System_Total_Mkt!G22*(1-Sys_Repl_Rate!G22)*(1-Retrofit_Rate)-(1-Standards_Acceptance!H22)*(Lamp_Mkt_Repl!H22)+System_Mkt_Repl!G348+System_Mkt_NC!H348,System_Mkt_Repl!G348+System_Mkt_NC!H348)</f>
        <v>4.9009924791332207</v>
      </c>
      <c r="I22" s="549">
        <f>IF(Sys_Repl_Rate!H22&lt;1,System_Total_Mkt!H22*(1-Sys_Repl_Rate!H22)*(1-Retrofit_Rate)-(1-Standards_Acceptance!I22)*(Lamp_Mkt_Repl!I22)+System_Mkt_Repl!H348+System_Mkt_NC!I348,System_Mkt_Repl!H348+System_Mkt_NC!I348)</f>
        <v>6.0593713888544336</v>
      </c>
      <c r="J22" s="549">
        <f>IF(Sys_Repl_Rate!I22&lt;1,System_Total_Mkt!I22*(1-Sys_Repl_Rate!I22)*(1-Retrofit_Rate)-(1-Standards_Acceptance!J22)*(Lamp_Mkt_Repl!J22)+System_Mkt_Repl!I348+System_Mkt_NC!J348,System_Mkt_Repl!I348+System_Mkt_NC!J348)</f>
        <v>7.1193208739331268</v>
      </c>
      <c r="K22" s="549">
        <f>IF(Sys_Repl_Rate!J22&lt;1,System_Total_Mkt!J22*(1-Sys_Repl_Rate!J22)*(1-Retrofit_Rate)-(1-Standards_Acceptance!K22)*(Lamp_Mkt_Repl!K22)+System_Mkt_Repl!J348+System_Mkt_NC!K348,System_Mkt_Repl!J348+System_Mkt_NC!K348)</f>
        <v>8.0423529790593005</v>
      </c>
      <c r="L22" s="549">
        <f>IF(Sys_Repl_Rate!K22&lt;1,System_Total_Mkt!K22*(1-Sys_Repl_Rate!K22)*(1-Retrofit_Rate)-(1-Standards_Acceptance!L22)*(Lamp_Mkt_Repl!L22)+System_Mkt_Repl!K348+System_Mkt_NC!L348,System_Mkt_Repl!K348+System_Mkt_NC!L348)</f>
        <v>8.7851929072881649</v>
      </c>
      <c r="M22" s="549">
        <f>IF(Sys_Repl_Rate!L22&lt;1,System_Total_Mkt!L22*(1-Sys_Repl_Rate!L22)*(1-Retrofit_Rate)-(1-Standards_Acceptance!M22)*(Lamp_Mkt_Repl!M22)+System_Mkt_Repl!L348+System_Mkt_NC!M348,System_Mkt_Repl!L348+System_Mkt_NC!M348)</f>
        <v>9.3519389570750207</v>
      </c>
      <c r="N22" s="549">
        <f>IF(Sys_Repl_Rate!M22&lt;1,System_Total_Mkt!M22*(1-Sys_Repl_Rate!M22)*(1-Retrofit_Rate)-(1-Standards_Acceptance!N22)*(Lamp_Mkt_Repl!N22)+System_Mkt_Repl!M348+System_Mkt_NC!N348,System_Mkt_Repl!M348+System_Mkt_NC!N348)</f>
        <v>9.7574314500122625</v>
      </c>
      <c r="O22" s="549">
        <f>IF(Sys_Repl_Rate!N22&lt;1,System_Total_Mkt!N22*(1-Sys_Repl_Rate!N22)*(1-Retrofit_Rate)-(1-Standards_Acceptance!O22)*(Lamp_Mkt_Repl!O22)+System_Mkt_Repl!N348+System_Mkt_NC!O348,System_Mkt_Repl!N348+System_Mkt_NC!O348)</f>
        <v>10.020775675865337</v>
      </c>
      <c r="P22" s="549">
        <f>IF(Sys_Repl_Rate!O22&lt;1,System_Total_Mkt!O22*(1-Sys_Repl_Rate!O22)*(1-Retrofit_Rate)-(1-Standards_Acceptance!P22)*(Lamp_Mkt_Repl!P22)+System_Mkt_Repl!O348+System_Mkt_NC!P348,System_Mkt_Repl!O348+System_Mkt_NC!P348)</f>
        <v>10.166958247860965</v>
      </c>
      <c r="Q22" s="549">
        <f>IF(Sys_Repl_Rate!P22&lt;1,System_Total_Mkt!P22*(1-Sys_Repl_Rate!P22)*(1-Retrofit_Rate)-(1-Standards_Acceptance!Q22)*(Lamp_Mkt_Repl!Q22)+System_Mkt_Repl!P348+System_Mkt_NC!Q348,System_Mkt_Repl!P348+System_Mkt_NC!Q348)</f>
        <v>10.216026231047456</v>
      </c>
      <c r="R22" s="549">
        <f>IF(Sys_Repl_Rate!Q22&lt;1,System_Total_Mkt!Q22*(1-Sys_Repl_Rate!Q22)*(1-Retrofit_Rate)-(1-Standards_Acceptance!R22)*(Lamp_Mkt_Repl!R22)+System_Mkt_Repl!Q348+System_Mkt_NC!R348,System_Mkt_Repl!Q348+System_Mkt_NC!R348)</f>
        <v>10.185288156886951</v>
      </c>
      <c r="S22" s="549">
        <f>IF(Sys_Repl_Rate!R22&lt;1,System_Total_Mkt!R22*(1-Sys_Repl_Rate!R22)*(1-Retrofit_Rate)-(1-Standards_Acceptance!S22)*(Lamp_Mkt_Repl!S22)+System_Mkt_Repl!R348+System_Mkt_NC!S348,System_Mkt_Repl!R348+System_Mkt_NC!S348)</f>
        <v>10.093903883225334</v>
      </c>
      <c r="T22" s="549">
        <f>IF(Sys_Repl_Rate!S22&lt;1,System_Total_Mkt!S22*(1-Sys_Repl_Rate!S22)*(1-Retrofit_Rate)-(1-Standards_Acceptance!T22)*(Lamp_Mkt_Repl!T22)+System_Mkt_Repl!S348+System_Mkt_NC!T348,System_Mkt_Repl!S348+System_Mkt_NC!T348)</f>
        <v>9.9554008574610826</v>
      </c>
      <c r="U22" s="549">
        <f>IF(Sys_Repl_Rate!T22&lt;1,System_Total_Mkt!T22*(1-Sys_Repl_Rate!T22)*(1-Retrofit_Rate)-(1-Standards_Acceptance!U22)*(Lamp_Mkt_Repl!U22)+System_Mkt_Repl!T348+System_Mkt_NC!U348,System_Mkt_Repl!T348+System_Mkt_NC!U348)</f>
        <v>9.7807894027689066</v>
      </c>
      <c r="V22" s="549">
        <f>IF(Sys_Repl_Rate!U22&lt;1,System_Total_Mkt!U22*(1-Sys_Repl_Rate!U22)*(1-Retrofit_Rate)-(1-Standards_Acceptance!V22)*(Lamp_Mkt_Repl!V22)+System_Mkt_Repl!U348+System_Mkt_NC!V348,System_Mkt_Repl!U348+System_Mkt_NC!V348)</f>
        <v>9.5809863235618646</v>
      </c>
      <c r="W22" s="549">
        <f>IF(Sys_Repl_Rate!V22&lt;1,System_Total_Mkt!V22*(1-Sys_Repl_Rate!V22)*(1-Retrofit_Rate)-(1-Standards_Acceptance!W22)*(Lamp_Mkt_Repl!W22)+System_Mkt_Repl!V348+System_Mkt_NC!W348,System_Mkt_Repl!V348+System_Mkt_NC!W348)</f>
        <v>9.3627098562173501</v>
      </c>
      <c r="X22" s="549">
        <f>IF(Sys_Repl_Rate!W22&lt;1,System_Total_Mkt!W22*(1-Sys_Repl_Rate!W22)*(1-Retrofit_Rate)-(1-Standards_Acceptance!X22)*(Lamp_Mkt_Repl!X22)+System_Mkt_Repl!W348+System_Mkt_NC!X348,System_Mkt_Repl!W348+System_Mkt_NC!X348)</f>
        <v>9.1314653917076214</v>
      </c>
      <c r="Y22" s="549">
        <f>IF(Sys_Repl_Rate!X22&lt;1,System_Total_Mkt!X22*(1-Sys_Repl_Rate!X22)*(1-Retrofit_Rate)-(1-Standards_Acceptance!Y22)*(Lamp_Mkt_Repl!Y22)+System_Mkt_Repl!X348+System_Mkt_NC!Y348,System_Mkt_Repl!X348+System_Mkt_NC!Y348)</f>
        <v>8.8917726571187163</v>
      </c>
      <c r="Z22" s="549">
        <f>IF(Sys_Repl_Rate!Y22&lt;1,System_Total_Mkt!Y22*(1-Sys_Repl_Rate!Y22)*(1-Retrofit_Rate)-(1-Standards_Acceptance!Z22)*(Lamp_Mkt_Repl!Z22)+System_Mkt_Repl!Y348+System_Mkt_NC!Z348,System_Mkt_Repl!Y348+System_Mkt_NC!Z348)</f>
        <v>8.6482978259963676</v>
      </c>
      <c r="AA22" s="549">
        <f>IF(Sys_Repl_Rate!Z22&lt;1,System_Total_Mkt!Z22*(1-Sys_Repl_Rate!Z22)*(1-Retrofit_Rate)-(1-Standards_Acceptance!AA22)*(Lamp_Mkt_Repl!AA22)+System_Mkt_Repl!Z348+System_Mkt_NC!AA348,System_Mkt_Repl!Z348+System_Mkt_NC!AA348)</f>
        <v>8.4050480600534989</v>
      </c>
      <c r="AB22" s="549">
        <f>IF(Sys_Repl_Rate!AA22&lt;1,System_Total_Mkt!AA22*(1-Sys_Repl_Rate!AA22)*(1-Retrofit_Rate)-(1-Standards_Acceptance!AB22)*(Lamp_Mkt_Repl!AB22)+System_Mkt_Repl!AA348+System_Mkt_NC!AB348,System_Mkt_Repl!AA348+System_Mkt_NC!AB348)</f>
        <v>8.1644923297951344</v>
      </c>
      <c r="AC22" s="549">
        <f>IF(Sys_Repl_Rate!AB22&lt;1,System_Total_Mkt!AB22*(1-Sys_Repl_Rate!AB22)*(1-Retrofit_Rate)-(1-Standards_Acceptance!AC22)*(Lamp_Mkt_Repl!AC22)+System_Mkt_Repl!AB348+System_Mkt_NC!AC348,System_Mkt_Repl!AB348+System_Mkt_NC!AC348)</f>
        <v>7.927212962363587</v>
      </c>
      <c r="AD22" s="549">
        <f>IF(Sys_Repl_Rate!AC22&lt;1,System_Total_Mkt!AC22*(1-Sys_Repl_Rate!AC22)*(1-Retrofit_Rate)-(1-Standards_Acceptance!AD22)*(Lamp_Mkt_Repl!AD22)+System_Mkt_Repl!AC348+System_Mkt_NC!AD348,System_Mkt_Repl!AC348+System_Mkt_NC!AD348)</f>
        <v>7.6943236864495859</v>
      </c>
      <c r="AE22" s="549">
        <f>IF(Sys_Repl_Rate!AD22&lt;1,System_Total_Mkt!AD22*(1-Sys_Repl_Rate!AD22)*(1-Retrofit_Rate)-(1-Standards_Acceptance!AE22)*(Lamp_Mkt_Repl!AE22)+System_Mkt_Repl!AD348+System_Mkt_NC!AE348,System_Mkt_Repl!AD348+System_Mkt_NC!AE348)</f>
        <v>7.4663865828286262</v>
      </c>
      <c r="AF22" s="549">
        <f>IF(Sys_Repl_Rate!AE22&lt;1,System_Total_Mkt!AE22*(1-Sys_Repl_Rate!AE22)*(1-Retrofit_Rate)-(1-Standards_Acceptance!AF22)*(Lamp_Mkt_Repl!AF22)+System_Mkt_Repl!AE348+System_Mkt_NC!AF348,System_Mkt_Repl!AE348+System_Mkt_NC!AF348)</f>
        <v>7.2424353026654753</v>
      </c>
    </row>
    <row r="23" spans="1:32" ht="14.45" x14ac:dyDescent="0.35">
      <c r="A23" s="210"/>
      <c r="B23" s="210" t="s">
        <v>40</v>
      </c>
      <c r="G23" s="549">
        <v>0</v>
      </c>
      <c r="H23" s="549">
        <f>IF(Sys_Repl_Rate!G23&lt;1,System_Total_Mkt!G23*(1-Sys_Repl_Rate!G23)*(1-Retrofit_Rate)-(1-Standards_Acceptance!H23)*(Lamp_Mkt_Repl!H23)+System_Mkt_Repl!G349+System_Mkt_NC!H349,System_Mkt_Repl!G349+System_Mkt_NC!H349)</f>
        <v>0.51206539385184369</v>
      </c>
      <c r="I23" s="549">
        <f>IF(Sys_Repl_Rate!H23&lt;1,System_Total_Mkt!H23*(1-Sys_Repl_Rate!H23)*(1-Retrofit_Rate)-(1-Standards_Acceptance!I23)*(Lamp_Mkt_Repl!I23)+System_Mkt_Repl!H349+System_Mkt_NC!I349,System_Mkt_Repl!H349+System_Mkt_NC!I349)</f>
        <v>1.1475014722626384</v>
      </c>
      <c r="J23" s="549">
        <f>IF(Sys_Repl_Rate!I23&lt;1,System_Total_Mkt!I23*(1-Sys_Repl_Rate!I23)*(1-Retrofit_Rate)-(1-Standards_Acceptance!J23)*(Lamp_Mkt_Repl!J23)+System_Mkt_Repl!I349+System_Mkt_NC!J349,System_Mkt_Repl!I349+System_Mkt_NC!J349)</f>
        <v>1.9093006092338012</v>
      </c>
      <c r="K23" s="549">
        <f>IF(Sys_Repl_Rate!J23&lt;1,System_Total_Mkt!J23*(1-Sys_Repl_Rate!J23)*(1-Retrofit_Rate)-(1-Standards_Acceptance!K23)*(Lamp_Mkt_Repl!K23)+System_Mkt_Repl!J349+System_Mkt_NC!K349,System_Mkt_Repl!J349+System_Mkt_NC!K349)</f>
        <v>2.7848075889248354</v>
      </c>
      <c r="L23" s="549">
        <f>IF(Sys_Repl_Rate!K23&lt;1,System_Total_Mkt!K23*(1-Sys_Repl_Rate!K23)*(1-Retrofit_Rate)-(1-Standards_Acceptance!L23)*(Lamp_Mkt_Repl!L23)+System_Mkt_Repl!K349+System_Mkt_NC!L349,System_Mkt_Repl!K349+System_Mkt_NC!L349)</f>
        <v>3.7159531303604956</v>
      </c>
      <c r="M23" s="549">
        <f>IF(Sys_Repl_Rate!L23&lt;1,System_Total_Mkt!L23*(1-Sys_Repl_Rate!L23)*(1-Retrofit_Rate)-(1-Standards_Acceptance!M23)*(Lamp_Mkt_Repl!M23)+System_Mkt_Repl!L349+System_Mkt_NC!M349,System_Mkt_Repl!L349+System_Mkt_NC!M349)</f>
        <v>4.6773434736528356</v>
      </c>
      <c r="N23" s="549">
        <f>IF(Sys_Repl_Rate!M23&lt;1,System_Total_Mkt!M23*(1-Sys_Repl_Rate!M23)*(1-Retrofit_Rate)-(1-Standards_Acceptance!N23)*(Lamp_Mkt_Repl!N23)+System_Mkt_Repl!M349+System_Mkt_NC!N349,System_Mkt_Repl!M349+System_Mkt_NC!N349)</f>
        <v>5.6299520954115838</v>
      </c>
      <c r="O23" s="549">
        <f>IF(Sys_Repl_Rate!N23&lt;1,System_Total_Mkt!N23*(1-Sys_Repl_Rate!N23)*(1-Retrofit_Rate)-(1-Standards_Acceptance!O23)*(Lamp_Mkt_Repl!O23)+System_Mkt_Repl!N349+System_Mkt_NC!O349,System_Mkt_Repl!N349+System_Mkt_NC!O349)</f>
        <v>6.5435993212933257</v>
      </c>
      <c r="P23" s="549">
        <f>IF(Sys_Repl_Rate!O23&lt;1,System_Total_Mkt!O23*(1-Sys_Repl_Rate!O23)*(1-Retrofit_Rate)-(1-Standards_Acceptance!P23)*(Lamp_Mkt_Repl!P23)+System_Mkt_Repl!O349+System_Mkt_NC!P349,System_Mkt_Repl!O349+System_Mkt_NC!P349)</f>
        <v>7.3944517339090581</v>
      </c>
      <c r="Q23" s="549">
        <f>IF(Sys_Repl_Rate!P23&lt;1,System_Total_Mkt!P23*(1-Sys_Repl_Rate!P23)*(1-Retrofit_Rate)-(1-Standards_Acceptance!Q23)*(Lamp_Mkt_Repl!Q23)+System_Mkt_Repl!P349+System_Mkt_NC!Q349,System_Mkt_Repl!P349+System_Mkt_NC!Q349)</f>
        <v>8.1645768830940444</v>
      </c>
      <c r="R23" s="549">
        <f>IF(Sys_Repl_Rate!Q23&lt;1,System_Total_Mkt!Q23*(1-Sys_Repl_Rate!Q23)*(1-Retrofit_Rate)-(1-Standards_Acceptance!R23)*(Lamp_Mkt_Repl!R23)+System_Mkt_Repl!Q349+System_Mkt_NC!R349,System_Mkt_Repl!Q349+System_Mkt_NC!R349)</f>
        <v>8.8415992779455763</v>
      </c>
      <c r="S23" s="549">
        <f>IF(Sys_Repl_Rate!R23&lt;1,System_Total_Mkt!R23*(1-Sys_Repl_Rate!R23)*(1-Retrofit_Rate)-(1-Standards_Acceptance!S23)*(Lamp_Mkt_Repl!S23)+System_Mkt_Repl!R349+System_Mkt_NC!S349,System_Mkt_Repl!R349+System_Mkt_NC!S349)</f>
        <v>9.4241499092393362</v>
      </c>
      <c r="T23" s="549">
        <f>IF(Sys_Repl_Rate!S23&lt;1,System_Total_Mkt!S23*(1-Sys_Repl_Rate!S23)*(1-Retrofit_Rate)-(1-Standards_Acceptance!T23)*(Lamp_Mkt_Repl!T23)+System_Mkt_Repl!S349+System_Mkt_NC!T349,System_Mkt_Repl!S349+System_Mkt_NC!T349)</f>
        <v>9.9120272995889813</v>
      </c>
      <c r="U23" s="549">
        <f>IF(Sys_Repl_Rate!T23&lt;1,System_Total_Mkt!T23*(1-Sys_Repl_Rate!T23)*(1-Retrofit_Rate)-(1-Standards_Acceptance!U23)*(Lamp_Mkt_Repl!U23)+System_Mkt_Repl!T349+System_Mkt_NC!U349,System_Mkt_Repl!T349+System_Mkt_NC!U349)</f>
        <v>10.309340299002661</v>
      </c>
      <c r="V23" s="549">
        <f>IF(Sys_Repl_Rate!U23&lt;1,System_Total_Mkt!U23*(1-Sys_Repl_Rate!U23)*(1-Retrofit_Rate)-(1-Standards_Acceptance!V23)*(Lamp_Mkt_Repl!V23)+System_Mkt_Repl!U349+System_Mkt_NC!V349,System_Mkt_Repl!U349+System_Mkt_NC!V349)</f>
        <v>10.625417080401718</v>
      </c>
      <c r="W23" s="549">
        <f>IF(Sys_Repl_Rate!V23&lt;1,System_Total_Mkt!V23*(1-Sys_Repl_Rate!V23)*(1-Retrofit_Rate)-(1-Standards_Acceptance!W23)*(Lamp_Mkt_Repl!W23)+System_Mkt_Repl!V349+System_Mkt_NC!W349,System_Mkt_Repl!V349+System_Mkt_NC!W349)</f>
        <v>10.86806162560012</v>
      </c>
      <c r="X23" s="549">
        <f>IF(Sys_Repl_Rate!W23&lt;1,System_Total_Mkt!W23*(1-Sys_Repl_Rate!W23)*(1-Retrofit_Rate)-(1-Standards_Acceptance!X23)*(Lamp_Mkt_Repl!X23)+System_Mkt_Repl!W349+System_Mkt_NC!X349,System_Mkt_Repl!W349+System_Mkt_NC!X349)</f>
        <v>11.04575147824338</v>
      </c>
      <c r="Y23" s="549">
        <f>IF(Sys_Repl_Rate!X23&lt;1,System_Total_Mkt!X23*(1-Sys_Repl_Rate!X23)*(1-Retrofit_Rate)-(1-Standards_Acceptance!Y23)*(Lamp_Mkt_Repl!Y23)+System_Mkt_Repl!X349+System_Mkt_NC!Y349,System_Mkt_Repl!X349+System_Mkt_NC!Y349)</f>
        <v>11.167306776567216</v>
      </c>
      <c r="Z23" s="549">
        <f>IF(Sys_Repl_Rate!Y23&lt;1,System_Total_Mkt!Y23*(1-Sys_Repl_Rate!Y23)*(1-Retrofit_Rate)-(1-Standards_Acceptance!Z23)*(Lamp_Mkt_Repl!Z23)+System_Mkt_Repl!Y349+System_Mkt_NC!Z349,System_Mkt_Repl!Y349+System_Mkt_NC!Z349)</f>
        <v>11.242820376373713</v>
      </c>
      <c r="AA23" s="549">
        <f>IF(Sys_Repl_Rate!Z23&lt;1,System_Total_Mkt!Z23*(1-Sys_Repl_Rate!Z23)*(1-Retrofit_Rate)-(1-Standards_Acceptance!AA23)*(Lamp_Mkt_Repl!AA23)+System_Mkt_Repl!Z349+System_Mkt_NC!AA349,System_Mkt_Repl!Z349+System_Mkt_NC!AA349)</f>
        <v>11.281806562171655</v>
      </c>
      <c r="AB23" s="549">
        <f>IF(Sys_Repl_Rate!AA23&lt;1,System_Total_Mkt!AA23*(1-Sys_Repl_Rate!AA23)*(1-Retrofit_Rate)-(1-Standards_Acceptance!AB23)*(Lamp_Mkt_Repl!AB23)+System_Mkt_Repl!AA349+System_Mkt_NC!AB349,System_Mkt_Repl!AA349+System_Mkt_NC!AB349)</f>
        <v>11.292199832290125</v>
      </c>
      <c r="AC23" s="549">
        <f>IF(Sys_Repl_Rate!AB23&lt;1,System_Total_Mkt!AB23*(1-Sys_Repl_Rate!AB23)*(1-Retrofit_Rate)-(1-Standards_Acceptance!AC23)*(Lamp_Mkt_Repl!AC23)+System_Mkt_Repl!AB349+System_Mkt_NC!AC349,System_Mkt_Repl!AB349+System_Mkt_NC!AC349)</f>
        <v>11.276877765688528</v>
      </c>
      <c r="AD23" s="549">
        <f>IF(Sys_Repl_Rate!AC23&lt;1,System_Total_Mkt!AC23*(1-Sys_Repl_Rate!AC23)*(1-Retrofit_Rate)-(1-Standards_Acceptance!AD23)*(Lamp_Mkt_Repl!AD23)+System_Mkt_Repl!AC349+System_Mkt_NC!AD349,System_Mkt_Repl!AC349+System_Mkt_NC!AD349)</f>
        <v>11.240372013517883</v>
      </c>
      <c r="AE23" s="549">
        <f>IF(Sys_Repl_Rate!AD23&lt;1,System_Total_Mkt!AD23*(1-Sys_Repl_Rate!AD23)*(1-Retrofit_Rate)-(1-Standards_Acceptance!AE23)*(Lamp_Mkt_Repl!AE23)+System_Mkt_Repl!AD349+System_Mkt_NC!AE349,System_Mkt_Repl!AD349+System_Mkt_NC!AE349)</f>
        <v>11.186186417771117</v>
      </c>
      <c r="AF23" s="549">
        <f>IF(Sys_Repl_Rate!AE23&lt;1,System_Total_Mkt!AE23*(1-Sys_Repl_Rate!AE23)*(1-Retrofit_Rate)-(1-Standards_Acceptance!AF23)*(Lamp_Mkt_Repl!AF23)+System_Mkt_Repl!AE349+System_Mkt_NC!AF349,System_Mkt_Repl!AE349+System_Mkt_NC!AF349)</f>
        <v>11.115634256228073</v>
      </c>
    </row>
    <row r="24" spans="1:32" ht="14.45" x14ac:dyDescent="0.35">
      <c r="A24" s="210"/>
      <c r="B24" s="210" t="s">
        <v>29</v>
      </c>
      <c r="G24" s="549">
        <v>0</v>
      </c>
      <c r="H24" s="549">
        <f>IF(Sys_Repl_Rate!G24&lt;1,System_Total_Mkt!G24*(1-Sys_Repl_Rate!G24)*(1-Retrofit_Rate)-(1-Standards_Acceptance!H24)*(Lamp_Mkt_Repl!H24)+System_Mkt_Repl!G350+System_Mkt_NC!H350,System_Mkt_Repl!G350+System_Mkt_NC!H350)</f>
        <v>6.3685339506535404E-5</v>
      </c>
      <c r="I24" s="549">
        <f>IF(Sys_Repl_Rate!H24&lt;1,System_Total_Mkt!H24*(1-Sys_Repl_Rate!H24)*(1-Retrofit_Rate)-(1-Standards_Acceptance!I24)*(Lamp_Mkt_Repl!I24)+System_Mkt_Repl!H350+System_Mkt_NC!I350,System_Mkt_Repl!H350+System_Mkt_NC!I350)</f>
        <v>1.5920877607618802E-3</v>
      </c>
      <c r="J24" s="549">
        <f>IF(Sys_Repl_Rate!I24&lt;1,System_Total_Mkt!I24*(1-Sys_Repl_Rate!I24)*(1-Retrofit_Rate)-(1-Standards_Acceptance!J24)*(Lamp_Mkt_Repl!J24)+System_Mkt_Repl!I350+System_Mkt_NC!J350,System_Mkt_Repl!I350+System_Mkt_NC!J350)</f>
        <v>1.1382687626037481E-2</v>
      </c>
      <c r="K24" s="549">
        <f>IF(Sys_Repl_Rate!J24&lt;1,System_Total_Mkt!J24*(1-Sys_Repl_Rate!J24)*(1-Retrofit_Rate)-(1-Standards_Acceptance!K24)*(Lamp_Mkt_Repl!K24)+System_Mkt_Repl!J350+System_Mkt_NC!K350,System_Mkt_Repl!J350+System_Mkt_NC!K350)</f>
        <v>4.4282661293571814E-2</v>
      </c>
      <c r="L24" s="549">
        <f>IF(Sys_Repl_Rate!K24&lt;1,System_Total_Mkt!K24*(1-Sys_Repl_Rate!K24)*(1-Retrofit_Rate)-(1-Standards_Acceptance!L24)*(Lamp_Mkt_Repl!L24)+System_Mkt_Repl!K350+System_Mkt_NC!L350,System_Mkt_Repl!K350+System_Mkt_NC!L350)</f>
        <v>0.12102110796930135</v>
      </c>
      <c r="M24" s="549">
        <f>IF(Sys_Repl_Rate!L24&lt;1,System_Total_Mkt!L24*(1-Sys_Repl_Rate!L24)*(1-Retrofit_Rate)-(1-Standards_Acceptance!M24)*(Lamp_Mkt_Repl!M24)+System_Mkt_Repl!L350+System_Mkt_NC!M350,System_Mkt_Repl!L350+System_Mkt_NC!M350)</f>
        <v>0.26480847669448826</v>
      </c>
      <c r="N24" s="549">
        <f>IF(Sys_Repl_Rate!M24&lt;1,System_Total_Mkt!M24*(1-Sys_Repl_Rate!M24)*(1-Retrofit_Rate)-(1-Standards_Acceptance!N24)*(Lamp_Mkt_Repl!N24)+System_Mkt_Repl!M350+System_Mkt_NC!N350,System_Mkt_Repl!M350+System_Mkt_NC!N350)</f>
        <v>0.49400067205479575</v>
      </c>
      <c r="O24" s="549">
        <f>IF(Sys_Repl_Rate!N24&lt;1,System_Total_Mkt!N24*(1-Sys_Repl_Rate!N24)*(1-Retrofit_Rate)-(1-Standards_Acceptance!O24)*(Lamp_Mkt_Repl!O24)+System_Mkt_Repl!N350+System_Mkt_NC!O350,System_Mkt_Repl!N350+System_Mkt_NC!O350)</f>
        <v>0.82208076318346612</v>
      </c>
      <c r="P24" s="549">
        <f>IF(Sys_Repl_Rate!O24&lt;1,System_Total_Mkt!O24*(1-Sys_Repl_Rate!O24)*(1-Retrofit_Rate)-(1-Standards_Acceptance!P24)*(Lamp_Mkt_Repl!P24)+System_Mkt_Repl!O350+System_Mkt_NC!P350,System_Mkt_Repl!O350+System_Mkt_NC!P350)</f>
        <v>1.2559825804651457</v>
      </c>
      <c r="Q24" s="549">
        <f>IF(Sys_Repl_Rate!P24&lt;1,System_Total_Mkt!P24*(1-Sys_Repl_Rate!P24)*(1-Retrofit_Rate)-(1-Standards_Acceptance!Q24)*(Lamp_Mkt_Repl!Q24)+System_Mkt_Repl!P350+System_Mkt_NC!Q350,System_Mkt_Repl!P350+System_Mkt_NC!Q350)</f>
        <v>1.7988045403906709</v>
      </c>
      <c r="R24" s="549">
        <f>IF(Sys_Repl_Rate!Q24&lt;1,System_Total_Mkt!Q24*(1-Sys_Repl_Rate!Q24)*(1-Retrofit_Rate)-(1-Standards_Acceptance!R24)*(Lamp_Mkt_Repl!R24)+System_Mkt_Repl!Q350+System_Mkt_NC!R350,System_Mkt_Repl!Q350+System_Mkt_NC!R350)</f>
        <v>2.4442793737119848</v>
      </c>
      <c r="S24" s="549">
        <f>IF(Sys_Repl_Rate!R24&lt;1,System_Total_Mkt!R24*(1-Sys_Repl_Rate!R24)*(1-Retrofit_Rate)-(1-Standards_Acceptance!S24)*(Lamp_Mkt_Repl!S24)+System_Mkt_Repl!R350+System_Mkt_NC!S350,System_Mkt_Repl!R350+System_Mkt_NC!S350)</f>
        <v>3.1883230968877623</v>
      </c>
      <c r="T24" s="549">
        <f>IF(Sys_Repl_Rate!S24&lt;1,System_Total_Mkt!S24*(1-Sys_Repl_Rate!S24)*(1-Retrofit_Rate)-(1-Standards_Acceptance!T24)*(Lamp_Mkt_Repl!T24)+System_Mkt_Repl!S350+System_Mkt_NC!T350,System_Mkt_Repl!S350+System_Mkt_NC!T350)</f>
        <v>4.0209100410447451</v>
      </c>
      <c r="U24" s="549">
        <f>IF(Sys_Repl_Rate!T24&lt;1,System_Total_Mkt!T24*(1-Sys_Repl_Rate!T24)*(1-Retrofit_Rate)-(1-Standards_Acceptance!U24)*(Lamp_Mkt_Repl!U24)+System_Mkt_Repl!T350+System_Mkt_NC!U350,System_Mkt_Repl!T350+System_Mkt_NC!U350)</f>
        <v>4.9298737915738933</v>
      </c>
      <c r="V24" s="549">
        <f>IF(Sys_Repl_Rate!U24&lt;1,System_Total_Mkt!U24*(1-Sys_Repl_Rate!U24)*(1-Retrofit_Rate)-(1-Standards_Acceptance!V24)*(Lamp_Mkt_Repl!V24)+System_Mkt_Repl!U350+System_Mkt_NC!V350,System_Mkt_Repl!U350+System_Mkt_NC!V350)</f>
        <v>5.9026040102360451</v>
      </c>
      <c r="W24" s="549">
        <f>IF(Sys_Repl_Rate!V24&lt;1,System_Total_Mkt!V24*(1-Sys_Repl_Rate!V24)*(1-Retrofit_Rate)-(1-Standards_Acceptance!W24)*(Lamp_Mkt_Repl!W24)+System_Mkt_Repl!V350+System_Mkt_NC!W350,System_Mkt_Repl!V350+System_Mkt_NC!W350)</f>
        <v>6.9236695041811114</v>
      </c>
      <c r="X24" s="549">
        <f>IF(Sys_Repl_Rate!W24&lt;1,System_Total_Mkt!W24*(1-Sys_Repl_Rate!W24)*(1-Retrofit_Rate)-(1-Standards_Acceptance!X24)*(Lamp_Mkt_Repl!X24)+System_Mkt_Repl!W350+System_Mkt_NC!X350,System_Mkt_Repl!W350+System_Mkt_NC!X350)</f>
        <v>7.9774050353969326</v>
      </c>
      <c r="Y24" s="549">
        <f>IF(Sys_Repl_Rate!X24&lt;1,System_Total_Mkt!X24*(1-Sys_Repl_Rate!X24)*(1-Retrofit_Rate)-(1-Standards_Acceptance!Y24)*(Lamp_Mkt_Repl!Y24)+System_Mkt_Repl!X350+System_Mkt_NC!Y350,System_Mkt_Repl!X350+System_Mkt_NC!Y350)</f>
        <v>9.0505585642615287</v>
      </c>
      <c r="Z24" s="549">
        <f>IF(Sys_Repl_Rate!Y24&lt;1,System_Total_Mkt!Y24*(1-Sys_Repl_Rate!Y24)*(1-Retrofit_Rate)-(1-Standards_Acceptance!Z24)*(Lamp_Mkt_Repl!Z24)+System_Mkt_Repl!Y350+System_Mkt_NC!Z350,System_Mkt_Repl!Y350+System_Mkt_NC!Z350)</f>
        <v>10.134712572352752</v>
      </c>
      <c r="AA24" s="549">
        <f>IF(Sys_Repl_Rate!Z24&lt;1,System_Total_Mkt!Z24*(1-Sys_Repl_Rate!Z24)*(1-Retrofit_Rate)-(1-Standards_Acceptance!AA24)*(Lamp_Mkt_Repl!AA24)+System_Mkt_Repl!Z350+System_Mkt_NC!AA350,System_Mkt_Repl!Z350+System_Mkt_NC!AA350)</f>
        <v>11.224243484026541</v>
      </c>
      <c r="AB24" s="549">
        <f>IF(Sys_Repl_Rate!AA24&lt;1,System_Total_Mkt!AA24*(1-Sys_Repl_Rate!AA24)*(1-Retrofit_Rate)-(1-Standards_Acceptance!AB24)*(Lamp_Mkt_Repl!AB24)+System_Mkt_Repl!AA350+System_Mkt_NC!AB350,System_Mkt_Repl!AA350+System_Mkt_NC!AB350)</f>
        <v>12.319226551502853</v>
      </c>
      <c r="AC24" s="549">
        <f>IF(Sys_Repl_Rate!AB24&lt;1,System_Total_Mkt!AB24*(1-Sys_Repl_Rate!AB24)*(1-Retrofit_Rate)-(1-Standards_Acceptance!AC24)*(Lamp_Mkt_Repl!AC24)+System_Mkt_Repl!AB350+System_Mkt_NC!AC350,System_Mkt_Repl!AB350+System_Mkt_NC!AC350)</f>
        <v>13.405565907186544</v>
      </c>
      <c r="AD24" s="549">
        <f>IF(Sys_Repl_Rate!AC24&lt;1,System_Total_Mkt!AC24*(1-Sys_Repl_Rate!AC24)*(1-Retrofit_Rate)-(1-Standards_Acceptance!AD24)*(Lamp_Mkt_Repl!AD24)+System_Mkt_Repl!AC350+System_Mkt_NC!AD350,System_Mkt_Repl!AC350+System_Mkt_NC!AD350)</f>
        <v>14.478901590757568</v>
      </c>
      <c r="AE24" s="549">
        <f>IF(Sys_Repl_Rate!AD24&lt;1,System_Total_Mkt!AD24*(1-Sys_Repl_Rate!AD24)*(1-Retrofit_Rate)-(1-Standards_Acceptance!AE24)*(Lamp_Mkt_Repl!AE24)+System_Mkt_Repl!AD350+System_Mkt_NC!AE350,System_Mkt_Repl!AD350+System_Mkt_NC!AE350)</f>
        <v>15.536299612054346</v>
      </c>
      <c r="AF24" s="549">
        <f>IF(Sys_Repl_Rate!AE24&lt;1,System_Total_Mkt!AE24*(1-Sys_Repl_Rate!AE24)*(1-Retrofit_Rate)-(1-Standards_Acceptance!AF24)*(Lamp_Mkt_Repl!AF24)+System_Mkt_Repl!AE350+System_Mkt_NC!AF350,System_Mkt_Repl!AE350+System_Mkt_NC!AF350)</f>
        <v>16.578407982183943</v>
      </c>
    </row>
    <row r="25" spans="1:32" ht="14.45" x14ac:dyDescent="0.35">
      <c r="A25" s="210"/>
      <c r="B25" s="210"/>
      <c r="G25" s="549" t="str">
        <v/>
      </c>
      <c r="H25" s="549"/>
      <c r="I25" s="549"/>
      <c r="J25" s="549"/>
      <c r="K25" s="549"/>
      <c r="L25" s="549"/>
      <c r="M25" s="549"/>
      <c r="N25" s="549"/>
      <c r="O25" s="549"/>
      <c r="P25" s="549"/>
      <c r="Q25" s="549"/>
      <c r="R25" s="549"/>
      <c r="S25" s="549"/>
      <c r="T25" s="549"/>
      <c r="U25" s="549"/>
      <c r="V25" s="549"/>
      <c r="W25" s="549"/>
      <c r="X25" s="549"/>
      <c r="Y25" s="549"/>
      <c r="Z25" s="549"/>
      <c r="AA25" s="549"/>
      <c r="AB25" s="549"/>
      <c r="AC25" s="549"/>
      <c r="AD25" s="549"/>
      <c r="AE25" s="549"/>
      <c r="AF25" s="549"/>
    </row>
    <row r="26" spans="1:32" s="216" customFormat="1" ht="12.95" x14ac:dyDescent="0.3">
      <c r="A26" s="216" t="s">
        <v>42</v>
      </c>
      <c r="G26" s="632" t="str">
        <v/>
      </c>
      <c r="H26" s="632"/>
      <c r="I26" s="632"/>
      <c r="J26" s="632"/>
      <c r="K26" s="632"/>
      <c r="L26" s="632"/>
      <c r="M26" s="632"/>
      <c r="N26" s="632"/>
      <c r="O26" s="632"/>
      <c r="P26" s="632"/>
      <c r="Q26" s="632"/>
      <c r="R26" s="632"/>
      <c r="S26" s="632"/>
      <c r="T26" s="632"/>
      <c r="U26" s="632"/>
      <c r="V26" s="632"/>
      <c r="W26" s="632"/>
      <c r="X26" s="632"/>
      <c r="Y26" s="632"/>
      <c r="Z26" s="632"/>
      <c r="AA26" s="632"/>
      <c r="AB26" s="632"/>
      <c r="AC26" s="632"/>
      <c r="AD26" s="632"/>
      <c r="AE26" s="632"/>
      <c r="AF26" s="632"/>
    </row>
    <row r="27" spans="1:32" ht="14.45" x14ac:dyDescent="0.35">
      <c r="A27" s="210"/>
      <c r="B27" s="212" t="s">
        <v>43</v>
      </c>
      <c r="G27" s="549">
        <v>2.6732242680453232E-2</v>
      </c>
      <c r="H27" s="549">
        <f>IF(Sys_Repl_Rate!G27&lt;1,System_Total_Mkt!G27*(1-Sys_Repl_Rate!G27)*(1-Retrofit_Rate)-(1-Standards_Acceptance!H27)*(Lamp_Mkt_Repl!H27)+System_Mkt_Repl!G353+System_Mkt_NC!H353,System_Mkt_Repl!G353+System_Mkt_NC!H353)</f>
        <v>2.535058383377797E-2</v>
      </c>
      <c r="I27" s="549">
        <f>IF(Sys_Repl_Rate!H27&lt;1,System_Total_Mkt!H27*(1-Sys_Repl_Rate!H27)*(1-Retrofit_Rate)-(1-Standards_Acceptance!I27)*(Lamp_Mkt_Repl!I27)+System_Mkt_Repl!H353+System_Mkt_NC!I353,System_Mkt_Repl!H353+System_Mkt_NC!I353)</f>
        <v>2.4054547203770874E-2</v>
      </c>
      <c r="J27" s="549">
        <f>IF(Sys_Repl_Rate!I27&lt;1,System_Total_Mkt!I27*(1-Sys_Repl_Rate!I27)*(1-Retrofit_Rate)-(1-Standards_Acceptance!J27)*(Lamp_Mkt_Repl!J27)+System_Mkt_Repl!I353+System_Mkt_NC!J353,System_Mkt_Repl!I353+System_Mkt_NC!J353)</f>
        <v>2.283600674365838E-2</v>
      </c>
      <c r="K27" s="549">
        <f>IF(Sys_Repl_Rate!J27&lt;1,System_Total_Mkt!J27*(1-Sys_Repl_Rate!J27)*(1-Retrofit_Rate)-(1-Standards_Acceptance!K27)*(Lamp_Mkt_Repl!K27)+System_Mkt_Repl!J353+System_Mkt_NC!K353,System_Mkt_Repl!J353+System_Mkt_NC!K353)</f>
        <v>2.1685760976819696E-2</v>
      </c>
      <c r="L27" s="549">
        <f>IF(Sys_Repl_Rate!K27&lt;1,System_Total_Mkt!K27*(1-Sys_Repl_Rate!K27)*(1-Retrofit_Rate)-(1-Standards_Acceptance!L27)*(Lamp_Mkt_Repl!L27)+System_Mkt_Repl!K353+System_Mkt_NC!L353,System_Mkt_Repl!K353+System_Mkt_NC!L353)</f>
        <v>2.0599853333854119E-2</v>
      </c>
      <c r="M27" s="549">
        <f>IF(Sys_Repl_Rate!L27&lt;1,System_Total_Mkt!L27*(1-Sys_Repl_Rate!L27)*(1-Retrofit_Rate)-(1-Standards_Acceptance!M27)*(Lamp_Mkt_Repl!M27)+System_Mkt_Repl!L353+System_Mkt_NC!M353,System_Mkt_Repl!L353+System_Mkt_NC!M353)</f>
        <v>1.9573174761156685E-2</v>
      </c>
      <c r="N27" s="549">
        <f>IF(Sys_Repl_Rate!M27&lt;1,System_Total_Mkt!M27*(1-Sys_Repl_Rate!M27)*(1-Retrofit_Rate)-(1-Standards_Acceptance!N27)*(Lamp_Mkt_Repl!N27)+System_Mkt_Repl!M353+System_Mkt_NC!N353,System_Mkt_Repl!M353+System_Mkt_NC!N353)</f>
        <v>1.8601076985123144E-2</v>
      </c>
      <c r="O27" s="549">
        <f>IF(Sys_Repl_Rate!N27&lt;1,System_Total_Mkt!N27*(1-Sys_Repl_Rate!N27)*(1-Retrofit_Rate)-(1-Standards_Acceptance!O27)*(Lamp_Mkt_Repl!O27)+System_Mkt_Repl!N353+System_Mkt_NC!O353,System_Mkt_Repl!N353+System_Mkt_NC!O353)</f>
        <v>1.768061440073098E-2</v>
      </c>
      <c r="P27" s="549">
        <f>IF(Sys_Repl_Rate!O27&lt;1,System_Total_Mkt!O27*(1-Sys_Repl_Rate!O27)*(1-Retrofit_Rate)-(1-Standards_Acceptance!P27)*(Lamp_Mkt_Repl!P27)+System_Mkt_Repl!O353+System_Mkt_NC!P353,System_Mkt_Repl!O353+System_Mkt_NC!P353)</f>
        <v>1.6809374168909427E-2</v>
      </c>
      <c r="Q27" s="549">
        <f>IF(Sys_Repl_Rate!P27&lt;1,System_Total_Mkt!P27*(1-Sys_Repl_Rate!P27)*(1-Retrofit_Rate)-(1-Standards_Acceptance!Q27)*(Lamp_Mkt_Repl!Q27)+System_Mkt_Repl!P353+System_Mkt_NC!Q353,System_Mkt_Repl!P353+System_Mkt_NC!Q353)</f>
        <v>1.5985116944203095E-2</v>
      </c>
      <c r="R27" s="549">
        <f>IF(Sys_Repl_Rate!Q27&lt;1,System_Total_Mkt!Q27*(1-Sys_Repl_Rate!Q27)*(1-Retrofit_Rate)-(1-Standards_Acceptance!R27)*(Lamp_Mkt_Repl!R27)+System_Mkt_Repl!Q353+System_Mkt_NC!R353,System_Mkt_Repl!Q353+System_Mkt_NC!R353)</f>
        <v>1.5205467312561461E-2</v>
      </c>
      <c r="S27" s="549">
        <f>IF(Sys_Repl_Rate!R27&lt;1,System_Total_Mkt!R27*(1-Sys_Repl_Rate!R27)*(1-Retrofit_Rate)-(1-Standards_Acceptance!S27)*(Lamp_Mkt_Repl!S27)+System_Mkt_Repl!R353+System_Mkt_NC!S353,System_Mkt_Repl!R353+System_Mkt_NC!S353)</f>
        <v>1.4469508686248999E-2</v>
      </c>
      <c r="T27" s="549">
        <f>IF(Sys_Repl_Rate!S27&lt;1,System_Total_Mkt!S27*(1-Sys_Repl_Rate!S27)*(1-Retrofit_Rate)-(1-Standards_Acceptance!T27)*(Lamp_Mkt_Repl!T27)+System_Mkt_Repl!S353+System_Mkt_NC!T353,System_Mkt_Repl!S353+System_Mkt_NC!T353)</f>
        <v>1.3775611393814235E-2</v>
      </c>
      <c r="U27" s="549">
        <f>IF(Sys_Repl_Rate!T27&lt;1,System_Total_Mkt!T27*(1-Sys_Repl_Rate!T27)*(1-Retrofit_Rate)-(1-Standards_Acceptance!U27)*(Lamp_Mkt_Repl!U27)+System_Mkt_Repl!T353+System_Mkt_NC!U353,System_Mkt_Repl!T353+System_Mkt_NC!U353)</f>
        <v>1.3122161112467459E-2</v>
      </c>
      <c r="V27" s="549">
        <f>IF(Sys_Repl_Rate!U27&lt;1,System_Total_Mkt!U27*(1-Sys_Repl_Rate!U27)*(1-Retrofit_Rate)-(1-Standards_Acceptance!V27)*(Lamp_Mkt_Repl!V27)+System_Mkt_Repl!U353+System_Mkt_NC!V353,System_Mkt_Repl!U353+System_Mkt_NC!V353)</f>
        <v>1.2507866905687231E-2</v>
      </c>
      <c r="W27" s="549">
        <f>IF(Sys_Repl_Rate!V27&lt;1,System_Total_Mkt!V27*(1-Sys_Repl_Rate!V27)*(1-Retrofit_Rate)-(1-Standards_Acceptance!W27)*(Lamp_Mkt_Repl!W27)+System_Mkt_Repl!V353+System_Mkt_NC!W353,System_Mkt_Repl!V353+System_Mkt_NC!W353)</f>
        <v>1.1930785872411042E-2</v>
      </c>
      <c r="X27" s="549">
        <f>IF(Sys_Repl_Rate!W27&lt;1,System_Total_Mkt!W27*(1-Sys_Repl_Rate!W27)*(1-Retrofit_Rate)-(1-Standards_Acceptance!X27)*(Lamp_Mkt_Repl!X27)+System_Mkt_Repl!W353+System_Mkt_NC!X353,System_Mkt_Repl!W353+System_Mkt_NC!X353)</f>
        <v>1.1388901960790992E-2</v>
      </c>
      <c r="Y27" s="549">
        <f>IF(Sys_Repl_Rate!X27&lt;1,System_Total_Mkt!X27*(1-Sys_Repl_Rate!X27)*(1-Retrofit_Rate)-(1-Standards_Acceptance!Y27)*(Lamp_Mkt_Repl!Y27)+System_Mkt_Repl!X353+System_Mkt_NC!Y353,System_Mkt_Repl!X353+System_Mkt_NC!Y353)</f>
        <v>1.0880304180550162E-2</v>
      </c>
      <c r="Z27" s="549">
        <f>IF(Sys_Repl_Rate!Y27&lt;1,System_Total_Mkt!Y27*(1-Sys_Repl_Rate!Y27)*(1-Retrofit_Rate)-(1-Standards_Acceptance!Z27)*(Lamp_Mkt_Repl!Z27)+System_Mkt_Repl!Y353+System_Mkt_NC!Z353,System_Mkt_Repl!Y353+System_Mkt_NC!Z353)</f>
        <v>1.0403505641529746E-2</v>
      </c>
      <c r="AA27" s="549">
        <f>IF(Sys_Repl_Rate!Z27&lt;1,System_Total_Mkt!Z27*(1-Sys_Repl_Rate!Z27)*(1-Retrofit_Rate)-(1-Standards_Acceptance!AA27)*(Lamp_Mkt_Repl!AA27)+System_Mkt_Repl!Z353+System_Mkt_NC!AA353,System_Mkt_Repl!Z353+System_Mkt_NC!AA353)</f>
        <v>9.9571458321997732E-3</v>
      </c>
      <c r="AB27" s="549">
        <f>IF(Sys_Repl_Rate!AA27&lt;1,System_Total_Mkt!AA27*(1-Sys_Repl_Rate!AA27)*(1-Retrofit_Rate)-(1-Standards_Acceptance!AB27)*(Lamp_Mkt_Repl!AB27)+System_Mkt_Repl!AA353+System_Mkt_NC!AB353,System_Mkt_Repl!AA353+System_Mkt_NC!AB353)</f>
        <v>9.5400566718282873E-3</v>
      </c>
      <c r="AC27" s="549">
        <f>IF(Sys_Repl_Rate!AB27&lt;1,System_Total_Mkt!AB27*(1-Sys_Repl_Rate!AB27)*(1-Retrofit_Rate)-(1-Standards_Acceptance!AC27)*(Lamp_Mkt_Repl!AC27)+System_Mkt_Repl!AB353+System_Mkt_NC!AC353,System_Mkt_Repl!AB353+System_Mkt_NC!AC353)</f>
        <v>9.1497765092883702E-3</v>
      </c>
      <c r="AD27" s="549">
        <f>IF(Sys_Repl_Rate!AC27&lt;1,System_Total_Mkt!AC27*(1-Sys_Repl_Rate!AC27)*(1-Retrofit_Rate)-(1-Standards_Acceptance!AD27)*(Lamp_Mkt_Repl!AD27)+System_Mkt_Repl!AC353+System_Mkt_NC!AD353,System_Mkt_Repl!AC353+System_Mkt_NC!AD353)</f>
        <v>8.7846837701389333E-3</v>
      </c>
      <c r="AE27" s="549">
        <f>IF(Sys_Repl_Rate!AD27&lt;1,System_Total_Mkt!AD27*(1-Sys_Repl_Rate!AD27)*(1-Retrofit_Rate)-(1-Standards_Acceptance!AE27)*(Lamp_Mkt_Repl!AE27)+System_Mkt_Repl!AD353+System_Mkt_NC!AE353,System_Mkt_Repl!AD353+System_Mkt_NC!AE353)</f>
        <v>8.4432202381426631E-3</v>
      </c>
      <c r="AF27" s="549">
        <f>IF(Sys_Repl_Rate!AE27&lt;1,System_Total_Mkt!AE27*(1-Sys_Repl_Rate!AE27)*(1-Retrofit_Rate)-(1-Standards_Acceptance!AF27)*(Lamp_Mkt_Repl!AF27)+System_Mkt_Repl!AE353+System_Mkt_NC!AF353,System_Mkt_Repl!AE353+System_Mkt_NC!AF353)</f>
        <v>8.1238708049245056E-3</v>
      </c>
    </row>
    <row r="28" spans="1:32" ht="14.45" x14ac:dyDescent="0.35">
      <c r="A28" s="210"/>
      <c r="B28" s="212" t="s">
        <v>44</v>
      </c>
      <c r="G28" s="549">
        <v>3.989144514018399E-3</v>
      </c>
      <c r="H28" s="549">
        <f>IF(Sys_Repl_Rate!G28&lt;1,System_Total_Mkt!G28*(1-Sys_Repl_Rate!G28)*(1-Retrofit_Rate)-(1-Standards_Acceptance!H28)*(Lamp_Mkt_Repl!H28)+System_Mkt_Repl!G354+System_Mkt_NC!H354,System_Mkt_Repl!G354+System_Mkt_NC!H354)</f>
        <v>2.8302794457748304E-2</v>
      </c>
      <c r="I28" s="549">
        <f>IF(Sys_Repl_Rate!H28&lt;1,System_Total_Mkt!H28*(1-Sys_Repl_Rate!H28)*(1-Retrofit_Rate)-(1-Standards_Acceptance!I28)*(Lamp_Mkt_Repl!I28)+System_Mkt_Repl!H354+System_Mkt_NC!I354,System_Mkt_Repl!H354+System_Mkt_NC!I354)</f>
        <v>5.0980143925380292E-2</v>
      </c>
      <c r="J28" s="549">
        <f>IF(Sys_Repl_Rate!I28&lt;1,System_Total_Mkt!I28*(1-Sys_Repl_Rate!I28)*(1-Retrofit_Rate)-(1-Standards_Acceptance!J28)*(Lamp_Mkt_Repl!J28)+System_Mkt_Repl!I354+System_Mkt_NC!J354,System_Mkt_Repl!I354+System_Mkt_NC!J354)</f>
        <v>7.1887720815174E-2</v>
      </c>
      <c r="K28" s="549">
        <f>IF(Sys_Repl_Rate!J28&lt;1,System_Total_Mkt!J28*(1-Sys_Repl_Rate!J28)*(1-Retrofit_Rate)-(1-Standards_Acceptance!K28)*(Lamp_Mkt_Repl!K28)+System_Mkt_Repl!J354+System_Mkt_NC!K354,System_Mkt_Repl!J354+System_Mkt_NC!K354)</f>
        <v>9.074829298081577E-2</v>
      </c>
      <c r="L28" s="549">
        <f>IF(Sys_Repl_Rate!K28&lt;1,System_Total_Mkt!K28*(1-Sys_Repl_Rate!K28)*(1-Retrofit_Rate)-(1-Standards_Acceptance!L28)*(Lamp_Mkt_Repl!L28)+System_Mkt_Repl!K354+System_Mkt_NC!L354,System_Mkt_Repl!K354+System_Mkt_NC!L354)</f>
        <v>0.10772907438566375</v>
      </c>
      <c r="M28" s="549">
        <f>IF(Sys_Repl_Rate!L28&lt;1,System_Total_Mkt!L28*(1-Sys_Repl_Rate!L28)*(1-Retrofit_Rate)-(1-Standards_Acceptance!M28)*(Lamp_Mkt_Repl!M28)+System_Mkt_Repl!L354+System_Mkt_NC!M354,System_Mkt_Repl!L354+System_Mkt_NC!M354)</f>
        <v>0.1228626663197231</v>
      </c>
      <c r="N28" s="549">
        <f>IF(Sys_Repl_Rate!M28&lt;1,System_Total_Mkt!M28*(1-Sys_Repl_Rate!M28)*(1-Retrofit_Rate)-(1-Standards_Acceptance!N28)*(Lamp_Mkt_Repl!N28)+System_Mkt_Repl!M354+System_Mkt_NC!N354,System_Mkt_Repl!M354+System_Mkt_NC!N354)</f>
        <v>0.13618234438989535</v>
      </c>
      <c r="O28" s="549">
        <f>IF(Sys_Repl_Rate!N28&lt;1,System_Total_Mkt!N28*(1-Sys_Repl_Rate!N28)*(1-Retrofit_Rate)-(1-Standards_Acceptance!O28)*(Lamp_Mkt_Repl!O28)+System_Mkt_Repl!N354+System_Mkt_NC!O354,System_Mkt_Repl!N354+System_Mkt_NC!O354)</f>
        <v>0.14785226580745867</v>
      </c>
      <c r="P28" s="549">
        <f>IF(Sys_Repl_Rate!O28&lt;1,System_Total_Mkt!O28*(1-Sys_Repl_Rate!O28)*(1-Retrofit_Rate)-(1-Standards_Acceptance!P28)*(Lamp_Mkt_Repl!P28)+System_Mkt_Repl!O354+System_Mkt_NC!P354,System_Mkt_Repl!O354+System_Mkt_NC!P354)</f>
        <v>0.15805729053227349</v>
      </c>
      <c r="Q28" s="549">
        <f>IF(Sys_Repl_Rate!P28&lt;1,System_Total_Mkt!P28*(1-Sys_Repl_Rate!P28)*(1-Retrofit_Rate)-(1-Standards_Acceptance!Q28)*(Lamp_Mkt_Repl!Q28)+System_Mkt_Repl!P354+System_Mkt_NC!Q354,System_Mkt_Repl!P354+System_Mkt_NC!Q354)</f>
        <v>0.16697500656545597</v>
      </c>
      <c r="R28" s="549">
        <f>IF(Sys_Repl_Rate!Q28&lt;1,System_Total_Mkt!Q28*(1-Sys_Repl_Rate!Q28)*(1-Retrofit_Rate)-(1-Standards_Acceptance!R28)*(Lamp_Mkt_Repl!R28)+System_Mkt_Repl!Q354+System_Mkt_NC!R354,System_Mkt_Repl!Q354+System_Mkt_NC!R354)</f>
        <v>0.17474516937965873</v>
      </c>
      <c r="S28" s="549">
        <f>IF(Sys_Repl_Rate!R28&lt;1,System_Total_Mkt!R28*(1-Sys_Repl_Rate!R28)*(1-Retrofit_Rate)-(1-Standards_Acceptance!S28)*(Lamp_Mkt_Repl!S28)+System_Mkt_Repl!R354+System_Mkt_NC!S354,System_Mkt_Repl!R354+System_Mkt_NC!S354)</f>
        <v>0.18162013565612917</v>
      </c>
      <c r="T28" s="549">
        <f>IF(Sys_Repl_Rate!S28&lt;1,System_Total_Mkt!S28*(1-Sys_Repl_Rate!S28)*(1-Retrofit_Rate)-(1-Standards_Acceptance!T28)*(Lamp_Mkt_Repl!T28)+System_Mkt_Repl!S354+System_Mkt_NC!T354,System_Mkt_Repl!S354+System_Mkt_NC!T354)</f>
        <v>0.18776359429597939</v>
      </c>
      <c r="U28" s="549">
        <f>IF(Sys_Repl_Rate!T28&lt;1,System_Total_Mkt!T28*(1-Sys_Repl_Rate!T28)*(1-Retrofit_Rate)-(1-Standards_Acceptance!U28)*(Lamp_Mkt_Repl!U28)+System_Mkt_Repl!T354+System_Mkt_NC!U354,System_Mkt_Repl!T354+System_Mkt_NC!U354)</f>
        <v>0.19332053637319846</v>
      </c>
      <c r="V28" s="549">
        <f>IF(Sys_Repl_Rate!U28&lt;1,System_Total_Mkt!U28*(1-Sys_Repl_Rate!U28)*(1-Retrofit_Rate)-(1-Standards_Acceptance!V28)*(Lamp_Mkt_Repl!V28)+System_Mkt_Repl!U354+System_Mkt_NC!V354,System_Mkt_Repl!U354+System_Mkt_NC!V354)</f>
        <v>0.19844643990999919</v>
      </c>
      <c r="W28" s="549">
        <f>IF(Sys_Repl_Rate!V28&lt;1,System_Total_Mkt!V28*(1-Sys_Repl_Rate!V28)*(1-Retrofit_Rate)-(1-Standards_Acceptance!W28)*(Lamp_Mkt_Repl!W28)+System_Mkt_Repl!V354+System_Mkt_NC!W354,System_Mkt_Repl!V354+System_Mkt_NC!W354)</f>
        <v>0.20321839784702703</v>
      </c>
      <c r="X28" s="549">
        <f>IF(Sys_Repl_Rate!W28&lt;1,System_Total_Mkt!W28*(1-Sys_Repl_Rate!W28)*(1-Retrofit_Rate)-(1-Standards_Acceptance!X28)*(Lamp_Mkt_Repl!X28)+System_Mkt_Repl!W354+System_Mkt_NC!X354,System_Mkt_Repl!W354+System_Mkt_NC!X354)</f>
        <v>0.20768967873128527</v>
      </c>
      <c r="Y28" s="549">
        <f>IF(Sys_Repl_Rate!X28&lt;1,System_Total_Mkt!X28*(1-Sys_Repl_Rate!X28)*(1-Retrofit_Rate)-(1-Standards_Acceptance!Y28)*(Lamp_Mkt_Repl!Y28)+System_Mkt_Repl!X354+System_Mkt_NC!Y354,System_Mkt_Repl!X354+System_Mkt_NC!Y354)</f>
        <v>0.2119079074639732</v>
      </c>
      <c r="Z28" s="549">
        <f>IF(Sys_Repl_Rate!Y28&lt;1,System_Total_Mkt!Y28*(1-Sys_Repl_Rate!Y28)*(1-Retrofit_Rate)-(1-Standards_Acceptance!Z28)*(Lamp_Mkt_Repl!Z28)+System_Mkt_Repl!Y354+System_Mkt_NC!Z354,System_Mkt_Repl!Y354+System_Mkt_NC!Z354)</f>
        <v>0.21594575383688028</v>
      </c>
      <c r="AA28" s="549">
        <f>IF(Sys_Repl_Rate!Z28&lt;1,System_Total_Mkt!Z28*(1-Sys_Repl_Rate!Z28)*(1-Retrofit_Rate)-(1-Standards_Acceptance!AA28)*(Lamp_Mkt_Repl!AA28)+System_Mkt_Repl!Z354+System_Mkt_NC!AA354,System_Mkt_Repl!Z354+System_Mkt_NC!AA354)</f>
        <v>0.21987401841339449</v>
      </c>
      <c r="AB28" s="549">
        <f>IF(Sys_Repl_Rate!AA28&lt;1,System_Total_Mkt!AA28*(1-Sys_Repl_Rate!AA28)*(1-Retrofit_Rate)-(1-Standards_Acceptance!AB28)*(Lamp_Mkt_Repl!AB28)+System_Mkt_Repl!AA354+System_Mkt_NC!AB354,System_Mkt_Repl!AA354+System_Mkt_NC!AB354)</f>
        <v>0.22377016131823951</v>
      </c>
      <c r="AC28" s="549">
        <f>IF(Sys_Repl_Rate!AB28&lt;1,System_Total_Mkt!AB28*(1-Sys_Repl_Rate!AB28)*(1-Retrofit_Rate)-(1-Standards_Acceptance!AC28)*(Lamp_Mkt_Repl!AC28)+System_Mkt_Repl!AB354+System_Mkt_NC!AC354,System_Mkt_Repl!AB354+System_Mkt_NC!AC354)</f>
        <v>0.22757596165122623</v>
      </c>
      <c r="AD28" s="549">
        <f>IF(Sys_Repl_Rate!AC28&lt;1,System_Total_Mkt!AC28*(1-Sys_Repl_Rate!AC28)*(1-Retrofit_Rate)-(1-Standards_Acceptance!AD28)*(Lamp_Mkt_Repl!AD28)+System_Mkt_Repl!AC354+System_Mkt_NC!AD354,System_Mkt_Repl!AC354+System_Mkt_NC!AD354)</f>
        <v>0.23130200623364836</v>
      </c>
      <c r="AE28" s="549">
        <f>IF(Sys_Repl_Rate!AD28&lt;1,System_Total_Mkt!AD28*(1-Sys_Repl_Rate!AD28)*(1-Retrofit_Rate)-(1-Standards_Acceptance!AE28)*(Lamp_Mkt_Repl!AE28)+System_Mkt_Repl!AD354+System_Mkt_NC!AE354,System_Mkt_Repl!AD354+System_Mkt_NC!AE354)</f>
        <v>0.2349546974450952</v>
      </c>
      <c r="AF28" s="549">
        <f>IF(Sys_Repl_Rate!AE28&lt;1,System_Total_Mkt!AE28*(1-Sys_Repl_Rate!AE28)*(1-Retrofit_Rate)-(1-Standards_Acceptance!AF28)*(Lamp_Mkt_Repl!AF28)+System_Mkt_Repl!AE354+System_Mkt_NC!AF354,System_Mkt_Repl!AE354+System_Mkt_NC!AF354)</f>
        <v>0.23853662356619135</v>
      </c>
    </row>
    <row r="29" spans="1:32" ht="14.45" x14ac:dyDescent="0.35">
      <c r="A29" s="210"/>
      <c r="B29" s="212" t="s">
        <v>45</v>
      </c>
      <c r="G29" s="549">
        <v>0.28391480503906469</v>
      </c>
      <c r="H29" s="549">
        <f>IF(Sys_Repl_Rate!G29&lt;1,System_Total_Mkt!G29*(1-Sys_Repl_Rate!G29)*(1-Retrofit_Rate)-(1-Standards_Acceptance!H29)*(Lamp_Mkt_Repl!H29)+System_Mkt_Repl!G355+System_Mkt_NC!H355,System_Mkt_Repl!G355+System_Mkt_NC!H355)</f>
        <v>0.26661066197914463</v>
      </c>
      <c r="I29" s="549">
        <f>IF(Sys_Repl_Rate!H29&lt;1,System_Total_Mkt!H29*(1-Sys_Repl_Rate!H29)*(1-Retrofit_Rate)-(1-Standards_Acceptance!I29)*(Lamp_Mkt_Repl!I29)+System_Mkt_Repl!H355+System_Mkt_NC!I355,System_Mkt_Repl!H355+System_Mkt_NC!I355)</f>
        <v>0.25039299774110552</v>
      </c>
      <c r="J29" s="549">
        <f>IF(Sys_Repl_Rate!I29&lt;1,System_Total_Mkt!I29*(1-Sys_Repl_Rate!I29)*(1-Retrofit_Rate)-(1-Standards_Acceptance!J29)*(Lamp_Mkt_Repl!J29)+System_Mkt_Repl!I355+System_Mkt_NC!J355,System_Mkt_Repl!I355+System_Mkt_NC!J355)</f>
        <v>0.23519042443564014</v>
      </c>
      <c r="K29" s="549">
        <f>IF(Sys_Repl_Rate!J29&lt;1,System_Total_Mkt!J29*(1-Sys_Repl_Rate!J29)*(1-Retrofit_Rate)-(1-Standards_Acceptance!K29)*(Lamp_Mkt_Repl!K29)+System_Mkt_Repl!J355+System_Mkt_NC!K355,System_Mkt_Repl!J355+System_Mkt_NC!K355)</f>
        <v>0.22093541931271271</v>
      </c>
      <c r="L29" s="549">
        <f>IF(Sys_Repl_Rate!K29&lt;1,System_Total_Mkt!K29*(1-Sys_Repl_Rate!K29)*(1-Retrofit_Rate)-(1-Standards_Acceptance!L29)*(Lamp_Mkt_Repl!L29)+System_Mkt_Repl!K355+System_Mkt_NC!L355,System_Mkt_Repl!K355+System_Mkt_NC!L355)</f>
        <v>0.20756735029382462</v>
      </c>
      <c r="M29" s="549">
        <f>IF(Sys_Repl_Rate!L29&lt;1,System_Total_Mkt!L29*(1-Sys_Repl_Rate!L29)*(1-Retrofit_Rate)-(1-Standards_Acceptance!M29)*(Lamp_Mkt_Repl!M29)+System_Mkt_Repl!L355+System_Mkt_NC!M355,System_Mkt_Repl!L355+System_Mkt_NC!M355)</f>
        <v>0.19502890336064149</v>
      </c>
      <c r="N29" s="549">
        <f>IF(Sys_Repl_Rate!M29&lt;1,System_Total_Mkt!M29*(1-Sys_Repl_Rate!M29)*(1-Retrofit_Rate)-(1-Standards_Acceptance!N29)*(Lamp_Mkt_Repl!N29)+System_Mkt_Repl!M355+System_Mkt_NC!N355,System_Mkt_Repl!M355+System_Mkt_NC!N355)</f>
        <v>0.18326653877050927</v>
      </c>
      <c r="O29" s="549">
        <f>IF(Sys_Repl_Rate!N29&lt;1,System_Total_Mkt!N29*(1-Sys_Repl_Rate!N29)*(1-Retrofit_Rate)-(1-Standards_Acceptance!O29)*(Lamp_Mkt_Repl!O29)+System_Mkt_Repl!N355+System_Mkt_NC!O355,System_Mkt_Repl!N355+System_Mkt_NC!O355)</f>
        <v>0.17223100170926722</v>
      </c>
      <c r="P29" s="549">
        <f>IF(Sys_Repl_Rate!O29&lt;1,System_Total_Mkt!O29*(1-Sys_Repl_Rate!O29)*(1-Retrofit_Rate)-(1-Standards_Acceptance!P29)*(Lamp_Mkt_Repl!P29)+System_Mkt_Repl!O355+System_Mkt_NC!P355,System_Mkt_Repl!O355+System_Mkt_NC!P355)</f>
        <v>0.16187644689951758</v>
      </c>
      <c r="Q29" s="549">
        <f>IF(Sys_Repl_Rate!P29&lt;1,System_Total_Mkt!P29*(1-Sys_Repl_Rate!P29)*(1-Retrofit_Rate)-(1-Standards_Acceptance!Q29)*(Lamp_Mkt_Repl!Q29)+System_Mkt_Repl!P355+System_Mkt_NC!Q355,System_Mkt_Repl!P355+System_Mkt_NC!Q355)</f>
        <v>0.15216006350093753</v>
      </c>
      <c r="R29" s="549">
        <f>IF(Sys_Repl_Rate!Q29&lt;1,System_Total_Mkt!Q29*(1-Sys_Repl_Rate!Q29)*(1-Retrofit_Rate)-(1-Standards_Acceptance!R29)*(Lamp_Mkt_Repl!R29)+System_Mkt_Repl!Q355+System_Mkt_NC!R355,System_Mkt_Repl!Q355+System_Mkt_NC!R355)</f>
        <v>0.14304168701932624</v>
      </c>
      <c r="S29" s="549">
        <f>IF(Sys_Repl_Rate!R29&lt;1,System_Total_Mkt!R29*(1-Sys_Repl_Rate!R29)*(1-Retrofit_Rate)-(1-Standards_Acceptance!S29)*(Lamp_Mkt_Repl!S29)+System_Mkt_Repl!R355+System_Mkt_NC!S355,System_Mkt_Repl!R355+System_Mkt_NC!S355)</f>
        <v>0.13448446222228355</v>
      </c>
      <c r="T29" s="549">
        <f>IF(Sys_Repl_Rate!S29&lt;1,System_Total_Mkt!S29*(1-Sys_Repl_Rate!S29)*(1-Retrofit_Rate)-(1-Standards_Acceptance!T29)*(Lamp_Mkt_Repl!T29)+System_Mkt_Repl!S355+System_Mkt_NC!T355,System_Mkt_Repl!S355+System_Mkt_NC!T355)</f>
        <v>0.12645351873661975</v>
      </c>
      <c r="U29" s="549">
        <f>IF(Sys_Repl_Rate!T29&lt;1,System_Total_Mkt!T29*(1-Sys_Repl_Rate!T29)*(1-Retrofit_Rate)-(1-Standards_Acceptance!U29)*(Lamp_Mkt_Repl!U29)+System_Mkt_Repl!T355+System_Mkt_NC!U355,System_Mkt_Repl!T355+System_Mkt_NC!U355)</f>
        <v>0.11891620367641866</v>
      </c>
      <c r="V29" s="549">
        <f>IF(Sys_Repl_Rate!U29&lt;1,System_Total_Mkt!U29*(1-Sys_Repl_Rate!U29)*(1-Retrofit_Rate)-(1-Standards_Acceptance!V29)*(Lamp_Mkt_Repl!V29)+System_Mkt_Repl!U355+System_Mkt_NC!V355,System_Mkt_Repl!U355+System_Mkt_NC!V355)</f>
        <v>0.11184209056659271</v>
      </c>
      <c r="W29" s="549">
        <f>IF(Sys_Repl_Rate!V29&lt;1,System_Total_Mkt!V29*(1-Sys_Repl_Rate!V29)*(1-Retrofit_Rate)-(1-Standards_Acceptance!W29)*(Lamp_Mkt_Repl!W29)+System_Mkt_Repl!V355+System_Mkt_NC!W355,System_Mkt_Repl!V355+System_Mkt_NC!W355)</f>
        <v>0.10520233173577796</v>
      </c>
      <c r="X29" s="549">
        <f>IF(Sys_Repl_Rate!W29&lt;1,System_Total_Mkt!W29*(1-Sys_Repl_Rate!W29)*(1-Retrofit_Rate)-(1-Standards_Acceptance!X29)*(Lamp_Mkt_Repl!X29)+System_Mkt_Repl!W355+System_Mkt_NC!X355,System_Mkt_Repl!W355+System_Mkt_NC!X355)</f>
        <v>9.8969832808013677E-2</v>
      </c>
      <c r="Y29" s="549">
        <f>IF(Sys_Repl_Rate!X29&lt;1,System_Total_Mkt!X29*(1-Sys_Repl_Rate!X29)*(1-Retrofit_Rate)-(1-Standards_Acceptance!Y29)*(Lamp_Mkt_Repl!Y29)+System_Mkt_Repl!X355+System_Mkt_NC!Y355,System_Mkt_Repl!X355+System_Mkt_NC!Y355)</f>
        <v>9.3119231244921372E-2</v>
      </c>
      <c r="Z29" s="549">
        <f>IF(Sys_Repl_Rate!Y29&lt;1,System_Total_Mkt!Y29*(1-Sys_Repl_Rate!Y29)*(1-Retrofit_Rate)-(1-Standards_Acceptance!Z29)*(Lamp_Mkt_Repl!Z29)+System_Mkt_Repl!Y355+System_Mkt_NC!Z355,System_Mkt_Repl!Y355+System_Mkt_NC!Z355)</f>
        <v>8.7626953207710259E-2</v>
      </c>
      <c r="AA29" s="549">
        <f>IF(Sys_Repl_Rate!Z29&lt;1,System_Total_Mkt!Z29*(1-Sys_Repl_Rate!Z29)*(1-Retrofit_Rate)-(1-Standards_Acceptance!AA29)*(Lamp_Mkt_Repl!AA29)+System_Mkt_Repl!Z355+System_Mkt_NC!AA355,System_Mkt_Repl!Z355+System_Mkt_NC!AA355)</f>
        <v>8.2470951736117723E-2</v>
      </c>
      <c r="AB29" s="549">
        <f>IF(Sys_Repl_Rate!AA29&lt;1,System_Total_Mkt!AA29*(1-Sys_Repl_Rate!AA29)*(1-Retrofit_Rate)-(1-Standards_Acceptance!AB29)*(Lamp_Mkt_Repl!AB29)+System_Mkt_Repl!AA355+System_Mkt_NC!AB355,System_Mkt_Repl!AA355+System_Mkt_NC!AB355)</f>
        <v>7.763065576671524E-2</v>
      </c>
      <c r="AC29" s="549">
        <f>IF(Sys_Repl_Rate!AB29&lt;1,System_Total_Mkt!AB29*(1-Sys_Repl_Rate!AB29)*(1-Retrofit_Rate)-(1-Standards_Acceptance!AC29)*(Lamp_Mkt_Repl!AC29)+System_Mkt_Repl!AB355+System_Mkt_NC!AC355,System_Mkt_Repl!AB355+System_Mkt_NC!AC355)</f>
        <v>7.3086063025575965E-2</v>
      </c>
      <c r="AD29" s="549">
        <f>IF(Sys_Repl_Rate!AC29&lt;1,System_Total_Mkt!AC29*(1-Sys_Repl_Rate!AC29)*(1-Retrofit_Rate)-(1-Standards_Acceptance!AD29)*(Lamp_Mkt_Repl!AD29)+System_Mkt_Repl!AC355+System_Mkt_NC!AD355,System_Mkt_Repl!AC355+System_Mkt_NC!AD355)</f>
        <v>6.8818817349630357E-2</v>
      </c>
      <c r="AE29" s="549">
        <f>IF(Sys_Repl_Rate!AD29&lt;1,System_Total_Mkt!AD29*(1-Sys_Repl_Rate!AD29)*(1-Retrofit_Rate)-(1-Standards_Acceptance!AE29)*(Lamp_Mkt_Repl!AE29)+System_Mkt_Repl!AD355+System_Mkt_NC!AE355,System_Mkt_Repl!AD355+System_Mkt_NC!AE355)</f>
        <v>6.4811711040834816E-2</v>
      </c>
      <c r="AF29" s="549">
        <f>IF(Sys_Repl_Rate!AE29&lt;1,System_Total_Mkt!AE29*(1-Sys_Repl_Rate!AE29)*(1-Retrofit_Rate)-(1-Standards_Acceptance!AF29)*(Lamp_Mkt_Repl!AF29)+System_Mkt_Repl!AE355+System_Mkt_NC!AF355,System_Mkt_Repl!AE355+System_Mkt_NC!AF355)</f>
        <v>6.1048612422577288E-2</v>
      </c>
    </row>
    <row r="30" spans="1:32" ht="14.45" x14ac:dyDescent="0.35">
      <c r="A30" s="210"/>
      <c r="B30" s="212" t="s">
        <v>46</v>
      </c>
      <c r="G30" s="549">
        <v>0</v>
      </c>
      <c r="H30" s="549">
        <f>IF(Sys_Repl_Rate!G30&lt;1,System_Total_Mkt!G30*(1-Sys_Repl_Rate!G30)*(1-Retrofit_Rate)-(1-Standards_Acceptance!H30)*(Lamp_Mkt_Repl!H30)+System_Mkt_Repl!G356+System_Mkt_NC!H356,System_Mkt_Repl!G356+System_Mkt_NC!H356)</f>
        <v>0</v>
      </c>
      <c r="I30" s="549">
        <f>IF(Sys_Repl_Rate!H30&lt;1,System_Total_Mkt!H30*(1-Sys_Repl_Rate!H30)*(1-Retrofit_Rate)-(1-Standards_Acceptance!I30)*(Lamp_Mkt_Repl!I30)+System_Mkt_Repl!H356+System_Mkt_NC!I356,System_Mkt_Repl!H356+System_Mkt_NC!I356)</f>
        <v>0</v>
      </c>
      <c r="J30" s="549">
        <f>IF(Sys_Repl_Rate!I30&lt;1,System_Total_Mkt!I30*(1-Sys_Repl_Rate!I30)*(1-Retrofit_Rate)-(1-Standards_Acceptance!J30)*(Lamp_Mkt_Repl!J30)+System_Mkt_Repl!I356+System_Mkt_NC!J356,System_Mkt_Repl!I356+System_Mkt_NC!J356)</f>
        <v>0</v>
      </c>
      <c r="K30" s="549">
        <f>IF(Sys_Repl_Rate!J30&lt;1,System_Total_Mkt!J30*(1-Sys_Repl_Rate!J30)*(1-Retrofit_Rate)-(1-Standards_Acceptance!K30)*(Lamp_Mkt_Repl!K30)+System_Mkt_Repl!J356+System_Mkt_NC!K356,System_Mkt_Repl!J356+System_Mkt_NC!K356)</f>
        <v>0</v>
      </c>
      <c r="L30" s="549">
        <f>IF(Sys_Repl_Rate!K30&lt;1,System_Total_Mkt!K30*(1-Sys_Repl_Rate!K30)*(1-Retrofit_Rate)-(1-Standards_Acceptance!L30)*(Lamp_Mkt_Repl!L30)+System_Mkt_Repl!K356+System_Mkt_NC!L356,System_Mkt_Repl!K356+System_Mkt_NC!L356)</f>
        <v>0</v>
      </c>
      <c r="M30" s="549">
        <f>IF(Sys_Repl_Rate!L30&lt;1,System_Total_Mkt!L30*(1-Sys_Repl_Rate!L30)*(1-Retrofit_Rate)-(1-Standards_Acceptance!M30)*(Lamp_Mkt_Repl!M30)+System_Mkt_Repl!L356+System_Mkt_NC!M356,System_Mkt_Repl!L356+System_Mkt_NC!M356)</f>
        <v>0</v>
      </c>
      <c r="N30" s="549">
        <f>IF(Sys_Repl_Rate!M30&lt;1,System_Total_Mkt!M30*(1-Sys_Repl_Rate!M30)*(1-Retrofit_Rate)-(1-Standards_Acceptance!N30)*(Lamp_Mkt_Repl!N30)+System_Mkt_Repl!M356+System_Mkt_NC!N356,System_Mkt_Repl!M356+System_Mkt_NC!N356)</f>
        <v>0</v>
      </c>
      <c r="O30" s="549">
        <f>IF(Sys_Repl_Rate!N30&lt;1,System_Total_Mkt!N30*(1-Sys_Repl_Rate!N30)*(1-Retrofit_Rate)-(1-Standards_Acceptance!O30)*(Lamp_Mkt_Repl!O30)+System_Mkt_Repl!N356+System_Mkt_NC!O356,System_Mkt_Repl!N356+System_Mkt_NC!O356)</f>
        <v>0</v>
      </c>
      <c r="P30" s="549">
        <f>IF(Sys_Repl_Rate!O30&lt;1,System_Total_Mkt!O30*(1-Sys_Repl_Rate!O30)*(1-Retrofit_Rate)-(1-Standards_Acceptance!P30)*(Lamp_Mkt_Repl!P30)+System_Mkt_Repl!O356+System_Mkt_NC!P356,System_Mkt_Repl!O356+System_Mkt_NC!P356)</f>
        <v>0</v>
      </c>
      <c r="Q30" s="549">
        <f>IF(Sys_Repl_Rate!P30&lt;1,System_Total_Mkt!P30*(1-Sys_Repl_Rate!P30)*(1-Retrofit_Rate)-(1-Standards_Acceptance!Q30)*(Lamp_Mkt_Repl!Q30)+System_Mkt_Repl!P356+System_Mkt_NC!Q356,System_Mkt_Repl!P356+System_Mkt_NC!Q356)</f>
        <v>0</v>
      </c>
      <c r="R30" s="549">
        <f>IF(Sys_Repl_Rate!Q30&lt;1,System_Total_Mkt!Q30*(1-Sys_Repl_Rate!Q30)*(1-Retrofit_Rate)-(1-Standards_Acceptance!R30)*(Lamp_Mkt_Repl!R30)+System_Mkt_Repl!Q356+System_Mkt_NC!R356,System_Mkt_Repl!Q356+System_Mkt_NC!R356)</f>
        <v>0</v>
      </c>
      <c r="S30" s="549">
        <f>IF(Sys_Repl_Rate!R30&lt;1,System_Total_Mkt!R30*(1-Sys_Repl_Rate!R30)*(1-Retrofit_Rate)-(1-Standards_Acceptance!S30)*(Lamp_Mkt_Repl!S30)+System_Mkt_Repl!R356+System_Mkt_NC!S356,System_Mkt_Repl!R356+System_Mkt_NC!S356)</f>
        <v>0</v>
      </c>
      <c r="T30" s="549">
        <f>IF(Sys_Repl_Rate!S30&lt;1,System_Total_Mkt!S30*(1-Sys_Repl_Rate!S30)*(1-Retrofit_Rate)-(1-Standards_Acceptance!T30)*(Lamp_Mkt_Repl!T30)+System_Mkt_Repl!S356+System_Mkt_NC!T356,System_Mkt_Repl!S356+System_Mkt_NC!T356)</f>
        <v>0</v>
      </c>
      <c r="U30" s="549">
        <f>IF(Sys_Repl_Rate!T30&lt;1,System_Total_Mkt!T30*(1-Sys_Repl_Rate!T30)*(1-Retrofit_Rate)-(1-Standards_Acceptance!U30)*(Lamp_Mkt_Repl!U30)+System_Mkt_Repl!T356+System_Mkt_NC!U356,System_Mkt_Repl!T356+System_Mkt_NC!U356)</f>
        <v>0</v>
      </c>
      <c r="V30" s="549">
        <f>IF(Sys_Repl_Rate!U30&lt;1,System_Total_Mkt!U30*(1-Sys_Repl_Rate!U30)*(1-Retrofit_Rate)-(1-Standards_Acceptance!V30)*(Lamp_Mkt_Repl!V30)+System_Mkt_Repl!U356+System_Mkt_NC!V356,System_Mkt_Repl!U356+System_Mkt_NC!V356)</f>
        <v>0</v>
      </c>
      <c r="W30" s="549">
        <f>IF(Sys_Repl_Rate!V30&lt;1,System_Total_Mkt!V30*(1-Sys_Repl_Rate!V30)*(1-Retrofit_Rate)-(1-Standards_Acceptance!W30)*(Lamp_Mkt_Repl!W30)+System_Mkt_Repl!V356+System_Mkt_NC!W356,System_Mkt_Repl!V356+System_Mkt_NC!W356)</f>
        <v>0</v>
      </c>
      <c r="X30" s="549">
        <f>IF(Sys_Repl_Rate!W30&lt;1,System_Total_Mkt!W30*(1-Sys_Repl_Rate!W30)*(1-Retrofit_Rate)-(1-Standards_Acceptance!X30)*(Lamp_Mkt_Repl!X30)+System_Mkt_Repl!W356+System_Mkt_NC!X356,System_Mkt_Repl!W356+System_Mkt_NC!X356)</f>
        <v>0</v>
      </c>
      <c r="Y30" s="549">
        <f>IF(Sys_Repl_Rate!X30&lt;1,System_Total_Mkt!X30*(1-Sys_Repl_Rate!X30)*(1-Retrofit_Rate)-(1-Standards_Acceptance!Y30)*(Lamp_Mkt_Repl!Y30)+System_Mkt_Repl!X356+System_Mkt_NC!Y356,System_Mkt_Repl!X356+System_Mkt_NC!Y356)</f>
        <v>0</v>
      </c>
      <c r="Z30" s="549">
        <f>IF(Sys_Repl_Rate!Y30&lt;1,System_Total_Mkt!Y30*(1-Sys_Repl_Rate!Y30)*(1-Retrofit_Rate)-(1-Standards_Acceptance!Z30)*(Lamp_Mkt_Repl!Z30)+System_Mkt_Repl!Y356+System_Mkt_NC!Z356,System_Mkt_Repl!Y356+System_Mkt_NC!Z356)</f>
        <v>0</v>
      </c>
      <c r="AA30" s="549">
        <f>IF(Sys_Repl_Rate!Z30&lt;1,System_Total_Mkt!Z30*(1-Sys_Repl_Rate!Z30)*(1-Retrofit_Rate)-(1-Standards_Acceptance!AA30)*(Lamp_Mkt_Repl!AA30)+System_Mkt_Repl!Z356+System_Mkt_NC!AA356,System_Mkt_Repl!Z356+System_Mkt_NC!AA356)</f>
        <v>0</v>
      </c>
      <c r="AB30" s="549">
        <f>IF(Sys_Repl_Rate!AA30&lt;1,System_Total_Mkt!AA30*(1-Sys_Repl_Rate!AA30)*(1-Retrofit_Rate)-(1-Standards_Acceptance!AB30)*(Lamp_Mkt_Repl!AB30)+System_Mkt_Repl!AA356+System_Mkt_NC!AB356,System_Mkt_Repl!AA356+System_Mkt_NC!AB356)</f>
        <v>0</v>
      </c>
      <c r="AC30" s="549">
        <f>IF(Sys_Repl_Rate!AB30&lt;1,System_Total_Mkt!AB30*(1-Sys_Repl_Rate!AB30)*(1-Retrofit_Rate)-(1-Standards_Acceptance!AC30)*(Lamp_Mkt_Repl!AC30)+System_Mkt_Repl!AB356+System_Mkt_NC!AC356,System_Mkt_Repl!AB356+System_Mkt_NC!AC356)</f>
        <v>0</v>
      </c>
      <c r="AD30" s="549">
        <f>IF(Sys_Repl_Rate!AC30&lt;1,System_Total_Mkt!AC30*(1-Sys_Repl_Rate!AC30)*(1-Retrofit_Rate)-(1-Standards_Acceptance!AD30)*(Lamp_Mkt_Repl!AD30)+System_Mkt_Repl!AC356+System_Mkt_NC!AD356,System_Mkt_Repl!AC356+System_Mkt_NC!AD356)</f>
        <v>0</v>
      </c>
      <c r="AE30" s="549">
        <f>IF(Sys_Repl_Rate!AD30&lt;1,System_Total_Mkt!AD30*(1-Sys_Repl_Rate!AD30)*(1-Retrofit_Rate)-(1-Standards_Acceptance!AE30)*(Lamp_Mkt_Repl!AE30)+System_Mkt_Repl!AD356+System_Mkt_NC!AE356,System_Mkt_Repl!AD356+System_Mkt_NC!AE356)</f>
        <v>0</v>
      </c>
      <c r="AF30" s="549">
        <f>IF(Sys_Repl_Rate!AE30&lt;1,System_Total_Mkt!AE30*(1-Sys_Repl_Rate!AE30)*(1-Retrofit_Rate)-(1-Standards_Acceptance!AF30)*(Lamp_Mkt_Repl!AF30)+System_Mkt_Repl!AE356+System_Mkt_NC!AF356,System_Mkt_Repl!AE356+System_Mkt_NC!AF356)</f>
        <v>0</v>
      </c>
    </row>
    <row r="31" spans="1:32" ht="14.45" x14ac:dyDescent="0.35">
      <c r="A31" s="210"/>
      <c r="B31" s="210" t="s">
        <v>29</v>
      </c>
      <c r="G31" s="549">
        <v>0</v>
      </c>
      <c r="H31" s="549">
        <f>IF(Sys_Repl_Rate!G31&lt;1,System_Total_Mkt!G31*(1-Sys_Repl_Rate!G31)*(1-Retrofit_Rate)-(1-Standards_Acceptance!H31)*(Lamp_Mkt_Repl!H31)+System_Mkt_Repl!G357+System_Mkt_NC!H357,System_Mkt_Repl!G357+System_Mkt_NC!H357)</f>
        <v>2.136061486592661E-3</v>
      </c>
      <c r="I31" s="549">
        <f>IF(Sys_Repl_Rate!H31&lt;1,System_Total_Mkt!H31*(1-Sys_Repl_Rate!H31)*(1-Retrofit_Rate)-(1-Standards_Acceptance!I31)*(Lamp_Mkt_Repl!I31)+System_Mkt_Repl!H357+System_Mkt_NC!I357,System_Mkt_Repl!H357+System_Mkt_NC!I357)</f>
        <v>5.0549243088021702E-3</v>
      </c>
      <c r="J31" s="549">
        <f>IF(Sys_Repl_Rate!I31&lt;1,System_Total_Mkt!I31*(1-Sys_Repl_Rate!I31)*(1-Retrofit_Rate)-(1-Standards_Acceptance!J31)*(Lamp_Mkt_Repl!J31)+System_Mkt_Repl!I357+System_Mkt_NC!J357,System_Mkt_Repl!I357+System_Mkt_NC!J357)</f>
        <v>8.88208613429021E-3</v>
      </c>
      <c r="K31" s="549">
        <f>IF(Sys_Repl_Rate!J31&lt;1,System_Total_Mkt!J31*(1-Sys_Repl_Rate!J31)*(1-Retrofit_Rate)-(1-Standards_Acceptance!K31)*(Lamp_Mkt_Repl!K31)+System_Mkt_Repl!J357+System_Mkt_NC!K357,System_Mkt_Repl!J357+System_Mkt_NC!K357)</f>
        <v>1.3662146535651933E-2</v>
      </c>
      <c r="L31" s="549">
        <f>IF(Sys_Repl_Rate!K31&lt;1,System_Total_Mkt!K31*(1-Sys_Repl_Rate!K31)*(1-Retrofit_Rate)-(1-Standards_Acceptance!L31)*(Lamp_Mkt_Repl!L31)+System_Mkt_Repl!K357+System_Mkt_NC!L357,System_Mkt_Repl!K357+System_Mkt_NC!L357)</f>
        <v>1.9463720856978037E-2</v>
      </c>
      <c r="M31" s="549">
        <f>IF(Sys_Repl_Rate!L31&lt;1,System_Total_Mkt!L31*(1-Sys_Repl_Rate!L31)*(1-Retrofit_Rate)-(1-Standards_Acceptance!M31)*(Lamp_Mkt_Repl!M31)+System_Mkt_Repl!L357+System_Mkt_NC!M357,System_Mkt_Repl!L357+System_Mkt_NC!M357)</f>
        <v>2.6266480565031138E-2</v>
      </c>
      <c r="N31" s="549">
        <f>IF(Sys_Repl_Rate!M31&lt;1,System_Total_Mkt!M31*(1-Sys_Repl_Rate!M31)*(1-Retrofit_Rate)-(1-Standards_Acceptance!N31)*(Lamp_Mkt_Repl!N31)+System_Mkt_Repl!M357+System_Mkt_NC!N357,System_Mkt_Repl!M357+System_Mkt_NC!N357)</f>
        <v>3.3977053829873115E-2</v>
      </c>
      <c r="O31" s="549">
        <f>IF(Sys_Repl_Rate!N31&lt;1,System_Total_Mkt!N31*(1-Sys_Repl_Rate!N31)*(1-Retrofit_Rate)-(1-Standards_Acceptance!O31)*(Lamp_Mkt_Repl!O31)+System_Mkt_Repl!N357+System_Mkt_NC!O357,System_Mkt_Repl!N357+System_Mkt_NC!O357)</f>
        <v>4.2502908718803828E-2</v>
      </c>
      <c r="P31" s="549">
        <f>IF(Sys_Repl_Rate!O31&lt;1,System_Total_Mkt!O31*(1-Sys_Repl_Rate!O31)*(1-Retrofit_Rate)-(1-Standards_Acceptance!P31)*(Lamp_Mkt_Repl!P31)+System_Mkt_Repl!O357+System_Mkt_NC!P357,System_Mkt_Repl!O357+System_Mkt_NC!P357)</f>
        <v>5.1729434996771274E-2</v>
      </c>
      <c r="Q31" s="549">
        <f>IF(Sys_Repl_Rate!P31&lt;1,System_Total_Mkt!P31*(1-Sys_Repl_Rate!P31)*(1-Retrofit_Rate)-(1-Standards_Acceptance!Q31)*(Lamp_Mkt_Repl!Q31)+System_Mkt_Repl!P357+System_Mkt_NC!Q357,System_Mkt_Repl!P357+System_Mkt_NC!Q357)</f>
        <v>6.1514459841874626E-2</v>
      </c>
      <c r="R31" s="549">
        <f>IF(Sys_Repl_Rate!Q31&lt;1,System_Total_Mkt!Q31*(1-Sys_Repl_Rate!Q31)*(1-Retrofit_Rate)-(1-Standards_Acceptance!R31)*(Lamp_Mkt_Repl!R31)+System_Mkt_Repl!Q357+System_Mkt_NC!R357,System_Mkt_Repl!Q357+System_Mkt_NC!R357)</f>
        <v>7.1669266647414992E-2</v>
      </c>
      <c r="S31" s="549">
        <f>IF(Sys_Repl_Rate!R31&lt;1,System_Total_Mkt!R31*(1-Sys_Repl_Rate!R31)*(1-Retrofit_Rate)-(1-Standards_Acceptance!S31)*(Lamp_Mkt_Repl!S31)+System_Mkt_Repl!R357+System_Mkt_NC!S357,System_Mkt_Repl!R357+System_Mkt_NC!S357)</f>
        <v>8.2098038116883737E-2</v>
      </c>
      <c r="T31" s="549">
        <f>IF(Sys_Repl_Rate!S31&lt;1,System_Total_Mkt!S31*(1-Sys_Repl_Rate!S31)*(1-Retrofit_Rate)-(1-Standards_Acceptance!T31)*(Lamp_Mkt_Repl!T31)+System_Mkt_Repl!S357+System_Mkt_NC!T357,System_Mkt_Repl!S357+System_Mkt_NC!T357)</f>
        <v>9.2656942152044258E-2</v>
      </c>
      <c r="U31" s="549">
        <f>IF(Sys_Repl_Rate!T31&lt;1,System_Total_Mkt!T31*(1-Sys_Repl_Rate!T31)*(1-Retrofit_Rate)-(1-Standards_Acceptance!U31)*(Lamp_Mkt_Repl!U31)+System_Mkt_Repl!T357+System_Mkt_NC!U357,System_Mkt_Repl!T357+System_Mkt_NC!U357)</f>
        <v>0.10321910974649516</v>
      </c>
      <c r="V31" s="549">
        <f>IF(Sys_Repl_Rate!U31&lt;1,System_Total_Mkt!U31*(1-Sys_Repl_Rate!U31)*(1-Retrofit_Rate)-(1-Standards_Acceptance!V31)*(Lamp_Mkt_Repl!V31)+System_Mkt_Repl!U357+System_Mkt_NC!V357,System_Mkt_Repl!U357+System_Mkt_NC!V357)</f>
        <v>0.11371290729822575</v>
      </c>
      <c r="W31" s="549">
        <f>IF(Sys_Repl_Rate!V31&lt;1,System_Total_Mkt!V31*(1-Sys_Repl_Rate!V31)*(1-Retrofit_Rate)-(1-Standards_Acceptance!W31)*(Lamp_Mkt_Repl!W31)+System_Mkt_Repl!V357+System_Mkt_NC!W357,System_Mkt_Repl!V357+System_Mkt_NC!W357)</f>
        <v>0.12403263378557686</v>
      </c>
      <c r="X31" s="549">
        <f>IF(Sys_Repl_Rate!W31&lt;1,System_Total_Mkt!W31*(1-Sys_Repl_Rate!W31)*(1-Retrofit_Rate)-(1-Standards_Acceptance!X31)*(Lamp_Mkt_Repl!X31)+System_Mkt_Repl!W357+System_Mkt_NC!X357,System_Mkt_Repl!W357+System_Mkt_NC!X357)</f>
        <v>0.1340882212268196</v>
      </c>
      <c r="Y31" s="549">
        <f>IF(Sys_Repl_Rate!X31&lt;1,System_Total_Mkt!X31*(1-Sys_Repl_Rate!X31)*(1-Retrofit_Rate)-(1-Standards_Acceptance!Y31)*(Lamp_Mkt_Repl!Y31)+System_Mkt_Repl!X357+System_Mkt_NC!Y357,System_Mkt_Repl!X357+System_Mkt_NC!Y357)</f>
        <v>0.14382101507347814</v>
      </c>
      <c r="Z31" s="549">
        <f>IF(Sys_Repl_Rate!Y31&lt;1,System_Total_Mkt!Y31*(1-Sys_Repl_Rate!Y31)*(1-Retrofit_Rate)-(1-Standards_Acceptance!Z31)*(Lamp_Mkt_Repl!Z31)+System_Mkt_Repl!Y357+System_Mkt_NC!Z357,System_Mkt_Repl!Y357+System_Mkt_NC!Z357)</f>
        <v>0.15323318265562566</v>
      </c>
      <c r="AA31" s="549">
        <f>IF(Sys_Repl_Rate!Z31&lt;1,System_Total_Mkt!Z31*(1-Sys_Repl_Rate!Z31)*(1-Retrofit_Rate)-(1-Standards_Acceptance!AA31)*(Lamp_Mkt_Repl!AA31)+System_Mkt_Repl!Z357+System_Mkt_NC!AA357,System_Mkt_Repl!Z357+System_Mkt_NC!AA357)</f>
        <v>0.16235121150401072</v>
      </c>
      <c r="AB31" s="549">
        <f>IF(Sys_Repl_Rate!AA31&lt;1,System_Total_Mkt!AA31*(1-Sys_Repl_Rate!AA31)*(1-Retrofit_Rate)-(1-Standards_Acceptance!AB31)*(Lamp_Mkt_Repl!AB31)+System_Mkt_Repl!AA357+System_Mkt_NC!AB357,System_Mkt_Repl!AA357+System_Mkt_NC!AB357)</f>
        <v>0.17123095385647211</v>
      </c>
      <c r="AC31" s="549">
        <f>IF(Sys_Repl_Rate!AB31&lt;1,System_Total_Mkt!AB31*(1-Sys_Repl_Rate!AB31)*(1-Retrofit_Rate)-(1-Standards_Acceptance!AC31)*(Lamp_Mkt_Repl!AC31)+System_Mkt_Repl!AB357+System_Mkt_NC!AC357,System_Mkt_Repl!AB357+System_Mkt_NC!AC357)</f>
        <v>0.17978100703917194</v>
      </c>
      <c r="AD31" s="549">
        <f>IF(Sys_Repl_Rate!AC31&lt;1,System_Total_Mkt!AC31*(1-Sys_Repl_Rate!AC31)*(1-Retrofit_Rate)-(1-Standards_Acceptance!AD31)*(Lamp_Mkt_Repl!AD31)+System_Mkt_Repl!AC357+System_Mkt_NC!AD357,System_Mkt_Repl!AC357+System_Mkt_NC!AD357)</f>
        <v>0.1880025496105959</v>
      </c>
      <c r="AE31" s="549">
        <f>IF(Sys_Repl_Rate!AD31&lt;1,System_Total_Mkt!AD31*(1-Sys_Repl_Rate!AD31)*(1-Retrofit_Rate)-(1-Standards_Acceptance!AE31)*(Lamp_Mkt_Repl!AE31)+System_Mkt_Repl!AD357+System_Mkt_NC!AE357,System_Mkt_Repl!AD357+System_Mkt_NC!AE357)</f>
        <v>0.1958997451620868</v>
      </c>
      <c r="AF31" s="549">
        <f>IF(Sys_Repl_Rate!AE31&lt;1,System_Total_Mkt!AE31*(1-Sys_Repl_Rate!AE31)*(1-Retrofit_Rate)-(1-Standards_Acceptance!AF31)*(Lamp_Mkt_Repl!AF31)+System_Mkt_Repl!AE357+System_Mkt_NC!AF357,System_Mkt_Repl!AE357+System_Mkt_NC!AF357)</f>
        <v>0.20347947960076049</v>
      </c>
    </row>
    <row r="32" spans="1:32" ht="14.45" x14ac:dyDescent="0.35">
      <c r="A32" s="210"/>
      <c r="B32" s="210"/>
      <c r="G32" s="549" t="str">
        <v/>
      </c>
      <c r="H32" s="549"/>
      <c r="I32" s="549"/>
      <c r="J32" s="549"/>
      <c r="K32" s="549"/>
      <c r="L32" s="549"/>
      <c r="M32" s="549"/>
      <c r="N32" s="549"/>
      <c r="O32" s="549"/>
      <c r="P32" s="549"/>
      <c r="Q32" s="549"/>
      <c r="R32" s="549"/>
      <c r="S32" s="549"/>
      <c r="T32" s="549"/>
      <c r="U32" s="549"/>
      <c r="V32" s="549"/>
      <c r="W32" s="549"/>
      <c r="X32" s="549"/>
      <c r="Y32" s="549"/>
      <c r="Z32" s="549"/>
      <c r="AA32" s="549"/>
      <c r="AB32" s="549"/>
      <c r="AC32" s="549"/>
      <c r="AD32" s="549"/>
      <c r="AE32" s="549"/>
      <c r="AF32" s="549"/>
    </row>
    <row r="33" spans="1:32" s="216" customFormat="1" ht="12.95" x14ac:dyDescent="0.3">
      <c r="A33" s="216" t="s">
        <v>47</v>
      </c>
      <c r="G33" s="632" t="str">
        <v/>
      </c>
      <c r="H33" s="632"/>
      <c r="I33" s="632"/>
      <c r="J33" s="632"/>
      <c r="K33" s="632"/>
      <c r="L33" s="632"/>
      <c r="M33" s="632"/>
      <c r="N33" s="632"/>
      <c r="O33" s="632"/>
      <c r="P33" s="632"/>
      <c r="Q33" s="632"/>
      <c r="R33" s="632"/>
      <c r="S33" s="632"/>
      <c r="T33" s="632"/>
      <c r="U33" s="632"/>
      <c r="V33" s="632"/>
      <c r="W33" s="632"/>
      <c r="X33" s="632"/>
      <c r="Y33" s="632"/>
      <c r="Z33" s="632"/>
      <c r="AA33" s="632"/>
      <c r="AB33" s="632"/>
      <c r="AC33" s="632"/>
      <c r="AD33" s="632"/>
      <c r="AE33" s="632"/>
      <c r="AF33" s="632"/>
    </row>
    <row r="34" spans="1:32" ht="14.45" x14ac:dyDescent="0.35">
      <c r="A34" s="210"/>
      <c r="B34" s="210" t="s">
        <v>48</v>
      </c>
      <c r="G34" s="549">
        <v>18.520314043171304</v>
      </c>
      <c r="H34" s="549">
        <f>IF(Sys_Repl_Rate!G34&lt;1,System_Total_Mkt!G34*(1-Sys_Repl_Rate!G34)*(1-Retrofit_Rate)-(1-Standards_Acceptance!H34)*(Lamp_Mkt_Repl!H34)+System_Mkt_Repl!G360+System_Mkt_NC!H360,System_Mkt_Repl!G360+System_Mkt_NC!H360)</f>
        <v>17.603045923527723</v>
      </c>
      <c r="I34" s="549">
        <f>IF(Sys_Repl_Rate!H34&lt;1,System_Total_Mkt!H34*(1-Sys_Repl_Rate!H34)*(1-Retrofit_Rate)-(1-Standards_Acceptance!I34)*(Lamp_Mkt_Repl!I34)+System_Mkt_Repl!H360+System_Mkt_NC!I360,System_Mkt_Repl!H360+System_Mkt_NC!I360)</f>
        <v>14.46262150763595</v>
      </c>
      <c r="J34" s="549">
        <f>IF(Sys_Repl_Rate!I34&lt;1,System_Total_Mkt!I34*(1-Sys_Repl_Rate!I34)*(1-Retrofit_Rate)-(1-Standards_Acceptance!J34)*(Lamp_Mkt_Repl!J34)+System_Mkt_Repl!I360+System_Mkt_NC!J360,System_Mkt_Repl!I360+System_Mkt_NC!J360)</f>
        <v>9.767071631937208</v>
      </c>
      <c r="K34" s="549">
        <f>IF(Sys_Repl_Rate!J34&lt;1,System_Total_Mkt!J34*(1-Sys_Repl_Rate!J34)*(1-Retrofit_Rate)-(1-Standards_Acceptance!K34)*(Lamp_Mkt_Repl!K34)+System_Mkt_Repl!J360+System_Mkt_NC!K360,System_Mkt_Repl!J360+System_Mkt_NC!K360)</f>
        <v>5.4152399982124644</v>
      </c>
      <c r="L34" s="549">
        <f>IF(Sys_Repl_Rate!K34&lt;1,System_Total_Mkt!K34*(1-Sys_Repl_Rate!K34)*(1-Retrofit_Rate)-(1-Standards_Acceptance!L34)*(Lamp_Mkt_Repl!L34)+System_Mkt_Repl!K360+System_Mkt_NC!L360,System_Mkt_Repl!K360+System_Mkt_NC!L360)</f>
        <v>2.5779292038532802</v>
      </c>
      <c r="M34" s="549">
        <f>IF(Sys_Repl_Rate!L34&lt;1,System_Total_Mkt!L34*(1-Sys_Repl_Rate!L34)*(1-Retrofit_Rate)-(1-Standards_Acceptance!M34)*(Lamp_Mkt_Repl!M34)+System_Mkt_Repl!L360+System_Mkt_NC!M360,System_Mkt_Repl!L360+System_Mkt_NC!M360)</f>
        <v>1.0921180175792444</v>
      </c>
      <c r="N34" s="549">
        <f>IF(Sys_Repl_Rate!M34&lt;1,System_Total_Mkt!M34*(1-Sys_Repl_Rate!M34)*(1-Retrofit_Rate)-(1-Standards_Acceptance!N34)*(Lamp_Mkt_Repl!N34)+System_Mkt_Repl!M360+System_Mkt_NC!N360,System_Mkt_Repl!M360+System_Mkt_NC!N360)</f>
        <v>0.43147300436359415</v>
      </c>
      <c r="O34" s="549">
        <f>IF(Sys_Repl_Rate!N34&lt;1,System_Total_Mkt!N34*(1-Sys_Repl_Rate!N34)*(1-Retrofit_Rate)-(1-Standards_Acceptance!O34)*(Lamp_Mkt_Repl!O34)+System_Mkt_Repl!N360+System_Mkt_NC!O360,System_Mkt_Repl!N360+System_Mkt_NC!O360)</f>
        <v>0.16361492488519844</v>
      </c>
      <c r="P34" s="549">
        <f>IF(Sys_Repl_Rate!O34&lt;1,System_Total_Mkt!O34*(1-Sys_Repl_Rate!O34)*(1-Retrofit_Rate)-(1-Standards_Acceptance!P34)*(Lamp_Mkt_Repl!P34)+System_Mkt_Repl!O360+System_Mkt_NC!P360,System_Mkt_Repl!O360+System_Mkt_NC!P360)</f>
        <v>6.0684163021531651E-2</v>
      </c>
      <c r="Q34" s="549">
        <f>IF(Sys_Repl_Rate!P34&lt;1,System_Total_Mkt!P34*(1-Sys_Repl_Rate!P34)*(1-Retrofit_Rate)-(1-Standards_Acceptance!Q34)*(Lamp_Mkt_Repl!Q34)+System_Mkt_Repl!P360+System_Mkt_NC!Q360,System_Mkt_Repl!P360+System_Mkt_NC!Q360)</f>
        <v>2.2203714400894227E-2</v>
      </c>
      <c r="R34" s="549">
        <f>IF(Sys_Repl_Rate!Q34&lt;1,System_Total_Mkt!Q34*(1-Sys_Repl_Rate!Q34)*(1-Retrofit_Rate)-(1-Standards_Acceptance!R34)*(Lamp_Mkt_Repl!R34)+System_Mkt_Repl!Q360+System_Mkt_NC!R360,System_Mkt_Repl!Q360+System_Mkt_NC!R360)</f>
        <v>8.0592670790362204E-3</v>
      </c>
      <c r="S34" s="549">
        <f>IF(Sys_Repl_Rate!R34&lt;1,System_Total_Mkt!R34*(1-Sys_Repl_Rate!R34)*(1-Retrofit_Rate)-(1-Standards_Acceptance!S34)*(Lamp_Mkt_Repl!S34)+System_Mkt_Repl!R360+System_Mkt_NC!S360,System_Mkt_Repl!R360+System_Mkt_NC!S360)</f>
        <v>2.9154700440571371E-3</v>
      </c>
      <c r="T34" s="549">
        <f>IF(Sys_Repl_Rate!S34&lt;1,System_Total_Mkt!S34*(1-Sys_Repl_Rate!S34)*(1-Retrofit_Rate)-(1-Standards_Acceptance!T34)*(Lamp_Mkt_Repl!T34)+System_Mkt_Repl!S360+System_Mkt_NC!T360,System_Mkt_Repl!S360+System_Mkt_NC!T360)</f>
        <v>1.0540875760748009E-3</v>
      </c>
      <c r="U34" s="549">
        <f>IF(Sys_Repl_Rate!T34&lt;1,System_Total_Mkt!T34*(1-Sys_Repl_Rate!T34)*(1-Retrofit_Rate)-(1-Standards_Acceptance!U34)*(Lamp_Mkt_Repl!U34)+System_Mkt_Repl!T360+System_Mkt_NC!U360,System_Mkt_Repl!T360+System_Mkt_NC!U360)</f>
        <v>3.8155740096434168E-4</v>
      </c>
      <c r="V34" s="549">
        <f>IF(Sys_Repl_Rate!U34&lt;1,System_Total_Mkt!U34*(1-Sys_Repl_Rate!U34)*(1-Retrofit_Rate)-(1-Standards_Acceptance!V34)*(Lamp_Mkt_Repl!V34)+System_Mkt_Repl!U360+System_Mkt_NC!V360,System_Mkt_Repl!U360+System_Mkt_NC!V360)</f>
        <v>1.3851370385831199E-4</v>
      </c>
      <c r="W34" s="549">
        <f>IF(Sys_Repl_Rate!V34&lt;1,System_Total_Mkt!V34*(1-Sys_Repl_Rate!V34)*(1-Retrofit_Rate)-(1-Standards_Acceptance!W34)*(Lamp_Mkt_Repl!W34)+System_Mkt_Repl!V360+System_Mkt_NC!W360,System_Mkt_Repl!V360+System_Mkt_NC!W360)</f>
        <v>5.0462999680139788E-5</v>
      </c>
      <c r="X34" s="549">
        <f>IF(Sys_Repl_Rate!W34&lt;1,System_Total_Mkt!W34*(1-Sys_Repl_Rate!W34)*(1-Retrofit_Rate)-(1-Standards_Acceptance!X34)*(Lamp_Mkt_Repl!X34)+System_Mkt_Repl!W360+System_Mkt_NC!X360,System_Mkt_Repl!W360+System_Mkt_NC!X360)</f>
        <v>1.8459703026820882E-5</v>
      </c>
      <c r="Y34" s="549">
        <f>IF(Sys_Repl_Rate!X34&lt;1,System_Total_Mkt!X34*(1-Sys_Repl_Rate!X34)*(1-Retrofit_Rate)-(1-Standards_Acceptance!Y34)*(Lamp_Mkt_Repl!Y34)+System_Mkt_Repl!X360+System_Mkt_NC!Y360,System_Mkt_Repl!X360+System_Mkt_NC!Y360)</f>
        <v>6.7825473029348344E-6</v>
      </c>
      <c r="Z34" s="549">
        <f>IF(Sys_Repl_Rate!Y34&lt;1,System_Total_Mkt!Y34*(1-Sys_Repl_Rate!Y34)*(1-Retrofit_Rate)-(1-Standards_Acceptance!Z34)*(Lamp_Mkt_Repl!Z34)+System_Mkt_Repl!Y360+System_Mkt_NC!Z360,System_Mkt_Repl!Y360+System_Mkt_NC!Z360)</f>
        <v>2.5040963110051582E-6</v>
      </c>
      <c r="AA34" s="549">
        <f>IF(Sys_Repl_Rate!Z34&lt;1,System_Total_Mkt!Z34*(1-Sys_Repl_Rate!Z34)*(1-Retrofit_Rate)-(1-Standards_Acceptance!AA34)*(Lamp_Mkt_Repl!AA34)+System_Mkt_Repl!Z360+System_Mkt_NC!AA360,System_Mkt_Repl!Z360+System_Mkt_NC!AA360)</f>
        <v>9.2929040078740262E-7</v>
      </c>
      <c r="AB34" s="549">
        <f>IF(Sys_Repl_Rate!AA34&lt;1,System_Total_Mkt!AA34*(1-Sys_Repl_Rate!AA34)*(1-Retrofit_Rate)-(1-Standards_Acceptance!AB34)*(Lamp_Mkt_Repl!AB34)+System_Mkt_Repl!AA360+System_Mkt_NC!AB360,System_Mkt_Repl!AA360+System_Mkt_NC!AB360)</f>
        <v>3.4665783282537313E-7</v>
      </c>
      <c r="AC34" s="549">
        <f>IF(Sys_Repl_Rate!AB34&lt;1,System_Total_Mkt!AB34*(1-Sys_Repl_Rate!AB34)*(1-Retrofit_Rate)-(1-Standards_Acceptance!AC34)*(Lamp_Mkt_Repl!AC34)+System_Mkt_Repl!AB360+System_Mkt_NC!AC360,System_Mkt_Repl!AB360+System_Mkt_NC!AC360)</f>
        <v>1.3000338217786137E-7</v>
      </c>
      <c r="AD34" s="549">
        <f>IF(Sys_Repl_Rate!AC34&lt;1,System_Total_Mkt!AC34*(1-Sys_Repl_Rate!AC34)*(1-Retrofit_Rate)-(1-Standards_Acceptance!AD34)*(Lamp_Mkt_Repl!AD34)+System_Mkt_Repl!AC360+System_Mkt_NC!AD360,System_Mkt_Repl!AC360+System_Mkt_NC!AD360)</f>
        <v>4.9016475666329926E-8</v>
      </c>
      <c r="AE34" s="549">
        <f>IF(Sys_Repl_Rate!AD34&lt;1,System_Total_Mkt!AD34*(1-Sys_Repl_Rate!AD34)*(1-Retrofit_Rate)-(1-Standards_Acceptance!AE34)*(Lamp_Mkt_Repl!AE34)+System_Mkt_Repl!AD360+System_Mkt_NC!AE360,System_Mkt_Repl!AD360+System_Mkt_NC!AE360)</f>
        <v>1.8580878048313261E-8</v>
      </c>
      <c r="AF34" s="549">
        <f>IF(Sys_Repl_Rate!AE34&lt;1,System_Total_Mkt!AE34*(1-Sys_Repl_Rate!AE34)*(1-Retrofit_Rate)-(1-Standards_Acceptance!AF34)*(Lamp_Mkt_Repl!AF34)+System_Mkt_Repl!AE360+System_Mkt_NC!AF360,System_Mkt_Repl!AE360+System_Mkt_NC!AF360)</f>
        <v>7.0798046176132074E-9</v>
      </c>
    </row>
    <row r="35" spans="1:32" ht="14.45" x14ac:dyDescent="0.35">
      <c r="A35" s="210"/>
      <c r="B35" s="212" t="s">
        <v>50</v>
      </c>
      <c r="G35" s="549">
        <v>3.1261111199683898</v>
      </c>
      <c r="H35" s="549">
        <f>IF(Sys_Repl_Rate!G35&lt;1,System_Total_Mkt!G35*(1-Sys_Repl_Rate!G35)*(1-Retrofit_Rate)-(1-Standards_Acceptance!H35)*(Lamp_Mkt_Repl!H35)+System_Mkt_Repl!G361+System_Mkt_NC!H361,System_Mkt_Repl!G361+System_Mkt_NC!H361)</f>
        <v>3.1680961191340775</v>
      </c>
      <c r="I35" s="549">
        <f>IF(Sys_Repl_Rate!H35&lt;1,System_Total_Mkt!H35*(1-Sys_Repl_Rate!H35)*(1-Retrofit_Rate)-(1-Standards_Acceptance!I35)*(Lamp_Mkt_Repl!I35)+System_Mkt_Repl!H361+System_Mkt_NC!I361,System_Mkt_Repl!H361+System_Mkt_NC!I361)</f>
        <v>3.1403473715387986</v>
      </c>
      <c r="J35" s="549">
        <f>IF(Sys_Repl_Rate!I35&lt;1,System_Total_Mkt!I35*(1-Sys_Repl_Rate!I35)*(1-Retrofit_Rate)-(1-Standards_Acceptance!J35)*(Lamp_Mkt_Repl!J35)+System_Mkt_Repl!I361+System_Mkt_NC!J361,System_Mkt_Repl!I361+System_Mkt_NC!J361)</f>
        <v>3.0082867842657137</v>
      </c>
      <c r="K35" s="549">
        <f>IF(Sys_Repl_Rate!J35&lt;1,System_Total_Mkt!J35*(1-Sys_Repl_Rate!J35)*(1-Retrofit_Rate)-(1-Standards_Acceptance!K35)*(Lamp_Mkt_Repl!K35)+System_Mkt_Repl!J361+System_Mkt_NC!K361,System_Mkt_Repl!J361+System_Mkt_NC!K361)</f>
        <v>2.7672833571972637</v>
      </c>
      <c r="L35" s="549">
        <f>IF(Sys_Repl_Rate!K35&lt;1,System_Total_Mkt!K35*(1-Sys_Repl_Rate!K35)*(1-Retrofit_Rate)-(1-Standards_Acceptance!L35)*(Lamp_Mkt_Repl!L35)+System_Mkt_Repl!K361+System_Mkt_NC!L361,System_Mkt_Repl!K361+System_Mkt_NC!L361)</f>
        <v>2.4584757962075257</v>
      </c>
      <c r="M35" s="549">
        <f>IF(Sys_Repl_Rate!L35&lt;1,System_Total_Mkt!L35*(1-Sys_Repl_Rate!L35)*(1-Retrofit_Rate)-(1-Standards_Acceptance!M35)*(Lamp_Mkt_Repl!M35)+System_Mkt_Repl!L361+System_Mkt_NC!M361,System_Mkt_Repl!L361+System_Mkt_NC!M361)</f>
        <v>2.1200254933628089</v>
      </c>
      <c r="N35" s="549">
        <f>IF(Sys_Repl_Rate!M35&lt;1,System_Total_Mkt!M35*(1-Sys_Repl_Rate!M35)*(1-Retrofit_Rate)-(1-Standards_Acceptance!N35)*(Lamp_Mkt_Repl!N35)+System_Mkt_Repl!M361+System_Mkt_NC!N361,System_Mkt_Repl!M361+System_Mkt_NC!N361)</f>
        <v>1.7913257497744115</v>
      </c>
      <c r="O35" s="549">
        <f>IF(Sys_Repl_Rate!N35&lt;1,System_Total_Mkt!N35*(1-Sys_Repl_Rate!N35)*(1-Retrofit_Rate)-(1-Standards_Acceptance!O35)*(Lamp_Mkt_Repl!O35)+System_Mkt_Repl!N361+System_Mkt_NC!O361,System_Mkt_Repl!N361+System_Mkt_NC!O361)</f>
        <v>1.4931369572898054</v>
      </c>
      <c r="P35" s="549">
        <f>IF(Sys_Repl_Rate!O35&lt;1,System_Total_Mkt!O35*(1-Sys_Repl_Rate!O35)*(1-Retrofit_Rate)-(1-Standards_Acceptance!P35)*(Lamp_Mkt_Repl!P35)+System_Mkt_Repl!O361+System_Mkt_NC!P361,System_Mkt_Repl!O361+System_Mkt_NC!P361)</f>
        <v>1.2338473817714215</v>
      </c>
      <c r="Q35" s="549">
        <f>IF(Sys_Repl_Rate!P35&lt;1,System_Total_Mkt!P35*(1-Sys_Repl_Rate!P35)*(1-Retrofit_Rate)-(1-Standards_Acceptance!Q35)*(Lamp_Mkt_Repl!Q35)+System_Mkt_Repl!P361+System_Mkt_NC!Q361,System_Mkt_Repl!P361+System_Mkt_NC!Q361)</f>
        <v>1.0129029044945783</v>
      </c>
      <c r="R35" s="549">
        <f>IF(Sys_Repl_Rate!Q35&lt;1,System_Total_Mkt!Q35*(1-Sys_Repl_Rate!Q35)*(1-Retrofit_Rate)-(1-Standards_Acceptance!R35)*(Lamp_Mkt_Repl!R35)+System_Mkt_Repl!Q361+System_Mkt_NC!R361,System_Mkt_Repl!Q361+System_Mkt_NC!R361)</f>
        <v>0.82780955632362463</v>
      </c>
      <c r="S35" s="549">
        <f>IF(Sys_Repl_Rate!R35&lt;1,System_Total_Mkt!R35*(1-Sys_Repl_Rate!R35)*(1-Retrofit_Rate)-(1-Standards_Acceptance!S35)*(Lamp_Mkt_Repl!S35)+System_Mkt_Repl!R361+System_Mkt_NC!S361,System_Mkt_Repl!R361+System_Mkt_NC!S361)</f>
        <v>0.67451156977089066</v>
      </c>
      <c r="T35" s="549">
        <f>IF(Sys_Repl_Rate!S35&lt;1,System_Total_Mkt!S35*(1-Sys_Repl_Rate!S35)*(1-Retrofit_Rate)-(1-Standards_Acceptance!T35)*(Lamp_Mkt_Repl!T35)+System_Mkt_Repl!S361+System_Mkt_NC!T361,System_Mkt_Repl!S361+System_Mkt_NC!T361)</f>
        <v>0.54845330604738607</v>
      </c>
      <c r="U35" s="549">
        <f>IF(Sys_Repl_Rate!T35&lt;1,System_Total_Mkt!T35*(1-Sys_Repl_Rate!T35)*(1-Retrofit_Rate)-(1-Standards_Acceptance!U35)*(Lamp_Mkt_Repl!U35)+System_Mkt_Repl!T361+System_Mkt_NC!U361,System_Mkt_Repl!T361+System_Mkt_NC!U361)</f>
        <v>0.44528925326680907</v>
      </c>
      <c r="V35" s="549">
        <f>IF(Sys_Repl_Rate!U35&lt;1,System_Total_Mkt!U35*(1-Sys_Repl_Rate!U35)*(1-Retrofit_Rate)-(1-Standards_Acceptance!V35)*(Lamp_Mkt_Repl!V35)+System_Mkt_Repl!U361+System_Mkt_NC!V361,System_Mkt_Repl!U361+System_Mkt_NC!V361)</f>
        <v>0.36120545457116576</v>
      </c>
      <c r="W35" s="549">
        <f>IF(Sys_Repl_Rate!V35&lt;1,System_Total_Mkt!V35*(1-Sys_Repl_Rate!V35)*(1-Retrofit_Rate)-(1-Standards_Acceptance!W35)*(Lamp_Mkt_Repl!W35)+System_Mkt_Repl!V361+System_Mkt_NC!W361,System_Mkt_Repl!V361+System_Mkt_NC!W361)</f>
        <v>0.29281239924214858</v>
      </c>
      <c r="X35" s="549">
        <f>IF(Sys_Repl_Rate!W35&lt;1,System_Total_Mkt!W35*(1-Sys_Repl_Rate!W35)*(1-Retrofit_Rate)-(1-Standards_Acceptance!X35)*(Lamp_Mkt_Repl!X35)+System_Mkt_Repl!W361+System_Mkt_NC!X361,System_Mkt_Repl!W361+System_Mkt_NC!X361)</f>
        <v>0.23726567877740226</v>
      </c>
      <c r="Y35" s="549">
        <f>IF(Sys_Repl_Rate!X35&lt;1,System_Total_Mkt!X35*(1-Sys_Repl_Rate!X35)*(1-Retrofit_Rate)-(1-Standards_Acceptance!Y35)*(Lamp_Mkt_Repl!Y35)+System_Mkt_Repl!X361+System_Mkt_NC!Y361,System_Mkt_Repl!X361+System_Mkt_NC!Y361)</f>
        <v>0.19219937024470696</v>
      </c>
      <c r="Z35" s="549">
        <f>IF(Sys_Repl_Rate!Y35&lt;1,System_Total_Mkt!Y35*(1-Sys_Repl_Rate!Y35)*(1-Retrofit_Rate)-(1-Standards_Acceptance!Z35)*(Lamp_Mkt_Repl!Z35)+System_Mkt_Repl!Y361+System_Mkt_NC!Z361,System_Mkt_Repl!Y361+System_Mkt_NC!Z361)</f>
        <v>0.15567352492673503</v>
      </c>
      <c r="AA35" s="549">
        <f>IF(Sys_Repl_Rate!Z35&lt;1,System_Total_Mkt!Z35*(1-Sys_Repl_Rate!Z35)*(1-Retrofit_Rate)-(1-Standards_Acceptance!AA35)*(Lamp_Mkt_Repl!AA35)+System_Mkt_Repl!Z361+System_Mkt_NC!AA361,System_Mkt_Repl!Z361+System_Mkt_NC!AA361)</f>
        <v>0.12609305349781538</v>
      </c>
      <c r="AB35" s="549">
        <f>IF(Sys_Repl_Rate!AA35&lt;1,System_Total_Mkt!AA35*(1-Sys_Repl_Rate!AA35)*(1-Retrofit_Rate)-(1-Standards_Acceptance!AB35)*(Lamp_Mkt_Repl!AB35)+System_Mkt_Repl!AA361+System_Mkt_NC!AB361,System_Mkt_Repl!AA361+System_Mkt_NC!AB361)</f>
        <v>0.10214051620991822</v>
      </c>
      <c r="AC35" s="549">
        <f>IF(Sys_Repl_Rate!AB35&lt;1,System_Total_Mkt!AB35*(1-Sys_Repl_Rate!AB35)*(1-Retrofit_Rate)-(1-Standards_Acceptance!AC35)*(Lamp_Mkt_Repl!AC35)+System_Mkt_Repl!AB361+System_Mkt_NC!AC361,System_Mkt_Repl!AB361+System_Mkt_NC!AC361)</f>
        <v>8.2747949583827349E-2</v>
      </c>
      <c r="AD35" s="549">
        <f>IF(Sys_Repl_Rate!AC35&lt;1,System_Total_Mkt!AC35*(1-Sys_Repl_Rate!AC35)*(1-Retrofit_Rate)-(1-Standards_Acceptance!AD35)*(Lamp_Mkt_Repl!AD35)+System_Mkt_Repl!AC361+System_Mkt_NC!AD361,System_Mkt_Repl!AC361+System_Mkt_NC!AD361)</f>
        <v>6.7048439301491028E-2</v>
      </c>
      <c r="AE35" s="549">
        <f>IF(Sys_Repl_Rate!AD35&lt;1,System_Total_Mkt!AD35*(1-Sys_Repl_Rate!AD35)*(1-Retrofit_Rate)-(1-Standards_Acceptance!AE35)*(Lamp_Mkt_Repl!AE35)+System_Mkt_Repl!AD361+System_Mkt_NC!AE361,System_Mkt_Repl!AD361+System_Mkt_NC!AE361)</f>
        <v>5.4337769862396787E-2</v>
      </c>
      <c r="AF35" s="549">
        <f>IF(Sys_Repl_Rate!AE35&lt;1,System_Total_Mkt!AE35*(1-Sys_Repl_Rate!AE35)*(1-Retrofit_Rate)-(1-Standards_Acceptance!AF35)*(Lamp_Mkt_Repl!AF35)+System_Mkt_Repl!AE361+System_Mkt_NC!AF361,System_Mkt_Repl!AE361+System_Mkt_NC!AF361)</f>
        <v>4.4041324637823086E-2</v>
      </c>
    </row>
    <row r="36" spans="1:32" ht="14.45" x14ac:dyDescent="0.35">
      <c r="A36" s="210"/>
      <c r="B36" s="210" t="s">
        <v>51</v>
      </c>
      <c r="G36" s="549">
        <v>3.2322536776657591</v>
      </c>
      <c r="H36" s="549">
        <f>IF(Sys_Repl_Rate!G36&lt;1,System_Total_Mkt!G36*(1-Sys_Repl_Rate!G36)*(1-Retrofit_Rate)-(1-Standards_Acceptance!H36)*(Lamp_Mkt_Repl!H36)+System_Mkt_Repl!G362+System_Mkt_NC!H362,System_Mkt_Repl!G362+System_Mkt_NC!H362)</f>
        <v>3.3026116430697159</v>
      </c>
      <c r="I36" s="549">
        <f>IF(Sys_Repl_Rate!H36&lt;1,System_Total_Mkt!H36*(1-Sys_Repl_Rate!H36)*(1-Retrofit_Rate)-(1-Standards_Acceptance!I36)*(Lamp_Mkt_Repl!I36)+System_Mkt_Repl!H362+System_Mkt_NC!I362,System_Mkt_Repl!H362+System_Mkt_NC!I362)</f>
        <v>3.3604923864690361</v>
      </c>
      <c r="J36" s="549">
        <f>IF(Sys_Repl_Rate!I36&lt;1,System_Total_Mkt!I36*(1-Sys_Repl_Rate!I36)*(1-Retrofit_Rate)-(1-Standards_Acceptance!J36)*(Lamp_Mkt_Repl!J36)+System_Mkt_Repl!I362+System_Mkt_NC!J362,System_Mkt_Repl!I362+System_Mkt_NC!J362)</f>
        <v>3.3978177270449796</v>
      </c>
      <c r="K36" s="549">
        <f>IF(Sys_Repl_Rate!J36&lt;1,System_Total_Mkt!J36*(1-Sys_Repl_Rate!J36)*(1-Retrofit_Rate)-(1-Standards_Acceptance!K36)*(Lamp_Mkt_Repl!K36)+System_Mkt_Repl!J362+System_Mkt_NC!K362,System_Mkt_Repl!J362+System_Mkt_NC!K362)</f>
        <v>3.4064632149365428</v>
      </c>
      <c r="L36" s="549">
        <f>IF(Sys_Repl_Rate!K36&lt;1,System_Total_Mkt!K36*(1-Sys_Repl_Rate!K36)*(1-Retrofit_Rate)-(1-Standards_Acceptance!L36)*(Lamp_Mkt_Repl!L36)+System_Mkt_Repl!K362+System_Mkt_NC!L362,System_Mkt_Repl!K362+System_Mkt_NC!L362)</f>
        <v>3.3854627090965104</v>
      </c>
      <c r="M36" s="549">
        <f>IF(Sys_Repl_Rate!L36&lt;1,System_Total_Mkt!L36*(1-Sys_Repl_Rate!L36)*(1-Retrofit_Rate)-(1-Standards_Acceptance!M36)*(Lamp_Mkt_Repl!M36)+System_Mkt_Repl!L362+System_Mkt_NC!M362,System_Mkt_Repl!L362+System_Mkt_NC!M362)</f>
        <v>3.3341840796362705</v>
      </c>
      <c r="N36" s="549">
        <f>IF(Sys_Repl_Rate!M36&lt;1,System_Total_Mkt!M36*(1-Sys_Repl_Rate!M36)*(1-Retrofit_Rate)-(1-Standards_Acceptance!N36)*(Lamp_Mkt_Repl!N36)+System_Mkt_Repl!M362+System_Mkt_NC!N362,System_Mkt_Repl!M362+System_Mkt_NC!N362)</f>
        <v>3.2550963219599369</v>
      </c>
      <c r="O36" s="549">
        <f>IF(Sys_Repl_Rate!N36&lt;1,System_Total_Mkt!N36*(1-Sys_Repl_Rate!N36)*(1-Retrofit_Rate)-(1-Standards_Acceptance!O36)*(Lamp_Mkt_Repl!O36)+System_Mkt_Repl!N362+System_Mkt_NC!O362,System_Mkt_Repl!N362+System_Mkt_NC!O362)</f>
        <v>3.1532462034169662</v>
      </c>
      <c r="P36" s="549">
        <f>IF(Sys_Repl_Rate!O36&lt;1,System_Total_Mkt!O36*(1-Sys_Repl_Rate!O36)*(1-Retrofit_Rate)-(1-Standards_Acceptance!P36)*(Lamp_Mkt_Repl!P36)+System_Mkt_Repl!O362+System_Mkt_NC!P362,System_Mkt_Repl!O362+System_Mkt_NC!P362)</f>
        <v>3.0344350018191832</v>
      </c>
      <c r="Q36" s="549">
        <f>IF(Sys_Repl_Rate!P36&lt;1,System_Total_Mkt!P36*(1-Sys_Repl_Rate!P36)*(1-Retrofit_Rate)-(1-Standards_Acceptance!Q36)*(Lamp_Mkt_Repl!Q36)+System_Mkt_Repl!P362+System_Mkt_NC!Q362,System_Mkt_Repl!P362+System_Mkt_NC!Q362)</f>
        <v>2.9035631802899822</v>
      </c>
      <c r="R36" s="549">
        <f>IF(Sys_Repl_Rate!Q36&lt;1,System_Total_Mkt!Q36*(1-Sys_Repl_Rate!Q36)*(1-Retrofit_Rate)-(1-Standards_Acceptance!R36)*(Lamp_Mkt_Repl!R36)+System_Mkt_Repl!Q362+System_Mkt_NC!R362,System_Mkt_Repl!Q362+System_Mkt_NC!R362)</f>
        <v>2.7649721528606759</v>
      </c>
      <c r="S36" s="549">
        <f>IF(Sys_Repl_Rate!R36&lt;1,System_Total_Mkt!R36*(1-Sys_Repl_Rate!R36)*(1-Retrofit_Rate)-(1-Standards_Acceptance!S36)*(Lamp_Mkt_Repl!S36)+System_Mkt_Repl!R362+System_Mkt_NC!S362,System_Mkt_Repl!R362+System_Mkt_NC!S362)</f>
        <v>2.6228425592507087</v>
      </c>
      <c r="T36" s="549">
        <f>IF(Sys_Repl_Rate!S36&lt;1,System_Total_Mkt!S36*(1-Sys_Repl_Rate!S36)*(1-Retrofit_Rate)-(1-Standards_Acceptance!T36)*(Lamp_Mkt_Repl!T36)+System_Mkt_Repl!S362+System_Mkt_NC!T362,System_Mkt_Repl!S362+System_Mkt_NC!T362)</f>
        <v>2.480060480937349</v>
      </c>
      <c r="U36" s="549">
        <f>IF(Sys_Repl_Rate!T36&lt;1,System_Total_Mkt!T36*(1-Sys_Repl_Rate!T36)*(1-Retrofit_Rate)-(1-Standards_Acceptance!U36)*(Lamp_Mkt_Repl!U36)+System_Mkt_Repl!T362+System_Mkt_NC!U362,System_Mkt_Repl!T362+System_Mkt_NC!U362)</f>
        <v>2.3388227659931746</v>
      </c>
      <c r="V36" s="549">
        <f>IF(Sys_Repl_Rate!U36&lt;1,System_Total_Mkt!U36*(1-Sys_Repl_Rate!U36)*(1-Retrofit_Rate)-(1-Standards_Acceptance!V36)*(Lamp_Mkt_Repl!V36)+System_Mkt_Repl!U362+System_Mkt_NC!V362,System_Mkt_Repl!U362+System_Mkt_NC!V362)</f>
        <v>2.2010267762975539</v>
      </c>
      <c r="W36" s="549">
        <f>IF(Sys_Repl_Rate!V36&lt;1,System_Total_Mkt!V36*(1-Sys_Repl_Rate!V36)*(1-Retrofit_Rate)-(1-Standards_Acceptance!W36)*(Lamp_Mkt_Repl!W36)+System_Mkt_Repl!V362+System_Mkt_NC!W362,System_Mkt_Repl!V362+System_Mkt_NC!W362)</f>
        <v>2.0676835161366465</v>
      </c>
      <c r="X36" s="549">
        <f>IF(Sys_Repl_Rate!W36&lt;1,System_Total_Mkt!W36*(1-Sys_Repl_Rate!W36)*(1-Retrofit_Rate)-(1-Standards_Acceptance!X36)*(Lamp_Mkt_Repl!X36)+System_Mkt_Repl!W362+System_Mkt_NC!X362,System_Mkt_Repl!W362+System_Mkt_NC!X362)</f>
        <v>1.9394645963838055</v>
      </c>
      <c r="Y36" s="549">
        <f>IF(Sys_Repl_Rate!X36&lt;1,System_Total_Mkt!X36*(1-Sys_Repl_Rate!X36)*(1-Retrofit_Rate)-(1-Standards_Acceptance!Y36)*(Lamp_Mkt_Repl!Y36)+System_Mkt_Repl!X362+System_Mkt_NC!Y362,System_Mkt_Repl!X362+System_Mkt_NC!Y362)</f>
        <v>1.8168016910208462</v>
      </c>
      <c r="Z36" s="549">
        <f>IF(Sys_Repl_Rate!Y36&lt;1,System_Total_Mkt!Y36*(1-Sys_Repl_Rate!Y36)*(1-Retrofit_Rate)-(1-Standards_Acceptance!Z36)*(Lamp_Mkt_Repl!Z36)+System_Mkt_Repl!Y362+System_Mkt_NC!Z362,System_Mkt_Repl!Y362+System_Mkt_NC!Z362)</f>
        <v>1.7002185192036061</v>
      </c>
      <c r="AA36" s="549">
        <f>IF(Sys_Repl_Rate!Z36&lt;1,System_Total_Mkt!Z36*(1-Sys_Repl_Rate!Z36)*(1-Retrofit_Rate)-(1-Standards_Acceptance!AA36)*(Lamp_Mkt_Repl!AA36)+System_Mkt_Repl!Z362+System_Mkt_NC!AA362,System_Mkt_Repl!Z362+System_Mkt_NC!AA362)</f>
        <v>1.5899047265893709</v>
      </c>
      <c r="AB36" s="549">
        <f>IF(Sys_Repl_Rate!AA36&lt;1,System_Total_Mkt!AA36*(1-Sys_Repl_Rate!AA36)*(1-Retrofit_Rate)-(1-Standards_Acceptance!AB36)*(Lamp_Mkt_Repl!AB36)+System_Mkt_Repl!AA362+System_Mkt_NC!AB362,System_Mkt_Repl!AA362+System_Mkt_NC!AB362)</f>
        <v>1.4858438130824354</v>
      </c>
      <c r="AC36" s="549">
        <f>IF(Sys_Repl_Rate!AB36&lt;1,System_Total_Mkt!AB36*(1-Sys_Repl_Rate!AB36)*(1-Retrofit_Rate)-(1-Standards_Acceptance!AC36)*(Lamp_Mkt_Repl!AC36)+System_Mkt_Repl!AB362+System_Mkt_NC!AC362,System_Mkt_Repl!AB362+System_Mkt_NC!AC362)</f>
        <v>1.3875922590648579</v>
      </c>
      <c r="AD36" s="549">
        <f>IF(Sys_Repl_Rate!AC36&lt;1,System_Total_Mkt!AC36*(1-Sys_Repl_Rate!AC36)*(1-Retrofit_Rate)-(1-Standards_Acceptance!AD36)*(Lamp_Mkt_Repl!AD36)+System_Mkt_Repl!AC362+System_Mkt_NC!AD362,System_Mkt_Repl!AC362+System_Mkt_NC!AD362)</f>
        <v>1.2950914350035667</v>
      </c>
      <c r="AE36" s="549">
        <f>IF(Sys_Repl_Rate!AD36&lt;1,System_Total_Mkt!AD36*(1-Sys_Repl_Rate!AD36)*(1-Retrofit_Rate)-(1-Standards_Acceptance!AE36)*(Lamp_Mkt_Repl!AE36)+System_Mkt_Repl!AD362+System_Mkt_NC!AE362,System_Mkt_Repl!AD362+System_Mkt_NC!AE362)</f>
        <v>1.2080986420689166</v>
      </c>
      <c r="AF36" s="549">
        <f>IF(Sys_Repl_Rate!AE36&lt;1,System_Total_Mkt!AE36*(1-Sys_Repl_Rate!AE36)*(1-Retrofit_Rate)-(1-Standards_Acceptance!AF36)*(Lamp_Mkt_Repl!AF36)+System_Mkt_Repl!AE362+System_Mkt_NC!AF362,System_Mkt_Repl!AE362+System_Mkt_NC!AF362)</f>
        <v>1.1262642995559311</v>
      </c>
    </row>
    <row r="37" spans="1:32" ht="14.45" x14ac:dyDescent="0.35">
      <c r="A37" s="210"/>
      <c r="B37" s="210" t="s">
        <v>52</v>
      </c>
      <c r="G37" s="549">
        <v>3.7068089574290206</v>
      </c>
      <c r="H37" s="549">
        <f>IF(Sys_Repl_Rate!G37&lt;1,System_Total_Mkt!G37*(1-Sys_Repl_Rate!G37)*(1-Retrofit_Rate)-(1-Standards_Acceptance!H37)*(Lamp_Mkt_Repl!H37)+System_Mkt_Repl!G363+System_Mkt_NC!H363,System_Mkt_Repl!G363+System_Mkt_NC!H363)</f>
        <v>3.7773896711240518</v>
      </c>
      <c r="I37" s="549">
        <f>IF(Sys_Repl_Rate!H37&lt;1,System_Total_Mkt!H37*(1-Sys_Repl_Rate!H37)*(1-Retrofit_Rate)-(1-Standards_Acceptance!I37)*(Lamp_Mkt_Repl!I37)+System_Mkt_Repl!H363+System_Mkt_NC!I363,System_Mkt_Repl!H363+System_Mkt_NC!I363)</f>
        <v>3.8176597848954827</v>
      </c>
      <c r="J37" s="549">
        <f>IF(Sys_Repl_Rate!I37&lt;1,System_Total_Mkt!I37*(1-Sys_Repl_Rate!I37)*(1-Retrofit_Rate)-(1-Standards_Acceptance!J37)*(Lamp_Mkt_Repl!J37)+System_Mkt_Repl!I363+System_Mkt_NC!J363,System_Mkt_Repl!I363+System_Mkt_NC!J363)</f>
        <v>3.8165961622440863</v>
      </c>
      <c r="K37" s="549">
        <f>IF(Sys_Repl_Rate!J37&lt;1,System_Total_Mkt!J37*(1-Sys_Repl_Rate!J37)*(1-Retrofit_Rate)-(1-Standards_Acceptance!K37)*(Lamp_Mkt_Repl!K37)+System_Mkt_Repl!J363+System_Mkt_NC!K363,System_Mkt_Repl!J363+System_Mkt_NC!K363)</f>
        <v>3.7708673661070855</v>
      </c>
      <c r="L37" s="549">
        <f>IF(Sys_Repl_Rate!K37&lt;1,System_Total_Mkt!K37*(1-Sys_Repl_Rate!K37)*(1-Retrofit_Rate)-(1-Standards_Acceptance!L37)*(Lamp_Mkt_Repl!L37)+System_Mkt_Repl!K363+System_Mkt_NC!L363,System_Mkt_Repl!K363+System_Mkt_NC!L363)</f>
        <v>3.6886565062254295</v>
      </c>
      <c r="M37" s="549">
        <f>IF(Sys_Repl_Rate!L37&lt;1,System_Total_Mkt!L37*(1-Sys_Repl_Rate!L37)*(1-Retrofit_Rate)-(1-Standards_Acceptance!M37)*(Lamp_Mkt_Repl!M37)+System_Mkt_Repl!L363+System_Mkt_NC!M363,System_Mkt_Repl!L363+System_Mkt_NC!M363)</f>
        <v>3.5784808761582769</v>
      </c>
      <c r="N37" s="549">
        <f>IF(Sys_Repl_Rate!M37&lt;1,System_Total_Mkt!M37*(1-Sys_Repl_Rate!M37)*(1-Retrofit_Rate)-(1-Standards_Acceptance!N37)*(Lamp_Mkt_Repl!N37)+System_Mkt_Repl!M363+System_Mkt_NC!N363,System_Mkt_Repl!M363+System_Mkt_NC!N363)</f>
        <v>3.44973032788582</v>
      </c>
      <c r="O37" s="549">
        <f>IF(Sys_Repl_Rate!N37&lt;1,System_Total_Mkt!N37*(1-Sys_Repl_Rate!N37)*(1-Retrofit_Rate)-(1-Standards_Acceptance!O37)*(Lamp_Mkt_Repl!O37)+System_Mkt_Repl!N363+System_Mkt_NC!O363,System_Mkt_Repl!N363+System_Mkt_NC!O363)</f>
        <v>3.31039055824388</v>
      </c>
      <c r="P37" s="549">
        <f>IF(Sys_Repl_Rate!O37&lt;1,System_Total_Mkt!O37*(1-Sys_Repl_Rate!O37)*(1-Retrofit_Rate)-(1-Standards_Acceptance!P37)*(Lamp_Mkt_Repl!P37)+System_Mkt_Repl!O363+System_Mkt_NC!P363,System_Mkt_Repl!O363+System_Mkt_NC!P363)</f>
        <v>3.1663658131397088</v>
      </c>
      <c r="Q37" s="549">
        <f>IF(Sys_Repl_Rate!P37&lt;1,System_Total_Mkt!P37*(1-Sys_Repl_Rate!P37)*(1-Retrofit_Rate)-(1-Standards_Acceptance!Q37)*(Lamp_Mkt_Repl!Q37)+System_Mkt_Repl!P363+System_Mkt_NC!Q363,System_Mkt_Repl!P363+System_Mkt_NC!Q363)</f>
        <v>3.0213737835348988</v>
      </c>
      <c r="R37" s="549">
        <f>IF(Sys_Repl_Rate!Q37&lt;1,System_Total_Mkt!Q37*(1-Sys_Repl_Rate!Q37)*(1-Retrofit_Rate)-(1-Standards_Acceptance!R37)*(Lamp_Mkt_Repl!R37)+System_Mkt_Repl!Q363+System_Mkt_NC!R363,System_Mkt_Repl!Q363+System_Mkt_NC!R363)</f>
        <v>2.8779037638868354</v>
      </c>
      <c r="S37" s="549">
        <f>IF(Sys_Repl_Rate!R37&lt;1,System_Total_Mkt!R37*(1-Sys_Repl_Rate!R37)*(1-Retrofit_Rate)-(1-Standards_Acceptance!S37)*(Lamp_Mkt_Repl!S37)+System_Mkt_Repl!R363+System_Mkt_NC!S363,System_Mkt_Repl!R363+System_Mkt_NC!S363)</f>
        <v>2.73780209985346</v>
      </c>
      <c r="T37" s="549">
        <f>IF(Sys_Repl_Rate!S37&lt;1,System_Total_Mkt!S37*(1-Sys_Repl_Rate!S37)*(1-Retrofit_Rate)-(1-Standards_Acceptance!T37)*(Lamp_Mkt_Repl!T37)+System_Mkt_Repl!S363+System_Mkt_NC!T363,System_Mkt_Repl!S363+System_Mkt_NC!T363)</f>
        <v>2.6020890424292231</v>
      </c>
      <c r="U37" s="549">
        <f>IF(Sys_Repl_Rate!T37&lt;1,System_Total_Mkt!T37*(1-Sys_Repl_Rate!T37)*(1-Retrofit_Rate)-(1-Standards_Acceptance!U37)*(Lamp_Mkt_Repl!U37)+System_Mkt_Repl!T363+System_Mkt_NC!U363,System_Mkt_Repl!T363+System_Mkt_NC!U363)</f>
        <v>2.4713687456198272</v>
      </c>
      <c r="V37" s="549">
        <f>IF(Sys_Repl_Rate!U37&lt;1,System_Total_Mkt!U37*(1-Sys_Repl_Rate!U37)*(1-Retrofit_Rate)-(1-Standards_Acceptance!V37)*(Lamp_Mkt_Repl!V37)+System_Mkt_Repl!U363+System_Mkt_NC!V363,System_Mkt_Repl!U363+System_Mkt_NC!V363)</f>
        <v>2.3460680647190162</v>
      </c>
      <c r="W37" s="549">
        <f>IF(Sys_Repl_Rate!V37&lt;1,System_Total_Mkt!V37*(1-Sys_Repl_Rate!V37)*(1-Retrofit_Rate)-(1-Standards_Acceptance!W37)*(Lamp_Mkt_Repl!W37)+System_Mkt_Repl!V363+System_Mkt_NC!W363,System_Mkt_Repl!V363+System_Mkt_NC!W363)</f>
        <v>2.2262744289399317</v>
      </c>
      <c r="X37" s="549">
        <f>IF(Sys_Repl_Rate!W37&lt;1,System_Total_Mkt!W37*(1-Sys_Repl_Rate!W37)*(1-Retrofit_Rate)-(1-Standards_Acceptance!X37)*(Lamp_Mkt_Repl!X37)+System_Mkt_Repl!W363+System_Mkt_NC!X363,System_Mkt_Repl!W363+System_Mkt_NC!X363)</f>
        <v>2.1119623816490094</v>
      </c>
      <c r="Y37" s="549">
        <f>IF(Sys_Repl_Rate!X37&lt;1,System_Total_Mkt!X37*(1-Sys_Repl_Rate!X37)*(1-Retrofit_Rate)-(1-Standards_Acceptance!Y37)*(Lamp_Mkt_Repl!Y37)+System_Mkt_Repl!X363+System_Mkt_NC!Y363,System_Mkt_Repl!X363+System_Mkt_NC!Y363)</f>
        <v>2.0030381907355017</v>
      </c>
      <c r="Z37" s="549">
        <f>IF(Sys_Repl_Rate!Y37&lt;1,System_Total_Mkt!Y37*(1-Sys_Repl_Rate!Y37)*(1-Retrofit_Rate)-(1-Standards_Acceptance!Z37)*(Lamp_Mkt_Repl!Z37)+System_Mkt_Repl!Y363+System_Mkt_NC!Z363,System_Mkt_Repl!Y363+System_Mkt_NC!Z363)</f>
        <v>1.8994089681204172</v>
      </c>
      <c r="AA37" s="549">
        <f>IF(Sys_Repl_Rate!Z37&lt;1,System_Total_Mkt!Z37*(1-Sys_Repl_Rate!Z37)*(1-Retrofit_Rate)-(1-Standards_Acceptance!AA37)*(Lamp_Mkt_Repl!AA37)+System_Mkt_Repl!Z363+System_Mkt_NC!AA363,System_Mkt_Repl!Z363+System_Mkt_NC!AA363)</f>
        <v>1.8009478928716693</v>
      </c>
      <c r="AB37" s="549">
        <f>IF(Sys_Repl_Rate!AA37&lt;1,System_Total_Mkt!AA37*(1-Sys_Repl_Rate!AA37)*(1-Retrofit_Rate)-(1-Standards_Acceptance!AB37)*(Lamp_Mkt_Repl!AB37)+System_Mkt_Repl!AA363+System_Mkt_NC!AB363,System_Mkt_Repl!AA363+System_Mkt_NC!AB363)</f>
        <v>1.7074748396611583</v>
      </c>
      <c r="AC37" s="549">
        <f>IF(Sys_Repl_Rate!AB37&lt;1,System_Total_Mkt!AB37*(1-Sys_Repl_Rate!AB37)*(1-Retrofit_Rate)-(1-Standards_Acceptance!AC37)*(Lamp_Mkt_Repl!AC37)+System_Mkt_Repl!AB363+System_Mkt_NC!AC363,System_Mkt_Repl!AB363+System_Mkt_NC!AC363)</f>
        <v>1.6187211429479202</v>
      </c>
      <c r="AD37" s="549">
        <f>IF(Sys_Repl_Rate!AC37&lt;1,System_Total_Mkt!AC37*(1-Sys_Repl_Rate!AC37)*(1-Retrofit_Rate)-(1-Standards_Acceptance!AD37)*(Lamp_Mkt_Repl!AD37)+System_Mkt_Repl!AC363+System_Mkt_NC!AD363,System_Mkt_Repl!AC363+System_Mkt_NC!AD363)</f>
        <v>1.5344742164713998</v>
      </c>
      <c r="AE37" s="549">
        <f>IF(Sys_Repl_Rate!AD37&lt;1,System_Total_Mkt!AD37*(1-Sys_Repl_Rate!AD37)*(1-Retrofit_Rate)-(1-Standards_Acceptance!AE37)*(Lamp_Mkt_Repl!AE37)+System_Mkt_Repl!AD363+System_Mkt_NC!AE363,System_Mkt_Repl!AD363+System_Mkt_NC!AE363)</f>
        <v>1.4545172776002198</v>
      </c>
      <c r="AF37" s="549">
        <f>IF(Sys_Repl_Rate!AE37&lt;1,System_Total_Mkt!AE37*(1-Sys_Repl_Rate!AE37)*(1-Retrofit_Rate)-(1-Standards_Acceptance!AF37)*(Lamp_Mkt_Repl!AF37)+System_Mkt_Repl!AE363+System_Mkt_NC!AF363,System_Mkt_Repl!AE363+System_Mkt_NC!AF363)</f>
        <v>1.3786046506244458</v>
      </c>
    </row>
    <row r="38" spans="1:32" x14ac:dyDescent="0.25">
      <c r="A38" s="210"/>
      <c r="B38" s="212" t="s">
        <v>29</v>
      </c>
      <c r="G38" s="549">
        <v>0.10065347134946012</v>
      </c>
      <c r="H38" s="549">
        <f>IF(Sys_Repl_Rate!G38&lt;1,System_Total_Mkt!G38*(1-Sys_Repl_Rate!G38)*(1-Retrofit_Rate)-(1-Standards_Acceptance!H38)*(Lamp_Mkt_Repl!H38)+System_Mkt_Repl!G364+System_Mkt_NC!H364,System_Mkt_Repl!G364+System_Mkt_NC!H364)</f>
        <v>1.5432587269298317</v>
      </c>
      <c r="I38" s="549">
        <f>IF(Sys_Repl_Rate!H38&lt;1,System_Total_Mkt!H38*(1-Sys_Repl_Rate!H38)*(1-Retrofit_Rate)-(1-Standards_Acceptance!I38)*(Lamp_Mkt_Repl!I38)+System_Mkt_Repl!H364+System_Mkt_NC!I364,System_Mkt_Repl!H364+System_Mkt_NC!I364)</f>
        <v>5.3512087281023071</v>
      </c>
      <c r="J38" s="549">
        <f>IF(Sys_Repl_Rate!I38&lt;1,System_Total_Mkt!I38*(1-Sys_Repl_Rate!I38)*(1-Retrofit_Rate)-(1-Standards_Acceptance!J38)*(Lamp_Mkt_Repl!J38)+System_Mkt_Repl!I364+System_Mkt_NC!J364,System_Mkt_Repl!I364+System_Mkt_NC!J364)</f>
        <v>10.902399468431824</v>
      </c>
      <c r="K38" s="549">
        <f>IF(Sys_Repl_Rate!J38&lt;1,System_Total_Mkt!J38*(1-Sys_Repl_Rate!J38)*(1-Retrofit_Rate)-(1-Standards_Acceptance!K38)*(Lamp_Mkt_Repl!K38)+System_Mkt_Repl!J364+System_Mkt_NC!K364,System_Mkt_Repl!J364+System_Mkt_NC!K364)</f>
        <v>16.285991226803286</v>
      </c>
      <c r="L38" s="549">
        <f>IF(Sys_Repl_Rate!K38&lt;1,System_Total_Mkt!K38*(1-Sys_Repl_Rate!K38)*(1-Retrofit_Rate)-(1-Standards_Acceptance!L38)*(Lamp_Mkt_Repl!L38)+System_Mkt_Repl!K364+System_Mkt_NC!L364,System_Mkt_Repl!K364+System_Mkt_NC!L364)</f>
        <v>20.298484019758067</v>
      </c>
      <c r="M38" s="549">
        <f>IF(Sys_Repl_Rate!L38&lt;1,System_Total_Mkt!L38*(1-Sys_Repl_Rate!L38)*(1-Retrofit_Rate)-(1-Standards_Acceptance!M38)*(Lamp_Mkt_Repl!M38)+System_Mkt_Repl!L364+System_Mkt_NC!M364,System_Mkt_Repl!L364+System_Mkt_NC!M364)</f>
        <v>23.052247363503312</v>
      </c>
      <c r="N38" s="549">
        <f>IF(Sys_Repl_Rate!M38&lt;1,System_Total_Mkt!M38*(1-Sys_Repl_Rate!M38)*(1-Retrofit_Rate)-(1-Standards_Acceptance!N38)*(Lamp_Mkt_Repl!N38)+System_Mkt_Repl!M364+System_Mkt_NC!N364,System_Mkt_Repl!M364+System_Mkt_NC!N364)</f>
        <v>25.011429745010325</v>
      </c>
      <c r="O38" s="549">
        <f>IF(Sys_Repl_Rate!N38&lt;1,System_Total_Mkt!N38*(1-Sys_Repl_Rate!N38)*(1-Retrofit_Rate)-(1-Standards_Acceptance!O38)*(Lamp_Mkt_Repl!O38)+System_Mkt_Repl!N364+System_Mkt_NC!O364,System_Mkt_Repl!N364+System_Mkt_NC!O364)</f>
        <v>26.576230088973034</v>
      </c>
      <c r="P38" s="549">
        <f>IF(Sys_Repl_Rate!O38&lt;1,System_Total_Mkt!O38*(1-Sys_Repl_Rate!O38)*(1-Retrofit_Rate)-(1-Standards_Acceptance!P38)*(Lamp_Mkt_Repl!P38)+System_Mkt_Repl!O364+System_Mkt_NC!P364,System_Mkt_Repl!O364+System_Mkt_NC!P364)</f>
        <v>27.956254242275094</v>
      </c>
      <c r="Q38" s="549">
        <f>IF(Sys_Repl_Rate!P38&lt;1,System_Total_Mkt!P38*(1-Sys_Repl_Rate!P38)*(1-Retrofit_Rate)-(1-Standards_Acceptance!Q38)*(Lamp_Mkt_Repl!Q38)+System_Mkt_Repl!P364+System_Mkt_NC!Q364,System_Mkt_Repl!P364+System_Mkt_NC!Q364)</f>
        <v>29.242897318501733</v>
      </c>
      <c r="R38" s="549">
        <f>IF(Sys_Repl_Rate!Q38&lt;1,System_Total_Mkt!Q38*(1-Sys_Repl_Rate!Q38)*(1-Retrofit_Rate)-(1-Standards_Acceptance!R38)*(Lamp_Mkt_Repl!R38)+System_Mkt_Repl!Q364+System_Mkt_NC!R364,System_Mkt_Repl!Q364+System_Mkt_NC!R364)</f>
        <v>30.46344354707972</v>
      </c>
      <c r="S38" s="549">
        <f>IF(Sys_Repl_Rate!R38&lt;1,System_Total_Mkt!R38*(1-Sys_Repl_Rate!R38)*(1-Retrofit_Rate)-(1-Standards_Acceptance!S38)*(Lamp_Mkt_Repl!S38)+System_Mkt_Repl!R364+System_Mkt_NC!S364,System_Mkt_Repl!R364+System_Mkt_NC!S364)</f>
        <v>31.642018741726957</v>
      </c>
      <c r="T38" s="549">
        <f>IF(Sys_Repl_Rate!S38&lt;1,System_Total_Mkt!S38*(1-Sys_Repl_Rate!S38)*(1-Retrofit_Rate)-(1-Standards_Acceptance!T38)*(Lamp_Mkt_Repl!T38)+System_Mkt_Repl!S364+System_Mkt_NC!T364,System_Mkt_Repl!S364+System_Mkt_NC!T364)</f>
        <v>32.783390401157</v>
      </c>
      <c r="U38" s="549">
        <f>IF(Sys_Repl_Rate!T38&lt;1,System_Total_Mkt!T38*(1-Sys_Repl_Rate!T38)*(1-Retrofit_Rate)-(1-Standards_Acceptance!U38)*(Lamp_Mkt_Repl!U38)+System_Mkt_Repl!T364+System_Mkt_NC!U364,System_Mkt_Repl!T364+System_Mkt_NC!U364)</f>
        <v>33.889659477939439</v>
      </c>
      <c r="V38" s="549">
        <f>IF(Sys_Repl_Rate!U38&lt;1,System_Total_Mkt!U38*(1-Sys_Repl_Rate!U38)*(1-Retrofit_Rate)-(1-Standards_Acceptance!V38)*(Lamp_Mkt_Repl!V38)+System_Mkt_Repl!U364+System_Mkt_NC!V364,System_Mkt_Repl!U364+System_Mkt_NC!V364)</f>
        <v>34.967794730201589</v>
      </c>
      <c r="W38" s="549">
        <f>IF(Sys_Repl_Rate!V38&lt;1,System_Total_Mkt!V38*(1-Sys_Repl_Rate!V38)*(1-Retrofit_Rate)-(1-Standards_Acceptance!W38)*(Lamp_Mkt_Repl!W38)+System_Mkt_Repl!V364+System_Mkt_NC!W364,System_Mkt_Repl!V364+System_Mkt_NC!W364)</f>
        <v>36.014893320675625</v>
      </c>
      <c r="X38" s="549">
        <f>IF(Sys_Repl_Rate!W38&lt;1,System_Total_Mkt!W38*(1-Sys_Repl_Rate!W38)*(1-Retrofit_Rate)-(1-Standards_Acceptance!X38)*(Lamp_Mkt_Repl!X38)+System_Mkt_Repl!W364+System_Mkt_NC!X364,System_Mkt_Repl!W364+System_Mkt_NC!X364)</f>
        <v>37.027195517881431</v>
      </c>
      <c r="Y38" s="549">
        <f>IF(Sys_Repl_Rate!X38&lt;1,System_Total_Mkt!X38*(1-Sys_Repl_Rate!X38)*(1-Retrofit_Rate)-(1-Standards_Acceptance!Y38)*(Lamp_Mkt_Repl!Y38)+System_Mkt_Repl!X364+System_Mkt_NC!Y364,System_Mkt_Repl!X364+System_Mkt_NC!Y364)</f>
        <v>38.00324145975781</v>
      </c>
      <c r="Z38" s="549">
        <f>IF(Sys_Repl_Rate!Y38&lt;1,System_Total_Mkt!Y38*(1-Sys_Repl_Rate!Y38)*(1-Retrofit_Rate)-(1-Standards_Acceptance!Z38)*(Lamp_Mkt_Repl!Z38)+System_Mkt_Repl!Y364+System_Mkt_NC!Z364,System_Mkt_Repl!Y364+System_Mkt_NC!Z364)</f>
        <v>38.949095404404218</v>
      </c>
      <c r="AA38" s="549">
        <f>IF(Sys_Repl_Rate!Z38&lt;1,System_Total_Mkt!Z38*(1-Sys_Repl_Rate!Z38)*(1-Retrofit_Rate)-(1-Standards_Acceptance!AA38)*(Lamp_Mkt_Repl!AA38)+System_Mkt_Repl!Z364+System_Mkt_NC!AA364,System_Mkt_Repl!Z364+System_Mkt_NC!AA364)</f>
        <v>39.873047864497757</v>
      </c>
      <c r="AB38" s="549">
        <f>IF(Sys_Repl_Rate!AA38&lt;1,System_Total_Mkt!AA38*(1-Sys_Repl_Rate!AA38)*(1-Retrofit_Rate)-(1-Standards_Acceptance!AB38)*(Lamp_Mkt_Repl!AB38)+System_Mkt_Repl!AA364+System_Mkt_NC!AB364,System_Mkt_Repl!AA364+System_Mkt_NC!AB364)</f>
        <v>40.786826270371527</v>
      </c>
      <c r="AC38" s="549">
        <f>IF(Sys_Repl_Rate!AB38&lt;1,System_Total_Mkt!AB38*(1-Sys_Repl_Rate!AB38)*(1-Retrofit_Rate)-(1-Standards_Acceptance!AC38)*(Lamp_Mkt_Repl!AC38)+System_Mkt_Repl!AB364+System_Mkt_NC!AC364,System_Mkt_Repl!AB364+System_Mkt_NC!AC364)</f>
        <v>41.676456487634539</v>
      </c>
      <c r="AD38" s="549">
        <f>IF(Sys_Repl_Rate!AC38&lt;1,System_Total_Mkt!AC38*(1-Sys_Repl_Rate!AC38)*(1-Retrofit_Rate)-(1-Standards_Acceptance!AD38)*(Lamp_Mkt_Repl!AD38)+System_Mkt_Repl!AC364+System_Mkt_NC!AD364,System_Mkt_Repl!AC364+System_Mkt_NC!AD364)</f>
        <v>42.542324622035558</v>
      </c>
      <c r="AE38" s="549">
        <f>IF(Sys_Repl_Rate!AD38&lt;1,System_Total_Mkt!AD38*(1-Sys_Repl_Rate!AD38)*(1-Retrofit_Rate)-(1-Standards_Acceptance!AE38)*(Lamp_Mkt_Repl!AE38)+System_Mkt_Repl!AD364+System_Mkt_NC!AE364,System_Mkt_Repl!AD364+System_Mkt_NC!AE364)</f>
        <v>43.38484503367917</v>
      </c>
      <c r="AF38" s="549">
        <f>IF(Sys_Repl_Rate!AE38&lt;1,System_Total_Mkt!AE38*(1-Sys_Repl_Rate!AE38)*(1-Retrofit_Rate)-(1-Standards_Acceptance!AF38)*(Lamp_Mkt_Repl!AF38)+System_Mkt_Repl!AE364+System_Mkt_NC!AF364,System_Mkt_Repl!AE364+System_Mkt_NC!AF364)</f>
        <v>44.204445048930914</v>
      </c>
    </row>
    <row r="39" spans="1:32" x14ac:dyDescent="0.25">
      <c r="A39" s="210"/>
      <c r="B39" s="212" t="s">
        <v>53</v>
      </c>
      <c r="G39" s="549">
        <v>0.13077055029251408</v>
      </c>
      <c r="H39" s="549">
        <f>IF(Sys_Repl_Rate!G39&lt;1,System_Total_Mkt!G39*(1-Sys_Repl_Rate!G39)*(1-Retrofit_Rate)-(1-Standards_Acceptance!H39)*(Lamp_Mkt_Repl!H39)+System_Mkt_Repl!G365+System_Mkt_NC!H365,System_Mkt_Repl!G365+System_Mkt_NC!H365)</f>
        <v>0.13359098418629578</v>
      </c>
      <c r="I39" s="549">
        <f>IF(Sys_Repl_Rate!H39&lt;1,System_Total_Mkt!H39*(1-Sys_Repl_Rate!H39)*(1-Retrofit_Rate)-(1-Standards_Acceptance!I39)*(Lamp_Mkt_Repl!I39)+System_Mkt_Repl!H365+System_Mkt_NC!I365,System_Mkt_Repl!H365+System_Mkt_NC!I365)</f>
        <v>0.1359246604744388</v>
      </c>
      <c r="J39" s="549">
        <f>IF(Sys_Repl_Rate!I39&lt;1,System_Total_Mkt!I39*(1-Sys_Repl_Rate!I39)*(1-Retrofit_Rate)-(1-Standards_Acceptance!J39)*(Lamp_Mkt_Repl!J39)+System_Mkt_Repl!I365+System_Mkt_NC!J365,System_Mkt_Repl!I365+System_Mkt_NC!J365)</f>
        <v>0.13751127113005432</v>
      </c>
      <c r="K39" s="549">
        <f>IF(Sys_Repl_Rate!J39&lt;1,System_Total_Mkt!J39*(1-Sys_Repl_Rate!J39)*(1-Retrofit_Rate)-(1-Standards_Acceptance!K39)*(Lamp_Mkt_Repl!K39)+System_Mkt_Repl!J365+System_Mkt_NC!K365,System_Mkt_Repl!J365+System_Mkt_NC!K365)</f>
        <v>0.1381003398471092</v>
      </c>
      <c r="L39" s="549">
        <f>IF(Sys_Repl_Rate!K39&lt;1,System_Total_Mkt!K39*(1-Sys_Repl_Rate!K39)*(1-Retrofit_Rate)-(1-Standards_Acceptance!L39)*(Lamp_Mkt_Repl!L39)+System_Mkt_Repl!K365+System_Mkt_NC!L365,System_Mkt_Repl!K365+System_Mkt_NC!L365)</f>
        <v>0.13771717431727487</v>
      </c>
      <c r="M39" s="549">
        <f>IF(Sys_Repl_Rate!L39&lt;1,System_Total_Mkt!L39*(1-Sys_Repl_Rate!L39)*(1-Retrofit_Rate)-(1-Standards_Acceptance!M39)*(Lamp_Mkt_Repl!M39)+System_Mkt_Repl!L365+System_Mkt_NC!M365,System_Mkt_Repl!L365+System_Mkt_NC!M365)</f>
        <v>0.13637376485679387</v>
      </c>
      <c r="N39" s="549">
        <f>IF(Sys_Repl_Rate!M39&lt;1,System_Total_Mkt!M39*(1-Sys_Repl_Rate!M39)*(1-Retrofit_Rate)-(1-Standards_Acceptance!N39)*(Lamp_Mkt_Repl!N39)+System_Mkt_Repl!M365+System_Mkt_NC!N365,System_Mkt_Repl!M365+System_Mkt_NC!N365)</f>
        <v>0.13416948951047428</v>
      </c>
      <c r="O39" s="549">
        <f>IF(Sys_Repl_Rate!N39&lt;1,System_Total_Mkt!N39*(1-Sys_Repl_Rate!N39)*(1-Retrofit_Rate)-(1-Standards_Acceptance!O39)*(Lamp_Mkt_Repl!O39)+System_Mkt_Repl!N365+System_Mkt_NC!O365,System_Mkt_Repl!N365+System_Mkt_NC!O365)</f>
        <v>0.13127089165146205</v>
      </c>
      <c r="P39" s="549">
        <f>IF(Sys_Repl_Rate!O39&lt;1,System_Total_Mkt!O39*(1-Sys_Repl_Rate!O39)*(1-Retrofit_Rate)-(1-Standards_Acceptance!P39)*(Lamp_Mkt_Repl!P39)+System_Mkt_Repl!O365+System_Mkt_NC!P365,System_Mkt_Repl!O365+System_Mkt_NC!P365)</f>
        <v>0.12785211921883785</v>
      </c>
      <c r="Q39" s="549">
        <f>IF(Sys_Repl_Rate!P39&lt;1,System_Total_Mkt!P39*(1-Sys_Repl_Rate!P39)*(1-Retrofit_Rate)-(1-Standards_Acceptance!Q39)*(Lamp_Mkt_Repl!Q39)+System_Mkt_Repl!P365+System_Mkt_NC!Q365,System_Mkt_Repl!P365+System_Mkt_NC!Q365)</f>
        <v>0.12404857628369048</v>
      </c>
      <c r="R39" s="549">
        <f>IF(Sys_Repl_Rate!Q39&lt;1,System_Total_Mkt!Q39*(1-Sys_Repl_Rate!Q39)*(1-Retrofit_Rate)-(1-Standards_Acceptance!R39)*(Lamp_Mkt_Repl!R39)+System_Mkt_Repl!Q365+System_Mkt_NC!R365,System_Mkt_Repl!Q365+System_Mkt_NC!R365)</f>
        <v>0.11997320498684819</v>
      </c>
      <c r="S39" s="549">
        <f>IF(Sys_Repl_Rate!R39&lt;1,System_Total_Mkt!R39*(1-Sys_Repl_Rate!R39)*(1-Retrofit_Rate)-(1-Standards_Acceptance!S39)*(Lamp_Mkt_Repl!S39)+System_Mkt_Repl!R365+System_Mkt_NC!S365,System_Mkt_Repl!R365+System_Mkt_NC!S365)</f>
        <v>0.11574201306619604</v>
      </c>
      <c r="T39" s="549">
        <f>IF(Sys_Repl_Rate!S39&lt;1,System_Total_Mkt!S39*(1-Sys_Repl_Rate!S39)*(1-Retrofit_Rate)-(1-Standards_Acceptance!T39)*(Lamp_Mkt_Repl!T39)+System_Mkt_Repl!S365+System_Mkt_NC!T365,System_Mkt_Repl!S365+System_Mkt_NC!T365)</f>
        <v>0.11143072197226013</v>
      </c>
      <c r="U39" s="549">
        <f>IF(Sys_Repl_Rate!T39&lt;1,System_Total_Mkt!T39*(1-Sys_Repl_Rate!T39)*(1-Retrofit_Rate)-(1-Standards_Acceptance!U39)*(Lamp_Mkt_Repl!U39)+System_Mkt_Repl!T365+System_Mkt_NC!U365,System_Mkt_Repl!T365+System_Mkt_NC!U365)</f>
        <v>0.10709774940585</v>
      </c>
      <c r="V39" s="549">
        <f>IF(Sys_Repl_Rate!U39&lt;1,System_Total_Mkt!U39*(1-Sys_Repl_Rate!U39)*(1-Retrofit_Rate)-(1-Standards_Acceptance!V39)*(Lamp_Mkt_Repl!V39)+System_Mkt_Repl!U365+System_Mkt_NC!V365,System_Mkt_Repl!U365+System_Mkt_NC!V365)</f>
        <v>0.10279765323397352</v>
      </c>
      <c r="W39" s="549">
        <f>IF(Sys_Repl_Rate!V39&lt;1,System_Total_Mkt!V39*(1-Sys_Repl_Rate!V39)*(1-Retrofit_Rate)-(1-Standards_Acceptance!W39)*(Lamp_Mkt_Repl!W39)+System_Mkt_Repl!V365+System_Mkt_NC!W365,System_Mkt_Repl!V365+System_Mkt_NC!W365)</f>
        <v>9.8558635245342127E-2</v>
      </c>
      <c r="X39" s="549">
        <f>IF(Sys_Repl_Rate!W39&lt;1,System_Total_Mkt!W39*(1-Sys_Repl_Rate!W39)*(1-Retrofit_Rate)-(1-Standards_Acceptance!X39)*(Lamp_Mkt_Repl!X39)+System_Mkt_Repl!W365+System_Mkt_NC!X365,System_Mkt_Repl!W365+System_Mkt_NC!X365)</f>
        <v>9.4401071712352402E-2</v>
      </c>
      <c r="Y39" s="549">
        <f>IF(Sys_Repl_Rate!X39&lt;1,System_Total_Mkt!X39*(1-Sys_Repl_Rate!X39)*(1-Retrofit_Rate)-(1-Standards_Acceptance!Y39)*(Lamp_Mkt_Repl!Y39)+System_Mkt_Repl!X365+System_Mkt_NC!Y365,System_Mkt_Repl!X365+System_Mkt_NC!Y365)</f>
        <v>9.0340414255552212E-2</v>
      </c>
      <c r="Z39" s="549">
        <f>IF(Sys_Repl_Rate!Y39&lt;1,System_Total_Mkt!Y39*(1-Sys_Repl_Rate!Y39)*(1-Retrofit_Rate)-(1-Standards_Acceptance!Z39)*(Lamp_Mkt_Repl!Z39)+System_Mkt_Repl!Y365+System_Mkt_NC!Z365,System_Mkt_Repl!Y365+System_Mkt_NC!Z365)</f>
        <v>8.6393372065214261E-2</v>
      </c>
      <c r="AA39" s="549">
        <f>IF(Sys_Repl_Rate!Z39&lt;1,System_Total_Mkt!Z39*(1-Sys_Repl_Rate!Z39)*(1-Retrofit_Rate)-(1-Standards_Acceptance!AA39)*(Lamp_Mkt_Repl!AA39)+System_Mkt_Repl!Z365+System_Mkt_NC!AA365,System_Mkt_Repl!Z365+System_Mkt_NC!AA365)</f>
        <v>8.2572973441256026E-2</v>
      </c>
      <c r="AB39" s="549">
        <f>IF(Sys_Repl_Rate!AA39&lt;1,System_Total_Mkt!AA39*(1-Sys_Repl_Rate!AA39)*(1-Retrofit_Rate)-(1-Standards_Acceptance!AB39)*(Lamp_Mkt_Repl!AB39)+System_Mkt_Repl!AA365+System_Mkt_NC!AB365,System_Mkt_Repl!AA365+System_Mkt_NC!AB365)</f>
        <v>7.8886336966894621E-2</v>
      </c>
      <c r="AC39" s="549">
        <f>IF(Sys_Repl_Rate!AB39&lt;1,System_Total_Mkt!AB39*(1-Sys_Repl_Rate!AB39)*(1-Retrofit_Rate)-(1-Standards_Acceptance!AC39)*(Lamp_Mkt_Repl!AC39)+System_Mkt_Repl!AB365+System_Mkt_NC!AC365,System_Mkt_Repl!AB365+System_Mkt_NC!AC365)</f>
        <v>7.5327215298598732E-2</v>
      </c>
      <c r="AD39" s="549">
        <f>IF(Sys_Repl_Rate!AC39&lt;1,System_Total_Mkt!AC39*(1-Sys_Repl_Rate!AC39)*(1-Retrofit_Rate)-(1-Standards_Acceptance!AD39)*(Lamp_Mkt_Repl!AD39)+System_Mkt_Repl!AC365+System_Mkt_NC!AD365,System_Mkt_Repl!AC365+System_Mkt_NC!AD365)</f>
        <v>7.1895709370069533E-2</v>
      </c>
      <c r="AE39" s="549">
        <f>IF(Sys_Repl_Rate!AD39&lt;1,System_Total_Mkt!AD39*(1-Sys_Repl_Rate!AD39)*(1-Retrofit_Rate)-(1-Standards_Acceptance!AE39)*(Lamp_Mkt_Repl!AE39)+System_Mkt_Repl!AD365+System_Mkt_NC!AE365,System_Mkt_Repl!AD365+System_Mkt_NC!AE365)</f>
        <v>6.8590224423596094E-2</v>
      </c>
      <c r="AF39" s="549">
        <f>IF(Sys_Repl_Rate!AE39&lt;1,System_Total_Mkt!AE39*(1-Sys_Repl_Rate!AE39)*(1-Retrofit_Rate)-(1-Standards_Acceptance!AF39)*(Lamp_Mkt_Repl!AF39)+System_Mkt_Repl!AE365+System_Mkt_NC!AF365,System_Mkt_Repl!AE365+System_Mkt_NC!AF365)</f>
        <v>6.5404826598896043E-2</v>
      </c>
    </row>
    <row r="40" spans="1:32" x14ac:dyDescent="0.25">
      <c r="A40" s="444"/>
      <c r="B40" s="445"/>
      <c r="G40" s="208">
        <v>2010</v>
      </c>
      <c r="H40" s="208">
        <v>2011</v>
      </c>
      <c r="I40" s="208">
        <v>2012</v>
      </c>
      <c r="J40" s="208">
        <v>2013</v>
      </c>
      <c r="K40" s="208">
        <v>2014</v>
      </c>
      <c r="L40" s="208">
        <v>2015</v>
      </c>
      <c r="M40" s="208">
        <v>2016</v>
      </c>
      <c r="N40" s="208">
        <v>2017</v>
      </c>
      <c r="O40" s="208">
        <v>2018</v>
      </c>
      <c r="P40" s="208">
        <v>2019</v>
      </c>
      <c r="Q40" s="208">
        <v>2020</v>
      </c>
      <c r="R40" s="208">
        <v>2021</v>
      </c>
      <c r="S40" s="208">
        <v>2022</v>
      </c>
      <c r="T40" s="208">
        <v>2023</v>
      </c>
      <c r="U40" s="208">
        <v>2024</v>
      </c>
      <c r="V40" s="208">
        <v>2025</v>
      </c>
      <c r="W40" s="208">
        <v>2026</v>
      </c>
      <c r="X40" s="208">
        <v>2027</v>
      </c>
      <c r="Y40" s="208">
        <v>2028</v>
      </c>
      <c r="Z40" s="208">
        <v>2029</v>
      </c>
      <c r="AA40" s="208">
        <v>2030</v>
      </c>
      <c r="AB40" s="208">
        <v>2031</v>
      </c>
      <c r="AC40" s="208">
        <v>2032</v>
      </c>
      <c r="AD40" s="208">
        <v>2033</v>
      </c>
      <c r="AE40" s="208">
        <v>2034</v>
      </c>
      <c r="AF40" s="208">
        <v>2035</v>
      </c>
    </row>
    <row r="41" spans="1:32" x14ac:dyDescent="0.25">
      <c r="A41" s="398" t="s">
        <v>272</v>
      </c>
      <c r="B41" s="399"/>
      <c r="C41" s="398"/>
      <c r="D41" s="394"/>
      <c r="E41" s="394"/>
      <c r="F41" s="394"/>
      <c r="G41" s="394" t="s">
        <v>699</v>
      </c>
      <c r="H41" s="407"/>
      <c r="I41" s="407"/>
      <c r="J41" s="407"/>
      <c r="K41" s="407"/>
      <c r="L41" s="407"/>
      <c r="M41" s="407"/>
      <c r="N41" s="407"/>
      <c r="O41" s="407"/>
      <c r="P41" s="407"/>
      <c r="Q41" s="407"/>
      <c r="R41" s="407"/>
      <c r="S41" s="407"/>
      <c r="T41" s="407"/>
      <c r="U41" s="407"/>
      <c r="V41" s="407"/>
      <c r="W41" s="407"/>
      <c r="X41" s="407"/>
      <c r="Y41" s="407"/>
      <c r="Z41" s="407"/>
      <c r="AA41" s="407"/>
      <c r="AB41" s="407"/>
      <c r="AC41" s="407"/>
      <c r="AD41" s="407"/>
      <c r="AE41" s="407"/>
      <c r="AF41" s="407"/>
    </row>
    <row r="42" spans="1:32" x14ac:dyDescent="0.25">
      <c r="A42" s="446" t="s">
        <v>12</v>
      </c>
      <c r="B42" s="444"/>
    </row>
    <row r="43" spans="1:32" x14ac:dyDescent="0.25">
      <c r="A43" s="444"/>
      <c r="B43" s="444" t="s">
        <v>20</v>
      </c>
    </row>
    <row r="44" spans="1:32" s="402" customFormat="1" ht="12.75" x14ac:dyDescent="0.2">
      <c r="A44" s="402" t="s">
        <v>21</v>
      </c>
    </row>
    <row r="45" spans="1:32" x14ac:dyDescent="0.25">
      <c r="A45" s="444"/>
      <c r="B45" s="444" t="s">
        <v>22</v>
      </c>
      <c r="G45" s="438"/>
      <c r="H45" s="205">
        <f ca="1">IF(Tech_Specs!$S9=0,0,IF(Perform_Active!$I10=0,0,(System_Mkt_Repl!G335+System_Mkt_NC!H335+Lamp_Mkt_Repl!H45)/(Perform_Active!$I10/Perform_Active!$H10*Tech_Specs!$S9*365.25)*10^9))</f>
        <v>44454.29656065478</v>
      </c>
      <c r="I45" s="540">
        <f ca="1">IF(Tech_Specs!$S9=0,0,IF(Perform_Active!$I10=0,0,(System_Mkt_Repl!H335+System_Mkt_NC!I335+Lamp_Mkt_Repl!I45)/(Perform_Active!$I10/Perform_Active!$H10*Tech_Specs!$S9*365.25)*10^9))</f>
        <v>38925.430141098121</v>
      </c>
      <c r="J45" s="540">
        <f ca="1">IF(Tech_Specs!$S9=0,0,IF(Perform_Active!$I10=0,0,(System_Mkt_Repl!I335+System_Mkt_NC!J335+Lamp_Mkt_Repl!J45)/(Perform_Active!$I10/Perform_Active!$H10*Tech_Specs!$S9*365.25)*10^9))</f>
        <v>26349.092274203373</v>
      </c>
      <c r="K45" s="540">
        <f ca="1">IF(Tech_Specs!$S9=0,0,IF(Perform_Active!$I10=0,0,(System_Mkt_Repl!J335+System_Mkt_NC!K335+Lamp_Mkt_Repl!K45)/(Perform_Active!$I10/Perform_Active!$H10*Tech_Specs!$S9*365.25)*10^9))</f>
        <v>18240.40116276445</v>
      </c>
      <c r="L45" s="540">
        <f ca="1">IF(Tech_Specs!$S9=0,0,IF(Perform_Active!$I10=0,0,(System_Mkt_Repl!K335+System_Mkt_NC!L335+Lamp_Mkt_Repl!L45)/(Perform_Active!$I10/Perform_Active!$H10*Tech_Specs!$S9*365.25)*10^9))</f>
        <v>11698.738541603325</v>
      </c>
      <c r="M45" s="540">
        <f ca="1">IF(Tech_Specs!$S9=0,0,IF(Perform_Active!$I10=0,0,(System_Mkt_Repl!L335+System_Mkt_NC!M335+Lamp_Mkt_Repl!M45)/(Perform_Active!$I10/Perform_Active!$H10*Tech_Specs!$S9*365.25)*10^9))</f>
        <v>4284.7561739203393</v>
      </c>
      <c r="N45" s="540">
        <f ca="1">IF(Tech_Specs!$S9=0,0,IF(Perform_Active!$I10=0,0,(System_Mkt_Repl!M335+System_Mkt_NC!N335+Lamp_Mkt_Repl!N45)/(Perform_Active!$I10/Perform_Active!$H10*Tech_Specs!$S9*365.25)*10^9))</f>
        <v>3564.5269579837795</v>
      </c>
      <c r="O45" s="540">
        <f ca="1">IF(Tech_Specs!$S9=0,0,IF(Perform_Active!$I10=0,0,(System_Mkt_Repl!N335+System_Mkt_NC!O335+Lamp_Mkt_Repl!O45)/(Perform_Active!$I10/Perform_Active!$H10*Tech_Specs!$S9*365.25)*10^9))</f>
        <v>3010.5687270191406</v>
      </c>
      <c r="P45" s="540">
        <f ca="1">IF(Tech_Specs!$S9=0,0,IF(Perform_Active!$I10=0,0,(System_Mkt_Repl!O335+System_Mkt_NC!P335+Lamp_Mkt_Repl!P45)/(Perform_Active!$I10/Perform_Active!$H10*Tech_Specs!$S9*365.25)*10^9))</f>
        <v>2566.0029000466534</v>
      </c>
      <c r="Q45" s="540">
        <f ca="1">IF(Tech_Specs!$S9=0,0,IF(Perform_Active!$I10=0,0,(System_Mkt_Repl!P335+System_Mkt_NC!Q335+Lamp_Mkt_Repl!Q45)/(Perform_Active!$I10/Perform_Active!$H10*Tech_Specs!$S9*365.25)*10^9))</f>
        <v>2160.4409378329669</v>
      </c>
      <c r="R45" s="540">
        <f ca="1">IF(Tech_Specs!$S9=0,0,IF(Perform_Active!$I10=0,0,(System_Mkt_Repl!Q335+System_Mkt_NC!R335+Lamp_Mkt_Repl!R45)/(Perform_Active!$I10/Perform_Active!$H10*Tech_Specs!$S9*365.25)*10^9))</f>
        <v>1784.5069512459645</v>
      </c>
      <c r="S45" s="540">
        <f ca="1">IF(Tech_Specs!$S9=0,0,IF(Perform_Active!$I10=0,0,(System_Mkt_Repl!R335+System_Mkt_NC!S335+Lamp_Mkt_Repl!S45)/(Perform_Active!$I10/Perform_Active!$H10*Tech_Specs!$S9*365.25)*10^9))</f>
        <v>1458.6492356396998</v>
      </c>
      <c r="T45" s="540">
        <f ca="1">IF(Tech_Specs!$S9=0,0,IF(Perform_Active!$I10=0,0,(System_Mkt_Repl!S335+System_Mkt_NC!T335+Lamp_Mkt_Repl!T45)/(Perform_Active!$I10/Perform_Active!$H10*Tech_Specs!$S9*365.25)*10^9))</f>
        <v>1179.8745251525847</v>
      </c>
      <c r="U45" s="540">
        <f ca="1">IF(Tech_Specs!$S9=0,0,IF(Perform_Active!$I10=0,0,(System_Mkt_Repl!T335+System_Mkt_NC!U335+Lamp_Mkt_Repl!U45)/(Perform_Active!$I10/Perform_Active!$H10*Tech_Specs!$S9*365.25)*10^9))</f>
        <v>946.32708226941202</v>
      </c>
      <c r="V45" s="540">
        <f ca="1">IF(Tech_Specs!$S9=0,0,IF(Perform_Active!$I10=0,0,(System_Mkt_Repl!U335+System_Mkt_NC!V335+Lamp_Mkt_Repl!V45)/(Perform_Active!$I10/Perform_Active!$H10*Tech_Specs!$S9*365.25)*10^9))</f>
        <v>761.95225762747407</v>
      </c>
      <c r="W45" s="540">
        <f ca="1">IF(Tech_Specs!$S9=0,0,IF(Perform_Active!$I10=0,0,(System_Mkt_Repl!V335+System_Mkt_NC!W335+Lamp_Mkt_Repl!W45)/(Perform_Active!$I10/Perform_Active!$H10*Tech_Specs!$S9*365.25)*10^9))</f>
        <v>613.75744945413487</v>
      </c>
      <c r="X45" s="540">
        <f ca="1">IF(Tech_Specs!$S9=0,0,IF(Perform_Active!$I10=0,0,(System_Mkt_Repl!W335+System_Mkt_NC!X335+Lamp_Mkt_Repl!X45)/(Perform_Active!$I10/Perform_Active!$H10*Tech_Specs!$S9*365.25)*10^9))</f>
        <v>496.00206161369067</v>
      </c>
      <c r="Y45" s="540">
        <f ca="1">IF(Tech_Specs!$S9=0,0,IF(Perform_Active!$I10=0,0,(System_Mkt_Repl!X335+System_Mkt_NC!Y335+Lamp_Mkt_Repl!Y45)/(Perform_Active!$I10/Perform_Active!$H10*Tech_Specs!$S9*365.25)*10^9))</f>
        <v>403.28621445256272</v>
      </c>
      <c r="Z45" s="540">
        <f ca="1">IF(Tech_Specs!$S9=0,0,IF(Perform_Active!$I10=0,0,(System_Mkt_Repl!Y335+System_Mkt_NC!Z335+Lamp_Mkt_Repl!Z45)/(Perform_Active!$I10/Perform_Active!$H10*Tech_Specs!$S9*365.25)*10^9))</f>
        <v>332.10194272600444</v>
      </c>
      <c r="AA45" s="540">
        <f ca="1">IF(Tech_Specs!$S9=0,0,IF(Perform_Active!$I10=0,0,(System_Mkt_Repl!Z335+System_Mkt_NC!AA335+Lamp_Mkt_Repl!AA45)/(Perform_Active!$I10/Perform_Active!$H10*Tech_Specs!$S9*365.25)*10^9))</f>
        <v>277.97760309118166</v>
      </c>
      <c r="AB45" s="540">
        <f ca="1">IF(Tech_Specs!$S9=0,0,IF(Perform_Active!$I10=0,0,(System_Mkt_Repl!AA335+System_Mkt_NC!AB335+Lamp_Mkt_Repl!AB45)/(Perform_Active!$I10/Perform_Active!$H10*Tech_Specs!$S9*365.25)*10^9))</f>
        <v>234.66299307255557</v>
      </c>
      <c r="AC45" s="540">
        <f ca="1">IF(Tech_Specs!$S9=0,0,IF(Perform_Active!$I10=0,0,(System_Mkt_Repl!AB335+System_Mkt_NC!AC335+Lamp_Mkt_Repl!AC45)/(Perform_Active!$I10/Perform_Active!$H10*Tech_Specs!$S9*365.25)*10^9))</f>
        <v>200.22747053147694</v>
      </c>
      <c r="AD45" s="540">
        <f ca="1">IF(Tech_Specs!$S9=0,0,IF(Perform_Active!$I10=0,0,(System_Mkt_Repl!AC335+System_Mkt_NC!AD335+Lamp_Mkt_Repl!AD45)/(Perform_Active!$I10/Perform_Active!$H10*Tech_Specs!$S9*365.25)*10^9))</f>
        <v>172.17714180090073</v>
      </c>
      <c r="AE45" s="540">
        <f ca="1">IF(Tech_Specs!$S9=0,0,IF(Perform_Active!$I10=0,0,(System_Mkt_Repl!AD335+System_Mkt_NC!AE335+Lamp_Mkt_Repl!AE45)/(Perform_Active!$I10/Perform_Active!$H10*Tech_Specs!$S9*365.25)*10^9))</f>
        <v>148.81771892463277</v>
      </c>
      <c r="AF45" s="540">
        <f ca="1">IF(Tech_Specs!$S9=0,0,IF(Perform_Active!$I10=0,0,(System_Mkt_Repl!AE335+System_Mkt_NC!AF335+Lamp_Mkt_Repl!AF45)/(Perform_Active!$I10/Perform_Active!$H10*Tech_Specs!$S9*365.25)*10^9))</f>
        <v>127.16173568373215</v>
      </c>
    </row>
    <row r="46" spans="1:32" x14ac:dyDescent="0.25">
      <c r="A46" s="444"/>
      <c r="B46" s="444" t="s">
        <v>26</v>
      </c>
      <c r="G46" s="438"/>
      <c r="H46" s="540">
        <f ca="1">IF(Tech_Specs!$S10=0,0,IF(Perform_Active!$I11=0,0,(System_Mkt_Repl!G336+System_Mkt_NC!H336+Lamp_Mkt_Repl!H46)/(Perform_Active!$I11/Perform_Active!$H11*Tech_Specs!$S10*365.25)*10^9))</f>
        <v>842.64891920597518</v>
      </c>
      <c r="I46" s="540">
        <f ca="1">IF(Tech_Specs!$S10=0,0,IF(Perform_Active!$I11=0,0,(System_Mkt_Repl!H336+System_Mkt_NC!I336+Lamp_Mkt_Repl!I46)/(Perform_Active!$I11/Perform_Active!$H11*Tech_Specs!$S10*365.25)*10^9))</f>
        <v>3628.822084203694</v>
      </c>
      <c r="J46" s="540">
        <f ca="1">IF(Tech_Specs!$S10=0,0,IF(Perform_Active!$I11=0,0,(System_Mkt_Repl!I336+System_Mkt_NC!J336+Lamp_Mkt_Repl!J46)/(Perform_Active!$I11/Perform_Active!$H11*Tech_Specs!$S10*365.25)*10^9))</f>
        <v>11005.649708337907</v>
      </c>
      <c r="K46" s="540">
        <f ca="1">IF(Tech_Specs!$S10=0,0,IF(Perform_Active!$I11=0,0,(System_Mkt_Repl!J336+System_Mkt_NC!K336+Lamp_Mkt_Repl!K46)/(Perform_Active!$I11/Perform_Active!$H11*Tech_Specs!$S10*365.25)*10^9))</f>
        <v>15482.108837477803</v>
      </c>
      <c r="L46" s="540">
        <f ca="1">IF(Tech_Specs!$S10=0,0,IF(Perform_Active!$I11=0,0,(System_Mkt_Repl!K336+System_Mkt_NC!L336+Lamp_Mkt_Repl!L46)/(Perform_Active!$I11/Perform_Active!$H11*Tech_Specs!$S10*365.25)*10^9))</f>
        <v>16596.073992319947</v>
      </c>
      <c r="M46" s="540">
        <f ca="1">IF(Tech_Specs!$S10=0,0,IF(Perform_Active!$I11=0,0,(System_Mkt_Repl!L336+System_Mkt_NC!M336+Lamp_Mkt_Repl!M46)/(Perform_Active!$I11/Perform_Active!$H11*Tech_Specs!$S10*365.25)*10^9))</f>
        <v>17440.117397471244</v>
      </c>
      <c r="N46" s="540">
        <f ca="1">IF(Tech_Specs!$S10=0,0,IF(Perform_Active!$I11=0,0,(System_Mkt_Repl!M336+System_Mkt_NC!N336+Lamp_Mkt_Repl!N46)/(Perform_Active!$I11/Perform_Active!$H11*Tech_Specs!$S10*365.25)*10^9))</f>
        <v>15087.428572280352</v>
      </c>
      <c r="O46" s="540">
        <f ca="1">IF(Tech_Specs!$S10=0,0,IF(Perform_Active!$I11=0,0,(System_Mkt_Repl!N336+System_Mkt_NC!O336+Lamp_Mkt_Repl!O46)/(Perform_Active!$I11/Perform_Active!$H11*Tech_Specs!$S10*365.25)*10^9))</f>
        <v>13206.416524889042</v>
      </c>
      <c r="P46" s="540">
        <f ca="1">IF(Tech_Specs!$S10=0,0,IF(Perform_Active!$I11=0,0,(System_Mkt_Repl!O336+System_Mkt_NC!P336+Lamp_Mkt_Repl!P46)/(Perform_Active!$I11/Perform_Active!$H11*Tech_Specs!$S10*365.25)*10^9))</f>
        <v>11624.694082557107</v>
      </c>
      <c r="Q46" s="540">
        <f ca="1">IF(Tech_Specs!$S10=0,0,IF(Perform_Active!$I11=0,0,(System_Mkt_Repl!P336+System_Mkt_NC!Q336+Lamp_Mkt_Repl!Q46)/(Perform_Active!$I11/Perform_Active!$H11*Tech_Specs!$S10*365.25)*10^9))</f>
        <v>10128.481073308676</v>
      </c>
      <c r="R46" s="540">
        <f ca="1">IF(Tech_Specs!$S10=0,0,IF(Perform_Active!$I11=0,0,(System_Mkt_Repl!Q336+System_Mkt_NC!R336+Lamp_Mkt_Repl!R46)/(Perform_Active!$I11/Perform_Active!$H11*Tech_Specs!$S10*365.25)*10^9))</f>
        <v>8686.6849612581827</v>
      </c>
      <c r="S46" s="540">
        <f ca="1">IF(Tech_Specs!$S10=0,0,IF(Perform_Active!$I11=0,0,(System_Mkt_Repl!R336+System_Mkt_NC!S336+Lamp_Mkt_Repl!S46)/(Perform_Active!$I11/Perform_Active!$H11*Tech_Specs!$S10*365.25)*10^9))</f>
        <v>7388.6720826640958</v>
      </c>
      <c r="T46" s="540">
        <f ca="1">IF(Tech_Specs!$S10=0,0,IF(Perform_Active!$I11=0,0,(System_Mkt_Repl!S336+System_Mkt_NC!T336+Lamp_Mkt_Repl!T46)/(Perform_Active!$I11/Perform_Active!$H11*Tech_Specs!$S10*365.25)*10^9))</f>
        <v>6235.2219034945119</v>
      </c>
      <c r="U46" s="540">
        <f ca="1">IF(Tech_Specs!$S10=0,0,IF(Perform_Active!$I11=0,0,(System_Mkt_Repl!T336+System_Mkt_NC!U336+Lamp_Mkt_Repl!U46)/(Perform_Active!$I11/Perform_Active!$H11*Tech_Specs!$S10*365.25)*10^9))</f>
        <v>5234.5618334173641</v>
      </c>
      <c r="V46" s="540">
        <f ca="1">IF(Tech_Specs!$S10=0,0,IF(Perform_Active!$I11=0,0,(System_Mkt_Repl!U336+System_Mkt_NC!V336+Lamp_Mkt_Repl!V46)/(Perform_Active!$I11/Perform_Active!$H11*Tech_Specs!$S10*365.25)*10^9))</f>
        <v>4418.619562097404</v>
      </c>
      <c r="W46" s="540">
        <f ca="1">IF(Tech_Specs!$S10=0,0,IF(Perform_Active!$I11=0,0,(System_Mkt_Repl!V336+System_Mkt_NC!W336+Lamp_Mkt_Repl!W46)/(Perform_Active!$I11/Perform_Active!$H11*Tech_Specs!$S10*365.25)*10^9))</f>
        <v>3742.5718154409442</v>
      </c>
      <c r="X46" s="540">
        <f ca="1">IF(Tech_Specs!$S10=0,0,IF(Perform_Active!$I11=0,0,(System_Mkt_Repl!W336+System_Mkt_NC!X336+Lamp_Mkt_Repl!X46)/(Perform_Active!$I11/Perform_Active!$H11*Tech_Specs!$S10*365.25)*10^9))</f>
        <v>3188.8493030216778</v>
      </c>
      <c r="Y46" s="540">
        <f ca="1">IF(Tech_Specs!$S10=0,0,IF(Perform_Active!$I11=0,0,(System_Mkt_Repl!X336+System_Mkt_NC!Y336+Lamp_Mkt_Repl!Y46)/(Perform_Active!$I11/Perform_Active!$H11*Tech_Specs!$S10*365.25)*10^9))</f>
        <v>2740.1894670885722</v>
      </c>
      <c r="Z46" s="540">
        <f ca="1">IF(Tech_Specs!$S10=0,0,IF(Perform_Active!$I11=0,0,(System_Mkt_Repl!Y336+System_Mkt_NC!Z336+Lamp_Mkt_Repl!Z46)/(Perform_Active!$I11/Perform_Active!$H11*Tech_Specs!$S10*365.25)*10^9))</f>
        <v>2387.7271455325954</v>
      </c>
      <c r="AA46" s="540">
        <f ca="1">IF(Tech_Specs!$S10=0,0,IF(Perform_Active!$I11=0,0,(System_Mkt_Repl!Z336+System_Mkt_NC!AA336+Lamp_Mkt_Repl!AA46)/(Perform_Active!$I11/Perform_Active!$H11*Tech_Specs!$S10*365.25)*10^9))</f>
        <v>2115.192620776882</v>
      </c>
      <c r="AB46" s="540">
        <f ca="1">IF(Tech_Specs!$S10=0,0,IF(Perform_Active!$I11=0,0,(System_Mkt_Repl!AA336+System_Mkt_NC!AB336+Lamp_Mkt_Repl!AB46)/(Perform_Active!$I11/Perform_Active!$H11*Tech_Specs!$S10*365.25)*10^9))</f>
        <v>1893.7997581039831</v>
      </c>
      <c r="AC46" s="540">
        <f ca="1">IF(Tech_Specs!$S10=0,0,IF(Perform_Active!$I11=0,0,(System_Mkt_Repl!AB336+System_Mkt_NC!AC336+Lamp_Mkt_Repl!AC46)/(Perform_Active!$I11/Perform_Active!$H11*Tech_Specs!$S10*365.25)*10^9))</f>
        <v>1711.2226636007135</v>
      </c>
      <c r="AD46" s="540">
        <f ca="1">IF(Tech_Specs!$S10=0,0,IF(Perform_Active!$I11=0,0,(System_Mkt_Repl!AC336+System_Mkt_NC!AD336+Lamp_Mkt_Repl!AD46)/(Perform_Active!$I11/Perform_Active!$H11*Tech_Specs!$S10*365.25)*10^9))</f>
        <v>1558.4263040674182</v>
      </c>
      <c r="AE46" s="540">
        <f ca="1">IF(Tech_Specs!$S10=0,0,IF(Perform_Active!$I11=0,0,(System_Mkt_Repl!AD336+System_Mkt_NC!AE336+Lamp_Mkt_Repl!AE46)/(Perform_Active!$I11/Perform_Active!$H11*Tech_Specs!$S10*365.25)*10^9))</f>
        <v>1427.0013636030471</v>
      </c>
      <c r="AF46" s="540">
        <f ca="1">IF(Tech_Specs!$S10=0,0,IF(Perform_Active!$I11=0,0,(System_Mkt_Repl!AE336+System_Mkt_NC!AF336+Lamp_Mkt_Repl!AF46)/(Perform_Active!$I11/Perform_Active!$H11*Tech_Specs!$S10*365.25)*10^9))</f>
        <v>1297.5663025659339</v>
      </c>
    </row>
    <row r="47" spans="1:32" x14ac:dyDescent="0.25">
      <c r="A47" s="444"/>
      <c r="B47" s="444" t="s">
        <v>27</v>
      </c>
      <c r="G47" s="438"/>
      <c r="H47" s="540">
        <f ca="1">IF(Tech_Specs!$S11=0,0,IF(Perform_Active!$I12=0,0,(System_Mkt_Repl!G337+System_Mkt_NC!H337+Lamp_Mkt_Repl!H47)/(Perform_Active!$I12/Perform_Active!$H12*Tech_Specs!$S11*365.25)*10^9))</f>
        <v>18038.742826397636</v>
      </c>
      <c r="I47" s="540">
        <f ca="1">IF(Tech_Specs!$S11=0,0,IF(Perform_Active!$I12=0,0,(System_Mkt_Repl!H337+System_Mkt_NC!I337+Lamp_Mkt_Repl!I47)/(Perform_Active!$I12/Perform_Active!$H12*Tech_Specs!$S11*365.25)*10^9))</f>
        <v>18338.593498001726</v>
      </c>
      <c r="J47" s="540">
        <f ca="1">IF(Tech_Specs!$S11=0,0,IF(Perform_Active!$I12=0,0,(System_Mkt_Repl!I337+System_Mkt_NC!J337+Lamp_Mkt_Repl!J47)/(Perform_Active!$I12/Perform_Active!$H12*Tech_Specs!$S11*365.25)*10^9))</f>
        <v>21460.122507549542</v>
      </c>
      <c r="K47" s="540">
        <f ca="1">IF(Tech_Specs!$S11=0,0,IF(Perform_Active!$I12=0,0,(System_Mkt_Repl!J337+System_Mkt_NC!K337+Lamp_Mkt_Repl!K47)/(Perform_Active!$I12/Perform_Active!$H12*Tech_Specs!$S11*365.25)*10^9))</f>
        <v>21392.250394297855</v>
      </c>
      <c r="L47" s="540">
        <f ca="1">IF(Tech_Specs!$S11=0,0,IF(Perform_Active!$I12=0,0,(System_Mkt_Repl!K337+System_Mkt_NC!L337+Lamp_Mkt_Repl!L47)/(Perform_Active!$I12/Perform_Active!$H12*Tech_Specs!$S11*365.25)*10^9))</f>
        <v>22863.472772115412</v>
      </c>
      <c r="M47" s="540">
        <f ca="1">IF(Tech_Specs!$S11=0,0,IF(Perform_Active!$I12=0,0,(System_Mkt_Repl!L337+System_Mkt_NC!M337+Lamp_Mkt_Repl!M47)/(Perform_Active!$I12/Perform_Active!$H12*Tech_Specs!$S11*365.25)*10^9))</f>
        <v>24708.269251952512</v>
      </c>
      <c r="N47" s="540">
        <f ca="1">IF(Tech_Specs!$S11=0,0,IF(Perform_Active!$I12=0,0,(System_Mkt_Repl!M337+System_Mkt_NC!N337+Lamp_Mkt_Repl!N47)/(Perform_Active!$I12/Perform_Active!$H12*Tech_Specs!$S11*365.25)*10^9))</f>
        <v>22105.788276850682</v>
      </c>
      <c r="O47" s="540">
        <f ca="1">IF(Tech_Specs!$S11=0,0,IF(Perform_Active!$I12=0,0,(System_Mkt_Repl!N337+System_Mkt_NC!O337+Lamp_Mkt_Repl!O47)/(Perform_Active!$I12/Perform_Active!$H12*Tech_Specs!$S11*365.25)*10^9))</f>
        <v>19851.211051672217</v>
      </c>
      <c r="P47" s="540">
        <f ca="1">IF(Tech_Specs!$S11=0,0,IF(Perform_Active!$I12=0,0,(System_Mkt_Repl!O337+System_Mkt_NC!P337+Lamp_Mkt_Repl!P47)/(Perform_Active!$I12/Perform_Active!$H12*Tech_Specs!$S11*365.25)*10^9))</f>
        <v>17722.229193036543</v>
      </c>
      <c r="Q47" s="540">
        <f ca="1">IF(Tech_Specs!$S11=0,0,IF(Perform_Active!$I12=0,0,(System_Mkt_Repl!P337+System_Mkt_NC!Q337+Lamp_Mkt_Repl!Q47)/(Perform_Active!$I12/Perform_Active!$H12*Tech_Specs!$S11*365.25)*10^9))</f>
        <v>15757.996222055623</v>
      </c>
      <c r="R47" s="540">
        <f ca="1">IF(Tech_Specs!$S11=0,0,IF(Perform_Active!$I12=0,0,(System_Mkt_Repl!Q337+System_Mkt_NC!R337+Lamp_Mkt_Repl!R47)/(Perform_Active!$I12/Perform_Active!$H12*Tech_Specs!$S11*365.25)*10^9))</f>
        <v>13909.039619018411</v>
      </c>
      <c r="S47" s="540">
        <f ca="1">IF(Tech_Specs!$S11=0,0,IF(Perform_Active!$I12=0,0,(System_Mkt_Repl!R337+System_Mkt_NC!S337+Lamp_Mkt_Repl!S47)/(Perform_Active!$I12/Perform_Active!$H12*Tech_Specs!$S11*365.25)*10^9))</f>
        <v>12180.861182602141</v>
      </c>
      <c r="T47" s="540">
        <f ca="1">IF(Tech_Specs!$S11=0,0,IF(Perform_Active!$I12=0,0,(System_Mkt_Repl!S337+System_Mkt_NC!T337+Lamp_Mkt_Repl!T47)/(Perform_Active!$I12/Perform_Active!$H12*Tech_Specs!$S11*365.25)*10^9))</f>
        <v>10611.273081650774</v>
      </c>
      <c r="U47" s="540">
        <f ca="1">IF(Tech_Specs!$S11=0,0,IF(Perform_Active!$I12=0,0,(System_Mkt_Repl!T337+System_Mkt_NC!U337+Lamp_Mkt_Repl!U47)/(Perform_Active!$I12/Perform_Active!$H12*Tech_Specs!$S11*365.25)*10^9))</f>
        <v>9235.6102658316504</v>
      </c>
      <c r="V47" s="540">
        <f ca="1">IF(Tech_Specs!$S11=0,0,IF(Perform_Active!$I12=0,0,(System_Mkt_Repl!U337+System_Mkt_NC!V337+Lamp_Mkt_Repl!V47)/(Perform_Active!$I12/Perform_Active!$H12*Tech_Specs!$S11*365.25)*10^9))</f>
        <v>8069.8011688480592</v>
      </c>
      <c r="W47" s="540">
        <f ca="1">IF(Tech_Specs!$S11=0,0,IF(Perform_Active!$I12=0,0,(System_Mkt_Repl!V337+System_Mkt_NC!W337+Lamp_Mkt_Repl!W47)/(Perform_Active!$I12/Perform_Active!$H12*Tech_Specs!$S11*365.25)*10^9))</f>
        <v>7105.4950729615321</v>
      </c>
      <c r="X47" s="540">
        <f ca="1">IF(Tech_Specs!$S11=0,0,IF(Perform_Active!$I12=0,0,(System_Mkt_Repl!W337+System_Mkt_NC!X337+Lamp_Mkt_Repl!X47)/(Perform_Active!$I12/Perform_Active!$H12*Tech_Specs!$S11*365.25)*10^9))</f>
        <v>6315.0738453717204</v>
      </c>
      <c r="Y47" s="540">
        <f ca="1">IF(Tech_Specs!$S11=0,0,IF(Perform_Active!$I12=0,0,(System_Mkt_Repl!X337+System_Mkt_NC!Y337+Lamp_Mkt_Repl!Y47)/(Perform_Active!$I12/Perform_Active!$H12*Tech_Specs!$S11*365.25)*10^9))</f>
        <v>5679.3346722218012</v>
      </c>
      <c r="Z47" s="540">
        <f ca="1">IF(Tech_Specs!$S11=0,0,IF(Perform_Active!$I12=0,0,(System_Mkt_Repl!Y337+System_Mkt_NC!Z337+Lamp_Mkt_Repl!Z47)/(Perform_Active!$I12/Perform_Active!$H12*Tech_Specs!$S11*365.25)*10^9))</f>
        <v>5179.4548262439348</v>
      </c>
      <c r="AA47" s="540">
        <f ca="1">IF(Tech_Specs!$S11=0,0,IF(Perform_Active!$I12=0,0,(System_Mkt_Repl!Z337+System_Mkt_NC!AA337+Lamp_Mkt_Repl!AA47)/(Perform_Active!$I12/Perform_Active!$H12*Tech_Specs!$S11*365.25)*10^9))</f>
        <v>4793.2687911403118</v>
      </c>
      <c r="AB47" s="540">
        <f ca="1">IF(Tech_Specs!$S11=0,0,IF(Perform_Active!$I12=0,0,(System_Mkt_Repl!AA337+System_Mkt_NC!AB337+Lamp_Mkt_Repl!AB47)/(Perform_Active!$I12/Perform_Active!$H12*Tech_Specs!$S11*365.25)*10^9))</f>
        <v>4499.639409163462</v>
      </c>
      <c r="AC47" s="540">
        <f ca="1">IF(Tech_Specs!$S11=0,0,IF(Perform_Active!$I12=0,0,(System_Mkt_Repl!AB337+System_Mkt_NC!AC337+Lamp_Mkt_Repl!AC47)/(Perform_Active!$I12/Perform_Active!$H12*Tech_Specs!$S11*365.25)*10^9))</f>
        <v>4257.0672371930987</v>
      </c>
      <c r="AD47" s="540">
        <f ca="1">IF(Tech_Specs!$S11=0,0,IF(Perform_Active!$I12=0,0,(System_Mkt_Repl!AC337+System_Mkt_NC!AD337+Lamp_Mkt_Repl!AD47)/(Perform_Active!$I12/Perform_Active!$H12*Tech_Specs!$S11*365.25)*10^9))</f>
        <v>4060.6408334941884</v>
      </c>
      <c r="AE47" s="540">
        <f ca="1">IF(Tech_Specs!$S11=0,0,IF(Perform_Active!$I12=0,0,(System_Mkt_Repl!AD337+System_Mkt_NC!AE337+Lamp_Mkt_Repl!AE47)/(Perform_Active!$I12/Perform_Active!$H12*Tech_Specs!$S11*365.25)*10^9))</f>
        <v>3900.233623622144</v>
      </c>
      <c r="AF47" s="540">
        <f ca="1">IF(Tech_Specs!$S11=0,0,IF(Perform_Active!$I12=0,0,(System_Mkt_Repl!AE337+System_Mkt_NC!AF337+Lamp_Mkt_Repl!AF47)/(Perform_Active!$I12/Perform_Active!$H12*Tech_Specs!$S11*365.25)*10^9))</f>
        <v>3761.1975880142413</v>
      </c>
    </row>
    <row r="48" spans="1:32" x14ac:dyDescent="0.25">
      <c r="A48" s="444"/>
      <c r="B48" s="444" t="s">
        <v>29</v>
      </c>
      <c r="G48" s="438"/>
      <c r="H48" s="540">
        <f ca="1">IF(Tech_Specs!$S12=0,0,IF(Perform_Active!$I13=0,0,(System_Mkt_Repl!G338+System_Mkt_NC!H338+Lamp_Mkt_Repl!H48)/(Perform_Active!$I13/Perform_Active!$H13*Tech_Specs!$S12*365.25)*10^9))</f>
        <v>181.76453459631608</v>
      </c>
      <c r="I48" s="540">
        <f ca="1">IF(Tech_Specs!$S12=0,0,IF(Perform_Active!$I13=0,0,(System_Mkt_Repl!H338+System_Mkt_NC!I338+Lamp_Mkt_Repl!I48)/(Perform_Active!$I13/Perform_Active!$H13*Tech_Specs!$S12*365.25)*10^9))</f>
        <v>460.7032384617678</v>
      </c>
      <c r="J48" s="540">
        <f ca="1">IF(Tech_Specs!$S12=0,0,IF(Perform_Active!$I13=0,0,(System_Mkt_Repl!I338+System_Mkt_NC!J338+Lamp_Mkt_Repl!J48)/(Perform_Active!$I13/Perform_Active!$H13*Tech_Specs!$S12*365.25)*10^9))</f>
        <v>750.50773782250042</v>
      </c>
      <c r="K48" s="540">
        <f ca="1">IF(Tech_Specs!$S12=0,0,IF(Perform_Active!$I13=0,0,(System_Mkt_Repl!J338+System_Mkt_NC!K338+Lamp_Mkt_Repl!K48)/(Perform_Active!$I13/Perform_Active!$H13*Tech_Specs!$S12*365.25)*10^9))</f>
        <v>1229.9224751892034</v>
      </c>
      <c r="L48" s="540">
        <f ca="1">IF(Tech_Specs!$S12=0,0,IF(Perform_Active!$I13=0,0,(System_Mkt_Repl!K338+System_Mkt_NC!L338+Lamp_Mkt_Repl!L48)/(Perform_Active!$I13/Perform_Active!$H13*Tech_Specs!$S12*365.25)*10^9))</f>
        <v>1962.9868945466326</v>
      </c>
      <c r="M48" s="540">
        <f ca="1">IF(Tech_Specs!$S12=0,0,IF(Perform_Active!$I13=0,0,(System_Mkt_Repl!L338+System_Mkt_NC!M338+Lamp_Mkt_Repl!M48)/(Perform_Active!$I13/Perform_Active!$H13*Tech_Specs!$S12*365.25)*10^9))</f>
        <v>3078.7465859278936</v>
      </c>
      <c r="N48" s="540">
        <f ca="1">IF(Tech_Specs!$S12=0,0,IF(Perform_Active!$I13=0,0,(System_Mkt_Repl!M338+System_Mkt_NC!N338+Lamp_Mkt_Repl!N48)/(Perform_Active!$I13/Perform_Active!$H13*Tech_Specs!$S12*365.25)*10^9))</f>
        <v>4449.9934556733069</v>
      </c>
      <c r="O48" s="540">
        <f ca="1">IF(Tech_Specs!$S12=0,0,IF(Perform_Active!$I13=0,0,(System_Mkt_Repl!N338+System_Mkt_NC!O338+Lamp_Mkt_Repl!O48)/(Perform_Active!$I13/Perform_Active!$H13*Tech_Specs!$S12*365.25)*10^9))</f>
        <v>6157.9595015243285</v>
      </c>
      <c r="P48" s="540">
        <f ca="1">IF(Tech_Specs!$S12=0,0,IF(Perform_Active!$I13=0,0,(System_Mkt_Repl!O338+System_Mkt_NC!P338+Lamp_Mkt_Repl!P48)/(Perform_Active!$I13/Perform_Active!$H13*Tech_Specs!$S12*365.25)*10^9))</f>
        <v>8101.3426272240258</v>
      </c>
      <c r="Q48" s="540">
        <f ca="1">IF(Tech_Specs!$S12=0,0,IF(Perform_Active!$I13=0,0,(System_Mkt_Repl!P338+System_Mkt_NC!Q338+Lamp_Mkt_Repl!Q48)/(Perform_Active!$I13/Perform_Active!$H13*Tech_Specs!$S12*365.25)*10^9))</f>
        <v>10174.825944323487</v>
      </c>
      <c r="R48" s="540">
        <f ca="1">IF(Tech_Specs!$S12=0,0,IF(Perform_Active!$I13=0,0,(System_Mkt_Repl!Q338+System_Mkt_NC!R338+Lamp_Mkt_Repl!R48)/(Perform_Active!$I13/Perform_Active!$H13*Tech_Specs!$S12*365.25)*10^9))</f>
        <v>12198.541301304649</v>
      </c>
      <c r="S48" s="540">
        <f ca="1">IF(Tech_Specs!$S12=0,0,IF(Perform_Active!$I13=0,0,(System_Mkt_Repl!R338+System_Mkt_NC!S338+Lamp_Mkt_Repl!S48)/(Perform_Active!$I13/Perform_Active!$H13*Tech_Specs!$S12*365.25)*10^9))</f>
        <v>14066.166311832711</v>
      </c>
      <c r="T48" s="540">
        <f ca="1">IF(Tech_Specs!$S12=0,0,IF(Perform_Active!$I13=0,0,(System_Mkt_Repl!S338+System_Mkt_NC!T338+Lamp_Mkt_Repl!T48)/(Perform_Active!$I13/Perform_Active!$H13*Tech_Specs!$S12*365.25)*10^9))</f>
        <v>15667.529284595614</v>
      </c>
      <c r="U48" s="540">
        <f ca="1">IF(Tech_Specs!$S12=0,0,IF(Perform_Active!$I13=0,0,(System_Mkt_Repl!T338+System_Mkt_NC!U338+Lamp_Mkt_Repl!U48)/(Perform_Active!$I13/Perform_Active!$H13*Tech_Specs!$S12*365.25)*10^9))</f>
        <v>16967.999673256942</v>
      </c>
      <c r="V48" s="540">
        <f ca="1">IF(Tech_Specs!$S12=0,0,IF(Perform_Active!$I13=0,0,(System_Mkt_Repl!U338+System_Mkt_NC!V338+Lamp_Mkt_Repl!V48)/(Perform_Active!$I13/Perform_Active!$H13*Tech_Specs!$S12*365.25)*10^9))</f>
        <v>17970.384047279967</v>
      </c>
      <c r="W48" s="540">
        <f ca="1">IF(Tech_Specs!$S12=0,0,IF(Perform_Active!$I13=0,0,(System_Mkt_Repl!V338+System_Mkt_NC!W338+Lamp_Mkt_Repl!W48)/(Perform_Active!$I13/Perform_Active!$H13*Tech_Specs!$S12*365.25)*10^9))</f>
        <v>18705.988536136752</v>
      </c>
      <c r="X48" s="540">
        <f ca="1">IF(Tech_Specs!$S12=0,0,IF(Perform_Active!$I13=0,0,(System_Mkt_Repl!W338+System_Mkt_NC!X338+Lamp_Mkt_Repl!X48)/(Perform_Active!$I13/Perform_Active!$H13*Tech_Specs!$S12*365.25)*10^9))</f>
        <v>19201.883278371064</v>
      </c>
      <c r="Y48" s="540">
        <f ca="1">IF(Tech_Specs!$S12=0,0,IF(Perform_Active!$I13=0,0,(System_Mkt_Repl!X338+System_Mkt_NC!Y338+Lamp_Mkt_Repl!Y48)/(Perform_Active!$I13/Perform_Active!$H13*Tech_Specs!$S12*365.25)*10^9))</f>
        <v>19526.263531764522</v>
      </c>
      <c r="Z48" s="540">
        <f ca="1">IF(Tech_Specs!$S12=0,0,IF(Perform_Active!$I13=0,0,(System_Mkt_Repl!Y338+System_Mkt_NC!Z338+Lamp_Mkt_Repl!Z48)/(Perform_Active!$I13/Perform_Active!$H13*Tech_Specs!$S12*365.25)*10^9))</f>
        <v>19747.677421478533</v>
      </c>
      <c r="AA48" s="540">
        <f ca="1">IF(Tech_Specs!$S12=0,0,IF(Perform_Active!$I13=0,0,(System_Mkt_Repl!Z338+System_Mkt_NC!AA338+Lamp_Mkt_Repl!AA48)/(Perform_Active!$I13/Perform_Active!$H13*Tech_Specs!$S12*365.25)*10^9))</f>
        <v>19915.558893455418</v>
      </c>
      <c r="AB48" s="540">
        <f ca="1">IF(Tech_Specs!$S12=0,0,IF(Perform_Active!$I13=0,0,(System_Mkt_Repl!AA338+System_Mkt_NC!AB338+Lamp_Mkt_Repl!AB48)/(Perform_Active!$I13/Perform_Active!$H13*Tech_Specs!$S12*365.25)*10^9))</f>
        <v>20096.158572119704</v>
      </c>
      <c r="AC48" s="540">
        <f ca="1">IF(Tech_Specs!$S12=0,0,IF(Perform_Active!$I13=0,0,(System_Mkt_Repl!AB338+System_Mkt_NC!AC338+Lamp_Mkt_Repl!AC48)/(Perform_Active!$I13/Perform_Active!$H13*Tech_Specs!$S12*365.25)*10^9))</f>
        <v>20192.449737487772</v>
      </c>
      <c r="AD48" s="540">
        <f ca="1">IF(Tech_Specs!$S12=0,0,IF(Perform_Active!$I13=0,0,(System_Mkt_Repl!AC338+System_Mkt_NC!AD338+Lamp_Mkt_Repl!AD48)/(Perform_Active!$I13/Perform_Active!$H13*Tech_Specs!$S12*365.25)*10^9))</f>
        <v>20260.984782085194</v>
      </c>
      <c r="AE48" s="540">
        <f ca="1">IF(Tech_Specs!$S12=0,0,IF(Perform_Active!$I13=0,0,(System_Mkt_Repl!AD338+System_Mkt_NC!AE338+Lamp_Mkt_Repl!AE48)/(Perform_Active!$I13/Perform_Active!$H13*Tech_Specs!$S12*365.25)*10^9))</f>
        <v>20322.388102134108</v>
      </c>
      <c r="AF48" s="540">
        <f ca="1">IF(Tech_Specs!$S12=0,0,IF(Perform_Active!$I13=0,0,(System_Mkt_Repl!AE338+System_Mkt_NC!AF338+Lamp_Mkt_Repl!AF48)/(Perform_Active!$I13/Perform_Active!$H13*Tech_Specs!$S12*365.25)*10^9))</f>
        <v>20401.054221734514</v>
      </c>
    </row>
    <row r="49" spans="1:32" x14ac:dyDescent="0.25">
      <c r="A49" s="444"/>
      <c r="B49" s="444"/>
      <c r="G49" s="200"/>
    </row>
    <row r="50" spans="1:32" s="402" customFormat="1" ht="12.75" x14ac:dyDescent="0.2">
      <c r="A50" s="402" t="s">
        <v>32</v>
      </c>
      <c r="G50" s="241"/>
    </row>
    <row r="51" spans="1:32" x14ac:dyDescent="0.25">
      <c r="A51" s="444"/>
      <c r="B51" s="444" t="s">
        <v>33</v>
      </c>
      <c r="G51" s="200"/>
      <c r="H51" s="540">
        <f>IF(Tech_Specs!$S15=0,0,IF(Perform_Active!$I16=0,0,(System_Mkt_Repl!G341+System_Mkt_NC!H341+Lamp_Mkt_Repl!H51)/(Perform_Active!$I16/Perform_Active!$H16*Tech_Specs!$S15*365.25)*10^9))</f>
        <v>3798.630321318265</v>
      </c>
      <c r="I51" s="540">
        <f>IF(Tech_Specs!$S15=0,0,IF(Perform_Active!$I16=0,0,(System_Mkt_Repl!H341+System_Mkt_NC!I341+Lamp_Mkt_Repl!I51)/(Perform_Active!$I16/Perform_Active!$H16*Tech_Specs!$S15*365.25)*10^9))</f>
        <v>4095.2147068477243</v>
      </c>
      <c r="J51" s="540">
        <f>IF(Tech_Specs!$S15=0,0,IF(Perform_Active!$I16=0,0,(System_Mkt_Repl!I341+System_Mkt_NC!J341+Lamp_Mkt_Repl!J51)/(Perform_Active!$I16/Perform_Active!$H16*Tech_Specs!$S15*365.25)*10^9))</f>
        <v>4315.5317939806719</v>
      </c>
      <c r="K51" s="540">
        <f>IF(Tech_Specs!$S15=0,0,IF(Perform_Active!$I16=0,0,(System_Mkt_Repl!J341+System_Mkt_NC!K341+Lamp_Mkt_Repl!K51)/(Perform_Active!$I16/Perform_Active!$H16*Tech_Specs!$S15*365.25)*10^9))</f>
        <v>4386.4066092490057</v>
      </c>
      <c r="L51" s="540">
        <f>IF(Tech_Specs!$S15=0,0,IF(Perform_Active!$I16=0,0,(System_Mkt_Repl!K341+System_Mkt_NC!L341+Lamp_Mkt_Repl!L51)/(Perform_Active!$I16/Perform_Active!$H16*Tech_Specs!$S15*365.25)*10^9))</f>
        <v>4085.4692207323724</v>
      </c>
      <c r="M51" s="540">
        <f>IF(Tech_Specs!$S15=0,0,IF(Perform_Active!$I16=0,0,(System_Mkt_Repl!L341+System_Mkt_NC!M341+Lamp_Mkt_Repl!M51)/(Perform_Active!$I16/Perform_Active!$H16*Tech_Specs!$S15*365.25)*10^9))</f>
        <v>3645.4963342861356</v>
      </c>
      <c r="N51" s="540">
        <f>IF(Tech_Specs!$S15=0,0,IF(Perform_Active!$I16=0,0,(System_Mkt_Repl!M341+System_Mkt_NC!N341+Lamp_Mkt_Repl!N51)/(Perform_Active!$I16/Perform_Active!$H16*Tech_Specs!$S15*365.25)*10^9))</f>
        <v>3186.1755108387947</v>
      </c>
      <c r="O51" s="540">
        <f>IF(Tech_Specs!$S15=0,0,IF(Perform_Active!$I16=0,0,(System_Mkt_Repl!N341+System_Mkt_NC!O341+Lamp_Mkt_Repl!O51)/(Perform_Active!$I16/Perform_Active!$H16*Tech_Specs!$S15*365.25)*10^9))</f>
        <v>2723.7184597822338</v>
      </c>
      <c r="P51" s="540">
        <f>IF(Tech_Specs!$S15=0,0,IF(Perform_Active!$I16=0,0,(System_Mkt_Repl!O341+System_Mkt_NC!P341+Lamp_Mkt_Repl!P51)/(Perform_Active!$I16/Perform_Active!$H16*Tech_Specs!$S15*365.25)*10^9))</f>
        <v>2290.9985173774544</v>
      </c>
      <c r="Q51" s="540">
        <f>IF(Tech_Specs!$S15=0,0,IF(Perform_Active!$I16=0,0,(System_Mkt_Repl!P341+System_Mkt_NC!Q341+Lamp_Mkt_Repl!Q51)/(Perform_Active!$I16/Perform_Active!$H16*Tech_Specs!$S15*365.25)*10^9))</f>
        <v>1880.7857505924744</v>
      </c>
      <c r="R51" s="540">
        <f>IF(Tech_Specs!$S15=0,0,IF(Perform_Active!$I16=0,0,(System_Mkt_Repl!Q341+System_Mkt_NC!R341+Lamp_Mkt_Repl!R51)/(Perform_Active!$I16/Perform_Active!$H16*Tech_Specs!$S15*365.25)*10^9))</f>
        <v>1508.4118781570626</v>
      </c>
      <c r="S51" s="540">
        <f>IF(Tech_Specs!$S15=0,0,IF(Perform_Active!$I16=0,0,(System_Mkt_Repl!R341+System_Mkt_NC!S341+Lamp_Mkt_Repl!S51)/(Perform_Active!$I16/Perform_Active!$H16*Tech_Specs!$S15*365.25)*10^9))</f>
        <v>1196.8645709760601</v>
      </c>
      <c r="T51" s="540">
        <f>IF(Tech_Specs!$S15=0,0,IF(Perform_Active!$I16=0,0,(System_Mkt_Repl!S341+System_Mkt_NC!T341+Lamp_Mkt_Repl!T51)/(Perform_Active!$I16/Perform_Active!$H16*Tech_Specs!$S15*365.25)*10^9))</f>
        <v>942.12682689072187</v>
      </c>
      <c r="U51" s="540">
        <f>IF(Tech_Specs!$S15=0,0,IF(Perform_Active!$I16=0,0,(System_Mkt_Repl!T341+System_Mkt_NC!U341+Lamp_Mkt_Repl!U51)/(Perform_Active!$I16/Perform_Active!$H16*Tech_Specs!$S15*365.25)*10^9))</f>
        <v>739.24933222601919</v>
      </c>
      <c r="V51" s="540">
        <f>IF(Tech_Specs!$S15=0,0,IF(Perform_Active!$I16=0,0,(System_Mkt_Repl!U341+System_Mkt_NC!V341+Lamp_Mkt_Repl!V51)/(Perform_Active!$I16/Perform_Active!$H16*Tech_Specs!$S15*365.25)*10^9))</f>
        <v>586.14478399112579</v>
      </c>
      <c r="W51" s="540">
        <f>IF(Tech_Specs!$S15=0,0,IF(Perform_Active!$I16=0,0,(System_Mkt_Repl!V341+System_Mkt_NC!W341+Lamp_Mkt_Repl!W51)/(Perform_Active!$I16/Perform_Active!$H16*Tech_Specs!$S15*365.25)*10^9))</f>
        <v>468.81728352817856</v>
      </c>
      <c r="X51" s="540">
        <f>IF(Tech_Specs!$S15=0,0,IF(Perform_Active!$I16=0,0,(System_Mkt_Repl!W341+System_Mkt_NC!X341+Lamp_Mkt_Repl!X51)/(Perform_Active!$I16/Perform_Active!$H16*Tech_Specs!$S15*365.25)*10^9))</f>
        <v>379.87446843210262</v>
      </c>
      <c r="Y51" s="540">
        <f>IF(Tech_Specs!$S15=0,0,IF(Perform_Active!$I16=0,0,(System_Mkt_Repl!X341+System_Mkt_NC!Y341+Lamp_Mkt_Repl!Y51)/(Perform_Active!$I16/Perform_Active!$H16*Tech_Specs!$S15*365.25)*10^9))</f>
        <v>312.43629767686838</v>
      </c>
      <c r="Z51" s="540">
        <f>IF(Tech_Specs!$S15=0,0,IF(Perform_Active!$I16=0,0,(System_Mkt_Repl!Y341+System_Mkt_NC!Z341+Lamp_Mkt_Repl!Z51)/(Perform_Active!$I16/Perform_Active!$H16*Tech_Specs!$S15*365.25)*10^9))</f>
        <v>262.41030809035755</v>
      </c>
      <c r="AA51" s="540">
        <f>IF(Tech_Specs!$S15=0,0,IF(Perform_Active!$I16=0,0,(System_Mkt_Repl!Z341+System_Mkt_NC!AA341+Lamp_Mkt_Repl!AA51)/(Perform_Active!$I16/Perform_Active!$H16*Tech_Specs!$S15*365.25)*10^9))</f>
        <v>225.54269958507646</v>
      </c>
      <c r="AB51" s="540">
        <f>IF(Tech_Specs!$S15=0,0,IF(Perform_Active!$I16=0,0,(System_Mkt_Repl!AA341+System_Mkt_NC!AB341+Lamp_Mkt_Repl!AB51)/(Perform_Active!$I16/Perform_Active!$H16*Tech_Specs!$S15*365.25)*10^9))</f>
        <v>196.6720634979574</v>
      </c>
      <c r="AC51" s="540">
        <f>IF(Tech_Specs!$S15=0,0,IF(Perform_Active!$I16=0,0,(System_Mkt_Repl!AB341+System_Mkt_NC!AC341+Lamp_Mkt_Repl!AC51)/(Perform_Active!$I16/Perform_Active!$H16*Tech_Specs!$S15*365.25)*10^9))</f>
        <v>173.4053129410716</v>
      </c>
      <c r="AD51" s="540">
        <f>IF(Tech_Specs!$S15=0,0,IF(Perform_Active!$I16=0,0,(System_Mkt_Repl!AC341+System_Mkt_NC!AD341+Lamp_Mkt_Repl!AD51)/(Perform_Active!$I16/Perform_Active!$H16*Tech_Specs!$S15*365.25)*10^9))</f>
        <v>154.49300355295364</v>
      </c>
      <c r="AE51" s="540">
        <f>IF(Tech_Specs!$S15=0,0,IF(Perform_Active!$I16=0,0,(System_Mkt_Repl!AD341+System_Mkt_NC!AE341+Lamp_Mkt_Repl!AE51)/(Perform_Active!$I16/Perform_Active!$H16*Tech_Specs!$S15*365.25)*10^9))</f>
        <v>138.36268380695003</v>
      </c>
      <c r="AF51" s="540">
        <f>IF(Tech_Specs!$S15=0,0,IF(Perform_Active!$I16=0,0,(System_Mkt_Repl!AE341+System_Mkt_NC!AF341+Lamp_Mkt_Repl!AF51)/(Perform_Active!$I16/Perform_Active!$H16*Tech_Specs!$S15*365.25)*10^9))</f>
        <v>122.52761315149864</v>
      </c>
    </row>
    <row r="52" spans="1:32" x14ac:dyDescent="0.25">
      <c r="A52" s="445"/>
      <c r="B52" s="445" t="s">
        <v>34</v>
      </c>
      <c r="G52" s="200"/>
      <c r="H52" s="540">
        <f>IF(Tech_Specs!$S16=0,0,IF(Perform_Active!$I17=0,0,(System_Mkt_Repl!G342+System_Mkt_NC!H342+Lamp_Mkt_Repl!H52)/(Perform_Active!$I17/Perform_Active!$H17*Tech_Specs!$S16*365.25)*10^9))</f>
        <v>5547.4426703211766</v>
      </c>
      <c r="I52" s="540">
        <f>IF(Tech_Specs!$S16=0,0,IF(Perform_Active!$I17=0,0,(System_Mkt_Repl!H342+System_Mkt_NC!I342+Lamp_Mkt_Repl!I52)/(Perform_Active!$I17/Perform_Active!$H17*Tech_Specs!$S16*365.25)*10^9))</f>
        <v>5294.9609063820417</v>
      </c>
      <c r="J52" s="540">
        <f>IF(Tech_Specs!$S16=0,0,IF(Perform_Active!$I17=0,0,(System_Mkt_Repl!I342+System_Mkt_NC!J342+Lamp_Mkt_Repl!J52)/(Perform_Active!$I17/Perform_Active!$H17*Tech_Specs!$S16*365.25)*10^9))</f>
        <v>4953.6180865425231</v>
      </c>
      <c r="K52" s="540">
        <f>IF(Tech_Specs!$S16=0,0,IF(Perform_Active!$I17=0,0,(System_Mkt_Repl!J342+System_Mkt_NC!K342+Lamp_Mkt_Repl!K52)/(Perform_Active!$I17/Perform_Active!$H17*Tech_Specs!$S16*365.25)*10^9))</f>
        <v>4521.0157019168846</v>
      </c>
      <c r="L52" s="540">
        <f>IF(Tech_Specs!$S16=0,0,IF(Perform_Active!$I17=0,0,(System_Mkt_Repl!K342+System_Mkt_NC!L342+Lamp_Mkt_Repl!L52)/(Perform_Active!$I17/Perform_Active!$H17*Tech_Specs!$S16*365.25)*10^9))</f>
        <v>4317.8354280807644</v>
      </c>
      <c r="M52" s="540">
        <f>IF(Tech_Specs!$S16=0,0,IF(Perform_Active!$I17=0,0,(System_Mkt_Repl!L342+System_Mkt_NC!M342+Lamp_Mkt_Repl!M52)/(Perform_Active!$I17/Perform_Active!$H17*Tech_Specs!$S16*365.25)*10^9))</f>
        <v>4046.0363058884686</v>
      </c>
      <c r="N52" s="540">
        <f>IF(Tech_Specs!$S16=0,0,IF(Perform_Active!$I17=0,0,(System_Mkt_Repl!M342+System_Mkt_NC!N342+Lamp_Mkt_Repl!N52)/(Perform_Active!$I17/Perform_Active!$H17*Tech_Specs!$S16*365.25)*10^9))</f>
        <v>3691.247756285698</v>
      </c>
      <c r="O52" s="540">
        <f>IF(Tech_Specs!$S16=0,0,IF(Perform_Active!$I17=0,0,(System_Mkt_Repl!N342+System_Mkt_NC!O342+Lamp_Mkt_Repl!O52)/(Perform_Active!$I17/Perform_Active!$H17*Tech_Specs!$S16*365.25)*10^9))</f>
        <v>3290.2837484083529</v>
      </c>
      <c r="P52" s="540">
        <f>IF(Tech_Specs!$S16=0,0,IF(Perform_Active!$I17=0,0,(System_Mkt_Repl!O342+System_Mkt_NC!P342+Lamp_Mkt_Repl!P52)/(Perform_Active!$I17/Perform_Active!$H17*Tech_Specs!$S16*365.25)*10^9))</f>
        <v>2873.1075115881472</v>
      </c>
      <c r="Q52" s="540">
        <f>IF(Tech_Specs!$S16=0,0,IF(Perform_Active!$I17=0,0,(System_Mkt_Repl!P342+System_Mkt_NC!Q342+Lamp_Mkt_Repl!Q52)/(Perform_Active!$I17/Perform_Active!$H17*Tech_Specs!$S16*365.25)*10^9))</f>
        <v>2466.5885926026322</v>
      </c>
      <c r="R52" s="540">
        <f>IF(Tech_Specs!$S16=0,0,IF(Perform_Active!$I17=0,0,(System_Mkt_Repl!Q342+System_Mkt_NC!R342+Lamp_Mkt_Repl!R52)/(Perform_Active!$I17/Perform_Active!$H17*Tech_Specs!$S16*365.25)*10^9))</f>
        <v>2086.0638530357178</v>
      </c>
      <c r="S52" s="540">
        <f>IF(Tech_Specs!$S16=0,0,IF(Perform_Active!$I17=0,0,(System_Mkt_Repl!R342+System_Mkt_NC!S342+Lamp_Mkt_Repl!S52)/(Perform_Active!$I17/Perform_Active!$H17*Tech_Specs!$S16*365.25)*10^9))</f>
        <v>1750.3287659381231</v>
      </c>
      <c r="T52" s="540">
        <f>IF(Tech_Specs!$S16=0,0,IF(Perform_Active!$I17=0,0,(System_Mkt_Repl!S342+System_Mkt_NC!T342+Lamp_Mkt_Repl!T52)/(Perform_Active!$I17/Perform_Active!$H17*Tech_Specs!$S16*365.25)*10^9))</f>
        <v>1462.4372474344923</v>
      </c>
      <c r="U52" s="540">
        <f>IF(Tech_Specs!$S16=0,0,IF(Perform_Active!$I17=0,0,(System_Mkt_Repl!T342+System_Mkt_NC!U342+Lamp_Mkt_Repl!U52)/(Perform_Active!$I17/Perform_Active!$H17*Tech_Specs!$S16*365.25)*10^9))</f>
        <v>1223.5411892861291</v>
      </c>
      <c r="V52" s="540">
        <f>IF(Tech_Specs!$S16=0,0,IF(Perform_Active!$I17=0,0,(System_Mkt_Repl!U342+System_Mkt_NC!V342+Lamp_Mkt_Repl!V52)/(Perform_Active!$I17/Perform_Active!$H17*Tech_Specs!$S16*365.25)*10^9))</f>
        <v>1034.1163475809592</v>
      </c>
      <c r="W52" s="540">
        <f>IF(Tech_Specs!$S16=0,0,IF(Perform_Active!$I17=0,0,(System_Mkt_Repl!V342+System_Mkt_NC!W342+Lamp_Mkt_Repl!W52)/(Perform_Active!$I17/Perform_Active!$H17*Tech_Specs!$S16*365.25)*10^9))</f>
        <v>884.31866592517179</v>
      </c>
      <c r="X52" s="540">
        <f>IF(Tech_Specs!$S16=0,0,IF(Perform_Active!$I17=0,0,(System_Mkt_Repl!W342+System_Mkt_NC!X342+Lamp_Mkt_Repl!X52)/(Perform_Active!$I17/Perform_Active!$H17*Tech_Specs!$S16*365.25)*10^9))</f>
        <v>767.26295689370772</v>
      </c>
      <c r="Y52" s="540">
        <f>IF(Tech_Specs!$S16=0,0,IF(Perform_Active!$I17=0,0,(System_Mkt_Repl!X342+System_Mkt_NC!Y342+Lamp_Mkt_Repl!Y52)/(Perform_Active!$I17/Perform_Active!$H17*Tech_Specs!$S16*365.25)*10^9))</f>
        <v>676.45187568913752</v>
      </c>
      <c r="Z52" s="540">
        <f>IF(Tech_Specs!$S16=0,0,IF(Perform_Active!$I17=0,0,(System_Mkt_Repl!Y342+System_Mkt_NC!Z342+Lamp_Mkt_Repl!Z52)/(Perform_Active!$I17/Perform_Active!$H17*Tech_Specs!$S16*365.25)*10^9))</f>
        <v>608.01168824577485</v>
      </c>
      <c r="AA52" s="540">
        <f>IF(Tech_Specs!$S16=0,0,IF(Perform_Active!$I17=0,0,(System_Mkt_Repl!Z342+System_Mkt_NC!AA342+Lamp_Mkt_Repl!AA52)/(Perform_Active!$I17/Perform_Active!$H17*Tech_Specs!$S16*365.25)*10^9))</f>
        <v>557.45229260436531</v>
      </c>
      <c r="AB52" s="540">
        <f>IF(Tech_Specs!$S16=0,0,IF(Perform_Active!$I17=0,0,(System_Mkt_Repl!AA342+System_Mkt_NC!AB342+Lamp_Mkt_Repl!AB52)/(Perform_Active!$I17/Perform_Active!$H17*Tech_Specs!$S16*365.25)*10^9))</f>
        <v>519.18367460436525</v>
      </c>
      <c r="AC52" s="540">
        <f>IF(Tech_Specs!$S16=0,0,IF(Perform_Active!$I17=0,0,(System_Mkt_Repl!AB342+System_Mkt_NC!AC342+Lamp_Mkt_Repl!AC52)/(Perform_Active!$I17/Perform_Active!$H17*Tech_Specs!$S16*365.25)*10^9))</f>
        <v>487.63960998653027</v>
      </c>
      <c r="AD52" s="540">
        <f>IF(Tech_Specs!$S16=0,0,IF(Perform_Active!$I17=0,0,(System_Mkt_Repl!AC342+System_Mkt_NC!AD342+Lamp_Mkt_Repl!AD52)/(Perform_Active!$I17/Perform_Active!$H17*Tech_Specs!$S16*365.25)*10^9))</f>
        <v>462.34171852577686</v>
      </c>
      <c r="AE52" s="540">
        <f>IF(Tech_Specs!$S16=0,0,IF(Perform_Active!$I17=0,0,(System_Mkt_Repl!AD342+System_Mkt_NC!AE342+Lamp_Mkt_Repl!AE52)/(Perform_Active!$I17/Perform_Active!$H17*Tech_Specs!$S16*365.25)*10^9))</f>
        <v>440.97296087756166</v>
      </c>
      <c r="AF52" s="540">
        <f>IF(Tech_Specs!$S16=0,0,IF(Perform_Active!$I17=0,0,(System_Mkt_Repl!AE342+System_Mkt_NC!AF342+Lamp_Mkt_Repl!AF52)/(Perform_Active!$I17/Perform_Active!$H17*Tech_Specs!$S16*365.25)*10^9))</f>
        <v>419.63608977030049</v>
      </c>
    </row>
    <row r="53" spans="1:32" x14ac:dyDescent="0.25">
      <c r="A53" s="444"/>
      <c r="B53" s="445" t="s">
        <v>35</v>
      </c>
      <c r="G53" s="200"/>
      <c r="H53" s="540">
        <f>IF(Tech_Specs!$S17=0,0,IF(Perform_Active!$I18=0,0,(System_Mkt_Repl!G343+System_Mkt_NC!H343+Lamp_Mkt_Repl!H53)/(Perform_Active!$I18/Perform_Active!$H18*Tech_Specs!$S17*365.25)*10^9))</f>
        <v>1038.8051052438191</v>
      </c>
      <c r="I53" s="540">
        <f>IF(Tech_Specs!$S17=0,0,IF(Perform_Active!$I18=0,0,(System_Mkt_Repl!H343+System_Mkt_NC!I343+Lamp_Mkt_Repl!I53)/(Perform_Active!$I18/Perform_Active!$H18*Tech_Specs!$S17*365.25)*10^9))</f>
        <v>1065.7043275741494</v>
      </c>
      <c r="J53" s="540">
        <f>IF(Tech_Specs!$S17=0,0,IF(Perform_Active!$I18=0,0,(System_Mkt_Repl!I343+System_Mkt_NC!J343+Lamp_Mkt_Repl!J53)/(Perform_Active!$I18/Perform_Active!$H18*Tech_Specs!$S17*365.25)*10^9))</f>
        <v>1117.5450200701578</v>
      </c>
      <c r="K53" s="540">
        <f>IF(Tech_Specs!$S17=0,0,IF(Perform_Active!$I18=0,0,(System_Mkt_Repl!J343+System_Mkt_NC!K343+Lamp_Mkt_Repl!K53)/(Perform_Active!$I18/Perform_Active!$H18*Tech_Specs!$S17*365.25)*10^9))</f>
        <v>1177.0368335924584</v>
      </c>
      <c r="L53" s="540">
        <f>IF(Tech_Specs!$S17=0,0,IF(Perform_Active!$I18=0,0,(System_Mkt_Repl!K343+System_Mkt_NC!L343+Lamp_Mkt_Repl!L53)/(Perform_Active!$I18/Perform_Active!$H18*Tech_Specs!$S17*365.25)*10^9))</f>
        <v>1136.6534555081298</v>
      </c>
      <c r="M53" s="540">
        <f>IF(Tech_Specs!$S17=0,0,IF(Perform_Active!$I18=0,0,(System_Mkt_Repl!L343+System_Mkt_NC!M343+Lamp_Mkt_Repl!M53)/(Perform_Active!$I18/Perform_Active!$H18*Tech_Specs!$S17*365.25)*10^9))</f>
        <v>1096.8267604224438</v>
      </c>
      <c r="N53" s="540">
        <f>IF(Tech_Specs!$S17=0,0,IF(Perform_Active!$I18=0,0,(System_Mkt_Repl!M343+System_Mkt_NC!N343+Lamp_Mkt_Repl!N53)/(Perform_Active!$I18/Perform_Active!$H18*Tech_Specs!$S17*365.25)*10^9))</f>
        <v>1023.8393213700563</v>
      </c>
      <c r="O53" s="540">
        <f>IF(Tech_Specs!$S17=0,0,IF(Perform_Active!$I18=0,0,(System_Mkt_Repl!N343+System_Mkt_NC!O343+Lamp_Mkt_Repl!O53)/(Perform_Active!$I18/Perform_Active!$H18*Tech_Specs!$S17*365.25)*10^9))</f>
        <v>931.87360843210047</v>
      </c>
      <c r="P53" s="540">
        <f>IF(Tech_Specs!$S17=0,0,IF(Perform_Active!$I18=0,0,(System_Mkt_Repl!O343+System_Mkt_NC!P343+Lamp_Mkt_Repl!P53)/(Perform_Active!$I18/Perform_Active!$H18*Tech_Specs!$S17*365.25)*10^9))</f>
        <v>827.11662496334282</v>
      </c>
      <c r="Q53" s="540">
        <f>IF(Tech_Specs!$S17=0,0,IF(Perform_Active!$I18=0,0,(System_Mkt_Repl!P343+System_Mkt_NC!Q343+Lamp_Mkt_Repl!Q53)/(Perform_Active!$I18/Perform_Active!$H18*Tech_Specs!$S17*365.25)*10^9))</f>
        <v>725.30566382016832</v>
      </c>
      <c r="R53" s="540">
        <f>IF(Tech_Specs!$S17=0,0,IF(Perform_Active!$I18=0,0,(System_Mkt_Repl!Q343+System_Mkt_NC!R343+Lamp_Mkt_Repl!R53)/(Perform_Active!$I18/Perform_Active!$H18*Tech_Specs!$S17*365.25)*10^9))</f>
        <v>630.01593553876319</v>
      </c>
      <c r="S53" s="540">
        <f>IF(Tech_Specs!$S17=0,0,IF(Perform_Active!$I18=0,0,(System_Mkt_Repl!R343+System_Mkt_NC!S343+Lamp_Mkt_Repl!S53)/(Perform_Active!$I18/Perform_Active!$H18*Tech_Specs!$S17*365.25)*10^9))</f>
        <v>543.39866934279939</v>
      </c>
      <c r="T53" s="540">
        <f>IF(Tech_Specs!$S17=0,0,IF(Perform_Active!$I18=0,0,(System_Mkt_Repl!S343+System_Mkt_NC!T343+Lamp_Mkt_Repl!T53)/(Perform_Active!$I18/Perform_Active!$H18*Tech_Specs!$S17*365.25)*10^9))</f>
        <v>467.41843345205172</v>
      </c>
      <c r="U53" s="540">
        <f>IF(Tech_Specs!$S17=0,0,IF(Perform_Active!$I18=0,0,(System_Mkt_Repl!T343+System_Mkt_NC!U343+Lamp_Mkt_Repl!U53)/(Perform_Active!$I18/Perform_Active!$H18*Tech_Specs!$S17*365.25)*10^9))</f>
        <v>403.40690554689354</v>
      </c>
      <c r="V53" s="540">
        <f>IF(Tech_Specs!$S17=0,0,IF(Perform_Active!$I18=0,0,(System_Mkt_Repl!U343+System_Mkt_NC!V343+Lamp_Mkt_Repl!V53)/(Perform_Active!$I18/Perform_Active!$H18*Tech_Specs!$S17*365.25)*10^9))</f>
        <v>351.11390224809145</v>
      </c>
      <c r="W53" s="540">
        <f>IF(Tech_Specs!$S17=0,0,IF(Perform_Active!$I18=0,0,(System_Mkt_Repl!V343+System_Mkt_NC!W343+Lamp_Mkt_Repl!W53)/(Perform_Active!$I18/Perform_Active!$H18*Tech_Specs!$S17*365.25)*10^9))</f>
        <v>309.51847797878708</v>
      </c>
      <c r="X53" s="540">
        <f>IF(Tech_Specs!$S17=0,0,IF(Perform_Active!$I18=0,0,(System_Mkt_Repl!W343+System_Mkt_NC!X343+Lamp_Mkt_Repl!X53)/(Perform_Active!$I18/Perform_Active!$H18*Tech_Specs!$S17*365.25)*10^9))</f>
        <v>276.87824244514348</v>
      </c>
      <c r="Y53" s="540">
        <f>IF(Tech_Specs!$S17=0,0,IF(Perform_Active!$I18=0,0,(System_Mkt_Repl!X343+System_Mkt_NC!Y343+Lamp_Mkt_Repl!Y53)/(Perform_Active!$I18/Perform_Active!$H18*Tech_Specs!$S17*365.25)*10^9))</f>
        <v>251.70722805774915</v>
      </c>
      <c r="Z53" s="540">
        <f>IF(Tech_Specs!$S17=0,0,IF(Perform_Active!$I18=0,0,(System_Mkt_Repl!Y343+System_Mkt_NC!Z343+Lamp_Mkt_Repl!Z53)/(Perform_Active!$I18/Perform_Active!$H18*Tech_Specs!$S17*365.25)*10^9))</f>
        <v>232.89096024443373</v>
      </c>
      <c r="AA53" s="540">
        <f>IF(Tech_Specs!$S17=0,0,IF(Perform_Active!$I18=0,0,(System_Mkt_Repl!Z343+System_Mkt_NC!AA343+Lamp_Mkt_Repl!AA53)/(Perform_Active!$I18/Perform_Active!$H18*Tech_Specs!$S17*365.25)*10^9))</f>
        <v>219.23723779585214</v>
      </c>
      <c r="AB53" s="540">
        <f>IF(Tech_Specs!$S17=0,0,IF(Perform_Active!$I18=0,0,(System_Mkt_Repl!AA343+System_Mkt_NC!AB343+Lamp_Mkt_Repl!AB53)/(Perform_Active!$I18/Perform_Active!$H18*Tech_Specs!$S17*365.25)*10^9))</f>
        <v>209.80943647182227</v>
      </c>
      <c r="AC53" s="540">
        <f>IF(Tech_Specs!$S17=0,0,IF(Perform_Active!$I18=0,0,(System_Mkt_Repl!AB343+System_Mkt_NC!AC343+Lamp_Mkt_Repl!AC53)/(Perform_Active!$I18/Perform_Active!$H18*Tech_Specs!$S17*365.25)*10^9))</f>
        <v>202.163836629266</v>
      </c>
      <c r="AD53" s="540">
        <f>IF(Tech_Specs!$S17=0,0,IF(Perform_Active!$I18=0,0,(System_Mkt_Repl!AC343+System_Mkt_NC!AD343+Lamp_Mkt_Repl!AD53)/(Perform_Active!$I18/Perform_Active!$H18*Tech_Specs!$S17*365.25)*10^9))</f>
        <v>196.5152303189287</v>
      </c>
      <c r="AE53" s="540">
        <f>IF(Tech_Specs!$S17=0,0,IF(Perform_Active!$I18=0,0,(System_Mkt_Repl!AD343+System_Mkt_NC!AE343+Lamp_Mkt_Repl!AE53)/(Perform_Active!$I18/Perform_Active!$H18*Tech_Specs!$S17*365.25)*10^9))</f>
        <v>192.25347466756807</v>
      </c>
      <c r="AF53" s="540">
        <f>IF(Tech_Specs!$S17=0,0,IF(Perform_Active!$I18=0,0,(System_Mkt_Repl!AE343+System_Mkt_NC!AF343+Lamp_Mkt_Repl!AF53)/(Perform_Active!$I18/Perform_Active!$H18*Tech_Specs!$S17*365.25)*10^9))</f>
        <v>188.77036157598488</v>
      </c>
    </row>
    <row r="54" spans="1:32" x14ac:dyDescent="0.25">
      <c r="A54" s="444"/>
      <c r="B54" s="445" t="s">
        <v>29</v>
      </c>
      <c r="G54" s="200"/>
      <c r="H54" s="540">
        <f>IF(Tech_Specs!$S18=0,0,IF(Perform_Active!$I19=0,0,(System_Mkt_Repl!G344+System_Mkt_NC!H344+Lamp_Mkt_Repl!H54)/(Perform_Active!$I19/Perform_Active!$H19*Tech_Specs!$S18*365.25)*10^9))</f>
        <v>69.343327590944909</v>
      </c>
      <c r="I54" s="540">
        <f>IF(Tech_Specs!$S18=0,0,IF(Perform_Active!$I19=0,0,(System_Mkt_Repl!H344+System_Mkt_NC!I344+Lamp_Mkt_Repl!I54)/(Perform_Active!$I19/Perform_Active!$H19*Tech_Specs!$S18*365.25)*10^9))</f>
        <v>222.63142278947814</v>
      </c>
      <c r="J54" s="540">
        <f>IF(Tech_Specs!$S18=0,0,IF(Perform_Active!$I19=0,0,(System_Mkt_Repl!I344+System_Mkt_NC!J344+Lamp_Mkt_Repl!J54)/(Perform_Active!$I19/Perform_Active!$H19*Tech_Specs!$S18*365.25)*10^9))</f>
        <v>538.43802900744345</v>
      </c>
      <c r="K54" s="540">
        <f>IF(Tech_Specs!$S18=0,0,IF(Perform_Active!$I19=0,0,(System_Mkt_Repl!J344+System_Mkt_NC!K344+Lamp_Mkt_Repl!K54)/(Perform_Active!$I19/Perform_Active!$H19*Tech_Specs!$S18*365.25)*10^9))</f>
        <v>1024.6709714461927</v>
      </c>
      <c r="L54" s="540">
        <f>IF(Tech_Specs!$S18=0,0,IF(Perform_Active!$I19=0,0,(System_Mkt_Repl!K344+System_Mkt_NC!L344+Lamp_Mkt_Repl!L54)/(Perform_Active!$I19/Perform_Active!$H19*Tech_Specs!$S18*365.25)*10^9))</f>
        <v>1601.737211100587</v>
      </c>
      <c r="M54" s="540">
        <f>IF(Tech_Specs!$S18=0,0,IF(Perform_Active!$I19=0,0,(System_Mkt_Repl!L344+System_Mkt_NC!M344+Lamp_Mkt_Repl!M54)/(Perform_Active!$I19/Perform_Active!$H19*Tech_Specs!$S18*365.25)*10^9))</f>
        <v>2280.38728780574</v>
      </c>
      <c r="N54" s="540">
        <f>IF(Tech_Specs!$S18=0,0,IF(Perform_Active!$I19=0,0,(System_Mkt_Repl!M344+System_Mkt_NC!N344+Lamp_Mkt_Repl!N54)/(Perform_Active!$I19/Perform_Active!$H19*Tech_Specs!$S18*365.25)*10^9))</f>
        <v>2985.3421815108031</v>
      </c>
      <c r="O54" s="540">
        <f>IF(Tech_Specs!$S18=0,0,IF(Perform_Active!$I19=0,0,(System_Mkt_Repl!N344+System_Mkt_NC!O344+Lamp_Mkt_Repl!O54)/(Perform_Active!$I19/Perform_Active!$H19*Tech_Specs!$S18*365.25)*10^9))</f>
        <v>3665.7700248505903</v>
      </c>
      <c r="P54" s="540">
        <f>IF(Tech_Specs!$S18=0,0,IF(Perform_Active!$I19=0,0,(System_Mkt_Repl!O344+System_Mkt_NC!P344+Lamp_Mkt_Repl!P54)/(Perform_Active!$I19/Perform_Active!$H19*Tech_Specs!$S18*365.25)*10^9))</f>
        <v>4266.0858006158714</v>
      </c>
      <c r="Q54" s="540">
        <f>IF(Tech_Specs!$S18=0,0,IF(Perform_Active!$I19=0,0,(System_Mkt_Repl!P344+System_Mkt_NC!Q344+Lamp_Mkt_Repl!Q54)/(Perform_Active!$I19/Perform_Active!$H19*Tech_Specs!$S18*365.25)*10^9))</f>
        <v>4766.4179110149125</v>
      </c>
      <c r="R54" s="540">
        <f>IF(Tech_Specs!$S18=0,0,IF(Perform_Active!$I19=0,0,(System_Mkt_Repl!Q344+System_Mkt_NC!R344+Lamp_Mkt_Repl!R54)/(Perform_Active!$I19/Perform_Active!$H19*Tech_Specs!$S18*365.25)*10^9))</f>
        <v>5143.6627568905469</v>
      </c>
      <c r="S54" s="540">
        <f>IF(Tech_Specs!$S18=0,0,IF(Perform_Active!$I19=0,0,(System_Mkt_Repl!R344+System_Mkt_NC!S344+Lamp_Mkt_Repl!S54)/(Perform_Active!$I19/Perform_Active!$H19*Tech_Specs!$S18*365.25)*10^9))</f>
        <v>5402.3480791112206</v>
      </c>
      <c r="T54" s="540">
        <f>IF(Tech_Specs!$S18=0,0,IF(Perform_Active!$I19=0,0,(System_Mkt_Repl!S344+System_Mkt_NC!T344+Lamp_Mkt_Repl!T54)/(Perform_Active!$I19/Perform_Active!$H19*Tech_Specs!$S18*365.25)*10^9))</f>
        <v>5550.5418855895905</v>
      </c>
      <c r="U54" s="540">
        <f>IF(Tech_Specs!$S18=0,0,IF(Perform_Active!$I19=0,0,(System_Mkt_Repl!T344+System_Mkt_NC!U344+Lamp_Mkt_Repl!U54)/(Perform_Active!$I19/Perform_Active!$H19*Tech_Specs!$S18*365.25)*10^9))</f>
        <v>5609.1532404467807</v>
      </c>
      <c r="V54" s="540">
        <f>IF(Tech_Specs!$S18=0,0,IF(Perform_Active!$I19=0,0,(System_Mkt_Repl!U344+System_Mkt_NC!V344+Lamp_Mkt_Repl!V54)/(Perform_Active!$I19/Perform_Active!$H19*Tech_Specs!$S18*365.25)*10^9))</f>
        <v>5601.6930195259201</v>
      </c>
      <c r="W54" s="540">
        <f>IF(Tech_Specs!$S18=0,0,IF(Perform_Active!$I19=0,0,(System_Mkt_Repl!V344+System_Mkt_NC!W344+Lamp_Mkt_Repl!W54)/(Perform_Active!$I19/Perform_Active!$H19*Tech_Specs!$S18*365.25)*10^9))</f>
        <v>5549.2528437729425</v>
      </c>
      <c r="X54" s="540">
        <f>IF(Tech_Specs!$S18=0,0,IF(Perform_Active!$I19=0,0,(System_Mkt_Repl!W344+System_Mkt_NC!X344+Lamp_Mkt_Repl!X54)/(Perform_Active!$I19/Perform_Active!$H19*Tech_Specs!$S18*365.25)*10^9))</f>
        <v>5468.2751986625808</v>
      </c>
      <c r="Y54" s="540">
        <f>IF(Tech_Specs!$S18=0,0,IF(Perform_Active!$I19=0,0,(System_Mkt_Repl!X344+System_Mkt_NC!Y344+Lamp_Mkt_Repl!Y54)/(Perform_Active!$I19/Perform_Active!$H19*Tech_Specs!$S18*365.25)*10^9))</f>
        <v>5376.6221208329098</v>
      </c>
      <c r="Z54" s="540">
        <f>IF(Tech_Specs!$S18=0,0,IF(Perform_Active!$I19=0,0,(System_Mkt_Repl!Y344+System_Mkt_NC!Z344+Lamp_Mkt_Repl!Z54)/(Perform_Active!$I19/Perform_Active!$H19*Tech_Specs!$S18*365.25)*10^9))</f>
        <v>5290.7639969279371</v>
      </c>
      <c r="AA54" s="540">
        <f>IF(Tech_Specs!$S18=0,0,IF(Perform_Active!$I19=0,0,(System_Mkt_Repl!Z344+System_Mkt_NC!AA344+Lamp_Mkt_Repl!AA54)/(Perform_Active!$I19/Perform_Active!$H19*Tech_Specs!$S18*365.25)*10^9))</f>
        <v>5220.0618979406145</v>
      </c>
      <c r="AB54" s="540">
        <f>IF(Tech_Specs!$S18=0,0,IF(Perform_Active!$I19=0,0,(System_Mkt_Repl!AA344+System_Mkt_NC!AB344+Lamp_Mkt_Repl!AB54)/(Perform_Active!$I19/Perform_Active!$H19*Tech_Specs!$S18*365.25)*10^9))</f>
        <v>5177.1176834156113</v>
      </c>
      <c r="AC54" s="540">
        <f>IF(Tech_Specs!$S18=0,0,IF(Perform_Active!$I19=0,0,(System_Mkt_Repl!AB344+System_Mkt_NC!AC344+Lamp_Mkt_Repl!AC54)/(Perform_Active!$I19/Perform_Active!$H19*Tech_Specs!$S18*365.25)*10^9))</f>
        <v>5131.6054452837416</v>
      </c>
      <c r="AD54" s="540">
        <f>IF(Tech_Specs!$S18=0,0,IF(Perform_Active!$I19=0,0,(System_Mkt_Repl!AC344+System_Mkt_NC!AD344+Lamp_Mkt_Repl!AD54)/(Perform_Active!$I19/Perform_Active!$H19*Tech_Specs!$S18*365.25)*10^9))</f>
        <v>5100.1512885628163</v>
      </c>
      <c r="AE54" s="540">
        <f>IF(Tech_Specs!$S18=0,0,IF(Perform_Active!$I19=0,0,(System_Mkt_Repl!AD344+System_Mkt_NC!AE344+Lamp_Mkt_Repl!AE54)/(Perform_Active!$I19/Perform_Active!$H19*Tech_Specs!$S18*365.25)*10^9))</f>
        <v>5078.919252412994</v>
      </c>
      <c r="AF54" s="540">
        <f>IF(Tech_Specs!$S18=0,0,IF(Perform_Active!$I19=0,0,(System_Mkt_Repl!AE344+System_Mkt_NC!AF344+Lamp_Mkt_Repl!AF54)/(Perform_Active!$I19/Perform_Active!$H19*Tech_Specs!$S18*365.25)*10^9))</f>
        <v>5073.6603106647672</v>
      </c>
    </row>
    <row r="55" spans="1:32" x14ac:dyDescent="0.25">
      <c r="A55" s="444"/>
      <c r="B55" s="444"/>
      <c r="G55" s="200"/>
    </row>
    <row r="56" spans="1:32" s="402" customFormat="1" ht="12.75" x14ac:dyDescent="0.2">
      <c r="A56" s="402" t="s">
        <v>36</v>
      </c>
      <c r="G56" s="241"/>
    </row>
    <row r="57" spans="1:32" x14ac:dyDescent="0.25">
      <c r="A57" s="444"/>
      <c r="B57" s="444" t="s">
        <v>37</v>
      </c>
      <c r="G57" s="205"/>
      <c r="H57" s="540">
        <f>IF(Tech_Specs!$S21=0,0,IF(Perform_Active!$I22=0,0,(System_Mkt_Repl!G347+System_Mkt_NC!H347+Lamp_Mkt_Repl!H57)/(Perform_Active!$I22/Perform_Active!$H22*Tech_Specs!$S21*365.25)*10^9))</f>
        <v>766.31987398803631</v>
      </c>
      <c r="I57" s="540">
        <f>IF(Tech_Specs!$S21=0,0,IF(Perform_Active!$I22=0,0,(System_Mkt_Repl!H347+System_Mkt_NC!I347+Lamp_Mkt_Repl!I57)/(Perform_Active!$I22/Perform_Active!$H22*Tech_Specs!$S21*365.25)*10^9))</f>
        <v>604.13209760257087</v>
      </c>
      <c r="J57" s="540">
        <f>IF(Tech_Specs!$S21=0,0,IF(Perform_Active!$I22=0,0,(System_Mkt_Repl!I347+System_Mkt_NC!J347+Lamp_Mkt_Repl!J57)/(Perform_Active!$I22/Perform_Active!$H22*Tech_Specs!$S21*365.25)*10^9))</f>
        <v>453.72327905910879</v>
      </c>
      <c r="K57" s="540">
        <f>IF(Tech_Specs!$S21=0,0,IF(Perform_Active!$I22=0,0,(System_Mkt_Repl!J347+System_Mkt_NC!K347+Lamp_Mkt_Repl!K57)/(Perform_Active!$I22/Perform_Active!$H22*Tech_Specs!$S21*365.25)*10^9))</f>
        <v>316.88396422748502</v>
      </c>
      <c r="L57" s="540">
        <f>IF(Tech_Specs!$S21=0,0,IF(Perform_Active!$I22=0,0,(System_Mkt_Repl!K347+System_Mkt_NC!L347+Lamp_Mkt_Repl!L57)/(Perform_Active!$I22/Perform_Active!$H22*Tech_Specs!$S21*365.25)*10^9))</f>
        <v>281.88897433878867</v>
      </c>
      <c r="M57" s="540">
        <f>IF(Tech_Specs!$S21=0,0,IF(Perform_Active!$I22=0,0,(System_Mkt_Repl!L347+System_Mkt_NC!M347+Lamp_Mkt_Repl!M57)/(Perform_Active!$I22/Perform_Active!$H22*Tech_Specs!$S21*365.25)*10^9))</f>
        <v>250.57073546146393</v>
      </c>
      <c r="N57" s="540">
        <f>IF(Tech_Specs!$S21=0,0,IF(Perform_Active!$I22=0,0,(System_Mkt_Repl!M347+System_Mkt_NC!N347+Lamp_Mkt_Repl!N57)/(Perform_Active!$I22/Perform_Active!$H22*Tech_Specs!$S21*365.25)*10^9))</f>
        <v>225.20437024256285</v>
      </c>
      <c r="O57" s="540">
        <f>IF(Tech_Specs!$S21=0,0,IF(Perform_Active!$I22=0,0,(System_Mkt_Repl!N347+System_Mkt_NC!O347+Lamp_Mkt_Repl!O57)/(Perform_Active!$I22/Perform_Active!$H22*Tech_Specs!$S21*365.25)*10^9))</f>
        <v>207.49038667379054</v>
      </c>
      <c r="P57" s="540">
        <f>IF(Tech_Specs!$S21=0,0,IF(Perform_Active!$I22=0,0,(System_Mkt_Repl!O347+System_Mkt_NC!P347+Lamp_Mkt_Repl!P57)/(Perform_Active!$I22/Perform_Active!$H22*Tech_Specs!$S21*365.25)*10^9))</f>
        <v>191.26080223473758</v>
      </c>
      <c r="Q57" s="540">
        <f>IF(Tech_Specs!$S21=0,0,IF(Perform_Active!$I22=0,0,(System_Mkt_Repl!P347+System_Mkt_NC!Q347+Lamp_Mkt_Repl!Q57)/(Perform_Active!$I22/Perform_Active!$H22*Tech_Specs!$S21*365.25)*10^9))</f>
        <v>176.36422425920728</v>
      </c>
      <c r="R57" s="540">
        <f>IF(Tech_Specs!$S21=0,0,IF(Perform_Active!$I22=0,0,(System_Mkt_Repl!Q347+System_Mkt_NC!R347+Lamp_Mkt_Repl!R57)/(Perform_Active!$I22/Perform_Active!$H22*Tech_Specs!$S21*365.25)*10^9))</f>
        <v>162.67859760912384</v>
      </c>
      <c r="S57" s="540">
        <f>IF(Tech_Specs!$S21=0,0,IF(Perform_Active!$I22=0,0,(System_Mkt_Repl!R347+System_Mkt_NC!S347+Lamp_Mkt_Repl!S57)/(Perform_Active!$I22/Perform_Active!$H22*Tech_Specs!$S21*365.25)*10^9))</f>
        <v>150.10817651137168</v>
      </c>
      <c r="T57" s="540">
        <f>IF(Tech_Specs!$S21=0,0,IF(Perform_Active!$I22=0,0,(System_Mkt_Repl!S347+System_Mkt_NC!T347+Lamp_Mkt_Repl!T57)/(Perform_Active!$I22/Perform_Active!$H22*Tech_Specs!$S21*365.25)*10^9))</f>
        <v>138.54887115261124</v>
      </c>
      <c r="U57" s="540">
        <f>IF(Tech_Specs!$S21=0,0,IF(Perform_Active!$I22=0,0,(System_Mkt_Repl!T347+System_Mkt_NC!U347+Lamp_Mkt_Repl!U57)/(Perform_Active!$I22/Perform_Active!$H22*Tech_Specs!$S21*365.25)*10^9))</f>
        <v>127.91284472857164</v>
      </c>
      <c r="V57" s="540">
        <f>IF(Tech_Specs!$S21=0,0,IF(Perform_Active!$I22=0,0,(System_Mkt_Repl!U347+System_Mkt_NC!V347+Lamp_Mkt_Repl!V57)/(Perform_Active!$I22/Perform_Active!$H22*Tech_Specs!$S21*365.25)*10^9))</f>
        <v>118.12661471344177</v>
      </c>
      <c r="W57" s="540">
        <f>IF(Tech_Specs!$S21=0,0,IF(Perform_Active!$I22=0,0,(System_Mkt_Repl!V347+System_Mkt_NC!W347+Lamp_Mkt_Repl!W57)/(Perform_Active!$I22/Perform_Active!$H22*Tech_Specs!$S21*365.25)*10^9))</f>
        <v>109.11299150089343</v>
      </c>
      <c r="X57" s="540">
        <f>IF(Tech_Specs!$S21=0,0,IF(Perform_Active!$I22=0,0,(System_Mkt_Repl!W347+System_Mkt_NC!X347+Lamp_Mkt_Repl!X57)/(Perform_Active!$I22/Perform_Active!$H22*Tech_Specs!$S21*365.25)*10^9))</f>
        <v>100.80813895732086</v>
      </c>
      <c r="Y57" s="540">
        <f>IF(Tech_Specs!$S21=0,0,IF(Perform_Active!$I22=0,0,(System_Mkt_Repl!X347+System_Mkt_NC!Y347+Lamp_Mkt_Repl!Y57)/(Perform_Active!$I22/Perform_Active!$H22*Tech_Specs!$S21*365.25)*10^9))</f>
        <v>93.153806024805533</v>
      </c>
      <c r="Z57" s="540">
        <f>IF(Tech_Specs!$S21=0,0,IF(Perform_Active!$I22=0,0,(System_Mkt_Repl!Y347+System_Mkt_NC!Z347+Lamp_Mkt_Repl!Z57)/(Perform_Active!$I22/Perform_Active!$H22*Tech_Specs!$S21*365.25)*10^9))</f>
        <v>86.099163783287196</v>
      </c>
      <c r="AA57" s="540">
        <f>IF(Tech_Specs!$S21=0,0,IF(Perform_Active!$I22=0,0,(System_Mkt_Repl!Z347+System_Mkt_NC!AA347+Lamp_Mkt_Repl!AA57)/(Perform_Active!$I22/Perform_Active!$H22*Tech_Specs!$S21*365.25)*10^9))</f>
        <v>79.595965605523219</v>
      </c>
      <c r="AB57" s="540">
        <f>IF(Tech_Specs!$S21=0,0,IF(Perform_Active!$I22=0,0,(System_Mkt_Repl!AA347+System_Mkt_NC!AB347+Lamp_Mkt_Repl!AB57)/(Perform_Active!$I22/Perform_Active!$H22*Tech_Specs!$S21*365.25)*10^9))</f>
        <v>73.597428911486901</v>
      </c>
      <c r="AC57" s="540">
        <f>IF(Tech_Specs!$S21=0,0,IF(Perform_Active!$I22=0,0,(System_Mkt_Repl!AB347+System_Mkt_NC!AC347+Lamp_Mkt_Repl!AC57)/(Perform_Active!$I22/Perform_Active!$H22*Tech_Specs!$S21*365.25)*10^9))</f>
        <v>68.061164379151847</v>
      </c>
      <c r="AD57" s="540">
        <f>IF(Tech_Specs!$S21=0,0,IF(Perform_Active!$I22=0,0,(System_Mkt_Repl!AC347+System_Mkt_NC!AD347+Lamp_Mkt_Repl!AD57)/(Perform_Active!$I22/Perform_Active!$H22*Tech_Specs!$S21*365.25)*10^9))</f>
        <v>62.951406930542369</v>
      </c>
      <c r="AE57" s="540">
        <f>IF(Tech_Specs!$S21=0,0,IF(Perform_Active!$I22=0,0,(System_Mkt_Repl!AD347+System_Mkt_NC!AE347+Lamp_Mkt_Repl!AE57)/(Perform_Active!$I22/Perform_Active!$H22*Tech_Specs!$S21*365.25)*10^9))</f>
        <v>58.233622508212655</v>
      </c>
      <c r="AF57" s="540">
        <f>IF(Tech_Specs!$S21=0,0,IF(Perform_Active!$I22=0,0,(System_Mkt_Repl!AE347+System_Mkt_NC!AF347+Lamp_Mkt_Repl!AF57)/(Perform_Active!$I22/Perform_Active!$H22*Tech_Specs!$S21*365.25)*10^9))</f>
        <v>53.873695511018703</v>
      </c>
    </row>
    <row r="58" spans="1:32" x14ac:dyDescent="0.25">
      <c r="A58" s="444"/>
      <c r="B58" s="444" t="s">
        <v>39</v>
      </c>
      <c r="G58" s="205"/>
      <c r="H58" s="540">
        <f>IF(Tech_Specs!$S22=0,0,IF(Perform_Active!$I23=0,0,(System_Mkt_Repl!G348+System_Mkt_NC!H348+Lamp_Mkt_Repl!H58)/(Perform_Active!$I23/Perform_Active!$H23*Tech_Specs!$S22*365.25)*10^9))</f>
        <v>1731.0746575571186</v>
      </c>
      <c r="I58" s="540">
        <f>IF(Tech_Specs!$S22=0,0,IF(Perform_Active!$I23=0,0,(System_Mkt_Repl!H348+System_Mkt_NC!I348+Lamp_Mkt_Repl!I58)/(Perform_Active!$I23/Perform_Active!$H23*Tech_Specs!$S22*365.25)*10^9))</f>
        <v>1782.1339668451758</v>
      </c>
      <c r="J58" s="540">
        <f>IF(Tech_Specs!$S22=0,0,IF(Perform_Active!$I23=0,0,(System_Mkt_Repl!I348+System_Mkt_NC!J348+Lamp_Mkt_Repl!J58)/(Perform_Active!$I23/Perform_Active!$H23*Tech_Specs!$S22*365.25)*10^9))</f>
        <v>1793.0169705658907</v>
      </c>
      <c r="K58" s="540">
        <f>IF(Tech_Specs!$S22=0,0,IF(Perform_Active!$I23=0,0,(System_Mkt_Repl!J348+System_Mkt_NC!K348+Lamp_Mkt_Repl!K58)/(Perform_Active!$I23/Perform_Active!$H23*Tech_Specs!$S22*365.25)*10^9))</f>
        <v>1750.7089065867442</v>
      </c>
      <c r="L58" s="540">
        <f>IF(Tech_Specs!$S22=0,0,IF(Perform_Active!$I23=0,0,(System_Mkt_Repl!K348+System_Mkt_NC!L348+Lamp_Mkt_Repl!L58)/(Perform_Active!$I23/Perform_Active!$H23*Tech_Specs!$S22*365.25)*10^9))</f>
        <v>1646.1221855358735</v>
      </c>
      <c r="M58" s="540">
        <f>IF(Tech_Specs!$S22=0,0,IF(Perform_Active!$I23=0,0,(System_Mkt_Repl!L348+System_Mkt_NC!M348+Lamp_Mkt_Repl!M58)/(Perform_Active!$I23/Perform_Active!$H23*Tech_Specs!$S22*365.25)*10^9))</f>
        <v>1526.9008855318173</v>
      </c>
      <c r="N58" s="540">
        <f>IF(Tech_Specs!$S22=0,0,IF(Perform_Active!$I23=0,0,(System_Mkt_Repl!M348+System_Mkt_NC!N348+Lamp_Mkt_Repl!N58)/(Perform_Active!$I23/Perform_Active!$H23*Tech_Specs!$S22*365.25)*10^9))</f>
        <v>1405.4454877818243</v>
      </c>
      <c r="O58" s="540">
        <f>IF(Tech_Specs!$S22=0,0,IF(Perform_Active!$I23=0,0,(System_Mkt_Repl!N348+System_Mkt_NC!O348+Lamp_Mkt_Repl!O58)/(Perform_Active!$I23/Perform_Active!$H23*Tech_Specs!$S22*365.25)*10^9))</f>
        <v>1288.1385956351696</v>
      </c>
      <c r="P58" s="540">
        <f>IF(Tech_Specs!$S22=0,0,IF(Perform_Active!$I23=0,0,(System_Mkt_Repl!O348+System_Mkt_NC!P348+Lamp_Mkt_Repl!P58)/(Perform_Active!$I23/Perform_Active!$H23*Tech_Specs!$S22*365.25)*10^9))</f>
        <v>1183.5408488923747</v>
      </c>
      <c r="Q58" s="540">
        <f>IF(Tech_Specs!$S22=0,0,IF(Perform_Active!$I23=0,0,(System_Mkt_Repl!P348+System_Mkt_NC!Q348+Lamp_Mkt_Repl!Q58)/(Perform_Active!$I23/Perform_Active!$H23*Tech_Specs!$S22*365.25)*10^9))</f>
        <v>1088.9166219011797</v>
      </c>
      <c r="R58" s="540">
        <f>IF(Tech_Specs!$S22=0,0,IF(Perform_Active!$I23=0,0,(System_Mkt_Repl!Q348+System_Mkt_NC!R348+Lamp_Mkt_Repl!R58)/(Perform_Active!$I23/Perform_Active!$H23*Tech_Specs!$S22*365.25)*10^9))</f>
        <v>1003.404798322434</v>
      </c>
      <c r="S58" s="540">
        <f>IF(Tech_Specs!$S22=0,0,IF(Perform_Active!$I23=0,0,(System_Mkt_Repl!R348+System_Mkt_NC!S348+Lamp_Mkt_Repl!S58)/(Perform_Active!$I23/Perform_Active!$H23*Tech_Specs!$S22*365.25)*10^9))</f>
        <v>930.87010483490565</v>
      </c>
      <c r="T58" s="540">
        <f>IF(Tech_Specs!$S22=0,0,IF(Perform_Active!$I23=0,0,(System_Mkt_Repl!S348+System_Mkt_NC!T348+Lamp_Mkt_Repl!T58)/(Perform_Active!$I23/Perform_Active!$H23*Tech_Specs!$S22*365.25)*10^9))</f>
        <v>867.13624144744313</v>
      </c>
      <c r="U58" s="540">
        <f>IF(Tech_Specs!$S22=0,0,IF(Perform_Active!$I23=0,0,(System_Mkt_Repl!T348+System_Mkt_NC!U348+Lamp_Mkt_Repl!U58)/(Perform_Active!$I23/Perform_Active!$H23*Tech_Specs!$S22*365.25)*10^9))</f>
        <v>810.85095685170427</v>
      </c>
      <c r="V58" s="540">
        <f>IF(Tech_Specs!$S22=0,0,IF(Perform_Active!$I23=0,0,(System_Mkt_Repl!U348+System_Mkt_NC!V348+Lamp_Mkt_Repl!V58)/(Perform_Active!$I23/Perform_Active!$H23*Tech_Specs!$S22*365.25)*10^9))</f>
        <v>763.04962563184529</v>
      </c>
      <c r="W58" s="540">
        <f>IF(Tech_Specs!$S22=0,0,IF(Perform_Active!$I23=0,0,(System_Mkt_Repl!V348+System_Mkt_NC!W348+Lamp_Mkt_Repl!W58)/(Perform_Active!$I23/Perform_Active!$H23*Tech_Specs!$S22*365.25)*10^9))</f>
        <v>720.24506525366644</v>
      </c>
      <c r="X58" s="540">
        <f>IF(Tech_Specs!$S22=0,0,IF(Perform_Active!$I23=0,0,(System_Mkt_Repl!W348+System_Mkt_NC!X348+Lamp_Mkt_Repl!X58)/(Perform_Active!$I23/Perform_Active!$H23*Tech_Specs!$S22*365.25)*10^9))</f>
        <v>681.79181270058439</v>
      </c>
      <c r="Y58" s="540">
        <f>IF(Tech_Specs!$S22=0,0,IF(Perform_Active!$I23=0,0,(System_Mkt_Repl!X348+System_Mkt_NC!Y348+Lamp_Mkt_Repl!Y58)/(Perform_Active!$I23/Perform_Active!$H23*Tech_Specs!$S22*365.25)*10^9))</f>
        <v>647.16543518994445</v>
      </c>
      <c r="Z58" s="540">
        <f>IF(Tech_Specs!$S22=0,0,IF(Perform_Active!$I23=0,0,(System_Mkt_Repl!Y348+System_Mkt_NC!Z348+Lamp_Mkt_Repl!Z58)/(Perform_Active!$I23/Perform_Active!$H23*Tech_Specs!$S22*365.25)*10^9))</f>
        <v>616.97904680408226</v>
      </c>
      <c r="AA58" s="540">
        <f>IF(Tech_Specs!$S22=0,0,IF(Perform_Active!$I23=0,0,(System_Mkt_Repl!Z348+System_Mkt_NC!AA348+Lamp_Mkt_Repl!AA58)/(Perform_Active!$I23/Perform_Active!$H23*Tech_Specs!$S22*365.25)*10^9))</f>
        <v>590.97294455588315</v>
      </c>
      <c r="AB58" s="540">
        <f>IF(Tech_Specs!$S22=0,0,IF(Perform_Active!$I23=0,0,(System_Mkt_Repl!AA348+System_Mkt_NC!AB348+Lamp_Mkt_Repl!AB58)/(Perform_Active!$I23/Perform_Active!$H23*Tech_Specs!$S22*365.25)*10^9))</f>
        <v>567.85416313366261</v>
      </c>
      <c r="AC58" s="540">
        <f>IF(Tech_Specs!$S22=0,0,IF(Perform_Active!$I23=0,0,(System_Mkt_Repl!AB348+System_Mkt_NC!AC348+Lamp_Mkt_Repl!AC58)/(Perform_Active!$I23/Perform_Active!$H23*Tech_Specs!$S22*365.25)*10^9))</f>
        <v>545.79248381558136</v>
      </c>
      <c r="AD58" s="540">
        <f>IF(Tech_Specs!$S22=0,0,IF(Perform_Active!$I23=0,0,(System_Mkt_Repl!AC348+System_Mkt_NC!AD348+Lamp_Mkt_Repl!AD58)/(Perform_Active!$I23/Perform_Active!$H23*Tech_Specs!$S22*365.25)*10^9))</f>
        <v>525.42084510516656</v>
      </c>
      <c r="AE58" s="540">
        <f>IF(Tech_Specs!$S22=0,0,IF(Perform_Active!$I23=0,0,(System_Mkt_Repl!AD348+System_Mkt_NC!AE348+Lamp_Mkt_Repl!AE58)/(Perform_Active!$I23/Perform_Active!$H23*Tech_Specs!$S22*365.25)*10^9))</f>
        <v>506.23693675432253</v>
      </c>
      <c r="AF58" s="540">
        <f>IF(Tech_Specs!$S22=0,0,IF(Perform_Active!$I23=0,0,(System_Mkt_Repl!AE348+System_Mkt_NC!AF348+Lamp_Mkt_Repl!AF58)/(Perform_Active!$I23/Perform_Active!$H23*Tech_Specs!$S22*365.25)*10^9))</f>
        <v>486.61293138625996</v>
      </c>
    </row>
    <row r="59" spans="1:32" x14ac:dyDescent="0.25">
      <c r="A59" s="444"/>
      <c r="B59" s="444" t="s">
        <v>40</v>
      </c>
      <c r="G59" s="205"/>
      <c r="H59" s="540">
        <f>IF(Tech_Specs!$S23=0,0,IF(Perform_Active!$I24=0,0,(System_Mkt_Repl!G349+System_Mkt_NC!H349+Lamp_Mkt_Repl!H59)/(Perform_Active!$I24/Perform_Active!$H24*Tech_Specs!$S23*365.25)*10^9))</f>
        <v>264.27111623766575</v>
      </c>
      <c r="I59" s="540">
        <f>IF(Tech_Specs!$S23=0,0,IF(Perform_Active!$I24=0,0,(System_Mkt_Repl!H349+System_Mkt_NC!I349+Lamp_Mkt_Repl!I59)/(Perform_Active!$I24/Perform_Active!$H24*Tech_Specs!$S23*365.25)*10^9))</f>
        <v>355.27897973383853</v>
      </c>
      <c r="J59" s="540">
        <f>IF(Tech_Specs!$S23=0,0,IF(Perform_Active!$I24=0,0,(System_Mkt_Repl!I349+System_Mkt_NC!J349+Lamp_Mkt_Repl!J59)/(Perform_Active!$I24/Perform_Active!$H24*Tech_Specs!$S23*365.25)*10^9))</f>
        <v>454.20378317233491</v>
      </c>
      <c r="K59" s="540">
        <f>IF(Tech_Specs!$S23=0,0,IF(Perform_Active!$I24=0,0,(System_Mkt_Repl!J349+System_Mkt_NC!K349+Lamp_Mkt_Repl!K59)/(Perform_Active!$I24/Perform_Active!$H24*Tech_Specs!$S23*365.25)*10^9))</f>
        <v>553.07068598679564</v>
      </c>
      <c r="L59" s="540">
        <f>IF(Tech_Specs!$S23=0,0,IF(Perform_Active!$I24=0,0,(System_Mkt_Repl!K349+System_Mkt_NC!L349+Lamp_Mkt_Repl!L59)/(Perform_Active!$I24/Perform_Active!$H24*Tech_Specs!$S23*365.25)*10^9))</f>
        <v>627.71704869573148</v>
      </c>
      <c r="M59" s="540">
        <f>IF(Tech_Specs!$S23=0,0,IF(Perform_Active!$I24=0,0,(System_Mkt_Repl!L349+System_Mkt_NC!M349+Lamp_Mkt_Repl!M59)/(Perform_Active!$I24/Perform_Active!$H24*Tech_Specs!$S23*365.25)*10^9))</f>
        <v>691.90090263763136</v>
      </c>
      <c r="N59" s="540">
        <f>IF(Tech_Specs!$S23=0,0,IF(Perform_Active!$I24=0,0,(System_Mkt_Repl!M349+System_Mkt_NC!N349+Lamp_Mkt_Repl!N59)/(Perform_Active!$I24/Perform_Active!$H24*Tech_Specs!$S23*365.25)*10^9))</f>
        <v>737.23770848916558</v>
      </c>
      <c r="O59" s="540">
        <f>IF(Tech_Specs!$S23=0,0,IF(Perform_Active!$I24=0,0,(System_Mkt_Repl!N349+System_Mkt_NC!O349+Lamp_Mkt_Repl!O59)/(Perform_Active!$I24/Perform_Active!$H24*Tech_Specs!$S23*365.25)*10^9))</f>
        <v>766.24768487085487</v>
      </c>
      <c r="P59" s="540">
        <f>IF(Tech_Specs!$S23=0,0,IF(Perform_Active!$I24=0,0,(System_Mkt_Repl!O349+System_Mkt_NC!P349+Lamp_Mkt_Repl!P59)/(Perform_Active!$I24/Perform_Active!$H24*Tech_Specs!$S23*365.25)*10^9))</f>
        <v>780.64658780365369</v>
      </c>
      <c r="Q59" s="540">
        <f>IF(Tech_Specs!$S23=0,0,IF(Perform_Active!$I24=0,0,(System_Mkt_Repl!P349+System_Mkt_NC!Q349+Lamp_Mkt_Repl!Q59)/(Perform_Active!$I24/Perform_Active!$H24*Tech_Specs!$S23*365.25)*10^9))</f>
        <v>782.26797385357122</v>
      </c>
      <c r="R59" s="540">
        <f>IF(Tech_Specs!$S23=0,0,IF(Perform_Active!$I24=0,0,(System_Mkt_Repl!Q349+System_Mkt_NC!R349+Lamp_Mkt_Repl!R59)/(Perform_Active!$I24/Perform_Active!$H24*Tech_Specs!$S23*365.25)*10^9))</f>
        <v>773.08657481165085</v>
      </c>
      <c r="S59" s="540">
        <f>IF(Tech_Specs!$S23=0,0,IF(Perform_Active!$I24=0,0,(System_Mkt_Repl!R349+System_Mkt_NC!S349+Lamp_Mkt_Repl!S59)/(Perform_Active!$I24/Perform_Active!$H24*Tech_Specs!$S23*365.25)*10^9))</f>
        <v>758.18546483846069</v>
      </c>
      <c r="T59" s="540">
        <f>IF(Tech_Specs!$S23=0,0,IF(Perform_Active!$I24=0,0,(System_Mkt_Repl!S349+System_Mkt_NC!T349+Lamp_Mkt_Repl!T59)/(Perform_Active!$I24/Perform_Active!$H24*Tech_Specs!$S23*365.25)*10^9))</f>
        <v>738.14270910937546</v>
      </c>
      <c r="U59" s="540">
        <f>IF(Tech_Specs!$S23=0,0,IF(Perform_Active!$I24=0,0,(System_Mkt_Repl!T349+System_Mkt_NC!U349+Lamp_Mkt_Repl!U59)/(Perform_Active!$I24/Perform_Active!$H24*Tech_Specs!$S23*365.25)*10^9))</f>
        <v>715.21687918620739</v>
      </c>
      <c r="V59" s="540">
        <f>IF(Tech_Specs!$S23=0,0,IF(Perform_Active!$I24=0,0,(System_Mkt_Repl!U349+System_Mkt_NC!V349+Lamp_Mkt_Repl!V59)/(Perform_Active!$I24/Perform_Active!$H24*Tech_Specs!$S23*365.25)*10^9))</f>
        <v>692.35490466291219</v>
      </c>
      <c r="W59" s="540">
        <f>IF(Tech_Specs!$S23=0,0,IF(Perform_Active!$I24=0,0,(System_Mkt_Repl!V349+System_Mkt_NC!W349+Lamp_Mkt_Repl!W59)/(Perform_Active!$I24/Perform_Active!$H24*Tech_Specs!$S23*365.25)*10^9))</f>
        <v>669.2865724466742</v>
      </c>
      <c r="X59" s="540">
        <f>IF(Tech_Specs!$S23=0,0,IF(Perform_Active!$I24=0,0,(System_Mkt_Repl!W349+System_Mkt_NC!X349+Lamp_Mkt_Repl!X59)/(Perform_Active!$I24/Perform_Active!$H24*Tech_Specs!$S23*365.25)*10^9))</f>
        <v>646.79150298014656</v>
      </c>
      <c r="Y59" s="540">
        <f>IF(Tech_Specs!$S23=0,0,IF(Perform_Active!$I24=0,0,(System_Mkt_Repl!X349+System_Mkt_NC!Y349+Lamp_Mkt_Repl!Y59)/(Perform_Active!$I24/Perform_Active!$H24*Tech_Specs!$S23*365.25)*10^9))</f>
        <v>625.50742943206694</v>
      </c>
      <c r="Z59" s="540">
        <f>IF(Tech_Specs!$S23=0,0,IF(Perform_Active!$I24=0,0,(System_Mkt_Repl!Y349+System_Mkt_NC!Z349+Lamp_Mkt_Repl!Z59)/(Perform_Active!$I24/Perform_Active!$H24*Tech_Specs!$S23*365.25)*10^9))</f>
        <v>606.56411038185104</v>
      </c>
      <c r="AA59" s="540">
        <f>IF(Tech_Specs!$S23=0,0,IF(Perform_Active!$I24=0,0,(System_Mkt_Repl!Z349+System_Mkt_NC!AA349+Lamp_Mkt_Repl!AA59)/(Perform_Active!$I24/Perform_Active!$H24*Tech_Specs!$S23*365.25)*10^9))</f>
        <v>590.19513500497135</v>
      </c>
      <c r="AB59" s="540">
        <f>IF(Tech_Specs!$S23=0,0,IF(Perform_Active!$I24=0,0,(System_Mkt_Repl!AA349+System_Mkt_NC!AB349+Lamp_Mkt_Repl!AB59)/(Perform_Active!$I24/Perform_Active!$H24*Tech_Specs!$S23*365.25)*10^9))</f>
        <v>576.08251883192349</v>
      </c>
      <c r="AC59" s="540">
        <f>IF(Tech_Specs!$S23=0,0,IF(Perform_Active!$I24=0,0,(System_Mkt_Repl!AB349+System_Mkt_NC!AC349+Lamp_Mkt_Repl!AC59)/(Perform_Active!$I24/Perform_Active!$H24*Tech_Specs!$S23*365.25)*10^9))</f>
        <v>562.02900423761025</v>
      </c>
      <c r="AD59" s="540">
        <f>IF(Tech_Specs!$S23=0,0,IF(Perform_Active!$I24=0,0,(System_Mkt_Repl!AC349+System_Mkt_NC!AD349+Lamp_Mkt_Repl!AD59)/(Perform_Active!$I24/Perform_Active!$H24*Tech_Specs!$S23*365.25)*10^9))</f>
        <v>549.04208554377408</v>
      </c>
      <c r="AE59" s="540">
        <f>IF(Tech_Specs!$S23=0,0,IF(Perform_Active!$I24=0,0,(System_Mkt_Repl!AD349+System_Mkt_NC!AE349+Lamp_Mkt_Repl!AE59)/(Perform_Active!$I24/Perform_Active!$H24*Tech_Specs!$S23*365.25)*10^9))</f>
        <v>536.82667720216125</v>
      </c>
      <c r="AF59" s="540">
        <f>IF(Tech_Specs!$S23=0,0,IF(Perform_Active!$I24=0,0,(System_Mkt_Repl!AE349+System_Mkt_NC!AF349+Lamp_Mkt_Repl!AF59)/(Perform_Active!$I24/Perform_Active!$H24*Tech_Specs!$S23*365.25)*10^9))</f>
        <v>523.91059652308547</v>
      </c>
    </row>
    <row r="60" spans="1:32" x14ac:dyDescent="0.25">
      <c r="A60" s="444"/>
      <c r="B60" s="444" t="s">
        <v>29</v>
      </c>
      <c r="G60" s="200"/>
      <c r="H60" s="540">
        <f>IF(Tech_Specs!$S24=0,0,IF(Perform_Active!$I25=0,0,(System_Mkt_Repl!G350+System_Mkt_NC!H350+Lamp_Mkt_Repl!H60)/(Perform_Active!$I25/Perform_Active!$H25*Tech_Specs!$S24*365.25)*10^9))</f>
        <v>3.4727204109571454E-2</v>
      </c>
      <c r="I60" s="540">
        <f>IF(Tech_Specs!$S24=0,0,IF(Perform_Active!$I25=0,0,(System_Mkt_Repl!H350+System_Mkt_NC!I350+Lamp_Mkt_Repl!I60)/(Perform_Active!$I25/Perform_Active!$H25*Tech_Specs!$S24*365.25)*10^9))</f>
        <v>0.83595386825611306</v>
      </c>
      <c r="J60" s="540">
        <f>IF(Tech_Specs!$S24=0,0,IF(Perform_Active!$I25=0,0,(System_Mkt_Repl!I350+System_Mkt_NC!J350+Lamp_Mkt_Repl!J60)/(Perform_Active!$I25/Perform_Active!$H25*Tech_Specs!$S24*365.25)*10^9))</f>
        <v>5.4003158543929519</v>
      </c>
      <c r="K60" s="540">
        <f>IF(Tech_Specs!$S24=0,0,IF(Perform_Active!$I25=0,0,(System_Mkt_Repl!J350+System_Mkt_NC!K350+Lamp_Mkt_Repl!K60)/(Perform_Active!$I25/Perform_Active!$H25*Tech_Specs!$S24*365.25)*10^9))</f>
        <v>18.372459618830643</v>
      </c>
      <c r="L60" s="540">
        <f>IF(Tech_Specs!$S24=0,0,IF(Perform_Active!$I25=0,0,(System_Mkt_Repl!K350+System_Mkt_NC!L350+Lamp_Mkt_Repl!L60)/(Perform_Active!$I25/Perform_Active!$H25*Tech_Specs!$S24*365.25)*10^9))</f>
        <v>43.503715262764061</v>
      </c>
      <c r="M60" s="540">
        <f>IF(Tech_Specs!$S24=0,0,IF(Perform_Active!$I25=0,0,(System_Mkt_Repl!L350+System_Mkt_NC!M350+Lamp_Mkt_Repl!M60)/(Perform_Active!$I25/Perform_Active!$H25*Tech_Specs!$S24*365.25)*10^9))</f>
        <v>82.88989483352988</v>
      </c>
      <c r="N60" s="540">
        <f>IF(Tech_Specs!$S24=0,0,IF(Perform_Active!$I25=0,0,(System_Mkt_Repl!M350+System_Mkt_NC!N350+Lamp_Mkt_Repl!N60)/(Perform_Active!$I25/Perform_Active!$H25*Tech_Specs!$S24*365.25)*10^9))</f>
        <v>134.70067579639874</v>
      </c>
      <c r="O60" s="540">
        <f>IF(Tech_Specs!$S24=0,0,IF(Perform_Active!$I25=0,0,(System_Mkt_Repl!N350+System_Mkt_NC!O350+Lamp_Mkt_Repl!O60)/(Perform_Active!$I25/Perform_Active!$H25*Tech_Specs!$S24*365.25)*10^9))</f>
        <v>196.90783643786492</v>
      </c>
      <c r="P60" s="540">
        <f>IF(Tech_Specs!$S24=0,0,IF(Perform_Active!$I25=0,0,(System_Mkt_Repl!O350+System_Mkt_NC!P350+Lamp_Mkt_Repl!P60)/(Perform_Active!$I25/Perform_Active!$H25*Tech_Specs!$S24*365.25)*10^9))</f>
        <v>266.39154724267894</v>
      </c>
      <c r="Q60" s="540">
        <f>IF(Tech_Specs!$S24=0,0,IF(Perform_Active!$I25=0,0,(System_Mkt_Repl!P350+System_Mkt_NC!Q350+Lamp_Mkt_Repl!Q60)/(Perform_Active!$I25/Perform_Active!$H25*Tech_Specs!$S24*365.25)*10^9))</f>
        <v>341.279536061062</v>
      </c>
      <c r="R60" s="540">
        <f>IF(Tech_Specs!$S24=0,0,IF(Perform_Active!$I25=0,0,(System_Mkt_Repl!Q350+System_Mkt_NC!R350+Lamp_Mkt_Repl!R60)/(Perform_Active!$I25/Perform_Active!$H25*Tech_Specs!$S24*365.25)*10^9))</f>
        <v>416.55304785216902</v>
      </c>
      <c r="S60" s="540">
        <f>IF(Tech_Specs!$S24=0,0,IF(Perform_Active!$I25=0,0,(System_Mkt_Repl!R350+System_Mkt_NC!S350+Lamp_Mkt_Repl!S60)/(Perform_Active!$I25/Perform_Active!$H25*Tech_Specs!$S24*365.25)*10^9))</f>
        <v>493.16233535114878</v>
      </c>
      <c r="T60" s="540">
        <f>IF(Tech_Specs!$S24=0,0,IF(Perform_Active!$I25=0,0,(System_Mkt_Repl!S350+System_Mkt_NC!T350+Lamp_Mkt_Repl!T60)/(Perform_Active!$I25/Perform_Active!$H25*Tech_Specs!$S24*365.25)*10^9))</f>
        <v>567.71330782724408</v>
      </c>
      <c r="U60" s="540">
        <f>IF(Tech_Specs!$S24=0,0,IF(Perform_Active!$I25=0,0,(System_Mkt_Repl!T350+System_Mkt_NC!U350+Lamp_Mkt_Repl!U60)/(Perform_Active!$I25/Perform_Active!$H25*Tech_Specs!$S24*365.25)*10^9))</f>
        <v>638.67770032585747</v>
      </c>
      <c r="V60" s="540">
        <f>IF(Tech_Specs!$S24=0,0,IF(Perform_Active!$I25=0,0,(System_Mkt_Repl!U350+System_Mkt_NC!V350+Lamp_Mkt_Repl!V60)/(Perform_Active!$I25/Perform_Active!$H25*Tech_Specs!$S24*365.25)*10^9))</f>
        <v>705.38141304347835</v>
      </c>
      <c r="W60" s="540">
        <f>IF(Tech_Specs!$S24=0,0,IF(Perform_Active!$I25=0,0,(System_Mkt_Repl!V350+System_Mkt_NC!W350+Lamp_Mkt_Repl!W60)/(Perform_Active!$I25/Perform_Active!$H25*Tech_Specs!$S24*365.25)*10^9))</f>
        <v>765.84232800053314</v>
      </c>
      <c r="X60" s="540">
        <f>IF(Tech_Specs!$S24=0,0,IF(Perform_Active!$I25=0,0,(System_Mkt_Repl!W350+System_Mkt_NC!X350+Lamp_Mkt_Repl!X60)/(Perform_Active!$I25/Perform_Active!$H25*Tech_Specs!$S24*365.25)*10^9))</f>
        <v>819.39184490454249</v>
      </c>
      <c r="Y60" s="540">
        <f>IF(Tech_Specs!$S24=0,0,IF(Perform_Active!$I25=0,0,(System_Mkt_Repl!X350+System_Mkt_NC!Y350+Lamp_Mkt_Repl!Y60)/(Perform_Active!$I25/Perform_Active!$H25*Tech_Specs!$S24*365.25)*10^9))</f>
        <v>866.79906999711193</v>
      </c>
      <c r="Z60" s="540">
        <f>IF(Tech_Specs!$S24=0,0,IF(Perform_Active!$I25=0,0,(System_Mkt_Repl!Y350+System_Mkt_NC!Z350+Lamp_Mkt_Repl!Z60)/(Perform_Active!$I25/Perform_Active!$H25*Tech_Specs!$S24*365.25)*10^9))</f>
        <v>910.2402633954157</v>
      </c>
      <c r="AA60" s="540">
        <f>IF(Tech_Specs!$S24=0,0,IF(Perform_Active!$I25=0,0,(System_Mkt_Repl!Z350+System_Mkt_NC!AA350+Lamp_Mkt_Repl!AA60)/(Perform_Active!$I25/Perform_Active!$H25*Tech_Specs!$S24*365.25)*10^9))</f>
        <v>950.95000997408999</v>
      </c>
      <c r="AB60" s="540">
        <f>IF(Tech_Specs!$S24=0,0,IF(Perform_Active!$I25=0,0,(System_Mkt_Repl!AA350+System_Mkt_NC!AB350+Lamp_Mkt_Repl!AB60)/(Perform_Active!$I25/Perform_Active!$H25*Tech_Specs!$S24*365.25)*10^9))</f>
        <v>991.84499391275108</v>
      </c>
      <c r="AC60" s="540">
        <f>IF(Tech_Specs!$S24=0,0,IF(Perform_Active!$I25=0,0,(System_Mkt_Repl!AB350+System_Mkt_NC!AC350+Lamp_Mkt_Repl!AC60)/(Perform_Active!$I25/Perform_Active!$H25*Tech_Specs!$S24*365.25)*10^9))</f>
        <v>1025.2066194706044</v>
      </c>
      <c r="AD60" s="540">
        <f>IF(Tech_Specs!$S24=0,0,IF(Perform_Active!$I25=0,0,(System_Mkt_Repl!AC350+System_Mkt_NC!AD350+Lamp_Mkt_Repl!AD60)/(Perform_Active!$I25/Perform_Active!$H25*Tech_Specs!$S24*365.25)*10^9))</f>
        <v>1055.8540257388483</v>
      </c>
      <c r="AE60" s="540">
        <f>IF(Tech_Specs!$S24=0,0,IF(Perform_Active!$I25=0,0,(System_Mkt_Repl!AD350+System_Mkt_NC!AE350+Lamp_Mkt_Repl!AE60)/(Perform_Active!$I25/Perform_Active!$H25*Tech_Specs!$S24*365.25)*10^9))</f>
        <v>1084.4172094872004</v>
      </c>
      <c r="AF60" s="540">
        <f>IF(Tech_Specs!$S24=0,0,IF(Perform_Active!$I25=0,0,(System_Mkt_Repl!AE350+System_Mkt_NC!AF350+Lamp_Mkt_Repl!AF60)/(Perform_Active!$I25/Perform_Active!$H25*Tech_Specs!$S24*365.25)*10^9))</f>
        <v>1112.7513517013324</v>
      </c>
    </row>
    <row r="61" spans="1:32" x14ac:dyDescent="0.25">
      <c r="A61" s="444"/>
      <c r="B61" s="444"/>
      <c r="G61" s="200"/>
    </row>
    <row r="62" spans="1:32" s="402" customFormat="1" ht="12.75" x14ac:dyDescent="0.2">
      <c r="A62" s="402" t="s">
        <v>42</v>
      </c>
      <c r="G62" s="241"/>
    </row>
    <row r="63" spans="1:32" x14ac:dyDescent="0.25">
      <c r="A63" s="444"/>
      <c r="B63" s="445" t="s">
        <v>43</v>
      </c>
      <c r="G63" s="200"/>
      <c r="H63" s="540">
        <f>IF(Tech_Specs!$S27=0,0,IF(Perform_Active!$I28=0,0,(System_Mkt_Repl!G353+System_Mkt_NC!H353+Lamp_Mkt_Repl!H63)/(Perform_Active!$I28/Perform_Active!$H28*Tech_Specs!$S27*365.25)*10^9))</f>
        <v>0.41897920965924429</v>
      </c>
      <c r="I63" s="540">
        <f>IF(Tech_Specs!$S27=0,0,IF(Perform_Active!$I28=0,0,(System_Mkt_Repl!H353+System_Mkt_NC!I353+Lamp_Mkt_Repl!I63)/(Perform_Active!$I28/Perform_Active!$H28*Tech_Specs!$S27*365.25)*10^9))</f>
        <v>0.40093486757334312</v>
      </c>
      <c r="J63" s="540">
        <f>IF(Tech_Specs!$S27=0,0,IF(Perform_Active!$I28=0,0,(System_Mkt_Repl!I353+System_Mkt_NC!J353+Lamp_Mkt_Repl!J63)/(Perform_Active!$I28/Perform_Active!$H28*Tech_Specs!$S27*365.25)*10^9))</f>
        <v>0.38319764557968083</v>
      </c>
      <c r="K63" s="540">
        <f>IF(Tech_Specs!$S27=0,0,IF(Perform_Active!$I28=0,0,(System_Mkt_Repl!J353+System_Mkt_NC!K353+Lamp_Mkt_Repl!K63)/(Perform_Active!$I28/Perform_Active!$H28*Tech_Specs!$S27*365.25)*10^9))</f>
        <v>0.36518293625791065</v>
      </c>
      <c r="L63" s="540">
        <f>IF(Tech_Specs!$S27=0,0,IF(Perform_Active!$I28=0,0,(System_Mkt_Repl!K353+System_Mkt_NC!L353+Lamp_Mkt_Repl!L63)/(Perform_Active!$I28/Perform_Active!$H28*Tech_Specs!$S27*365.25)*10^9))</f>
        <v>0.34817340031177468</v>
      </c>
      <c r="M63" s="540">
        <f>IF(Tech_Specs!$S27=0,0,IF(Perform_Active!$I28=0,0,(System_Mkt_Repl!L353+System_Mkt_NC!M353+Lamp_Mkt_Repl!M63)/(Perform_Active!$I28/Perform_Active!$H28*Tech_Specs!$S27*365.25)*10^9))</f>
        <v>0.33169303916068288</v>
      </c>
      <c r="N63" s="540">
        <f>IF(Tech_Specs!$S27=0,0,IF(Perform_Active!$I28=0,0,(System_Mkt_Repl!M353+System_Mkt_NC!N353+Lamp_Mkt_Repl!N63)/(Perform_Active!$I28/Perform_Active!$H28*Tech_Specs!$S27*365.25)*10^9))</f>
        <v>0.3157155305684175</v>
      </c>
      <c r="O63" s="540">
        <f>IF(Tech_Specs!$S27=0,0,IF(Perform_Active!$I28=0,0,(System_Mkt_Repl!N353+System_Mkt_NC!O353+Lamp_Mkt_Repl!O63)/(Perform_Active!$I28/Perform_Active!$H28*Tech_Specs!$S27*365.25)*10^9))</f>
        <v>0.3006027874065485</v>
      </c>
      <c r="P63" s="540">
        <f>IF(Tech_Specs!$S27=0,0,IF(Perform_Active!$I28=0,0,(System_Mkt_Repl!O353+System_Mkt_NC!P353+Lamp_Mkt_Repl!P63)/(Perform_Active!$I28/Perform_Active!$H28*Tech_Specs!$S27*365.25)*10^9))</f>
        <v>0.2864184975426729</v>
      </c>
      <c r="Q63" s="540">
        <f>IF(Tech_Specs!$S27=0,0,IF(Perform_Active!$I28=0,0,(System_Mkt_Repl!P353+System_Mkt_NC!Q353+Lamp_Mkt_Repl!Q63)/(Perform_Active!$I28/Perform_Active!$H28*Tech_Specs!$S27*365.25)*10^9))</f>
        <v>0.27313529775310635</v>
      </c>
      <c r="R63" s="540">
        <f>IF(Tech_Specs!$S27=0,0,IF(Perform_Active!$I28=0,0,(System_Mkt_Repl!Q353+System_Mkt_NC!R353+Lamp_Mkt_Repl!R63)/(Perform_Active!$I28/Perform_Active!$H28*Tech_Specs!$S27*365.25)*10^9))</f>
        <v>0.2606385138665403</v>
      </c>
      <c r="S63" s="540">
        <f>IF(Tech_Specs!$S27=0,0,IF(Perform_Active!$I28=0,0,(System_Mkt_Repl!R353+System_Mkt_NC!S353+Lamp_Mkt_Repl!S63)/(Perform_Active!$I28/Perform_Active!$H28*Tech_Specs!$S27*365.25)*10^9))</f>
        <v>0.24928895666387899</v>
      </c>
      <c r="T63" s="540">
        <f>IF(Tech_Specs!$S27=0,0,IF(Perform_Active!$I28=0,0,(System_Mkt_Repl!S353+System_Mkt_NC!T353+Lamp_Mkt_Repl!T63)/(Perform_Active!$I28/Perform_Active!$H28*Tech_Specs!$S27*365.25)*10^9))</f>
        <v>0.23884008153494113</v>
      </c>
      <c r="U63" s="540">
        <f>IF(Tech_Specs!$S27=0,0,IF(Perform_Active!$I28=0,0,(System_Mkt_Repl!T353+System_Mkt_NC!U353+Lamp_Mkt_Repl!U63)/(Perform_Active!$I28/Perform_Active!$H28*Tech_Specs!$S27*365.25)*10^9))</f>
        <v>0.22924244164500579</v>
      </c>
      <c r="V63" s="540">
        <f>IF(Tech_Specs!$S27=0,0,IF(Perform_Active!$I28=0,0,(System_Mkt_Repl!U353+System_Mkt_NC!V353+Lamp_Mkt_Repl!V63)/(Perform_Active!$I28/Perform_Active!$H28*Tech_Specs!$S27*365.25)*10^9))</f>
        <v>0.22053989454015827</v>
      </c>
      <c r="W63" s="540">
        <f>IF(Tech_Specs!$S27=0,0,IF(Perform_Active!$I28=0,0,(System_Mkt_Repl!V353+System_Mkt_NC!W353+Lamp_Mkt_Repl!W63)/(Perform_Active!$I28/Perform_Active!$H28*Tech_Specs!$S27*365.25)*10^9))</f>
        <v>0.21249335901169736</v>
      </c>
      <c r="X63" s="540">
        <f>IF(Tech_Specs!$S27=0,0,IF(Perform_Active!$I28=0,0,(System_Mkt_Repl!W353+System_Mkt_NC!X353+Lamp_Mkt_Repl!X63)/(Perform_Active!$I28/Perform_Active!$H28*Tech_Specs!$S27*365.25)*10^9))</f>
        <v>0.20501782050556325</v>
      </c>
      <c r="Y63" s="540">
        <f>IF(Tech_Specs!$S27=0,0,IF(Perform_Active!$I28=0,0,(System_Mkt_Repl!X353+System_Mkt_NC!Y353+Lamp_Mkt_Repl!Y63)/(Perform_Active!$I28/Perform_Active!$H28*Tech_Specs!$S27*365.25)*10^9))</f>
        <v>0.19807982134341923</v>
      </c>
      <c r="Z63" s="540">
        <f>IF(Tech_Specs!$S27=0,0,IF(Perform_Active!$I28=0,0,(System_Mkt_Repl!Y353+System_Mkt_NC!Z353+Lamp_Mkt_Repl!Z63)/(Perform_Active!$I28/Perform_Active!$H28*Tech_Specs!$S27*365.25)*10^9))</f>
        <v>0.19174527439166583</v>
      </c>
      <c r="AA63" s="540">
        <f>IF(Tech_Specs!$S27=0,0,IF(Perform_Active!$I28=0,0,(System_Mkt_Repl!Z353+System_Mkt_NC!AA353+Lamp_Mkt_Repl!AA63)/(Perform_Active!$I28/Perform_Active!$H28*Tech_Specs!$S27*365.25)*10^9))</f>
        <v>0.18600388785441871</v>
      </c>
      <c r="AB63" s="540">
        <f>IF(Tech_Specs!$S27=0,0,IF(Perform_Active!$I28=0,0,(System_Mkt_Repl!AA353+System_Mkt_NC!AB353+Lamp_Mkt_Repl!AB63)/(Perform_Active!$I28/Perform_Active!$H28*Tech_Specs!$S27*365.25)*10^9))</f>
        <v>0.18086929582741709</v>
      </c>
      <c r="AC63" s="540">
        <f>IF(Tech_Specs!$S27=0,0,IF(Perform_Active!$I28=0,0,(System_Mkt_Repl!AB353+System_Mkt_NC!AC353+Lamp_Mkt_Repl!AC63)/(Perform_Active!$I28/Perform_Active!$H28*Tech_Specs!$S27*365.25)*10^9))</f>
        <v>0.17591458187714493</v>
      </c>
      <c r="AD63" s="540">
        <f>IF(Tech_Specs!$S27=0,0,IF(Perform_Active!$I28=0,0,(System_Mkt_Repl!AC353+System_Mkt_NC!AD353+Lamp_Mkt_Repl!AD63)/(Perform_Active!$I28/Perform_Active!$H28*Tech_Specs!$S27*365.25)*10^9))</f>
        <v>0.17131453830999491</v>
      </c>
      <c r="AE63" s="540">
        <f>IF(Tech_Specs!$S27=0,0,IF(Perform_Active!$I28=0,0,(System_Mkt_Repl!AD353+System_Mkt_NC!AE353+Lamp_Mkt_Repl!AE63)/(Perform_Active!$I28/Perform_Active!$H28*Tech_Specs!$S27*365.25)*10^9))</f>
        <v>0.16703653600250273</v>
      </c>
      <c r="AF63" s="540">
        <f>IF(Tech_Specs!$S27=0,0,IF(Perform_Active!$I28=0,0,(System_Mkt_Repl!AE353+System_Mkt_NC!AF353+Lamp_Mkt_Repl!AF63)/(Perform_Active!$I28/Perform_Active!$H28*Tech_Specs!$S27*365.25)*10^9))</f>
        <v>0.16304397468272838</v>
      </c>
    </row>
    <row r="64" spans="1:32" x14ac:dyDescent="0.25">
      <c r="A64" s="444"/>
      <c r="B64" s="445" t="s">
        <v>44</v>
      </c>
      <c r="G64" s="200"/>
      <c r="H64" s="540">
        <f>IF(Tech_Specs!$S28=0,0,IF(Perform_Active!$I29=0,0,(System_Mkt_Repl!G354+System_Mkt_NC!H354+Lamp_Mkt_Repl!H64)/(Perform_Active!$I29/Perform_Active!$H29*Tech_Specs!$S28*365.25)*10^9))</f>
        <v>10.888069129655387</v>
      </c>
      <c r="I64" s="540">
        <f>IF(Tech_Specs!$S28=0,0,IF(Perform_Active!$I29=0,0,(System_Mkt_Repl!H354+System_Mkt_NC!I354+Lamp_Mkt_Repl!I64)/(Perform_Active!$I29/Perform_Active!$H29*Tech_Specs!$S28*365.25)*10^9))</f>
        <v>11.32598915413443</v>
      </c>
      <c r="J64" s="540">
        <f>IF(Tech_Specs!$S28=0,0,IF(Perform_Active!$I29=0,0,(System_Mkt_Repl!I354+System_Mkt_NC!J354+Lamp_Mkt_Repl!J64)/(Perform_Active!$I29/Perform_Active!$H29*Tech_Specs!$S28*365.25)*10^9))</f>
        <v>11.621866588108913</v>
      </c>
      <c r="K64" s="540">
        <f>IF(Tech_Specs!$S28=0,0,IF(Perform_Active!$I29=0,0,(System_Mkt_Repl!J354+System_Mkt_NC!K354+Lamp_Mkt_Repl!K64)/(Perform_Active!$I29/Perform_Active!$H29*Tech_Specs!$S28*365.25)*10^9))</f>
        <v>11.706759367123272</v>
      </c>
      <c r="L64" s="540">
        <f>IF(Tech_Specs!$S28=0,0,IF(Perform_Active!$I29=0,0,(System_Mkt_Repl!K354+System_Mkt_NC!L354+Lamp_Mkt_Repl!L64)/(Perform_Active!$I29/Perform_Active!$H29*Tech_Specs!$S28*365.25)*10^9))</f>
        <v>11.763772224952033</v>
      </c>
      <c r="M64" s="540">
        <f>IF(Tech_Specs!$S28=0,0,IF(Perform_Active!$I29=0,0,(System_Mkt_Repl!L354+System_Mkt_NC!M354+Lamp_Mkt_Repl!M64)/(Perform_Active!$I29/Perform_Active!$H29*Tech_Specs!$S28*365.25)*10^9))</f>
        <v>11.742317862561896</v>
      </c>
      <c r="N64" s="540">
        <f>IF(Tech_Specs!$S28=0,0,IF(Perform_Active!$I29=0,0,(System_Mkt_Repl!M354+System_Mkt_NC!N354+Lamp_Mkt_Repl!N64)/(Perform_Active!$I29/Perform_Active!$H29*Tech_Specs!$S28*365.25)*10^9))</f>
        <v>11.644906859489426</v>
      </c>
      <c r="O64" s="540">
        <f>IF(Tech_Specs!$S28=0,0,IF(Perform_Active!$I29=0,0,(System_Mkt_Repl!N354+System_Mkt_NC!O354+Lamp_Mkt_Repl!O64)/(Perform_Active!$I29/Perform_Active!$H29*Tech_Specs!$S28*365.25)*10^9))</f>
        <v>11.53134279458453</v>
      </c>
      <c r="P64" s="540">
        <f>IF(Tech_Specs!$S28=0,0,IF(Perform_Active!$I29=0,0,(System_Mkt_Repl!O354+System_Mkt_NC!P354+Lamp_Mkt_Repl!P64)/(Perform_Active!$I29/Perform_Active!$H29*Tech_Specs!$S28*365.25)*10^9))</f>
        <v>11.419059184244752</v>
      </c>
      <c r="Q64" s="540">
        <f>IF(Tech_Specs!$S28=0,0,IF(Perform_Active!$I29=0,0,(System_Mkt_Repl!P354+System_Mkt_NC!Q354+Lamp_Mkt_Repl!Q64)/(Perform_Active!$I29/Perform_Active!$H29*Tech_Specs!$S28*365.25)*10^9))</f>
        <v>11.314066984367477</v>
      </c>
      <c r="R64" s="540">
        <f>IF(Tech_Specs!$S28=0,0,IF(Perform_Active!$I29=0,0,(System_Mkt_Repl!Q354+System_Mkt_NC!R354+Lamp_Mkt_Repl!R64)/(Perform_Active!$I29/Perform_Active!$H29*Tech_Specs!$S28*365.25)*10^9))</f>
        <v>11.208502835815287</v>
      </c>
      <c r="S64" s="540">
        <f>IF(Tech_Specs!$S28=0,0,IF(Perform_Active!$I29=0,0,(System_Mkt_Repl!R354+System_Mkt_NC!S354+Lamp_Mkt_Repl!S64)/(Perform_Active!$I29/Perform_Active!$H29*Tech_Specs!$S28*365.25)*10^9))</f>
        <v>11.158846676013868</v>
      </c>
      <c r="T64" s="540">
        <f>IF(Tech_Specs!$S28=0,0,IF(Perform_Active!$I29=0,0,(System_Mkt_Repl!S354+System_Mkt_NC!T354+Lamp_Mkt_Repl!T64)/(Perform_Active!$I29/Perform_Active!$H29*Tech_Specs!$S28*365.25)*10^9))</f>
        <v>11.138187307413011</v>
      </c>
      <c r="U64" s="540">
        <f>IF(Tech_Specs!$S28=0,0,IF(Perform_Active!$I29=0,0,(System_Mkt_Repl!T354+System_Mkt_NC!U354+Lamp_Mkt_Repl!U64)/(Perform_Active!$I29/Perform_Active!$H29*Tech_Specs!$S28*365.25)*10^9))</f>
        <v>11.146179261759853</v>
      </c>
      <c r="V64" s="540">
        <f>IF(Tech_Specs!$S28=0,0,IF(Perform_Active!$I29=0,0,(System_Mkt_Repl!U354+System_Mkt_NC!V354+Lamp_Mkt_Repl!V64)/(Perform_Active!$I29/Perform_Active!$H29*Tech_Specs!$S28*365.25)*10^9))</f>
        <v>11.194381138205152</v>
      </c>
      <c r="W64" s="540">
        <f>IF(Tech_Specs!$S28=0,0,IF(Perform_Active!$I29=0,0,(System_Mkt_Repl!V354+System_Mkt_NC!W354+Lamp_Mkt_Repl!W64)/(Perform_Active!$I29/Perform_Active!$H29*Tech_Specs!$S28*365.25)*10^9))</f>
        <v>11.255670412844742</v>
      </c>
      <c r="X64" s="540">
        <f>IF(Tech_Specs!$S28=0,0,IF(Perform_Active!$I29=0,0,(System_Mkt_Repl!W354+System_Mkt_NC!X354+Lamp_Mkt_Repl!X64)/(Perform_Active!$I29/Perform_Active!$H29*Tech_Specs!$S28*365.25)*10^9))</f>
        <v>11.323255854015947</v>
      </c>
      <c r="Y64" s="540">
        <f>IF(Tech_Specs!$S28=0,0,IF(Perform_Active!$I29=0,0,(System_Mkt_Repl!X354+System_Mkt_NC!Y354+Lamp_Mkt_Repl!Y64)/(Perform_Active!$I29/Perform_Active!$H29*Tech_Specs!$S28*365.25)*10^9))</f>
        <v>11.397217819235909</v>
      </c>
      <c r="Z64" s="540">
        <f>IF(Tech_Specs!$S28=0,0,IF(Perform_Active!$I29=0,0,(System_Mkt_Repl!Y354+System_Mkt_NC!Z354+Lamp_Mkt_Repl!Z64)/(Perform_Active!$I29/Perform_Active!$H29*Tech_Specs!$S28*365.25)*10^9))</f>
        <v>11.490857332788316</v>
      </c>
      <c r="AA64" s="540">
        <f>IF(Tech_Specs!$S28=0,0,IF(Perform_Active!$I29=0,0,(System_Mkt_Repl!Z354+System_Mkt_NC!AA354+Lamp_Mkt_Repl!AA64)/(Perform_Active!$I29/Perform_Active!$H29*Tech_Specs!$S28*365.25)*10^9))</f>
        <v>11.606759073347233</v>
      </c>
      <c r="AB64" s="540">
        <f>IF(Tech_Specs!$S28=0,0,IF(Perform_Active!$I29=0,0,(System_Mkt_Repl!AA354+System_Mkt_NC!AB354+Lamp_Mkt_Repl!AB64)/(Perform_Active!$I29/Perform_Active!$H29*Tech_Specs!$S28*365.25)*10^9))</f>
        <v>11.736386386829405</v>
      </c>
      <c r="AC64" s="540">
        <f>IF(Tech_Specs!$S28=0,0,IF(Perform_Active!$I29=0,0,(System_Mkt_Repl!AB354+System_Mkt_NC!AC354+Lamp_Mkt_Repl!AC64)/(Perform_Active!$I29/Perform_Active!$H29*Tech_Specs!$S28*365.25)*10^9))</f>
        <v>11.85296915542032</v>
      </c>
      <c r="AD64" s="540">
        <f>IF(Tech_Specs!$S28=0,0,IF(Perform_Active!$I29=0,0,(System_Mkt_Repl!AC354+System_Mkt_NC!AD354+Lamp_Mkt_Repl!AD64)/(Perform_Active!$I29/Perform_Active!$H29*Tech_Specs!$S28*365.25)*10^9))</f>
        <v>11.954595291244178</v>
      </c>
      <c r="AE64" s="540">
        <f>IF(Tech_Specs!$S28=0,0,IF(Perform_Active!$I29=0,0,(System_Mkt_Repl!AD354+System_Mkt_NC!AE354+Lamp_Mkt_Repl!AE64)/(Perform_Active!$I29/Perform_Active!$H29*Tech_Specs!$S28*365.25)*10^9))</f>
        <v>12.054719128363613</v>
      </c>
      <c r="AF64" s="540">
        <f>IF(Tech_Specs!$S28=0,0,IF(Perform_Active!$I29=0,0,(System_Mkt_Repl!AE354+System_Mkt_NC!AF354+Lamp_Mkt_Repl!AF64)/(Perform_Active!$I29/Perform_Active!$H29*Tech_Specs!$S28*365.25)*10^9))</f>
        <v>12.152002407602144</v>
      </c>
    </row>
    <row r="65" spans="1:32" x14ac:dyDescent="0.25">
      <c r="A65" s="444"/>
      <c r="B65" s="445" t="s">
        <v>45</v>
      </c>
      <c r="G65" s="200"/>
      <c r="H65" s="540">
        <f>IF(Tech_Specs!$S29=0,0,IF(Perform_Active!$I30=0,0,(System_Mkt_Repl!G355+System_Mkt_NC!H355+Lamp_Mkt_Repl!H65)/(Perform_Active!$I30/Perform_Active!$H30*Tech_Specs!$S29*365.25)*10^9))</f>
        <v>1.4198353512155961</v>
      </c>
      <c r="I65" s="540">
        <f>IF(Tech_Specs!$S29=0,0,IF(Perform_Active!$I30=0,0,(System_Mkt_Repl!H355+System_Mkt_NC!I355+Lamp_Mkt_Repl!I65)/(Perform_Active!$I30/Perform_Active!$H30*Tech_Specs!$S29*365.25)*10^9))</f>
        <v>1.3330242843614892</v>
      </c>
      <c r="J65" s="540">
        <f>IF(Tech_Specs!$S29=0,0,IF(Perform_Active!$I30=0,0,(System_Mkt_Repl!I355+System_Mkt_NC!J355+Lamp_Mkt_Repl!J65)/(Perform_Active!$I30/Perform_Active!$H30*Tech_Specs!$S29*365.25)*10^9))</f>
        <v>1.251528962912059</v>
      </c>
      <c r="K65" s="540">
        <f>IF(Tech_Specs!$S29=0,0,IF(Perform_Active!$I30=0,0,(System_Mkt_Repl!J355+System_Mkt_NC!K355+Lamp_Mkt_Repl!K65)/(Perform_Active!$I30/Perform_Active!$H30*Tech_Specs!$S29*365.25)*10^9))</f>
        <v>1.1748390752781432</v>
      </c>
      <c r="L65" s="540">
        <f>IF(Tech_Specs!$S29=0,0,IF(Perform_Active!$I30=0,0,(System_Mkt_Repl!K355+System_Mkt_NC!L355+Lamp_Mkt_Repl!L65)/(Perform_Active!$I30/Perform_Active!$H30*Tech_Specs!$S29*365.25)*10^9))</f>
        <v>1.1030008379955536</v>
      </c>
      <c r="M65" s="540">
        <f>IF(Tech_Specs!$S29=0,0,IF(Perform_Active!$I30=0,0,(System_Mkt_Repl!L355+System_Mkt_NC!M355+Lamp_Mkt_Repl!M65)/(Perform_Active!$I30/Perform_Active!$H30*Tech_Specs!$S29*365.25)*10^9))</f>
        <v>1.0355888765454009</v>
      </c>
      <c r="N65" s="540">
        <f>IF(Tech_Specs!$S29=0,0,IF(Perform_Active!$I30=0,0,(System_Mkt_Repl!M355+System_Mkt_NC!N355+Lamp_Mkt_Repl!N65)/(Perform_Active!$I30/Perform_Active!$H30*Tech_Specs!$S29*365.25)*10^9))</f>
        <v>0.97230727493941593</v>
      </c>
      <c r="O65" s="540">
        <f>IF(Tech_Specs!$S29=0,0,IF(Perform_Active!$I30=0,0,(System_Mkt_Repl!N355+System_Mkt_NC!O355+Lamp_Mkt_Repl!O65)/(Perform_Active!$I30/Perform_Active!$H30*Tech_Specs!$S29*365.25)*10^9))</f>
        <v>0.91300465708488832</v>
      </c>
      <c r="P65" s="540">
        <f>IF(Tech_Specs!$S29=0,0,IF(Perform_Active!$I30=0,0,(System_Mkt_Repl!O355+System_Mkt_NC!P355+Lamp_Mkt_Repl!P65)/(Perform_Active!$I30/Perform_Active!$H30*Tech_Specs!$S29*365.25)*10^9))</f>
        <v>0.85745593520859453</v>
      </c>
      <c r="Q65" s="540">
        <f>IF(Tech_Specs!$S29=0,0,IF(Perform_Active!$I30=0,0,(System_Mkt_Repl!P355+System_Mkt_NC!Q355+Lamp_Mkt_Repl!Q65)/(Perform_Active!$I30/Perform_Active!$H30*Tech_Specs!$S29*365.25)*10^9))</f>
        <v>0.80543016473051743</v>
      </c>
      <c r="R65" s="540">
        <f>IF(Tech_Specs!$S29=0,0,IF(Perform_Active!$I30=0,0,(System_Mkt_Repl!Q355+System_Mkt_NC!R355+Lamp_Mkt_Repl!R65)/(Perform_Active!$I30/Perform_Active!$H30*Tech_Specs!$S29*365.25)*10^9))</f>
        <v>0.75668245864975214</v>
      </c>
      <c r="S65" s="540">
        <f>IF(Tech_Specs!$S29=0,0,IF(Perform_Active!$I30=0,0,(System_Mkt_Repl!R355+System_Mkt_NC!S355+Lamp_Mkt_Repl!S65)/(Perform_Active!$I30/Perform_Active!$H30*Tech_Specs!$S29*365.25)*10^9))</f>
        <v>0.71111868581635707</v>
      </c>
      <c r="T65" s="540">
        <f>IF(Tech_Specs!$S29=0,0,IF(Perform_Active!$I30=0,0,(System_Mkt_Repl!S355+System_Mkt_NC!T355+Lamp_Mkt_Repl!T65)/(Perform_Active!$I30/Perform_Active!$H30*Tech_Specs!$S29*365.25)*10^9))</f>
        <v>0.66848187033161199</v>
      </c>
      <c r="U65" s="540">
        <f>IF(Tech_Specs!$S29=0,0,IF(Perform_Active!$I30=0,0,(System_Mkt_Repl!T355+System_Mkt_NC!U355+Lamp_Mkt_Repl!U65)/(Perform_Active!$I30/Perform_Active!$H30*Tech_Specs!$S29*365.25)*10^9))</f>
        <v>0.62858541930131018</v>
      </c>
      <c r="V65" s="540">
        <f>IF(Tech_Specs!$S29=0,0,IF(Perform_Active!$I30=0,0,(System_Mkt_Repl!U355+System_Mkt_NC!V355+Lamp_Mkt_Repl!V65)/(Perform_Active!$I30/Perform_Active!$H30*Tech_Specs!$S29*365.25)*10^9))</f>
        <v>0.59127990017358301</v>
      </c>
      <c r="W65" s="540">
        <f>IF(Tech_Specs!$S29=0,0,IF(Perform_Active!$I30=0,0,(System_Mkt_Repl!V355+System_Mkt_NC!W355+Lamp_Mkt_Repl!W65)/(Perform_Active!$I30/Perform_Active!$H30*Tech_Specs!$S29*365.25)*10^9))</f>
        <v>0.55634619027188414</v>
      </c>
      <c r="X65" s="540">
        <f>IF(Tech_Specs!$S29=0,0,IF(Perform_Active!$I30=0,0,(System_Mkt_Repl!W355+System_Mkt_NC!X355+Lamp_Mkt_Repl!X65)/(Perform_Active!$I30/Perform_Active!$H30*Tech_Specs!$S29*365.25)*10^9))</f>
        <v>0.52361934846882774</v>
      </c>
      <c r="Y65" s="540">
        <f>IF(Tech_Specs!$S29=0,0,IF(Perform_Active!$I30=0,0,(System_Mkt_Repl!X355+System_Mkt_NC!Y355+Lamp_Mkt_Repl!Y65)/(Perform_Active!$I30/Perform_Active!$H30*Tech_Specs!$S29*365.25)*10^9))</f>
        <v>0.49295910537856197</v>
      </c>
      <c r="Z65" s="540">
        <f>IF(Tech_Specs!$S29=0,0,IF(Perform_Active!$I30=0,0,(System_Mkt_Repl!Y355+System_Mkt_NC!Z355+Lamp_Mkt_Repl!Z65)/(Perform_Active!$I30/Perform_Active!$H30*Tech_Specs!$S29*365.25)*10^9))</f>
        <v>0.4642620609960072</v>
      </c>
      <c r="AA65" s="540">
        <f>IF(Tech_Specs!$S29=0,0,IF(Perform_Active!$I30=0,0,(System_Mkt_Repl!Z355+System_Mkt_NC!AA355+Lamp_Mkt_Repl!AA65)/(Perform_Active!$I30/Perform_Active!$H30*Tech_Specs!$S29*365.25)*10^9))</f>
        <v>0.43741051182516505</v>
      </c>
      <c r="AB65" s="540">
        <f>IF(Tech_Specs!$S29=0,0,IF(Perform_Active!$I30=0,0,(System_Mkt_Repl!AA355+System_Mkt_NC!AB355+Lamp_Mkt_Repl!AB65)/(Perform_Active!$I30/Perform_Active!$H30*Tech_Specs!$S29*365.25)*10^9))</f>
        <v>0.4123027025427885</v>
      </c>
      <c r="AC65" s="540">
        <f>IF(Tech_Specs!$S29=0,0,IF(Perform_Active!$I30=0,0,(System_Mkt_Repl!AB355+System_Mkt_NC!AC355+Lamp_Mkt_Repl!AC65)/(Perform_Active!$I30/Perform_Active!$H30*Tech_Specs!$S29*365.25)*10^9))</f>
        <v>0.38871277188840353</v>
      </c>
      <c r="AD65" s="540">
        <f>IF(Tech_Specs!$S29=0,0,IF(Perform_Active!$I30=0,0,(System_Mkt_Repl!AC355+System_Mkt_NC!AD355+Lamp_Mkt_Repl!AD65)/(Perform_Active!$I30/Perform_Active!$H30*Tech_Specs!$S29*365.25)*10^9))</f>
        <v>0.36659992947236969</v>
      </c>
      <c r="AE65" s="540">
        <f>IF(Tech_Specs!$S29=0,0,IF(Perform_Active!$I30=0,0,(System_Mkt_Repl!AD355+System_Mkt_NC!AE355+Lamp_Mkt_Repl!AE65)/(Perform_Active!$I30/Perform_Active!$H30*Tech_Specs!$S29*365.25)*10^9))</f>
        <v>0.34586801545511114</v>
      </c>
      <c r="AF65" s="540">
        <f>IF(Tech_Specs!$S29=0,0,IF(Perform_Active!$I30=0,0,(System_Mkt_Repl!AE355+System_Mkt_NC!AF355+Lamp_Mkt_Repl!AF65)/(Perform_Active!$I30/Perform_Active!$H30*Tech_Specs!$S29*365.25)*10^9))</f>
        <v>0.32642722715211592</v>
      </c>
    </row>
    <row r="66" spans="1:32" x14ac:dyDescent="0.25">
      <c r="A66" s="444"/>
      <c r="B66" s="445" t="s">
        <v>46</v>
      </c>
      <c r="G66" s="200"/>
      <c r="H66" s="540">
        <f>IF(Tech_Specs!$S30=0,0,IF(Perform_Active!$I31=0,0,(System_Mkt_Repl!G356+System_Mkt_NC!H356+Lamp_Mkt_Repl!H66)/(Perform_Active!$I31/Perform_Active!$H31*Tech_Specs!$S30*365.25)*10^9))</f>
        <v>0</v>
      </c>
      <c r="I66" s="540">
        <f>IF(Tech_Specs!$S30=0,0,IF(Perform_Active!$I31=0,0,(System_Mkt_Repl!H356+System_Mkt_NC!I356+Lamp_Mkt_Repl!I66)/(Perform_Active!$I31/Perform_Active!$H31*Tech_Specs!$S30*365.25)*10^9))</f>
        <v>0</v>
      </c>
      <c r="J66" s="540">
        <f>IF(Tech_Specs!$S30=0,0,IF(Perform_Active!$I31=0,0,(System_Mkt_Repl!I356+System_Mkt_NC!J356+Lamp_Mkt_Repl!J66)/(Perform_Active!$I31/Perform_Active!$H31*Tech_Specs!$S30*365.25)*10^9))</f>
        <v>0</v>
      </c>
      <c r="K66" s="540">
        <f>IF(Tech_Specs!$S30=0,0,IF(Perform_Active!$I31=0,0,(System_Mkt_Repl!J356+System_Mkt_NC!K356+Lamp_Mkt_Repl!K66)/(Perform_Active!$I31/Perform_Active!$H31*Tech_Specs!$S30*365.25)*10^9))</f>
        <v>0</v>
      </c>
      <c r="L66" s="540">
        <f>IF(Tech_Specs!$S30=0,0,IF(Perform_Active!$I31=0,0,(System_Mkt_Repl!K356+System_Mkt_NC!L356+Lamp_Mkt_Repl!L66)/(Perform_Active!$I31/Perform_Active!$H31*Tech_Specs!$S30*365.25)*10^9))</f>
        <v>0</v>
      </c>
      <c r="M66" s="540">
        <f>IF(Tech_Specs!$S30=0,0,IF(Perform_Active!$I31=0,0,(System_Mkt_Repl!L356+System_Mkt_NC!M356+Lamp_Mkt_Repl!M66)/(Perform_Active!$I31/Perform_Active!$H31*Tech_Specs!$S30*365.25)*10^9))</f>
        <v>0</v>
      </c>
      <c r="N66" s="540">
        <f>IF(Tech_Specs!$S30=0,0,IF(Perform_Active!$I31=0,0,(System_Mkt_Repl!M356+System_Mkt_NC!N356+Lamp_Mkt_Repl!N66)/(Perform_Active!$I31/Perform_Active!$H31*Tech_Specs!$S30*365.25)*10^9))</f>
        <v>0</v>
      </c>
      <c r="O66" s="540">
        <f>IF(Tech_Specs!$S30=0,0,IF(Perform_Active!$I31=0,0,(System_Mkt_Repl!N356+System_Mkt_NC!O356+Lamp_Mkt_Repl!O66)/(Perform_Active!$I31/Perform_Active!$H31*Tech_Specs!$S30*365.25)*10^9))</f>
        <v>0</v>
      </c>
      <c r="P66" s="540">
        <f>IF(Tech_Specs!$S30=0,0,IF(Perform_Active!$I31=0,0,(System_Mkt_Repl!O356+System_Mkt_NC!P356+Lamp_Mkt_Repl!P66)/(Perform_Active!$I31/Perform_Active!$H31*Tech_Specs!$S30*365.25)*10^9))</f>
        <v>0</v>
      </c>
      <c r="Q66" s="540">
        <f>IF(Tech_Specs!$S30=0,0,IF(Perform_Active!$I31=0,0,(System_Mkt_Repl!P356+System_Mkt_NC!Q356+Lamp_Mkt_Repl!Q66)/(Perform_Active!$I31/Perform_Active!$H31*Tech_Specs!$S30*365.25)*10^9))</f>
        <v>0</v>
      </c>
      <c r="R66" s="540">
        <f>IF(Tech_Specs!$S30=0,0,IF(Perform_Active!$I31=0,0,(System_Mkt_Repl!Q356+System_Mkt_NC!R356+Lamp_Mkt_Repl!R66)/(Perform_Active!$I31/Perform_Active!$H31*Tech_Specs!$S30*365.25)*10^9))</f>
        <v>0</v>
      </c>
      <c r="S66" s="540">
        <f>IF(Tech_Specs!$S30=0,0,IF(Perform_Active!$I31=0,0,(System_Mkt_Repl!R356+System_Mkt_NC!S356+Lamp_Mkt_Repl!S66)/(Perform_Active!$I31/Perform_Active!$H31*Tech_Specs!$S30*365.25)*10^9))</f>
        <v>0</v>
      </c>
      <c r="T66" s="540">
        <f>IF(Tech_Specs!$S30=0,0,IF(Perform_Active!$I31=0,0,(System_Mkt_Repl!S356+System_Mkt_NC!T356+Lamp_Mkt_Repl!T66)/(Perform_Active!$I31/Perform_Active!$H31*Tech_Specs!$S30*365.25)*10^9))</f>
        <v>0</v>
      </c>
      <c r="U66" s="540">
        <f>IF(Tech_Specs!$S30=0,0,IF(Perform_Active!$I31=0,0,(System_Mkt_Repl!T356+System_Mkt_NC!U356+Lamp_Mkt_Repl!U66)/(Perform_Active!$I31/Perform_Active!$H31*Tech_Specs!$S30*365.25)*10^9))</f>
        <v>0</v>
      </c>
      <c r="V66" s="540">
        <f>IF(Tech_Specs!$S30=0,0,IF(Perform_Active!$I31=0,0,(System_Mkt_Repl!U356+System_Mkt_NC!V356+Lamp_Mkt_Repl!V66)/(Perform_Active!$I31/Perform_Active!$H31*Tech_Specs!$S30*365.25)*10^9))</f>
        <v>0</v>
      </c>
      <c r="W66" s="540">
        <f>IF(Tech_Specs!$S30=0,0,IF(Perform_Active!$I31=0,0,(System_Mkt_Repl!V356+System_Mkt_NC!W356+Lamp_Mkt_Repl!W66)/(Perform_Active!$I31/Perform_Active!$H31*Tech_Specs!$S30*365.25)*10^9))</f>
        <v>0</v>
      </c>
      <c r="X66" s="540">
        <f>IF(Tech_Specs!$S30=0,0,IF(Perform_Active!$I31=0,0,(System_Mkt_Repl!W356+System_Mkt_NC!X356+Lamp_Mkt_Repl!X66)/(Perform_Active!$I31/Perform_Active!$H31*Tech_Specs!$S30*365.25)*10^9))</f>
        <v>0</v>
      </c>
      <c r="Y66" s="540">
        <f>IF(Tech_Specs!$S30=0,0,IF(Perform_Active!$I31=0,0,(System_Mkt_Repl!X356+System_Mkt_NC!Y356+Lamp_Mkt_Repl!Y66)/(Perform_Active!$I31/Perform_Active!$H31*Tech_Specs!$S30*365.25)*10^9))</f>
        <v>0</v>
      </c>
      <c r="Z66" s="540">
        <f>IF(Tech_Specs!$S30=0,0,IF(Perform_Active!$I31=0,0,(System_Mkt_Repl!Y356+System_Mkt_NC!Z356+Lamp_Mkt_Repl!Z66)/(Perform_Active!$I31/Perform_Active!$H31*Tech_Specs!$S30*365.25)*10^9))</f>
        <v>0</v>
      </c>
      <c r="AA66" s="540">
        <f>IF(Tech_Specs!$S30=0,0,IF(Perform_Active!$I31=0,0,(System_Mkt_Repl!Z356+System_Mkt_NC!AA356+Lamp_Mkt_Repl!AA66)/(Perform_Active!$I31/Perform_Active!$H31*Tech_Specs!$S30*365.25)*10^9))</f>
        <v>0</v>
      </c>
      <c r="AB66" s="540">
        <f>IF(Tech_Specs!$S30=0,0,IF(Perform_Active!$I31=0,0,(System_Mkt_Repl!AA356+System_Mkt_NC!AB356+Lamp_Mkt_Repl!AB66)/(Perform_Active!$I31/Perform_Active!$H31*Tech_Specs!$S30*365.25)*10^9))</f>
        <v>0</v>
      </c>
      <c r="AC66" s="540">
        <f>IF(Tech_Specs!$S30=0,0,IF(Perform_Active!$I31=0,0,(System_Mkt_Repl!AB356+System_Mkt_NC!AC356+Lamp_Mkt_Repl!AC66)/(Perform_Active!$I31/Perform_Active!$H31*Tech_Specs!$S30*365.25)*10^9))</f>
        <v>0</v>
      </c>
      <c r="AD66" s="540">
        <f>IF(Tech_Specs!$S30=0,0,IF(Perform_Active!$I31=0,0,(System_Mkt_Repl!AC356+System_Mkt_NC!AD356+Lamp_Mkt_Repl!AD66)/(Perform_Active!$I31/Perform_Active!$H31*Tech_Specs!$S30*365.25)*10^9))</f>
        <v>0</v>
      </c>
      <c r="AE66" s="540">
        <f>IF(Tech_Specs!$S30=0,0,IF(Perform_Active!$I31=0,0,(System_Mkt_Repl!AD356+System_Mkt_NC!AE356+Lamp_Mkt_Repl!AE66)/(Perform_Active!$I31/Perform_Active!$H31*Tech_Specs!$S30*365.25)*10^9))</f>
        <v>0</v>
      </c>
      <c r="AF66" s="540">
        <f>IF(Tech_Specs!$S30=0,0,IF(Perform_Active!$I31=0,0,(System_Mkt_Repl!AE356+System_Mkt_NC!AF356+Lamp_Mkt_Repl!AF66)/(Perform_Active!$I31/Perform_Active!$H31*Tech_Specs!$S30*365.25)*10^9))</f>
        <v>0</v>
      </c>
    </row>
    <row r="67" spans="1:32" x14ac:dyDescent="0.25">
      <c r="A67" s="444"/>
      <c r="B67" s="444" t="s">
        <v>29</v>
      </c>
      <c r="G67" s="200"/>
      <c r="H67" s="540">
        <f>IF(Tech_Specs!$S31=0,0,IF(Perform_Active!$I32=0,0,(System_Mkt_Repl!G357+System_Mkt_NC!H357+Lamp_Mkt_Repl!H67)/(Perform_Active!$I32/Perform_Active!$H32*Tech_Specs!$S31*365.25)*10^9))</f>
        <v>0.35535827269768755</v>
      </c>
      <c r="I67" s="540">
        <f>IF(Tech_Specs!$S31=0,0,IF(Perform_Active!$I32=0,0,(System_Mkt_Repl!H357+System_Mkt_NC!I357+Lamp_Mkt_Repl!I67)/(Perform_Active!$I32/Perform_Active!$H32*Tech_Specs!$S31*365.25)*10^9))</f>
        <v>0.51387032435672031</v>
      </c>
      <c r="J67" s="540">
        <f>IF(Tech_Specs!$S31=0,0,IF(Perform_Active!$I32=0,0,(System_Mkt_Repl!I357+System_Mkt_NC!J357+Lamp_Mkt_Repl!J67)/(Perform_Active!$I32/Perform_Active!$H32*Tech_Specs!$S31*365.25)*10^9))</f>
        <v>0.70163251947646099</v>
      </c>
      <c r="K67" s="540">
        <f>IF(Tech_Specs!$S31=0,0,IF(Perform_Active!$I32=0,0,(System_Mkt_Repl!J357+System_Mkt_NC!K357+Lamp_Mkt_Repl!K67)/(Perform_Active!$I32/Perform_Active!$H32*Tech_Specs!$S31*365.25)*10^9))</f>
        <v>0.90689464016302912</v>
      </c>
      <c r="L67" s="540">
        <f>IF(Tech_Specs!$S31=0,0,IF(Perform_Active!$I32=0,0,(System_Mkt_Repl!K357+System_Mkt_NC!L357+Lamp_Mkt_Repl!L67)/(Perform_Active!$I32/Perform_Active!$H32*Tech_Specs!$S31*365.25)*10^9))</f>
        <v>1.1341026904649409</v>
      </c>
      <c r="M67" s="540">
        <f>IF(Tech_Specs!$S31=0,0,IF(Perform_Active!$I32=0,0,(System_Mkt_Repl!L357+System_Mkt_NC!M357+Lamp_Mkt_Repl!M67)/(Perform_Active!$I32/Perform_Active!$H32*Tech_Specs!$S31*365.25)*10^9))</f>
        <v>1.3692334180842316</v>
      </c>
      <c r="N67" s="540">
        <f>IF(Tech_Specs!$S31=0,0,IF(Perform_Active!$I32=0,0,(System_Mkt_Repl!M357+System_Mkt_NC!N357+Lamp_Mkt_Repl!N67)/(Perform_Active!$I32/Perform_Active!$H32*Tech_Specs!$S31*365.25)*10^9))</f>
        <v>1.5998487353803557</v>
      </c>
      <c r="O67" s="540">
        <f>IF(Tech_Specs!$S31=0,0,IF(Perform_Active!$I32=0,0,(System_Mkt_Repl!N357+System_Mkt_NC!O357+Lamp_Mkt_Repl!O67)/(Perform_Active!$I32/Perform_Active!$H32*Tech_Specs!$S31*365.25)*10^9))</f>
        <v>1.8249728134671044</v>
      </c>
      <c r="P67" s="540">
        <f>IF(Tech_Specs!$S31=0,0,IF(Perform_Active!$I32=0,0,(System_Mkt_Repl!O357+System_Mkt_NC!P357+Lamp_Mkt_Repl!P67)/(Perform_Active!$I32/Perform_Active!$H32*Tech_Specs!$S31*365.25)*10^9))</f>
        <v>2.0398749951433257</v>
      </c>
      <c r="Q67" s="540">
        <f>IF(Tech_Specs!$S31=0,0,IF(Perform_Active!$I32=0,0,(System_Mkt_Repl!P357+System_Mkt_NC!Q357+Lamp_Mkt_Repl!Q67)/(Perform_Active!$I32/Perform_Active!$H32*Tech_Specs!$S31*365.25)*10^9))</f>
        <v>2.2386754512846134</v>
      </c>
      <c r="R67" s="540">
        <f>IF(Tech_Specs!$S31=0,0,IF(Perform_Active!$I32=0,0,(System_Mkt_Repl!Q357+System_Mkt_NC!R357+Lamp_Mkt_Repl!R67)/(Perform_Active!$I32/Perform_Active!$H32*Tech_Specs!$S31*365.25)*10^9))</f>
        <v>2.4120288490229798</v>
      </c>
      <c r="S67" s="540">
        <f>IF(Tech_Specs!$S31=0,0,IF(Perform_Active!$I32=0,0,(System_Mkt_Repl!R357+System_Mkt_NC!S357+Lamp_Mkt_Repl!S67)/(Perform_Active!$I32/Perform_Active!$H32*Tech_Specs!$S31*365.25)*10^9))</f>
        <v>2.5732558950430438</v>
      </c>
      <c r="T67" s="540">
        <f>IF(Tech_Specs!$S31=0,0,IF(Perform_Active!$I32=0,0,(System_Mkt_Repl!S357+System_Mkt_NC!T357+Lamp_Mkt_Repl!T67)/(Perform_Active!$I32/Perform_Active!$H32*Tech_Specs!$S31*365.25)*10^9))</f>
        <v>2.7133309033269595</v>
      </c>
      <c r="U67" s="540">
        <f>IF(Tech_Specs!$S31=0,0,IF(Perform_Active!$I32=0,0,(System_Mkt_Repl!T357+System_Mkt_NC!U357+Lamp_Mkt_Repl!U67)/(Perform_Active!$I32/Perform_Active!$H32*Tech_Specs!$S31*365.25)*10^9))</f>
        <v>2.8334735660821644</v>
      </c>
      <c r="V67" s="540">
        <f>IF(Tech_Specs!$S31=0,0,IF(Perform_Active!$I32=0,0,(System_Mkt_Repl!U357+System_Mkt_NC!V357+Lamp_Mkt_Repl!V67)/(Perform_Active!$I32/Perform_Active!$H32*Tech_Specs!$S31*365.25)*10^9))</f>
        <v>2.9414676228312655</v>
      </c>
      <c r="W67" s="540">
        <f>IF(Tech_Specs!$S31=0,0,IF(Perform_Active!$I32=0,0,(System_Mkt_Repl!V357+System_Mkt_NC!W357+Lamp_Mkt_Repl!W67)/(Perform_Active!$I32/Perform_Active!$H32*Tech_Specs!$S31*365.25)*10^9))</f>
        <v>3.0308762246121246</v>
      </c>
      <c r="X67" s="540">
        <f>IF(Tech_Specs!$S31=0,0,IF(Perform_Active!$I32=0,0,(System_Mkt_Repl!W357+System_Mkt_NC!X357+Lamp_Mkt_Repl!X67)/(Perform_Active!$I32/Perform_Active!$H32*Tech_Specs!$S31*365.25)*10^9))</f>
        <v>3.103130339740567</v>
      </c>
      <c r="Y67" s="540">
        <f>IF(Tech_Specs!$S31=0,0,IF(Perform_Active!$I32=0,0,(System_Mkt_Repl!X357+System_Mkt_NC!Y357+Lamp_Mkt_Repl!Y67)/(Perform_Active!$I32/Perform_Active!$H32*Tech_Specs!$S31*365.25)*10^9))</f>
        <v>3.1624634151708895</v>
      </c>
      <c r="Z67" s="540">
        <f>IF(Tech_Specs!$S31=0,0,IF(Perform_Active!$I32=0,0,(System_Mkt_Repl!Y357+System_Mkt_NC!Z357+Lamp_Mkt_Repl!Z67)/(Perform_Active!$I32/Perform_Active!$H32*Tech_Specs!$S31*365.25)*10^9))</f>
        <v>3.2183589665323598</v>
      </c>
      <c r="AA67" s="540">
        <f>IF(Tech_Specs!$S31=0,0,IF(Perform_Active!$I32=0,0,(System_Mkt_Repl!Z357+System_Mkt_NC!AA357+Lamp_Mkt_Repl!AA67)/(Perform_Active!$I32/Perform_Active!$H32*Tech_Specs!$S31*365.25)*10^9))</f>
        <v>3.2749211658765853</v>
      </c>
      <c r="AB67" s="540">
        <f>IF(Tech_Specs!$S31=0,0,IF(Perform_Active!$I32=0,0,(System_Mkt_Repl!AA357+System_Mkt_NC!AB357+Lamp_Mkt_Repl!AB67)/(Perform_Active!$I32/Perform_Active!$H32*Tech_Specs!$S31*365.25)*10^9))</f>
        <v>3.3373647473147874</v>
      </c>
      <c r="AC67" s="540">
        <f>IF(Tech_Specs!$S31=0,0,IF(Perform_Active!$I32=0,0,(System_Mkt_Repl!AB357+System_Mkt_NC!AC357+Lamp_Mkt_Repl!AC67)/(Perform_Active!$I32/Perform_Active!$H32*Tech_Specs!$S31*365.25)*10^9))</f>
        <v>3.381850898252984</v>
      </c>
      <c r="AD67" s="540">
        <f>IF(Tech_Specs!$S31=0,0,IF(Perform_Active!$I32=0,0,(System_Mkt_Repl!AC357+System_Mkt_NC!AD357+Lamp_Mkt_Repl!AD67)/(Perform_Active!$I32/Perform_Active!$H32*Tech_Specs!$S31*365.25)*10^9))</f>
        <v>3.4227503305828577</v>
      </c>
      <c r="AE67" s="540">
        <f>IF(Tech_Specs!$S31=0,0,IF(Perform_Active!$I32=0,0,(System_Mkt_Repl!AD357+System_Mkt_NC!AE357+Lamp_Mkt_Repl!AE67)/(Perform_Active!$I32/Perform_Active!$H32*Tech_Specs!$S31*365.25)*10^9))</f>
        <v>3.4605872058283476</v>
      </c>
      <c r="AF67" s="540">
        <f>IF(Tech_Specs!$S31=0,0,IF(Perform_Active!$I32=0,0,(System_Mkt_Repl!AE357+System_Mkt_NC!AF357+Lamp_Mkt_Repl!AF67)/(Perform_Active!$I32/Perform_Active!$H32*Tech_Specs!$S31*365.25)*10^9))</f>
        <v>3.4958734098494095</v>
      </c>
    </row>
    <row r="68" spans="1:32" x14ac:dyDescent="0.25">
      <c r="A68" s="444"/>
      <c r="B68" s="444"/>
      <c r="G68" s="200"/>
    </row>
    <row r="69" spans="1:32" s="402" customFormat="1" ht="12.75" x14ac:dyDescent="0.2">
      <c r="A69" s="402" t="s">
        <v>47</v>
      </c>
      <c r="G69" s="241"/>
    </row>
    <row r="70" spans="1:32" x14ac:dyDescent="0.25">
      <c r="A70" s="444"/>
      <c r="B70" s="444" t="s">
        <v>48</v>
      </c>
      <c r="G70" s="200"/>
      <c r="H70" s="540">
        <f>IF(Tech_Specs!$S34=0,0,IF(Perform_Active!$I35=0,0,(System_Mkt_Repl!G360+System_Mkt_NC!H360+Lamp_Mkt_Repl!H70)/(Perform_Active!$I35/Perform_Active!$H35*Tech_Specs!$S34*365.25)*10^9))</f>
        <v>36461.516492776558</v>
      </c>
      <c r="I70" s="540">
        <f>IF(Tech_Specs!$S34=0,0,IF(Perform_Active!$I35=0,0,(System_Mkt_Repl!H360+System_Mkt_NC!I360+Lamp_Mkt_Repl!I70)/(Perform_Active!$I35/Perform_Active!$H35*Tech_Specs!$S34*365.25)*10^9))</f>
        <v>27604.927170792631</v>
      </c>
      <c r="J70" s="540">
        <f>IF(Tech_Specs!$S34=0,0,IF(Perform_Active!$I35=0,0,(System_Mkt_Repl!I360+System_Mkt_NC!J360+Lamp_Mkt_Repl!J70)/(Perform_Active!$I35/Perform_Active!$H35*Tech_Specs!$S34*365.25)*10^9))</f>
        <v>16045.236615748896</v>
      </c>
      <c r="K70" s="540">
        <f>IF(Tech_Specs!$S34=0,0,IF(Perform_Active!$I35=0,0,(System_Mkt_Repl!J360+System_Mkt_NC!K360+Lamp_Mkt_Repl!K70)/(Perform_Active!$I35/Perform_Active!$H35*Tech_Specs!$S34*365.25)*10^9))</f>
        <v>7116.7945588888533</v>
      </c>
      <c r="L70" s="540">
        <f>IF(Tech_Specs!$S34=0,0,IF(Perform_Active!$I35=0,0,(System_Mkt_Repl!K360+System_Mkt_NC!L360+Lamp_Mkt_Repl!L70)/(Perform_Active!$I35/Perform_Active!$H35*Tech_Specs!$S34*365.25)*10^9))</f>
        <v>2590.9767385786872</v>
      </c>
      <c r="M70" s="540">
        <f>IF(Tech_Specs!$S34=0,0,IF(Perform_Active!$I35=0,0,(System_Mkt_Repl!L360+System_Mkt_NC!M360+Lamp_Mkt_Repl!M70)/(Perform_Active!$I35/Perform_Active!$H35*Tech_Specs!$S34*365.25)*10^9))</f>
        <v>794.29540688771931</v>
      </c>
      <c r="N70" s="540">
        <f>IF(Tech_Specs!$S34=0,0,IF(Perform_Active!$I35=0,0,(System_Mkt_Repl!M360+System_Mkt_NC!N360+Lamp_Mkt_Repl!N70)/(Perform_Active!$I35/Perform_Active!$H35*Tech_Specs!$S34*365.25)*10^9))</f>
        <v>230.50979705910424</v>
      </c>
      <c r="O70" s="540">
        <f>IF(Tech_Specs!$S34=0,0,IF(Perform_Active!$I35=0,0,(System_Mkt_Repl!N360+System_Mkt_NC!O360+Lamp_Mkt_Repl!O70)/(Perform_Active!$I35/Perform_Active!$H35*Tech_Specs!$S34*365.25)*10^9))</f>
        <v>66.036927571148482</v>
      </c>
      <c r="P70" s="540">
        <f>IF(Tech_Specs!$S34=0,0,IF(Perform_Active!$I35=0,0,(System_Mkt_Repl!O360+System_Mkt_NC!P360+Lamp_Mkt_Repl!P70)/(Perform_Active!$I35/Perform_Active!$H35*Tech_Specs!$S34*365.25)*10^9))</f>
        <v>19.367610581202232</v>
      </c>
      <c r="Q70" s="540">
        <f>IF(Tech_Specs!$S34=0,0,IF(Perform_Active!$I35=0,0,(System_Mkt_Repl!P360+System_Mkt_NC!Q360+Lamp_Mkt_Repl!Q70)/(Perform_Active!$I35/Perform_Active!$H35*Tech_Specs!$S34*365.25)*10^9))</f>
        <v>5.6988048936984574</v>
      </c>
      <c r="R70" s="540">
        <f>IF(Tech_Specs!$S34=0,0,IF(Perform_Active!$I35=0,0,(System_Mkt_Repl!Q360+System_Mkt_NC!R360+Lamp_Mkt_Repl!R70)/(Perform_Active!$I35/Perform_Active!$H35*Tech_Specs!$S34*365.25)*10^9))</f>
        <v>1.6860650770607737</v>
      </c>
      <c r="S70" s="540">
        <f>IF(Tech_Specs!$S34=0,0,IF(Perform_Active!$I35=0,0,(System_Mkt_Repl!R360+System_Mkt_NC!S360+Lamp_Mkt_Repl!S70)/(Perform_Active!$I35/Perform_Active!$H35*Tech_Specs!$S34*365.25)*10^9))</f>
        <v>0.51001056707699222</v>
      </c>
      <c r="T70" s="540">
        <f>IF(Tech_Specs!$S34=0,0,IF(Perform_Active!$I35=0,0,(System_Mkt_Repl!S360+System_Mkt_NC!T360+Lamp_Mkt_Repl!T70)/(Perform_Active!$I35/Perform_Active!$H35*Tech_Specs!$S34*365.25)*10^9))</f>
        <v>0.15690703511348322</v>
      </c>
      <c r="U70" s="540">
        <f>IF(Tech_Specs!$S34=0,0,IF(Perform_Active!$I35=0,0,(System_Mkt_Repl!T360+System_Mkt_NC!U360+Lamp_Mkt_Repl!U70)/(Perform_Active!$I35/Perform_Active!$H35*Tech_Specs!$S34*365.25)*10^9))</f>
        <v>4.8890191719472169E-2</v>
      </c>
      <c r="V70" s="540">
        <f>IF(Tech_Specs!$S34=0,0,IF(Perform_Active!$I35=0,0,(System_Mkt_Repl!U360+System_Mkt_NC!V360+Lamp_Mkt_Repl!V70)/(Perform_Active!$I35/Perform_Active!$H35*Tech_Specs!$S34*365.25)*10^9))</f>
        <v>1.5610014108278798E-2</v>
      </c>
      <c r="W70" s="540">
        <f>IF(Tech_Specs!$S34=0,0,IF(Perform_Active!$I35=0,0,(System_Mkt_Repl!V360+System_Mkt_NC!W360+Lamp_Mkt_Repl!W70)/(Perform_Active!$I35/Perform_Active!$H35*Tech_Specs!$S34*365.25)*10^9))</f>
        <v>5.0277433651366209E-3</v>
      </c>
      <c r="X70" s="540">
        <f>IF(Tech_Specs!$S34=0,0,IF(Perform_Active!$I35=0,0,(System_Mkt_Repl!W360+System_Mkt_NC!X360+Lamp_Mkt_Repl!X70)/(Perform_Active!$I35/Perform_Active!$H35*Tech_Specs!$S34*365.25)*10^9))</f>
        <v>1.6328291506702529E-3</v>
      </c>
      <c r="Y70" s="540">
        <f>IF(Tech_Specs!$S34=0,0,IF(Perform_Active!$I35=0,0,(System_Mkt_Repl!X360+System_Mkt_NC!Y360+Lamp_Mkt_Repl!Y70)/(Perform_Active!$I35/Perform_Active!$H35*Tech_Specs!$S34*365.25)*10^9))</f>
        <v>5.3330712255444577E-4</v>
      </c>
      <c r="Z70" s="540">
        <f>IF(Tech_Specs!$S34=0,0,IF(Perform_Active!$I35=0,0,(System_Mkt_Repl!Y360+System_Mkt_NC!Z360+Lamp_Mkt_Repl!Z70)/(Perform_Active!$I35/Perform_Active!$H35*Tech_Specs!$S34*365.25)*10^9))</f>
        <v>1.7618483768193228E-4</v>
      </c>
      <c r="AA70" s="540">
        <f>IF(Tech_Specs!$S34=0,0,IF(Perform_Active!$I35=0,0,(System_Mkt_Repl!Z360+System_Mkt_NC!AA360+Lamp_Mkt_Repl!AA70)/(Perform_Active!$I35/Perform_Active!$H35*Tech_Specs!$S34*365.25)*10^9))</f>
        <v>5.9006176364646652E-5</v>
      </c>
      <c r="AB70" s="540">
        <f>IF(Tech_Specs!$S34=0,0,IF(Perform_Active!$I35=0,0,(System_Mkt_Repl!AA360+System_Mkt_NC!AB360+Lamp_Mkt_Repl!AB70)/(Perform_Active!$I35/Perform_Active!$H35*Tech_Specs!$S34*365.25)*10^9))</f>
        <v>1.9771177241178485E-5</v>
      </c>
      <c r="AC70" s="540">
        <f>IF(Tech_Specs!$S34=0,0,IF(Perform_Active!$I35=0,0,(System_Mkt_Repl!AB360+System_Mkt_NC!AC360+Lamp_Mkt_Repl!AC70)/(Perform_Active!$I35/Perform_Active!$H35*Tech_Specs!$S34*365.25)*10^9))</f>
        <v>6.6689960028469183E-6</v>
      </c>
      <c r="AD70" s="540">
        <f>IF(Tech_Specs!$S34=0,0,IF(Perform_Active!$I35=0,0,(System_Mkt_Repl!AC360+System_Mkt_NC!AD360+Lamp_Mkt_Repl!AD70)/(Perform_Active!$I35/Perform_Active!$H35*Tech_Specs!$S34*365.25)*10^9))</f>
        <v>2.2601653473470876E-6</v>
      </c>
      <c r="AE70" s="540">
        <f>IF(Tech_Specs!$S34=0,0,IF(Perform_Active!$I35=0,0,(System_Mkt_Repl!AD360+System_Mkt_NC!AE360+Lamp_Mkt_Repl!AE70)/(Perform_Active!$I35/Perform_Active!$H35*Tech_Specs!$S34*365.25)*10^9))</f>
        <v>7.6693930343385607E-7</v>
      </c>
      <c r="AF70" s="540">
        <f>IF(Tech_Specs!$S34=0,0,IF(Perform_Active!$I35=0,0,(System_Mkt_Repl!AE360+System_Mkt_NC!AF360+Lamp_Mkt_Repl!AF70)/(Perform_Active!$I35/Perform_Active!$H35*Tech_Specs!$S34*365.25)*10^9))</f>
        <v>2.5507343194043365E-7</v>
      </c>
    </row>
    <row r="71" spans="1:32" x14ac:dyDescent="0.25">
      <c r="A71" s="444"/>
      <c r="B71" s="445" t="s">
        <v>50</v>
      </c>
      <c r="G71" s="200"/>
      <c r="H71" s="540">
        <f>IF(Tech_Specs!$S35=0,0,IF(Perform_Active!$I36=0,0,(System_Mkt_Repl!G361+System_Mkt_NC!H361+Lamp_Mkt_Repl!H71)/(Perform_Active!$I36/Perform_Active!$H36*Tech_Specs!$S35*365.25)*10^9))</f>
        <v>980.78009001465409</v>
      </c>
      <c r="I71" s="540">
        <f>IF(Tech_Specs!$S35=0,0,IF(Perform_Active!$I36=0,0,(System_Mkt_Repl!H361+System_Mkt_NC!I361+Lamp_Mkt_Repl!I71)/(Perform_Active!$I36/Perform_Active!$H36*Tech_Specs!$S35*365.25)*10^9))</f>
        <v>893.55678228364411</v>
      </c>
      <c r="J71" s="540">
        <f>IF(Tech_Specs!$S35=0,0,IF(Perform_Active!$I36=0,0,(System_Mkt_Repl!I361+System_Mkt_NC!J361+Lamp_Mkt_Repl!J71)/(Perform_Active!$I36/Perform_Active!$H36*Tech_Specs!$S35*365.25)*10^9))</f>
        <v>737.29977012607276</v>
      </c>
      <c r="K71" s="540">
        <f>IF(Tech_Specs!$S35=0,0,IF(Perform_Active!$I36=0,0,(System_Mkt_Repl!J361+System_Mkt_NC!K361+Lamp_Mkt_Repl!K71)/(Perform_Active!$I36/Perform_Active!$H36*Tech_Specs!$S35*365.25)*10^9))</f>
        <v>543.99884332276076</v>
      </c>
      <c r="L71" s="540">
        <f>IF(Tech_Specs!$S35=0,0,IF(Perform_Active!$I36=0,0,(System_Mkt_Repl!K361+System_Mkt_NC!L361+Lamp_Mkt_Repl!L71)/(Perform_Active!$I36/Perform_Active!$H36*Tech_Specs!$S35*365.25)*10^9))</f>
        <v>376.68108121586209</v>
      </c>
      <c r="M71" s="540">
        <f>IF(Tech_Specs!$S35=0,0,IF(Perform_Active!$I36=0,0,(System_Mkt_Repl!L361+System_Mkt_NC!M361+Lamp_Mkt_Repl!M71)/(Perform_Active!$I36/Perform_Active!$H36*Tech_Specs!$S35*365.25)*10^9))</f>
        <v>243.36558456910248</v>
      </c>
      <c r="N71" s="540">
        <f>IF(Tech_Specs!$S35=0,0,IF(Perform_Active!$I36=0,0,(System_Mkt_Repl!M361+System_Mkt_NC!N361+Lamp_Mkt_Repl!N71)/(Perform_Active!$I36/Perform_Active!$H36*Tech_Specs!$S35*365.25)*10^9))</f>
        <v>155.86328833719281</v>
      </c>
      <c r="O71" s="540">
        <f>IF(Tech_Specs!$S35=0,0,IF(Perform_Active!$I36=0,0,(System_Mkt_Repl!N361+System_Mkt_NC!O361+Lamp_Mkt_Repl!O71)/(Perform_Active!$I36/Perform_Active!$H36*Tech_Specs!$S35*365.25)*10^9))</f>
        <v>101.07012459463938</v>
      </c>
      <c r="P71" s="540">
        <f>IF(Tech_Specs!$S35=0,0,IF(Perform_Active!$I36=0,0,(System_Mkt_Repl!O361+System_Mkt_NC!P361+Lamp_Mkt_Repl!P71)/(Perform_Active!$I36/Perform_Active!$H36*Tech_Specs!$S35*365.25)*10^9))</f>
        <v>67.584287107647384</v>
      </c>
      <c r="Q71" s="540">
        <f>IF(Tech_Specs!$S35=0,0,IF(Perform_Active!$I36=0,0,(System_Mkt_Repl!P361+System_Mkt_NC!Q361+Lamp_Mkt_Repl!Q71)/(Perform_Active!$I36/Perform_Active!$H36*Tech_Specs!$S35*365.25)*10^9))</f>
        <v>45.819306737604812</v>
      </c>
      <c r="R71" s="540">
        <f>IF(Tech_Specs!$S35=0,0,IF(Perform_Active!$I36=0,0,(System_Mkt_Repl!Q361+System_Mkt_NC!R361+Lamp_Mkt_Repl!R71)/(Perform_Active!$I36/Perform_Active!$H36*Tech_Specs!$S35*365.25)*10^9))</f>
        <v>31.337376984502761</v>
      </c>
      <c r="S71" s="540">
        <f>IF(Tech_Specs!$S35=0,0,IF(Perform_Active!$I36=0,0,(System_Mkt_Repl!R361+System_Mkt_NC!S361+Lamp_Mkt_Repl!S71)/(Perform_Active!$I36/Perform_Active!$H36*Tech_Specs!$S35*365.25)*10^9))</f>
        <v>21.901951999614649</v>
      </c>
      <c r="T71" s="540">
        <f>IF(Tech_Specs!$S35=0,0,IF(Perform_Active!$I36=0,0,(System_Mkt_Repl!S361+System_Mkt_NC!T361+Lamp_Mkt_Repl!T71)/(Perform_Active!$I36/Perform_Active!$H36*Tech_Specs!$S35*365.25)*10^9))</f>
        <v>15.53697467896383</v>
      </c>
      <c r="U71" s="540">
        <f>IF(Tech_Specs!$S35=0,0,IF(Perform_Active!$I36=0,0,(System_Mkt_Repl!T361+System_Mkt_NC!U361+Lamp_Mkt_Repl!U71)/(Perform_Active!$I36/Perform_Active!$H36*Tech_Specs!$S35*365.25)*10^9))</f>
        <v>11.139240861184675</v>
      </c>
      <c r="V71" s="540">
        <f>IF(Tech_Specs!$S35=0,0,IF(Perform_Active!$I36=0,0,(System_Mkt_Repl!U361+System_Mkt_NC!V361+Lamp_Mkt_Repl!V71)/(Perform_Active!$I36/Perform_Active!$H36*Tech_Specs!$S35*365.25)*10^9))</f>
        <v>8.1364231842138324</v>
      </c>
      <c r="W71" s="540">
        <f>IF(Tech_Specs!$S35=0,0,IF(Perform_Active!$I36=0,0,(System_Mkt_Repl!V361+System_Mkt_NC!W361+Lamp_Mkt_Repl!W71)/(Perform_Active!$I36/Perform_Active!$H36*Tech_Specs!$S35*365.25)*10^9))</f>
        <v>5.9750410668828895</v>
      </c>
      <c r="X71" s="540">
        <f>IF(Tech_Specs!$S35=0,0,IF(Perform_Active!$I36=0,0,(System_Mkt_Repl!W361+System_Mkt_NC!X361+Lamp_Mkt_Repl!X71)/(Perform_Active!$I36/Perform_Active!$H36*Tech_Specs!$S35*365.25)*10^9))</f>
        <v>4.4067790256342487</v>
      </c>
      <c r="Y71" s="540">
        <f>IF(Tech_Specs!$S35=0,0,IF(Perform_Active!$I36=0,0,(System_Mkt_Repl!X361+System_Mkt_NC!Y361+Lamp_Mkt_Repl!Y71)/(Perform_Active!$I36/Perform_Active!$H36*Tech_Specs!$S35*365.25)*10^9))</f>
        <v>3.2570907926406614</v>
      </c>
      <c r="Z71" s="540">
        <f>IF(Tech_Specs!$S35=0,0,IF(Perform_Active!$I36=0,0,(System_Mkt_Repl!Y361+System_Mkt_NC!Z361+Lamp_Mkt_Repl!Z71)/(Perform_Active!$I36/Perform_Active!$H36*Tech_Specs!$S35*365.25)*10^9))</f>
        <v>2.4233873105222092</v>
      </c>
      <c r="AA71" s="540">
        <f>IF(Tech_Specs!$S35=0,0,IF(Perform_Active!$I36=0,0,(System_Mkt_Repl!Z361+System_Mkt_NC!AA361+Lamp_Mkt_Repl!AA71)/(Perform_Active!$I36/Perform_Active!$H36*Tech_Specs!$S35*365.25)*10^9))</f>
        <v>1.8177039451381565</v>
      </c>
      <c r="AB71" s="540">
        <f>IF(Tech_Specs!$S35=0,0,IF(Perform_Active!$I36=0,0,(System_Mkt_Repl!AA361+System_Mkt_NC!AB361+Lamp_Mkt_Repl!AB71)/(Perform_Active!$I36/Perform_Active!$H36*Tech_Specs!$S35*365.25)*10^9))</f>
        <v>1.3614449254285841</v>
      </c>
      <c r="AC71" s="540">
        <f>IF(Tech_Specs!$S35=0,0,IF(Perform_Active!$I36=0,0,(System_Mkt_Repl!AB361+System_Mkt_NC!AC361+Lamp_Mkt_Repl!AC71)/(Perform_Active!$I36/Perform_Active!$H36*Tech_Specs!$S35*365.25)*10^9))</f>
        <v>1.0197519930650885</v>
      </c>
      <c r="AD71" s="540">
        <f>IF(Tech_Specs!$S35=0,0,IF(Perform_Active!$I36=0,0,(System_Mkt_Repl!AC361+System_Mkt_NC!AD361+Lamp_Mkt_Repl!AD71)/(Perform_Active!$I36/Perform_Active!$H36*Tech_Specs!$S35*365.25)*10^9))</f>
        <v>0.76387535371588167</v>
      </c>
      <c r="AE71" s="540">
        <f>IF(Tech_Specs!$S35=0,0,IF(Perform_Active!$I36=0,0,(System_Mkt_Repl!AD361+System_Mkt_NC!AE361+Lamp_Mkt_Repl!AE71)/(Perform_Active!$I36/Perform_Active!$H36*Tech_Specs!$S35*365.25)*10^9))</f>
        <v>0.57073359658168943</v>
      </c>
      <c r="AF71" s="540">
        <f>IF(Tech_Specs!$S35=0,0,IF(Perform_Active!$I36=0,0,(System_Mkt_Repl!AE361+System_Mkt_NC!AF361+Lamp_Mkt_Repl!AF71)/(Perform_Active!$I36/Perform_Active!$H36*Tech_Specs!$S35*365.25)*10^9))</f>
        <v>0.41876266798864326</v>
      </c>
    </row>
    <row r="72" spans="1:32" x14ac:dyDescent="0.25">
      <c r="A72" s="444"/>
      <c r="B72" s="444" t="s">
        <v>51</v>
      </c>
      <c r="G72" s="200"/>
      <c r="H72" s="540">
        <f>IF(Tech_Specs!$S36=0,0,IF(Perform_Active!$I37=0,0,(System_Mkt_Repl!G362+System_Mkt_NC!H362+Lamp_Mkt_Repl!H72)/(Perform_Active!$I37/Perform_Active!$H37*Tech_Specs!$S36*365.25)*10^9))</f>
        <v>631.17580786103724</v>
      </c>
      <c r="I72" s="540">
        <f>IF(Tech_Specs!$S36=0,0,IF(Perform_Active!$I37=0,0,(System_Mkt_Repl!H362+System_Mkt_NC!I362+Lamp_Mkt_Repl!I72)/(Perform_Active!$I37/Perform_Active!$H37*Tech_Specs!$S36*365.25)*10^9))</f>
        <v>622.37404171569597</v>
      </c>
      <c r="J72" s="540">
        <f>IF(Tech_Specs!$S36=0,0,IF(Perform_Active!$I37=0,0,(System_Mkt_Repl!I362+System_Mkt_NC!J362+Lamp_Mkt_Repl!J72)/(Perform_Active!$I37/Perform_Active!$H37*Tech_Specs!$S36*365.25)*10^9))</f>
        <v>598.93634350325692</v>
      </c>
      <c r="K72" s="540">
        <f>IF(Tech_Specs!$S36=0,0,IF(Perform_Active!$I37=0,0,(System_Mkt_Repl!J362+System_Mkt_NC!K362+Lamp_Mkt_Repl!K72)/(Perform_Active!$I37/Perform_Active!$H37*Tech_Specs!$S36*365.25)*10^9))</f>
        <v>559.50029719529675</v>
      </c>
      <c r="L72" s="540">
        <f>IF(Tech_Specs!$S36=0,0,IF(Perform_Active!$I37=0,0,(System_Mkt_Repl!K362+System_Mkt_NC!L362+Lamp_Mkt_Repl!L72)/(Perform_Active!$I37/Perform_Active!$H37*Tech_Specs!$S36*365.25)*10^9))</f>
        <v>513.94229676712837</v>
      </c>
      <c r="M72" s="540">
        <f>IF(Tech_Specs!$S36=0,0,IF(Perform_Active!$I37=0,0,(System_Mkt_Repl!L362+System_Mkt_NC!M362+Lamp_Mkt_Repl!M72)/(Perform_Active!$I37/Perform_Active!$H37*Tech_Specs!$S36*365.25)*10^9))</f>
        <v>462.64617746695797</v>
      </c>
      <c r="N72" s="540">
        <f>IF(Tech_Specs!$S36=0,0,IF(Perform_Active!$I37=0,0,(System_Mkt_Repl!M362+System_Mkt_NC!N362+Lamp_Mkt_Repl!N72)/(Perform_Active!$I37/Perform_Active!$H37*Tech_Specs!$S36*365.25)*10^9))</f>
        <v>410.36676671908845</v>
      </c>
      <c r="O72" s="540">
        <f>IF(Tech_Specs!$S36=0,0,IF(Perform_Active!$I37=0,0,(System_Mkt_Repl!N362+System_Mkt_NC!O362+Lamp_Mkt_Repl!O72)/(Perform_Active!$I37/Perform_Active!$H37*Tech_Specs!$S36*365.25)*10^9))</f>
        <v>361.53856831363129</v>
      </c>
      <c r="P72" s="540">
        <f>IF(Tech_Specs!$S36=0,0,IF(Perform_Active!$I37=0,0,(System_Mkt_Repl!O362+System_Mkt_NC!P362+Lamp_Mkt_Repl!P72)/(Perform_Active!$I37/Perform_Active!$H37*Tech_Specs!$S36*365.25)*10^9))</f>
        <v>318.1611191698243</v>
      </c>
      <c r="Q72" s="540">
        <f>IF(Tech_Specs!$S36=0,0,IF(Perform_Active!$I37=0,0,(System_Mkt_Repl!P362+System_Mkt_NC!Q362+Lamp_Mkt_Repl!Q72)/(Perform_Active!$I37/Perform_Active!$H37*Tech_Specs!$S36*365.25)*10^9))</f>
        <v>279.76765808835881</v>
      </c>
      <c r="R72" s="540">
        <f>IF(Tech_Specs!$S36=0,0,IF(Perform_Active!$I37=0,0,(System_Mkt_Repl!Q362+System_Mkt_NC!R362+Lamp_Mkt_Repl!R72)/(Perform_Active!$I37/Perform_Active!$H37*Tech_Specs!$S36*365.25)*10^9))</f>
        <v>246.27637793908679</v>
      </c>
      <c r="S72" s="540">
        <f>IF(Tech_Specs!$S36=0,0,IF(Perform_Active!$I37=0,0,(System_Mkt_Repl!R362+System_Mkt_NC!S362+Lamp_Mkt_Repl!S72)/(Perform_Active!$I37/Perform_Active!$H37*Tech_Specs!$S36*365.25)*10^9))</f>
        <v>218.13390274896469</v>
      </c>
      <c r="T72" s="540">
        <f>IF(Tech_Specs!$S36=0,0,IF(Perform_Active!$I37=0,0,(System_Mkt_Repl!S362+System_Mkt_NC!T362+Lamp_Mkt_Repl!T72)/(Perform_Active!$I37/Perform_Active!$H37*Tech_Specs!$S36*365.25)*10^9))</f>
        <v>193.98903700851974</v>
      </c>
      <c r="U72" s="540">
        <f>IF(Tech_Specs!$S36=0,0,IF(Perform_Active!$I37=0,0,(System_Mkt_Repl!T362+System_Mkt_NC!U362+Lamp_Mkt_Repl!U72)/(Perform_Active!$I37/Perform_Active!$H37*Tech_Specs!$S36*365.25)*10^9))</f>
        <v>173.2261863488628</v>
      </c>
      <c r="V72" s="540">
        <f>IF(Tech_Specs!$S36=0,0,IF(Perform_Active!$I37=0,0,(System_Mkt_Repl!U362+System_Mkt_NC!V362+Lamp_Mkt_Repl!V72)/(Perform_Active!$I37/Perform_Active!$H37*Tech_Specs!$S36*365.25)*10^9))</f>
        <v>155.72628409540664</v>
      </c>
      <c r="W72" s="540">
        <f>IF(Tech_Specs!$S36=0,0,IF(Perform_Active!$I37=0,0,(System_Mkt_Repl!V362+System_Mkt_NC!W362+Lamp_Mkt_Repl!W72)/(Perform_Active!$I37/Perform_Active!$H37*Tech_Specs!$S36*365.25)*10^9))</f>
        <v>140.40558479228332</v>
      </c>
      <c r="X72" s="540">
        <f>IF(Tech_Specs!$S36=0,0,IF(Perform_Active!$I37=0,0,(System_Mkt_Repl!W362+System_Mkt_NC!X362+Lamp_Mkt_Repl!X72)/(Perform_Active!$I37/Perform_Active!$H37*Tech_Specs!$S36*365.25)*10^9))</f>
        <v>126.89205432458517</v>
      </c>
      <c r="Y72" s="540">
        <f>IF(Tech_Specs!$S36=0,0,IF(Perform_Active!$I37=0,0,(System_Mkt_Repl!X362+System_Mkt_NC!Y362+Lamp_Mkt_Repl!Y72)/(Perform_Active!$I37/Perform_Active!$H37*Tech_Specs!$S36*365.25)*10^9))</f>
        <v>114.91446802816967</v>
      </c>
      <c r="Z72" s="540">
        <f>IF(Tech_Specs!$S36=0,0,IF(Perform_Active!$I37=0,0,(System_Mkt_Repl!Y362+System_Mkt_NC!Z362+Lamp_Mkt_Repl!Z72)/(Perform_Active!$I37/Perform_Active!$H37*Tech_Specs!$S36*365.25)*10^9))</f>
        <v>104.33550314581329</v>
      </c>
      <c r="AA72" s="540">
        <f>IF(Tech_Specs!$S36=0,0,IF(Perform_Active!$I37=0,0,(System_Mkt_Repl!Z362+System_Mkt_NC!AA362+Lamp_Mkt_Repl!AA72)/(Perform_Active!$I37/Perform_Active!$H37*Tech_Specs!$S36*365.25)*10^9))</f>
        <v>95.10760977678629</v>
      </c>
      <c r="AB72" s="540">
        <f>IF(Tech_Specs!$S36=0,0,IF(Perform_Active!$I37=0,0,(System_Mkt_Repl!AA362+System_Mkt_NC!AB362+Lamp_Mkt_Repl!AB72)/(Perform_Active!$I37/Perform_Active!$H37*Tech_Specs!$S36*365.25)*10^9))</f>
        <v>86.930677560025543</v>
      </c>
      <c r="AC72" s="540">
        <f>IF(Tech_Specs!$S36=0,0,IF(Perform_Active!$I37=0,0,(System_Mkt_Repl!AB362+System_Mkt_NC!AC362+Lamp_Mkt_Repl!AC72)/(Perform_Active!$I37/Perform_Active!$H37*Tech_Specs!$S36*365.25)*10^9))</f>
        <v>79.402424166233288</v>
      </c>
      <c r="AD72" s="540">
        <f>IF(Tech_Specs!$S36=0,0,IF(Perform_Active!$I37=0,0,(System_Mkt_Repl!AC362+System_Mkt_NC!AD362+Lamp_Mkt_Repl!AD72)/(Perform_Active!$I37/Perform_Active!$H37*Tech_Specs!$S36*365.25)*10^9))</f>
        <v>72.475847166417765</v>
      </c>
      <c r="AE72" s="540">
        <f>IF(Tech_Specs!$S36=0,0,IF(Perform_Active!$I37=0,0,(System_Mkt_Repl!AD362+System_Mkt_NC!AE362+Lamp_Mkt_Repl!AE72)/(Perform_Active!$I37/Perform_Active!$H37*Tech_Specs!$S36*365.25)*10^9))</f>
        <v>66.143933500859987</v>
      </c>
      <c r="AF72" s="540">
        <f>IF(Tech_Specs!$S36=0,0,IF(Perform_Active!$I37=0,0,(System_Mkt_Repl!AE362+System_Mkt_NC!AF362+Lamp_Mkt_Repl!AF72)/(Perform_Active!$I37/Perform_Active!$H37*Tech_Specs!$S36*365.25)*10^9))</f>
        <v>60.194877216185581</v>
      </c>
    </row>
    <row r="73" spans="1:32" x14ac:dyDescent="0.25">
      <c r="A73" s="444"/>
      <c r="B73" s="444" t="s">
        <v>52</v>
      </c>
      <c r="G73" s="200"/>
      <c r="H73" s="540">
        <f>IF(Tech_Specs!$S37=0,0,IF(Perform_Active!$I38=0,0,(System_Mkt_Repl!G363+System_Mkt_NC!H363+Lamp_Mkt_Repl!H73)/(Perform_Active!$I38/Perform_Active!$H38*Tech_Specs!$S37*365.25)*10^9))</f>
        <v>866.24711133058804</v>
      </c>
      <c r="I73" s="540">
        <f>IF(Tech_Specs!$S37=0,0,IF(Perform_Active!$I38=0,0,(System_Mkt_Repl!H363+System_Mkt_NC!I363+Lamp_Mkt_Repl!I73)/(Perform_Active!$I38/Perform_Active!$H38*Tech_Specs!$S37*365.25)*10^9))</f>
        <v>814.85935645257553</v>
      </c>
      <c r="J73" s="540">
        <f>IF(Tech_Specs!$S37=0,0,IF(Perform_Active!$I38=0,0,(System_Mkt_Repl!I363+System_Mkt_NC!J363+Lamp_Mkt_Repl!J73)/(Perform_Active!$I38/Perform_Active!$H38*Tech_Specs!$S37*365.25)*10^9))</f>
        <v>734.90790276413986</v>
      </c>
      <c r="K73" s="540">
        <f>IF(Tech_Specs!$S37=0,0,IF(Perform_Active!$I38=0,0,(System_Mkt_Repl!J363+System_Mkt_NC!K363+Lamp_Mkt_Repl!K73)/(Perform_Active!$I38/Perform_Active!$H38*Tech_Specs!$S37*365.25)*10^9))</f>
        <v>640.17322595444762</v>
      </c>
      <c r="L73" s="540">
        <f>IF(Tech_Specs!$S37=0,0,IF(Perform_Active!$I38=0,0,(System_Mkt_Repl!K363+System_Mkt_NC!L363+Lamp_Mkt_Repl!L73)/(Perform_Active!$I38/Perform_Active!$H38*Tech_Specs!$S37*365.25)*10^9))</f>
        <v>553.80881656698909</v>
      </c>
      <c r="M73" s="540">
        <f>IF(Tech_Specs!$S37=0,0,IF(Perform_Active!$I38=0,0,(System_Mkt_Repl!L363+System_Mkt_NC!M363+Lamp_Mkt_Repl!M73)/(Perform_Active!$I38/Perform_Active!$H38*Tech_Specs!$S37*365.25)*10^9))</f>
        <v>478.14602856811541</v>
      </c>
      <c r="N73" s="540">
        <f>IF(Tech_Specs!$S37=0,0,IF(Perform_Active!$I38=0,0,(System_Mkt_Repl!M363+System_Mkt_NC!N363+Lamp_Mkt_Repl!N73)/(Perform_Active!$I38/Perform_Active!$H38*Tech_Specs!$S37*365.25)*10^9))</f>
        <v>416.66422133378109</v>
      </c>
      <c r="O73" s="540">
        <f>IF(Tech_Specs!$S37=0,0,IF(Perform_Active!$I38=0,0,(System_Mkt_Repl!N363+System_Mkt_NC!O363+Lamp_Mkt_Repl!O73)/(Perform_Active!$I38/Perform_Active!$H38*Tech_Specs!$S37*365.25)*10^9))</f>
        <v>368.29607540980646</v>
      </c>
      <c r="P73" s="540">
        <f>IF(Tech_Specs!$S37=0,0,IF(Perform_Active!$I38=0,0,(System_Mkt_Repl!O363+System_Mkt_NC!P363+Lamp_Mkt_Repl!P73)/(Perform_Active!$I38/Perform_Active!$H38*Tech_Specs!$S37*365.25)*10^9))</f>
        <v>330.28976997410012</v>
      </c>
      <c r="Q73" s="540">
        <f>IF(Tech_Specs!$S37=0,0,IF(Perform_Active!$I38=0,0,(System_Mkt_Repl!P363+System_Mkt_NC!Q363+Lamp_Mkt_Repl!Q73)/(Perform_Active!$I38/Perform_Active!$H38*Tech_Specs!$S37*365.25)*10^9))</f>
        <v>299.26513879386374</v>
      </c>
      <c r="R73" s="540">
        <f>IF(Tech_Specs!$S37=0,0,IF(Perform_Active!$I38=0,0,(System_Mkt_Repl!Q363+System_Mkt_NC!R363+Lamp_Mkt_Repl!R73)/(Perform_Active!$I38/Perform_Active!$H38*Tech_Specs!$S37*365.25)*10^9))</f>
        <v>273.39065179492411</v>
      </c>
      <c r="S73" s="540">
        <f>IF(Tech_Specs!$S37=0,0,IF(Perform_Active!$I38=0,0,(System_Mkt_Repl!R363+System_Mkt_NC!S363+Lamp_Mkt_Repl!S73)/(Perform_Active!$I38/Perform_Active!$H38*Tech_Specs!$S37*365.25)*10^9))</f>
        <v>251.80231123159203</v>
      </c>
      <c r="T73" s="540">
        <f>IF(Tech_Specs!$S37=0,0,IF(Perform_Active!$I38=0,0,(System_Mkt_Repl!S363+System_Mkt_NC!T363+Lamp_Mkt_Repl!T73)/(Perform_Active!$I38/Perform_Active!$H38*Tech_Specs!$S37*365.25)*10^9))</f>
        <v>233.13393850006781</v>
      </c>
      <c r="U73" s="540">
        <f>IF(Tech_Specs!$S37=0,0,IF(Perform_Active!$I38=0,0,(System_Mkt_Repl!T363+System_Mkt_NC!U363+Lamp_Mkt_Repl!U73)/(Perform_Active!$I38/Perform_Active!$H38*Tech_Specs!$S37*365.25)*10^9))</f>
        <v>216.70647018589202</v>
      </c>
      <c r="V73" s="540">
        <f>IF(Tech_Specs!$S37=0,0,IF(Perform_Active!$I38=0,0,(System_Mkt_Repl!U363+System_Mkt_NC!V363+Lamp_Mkt_Repl!V73)/(Perform_Active!$I38/Perform_Active!$H38*Tech_Specs!$S37*365.25)*10^9))</f>
        <v>202.25391216817715</v>
      </c>
      <c r="W73" s="540">
        <f>IF(Tech_Specs!$S37=0,0,IF(Perform_Active!$I38=0,0,(System_Mkt_Repl!V363+System_Mkt_NC!W363+Lamp_Mkt_Repl!W73)/(Perform_Active!$I38/Perform_Active!$H38*Tech_Specs!$S37*365.25)*10^9))</f>
        <v>189.14302227671203</v>
      </c>
      <c r="X73" s="540">
        <f>IF(Tech_Specs!$S37=0,0,IF(Perform_Active!$I38=0,0,(System_Mkt_Repl!W363+System_Mkt_NC!X363+Lamp_Mkt_Repl!X73)/(Perform_Active!$I38/Perform_Active!$H38*Tech_Specs!$S37*365.25)*10^9))</f>
        <v>177.14416847146788</v>
      </c>
      <c r="Y73" s="540">
        <f>IF(Tech_Specs!$S37=0,0,IF(Perform_Active!$I38=0,0,(System_Mkt_Repl!X363+System_Mkt_NC!Y363+Lamp_Mkt_Repl!Y73)/(Perform_Active!$I38/Perform_Active!$H38*Tech_Specs!$S37*365.25)*10^9))</f>
        <v>166.09927114625768</v>
      </c>
      <c r="Z73" s="540">
        <f>IF(Tech_Specs!$S37=0,0,IF(Perform_Active!$I38=0,0,(System_Mkt_Repl!Y363+System_Mkt_NC!Z363+Lamp_Mkt_Repl!Z73)/(Perform_Active!$I38/Perform_Active!$H38*Tech_Specs!$S37*365.25)*10^9))</f>
        <v>155.98071387814713</v>
      </c>
      <c r="AA73" s="540">
        <f>IF(Tech_Specs!$S37=0,0,IF(Perform_Active!$I38=0,0,(System_Mkt_Repl!Z363+System_Mkt_NC!AA363+Lamp_Mkt_Repl!AA73)/(Perform_Active!$I38/Perform_Active!$H38*Tech_Specs!$S37*365.25)*10^9))</f>
        <v>146.6901763645088</v>
      </c>
      <c r="AB73" s="540">
        <f>IF(Tech_Specs!$S37=0,0,IF(Perform_Active!$I38=0,0,(System_Mkt_Repl!AA363+System_Mkt_NC!AB363+Lamp_Mkt_Repl!AB73)/(Perform_Active!$I38/Perform_Active!$H38*Tech_Specs!$S37*365.25)*10^9))</f>
        <v>138.08392377781672</v>
      </c>
      <c r="AC73" s="540">
        <f>IF(Tech_Specs!$S37=0,0,IF(Perform_Active!$I38=0,0,(System_Mkt_Repl!AB363+System_Mkt_NC!AC363+Lamp_Mkt_Repl!AC73)/(Perform_Active!$I38/Perform_Active!$H38*Tech_Specs!$S37*365.25)*10^9))</f>
        <v>129.93660739553169</v>
      </c>
      <c r="AD73" s="540">
        <f>IF(Tech_Specs!$S37=0,0,IF(Perform_Active!$I38=0,0,(System_Mkt_Repl!AC363+System_Mkt_NC!AD363+Lamp_Mkt_Repl!AD73)/(Perform_Active!$I38/Perform_Active!$H38*Tech_Specs!$S37*365.25)*10^9))</f>
        <v>122.30530956214858</v>
      </c>
      <c r="AE73" s="540">
        <f>IF(Tech_Specs!$S37=0,0,IF(Perform_Active!$I38=0,0,(System_Mkt_Repl!AD363+System_Mkt_NC!AE363+Lamp_Mkt_Repl!AE73)/(Perform_Active!$I38/Perform_Active!$H38*Tech_Specs!$S37*365.25)*10^9))</f>
        <v>115.13404976936883</v>
      </c>
      <c r="AF73" s="540">
        <f>IF(Tech_Specs!$S37=0,0,IF(Perform_Active!$I38=0,0,(System_Mkt_Repl!AE363+System_Mkt_NC!AF363+Lamp_Mkt_Repl!AF73)/(Perform_Active!$I38/Perform_Active!$H38*Tech_Specs!$S37*365.25)*10^9))</f>
        <v>108.31593415130992</v>
      </c>
    </row>
    <row r="74" spans="1:32" x14ac:dyDescent="0.25">
      <c r="A74" s="444"/>
      <c r="B74" s="445" t="s">
        <v>29</v>
      </c>
      <c r="G74" s="200"/>
      <c r="H74" s="540">
        <f>IF(Tech_Specs!$S38=0,0,IF(Perform_Active!$I39=0,0,(System_Mkt_Repl!G364+System_Mkt_NC!H364+Lamp_Mkt_Repl!H74)/(Perform_Active!$I39/Perform_Active!$H39*Tech_Specs!$S38*365.25)*10^9))</f>
        <v>1796.722535068169</v>
      </c>
      <c r="I74" s="540">
        <f>IF(Tech_Specs!$S38=0,0,IF(Perform_Active!$I39=0,0,(System_Mkt_Repl!H364+System_Mkt_NC!I364+Lamp_Mkt_Repl!I74)/(Perform_Active!$I39/Perform_Active!$H39*Tech_Specs!$S38*365.25)*10^9))</f>
        <v>4855.6473500865941</v>
      </c>
      <c r="J74" s="540">
        <f>IF(Tech_Specs!$S38=0,0,IF(Perform_Active!$I39=0,0,(System_Mkt_Repl!I364+System_Mkt_NC!J364+Lamp_Mkt_Repl!J74)/(Perform_Active!$I39/Perform_Active!$H39*Tech_Specs!$S38*365.25)*10^9))</f>
        <v>7343.8210595950359</v>
      </c>
      <c r="K74" s="540">
        <f>IF(Tech_Specs!$S38=0,0,IF(Perform_Active!$I39=0,0,(System_Mkt_Repl!J364+System_Mkt_NC!K364+Lamp_Mkt_Repl!K74)/(Perform_Active!$I39/Perform_Active!$H39*Tech_Specs!$S38*365.25)*10^9))</f>
        <v>7603.2778055230056</v>
      </c>
      <c r="L74" s="540">
        <f>IF(Tech_Specs!$S38=0,0,IF(Perform_Active!$I39=0,0,(System_Mkt_Repl!K364+System_Mkt_NC!L364+Lamp_Mkt_Repl!L74)/(Perform_Active!$I39/Perform_Active!$H39*Tech_Specs!$S38*365.25)*10^9))</f>
        <v>6346.6908224306426</v>
      </c>
      <c r="M74" s="540">
        <f>IF(Tech_Specs!$S38=0,0,IF(Perform_Active!$I39=0,0,(System_Mkt_Repl!L364+System_Mkt_NC!M364+Lamp_Mkt_Repl!M74)/(Perform_Active!$I39/Perform_Active!$H39*Tech_Specs!$S38*365.25)*10^9))</f>
        <v>5107.7142145695907</v>
      </c>
      <c r="N74" s="540">
        <f>IF(Tech_Specs!$S38=0,0,IF(Perform_Active!$I39=0,0,(System_Mkt_Repl!M364+System_Mkt_NC!N364+Lamp_Mkt_Repl!N74)/(Perform_Active!$I39/Perform_Active!$H39*Tech_Specs!$S38*365.25)*10^9))</f>
        <v>4336.6524899708174</v>
      </c>
      <c r="O74" s="540">
        <f>IF(Tech_Specs!$S38=0,0,IF(Perform_Active!$I39=0,0,(System_Mkt_Repl!N364+System_Mkt_NC!O364+Lamp_Mkt_Repl!O74)/(Perform_Active!$I39/Perform_Active!$H39*Tech_Specs!$S38*365.25)*10^9))</f>
        <v>3995.597839715841</v>
      </c>
      <c r="P74" s="540">
        <f>IF(Tech_Specs!$S38=0,0,IF(Perform_Active!$I39=0,0,(System_Mkt_Repl!O364+System_Mkt_NC!P364+Lamp_Mkt_Repl!P74)/(Perform_Active!$I39/Perform_Active!$H39*Tech_Specs!$S38*365.25)*10^9))</f>
        <v>3882.527169470206</v>
      </c>
      <c r="Q74" s="540">
        <f>IF(Tech_Specs!$S38=0,0,IF(Perform_Active!$I39=0,0,(System_Mkt_Repl!P364+System_Mkt_NC!Q364+Lamp_Mkt_Repl!Q74)/(Perform_Active!$I39/Perform_Active!$H39*Tech_Specs!$S38*365.25)*10^9))</f>
        <v>3868.4677442608963</v>
      </c>
      <c r="R74" s="540">
        <f>IF(Tech_Specs!$S38=0,0,IF(Perform_Active!$I39=0,0,(System_Mkt_Repl!Q364+System_Mkt_NC!R364+Lamp_Mkt_Repl!R74)/(Perform_Active!$I39/Perform_Active!$H39*Tech_Specs!$S38*365.25)*10^9))</f>
        <v>3881.4554755096387</v>
      </c>
      <c r="S74" s="540">
        <f>IF(Tech_Specs!$S38=0,0,IF(Perform_Active!$I39=0,0,(System_Mkt_Repl!R364+System_Mkt_NC!S364+Lamp_Mkt_Repl!S74)/(Perform_Active!$I39/Perform_Active!$H39*Tech_Specs!$S38*365.25)*10^9))</f>
        <v>3919.7248204566049</v>
      </c>
      <c r="T74" s="540">
        <f>IF(Tech_Specs!$S38=0,0,IF(Perform_Active!$I39=0,0,(System_Mkt_Repl!S364+System_Mkt_NC!T364+Lamp_Mkt_Repl!T74)/(Perform_Active!$I39/Perform_Active!$H39*Tech_Specs!$S38*365.25)*10^9))</f>
        <v>3961.1598493599186</v>
      </c>
      <c r="U74" s="540">
        <f>IF(Tech_Specs!$S38=0,0,IF(Perform_Active!$I39=0,0,(System_Mkt_Repl!T364+System_Mkt_NC!U364+Lamp_Mkt_Repl!U74)/(Perform_Active!$I39/Perform_Active!$H39*Tech_Specs!$S38*365.25)*10^9))</f>
        <v>4002.7594682368331</v>
      </c>
      <c r="V74" s="540">
        <f>IF(Tech_Specs!$S38=0,0,IF(Perform_Active!$I39=0,0,(System_Mkt_Repl!U364+System_Mkt_NC!V364+Lamp_Mkt_Repl!V74)/(Perform_Active!$I39/Perform_Active!$H39*Tech_Specs!$S38*365.25)*10^9))</f>
        <v>4050.6529014124703</v>
      </c>
      <c r="W74" s="540">
        <f>IF(Tech_Specs!$S38=0,0,IF(Perform_Active!$I39=0,0,(System_Mkt_Repl!V364+System_Mkt_NC!W364+Lamp_Mkt_Repl!W74)/(Perform_Active!$I39/Perform_Active!$H39*Tech_Specs!$S38*365.25)*10^9))</f>
        <v>4093.1076958905091</v>
      </c>
      <c r="X74" s="540">
        <f>IF(Tech_Specs!$S38=0,0,IF(Perform_Active!$I39=0,0,(System_Mkt_Repl!W364+System_Mkt_NC!X364+Lamp_Mkt_Repl!X74)/(Perform_Active!$I39/Perform_Active!$H39*Tech_Specs!$S38*365.25)*10^9))</f>
        <v>4128.7781752197961</v>
      </c>
      <c r="Y74" s="540">
        <f>IF(Tech_Specs!$S38=0,0,IF(Perform_Active!$I39=0,0,(System_Mkt_Repl!X364+System_Mkt_NC!Y364+Lamp_Mkt_Repl!Y74)/(Perform_Active!$I39/Perform_Active!$H39*Tech_Specs!$S38*365.25)*10^9))</f>
        <v>4160.1716905224084</v>
      </c>
      <c r="Z74" s="540">
        <f>IF(Tech_Specs!$S38=0,0,IF(Perform_Active!$I39=0,0,(System_Mkt_Repl!Y364+System_Mkt_NC!Z364+Lamp_Mkt_Repl!Z74)/(Perform_Active!$I39/Perform_Active!$H39*Tech_Specs!$S38*365.25)*10^9))</f>
        <v>4196.4598154840933</v>
      </c>
      <c r="AA74" s="540">
        <f>IF(Tech_Specs!$S38=0,0,IF(Perform_Active!$I39=0,0,(System_Mkt_Repl!Z364+System_Mkt_NC!AA364+Lamp_Mkt_Repl!AA74)/(Perform_Active!$I39/Perform_Active!$H39*Tech_Specs!$S38*365.25)*10^9))</f>
        <v>4240.8546513991532</v>
      </c>
      <c r="AB74" s="540">
        <f>IF(Tech_Specs!$S38=0,0,IF(Perform_Active!$I39=0,0,(System_Mkt_Repl!AA364+System_Mkt_NC!AB364+Lamp_Mkt_Repl!AB74)/(Perform_Active!$I39/Perform_Active!$H39*Tech_Specs!$S38*365.25)*10^9))</f>
        <v>4298.2474151318947</v>
      </c>
      <c r="AC74" s="540">
        <f>IF(Tech_Specs!$S38=0,0,IF(Perform_Active!$I39=0,0,(System_Mkt_Repl!AB364+System_Mkt_NC!AC364+Lamp_Mkt_Repl!AC74)/(Perform_Active!$I39/Perform_Active!$H39*Tech_Specs!$S38*365.25)*10^9))</f>
        <v>4337.7027912692711</v>
      </c>
      <c r="AD74" s="540">
        <f>IF(Tech_Specs!$S38=0,0,IF(Perform_Active!$I39=0,0,(System_Mkt_Repl!AC364+System_Mkt_NC!AD364+Lamp_Mkt_Repl!AD74)/(Perform_Active!$I39/Perform_Active!$H39*Tech_Specs!$S38*365.25)*10^9))</f>
        <v>4375.8826947629668</v>
      </c>
      <c r="AE74" s="540">
        <f>IF(Tech_Specs!$S38=0,0,IF(Perform_Active!$I39=0,0,(System_Mkt_Repl!AD364+System_Mkt_NC!AE364+Lamp_Mkt_Repl!AE74)/(Perform_Active!$I39/Perform_Active!$H39*Tech_Specs!$S38*365.25)*10^9))</f>
        <v>4412.8369724248387</v>
      </c>
      <c r="AF74" s="540">
        <f>IF(Tech_Specs!$S38=0,0,IF(Perform_Active!$I39=0,0,(System_Mkt_Repl!AE364+System_Mkt_NC!AF364+Lamp_Mkt_Repl!AF74)/(Perform_Active!$I39/Perform_Active!$H39*Tech_Specs!$S38*365.25)*10^9))</f>
        <v>4448.6010628235781</v>
      </c>
    </row>
    <row r="75" spans="1:32" x14ac:dyDescent="0.25">
      <c r="A75" s="444"/>
      <c r="B75" s="445" t="s">
        <v>53</v>
      </c>
      <c r="G75" s="200"/>
      <c r="H75" s="540">
        <f>IF(Tech_Specs!$S39=0,0,IF(Perform_Active!$I40=0,0,(System_Mkt_Repl!G365+System_Mkt_NC!H365+Lamp_Mkt_Repl!H75)/(Perform_Active!$I40/Perform_Active!$H40*Tech_Specs!$S39*365.25)*10^9))</f>
        <v>21.751383058983368</v>
      </c>
      <c r="I75" s="540">
        <f>IF(Tech_Specs!$S39=0,0,IF(Perform_Active!$I40=0,0,(System_Mkt_Repl!H365+System_Mkt_NC!I365+Lamp_Mkt_Repl!I75)/(Perform_Active!$I40/Perform_Active!$H40*Tech_Specs!$S39*365.25)*10^9))</f>
        <v>21.322232689159996</v>
      </c>
      <c r="J75" s="540">
        <f>IF(Tech_Specs!$S39=0,0,IF(Perform_Active!$I40=0,0,(System_Mkt_Repl!I365+System_Mkt_NC!J365+Lamp_Mkt_Repl!J75)/(Perform_Active!$I40/Perform_Active!$H40*Tech_Specs!$S39*365.25)*10^9))</f>
        <v>20.409524103082095</v>
      </c>
      <c r="K75" s="540">
        <f>IF(Tech_Specs!$S39=0,0,IF(Perform_Active!$I40=0,0,(System_Mkt_Repl!J365+System_Mkt_NC!K365+Lamp_Mkt_Repl!K75)/(Perform_Active!$I40/Perform_Active!$H40*Tech_Specs!$S39*365.25)*10^9))</f>
        <v>18.995106952693803</v>
      </c>
      <c r="L75" s="540">
        <f>IF(Tech_Specs!$S39=0,0,IF(Perform_Active!$I40=0,0,(System_Mkt_Repl!K365+System_Mkt_NC!L365+Lamp_Mkt_Repl!L75)/(Perform_Active!$I40/Perform_Active!$H40*Tech_Specs!$S39*365.25)*10^9))</f>
        <v>17.490319867555204</v>
      </c>
      <c r="M75" s="540">
        <f>IF(Tech_Specs!$S39=0,0,IF(Perform_Active!$I40=0,0,(System_Mkt_Repl!L365+System_Mkt_NC!M365+Lamp_Mkt_Repl!M75)/(Perform_Active!$I40/Perform_Active!$H40*Tech_Specs!$S39*365.25)*10^9))</f>
        <v>15.877415833848294</v>
      </c>
      <c r="N75" s="540">
        <f>IF(Tech_Specs!$S39=0,0,IF(Perform_Active!$I40=0,0,(System_Mkt_Repl!M365+System_Mkt_NC!N365+Lamp_Mkt_Repl!N75)/(Perform_Active!$I40/Perform_Active!$H40*Tech_Specs!$S39*365.25)*10^9))</f>
        <v>14.298982010883671</v>
      </c>
      <c r="O75" s="540">
        <f>IF(Tech_Specs!$S39=0,0,IF(Perform_Active!$I40=0,0,(System_Mkt_Repl!N365+System_Mkt_NC!O365+Lamp_Mkt_Repl!O75)/(Perform_Active!$I40/Perform_Active!$H40*Tech_Specs!$S39*365.25)*10^9))</f>
        <v>12.876472063769427</v>
      </c>
      <c r="P75" s="540">
        <f>IF(Tech_Specs!$S39=0,0,IF(Perform_Active!$I40=0,0,(System_Mkt_Repl!O365+System_Mkt_NC!P365+Lamp_Mkt_Repl!P75)/(Perform_Active!$I40/Perform_Active!$H40*Tech_Specs!$S39*365.25)*10^9))</f>
        <v>11.644193065248389</v>
      </c>
      <c r="Q75" s="540">
        <f>IF(Tech_Specs!$S39=0,0,IF(Perform_Active!$I40=0,0,(System_Mkt_Repl!P365+System_Mkt_NC!Q365+Lamp_Mkt_Repl!Q75)/(Perform_Active!$I40/Perform_Active!$H40*Tech_Specs!$S39*365.25)*10^9))</f>
        <v>10.562758862623667</v>
      </c>
      <c r="R75" s="540">
        <f>IF(Tech_Specs!$S39=0,0,IF(Perform_Active!$I40=0,0,(System_Mkt_Repl!Q365+System_Mkt_NC!R365+Lamp_Mkt_Repl!R75)/(Perform_Active!$I40/Perform_Active!$H40*Tech_Specs!$S39*365.25)*10^9))</f>
        <v>9.6138522890167621</v>
      </c>
      <c r="S75" s="540">
        <f>IF(Tech_Specs!$S39=0,0,IF(Perform_Active!$I40=0,0,(System_Mkt_Repl!R365+System_Mkt_NC!S365+Lamp_Mkt_Repl!S75)/(Perform_Active!$I40/Perform_Active!$H40*Tech_Specs!$S39*365.25)*10^9))</f>
        <v>8.8172519539168572</v>
      </c>
      <c r="T75" s="540">
        <f>IF(Tech_Specs!$S39=0,0,IF(Perform_Active!$I40=0,0,(System_Mkt_Repl!S365+System_Mkt_NC!T365+Lamp_Mkt_Repl!T75)/(Perform_Active!$I40/Perform_Active!$H40*Tech_Specs!$S39*365.25)*10^9))</f>
        <v>8.1233015993333471</v>
      </c>
      <c r="U75" s="540">
        <f>IF(Tech_Specs!$S39=0,0,IF(Perform_Active!$I40=0,0,(System_Mkt_Repl!T365+System_Mkt_NC!U365+Lamp_Mkt_Repl!U75)/(Perform_Active!$I40/Perform_Active!$H40*Tech_Specs!$S39*365.25)*10^9))</f>
        <v>7.5140429816456491</v>
      </c>
      <c r="V75" s="540">
        <f>IF(Tech_Specs!$S39=0,0,IF(Perform_Active!$I40=0,0,(System_Mkt_Repl!U365+System_Mkt_NC!V365+Lamp_Mkt_Repl!V75)/(Perform_Active!$I40/Perform_Active!$H40*Tech_Specs!$S39*365.25)*10^9))</f>
        <v>6.9908727387835201</v>
      </c>
      <c r="W75" s="540">
        <f>IF(Tech_Specs!$S39=0,0,IF(Perform_Active!$I40=0,0,(System_Mkt_Repl!V365+System_Mkt_NC!W365+Lamp_Mkt_Repl!W75)/(Perform_Active!$I40/Perform_Active!$H40*Tech_Specs!$S39*365.25)*10^9))</f>
        <v>6.518449214155142</v>
      </c>
      <c r="X75" s="540">
        <f>IF(Tech_Specs!$S39=0,0,IF(Perform_Active!$I40=0,0,(System_Mkt_Repl!W365+System_Mkt_NC!X365+Lamp_Mkt_Repl!X75)/(Perform_Active!$I40/Perform_Active!$H40*Tech_Specs!$S39*365.25)*10^9))</f>
        <v>6.0878140577055229</v>
      </c>
      <c r="Y75" s="540">
        <f>IF(Tech_Specs!$S39=0,0,IF(Perform_Active!$I40=0,0,(System_Mkt_Repl!X365+System_Mkt_NC!Y365+Lamp_Mkt_Repl!Y75)/(Perform_Active!$I40/Perform_Active!$H40*Tech_Specs!$S39*365.25)*10^9))</f>
        <v>5.6936512934196122</v>
      </c>
      <c r="Z75" s="540">
        <f>IF(Tech_Specs!$S39=0,0,IF(Perform_Active!$I40=0,0,(System_Mkt_Repl!Y365+System_Mkt_NC!Z365+Lamp_Mkt_Repl!Z75)/(Perform_Active!$I40/Perform_Active!$H40*Tech_Specs!$S39*365.25)*10^9))</f>
        <v>5.3399491108874999</v>
      </c>
      <c r="AA75" s="540">
        <f>IF(Tech_Specs!$S39=0,0,IF(Perform_Active!$I40=0,0,(System_Mkt_Repl!Z365+System_Mkt_NC!AA365+Lamp_Mkt_Repl!AA75)/(Perform_Active!$I40/Perform_Active!$H40*Tech_Specs!$S39*365.25)*10^9))</f>
        <v>5.0229026460336952</v>
      </c>
      <c r="AB75" s="540">
        <f>IF(Tech_Specs!$S39=0,0,IF(Perform_Active!$I40=0,0,(System_Mkt_Repl!AA365+System_Mkt_NC!AB365+Lamp_Mkt_Repl!AB75)/(Perform_Active!$I40/Perform_Active!$H40*Tech_Specs!$S39*365.25)*10^9))</f>
        <v>4.7346366560474245</v>
      </c>
      <c r="AC75" s="540">
        <f>IF(Tech_Specs!$S39=0,0,IF(Perform_Active!$I40=0,0,(System_Mkt_Repl!AB365+System_Mkt_NC!AC365+Lamp_Mkt_Repl!AC75)/(Perform_Active!$I40/Perform_Active!$H40*Tech_Specs!$S39*365.25)*10^9))</f>
        <v>4.4545061029215889</v>
      </c>
      <c r="AD75" s="540">
        <f>IF(Tech_Specs!$S39=0,0,IF(Perform_Active!$I40=0,0,(System_Mkt_Repl!AC365+System_Mkt_NC!AD365+Lamp_Mkt_Repl!AD75)/(Perform_Active!$I40/Perform_Active!$H40*Tech_Specs!$S39*365.25)*10^9))</f>
        <v>4.1918709566480299</v>
      </c>
      <c r="AE75" s="540">
        <f>IF(Tech_Specs!$S39=0,0,IF(Perform_Active!$I40=0,0,(System_Mkt_Repl!AD365+System_Mkt_NC!AE365+Lamp_Mkt_Repl!AE75)/(Perform_Active!$I40/Perform_Active!$H40*Tech_Specs!$S39*365.25)*10^9))</f>
        <v>3.943965125934918</v>
      </c>
      <c r="AF75" s="540">
        <f>IF(Tech_Specs!$S39=0,0,IF(Perform_Active!$I40=0,0,(System_Mkt_Repl!AE365+System_Mkt_NC!AF365+Lamp_Mkt_Repl!AF75)/(Perform_Active!$I40/Perform_Active!$H40*Tech_Specs!$S39*365.25)*10^9))</f>
        <v>3.7035498388874588</v>
      </c>
    </row>
    <row r="76" spans="1:32" x14ac:dyDescent="0.25">
      <c r="G76" s="205"/>
    </row>
    <row r="77" spans="1:32" x14ac:dyDescent="0.25">
      <c r="G77" s="208">
        <v>2010</v>
      </c>
      <c r="H77" s="208">
        <v>2011</v>
      </c>
      <c r="I77" s="208">
        <v>2012</v>
      </c>
      <c r="J77" s="208">
        <v>2013</v>
      </c>
      <c r="K77" s="208">
        <v>2014</v>
      </c>
      <c r="L77" s="208">
        <v>2015</v>
      </c>
      <c r="M77" s="208">
        <v>2016</v>
      </c>
      <c r="N77" s="208">
        <v>2017</v>
      </c>
      <c r="O77" s="208">
        <v>2018</v>
      </c>
      <c r="P77" s="208">
        <v>2019</v>
      </c>
      <c r="Q77" s="208">
        <v>2020</v>
      </c>
      <c r="R77" s="208">
        <v>2021</v>
      </c>
      <c r="S77" s="208">
        <v>2022</v>
      </c>
      <c r="T77" s="208">
        <v>2023</v>
      </c>
      <c r="U77" s="208">
        <v>2024</v>
      </c>
      <c r="V77" s="208">
        <v>2025</v>
      </c>
      <c r="W77" s="208">
        <v>2026</v>
      </c>
      <c r="X77" s="208">
        <v>2027</v>
      </c>
      <c r="Y77" s="208">
        <v>2028</v>
      </c>
      <c r="Z77" s="208">
        <v>2029</v>
      </c>
      <c r="AA77" s="208">
        <v>2030</v>
      </c>
      <c r="AB77" s="208">
        <v>2031</v>
      </c>
      <c r="AC77" s="208">
        <v>2032</v>
      </c>
      <c r="AD77" s="208">
        <v>2033</v>
      </c>
      <c r="AE77" s="208">
        <v>2034</v>
      </c>
      <c r="AF77" s="208">
        <v>2035</v>
      </c>
    </row>
    <row r="78" spans="1:32" x14ac:dyDescent="0.25">
      <c r="A78" s="398" t="s">
        <v>234</v>
      </c>
      <c r="B78" s="399"/>
      <c r="C78" s="398"/>
      <c r="D78" s="394"/>
      <c r="E78" s="394"/>
      <c r="F78" s="394"/>
      <c r="G78" s="394"/>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c r="AF78" s="407"/>
    </row>
    <row r="79" spans="1:32" x14ac:dyDescent="0.25">
      <c r="A79" s="446" t="s">
        <v>12</v>
      </c>
      <c r="B79" s="444"/>
    </row>
    <row r="80" spans="1:32" x14ac:dyDescent="0.25">
      <c r="A80" s="444"/>
      <c r="B80" s="444" t="s">
        <v>20</v>
      </c>
    </row>
    <row r="81" spans="1:32" s="402" customFormat="1" ht="12.75" x14ac:dyDescent="0.2">
      <c r="A81" s="402" t="s">
        <v>21</v>
      </c>
    </row>
    <row r="82" spans="1:32" x14ac:dyDescent="0.25">
      <c r="A82" s="444"/>
      <c r="B82" s="444" t="s">
        <v>22</v>
      </c>
      <c r="G82" s="200"/>
      <c r="H82" s="201">
        <f ca="1">IFERROR(H45/SUM(H$45:H$48),)</f>
        <v>0.69987530312395618</v>
      </c>
      <c r="I82" s="201">
        <f t="shared" ref="I82:AF85" ca="1" si="0">IFERROR(I45/SUM(I$45:I$48),)</f>
        <v>0.63444463767460157</v>
      </c>
      <c r="J82" s="201">
        <f t="shared" ca="1" si="0"/>
        <v>0.44235587370099144</v>
      </c>
      <c r="K82" s="201">
        <f t="shared" ca="1" si="0"/>
        <v>0.32372888148002954</v>
      </c>
      <c r="L82" s="201">
        <f t="shared" ca="1" si="0"/>
        <v>0.22022700242247631</v>
      </c>
      <c r="M82" s="201">
        <f t="shared" ca="1" si="0"/>
        <v>8.6539944749471465E-2</v>
      </c>
      <c r="N82" s="201">
        <f t="shared" ca="1" si="0"/>
        <v>7.8847718859794635E-2</v>
      </c>
      <c r="O82" s="201">
        <f t="shared" ca="1" si="0"/>
        <v>7.129630129994434E-2</v>
      </c>
      <c r="P82" s="201">
        <f t="shared" ca="1" si="0"/>
        <v>6.4127197042845169E-2</v>
      </c>
      <c r="Q82" s="201">
        <f t="shared" ca="1" si="0"/>
        <v>5.6523871014331706E-2</v>
      </c>
      <c r="R82" s="201">
        <f t="shared" ca="1" si="0"/>
        <v>4.8785314898384974E-2</v>
      </c>
      <c r="S82" s="201">
        <f t="shared" ca="1" si="0"/>
        <v>4.1563650131334971E-2</v>
      </c>
      <c r="T82" s="201">
        <f t="shared" ca="1" si="0"/>
        <v>3.5017453228992364E-2</v>
      </c>
      <c r="U82" s="201">
        <f t="shared" ca="1" si="0"/>
        <v>2.9221606501095142E-2</v>
      </c>
      <c r="V82" s="201">
        <f t="shared" ca="1" si="0"/>
        <v>2.4405310119561572E-2</v>
      </c>
      <c r="W82" s="201">
        <f t="shared" ca="1" si="0"/>
        <v>2.0344777794058584E-2</v>
      </c>
      <c r="X82" s="201">
        <f t="shared" ca="1" si="0"/>
        <v>1.6985319995201375E-2</v>
      </c>
      <c r="Y82" s="201">
        <f t="shared" ca="1" si="0"/>
        <v>1.4225728010763878E-2</v>
      </c>
      <c r="Z82" s="201">
        <f t="shared" ca="1" si="0"/>
        <v>1.2012240285292807E-2</v>
      </c>
      <c r="AA82" s="201">
        <f t="shared" ca="1" si="0"/>
        <v>1.0256719966920628E-2</v>
      </c>
      <c r="AB82" s="201">
        <f t="shared" ca="1" si="0"/>
        <v>8.7808974557537604E-3</v>
      </c>
      <c r="AC82" s="201">
        <f t="shared" ca="1" si="0"/>
        <v>7.5956041257885572E-3</v>
      </c>
      <c r="AD82" s="201">
        <f t="shared" ca="1" si="0"/>
        <v>6.6089216932185601E-3</v>
      </c>
      <c r="AE82" s="201">
        <f t="shared" ca="1" si="0"/>
        <v>5.7684772514177331E-3</v>
      </c>
      <c r="AF82" s="201">
        <f t="shared" ca="1" si="0"/>
        <v>4.9697829301913318E-3</v>
      </c>
    </row>
    <row r="83" spans="1:32" x14ac:dyDescent="0.25">
      <c r="A83" s="444"/>
      <c r="B83" s="444" t="s">
        <v>26</v>
      </c>
      <c r="G83" s="200"/>
      <c r="H83" s="201">
        <f ca="1">IFERROR(H46/SUM(H$45:H$48),)</f>
        <v>1.3266415473511865E-2</v>
      </c>
      <c r="I83" s="201">
        <f t="shared" ref="I83:W83" ca="1" si="1">IFERROR(I46/SUM(I$45:I$48),)</f>
        <v>5.9146082754970311E-2</v>
      </c>
      <c r="J83" s="201">
        <f t="shared" ca="1" si="1"/>
        <v>0.18476590167567988</v>
      </c>
      <c r="K83" s="201">
        <f t="shared" ca="1" si="1"/>
        <v>0.27477497518750665</v>
      </c>
      <c r="L83" s="201">
        <f t="shared" ca="1" si="1"/>
        <v>0.31241860943490513</v>
      </c>
      <c r="M83" s="201">
        <f t="shared" ca="1" si="1"/>
        <v>0.35224099919332241</v>
      </c>
      <c r="N83" s="201">
        <f t="shared" ca="1" si="1"/>
        <v>0.33373553921928489</v>
      </c>
      <c r="O83" s="201">
        <f t="shared" ca="1" si="1"/>
        <v>0.31275441188261127</v>
      </c>
      <c r="P83" s="201">
        <f t="shared" ca="1" si="1"/>
        <v>0.29051371998893005</v>
      </c>
      <c r="Q83" s="201">
        <f t="shared" ca="1" si="1"/>
        <v>0.26499264466495775</v>
      </c>
      <c r="R83" s="201">
        <f t="shared" ca="1" si="1"/>
        <v>0.23747885149013023</v>
      </c>
      <c r="S83" s="201">
        <f t="shared" ca="1" si="1"/>
        <v>0.21053737517939455</v>
      </c>
      <c r="T83" s="201">
        <f t="shared" ca="1" si="1"/>
        <v>0.18505492467495327</v>
      </c>
      <c r="U83" s="201">
        <f t="shared" ca="1" si="1"/>
        <v>0.16163788289240374</v>
      </c>
      <c r="V83" s="201">
        <f t="shared" ca="1" si="1"/>
        <v>0.14152826457805634</v>
      </c>
      <c r="W83" s="201">
        <f t="shared" ca="1" si="1"/>
        <v>0.12405844040047355</v>
      </c>
      <c r="X83" s="201">
        <f t="shared" ca="1" si="0"/>
        <v>0.10920040463558235</v>
      </c>
      <c r="Y83" s="201">
        <f t="shared" ca="1" si="0"/>
        <v>9.6658870697270707E-2</v>
      </c>
      <c r="Z83" s="201">
        <f t="shared" ca="1" si="0"/>
        <v>8.6364903416170147E-2</v>
      </c>
      <c r="AA83" s="201">
        <f t="shared" ca="1" si="0"/>
        <v>7.8045634418572513E-2</v>
      </c>
      <c r="AB83" s="201">
        <f t="shared" ca="1" si="0"/>
        <v>7.0864439509218835E-2</v>
      </c>
      <c r="AC83" s="201">
        <f t="shared" ca="1" si="0"/>
        <v>6.4915018350317419E-2</v>
      </c>
      <c r="AD83" s="201">
        <f t="shared" ca="1" si="0"/>
        <v>5.9819307606717997E-2</v>
      </c>
      <c r="AE83" s="201">
        <f t="shared" ca="1" si="0"/>
        <v>5.5313473174891797E-2</v>
      </c>
      <c r="AF83" s="201">
        <f t="shared" ca="1" si="0"/>
        <v>5.0711975789023728E-2</v>
      </c>
    </row>
    <row r="84" spans="1:32" x14ac:dyDescent="0.25">
      <c r="A84" s="444"/>
      <c r="B84" s="444" t="s">
        <v>27</v>
      </c>
      <c r="G84" s="200"/>
      <c r="H84" s="201">
        <f ca="1">IFERROR(H47/SUM(H$45:H$48),)</f>
        <v>0.28399663430450151</v>
      </c>
      <c r="I84" s="201">
        <f t="shared" ca="1" si="0"/>
        <v>0.29890028870913538</v>
      </c>
      <c r="J84" s="201">
        <f t="shared" ca="1" si="0"/>
        <v>0.36027849243411542</v>
      </c>
      <c r="K84" s="201">
        <f t="shared" ca="1" si="0"/>
        <v>0.37966759780612158</v>
      </c>
      <c r="L84" s="201">
        <f t="shared" ca="1" si="0"/>
        <v>0.43040145359815934</v>
      </c>
      <c r="M84" s="201">
        <f t="shared" ca="1" si="0"/>
        <v>0.49903709082298608</v>
      </c>
      <c r="N84" s="201">
        <f t="shared" ca="1" si="0"/>
        <v>0.4889824091029355</v>
      </c>
      <c r="O84" s="201">
        <f t="shared" ca="1" si="0"/>
        <v>0.47011646391150763</v>
      </c>
      <c r="P84" s="201">
        <f t="shared" ca="1" si="0"/>
        <v>0.44289773931263082</v>
      </c>
      <c r="Q84" s="201">
        <f t="shared" ca="1" si="0"/>
        <v>0.41227831333043474</v>
      </c>
      <c r="R84" s="201">
        <f t="shared" ca="1" si="0"/>
        <v>0.38024894062427106</v>
      </c>
      <c r="S84" s="201">
        <f t="shared" ca="1" si="0"/>
        <v>0.34708896431156167</v>
      </c>
      <c r="T84" s="201">
        <f t="shared" ca="1" si="0"/>
        <v>0.31493158883883682</v>
      </c>
      <c r="U84" s="201">
        <f t="shared" ca="1" si="0"/>
        <v>0.28518614128468384</v>
      </c>
      <c r="V84" s="201">
        <f t="shared" ca="1" si="0"/>
        <v>0.2584755122875772</v>
      </c>
      <c r="W84" s="201">
        <f t="shared" ca="1" si="0"/>
        <v>0.23553232389236065</v>
      </c>
      <c r="X84" s="201">
        <f t="shared" ca="1" si="0"/>
        <v>0.21625625850827074</v>
      </c>
      <c r="Y84" s="201">
        <f t="shared" ca="1" si="0"/>
        <v>0.20033580973949097</v>
      </c>
      <c r="Z84" s="201">
        <f t="shared" ca="1" si="0"/>
        <v>0.18734264367430306</v>
      </c>
      <c r="AA84" s="201">
        <f t="shared" ca="1" si="0"/>
        <v>0.17686034835252507</v>
      </c>
      <c r="AB84" s="201">
        <f t="shared" ca="1" si="0"/>
        <v>0.16837282999930209</v>
      </c>
      <c r="AC84" s="201">
        <f t="shared" ca="1" si="0"/>
        <v>0.16149131477690992</v>
      </c>
      <c r="AD84" s="201">
        <f t="shared" ca="1" si="0"/>
        <v>0.15586538963390112</v>
      </c>
      <c r="AE84" s="201">
        <f t="shared" ca="1" si="0"/>
        <v>0.15118098231617824</v>
      </c>
      <c r="AF84" s="201">
        <f t="shared" ca="1" si="0"/>
        <v>0.14699654317773916</v>
      </c>
    </row>
    <row r="85" spans="1:32" x14ac:dyDescent="0.25">
      <c r="A85" s="444"/>
      <c r="B85" s="444" t="s">
        <v>29</v>
      </c>
      <c r="G85" s="200"/>
      <c r="H85" s="201">
        <f ca="1">IFERROR(H48/SUM(H$45:H$48),)</f>
        <v>2.861647098030422E-3</v>
      </c>
      <c r="I85" s="201">
        <f t="shared" ca="1" si="0"/>
        <v>7.5089908612926649E-3</v>
      </c>
      <c r="J85" s="201">
        <f t="shared" ca="1" si="0"/>
        <v>1.2599732189213115E-2</v>
      </c>
      <c r="K85" s="201">
        <f t="shared" ca="1" si="0"/>
        <v>2.1828545526342266E-2</v>
      </c>
      <c r="L85" s="201">
        <f t="shared" ca="1" si="0"/>
        <v>3.6952934544459262E-2</v>
      </c>
      <c r="M85" s="201">
        <f t="shared" ca="1" si="0"/>
        <v>6.2181965234219941E-2</v>
      </c>
      <c r="N85" s="201">
        <f t="shared" ca="1" si="0"/>
        <v>9.8434332817984971E-2</v>
      </c>
      <c r="O85" s="201">
        <f t="shared" ca="1" si="0"/>
        <v>0.14583282290593669</v>
      </c>
      <c r="P85" s="201">
        <f t="shared" ca="1" si="0"/>
        <v>0.2024613436555939</v>
      </c>
      <c r="Q85" s="201">
        <f t="shared" ca="1" si="0"/>
        <v>0.26620517099027569</v>
      </c>
      <c r="R85" s="201">
        <f t="shared" ca="1" si="0"/>
        <v>0.33348689298721379</v>
      </c>
      <c r="S85" s="201">
        <f t="shared" ca="1" si="0"/>
        <v>0.40081001037770886</v>
      </c>
      <c r="T85" s="201">
        <f t="shared" ca="1" si="0"/>
        <v>0.46499603325721761</v>
      </c>
      <c r="U85" s="201">
        <f t="shared" ca="1" si="0"/>
        <v>0.52395436932181727</v>
      </c>
      <c r="V85" s="201">
        <f t="shared" ca="1" si="0"/>
        <v>0.57559091301480492</v>
      </c>
      <c r="W85" s="201">
        <f t="shared" ca="1" si="0"/>
        <v>0.62006445791310727</v>
      </c>
      <c r="X85" s="201">
        <f t="shared" ca="1" si="0"/>
        <v>0.6575580168609455</v>
      </c>
      <c r="Y85" s="201">
        <f t="shared" ca="1" si="0"/>
        <v>0.68877959155247448</v>
      </c>
      <c r="Z85" s="201">
        <f t="shared" ca="1" si="0"/>
        <v>0.71428021262423391</v>
      </c>
      <c r="AA85" s="201">
        <f t="shared" ca="1" si="0"/>
        <v>0.73483729726198188</v>
      </c>
      <c r="AB85" s="201">
        <f t="shared" ca="1" si="0"/>
        <v>0.7519818330357253</v>
      </c>
      <c r="AC85" s="201">
        <f t="shared" ca="1" si="0"/>
        <v>0.76599806274698412</v>
      </c>
      <c r="AD85" s="201">
        <f t="shared" ca="1" si="0"/>
        <v>0.7777063810661623</v>
      </c>
      <c r="AE85" s="201">
        <f t="shared" ca="1" si="0"/>
        <v>0.78773706725751225</v>
      </c>
      <c r="AF85" s="201">
        <f t="shared" ca="1" si="0"/>
        <v>0.79732169810304587</v>
      </c>
    </row>
    <row r="86" spans="1:32" x14ac:dyDescent="0.25">
      <c r="A86" s="444"/>
      <c r="B86" s="444"/>
      <c r="G86" s="200"/>
    </row>
    <row r="87" spans="1:32" s="402" customFormat="1" ht="12.75" x14ac:dyDescent="0.2">
      <c r="A87" s="402" t="s">
        <v>32</v>
      </c>
      <c r="G87" s="241"/>
    </row>
    <row r="88" spans="1:32" x14ac:dyDescent="0.25">
      <c r="A88" s="444"/>
      <c r="B88" s="444" t="s">
        <v>33</v>
      </c>
      <c r="G88" s="200"/>
      <c r="H88" s="201">
        <f>IFERROR(H51/SUM(H$51:H$54),)</f>
        <v>0.36335851012542691</v>
      </c>
      <c r="I88" s="201">
        <f t="shared" ref="I88:AF91" si="2">IFERROR(I51/SUM(I$51:I$54),)</f>
        <v>0.38350052431555925</v>
      </c>
      <c r="J88" s="201">
        <f t="shared" si="2"/>
        <v>0.39500954558530582</v>
      </c>
      <c r="K88" s="201">
        <f t="shared" si="2"/>
        <v>0.39484699192159894</v>
      </c>
      <c r="L88" s="201">
        <f t="shared" si="2"/>
        <v>0.36668290642245821</v>
      </c>
      <c r="M88" s="201">
        <f t="shared" si="2"/>
        <v>0.32935041671029314</v>
      </c>
      <c r="N88" s="201">
        <f t="shared" si="2"/>
        <v>0.29266934716113774</v>
      </c>
      <c r="O88" s="201">
        <f t="shared" si="2"/>
        <v>0.25667257468555738</v>
      </c>
      <c r="P88" s="201">
        <f t="shared" si="2"/>
        <v>0.22335279547553796</v>
      </c>
      <c r="Q88" s="201">
        <f t="shared" si="2"/>
        <v>0.19115428734029843</v>
      </c>
      <c r="R88" s="201">
        <f t="shared" si="2"/>
        <v>0.1610148392039264</v>
      </c>
      <c r="S88" s="201">
        <f t="shared" si="2"/>
        <v>0.1345859254067498</v>
      </c>
      <c r="T88" s="201">
        <f t="shared" si="2"/>
        <v>0.1118580110771412</v>
      </c>
      <c r="U88" s="201">
        <f t="shared" si="2"/>
        <v>9.2691765296034179E-2</v>
      </c>
      <c r="V88" s="201">
        <f t="shared" si="2"/>
        <v>7.7398589298579276E-2</v>
      </c>
      <c r="W88" s="201">
        <f t="shared" si="2"/>
        <v>6.5006005470982869E-2</v>
      </c>
      <c r="X88" s="201">
        <f t="shared" si="2"/>
        <v>5.5115849837700098E-2</v>
      </c>
      <c r="Y88" s="201">
        <f t="shared" si="2"/>
        <v>4.7215660755597841E-2</v>
      </c>
      <c r="Z88" s="201">
        <f t="shared" si="2"/>
        <v>4.1039591796962968E-2</v>
      </c>
      <c r="AA88" s="201">
        <f t="shared" si="2"/>
        <v>3.6247514975679414E-2</v>
      </c>
      <c r="AB88" s="201">
        <f t="shared" si="2"/>
        <v>3.2226619900210703E-2</v>
      </c>
      <c r="AC88" s="201">
        <f t="shared" si="2"/>
        <v>2.8925886110207164E-2</v>
      </c>
      <c r="AD88" s="201">
        <f t="shared" si="2"/>
        <v>2.6125470724998236E-2</v>
      </c>
      <c r="AE88" s="201">
        <f t="shared" si="2"/>
        <v>2.3649685636669995E-2</v>
      </c>
      <c r="AF88" s="201">
        <f t="shared" si="2"/>
        <v>2.1108729608357413E-2</v>
      </c>
    </row>
    <row r="89" spans="1:32" x14ac:dyDescent="0.25">
      <c r="A89" s="445"/>
      <c r="B89" s="445" t="s">
        <v>34</v>
      </c>
      <c r="G89" s="200"/>
      <c r="H89" s="201">
        <f>IFERROR(H52/SUM(H$51:H$54),)</f>
        <v>0.53064139786958697</v>
      </c>
      <c r="I89" s="201">
        <f t="shared" ref="I89:W89" si="3">IFERROR(I52/SUM(I$51:I$54),)</f>
        <v>0.49585197094365879</v>
      </c>
      <c r="J89" s="201">
        <f t="shared" si="3"/>
        <v>0.4534149029089688</v>
      </c>
      <c r="K89" s="201">
        <f t="shared" si="3"/>
        <v>0.40696397059228073</v>
      </c>
      <c r="L89" s="201">
        <f t="shared" si="3"/>
        <v>0.38753845854178071</v>
      </c>
      <c r="M89" s="201">
        <f t="shared" si="3"/>
        <v>0.36553698623600073</v>
      </c>
      <c r="N89" s="201">
        <f t="shared" si="3"/>
        <v>0.33906326483494476</v>
      </c>
      <c r="O89" s="201">
        <f t="shared" si="3"/>
        <v>0.31006347154453689</v>
      </c>
      <c r="P89" s="201">
        <f t="shared" si="3"/>
        <v>0.28010345251098778</v>
      </c>
      <c r="Q89" s="201">
        <f t="shared" si="3"/>
        <v>0.25069255465814588</v>
      </c>
      <c r="R89" s="201">
        <f t="shared" si="3"/>
        <v>0.22267607457191818</v>
      </c>
      <c r="S89" s="201">
        <f t="shared" si="3"/>
        <v>0.19682228252251319</v>
      </c>
      <c r="T89" s="201">
        <f t="shared" si="3"/>
        <v>0.17363407680792614</v>
      </c>
      <c r="U89" s="201">
        <f t="shared" si="3"/>
        <v>0.15341534689768999</v>
      </c>
      <c r="V89" s="201">
        <f t="shared" si="3"/>
        <v>0.13655183609819055</v>
      </c>
      <c r="W89" s="201">
        <f t="shared" si="3"/>
        <v>0.1226192507294129</v>
      </c>
      <c r="X89" s="201">
        <f t="shared" si="2"/>
        <v>0.11132190613579451</v>
      </c>
      <c r="Y89" s="201">
        <f t="shared" si="2"/>
        <v>0.10222602980995064</v>
      </c>
      <c r="Z89" s="201">
        <f t="shared" si="2"/>
        <v>9.5089829644942239E-2</v>
      </c>
      <c r="AA89" s="201">
        <f t="shared" si="2"/>
        <v>8.9589511704774097E-2</v>
      </c>
      <c r="AB89" s="201">
        <f t="shared" si="2"/>
        <v>8.5073266849835669E-2</v>
      </c>
      <c r="AC89" s="201">
        <f t="shared" si="2"/>
        <v>8.1343573516052883E-2</v>
      </c>
      <c r="AD89" s="201">
        <f t="shared" si="2"/>
        <v>7.8184090894125355E-2</v>
      </c>
      <c r="AE89" s="201">
        <f t="shared" si="2"/>
        <v>7.5373443273019702E-2</v>
      </c>
      <c r="AF89" s="201">
        <f t="shared" si="2"/>
        <v>7.2293783621796837E-2</v>
      </c>
    </row>
    <row r="90" spans="1:32" x14ac:dyDescent="0.25">
      <c r="A90" s="444"/>
      <c r="B90" s="445" t="s">
        <v>35</v>
      </c>
      <c r="G90" s="200"/>
      <c r="H90" s="201">
        <f>IFERROR(H53/SUM(H$51:H$54),)</f>
        <v>9.9367046388733421E-2</v>
      </c>
      <c r="I90" s="201">
        <f t="shared" si="2"/>
        <v>9.9798959919403255E-2</v>
      </c>
      <c r="J90" s="201">
        <f t="shared" si="2"/>
        <v>0.1022912057245781</v>
      </c>
      <c r="K90" s="201">
        <f t="shared" si="2"/>
        <v>0.10595220519341579</v>
      </c>
      <c r="L90" s="201">
        <f t="shared" si="2"/>
        <v>0.10201799845799257</v>
      </c>
      <c r="M90" s="201">
        <f t="shared" si="2"/>
        <v>9.9092227087610313E-2</v>
      </c>
      <c r="N90" s="201">
        <f t="shared" si="2"/>
        <v>9.4045787736404873E-2</v>
      </c>
      <c r="O90" s="201">
        <f t="shared" si="2"/>
        <v>8.7816124129404885E-2</v>
      </c>
      <c r="P90" s="201">
        <f t="shared" si="2"/>
        <v>8.0636809220343122E-2</v>
      </c>
      <c r="Q90" s="201">
        <f t="shared" si="2"/>
        <v>7.3716683161679147E-2</v>
      </c>
      <c r="R90" s="201">
        <f t="shared" si="2"/>
        <v>6.7250805980541756E-2</v>
      </c>
      <c r="S90" s="201">
        <f t="shared" si="2"/>
        <v>6.1104501337737337E-2</v>
      </c>
      <c r="T90" s="201">
        <f t="shared" si="2"/>
        <v>5.5496239799574368E-2</v>
      </c>
      <c r="U90" s="201">
        <f t="shared" si="2"/>
        <v>5.0581713878802184E-2</v>
      </c>
      <c r="V90" s="201">
        <f t="shared" si="2"/>
        <v>4.6363494923692745E-2</v>
      </c>
      <c r="W90" s="201">
        <f t="shared" si="2"/>
        <v>4.2917700732869768E-2</v>
      </c>
      <c r="X90" s="201">
        <f t="shared" si="2"/>
        <v>4.0172164496652493E-2</v>
      </c>
      <c r="Y90" s="201">
        <f t="shared" si="2"/>
        <v>3.8038227882209563E-2</v>
      </c>
      <c r="Z90" s="201">
        <f t="shared" si="2"/>
        <v>3.6422921078021087E-2</v>
      </c>
      <c r="AA90" s="201">
        <f t="shared" si="2"/>
        <v>3.523414889886136E-2</v>
      </c>
      <c r="AB90" s="201">
        <f t="shared" si="2"/>
        <v>3.4379305532252387E-2</v>
      </c>
      <c r="AC90" s="201">
        <f t="shared" si="2"/>
        <v>3.3723119636639536E-2</v>
      </c>
      <c r="AD90" s="201">
        <f t="shared" si="2"/>
        <v>3.3231620711896656E-2</v>
      </c>
      <c r="AE90" s="201">
        <f t="shared" si="2"/>
        <v>3.2860986165816904E-2</v>
      </c>
      <c r="AF90" s="201">
        <f t="shared" si="2"/>
        <v>3.2520853202718164E-2</v>
      </c>
    </row>
    <row r="91" spans="1:32" x14ac:dyDescent="0.25">
      <c r="A91" s="444"/>
      <c r="B91" s="445" t="s">
        <v>29</v>
      </c>
      <c r="G91" s="200"/>
      <c r="H91" s="201">
        <f>IFERROR(H54/SUM(H$51:H$54),)</f>
        <v>6.6330456162528176E-3</v>
      </c>
      <c r="I91" s="201">
        <f t="shared" si="2"/>
        <v>2.0848544821378653E-2</v>
      </c>
      <c r="J91" s="201">
        <f t="shared" si="2"/>
        <v>4.9284345781147203E-2</v>
      </c>
      <c r="K91" s="201">
        <f t="shared" si="2"/>
        <v>9.2236832292704643E-2</v>
      </c>
      <c r="L91" s="201">
        <f t="shared" si="2"/>
        <v>0.14376063657776852</v>
      </c>
      <c r="M91" s="201">
        <f t="shared" si="2"/>
        <v>0.20602036996609577</v>
      </c>
      <c r="N91" s="201">
        <f t="shared" si="2"/>
        <v>0.27422160026751252</v>
      </c>
      <c r="O91" s="201">
        <f t="shared" si="2"/>
        <v>0.34544782964050091</v>
      </c>
      <c r="P91" s="201">
        <f t="shared" si="2"/>
        <v>0.41590694279313123</v>
      </c>
      <c r="Q91" s="201">
        <f t="shared" si="2"/>
        <v>0.48443647483987656</v>
      </c>
      <c r="R91" s="201">
        <f t="shared" si="2"/>
        <v>0.54905828024361369</v>
      </c>
      <c r="S91" s="201">
        <f t="shared" si="2"/>
        <v>0.60748729073299967</v>
      </c>
      <c r="T91" s="201">
        <f t="shared" si="2"/>
        <v>0.65901167231535818</v>
      </c>
      <c r="U91" s="201">
        <f t="shared" si="2"/>
        <v>0.70331117392747367</v>
      </c>
      <c r="V91" s="201">
        <f t="shared" si="2"/>
        <v>0.73968607967953748</v>
      </c>
      <c r="W91" s="201">
        <f t="shared" si="2"/>
        <v>0.76945704306673446</v>
      </c>
      <c r="X91" s="201">
        <f t="shared" si="2"/>
        <v>0.79339007952985285</v>
      </c>
      <c r="Y91" s="201">
        <f t="shared" si="2"/>
        <v>0.81252008155224198</v>
      </c>
      <c r="Z91" s="201">
        <f t="shared" si="2"/>
        <v>0.82744765748007365</v>
      </c>
      <c r="AA91" s="201">
        <f t="shared" si="2"/>
        <v>0.83892882442068506</v>
      </c>
      <c r="AB91" s="201">
        <f t="shared" si="2"/>
        <v>0.84832080771770124</v>
      </c>
      <c r="AC91" s="201">
        <f t="shared" si="2"/>
        <v>0.85600742073710034</v>
      </c>
      <c r="AD91" s="201">
        <f t="shared" si="2"/>
        <v>0.8624588176689798</v>
      </c>
      <c r="AE91" s="201">
        <f t="shared" si="2"/>
        <v>0.86811588492449332</v>
      </c>
      <c r="AF91" s="201">
        <f t="shared" si="2"/>
        <v>0.87407663356712761</v>
      </c>
    </row>
    <row r="92" spans="1:32" x14ac:dyDescent="0.25">
      <c r="A92" s="444"/>
      <c r="B92" s="444"/>
      <c r="G92" s="200"/>
    </row>
    <row r="93" spans="1:32" s="402" customFormat="1" ht="12.75" x14ac:dyDescent="0.2">
      <c r="A93" s="402" t="s">
        <v>36</v>
      </c>
      <c r="G93" s="241"/>
    </row>
    <row r="94" spans="1:32" x14ac:dyDescent="0.25">
      <c r="A94" s="444"/>
      <c r="B94" s="444" t="s">
        <v>37</v>
      </c>
      <c r="G94" s="205"/>
      <c r="H94" s="201">
        <f>IFERROR(H57/SUM(H$57:H$60),)</f>
        <v>0.27748117823667345</v>
      </c>
      <c r="I94" s="201">
        <f t="shared" ref="I94:AF97" si="4">IFERROR(I57/SUM(I$57:I$60),)</f>
        <v>0.22029473586353632</v>
      </c>
      <c r="J94" s="201">
        <f t="shared" si="4"/>
        <v>0.16765171781822552</v>
      </c>
      <c r="K94" s="201">
        <f t="shared" si="4"/>
        <v>0.12007564969021271</v>
      </c>
      <c r="L94" s="201">
        <f t="shared" si="4"/>
        <v>0.10845087418096933</v>
      </c>
      <c r="M94" s="201">
        <f t="shared" si="4"/>
        <v>9.817592957867502E-2</v>
      </c>
      <c r="N94" s="201">
        <f t="shared" si="4"/>
        <v>8.9988583193651384E-2</v>
      </c>
      <c r="O94" s="201">
        <f t="shared" si="4"/>
        <v>8.4387381801253436E-2</v>
      </c>
      <c r="P94" s="201">
        <f t="shared" si="4"/>
        <v>7.8973350477875112E-2</v>
      </c>
      <c r="Q94" s="201">
        <f t="shared" si="4"/>
        <v>7.3828755343889024E-2</v>
      </c>
      <c r="R94" s="201">
        <f t="shared" si="4"/>
        <v>6.9056759357949693E-2</v>
      </c>
      <c r="S94" s="201">
        <f t="shared" si="4"/>
        <v>6.4359858469070594E-2</v>
      </c>
      <c r="T94" s="201">
        <f t="shared" si="4"/>
        <v>5.9937878405988833E-2</v>
      </c>
      <c r="U94" s="201">
        <f t="shared" si="4"/>
        <v>5.5792370020529343E-2</v>
      </c>
      <c r="V94" s="201">
        <f t="shared" si="4"/>
        <v>5.1834641173960777E-2</v>
      </c>
      <c r="W94" s="201">
        <f t="shared" si="4"/>
        <v>4.8184420384440929E-2</v>
      </c>
      <c r="X94" s="201">
        <f t="shared" si="4"/>
        <v>4.4827858236863187E-2</v>
      </c>
      <c r="Y94" s="201">
        <f t="shared" si="4"/>
        <v>4.1723878896934297E-2</v>
      </c>
      <c r="Z94" s="201">
        <f t="shared" si="4"/>
        <v>3.8785458469610935E-2</v>
      </c>
      <c r="AA94" s="201">
        <f t="shared" si="4"/>
        <v>3.5988361795923032E-2</v>
      </c>
      <c r="AB94" s="201">
        <f t="shared" si="4"/>
        <v>3.3311362795063706E-2</v>
      </c>
      <c r="AC94" s="201">
        <f t="shared" si="4"/>
        <v>3.0921582894413765E-2</v>
      </c>
      <c r="AD94" s="201">
        <f t="shared" si="4"/>
        <v>2.870209956218002E-2</v>
      </c>
      <c r="AE94" s="201">
        <f t="shared" si="4"/>
        <v>2.664283187406552E-2</v>
      </c>
      <c r="AF94" s="201">
        <f t="shared" si="4"/>
        <v>2.4745070743739803E-2</v>
      </c>
    </row>
    <row r="95" spans="1:32" x14ac:dyDescent="0.25">
      <c r="A95" s="444"/>
      <c r="B95" s="444" t="s">
        <v>39</v>
      </c>
      <c r="G95" s="205"/>
      <c r="H95" s="201">
        <f>IFERROR(H58/SUM(H$57:H$60),)</f>
        <v>0.62681479614359359</v>
      </c>
      <c r="I95" s="201">
        <f t="shared" ref="I95:W95" si="5">IFERROR(I58/SUM(I$57:I$60),)</f>
        <v>0.64984915229229079</v>
      </c>
      <c r="J95" s="201">
        <f t="shared" si="5"/>
        <v>0.66252358886227947</v>
      </c>
      <c r="K95" s="201">
        <f t="shared" si="5"/>
        <v>0.66338954667309713</v>
      </c>
      <c r="L95" s="201">
        <f t="shared" si="5"/>
        <v>0.63331100639464766</v>
      </c>
      <c r="M95" s="201">
        <f t="shared" si="5"/>
        <v>0.59825387643738859</v>
      </c>
      <c r="N95" s="201">
        <f t="shared" si="5"/>
        <v>0.56159677569833177</v>
      </c>
      <c r="O95" s="201">
        <f t="shared" si="5"/>
        <v>0.52389243292362331</v>
      </c>
      <c r="P95" s="201">
        <f t="shared" si="5"/>
        <v>0.4886949399581848</v>
      </c>
      <c r="Q95" s="201">
        <f t="shared" si="5"/>
        <v>0.45583711325761855</v>
      </c>
      <c r="R95" s="201">
        <f t="shared" si="5"/>
        <v>0.4259434536241547</v>
      </c>
      <c r="S95" s="201">
        <f t="shared" si="5"/>
        <v>0.39911662104378975</v>
      </c>
      <c r="T95" s="201">
        <f t="shared" si="5"/>
        <v>0.3751333819533863</v>
      </c>
      <c r="U95" s="201">
        <f t="shared" si="5"/>
        <v>0.35367282083490043</v>
      </c>
      <c r="V95" s="201">
        <f t="shared" si="5"/>
        <v>0.33483058528766163</v>
      </c>
      <c r="W95" s="201">
        <f t="shared" si="5"/>
        <v>0.31806103495675475</v>
      </c>
      <c r="X95" s="201">
        <f t="shared" si="4"/>
        <v>0.30318253112216809</v>
      </c>
      <c r="Y95" s="201">
        <f t="shared" si="4"/>
        <v>0.28986740742462747</v>
      </c>
      <c r="Z95" s="201">
        <f t="shared" si="4"/>
        <v>0.27793318941716499</v>
      </c>
      <c r="AA95" s="201">
        <f t="shared" si="4"/>
        <v>0.2672013333651081</v>
      </c>
      <c r="AB95" s="201">
        <f t="shared" si="4"/>
        <v>0.25701979434067385</v>
      </c>
      <c r="AC95" s="201">
        <f t="shared" si="4"/>
        <v>0.2479647194607956</v>
      </c>
      <c r="AD95" s="201">
        <f t="shared" si="4"/>
        <v>0.23956067296307729</v>
      </c>
      <c r="AE95" s="201">
        <f t="shared" si="4"/>
        <v>0.23161165343071707</v>
      </c>
      <c r="AF95" s="201">
        <f t="shared" si="4"/>
        <v>0.22350928960328745</v>
      </c>
    </row>
    <row r="96" spans="1:32" x14ac:dyDescent="0.25">
      <c r="A96" s="444"/>
      <c r="B96" s="444" t="s">
        <v>40</v>
      </c>
      <c r="G96" s="205"/>
      <c r="H96" s="201">
        <f>IFERROR(H59/SUM(H$57:H$60),)</f>
        <v>9.5691451046320125E-2</v>
      </c>
      <c r="I96" s="201">
        <f t="shared" si="4"/>
        <v>0.12955128407995975</v>
      </c>
      <c r="J96" s="201">
        <f t="shared" si="4"/>
        <v>0.16782926511129836</v>
      </c>
      <c r="K96" s="201">
        <f t="shared" si="4"/>
        <v>0.20957299655845441</v>
      </c>
      <c r="L96" s="201">
        <f t="shared" si="4"/>
        <v>0.24150097686166461</v>
      </c>
      <c r="M96" s="201">
        <f t="shared" si="4"/>
        <v>0.27109316723548765</v>
      </c>
      <c r="N96" s="201">
        <f t="shared" si="4"/>
        <v>0.29459009517629509</v>
      </c>
      <c r="O96" s="201">
        <f t="shared" si="4"/>
        <v>0.3116367797761263</v>
      </c>
      <c r="P96" s="201">
        <f t="shared" si="4"/>
        <v>0.3223361810555978</v>
      </c>
      <c r="Q96" s="201">
        <f t="shared" si="4"/>
        <v>0.32746931015959713</v>
      </c>
      <c r="R96" s="201">
        <f t="shared" si="4"/>
        <v>0.32817380002196145</v>
      </c>
      <c r="S96" s="201">
        <f t="shared" si="4"/>
        <v>0.3250769567946431</v>
      </c>
      <c r="T96" s="201">
        <f t="shared" si="4"/>
        <v>0.31932925600044548</v>
      </c>
      <c r="U96" s="201">
        <f t="shared" si="4"/>
        <v>0.31195963824555545</v>
      </c>
      <c r="V96" s="201">
        <f t="shared" si="4"/>
        <v>0.30380933319127906</v>
      </c>
      <c r="W96" s="201">
        <f t="shared" si="4"/>
        <v>0.29555770693142502</v>
      </c>
      <c r="X96" s="201">
        <f t="shared" si="4"/>
        <v>0.28761842153119194</v>
      </c>
      <c r="Y96" s="201">
        <f t="shared" si="4"/>
        <v>0.2801667194124795</v>
      </c>
      <c r="Z96" s="201">
        <f t="shared" si="4"/>
        <v>0.27324152847275873</v>
      </c>
      <c r="AA96" s="201">
        <f t="shared" si="4"/>
        <v>0.26684965609963879</v>
      </c>
      <c r="AB96" s="201">
        <f t="shared" si="4"/>
        <v>0.2607440785436077</v>
      </c>
      <c r="AC96" s="201">
        <f t="shared" si="4"/>
        <v>0.25534130369537855</v>
      </c>
      <c r="AD96" s="201">
        <f t="shared" si="4"/>
        <v>0.2503305544940676</v>
      </c>
      <c r="AE96" s="201">
        <f t="shared" si="4"/>
        <v>0.24560695849194919</v>
      </c>
      <c r="AF96" s="201">
        <f t="shared" si="4"/>
        <v>0.24064071809789106</v>
      </c>
    </row>
    <row r="97" spans="1:32" x14ac:dyDescent="0.25">
      <c r="A97" s="444"/>
      <c r="B97" s="444" t="s">
        <v>29</v>
      </c>
      <c r="G97" s="200"/>
      <c r="H97" s="201">
        <f>IFERROR(H60/SUM(H$57:H$60),)</f>
        <v>1.2574573412851061E-5</v>
      </c>
      <c r="I97" s="201">
        <f t="shared" si="4"/>
        <v>3.0482776421313291E-4</v>
      </c>
      <c r="J97" s="201">
        <f t="shared" si="4"/>
        <v>1.9954282081965412E-3</v>
      </c>
      <c r="K97" s="201">
        <f t="shared" si="4"/>
        <v>6.9618070782356805E-3</v>
      </c>
      <c r="L97" s="201">
        <f t="shared" si="4"/>
        <v>1.6737142562718278E-2</v>
      </c>
      <c r="M97" s="201">
        <f t="shared" si="4"/>
        <v>3.2477026748448622E-2</v>
      </c>
      <c r="N97" s="201">
        <f t="shared" si="4"/>
        <v>5.3824545931721729E-2</v>
      </c>
      <c r="O97" s="201">
        <f t="shared" si="4"/>
        <v>8.008340549899709E-2</v>
      </c>
      <c r="P97" s="201">
        <f t="shared" si="4"/>
        <v>0.10999552850834238</v>
      </c>
      <c r="Q97" s="201">
        <f t="shared" si="4"/>
        <v>0.14286482123889535</v>
      </c>
      <c r="R97" s="201">
        <f t="shared" si="4"/>
        <v>0.17682598699593416</v>
      </c>
      <c r="S97" s="201">
        <f t="shared" si="4"/>
        <v>0.21144656369249656</v>
      </c>
      <c r="T97" s="201">
        <f t="shared" si="4"/>
        <v>0.24559948364017936</v>
      </c>
      <c r="U97" s="201">
        <f t="shared" si="4"/>
        <v>0.27857517089901485</v>
      </c>
      <c r="V97" s="201">
        <f t="shared" si="4"/>
        <v>0.30952544034709861</v>
      </c>
      <c r="W97" s="201">
        <f t="shared" si="4"/>
        <v>0.33819683772737941</v>
      </c>
      <c r="X97" s="201">
        <f t="shared" si="4"/>
        <v>0.36437118910977684</v>
      </c>
      <c r="Y97" s="201">
        <f t="shared" si="4"/>
        <v>0.38824199426595862</v>
      </c>
      <c r="Z97" s="201">
        <f t="shared" si="4"/>
        <v>0.41003982364046526</v>
      </c>
      <c r="AA97" s="201">
        <f t="shared" si="4"/>
        <v>0.4299606487393301</v>
      </c>
      <c r="AB97" s="201">
        <f t="shared" si="4"/>
        <v>0.44892476432065481</v>
      </c>
      <c r="AC97" s="201">
        <f t="shared" si="4"/>
        <v>0.46577239394941206</v>
      </c>
      <c r="AD97" s="201">
        <f t="shared" si="4"/>
        <v>0.48140667298067502</v>
      </c>
      <c r="AE97" s="201">
        <f t="shared" si="4"/>
        <v>0.49613855620326819</v>
      </c>
      <c r="AF97" s="201">
        <f t="shared" si="4"/>
        <v>0.51110492155508147</v>
      </c>
    </row>
    <row r="98" spans="1:32" x14ac:dyDescent="0.25">
      <c r="A98" s="444"/>
      <c r="B98" s="444"/>
      <c r="G98" s="200"/>
    </row>
    <row r="99" spans="1:32" s="402" customFormat="1" ht="12.75" x14ac:dyDescent="0.2">
      <c r="A99" s="402" t="s">
        <v>42</v>
      </c>
      <c r="G99" s="241"/>
    </row>
    <row r="100" spans="1:32" x14ac:dyDescent="0.25">
      <c r="A100" s="444"/>
      <c r="B100" s="445" t="s">
        <v>43</v>
      </c>
      <c r="G100" s="200"/>
      <c r="H100" s="201">
        <f t="shared" ref="H100:AF100" si="6">H63/SUM(H$63:H$67)</f>
        <v>3.2026560190289072E-2</v>
      </c>
      <c r="I100" s="201">
        <f t="shared" si="6"/>
        <v>2.953736737535595E-2</v>
      </c>
      <c r="J100" s="201">
        <f t="shared" si="6"/>
        <v>2.7453177314528801E-2</v>
      </c>
      <c r="K100" s="201">
        <f t="shared" si="6"/>
        <v>2.5801278464497125E-2</v>
      </c>
      <c r="L100" s="201">
        <f t="shared" si="6"/>
        <v>2.4264562521301707E-2</v>
      </c>
      <c r="M100" s="201">
        <f t="shared" si="6"/>
        <v>2.2908823843916473E-2</v>
      </c>
      <c r="N100" s="201">
        <f t="shared" si="6"/>
        <v>2.1724375193129902E-2</v>
      </c>
      <c r="O100" s="201">
        <f t="shared" si="6"/>
        <v>2.0631734726566077E-2</v>
      </c>
      <c r="P100" s="201">
        <f t="shared" si="6"/>
        <v>1.9613932165389925E-2</v>
      </c>
      <c r="Q100" s="201">
        <f t="shared" si="6"/>
        <v>1.8667866171274312E-2</v>
      </c>
      <c r="R100" s="201">
        <f t="shared" si="6"/>
        <v>1.7805788865868012E-2</v>
      </c>
      <c r="S100" s="201">
        <f t="shared" si="6"/>
        <v>1.6967077309511969E-2</v>
      </c>
      <c r="T100" s="201">
        <f t="shared" si="6"/>
        <v>1.618284898430394E-2</v>
      </c>
      <c r="U100" s="201">
        <f t="shared" si="6"/>
        <v>1.5450226790740061E-2</v>
      </c>
      <c r="V100" s="201">
        <f t="shared" si="6"/>
        <v>1.47541333096605E-2</v>
      </c>
      <c r="W100" s="201">
        <f t="shared" si="6"/>
        <v>1.4114108822983504E-2</v>
      </c>
      <c r="X100" s="201">
        <f t="shared" si="6"/>
        <v>1.3528043843847922E-2</v>
      </c>
      <c r="Y100" s="201">
        <f t="shared" si="6"/>
        <v>1.2988227391929168E-2</v>
      </c>
      <c r="Z100" s="201">
        <f t="shared" si="6"/>
        <v>1.2479172379797607E-2</v>
      </c>
      <c r="AA100" s="201">
        <f t="shared" si="6"/>
        <v>1.1996307806320739E-2</v>
      </c>
      <c r="AB100" s="201">
        <f t="shared" si="6"/>
        <v>1.1544659681903298E-2</v>
      </c>
      <c r="AC100" s="201">
        <f t="shared" si="6"/>
        <v>1.1134223706730343E-2</v>
      </c>
      <c r="AD100" s="201">
        <f t="shared" si="6"/>
        <v>1.076416831050352E-2</v>
      </c>
      <c r="AE100" s="201">
        <f t="shared" si="6"/>
        <v>1.0421408677125304E-2</v>
      </c>
      <c r="AF100" s="201">
        <f t="shared" si="6"/>
        <v>1.0103517913314247E-2</v>
      </c>
    </row>
    <row r="101" spans="1:32" x14ac:dyDescent="0.25">
      <c r="A101" s="444"/>
      <c r="B101" s="445" t="s">
        <v>44</v>
      </c>
      <c r="G101" s="200"/>
      <c r="H101" s="201">
        <f t="shared" ref="H101:AF101" si="7">H64/SUM(H$63:H$67)</f>
        <v>0.83227853148260089</v>
      </c>
      <c r="I101" s="201">
        <f t="shared" si="7"/>
        <v>0.83439962345945917</v>
      </c>
      <c r="J101" s="201">
        <f t="shared" si="7"/>
        <v>0.83261775704936625</v>
      </c>
      <c r="K101" s="201">
        <f t="shared" si="7"/>
        <v>0.82711794106032688</v>
      </c>
      <c r="L101" s="201">
        <f t="shared" si="7"/>
        <v>0.81982939070905203</v>
      </c>
      <c r="M101" s="201">
        <f t="shared" si="7"/>
        <v>0.81099890462998414</v>
      </c>
      <c r="N101" s="201">
        <f t="shared" si="7"/>
        <v>0.80128565499814197</v>
      </c>
      <c r="O101" s="201">
        <f t="shared" si="7"/>
        <v>0.79144843476519389</v>
      </c>
      <c r="P101" s="201">
        <f t="shared" si="7"/>
        <v>0.78197691194501207</v>
      </c>
      <c r="Q101" s="201">
        <f t="shared" si="7"/>
        <v>0.77327789580650463</v>
      </c>
      <c r="R101" s="201">
        <f t="shared" si="7"/>
        <v>0.76572043032444037</v>
      </c>
      <c r="S101" s="201">
        <f t="shared" si="7"/>
        <v>0.75949218437381172</v>
      </c>
      <c r="T101" s="201">
        <f t="shared" si="7"/>
        <v>0.75467903877928599</v>
      </c>
      <c r="U101" s="201">
        <f t="shared" si="7"/>
        <v>0.75121777716497773</v>
      </c>
      <c r="V101" s="201">
        <f t="shared" si="7"/>
        <v>0.74890482729487806</v>
      </c>
      <c r="W101" s="201">
        <f t="shared" si="7"/>
        <v>0.74761751530211917</v>
      </c>
      <c r="X101" s="201">
        <f t="shared" si="7"/>
        <v>0.74716188705205133</v>
      </c>
      <c r="Y101" s="201">
        <f t="shared" si="7"/>
        <v>0.74732325416902445</v>
      </c>
      <c r="Z101" s="201">
        <f t="shared" si="7"/>
        <v>0.74784836237799579</v>
      </c>
      <c r="AA101" s="201">
        <f t="shared" si="7"/>
        <v>0.74857711891838674</v>
      </c>
      <c r="AB101" s="201">
        <f t="shared" si="7"/>
        <v>0.74911878277313171</v>
      </c>
      <c r="AC101" s="201">
        <f t="shared" si="7"/>
        <v>0.75021415937873803</v>
      </c>
      <c r="AD101" s="201">
        <f t="shared" si="7"/>
        <v>0.7511404289929875</v>
      </c>
      <c r="AE101" s="201">
        <f t="shared" si="7"/>
        <v>0.75209386839029424</v>
      </c>
      <c r="AF101" s="201">
        <f t="shared" si="7"/>
        <v>0.75303594779729233</v>
      </c>
    </row>
    <row r="102" spans="1:32" x14ac:dyDescent="0.25">
      <c r="A102" s="444"/>
      <c r="B102" s="445" t="s">
        <v>45</v>
      </c>
      <c r="G102" s="200"/>
      <c r="H102" s="201">
        <f t="shared" ref="H102:AF102" si="8">H65/SUM(H$63:H$67)</f>
        <v>0.10853150057968089</v>
      </c>
      <c r="I102" s="201">
        <f t="shared" si="8"/>
        <v>9.820554706495703E-2</v>
      </c>
      <c r="J102" s="201">
        <f t="shared" si="8"/>
        <v>8.9662467735461895E-2</v>
      </c>
      <c r="K102" s="201">
        <f t="shared" si="8"/>
        <v>8.3005932431671883E-2</v>
      </c>
      <c r="L102" s="201">
        <f t="shared" si="8"/>
        <v>7.6869263334377061E-2</v>
      </c>
      <c r="M102" s="201">
        <f t="shared" si="8"/>
        <v>7.1524332278812816E-2</v>
      </c>
      <c r="N102" s="201">
        <f t="shared" si="8"/>
        <v>6.6904431358710589E-2</v>
      </c>
      <c r="O102" s="201">
        <f t="shared" si="8"/>
        <v>6.2663656753185817E-2</v>
      </c>
      <c r="P102" s="201">
        <f t="shared" si="8"/>
        <v>5.8718562845217981E-2</v>
      </c>
      <c r="Q102" s="201">
        <f t="shared" si="8"/>
        <v>5.504840512809818E-2</v>
      </c>
      <c r="R102" s="201">
        <f t="shared" si="8"/>
        <v>5.1693542513530422E-2</v>
      </c>
      <c r="S102" s="201">
        <f t="shared" si="8"/>
        <v>4.8400081094458459E-2</v>
      </c>
      <c r="T102" s="201">
        <f t="shared" si="8"/>
        <v>4.5293658781216391E-2</v>
      </c>
      <c r="U102" s="201">
        <f t="shared" si="8"/>
        <v>4.2364700078517316E-2</v>
      </c>
      <c r="V102" s="201">
        <f t="shared" si="8"/>
        <v>3.9556663834784178E-2</v>
      </c>
      <c r="W102" s="201">
        <f t="shared" si="8"/>
        <v>3.6953299196128775E-2</v>
      </c>
      <c r="X102" s="201">
        <f t="shared" si="8"/>
        <v>3.455087702184001E-2</v>
      </c>
      <c r="Y102" s="201">
        <f t="shared" si="8"/>
        <v>3.232366079570604E-2</v>
      </c>
      <c r="Z102" s="201">
        <f t="shared" si="8"/>
        <v>3.0215119026793094E-2</v>
      </c>
      <c r="AA102" s="201">
        <f t="shared" si="8"/>
        <v>2.8210760528198941E-2</v>
      </c>
      <c r="AB102" s="201">
        <f t="shared" si="8"/>
        <v>2.6316762969693441E-2</v>
      </c>
      <c r="AC102" s="201">
        <f t="shared" si="8"/>
        <v>2.4602934638421971E-2</v>
      </c>
      <c r="AD102" s="201">
        <f t="shared" si="8"/>
        <v>2.3034491890692496E-2</v>
      </c>
      <c r="AE102" s="201">
        <f t="shared" si="8"/>
        <v>2.1578703819324883E-2</v>
      </c>
      <c r="AF102" s="201">
        <f t="shared" si="8"/>
        <v>2.0228060211011728E-2</v>
      </c>
    </row>
    <row r="103" spans="1:32" x14ac:dyDescent="0.25">
      <c r="A103" s="444"/>
      <c r="B103" s="445" t="s">
        <v>46</v>
      </c>
      <c r="G103" s="200"/>
      <c r="H103" s="201">
        <f t="shared" ref="H103:AF103" si="9">H66/SUM(H$63:H$67)</f>
        <v>0</v>
      </c>
      <c r="I103" s="201">
        <f t="shared" si="9"/>
        <v>0</v>
      </c>
      <c r="J103" s="201">
        <f t="shared" si="9"/>
        <v>0</v>
      </c>
      <c r="K103" s="201">
        <f t="shared" si="9"/>
        <v>0</v>
      </c>
      <c r="L103" s="201">
        <f t="shared" si="9"/>
        <v>0</v>
      </c>
      <c r="M103" s="201">
        <f t="shared" si="9"/>
        <v>0</v>
      </c>
      <c r="N103" s="201">
        <f t="shared" si="9"/>
        <v>0</v>
      </c>
      <c r="O103" s="201">
        <f t="shared" si="9"/>
        <v>0</v>
      </c>
      <c r="P103" s="201">
        <f t="shared" si="9"/>
        <v>0</v>
      </c>
      <c r="Q103" s="201">
        <f t="shared" si="9"/>
        <v>0</v>
      </c>
      <c r="R103" s="201">
        <f t="shared" si="9"/>
        <v>0</v>
      </c>
      <c r="S103" s="201">
        <f t="shared" si="9"/>
        <v>0</v>
      </c>
      <c r="T103" s="201">
        <f t="shared" si="9"/>
        <v>0</v>
      </c>
      <c r="U103" s="201">
        <f t="shared" si="9"/>
        <v>0</v>
      </c>
      <c r="V103" s="201">
        <f t="shared" si="9"/>
        <v>0</v>
      </c>
      <c r="W103" s="201">
        <f t="shared" si="9"/>
        <v>0</v>
      </c>
      <c r="X103" s="201">
        <f t="shared" si="9"/>
        <v>0</v>
      </c>
      <c r="Y103" s="201">
        <f t="shared" si="9"/>
        <v>0</v>
      </c>
      <c r="Z103" s="201">
        <f t="shared" si="9"/>
        <v>0</v>
      </c>
      <c r="AA103" s="201">
        <f t="shared" si="9"/>
        <v>0</v>
      </c>
      <c r="AB103" s="201">
        <f t="shared" si="9"/>
        <v>0</v>
      </c>
      <c r="AC103" s="201">
        <f t="shared" si="9"/>
        <v>0</v>
      </c>
      <c r="AD103" s="201">
        <f t="shared" si="9"/>
        <v>0</v>
      </c>
      <c r="AE103" s="201">
        <f t="shared" si="9"/>
        <v>0</v>
      </c>
      <c r="AF103" s="201">
        <f t="shared" si="9"/>
        <v>0</v>
      </c>
    </row>
    <row r="104" spans="1:32" x14ac:dyDescent="0.25">
      <c r="A104" s="444"/>
      <c r="B104" s="444" t="s">
        <v>29</v>
      </c>
      <c r="G104" s="200"/>
      <c r="H104" s="201">
        <f t="shared" ref="H104:AF104" si="10">H67/SUM(H$63:H$67)</f>
        <v>2.7163407747429126E-2</v>
      </c>
      <c r="I104" s="201">
        <f t="shared" si="10"/>
        <v>3.7857462100228001E-2</v>
      </c>
      <c r="J104" s="201">
        <f t="shared" si="10"/>
        <v>5.0266597900642848E-2</v>
      </c>
      <c r="K104" s="201">
        <f t="shared" si="10"/>
        <v>6.4074848043503996E-2</v>
      </c>
      <c r="L104" s="201">
        <f t="shared" si="10"/>
        <v>7.9036783435269237E-2</v>
      </c>
      <c r="M104" s="201">
        <f t="shared" si="10"/>
        <v>9.4567939247286556E-2</v>
      </c>
      <c r="N104" s="201">
        <f t="shared" si="10"/>
        <v>0.11008553845001763</v>
      </c>
      <c r="O104" s="201">
        <f t="shared" si="10"/>
        <v>0.12525617375505418</v>
      </c>
      <c r="P104" s="201">
        <f t="shared" si="10"/>
        <v>0.13969059304438006</v>
      </c>
      <c r="Q104" s="201">
        <f t="shared" si="10"/>
        <v>0.1530058328941229</v>
      </c>
      <c r="R104" s="201">
        <f t="shared" si="10"/>
        <v>0.16478023829616115</v>
      </c>
      <c r="S104" s="201">
        <f t="shared" si="10"/>
        <v>0.1751406572222178</v>
      </c>
      <c r="T104" s="201">
        <f t="shared" si="10"/>
        <v>0.18384445345519379</v>
      </c>
      <c r="U104" s="201">
        <f t="shared" si="10"/>
        <v>0.190967295965765</v>
      </c>
      <c r="V104" s="201">
        <f t="shared" si="10"/>
        <v>0.19678437556067727</v>
      </c>
      <c r="W104" s="201">
        <f t="shared" si="10"/>
        <v>0.20131507667876844</v>
      </c>
      <c r="X104" s="201">
        <f t="shared" si="10"/>
        <v>0.20475919208226079</v>
      </c>
      <c r="Y104" s="201">
        <f t="shared" si="10"/>
        <v>0.20736485764334031</v>
      </c>
      <c r="Z104" s="201">
        <f t="shared" si="10"/>
        <v>0.2094573462154134</v>
      </c>
      <c r="AA104" s="201">
        <f t="shared" si="10"/>
        <v>0.21121581274709358</v>
      </c>
      <c r="AB104" s="201">
        <f t="shared" si="10"/>
        <v>0.21301979457527156</v>
      </c>
      <c r="AC104" s="201">
        <f t="shared" si="10"/>
        <v>0.21404868227610971</v>
      </c>
      <c r="AD104" s="201">
        <f t="shared" si="10"/>
        <v>0.21506091080581646</v>
      </c>
      <c r="AE104" s="201">
        <f t="shared" si="10"/>
        <v>0.21590601911325555</v>
      </c>
      <c r="AF104" s="201">
        <f t="shared" si="10"/>
        <v>0.21663247407838163</v>
      </c>
    </row>
    <row r="105" spans="1:32" x14ac:dyDescent="0.25">
      <c r="A105" s="444"/>
      <c r="B105" s="444"/>
      <c r="G105" s="200"/>
    </row>
    <row r="106" spans="1:32" s="402" customFormat="1" ht="12.75" x14ac:dyDescent="0.2">
      <c r="A106" s="402" t="s">
        <v>47</v>
      </c>
      <c r="G106" s="241"/>
    </row>
    <row r="107" spans="1:32" x14ac:dyDescent="0.25">
      <c r="A107" s="444"/>
      <c r="B107" s="444" t="s">
        <v>48</v>
      </c>
      <c r="G107" s="200"/>
      <c r="H107" s="201">
        <f t="shared" ref="H107:AF107" si="11">H70/SUM(H$70:H$75)</f>
        <v>0.89458127147476907</v>
      </c>
      <c r="I107" s="201">
        <f t="shared" si="11"/>
        <v>0.79295594801721636</v>
      </c>
      <c r="J107" s="201">
        <f t="shared" si="11"/>
        <v>0.6297037570972428</v>
      </c>
      <c r="K107" s="201">
        <f t="shared" si="11"/>
        <v>0.43177254685242616</v>
      </c>
      <c r="L107" s="201">
        <f t="shared" si="11"/>
        <v>0.2491421988546349</v>
      </c>
      <c r="M107" s="201">
        <f t="shared" si="11"/>
        <v>0.11184038204995475</v>
      </c>
      <c r="N107" s="201">
        <f t="shared" si="11"/>
        <v>4.1426144533195007E-2</v>
      </c>
      <c r="O107" s="201">
        <f t="shared" si="11"/>
        <v>1.3462044293065108E-2</v>
      </c>
      <c r="P107" s="201">
        <f t="shared" si="11"/>
        <v>4.1834540189501493E-3</v>
      </c>
      <c r="Q107" s="201">
        <f t="shared" si="11"/>
        <v>1.2637103920538168E-3</v>
      </c>
      <c r="R107" s="201">
        <f t="shared" si="11"/>
        <v>3.7942309060330675E-4</v>
      </c>
      <c r="S107" s="201">
        <f t="shared" si="11"/>
        <v>1.1536377027166141E-4</v>
      </c>
      <c r="T107" s="201">
        <f t="shared" si="11"/>
        <v>3.5562891779993793E-5</v>
      </c>
      <c r="U107" s="201">
        <f t="shared" si="11"/>
        <v>1.1082707282072563E-5</v>
      </c>
      <c r="V107" s="201">
        <f t="shared" si="11"/>
        <v>3.5286628652827748E-6</v>
      </c>
      <c r="W107" s="201">
        <f t="shared" si="11"/>
        <v>1.1336116929557944E-6</v>
      </c>
      <c r="X107" s="201">
        <f t="shared" si="11"/>
        <v>3.674803066607721E-7</v>
      </c>
      <c r="Y107" s="201">
        <f t="shared" si="11"/>
        <v>1.1984061567017813E-7</v>
      </c>
      <c r="Z107" s="201">
        <f t="shared" si="11"/>
        <v>3.9463159840243186E-8</v>
      </c>
      <c r="AA107" s="201">
        <f t="shared" si="11"/>
        <v>1.3143171179705356E-8</v>
      </c>
      <c r="AB107" s="201">
        <f t="shared" si="11"/>
        <v>4.3651168061500082E-9</v>
      </c>
      <c r="AC107" s="201">
        <f t="shared" si="11"/>
        <v>1.4649033357658092E-9</v>
      </c>
      <c r="AD107" s="201">
        <f t="shared" si="11"/>
        <v>4.9395831491683253E-10</v>
      </c>
      <c r="AE107" s="201">
        <f t="shared" si="11"/>
        <v>1.6677561816033698E-10</v>
      </c>
      <c r="AF107" s="201">
        <f t="shared" si="11"/>
        <v>5.5195954505091725E-11</v>
      </c>
    </row>
    <row r="108" spans="1:32" x14ac:dyDescent="0.25">
      <c r="A108" s="444"/>
      <c r="B108" s="445" t="s">
        <v>50</v>
      </c>
      <c r="G108" s="200"/>
      <c r="H108" s="201">
        <f t="shared" ref="H108:AF108" si="12">H71/SUM(H$70:H$75)</f>
        <v>2.4063384750776018E-2</v>
      </c>
      <c r="I108" s="201">
        <f t="shared" si="12"/>
        <v>2.5667561483466703E-2</v>
      </c>
      <c r="J108" s="201">
        <f t="shared" si="12"/>
        <v>2.8935717588584257E-2</v>
      </c>
      <c r="K108" s="201">
        <f t="shared" si="12"/>
        <v>3.3004151535170181E-2</v>
      </c>
      <c r="L108" s="201">
        <f t="shared" si="12"/>
        <v>3.622076240350279E-2</v>
      </c>
      <c r="M108" s="201">
        <f t="shared" si="12"/>
        <v>3.4266973873948781E-2</v>
      </c>
      <c r="N108" s="201">
        <f t="shared" si="12"/>
        <v>2.8011022492115713E-2</v>
      </c>
      <c r="O108" s="201">
        <f t="shared" si="12"/>
        <v>2.0603782520510462E-2</v>
      </c>
      <c r="P108" s="201">
        <f t="shared" si="12"/>
        <v>1.4598380958402024E-2</v>
      </c>
      <c r="Q108" s="201">
        <f t="shared" si="12"/>
        <v>1.0160434540413743E-2</v>
      </c>
      <c r="R108" s="201">
        <f t="shared" si="12"/>
        <v>7.0519961469034066E-3</v>
      </c>
      <c r="S108" s="201">
        <f t="shared" si="12"/>
        <v>4.9541949169125063E-3</v>
      </c>
      <c r="T108" s="201">
        <f t="shared" si="12"/>
        <v>3.5214466240909427E-3</v>
      </c>
      <c r="U108" s="201">
        <f t="shared" si="12"/>
        <v>2.5251066004685426E-3</v>
      </c>
      <c r="V108" s="201">
        <f t="shared" si="12"/>
        <v>1.8392484559725296E-3</v>
      </c>
      <c r="W108" s="201">
        <f t="shared" si="12"/>
        <v>1.3472001109438993E-3</v>
      </c>
      <c r="X108" s="201">
        <f t="shared" si="12"/>
        <v>9.9177829294729947E-4</v>
      </c>
      <c r="Y108" s="201">
        <f t="shared" si="12"/>
        <v>7.3190803080616282E-4</v>
      </c>
      <c r="Z108" s="201">
        <f t="shared" si="12"/>
        <v>5.4280789452838536E-4</v>
      </c>
      <c r="AA108" s="201">
        <f t="shared" si="12"/>
        <v>4.0487954951255565E-4</v>
      </c>
      <c r="AB108" s="201">
        <f t="shared" si="12"/>
        <v>3.0058230990203419E-4</v>
      </c>
      <c r="AC108" s="201">
        <f t="shared" si="12"/>
        <v>2.2399744963967261E-4</v>
      </c>
      <c r="AD108" s="201">
        <f t="shared" si="12"/>
        <v>1.6694468082650943E-4</v>
      </c>
      <c r="AE108" s="201">
        <f t="shared" si="12"/>
        <v>1.2410949334400976E-4</v>
      </c>
      <c r="AF108" s="201">
        <f t="shared" si="12"/>
        <v>9.0617062682285594E-5</v>
      </c>
    </row>
    <row r="109" spans="1:32" x14ac:dyDescent="0.25">
      <c r="A109" s="444"/>
      <c r="B109" s="444" t="s">
        <v>51</v>
      </c>
      <c r="G109" s="200"/>
      <c r="H109" s="201">
        <f t="shared" ref="H109:AF109" si="13">H72/SUM(H$70:H$75)</f>
        <v>1.5485863206822527E-2</v>
      </c>
      <c r="I109" s="201">
        <f t="shared" si="13"/>
        <v>1.7877793888626505E-2</v>
      </c>
      <c r="J109" s="201">
        <f t="shared" si="13"/>
        <v>2.3505572077129663E-2</v>
      </c>
      <c r="K109" s="201">
        <f t="shared" si="13"/>
        <v>3.3944617381567364E-2</v>
      </c>
      <c r="L109" s="201">
        <f t="shared" si="13"/>
        <v>4.9419476444703327E-2</v>
      </c>
      <c r="M109" s="201">
        <f t="shared" si="13"/>
        <v>6.5142672100545085E-2</v>
      </c>
      <c r="N109" s="201">
        <f t="shared" si="13"/>
        <v>7.3749199411971139E-2</v>
      </c>
      <c r="O109" s="201">
        <f t="shared" si="13"/>
        <v>7.3701917991954885E-2</v>
      </c>
      <c r="P109" s="201">
        <f t="shared" si="13"/>
        <v>6.8723625306496491E-2</v>
      </c>
      <c r="Q109" s="201">
        <f t="shared" si="13"/>
        <v>6.2038498155596866E-2</v>
      </c>
      <c r="R109" s="201">
        <f t="shared" si="13"/>
        <v>5.5420722326525132E-2</v>
      </c>
      <c r="S109" s="201">
        <f t="shared" si="13"/>
        <v>4.9341623624424964E-2</v>
      </c>
      <c r="T109" s="201">
        <f t="shared" si="13"/>
        <v>4.396750677654207E-2</v>
      </c>
      <c r="U109" s="201">
        <f t="shared" si="13"/>
        <v>3.9267899130155583E-2</v>
      </c>
      <c r="V109" s="201">
        <f t="shared" si="13"/>
        <v>3.5202117821565952E-2</v>
      </c>
      <c r="W109" s="201">
        <f t="shared" si="13"/>
        <v>3.1657425830545267E-2</v>
      </c>
      <c r="X109" s="201">
        <f t="shared" si="13"/>
        <v>2.8557997642847589E-2</v>
      </c>
      <c r="Y109" s="201">
        <f t="shared" si="13"/>
        <v>2.5822682682249225E-2</v>
      </c>
      <c r="Z109" s="201">
        <f t="shared" si="13"/>
        <v>2.3369823940744619E-2</v>
      </c>
      <c r="AA109" s="201">
        <f t="shared" si="13"/>
        <v>2.1184487333394873E-2</v>
      </c>
      <c r="AB109" s="201">
        <f t="shared" si="13"/>
        <v>1.9192714574271682E-2</v>
      </c>
      <c r="AC109" s="201">
        <f t="shared" si="13"/>
        <v>1.7441437358689749E-2</v>
      </c>
      <c r="AD109" s="201">
        <f t="shared" si="13"/>
        <v>1.583957004761382E-2</v>
      </c>
      <c r="AE109" s="201">
        <f t="shared" si="13"/>
        <v>1.4383400808605869E-2</v>
      </c>
      <c r="AF109" s="201">
        <f t="shared" si="13"/>
        <v>1.3025714512831176E-2</v>
      </c>
    </row>
    <row r="110" spans="1:32" x14ac:dyDescent="0.25">
      <c r="A110" s="444"/>
      <c r="B110" s="444" t="s">
        <v>52</v>
      </c>
      <c r="G110" s="200"/>
      <c r="H110" s="201">
        <f t="shared" ref="H110:AF110" si="14">H73/SUM(H$70:H$75)</f>
        <v>2.1253324513229872E-2</v>
      </c>
      <c r="I110" s="201">
        <f t="shared" si="14"/>
        <v>2.3406965339876233E-2</v>
      </c>
      <c r="J110" s="201">
        <f t="shared" si="14"/>
        <v>2.8841847494901183E-2</v>
      </c>
      <c r="K110" s="201">
        <f t="shared" si="14"/>
        <v>3.8839005666090408E-2</v>
      </c>
      <c r="L110" s="201">
        <f t="shared" si="14"/>
        <v>5.3252946755620784E-2</v>
      </c>
      <c r="M110" s="201">
        <f t="shared" si="14"/>
        <v>6.7325121166520757E-2</v>
      </c>
      <c r="N110" s="201">
        <f t="shared" si="14"/>
        <v>7.4880948554037333E-2</v>
      </c>
      <c r="O110" s="201">
        <f t="shared" si="14"/>
        <v>7.5079478444648587E-2</v>
      </c>
      <c r="P110" s="201">
        <f t="shared" si="14"/>
        <v>7.1343445275452153E-2</v>
      </c>
      <c r="Q110" s="201">
        <f t="shared" si="14"/>
        <v>6.6362065894099459E-2</v>
      </c>
      <c r="R110" s="201">
        <f t="shared" si="14"/>
        <v>6.1522373873558168E-2</v>
      </c>
      <c r="S110" s="201">
        <f t="shared" si="14"/>
        <v>5.6957376693745045E-2</v>
      </c>
      <c r="T110" s="201">
        <f t="shared" si="14"/>
        <v>5.283967681324947E-2</v>
      </c>
      <c r="U110" s="201">
        <f t="shared" si="14"/>
        <v>4.9124257662603331E-2</v>
      </c>
      <c r="V110" s="201">
        <f t="shared" si="14"/>
        <v>4.5719745304234297E-2</v>
      </c>
      <c r="W110" s="201">
        <f t="shared" si="14"/>
        <v>4.2646317865122914E-2</v>
      </c>
      <c r="X110" s="201">
        <f t="shared" si="14"/>
        <v>3.9867608516384649E-2</v>
      </c>
      <c r="Y110" s="201">
        <f t="shared" si="14"/>
        <v>3.7324532290496849E-2</v>
      </c>
      <c r="Z110" s="201">
        <f t="shared" si="14"/>
        <v>3.4937693417643072E-2</v>
      </c>
      <c r="AA110" s="201">
        <f t="shared" si="14"/>
        <v>3.2674106629540005E-2</v>
      </c>
      <c r="AB110" s="201">
        <f t="shared" si="14"/>
        <v>3.048642217855899E-2</v>
      </c>
      <c r="AC110" s="201">
        <f t="shared" si="14"/>
        <v>2.8541712955076112E-2</v>
      </c>
      <c r="AD110" s="201">
        <f t="shared" si="14"/>
        <v>2.6729780937316046E-2</v>
      </c>
      <c r="AE110" s="201">
        <f t="shared" si="14"/>
        <v>2.5036599683465707E-2</v>
      </c>
      <c r="AF110" s="201">
        <f t="shared" si="14"/>
        <v>2.3438745964685079E-2</v>
      </c>
    </row>
    <row r="111" spans="1:32" x14ac:dyDescent="0.25">
      <c r="A111" s="444"/>
      <c r="B111" s="445" t="s">
        <v>29</v>
      </c>
      <c r="G111" s="200"/>
      <c r="H111" s="201">
        <f t="shared" ref="H111:AF111" si="15">H74/SUM(H$70:H$75)</f>
        <v>4.4082487085447479E-2</v>
      </c>
      <c r="I111" s="201">
        <f t="shared" si="15"/>
        <v>0.13947924672661413</v>
      </c>
      <c r="J111" s="201">
        <f t="shared" si="15"/>
        <v>0.28821212322527084</v>
      </c>
      <c r="K111" s="201">
        <f t="shared" si="15"/>
        <v>0.46128725444475271</v>
      </c>
      <c r="L111" s="201">
        <f t="shared" si="15"/>
        <v>0.61028278772518207</v>
      </c>
      <c r="M111" s="201">
        <f t="shared" si="15"/>
        <v>0.71918923892279107</v>
      </c>
      <c r="N111" s="201">
        <f t="shared" si="15"/>
        <v>0.7793629387201596</v>
      </c>
      <c r="O111" s="201">
        <f t="shared" si="15"/>
        <v>0.81452782668572066</v>
      </c>
      <c r="P111" s="201">
        <f t="shared" si="15"/>
        <v>0.83863591859740116</v>
      </c>
      <c r="Q111" s="201">
        <f t="shared" si="15"/>
        <v>0.85783299848590244</v>
      </c>
      <c r="R111" s="201">
        <f t="shared" si="15"/>
        <v>0.87346203452852333</v>
      </c>
      <c r="S111" s="201">
        <f t="shared" si="15"/>
        <v>0.88663698932147983</v>
      </c>
      <c r="T111" s="201">
        <f t="shared" si="15"/>
        <v>0.89779466512867734</v>
      </c>
      <c r="U111" s="201">
        <f t="shared" si="15"/>
        <v>0.90736832781420296</v>
      </c>
      <c r="V111" s="201">
        <f t="shared" si="15"/>
        <v>0.91565506438482913</v>
      </c>
      <c r="W111" s="201">
        <f t="shared" si="15"/>
        <v>0.9228781995444485</v>
      </c>
      <c r="X111" s="201">
        <f t="shared" si="15"/>
        <v>0.92921214037688304</v>
      </c>
      <c r="Y111" s="201">
        <f t="shared" si="15"/>
        <v>0.93484132425955557</v>
      </c>
      <c r="Z111" s="201">
        <f t="shared" si="15"/>
        <v>0.939953554689962</v>
      </c>
      <c r="AA111" s="201">
        <f t="shared" si="15"/>
        <v>0.94461770047828675</v>
      </c>
      <c r="AB111" s="201">
        <f t="shared" si="15"/>
        <v>0.94897495479964211</v>
      </c>
      <c r="AC111" s="201">
        <f t="shared" si="15"/>
        <v>0.95281437952255965</v>
      </c>
      <c r="AD111" s="201">
        <f t="shared" si="15"/>
        <v>0.956347571966781</v>
      </c>
      <c r="AE111" s="201">
        <f t="shared" si="15"/>
        <v>0.95959825063315984</v>
      </c>
      <c r="AF111" s="201">
        <f t="shared" si="15"/>
        <v>0.9626435023317288</v>
      </c>
    </row>
    <row r="112" spans="1:32" x14ac:dyDescent="0.25">
      <c r="A112" s="444"/>
      <c r="B112" s="445" t="s">
        <v>53</v>
      </c>
      <c r="G112" s="200"/>
      <c r="H112" s="201">
        <f t="shared" ref="H112:AF112" si="16">H75/SUM(H$70:H$75)</f>
        <v>5.3366896895511791E-4</v>
      </c>
      <c r="I112" s="201">
        <f t="shared" si="16"/>
        <v>6.1248454419997919E-4</v>
      </c>
      <c r="J112" s="201">
        <f t="shared" si="16"/>
        <v>8.0098251687126508E-4</v>
      </c>
      <c r="K112" s="201">
        <f t="shared" si="16"/>
        <v>1.1524241199930526E-3</v>
      </c>
      <c r="L112" s="201">
        <f t="shared" si="16"/>
        <v>1.6818278163562416E-3</v>
      </c>
      <c r="M112" s="201">
        <f t="shared" si="16"/>
        <v>2.2356118862394605E-3</v>
      </c>
      <c r="N112" s="201">
        <f t="shared" si="16"/>
        <v>2.5697462885212615E-3</v>
      </c>
      <c r="O112" s="201">
        <f t="shared" si="16"/>
        <v>2.6249500641003973E-3</v>
      </c>
      <c r="P112" s="201">
        <f t="shared" si="16"/>
        <v>2.5151758432981155E-3</v>
      </c>
      <c r="Q112" s="201">
        <f t="shared" si="16"/>
        <v>2.3422925319335182E-3</v>
      </c>
      <c r="R112" s="201">
        <f t="shared" si="16"/>
        <v>2.1634500338867609E-3</v>
      </c>
      <c r="S112" s="201">
        <f t="shared" si="16"/>
        <v>1.9944516731659496E-3</v>
      </c>
      <c r="T112" s="201">
        <f t="shared" si="16"/>
        <v>1.8411417656601797E-3</v>
      </c>
      <c r="U112" s="201">
        <f t="shared" si="16"/>
        <v>1.703326085287635E-3</v>
      </c>
      <c r="V112" s="201">
        <f t="shared" si="16"/>
        <v>1.5802953705326987E-3</v>
      </c>
      <c r="W112" s="201">
        <f t="shared" si="16"/>
        <v>1.4697230372465488E-3</v>
      </c>
      <c r="X112" s="201">
        <f t="shared" si="16"/>
        <v>1.3701076906307474E-3</v>
      </c>
      <c r="Y112" s="201">
        <f t="shared" si="16"/>
        <v>1.2794328962764839E-3</v>
      </c>
      <c r="Z112" s="201">
        <f t="shared" si="16"/>
        <v>1.1960805939620783E-3</v>
      </c>
      <c r="AA112" s="201">
        <f t="shared" si="16"/>
        <v>1.1188128660946351E-3</v>
      </c>
      <c r="AB112" s="201">
        <f t="shared" si="16"/>
        <v>1.0453217725084028E-3</v>
      </c>
      <c r="AC112" s="201">
        <f t="shared" si="16"/>
        <v>9.784712491315579E-4</v>
      </c>
      <c r="AD112" s="201">
        <f t="shared" si="16"/>
        <v>9.1613187350433867E-4</v>
      </c>
      <c r="AE112" s="201">
        <f t="shared" si="16"/>
        <v>8.5763921464918752E-4</v>
      </c>
      <c r="AF112" s="201">
        <f t="shared" si="16"/>
        <v>8.0142007287654189E-4</v>
      </c>
    </row>
    <row r="113" spans="1:32" x14ac:dyDescent="0.25">
      <c r="G113" s="205"/>
    </row>
    <row r="114" spans="1:32" s="838" customFormat="1" x14ac:dyDescent="0.25">
      <c r="A114" s="860" t="s">
        <v>497</v>
      </c>
      <c r="B114" s="861"/>
      <c r="C114" s="860"/>
      <c r="D114" s="859"/>
      <c r="E114" s="859"/>
      <c r="F114" s="859"/>
      <c r="G114" s="859"/>
      <c r="H114" s="862"/>
      <c r="I114" s="862"/>
      <c r="J114" s="862"/>
      <c r="K114" s="862"/>
      <c r="L114" s="862"/>
      <c r="M114" s="862"/>
      <c r="N114" s="862"/>
      <c r="O114" s="862"/>
      <c r="P114" s="862"/>
      <c r="Q114" s="862"/>
      <c r="R114" s="862"/>
      <c r="S114" s="862"/>
      <c r="T114" s="862"/>
      <c r="U114" s="862"/>
      <c r="V114" s="862"/>
      <c r="W114" s="862"/>
      <c r="X114" s="862"/>
      <c r="Y114" s="862"/>
      <c r="Z114" s="862"/>
      <c r="AA114" s="862"/>
      <c r="AB114" s="862"/>
      <c r="AC114" s="862"/>
      <c r="AD114" s="862"/>
      <c r="AE114" s="862"/>
      <c r="AF114" s="862"/>
    </row>
    <row r="115" spans="1:32" s="838" customFormat="1" x14ac:dyDescent="0.25">
      <c r="A115" s="840" t="s">
        <v>12</v>
      </c>
      <c r="B115" s="839"/>
    </row>
    <row r="116" spans="1:32" s="838" customFormat="1" x14ac:dyDescent="0.25">
      <c r="A116" s="839"/>
      <c r="B116" s="839" t="s">
        <v>20</v>
      </c>
      <c r="G116" s="208">
        <v>2010</v>
      </c>
      <c r="H116" s="208">
        <v>2011</v>
      </c>
      <c r="I116" s="208">
        <v>2012</v>
      </c>
      <c r="J116" s="208">
        <v>2013</v>
      </c>
      <c r="K116" s="208">
        <v>2014</v>
      </c>
      <c r="L116" s="208">
        <v>2015</v>
      </c>
      <c r="M116" s="208">
        <v>2016</v>
      </c>
      <c r="N116" s="208">
        <v>2017</v>
      </c>
      <c r="O116" s="208">
        <v>2018</v>
      </c>
      <c r="P116" s="208">
        <v>2019</v>
      </c>
      <c r="Q116" s="208">
        <v>2020</v>
      </c>
      <c r="R116" s="208">
        <v>2021</v>
      </c>
      <c r="S116" s="208">
        <v>2022</v>
      </c>
      <c r="T116" s="208">
        <v>2023</v>
      </c>
      <c r="U116" s="208">
        <v>2024</v>
      </c>
      <c r="V116" s="208">
        <v>2025</v>
      </c>
      <c r="W116" s="208">
        <v>2026</v>
      </c>
      <c r="X116" s="208">
        <v>2027</v>
      </c>
      <c r="Y116" s="208">
        <v>2028</v>
      </c>
      <c r="Z116" s="208">
        <v>2029</v>
      </c>
      <c r="AA116" s="208">
        <v>2030</v>
      </c>
      <c r="AB116" s="208">
        <v>2031</v>
      </c>
      <c r="AC116" s="208">
        <v>2032</v>
      </c>
      <c r="AD116" s="208">
        <v>2033</v>
      </c>
      <c r="AE116" s="208">
        <v>2034</v>
      </c>
      <c r="AF116" s="208">
        <v>2035</v>
      </c>
    </row>
    <row r="117" spans="1:32" s="843" customFormat="1" ht="12.75" x14ac:dyDescent="0.2">
      <c r="A117" s="843" t="s">
        <v>21</v>
      </c>
    </row>
    <row r="118" spans="1:32" s="838" customFormat="1" x14ac:dyDescent="0.25">
      <c r="A118" s="839"/>
      <c r="B118" s="839" t="s">
        <v>22</v>
      </c>
      <c r="G118" s="438"/>
      <c r="H118" s="890">
        <f ca="1">System_Mkt_Repl!G335+System_Mkt_NC!H335+Lamp_Mkt_Repl!H45</f>
        <v>24.310851267053287</v>
      </c>
      <c r="I118" s="890">
        <f ca="1">System_Mkt_Repl!H335+System_Mkt_NC!I335+Lamp_Mkt_Repl!I45</f>
        <v>21.287263906541298</v>
      </c>
      <c r="J118" s="890">
        <f ca="1">System_Mkt_Repl!I335+System_Mkt_NC!J335+Lamp_Mkt_Repl!J45</f>
        <v>14.409605209386445</v>
      </c>
      <c r="K118" s="890">
        <f ca="1">System_Mkt_Repl!J335+System_Mkt_NC!K335+Lamp_Mkt_Repl!K45</f>
        <v>9.9751815691045742</v>
      </c>
      <c r="L118" s="890">
        <f ca="1">System_Mkt_Repl!K335+System_Mkt_NC!L335+Lamp_Mkt_Repl!L45</f>
        <v>6.3977233856126778</v>
      </c>
      <c r="M118" s="890">
        <f ca="1">System_Mkt_Repl!L335+System_Mkt_NC!M335+Lamp_Mkt_Repl!M45</f>
        <v>2.3432171492723626</v>
      </c>
      <c r="N118" s="890">
        <f ca="1">System_Mkt_Repl!M335+System_Mkt_NC!N335+Lamp_Mkt_Repl!N45</f>
        <v>1.9493432900171657</v>
      </c>
      <c r="O118" s="890">
        <f ca="1">System_Mkt_Repl!N335+System_Mkt_NC!O335+Lamp_Mkt_Repl!O45</f>
        <v>1.6463985309483491</v>
      </c>
      <c r="P118" s="890">
        <f ca="1">System_Mkt_Repl!O335+System_Mkt_NC!P335+Lamp_Mkt_Repl!P45</f>
        <v>1.4032775160157152</v>
      </c>
      <c r="Q118" s="890">
        <f ca="1">System_Mkt_Repl!P335+System_Mkt_NC!Q335+Lamp_Mkt_Repl!Q45</f>
        <v>1.1814866587585648</v>
      </c>
      <c r="R118" s="890">
        <f ca="1">System_Mkt_Repl!Q335+System_Mkt_NC!R335+Lamp_Mkt_Repl!R45</f>
        <v>0.97589853924626713</v>
      </c>
      <c r="S118" s="890">
        <f ca="1">System_Mkt_Repl!R335+System_Mkt_NC!S335+Lamp_Mkt_Repl!S45</f>
        <v>0.79769577660628688</v>
      </c>
      <c r="T118" s="890">
        <f ca="1">System_Mkt_Repl!S335+System_Mkt_NC!T335+Lamp_Mkt_Repl!T45</f>
        <v>0.64524143477633555</v>
      </c>
      <c r="U118" s="890">
        <f ca="1">System_Mkt_Repl!T335+System_Mkt_NC!U335+Lamp_Mkt_Repl!U45</f>
        <v>0.5175206611501787</v>
      </c>
      <c r="V118" s="890">
        <f ca="1">System_Mkt_Repl!U335+System_Mkt_NC!V335+Lamp_Mkt_Repl!V45</f>
        <v>0.41669106117791532</v>
      </c>
      <c r="W118" s="890">
        <f ca="1">System_Mkt_Repl!V335+System_Mkt_NC!W335+Lamp_Mkt_Repl!W45</f>
        <v>0.33564733270195457</v>
      </c>
      <c r="X118" s="890">
        <f ca="1">System_Mkt_Repl!W335+System_Mkt_NC!X335+Lamp_Mkt_Repl!X45</f>
        <v>0.27125009911223363</v>
      </c>
      <c r="Y118" s="890">
        <f ca="1">System_Mkt_Repl!X335+System_Mkt_NC!Y335+Lamp_Mkt_Repl!Y45</f>
        <v>0.22054631241846376</v>
      </c>
      <c r="Z118" s="890">
        <f ca="1">System_Mkt_Repl!Y335+System_Mkt_NC!Z335+Lamp_Mkt_Repl!Z45</f>
        <v>0.18161756140028829</v>
      </c>
      <c r="AA118" s="890">
        <f ca="1">System_Mkt_Repl!Z335+System_Mkt_NC!AA335+Lamp_Mkt_Repl!AA45</f>
        <v>0.15201842537539753</v>
      </c>
      <c r="AB118" s="890">
        <f ca="1">System_Mkt_Repl!AA335+System_Mkt_NC!AB335+Lamp_Mkt_Repl!AB45</f>
        <v>0.12833083782316915</v>
      </c>
      <c r="AC118" s="890">
        <f ca="1">System_Mkt_Repl!AB335+System_Mkt_NC!AC335+Lamp_Mkt_Repl!AC45</f>
        <v>0.10949898282671944</v>
      </c>
      <c r="AD118" s="540">
        <f ca="1">System_Mkt_Repl!AC335+System_Mkt_NC!AD335+Lamp_Mkt_Repl!AD45</f>
        <v>9.4159017457330504E-2</v>
      </c>
      <c r="AE118" s="540">
        <f ca="1">System_Mkt_Repl!AD335+System_Mkt_NC!AE335+Lamp_Mkt_Repl!AE45</f>
        <v>8.1384381501629133E-2</v>
      </c>
      <c r="AF118" s="540">
        <f ca="1">System_Mkt_Repl!AE335+System_Mkt_NC!AF335+Lamp_Mkt_Repl!AF45</f>
        <v>6.9541310564875142E-2</v>
      </c>
    </row>
    <row r="119" spans="1:32" s="838" customFormat="1" x14ac:dyDescent="0.25">
      <c r="A119" s="839"/>
      <c r="B119" s="839" t="s">
        <v>26</v>
      </c>
      <c r="G119" s="438"/>
      <c r="H119" s="890">
        <f ca="1">System_Mkt_Repl!G336+System_Mkt_NC!H336+Lamp_Mkt_Repl!H46</f>
        <v>0.42018461963890841</v>
      </c>
      <c r="I119" s="890">
        <f ca="1">System_Mkt_Repl!H336+System_Mkt_NC!I336+Lamp_Mkt_Repl!I46</f>
        <v>1.8095023828253285</v>
      </c>
      <c r="J119" s="890">
        <f ca="1">System_Mkt_Repl!I336+System_Mkt_NC!J336+Lamp_Mkt_Repl!J46</f>
        <v>5.4879376584670458</v>
      </c>
      <c r="K119" s="890">
        <f ca="1">System_Mkt_Repl!J336+System_Mkt_NC!K336+Lamp_Mkt_Repl!K46</f>
        <v>7.7201119764251906</v>
      </c>
      <c r="L119" s="890">
        <f ca="1">System_Mkt_Repl!K336+System_Mkt_NC!L336+Lamp_Mkt_Repl!L46</f>
        <v>8.2755877080257321</v>
      </c>
      <c r="M119" s="890">
        <f ca="1">System_Mkt_Repl!L336+System_Mkt_NC!M336+Lamp_Mkt_Repl!M46</f>
        <v>8.6964676843347455</v>
      </c>
      <c r="N119" s="890">
        <f ca="1">System_Mkt_Repl!M336+System_Mkt_NC!N336+Lamp_Mkt_Repl!N46</f>
        <v>7.523305722561787</v>
      </c>
      <c r="O119" s="890">
        <f ca="1">System_Mkt_Repl!N336+System_Mkt_NC!O336+Lamp_Mkt_Repl!O46</f>
        <v>6.5853441187967379</v>
      </c>
      <c r="P119" s="890">
        <f ca="1">System_Mkt_Repl!O336+System_Mkt_NC!P336+Lamp_Mkt_Repl!P46</f>
        <v>5.7966224725008715</v>
      </c>
      <c r="Q119" s="890">
        <f ca="1">System_Mkt_Repl!P336+System_Mkt_NC!Q336+Lamp_Mkt_Repl!Q46</f>
        <v>5.0505398752761028</v>
      </c>
      <c r="R119" s="890">
        <f ca="1">System_Mkt_Repl!Q336+System_Mkt_NC!R336+Lamp_Mkt_Repl!R46</f>
        <v>4.3315921176386087</v>
      </c>
      <c r="S119" s="890">
        <f ca="1">System_Mkt_Repl!R336+System_Mkt_NC!S336+Lamp_Mkt_Repl!S46</f>
        <v>3.6843414830654417</v>
      </c>
      <c r="T119" s="890">
        <f ca="1">System_Mkt_Repl!S336+System_Mkt_NC!T336+Lamp_Mkt_Repl!T46</f>
        <v>3.109176650167421</v>
      </c>
      <c r="U119" s="890">
        <f ca="1">System_Mkt_Repl!T336+System_Mkt_NC!U336+Lamp_Mkt_Repl!U46</f>
        <v>2.6102001946710924</v>
      </c>
      <c r="V119" s="890">
        <f ca="1">System_Mkt_Repl!U336+System_Mkt_NC!V336+Lamp_Mkt_Repl!V46</f>
        <v>2.2033327732484822</v>
      </c>
      <c r="W119" s="890">
        <f ca="1">System_Mkt_Repl!V336+System_Mkt_NC!W336+Lamp_Mkt_Repl!W46</f>
        <v>1.8662233806983097</v>
      </c>
      <c r="X119" s="890">
        <f ca="1">System_Mkt_Repl!W336+System_Mkt_NC!X336+Lamp_Mkt_Repl!X46</f>
        <v>1.590111137552457</v>
      </c>
      <c r="Y119" s="890">
        <f ca="1">System_Mkt_Repl!X336+System_Mkt_NC!Y336+Lamp_Mkt_Repl!Y46</f>
        <v>1.3663881157672413</v>
      </c>
      <c r="Z119" s="890">
        <f ca="1">System_Mkt_Repl!Y336+System_Mkt_NC!Z336+Lamp_Mkt_Repl!Z46</f>
        <v>1.1906337260747961</v>
      </c>
      <c r="AA119" s="890">
        <f ca="1">System_Mkt_Repl!Z336+System_Mkt_NC!AA336+Lamp_Mkt_Repl!AA46</f>
        <v>1.0547351175168489</v>
      </c>
      <c r="AB119" s="890">
        <f ca="1">System_Mkt_Repl!AA336+System_Mkt_NC!AB336+Lamp_Mkt_Repl!AB46</f>
        <v>0.94433816135551063</v>
      </c>
      <c r="AC119" s="890">
        <f ca="1">System_Mkt_Repl!AB336+System_Mkt_NC!AC336+Lamp_Mkt_Repl!AC46</f>
        <v>0.8532965837066333</v>
      </c>
      <c r="AD119" s="540">
        <f ca="1">System_Mkt_Repl!AC336+System_Mkt_NC!AD336+Lamp_Mkt_Repl!AD46</f>
        <v>0.77710508953939983</v>
      </c>
      <c r="AE119" s="540">
        <f ca="1">System_Mkt_Repl!AD336+System_Mkt_NC!AE336+Lamp_Mkt_Repl!AE46</f>
        <v>0.71157039607284422</v>
      </c>
      <c r="AF119" s="540">
        <f ca="1">System_Mkt_Repl!AE336+System_Mkt_NC!AF336+Lamp_Mkt_Repl!AF46</f>
        <v>0.64702795063653307</v>
      </c>
    </row>
    <row r="120" spans="1:32" s="838" customFormat="1" x14ac:dyDescent="0.25">
      <c r="A120" s="839"/>
      <c r="B120" s="839" t="s">
        <v>27</v>
      </c>
      <c r="G120" s="438"/>
      <c r="H120" s="890">
        <f ca="1">System_Mkt_Repl!G337+System_Mkt_NC!H337+Lamp_Mkt_Repl!H47</f>
        <v>10.57309816942379</v>
      </c>
      <c r="I120" s="890">
        <f ca="1">System_Mkt_Repl!H337+System_Mkt_NC!I337+Lamp_Mkt_Repl!I47</f>
        <v>10.74885047198438</v>
      </c>
      <c r="J120" s="890">
        <f ca="1">System_Mkt_Repl!I337+System_Mkt_NC!J337+Lamp_Mkt_Repl!J47</f>
        <v>12.578480894363668</v>
      </c>
      <c r="K120" s="890">
        <f ca="1">System_Mkt_Repl!J337+System_Mkt_NC!K337+Lamp_Mkt_Repl!K47</f>
        <v>12.538698825109583</v>
      </c>
      <c r="L120" s="890">
        <f ca="1">System_Mkt_Repl!K337+System_Mkt_NC!L337+Lamp_Mkt_Repl!L47</f>
        <v>13.40103046204354</v>
      </c>
      <c r="M120" s="890">
        <f ca="1">System_Mkt_Repl!L337+System_Mkt_NC!M337+Lamp_Mkt_Repl!M47</f>
        <v>14.482326119487109</v>
      </c>
      <c r="N120" s="890">
        <f ca="1">System_Mkt_Repl!M337+System_Mkt_NC!N337+Lamp_Mkt_Repl!N47</f>
        <v>12.95692675553906</v>
      </c>
      <c r="O120" s="890">
        <f ca="1">System_Mkt_Repl!N337+System_Mkt_NC!O337+Lamp_Mkt_Repl!O47</f>
        <v>11.635445177705652</v>
      </c>
      <c r="P120" s="890">
        <f ca="1">System_Mkt_Repl!O337+System_Mkt_NC!P337+Lamp_Mkt_Repl!P47</f>
        <v>10.387579159052923</v>
      </c>
      <c r="Q120" s="890">
        <f ca="1">System_Mkt_Repl!P337+System_Mkt_NC!Q337+Lamp_Mkt_Repl!Q47</f>
        <v>9.2362778610817262</v>
      </c>
      <c r="R120" s="890">
        <f ca="1">System_Mkt_Repl!Q337+System_Mkt_NC!R337+Lamp_Mkt_Repl!R47</f>
        <v>8.1525438191334842</v>
      </c>
      <c r="S120" s="890">
        <f ca="1">System_Mkt_Repl!R337+System_Mkt_NC!S337+Lamp_Mkt_Repl!S47</f>
        <v>7.1396018176669918</v>
      </c>
      <c r="T120" s="890">
        <f ca="1">System_Mkt_Repl!S337+System_Mkt_NC!T337+Lamp_Mkt_Repl!T47</f>
        <v>6.2196148076724391</v>
      </c>
      <c r="U120" s="890">
        <f ca="1">System_Mkt_Repl!T337+System_Mkt_NC!U337+Lamp_Mkt_Repl!U47</f>
        <v>5.4132937608200731</v>
      </c>
      <c r="V120" s="890">
        <f ca="1">System_Mkt_Repl!U337+System_Mkt_NC!V337+Lamp_Mkt_Repl!V47</f>
        <v>4.7299748539627284</v>
      </c>
      <c r="W120" s="890">
        <f ca="1">System_Mkt_Repl!V337+System_Mkt_NC!W337+Lamp_Mkt_Repl!W47</f>
        <v>4.1647634578413868</v>
      </c>
      <c r="X120" s="890">
        <f ca="1">System_Mkt_Repl!W337+System_Mkt_NC!X337+Lamp_Mkt_Repl!X47</f>
        <v>3.7014716799757066</v>
      </c>
      <c r="Y120" s="890">
        <f ca="1">System_Mkt_Repl!X337+System_Mkt_NC!Y337+Lamp_Mkt_Repl!Y47</f>
        <v>3.3288441220271605</v>
      </c>
      <c r="Z120" s="890">
        <f ca="1">System_Mkt_Repl!Y337+System_Mkt_NC!Z337+Lamp_Mkt_Repl!Z47</f>
        <v>3.035848166859707</v>
      </c>
      <c r="AA120" s="890">
        <f ca="1">System_Mkt_Repl!Z337+System_Mkt_NC!AA337+Lamp_Mkt_Repl!AA47</f>
        <v>2.8094918791678691</v>
      </c>
      <c r="AB120" s="890">
        <f ca="1">System_Mkt_Repl!AA337+System_Mkt_NC!AB337+Lamp_Mkt_Repl!AB47</f>
        <v>2.6373860782843797</v>
      </c>
      <c r="AC120" s="890">
        <f ca="1">System_Mkt_Repl!AB337+System_Mkt_NC!AC337+Lamp_Mkt_Repl!AC47</f>
        <v>2.4952065809604416</v>
      </c>
      <c r="AD120" s="540">
        <f ca="1">System_Mkt_Repl!AC337+System_Mkt_NC!AD337+Lamp_Mkt_Repl!AD47</f>
        <v>2.3800746302828015</v>
      </c>
      <c r="AE120" s="540">
        <f ca="1">System_Mkt_Repl!AD337+System_Mkt_NC!AE337+Lamp_Mkt_Repl!AE47</f>
        <v>2.2860547091950312</v>
      </c>
      <c r="AF120" s="540">
        <f ca="1">System_Mkt_Repl!AE337+System_Mkt_NC!AF337+Lamp_Mkt_Repl!AF47</f>
        <v>2.2045611335219739</v>
      </c>
    </row>
    <row r="121" spans="1:32" s="838" customFormat="1" x14ac:dyDescent="0.25">
      <c r="A121" s="839"/>
      <c r="B121" s="839" t="s">
        <v>29</v>
      </c>
      <c r="G121" s="438"/>
      <c r="H121" s="890">
        <f ca="1">System_Mkt_Repl!G338+System_Mkt_NC!H338+Lamp_Mkt_Repl!H48</f>
        <v>0.10207664996051932</v>
      </c>
      <c r="I121" s="890">
        <f ca="1">System_Mkt_Repl!H338+System_Mkt_NC!I338+Lamp_Mkt_Repl!I48</f>
        <v>0.2587250769936098</v>
      </c>
      <c r="J121" s="890">
        <f ca="1">System_Mkt_Repl!I338+System_Mkt_NC!J338+Lamp_Mkt_Repl!J48</f>
        <v>0.42147559652663541</v>
      </c>
      <c r="K121" s="890">
        <f ca="1">System_Mkt_Repl!J338+System_Mkt_NC!K338+Lamp_Mkt_Repl!K48</f>
        <v>0.69070881323076505</v>
      </c>
      <c r="L121" s="890">
        <f ca="1">System_Mkt_Repl!K338+System_Mkt_NC!L338+Lamp_Mkt_Repl!L48</f>
        <v>1.1023884640463</v>
      </c>
      <c r="M121" s="890">
        <f ca="1">System_Mkt_Repl!L338+System_Mkt_NC!M338+Lamp_Mkt_Repl!M48</f>
        <v>1.7289849104329891</v>
      </c>
      <c r="N121" s="890">
        <f ca="1">System_Mkt_Repl!M338+System_Mkt_NC!N338+Lamp_Mkt_Repl!N48</f>
        <v>2.4990597055151387</v>
      </c>
      <c r="O121" s="890">
        <f ca="1">System_Mkt_Repl!N338+System_Mkt_NC!O338+Lamp_Mkt_Repl!O48</f>
        <v>3.4582317056745171</v>
      </c>
      <c r="P121" s="890">
        <f ca="1">System_Mkt_Repl!O338+System_Mkt_NC!P338+Lamp_Mkt_Repl!P48</f>
        <v>4.5496109425636062</v>
      </c>
      <c r="Q121" s="890">
        <f ca="1">System_Mkt_Repl!P338+System_Mkt_NC!Q338+Lamp_Mkt_Repl!Q48</f>
        <v>5.7140527916218105</v>
      </c>
      <c r="R121" s="890">
        <f ca="1">System_Mkt_Repl!Q338+System_Mkt_NC!R338+Lamp_Mkt_Repl!R48</f>
        <v>6.850545587496855</v>
      </c>
      <c r="S121" s="890">
        <f ca="1">System_Mkt_Repl!R338+System_Mkt_NC!S338+Lamp_Mkt_Repl!S48</f>
        <v>7.8993800308088122</v>
      </c>
      <c r="T121" s="890">
        <f ca="1">System_Mkt_Repl!S338+System_Mkt_NC!T338+Lamp_Mkt_Repl!T48</f>
        <v>8.7986851014788989</v>
      </c>
      <c r="U121" s="890">
        <f ca="1">System_Mkt_Repl!T338+System_Mkt_NC!U338+Lamp_Mkt_Repl!U48</f>
        <v>9.5290127253039998</v>
      </c>
      <c r="V121" s="890">
        <f ca="1">System_Mkt_Repl!U338+System_Mkt_NC!V338+Lamp_Mkt_Repl!V48</f>
        <v>10.09193903598549</v>
      </c>
      <c r="W121" s="890">
        <f ca="1">System_Mkt_Repl!V338+System_Mkt_NC!W338+Lamp_Mkt_Repl!W48</f>
        <v>10.505045157513463</v>
      </c>
      <c r="X121" s="890">
        <f ca="1">System_Mkt_Repl!W338+System_Mkt_NC!X338+Lamp_Mkt_Repl!X48</f>
        <v>10.783533335269013</v>
      </c>
      <c r="Y121" s="890">
        <f ca="1">System_Mkt_Repl!X338+System_Mkt_NC!Y338+Lamp_Mkt_Repl!Y48</f>
        <v>10.965701158344547</v>
      </c>
      <c r="Z121" s="890">
        <f ca="1">System_Mkt_Repl!Y338+System_Mkt_NC!Z338+Lamp_Mkt_Repl!Z48</f>
        <v>11.090044381663274</v>
      </c>
      <c r="AA121" s="890">
        <f ca="1">System_Mkt_Repl!Z338+System_Mkt_NC!AA338+Lamp_Mkt_Repl!AA48</f>
        <v>11.184324480296931</v>
      </c>
      <c r="AB121" s="890">
        <f ca="1">System_Mkt_Repl!AA338+System_Mkt_NC!AB338+Lamp_Mkt_Repl!AB48</f>
        <v>11.285746961986987</v>
      </c>
      <c r="AC121" s="890">
        <f ca="1">System_Mkt_Repl!AB338+System_Mkt_NC!AC338+Lamp_Mkt_Repl!AC48</f>
        <v>11.339822855303559</v>
      </c>
      <c r="AD121" s="540">
        <f ca="1">System_Mkt_Repl!AC338+System_Mkt_NC!AD338+Lamp_Mkt_Repl!AD48</f>
        <v>11.378311264348461</v>
      </c>
      <c r="AE121" s="540">
        <f ca="1">System_Mkt_Repl!AD338+System_Mkt_NC!AE338+Lamp_Mkt_Repl!AE48</f>
        <v>11.412794587626941</v>
      </c>
      <c r="AF121" s="540">
        <f ca="1">System_Mkt_Repl!AE338+System_Mkt_NC!AF338+Lamp_Mkt_Repl!AF48</f>
        <v>11.456972479491473</v>
      </c>
    </row>
    <row r="122" spans="1:32" s="838" customFormat="1" x14ac:dyDescent="0.25">
      <c r="A122" s="839"/>
      <c r="B122" s="839"/>
      <c r="G122" s="854"/>
      <c r="H122" s="890"/>
      <c r="I122" s="890"/>
      <c r="J122" s="890"/>
      <c r="K122" s="890"/>
      <c r="L122" s="890"/>
      <c r="M122" s="890"/>
      <c r="N122" s="890"/>
      <c r="O122" s="890"/>
      <c r="P122" s="890"/>
      <c r="Q122" s="890"/>
      <c r="R122" s="890"/>
      <c r="S122" s="890"/>
      <c r="T122" s="890"/>
      <c r="U122" s="890"/>
      <c r="V122" s="890"/>
      <c r="W122" s="890"/>
      <c r="X122" s="890"/>
      <c r="Y122" s="890"/>
      <c r="Z122" s="890"/>
      <c r="AA122" s="890"/>
      <c r="AB122" s="890"/>
      <c r="AC122" s="890"/>
    </row>
    <row r="123" spans="1:32" s="843" customFormat="1" ht="12.75" x14ac:dyDescent="0.2">
      <c r="A123" s="843" t="s">
        <v>32</v>
      </c>
      <c r="G123" s="865"/>
      <c r="H123" s="891"/>
      <c r="I123" s="891"/>
      <c r="J123" s="891"/>
      <c r="K123" s="891"/>
      <c r="L123" s="891"/>
      <c r="M123" s="891"/>
      <c r="N123" s="891"/>
      <c r="O123" s="891"/>
      <c r="P123" s="891"/>
      <c r="Q123" s="891"/>
      <c r="R123" s="891"/>
      <c r="S123" s="891"/>
      <c r="T123" s="891"/>
      <c r="U123" s="891"/>
      <c r="V123" s="891"/>
      <c r="W123" s="891"/>
      <c r="X123" s="891"/>
      <c r="Y123" s="891"/>
      <c r="Z123" s="891"/>
      <c r="AA123" s="891"/>
      <c r="AB123" s="891"/>
      <c r="AC123" s="891"/>
    </row>
    <row r="124" spans="1:32" s="838" customFormat="1" x14ac:dyDescent="0.25">
      <c r="A124" s="839"/>
      <c r="B124" s="839" t="s">
        <v>33</v>
      </c>
      <c r="G124" s="854"/>
      <c r="H124" s="890">
        <f>System_Mkt_Repl!G341+System_Mkt_NC!H341+Lamp_Mkt_Repl!H51</f>
        <v>1.7371073873169274</v>
      </c>
      <c r="I124" s="890">
        <f>System_Mkt_Repl!H341+System_Mkt_NC!I341+Lamp_Mkt_Repl!I51</f>
        <v>1.8727349381672247</v>
      </c>
      <c r="J124" s="890">
        <f>System_Mkt_Repl!I341+System_Mkt_NC!J341+Lamp_Mkt_Repl!J51</f>
        <v>1.9734855791187704</v>
      </c>
      <c r="K124" s="890">
        <f>System_Mkt_Repl!J341+System_Mkt_NC!K341+Lamp_Mkt_Repl!K51</f>
        <v>2.00589651536766</v>
      </c>
      <c r="L124" s="890">
        <f>System_Mkt_Repl!K341+System_Mkt_NC!L341+Lamp_Mkt_Repl!L51</f>
        <v>1.8682783434233339</v>
      </c>
      <c r="M124" s="890">
        <f>System_Mkt_Repl!L341+System_Mkt_NC!M341+Lamp_Mkt_Repl!M51</f>
        <v>1.6670794673506351</v>
      </c>
      <c r="N124" s="890">
        <f>System_Mkt_Repl!M341+System_Mkt_NC!N341+Lamp_Mkt_Repl!N51</f>
        <v>1.4570328115649853</v>
      </c>
      <c r="O124" s="890">
        <f>System_Mkt_Repl!N341+System_Mkt_NC!O341+Lamp_Mkt_Repl!O51</f>
        <v>1.2455519640608865</v>
      </c>
      <c r="P124" s="890">
        <f>System_Mkt_Repl!O341+System_Mkt_NC!P341+Lamp_Mkt_Repl!P51</f>
        <v>1.0476698473483985</v>
      </c>
      <c r="Q124" s="890">
        <f>System_Mkt_Repl!P341+System_Mkt_NC!Q341+Lamp_Mkt_Repl!Q51</f>
        <v>0.86008022496403014</v>
      </c>
      <c r="R124" s="890">
        <f>System_Mkt_Repl!Q341+System_Mkt_NC!R341+Lamp_Mkt_Repl!R51</f>
        <v>0.68979426662237098</v>
      </c>
      <c r="S124" s="890">
        <f>System_Mkt_Repl!R341+System_Mkt_NC!S341+Lamp_Mkt_Repl!S51</f>
        <v>0.54732419635372698</v>
      </c>
      <c r="T124" s="890">
        <f>System_Mkt_Repl!S341+System_Mkt_NC!T341+Lamp_Mkt_Repl!T51</f>
        <v>0.43083304568931491</v>
      </c>
      <c r="U124" s="890">
        <f>System_Mkt_Repl!T341+System_Mkt_NC!U341+Lamp_Mkt_Repl!U51</f>
        <v>0.33805750164003168</v>
      </c>
      <c r="V124" s="890">
        <f>System_Mkt_Repl!U341+System_Mkt_NC!V341+Lamp_Mkt_Repl!V51</f>
        <v>0.26804304398721207</v>
      </c>
      <c r="W124" s="890">
        <f>System_Mkt_Repl!V341+System_Mkt_NC!W341+Lamp_Mkt_Repl!W51</f>
        <v>0.21438937133425276</v>
      </c>
      <c r="X124" s="890">
        <f>System_Mkt_Repl!W341+System_Mkt_NC!X341+Lamp_Mkt_Repl!X51</f>
        <v>0.17371596853296656</v>
      </c>
      <c r="Y124" s="890">
        <f>System_Mkt_Repl!X341+System_Mkt_NC!Y341+Lamp_Mkt_Repl!Y51</f>
        <v>0.1428766041577032</v>
      </c>
      <c r="Z124" s="890">
        <f>System_Mkt_Repl!Y341+System_Mkt_NC!Z341+Lamp_Mkt_Repl!Z51</f>
        <v>0.11999980154259376</v>
      </c>
      <c r="AA124" s="890">
        <f>System_Mkt_Repl!Z341+System_Mkt_NC!AA341+Lamp_Mkt_Repl!AA51</f>
        <v>0.10314030491618688</v>
      </c>
      <c r="AB124" s="890">
        <f>System_Mkt_Repl!AA341+System_Mkt_NC!AB341+Lamp_Mkt_Repl!AB51</f>
        <v>8.9937810600796697E-2</v>
      </c>
      <c r="AC124" s="890">
        <f>System_Mkt_Repl!AB341+System_Mkt_NC!AC341+Lamp_Mkt_Repl!AC51</f>
        <v>7.9297963905422458E-2</v>
      </c>
      <c r="AD124" s="540">
        <f>System_Mkt_Repl!AC341+System_Mkt_NC!AD341+Lamp_Mkt_Repl!AD51</f>
        <v>7.0649395982150073E-2</v>
      </c>
      <c r="AE124" s="540">
        <f>System_Mkt_Repl!AD341+System_Mkt_NC!AE341+Lamp_Mkt_Repl!AE51</f>
        <v>6.3273027338611482E-2</v>
      </c>
      <c r="AF124" s="540">
        <f>System_Mkt_Repl!AE341+System_Mkt_NC!AF341+Lamp_Mkt_Repl!AF51</f>
        <v>5.6031675617730134E-2</v>
      </c>
    </row>
    <row r="125" spans="1:32" s="838" customFormat="1" x14ac:dyDescent="0.25">
      <c r="A125" s="842"/>
      <c r="B125" s="842" t="s">
        <v>34</v>
      </c>
      <c r="G125" s="854"/>
      <c r="H125" s="890">
        <f>System_Mkt_Repl!G342+System_Mkt_NC!H342+Lamp_Mkt_Repl!H52</f>
        <v>3.4459036271108383</v>
      </c>
      <c r="I125" s="890">
        <f>System_Mkt_Repl!H342+System_Mkt_NC!I342+Lamp_Mkt_Repl!I52</f>
        <v>3.2890695906291536</v>
      </c>
      <c r="J125" s="890">
        <f>System_Mkt_Repl!I342+System_Mkt_NC!J342+Lamp_Mkt_Repl!J52</f>
        <v>3.0770377534609938</v>
      </c>
      <c r="K125" s="890">
        <f>System_Mkt_Repl!J342+System_Mkt_NC!K342+Lamp_Mkt_Repl!K52</f>
        <v>2.8083182344196231</v>
      </c>
      <c r="L125" s="890">
        <f>System_Mkt_Repl!K342+System_Mkt_NC!L342+Lamp_Mkt_Repl!L52</f>
        <v>2.6821087926681999</v>
      </c>
      <c r="M125" s="890">
        <f>System_Mkt_Repl!L342+System_Mkt_NC!M342+Lamp_Mkt_Repl!M52</f>
        <v>2.5132753974140676</v>
      </c>
      <c r="N125" s="890">
        <f>System_Mkt_Repl!M342+System_Mkt_NC!N342+Lamp_Mkt_Repl!N52</f>
        <v>2.2928914795280266</v>
      </c>
      <c r="O125" s="890">
        <f>System_Mkt_Repl!N342+System_Mkt_NC!O342+Lamp_Mkt_Repl!O52</f>
        <v>2.0438247633495163</v>
      </c>
      <c r="P125" s="890">
        <f>System_Mkt_Repl!O342+System_Mkt_NC!P342+Lamp_Mkt_Repl!P52</f>
        <v>1.7846875008241936</v>
      </c>
      <c r="Q125" s="890">
        <f>System_Mkt_Repl!P342+System_Mkt_NC!Q342+Lamp_Mkt_Repl!Q52</f>
        <v>1.5321702418508329</v>
      </c>
      <c r="R125" s="890">
        <f>System_Mkt_Repl!Q342+System_Mkt_NC!R342+Lamp_Mkt_Repl!R52</f>
        <v>1.295799781044769</v>
      </c>
      <c r="S125" s="890">
        <f>System_Mkt_Repl!R342+System_Mkt_NC!S342+Lamp_Mkt_Repl!S52</f>
        <v>1.087251297872974</v>
      </c>
      <c r="T125" s="890">
        <f>System_Mkt_Repl!S342+System_Mkt_NC!T342+Lamp_Mkt_Repl!T52</f>
        <v>0.90842179267888556</v>
      </c>
      <c r="U125" s="890">
        <f>System_Mkt_Repl!T342+System_Mkt_NC!U342+Lamp_Mkt_Repl!U52</f>
        <v>0.7600267857903753</v>
      </c>
      <c r="V125" s="890">
        <f>System_Mkt_Repl!U342+System_Mkt_NC!V342+Lamp_Mkt_Repl!V52</f>
        <v>0.64236180250196773</v>
      </c>
      <c r="W125" s="890">
        <f>System_Mkt_Repl!V342+System_Mkt_NC!W342+Lamp_Mkt_Repl!W52</f>
        <v>0.54931201267501173</v>
      </c>
      <c r="X125" s="890">
        <f>System_Mkt_Repl!W342+System_Mkt_NC!X342+Lamp_Mkt_Repl!X52</f>
        <v>0.47660054609536706</v>
      </c>
      <c r="Y125" s="890">
        <f>System_Mkt_Repl!X342+System_Mkt_NC!Y342+Lamp_Mkt_Repl!Y52</f>
        <v>0.42019144866046421</v>
      </c>
      <c r="Z125" s="890">
        <f>System_Mkt_Repl!Y342+System_Mkt_NC!Z342+Lamp_Mkt_Repl!Z52</f>
        <v>0.37767847391392662</v>
      </c>
      <c r="AA125" s="890">
        <f>System_Mkt_Repl!Z342+System_Mkt_NC!AA342+Lamp_Mkt_Repl!AA52</f>
        <v>0.3462725063034171</v>
      </c>
      <c r="AB125" s="890">
        <f>System_Mkt_Repl!AA342+System_Mkt_NC!AB342+Lamp_Mkt_Repl!AB52</f>
        <v>0.32250119807949912</v>
      </c>
      <c r="AC125" s="890">
        <f>System_Mkt_Repl!AB342+System_Mkt_NC!AC342+Lamp_Mkt_Repl!AC52</f>
        <v>0.30290697905999497</v>
      </c>
      <c r="AD125" s="540">
        <f>System_Mkt_Repl!AC342+System_Mkt_NC!AD342+Lamp_Mkt_Repl!AD52</f>
        <v>0.28719269391573415</v>
      </c>
      <c r="AE125" s="540">
        <f>System_Mkt_Repl!AD342+System_Mkt_NC!AE342+Lamp_Mkt_Repl!AE52</f>
        <v>0.27391906787525561</v>
      </c>
      <c r="AF125" s="540">
        <f>System_Mkt_Repl!AE342+System_Mkt_NC!AF342+Lamp_Mkt_Repl!AF52</f>
        <v>0.26066524878973973</v>
      </c>
    </row>
    <row r="126" spans="1:32" s="838" customFormat="1" x14ac:dyDescent="0.25">
      <c r="A126" s="839"/>
      <c r="B126" s="842" t="s">
        <v>35</v>
      </c>
      <c r="G126" s="854"/>
      <c r="H126" s="890">
        <f>System_Mkt_Repl!G343+System_Mkt_NC!H343+Lamp_Mkt_Repl!H53</f>
        <v>0.4996446136434407</v>
      </c>
      <c r="I126" s="890">
        <f>System_Mkt_Repl!H343+System_Mkt_NC!I343+Lamp_Mkt_Repl!I53</f>
        <v>0.51258260507292297</v>
      </c>
      <c r="J126" s="890">
        <f>System_Mkt_Repl!I343+System_Mkt_NC!J343+Lamp_Mkt_Repl!J53</f>
        <v>0.53751694804296168</v>
      </c>
      <c r="K126" s="890">
        <f>System_Mkt_Repl!J343+System_Mkt_NC!K343+Lamp_Mkt_Repl!K53</f>
        <v>0.56613132819208578</v>
      </c>
      <c r="L126" s="890">
        <f>System_Mkt_Repl!K343+System_Mkt_NC!L343+Lamp_Mkt_Repl!L53</f>
        <v>0.54670772578706539</v>
      </c>
      <c r="M126" s="890">
        <f>System_Mkt_Repl!L343+System_Mkt_NC!M343+Lamp_Mkt_Repl!M53</f>
        <v>0.52755187684260707</v>
      </c>
      <c r="N126" s="890">
        <f>System_Mkt_Repl!M343+System_Mkt_NC!N343+Lamp_Mkt_Repl!N53</f>
        <v>0.4924463689835607</v>
      </c>
      <c r="O126" s="890">
        <f>System_Mkt_Repl!N343+System_Mkt_NC!O343+Lamp_Mkt_Repl!O53</f>
        <v>0.4482126885006914</v>
      </c>
      <c r="P126" s="890">
        <f>System_Mkt_Repl!O343+System_Mkt_NC!P343+Lamp_Mkt_Repl!P53</f>
        <v>0.39782666106639741</v>
      </c>
      <c r="Q126" s="890">
        <f>System_Mkt_Repl!P343+System_Mkt_NC!Q343+Lamp_Mkt_Repl!Q53</f>
        <v>0.34885761183063224</v>
      </c>
      <c r="R126" s="890">
        <f>System_Mkt_Repl!Q343+System_Mkt_NC!R343+Lamp_Mkt_Repl!R53</f>
        <v>0.30302514601869707</v>
      </c>
      <c r="S126" s="890">
        <f>System_Mkt_Repl!R343+System_Mkt_NC!S343+Lamp_Mkt_Repl!S53</f>
        <v>0.26136396214034519</v>
      </c>
      <c r="T126" s="890">
        <f>System_Mkt_Repl!S343+System_Mkt_NC!T343+Lamp_Mkt_Repl!T53</f>
        <v>0.22481897847157531</v>
      </c>
      <c r="U126" s="890">
        <f>System_Mkt_Repl!T343+System_Mkt_NC!U343+Lamp_Mkt_Repl!U53</f>
        <v>0.19403070551503038</v>
      </c>
      <c r="V126" s="890">
        <f>System_Mkt_Repl!U343+System_Mkt_NC!V343+Lamp_Mkt_Repl!V53</f>
        <v>0.16887881003666477</v>
      </c>
      <c r="W126" s="890">
        <f>System_Mkt_Repl!V343+System_Mkt_NC!W343+Lamp_Mkt_Repl!W53</f>
        <v>0.14887223750110373</v>
      </c>
      <c r="X126" s="890">
        <f>System_Mkt_Repl!W343+System_Mkt_NC!X343+Lamp_Mkt_Repl!X53</f>
        <v>0.13317293279985232</v>
      </c>
      <c r="Y126" s="890">
        <f>System_Mkt_Repl!X343+System_Mkt_NC!Y343+Lamp_Mkt_Repl!Y53</f>
        <v>0.1210661750498976</v>
      </c>
      <c r="Z126" s="890">
        <f>System_Mkt_Repl!Y343+System_Mkt_NC!Z343+Lamp_Mkt_Repl!Z53</f>
        <v>0.11201592412762391</v>
      </c>
      <c r="AA126" s="890">
        <f>System_Mkt_Repl!Z343+System_Mkt_NC!AA343+Lamp_Mkt_Repl!AA53</f>
        <v>0.10544875494143174</v>
      </c>
      <c r="AB126" s="890">
        <f>System_Mkt_Repl!AA343+System_Mkt_NC!AB343+Lamp_Mkt_Repl!AB53</f>
        <v>0.10091416984334792</v>
      </c>
      <c r="AC126" s="890">
        <f>System_Mkt_Repl!AB343+System_Mkt_NC!AC343+Lamp_Mkt_Repl!AC53</f>
        <v>9.7236788243928687E-2</v>
      </c>
      <c r="AD126" s="540">
        <f>System_Mkt_Repl!AC343+System_Mkt_NC!AD343+Lamp_Mkt_Repl!AD53</f>
        <v>9.451992085147401E-2</v>
      </c>
      <c r="AE126" s="540">
        <f>System_Mkt_Repl!AD343+System_Mkt_NC!AE343+Lamp_Mkt_Repl!AE53</f>
        <v>9.247010106803441E-2</v>
      </c>
      <c r="AF126" s="540">
        <f>System_Mkt_Repl!AE343+System_Mkt_NC!AF343+Lamp_Mkt_Repl!AF53</f>
        <v>9.0794792883529457E-2</v>
      </c>
    </row>
    <row r="127" spans="1:32" s="838" customFormat="1" x14ac:dyDescent="0.25">
      <c r="A127" s="839"/>
      <c r="B127" s="842" t="s">
        <v>29</v>
      </c>
      <c r="G127" s="854"/>
      <c r="H127" s="890">
        <f>System_Mkt_Repl!G344+System_Mkt_NC!H344+Lamp_Mkt_Repl!H54</f>
        <v>3.5379028390109507E-2</v>
      </c>
      <c r="I127" s="890">
        <f>System_Mkt_Repl!H344+System_Mkt_NC!I344+Lamp_Mkt_Repl!I54</f>
        <v>0.11358675305953964</v>
      </c>
      <c r="J127" s="890">
        <f>System_Mkt_Repl!I344+System_Mkt_NC!J344+Lamp_Mkt_Repl!J54</f>
        <v>0.27471156889010451</v>
      </c>
      <c r="K127" s="890">
        <f>System_Mkt_Repl!J344+System_Mkt_NC!K344+Lamp_Mkt_Repl!K54</f>
        <v>0.52278805544442652</v>
      </c>
      <c r="L127" s="890">
        <f>System_Mkt_Repl!K344+System_Mkt_NC!L344+Lamp_Mkt_Repl!L54</f>
        <v>0.81720777230803665</v>
      </c>
      <c r="M127" s="890">
        <f>System_Mkt_Repl!L344+System_Mkt_NC!M344+Lamp_Mkt_Repl!M54</f>
        <v>1.1634556546181569</v>
      </c>
      <c r="N127" s="890">
        <f>System_Mkt_Repl!M344+System_Mkt_NC!N344+Lamp_Mkt_Repl!N54</f>
        <v>1.5231242783286074</v>
      </c>
      <c r="O127" s="890">
        <f>System_Mkt_Repl!N344+System_Mkt_NC!O344+Lamp_Mkt_Repl!O54</f>
        <v>1.8702791787819688</v>
      </c>
      <c r="P127" s="890">
        <f>System_Mkt_Repl!O344+System_Mkt_NC!P344+Lamp_Mkt_Repl!P54</f>
        <v>2.1765608299758163</v>
      </c>
      <c r="Q127" s="890">
        <f>System_Mkt_Repl!P344+System_Mkt_NC!Q344+Lamp_Mkt_Repl!Q54</f>
        <v>2.4318307247623849</v>
      </c>
      <c r="R127" s="890">
        <f>System_Mkt_Repl!Q344+System_Mkt_NC!R344+Lamp_Mkt_Repl!R54</f>
        <v>2.6243013859770832</v>
      </c>
      <c r="S127" s="890">
        <f>System_Mkt_Repl!R344+System_Mkt_NC!S344+Lamp_Mkt_Repl!S54</f>
        <v>2.7562828711019032</v>
      </c>
      <c r="T127" s="890">
        <f>System_Mkt_Repl!S344+System_Mkt_NC!T344+Lamp_Mkt_Repl!T54</f>
        <v>2.8318914850635051</v>
      </c>
      <c r="U127" s="890">
        <f>System_Mkt_Repl!T344+System_Mkt_NC!U344+Lamp_Mkt_Repl!U54</f>
        <v>2.861795051268281</v>
      </c>
      <c r="V127" s="890">
        <f>System_Mkt_Repl!U344+System_Mkt_NC!V344+Lamp_Mkt_Repl!V54</f>
        <v>2.8579888398139861</v>
      </c>
      <c r="W127" s="890">
        <f>System_Mkt_Repl!V344+System_Mkt_NC!W344+Lamp_Mkt_Repl!W54</f>
        <v>2.8312338147639737</v>
      </c>
      <c r="X127" s="890">
        <f>System_Mkt_Repl!W344+System_Mkt_NC!X344+Lamp_Mkt_Repl!X54</f>
        <v>2.7899189470635983</v>
      </c>
      <c r="Y127" s="890">
        <f>System_Mkt_Repl!X344+System_Mkt_NC!Y344+Lamp_Mkt_Repl!Y54</f>
        <v>2.7431574639443443</v>
      </c>
      <c r="Z127" s="890">
        <f>System_Mkt_Repl!Y344+System_Mkt_NC!Z344+Lamp_Mkt_Repl!Z54</f>
        <v>2.6993525715533391</v>
      </c>
      <c r="AA127" s="890">
        <f>System_Mkt_Repl!Z344+System_Mkt_NC!AA344+Lamp_Mkt_Repl!AA54</f>
        <v>2.663280296769118</v>
      </c>
      <c r="AB127" s="890">
        <f>System_Mkt_Repl!AA344+System_Mkt_NC!AB344+Lamp_Mkt_Repl!AB54</f>
        <v>2.6413701197174264</v>
      </c>
      <c r="AC127" s="890">
        <f>System_Mkt_Repl!AB344+System_Mkt_NC!AC344+Lamp_Mkt_Repl!AC54</f>
        <v>2.6181497347012468</v>
      </c>
      <c r="AD127" s="540">
        <f>System_Mkt_Repl!AC344+System_Mkt_NC!AD344+Lamp_Mkt_Repl!AD54</f>
        <v>2.6021017955227137</v>
      </c>
      <c r="AE127" s="540">
        <f>System_Mkt_Repl!AD344+System_Mkt_NC!AE344+Lamp_Mkt_Repl!AE54</f>
        <v>2.5912691914954662</v>
      </c>
      <c r="AF127" s="540">
        <f>System_Mkt_Repl!AE344+System_Mkt_NC!AF344+Lamp_Mkt_Repl!AF54</f>
        <v>2.5885860746639526</v>
      </c>
    </row>
    <row r="128" spans="1:32" s="838" customFormat="1" x14ac:dyDescent="0.25">
      <c r="A128" s="839"/>
      <c r="B128" s="839"/>
      <c r="G128" s="854"/>
      <c r="H128" s="890"/>
      <c r="I128" s="890"/>
      <c r="J128" s="890"/>
      <c r="K128" s="890"/>
      <c r="L128" s="890"/>
      <c r="M128" s="890"/>
      <c r="N128" s="890"/>
      <c r="O128" s="890"/>
      <c r="P128" s="890"/>
      <c r="Q128" s="890"/>
      <c r="R128" s="890"/>
      <c r="S128" s="890"/>
      <c r="T128" s="890"/>
      <c r="U128" s="890"/>
      <c r="V128" s="890"/>
      <c r="W128" s="890"/>
      <c r="X128" s="890"/>
      <c r="Y128" s="890"/>
      <c r="Z128" s="890"/>
      <c r="AA128" s="890"/>
      <c r="AB128" s="890"/>
      <c r="AC128" s="890"/>
    </row>
    <row r="129" spans="1:32" s="843" customFormat="1" ht="12.75" x14ac:dyDescent="0.2">
      <c r="A129" s="843" t="s">
        <v>36</v>
      </c>
      <c r="G129" s="865"/>
      <c r="H129" s="891"/>
      <c r="I129" s="891"/>
      <c r="J129" s="891"/>
      <c r="K129" s="891"/>
      <c r="L129" s="891"/>
      <c r="M129" s="891"/>
      <c r="N129" s="891"/>
      <c r="O129" s="891"/>
      <c r="P129" s="891"/>
      <c r="Q129" s="891"/>
      <c r="R129" s="891"/>
      <c r="S129" s="891"/>
      <c r="T129" s="891"/>
      <c r="U129" s="891"/>
      <c r="V129" s="891"/>
      <c r="W129" s="891"/>
      <c r="X129" s="891"/>
      <c r="Y129" s="891"/>
      <c r="Z129" s="891"/>
      <c r="AA129" s="891"/>
      <c r="AB129" s="891"/>
      <c r="AC129" s="891"/>
    </row>
    <row r="130" spans="1:32" s="838" customFormat="1" x14ac:dyDescent="0.25">
      <c r="A130" s="839"/>
      <c r="B130" s="839" t="s">
        <v>37</v>
      </c>
      <c r="G130" s="540"/>
      <c r="H130" s="890">
        <f>System_Mkt_Repl!G347+System_Mkt_NC!H347+Lamp_Mkt_Repl!H57</f>
        <v>0.7033570832402597</v>
      </c>
      <c r="I130" s="890">
        <f>System_Mkt_Repl!H347+System_Mkt_NC!I347+Lamp_Mkt_Repl!I57</f>
        <v>0.55449506724942121</v>
      </c>
      <c r="J130" s="890">
        <f>System_Mkt_Repl!I347+System_Mkt_NC!J347+Lamp_Mkt_Repl!J57</f>
        <v>0.41644421995272873</v>
      </c>
      <c r="K130" s="890">
        <f>System_Mkt_Repl!J347+System_Mkt_NC!K347+Lamp_Mkt_Repl!K57</f>
        <v>0.29084797141530783</v>
      </c>
      <c r="L130" s="890">
        <f>System_Mkt_Repl!K347+System_Mkt_NC!L347+Lamp_Mkt_Repl!L57</f>
        <v>0.25872825894061857</v>
      </c>
      <c r="M130" s="890">
        <f>System_Mkt_Repl!L347+System_Mkt_NC!M347+Lamp_Mkt_Repl!M57</f>
        <v>0.22998320625871363</v>
      </c>
      <c r="N130" s="890">
        <f>System_Mkt_Repl!M347+System_Mkt_NC!N347+Lamp_Mkt_Repl!N57</f>
        <v>0.20670100615091375</v>
      </c>
      <c r="O130" s="890">
        <f>System_Mkt_Repl!N347+System_Mkt_NC!O347+Lamp_Mkt_Repl!O57</f>
        <v>0.19044244854538298</v>
      </c>
      <c r="P130" s="890">
        <f>System_Mkt_Repl!O347+System_Mkt_NC!P347+Lamp_Mkt_Repl!P57</f>
        <v>0.17554632806002021</v>
      </c>
      <c r="Q130" s="890">
        <f>System_Mkt_Repl!P347+System_Mkt_NC!Q347+Lamp_Mkt_Repl!Q57</f>
        <v>0.16187369083530215</v>
      </c>
      <c r="R130" s="890">
        <f>System_Mkt_Repl!Q347+System_Mkt_NC!R347+Lamp_Mkt_Repl!R57</f>
        <v>0.14931251009386656</v>
      </c>
      <c r="S130" s="890">
        <f>System_Mkt_Repl!R347+System_Mkt_NC!S347+Lamp_Mkt_Repl!S57</f>
        <v>0.13777490677894222</v>
      </c>
      <c r="T130" s="890">
        <f>System_Mkt_Repl!S347+System_Mkt_NC!T347+Lamp_Mkt_Repl!T57</f>
        <v>0.12716534336111002</v>
      </c>
      <c r="U130" s="890">
        <f>System_Mkt_Repl!T347+System_Mkt_NC!U347+Lamp_Mkt_Repl!U57</f>
        <v>0.11740319993143876</v>
      </c>
      <c r="V130" s="890">
        <f>System_Mkt_Repl!U347+System_Mkt_NC!V347+Lamp_Mkt_Repl!V57</f>
        <v>0.10842103147541424</v>
      </c>
      <c r="W130" s="890">
        <f>System_Mkt_Repl!V347+System_Mkt_NC!W347+Lamp_Mkt_Repl!W57</f>
        <v>0.10014799048117312</v>
      </c>
      <c r="X130" s="890">
        <f>System_Mkt_Repl!W347+System_Mkt_NC!X347+Lamp_Mkt_Repl!X57</f>
        <v>9.2525485754277784E-2</v>
      </c>
      <c r="Y130" s="890">
        <f>System_Mkt_Repl!X347+System_Mkt_NC!Y347+Lamp_Mkt_Repl!Y57</f>
        <v>8.5500052291948056E-2</v>
      </c>
      <c r="Z130" s="890">
        <f>System_Mkt_Repl!Y347+System_Mkt_NC!Z347+Lamp_Mkt_Repl!Z57</f>
        <v>7.9025037407530058E-2</v>
      </c>
      <c r="AA130" s="890">
        <f>System_Mkt_Repl!Z347+System_Mkt_NC!AA347+Lamp_Mkt_Repl!AA57</f>
        <v>7.3056158539438934E-2</v>
      </c>
      <c r="AB130" s="890">
        <f>System_Mkt_Repl!AA347+System_Mkt_NC!AB347+Lamp_Mkt_Repl!AB57</f>
        <v>6.7550476883461261E-2</v>
      </c>
      <c r="AC130" s="890">
        <f>System_Mkt_Repl!AB347+System_Mkt_NC!AC347+Lamp_Mkt_Repl!AC57</f>
        <v>6.2469085932127945E-2</v>
      </c>
      <c r="AD130" s="540">
        <f>System_Mkt_Repl!AC347+System_Mkt_NC!AD347+Lamp_Mkt_Repl!AD57</f>
        <v>5.7779159157274058E-2</v>
      </c>
      <c r="AE130" s="540">
        <f>System_Mkt_Repl!AD347+System_Mkt_NC!AE347+Lamp_Mkt_Repl!AE57</f>
        <v>5.3448999907485424E-2</v>
      </c>
      <c r="AF130" s="540">
        <f>System_Mkt_Repl!AE347+System_Mkt_NC!AF347+Lamp_Mkt_Repl!AF57</f>
        <v>4.9447295606215171E-2</v>
      </c>
    </row>
    <row r="131" spans="1:32" s="838" customFormat="1" x14ac:dyDescent="0.25">
      <c r="A131" s="839"/>
      <c r="B131" s="839" t="s">
        <v>39</v>
      </c>
      <c r="G131" s="540"/>
      <c r="H131" s="890">
        <f>System_Mkt_Repl!G348+System_Mkt_NC!H348+Lamp_Mkt_Repl!H58</f>
        <v>1.5790483736959349</v>
      </c>
      <c r="I131" s="890">
        <f>System_Mkt_Repl!H348+System_Mkt_NC!I348+Lamp_Mkt_Repl!I58</f>
        <v>1.625623556887122</v>
      </c>
      <c r="J131" s="890">
        <f>System_Mkt_Repl!I348+System_Mkt_NC!J348+Lamp_Mkt_Repl!J58</f>
        <v>1.6355507944277448</v>
      </c>
      <c r="K131" s="890">
        <f>System_Mkt_Repl!J348+System_Mkt_NC!K348+Lamp_Mkt_Repl!K58</f>
        <v>1.5969583054620915</v>
      </c>
      <c r="L131" s="890">
        <f>System_Mkt_Repl!K348+System_Mkt_NC!L348+Lamp_Mkt_Repl!L58</f>
        <v>1.5015565900799124</v>
      </c>
      <c r="M131" s="890">
        <f>System_Mkt_Repl!L348+System_Mkt_NC!M348+Lamp_Mkt_Repl!M58</f>
        <v>1.3928055324294086</v>
      </c>
      <c r="N131" s="890">
        <f>System_Mkt_Repl!M348+System_Mkt_NC!N348+Lamp_Mkt_Repl!N58</f>
        <v>1.2820165797655394</v>
      </c>
      <c r="O131" s="890">
        <f>System_Mkt_Repl!N348+System_Mkt_NC!O348+Lamp_Mkt_Repl!O58</f>
        <v>1.1750118030166847</v>
      </c>
      <c r="P131" s="890">
        <f>System_Mkt_Repl!O348+System_Mkt_NC!P348+Lamp_Mkt_Repl!P58</f>
        <v>1.079600030239912</v>
      </c>
      <c r="Q131" s="890">
        <f>System_Mkt_Repl!P348+System_Mkt_NC!Q348+Lamp_Mkt_Repl!Q58</f>
        <v>0.99328588365449733</v>
      </c>
      <c r="R131" s="890">
        <f>System_Mkt_Repl!Q348+System_Mkt_NC!R348+Lamp_Mkt_Repl!R58</f>
        <v>0.91528387180346504</v>
      </c>
      <c r="S131" s="890">
        <f>System_Mkt_Repl!R348+System_Mkt_NC!S348+Lamp_Mkt_Repl!S58</f>
        <v>0.84911931368461024</v>
      </c>
      <c r="T131" s="890">
        <f>System_Mkt_Repl!S348+System_Mkt_NC!T348+Lamp_Mkt_Repl!T58</f>
        <v>0.7909826799513473</v>
      </c>
      <c r="U131" s="890">
        <f>System_Mkt_Repl!T348+System_Mkt_NC!U348+Lamp_Mkt_Repl!U58</f>
        <v>0.7396404765888781</v>
      </c>
      <c r="V131" s="890">
        <f>System_Mkt_Repl!U348+System_Mkt_NC!V348+Lamp_Mkt_Repl!V58</f>
        <v>0.69603714960716556</v>
      </c>
      <c r="W131" s="890">
        <f>System_Mkt_Repl!V348+System_Mkt_NC!W348+Lamp_Mkt_Repl!W58</f>
        <v>0.65699176750486166</v>
      </c>
      <c r="X131" s="890">
        <f>System_Mkt_Repl!W348+System_Mkt_NC!X348+Lamp_Mkt_Repl!X58</f>
        <v>0.62191555306073687</v>
      </c>
      <c r="Y131" s="890">
        <f>System_Mkt_Repl!X348+System_Mkt_NC!Y348+Lamp_Mkt_Repl!Y58</f>
        <v>0.59033013018110392</v>
      </c>
      <c r="Z131" s="890">
        <f>System_Mkt_Repl!Y348+System_Mkt_NC!Z348+Lamp_Mkt_Repl!Z58</f>
        <v>0.56279476809815643</v>
      </c>
      <c r="AA131" s="890">
        <f>System_Mkt_Repl!Z348+System_Mkt_NC!AA348+Lamp_Mkt_Repl!AA58</f>
        <v>0.53907257143730325</v>
      </c>
      <c r="AB131" s="890">
        <f>System_Mkt_Repl!AA348+System_Mkt_NC!AB348+Lamp_Mkt_Repl!AB58</f>
        <v>0.5179841255709039</v>
      </c>
      <c r="AC131" s="890">
        <f>System_Mkt_Repl!AB348+System_Mkt_NC!AC348+Lamp_Mkt_Repl!AC58</f>
        <v>0.4978599450821326</v>
      </c>
      <c r="AD131" s="540">
        <f>System_Mkt_Repl!AC348+System_Mkt_NC!AD348+Lamp_Mkt_Repl!AD58</f>
        <v>0.47927738260582864</v>
      </c>
      <c r="AE131" s="540">
        <f>System_Mkt_Repl!AD348+System_Mkt_NC!AE348+Lamp_Mkt_Repl!AE58</f>
        <v>0.46177824173961057</v>
      </c>
      <c r="AF131" s="540">
        <f>System_Mkt_Repl!AE348+System_Mkt_NC!AF348+Lamp_Mkt_Repl!AF58</f>
        <v>0.44387765401708656</v>
      </c>
    </row>
    <row r="132" spans="1:32" s="838" customFormat="1" x14ac:dyDescent="0.25">
      <c r="A132" s="839"/>
      <c r="B132" s="839" t="s">
        <v>40</v>
      </c>
      <c r="G132" s="540"/>
      <c r="H132" s="890">
        <f>System_Mkt_Repl!G349+System_Mkt_NC!H349+Lamp_Mkt_Repl!H59</f>
        <v>0.51206539385184369</v>
      </c>
      <c r="I132" s="890">
        <f>System_Mkt_Repl!H349+System_Mkt_NC!I349+Lamp_Mkt_Repl!I59</f>
        <v>0.68840694085190324</v>
      </c>
      <c r="J132" s="890">
        <f>System_Mkt_Repl!I349+System_Mkt_NC!J349+Lamp_Mkt_Repl!J59</f>
        <v>0.88008876047570839</v>
      </c>
      <c r="K132" s="890">
        <f>System_Mkt_Repl!J349+System_Mkt_NC!K349+Lamp_Mkt_Repl!K59</f>
        <v>1.0716583888533675</v>
      </c>
      <c r="L132" s="890">
        <f>System_Mkt_Repl!K349+System_Mkt_NC!L349+Lamp_Mkt_Repl!L59</f>
        <v>1.2162970450347081</v>
      </c>
      <c r="M132" s="890">
        <f>System_Mkt_Repl!L349+System_Mkt_NC!M349+Lamp_Mkt_Repl!M59</f>
        <v>1.3406630026754613</v>
      </c>
      <c r="N132" s="890">
        <f>System_Mkt_Repl!M349+System_Mkt_NC!N349+Lamp_Mkt_Repl!N59</f>
        <v>1.4285099443876697</v>
      </c>
      <c r="O132" s="890">
        <f>System_Mkt_Repl!N349+System_Mkt_NC!O349+Lamp_Mkt_Repl!O59</f>
        <v>1.4847211762203718</v>
      </c>
      <c r="P132" s="890">
        <f>System_Mkt_Repl!O349+System_Mkt_NC!P349+Lamp_Mkt_Repl!P59</f>
        <v>1.5126212358496172</v>
      </c>
      <c r="Q132" s="890">
        <f>System_Mkt_Repl!P349+System_Mkt_NC!Q349+Lamp_Mkt_Repl!Q59</f>
        <v>1.5157629173850682</v>
      </c>
      <c r="R132" s="890">
        <f>System_Mkt_Repl!Q349+System_Mkt_NC!R349+Lamp_Mkt_Repl!R59</f>
        <v>1.497972563359834</v>
      </c>
      <c r="S132" s="890">
        <f>System_Mkt_Repl!R349+System_Mkt_NC!S349+Lamp_Mkt_Repl!S59</f>
        <v>1.469099401374212</v>
      </c>
      <c r="T132" s="890">
        <f>System_Mkt_Repl!S349+System_Mkt_NC!T349+Lamp_Mkt_Repl!T59</f>
        <v>1.4302635204334422</v>
      </c>
      <c r="U132" s="890">
        <f>System_Mkt_Repl!T349+System_Mkt_NC!U349+Lamp_Mkt_Repl!U59</f>
        <v>1.385841245702405</v>
      </c>
      <c r="V132" s="890">
        <f>System_Mkt_Repl!U349+System_Mkt_NC!V349+Lamp_Mkt_Repl!V59</f>
        <v>1.3415427004994032</v>
      </c>
      <c r="W132" s="890">
        <f>System_Mkt_Repl!V349+System_Mkt_NC!W349+Lamp_Mkt_Repl!W59</f>
        <v>1.296844305949203</v>
      </c>
      <c r="X132" s="890">
        <f>System_Mkt_Repl!W349+System_Mkt_NC!X349+Lamp_Mkt_Repl!X59</f>
        <v>1.2532566949756949</v>
      </c>
      <c r="Y132" s="890">
        <f>System_Mkt_Repl!X349+System_Mkt_NC!Y349+Lamp_Mkt_Repl!Y59</f>
        <v>1.2120155723765555</v>
      </c>
      <c r="Z132" s="890">
        <f>System_Mkt_Repl!Y349+System_Mkt_NC!Z349+Lamp_Mkt_Repl!Z59</f>
        <v>1.1753100168530897</v>
      </c>
      <c r="AA132" s="890">
        <f>System_Mkt_Repl!Z349+System_Mkt_NC!AA349+Lamp_Mkt_Repl!AA59</f>
        <v>1.143592642882584</v>
      </c>
      <c r="AB132" s="890">
        <f>System_Mkt_Repl!AA349+System_Mkt_NC!AB349+Lamp_Mkt_Repl!AB59</f>
        <v>1.1162473072976211</v>
      </c>
      <c r="AC132" s="890">
        <f>System_Mkt_Repl!AB349+System_Mkt_NC!AC349+Lamp_Mkt_Repl!AC59</f>
        <v>1.0890164899907924</v>
      </c>
      <c r="AD132" s="540">
        <f>System_Mkt_Repl!AC349+System_Mkt_NC!AD349+Lamp_Mkt_Repl!AD59</f>
        <v>1.0638523641091715</v>
      </c>
      <c r="AE132" s="540">
        <f>System_Mkt_Repl!AD349+System_Mkt_NC!AE349+Lamp_Mkt_Repl!AE59</f>
        <v>1.0401831566204358</v>
      </c>
      <c r="AF132" s="540">
        <f>System_Mkt_Repl!AE349+System_Mkt_NC!AF349+Lamp_Mkt_Repl!AF59</f>
        <v>1.0151562901428859</v>
      </c>
    </row>
    <row r="133" spans="1:32" s="838" customFormat="1" x14ac:dyDescent="0.25">
      <c r="A133" s="839"/>
      <c r="B133" s="839" t="s">
        <v>29</v>
      </c>
      <c r="G133" s="854"/>
      <c r="H133" s="890">
        <f>System_Mkt_Repl!G350+System_Mkt_NC!H350+Lamp_Mkt_Repl!H60</f>
        <v>6.3685339506535404E-5</v>
      </c>
      <c r="I133" s="890">
        <f>System_Mkt_Repl!H350+System_Mkt_NC!I350+Lamp_Mkt_Repl!I60</f>
        <v>1.5330346129712978E-3</v>
      </c>
      <c r="J133" s="890">
        <f>System_Mkt_Repl!I350+System_Mkt_NC!J350+Lamp_Mkt_Repl!J60</f>
        <v>9.9035023822937156E-3</v>
      </c>
      <c r="K133" s="890">
        <f>System_Mkt_Repl!J350+System_Mkt_NC!K350+Lamp_Mkt_Repl!K60</f>
        <v>3.3692788071955741E-2</v>
      </c>
      <c r="L133" s="890">
        <f>System_Mkt_Repl!K350+System_Mkt_NC!L350+Lamp_Mkt_Repl!L60</f>
        <v>7.9780360882584306E-2</v>
      </c>
      <c r="M133" s="890">
        <f>System_Mkt_Repl!L350+System_Mkt_NC!M350+Lamp_Mkt_Repl!M60</f>
        <v>0.15200967741251048</v>
      </c>
      <c r="N133" s="890">
        <f>System_Mkt_Repl!M350+System_Mkt_NC!N350+Lamp_Mkt_Repl!N60</f>
        <v>0.24702415555213181</v>
      </c>
      <c r="O133" s="890">
        <f>System_Mkt_Repl!N350+System_Mkt_NC!O350+Lamp_Mkt_Repl!O60</f>
        <v>0.361104290903352</v>
      </c>
      <c r="P133" s="890">
        <f>System_Mkt_Repl!O350+System_Mkt_NC!P350+Lamp_Mkt_Repl!P60</f>
        <v>0.48852870718565411</v>
      </c>
      <c r="Q133" s="890">
        <f>System_Mkt_Repl!P350+System_Mkt_NC!Q350+Lamp_Mkt_Repl!Q60</f>
        <v>0.62586389195354775</v>
      </c>
      <c r="R133" s="890">
        <f>System_Mkt_Repl!Q350+System_Mkt_NC!R350+Lamp_Mkt_Repl!R60</f>
        <v>0.76390607753060613</v>
      </c>
      <c r="S133" s="890">
        <f>System_Mkt_Repl!R350+System_Mkt_NC!S350+Lamp_Mkt_Repl!S60</f>
        <v>0.90439790832505795</v>
      </c>
      <c r="T133" s="890">
        <f>System_Mkt_Repl!S350+System_Mkt_NC!T350+Lamp_Mkt_Repl!T60</f>
        <v>1.0411150473640145</v>
      </c>
      <c r="U133" s="890">
        <f>System_Mkt_Repl!T350+System_Mkt_NC!U350+Lamp_Mkt_Repl!U60</f>
        <v>1.1712548482788714</v>
      </c>
      <c r="V133" s="890">
        <f>System_Mkt_Repl!U350+System_Mkt_NC!V350+Lamp_Mkt_Repl!V60</f>
        <v>1.2935810965240404</v>
      </c>
      <c r="W133" s="890">
        <f>System_Mkt_Repl!V350+System_Mkt_NC!W350+Lamp_Mkt_Repl!W60</f>
        <v>1.4044588361706518</v>
      </c>
      <c r="X133" s="890">
        <f>System_Mkt_Repl!W350+System_Mkt_NC!X350+Lamp_Mkt_Repl!X60</f>
        <v>1.5026619380870208</v>
      </c>
      <c r="Y133" s="890">
        <f>System_Mkt_Repl!X350+System_Mkt_NC!Y350+Lamp_Mkt_Repl!Y60</f>
        <v>1.5896008467177589</v>
      </c>
      <c r="Z133" s="890">
        <f>System_Mkt_Repl!Y350+System_Mkt_NC!Z350+Lamp_Mkt_Repl!Z60</f>
        <v>1.6692665503376343</v>
      </c>
      <c r="AA133" s="890">
        <f>System_Mkt_Repl!Z350+System_Mkt_NC!AA350+Lamp_Mkt_Repl!AA60</f>
        <v>1.7439231228595011</v>
      </c>
      <c r="AB133" s="890">
        <f>System_Mkt_Repl!AA350+System_Mkt_NC!AB350+Lamp_Mkt_Repl!AB60</f>
        <v>1.8189193974812787</v>
      </c>
      <c r="AC133" s="890">
        <f>System_Mkt_Repl!AB350+System_Mkt_NC!AC350+Lamp_Mkt_Repl!AC60</f>
        <v>1.8801004370904022</v>
      </c>
      <c r="AD133" s="540">
        <f>System_Mkt_Repl!AC350+System_Mkt_NC!AD350+Lamp_Mkt_Repl!AD60</f>
        <v>1.9363039387322138</v>
      </c>
      <c r="AE133" s="540">
        <f>System_Mkt_Repl!AD350+System_Mkt_NC!AE350+Lamp_Mkt_Repl!AE60</f>
        <v>1.9886852375163562</v>
      </c>
      <c r="AF133" s="540">
        <f>System_Mkt_Repl!AE350+System_Mkt_NC!AF350+Lamp_Mkt_Repl!AF60</f>
        <v>2.0406465028356138</v>
      </c>
    </row>
    <row r="134" spans="1:32" s="838" customFormat="1" x14ac:dyDescent="0.25">
      <c r="A134" s="839"/>
      <c r="B134" s="839"/>
      <c r="G134" s="854"/>
      <c r="H134" s="890"/>
      <c r="I134" s="890"/>
      <c r="J134" s="890"/>
      <c r="K134" s="890"/>
      <c r="L134" s="890"/>
      <c r="M134" s="890"/>
      <c r="N134" s="890"/>
      <c r="O134" s="890"/>
      <c r="P134" s="890"/>
      <c r="Q134" s="890"/>
      <c r="R134" s="890"/>
      <c r="S134" s="890"/>
      <c r="T134" s="890"/>
      <c r="U134" s="890"/>
      <c r="V134" s="890"/>
      <c r="W134" s="890"/>
      <c r="X134" s="890"/>
      <c r="Y134" s="890"/>
      <c r="Z134" s="890"/>
      <c r="AA134" s="890"/>
      <c r="AB134" s="890"/>
      <c r="AC134" s="890"/>
    </row>
    <row r="135" spans="1:32" s="843" customFormat="1" ht="12.75" x14ac:dyDescent="0.2">
      <c r="A135" s="843" t="s">
        <v>42</v>
      </c>
      <c r="G135" s="865"/>
      <c r="H135" s="891"/>
      <c r="I135" s="891"/>
      <c r="J135" s="891"/>
      <c r="K135" s="891"/>
      <c r="L135" s="891"/>
      <c r="M135" s="891"/>
      <c r="N135" s="891"/>
      <c r="O135" s="891"/>
      <c r="P135" s="891"/>
      <c r="Q135" s="891"/>
      <c r="R135" s="891"/>
      <c r="S135" s="891"/>
      <c r="T135" s="891"/>
      <c r="U135" s="891"/>
      <c r="V135" s="891"/>
      <c r="W135" s="891"/>
      <c r="X135" s="891"/>
      <c r="Y135" s="891"/>
      <c r="Z135" s="891"/>
      <c r="AA135" s="891"/>
      <c r="AB135" s="891"/>
      <c r="AC135" s="891"/>
    </row>
    <row r="136" spans="1:32" s="838" customFormat="1" x14ac:dyDescent="0.25">
      <c r="A136" s="839"/>
      <c r="B136" s="842" t="s">
        <v>43</v>
      </c>
      <c r="E136" s="890">
        <v>0.56691265814232239</v>
      </c>
      <c r="F136" s="890">
        <f>I136-E136</f>
        <v>-0.56557870656494713</v>
      </c>
      <c r="G136" s="854"/>
      <c r="H136" s="890">
        <f>System_Mkt_Repl!G353+System_Mkt_NC!H353+Lamp_Mkt_Repl!H63</f>
        <v>1.3939869610122388E-3</v>
      </c>
      <c r="I136" s="890">
        <f>System_Mkt_Repl!H353+System_Mkt_NC!I353+Lamp_Mkt_Repl!I63</f>
        <v>1.3339515773753085E-3</v>
      </c>
      <c r="J136" s="890">
        <f>System_Mkt_Repl!I353+System_Mkt_NC!J353+Lamp_Mkt_Repl!J63</f>
        <v>1.2749380139007534E-3</v>
      </c>
      <c r="K136" s="890">
        <f>System_Mkt_Repl!J353+System_Mkt_NC!K353+Lamp_Mkt_Repl!K63</f>
        <v>1.215001221520537E-3</v>
      </c>
      <c r="L136" s="890">
        <f>System_Mkt_Repl!K353+System_Mkt_NC!L353+Lamp_Mkt_Repl!L63</f>
        <v>1.1584087444354168E-3</v>
      </c>
      <c r="M136" s="890">
        <f>System_Mkt_Repl!L353+System_Mkt_NC!M353+Lamp_Mkt_Repl!M63</f>
        <v>1.1035768863676171E-3</v>
      </c>
      <c r="N136" s="890">
        <f>System_Mkt_Repl!M353+System_Mkt_NC!N353+Lamp_Mkt_Repl!N63</f>
        <v>1.0504180705275827E-3</v>
      </c>
      <c r="O136" s="890">
        <f>System_Mkt_Repl!N353+System_Mkt_NC!O353+Lamp_Mkt_Repl!O63</f>
        <v>1.0001364182949909E-3</v>
      </c>
      <c r="P136" s="890">
        <f>System_Mkt_Repl!O353+System_Mkt_NC!P353+Lamp_Mkt_Repl!P63</f>
        <v>9.5294382576148126E-4</v>
      </c>
      <c r="Q136" s="890">
        <f>System_Mkt_Repl!P353+System_Mkt_NC!Q353+Lamp_Mkt_Repl!Q63</f>
        <v>9.0874925266503617E-4</v>
      </c>
      <c r="R136" s="890">
        <f>System_Mkt_Repl!Q353+System_Mkt_NC!R353+Lamp_Mkt_Repl!R63</f>
        <v>8.6717116623294583E-4</v>
      </c>
      <c r="S136" s="890">
        <f>System_Mkt_Repl!R353+System_Mkt_NC!S353+Lamp_Mkt_Repl!S63</f>
        <v>8.2941002107579176E-4</v>
      </c>
      <c r="T136" s="890">
        <f>System_Mkt_Repl!S353+System_Mkt_NC!T353+Lamp_Mkt_Repl!T63</f>
        <v>7.9464553789575362E-4</v>
      </c>
      <c r="U136" s="890">
        <f>System_Mkt_Repl!T353+System_Mkt_NC!U353+Lamp_Mkt_Repl!U63</f>
        <v>7.6271320198356869E-4</v>
      </c>
      <c r="V136" s="890">
        <f>System_Mkt_Repl!U353+System_Mkt_NC!V353+Lamp_Mkt_Repl!V63</f>
        <v>7.3375893190983732E-4</v>
      </c>
      <c r="W136" s="890">
        <f>System_Mkt_Repl!V353+System_Mkt_NC!W353+Lamp_Mkt_Repl!W63</f>
        <v>7.0698727988175976E-4</v>
      </c>
      <c r="X136" s="890">
        <f>System_Mkt_Repl!W353+System_Mkt_NC!X353+Lamp_Mkt_Repl!X63</f>
        <v>6.8211539372642739E-4</v>
      </c>
      <c r="Y136" s="890">
        <f>System_Mkt_Repl!X353+System_Mkt_NC!Y353+Lamp_Mkt_Repl!Y63</f>
        <v>6.5903195630382012E-4</v>
      </c>
      <c r="Z136" s="890">
        <f>System_Mkt_Repl!Y353+System_Mkt_NC!Z353+Lamp_Mkt_Repl!Z63</f>
        <v>6.3795626650564206E-4</v>
      </c>
      <c r="AA136" s="890">
        <f>System_Mkt_Repl!Z353+System_Mkt_NC!AA353+Lamp_Mkt_Repl!AA63</f>
        <v>6.1885408246752983E-4</v>
      </c>
      <c r="AB136" s="890">
        <f>System_Mkt_Repl!AA353+System_Mkt_NC!AB353+Lamp_Mkt_Repl!AB63</f>
        <v>6.0177076622952629E-4</v>
      </c>
      <c r="AC136" s="890">
        <f>System_Mkt_Repl!AB353+System_Mkt_NC!AC353+Lamp_Mkt_Repl!AC63</f>
        <v>5.8528592286977545E-4</v>
      </c>
      <c r="AD136" s="540">
        <f>System_Mkt_Repl!AC353+System_Mkt_NC!AD353+Lamp_Mkt_Repl!AD63</f>
        <v>5.6998110438508131E-4</v>
      </c>
      <c r="AE136" s="540">
        <f>System_Mkt_Repl!AD353+System_Mkt_NC!AE353+Lamp_Mkt_Repl!AE63</f>
        <v>5.5574775032277721E-4</v>
      </c>
      <c r="AF136" s="540">
        <f>System_Mkt_Repl!AE353+System_Mkt_NC!AF353+Lamp_Mkt_Repl!AF63</f>
        <v>5.4246408781042071E-4</v>
      </c>
    </row>
    <row r="137" spans="1:32" s="838" customFormat="1" x14ac:dyDescent="0.25">
      <c r="A137" s="839"/>
      <c r="B137" s="842" t="s">
        <v>44</v>
      </c>
      <c r="E137" s="890">
        <v>34.852079607724193</v>
      </c>
      <c r="F137" s="890">
        <f t="shared" ref="F137:F140" si="17">I137-E137</f>
        <v>-34.826337656626755</v>
      </c>
      <c r="G137" s="854"/>
      <c r="H137" s="890">
        <f>System_Mkt_Repl!G354+System_Mkt_NC!H354+Lamp_Mkt_Repl!H64</f>
        <v>2.4746637072202621E-2</v>
      </c>
      <c r="I137" s="890">
        <f>System_Mkt_Repl!H354+System_Mkt_NC!I354+Lamp_Mkt_Repl!I64</f>
        <v>2.5741951097433827E-2</v>
      </c>
      <c r="J137" s="890">
        <f>System_Mkt_Repl!I354+System_Mkt_NC!J354+Lamp_Mkt_Repl!J64</f>
        <v>2.6414427676084363E-2</v>
      </c>
      <c r="K137" s="890">
        <f>System_Mkt_Repl!J354+System_Mkt_NC!K354+Lamp_Mkt_Repl!K64</f>
        <v>2.6607373805219155E-2</v>
      </c>
      <c r="L137" s="890">
        <f>System_Mkt_Repl!K354+System_Mkt_NC!L354+Lamp_Mkt_Repl!L64</f>
        <v>2.6736953851445595E-2</v>
      </c>
      <c r="M137" s="890">
        <f>System_Mkt_Repl!L354+System_Mkt_NC!M354+Lamp_Mkt_Repl!M64</f>
        <v>2.6688191916398894E-2</v>
      </c>
      <c r="N137" s="890">
        <f>System_Mkt_Repl!M354+System_Mkt_NC!N354+Lamp_Mkt_Repl!N64</f>
        <v>2.6466794099102898E-2</v>
      </c>
      <c r="O137" s="890">
        <f>System_Mkt_Repl!N354+System_Mkt_NC!O354+Lamp_Mkt_Repl!O64</f>
        <v>2.6208683256383217E-2</v>
      </c>
      <c r="P137" s="890">
        <f>System_Mkt_Repl!O354+System_Mkt_NC!P354+Lamp_Mkt_Repl!P64</f>
        <v>2.5953482658265498E-2</v>
      </c>
      <c r="Q137" s="890">
        <f>System_Mkt_Repl!P354+System_Mkt_NC!Q354+Lamp_Mkt_Repl!Q64</f>
        <v>2.571485413425122E-2</v>
      </c>
      <c r="R137" s="890">
        <f>System_Mkt_Repl!Q354+System_Mkt_NC!R354+Lamp_Mkt_Repl!R64</f>
        <v>2.5474925673020021E-2</v>
      </c>
      <c r="S137" s="890">
        <f>System_Mkt_Repl!R354+System_Mkt_NC!S354+Lamp_Mkt_Repl!S64</f>
        <v>2.5362066087874835E-2</v>
      </c>
      <c r="T137" s="890">
        <f>System_Mkt_Repl!S354+System_Mkt_NC!T354+Lamp_Mkt_Repl!T64</f>
        <v>2.5315111031765411E-2</v>
      </c>
      <c r="U137" s="890">
        <f>System_Mkt_Repl!T354+System_Mkt_NC!U354+Lamp_Mkt_Repl!U64</f>
        <v>2.5333275317036177E-2</v>
      </c>
      <c r="V137" s="890">
        <f>System_Mkt_Repl!U354+System_Mkt_NC!V354+Lamp_Mkt_Repl!V64</f>
        <v>2.5442829575774501E-2</v>
      </c>
      <c r="W137" s="890">
        <f>System_Mkt_Repl!V354+System_Mkt_NC!W354+Lamp_Mkt_Repl!W64</f>
        <v>2.5582129153859788E-2</v>
      </c>
      <c r="X137" s="890">
        <f>System_Mkt_Repl!W354+System_Mkt_NC!X354+Lamp_Mkt_Repl!X64</f>
        <v>2.5735738794293941E-2</v>
      </c>
      <c r="Y137" s="890">
        <f>System_Mkt_Repl!X354+System_Mkt_NC!Y354+Lamp_Mkt_Repl!Y64</f>
        <v>2.5903841135365611E-2</v>
      </c>
      <c r="Z137" s="890">
        <f>System_Mkt_Repl!Y354+System_Mkt_NC!Z354+Lamp_Mkt_Repl!Z64</f>
        <v>2.6116667030380143E-2</v>
      </c>
      <c r="AA137" s="890">
        <f>System_Mkt_Repl!Z354+System_Mkt_NC!AA354+Lamp_Mkt_Repl!AA64</f>
        <v>2.6380090992470552E-2</v>
      </c>
      <c r="AB137" s="890">
        <f>System_Mkt_Repl!AA354+System_Mkt_NC!AB354+Lamp_Mkt_Repl!AB64</f>
        <v>2.6674710731121085E-2</v>
      </c>
      <c r="AC137" s="890">
        <f>System_Mkt_Repl!AB354+System_Mkt_NC!AC354+Lamp_Mkt_Repl!AC64</f>
        <v>2.6939682548330995E-2</v>
      </c>
      <c r="AD137" s="540">
        <f>System_Mkt_Repl!AC354+System_Mkt_NC!AD354+Lamp_Mkt_Repl!AD64</f>
        <v>2.717066060976097E-2</v>
      </c>
      <c r="AE137" s="540">
        <f>System_Mkt_Repl!AD354+System_Mkt_NC!AE354+Lamp_Mkt_Repl!AE64</f>
        <v>2.739822421447051E-2</v>
      </c>
      <c r="AF137" s="540">
        <f>System_Mkt_Repl!AE354+System_Mkt_NC!AF354+Lamp_Mkt_Repl!AF64</f>
        <v>2.7619331738296986E-2</v>
      </c>
    </row>
    <row r="138" spans="1:32" s="838" customFormat="1" x14ac:dyDescent="0.25">
      <c r="A138" s="839"/>
      <c r="B138" s="842" t="s">
        <v>45</v>
      </c>
      <c r="E138" s="890">
        <v>15.997562192241464</v>
      </c>
      <c r="F138" s="890">
        <f t="shared" si="17"/>
        <v>-15.989359821030204</v>
      </c>
      <c r="G138" s="854"/>
      <c r="H138" s="890">
        <f>System_Mkt_Repl!G355+System_Mkt_NC!H355+Lamp_Mkt_Repl!H65</f>
        <v>8.7365374705967152E-3</v>
      </c>
      <c r="I138" s="890">
        <f>System_Mkt_Repl!H355+System_Mkt_NC!I355+Lamp_Mkt_Repl!I65</f>
        <v>8.2023712112596365E-3</v>
      </c>
      <c r="J138" s="890">
        <f>System_Mkt_Repl!I355+System_Mkt_NC!J355+Lamp_Mkt_Repl!J65</f>
        <v>7.7009138212096543E-3</v>
      </c>
      <c r="K138" s="890">
        <f>System_Mkt_Repl!J355+System_Mkt_NC!K355+Lamp_Mkt_Repl!K65</f>
        <v>7.2290252488086846E-3</v>
      </c>
      <c r="L138" s="890">
        <f>System_Mkt_Repl!K355+System_Mkt_NC!L355+Lamp_Mkt_Repl!L65</f>
        <v>6.7869898738593124E-3</v>
      </c>
      <c r="M138" s="890">
        <f>System_Mkt_Repl!L355+System_Mkt_NC!M355+Lamp_Mkt_Repl!M65</f>
        <v>6.3721902798983274E-3</v>
      </c>
      <c r="N138" s="890">
        <f>System_Mkt_Repl!M355+System_Mkt_NC!N355+Lamp_Mkt_Repl!N65</f>
        <v>5.9828056352937784E-3</v>
      </c>
      <c r="O138" s="890">
        <f>System_Mkt_Repl!N355+System_Mkt_NC!O355+Lamp_Mkt_Repl!O65</f>
        <v>5.6179044919696689E-3</v>
      </c>
      <c r="P138" s="890">
        <f>System_Mkt_Repl!O355+System_Mkt_NC!P355+Lamp_Mkt_Repl!P65</f>
        <v>5.276101838795481E-3</v>
      </c>
      <c r="Q138" s="890">
        <f>System_Mkt_Repl!P355+System_Mkt_NC!Q355+Lamp_Mkt_Repl!Q65</f>
        <v>4.9559766265099567E-3</v>
      </c>
      <c r="R138" s="890">
        <f>System_Mkt_Repl!Q355+System_Mkt_NC!R355+Lamp_Mkt_Repl!R65</f>
        <v>4.6560220152829452E-3</v>
      </c>
      <c r="S138" s="890">
        <f>System_Mkt_Repl!R355+System_Mkt_NC!S355+Lamp_Mkt_Repl!S65</f>
        <v>4.3756587968858934E-3</v>
      </c>
      <c r="T138" s="890">
        <f>System_Mkt_Repl!S355+System_Mkt_NC!T355+Lamp_Mkt_Repl!T65</f>
        <v>4.1133057460265255E-3</v>
      </c>
      <c r="U138" s="890">
        <f>System_Mkt_Repl!T355+System_Mkt_NC!U355+Lamp_Mkt_Repl!U65</f>
        <v>3.8678147184424889E-3</v>
      </c>
      <c r="V138" s="890">
        <f>System_Mkt_Repl!U355+System_Mkt_NC!V355+Lamp_Mkt_Repl!V65</f>
        <v>3.6382662250623145E-3</v>
      </c>
      <c r="W138" s="890">
        <f>System_Mkt_Repl!V355+System_Mkt_NC!W355+Lamp_Mkt_Repl!W65</f>
        <v>3.4233119592160322E-3</v>
      </c>
      <c r="X138" s="890">
        <f>System_Mkt_Repl!W355+System_Mkt_NC!X355+Lamp_Mkt_Repl!X65</f>
        <v>3.2219370043933457E-3</v>
      </c>
      <c r="Y138" s="890">
        <f>System_Mkt_Repl!X355+System_Mkt_NC!Y355+Lamp_Mkt_Repl!Y65</f>
        <v>3.0332782543584366E-3</v>
      </c>
      <c r="Z138" s="890">
        <f>System_Mkt_Repl!Y355+System_Mkt_NC!Z355+Lamp_Mkt_Repl!Z65</f>
        <v>2.8566994677203107E-3</v>
      </c>
      <c r="AA138" s="890">
        <f>System_Mkt_Repl!Z355+System_Mkt_NC!AA355+Lamp_Mkt_Repl!AA65</f>
        <v>2.6914763907812927E-3</v>
      </c>
      <c r="AB138" s="890">
        <f>System_Mkt_Repl!AA355+System_Mkt_NC!AB355+Lamp_Mkt_Repl!AB65</f>
        <v>2.5369829022142717E-3</v>
      </c>
      <c r="AC138" s="890">
        <f>System_Mkt_Repl!AB355+System_Mkt_NC!AC355+Lamp_Mkt_Repl!AC65</f>
        <v>2.3918292314633891E-3</v>
      </c>
      <c r="AD138" s="540">
        <f>System_Mkt_Repl!AC355+System_Mkt_NC!AD355+Lamp_Mkt_Repl!AD65</f>
        <v>2.2557643869138572E-3</v>
      </c>
      <c r="AE138" s="540">
        <f>System_Mkt_Repl!AD355+System_Mkt_NC!AE355+Lamp_Mkt_Repl!AE65</f>
        <v>2.1281966773946531E-3</v>
      </c>
      <c r="AF138" s="540">
        <f>System_Mkt_Repl!AE355+System_Mkt_NC!AF355+Lamp_Mkt_Repl!AF65</f>
        <v>2.0085735286107867E-3</v>
      </c>
    </row>
    <row r="139" spans="1:32" s="838" customFormat="1" x14ac:dyDescent="0.25">
      <c r="A139" s="839"/>
      <c r="B139" s="842" t="s">
        <v>46</v>
      </c>
      <c r="E139" s="890">
        <v>0.21092686629075963</v>
      </c>
      <c r="F139" s="890">
        <f t="shared" si="17"/>
        <v>-0.21092686629075963</v>
      </c>
      <c r="G139" s="854"/>
      <c r="H139" s="890">
        <f>System_Mkt_Repl!G356+System_Mkt_NC!H356+Lamp_Mkt_Repl!H66</f>
        <v>0</v>
      </c>
      <c r="I139" s="890">
        <f>System_Mkt_Repl!H356+System_Mkt_NC!I356+Lamp_Mkt_Repl!I66</f>
        <v>0</v>
      </c>
      <c r="J139" s="890">
        <f>System_Mkt_Repl!I356+System_Mkt_NC!J356+Lamp_Mkt_Repl!J66</f>
        <v>0</v>
      </c>
      <c r="K139" s="890">
        <f>System_Mkt_Repl!J356+System_Mkt_NC!K356+Lamp_Mkt_Repl!K66</f>
        <v>0</v>
      </c>
      <c r="L139" s="890">
        <f>System_Mkt_Repl!K356+System_Mkt_NC!L356+Lamp_Mkt_Repl!L66</f>
        <v>0</v>
      </c>
      <c r="M139" s="890">
        <f>System_Mkt_Repl!L356+System_Mkt_NC!M356+Lamp_Mkt_Repl!M66</f>
        <v>0</v>
      </c>
      <c r="N139" s="890">
        <f>System_Mkt_Repl!M356+System_Mkt_NC!N356+Lamp_Mkt_Repl!N66</f>
        <v>0</v>
      </c>
      <c r="O139" s="890">
        <f>System_Mkt_Repl!N356+System_Mkt_NC!O356+Lamp_Mkt_Repl!O66</f>
        <v>0</v>
      </c>
      <c r="P139" s="890">
        <f>System_Mkt_Repl!O356+System_Mkt_NC!P356+Lamp_Mkt_Repl!P66</f>
        <v>0</v>
      </c>
      <c r="Q139" s="890">
        <f>System_Mkt_Repl!P356+System_Mkt_NC!Q356+Lamp_Mkt_Repl!Q66</f>
        <v>0</v>
      </c>
      <c r="R139" s="890">
        <f>System_Mkt_Repl!Q356+System_Mkt_NC!R356+Lamp_Mkt_Repl!R66</f>
        <v>0</v>
      </c>
      <c r="S139" s="890">
        <f>System_Mkt_Repl!R356+System_Mkt_NC!S356+Lamp_Mkt_Repl!S66</f>
        <v>0</v>
      </c>
      <c r="T139" s="890">
        <f>System_Mkt_Repl!S356+System_Mkt_NC!T356+Lamp_Mkt_Repl!T66</f>
        <v>0</v>
      </c>
      <c r="U139" s="890">
        <f>System_Mkt_Repl!T356+System_Mkt_NC!U356+Lamp_Mkt_Repl!U66</f>
        <v>0</v>
      </c>
      <c r="V139" s="890">
        <f>System_Mkt_Repl!U356+System_Mkt_NC!V356+Lamp_Mkt_Repl!V66</f>
        <v>0</v>
      </c>
      <c r="W139" s="890">
        <f>System_Mkt_Repl!V356+System_Mkt_NC!W356+Lamp_Mkt_Repl!W66</f>
        <v>0</v>
      </c>
      <c r="X139" s="890">
        <f>System_Mkt_Repl!W356+System_Mkt_NC!X356+Lamp_Mkt_Repl!X66</f>
        <v>0</v>
      </c>
      <c r="Y139" s="890">
        <f>System_Mkt_Repl!X356+System_Mkt_NC!Y356+Lamp_Mkt_Repl!Y66</f>
        <v>0</v>
      </c>
      <c r="Z139" s="890">
        <f>System_Mkt_Repl!Y356+System_Mkt_NC!Z356+Lamp_Mkt_Repl!Z66</f>
        <v>0</v>
      </c>
      <c r="AA139" s="890">
        <f>System_Mkt_Repl!Z356+System_Mkt_NC!AA356+Lamp_Mkt_Repl!AA66</f>
        <v>0</v>
      </c>
      <c r="AB139" s="890">
        <f>System_Mkt_Repl!AA356+System_Mkt_NC!AB356+Lamp_Mkt_Repl!AB66</f>
        <v>0</v>
      </c>
      <c r="AC139" s="890">
        <f>System_Mkt_Repl!AB356+System_Mkt_NC!AC356+Lamp_Mkt_Repl!AC66</f>
        <v>0</v>
      </c>
      <c r="AD139" s="540">
        <f>System_Mkt_Repl!AC356+System_Mkt_NC!AD356+Lamp_Mkt_Repl!AD66</f>
        <v>0</v>
      </c>
      <c r="AE139" s="540">
        <f>System_Mkt_Repl!AD356+System_Mkt_NC!AE356+Lamp_Mkt_Repl!AE66</f>
        <v>0</v>
      </c>
      <c r="AF139" s="540">
        <f>System_Mkt_Repl!AE356+System_Mkt_NC!AF356+Lamp_Mkt_Repl!AF66</f>
        <v>0</v>
      </c>
    </row>
    <row r="140" spans="1:32" s="838" customFormat="1" x14ac:dyDescent="0.25">
      <c r="A140" s="839"/>
      <c r="B140" s="839" t="s">
        <v>29</v>
      </c>
      <c r="E140" s="890">
        <v>8.6007213974301416E-2</v>
      </c>
      <c r="F140" s="890">
        <f t="shared" si="17"/>
        <v>-8.2918335247408589E-2</v>
      </c>
      <c r="G140" s="854"/>
      <c r="H140" s="890">
        <f>System_Mkt_Repl!G357+System_Mkt_NC!H357+Lamp_Mkt_Repl!H67</f>
        <v>2.136061486592661E-3</v>
      </c>
      <c r="I140" s="890">
        <f>System_Mkt_Repl!H357+System_Mkt_NC!I357+Lamp_Mkt_Repl!I67</f>
        <v>3.0888787268928321E-3</v>
      </c>
      <c r="J140" s="890">
        <f>System_Mkt_Repl!I357+System_Mkt_NC!J357+Lamp_Mkt_Repl!J67</f>
        <v>4.2175188190135418E-3</v>
      </c>
      <c r="K140" s="890">
        <f>System_Mkt_Repl!J357+System_Mkt_NC!K357+Lamp_Mkt_Repl!K67</f>
        <v>5.4513511069927099E-3</v>
      </c>
      <c r="L140" s="890">
        <f>System_Mkt_Repl!K357+System_Mkt_NC!L357+Lamp_Mkt_Repl!L67</f>
        <v>6.8171005575665107E-3</v>
      </c>
      <c r="M140" s="890">
        <f>System_Mkt_Repl!L357+System_Mkt_NC!M357+Lamp_Mkt_Repl!M67</f>
        <v>8.2304732863600141E-3</v>
      </c>
      <c r="N140" s="890">
        <f>System_Mkt_Repl!M357+System_Mkt_NC!N357+Lamp_Mkt_Repl!N67</f>
        <v>9.6167038467321695E-3</v>
      </c>
      <c r="O140" s="890">
        <f>System_Mkt_Repl!N357+System_Mkt_NC!O357+Lamp_Mkt_Repl!O67</f>
        <v>1.0969926523258625E-2</v>
      </c>
      <c r="P140" s="890">
        <f>System_Mkt_Repl!O357+System_Mkt_NC!P357+Lamp_Mkt_Repl!P67</f>
        <v>1.2261705296772183E-2</v>
      </c>
      <c r="Q140" s="890">
        <f>System_Mkt_Repl!P357+System_Mkt_NC!Q357+Lamp_Mkt_Repl!Q67</f>
        <v>1.345669646626641E-2</v>
      </c>
      <c r="R140" s="890">
        <f>System_Mkt_Repl!Q357+System_Mkt_NC!R357+Lamp_Mkt_Repl!R67</f>
        <v>1.4498725159359259E-2</v>
      </c>
      <c r="S140" s="890">
        <f>System_Mkt_Repl!R357+System_Mkt_NC!S357+Lamp_Mkt_Repl!S67</f>
        <v>1.5467862252991927E-2</v>
      </c>
      <c r="T140" s="890">
        <f>System_Mkt_Repl!S357+System_Mkt_NC!T357+Lamp_Mkt_Repl!T67</f>
        <v>1.6309854274615593E-2</v>
      </c>
      <c r="U140" s="890">
        <f>System_Mkt_Repl!T357+System_Mkt_NC!U357+Lamp_Mkt_Repl!U67</f>
        <v>1.703203280407509E-2</v>
      </c>
      <c r="V140" s="890">
        <f>System_Mkt_Repl!U357+System_Mkt_NC!V357+Lamp_Mkt_Repl!V67</f>
        <v>1.7681185963368231E-2</v>
      </c>
      <c r="W140" s="890">
        <f>System_Mkt_Repl!V357+System_Mkt_NC!W357+Lamp_Mkt_Repl!W67</f>
        <v>1.821862180068351E-2</v>
      </c>
      <c r="X140" s="890">
        <f>System_Mkt_Repl!W357+System_Mkt_NC!X357+Lamp_Mkt_Repl!X67</f>
        <v>1.865294187828305E-2</v>
      </c>
      <c r="Y140" s="890">
        <f>System_Mkt_Repl!X357+System_Mkt_NC!Y357+Lamp_Mkt_Repl!Y67</f>
        <v>1.9009593480469416E-2</v>
      </c>
      <c r="Z140" s="890">
        <f>System_Mkt_Repl!Y357+System_Mkt_NC!Z357+Lamp_Mkt_Repl!Z67</f>
        <v>1.934558209733404E-2</v>
      </c>
      <c r="AA140" s="890">
        <f>System_Mkt_Repl!Z357+System_Mkt_NC!AA357+Lamp_Mkt_Repl!AA67</f>
        <v>1.9685577940681022E-2</v>
      </c>
      <c r="AB140" s="890">
        <f>System_Mkt_Repl!AA357+System_Mkt_NC!AB357+Lamp_Mkt_Repl!AB67</f>
        <v>2.0060926819947238E-2</v>
      </c>
      <c r="AC140" s="890">
        <f>System_Mkt_Repl!AB357+System_Mkt_NC!AC357+Lamp_Mkt_Repl!AC67</f>
        <v>2.0328333437455957E-2</v>
      </c>
      <c r="AD140" s="540">
        <f>System_Mkt_Repl!AC357+System_Mkt_NC!AD357+Lamp_Mkt_Repl!AD67</f>
        <v>2.0574180260044688E-2</v>
      </c>
      <c r="AE140" s="540">
        <f>System_Mkt_Repl!AD357+System_Mkt_NC!AE357+Lamp_Mkt_Repl!AE67</f>
        <v>2.0801618026925268E-2</v>
      </c>
      <c r="AF140" s="540">
        <f>System_Mkt_Repl!AE357+System_Mkt_NC!AF357+Lamp_Mkt_Repl!AF67</f>
        <v>2.1013723688192831E-2</v>
      </c>
    </row>
    <row r="141" spans="1:32" s="838" customFormat="1" x14ac:dyDescent="0.25">
      <c r="A141" s="839"/>
      <c r="B141" s="839"/>
      <c r="G141" s="854"/>
      <c r="H141" s="890"/>
      <c r="I141" s="890"/>
      <c r="J141" s="890"/>
      <c r="K141" s="890"/>
      <c r="L141" s="890"/>
      <c r="M141" s="890"/>
      <c r="N141" s="890"/>
      <c r="O141" s="890"/>
      <c r="P141" s="890"/>
      <c r="Q141" s="890"/>
      <c r="R141" s="890"/>
      <c r="S141" s="890"/>
      <c r="T141" s="890"/>
      <c r="U141" s="890"/>
      <c r="V141" s="890"/>
      <c r="W141" s="890"/>
      <c r="X141" s="890"/>
      <c r="Y141" s="890"/>
      <c r="Z141" s="890"/>
      <c r="AA141" s="890"/>
      <c r="AB141" s="890"/>
      <c r="AC141" s="890"/>
    </row>
    <row r="142" spans="1:32" s="843" customFormat="1" ht="12.75" x14ac:dyDescent="0.2">
      <c r="A142" s="843" t="s">
        <v>47</v>
      </c>
      <c r="G142" s="865"/>
      <c r="H142" s="891"/>
      <c r="I142" s="891"/>
      <c r="J142" s="891"/>
      <c r="K142" s="891"/>
      <c r="L142" s="891"/>
      <c r="M142" s="891"/>
      <c r="N142" s="891"/>
      <c r="O142" s="891"/>
      <c r="P142" s="891"/>
      <c r="Q142" s="891"/>
      <c r="R142" s="891"/>
      <c r="S142" s="891"/>
      <c r="T142" s="891"/>
      <c r="U142" s="891"/>
      <c r="V142" s="891"/>
      <c r="W142" s="891"/>
      <c r="X142" s="891"/>
      <c r="Y142" s="891"/>
      <c r="Z142" s="891"/>
      <c r="AA142" s="891"/>
      <c r="AB142" s="891"/>
      <c r="AC142" s="891"/>
    </row>
    <row r="143" spans="1:32" s="838" customFormat="1" x14ac:dyDescent="0.25">
      <c r="A143" s="839"/>
      <c r="B143" s="839" t="s">
        <v>48</v>
      </c>
      <c r="G143" s="854"/>
      <c r="H143" s="890">
        <f>System_Mkt_Repl!G360+System_Mkt_NC!H360+Lamp_Mkt_Repl!H70</f>
        <v>11.877030496776571</v>
      </c>
      <c r="I143" s="890">
        <f>System_Mkt_Repl!H360+System_Mkt_NC!I360+Lamp_Mkt_Repl!I70</f>
        <v>8.9920714607071819</v>
      </c>
      <c r="J143" s="890">
        <f>System_Mkt_Repl!I360+System_Mkt_NC!J360+Lamp_Mkt_Repl!J70</f>
        <v>5.2266000688972927</v>
      </c>
      <c r="K143" s="890">
        <f>System_Mkt_Repl!J360+System_Mkt_NC!K360+Lamp_Mkt_Repl!K70</f>
        <v>2.3182356123877108</v>
      </c>
      <c r="L143" s="890">
        <f>System_Mkt_Repl!K360+System_Mkt_NC!L360+Lamp_Mkt_Repl!L70</f>
        <v>0.84398875034817256</v>
      </c>
      <c r="M143" s="890">
        <f>System_Mkt_Repl!L360+System_Mkt_NC!M360+Lamp_Mkt_Repl!M70</f>
        <v>0.25873500826340989</v>
      </c>
      <c r="N143" s="890">
        <f>System_Mkt_Repl!M360+System_Mkt_NC!N360+Lamp_Mkt_Repl!N70</f>
        <v>7.508661604953111E-2</v>
      </c>
      <c r="O143" s="890">
        <f>System_Mkt_Repl!N360+System_Mkt_NC!O360+Lamp_Mkt_Repl!O70</f>
        <v>2.1510970418121236E-2</v>
      </c>
      <c r="P143" s="890">
        <f>System_Mkt_Repl!O360+System_Mkt_NC!P360+Lamp_Mkt_Repl!P70</f>
        <v>6.3088352775508673E-3</v>
      </c>
      <c r="Q143" s="890">
        <f>System_Mkt_Repl!P360+System_Mkt_NC!Q360+Lamp_Mkt_Repl!Q70</f>
        <v>1.856337476556832E-3</v>
      </c>
      <c r="R143" s="890">
        <f>System_Mkt_Repl!Q360+System_Mkt_NC!R360+Lamp_Mkt_Repl!R70</f>
        <v>5.4922143306266539E-4</v>
      </c>
      <c r="S143" s="890">
        <f>System_Mkt_Repl!R360+System_Mkt_NC!S360+Lamp_Mkt_Repl!S70</f>
        <v>1.6613162702795953E-4</v>
      </c>
      <c r="T143" s="890">
        <f>System_Mkt_Repl!S360+System_Mkt_NC!T360+Lamp_Mkt_Repl!T70</f>
        <v>5.1111139098419861E-5</v>
      </c>
      <c r="U143" s="890">
        <f>System_Mkt_Repl!T360+System_Mkt_NC!U360+Lamp_Mkt_Repl!U70</f>
        <v>1.5925566292901224E-5</v>
      </c>
      <c r="V143" s="890">
        <f>System_Mkt_Repl!U360+System_Mkt_NC!V360+Lamp_Mkt_Repl!V70</f>
        <v>5.084830019504806E-6</v>
      </c>
      <c r="W143" s="890">
        <f>System_Mkt_Repl!V360+System_Mkt_NC!W360+Lamp_Mkt_Repl!W70</f>
        <v>1.6377448614767262E-6</v>
      </c>
      <c r="X143" s="890">
        <f>System_Mkt_Repl!W360+System_Mkt_NC!X360+Lamp_Mkt_Repl!X70</f>
        <v>5.3188028046991374E-7</v>
      </c>
      <c r="Y143" s="890">
        <f>System_Mkt_Repl!X360+System_Mkt_NC!Y360+Lamp_Mkt_Repl!Y70</f>
        <v>1.7372028286267721E-7</v>
      </c>
      <c r="Z143" s="890">
        <f>System_Mkt_Repl!Y360+System_Mkt_NC!Z360+Lamp_Mkt_Repl!Z70</f>
        <v>5.7390720175681626E-8</v>
      </c>
      <c r="AA143" s="890">
        <f>System_Mkt_Repl!Z360+System_Mkt_NC!AA360+Lamp_Mkt_Repl!AA70</f>
        <v>1.9220762699761139E-8</v>
      </c>
      <c r="AB143" s="890">
        <f>System_Mkt_Repl!AA360+System_Mkt_NC!AB360+Lamp_Mkt_Repl!AB70</f>
        <v>6.4402937024622349E-9</v>
      </c>
      <c r="AC143" s="890">
        <f>System_Mkt_Repl!AB360+System_Mkt_NC!AC360+Lamp_Mkt_Repl!AC70</f>
        <v>2.1723690215788444E-9</v>
      </c>
      <c r="AD143" s="540">
        <f>System_Mkt_Repl!AC360+System_Mkt_NC!AD360+Lamp_Mkt_Repl!AD70</f>
        <v>7.3622973864833852E-10</v>
      </c>
      <c r="AE143" s="540">
        <f>System_Mkt_Repl!AD360+System_Mkt_NC!AE360+Lamp_Mkt_Repl!AE70</f>
        <v>2.4982398902319597E-10</v>
      </c>
      <c r="AF143" s="540">
        <f>System_Mkt_Repl!AE360+System_Mkt_NC!AF360+Lamp_Mkt_Repl!AF70</f>
        <v>8.308801227930756E-11</v>
      </c>
    </row>
    <row r="144" spans="1:32" s="838" customFormat="1" x14ac:dyDescent="0.25">
      <c r="A144" s="839"/>
      <c r="B144" s="842" t="s">
        <v>50</v>
      </c>
      <c r="G144" s="854"/>
      <c r="H144" s="890">
        <f>System_Mkt_Repl!G361+System_Mkt_NC!H361+Lamp_Mkt_Repl!H71</f>
        <v>0.69911320734375348</v>
      </c>
      <c r="I144" s="890">
        <f>System_Mkt_Repl!H361+System_Mkt_NC!I361+Lamp_Mkt_Repl!I71</f>
        <v>0.6369392633130927</v>
      </c>
      <c r="J144" s="890">
        <f>System_Mkt_Repl!I361+System_Mkt_NC!J361+Lamp_Mkt_Repl!J71</f>
        <v>0.52555716853810652</v>
      </c>
      <c r="K144" s="890">
        <f>System_Mkt_Repl!J361+System_Mkt_NC!K361+Lamp_Mkt_Repl!K71</f>
        <v>0.38776967438336246</v>
      </c>
      <c r="L144" s="890">
        <f>System_Mkt_Repl!K361+System_Mkt_NC!L361+Lamp_Mkt_Repl!L71</f>
        <v>0.26850332864179527</v>
      </c>
      <c r="M144" s="890">
        <f>System_Mkt_Repl!L361+System_Mkt_NC!M361+Lamp_Mkt_Repl!M71</f>
        <v>0.17347425393051219</v>
      </c>
      <c r="N144" s="890">
        <f>System_Mkt_Repl!M361+System_Mkt_NC!N361+Lamp_Mkt_Repl!N71</f>
        <v>0.11110144315320575</v>
      </c>
      <c r="O144" s="890">
        <f>System_Mkt_Repl!N361+System_Mkt_NC!O361+Lamp_Mkt_Repl!O71</f>
        <v>7.2044140874571977E-2</v>
      </c>
      <c r="P144" s="890">
        <f>System_Mkt_Repl!O361+System_Mkt_NC!P361+Lamp_Mkt_Repl!P71</f>
        <v>4.8174986632490154E-2</v>
      </c>
      <c r="Q144" s="890">
        <f>System_Mkt_Repl!P361+System_Mkt_NC!Q361+Lamp_Mkt_Repl!Q71</f>
        <v>3.2660616602765195E-2</v>
      </c>
      <c r="R144" s="890">
        <f>System_Mkt_Repl!Q361+System_Mkt_NC!R361+Lamp_Mkt_Repl!R71</f>
        <v>2.2337702769892796E-2</v>
      </c>
      <c r="S144" s="890">
        <f>System_Mkt_Repl!R361+System_Mkt_NC!S361+Lamp_Mkt_Repl!S71</f>
        <v>1.5612005245039948E-2</v>
      </c>
      <c r="T144" s="890">
        <f>System_Mkt_Repl!S361+System_Mkt_NC!T361+Lamp_Mkt_Repl!T71</f>
        <v>1.1074964011623434E-2</v>
      </c>
      <c r="U144" s="890">
        <f>System_Mkt_Repl!T361+System_Mkt_NC!U361+Lamp_Mkt_Repl!U71</f>
        <v>7.9402003416699212E-3</v>
      </c>
      <c r="V144" s="890">
        <f>System_Mkt_Repl!U361+System_Mkt_NC!V361+Lamp_Mkt_Repl!V71</f>
        <v>5.7997516125524303E-3</v>
      </c>
      <c r="W144" s="890">
        <f>System_Mkt_Repl!V361+System_Mkt_NC!W361+Lamp_Mkt_Repl!W71</f>
        <v>4.2590894399342121E-3</v>
      </c>
      <c r="X144" s="890">
        <f>System_Mkt_Repl!W361+System_Mkt_NC!X361+Lamp_Mkt_Repl!X71</f>
        <v>3.1412112154726845E-3</v>
      </c>
      <c r="Y144" s="890">
        <f>System_Mkt_Repl!X361+System_Mkt_NC!Y361+Lamp_Mkt_Repl!Y71</f>
        <v>2.3216980175635488E-3</v>
      </c>
      <c r="Z144" s="890">
        <f>System_Mkt_Repl!Y361+System_Mkt_NC!Z361+Lamp_Mkt_Repl!Z71</f>
        <v>1.7274229896632797E-3</v>
      </c>
      <c r="AA144" s="890">
        <f>System_Mkt_Repl!Z361+System_Mkt_NC!AA361+Lamp_Mkt_Repl!AA71</f>
        <v>1.2956837603299467E-3</v>
      </c>
      <c r="AB144" s="890">
        <f>System_Mkt_Repl!AA361+System_Mkt_NC!AB361+Lamp_Mkt_Repl!AB71</f>
        <v>9.704562094281844E-4</v>
      </c>
      <c r="AC144" s="890">
        <f>System_Mkt_Repl!AB361+System_Mkt_NC!AC361+Lamp_Mkt_Repl!AC71</f>
        <v>7.2689290272630542E-4</v>
      </c>
      <c r="AD144" s="540">
        <f>System_Mkt_Repl!AC361+System_Mkt_NC!AD361+Lamp_Mkt_Repl!AD71</f>
        <v>5.4450060108701334E-4</v>
      </c>
      <c r="AE144" s="540">
        <f>System_Mkt_Repl!AD361+System_Mkt_NC!AE361+Lamp_Mkt_Repl!AE71</f>
        <v>4.068265652080061E-4</v>
      </c>
      <c r="AF144" s="540">
        <f>System_Mkt_Repl!AE361+System_Mkt_NC!AF361+Lamp_Mkt_Repl!AF71</f>
        <v>2.9849964830443642E-4</v>
      </c>
    </row>
    <row r="145" spans="1:32" s="838" customFormat="1" x14ac:dyDescent="0.25">
      <c r="A145" s="839"/>
      <c r="B145" s="839" t="s">
        <v>51</v>
      </c>
      <c r="G145" s="854"/>
      <c r="H145" s="890">
        <f>System_Mkt_Repl!G362+System_Mkt_NC!H362+Lamp_Mkt_Repl!H72</f>
        <v>0.40457976833250259</v>
      </c>
      <c r="I145" s="890">
        <f>System_Mkt_Repl!H362+System_Mkt_NC!I362+Lamp_Mkt_Repl!I72</f>
        <v>0.39893789096070209</v>
      </c>
      <c r="J145" s="890">
        <f>System_Mkt_Repl!I362+System_Mkt_NC!J362+Lamp_Mkt_Repl!J72</f>
        <v>0.38391447213676111</v>
      </c>
      <c r="K145" s="890">
        <f>System_Mkt_Repl!J362+System_Mkt_NC!K362+Lamp_Mkt_Repl!K72</f>
        <v>0.35863621165765047</v>
      </c>
      <c r="L145" s="890">
        <f>System_Mkt_Repl!K362+System_Mkt_NC!L362+Lamp_Mkt_Repl!L72</f>
        <v>0.32943381665239313</v>
      </c>
      <c r="M145" s="890">
        <f>System_Mkt_Repl!L362+System_Mkt_NC!M362+Lamp_Mkt_Repl!M72</f>
        <v>0.2965533231284897</v>
      </c>
      <c r="N145" s="890">
        <f>System_Mkt_Repl!M362+System_Mkt_NC!N362+Lamp_Mkt_Repl!N72</f>
        <v>0.26304254590049186</v>
      </c>
      <c r="O145" s="890">
        <f>System_Mkt_Repl!N362+System_Mkt_NC!O362+Lamp_Mkt_Repl!O72</f>
        <v>0.23174397432513349</v>
      </c>
      <c r="P145" s="890">
        <f>System_Mkt_Repl!O362+System_Mkt_NC!P362+Lamp_Mkt_Repl!P72</f>
        <v>0.20393929913498399</v>
      </c>
      <c r="Q145" s="890">
        <f>System_Mkt_Repl!P362+System_Mkt_NC!Q362+Lamp_Mkt_Repl!Q72</f>
        <v>0.17932932930350065</v>
      </c>
      <c r="R145" s="890">
        <f>System_Mkt_Repl!Q362+System_Mkt_NC!R362+Lamp_Mkt_Repl!R72</f>
        <v>0.15786162696891648</v>
      </c>
      <c r="S145" s="890">
        <f>System_Mkt_Repl!R362+System_Mkt_NC!S362+Lamp_Mkt_Repl!S72</f>
        <v>0.1398224753555049</v>
      </c>
      <c r="T145" s="890">
        <f>System_Mkt_Repl!S362+System_Mkt_NC!T362+Lamp_Mkt_Repl!T72</f>
        <v>0.12434576654311759</v>
      </c>
      <c r="U145" s="890">
        <f>System_Mkt_Repl!T362+System_Mkt_NC!U362+Lamp_Mkt_Repl!U72</f>
        <v>0.11103690836892124</v>
      </c>
      <c r="V145" s="890">
        <f>System_Mkt_Repl!U362+System_Mkt_NC!V362+Lamp_Mkt_Repl!V72</f>
        <v>9.9819579834834693E-2</v>
      </c>
      <c r="W145" s="890">
        <f>System_Mkt_Repl!V362+System_Mkt_NC!W362+Lamp_Mkt_Repl!W72</f>
        <v>8.9999106842127349E-2</v>
      </c>
      <c r="X145" s="890">
        <f>System_Mkt_Repl!W362+System_Mkt_NC!X362+Lamp_Mkt_Repl!X72</f>
        <v>8.1337017836366154E-2</v>
      </c>
      <c r="Y145" s="890">
        <f>System_Mkt_Repl!X362+System_Mkt_NC!Y362+Lamp_Mkt_Repl!Y72</f>
        <v>7.3659459494248514E-2</v>
      </c>
      <c r="Z145" s="890">
        <f>System_Mkt_Repl!Y362+System_Mkt_NC!Z362+Lamp_Mkt_Repl!Z72</f>
        <v>6.6878408782235582E-2</v>
      </c>
      <c r="AA145" s="890">
        <f>System_Mkt_Repl!Z362+System_Mkt_NC!AA362+Lamp_Mkt_Repl!AA72</f>
        <v>6.0963386509613957E-2</v>
      </c>
      <c r="AB145" s="890">
        <f>System_Mkt_Repl!AA362+System_Mkt_NC!AB362+Lamp_Mkt_Repl!AB72</f>
        <v>5.5722023800959586E-2</v>
      </c>
      <c r="AC145" s="890">
        <f>System_Mkt_Repl!AB362+System_Mkt_NC!AC362+Lamp_Mkt_Repl!AC72</f>
        <v>5.0896460184491857E-2</v>
      </c>
      <c r="AD145" s="540">
        <f>System_Mkt_Repl!AC362+System_Mkt_NC!AD362+Lamp_Mkt_Repl!AD72</f>
        <v>4.6456567395477384E-2</v>
      </c>
      <c r="AE145" s="540">
        <f>System_Mkt_Repl!AD362+System_Mkt_NC!AE362+Lamp_Mkt_Repl!AE72</f>
        <v>4.2397850106241891E-2</v>
      </c>
      <c r="AF145" s="540">
        <f>System_Mkt_Repl!AE362+System_Mkt_NC!AF362+Lamp_Mkt_Repl!AF72</f>
        <v>3.8584542017633242E-2</v>
      </c>
    </row>
    <row r="146" spans="1:32" s="838" customFormat="1" x14ac:dyDescent="0.25">
      <c r="A146" s="839"/>
      <c r="B146" s="839" t="s">
        <v>52</v>
      </c>
      <c r="G146" s="854"/>
      <c r="H146" s="890">
        <f>System_Mkt_Repl!G363+System_Mkt_NC!H363+Lamp_Mkt_Repl!H73</f>
        <v>0.42059796471682714</v>
      </c>
      <c r="I146" s="890">
        <f>System_Mkt_Repl!H363+System_Mkt_NC!I363+Lamp_Mkt_Repl!I73</f>
        <v>0.39564713390844497</v>
      </c>
      <c r="J146" s="890">
        <f>System_Mkt_Repl!I363+System_Mkt_NC!J363+Lamp_Mkt_Repl!J73</f>
        <v>0.35682747349323768</v>
      </c>
      <c r="K146" s="890">
        <f>System_Mkt_Repl!J363+System_Mkt_NC!K363+Lamp_Mkt_Repl!K73</f>
        <v>0.31082996108242084</v>
      </c>
      <c r="L146" s="890">
        <f>System_Mkt_Repl!K363+System_Mkt_NC!L363+Lamp_Mkt_Repl!L73</f>
        <v>0.26889655162315029</v>
      </c>
      <c r="M146" s="890">
        <f>System_Mkt_Repl!L363+System_Mkt_NC!M363+Lamp_Mkt_Repl!M73</f>
        <v>0.23215921164143904</v>
      </c>
      <c r="N146" s="890">
        <f>System_Mkt_Repl!M363+System_Mkt_NC!N363+Lamp_Mkt_Repl!N73</f>
        <v>0.20230731066349211</v>
      </c>
      <c r="O146" s="890">
        <f>System_Mkt_Repl!N363+System_Mkt_NC!O363+Lamp_Mkt_Repl!O73</f>
        <v>0.17882262197979565</v>
      </c>
      <c r="P146" s="890">
        <f>System_Mkt_Repl!O363+System_Mkt_NC!P363+Lamp_Mkt_Repl!P73</f>
        <v>0.16036902542106074</v>
      </c>
      <c r="Q146" s="890">
        <f>System_Mkt_Repl!P363+System_Mkt_NC!Q363+Lamp_Mkt_Repl!Q73</f>
        <v>0.14530531373900499</v>
      </c>
      <c r="R146" s="890">
        <f>System_Mkt_Repl!Q363+System_Mkt_NC!R363+Lamp_Mkt_Repl!R73</f>
        <v>0.13274220509771939</v>
      </c>
      <c r="S146" s="890">
        <f>System_Mkt_Repl!R363+System_Mkt_NC!S363+Lamp_Mkt_Repl!S73</f>
        <v>0.12226019369036939</v>
      </c>
      <c r="T146" s="890">
        <f>System_Mkt_Repl!S363+System_Mkt_NC!T363+Lamp_Mkt_Repl!T73</f>
        <v>0.11319594461784617</v>
      </c>
      <c r="U146" s="890">
        <f>System_Mkt_Repl!T363+System_Mkt_NC!U363+Lamp_Mkt_Repl!U73</f>
        <v>0.10521974516157384</v>
      </c>
      <c r="V146" s="890">
        <f>System_Mkt_Repl!U363+System_Mkt_NC!V363+Lamp_Mkt_Repl!V73</f>
        <v>9.8202444430994101E-2</v>
      </c>
      <c r="W146" s="890">
        <f>System_Mkt_Repl!V363+System_Mkt_NC!W363+Lamp_Mkt_Repl!W73</f>
        <v>9.1836577772568748E-2</v>
      </c>
      <c r="X146" s="890">
        <f>System_Mkt_Repl!W363+System_Mkt_NC!X363+Lamp_Mkt_Repl!X73</f>
        <v>8.601064955484744E-2</v>
      </c>
      <c r="Y146" s="890">
        <f>System_Mkt_Repl!X363+System_Mkt_NC!Y363+Lamp_Mkt_Repl!Y73</f>
        <v>8.0647905743379905E-2</v>
      </c>
      <c r="Z146" s="890">
        <f>System_Mkt_Repl!Y363+System_Mkt_NC!Z363+Lamp_Mkt_Repl!Z73</f>
        <v>7.5734937449262518E-2</v>
      </c>
      <c r="AA146" s="890">
        <f>System_Mkt_Repl!Z363+System_Mkt_NC!AA363+Lamp_Mkt_Repl!AA73</f>
        <v>7.1224006193908118E-2</v>
      </c>
      <c r="AB146" s="890">
        <f>System_Mkt_Repl!AA363+System_Mkt_NC!AB363+Lamp_Mkt_Repl!AB73</f>
        <v>6.7045322912365618E-2</v>
      </c>
      <c r="AC146" s="890">
        <f>System_Mkt_Repl!AB363+System_Mkt_NC!AC363+Lamp_Mkt_Repl!AC73</f>
        <v>6.3089471696850988E-2</v>
      </c>
      <c r="AD146" s="540">
        <f>System_Mkt_Repl!AC363+System_Mkt_NC!AD363+Lamp_Mkt_Repl!AD73</f>
        <v>5.938416833146528E-2</v>
      </c>
      <c r="AE146" s="540">
        <f>System_Mkt_Repl!AD363+System_Mkt_NC!AE363+Lamp_Mkt_Repl!AE73</f>
        <v>5.5902232018089582E-2</v>
      </c>
      <c r="AF146" s="540">
        <f>System_Mkt_Repl!AE363+System_Mkt_NC!AF363+Lamp_Mkt_Repl!AF73</f>
        <v>5.2591761466846167E-2</v>
      </c>
    </row>
    <row r="147" spans="1:32" s="838" customFormat="1" x14ac:dyDescent="0.25">
      <c r="A147" s="839"/>
      <c r="B147" s="842" t="s">
        <v>29</v>
      </c>
      <c r="G147" s="854"/>
      <c r="H147" s="890">
        <f>System_Mkt_Repl!G364+System_Mkt_NC!H364+Lamp_Mkt_Repl!H74</f>
        <v>1.4502179801588444</v>
      </c>
      <c r="I147" s="890">
        <f>System_Mkt_Repl!H364+System_Mkt_NC!I364+Lamp_Mkt_Repl!I74</f>
        <v>3.9192178842121872</v>
      </c>
      <c r="J147" s="890">
        <f>System_Mkt_Repl!I364+System_Mkt_NC!J364+Lamp_Mkt_Repl!J74</f>
        <v>5.9275381344787457</v>
      </c>
      <c r="K147" s="890">
        <f>System_Mkt_Repl!J364+System_Mkt_NC!K364+Lamp_Mkt_Repl!K74</f>
        <v>6.1369576918529569</v>
      </c>
      <c r="L147" s="890">
        <f>System_Mkt_Repl!K364+System_Mkt_NC!L364+Lamp_Mkt_Repl!L74</f>
        <v>5.1227081341465066</v>
      </c>
      <c r="M147" s="890">
        <f>System_Mkt_Repl!L364+System_Mkt_NC!M364+Lamp_Mkt_Repl!M74</f>
        <v>4.1226727259814169</v>
      </c>
      <c r="N147" s="890">
        <f>System_Mkt_Repl!M364+System_Mkt_NC!N364+Lamp_Mkt_Repl!N74</f>
        <v>3.5003130933723661</v>
      </c>
      <c r="O147" s="890">
        <f>System_Mkt_Repl!N364+System_Mkt_NC!O364+Lamp_Mkt_Repl!O74</f>
        <v>3.2250320878954759</v>
      </c>
      <c r="P147" s="890">
        <f>System_Mkt_Repl!O364+System_Mkt_NC!P364+Lamp_Mkt_Repl!P74</f>
        <v>3.1337675126378328</v>
      </c>
      <c r="Q147" s="890">
        <f>System_Mkt_Repl!P364+System_Mkt_NC!Q364+Lamp_Mkt_Repl!Q74</f>
        <v>3.1224194993351189</v>
      </c>
      <c r="R147" s="890">
        <f>System_Mkt_Repl!Q364+System_Mkt_NC!R364+Lamp_Mkt_Repl!R74</f>
        <v>3.1329024988026375</v>
      </c>
      <c r="S147" s="890">
        <f>System_Mkt_Repl!R364+System_Mkt_NC!S364+Lamp_Mkt_Repl!S74</f>
        <v>3.1637914597010348</v>
      </c>
      <c r="T147" s="890">
        <f>System_Mkt_Repl!S364+System_Mkt_NC!T364+Lamp_Mkt_Repl!T74</f>
        <v>3.1972355907514132</v>
      </c>
      <c r="U147" s="890">
        <f>System_Mkt_Repl!T364+System_Mkt_NC!U364+Lamp_Mkt_Repl!U74</f>
        <v>3.230812569993101</v>
      </c>
      <c r="V147" s="890">
        <f>System_Mkt_Repl!U364+System_Mkt_NC!V364+Lamp_Mkt_Repl!V74</f>
        <v>3.2694695782774716</v>
      </c>
      <c r="W147" s="890">
        <f>System_Mkt_Repl!V364+System_Mkt_NC!W364+Lamp_Mkt_Repl!W74</f>
        <v>3.3037368093575692</v>
      </c>
      <c r="X147" s="890">
        <f>System_Mkt_Repl!W364+System_Mkt_NC!X364+Lamp_Mkt_Repl!X74</f>
        <v>3.3325281054394953</v>
      </c>
      <c r="Y147" s="890">
        <f>System_Mkt_Repl!X364+System_Mkt_NC!Y364+Lamp_Mkt_Repl!Y74</f>
        <v>3.3578672657514756</v>
      </c>
      <c r="Z147" s="890">
        <f>System_Mkt_Repl!Y364+System_Mkt_NC!Z364+Lamp_Mkt_Repl!Z74</f>
        <v>3.3871570922319392</v>
      </c>
      <c r="AA147" s="890">
        <f>System_Mkt_Repl!Z364+System_Mkt_NC!AA364+Lamp_Mkt_Repl!AA74</f>
        <v>3.4229902206163287</v>
      </c>
      <c r="AB147" s="890">
        <f>System_Mkt_Repl!AA364+System_Mkt_NC!AB364+Lamp_Mkt_Repl!AB74</f>
        <v>3.4693145785913182</v>
      </c>
      <c r="AC147" s="890">
        <f>System_Mkt_Repl!AB364+System_Mkt_NC!AC364+Lamp_Mkt_Repl!AC74</f>
        <v>3.5011608401990872</v>
      </c>
      <c r="AD147" s="540">
        <f>System_Mkt_Repl!AC364+System_Mkt_NC!AD364+Lamp_Mkt_Repl!AD74</f>
        <v>3.5319776087577255</v>
      </c>
      <c r="AE147" s="540">
        <f>System_Mkt_Repl!AD364+System_Mkt_NC!AE364+Lamp_Mkt_Repl!AE74</f>
        <v>3.5618051179379324</v>
      </c>
      <c r="AF147" s="540">
        <f>System_Mkt_Repl!AE364+System_Mkt_NC!AF364+Lamp_Mkt_Repl!AF74</f>
        <v>3.5906719718499689</v>
      </c>
    </row>
    <row r="148" spans="1:32" s="838" customFormat="1" x14ac:dyDescent="0.25">
      <c r="A148" s="839"/>
      <c r="B148" s="842" t="s">
        <v>53</v>
      </c>
      <c r="G148" s="854"/>
      <c r="H148" s="890">
        <f>System_Mkt_Repl!G365+System_Mkt_NC!H365+Lamp_Mkt_Repl!H75</f>
        <v>1.3513684097203769E-2</v>
      </c>
      <c r="I148" s="890">
        <f>System_Mkt_Repl!H365+System_Mkt_NC!I365+Lamp_Mkt_Repl!I75</f>
        <v>1.3247061854734638E-2</v>
      </c>
      <c r="J148" s="890">
        <f>System_Mkt_Repl!I365+System_Mkt_NC!J365+Lamp_Mkt_Repl!J75</f>
        <v>1.2680014900910327E-2</v>
      </c>
      <c r="K148" s="890">
        <f>System_Mkt_Repl!J365+System_Mkt_NC!K365+Lamp_Mkt_Repl!K75</f>
        <v>1.1801266800148962E-2</v>
      </c>
      <c r="L148" s="890">
        <f>System_Mkt_Repl!K365+System_Mkt_NC!L365+Lamp_Mkt_Repl!L75</f>
        <v>1.086637372935103E-2</v>
      </c>
      <c r="M148" s="890">
        <f>System_Mkt_Repl!L365+System_Mkt_NC!M365+Lamp_Mkt_Repl!M75</f>
        <v>9.8643098361486624E-3</v>
      </c>
      <c r="N148" s="890">
        <f>System_Mkt_Repl!M365+System_Mkt_NC!N365+Lamp_Mkt_Repl!N75</f>
        <v>8.883661571436316E-3</v>
      </c>
      <c r="O148" s="890">
        <f>System_Mkt_Repl!N365+System_Mkt_NC!O365+Lamp_Mkt_Repl!O75</f>
        <v>7.9998855835690681E-3</v>
      </c>
      <c r="P148" s="890">
        <f>System_Mkt_Repl!O365+System_Mkt_NC!P365+Lamp_Mkt_Repl!P75</f>
        <v>7.2342961467744106E-3</v>
      </c>
      <c r="Q148" s="890">
        <f>System_Mkt_Repl!P365+System_Mkt_NC!Q365+Lamp_Mkt_Repl!Q75</f>
        <v>6.5624234595732054E-3</v>
      </c>
      <c r="R148" s="890">
        <f>System_Mkt_Repl!Q365+System_Mkt_NC!R365+Lamp_Mkt_Repl!R75</f>
        <v>5.9728874453017933E-3</v>
      </c>
      <c r="S148" s="890">
        <f>System_Mkt_Repl!R365+System_Mkt_NC!S365+Lamp_Mkt_Repl!S75</f>
        <v>5.4779761446697725E-3</v>
      </c>
      <c r="T148" s="890">
        <f>System_Mkt_Repl!S365+System_Mkt_NC!T365+Lamp_Mkt_Repl!T75</f>
        <v>5.0468391523436195E-3</v>
      </c>
      <c r="U148" s="890">
        <f>System_Mkt_Repl!T365+System_Mkt_NC!U365+Lamp_Mkt_Repl!U75</f>
        <v>4.6683193832510418E-3</v>
      </c>
      <c r="V148" s="890">
        <f>System_Mkt_Repl!U365+System_Mkt_NC!V365+Lamp_Mkt_Repl!V75</f>
        <v>4.343284539631005E-3</v>
      </c>
      <c r="W148" s="890">
        <f>System_Mkt_Repl!V365+System_Mkt_NC!W365+Lamp_Mkt_Repl!W75</f>
        <v>4.0497775817238488E-3</v>
      </c>
      <c r="X148" s="890">
        <f>System_Mkt_Repl!W365+System_Mkt_NC!X365+Lamp_Mkt_Repl!X75</f>
        <v>3.7822328720550709E-3</v>
      </c>
      <c r="Y148" s="890">
        <f>System_Mkt_Repl!X365+System_Mkt_NC!Y365+Lamp_Mkt_Repl!Y75</f>
        <v>3.537347704753468E-3</v>
      </c>
      <c r="Z148" s="890">
        <f>System_Mkt_Repl!Y365+System_Mkt_NC!Z365+Lamp_Mkt_Repl!Z75</f>
        <v>3.3175998594661589E-3</v>
      </c>
      <c r="AA148" s="890">
        <f>System_Mkt_Repl!Z365+System_Mkt_NC!AA365+Lamp_Mkt_Repl!AA75</f>
        <v>3.1206254528938823E-3</v>
      </c>
      <c r="AB148" s="890">
        <f>System_Mkt_Repl!AA365+System_Mkt_NC!AB365+Lamp_Mkt_Repl!AB75</f>
        <v>2.94153175967545E-3</v>
      </c>
      <c r="AC148" s="890">
        <f>System_Mkt_Repl!AB365+System_Mkt_NC!AC365+Lamp_Mkt_Repl!AC75</f>
        <v>2.7674924449959159E-3</v>
      </c>
      <c r="AD148" s="540">
        <f>System_Mkt_Repl!AC365+System_Mkt_NC!AD365+Lamp_Mkt_Repl!AD75</f>
        <v>2.604322664484052E-3</v>
      </c>
      <c r="AE148" s="540">
        <f>System_Mkt_Repl!AD365+System_Mkt_NC!AE365+Lamp_Mkt_Repl!AE75</f>
        <v>2.4503039028711776E-3</v>
      </c>
      <c r="AF148" s="540">
        <f>System_Mkt_Repl!AE365+System_Mkt_NC!AF365+Lamp_Mkt_Repl!AF75</f>
        <v>2.3009388610029033E-3</v>
      </c>
    </row>
    <row r="150" spans="1:32" x14ac:dyDescent="0.25">
      <c r="G150" s="208">
        <v>2010</v>
      </c>
      <c r="H150" s="208">
        <v>2011</v>
      </c>
      <c r="I150" s="208">
        <v>2012</v>
      </c>
      <c r="J150" s="208">
        <v>2013</v>
      </c>
      <c r="K150" s="208">
        <v>2014</v>
      </c>
      <c r="L150" s="208">
        <v>2015</v>
      </c>
      <c r="M150" s="208">
        <v>2016</v>
      </c>
      <c r="N150" s="208">
        <v>2017</v>
      </c>
      <c r="O150" s="208">
        <v>2018</v>
      </c>
      <c r="P150" s="208">
        <v>2019</v>
      </c>
      <c r="Q150" s="1134">
        <v>2020</v>
      </c>
      <c r="R150" s="208">
        <v>2021</v>
      </c>
      <c r="S150" s="208">
        <v>2022</v>
      </c>
      <c r="T150" s="208">
        <v>2023</v>
      </c>
      <c r="U150" s="208">
        <v>2024</v>
      </c>
      <c r="V150" s="208">
        <v>2025</v>
      </c>
      <c r="W150" s="208">
        <v>2026</v>
      </c>
      <c r="X150" s="208">
        <v>2027</v>
      </c>
      <c r="Y150" s="208">
        <v>2028</v>
      </c>
      <c r="Z150" s="208">
        <v>2029</v>
      </c>
      <c r="AA150" s="208">
        <v>2030</v>
      </c>
      <c r="AB150" s="208">
        <v>2031</v>
      </c>
      <c r="AC150" s="208">
        <v>2032</v>
      </c>
      <c r="AD150" s="208">
        <v>2033</v>
      </c>
      <c r="AE150" s="208">
        <v>2034</v>
      </c>
      <c r="AF150" s="208">
        <v>2035</v>
      </c>
    </row>
    <row r="151" spans="1:32" x14ac:dyDescent="0.25">
      <c r="A151" s="1047" t="s">
        <v>739</v>
      </c>
      <c r="B151" s="1048"/>
      <c r="C151" s="1047"/>
      <c r="D151" s="1046"/>
      <c r="E151" s="1046"/>
      <c r="F151" s="1046"/>
      <c r="G151" s="1046"/>
      <c r="H151" s="862"/>
      <c r="I151" s="862"/>
      <c r="J151" s="862"/>
      <c r="K151" s="862"/>
      <c r="L151" s="862"/>
      <c r="M151" s="862"/>
      <c r="N151" s="862"/>
      <c r="O151" s="862"/>
      <c r="P151" s="862"/>
      <c r="Q151" s="1135"/>
      <c r="R151" s="862"/>
      <c r="S151" s="862"/>
      <c r="T151" s="862"/>
      <c r="U151" s="862"/>
      <c r="V151" s="862"/>
      <c r="W151" s="862"/>
      <c r="X151" s="862"/>
      <c r="Y151" s="862"/>
      <c r="Z151" s="862"/>
      <c r="AA151" s="862"/>
      <c r="AB151" s="862"/>
      <c r="AC151" s="862"/>
      <c r="AD151" s="862"/>
      <c r="AE151" s="862"/>
      <c r="AF151" s="862"/>
    </row>
    <row r="152" spans="1:32" x14ac:dyDescent="0.25">
      <c r="A152" s="1042" t="s">
        <v>740</v>
      </c>
      <c r="B152" s="1041"/>
      <c r="C152" s="1059"/>
      <c r="D152" s="1059"/>
      <c r="E152" s="1059"/>
      <c r="F152" s="1059"/>
      <c r="G152" s="1059"/>
      <c r="H152" s="1059"/>
      <c r="I152" s="1059"/>
      <c r="J152" s="1059"/>
      <c r="K152" s="1059"/>
      <c r="L152" s="1059"/>
      <c r="M152" s="1059"/>
      <c r="N152" s="1059"/>
      <c r="O152" s="1059"/>
      <c r="P152" s="1059"/>
      <c r="Q152" s="741"/>
      <c r="R152" s="1059"/>
      <c r="S152" s="1059"/>
      <c r="T152" s="1059"/>
      <c r="U152" s="1059"/>
      <c r="V152" s="1059"/>
      <c r="W152" s="1059"/>
      <c r="X152" s="1059"/>
      <c r="Y152" s="1059"/>
      <c r="Z152" s="1059"/>
      <c r="AA152" s="1059"/>
      <c r="AB152" s="1059"/>
      <c r="AC152" s="1059"/>
      <c r="AD152" s="1059"/>
      <c r="AE152" s="1059"/>
      <c r="AF152" s="1059"/>
    </row>
    <row r="153" spans="1:32" x14ac:dyDescent="0.25">
      <c r="A153" s="1041"/>
      <c r="B153" s="1041" t="s">
        <v>20</v>
      </c>
      <c r="C153" s="1059"/>
      <c r="D153" s="1059"/>
      <c r="E153" s="1059"/>
      <c r="F153" s="1059"/>
      <c r="G153" s="1059"/>
      <c r="H153" s="1059"/>
      <c r="I153" s="1059"/>
      <c r="J153" s="1059"/>
      <c r="K153" s="1059"/>
      <c r="L153" s="1059"/>
      <c r="M153" s="1059"/>
      <c r="N153" s="1059"/>
      <c r="O153" s="1059"/>
      <c r="P153" s="1059"/>
      <c r="Q153" s="741"/>
      <c r="R153" s="1059"/>
      <c r="S153" s="1059"/>
      <c r="T153" s="1059"/>
      <c r="U153" s="1059"/>
      <c r="V153" s="1059"/>
      <c r="W153" s="1059"/>
      <c r="X153" s="1059"/>
      <c r="Y153" s="1059"/>
      <c r="Z153" s="1059"/>
      <c r="AA153" s="1059"/>
      <c r="AB153" s="1059"/>
      <c r="AC153" s="1059"/>
      <c r="AD153" s="1059"/>
      <c r="AE153" s="1059"/>
      <c r="AF153" s="1059"/>
    </row>
    <row r="154" spans="1:32" x14ac:dyDescent="0.25">
      <c r="A154" s="843" t="s">
        <v>21</v>
      </c>
      <c r="B154" s="843"/>
      <c r="C154" s="843"/>
      <c r="D154" s="843"/>
      <c r="E154" s="843"/>
      <c r="F154" s="843"/>
      <c r="G154" s="843"/>
      <c r="H154" s="843"/>
      <c r="I154" s="843"/>
      <c r="J154" s="843"/>
      <c r="K154" s="843"/>
      <c r="L154" s="843"/>
      <c r="M154" s="843"/>
      <c r="N154" s="843"/>
      <c r="O154" s="843"/>
      <c r="P154" s="843"/>
      <c r="Q154" s="1136"/>
      <c r="R154" s="843"/>
      <c r="S154" s="843"/>
      <c r="T154" s="843"/>
      <c r="U154" s="843"/>
      <c r="V154" s="843"/>
      <c r="W154" s="843"/>
      <c r="X154" s="843"/>
      <c r="Y154" s="843"/>
      <c r="Z154" s="843"/>
      <c r="AA154" s="843"/>
      <c r="AB154" s="843"/>
      <c r="AC154" s="843"/>
      <c r="AD154" s="843"/>
      <c r="AE154" s="843"/>
      <c r="AF154" s="843"/>
    </row>
    <row r="155" spans="1:32" x14ac:dyDescent="0.25">
      <c r="A155" s="1041"/>
      <c r="B155" s="1041" t="s">
        <v>22</v>
      </c>
      <c r="C155" s="1059"/>
      <c r="D155" s="1059"/>
      <c r="E155" s="1059"/>
      <c r="F155" s="1059"/>
      <c r="G155" s="1045"/>
      <c r="H155" s="855">
        <f ca="1">IFERROR(H118/SUM(H$118:H$121),)</f>
        <v>0.68662674661428824</v>
      </c>
      <c r="I155" s="855">
        <f t="shared" ref="I155:AF155" ca="1" si="18">IFERROR(I118/SUM(I$118:I$121),)</f>
        <v>0.62418046380849179</v>
      </c>
      <c r="J155" s="855">
        <f t="shared" ca="1" si="18"/>
        <v>0.43801521362615453</v>
      </c>
      <c r="K155" s="855">
        <f t="shared" ca="1" si="18"/>
        <v>0.32256355557956007</v>
      </c>
      <c r="L155" s="855">
        <f t="shared" ca="1" si="18"/>
        <v>0.21927485983819189</v>
      </c>
      <c r="M155" s="855">
        <f t="shared" ca="1" si="18"/>
        <v>8.5986477742214545E-2</v>
      </c>
      <c r="N155" s="855">
        <f t="shared" ca="1" si="18"/>
        <v>7.819695113593253E-2</v>
      </c>
      <c r="O155" s="855">
        <f t="shared" ca="1" si="18"/>
        <v>7.0583876470484919E-2</v>
      </c>
      <c r="P155" s="855">
        <f t="shared" ca="1" si="18"/>
        <v>6.3390333160417506E-2</v>
      </c>
      <c r="Q155" s="1137">
        <f t="shared" ca="1" si="18"/>
        <v>5.577692078095383E-2</v>
      </c>
      <c r="R155" s="855">
        <f t="shared" ca="1" si="18"/>
        <v>4.8048777346311064E-2</v>
      </c>
      <c r="S155" s="855">
        <f t="shared" ca="1" si="18"/>
        <v>4.0863428911523919E-2</v>
      </c>
      <c r="T155" s="855">
        <f t="shared" ca="1" si="18"/>
        <v>3.4371231431660265E-2</v>
      </c>
      <c r="U155" s="855">
        <f t="shared" ca="1" si="18"/>
        <v>2.8639727619497037E-2</v>
      </c>
      <c r="V155" s="855">
        <f t="shared" ca="1" si="18"/>
        <v>2.3890181685237946E-2</v>
      </c>
      <c r="W155" s="855">
        <f t="shared" ca="1" si="18"/>
        <v>1.9894127084901184E-2</v>
      </c>
      <c r="X155" s="855">
        <f t="shared" ca="1" si="18"/>
        <v>1.6593908085263235E-2</v>
      </c>
      <c r="Y155" s="855">
        <f t="shared" ca="1" si="18"/>
        <v>1.3887012826621368E-2</v>
      </c>
      <c r="Z155" s="855">
        <f t="shared" ca="1" si="18"/>
        <v>1.1718665365489704E-2</v>
      </c>
      <c r="AA155" s="855">
        <f t="shared" ca="1" si="18"/>
        <v>1.0000837228597929E-2</v>
      </c>
      <c r="AB155" s="855">
        <f t="shared" ca="1" si="18"/>
        <v>8.5577842042435705E-3</v>
      </c>
      <c r="AC155" s="855">
        <f t="shared" ca="1" si="18"/>
        <v>7.3996673704426127E-3</v>
      </c>
      <c r="AD155" s="855">
        <f t="shared" ca="1" si="18"/>
        <v>6.4361770409307436E-3</v>
      </c>
      <c r="AE155" s="855">
        <f t="shared" ca="1" si="18"/>
        <v>5.6158902703781297E-3</v>
      </c>
      <c r="AF155" s="855">
        <f t="shared" ca="1" si="18"/>
        <v>4.8366123940862807E-3</v>
      </c>
    </row>
    <row r="156" spans="1:32" x14ac:dyDescent="0.25">
      <c r="A156" s="1041"/>
      <c r="B156" s="1041" t="s">
        <v>26</v>
      </c>
      <c r="C156" s="1059"/>
      <c r="D156" s="1059"/>
      <c r="E156" s="1059"/>
      <c r="F156" s="1059"/>
      <c r="G156" s="1045"/>
      <c r="H156" s="855">
        <f ca="1">IFERROR(H119/SUM(H$118:H$121),)</f>
        <v>1.1867539938884092E-2</v>
      </c>
      <c r="I156" s="855">
        <f t="shared" ref="I156:AF156" ca="1" si="19">IFERROR(I119/SUM(I$118:I$121),)</f>
        <v>5.3057830331469581E-2</v>
      </c>
      <c r="J156" s="855">
        <f t="shared" ca="1" si="19"/>
        <v>0.16681929524860412</v>
      </c>
      <c r="K156" s="855">
        <f t="shared" ca="1" si="19"/>
        <v>0.24964224975120833</v>
      </c>
      <c r="L156" s="855">
        <f t="shared" ca="1" si="19"/>
        <v>0.28363657279037363</v>
      </c>
      <c r="M156" s="855">
        <f t="shared" ca="1" si="19"/>
        <v>0.31912476622456643</v>
      </c>
      <c r="N156" s="855">
        <f t="shared" ca="1" si="19"/>
        <v>0.3017937235481315</v>
      </c>
      <c r="O156" s="855">
        <f t="shared" ca="1" si="19"/>
        <v>0.28232478774688946</v>
      </c>
      <c r="P156" s="855">
        <f t="shared" ca="1" si="19"/>
        <v>0.26185114885919564</v>
      </c>
      <c r="Q156" s="1137">
        <f t="shared" ca="1" si="19"/>
        <v>0.2384314375757072</v>
      </c>
      <c r="R156" s="855">
        <f t="shared" ca="1" si="19"/>
        <v>0.21326777000424704</v>
      </c>
      <c r="S156" s="855">
        <f t="shared" ca="1" si="19"/>
        <v>0.18873714853993967</v>
      </c>
      <c r="T156" s="855">
        <f t="shared" ca="1" si="19"/>
        <v>0.16562208259589278</v>
      </c>
      <c r="U156" s="855">
        <f t="shared" ca="1" si="19"/>
        <v>0.14444915579137629</v>
      </c>
      <c r="V156" s="855">
        <f t="shared" ca="1" si="19"/>
        <v>0.12632385277751487</v>
      </c>
      <c r="W156" s="855">
        <f t="shared" ca="1" si="19"/>
        <v>0.11061278159297555</v>
      </c>
      <c r="X156" s="855">
        <f t="shared" ca="1" si="19"/>
        <v>9.7276123209751111E-2</v>
      </c>
      <c r="Y156" s="855">
        <f t="shared" ca="1" si="19"/>
        <v>8.6036574729934701E-2</v>
      </c>
      <c r="Z156" s="855">
        <f t="shared" ca="1" si="19"/>
        <v>7.6824279002319668E-2</v>
      </c>
      <c r="AA156" s="855">
        <f t="shared" ca="1" si="19"/>
        <v>6.9387866658426972E-2</v>
      </c>
      <c r="AB156" s="855">
        <f t="shared" ca="1" si="19"/>
        <v>6.2973501442017105E-2</v>
      </c>
      <c r="AC156" s="855">
        <f t="shared" ca="1" si="19"/>
        <v>5.7663648782529033E-2</v>
      </c>
      <c r="AD156" s="855">
        <f t="shared" ca="1" si="19"/>
        <v>5.3118501772285956E-2</v>
      </c>
      <c r="AE156" s="855">
        <f t="shared" ca="1" si="19"/>
        <v>4.9101574408532002E-2</v>
      </c>
      <c r="AF156" s="855">
        <f t="shared" ca="1" si="19"/>
        <v>4.5000926498925564E-2</v>
      </c>
    </row>
    <row r="157" spans="1:32" x14ac:dyDescent="0.25">
      <c r="A157" s="1041"/>
      <c r="B157" s="1041" t="s">
        <v>27</v>
      </c>
      <c r="C157" s="1059"/>
      <c r="D157" s="1059"/>
      <c r="E157" s="1059"/>
      <c r="F157" s="1059"/>
      <c r="G157" s="1045"/>
      <c r="H157" s="855">
        <f ca="1">IFERROR(H120/SUM(H$118:H$121),)</f>
        <v>0.29862269806831404</v>
      </c>
      <c r="I157" s="855">
        <f t="shared" ref="I157:AF157" ca="1" si="20">IFERROR(I120/SUM(I$118:I$121),)</f>
        <v>0.3151754261358915</v>
      </c>
      <c r="J157" s="855">
        <f t="shared" ca="1" si="20"/>
        <v>0.38235370893078069</v>
      </c>
      <c r="K157" s="855">
        <f t="shared" ca="1" si="20"/>
        <v>0.40545901318683042</v>
      </c>
      <c r="L157" s="855">
        <f t="shared" ca="1" si="20"/>
        <v>0.45930542774951982</v>
      </c>
      <c r="M157" s="855">
        <f t="shared" ca="1" si="20"/>
        <v>0.53144208718149222</v>
      </c>
      <c r="N157" s="855">
        <f t="shared" ca="1" si="20"/>
        <v>0.51976076946704575</v>
      </c>
      <c r="O157" s="855">
        <f t="shared" ca="1" si="20"/>
        <v>0.49883112118012468</v>
      </c>
      <c r="P157" s="855">
        <f t="shared" ca="1" si="20"/>
        <v>0.46923869021443093</v>
      </c>
      <c r="Q157" s="1137">
        <f t="shared" ca="1" si="20"/>
        <v>0.43603635703321775</v>
      </c>
      <c r="R157" s="855">
        <f t="shared" ca="1" si="20"/>
        <v>0.40139394313893845</v>
      </c>
      <c r="S157" s="855">
        <f t="shared" ca="1" si="20"/>
        <v>0.36573919517793613</v>
      </c>
      <c r="T157" s="855">
        <f t="shared" ca="1" si="20"/>
        <v>0.33131136416307966</v>
      </c>
      <c r="U157" s="855">
        <f t="shared" ca="1" si="20"/>
        <v>0.29957308079188</v>
      </c>
      <c r="V157" s="855">
        <f t="shared" ca="1" si="20"/>
        <v>0.27118402374254102</v>
      </c>
      <c r="W157" s="855">
        <f t="shared" ca="1" si="20"/>
        <v>0.24684937264918289</v>
      </c>
      <c r="X157" s="855">
        <f t="shared" ca="1" si="20"/>
        <v>0.2264400309483669</v>
      </c>
      <c r="Y157" s="855">
        <f t="shared" ca="1" si="20"/>
        <v>0.20960541354553258</v>
      </c>
      <c r="Z157" s="855">
        <f t="shared" ca="1" si="20"/>
        <v>0.1958846297327709</v>
      </c>
      <c r="AA157" s="855">
        <f t="shared" ca="1" si="20"/>
        <v>0.18482806218549877</v>
      </c>
      <c r="AB157" s="855">
        <f t="shared" ca="1" si="20"/>
        <v>0.17587495962844163</v>
      </c>
      <c r="AC157" s="855">
        <f t="shared" ca="1" si="20"/>
        <v>0.16861981949974084</v>
      </c>
      <c r="AD157" s="855">
        <f t="shared" ca="1" si="20"/>
        <v>0.16268841906798492</v>
      </c>
      <c r="AE157" s="855">
        <f t="shared" ca="1" si="20"/>
        <v>0.15774811041186679</v>
      </c>
      <c r="AF157" s="855">
        <f t="shared" ca="1" si="20"/>
        <v>0.15332767840154701</v>
      </c>
    </row>
    <row r="158" spans="1:32" x14ac:dyDescent="0.25">
      <c r="A158" s="1041"/>
      <c r="B158" s="1041" t="s">
        <v>29</v>
      </c>
      <c r="C158" s="1059"/>
      <c r="D158" s="1059"/>
      <c r="E158" s="1059"/>
      <c r="F158" s="1059"/>
      <c r="G158" s="1045"/>
      <c r="H158" s="855">
        <f ca="1">IFERROR(H121/SUM(H$118:H$121),)</f>
        <v>2.8830153785138232E-3</v>
      </c>
      <c r="I158" s="855">
        <f t="shared" ref="I158:AF158" ca="1" si="21">IFERROR(I121/SUM(I$118:I$121),)</f>
        <v>7.5862797241469347E-3</v>
      </c>
      <c r="J158" s="855">
        <f t="shared" ca="1" si="21"/>
        <v>1.2811782194460681E-2</v>
      </c>
      <c r="K158" s="855">
        <f t="shared" ca="1" si="21"/>
        <v>2.2335181482401163E-2</v>
      </c>
      <c r="L158" s="855">
        <f t="shared" ca="1" si="21"/>
        <v>3.778313962191461E-2</v>
      </c>
      <c r="M158" s="855">
        <f t="shared" ca="1" si="21"/>
        <v>6.3446668851726867E-2</v>
      </c>
      <c r="N158" s="855">
        <f t="shared" ca="1" si="21"/>
        <v>0.10024855584889021</v>
      </c>
      <c r="O158" s="855">
        <f t="shared" ca="1" si="21"/>
        <v>0.14826021460250091</v>
      </c>
      <c r="P158" s="855">
        <f t="shared" ca="1" si="21"/>
        <v>0.20551982776595584</v>
      </c>
      <c r="Q158" s="1137">
        <f t="shared" ca="1" si="21"/>
        <v>0.26975528461012122</v>
      </c>
      <c r="R158" s="855">
        <f t="shared" ca="1" si="21"/>
        <v>0.33728950951050329</v>
      </c>
      <c r="S158" s="855">
        <f t="shared" ca="1" si="21"/>
        <v>0.4046602273706002</v>
      </c>
      <c r="T158" s="855">
        <f t="shared" ca="1" si="21"/>
        <v>0.46869532180936718</v>
      </c>
      <c r="U158" s="855">
        <f t="shared" ca="1" si="21"/>
        <v>0.5273380357972467</v>
      </c>
      <c r="V158" s="855">
        <f t="shared" ca="1" si="21"/>
        <v>0.57860194179470603</v>
      </c>
      <c r="W158" s="855">
        <f t="shared" ca="1" si="21"/>
        <v>0.62264371867294033</v>
      </c>
      <c r="X158" s="855">
        <f t="shared" ca="1" si="21"/>
        <v>0.65968993775661888</v>
      </c>
      <c r="Y158" s="855">
        <f t="shared" ca="1" si="21"/>
        <v>0.69047099889791141</v>
      </c>
      <c r="Z158" s="855">
        <f t="shared" ca="1" si="21"/>
        <v>0.71557242589941972</v>
      </c>
      <c r="AA158" s="855">
        <f t="shared" ca="1" si="21"/>
        <v>0.73578323392747635</v>
      </c>
      <c r="AB158" s="855">
        <f t="shared" ca="1" si="21"/>
        <v>0.75259375472529766</v>
      </c>
      <c r="AC158" s="855">
        <f t="shared" ca="1" si="21"/>
        <v>0.76631686434728752</v>
      </c>
      <c r="AD158" s="855">
        <f t="shared" ca="1" si="21"/>
        <v>0.77775690211879833</v>
      </c>
      <c r="AE158" s="855">
        <f t="shared" ca="1" si="21"/>
        <v>0.7875344249092231</v>
      </c>
      <c r="AF158" s="855">
        <f t="shared" ca="1" si="21"/>
        <v>0.79683478270544117</v>
      </c>
    </row>
    <row r="159" spans="1:32" x14ac:dyDescent="0.25">
      <c r="A159" s="1041"/>
      <c r="B159" s="1041"/>
      <c r="C159" s="1059"/>
      <c r="D159" s="1059"/>
      <c r="E159" s="1059"/>
      <c r="F159" s="1059"/>
      <c r="G159" s="1045"/>
      <c r="H159" s="1059"/>
      <c r="I159" s="1059"/>
      <c r="J159" s="1059"/>
      <c r="K159" s="1059"/>
      <c r="L159" s="1059"/>
      <c r="M159" s="1059"/>
      <c r="N159" s="1059"/>
      <c r="O159" s="1059"/>
      <c r="P159" s="1059"/>
      <c r="Q159" s="741"/>
      <c r="R159" s="1059"/>
      <c r="S159" s="1059"/>
      <c r="T159" s="1059"/>
      <c r="U159" s="1059"/>
      <c r="V159" s="1059"/>
      <c r="W159" s="1059"/>
      <c r="X159" s="1059"/>
      <c r="Y159" s="1059"/>
      <c r="Z159" s="1059"/>
      <c r="AA159" s="1059"/>
      <c r="AB159" s="1059"/>
      <c r="AC159" s="1059"/>
      <c r="AD159" s="1059"/>
      <c r="AE159" s="1059"/>
      <c r="AF159" s="1059"/>
    </row>
    <row r="160" spans="1:32" x14ac:dyDescent="0.25">
      <c r="A160" s="843" t="s">
        <v>32</v>
      </c>
      <c r="B160" s="843"/>
      <c r="C160" s="843"/>
      <c r="D160" s="843"/>
      <c r="E160" s="843"/>
      <c r="F160" s="843"/>
      <c r="G160" s="865"/>
      <c r="H160" s="843"/>
      <c r="I160" s="843"/>
      <c r="J160" s="843"/>
      <c r="K160" s="843"/>
      <c r="L160" s="843"/>
      <c r="M160" s="843"/>
      <c r="N160" s="843"/>
      <c r="O160" s="843"/>
      <c r="P160" s="843"/>
      <c r="Q160" s="1136"/>
      <c r="R160" s="843"/>
      <c r="S160" s="843"/>
      <c r="T160" s="843"/>
      <c r="U160" s="843"/>
      <c r="V160" s="843"/>
      <c r="W160" s="843"/>
      <c r="X160" s="843"/>
      <c r="Y160" s="843"/>
      <c r="Z160" s="843"/>
      <c r="AA160" s="843"/>
      <c r="AB160" s="843"/>
      <c r="AC160" s="843"/>
      <c r="AD160" s="843"/>
      <c r="AE160" s="843"/>
      <c r="AF160" s="843"/>
    </row>
    <row r="161" spans="1:32" x14ac:dyDescent="0.25">
      <c r="A161" s="1041"/>
      <c r="B161" s="1041" t="s">
        <v>33</v>
      </c>
      <c r="C161" s="1059"/>
      <c r="D161" s="1059"/>
      <c r="E161" s="1059"/>
      <c r="F161" s="1059"/>
      <c r="G161" s="1045"/>
      <c r="H161" s="855">
        <f>IFERROR(H124/SUM(H$124:H$127),)</f>
        <v>0.30379448388862335</v>
      </c>
      <c r="I161" s="855">
        <f t="shared" ref="I161:AF164" si="22">IFERROR(I124/SUM(I$124:I$127),)</f>
        <v>0.32355621755593605</v>
      </c>
      <c r="J161" s="855">
        <f t="shared" si="22"/>
        <v>0.33661420946594534</v>
      </c>
      <c r="K161" s="855">
        <f t="shared" si="22"/>
        <v>0.3398019543567864</v>
      </c>
      <c r="L161" s="855">
        <f t="shared" si="22"/>
        <v>0.31589156980639843</v>
      </c>
      <c r="M161" s="855">
        <f t="shared" si="22"/>
        <v>0.28393400966398419</v>
      </c>
      <c r="N161" s="855">
        <f t="shared" si="22"/>
        <v>0.25271599873575157</v>
      </c>
      <c r="O161" s="855">
        <f t="shared" si="22"/>
        <v>0.22210790838422984</v>
      </c>
      <c r="P161" s="855">
        <f t="shared" si="22"/>
        <v>0.19377090624837889</v>
      </c>
      <c r="Q161" s="1137">
        <f t="shared" si="22"/>
        <v>0.16626530056713951</v>
      </c>
      <c r="R161" s="855">
        <f t="shared" si="22"/>
        <v>0.14040411511592121</v>
      </c>
      <c r="S161" s="855">
        <f t="shared" si="22"/>
        <v>0.11764790197623674</v>
      </c>
      <c r="T161" s="855">
        <f t="shared" si="22"/>
        <v>9.80064709570799E-2</v>
      </c>
      <c r="U161" s="855">
        <f t="shared" si="22"/>
        <v>8.1382961605279913E-2</v>
      </c>
      <c r="V161" s="855">
        <f t="shared" si="22"/>
        <v>6.8078357349253923E-2</v>
      </c>
      <c r="W161" s="855">
        <f t="shared" si="22"/>
        <v>5.7265063704131855E-2</v>
      </c>
      <c r="X161" s="855">
        <f t="shared" si="22"/>
        <v>4.8613522260914907E-2</v>
      </c>
      <c r="Y161" s="855">
        <f t="shared" si="22"/>
        <v>4.1687903162437756E-2</v>
      </c>
      <c r="Z161" s="855">
        <f t="shared" si="22"/>
        <v>3.6264159995944664E-2</v>
      </c>
      <c r="AA161" s="855">
        <f t="shared" si="22"/>
        <v>3.2049645201867046E-2</v>
      </c>
      <c r="AB161" s="855">
        <f t="shared" si="22"/>
        <v>2.850893789986016E-2</v>
      </c>
      <c r="AC161" s="855">
        <f t="shared" si="22"/>
        <v>2.559987809177134E-2</v>
      </c>
      <c r="AD161" s="855">
        <f t="shared" si="22"/>
        <v>2.3129884805666308E-2</v>
      </c>
      <c r="AE161" s="855">
        <f t="shared" si="22"/>
        <v>2.0944874019520263E-2</v>
      </c>
      <c r="AF161" s="855">
        <f t="shared" si="22"/>
        <v>1.8701675827038276E-2</v>
      </c>
    </row>
    <row r="162" spans="1:32" x14ac:dyDescent="0.25">
      <c r="A162" s="1043"/>
      <c r="B162" s="1043" t="s">
        <v>34</v>
      </c>
      <c r="C162" s="1059"/>
      <c r="D162" s="1059"/>
      <c r="E162" s="1059"/>
      <c r="F162" s="1059"/>
      <c r="G162" s="1045"/>
      <c r="H162" s="855">
        <f>IFERROR(H125/SUM(H$124:H$127),)</f>
        <v>0.60263776527080071</v>
      </c>
      <c r="I162" s="855">
        <f t="shared" ref="I162:W162" si="23">IFERROR(I125/SUM(I$124:I$127),)</f>
        <v>0.56825923110278032</v>
      </c>
      <c r="J162" s="855">
        <f t="shared" si="23"/>
        <v>0.52484530003034024</v>
      </c>
      <c r="K162" s="855">
        <f t="shared" si="23"/>
        <v>0.47573342752264547</v>
      </c>
      <c r="L162" s="855">
        <f t="shared" si="23"/>
        <v>0.45349535838168292</v>
      </c>
      <c r="M162" s="855">
        <f t="shared" si="23"/>
        <v>0.42805659535336826</v>
      </c>
      <c r="N162" s="855">
        <f t="shared" si="23"/>
        <v>0.39769204622045407</v>
      </c>
      <c r="O162" s="855">
        <f t="shared" si="23"/>
        <v>0.36445660750390346</v>
      </c>
      <c r="P162" s="855">
        <f t="shared" si="23"/>
        <v>0.3300853940581695</v>
      </c>
      <c r="Q162" s="1137">
        <f t="shared" si="23"/>
        <v>0.2961895162651943</v>
      </c>
      <c r="R162" s="855">
        <f t="shared" si="23"/>
        <v>0.26375345581785792</v>
      </c>
      <c r="S162" s="855">
        <f t="shared" si="23"/>
        <v>0.23370579076870884</v>
      </c>
      <c r="T162" s="855">
        <f t="shared" si="23"/>
        <v>0.2066489906746021</v>
      </c>
      <c r="U162" s="855">
        <f t="shared" si="23"/>
        <v>0.18296659718211075</v>
      </c>
      <c r="V162" s="855">
        <f t="shared" si="23"/>
        <v>0.16314893193171681</v>
      </c>
      <c r="W162" s="855">
        <f t="shared" si="23"/>
        <v>0.14672549858003936</v>
      </c>
      <c r="X162" s="855">
        <f t="shared" si="22"/>
        <v>0.13337421684854747</v>
      </c>
      <c r="Y162" s="855">
        <f t="shared" si="22"/>
        <v>0.12260160104384343</v>
      </c>
      <c r="Z162" s="855">
        <f t="shared" si="22"/>
        <v>0.11413512713333449</v>
      </c>
      <c r="AA162" s="855">
        <f t="shared" si="22"/>
        <v>0.10760013730038991</v>
      </c>
      <c r="AB162" s="855">
        <f t="shared" si="22"/>
        <v>0.1022280458826012</v>
      </c>
      <c r="AC162" s="855">
        <f t="shared" si="22"/>
        <v>9.7787904697416259E-2</v>
      </c>
      <c r="AD162" s="855">
        <f t="shared" si="22"/>
        <v>9.4023930919073032E-2</v>
      </c>
      <c r="AE162" s="855">
        <f t="shared" si="22"/>
        <v>9.0673713737268929E-2</v>
      </c>
      <c r="AF162" s="855">
        <f t="shared" si="22"/>
        <v>8.7002163124627913E-2</v>
      </c>
    </row>
    <row r="163" spans="1:32" x14ac:dyDescent="0.25">
      <c r="A163" s="1041"/>
      <c r="B163" s="1043" t="s">
        <v>35</v>
      </c>
      <c r="C163" s="1059"/>
      <c r="D163" s="1059"/>
      <c r="E163" s="1059"/>
      <c r="F163" s="1059"/>
      <c r="G163" s="1045"/>
      <c r="H163" s="855">
        <f>IFERROR(H126/SUM(H$124:H$127),)</f>
        <v>8.7380480123331841E-2</v>
      </c>
      <c r="I163" s="855">
        <f t="shared" si="22"/>
        <v>8.8559937395450941E-2</v>
      </c>
      <c r="J163" s="855">
        <f t="shared" si="22"/>
        <v>9.1683387228409977E-2</v>
      </c>
      <c r="K163" s="855">
        <f t="shared" si="22"/>
        <v>9.5903517588500381E-2</v>
      </c>
      <c r="L163" s="855">
        <f t="shared" si="22"/>
        <v>9.2438239907933178E-2</v>
      </c>
      <c r="M163" s="855">
        <f t="shared" si="22"/>
        <v>8.9851697313345066E-2</v>
      </c>
      <c r="N163" s="855">
        <f t="shared" si="22"/>
        <v>8.5412679092521857E-2</v>
      </c>
      <c r="O163" s="855">
        <f t="shared" si="22"/>
        <v>7.9925676026869091E-2</v>
      </c>
      <c r="P163" s="855">
        <f t="shared" si="22"/>
        <v>7.3579699596878281E-2</v>
      </c>
      <c r="Q163" s="1137">
        <f t="shared" si="22"/>
        <v>6.7438959765154835E-2</v>
      </c>
      <c r="R163" s="855">
        <f t="shared" si="22"/>
        <v>6.1679227478879356E-2</v>
      </c>
      <c r="S163" s="855">
        <f t="shared" si="22"/>
        <v>5.6180453929969579E-2</v>
      </c>
      <c r="T163" s="855">
        <f t="shared" si="22"/>
        <v>5.1142118518141502E-2</v>
      </c>
      <c r="U163" s="855">
        <f t="shared" si="22"/>
        <v>4.6710377319150127E-2</v>
      </c>
      <c r="V163" s="855">
        <f t="shared" si="22"/>
        <v>4.2892334780906829E-2</v>
      </c>
      <c r="W163" s="855">
        <f t="shared" si="22"/>
        <v>3.9764929162396843E-2</v>
      </c>
      <c r="X163" s="855">
        <f t="shared" si="22"/>
        <v>3.7267761783156717E-2</v>
      </c>
      <c r="Y163" s="855">
        <f t="shared" si="22"/>
        <v>3.5324152694419707E-2</v>
      </c>
      <c r="Z163" s="855">
        <f t="shared" si="22"/>
        <v>3.3851417606019056E-2</v>
      </c>
      <c r="AA163" s="855">
        <f t="shared" si="22"/>
        <v>3.2766969087378729E-2</v>
      </c>
      <c r="AB163" s="855">
        <f t="shared" si="22"/>
        <v>3.1988279257205557E-2</v>
      </c>
      <c r="AC163" s="855">
        <f t="shared" si="22"/>
        <v>3.1391095085982937E-2</v>
      </c>
      <c r="AD163" s="855">
        <f t="shared" si="22"/>
        <v>3.0944848865907558E-2</v>
      </c>
      <c r="AE163" s="855">
        <f t="shared" si="22"/>
        <v>3.0609798501934446E-2</v>
      </c>
      <c r="AF163" s="855">
        <f t="shared" si="22"/>
        <v>3.0304551212699159E-2</v>
      </c>
    </row>
    <row r="164" spans="1:32" x14ac:dyDescent="0.25">
      <c r="A164" s="1041"/>
      <c r="B164" s="1043" t="s">
        <v>29</v>
      </c>
      <c r="C164" s="1059"/>
      <c r="D164" s="1059"/>
      <c r="E164" s="1059"/>
      <c r="F164" s="1059"/>
      <c r="G164" s="1045"/>
      <c r="H164" s="855">
        <f>IFERROR(H127/SUM(H$124:H$127),)</f>
        <v>6.187270717244008E-3</v>
      </c>
      <c r="I164" s="855">
        <f t="shared" si="22"/>
        <v>1.9624613945832772E-2</v>
      </c>
      <c r="J164" s="855">
        <f t="shared" si="22"/>
        <v>4.6857103275304381E-2</v>
      </c>
      <c r="K164" s="855">
        <f t="shared" si="22"/>
        <v>8.8561100532067963E-2</v>
      </c>
      <c r="L164" s="855">
        <f t="shared" si="22"/>
        <v>0.13817483190398544</v>
      </c>
      <c r="M164" s="855">
        <f t="shared" si="22"/>
        <v>0.19815769766930239</v>
      </c>
      <c r="N164" s="855">
        <f t="shared" si="22"/>
        <v>0.26417927595127261</v>
      </c>
      <c r="O164" s="855">
        <f t="shared" si="22"/>
        <v>0.33350980808499764</v>
      </c>
      <c r="P164" s="855">
        <f t="shared" si="22"/>
        <v>0.40256400009657328</v>
      </c>
      <c r="Q164" s="1137">
        <f t="shared" si="22"/>
        <v>0.4701062234025114</v>
      </c>
      <c r="R164" s="855">
        <f t="shared" si="22"/>
        <v>0.53416320158734154</v>
      </c>
      <c r="S164" s="855">
        <f t="shared" si="22"/>
        <v>0.59246585332508472</v>
      </c>
      <c r="T164" s="855">
        <f t="shared" si="22"/>
        <v>0.64420241985017634</v>
      </c>
      <c r="U164" s="855">
        <f t="shared" si="22"/>
        <v>0.68894006389345919</v>
      </c>
      <c r="V164" s="855">
        <f t="shared" si="22"/>
        <v>0.72588037593812249</v>
      </c>
      <c r="W164" s="855">
        <f t="shared" si="22"/>
        <v>0.75624450855343195</v>
      </c>
      <c r="X164" s="855">
        <f t="shared" si="22"/>
        <v>0.78074449910738086</v>
      </c>
      <c r="Y164" s="855">
        <f t="shared" si="22"/>
        <v>0.80038634309929912</v>
      </c>
      <c r="Z164" s="855">
        <f t="shared" si="22"/>
        <v>0.81574929526470186</v>
      </c>
      <c r="AA164" s="855">
        <f t="shared" si="22"/>
        <v>0.82758324841036435</v>
      </c>
      <c r="AB164" s="855">
        <f t="shared" si="22"/>
        <v>0.83727473696033305</v>
      </c>
      <c r="AC164" s="855">
        <f t="shared" si="22"/>
        <v>0.84522112212482947</v>
      </c>
      <c r="AD164" s="855">
        <f t="shared" si="22"/>
        <v>0.85190133540935309</v>
      </c>
      <c r="AE164" s="855">
        <f t="shared" si="22"/>
        <v>0.85777161374127642</v>
      </c>
      <c r="AF164" s="855">
        <f t="shared" si="22"/>
        <v>0.86399160983563461</v>
      </c>
    </row>
    <row r="165" spans="1:32" x14ac:dyDescent="0.25">
      <c r="A165" s="1041"/>
      <c r="B165" s="1041"/>
      <c r="C165" s="1059"/>
      <c r="D165" s="1059"/>
      <c r="E165" s="1059"/>
      <c r="F165" s="1059"/>
      <c r="G165" s="1045"/>
      <c r="H165" s="1059"/>
      <c r="I165" s="1059"/>
      <c r="J165" s="1059"/>
      <c r="K165" s="1059"/>
      <c r="L165" s="1059"/>
      <c r="M165" s="1059"/>
      <c r="N165" s="1059"/>
      <c r="O165" s="1059"/>
      <c r="P165" s="1059"/>
      <c r="Q165" s="741"/>
      <c r="R165" s="1059"/>
      <c r="S165" s="1059"/>
      <c r="T165" s="1059"/>
      <c r="U165" s="1059"/>
      <c r="V165" s="1059"/>
      <c r="W165" s="1059"/>
      <c r="X165" s="1059"/>
      <c r="Y165" s="1059"/>
      <c r="Z165" s="1059"/>
      <c r="AA165" s="1059"/>
      <c r="AB165" s="1059"/>
      <c r="AC165" s="1059"/>
      <c r="AD165" s="1059"/>
      <c r="AE165" s="1059"/>
      <c r="AF165" s="1059"/>
    </row>
    <row r="166" spans="1:32" x14ac:dyDescent="0.25">
      <c r="A166" s="843" t="s">
        <v>36</v>
      </c>
      <c r="B166" s="843"/>
      <c r="C166" s="843"/>
      <c r="D166" s="843"/>
      <c r="E166" s="843"/>
      <c r="F166" s="843"/>
      <c r="G166" s="865"/>
      <c r="H166" s="843"/>
      <c r="I166" s="843"/>
      <c r="J166" s="843"/>
      <c r="K166" s="843"/>
      <c r="L166" s="843"/>
      <c r="M166" s="843"/>
      <c r="N166" s="843"/>
      <c r="O166" s="843"/>
      <c r="P166" s="843"/>
      <c r="Q166" s="1136"/>
      <c r="R166" s="843"/>
      <c r="S166" s="843"/>
      <c r="T166" s="843"/>
      <c r="U166" s="843"/>
      <c r="V166" s="843"/>
      <c r="W166" s="843"/>
      <c r="X166" s="843"/>
      <c r="Y166" s="843"/>
      <c r="Z166" s="843"/>
      <c r="AA166" s="843"/>
      <c r="AB166" s="843"/>
      <c r="AC166" s="843"/>
      <c r="AD166" s="843"/>
      <c r="AE166" s="843"/>
      <c r="AF166" s="843"/>
    </row>
    <row r="167" spans="1:32" x14ac:dyDescent="0.25">
      <c r="A167" s="1041"/>
      <c r="B167" s="1041" t="s">
        <v>37</v>
      </c>
      <c r="C167" s="1059"/>
      <c r="D167" s="1059"/>
      <c r="E167" s="1059"/>
      <c r="F167" s="1059"/>
      <c r="G167" s="540"/>
      <c r="H167" s="855">
        <f>IFERROR(H130/SUM(H$130:H$133),)</f>
        <v>0.25169024542273827</v>
      </c>
      <c r="I167" s="855">
        <f t="shared" ref="I167:AF170" si="24">IFERROR(I130/SUM(I$130:I$133),)</f>
        <v>0.19319991143261928</v>
      </c>
      <c r="J167" s="855">
        <f t="shared" si="24"/>
        <v>0.14155201253746688</v>
      </c>
      <c r="K167" s="855">
        <f t="shared" si="24"/>
        <v>9.7170956057053948E-2</v>
      </c>
      <c r="L167" s="855">
        <f t="shared" si="24"/>
        <v>8.4652353798251562E-2</v>
      </c>
      <c r="M167" s="855">
        <f t="shared" si="24"/>
        <v>7.3819950031370402E-2</v>
      </c>
      <c r="N167" s="855">
        <f t="shared" si="24"/>
        <v>6.532381955418945E-2</v>
      </c>
      <c r="O167" s="855">
        <f t="shared" si="24"/>
        <v>5.930422299783996E-2</v>
      </c>
      <c r="P167" s="855">
        <f t="shared" si="24"/>
        <v>5.3909814038740775E-2</v>
      </c>
      <c r="Q167" s="1137">
        <f t="shared" si="24"/>
        <v>4.9100448736786283E-2</v>
      </c>
      <c r="R167" s="855">
        <f t="shared" si="24"/>
        <v>4.4886105884160324E-2</v>
      </c>
      <c r="S167" s="855">
        <f t="shared" si="24"/>
        <v>4.0999658980888615E-2</v>
      </c>
      <c r="T167" s="855">
        <f t="shared" si="24"/>
        <v>3.7517139914063698E-2</v>
      </c>
      <c r="U167" s="855">
        <f t="shared" si="24"/>
        <v>3.4387344345363544E-2</v>
      </c>
      <c r="V167" s="855">
        <f t="shared" si="24"/>
        <v>3.1521572146134852E-2</v>
      </c>
      <c r="W167" s="855">
        <f t="shared" si="24"/>
        <v>2.8957537647392364E-2</v>
      </c>
      <c r="X167" s="855">
        <f t="shared" si="24"/>
        <v>2.6661641588352832E-2</v>
      </c>
      <c r="Y167" s="855">
        <f t="shared" si="24"/>
        <v>2.4587020905917346E-2</v>
      </c>
      <c r="Z167" s="855">
        <f t="shared" si="24"/>
        <v>2.2666681857063595E-2</v>
      </c>
      <c r="AA167" s="855">
        <f t="shared" si="24"/>
        <v>2.087530851456762E-2</v>
      </c>
      <c r="AB167" s="855">
        <f t="shared" si="24"/>
        <v>1.9186653734208896E-2</v>
      </c>
      <c r="AC167" s="855">
        <f t="shared" si="24"/>
        <v>1.7699402873372582E-2</v>
      </c>
      <c r="AD167" s="855">
        <f t="shared" si="24"/>
        <v>1.6334657170944039E-2</v>
      </c>
      <c r="AE167" s="855">
        <f t="shared" si="24"/>
        <v>1.5081139280730356E-2</v>
      </c>
      <c r="AF167" s="855">
        <f t="shared" si="24"/>
        <v>1.3932238902724379E-2</v>
      </c>
    </row>
    <row r="168" spans="1:32" x14ac:dyDescent="0.25">
      <c r="A168" s="1041"/>
      <c r="B168" s="1041" t="s">
        <v>39</v>
      </c>
      <c r="C168" s="1059"/>
      <c r="D168" s="1059"/>
      <c r="E168" s="1059"/>
      <c r="F168" s="1059"/>
      <c r="G168" s="540"/>
      <c r="H168" s="855">
        <f>IFERROR(H131/SUM(H$130:H$133),)</f>
        <v>0.56504879552644971</v>
      </c>
      <c r="I168" s="855">
        <f t="shared" ref="I168:W168" si="25">IFERROR(I131/SUM(I$130:I$133),)</f>
        <v>0.5664077928976371</v>
      </c>
      <c r="J168" s="855">
        <f t="shared" si="25"/>
        <v>0.55593401340707704</v>
      </c>
      <c r="K168" s="855">
        <f t="shared" si="25"/>
        <v>0.53353635086360085</v>
      </c>
      <c r="L168" s="855">
        <f t="shared" si="25"/>
        <v>0.49128881488246856</v>
      </c>
      <c r="M168" s="855">
        <f t="shared" si="25"/>
        <v>0.44706235937807592</v>
      </c>
      <c r="N168" s="855">
        <f t="shared" si="25"/>
        <v>0.40515632353013109</v>
      </c>
      <c r="O168" s="855">
        <f t="shared" si="25"/>
        <v>0.36590141811052052</v>
      </c>
      <c r="P168" s="855">
        <f t="shared" si="25"/>
        <v>0.33154231996554973</v>
      </c>
      <c r="Q168" s="1137">
        <f t="shared" si="25"/>
        <v>0.30128912462354851</v>
      </c>
      <c r="R168" s="855">
        <f t="shared" si="25"/>
        <v>0.27515128342566242</v>
      </c>
      <c r="S168" s="855">
        <f t="shared" si="25"/>
        <v>0.25268463691296933</v>
      </c>
      <c r="T168" s="855">
        <f t="shared" si="25"/>
        <v>0.23336081269459427</v>
      </c>
      <c r="U168" s="855">
        <f t="shared" si="25"/>
        <v>0.21664036223104385</v>
      </c>
      <c r="V168" s="855">
        <f t="shared" si="25"/>
        <v>0.2023609711987247</v>
      </c>
      <c r="W168" s="855">
        <f t="shared" si="25"/>
        <v>0.18996750459137146</v>
      </c>
      <c r="X168" s="855">
        <f t="shared" si="24"/>
        <v>0.17920780894858454</v>
      </c>
      <c r="Y168" s="855">
        <f t="shared" si="24"/>
        <v>0.16975965350985645</v>
      </c>
      <c r="Z168" s="855">
        <f t="shared" si="24"/>
        <v>0.16142592750086124</v>
      </c>
      <c r="AA168" s="855">
        <f t="shared" si="24"/>
        <v>0.15403638058001595</v>
      </c>
      <c r="AB168" s="855">
        <f t="shared" si="24"/>
        <v>0.14712526862381306</v>
      </c>
      <c r="AC168" s="855">
        <f t="shared" si="24"/>
        <v>0.14105895117623099</v>
      </c>
      <c r="AD168" s="855">
        <f t="shared" si="24"/>
        <v>0.13549577129261467</v>
      </c>
      <c r="AE168" s="855">
        <f t="shared" si="24"/>
        <v>0.13029508489476013</v>
      </c>
      <c r="AF168" s="855">
        <f t="shared" si="24"/>
        <v>0.12506668855251965</v>
      </c>
    </row>
    <row r="169" spans="1:32" x14ac:dyDescent="0.25">
      <c r="A169" s="1041"/>
      <c r="B169" s="1041" t="s">
        <v>40</v>
      </c>
      <c r="C169" s="1059"/>
      <c r="D169" s="1059"/>
      <c r="E169" s="1059"/>
      <c r="F169" s="1059"/>
      <c r="G169" s="540"/>
      <c r="H169" s="855">
        <f>IFERROR(H132/SUM(H$130:H$133),)</f>
        <v>0.18323816980319926</v>
      </c>
      <c r="I169" s="855">
        <f t="shared" si="24"/>
        <v>0.23985814817422421</v>
      </c>
      <c r="J169" s="855">
        <f t="shared" si="24"/>
        <v>0.29914771123749118</v>
      </c>
      <c r="K169" s="855">
        <f t="shared" si="24"/>
        <v>0.35803608911113433</v>
      </c>
      <c r="L169" s="855">
        <f t="shared" si="24"/>
        <v>0.39795578651374613</v>
      </c>
      <c r="M169" s="855">
        <f t="shared" si="24"/>
        <v>0.43032566367075709</v>
      </c>
      <c r="N169" s="855">
        <f t="shared" si="24"/>
        <v>0.45145269283505529</v>
      </c>
      <c r="O169" s="855">
        <f t="shared" si="24"/>
        <v>0.46234563983357707</v>
      </c>
      <c r="P169" s="855">
        <f t="shared" si="24"/>
        <v>0.46452198936238875</v>
      </c>
      <c r="Q169" s="1137">
        <f t="shared" si="24"/>
        <v>0.45976983065092564</v>
      </c>
      <c r="R169" s="855">
        <f t="shared" si="24"/>
        <v>0.45031829582308097</v>
      </c>
      <c r="S169" s="855">
        <f t="shared" si="24"/>
        <v>0.43718102137432446</v>
      </c>
      <c r="T169" s="855">
        <f t="shared" si="24"/>
        <v>0.42196557011375935</v>
      </c>
      <c r="U169" s="855">
        <f t="shared" si="24"/>
        <v>0.40591227625657578</v>
      </c>
      <c r="V169" s="855">
        <f t="shared" si="24"/>
        <v>0.3900307389208128</v>
      </c>
      <c r="W169" s="855">
        <f t="shared" si="24"/>
        <v>0.37497924453501791</v>
      </c>
      <c r="X169" s="855">
        <f t="shared" si="24"/>
        <v>0.36113164440318285</v>
      </c>
      <c r="Y169" s="855">
        <f t="shared" si="24"/>
        <v>0.34853607006654591</v>
      </c>
      <c r="Z169" s="855">
        <f t="shared" si="24"/>
        <v>0.33711313666383097</v>
      </c>
      <c r="AA169" s="855">
        <f t="shared" si="24"/>
        <v>0.32677394640557339</v>
      </c>
      <c r="AB169" s="855">
        <f t="shared" si="24"/>
        <v>0.31705254433379398</v>
      </c>
      <c r="AC169" s="855">
        <f t="shared" si="24"/>
        <v>0.30855168287615398</v>
      </c>
      <c r="AD169" s="855">
        <f t="shared" si="24"/>
        <v>0.30076006473060451</v>
      </c>
      <c r="AE169" s="855">
        <f t="shared" si="24"/>
        <v>0.293497485259132</v>
      </c>
      <c r="AF169" s="855">
        <f t="shared" si="24"/>
        <v>0.28602979767606029</v>
      </c>
    </row>
    <row r="170" spans="1:32" x14ac:dyDescent="0.25">
      <c r="A170" s="1041"/>
      <c r="B170" s="1041" t="s">
        <v>29</v>
      </c>
      <c r="C170" s="1059"/>
      <c r="D170" s="1059"/>
      <c r="E170" s="1059"/>
      <c r="F170" s="1059"/>
      <c r="G170" s="1045"/>
      <c r="H170" s="855">
        <f>IFERROR(H133/SUM(H$130:H$133),)</f>
        <v>2.2789247612872858E-5</v>
      </c>
      <c r="I170" s="855">
        <f t="shared" si="24"/>
        <v>5.3414749551949903E-4</v>
      </c>
      <c r="J170" s="855">
        <f t="shared" si="24"/>
        <v>3.3662628179649142E-3</v>
      </c>
      <c r="K170" s="855">
        <f t="shared" si="24"/>
        <v>1.1256603968210894E-2</v>
      </c>
      <c r="L170" s="855">
        <f t="shared" si="24"/>
        <v>2.6103044805533795E-2</v>
      </c>
      <c r="M170" s="855">
        <f t="shared" si="24"/>
        <v>4.8792026919796463E-2</v>
      </c>
      <c r="N170" s="855">
        <f t="shared" si="24"/>
        <v>7.8067164080624155E-2</v>
      </c>
      <c r="O170" s="855">
        <f t="shared" si="24"/>
        <v>0.11244871905806231</v>
      </c>
      <c r="P170" s="855">
        <f t="shared" si="24"/>
        <v>0.15002587663332081</v>
      </c>
      <c r="Q170" s="1142">
        <f t="shared" si="24"/>
        <v>0.18984059598873951</v>
      </c>
      <c r="R170" s="855">
        <f t="shared" si="24"/>
        <v>0.22964431486709622</v>
      </c>
      <c r="S170" s="855">
        <f t="shared" si="24"/>
        <v>0.26913468273181745</v>
      </c>
      <c r="T170" s="855">
        <f t="shared" si="24"/>
        <v>0.30715647727758266</v>
      </c>
      <c r="U170" s="855">
        <f t="shared" si="24"/>
        <v>0.34306001716701678</v>
      </c>
      <c r="V170" s="855">
        <f t="shared" si="24"/>
        <v>0.37608671773432767</v>
      </c>
      <c r="W170" s="855">
        <f t="shared" si="24"/>
        <v>0.40609571322621824</v>
      </c>
      <c r="X170" s="855">
        <f t="shared" si="24"/>
        <v>0.4329989050598797</v>
      </c>
      <c r="Y170" s="855">
        <f t="shared" si="24"/>
        <v>0.45711725551768034</v>
      </c>
      <c r="Z170" s="855">
        <f t="shared" si="24"/>
        <v>0.4787942539782441</v>
      </c>
      <c r="AA170" s="855">
        <f t="shared" si="24"/>
        <v>0.49831436449984307</v>
      </c>
      <c r="AB170" s="855">
        <f t="shared" si="24"/>
        <v>0.51663553330818413</v>
      </c>
      <c r="AC170" s="855">
        <f t="shared" si="24"/>
        <v>0.53268996307424243</v>
      </c>
      <c r="AD170" s="855">
        <f t="shared" si="24"/>
        <v>0.54740950680583678</v>
      </c>
      <c r="AE170" s="855">
        <f t="shared" si="24"/>
        <v>0.56112629056537744</v>
      </c>
      <c r="AF170" s="855">
        <f t="shared" si="24"/>
        <v>0.5749712748686957</v>
      </c>
    </row>
    <row r="171" spans="1:32" x14ac:dyDescent="0.25">
      <c r="A171" s="1041"/>
      <c r="B171" s="1041"/>
      <c r="C171" s="1059"/>
      <c r="D171" s="1059"/>
      <c r="E171" s="1059"/>
      <c r="F171" s="1059"/>
      <c r="G171" s="1045"/>
      <c r="H171" s="1059"/>
      <c r="I171" s="1059"/>
      <c r="J171" s="1059"/>
      <c r="K171" s="1059"/>
      <c r="L171" s="1059"/>
      <c r="M171" s="1059"/>
      <c r="N171" s="1059"/>
      <c r="O171" s="1059"/>
      <c r="P171" s="1059"/>
      <c r="Q171" s="741"/>
      <c r="R171" s="1059"/>
      <c r="S171" s="1059"/>
      <c r="T171" s="1059"/>
      <c r="U171" s="1059"/>
      <c r="V171" s="1059"/>
      <c r="W171" s="1059"/>
      <c r="X171" s="1059"/>
      <c r="Y171" s="1059"/>
      <c r="Z171" s="1059"/>
      <c r="AA171" s="1059"/>
      <c r="AB171" s="1059"/>
      <c r="AC171" s="1059"/>
      <c r="AD171" s="1059"/>
      <c r="AE171" s="1059"/>
      <c r="AF171" s="1059"/>
    </row>
    <row r="172" spans="1:32" x14ac:dyDescent="0.25">
      <c r="A172" s="843" t="s">
        <v>42</v>
      </c>
      <c r="B172" s="843"/>
      <c r="C172" s="843"/>
      <c r="D172" s="843"/>
      <c r="E172" s="843"/>
      <c r="F172" s="843"/>
      <c r="G172" s="865"/>
      <c r="H172" s="843"/>
      <c r="I172" s="843"/>
      <c r="J172" s="843"/>
      <c r="K172" s="843"/>
      <c r="L172" s="843"/>
      <c r="M172" s="843"/>
      <c r="N172" s="843"/>
      <c r="O172" s="843"/>
      <c r="P172" s="843"/>
      <c r="Q172" s="1136"/>
      <c r="R172" s="843"/>
      <c r="S172" s="843"/>
      <c r="T172" s="843"/>
      <c r="U172" s="843"/>
      <c r="V172" s="843"/>
      <c r="W172" s="843"/>
      <c r="X172" s="843"/>
      <c r="Y172" s="843"/>
      <c r="Z172" s="843"/>
      <c r="AA172" s="843"/>
      <c r="AB172" s="843"/>
      <c r="AC172" s="843"/>
      <c r="AD172" s="843"/>
      <c r="AE172" s="843"/>
      <c r="AF172" s="843"/>
    </row>
    <row r="173" spans="1:32" x14ac:dyDescent="0.25">
      <c r="A173" s="1041"/>
      <c r="B173" s="1043" t="s">
        <v>43</v>
      </c>
      <c r="C173" s="1059"/>
      <c r="D173" s="1059"/>
      <c r="E173" s="1059"/>
      <c r="F173" s="1059"/>
      <c r="G173" s="1045"/>
      <c r="H173" s="855">
        <f>IFERROR(H136/SUM(H$136:H$140),)</f>
        <v>3.7661863744576717E-2</v>
      </c>
      <c r="I173" s="855">
        <f t="shared" ref="I173:AF177" si="26">IFERROR(I136/SUM(I$136:I$140),)</f>
        <v>3.4768062953013053E-2</v>
      </c>
      <c r="J173" s="855">
        <f t="shared" si="26"/>
        <v>3.2189065478259012E-2</v>
      </c>
      <c r="K173" s="855">
        <f t="shared" si="26"/>
        <v>2.9997992236257542E-2</v>
      </c>
      <c r="L173" s="855">
        <f t="shared" si="26"/>
        <v>2.7913831627447677E-2</v>
      </c>
      <c r="M173" s="855">
        <f t="shared" si="26"/>
        <v>2.6031174960935117E-2</v>
      </c>
      <c r="N173" s="855">
        <f t="shared" si="26"/>
        <v>2.4362197084787603E-2</v>
      </c>
      <c r="O173" s="855">
        <f t="shared" si="26"/>
        <v>2.2835911023796281E-2</v>
      </c>
      <c r="P173" s="855">
        <f t="shared" si="26"/>
        <v>2.144133778788675E-2</v>
      </c>
      <c r="Q173" s="1137">
        <f t="shared" si="26"/>
        <v>2.017816133344864E-2</v>
      </c>
      <c r="R173" s="855">
        <f t="shared" si="26"/>
        <v>1.9060028998233447E-2</v>
      </c>
      <c r="S173" s="855">
        <f t="shared" si="26"/>
        <v>1.8016945199631238E-2</v>
      </c>
      <c r="T173" s="855">
        <f t="shared" si="26"/>
        <v>1.7077062778853302E-2</v>
      </c>
      <c r="U173" s="855">
        <f t="shared" si="26"/>
        <v>1.6229378307249256E-2</v>
      </c>
      <c r="V173" s="855">
        <f t="shared" si="26"/>
        <v>1.5448844180602571E-2</v>
      </c>
      <c r="W173" s="855">
        <f t="shared" si="26"/>
        <v>1.4750089493669268E-2</v>
      </c>
      <c r="X173" s="855">
        <f t="shared" si="26"/>
        <v>1.412459702224482E-2</v>
      </c>
      <c r="Y173" s="855">
        <f t="shared" si="26"/>
        <v>1.3558725592135164E-2</v>
      </c>
      <c r="Z173" s="855">
        <f t="shared" si="26"/>
        <v>1.3030976290365922E-2</v>
      </c>
      <c r="AA173" s="855">
        <f t="shared" si="26"/>
        <v>1.2533499876608279E-2</v>
      </c>
      <c r="AB173" s="855">
        <f t="shared" si="26"/>
        <v>1.2065726548539771E-2</v>
      </c>
      <c r="AC173" s="855">
        <f t="shared" si="26"/>
        <v>1.1648609717776851E-2</v>
      </c>
      <c r="AD173" s="855">
        <f t="shared" si="26"/>
        <v>1.1271000504425067E-2</v>
      </c>
      <c r="AE173" s="855">
        <f t="shared" si="26"/>
        <v>1.0921902372099199E-2</v>
      </c>
      <c r="AF173" s="855">
        <f t="shared" si="26"/>
        <v>1.0598294422363546E-2</v>
      </c>
    </row>
    <row r="174" spans="1:32" x14ac:dyDescent="0.25">
      <c r="A174" s="1041"/>
      <c r="B174" s="1043" t="s">
        <v>44</v>
      </c>
      <c r="C174" s="1059"/>
      <c r="D174" s="1059"/>
      <c r="E174" s="1059"/>
      <c r="F174" s="1059"/>
      <c r="G174" s="1045"/>
      <c r="H174" s="855">
        <f>IFERROR(H137/SUM(H$136:H$140),)</f>
        <v>0.66858908986710619</v>
      </c>
      <c r="I174" s="855">
        <f t="shared" ref="I174:W174" si="27">IFERROR(I137/SUM(I$136:I$140),)</f>
        <v>0.67093723000797834</v>
      </c>
      <c r="J174" s="855">
        <f t="shared" si="27"/>
        <v>0.66689967101600922</v>
      </c>
      <c r="K174" s="855">
        <f t="shared" si="27"/>
        <v>0.65692756410342035</v>
      </c>
      <c r="L174" s="855">
        <f t="shared" si="27"/>
        <v>0.64427243978017146</v>
      </c>
      <c r="M174" s="855">
        <f t="shared" si="27"/>
        <v>0.62952115230816019</v>
      </c>
      <c r="N174" s="855">
        <f t="shared" si="27"/>
        <v>0.61384059560303128</v>
      </c>
      <c r="O174" s="855">
        <f t="shared" si="27"/>
        <v>0.59841752379533775</v>
      </c>
      <c r="P174" s="855">
        <f t="shared" si="27"/>
        <v>0.58395612984139944</v>
      </c>
      <c r="Q174" s="1137">
        <f t="shared" si="27"/>
        <v>0.57098091015242658</v>
      </c>
      <c r="R174" s="855">
        <f t="shared" si="27"/>
        <v>0.55992731419435893</v>
      </c>
      <c r="S174" s="855">
        <f t="shared" si="27"/>
        <v>0.55093011085395449</v>
      </c>
      <c r="T174" s="855">
        <f t="shared" si="27"/>
        <v>0.54402588289599441</v>
      </c>
      <c r="U174" s="855">
        <f t="shared" si="27"/>
        <v>0.53905361518934003</v>
      </c>
      <c r="V174" s="855">
        <f t="shared" si="27"/>
        <v>0.53568316859421283</v>
      </c>
      <c r="W174" s="855">
        <f t="shared" si="27"/>
        <v>0.53372769948724619</v>
      </c>
      <c r="X174" s="855">
        <f t="shared" si="26"/>
        <v>0.53291120957306026</v>
      </c>
      <c r="Y174" s="855">
        <f t="shared" si="26"/>
        <v>0.53293784979186665</v>
      </c>
      <c r="Z174" s="855">
        <f t="shared" si="26"/>
        <v>0.53346238092522158</v>
      </c>
      <c r="AA174" s="855">
        <f t="shared" si="26"/>
        <v>0.53426950967297315</v>
      </c>
      <c r="AB174" s="855">
        <f t="shared" si="26"/>
        <v>0.53483782115189538</v>
      </c>
      <c r="AC174" s="855">
        <f t="shared" si="26"/>
        <v>0.53616503603510335</v>
      </c>
      <c r="AD174" s="855">
        <f t="shared" si="26"/>
        <v>0.53728189773687829</v>
      </c>
      <c r="AE174" s="855">
        <f t="shared" si="26"/>
        <v>0.53844703800516114</v>
      </c>
      <c r="AF174" s="855">
        <f t="shared" si="26"/>
        <v>0.53960771982697564</v>
      </c>
    </row>
    <row r="175" spans="1:32" x14ac:dyDescent="0.25">
      <c r="A175" s="1041"/>
      <c r="B175" s="1043" t="s">
        <v>45</v>
      </c>
      <c r="C175" s="1059"/>
      <c r="D175" s="1059"/>
      <c r="E175" s="1059"/>
      <c r="F175" s="1059"/>
      <c r="G175" s="1045"/>
      <c r="H175" s="855">
        <f>IFERROR(H138/SUM(H$136:H$140),)</f>
        <v>0.23603827942413128</v>
      </c>
      <c r="I175" s="855">
        <f t="shared" si="26"/>
        <v>0.21378628990280146</v>
      </c>
      <c r="J175" s="855">
        <f t="shared" si="26"/>
        <v>0.19442923226904726</v>
      </c>
      <c r="K175" s="855">
        <f t="shared" si="26"/>
        <v>0.17848232532481217</v>
      </c>
      <c r="L175" s="855">
        <f t="shared" si="26"/>
        <v>0.16354408019289896</v>
      </c>
      <c r="M175" s="855">
        <f t="shared" si="26"/>
        <v>0.1503072437538783</v>
      </c>
      <c r="N175" s="855">
        <f t="shared" si="26"/>
        <v>0.13875836116737636</v>
      </c>
      <c r="O175" s="855">
        <f t="shared" si="26"/>
        <v>0.12827246840737042</v>
      </c>
      <c r="P175" s="855">
        <f t="shared" si="26"/>
        <v>0.11871285449434199</v>
      </c>
      <c r="Q175" s="1137">
        <f t="shared" si="26"/>
        <v>0.11004410253020504</v>
      </c>
      <c r="R175" s="855">
        <f t="shared" si="26"/>
        <v>0.10233725253252625</v>
      </c>
      <c r="S175" s="855">
        <f t="shared" si="26"/>
        <v>9.5050702008064397E-2</v>
      </c>
      <c r="T175" s="855">
        <f t="shared" si="26"/>
        <v>8.8395614275415368E-2</v>
      </c>
      <c r="U175" s="855">
        <f t="shared" si="26"/>
        <v>8.2301221644911604E-2</v>
      </c>
      <c r="V175" s="855">
        <f t="shared" si="26"/>
        <v>7.6601463442823772E-2</v>
      </c>
      <c r="W175" s="855">
        <f t="shared" si="26"/>
        <v>7.1421593004657252E-2</v>
      </c>
      <c r="X175" s="855">
        <f t="shared" si="26"/>
        <v>6.6716808089463148E-2</v>
      </c>
      <c r="Y175" s="855">
        <f t="shared" si="26"/>
        <v>6.2405756051800147E-2</v>
      </c>
      <c r="Z175" s="855">
        <f t="shared" si="26"/>
        <v>5.8351308682121232E-2</v>
      </c>
      <c r="AA175" s="855">
        <f t="shared" si="26"/>
        <v>5.4509810902833258E-2</v>
      </c>
      <c r="AB175" s="855">
        <f t="shared" si="26"/>
        <v>5.0867446001460967E-2</v>
      </c>
      <c r="AC175" s="855">
        <f t="shared" si="26"/>
        <v>4.7603204075499825E-2</v>
      </c>
      <c r="AD175" s="855">
        <f t="shared" si="26"/>
        <v>4.4606253342730384E-2</v>
      </c>
      <c r="AE175" s="855">
        <f t="shared" si="26"/>
        <v>4.1824652147723948E-2</v>
      </c>
      <c r="AF175" s="855">
        <f t="shared" si="26"/>
        <v>3.9242143587986722E-2</v>
      </c>
    </row>
    <row r="176" spans="1:32" x14ac:dyDescent="0.25">
      <c r="A176" s="1041"/>
      <c r="B176" s="1043" t="s">
        <v>46</v>
      </c>
      <c r="C176" s="1059"/>
      <c r="D176" s="1059"/>
      <c r="E176" s="1059"/>
      <c r="F176" s="1059"/>
      <c r="G176" s="1045"/>
      <c r="H176" s="855">
        <f>IFERROR(H139/SUM(H$136:H$140),)</f>
        <v>0</v>
      </c>
      <c r="I176" s="855">
        <f t="shared" si="26"/>
        <v>0</v>
      </c>
      <c r="J176" s="855">
        <f t="shared" si="26"/>
        <v>0</v>
      </c>
      <c r="K176" s="855">
        <f t="shared" si="26"/>
        <v>0</v>
      </c>
      <c r="L176" s="855">
        <f t="shared" si="26"/>
        <v>0</v>
      </c>
      <c r="M176" s="855">
        <f t="shared" si="26"/>
        <v>0</v>
      </c>
      <c r="N176" s="855">
        <f t="shared" si="26"/>
        <v>0</v>
      </c>
      <c r="O176" s="855">
        <f t="shared" si="26"/>
        <v>0</v>
      </c>
      <c r="P176" s="855">
        <f t="shared" si="26"/>
        <v>0</v>
      </c>
      <c r="Q176" s="1137">
        <f t="shared" si="26"/>
        <v>0</v>
      </c>
      <c r="R176" s="855">
        <f t="shared" si="26"/>
        <v>0</v>
      </c>
      <c r="S176" s="855">
        <f t="shared" si="26"/>
        <v>0</v>
      </c>
      <c r="T176" s="855">
        <f t="shared" si="26"/>
        <v>0</v>
      </c>
      <c r="U176" s="855">
        <f t="shared" si="26"/>
        <v>0</v>
      </c>
      <c r="V176" s="855">
        <f t="shared" si="26"/>
        <v>0</v>
      </c>
      <c r="W176" s="855">
        <f t="shared" si="26"/>
        <v>0</v>
      </c>
      <c r="X176" s="855">
        <f t="shared" si="26"/>
        <v>0</v>
      </c>
      <c r="Y176" s="855">
        <f t="shared" si="26"/>
        <v>0</v>
      </c>
      <c r="Z176" s="855">
        <f t="shared" si="26"/>
        <v>0</v>
      </c>
      <c r="AA176" s="855">
        <f t="shared" si="26"/>
        <v>0</v>
      </c>
      <c r="AB176" s="855">
        <f t="shared" si="26"/>
        <v>0</v>
      </c>
      <c r="AC176" s="855">
        <f t="shared" si="26"/>
        <v>0</v>
      </c>
      <c r="AD176" s="855">
        <f t="shared" si="26"/>
        <v>0</v>
      </c>
      <c r="AE176" s="855">
        <f t="shared" si="26"/>
        <v>0</v>
      </c>
      <c r="AF176" s="855">
        <f t="shared" si="26"/>
        <v>0</v>
      </c>
    </row>
    <row r="177" spans="1:32" x14ac:dyDescent="0.25">
      <c r="A177" s="1041"/>
      <c r="B177" s="1041" t="s">
        <v>29</v>
      </c>
      <c r="C177" s="1059"/>
      <c r="D177" s="1059"/>
      <c r="E177" s="1059"/>
      <c r="F177" s="1059"/>
      <c r="G177" s="1045"/>
      <c r="H177" s="855">
        <f>IFERROR(H140/SUM(H$136:H$140),)</f>
        <v>5.7710766964185742E-2</v>
      </c>
      <c r="I177" s="855">
        <f t="shared" si="26"/>
        <v>8.0508417136207128E-2</v>
      </c>
      <c r="J177" s="855">
        <f t="shared" si="26"/>
        <v>0.10648203123668451</v>
      </c>
      <c r="K177" s="855">
        <f t="shared" si="26"/>
        <v>0.13459211833550996</v>
      </c>
      <c r="L177" s="855">
        <f t="shared" si="26"/>
        <v>0.16426964839948194</v>
      </c>
      <c r="M177" s="855">
        <f t="shared" si="26"/>
        <v>0.1941404289770263</v>
      </c>
      <c r="N177" s="855">
        <f t="shared" si="26"/>
        <v>0.22303884614480474</v>
      </c>
      <c r="O177" s="855">
        <f t="shared" si="26"/>
        <v>0.25047409677349564</v>
      </c>
      <c r="P177" s="855">
        <f t="shared" si="26"/>
        <v>0.27588967787637186</v>
      </c>
      <c r="Q177" s="1137">
        <f t="shared" si="26"/>
        <v>0.2987968259839196</v>
      </c>
      <c r="R177" s="855">
        <f t="shared" si="26"/>
        <v>0.31867540427488134</v>
      </c>
      <c r="S177" s="855">
        <f t="shared" si="26"/>
        <v>0.33600224193834993</v>
      </c>
      <c r="T177" s="855">
        <f t="shared" si="26"/>
        <v>0.35050144004973688</v>
      </c>
      <c r="U177" s="855">
        <f t="shared" si="26"/>
        <v>0.36241578485849912</v>
      </c>
      <c r="V177" s="855">
        <f t="shared" si="26"/>
        <v>0.37226652378236086</v>
      </c>
      <c r="W177" s="855">
        <f t="shared" si="26"/>
        <v>0.38010061801442718</v>
      </c>
      <c r="X177" s="855">
        <f t="shared" si="26"/>
        <v>0.38624738531523184</v>
      </c>
      <c r="Y177" s="855">
        <f t="shared" si="26"/>
        <v>0.39109766856419798</v>
      </c>
      <c r="Z177" s="855">
        <f t="shared" si="26"/>
        <v>0.3951553341022912</v>
      </c>
      <c r="AA177" s="855">
        <f t="shared" si="26"/>
        <v>0.39868717954758531</v>
      </c>
      <c r="AB177" s="855">
        <f t="shared" si="26"/>
        <v>0.40222900629810387</v>
      </c>
      <c r="AC177" s="855">
        <f t="shared" si="26"/>
        <v>0.40458315017162</v>
      </c>
      <c r="AD177" s="855">
        <f t="shared" si="26"/>
        <v>0.40684084841596635</v>
      </c>
      <c r="AE177" s="855">
        <f t="shared" si="26"/>
        <v>0.40880640747501573</v>
      </c>
      <c r="AF177" s="855">
        <f t="shared" si="26"/>
        <v>0.4105518421626741</v>
      </c>
    </row>
    <row r="178" spans="1:32" x14ac:dyDescent="0.25">
      <c r="A178" s="1041"/>
      <c r="B178" s="1041"/>
      <c r="C178" s="1059"/>
      <c r="D178" s="1059"/>
      <c r="E178" s="1059"/>
      <c r="F178" s="1059"/>
      <c r="G178" s="1045"/>
      <c r="H178" s="1059"/>
      <c r="I178" s="1059"/>
      <c r="J178" s="1059"/>
      <c r="K178" s="1059"/>
      <c r="L178" s="1059"/>
      <c r="M178" s="1059"/>
      <c r="N178" s="1059"/>
      <c r="O178" s="1059"/>
      <c r="P178" s="1059"/>
      <c r="Q178" s="741"/>
      <c r="R178" s="1059"/>
      <c r="S178" s="1059"/>
      <c r="T178" s="1059"/>
      <c r="U178" s="1059"/>
      <c r="V178" s="1059"/>
      <c r="W178" s="1059"/>
      <c r="X178" s="1059"/>
      <c r="Y178" s="1059"/>
      <c r="Z178" s="1059"/>
      <c r="AA178" s="1059"/>
      <c r="AB178" s="1059"/>
      <c r="AC178" s="1059"/>
      <c r="AD178" s="1059"/>
      <c r="AE178" s="1059"/>
      <c r="AF178" s="1059"/>
    </row>
    <row r="179" spans="1:32" x14ac:dyDescent="0.25">
      <c r="A179" s="843" t="s">
        <v>47</v>
      </c>
      <c r="B179" s="843"/>
      <c r="C179" s="843"/>
      <c r="D179" s="843"/>
      <c r="E179" s="843"/>
      <c r="F179" s="843"/>
      <c r="G179" s="865"/>
      <c r="H179" s="843"/>
      <c r="I179" s="843"/>
      <c r="J179" s="843"/>
      <c r="K179" s="843"/>
      <c r="L179" s="843"/>
      <c r="M179" s="843"/>
      <c r="N179" s="843"/>
      <c r="O179" s="843"/>
      <c r="P179" s="843"/>
      <c r="Q179" s="1136"/>
      <c r="R179" s="843"/>
      <c r="S179" s="843"/>
      <c r="T179" s="843"/>
      <c r="U179" s="843"/>
      <c r="V179" s="843"/>
      <c r="W179" s="843"/>
      <c r="X179" s="843"/>
      <c r="Y179" s="843"/>
      <c r="Z179" s="843"/>
      <c r="AA179" s="843"/>
      <c r="AB179" s="843"/>
      <c r="AC179" s="843"/>
      <c r="AD179" s="843"/>
      <c r="AE179" s="843"/>
      <c r="AF179" s="843"/>
    </row>
    <row r="180" spans="1:32" x14ac:dyDescent="0.25">
      <c r="A180" s="1041"/>
      <c r="B180" s="1041" t="s">
        <v>48</v>
      </c>
      <c r="C180" s="1059"/>
      <c r="D180" s="1059"/>
      <c r="E180" s="1059"/>
      <c r="F180" s="1059"/>
      <c r="G180" s="1045"/>
      <c r="H180" s="855">
        <f t="shared" ref="H180:H185" si="28">H143/SUM(H$143:H$148)</f>
        <v>0.79899011565841283</v>
      </c>
      <c r="I180" s="855">
        <f t="shared" ref="I180:AF185" si="29">I143/SUM(I$143:I$148)</f>
        <v>0.62636064668257707</v>
      </c>
      <c r="J180" s="855">
        <f t="shared" si="29"/>
        <v>0.42037728183085099</v>
      </c>
      <c r="K180" s="855">
        <f t="shared" si="29"/>
        <v>0.24340398232769125</v>
      </c>
      <c r="L180" s="855">
        <f t="shared" si="29"/>
        <v>0.12331090027064924</v>
      </c>
      <c r="M180" s="855">
        <f t="shared" si="29"/>
        <v>5.0797506519184112E-2</v>
      </c>
      <c r="N180" s="855">
        <f t="shared" si="29"/>
        <v>1.8046480247371474E-2</v>
      </c>
      <c r="O180" s="855">
        <f t="shared" si="29"/>
        <v>5.7559769423033104E-3</v>
      </c>
      <c r="P180" s="855">
        <f t="shared" si="29"/>
        <v>1.7722473145518269E-3</v>
      </c>
      <c r="Q180" s="1137">
        <f t="shared" si="29"/>
        <v>5.3218647335531439E-4</v>
      </c>
      <c r="R180" s="855">
        <f t="shared" si="29"/>
        <v>1.5908551132475269E-4</v>
      </c>
      <c r="S180" s="855">
        <f t="shared" si="29"/>
        <v>4.8194183386283081E-5</v>
      </c>
      <c r="T180" s="855">
        <f t="shared" si="29"/>
        <v>1.4810743678149021E-5</v>
      </c>
      <c r="U180" s="855">
        <f t="shared" si="29"/>
        <v>4.6031723665167326E-6</v>
      </c>
      <c r="V180" s="855">
        <f t="shared" si="29"/>
        <v>1.4621497405573663E-6</v>
      </c>
      <c r="W180" s="855">
        <f t="shared" si="29"/>
        <v>4.6874633811948375E-7</v>
      </c>
      <c r="X180" s="855">
        <f t="shared" si="29"/>
        <v>1.5167112996747076E-7</v>
      </c>
      <c r="Y180" s="855">
        <f t="shared" si="29"/>
        <v>4.9379935000159161E-8</v>
      </c>
      <c r="Z180" s="855">
        <f t="shared" si="29"/>
        <v>1.6235845936518594E-8</v>
      </c>
      <c r="AA180" s="855">
        <f t="shared" si="29"/>
        <v>5.3997065435758468E-9</v>
      </c>
      <c r="AB180" s="855">
        <f t="shared" si="29"/>
        <v>1.7909634571835922E-9</v>
      </c>
      <c r="AC180" s="855">
        <f t="shared" si="29"/>
        <v>6.0032728468126481E-10</v>
      </c>
      <c r="AD180" s="855">
        <f t="shared" si="29"/>
        <v>2.0220718962274672E-10</v>
      </c>
      <c r="AE180" s="855">
        <f t="shared" si="29"/>
        <v>6.8202718582144537E-11</v>
      </c>
      <c r="AF180" s="855">
        <f t="shared" si="29"/>
        <v>2.2551008653276092E-11</v>
      </c>
    </row>
    <row r="181" spans="1:32" x14ac:dyDescent="0.25">
      <c r="A181" s="1041"/>
      <c r="B181" s="1043" t="s">
        <v>50</v>
      </c>
      <c r="C181" s="1059"/>
      <c r="D181" s="1059"/>
      <c r="E181" s="1059"/>
      <c r="F181" s="1059"/>
      <c r="G181" s="1045"/>
      <c r="H181" s="855">
        <f t="shared" si="28"/>
        <v>4.7030656572407514E-2</v>
      </c>
      <c r="I181" s="855">
        <f t="shared" ref="I181:W181" si="30">I144/SUM(I$143:I$148)</f>
        <v>4.4367272948133044E-2</v>
      </c>
      <c r="J181" s="855">
        <f t="shared" si="30"/>
        <v>4.2270747913448051E-2</v>
      </c>
      <c r="K181" s="855">
        <f t="shared" si="30"/>
        <v>4.0714016498784283E-2</v>
      </c>
      <c r="L181" s="855">
        <f t="shared" si="30"/>
        <v>3.9229654621376273E-2</v>
      </c>
      <c r="M181" s="855">
        <f t="shared" si="30"/>
        <v>3.4058242075902287E-2</v>
      </c>
      <c r="N181" s="855">
        <f t="shared" si="30"/>
        <v>2.670236194951434E-2</v>
      </c>
      <c r="O181" s="855">
        <f t="shared" si="30"/>
        <v>1.9277810607407558E-2</v>
      </c>
      <c r="P181" s="855">
        <f t="shared" si="30"/>
        <v>1.3533082880100992E-2</v>
      </c>
      <c r="Q181" s="1137">
        <f t="shared" si="30"/>
        <v>9.3633504612939383E-3</v>
      </c>
      <c r="R181" s="855">
        <f t="shared" si="30"/>
        <v>6.4702589029574133E-3</v>
      </c>
      <c r="S181" s="855">
        <f t="shared" si="30"/>
        <v>4.5289861856372491E-3</v>
      </c>
      <c r="T181" s="855">
        <f t="shared" si="30"/>
        <v>3.2092505883115946E-3</v>
      </c>
      <c r="U181" s="855">
        <f t="shared" si="30"/>
        <v>2.295058783163887E-3</v>
      </c>
      <c r="V181" s="855">
        <f t="shared" si="30"/>
        <v>1.6677264103346667E-3</v>
      </c>
      <c r="W181" s="855">
        <f t="shared" si="30"/>
        <v>1.2190131843200387E-3</v>
      </c>
      <c r="X181" s="855">
        <f t="shared" si="29"/>
        <v>8.9574867129179844E-4</v>
      </c>
      <c r="Y181" s="855">
        <f t="shared" si="29"/>
        <v>6.5994192104736266E-4</v>
      </c>
      <c r="Z181" s="855">
        <f t="shared" si="29"/>
        <v>4.8868830085281741E-4</v>
      </c>
      <c r="AA181" s="855">
        <f t="shared" si="29"/>
        <v>3.6399763049702066E-4</v>
      </c>
      <c r="AB181" s="855">
        <f t="shared" si="29"/>
        <v>2.6987148229253867E-4</v>
      </c>
      <c r="AC181" s="855">
        <f t="shared" si="29"/>
        <v>2.0087454673360053E-4</v>
      </c>
      <c r="AD181" s="855">
        <f t="shared" si="29"/>
        <v>1.4954834138572017E-4</v>
      </c>
      <c r="AE181" s="855">
        <f t="shared" si="29"/>
        <v>1.1106490552452854E-4</v>
      </c>
      <c r="AF181" s="855">
        <f t="shared" si="29"/>
        <v>8.1016117334529582E-5</v>
      </c>
    </row>
    <row r="182" spans="1:32" x14ac:dyDescent="0.25">
      <c r="A182" s="1041"/>
      <c r="B182" s="1041" t="s">
        <v>51</v>
      </c>
      <c r="C182" s="1059"/>
      <c r="D182" s="1059"/>
      <c r="E182" s="1059"/>
      <c r="F182" s="1059"/>
      <c r="G182" s="1045"/>
      <c r="H182" s="855">
        <f t="shared" si="28"/>
        <v>2.7216839763169055E-2</v>
      </c>
      <c r="I182" s="855">
        <f t="shared" si="29"/>
        <v>2.7788813340755749E-2</v>
      </c>
      <c r="J182" s="855">
        <f t="shared" si="29"/>
        <v>3.0878376023598726E-2</v>
      </c>
      <c r="K182" s="855">
        <f t="shared" si="29"/>
        <v>3.7655138096372921E-2</v>
      </c>
      <c r="L182" s="855">
        <f t="shared" si="29"/>
        <v>4.8131898078314896E-2</v>
      </c>
      <c r="M182" s="855">
        <f t="shared" si="29"/>
        <v>5.8222385389644742E-2</v>
      </c>
      <c r="N182" s="855">
        <f t="shared" si="29"/>
        <v>6.3220216312320734E-2</v>
      </c>
      <c r="O182" s="855">
        <f t="shared" si="29"/>
        <v>6.2010822701401049E-2</v>
      </c>
      <c r="P182" s="855">
        <f t="shared" si="29"/>
        <v>5.7289635776299266E-2</v>
      </c>
      <c r="Q182" s="1137">
        <f t="shared" si="29"/>
        <v>5.1411257132092943E-2</v>
      </c>
      <c r="R182" s="855">
        <f t="shared" si="29"/>
        <v>4.5725632928899251E-2</v>
      </c>
      <c r="S182" s="855">
        <f t="shared" si="29"/>
        <v>4.0561993759762285E-2</v>
      </c>
      <c r="T182" s="855">
        <f t="shared" si="29"/>
        <v>3.6032326968623733E-2</v>
      </c>
      <c r="U182" s="855">
        <f t="shared" si="29"/>
        <v>3.2094433495598831E-2</v>
      </c>
      <c r="V182" s="855">
        <f t="shared" si="29"/>
        <v>2.870325501505408E-2</v>
      </c>
      <c r="W182" s="855">
        <f t="shared" si="29"/>
        <v>2.5759049995267458E-2</v>
      </c>
      <c r="X182" s="855">
        <f t="shared" si="29"/>
        <v>2.3194086820678441E-2</v>
      </c>
      <c r="Y182" s="855">
        <f t="shared" si="29"/>
        <v>2.0937677869475198E-2</v>
      </c>
      <c r="Z182" s="855">
        <f t="shared" si="29"/>
        <v>1.8919914894672998E-2</v>
      </c>
      <c r="AA182" s="855">
        <f t="shared" si="29"/>
        <v>1.7126500243333051E-2</v>
      </c>
      <c r="AB182" s="855">
        <f t="shared" si="29"/>
        <v>1.5495583431184082E-2</v>
      </c>
      <c r="AC182" s="855">
        <f t="shared" si="29"/>
        <v>1.4065075242252137E-2</v>
      </c>
      <c r="AD182" s="855">
        <f t="shared" si="29"/>
        <v>1.2759402995328063E-2</v>
      </c>
      <c r="AE182" s="855">
        <f t="shared" si="29"/>
        <v>1.1574743684904796E-2</v>
      </c>
      <c r="AF182" s="855">
        <f t="shared" si="29"/>
        <v>1.0472272919435805E-2</v>
      </c>
    </row>
    <row r="183" spans="1:32" x14ac:dyDescent="0.25">
      <c r="A183" s="1041"/>
      <c r="B183" s="1041" t="s">
        <v>52</v>
      </c>
      <c r="C183" s="1059"/>
      <c r="D183" s="1059"/>
      <c r="E183" s="1059"/>
      <c r="F183" s="1059"/>
      <c r="G183" s="1045"/>
      <c r="H183" s="855">
        <f t="shared" si="28"/>
        <v>2.8294413874410427E-2</v>
      </c>
      <c r="I183" s="855">
        <f t="shared" si="29"/>
        <v>2.7559589104234287E-2</v>
      </c>
      <c r="J183" s="855">
        <f t="shared" si="29"/>
        <v>2.8699759195714533E-2</v>
      </c>
      <c r="K183" s="855">
        <f t="shared" si="29"/>
        <v>3.2635703614395731E-2</v>
      </c>
      <c r="L183" s="855">
        <f t="shared" si="29"/>
        <v>3.9287106429611862E-2</v>
      </c>
      <c r="M183" s="855">
        <f t="shared" si="29"/>
        <v>4.5579873964478955E-2</v>
      </c>
      <c r="N183" s="855">
        <f t="shared" si="29"/>
        <v>4.8622978073471906E-2</v>
      </c>
      <c r="O183" s="855">
        <f t="shared" si="29"/>
        <v>4.7849951390887727E-2</v>
      </c>
      <c r="P183" s="855">
        <f t="shared" si="29"/>
        <v>4.5050086447985721E-2</v>
      </c>
      <c r="Q183" s="1137">
        <f t="shared" si="29"/>
        <v>4.1657038903282151E-2</v>
      </c>
      <c r="R183" s="855">
        <f t="shared" si="29"/>
        <v>3.8449631243608846E-2</v>
      </c>
      <c r="S183" s="855">
        <f t="shared" si="29"/>
        <v>3.5467239447215575E-2</v>
      </c>
      <c r="T183" s="855">
        <f t="shared" si="29"/>
        <v>3.2801384408838237E-2</v>
      </c>
      <c r="U183" s="855">
        <f t="shared" si="29"/>
        <v>3.0413023589345427E-2</v>
      </c>
      <c r="V183" s="855">
        <f t="shared" si="29"/>
        <v>2.8238245545297622E-2</v>
      </c>
      <c r="W183" s="855">
        <f t="shared" si="29"/>
        <v>2.628496083175073E-2</v>
      </c>
      <c r="X183" s="855">
        <f t="shared" si="29"/>
        <v>2.4526820952441322E-2</v>
      </c>
      <c r="Y183" s="855">
        <f t="shared" si="29"/>
        <v>2.2924141487007995E-2</v>
      </c>
      <c r="Z183" s="855">
        <f t="shared" si="29"/>
        <v>2.1425428582775134E-2</v>
      </c>
      <c r="AA183" s="855">
        <f t="shared" si="29"/>
        <v>2.0009025568465694E-2</v>
      </c>
      <c r="AB183" s="855">
        <f t="shared" si="29"/>
        <v>1.8644448352598209E-2</v>
      </c>
      <c r="AC183" s="855">
        <f t="shared" si="29"/>
        <v>1.7434575276819027E-2</v>
      </c>
      <c r="AD183" s="855">
        <f t="shared" si="29"/>
        <v>1.6309998300850094E-2</v>
      </c>
      <c r="AE183" s="855">
        <f t="shared" si="29"/>
        <v>1.5261481546872221E-2</v>
      </c>
      <c r="AF183" s="855">
        <f t="shared" si="29"/>
        <v>1.427398773174459E-2</v>
      </c>
    </row>
    <row r="184" spans="1:32" x14ac:dyDescent="0.25">
      <c r="A184" s="1041"/>
      <c r="B184" s="1043" t="s">
        <v>29</v>
      </c>
      <c r="C184" s="1059"/>
      <c r="D184" s="1059"/>
      <c r="E184" s="1059"/>
      <c r="F184" s="1059"/>
      <c r="G184" s="1045"/>
      <c r="H184" s="855">
        <f t="shared" si="28"/>
        <v>9.7558883258866691E-2</v>
      </c>
      <c r="I184" s="855">
        <f t="shared" si="29"/>
        <v>0.27300092744725646</v>
      </c>
      <c r="J184" s="855">
        <f t="shared" si="29"/>
        <v>0.47675397697811772</v>
      </c>
      <c r="K184" s="855">
        <f t="shared" si="29"/>
        <v>0.64435208120844956</v>
      </c>
      <c r="L184" s="855">
        <f t="shared" si="29"/>
        <v>0.74845281004609687</v>
      </c>
      <c r="M184" s="855">
        <f t="shared" si="29"/>
        <v>0.80940532972367696</v>
      </c>
      <c r="N184" s="855">
        <f t="shared" si="29"/>
        <v>0.84127284491674215</v>
      </c>
      <c r="O184" s="855">
        <f t="shared" si="29"/>
        <v>0.86296480239109408</v>
      </c>
      <c r="P184" s="855">
        <f t="shared" si="29"/>
        <v>0.88032272430136815</v>
      </c>
      <c r="Q184" s="1137">
        <f t="shared" si="29"/>
        <v>0.89515481030377708</v>
      </c>
      <c r="R184" s="855">
        <f t="shared" si="29"/>
        <v>0.90746530624879362</v>
      </c>
      <c r="S184" s="855">
        <f t="shared" si="29"/>
        <v>0.91780444538189299</v>
      </c>
      <c r="T184" s="855">
        <f t="shared" si="29"/>
        <v>0.92647977815737048</v>
      </c>
      <c r="U184" s="855">
        <f t="shared" si="29"/>
        <v>0.93384353623998251</v>
      </c>
      <c r="V184" s="855">
        <f t="shared" si="29"/>
        <v>0.94014039354341272</v>
      </c>
      <c r="W184" s="855">
        <f t="shared" si="29"/>
        <v>0.94557740214831054</v>
      </c>
      <c r="X184" s="855">
        <f t="shared" si="29"/>
        <v>0.95030464929777347</v>
      </c>
      <c r="Y184" s="855">
        <f t="shared" si="29"/>
        <v>0.95447269938560308</v>
      </c>
      <c r="Z184" s="855">
        <f t="shared" si="29"/>
        <v>0.95822740233823722</v>
      </c>
      <c r="AA184" s="855">
        <f t="shared" si="29"/>
        <v>0.96162379097931516</v>
      </c>
      <c r="AB184" s="855">
        <f t="shared" si="29"/>
        <v>0.96477209251432883</v>
      </c>
      <c r="AC184" s="855">
        <f t="shared" si="29"/>
        <v>0.9675346865798643</v>
      </c>
      <c r="AD184" s="855">
        <f t="shared" si="29"/>
        <v>0.9700657669555286</v>
      </c>
      <c r="AE184" s="855">
        <f t="shared" si="29"/>
        <v>0.97238376928088988</v>
      </c>
      <c r="AF184" s="855">
        <f t="shared" si="29"/>
        <v>0.97454822286596399</v>
      </c>
    </row>
    <row r="185" spans="1:32" x14ac:dyDescent="0.25">
      <c r="A185" s="1041"/>
      <c r="B185" s="1043" t="s">
        <v>53</v>
      </c>
      <c r="C185" s="1059"/>
      <c r="D185" s="1059"/>
      <c r="E185" s="1059"/>
      <c r="F185" s="1059"/>
      <c r="G185" s="1045"/>
      <c r="H185" s="855">
        <f t="shared" si="28"/>
        <v>9.0909087273342306E-4</v>
      </c>
      <c r="I185" s="855">
        <f t="shared" si="29"/>
        <v>9.2275047704337677E-4</v>
      </c>
      <c r="J185" s="855">
        <f t="shared" si="29"/>
        <v>1.0198580582699865E-3</v>
      </c>
      <c r="K185" s="855">
        <f t="shared" si="29"/>
        <v>1.2390782543061992E-3</v>
      </c>
      <c r="L185" s="855">
        <f t="shared" si="29"/>
        <v>1.5876305539509125E-3</v>
      </c>
      <c r="M185" s="855">
        <f t="shared" si="29"/>
        <v>1.9366623271129882E-3</v>
      </c>
      <c r="N185" s="855">
        <f t="shared" si="29"/>
        <v>2.1351185005794335E-3</v>
      </c>
      <c r="O185" s="855">
        <f t="shared" si="29"/>
        <v>2.1406359669063207E-3</v>
      </c>
      <c r="P185" s="855">
        <f t="shared" si="29"/>
        <v>2.0322232796939916E-3</v>
      </c>
      <c r="Q185" s="1137">
        <f t="shared" si="29"/>
        <v>1.8813567261984458E-3</v>
      </c>
      <c r="R185" s="855">
        <f t="shared" si="29"/>
        <v>1.7300851644160345E-3</v>
      </c>
      <c r="S185" s="855">
        <f t="shared" si="29"/>
        <v>1.5891410421055309E-3</v>
      </c>
      <c r="T185" s="855">
        <f t="shared" si="29"/>
        <v>1.4624491331776852E-3</v>
      </c>
      <c r="U185" s="855">
        <f t="shared" si="29"/>
        <v>1.349344719542835E-3</v>
      </c>
      <c r="V185" s="855">
        <f t="shared" si="29"/>
        <v>1.2489173361603836E-3</v>
      </c>
      <c r="W185" s="855">
        <f t="shared" si="29"/>
        <v>1.159105094013088E-3</v>
      </c>
      <c r="X185" s="855">
        <f t="shared" si="29"/>
        <v>1.0785425866848886E-3</v>
      </c>
      <c r="Y185" s="855">
        <f t="shared" si="29"/>
        <v>1.0054899569313109E-3</v>
      </c>
      <c r="Z185" s="855">
        <f t="shared" si="29"/>
        <v>9.3854964761589266E-4</v>
      </c>
      <c r="AA185" s="855">
        <f t="shared" si="29"/>
        <v>8.7668017868249536E-4</v>
      </c>
      <c r="AB185" s="855">
        <f t="shared" si="29"/>
        <v>8.180024286329621E-4</v>
      </c>
      <c r="AC185" s="855">
        <f t="shared" si="29"/>
        <v>7.6478775400361395E-4</v>
      </c>
      <c r="AD185" s="855">
        <f t="shared" si="29"/>
        <v>7.1528320470043004E-4</v>
      </c>
      <c r="AE185" s="855">
        <f t="shared" si="29"/>
        <v>6.6894051360590762E-4</v>
      </c>
      <c r="AF185" s="855">
        <f t="shared" si="29"/>
        <v>6.2450034297015125E-4</v>
      </c>
    </row>
    <row r="187" spans="1:32" ht="15.75" thickBot="1" x14ac:dyDescent="0.3">
      <c r="A187" t="s">
        <v>741</v>
      </c>
    </row>
    <row r="188" spans="1:32" x14ac:dyDescent="0.25">
      <c r="B188" s="1075" t="s">
        <v>400</v>
      </c>
      <c r="C188" s="1076"/>
      <c r="D188" s="1076"/>
      <c r="E188" s="1076"/>
      <c r="F188" s="1076"/>
      <c r="G188" s="1076"/>
      <c r="H188" s="1077">
        <f ca="1">SUM(H118:H119,H124:H125,H143:H144)/SUM(H118:H148)</f>
        <v>0.72236619045047024</v>
      </c>
      <c r="I188" s="1077">
        <f t="shared" ref="I188:AF188" ca="1" si="31">SUM(I118:I119,I124:I125,I143:I144)/SUM(I118:I148)</f>
        <v>0.66287091128497788</v>
      </c>
      <c r="J188" s="1077">
        <f t="shared" ca="1" si="31"/>
        <v>0.56668655387243227</v>
      </c>
      <c r="K188" s="1077">
        <f t="shared" ca="1" si="31"/>
        <v>0.51058302984944648</v>
      </c>
      <c r="L188" s="1077">
        <f t="shared" ca="1" si="31"/>
        <v>0.45158125719834674</v>
      </c>
      <c r="M188" s="1077">
        <f t="shared" ca="1" si="31"/>
        <v>0.37831422368211526</v>
      </c>
      <c r="N188" s="1077">
        <f t="shared" ca="1" si="31"/>
        <v>0.35228519541048736</v>
      </c>
      <c r="O188" s="1077">
        <f t="shared" ca="1" si="31"/>
        <v>0.32329873241670426</v>
      </c>
      <c r="P188" s="1077">
        <f t="shared" ca="1" si="31"/>
        <v>0.2931819803349312</v>
      </c>
      <c r="Q188" s="1077">
        <f t="shared" ca="1" si="31"/>
        <v>0.26092295187257358</v>
      </c>
      <c r="R188" s="1077">
        <f t="shared" ca="1" si="31"/>
        <v>0.22828284016541228</v>
      </c>
      <c r="S188" s="1077">
        <f t="shared" ca="1" si="31"/>
        <v>0.19764820238013467</v>
      </c>
      <c r="T188" s="1077">
        <f t="shared" ca="1" si="31"/>
        <v>0.16984466121211667</v>
      </c>
      <c r="U188" s="1077">
        <f t="shared" ca="1" si="31"/>
        <v>0.14526660372100139</v>
      </c>
      <c r="V188" s="1077">
        <f t="shared" ca="1" si="31"/>
        <v>0.12476158992391867</v>
      </c>
      <c r="W188" s="1077">
        <f t="shared" ca="1" si="31"/>
        <v>0.10754129439148358</v>
      </c>
      <c r="X188" s="1077">
        <f t="shared" ca="1" si="31"/>
        <v>9.3330797066252649E-2</v>
      </c>
      <c r="Y188" s="1077">
        <f t="shared" ca="1" si="31"/>
        <v>8.1673281343529927E-2</v>
      </c>
      <c r="Z188" s="1077">
        <f t="shared" ca="1" si="31"/>
        <v>7.2327976519361417E-2</v>
      </c>
      <c r="AA188" s="1077">
        <f t="shared" ca="1" si="31"/>
        <v>6.4928933174062314E-2</v>
      </c>
      <c r="AB188" s="1077">
        <f t="shared" ca="1" si="31"/>
        <v>5.8698617400605203E-2</v>
      </c>
      <c r="AC188" s="1077">
        <f t="shared" ca="1" si="31"/>
        <v>5.3627993956638823E-2</v>
      </c>
      <c r="AD188" s="1077">
        <f t="shared" ca="1" si="31"/>
        <v>4.9358061687561086E-2</v>
      </c>
      <c r="AE188" s="1077">
        <f t="shared" ca="1" si="31"/>
        <v>4.5640807062803497E-2</v>
      </c>
      <c r="AF188" s="1077">
        <f t="shared" ca="1" si="31"/>
        <v>4.1914400063327979E-2</v>
      </c>
    </row>
    <row r="189" spans="1:32" x14ac:dyDescent="0.25">
      <c r="B189" s="1078" t="s">
        <v>402</v>
      </c>
      <c r="C189" s="584"/>
      <c r="D189" s="584"/>
      <c r="E189" s="584"/>
      <c r="F189" s="584"/>
      <c r="G189" s="584"/>
      <c r="H189" s="1074">
        <f ca="1">SUM(H120,H126,H145)/SUM(H118:H148)</f>
        <v>0.1951233837723334</v>
      </c>
      <c r="I189" s="1074">
        <f t="shared" ref="I189:AF189" ca="1" si="32">SUM(I120,I126,I145)/SUM(I118:I148)</f>
        <v>0.20400670654803665</v>
      </c>
      <c r="J189" s="1074">
        <f t="shared" ca="1" si="32"/>
        <v>0.24919098072986917</v>
      </c>
      <c r="K189" s="1074">
        <f t="shared" ca="1" si="32"/>
        <v>0.27261857770686665</v>
      </c>
      <c r="L189" s="1074">
        <f t="shared" ca="1" si="32"/>
        <v>0.31703594356396964</v>
      </c>
      <c r="M189" s="1074">
        <f t="shared" ca="1" si="32"/>
        <v>0.36995582529727083</v>
      </c>
      <c r="N189" s="1074">
        <f t="shared" ca="1" si="32"/>
        <v>0.3602630327495952</v>
      </c>
      <c r="O189" s="1074">
        <f t="shared" ca="1" si="32"/>
        <v>0.34280373575739714</v>
      </c>
      <c r="P189" s="1074">
        <f t="shared" ca="1" si="32"/>
        <v>0.31941713522610315</v>
      </c>
      <c r="Q189" s="1074">
        <f t="shared" ca="1" si="32"/>
        <v>0.29424109095467466</v>
      </c>
      <c r="R189" s="1074">
        <f t="shared" ca="1" si="32"/>
        <v>0.26876790929705624</v>
      </c>
      <c r="S189" s="1074">
        <f t="shared" ca="1" si="32"/>
        <v>0.2430411351313754</v>
      </c>
      <c r="T189" s="1074">
        <f t="shared" ca="1" si="32"/>
        <v>0.21855358811173803</v>
      </c>
      <c r="U189" s="1074">
        <f t="shared" ca="1" si="32"/>
        <v>0.19620542655620568</v>
      </c>
      <c r="V189" s="1074">
        <f t="shared" ca="1" si="32"/>
        <v>0.17635781640258341</v>
      </c>
      <c r="W189" s="1074">
        <f t="shared" ca="1" si="32"/>
        <v>0.15946102512319293</v>
      </c>
      <c r="X189" s="1074">
        <f t="shared" ca="1" si="32"/>
        <v>0.14533118090475297</v>
      </c>
      <c r="Y189" s="1074">
        <f t="shared" ca="1" si="32"/>
        <v>0.13370731214159878</v>
      </c>
      <c r="Z189" s="1074">
        <f t="shared" ca="1" si="32"/>
        <v>0.12422992816444532</v>
      </c>
      <c r="AA189" s="1074">
        <f t="shared" ca="1" si="32"/>
        <v>0.11657719249759803</v>
      </c>
      <c r="AB189" s="1074">
        <f t="shared" ca="1" si="32"/>
        <v>0.11036109304010799</v>
      </c>
      <c r="AC189" s="1074">
        <f t="shared" ca="1" si="32"/>
        <v>0.10533857890833173</v>
      </c>
      <c r="AD189" s="1074">
        <f t="shared" ca="1" si="32"/>
        <v>0.10119475132637726</v>
      </c>
      <c r="AE189" s="1074">
        <f t="shared" ca="1" si="32"/>
        <v>9.7733406289898739E-2</v>
      </c>
      <c r="AF189" s="1074">
        <f t="shared" ca="1" si="32"/>
        <v>9.4648855465947188E-2</v>
      </c>
    </row>
    <row r="190" spans="1:32" x14ac:dyDescent="0.25">
      <c r="B190" s="1078" t="s">
        <v>716</v>
      </c>
      <c r="C190" s="584"/>
      <c r="D190" s="584"/>
      <c r="E190" s="584"/>
      <c r="F190" s="584"/>
      <c r="G190" s="584"/>
      <c r="H190" s="1074">
        <f ca="1">SUM(H130:H132,H146,H148)/SUM(H118:H148)</f>
        <v>5.4888406184390524E-2</v>
      </c>
      <c r="I190" s="1074">
        <f t="shared" ref="I190:AF190" ca="1" si="33">SUM(I130:I132,I146,I148)/SUM(I118:I148)</f>
        <v>5.734085246518042E-2</v>
      </c>
      <c r="J190" s="1074">
        <f t="shared" ca="1" si="33"/>
        <v>6.0943119161759124E-2</v>
      </c>
      <c r="K190" s="1074">
        <f t="shared" ca="1" si="33"/>
        <v>6.6458391186920679E-2</v>
      </c>
      <c r="L190" s="1074">
        <f t="shared" ca="1" si="33"/>
        <v>7.230972296659402E-2</v>
      </c>
      <c r="M190" s="1074">
        <f t="shared" ca="1" si="33"/>
        <v>7.7476207326448707E-2</v>
      </c>
      <c r="N190" s="1074">
        <f t="shared" ca="1" si="33"/>
        <v>8.2192194615690883E-2</v>
      </c>
      <c r="O190" s="1074">
        <f t="shared" ca="1" si="33"/>
        <v>8.4535953532403368E-2</v>
      </c>
      <c r="P190" s="1074">
        <f t="shared" ca="1" si="33"/>
        <v>8.5319712735356587E-2</v>
      </c>
      <c r="Q190" s="1074">
        <f t="shared" ca="1" si="33"/>
        <v>8.5061587435932201E-2</v>
      </c>
      <c r="R190" s="1074">
        <f t="shared" ca="1" si="33"/>
        <v>8.4289117499962471E-2</v>
      </c>
      <c r="S190" s="1074">
        <f t="shared" ca="1" si="33"/>
        <v>8.3274199761974366E-2</v>
      </c>
      <c r="T190" s="1074">
        <f t="shared" ca="1" si="33"/>
        <v>8.2069454391943492E-2</v>
      </c>
      <c r="U190" s="1074">
        <f t="shared" ca="1" si="33"/>
        <v>8.0727116950096184E-2</v>
      </c>
      <c r="V190" s="1074">
        <f t="shared" ca="1" si="33"/>
        <v>7.9330804590122733E-2</v>
      </c>
      <c r="W190" s="1074">
        <f t="shared" ca="1" si="33"/>
        <v>7.7849448544612676E-2</v>
      </c>
      <c r="X190" s="1074">
        <f t="shared" ca="1" si="33"/>
        <v>7.6358259348787566E-2</v>
      </c>
      <c r="Y190" s="1074">
        <f t="shared" ca="1" si="33"/>
        <v>7.4831771128593474E-2</v>
      </c>
      <c r="Z190" s="1074">
        <f t="shared" ca="1" si="33"/>
        <v>7.3275728412172267E-2</v>
      </c>
      <c r="AA190" s="1074">
        <f t="shared" ca="1" si="33"/>
        <v>7.1690469656427544E-2</v>
      </c>
      <c r="AB190" s="1074">
        <f t="shared" ca="1" si="33"/>
        <v>6.9983099068563162E-2</v>
      </c>
      <c r="AC190" s="1074">
        <f t="shared" ca="1" si="33"/>
        <v>6.8351783723239912E-2</v>
      </c>
      <c r="AD190" s="1074">
        <f t="shared" ca="1" si="33"/>
        <v>6.6748542828237764E-2</v>
      </c>
      <c r="AE190" s="1074">
        <f t="shared" ca="1" si="33"/>
        <v>6.5148115255595718E-2</v>
      </c>
      <c r="AF190" s="1074">
        <f t="shared" ca="1" si="33"/>
        <v>6.3399883629063514E-2</v>
      </c>
    </row>
    <row r="191" spans="1:32" x14ac:dyDescent="0.25">
      <c r="B191" s="1078" t="s">
        <v>42</v>
      </c>
      <c r="C191" s="584"/>
      <c r="D191" s="584"/>
      <c r="E191" s="584"/>
      <c r="F191" s="584"/>
      <c r="G191" s="584"/>
      <c r="H191" s="1074">
        <f ca="1">SUM(H136:H139)/SUM(H118:H148)</f>
        <v>5.9293879199795788E-4</v>
      </c>
      <c r="I191" s="1074">
        <f t="shared" ref="I191:AF191" ca="1" si="34">SUM(I136:I139)/SUM(I118:I148)</f>
        <v>6.1721916806389756E-4</v>
      </c>
      <c r="J191" s="1074">
        <f t="shared" ca="1" si="34"/>
        <v>6.5325894377833997E-4</v>
      </c>
      <c r="K191" s="1074">
        <f t="shared" ca="1" si="34"/>
        <v>7.0974759625233759E-4</v>
      </c>
      <c r="L191" s="1074">
        <f t="shared" ca="1" si="34"/>
        <v>7.7014918198153794E-4</v>
      </c>
      <c r="M191" s="1074">
        <f t="shared" ca="1" si="34"/>
        <v>8.2574150787074812E-4</v>
      </c>
      <c r="N191" s="1074">
        <f t="shared" ca="1" si="34"/>
        <v>8.801379933077141E-4</v>
      </c>
      <c r="O191" s="1074">
        <f t="shared" ca="1" si="34"/>
        <v>9.137439299762945E-4</v>
      </c>
      <c r="P191" s="1074">
        <f t="shared" ca="1" si="34"/>
        <v>9.3541979887391293E-4</v>
      </c>
      <c r="Q191" s="1074">
        <f t="shared" ca="1" si="34"/>
        <v>9.5161488758014907E-4</v>
      </c>
      <c r="R191" s="1074">
        <f t="shared" ca="1" si="34"/>
        <v>9.6724522332554777E-4</v>
      </c>
      <c r="S191" s="1074">
        <f t="shared" ca="1" si="34"/>
        <v>9.8518495863373972E-4</v>
      </c>
      <c r="T191" s="1074">
        <f t="shared" ca="1" si="34"/>
        <v>1.005568638715559E-3</v>
      </c>
      <c r="U191" s="1074">
        <f t="shared" ca="1" si="34"/>
        <v>1.0281023548912712E-3</v>
      </c>
      <c r="V191" s="1074">
        <f t="shared" ca="1" si="34"/>
        <v>1.0518956572152778E-3</v>
      </c>
      <c r="W191" s="1074">
        <f t="shared" ca="1" si="34"/>
        <v>1.0759235275572799E-3</v>
      </c>
      <c r="X191" s="1074">
        <f t="shared" ca="1" si="34"/>
        <v>1.1000015480385852E-3</v>
      </c>
      <c r="Y191" s="1074">
        <f t="shared" ca="1" si="34"/>
        <v>1.123071804902769E-3</v>
      </c>
      <c r="Z191" s="1074">
        <f t="shared" ca="1" si="34"/>
        <v>1.1442946052957286E-3</v>
      </c>
      <c r="AA191" s="1074">
        <f t="shared" ca="1" si="34"/>
        <v>1.1630838745344126E-3</v>
      </c>
      <c r="AB191" s="1074">
        <f t="shared" ca="1" si="34"/>
        <v>1.1776021084388497E-3</v>
      </c>
      <c r="AC191" s="1074">
        <f t="shared" ca="1" si="34"/>
        <v>1.1922012147092284E-3</v>
      </c>
      <c r="AD191" s="1074">
        <f t="shared" ca="1" si="34"/>
        <v>1.2040528784882545E-3</v>
      </c>
      <c r="AE191" s="1074">
        <f t="shared" ca="1" si="34"/>
        <v>1.2144265730239018E-3</v>
      </c>
      <c r="AF191" s="1074">
        <f t="shared" ca="1" si="34"/>
        <v>1.2235063263367069E-3</v>
      </c>
    </row>
    <row r="192" spans="1:32" ht="15.75" thickBot="1" x14ac:dyDescent="0.3">
      <c r="B192" s="1079" t="s">
        <v>29</v>
      </c>
      <c r="C192" s="1080"/>
      <c r="D192" s="1080"/>
      <c r="E192" s="1080"/>
      <c r="F192" s="1080"/>
      <c r="G192" s="1080"/>
      <c r="H192" s="1081">
        <f ca="1">SUM(H121,H127,H133,H140,H147)/SUM(H118:H148)</f>
        <v>2.7029080800808021E-2</v>
      </c>
      <c r="I192" s="1081">
        <f t="shared" ref="I192:AF192" ca="1" si="35">SUM(I121,I127,I133,I140,I147)/SUM(I118:I148)</f>
        <v>7.5164310533741063E-2</v>
      </c>
      <c r="J192" s="1081">
        <f t="shared" ca="1" si="35"/>
        <v>0.12252608729216109</v>
      </c>
      <c r="K192" s="1081">
        <f t="shared" ca="1" si="35"/>
        <v>0.14963025366051391</v>
      </c>
      <c r="L192" s="1081">
        <f t="shared" ca="1" si="35"/>
        <v>0.1583029270891079</v>
      </c>
      <c r="M192" s="1081">
        <f t="shared" ca="1" si="35"/>
        <v>0.17342800218629456</v>
      </c>
      <c r="N192" s="1081">
        <f t="shared" ca="1" si="35"/>
        <v>0.20437943923091884</v>
      </c>
      <c r="O192" s="1081">
        <f t="shared" ca="1" si="35"/>
        <v>0.24844783436351853</v>
      </c>
      <c r="P192" s="1081">
        <f t="shared" ca="1" si="35"/>
        <v>0.30114575190473492</v>
      </c>
      <c r="Q192" s="1081">
        <f t="shared" ca="1" si="35"/>
        <v>0.35882275484923976</v>
      </c>
      <c r="R192" s="1081">
        <f t="shared" ca="1" si="35"/>
        <v>0.4176928878142433</v>
      </c>
      <c r="S192" s="1081">
        <f t="shared" ca="1" si="35"/>
        <v>0.4750512777678817</v>
      </c>
      <c r="T192" s="1081">
        <f t="shared" ca="1" si="35"/>
        <v>0.52852672764548614</v>
      </c>
      <c r="U192" s="1081">
        <f t="shared" ca="1" si="35"/>
        <v>0.57677275041780585</v>
      </c>
      <c r="V192" s="1081">
        <f t="shared" ca="1" si="35"/>
        <v>0.61849789342615968</v>
      </c>
      <c r="W192" s="1081">
        <f t="shared" ca="1" si="35"/>
        <v>0.65407230841315334</v>
      </c>
      <c r="X192" s="1081">
        <f t="shared" ca="1" si="35"/>
        <v>0.68387976113216864</v>
      </c>
      <c r="Y192" s="1081">
        <f t="shared" ca="1" si="35"/>
        <v>0.7086645635813752</v>
      </c>
      <c r="Z192" s="1081">
        <f t="shared" ca="1" si="35"/>
        <v>0.72902207229872507</v>
      </c>
      <c r="AA192" s="1081">
        <f t="shared" ca="1" si="35"/>
        <v>0.74564032079737774</v>
      </c>
      <c r="AB192" s="1081">
        <f t="shared" ca="1" si="35"/>
        <v>0.75977958838228443</v>
      </c>
      <c r="AC192" s="1081">
        <f t="shared" ca="1" si="35"/>
        <v>0.77148944219708004</v>
      </c>
      <c r="AD192" s="1081">
        <f t="shared" ca="1" si="35"/>
        <v>0.78149459127933585</v>
      </c>
      <c r="AE192" s="1081">
        <f t="shared" ca="1" si="35"/>
        <v>0.79026324481867849</v>
      </c>
      <c r="AF192" s="1081">
        <f t="shared" ca="1" si="35"/>
        <v>0.79881335451532476</v>
      </c>
    </row>
    <row r="193" spans="8:32" x14ac:dyDescent="0.25">
      <c r="H193" s="1031">
        <f ca="1">SUM(H188:H192)</f>
        <v>1.0000000000000002</v>
      </c>
      <c r="I193" s="1031">
        <f t="shared" ref="I193:AF193" ca="1" si="36">SUM(I188:I192)</f>
        <v>0.99999999999999989</v>
      </c>
      <c r="J193" s="1031">
        <f t="shared" ca="1" si="36"/>
        <v>1</v>
      </c>
      <c r="K193" s="1031">
        <f t="shared" ca="1" si="36"/>
        <v>1</v>
      </c>
      <c r="L193" s="1031">
        <f t="shared" ca="1" si="36"/>
        <v>0.99999999999999978</v>
      </c>
      <c r="M193" s="1031">
        <f t="shared" ca="1" si="36"/>
        <v>1</v>
      </c>
      <c r="N193" s="1031">
        <f t="shared" ca="1" si="36"/>
        <v>1</v>
      </c>
      <c r="O193" s="1031">
        <f t="shared" ca="1" si="36"/>
        <v>0.99999999999999978</v>
      </c>
      <c r="P193" s="1031">
        <f t="shared" ca="1" si="36"/>
        <v>0.99999999999999978</v>
      </c>
      <c r="Q193" s="1031">
        <f t="shared" ca="1" si="36"/>
        <v>1.0000000000000002</v>
      </c>
      <c r="R193" s="1031">
        <f t="shared" ca="1" si="36"/>
        <v>0.99999999999999989</v>
      </c>
      <c r="S193" s="1031">
        <f t="shared" ca="1" si="36"/>
        <v>0.99999999999999989</v>
      </c>
      <c r="T193" s="1031">
        <f t="shared" ca="1" si="36"/>
        <v>0.99999999999999978</v>
      </c>
      <c r="U193" s="1031">
        <f t="shared" ca="1" si="36"/>
        <v>1.0000000000000004</v>
      </c>
      <c r="V193" s="1031">
        <f t="shared" ca="1" si="36"/>
        <v>0.99999999999999978</v>
      </c>
      <c r="W193" s="1031">
        <f t="shared" ca="1" si="36"/>
        <v>0.99999999999999978</v>
      </c>
      <c r="X193" s="1031">
        <f t="shared" ca="1" si="36"/>
        <v>1.0000000000000004</v>
      </c>
      <c r="Y193" s="1031">
        <f t="shared" ca="1" si="36"/>
        <v>1.0000000000000002</v>
      </c>
      <c r="Z193" s="1031">
        <f t="shared" ca="1" si="36"/>
        <v>0.99999999999999978</v>
      </c>
      <c r="AA193" s="1031">
        <f t="shared" ca="1" si="36"/>
        <v>1</v>
      </c>
      <c r="AB193" s="1031">
        <f t="shared" ca="1" si="36"/>
        <v>0.99999999999999967</v>
      </c>
      <c r="AC193" s="1031">
        <f t="shared" ca="1" si="36"/>
        <v>0.99999999999999978</v>
      </c>
      <c r="AD193" s="1031">
        <f t="shared" ca="1" si="36"/>
        <v>1.0000000000000002</v>
      </c>
      <c r="AE193" s="1031">
        <f t="shared" ca="1" si="36"/>
        <v>1.0000000000000004</v>
      </c>
      <c r="AF193" s="1031">
        <f t="shared" ca="1" si="36"/>
        <v>1.0000000000000002</v>
      </c>
    </row>
  </sheetData>
  <pageMargins left="0.7" right="0.7" top="0.75" bottom="0.75" header="0.3" footer="0.3"/>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theme="7"/>
  </sheetPr>
  <dimension ref="A2:AA13"/>
  <sheetViews>
    <sheetView workbookViewId="0"/>
  </sheetViews>
  <sheetFormatPr defaultRowHeight="15" x14ac:dyDescent="0.25"/>
  <cols>
    <col min="3" max="3" width="12.5703125" bestFit="1" customWidth="1"/>
  </cols>
  <sheetData>
    <row r="2" spans="1:27" x14ac:dyDescent="0.35">
      <c r="A2" s="204" t="s">
        <v>174</v>
      </c>
    </row>
    <row r="3" spans="1:27" x14ac:dyDescent="0.35">
      <c r="B3">
        <v>2010</v>
      </c>
      <c r="C3">
        <v>2011</v>
      </c>
      <c r="D3">
        <v>2012</v>
      </c>
      <c r="E3">
        <v>2013</v>
      </c>
      <c r="F3">
        <v>2014</v>
      </c>
      <c r="G3">
        <v>2015</v>
      </c>
      <c r="H3">
        <v>2016</v>
      </c>
      <c r="I3">
        <v>2017</v>
      </c>
      <c r="J3">
        <v>2018</v>
      </c>
      <c r="K3">
        <v>2019</v>
      </c>
      <c r="L3">
        <v>2020</v>
      </c>
      <c r="M3">
        <v>2021</v>
      </c>
      <c r="N3">
        <v>2022</v>
      </c>
      <c r="O3">
        <v>2023</v>
      </c>
      <c r="P3">
        <v>2024</v>
      </c>
      <c r="Q3">
        <v>2025</v>
      </c>
      <c r="R3">
        <v>2026</v>
      </c>
      <c r="S3">
        <v>2027</v>
      </c>
      <c r="T3">
        <v>2028</v>
      </c>
      <c r="U3">
        <v>2029</v>
      </c>
      <c r="V3">
        <v>2030</v>
      </c>
      <c r="W3">
        <v>2031</v>
      </c>
      <c r="X3">
        <v>2032</v>
      </c>
      <c r="Y3">
        <v>2033</v>
      </c>
      <c r="Z3">
        <v>2034</v>
      </c>
      <c r="AA3">
        <v>2035</v>
      </c>
    </row>
    <row r="4" spans="1:27" x14ac:dyDescent="0.35">
      <c r="B4">
        <f ca="1">SUM(System_Total_Mkt!G9:G39)</f>
        <v>167.60276427164692</v>
      </c>
      <c r="C4">
        <f ca="1">SUM(System_Total_Mkt!H9:H39)</f>
        <v>171.73850099739823</v>
      </c>
      <c r="D4">
        <f ca="1">SUM(System_Total_Mkt!I9:I39)</f>
        <v>176.04395311309963</v>
      </c>
      <c r="E4">
        <f ca="1">SUM(System_Total_Mkt!J9:J39)</f>
        <v>180.4725167004803</v>
      </c>
      <c r="F4">
        <f ca="1">SUM(System_Total_Mkt!K9:K39)</f>
        <v>184.85940119468484</v>
      </c>
      <c r="G4">
        <f ca="1">SUM(System_Total_Mkt!L9:L39)</f>
        <v>189.29582432442513</v>
      </c>
      <c r="H4">
        <f ca="1">SUM(System_Total_Mkt!M9:M39)</f>
        <v>193.75507164508929</v>
      </c>
      <c r="I4">
        <f ca="1">SUM(System_Total_Mkt!N9:N39)</f>
        <v>198.17413454563143</v>
      </c>
      <c r="J4">
        <f ca="1">SUM(System_Total_Mkt!O9:O39)</f>
        <v>202.5633603996983</v>
      </c>
      <c r="K4">
        <f ca="1">SUM(System_Total_Mkt!P9:P39)</f>
        <v>206.93446386046119</v>
      </c>
      <c r="L4">
        <f ca="1">SUM(System_Total_Mkt!Q9:Q39)</f>
        <v>211.28231247999318</v>
      </c>
      <c r="M4">
        <f ca="1">SUM(System_Total_Mkt!R9:R39)</f>
        <v>215.55816479767677</v>
      </c>
      <c r="N4">
        <f ca="1">SUM(System_Total_Mkt!S9:S39)</f>
        <v>219.82528680786962</v>
      </c>
      <c r="O4">
        <f ca="1">SUM(System_Total_Mkt!T9:T39)</f>
        <v>224.07481286308888</v>
      </c>
      <c r="P4">
        <f ca="1">SUM(System_Total_Mkt!U9:U39)</f>
        <v>228.29814264788351</v>
      </c>
      <c r="Q4">
        <f ca="1">SUM(System_Total_Mkt!V9:V39)</f>
        <v>232.52304356647304</v>
      </c>
      <c r="R4">
        <f ca="1">SUM(System_Total_Mkt!W9:W39)</f>
        <v>236.71787469892109</v>
      </c>
      <c r="S4">
        <f ca="1">SUM(System_Total_Mkt!X9:X39)</f>
        <v>240.84752668581226</v>
      </c>
      <c r="T4">
        <f ca="1">SUM(System_Total_Mkt!Y9:Y39)</f>
        <v>244.89159590428491</v>
      </c>
      <c r="U4">
        <f ca="1">SUM(System_Total_Mkt!Z9:Z39)</f>
        <v>248.87659761552962</v>
      </c>
      <c r="V4">
        <f ca="1">SUM(System_Total_Mkt!AA9:AA39)</f>
        <v>252.84188710215804</v>
      </c>
      <c r="W4">
        <f ca="1">SUM(System_Total_Mkt!AB9:AB39)</f>
        <v>256.84689802107255</v>
      </c>
      <c r="X4">
        <f ca="1">SUM(System_Total_Mkt!AC9:AC39)</f>
        <v>260.79996151510801</v>
      </c>
      <c r="Y4">
        <f ca="1">SUM(System_Total_Mkt!AD9:AD39)</f>
        <v>264.69670296398505</v>
      </c>
      <c r="Z4">
        <f ca="1">SUM(System_Total_Mkt!AE9:AE39)</f>
        <v>268.53275436044044</v>
      </c>
      <c r="AA4">
        <f ca="1">SUM(System_Total_Mkt!AF9:AF39)</f>
        <v>272.30376226418917</v>
      </c>
    </row>
    <row r="5" spans="1:27" x14ac:dyDescent="0.35">
      <c r="A5" s="204" t="s">
        <v>246</v>
      </c>
    </row>
    <row r="6" spans="1:27" x14ac:dyDescent="0.35">
      <c r="B6">
        <v>2010</v>
      </c>
      <c r="C6">
        <v>2011</v>
      </c>
      <c r="D6">
        <v>2012</v>
      </c>
      <c r="E6">
        <v>2013</v>
      </c>
      <c r="F6">
        <v>2014</v>
      </c>
      <c r="G6">
        <v>2015</v>
      </c>
      <c r="H6">
        <v>2016</v>
      </c>
      <c r="I6">
        <v>2017</v>
      </c>
      <c r="J6">
        <v>2018</v>
      </c>
      <c r="K6">
        <v>2019</v>
      </c>
      <c r="L6">
        <v>2020</v>
      </c>
      <c r="M6">
        <v>2021</v>
      </c>
      <c r="N6">
        <v>2022</v>
      </c>
      <c r="O6">
        <v>2023</v>
      </c>
      <c r="P6">
        <v>2024</v>
      </c>
      <c r="Q6">
        <v>2025</v>
      </c>
      <c r="R6">
        <v>2026</v>
      </c>
      <c r="S6">
        <v>2027</v>
      </c>
      <c r="T6">
        <v>2028</v>
      </c>
      <c r="U6">
        <v>2029</v>
      </c>
      <c r="V6">
        <v>2030</v>
      </c>
      <c r="W6">
        <v>2031</v>
      </c>
      <c r="X6">
        <v>2032</v>
      </c>
      <c r="Y6">
        <v>2033</v>
      </c>
      <c r="Z6">
        <v>2034</v>
      </c>
      <c r="AA6">
        <v>2035</v>
      </c>
    </row>
    <row r="7" spans="1:27" x14ac:dyDescent="0.35">
      <c r="C7">
        <f ca="1">SUM(System_Mkt_Repl!G335:G365,System_Mkt_NC!H335:H365)</f>
        <v>57.937012997524292</v>
      </c>
      <c r="D7">
        <f ca="1">SUM(System_Mkt_Repl!H335:H365,System_Mkt_NC!I335:I365)</f>
        <v>56.347433156836935</v>
      </c>
      <c r="E7">
        <f ca="1">SUM(System_Mkt_Repl!I335:I365,System_Mkt_NC!J335:J365)</f>
        <v>53.426726849632935</v>
      </c>
      <c r="F7">
        <f ca="1">SUM(System_Mkt_Repl!J335:J365,System_Mkt_NC!K335:K365)</f>
        <v>48.68573325084482</v>
      </c>
      <c r="G7">
        <f ca="1">SUM(System_Mkt_Repl!K335:K365,System_Mkt_NC!L335:L365)</f>
        <v>44.29013421378756</v>
      </c>
      <c r="H7">
        <f ca="1">SUM(System_Mkt_Repl!L335:L365,System_Mkt_NC!M335:M365)</f>
        <v>40.590995724858011</v>
      </c>
      <c r="I7">
        <f ca="1">SUM(System_Mkt_Repl!M335:M365,System_Mkt_NC!N335:N365)</f>
        <v>37.244358686742423</v>
      </c>
      <c r="J7">
        <f ca="1">SUM(System_Mkt_Repl!N335:N365,System_Mkt_NC!O335:O365)</f>
        <v>35.077569907435851</v>
      </c>
      <c r="K7">
        <f ca="1">SUM(System_Mkt_Repl!O335:O365,System_Mkt_NC!P335:P365)</f>
        <v>33.531782196262057</v>
      </c>
      <c r="L7">
        <f ca="1">SUM(System_Mkt_Repl!P335:P365,System_Mkt_NC!Q335:Q365)</f>
        <v>32.293480639786779</v>
      </c>
      <c r="M7">
        <f ca="1">SUM(System_Mkt_Repl!Q335:Q365,System_Mkt_NC!R335:R365)</f>
        <v>31.142340402270602</v>
      </c>
      <c r="N7">
        <f ca="1">SUM(System_Mkt_Repl!R335:R365,System_Mkt_NC!S335:S365)</f>
        <v>30.112932649590054</v>
      </c>
      <c r="O7">
        <f ca="1">SUM(System_Mkt_Repl!S335:S365,System_Mkt_NC!T335:T365)</f>
        <v>29.138235666977632</v>
      </c>
      <c r="P7">
        <f ca="1">SUM(System_Mkt_Repl!T335:T365,System_Mkt_NC!U335:U365)</f>
        <v>28.228069955183635</v>
      </c>
      <c r="Q7">
        <f ca="1">SUM(System_Mkt_Repl!U335:U365,System_Mkt_NC!V335:V365)</f>
        <v>27.431842727813546</v>
      </c>
      <c r="R7">
        <f ca="1">SUM(System_Mkt_Repl!V335:V365,System_Mkt_NC!W335:W365)</f>
        <v>26.711421144987522</v>
      </c>
      <c r="S7">
        <f ca="1">SUM(System_Mkt_Repl!W335:W365,System_Mkt_NC!X335:X365)</f>
        <v>26.051325822546563</v>
      </c>
      <c r="T7">
        <f ca="1">SUM(System_Mkt_Repl!X335:X365,System_Mkt_NC!Y335:Y365)</f>
        <v>25.471561150714169</v>
      </c>
      <c r="U7">
        <f ca="1">SUM(System_Mkt_Repl!Y335:Y365,System_Mkt_NC!Z335:Z365)</f>
        <v>25.010394547519127</v>
      </c>
      <c r="V7">
        <f ca="1">SUM(System_Mkt_Repl!Z335:Z365,System_Mkt_NC!AA335:AA365)</f>
        <v>24.67590925466515</v>
      </c>
      <c r="W7">
        <f ca="1">SUM(System_Mkt_Repl!AA335:AA365,System_Mkt_NC!AB335:AB365)</f>
        <v>24.482010467163256</v>
      </c>
      <c r="X7">
        <f ca="1">SUM(System_Mkt_Repl!AB335:AB365,System_Mkt_NC!AC335:AC365)</f>
        <v>24.275360796092738</v>
      </c>
      <c r="Y7">
        <f ca="1">SUM(System_Mkt_Repl!AC335:AC365,System_Mkt_NC!AD335:AD365)</f>
        <v>24.111514020398989</v>
      </c>
      <c r="Z7">
        <f ca="1">SUM(System_Mkt_Repl!AD335:AD365,System_Mkt_NC!AE335:AE365)</f>
        <v>23.986494631590286</v>
      </c>
      <c r="AA7">
        <f ca="1">SUM(System_Mkt_Repl!AE335:AE365,System_Mkt_NC!AF335:AF365)</f>
        <v>23.892948649055878</v>
      </c>
    </row>
    <row r="8" spans="1:27" x14ac:dyDescent="0.35">
      <c r="A8" s="204" t="s">
        <v>175</v>
      </c>
    </row>
    <row r="9" spans="1:27" x14ac:dyDescent="0.35">
      <c r="B9">
        <v>2010</v>
      </c>
      <c r="C9">
        <v>2011</v>
      </c>
      <c r="D9">
        <v>2012</v>
      </c>
      <c r="E9">
        <v>2013</v>
      </c>
      <c r="F9">
        <v>2014</v>
      </c>
      <c r="G9">
        <v>2015</v>
      </c>
      <c r="H9">
        <v>2016</v>
      </c>
      <c r="I9">
        <v>2017</v>
      </c>
      <c r="J9">
        <v>2018</v>
      </c>
      <c r="K9">
        <v>2019</v>
      </c>
      <c r="L9">
        <v>2020</v>
      </c>
      <c r="M9">
        <v>2021</v>
      </c>
      <c r="N9">
        <v>2022</v>
      </c>
      <c r="O9">
        <v>2023</v>
      </c>
      <c r="P9">
        <v>2024</v>
      </c>
      <c r="Q9">
        <v>2025</v>
      </c>
      <c r="R9">
        <v>2026</v>
      </c>
      <c r="S9">
        <v>2027</v>
      </c>
      <c r="T9">
        <v>2028</v>
      </c>
      <c r="U9">
        <v>2029</v>
      </c>
      <c r="V9">
        <v>2030</v>
      </c>
      <c r="W9">
        <v>2031</v>
      </c>
      <c r="X9">
        <v>2032</v>
      </c>
      <c r="Y9">
        <v>2033</v>
      </c>
      <c r="Z9">
        <v>2034</v>
      </c>
      <c r="AA9">
        <v>2035</v>
      </c>
    </row>
    <row r="10" spans="1:27" x14ac:dyDescent="0.35">
      <c r="C10">
        <f>SUM(Lamp_Mkt_Repl!H45:H75)</f>
        <v>0.88383322555717259</v>
      </c>
      <c r="D10">
        <f>SUM(Lamp_Mkt_Repl!I45:I75)</f>
        <v>0.80936901560724528</v>
      </c>
      <c r="E10">
        <f>SUM(Lamp_Mkt_Repl!J45:J75)</f>
        <v>0.7482367666374462</v>
      </c>
      <c r="F10">
        <f>SUM(Lamp_Mkt_Repl!K45:K75)</f>
        <v>0.69999268979861562</v>
      </c>
      <c r="G10">
        <f>SUM(Lamp_Mkt_Repl!L45:L75)</f>
        <v>0.74315710323382267</v>
      </c>
      <c r="H10">
        <f>SUM(Lamp_Mkt_Repl!M45:M75)</f>
        <v>0.78267721882118435</v>
      </c>
      <c r="I10">
        <f>SUM(Lamp_Mkt_Repl!N45:N75)</f>
        <v>0.81787480351433794</v>
      </c>
      <c r="J10">
        <f>SUM(Lamp_Mkt_Repl!O45:O75)</f>
        <v>0.84794827083482749</v>
      </c>
      <c r="K10">
        <f>SUM(Lamp_Mkt_Repl!P45:P75)</f>
        <v>0.87258722329134764</v>
      </c>
      <c r="L10">
        <f>SUM(Lamp_Mkt_Repl!Q45:Q75)</f>
        <v>0.89177153058392822</v>
      </c>
      <c r="M10">
        <f>SUM(Lamp_Mkt_Repl!R45:R75)</f>
        <v>0.90549825022673258</v>
      </c>
      <c r="N10">
        <f>SUM(Lamp_Mkt_Repl!S45:S75)</f>
        <v>0.91386555511173484</v>
      </c>
      <c r="O10">
        <f>SUM(Lamp_Mkt_Repl!T45:T75)</f>
        <v>0.91745735293639474</v>
      </c>
      <c r="P10">
        <f>SUM(Lamp_Mkt_Repl!U45:U75)</f>
        <v>0.91669670633336997</v>
      </c>
      <c r="Q10">
        <f>SUM(Lamp_Mkt_Repl!V45:V75)</f>
        <v>0.91208523522854368</v>
      </c>
      <c r="R10">
        <f>SUM(Lamp_Mkt_Repl!W45:W75)</f>
        <v>0.90432256908024933</v>
      </c>
      <c r="S10">
        <f>SUM(Lamp_Mkt_Repl!X45:X75)</f>
        <v>0.89390097760157772</v>
      </c>
      <c r="T10">
        <f>SUM(Lamp_Mkt_Repl!Y45:Y75)</f>
        <v>0.88129644648122851</v>
      </c>
      <c r="U10">
        <f>SUM(Lamp_Mkt_Repl!Z45:Z75)</f>
        <v>0.86696485587806249</v>
      </c>
      <c r="V10">
        <f>SUM(Lamp_Mkt_Repl!AA45:AA75)</f>
        <v>0.85141694750111552</v>
      </c>
      <c r="W10">
        <f>SUM(Lamp_Mkt_Repl!AB45:AB75)</f>
        <v>0.83508448869468799</v>
      </c>
      <c r="X10">
        <f>SUM(Lamp_Mkt_Repl!AC45:AC75)</f>
        <v>0.81838792145131289</v>
      </c>
      <c r="Y10">
        <f>SUM(Lamp_Mkt_Repl!AD45:AD75)</f>
        <v>0.80135038695313554</v>
      </c>
      <c r="Z10">
        <f>SUM(Lamp_Mkt_Repl!AE45:AE75)</f>
        <v>0.78418258381669292</v>
      </c>
      <c r="AA10">
        <f>SUM(Lamp_Mkt_Repl!AF45:AF75)</f>
        <v>0.7659915666854844</v>
      </c>
    </row>
    <row r="12" spans="1:27" x14ac:dyDescent="0.35">
      <c r="B12" s="539">
        <v>578.36161329950437</v>
      </c>
      <c r="C12" s="539">
        <v>576.61662734867082</v>
      </c>
      <c r="D12" s="539">
        <v>574.87164778811814</v>
      </c>
      <c r="E12" s="539">
        <v>572.35112861236905</v>
      </c>
      <c r="F12" s="539">
        <v>569.6367257162658</v>
      </c>
      <c r="G12" s="539">
        <v>566.92232308529844</v>
      </c>
      <c r="H12" s="539">
        <v>563.62626293296819</v>
      </c>
      <c r="I12" s="539">
        <v>561.10574636928379</v>
      </c>
      <c r="J12" s="539">
        <v>558.97300159131271</v>
      </c>
      <c r="K12" s="539">
        <v>556.84025682757226</v>
      </c>
      <c r="L12" s="539">
        <v>554.70751207491674</v>
      </c>
      <c r="M12" s="539">
        <v>551.99310968114185</v>
      </c>
      <c r="N12" s="539">
        <v>549.47259317726582</v>
      </c>
      <c r="O12" s="539">
        <v>546.75819079505982</v>
      </c>
      <c r="P12" s="539">
        <v>544.43156018307309</v>
      </c>
      <c r="Q12" s="539">
        <v>541.9110436905496</v>
      </c>
      <c r="R12" s="539">
        <v>539.19664131679485</v>
      </c>
      <c r="S12" s="539">
        <v>537.06389659429567</v>
      </c>
      <c r="T12" s="539">
        <v>534.9311518729254</v>
      </c>
      <c r="U12" s="539">
        <v>532.60452126919085</v>
      </c>
      <c r="V12" s="539">
        <v>530.08400478289445</v>
      </c>
      <c r="W12" s="539">
        <v>527.61920570274879</v>
      </c>
      <c r="X12" s="539">
        <v>525.15072553540881</v>
      </c>
      <c r="Y12" s="539">
        <v>522.67872308149754</v>
      </c>
      <c r="Z12" s="539">
        <v>520.20335670651616</v>
      </c>
      <c r="AA12" s="539">
        <v>517.72478432471098</v>
      </c>
    </row>
    <row r="13" spans="1:27" x14ac:dyDescent="0.35">
      <c r="B13">
        <f ca="1">B12-B4</f>
        <v>410.75884902785742</v>
      </c>
      <c r="C13" s="539">
        <f t="shared" ref="C13:AA13" ca="1" si="0">C12-C4</f>
        <v>404.87812635127261</v>
      </c>
      <c r="D13" s="539">
        <f t="shared" ca="1" si="0"/>
        <v>398.82769467501851</v>
      </c>
      <c r="E13" s="539">
        <f t="shared" ca="1" si="0"/>
        <v>391.87861191188875</v>
      </c>
      <c r="F13" s="539">
        <f t="shared" ca="1" si="0"/>
        <v>384.77732452158097</v>
      </c>
      <c r="G13" s="539">
        <f t="shared" ca="1" si="0"/>
        <v>377.62649876087335</v>
      </c>
      <c r="H13" s="539">
        <f t="shared" ca="1" si="0"/>
        <v>369.8711912878789</v>
      </c>
      <c r="I13" s="539">
        <f t="shared" ca="1" si="0"/>
        <v>362.93161182365236</v>
      </c>
      <c r="J13" s="539">
        <f t="shared" ca="1" si="0"/>
        <v>356.40964119161441</v>
      </c>
      <c r="K13" s="539">
        <f t="shared" ca="1" si="0"/>
        <v>349.9057929671111</v>
      </c>
      <c r="L13" s="539">
        <f t="shared" ca="1" si="0"/>
        <v>343.42519959492358</v>
      </c>
      <c r="M13" s="539">
        <f t="shared" ca="1" si="0"/>
        <v>336.43494488346505</v>
      </c>
      <c r="N13" s="539">
        <f t="shared" ca="1" si="0"/>
        <v>329.64730636939623</v>
      </c>
      <c r="O13" s="539">
        <f t="shared" ca="1" si="0"/>
        <v>322.68337793197094</v>
      </c>
      <c r="P13" s="539">
        <f t="shared" ca="1" si="0"/>
        <v>316.13341753518955</v>
      </c>
      <c r="Q13" s="539">
        <f t="shared" ca="1" si="0"/>
        <v>309.3880001240766</v>
      </c>
      <c r="R13" s="539">
        <f t="shared" ca="1" si="0"/>
        <v>302.47876661787376</v>
      </c>
      <c r="S13" s="539">
        <f t="shared" ca="1" si="0"/>
        <v>296.21636990848344</v>
      </c>
      <c r="T13" s="539">
        <f t="shared" ca="1" si="0"/>
        <v>290.03955596864046</v>
      </c>
      <c r="U13" s="539">
        <f t="shared" ca="1" si="0"/>
        <v>283.72792365366126</v>
      </c>
      <c r="V13" s="539">
        <f t="shared" ca="1" si="0"/>
        <v>277.24211768073644</v>
      </c>
      <c r="W13" s="539">
        <f t="shared" ca="1" si="0"/>
        <v>270.77230768167624</v>
      </c>
      <c r="X13" s="539">
        <f t="shared" ca="1" si="0"/>
        <v>264.3507640203008</v>
      </c>
      <c r="Y13" s="539">
        <f t="shared" ca="1" si="0"/>
        <v>257.98202011751249</v>
      </c>
      <c r="Z13" s="539">
        <f t="shared" ca="1" si="0"/>
        <v>251.67060234607573</v>
      </c>
      <c r="AA13" s="539">
        <f t="shared" ca="1" si="0"/>
        <v>245.42102206052181</v>
      </c>
    </row>
  </sheetData>
  <pageMargins left="0.7" right="0.7" top="0.75" bottom="0.75" header="0.3" footer="0.3"/>
  <pageSetup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FFFF00"/>
  </sheetPr>
  <dimension ref="A1:AF261"/>
  <sheetViews>
    <sheetView zoomScale="59" zoomScaleNormal="59" workbookViewId="0">
      <selection activeCell="I18" sqref="I18"/>
    </sheetView>
  </sheetViews>
  <sheetFormatPr defaultColWidth="9.140625" defaultRowHeight="15" x14ac:dyDescent="0.25"/>
  <cols>
    <col min="1" max="2" width="8.85546875" customWidth="1"/>
    <col min="3" max="3" width="19.85546875" customWidth="1"/>
    <col min="4" max="6" width="8.85546875"/>
    <col min="7" max="7" width="11.5703125" bestFit="1" customWidth="1"/>
    <col min="8" max="9" width="12.140625" bestFit="1" customWidth="1"/>
    <col min="10" max="21" width="9.5703125" bestFit="1" customWidth="1"/>
    <col min="22" max="32" width="12.42578125" bestFit="1" customWidth="1"/>
    <col min="33" max="16384" width="9.140625" style="221"/>
  </cols>
  <sheetData>
    <row r="1" spans="1:32" customFormat="1" ht="18" x14ac:dyDescent="0.4">
      <c r="A1" s="268" t="s">
        <v>288</v>
      </c>
      <c r="B1" s="252"/>
      <c r="C1" s="252"/>
      <c r="D1" s="252"/>
      <c r="E1" s="1060" t="s">
        <v>237</v>
      </c>
      <c r="F1" s="1061" t="str">
        <f>Active_Case</f>
        <v>Res</v>
      </c>
      <c r="G1" s="252"/>
      <c r="H1" s="207"/>
      <c r="I1" s="252"/>
      <c r="J1" s="252"/>
      <c r="K1" s="252"/>
      <c r="L1" s="252"/>
      <c r="M1" s="252"/>
      <c r="N1" s="252"/>
      <c r="O1" s="252"/>
      <c r="P1" s="252"/>
      <c r="Q1" s="252"/>
      <c r="R1" s="252"/>
      <c r="S1" s="252"/>
      <c r="T1" s="252"/>
      <c r="U1" s="252"/>
      <c r="V1" s="252"/>
      <c r="W1" s="252"/>
      <c r="X1" s="252"/>
      <c r="Y1" s="252"/>
      <c r="Z1" s="252"/>
      <c r="AA1" s="252"/>
      <c r="AB1" s="252"/>
      <c r="AC1" s="252"/>
      <c r="AD1" s="252"/>
      <c r="AE1" s="252"/>
      <c r="AF1" s="252"/>
    </row>
    <row r="2" spans="1:32" customFormat="1" ht="15.6" x14ac:dyDescent="0.35">
      <c r="A2" s="269" t="s">
        <v>271</v>
      </c>
      <c r="B2" s="252"/>
      <c r="C2" s="252"/>
      <c r="D2" s="252"/>
      <c r="E2" s="252"/>
      <c r="F2" s="252"/>
      <c r="G2" s="252"/>
      <c r="H2" s="207"/>
      <c r="I2" s="252"/>
      <c r="J2" s="252"/>
      <c r="K2" s="252"/>
      <c r="L2" s="252"/>
      <c r="M2" s="252"/>
      <c r="N2" s="252"/>
      <c r="O2" s="252"/>
      <c r="P2" s="252"/>
      <c r="Q2" s="252"/>
      <c r="R2" s="252"/>
      <c r="S2" s="252"/>
      <c r="T2" s="252"/>
      <c r="U2" s="252"/>
      <c r="V2" s="252"/>
      <c r="W2" s="252"/>
      <c r="X2" s="252"/>
      <c r="Y2" s="252"/>
      <c r="Z2" s="252"/>
      <c r="AA2" s="252"/>
      <c r="AB2" s="252"/>
      <c r="AC2" s="252"/>
      <c r="AD2" s="252"/>
      <c r="AE2" s="252"/>
      <c r="AF2" s="252"/>
    </row>
    <row r="3" spans="1:32" customFormat="1" ht="14.45" x14ac:dyDescent="0.35"/>
    <row r="4" spans="1:32" customFormat="1" ht="14.45" x14ac:dyDescent="0.35">
      <c r="A4" s="252"/>
      <c r="B4" s="252"/>
      <c r="C4" s="252"/>
      <c r="D4" s="208"/>
      <c r="E4" s="208"/>
      <c r="F4" s="208"/>
      <c r="G4" s="208">
        <v>2010</v>
      </c>
      <c r="H4" s="208">
        <v>2011</v>
      </c>
      <c r="I4" s="208">
        <v>2012</v>
      </c>
      <c r="J4" s="208">
        <v>2013</v>
      </c>
      <c r="K4" s="208">
        <v>2014</v>
      </c>
      <c r="L4" s="208">
        <v>2015</v>
      </c>
      <c r="M4" s="208">
        <v>2016</v>
      </c>
      <c r="N4" s="208">
        <v>2017</v>
      </c>
      <c r="O4" s="208">
        <v>2018</v>
      </c>
      <c r="P4" s="208">
        <v>2019</v>
      </c>
      <c r="Q4" s="208">
        <v>2020</v>
      </c>
      <c r="R4" s="208">
        <v>2021</v>
      </c>
      <c r="S4" s="208">
        <v>2022</v>
      </c>
      <c r="T4" s="208">
        <v>2023</v>
      </c>
      <c r="U4" s="208">
        <v>2024</v>
      </c>
      <c r="V4" s="208">
        <v>2025</v>
      </c>
      <c r="W4" s="208">
        <v>2026</v>
      </c>
      <c r="X4" s="208">
        <v>2027</v>
      </c>
      <c r="Y4" s="208">
        <v>2028</v>
      </c>
      <c r="Z4" s="208">
        <v>2029</v>
      </c>
      <c r="AA4" s="208">
        <v>2030</v>
      </c>
      <c r="AB4" s="208">
        <v>2031</v>
      </c>
      <c r="AC4" s="208">
        <v>2032</v>
      </c>
      <c r="AD4" s="208">
        <v>2033</v>
      </c>
      <c r="AE4" s="208">
        <v>2034</v>
      </c>
      <c r="AF4" s="208">
        <v>2035</v>
      </c>
    </row>
    <row r="5" spans="1:32" customFormat="1" ht="14.45" x14ac:dyDescent="0.35">
      <c r="A5" s="264" t="s">
        <v>526</v>
      </c>
      <c r="B5" s="265"/>
      <c r="C5" s="264"/>
      <c r="D5" s="213"/>
      <c r="E5" s="213"/>
      <c r="F5" s="213"/>
      <c r="G5" s="213" t="s">
        <v>700</v>
      </c>
      <c r="H5" s="217"/>
      <c r="I5" s="217"/>
      <c r="J5" s="217"/>
      <c r="K5" s="217"/>
      <c r="L5" s="217"/>
      <c r="M5" s="217"/>
      <c r="N5" s="217"/>
      <c r="O5" s="217"/>
      <c r="P5" s="217"/>
      <c r="Q5" s="217"/>
      <c r="R5" s="217"/>
      <c r="S5" s="217"/>
      <c r="T5" s="217"/>
      <c r="U5" s="217"/>
      <c r="V5" s="217"/>
      <c r="W5" s="217"/>
      <c r="X5" s="217"/>
      <c r="Y5" s="217"/>
      <c r="Z5" s="217"/>
      <c r="AA5" s="217"/>
      <c r="AB5" s="217"/>
      <c r="AC5" s="217"/>
      <c r="AD5" s="217"/>
      <c r="AE5" s="217"/>
      <c r="AF5" s="217"/>
    </row>
    <row r="6" spans="1:32" customFormat="1" ht="14.45" x14ac:dyDescent="0.35">
      <c r="A6" s="253" t="s">
        <v>12</v>
      </c>
      <c r="B6" s="252"/>
    </row>
    <row r="7" spans="1:32" customFormat="1" ht="14.45" x14ac:dyDescent="0.35">
      <c r="A7" s="252"/>
      <c r="B7" s="252" t="s">
        <v>20</v>
      </c>
    </row>
    <row r="8" spans="1:32" s="202" customFormat="1" ht="12.95" x14ac:dyDescent="0.3">
      <c r="A8" s="267" t="s">
        <v>21</v>
      </c>
      <c r="B8" s="267"/>
      <c r="C8" s="267"/>
      <c r="D8" s="267"/>
      <c r="E8" s="267"/>
      <c r="F8" s="267"/>
      <c r="G8" s="267"/>
      <c r="H8" s="267"/>
      <c r="I8" s="267"/>
      <c r="J8" s="267"/>
      <c r="K8" s="267"/>
      <c r="L8" s="267"/>
      <c r="M8" s="267"/>
      <c r="N8" s="267"/>
      <c r="O8" s="267"/>
      <c r="P8" s="267"/>
      <c r="Q8" s="267"/>
      <c r="R8" s="267"/>
      <c r="S8" s="267"/>
      <c r="T8" s="267"/>
      <c r="U8" s="267"/>
      <c r="V8" s="267"/>
      <c r="W8" s="267"/>
      <c r="X8" s="267"/>
      <c r="Y8" s="267"/>
      <c r="Z8" s="267"/>
      <c r="AA8" s="267"/>
      <c r="AB8" s="267"/>
      <c r="AC8" s="267"/>
      <c r="AD8" s="267"/>
      <c r="AE8" s="267"/>
      <c r="AF8" s="267"/>
    </row>
    <row r="9" spans="1:32" ht="14.45" x14ac:dyDescent="0.35">
      <c r="A9" s="252"/>
      <c r="B9" s="252" t="s">
        <v>22</v>
      </c>
      <c r="G9" s="549">
        <f t="array" ref="G9:AF39" ca="1">Stock</f>
        <v>55.283949334175901</v>
      </c>
      <c r="H9" s="549">
        <f ca="1"/>
        <v>51.221183097607906</v>
      </c>
      <c r="I9" s="549">
        <f ca="1"/>
        <v>46.219980373274005</v>
      </c>
      <c r="J9" s="549">
        <f ca="1"/>
        <v>36.90790759238255</v>
      </c>
      <c r="K9" s="549">
        <f ca="1"/>
        <v>27.940686068047334</v>
      </c>
      <c r="L9" s="549">
        <f ca="1"/>
        <v>19.99829177336526</v>
      </c>
      <c r="M9" s="549">
        <f ca="1"/>
        <v>12.077700198095089</v>
      </c>
      <c r="N9" s="549">
        <f ca="1"/>
        <v>7.8283538164915036</v>
      </c>
      <c r="O9" s="549">
        <f ca="1"/>
        <v>5.4569728735187928</v>
      </c>
      <c r="P9" s="549">
        <f ca="1"/>
        <v>4.0595448881071219</v>
      </c>
      <c r="Q9" s="549">
        <f ca="1"/>
        <v>3.1575339805525813</v>
      </c>
      <c r="R9" s="549">
        <f ca="1"/>
        <v>2.5128778651858905</v>
      </c>
      <c r="S9" s="549">
        <f ca="1"/>
        <v>2.020878599400834</v>
      </c>
      <c r="T9" s="549">
        <f ca="1"/>
        <v>1.6289358769084621</v>
      </c>
      <c r="U9" s="549">
        <f ca="1"/>
        <v>1.3104308187319158</v>
      </c>
      <c r="V9" s="549">
        <f ca="1"/>
        <v>1.0545638723242301</v>
      </c>
      <c r="W9" s="549">
        <f ca="1"/>
        <v>0.84897288347291411</v>
      </c>
      <c r="X9" s="549">
        <f ca="1"/>
        <v>0.68450100257610169</v>
      </c>
      <c r="Y9" s="549">
        <f ca="1"/>
        <v>0.55373794108315266</v>
      </c>
      <c r="Z9" s="549">
        <f ca="1"/>
        <v>0.45115821327451944</v>
      </c>
      <c r="AA9" s="549">
        <f ca="1"/>
        <v>0.37162678139044325</v>
      </c>
      <c r="AB9" s="549">
        <f ca="1"/>
        <v>0.30922601851814807</v>
      </c>
      <c r="AC9" s="549">
        <f ca="1"/>
        <v>0.26001961076999874</v>
      </c>
      <c r="AD9" s="549">
        <f ca="1"/>
        <v>0.22072765252310939</v>
      </c>
      <c r="AE9" s="549">
        <f ca="1"/>
        <v>0.18882703791663097</v>
      </c>
      <c r="AF9" s="549">
        <f ca="1"/>
        <v>0.16145584109527625</v>
      </c>
    </row>
    <row r="10" spans="1:32" ht="14.45" x14ac:dyDescent="0.35">
      <c r="A10" s="252"/>
      <c r="B10" s="252" t="s">
        <v>26</v>
      </c>
      <c r="G10" s="549">
        <f ca="1"/>
        <v>0.95509769373585018</v>
      </c>
      <c r="H10" s="549">
        <f ca="1"/>
        <v>0.92933684211128531</v>
      </c>
      <c r="I10" s="549">
        <f ca="1"/>
        <v>2.3058879856666366</v>
      </c>
      <c r="J10" s="549">
        <f ca="1"/>
        <v>6.7219643705847947</v>
      </c>
      <c r="K10" s="549">
        <f ca="1"/>
        <v>11.331265409701228</v>
      </c>
      <c r="L10" s="549">
        <f ca="1"/>
        <v>14.385977101272266</v>
      </c>
      <c r="M10" s="549">
        <f ca="1"/>
        <v>16.483077430740167</v>
      </c>
      <c r="N10" s="549">
        <f ca="1"/>
        <v>16.477864657121422</v>
      </c>
      <c r="O10" s="549">
        <f ca="1"/>
        <v>15.569606340726851</v>
      </c>
      <c r="P10" s="549">
        <f ca="1"/>
        <v>14.316117833180362</v>
      </c>
      <c r="Q10" s="549">
        <f ca="1"/>
        <v>12.911866448233717</v>
      </c>
      <c r="R10" s="549">
        <f ca="1"/>
        <v>11.446576103000462</v>
      </c>
      <c r="S10" s="549">
        <f ca="1"/>
        <v>10.013634765922582</v>
      </c>
      <c r="T10" s="549">
        <f ca="1"/>
        <v>8.6649799791864677</v>
      </c>
      <c r="U10" s="549">
        <f ca="1"/>
        <v>7.4338895473077864</v>
      </c>
      <c r="V10" s="549">
        <f ca="1"/>
        <v>6.3554159436703621</v>
      </c>
      <c r="W10" s="549">
        <f ca="1"/>
        <v>5.4275677500263724</v>
      </c>
      <c r="X10" s="549">
        <f ca="1"/>
        <v>4.6413592376654025</v>
      </c>
      <c r="Y10" s="549">
        <f ca="1"/>
        <v>3.9839821676244767</v>
      </c>
      <c r="Z10" s="549">
        <f ca="1"/>
        <v>3.4445731244257169</v>
      </c>
      <c r="AA10" s="549">
        <f ca="1"/>
        <v>3.0095750975982067</v>
      </c>
      <c r="AB10" s="549">
        <f ca="1"/>
        <v>2.6575673834296447</v>
      </c>
      <c r="AC10" s="549">
        <f ca="1"/>
        <v>2.3707413583865389</v>
      </c>
      <c r="AD10" s="549">
        <f ca="1"/>
        <v>2.1348407980516364</v>
      </c>
      <c r="AE10" s="549">
        <f ca="1"/>
        <v>1.9378328649343377</v>
      </c>
      <c r="AF10" s="549">
        <f ca="1"/>
        <v>1.7633920088831991</v>
      </c>
    </row>
    <row r="11" spans="1:32" ht="14.45" x14ac:dyDescent="0.35">
      <c r="A11" s="252"/>
      <c r="B11" s="252" t="s">
        <v>27</v>
      </c>
      <c r="G11" s="549">
        <f ca="1"/>
        <v>38.399176300204253</v>
      </c>
      <c r="H11" s="549">
        <f ca="1"/>
        <v>44.720903076038844</v>
      </c>
      <c r="I11" s="549">
        <f ca="1"/>
        <v>50.525242254952232</v>
      </c>
      <c r="J11" s="549">
        <f ca="1"/>
        <v>57.525074216745594</v>
      </c>
      <c r="K11" s="549">
        <f ca="1"/>
        <v>63.720874415194402</v>
      </c>
      <c r="L11" s="549">
        <f ca="1"/>
        <v>70.105342517889369</v>
      </c>
      <c r="M11" s="549">
        <f ca="1"/>
        <v>76.878492473022675</v>
      </c>
      <c r="N11" s="549">
        <f ca="1"/>
        <v>81.39278439478629</v>
      </c>
      <c r="O11" s="549">
        <f ca="1"/>
        <v>84.101807186183933</v>
      </c>
      <c r="P11" s="549">
        <f ca="1"/>
        <v>85.278162990195582</v>
      </c>
      <c r="Q11" s="549">
        <f ca="1"/>
        <v>85.1867886429348</v>
      </c>
      <c r="R11" s="549">
        <f ca="1"/>
        <v>84.034012063109657</v>
      </c>
      <c r="S11" s="549">
        <f ca="1"/>
        <v>82.006327425440887</v>
      </c>
      <c r="T11" s="549">
        <f ca="1"/>
        <v>79.291617859533289</v>
      </c>
      <c r="U11" s="549">
        <f ca="1"/>
        <v>76.077663235634418</v>
      </c>
      <c r="V11" s="549">
        <f ca="1"/>
        <v>72.540886929070112</v>
      </c>
      <c r="W11" s="549">
        <f ca="1"/>
        <v>68.833466379428714</v>
      </c>
      <c r="X11" s="549">
        <f ca="1"/>
        <v>65.084405533303567</v>
      </c>
      <c r="Y11" s="549">
        <f ca="1"/>
        <v>61.386608518713047</v>
      </c>
      <c r="Z11" s="549">
        <f ca="1"/>
        <v>57.811940064390669</v>
      </c>
      <c r="AA11" s="549">
        <f ca="1"/>
        <v>54.411627505956297</v>
      </c>
      <c r="AB11" s="549">
        <f ca="1"/>
        <v>51.219150984131716</v>
      </c>
      <c r="AC11" s="549">
        <f ca="1"/>
        <v>48.233419225751724</v>
      </c>
      <c r="AD11" s="549">
        <f ca="1"/>
        <v>45.464906702770918</v>
      </c>
      <c r="AE11" s="549">
        <f ca="1"/>
        <v>42.909893181488414</v>
      </c>
      <c r="AF11" s="549">
        <f ca="1"/>
        <v>40.5566619447413</v>
      </c>
    </row>
    <row r="12" spans="1:32" ht="14.45" x14ac:dyDescent="0.35">
      <c r="A12" s="252"/>
      <c r="B12" s="252" t="s">
        <v>29</v>
      </c>
      <c r="G12" s="549">
        <f ca="1"/>
        <v>0</v>
      </c>
      <c r="H12" s="549">
        <f ca="1"/>
        <v>0.10207664996051932</v>
      </c>
      <c r="I12" s="549">
        <f ca="1"/>
        <v>0.35349648944956263</v>
      </c>
      <c r="J12" s="549">
        <f ca="1"/>
        <v>0.75028424350651701</v>
      </c>
      <c r="K12" s="549">
        <f ca="1"/>
        <v>1.3894934337499563</v>
      </c>
      <c r="L12" s="549">
        <f ca="1"/>
        <v>2.3977692326957403</v>
      </c>
      <c r="M12" s="549">
        <f ca="1"/>
        <v>3.9660597056134335</v>
      </c>
      <c r="N12" s="549">
        <f ca="1"/>
        <v>6.2015856696706511</v>
      </c>
      <c r="O12" s="549">
        <f ca="1"/>
        <v>9.2506131444983417</v>
      </c>
      <c r="P12" s="549">
        <f ca="1"/>
        <v>13.193351887663425</v>
      </c>
      <c r="Q12" s="549">
        <f ca="1"/>
        <v>18.046035551787767</v>
      </c>
      <c r="R12" s="549">
        <f ca="1"/>
        <v>23.723152336531289</v>
      </c>
      <c r="S12" s="549">
        <f ca="1"/>
        <v>30.085241684275111</v>
      </c>
      <c r="T12" s="549">
        <f ca="1"/>
        <v>36.940077171802251</v>
      </c>
      <c r="U12" s="549">
        <f ca="1"/>
        <v>44.088363767415913</v>
      </c>
      <c r="V12" s="549">
        <f ca="1"/>
        <v>51.345104258841907</v>
      </c>
      <c r="W12" s="549">
        <f ca="1"/>
        <v>58.5546084839009</v>
      </c>
      <c r="X12" s="549">
        <f ca="1"/>
        <v>65.586190297533761</v>
      </c>
      <c r="Y12" s="549">
        <f ca="1"/>
        <v>72.355643032612889</v>
      </c>
      <c r="Z12" s="549">
        <f ca="1"/>
        <v>78.822462913010838</v>
      </c>
      <c r="AA12" s="549">
        <f ca="1"/>
        <v>84.976336922140831</v>
      </c>
      <c r="AB12" s="549">
        <f ca="1"/>
        <v>90.844682933159476</v>
      </c>
      <c r="AC12" s="549">
        <f ca="1"/>
        <v>96.398575613236176</v>
      </c>
      <c r="AD12" s="549">
        <f ca="1"/>
        <v>101.642606456596</v>
      </c>
      <c r="AE12" s="549">
        <f ca="1"/>
        <v>106.59258521052216</v>
      </c>
      <c r="AF12" s="549">
        <f ca="1"/>
        <v>111.27695786377548</v>
      </c>
    </row>
    <row r="13" spans="1:32" ht="14.45" x14ac:dyDescent="0.35">
      <c r="A13" s="252"/>
      <c r="B13" s="252"/>
      <c r="G13" s="549" t="str">
        <v/>
      </c>
      <c r="H13" s="549" t="str">
        <v/>
      </c>
      <c r="I13" s="549" t="str">
        <v/>
      </c>
      <c r="J13" s="549" t="str">
        <v/>
      </c>
      <c r="K13" s="549" t="str">
        <v/>
      </c>
      <c r="L13" s="549" t="str">
        <v/>
      </c>
      <c r="M13" s="549" t="str">
        <v/>
      </c>
      <c r="N13" s="549" t="str">
        <v/>
      </c>
      <c r="O13" s="549" t="str">
        <v/>
      </c>
      <c r="P13" s="549" t="str">
        <v/>
      </c>
      <c r="Q13" s="549" t="str">
        <v/>
      </c>
      <c r="R13" s="549" t="str">
        <v/>
      </c>
      <c r="S13" s="549" t="str">
        <v/>
      </c>
      <c r="T13" s="549" t="str">
        <v/>
      </c>
      <c r="U13" s="549" t="str">
        <v/>
      </c>
      <c r="V13" s="549" t="str">
        <v/>
      </c>
      <c r="W13" s="549" t="str">
        <v/>
      </c>
      <c r="X13" s="549" t="str">
        <v/>
      </c>
      <c r="Y13" s="549" t="str">
        <v/>
      </c>
      <c r="Z13" s="549" t="str">
        <v/>
      </c>
      <c r="AA13" s="549" t="str">
        <v/>
      </c>
      <c r="AB13" s="549" t="str">
        <v/>
      </c>
      <c r="AC13" s="549" t="str">
        <v/>
      </c>
      <c r="AD13" s="549" t="str">
        <v/>
      </c>
      <c r="AE13" s="549" t="str">
        <v/>
      </c>
      <c r="AF13" s="549" t="str">
        <v/>
      </c>
    </row>
    <row r="14" spans="1:32" s="202" customFormat="1" ht="12.95" x14ac:dyDescent="0.3">
      <c r="A14" s="267" t="s">
        <v>32</v>
      </c>
      <c r="B14" s="267"/>
      <c r="C14" s="267"/>
      <c r="D14" s="267"/>
      <c r="E14" s="267"/>
      <c r="F14" s="267"/>
      <c r="G14" s="632" t="str">
        <v/>
      </c>
      <c r="H14" s="632" t="str">
        <v/>
      </c>
      <c r="I14" s="632" t="str">
        <v/>
      </c>
      <c r="J14" s="632" t="str">
        <v/>
      </c>
      <c r="K14" s="632" t="str">
        <v/>
      </c>
      <c r="L14" s="632" t="str">
        <v/>
      </c>
      <c r="M14" s="632" t="str">
        <v/>
      </c>
      <c r="N14" s="632" t="str">
        <v/>
      </c>
      <c r="O14" s="632" t="str">
        <v/>
      </c>
      <c r="P14" s="632" t="str">
        <v/>
      </c>
      <c r="Q14" s="632" t="str">
        <v/>
      </c>
      <c r="R14" s="632" t="str">
        <v/>
      </c>
      <c r="S14" s="632" t="str">
        <v/>
      </c>
      <c r="T14" s="632" t="str">
        <v/>
      </c>
      <c r="U14" s="632" t="str">
        <v/>
      </c>
      <c r="V14" s="632" t="str">
        <v/>
      </c>
      <c r="W14" s="632" t="str">
        <v/>
      </c>
      <c r="X14" s="632" t="str">
        <v/>
      </c>
      <c r="Y14" s="632" t="str">
        <v/>
      </c>
      <c r="Z14" s="632" t="str">
        <v/>
      </c>
      <c r="AA14" s="632" t="str">
        <v/>
      </c>
      <c r="AB14" s="632" t="str">
        <v/>
      </c>
      <c r="AC14" s="632" t="str">
        <v/>
      </c>
      <c r="AD14" s="632" t="str">
        <v/>
      </c>
      <c r="AE14" s="632" t="str">
        <v/>
      </c>
      <c r="AF14" s="632" t="str">
        <v/>
      </c>
    </row>
    <row r="15" spans="1:32" ht="14.45" x14ac:dyDescent="0.35">
      <c r="A15" s="252"/>
      <c r="B15" s="252" t="s">
        <v>33</v>
      </c>
      <c r="G15" s="549">
        <v>9.8906218162193458</v>
      </c>
      <c r="H15" s="549">
        <v>8.6946652630708456</v>
      </c>
      <c r="I15" s="549">
        <v>7.988997181550225</v>
      </c>
      <c r="J15" s="549">
        <v>7.5933456134717332</v>
      </c>
      <c r="K15" s="549">
        <v>7.3474354557905421</v>
      </c>
      <c r="L15" s="549">
        <v>7.0368317844414214</v>
      </c>
      <c r="M15" s="549">
        <v>6.6171387570415208</v>
      </c>
      <c r="N15" s="549">
        <v>6.1118590428654782</v>
      </c>
      <c r="O15" s="549">
        <v>5.5449391825119303</v>
      </c>
      <c r="P15" s="549">
        <v>4.9482572923761108</v>
      </c>
      <c r="Q15" s="549">
        <v>4.3409317968410415</v>
      </c>
      <c r="R15" s="549">
        <v>3.743422721174555</v>
      </c>
      <c r="S15" s="549">
        <v>3.180634894097079</v>
      </c>
      <c r="T15" s="549">
        <v>2.6682506488003161</v>
      </c>
      <c r="U15" s="549">
        <v>2.2150384095140683</v>
      </c>
      <c r="V15" s="549">
        <v>1.8262118040078974</v>
      </c>
      <c r="W15" s="549">
        <v>1.499038057318157</v>
      </c>
      <c r="X15" s="549">
        <v>1.2282142837597729</v>
      </c>
      <c r="Y15" s="549">
        <v>1.0068639369938406</v>
      </c>
      <c r="Z15" s="549">
        <v>0.82827823386080046</v>
      </c>
      <c r="AA15" s="549">
        <v>0.68579262510332806</v>
      </c>
      <c r="AB15" s="549">
        <v>0.57235862989620889</v>
      </c>
      <c r="AC15" s="549">
        <v>0.48192363974106761</v>
      </c>
      <c r="AD15" s="549">
        <v>0.40965857836681585</v>
      </c>
      <c r="AE15" s="549">
        <v>0.35144735259814114</v>
      </c>
      <c r="AF15" s="549">
        <v>0.30325731435079978</v>
      </c>
    </row>
    <row r="16" spans="1:32" ht="14.45" x14ac:dyDescent="0.35">
      <c r="A16" s="257"/>
      <c r="B16" s="257" t="s">
        <v>34</v>
      </c>
      <c r="G16" s="549">
        <v>7.5013754087409996</v>
      </c>
      <c r="H16" s="549">
        <v>9.0309901503990346</v>
      </c>
      <c r="I16" s="549">
        <v>10.017645180395451</v>
      </c>
      <c r="J16" s="549">
        <v>10.54583180202</v>
      </c>
      <c r="K16" s="549">
        <v>10.676258881110522</v>
      </c>
      <c r="L16" s="549">
        <v>10.65274642011145</v>
      </c>
      <c r="M16" s="549">
        <v>10.477034189547066</v>
      </c>
      <c r="N16" s="549">
        <v>10.135687666524765</v>
      </c>
      <c r="O16" s="549">
        <v>9.641058261133562</v>
      </c>
      <c r="P16" s="549">
        <v>9.0205513002627882</v>
      </c>
      <c r="Q16" s="549">
        <v>8.3110200959809521</v>
      </c>
      <c r="R16" s="549">
        <v>7.5493762127690092</v>
      </c>
      <c r="S16" s="549">
        <v>6.7748694364865178</v>
      </c>
      <c r="T16" s="549">
        <v>6.018877846580903</v>
      </c>
      <c r="U16" s="549">
        <v>5.3058008996449013</v>
      </c>
      <c r="V16" s="549">
        <v>4.6544565929117176</v>
      </c>
      <c r="W16" s="549">
        <v>4.0731144048821157</v>
      </c>
      <c r="X16" s="549">
        <v>3.5639514633246723</v>
      </c>
      <c r="Y16" s="549">
        <v>3.1247885574173093</v>
      </c>
      <c r="Z16" s="549">
        <v>2.7517703258816022</v>
      </c>
      <c r="AA16" s="549">
        <v>2.4393721459863791</v>
      </c>
      <c r="AB16" s="549">
        <v>2.1800979992498783</v>
      </c>
      <c r="AC16" s="549">
        <v>1.9649413487258587</v>
      </c>
      <c r="AD16" s="549">
        <v>1.7860386094900322</v>
      </c>
      <c r="AE16" s="549">
        <v>1.6378153640115474</v>
      </c>
      <c r="AF16" s="549">
        <v>1.5127498259670822</v>
      </c>
    </row>
    <row r="17" spans="1:32" ht="14.45" x14ac:dyDescent="0.35">
      <c r="A17" s="252"/>
      <c r="B17" s="257" t="s">
        <v>35</v>
      </c>
      <c r="G17" s="549">
        <v>3.2243352290348191</v>
      </c>
      <c r="H17" s="549">
        <v>3.364023115216348</v>
      </c>
      <c r="I17" s="549">
        <v>3.5015716685294773</v>
      </c>
      <c r="J17" s="549">
        <v>3.6492556775878651</v>
      </c>
      <c r="K17" s="549">
        <v>3.8096676456258427</v>
      </c>
      <c r="L17" s="549">
        <v>3.933398530277743</v>
      </c>
      <c r="M17" s="549">
        <v>4.0248287710035502</v>
      </c>
      <c r="N17" s="549">
        <v>4.0716195265304025</v>
      </c>
      <c r="O17" s="549">
        <v>4.0696031278718987</v>
      </c>
      <c r="P17" s="549">
        <v>4.0180279001938679</v>
      </c>
      <c r="Q17" s="549">
        <v>3.9237726755981104</v>
      </c>
      <c r="R17" s="549">
        <v>3.7946564635976912</v>
      </c>
      <c r="S17" s="549">
        <v>3.6386543746314892</v>
      </c>
      <c r="T17" s="549">
        <v>3.4637954277939644</v>
      </c>
      <c r="U17" s="549">
        <v>3.2778569970199887</v>
      </c>
      <c r="V17" s="549">
        <v>3.0876362769741164</v>
      </c>
      <c r="W17" s="549">
        <v>2.8986913423505358</v>
      </c>
      <c r="X17" s="549">
        <v>2.715545448456556</v>
      </c>
      <c r="Y17" s="549">
        <v>2.5410449139626423</v>
      </c>
      <c r="Z17" s="549">
        <v>2.3771975154238558</v>
      </c>
      <c r="AA17" s="549">
        <v>2.2252289342513665</v>
      </c>
      <c r="AB17" s="549">
        <v>2.0857921978683187</v>
      </c>
      <c r="AC17" s="549">
        <v>1.9583056350004693</v>
      </c>
      <c r="AD17" s="549">
        <v>1.8423647583908254</v>
      </c>
      <c r="AE17" s="549">
        <v>1.7373256612624162</v>
      </c>
      <c r="AF17" s="549">
        <v>1.6421019375267034</v>
      </c>
    </row>
    <row r="18" spans="1:32" ht="14.45" x14ac:dyDescent="0.35">
      <c r="A18" s="252"/>
      <c r="B18" s="257" t="s">
        <v>29</v>
      </c>
      <c r="G18" s="549">
        <v>0</v>
      </c>
      <c r="H18" s="549">
        <v>3.5379028390109507E-2</v>
      </c>
      <c r="I18" s="549">
        <v>0.14644480895053408</v>
      </c>
      <c r="J18" s="549">
        <v>0.41097058982875523</v>
      </c>
      <c r="K18" s="549">
        <v>0.905659702622575</v>
      </c>
      <c r="L18" s="549">
        <v>1.6617565477522362</v>
      </c>
      <c r="M18" s="549">
        <v>2.7142506920680454</v>
      </c>
      <c r="N18" s="549">
        <v>4.0576623327359362</v>
      </c>
      <c r="O18" s="549">
        <v>5.6611339895043464</v>
      </c>
      <c r="P18" s="549">
        <v>7.4675748796271932</v>
      </c>
      <c r="Q18" s="549">
        <v>9.4135031068989061</v>
      </c>
      <c r="R18" s="549">
        <v>11.427732525429615</v>
      </c>
      <c r="S18" s="549">
        <v>13.445915577286247</v>
      </c>
      <c r="T18" s="549">
        <v>15.411872292681535</v>
      </c>
      <c r="U18" s="549">
        <v>17.283599516558635</v>
      </c>
      <c r="V18" s="549">
        <v>19.033684017229724</v>
      </c>
      <c r="W18" s="549">
        <v>20.647138957982627</v>
      </c>
      <c r="X18" s="549">
        <v>22.118248140259279</v>
      </c>
      <c r="Y18" s="549">
        <v>23.450711211649757</v>
      </c>
      <c r="Z18" s="549">
        <v>24.65634610571173</v>
      </c>
      <c r="AA18" s="549">
        <v>25.750957292709078</v>
      </c>
      <c r="AB18" s="549">
        <v>26.755747007130669</v>
      </c>
      <c r="AC18" s="549">
        <v>27.675080144041967</v>
      </c>
      <c r="AD18" s="549">
        <v>28.521515742454241</v>
      </c>
      <c r="AE18" s="549">
        <v>29.304850923867114</v>
      </c>
      <c r="AF18" s="549">
        <v>30.037191024650358</v>
      </c>
    </row>
    <row r="19" spans="1:32" ht="14.45" x14ac:dyDescent="0.35">
      <c r="A19" s="252"/>
      <c r="B19" s="252"/>
      <c r="G19" s="549" t="str">
        <v/>
      </c>
      <c r="H19" s="549" t="str">
        <v/>
      </c>
      <c r="I19" s="549" t="str">
        <v/>
      </c>
      <c r="J19" s="549" t="str">
        <v/>
      </c>
      <c r="K19" s="549" t="str">
        <v/>
      </c>
      <c r="L19" s="549" t="str">
        <v/>
      </c>
      <c r="M19" s="549" t="str">
        <v/>
      </c>
      <c r="N19" s="549" t="str">
        <v/>
      </c>
      <c r="O19" s="549" t="str">
        <v/>
      </c>
      <c r="P19" s="549" t="str">
        <v/>
      </c>
      <c r="Q19" s="549" t="str">
        <v/>
      </c>
      <c r="R19" s="549" t="str">
        <v/>
      </c>
      <c r="S19" s="549" t="str">
        <v/>
      </c>
      <c r="T19" s="549" t="str">
        <v/>
      </c>
      <c r="U19" s="549" t="str">
        <v/>
      </c>
      <c r="V19" s="549" t="str">
        <v/>
      </c>
      <c r="W19" s="549" t="str">
        <v/>
      </c>
      <c r="X19" s="549" t="str">
        <v/>
      </c>
      <c r="Y19" s="549" t="str">
        <v/>
      </c>
      <c r="Z19" s="549" t="str">
        <v/>
      </c>
      <c r="AA19" s="549" t="str">
        <v/>
      </c>
      <c r="AB19" s="549" t="str">
        <v/>
      </c>
      <c r="AC19" s="549" t="str">
        <v/>
      </c>
      <c r="AD19" s="549" t="str">
        <v/>
      </c>
      <c r="AE19" s="549" t="str">
        <v/>
      </c>
      <c r="AF19" s="549" t="str">
        <v/>
      </c>
    </row>
    <row r="20" spans="1:32" s="202" customFormat="1" ht="12.95" x14ac:dyDescent="0.3">
      <c r="A20" s="267" t="s">
        <v>36</v>
      </c>
      <c r="B20" s="267"/>
      <c r="C20" s="267"/>
      <c r="D20" s="267"/>
      <c r="E20" s="267"/>
      <c r="F20" s="267"/>
      <c r="G20" s="632" t="str">
        <v/>
      </c>
      <c r="H20" s="632" t="str">
        <v/>
      </c>
      <c r="I20" s="632" t="str">
        <v/>
      </c>
      <c r="J20" s="632" t="str">
        <v/>
      </c>
      <c r="K20" s="632" t="str">
        <v/>
      </c>
      <c r="L20" s="632" t="str">
        <v/>
      </c>
      <c r="M20" s="632" t="str">
        <v/>
      </c>
      <c r="N20" s="632" t="str">
        <v/>
      </c>
      <c r="O20" s="632" t="str">
        <v/>
      </c>
      <c r="P20" s="632" t="str">
        <v/>
      </c>
      <c r="Q20" s="632" t="str">
        <v/>
      </c>
      <c r="R20" s="632" t="str">
        <v/>
      </c>
      <c r="S20" s="632" t="str">
        <v/>
      </c>
      <c r="T20" s="632" t="str">
        <v/>
      </c>
      <c r="U20" s="632" t="str">
        <v/>
      </c>
      <c r="V20" s="632" t="str">
        <v/>
      </c>
      <c r="W20" s="632" t="str">
        <v/>
      </c>
      <c r="X20" s="632" t="str">
        <v/>
      </c>
      <c r="Y20" s="632" t="str">
        <v/>
      </c>
      <c r="Z20" s="632" t="str">
        <v/>
      </c>
      <c r="AA20" s="632" t="str">
        <v/>
      </c>
      <c r="AB20" s="632" t="str">
        <v/>
      </c>
      <c r="AC20" s="632" t="str">
        <v/>
      </c>
      <c r="AD20" s="632" t="str">
        <v/>
      </c>
      <c r="AE20" s="632" t="str">
        <v/>
      </c>
      <c r="AF20" s="632" t="str">
        <v/>
      </c>
    </row>
    <row r="21" spans="1:32" ht="14.45" x14ac:dyDescent="0.35">
      <c r="A21" s="252"/>
      <c r="B21" s="252" t="s">
        <v>37</v>
      </c>
      <c r="F21" s="201"/>
      <c r="G21" s="549">
        <v>19.543195871902984</v>
      </c>
      <c r="H21" s="549">
        <v>18.376429046549799</v>
      </c>
      <c r="I21" s="549">
        <v>17.177485169158548</v>
      </c>
      <c r="J21" s="549">
        <v>15.959399140376901</v>
      </c>
      <c r="K21" s="549">
        <v>14.735639830654938</v>
      </c>
      <c r="L21" s="549">
        <v>13.599457862673164</v>
      </c>
      <c r="M21" s="549">
        <v>12.545237700432143</v>
      </c>
      <c r="N21" s="549">
        <v>11.570081568946305</v>
      </c>
      <c r="O21" s="549">
        <v>10.673014118309929</v>
      </c>
      <c r="P21" s="549">
        <v>9.8475710587763459</v>
      </c>
      <c r="Q21" s="549">
        <v>9.0878284022748712</v>
      </c>
      <c r="R21" s="549">
        <v>8.3883686157584005</v>
      </c>
      <c r="S21" s="549">
        <v>7.744248562582607</v>
      </c>
      <c r="T21" s="549">
        <v>7.150939855009212</v>
      </c>
      <c r="U21" s="549">
        <v>6.6042984021757407</v>
      </c>
      <c r="V21" s="549">
        <v>6.1005359598356979</v>
      </c>
      <c r="W21" s="549">
        <v>5.6361785410800032</v>
      </c>
      <c r="X21" s="549">
        <v>5.2080450327511789</v>
      </c>
      <c r="Y21" s="549">
        <v>4.8132212597556716</v>
      </c>
      <c r="Z21" s="549">
        <v>4.4490386566688134</v>
      </c>
      <c r="AA21" s="549">
        <v>4.1130509230964396</v>
      </c>
      <c r="AB21" s="549">
        <v>3.8030122035373659</v>
      </c>
      <c r="AC21" s="549">
        <v>3.5168603114570898</v>
      </c>
      <c r="AD21" s="549">
        <v>3.2527038464538189</v>
      </c>
      <c r="AE21" s="549">
        <v>3.0088058110842733</v>
      </c>
      <c r="AF21" s="549">
        <v>2.783568218299207</v>
      </c>
    </row>
    <row r="22" spans="1:32" ht="14.45" x14ac:dyDescent="0.35">
      <c r="A22" s="252"/>
      <c r="B22" s="252" t="s">
        <v>39</v>
      </c>
      <c r="E22" s="203"/>
      <c r="G22" s="549">
        <v>3.6734646055227707</v>
      </c>
      <c r="H22" s="549">
        <v>4.9009924791332207</v>
      </c>
      <c r="I22" s="549">
        <v>6.0593713888544336</v>
      </c>
      <c r="J22" s="549">
        <v>7.1193208739331268</v>
      </c>
      <c r="K22" s="549">
        <v>8.0423529790593005</v>
      </c>
      <c r="L22" s="549">
        <v>8.7851929072881649</v>
      </c>
      <c r="M22" s="549">
        <v>9.3519389570750207</v>
      </c>
      <c r="N22" s="549">
        <v>9.7574314500122625</v>
      </c>
      <c r="O22" s="549">
        <v>10.020775675865337</v>
      </c>
      <c r="P22" s="549">
        <v>10.166958247860965</v>
      </c>
      <c r="Q22" s="549">
        <v>10.216026231047456</v>
      </c>
      <c r="R22" s="549">
        <v>10.185288156886951</v>
      </c>
      <c r="S22" s="549">
        <v>10.093903883225334</v>
      </c>
      <c r="T22" s="549">
        <v>9.9554008574610826</v>
      </c>
      <c r="U22" s="549">
        <v>9.7807894027689066</v>
      </c>
      <c r="V22" s="549">
        <v>9.5809863235618646</v>
      </c>
      <c r="W22" s="549">
        <v>9.3627098562173501</v>
      </c>
      <c r="X22" s="549">
        <v>9.1314653917076214</v>
      </c>
      <c r="Y22" s="549">
        <v>8.8917726571187163</v>
      </c>
      <c r="Z22" s="549">
        <v>8.6482978259963676</v>
      </c>
      <c r="AA22" s="549">
        <v>8.4050480600534989</v>
      </c>
      <c r="AB22" s="549">
        <v>8.1644923297951344</v>
      </c>
      <c r="AC22" s="549">
        <v>7.927212962363587</v>
      </c>
      <c r="AD22" s="549">
        <v>7.6943236864495859</v>
      </c>
      <c r="AE22" s="549">
        <v>7.4663865828286262</v>
      </c>
      <c r="AF22" s="549">
        <v>7.2424353026654753</v>
      </c>
    </row>
    <row r="23" spans="1:32" ht="14.45" x14ac:dyDescent="0.35">
      <c r="A23" s="252"/>
      <c r="B23" s="252" t="s">
        <v>40</v>
      </c>
      <c r="G23" s="549">
        <v>0</v>
      </c>
      <c r="H23" s="549">
        <v>0.51206539385184369</v>
      </c>
      <c r="I23" s="549">
        <v>1.1475014722626384</v>
      </c>
      <c r="J23" s="549">
        <v>1.9093006092338012</v>
      </c>
      <c r="K23" s="549">
        <v>2.7848075889248354</v>
      </c>
      <c r="L23" s="549">
        <v>3.7159531303604956</v>
      </c>
      <c r="M23" s="549">
        <v>4.6773434736528356</v>
      </c>
      <c r="N23" s="549">
        <v>5.6299520954115838</v>
      </c>
      <c r="O23" s="549">
        <v>6.5435993212933257</v>
      </c>
      <c r="P23" s="549">
        <v>7.3944517339090581</v>
      </c>
      <c r="Q23" s="549">
        <v>8.1645768830940444</v>
      </c>
      <c r="R23" s="549">
        <v>8.8415992779455763</v>
      </c>
      <c r="S23" s="549">
        <v>9.4241499092393362</v>
      </c>
      <c r="T23" s="549">
        <v>9.9120272995889813</v>
      </c>
      <c r="U23" s="549">
        <v>10.309340299002661</v>
      </c>
      <c r="V23" s="549">
        <v>10.625417080401718</v>
      </c>
      <c r="W23" s="549">
        <v>10.86806162560012</v>
      </c>
      <c r="X23" s="549">
        <v>11.04575147824338</v>
      </c>
      <c r="Y23" s="549">
        <v>11.167306776567216</v>
      </c>
      <c r="Z23" s="549">
        <v>11.242820376373713</v>
      </c>
      <c r="AA23" s="549">
        <v>11.281806562171655</v>
      </c>
      <c r="AB23" s="549">
        <v>11.292199832290125</v>
      </c>
      <c r="AC23" s="549">
        <v>11.276877765688528</v>
      </c>
      <c r="AD23" s="549">
        <v>11.240372013517883</v>
      </c>
      <c r="AE23" s="549">
        <v>11.186186417771117</v>
      </c>
      <c r="AF23" s="549">
        <v>11.115634256228073</v>
      </c>
    </row>
    <row r="24" spans="1:32" ht="14.45" x14ac:dyDescent="0.35">
      <c r="A24" s="252"/>
      <c r="B24" s="252" t="s">
        <v>29</v>
      </c>
      <c r="G24" s="549">
        <v>0</v>
      </c>
      <c r="H24" s="549">
        <v>6.3685339506535404E-5</v>
      </c>
      <c r="I24" s="549">
        <v>1.5920877607618802E-3</v>
      </c>
      <c r="J24" s="549">
        <v>1.1382687626037481E-2</v>
      </c>
      <c r="K24" s="549">
        <v>4.4282661293571814E-2</v>
      </c>
      <c r="L24" s="549">
        <v>0.12102110796930135</v>
      </c>
      <c r="M24" s="549">
        <v>0.26480847669448826</v>
      </c>
      <c r="N24" s="549">
        <v>0.49400067205479575</v>
      </c>
      <c r="O24" s="549">
        <v>0.82208076318346612</v>
      </c>
      <c r="P24" s="549">
        <v>1.2559825804651457</v>
      </c>
      <c r="Q24" s="549">
        <v>1.7988045403906709</v>
      </c>
      <c r="R24" s="549">
        <v>2.4442793737119848</v>
      </c>
      <c r="S24" s="549">
        <v>3.1883230968877623</v>
      </c>
      <c r="T24" s="549">
        <v>4.0209100410447451</v>
      </c>
      <c r="U24" s="549">
        <v>4.9298737915738933</v>
      </c>
      <c r="V24" s="549">
        <v>5.9026040102360451</v>
      </c>
      <c r="W24" s="549">
        <v>6.9236695041811114</v>
      </c>
      <c r="X24" s="549">
        <v>7.9774050353969326</v>
      </c>
      <c r="Y24" s="549">
        <v>9.0505585642615287</v>
      </c>
      <c r="Z24" s="549">
        <v>10.134712572352752</v>
      </c>
      <c r="AA24" s="549">
        <v>11.224243484026541</v>
      </c>
      <c r="AB24" s="549">
        <v>12.319226551502853</v>
      </c>
      <c r="AC24" s="549">
        <v>13.405565907186544</v>
      </c>
      <c r="AD24" s="549">
        <v>14.478901590757568</v>
      </c>
      <c r="AE24" s="549">
        <v>15.536299612054346</v>
      </c>
      <c r="AF24" s="549">
        <v>16.578407982183943</v>
      </c>
    </row>
    <row r="25" spans="1:32" ht="14.45" x14ac:dyDescent="0.35">
      <c r="A25" s="252"/>
      <c r="B25" s="252"/>
      <c r="G25" s="549" t="str">
        <v/>
      </c>
      <c r="H25" s="549" t="str">
        <v/>
      </c>
      <c r="I25" s="549" t="str">
        <v/>
      </c>
      <c r="J25" s="549" t="str">
        <v/>
      </c>
      <c r="K25" s="549" t="str">
        <v/>
      </c>
      <c r="L25" s="549" t="str">
        <v/>
      </c>
      <c r="M25" s="549" t="str">
        <v/>
      </c>
      <c r="N25" s="549" t="str">
        <v/>
      </c>
      <c r="O25" s="549" t="str">
        <v/>
      </c>
      <c r="P25" s="549" t="str">
        <v/>
      </c>
      <c r="Q25" s="549" t="str">
        <v/>
      </c>
      <c r="R25" s="549" t="str">
        <v/>
      </c>
      <c r="S25" s="549" t="str">
        <v/>
      </c>
      <c r="T25" s="549" t="str">
        <v/>
      </c>
      <c r="U25" s="549" t="str">
        <v/>
      </c>
      <c r="V25" s="549" t="str">
        <v/>
      </c>
      <c r="W25" s="549" t="str">
        <v/>
      </c>
      <c r="X25" s="549" t="str">
        <v/>
      </c>
      <c r="Y25" s="549" t="str">
        <v/>
      </c>
      <c r="Z25" s="549" t="str">
        <v/>
      </c>
      <c r="AA25" s="549" t="str">
        <v/>
      </c>
      <c r="AB25" s="549" t="str">
        <v/>
      </c>
      <c r="AC25" s="549" t="str">
        <v/>
      </c>
      <c r="AD25" s="549" t="str">
        <v/>
      </c>
      <c r="AE25" s="549" t="str">
        <v/>
      </c>
      <c r="AF25" s="549" t="str">
        <v/>
      </c>
    </row>
    <row r="26" spans="1:32" s="202" customFormat="1" ht="12.95" x14ac:dyDescent="0.3">
      <c r="A26" s="267" t="s">
        <v>42</v>
      </c>
      <c r="B26" s="267"/>
      <c r="C26" s="267"/>
      <c r="D26" s="267"/>
      <c r="E26" s="267"/>
      <c r="F26" s="267"/>
      <c r="G26" s="632" t="str">
        <v/>
      </c>
      <c r="H26" s="632" t="str">
        <v/>
      </c>
      <c r="I26" s="632" t="str">
        <v/>
      </c>
      <c r="J26" s="632" t="str">
        <v/>
      </c>
      <c r="K26" s="632" t="str">
        <v/>
      </c>
      <c r="L26" s="632" t="str">
        <v/>
      </c>
      <c r="M26" s="632" t="str">
        <v/>
      </c>
      <c r="N26" s="632" t="str">
        <v/>
      </c>
      <c r="O26" s="632" t="str">
        <v/>
      </c>
      <c r="P26" s="632" t="str">
        <v/>
      </c>
      <c r="Q26" s="632" t="str">
        <v/>
      </c>
      <c r="R26" s="632" t="str">
        <v/>
      </c>
      <c r="S26" s="632" t="str">
        <v/>
      </c>
      <c r="T26" s="632" t="str">
        <v/>
      </c>
      <c r="U26" s="632" t="str">
        <v/>
      </c>
      <c r="V26" s="632" t="str">
        <v/>
      </c>
      <c r="W26" s="632" t="str">
        <v/>
      </c>
      <c r="X26" s="632" t="str">
        <v/>
      </c>
      <c r="Y26" s="632" t="str">
        <v/>
      </c>
      <c r="Z26" s="632" t="str">
        <v/>
      </c>
      <c r="AA26" s="632" t="str">
        <v/>
      </c>
      <c r="AB26" s="632" t="str">
        <v/>
      </c>
      <c r="AC26" s="632" t="str">
        <v/>
      </c>
      <c r="AD26" s="632" t="str">
        <v/>
      </c>
      <c r="AE26" s="632" t="str">
        <v/>
      </c>
      <c r="AF26" s="632" t="str">
        <v/>
      </c>
    </row>
    <row r="27" spans="1:32" ht="14.45" x14ac:dyDescent="0.35">
      <c r="A27" s="252"/>
      <c r="B27" s="257" t="s">
        <v>43</v>
      </c>
      <c r="G27" s="549">
        <v>2.6732242680453232E-2</v>
      </c>
      <c r="H27" s="549">
        <v>2.535058383377797E-2</v>
      </c>
      <c r="I27" s="549">
        <v>2.4054547203770874E-2</v>
      </c>
      <c r="J27" s="549">
        <v>2.283600674365838E-2</v>
      </c>
      <c r="K27" s="549">
        <v>2.1685760976819696E-2</v>
      </c>
      <c r="L27" s="549">
        <v>2.0599853333854119E-2</v>
      </c>
      <c r="M27" s="549">
        <v>1.9573174761156685E-2</v>
      </c>
      <c r="N27" s="549">
        <v>1.8601076985123144E-2</v>
      </c>
      <c r="O27" s="549">
        <v>1.768061440073098E-2</v>
      </c>
      <c r="P27" s="549">
        <v>1.6809374168909427E-2</v>
      </c>
      <c r="Q27" s="549">
        <v>1.5985116944203095E-2</v>
      </c>
      <c r="R27" s="549">
        <v>1.5205467312561461E-2</v>
      </c>
      <c r="S27" s="549">
        <v>1.4469508686248999E-2</v>
      </c>
      <c r="T27" s="549">
        <v>1.3775611393814235E-2</v>
      </c>
      <c r="U27" s="549">
        <v>1.3122161112467459E-2</v>
      </c>
      <c r="V27" s="549">
        <v>1.2507866905687231E-2</v>
      </c>
      <c r="W27" s="549">
        <v>1.1930785872411042E-2</v>
      </c>
      <c r="X27" s="549">
        <v>1.1388901960790992E-2</v>
      </c>
      <c r="Y27" s="549">
        <v>1.0880304180550162E-2</v>
      </c>
      <c r="Z27" s="549">
        <v>1.0403505641529746E-2</v>
      </c>
      <c r="AA27" s="549">
        <v>9.9571458321997732E-3</v>
      </c>
      <c r="AB27" s="549">
        <v>9.5400566718282873E-3</v>
      </c>
      <c r="AC27" s="549">
        <v>9.1497765092883702E-3</v>
      </c>
      <c r="AD27" s="549">
        <v>8.7846837701389333E-3</v>
      </c>
      <c r="AE27" s="549">
        <v>8.4432202381426631E-3</v>
      </c>
      <c r="AF27" s="549">
        <v>8.1238708049245056E-3</v>
      </c>
    </row>
    <row r="28" spans="1:32" ht="14.45" x14ac:dyDescent="0.35">
      <c r="A28" s="252"/>
      <c r="B28" s="257" t="s">
        <v>44</v>
      </c>
      <c r="G28" s="549">
        <v>3.989144514018399E-3</v>
      </c>
      <c r="H28" s="549">
        <v>2.8302794457748304E-2</v>
      </c>
      <c r="I28" s="549">
        <v>5.0980143925380292E-2</v>
      </c>
      <c r="J28" s="549">
        <v>7.1887720815174E-2</v>
      </c>
      <c r="K28" s="549">
        <v>9.074829298081577E-2</v>
      </c>
      <c r="L28" s="549">
        <v>0.10772907438566375</v>
      </c>
      <c r="M28" s="549">
        <v>0.1228626663197231</v>
      </c>
      <c r="N28" s="549">
        <v>0.13618234438989535</v>
      </c>
      <c r="O28" s="549">
        <v>0.14785226580745867</v>
      </c>
      <c r="P28" s="549">
        <v>0.15805729053227349</v>
      </c>
      <c r="Q28" s="549">
        <v>0.16697500656545597</v>
      </c>
      <c r="R28" s="549">
        <v>0.17474516937965873</v>
      </c>
      <c r="S28" s="549">
        <v>0.18162013565612917</v>
      </c>
      <c r="T28" s="549">
        <v>0.18776359429597939</v>
      </c>
      <c r="U28" s="549">
        <v>0.19332053637319846</v>
      </c>
      <c r="V28" s="549">
        <v>0.19844643990999919</v>
      </c>
      <c r="W28" s="549">
        <v>0.20321839784702703</v>
      </c>
      <c r="X28" s="549">
        <v>0.20768967873128527</v>
      </c>
      <c r="Y28" s="549">
        <v>0.2119079074639732</v>
      </c>
      <c r="Z28" s="549">
        <v>0.21594575383688028</v>
      </c>
      <c r="AA28" s="549">
        <v>0.21987401841339449</v>
      </c>
      <c r="AB28" s="549">
        <v>0.22377016131823951</v>
      </c>
      <c r="AC28" s="549">
        <v>0.22757596165122623</v>
      </c>
      <c r="AD28" s="549">
        <v>0.23130200623364836</v>
      </c>
      <c r="AE28" s="549">
        <v>0.2349546974450952</v>
      </c>
      <c r="AF28" s="549">
        <v>0.23853662356619135</v>
      </c>
    </row>
    <row r="29" spans="1:32" ht="14.45" x14ac:dyDescent="0.35">
      <c r="A29" s="252"/>
      <c r="B29" s="257" t="s">
        <v>45</v>
      </c>
      <c r="G29" s="549">
        <v>0.28391480503906469</v>
      </c>
      <c r="H29" s="549">
        <v>0.26661066197914463</v>
      </c>
      <c r="I29" s="549">
        <v>0.25039299774110552</v>
      </c>
      <c r="J29" s="549">
        <v>0.23519042443564014</v>
      </c>
      <c r="K29" s="549">
        <v>0.22093541931271271</v>
      </c>
      <c r="L29" s="549">
        <v>0.20756735029382462</v>
      </c>
      <c r="M29" s="549">
        <v>0.19502890336064149</v>
      </c>
      <c r="N29" s="549">
        <v>0.18326653877050927</v>
      </c>
      <c r="O29" s="549">
        <v>0.17223100170926722</v>
      </c>
      <c r="P29" s="549">
        <v>0.16187644689951758</v>
      </c>
      <c r="Q29" s="549">
        <v>0.15216006350093753</v>
      </c>
      <c r="R29" s="549">
        <v>0.14304168701932624</v>
      </c>
      <c r="S29" s="549">
        <v>0.13448446222228355</v>
      </c>
      <c r="T29" s="549">
        <v>0.12645351873661975</v>
      </c>
      <c r="U29" s="549">
        <v>0.11891620367641866</v>
      </c>
      <c r="V29" s="549">
        <v>0.11184209056659271</v>
      </c>
      <c r="W29" s="549">
        <v>0.10520233173577796</v>
      </c>
      <c r="X29" s="549">
        <v>9.8969832808013677E-2</v>
      </c>
      <c r="Y29" s="549">
        <v>9.3119231244921372E-2</v>
      </c>
      <c r="Z29" s="549">
        <v>8.7626953207710259E-2</v>
      </c>
      <c r="AA29" s="549">
        <v>8.2470951736117723E-2</v>
      </c>
      <c r="AB29" s="549">
        <v>7.763065576671524E-2</v>
      </c>
      <c r="AC29" s="549">
        <v>7.3086063025575965E-2</v>
      </c>
      <c r="AD29" s="549">
        <v>6.8818817349630357E-2</v>
      </c>
      <c r="AE29" s="549">
        <v>6.4811711040834816E-2</v>
      </c>
      <c r="AF29" s="549">
        <v>6.1048612422577288E-2</v>
      </c>
    </row>
    <row r="30" spans="1:32" ht="14.45" x14ac:dyDescent="0.35">
      <c r="A30" s="252"/>
      <c r="B30" s="257" t="s">
        <v>46</v>
      </c>
      <c r="G30" s="549">
        <v>0</v>
      </c>
      <c r="H30" s="549">
        <v>0</v>
      </c>
      <c r="I30" s="549">
        <v>0</v>
      </c>
      <c r="J30" s="549">
        <v>0</v>
      </c>
      <c r="K30" s="549">
        <v>0</v>
      </c>
      <c r="L30" s="549">
        <v>0</v>
      </c>
      <c r="M30" s="549">
        <v>0</v>
      </c>
      <c r="N30" s="549">
        <v>0</v>
      </c>
      <c r="O30" s="549">
        <v>0</v>
      </c>
      <c r="P30" s="549">
        <v>0</v>
      </c>
      <c r="Q30" s="549">
        <v>0</v>
      </c>
      <c r="R30" s="549">
        <v>0</v>
      </c>
      <c r="S30" s="549">
        <v>0</v>
      </c>
      <c r="T30" s="549">
        <v>0</v>
      </c>
      <c r="U30" s="549">
        <v>0</v>
      </c>
      <c r="V30" s="549">
        <v>0</v>
      </c>
      <c r="W30" s="549">
        <v>0</v>
      </c>
      <c r="X30" s="549">
        <v>0</v>
      </c>
      <c r="Y30" s="549">
        <v>0</v>
      </c>
      <c r="Z30" s="549">
        <v>0</v>
      </c>
      <c r="AA30" s="549">
        <v>0</v>
      </c>
      <c r="AB30" s="549">
        <v>0</v>
      </c>
      <c r="AC30" s="549">
        <v>0</v>
      </c>
      <c r="AD30" s="549">
        <v>0</v>
      </c>
      <c r="AE30" s="549">
        <v>0</v>
      </c>
      <c r="AF30" s="549">
        <v>0</v>
      </c>
    </row>
    <row r="31" spans="1:32" ht="14.45" x14ac:dyDescent="0.35">
      <c r="A31" s="252"/>
      <c r="B31" s="252" t="s">
        <v>29</v>
      </c>
      <c r="G31" s="549">
        <v>0</v>
      </c>
      <c r="H31" s="549">
        <v>2.136061486592661E-3</v>
      </c>
      <c r="I31" s="549">
        <v>5.0549243088021702E-3</v>
      </c>
      <c r="J31" s="549">
        <v>8.88208613429021E-3</v>
      </c>
      <c r="K31" s="549">
        <v>1.3662146535651933E-2</v>
      </c>
      <c r="L31" s="549">
        <v>1.9463720856978037E-2</v>
      </c>
      <c r="M31" s="549">
        <v>2.6266480565031138E-2</v>
      </c>
      <c r="N31" s="549">
        <v>3.3977053829873115E-2</v>
      </c>
      <c r="O31" s="549">
        <v>4.2502908718803828E-2</v>
      </c>
      <c r="P31" s="549">
        <v>5.1729434996771274E-2</v>
      </c>
      <c r="Q31" s="549">
        <v>6.1514459841874626E-2</v>
      </c>
      <c r="R31" s="549">
        <v>7.1669266647414992E-2</v>
      </c>
      <c r="S31" s="549">
        <v>8.2098038116883737E-2</v>
      </c>
      <c r="T31" s="549">
        <v>9.2656942152044258E-2</v>
      </c>
      <c r="U31" s="549">
        <v>0.10321910974649516</v>
      </c>
      <c r="V31" s="549">
        <v>0.11371290729822575</v>
      </c>
      <c r="W31" s="549">
        <v>0.12403263378557686</v>
      </c>
      <c r="X31" s="549">
        <v>0.1340882212268196</v>
      </c>
      <c r="Y31" s="549">
        <v>0.14382101507347814</v>
      </c>
      <c r="Z31" s="549">
        <v>0.15323318265562566</v>
      </c>
      <c r="AA31" s="549">
        <v>0.16235121150401072</v>
      </c>
      <c r="AB31" s="549">
        <v>0.17123095385647211</v>
      </c>
      <c r="AC31" s="549">
        <v>0.17978100703917194</v>
      </c>
      <c r="AD31" s="549">
        <v>0.1880025496105959</v>
      </c>
      <c r="AE31" s="549">
        <v>0.1958997451620868</v>
      </c>
      <c r="AF31" s="549">
        <v>0.20347947960076049</v>
      </c>
    </row>
    <row r="32" spans="1:32" ht="14.45" x14ac:dyDescent="0.35">
      <c r="A32" s="252"/>
      <c r="B32" s="252"/>
      <c r="G32" s="549" t="str">
        <v/>
      </c>
      <c r="H32" s="549" t="str">
        <v/>
      </c>
      <c r="I32" s="549" t="str">
        <v/>
      </c>
      <c r="J32" s="549" t="str">
        <v/>
      </c>
      <c r="K32" s="549" t="str">
        <v/>
      </c>
      <c r="L32" s="549" t="str">
        <v/>
      </c>
      <c r="M32" s="549" t="str">
        <v/>
      </c>
      <c r="N32" s="549" t="str">
        <v/>
      </c>
      <c r="O32" s="549" t="str">
        <v/>
      </c>
      <c r="P32" s="549" t="str">
        <v/>
      </c>
      <c r="Q32" s="549" t="str">
        <v/>
      </c>
      <c r="R32" s="549" t="str">
        <v/>
      </c>
      <c r="S32" s="549" t="str">
        <v/>
      </c>
      <c r="T32" s="549" t="str">
        <v/>
      </c>
      <c r="U32" s="549" t="str">
        <v/>
      </c>
      <c r="V32" s="549" t="str">
        <v/>
      </c>
      <c r="W32" s="549" t="str">
        <v/>
      </c>
      <c r="X32" s="549" t="str">
        <v/>
      </c>
      <c r="Y32" s="549" t="str">
        <v/>
      </c>
      <c r="Z32" s="549" t="str">
        <v/>
      </c>
      <c r="AA32" s="549" t="str">
        <v/>
      </c>
      <c r="AB32" s="549" t="str">
        <v/>
      </c>
      <c r="AC32" s="549" t="str">
        <v/>
      </c>
      <c r="AD32" s="549" t="str">
        <v/>
      </c>
      <c r="AE32" s="549" t="str">
        <v/>
      </c>
      <c r="AF32" s="549" t="str">
        <v/>
      </c>
    </row>
    <row r="33" spans="1:32" s="202" customFormat="1" ht="12.95" x14ac:dyDescent="0.3">
      <c r="A33" s="267" t="s">
        <v>47</v>
      </c>
      <c r="B33" s="267"/>
      <c r="C33" s="267"/>
      <c r="D33" s="267"/>
      <c r="E33" s="267"/>
      <c r="F33" s="267"/>
      <c r="G33" s="632" t="str">
        <v/>
      </c>
      <c r="H33" s="632" t="str">
        <v/>
      </c>
      <c r="I33" s="632" t="str">
        <v/>
      </c>
      <c r="J33" s="632" t="str">
        <v/>
      </c>
      <c r="K33" s="632" t="str">
        <v/>
      </c>
      <c r="L33" s="632" t="str">
        <v/>
      </c>
      <c r="M33" s="632" t="str">
        <v/>
      </c>
      <c r="N33" s="632" t="str">
        <v/>
      </c>
      <c r="O33" s="632" t="str">
        <v/>
      </c>
      <c r="P33" s="632" t="str">
        <v/>
      </c>
      <c r="Q33" s="632" t="str">
        <v/>
      </c>
      <c r="R33" s="632" t="str">
        <v/>
      </c>
      <c r="S33" s="632" t="str">
        <v/>
      </c>
      <c r="T33" s="632" t="str">
        <v/>
      </c>
      <c r="U33" s="632" t="str">
        <v/>
      </c>
      <c r="V33" s="632" t="str">
        <v/>
      </c>
      <c r="W33" s="632" t="str">
        <v/>
      </c>
      <c r="X33" s="632" t="str">
        <v/>
      </c>
      <c r="Y33" s="632" t="str">
        <v/>
      </c>
      <c r="Z33" s="632" t="str">
        <v/>
      </c>
      <c r="AA33" s="632" t="str">
        <v/>
      </c>
      <c r="AB33" s="632" t="str">
        <v/>
      </c>
      <c r="AC33" s="632" t="str">
        <v/>
      </c>
      <c r="AD33" s="632" t="str">
        <v/>
      </c>
      <c r="AE33" s="632" t="str">
        <v/>
      </c>
      <c r="AF33" s="632" t="str">
        <v/>
      </c>
    </row>
    <row r="34" spans="1:32" ht="14.45" x14ac:dyDescent="0.35">
      <c r="A34" s="252"/>
      <c r="B34" s="252" t="s">
        <v>48</v>
      </c>
      <c r="G34" s="549">
        <v>18.520314043171304</v>
      </c>
      <c r="H34" s="549">
        <v>17.603045923527723</v>
      </c>
      <c r="I34" s="549">
        <v>14.46262150763595</v>
      </c>
      <c r="J34" s="549">
        <v>9.767071631937208</v>
      </c>
      <c r="K34" s="549">
        <v>5.4152399982124644</v>
      </c>
      <c r="L34" s="549">
        <v>2.5779292038532802</v>
      </c>
      <c r="M34" s="549">
        <v>1.0921180175792444</v>
      </c>
      <c r="N34" s="549">
        <v>0.43147300436359415</v>
      </c>
      <c r="O34" s="549">
        <v>0.16361492488519844</v>
      </c>
      <c r="P34" s="549">
        <v>6.0684163021531651E-2</v>
      </c>
      <c r="Q34" s="549">
        <v>2.2203714400894227E-2</v>
      </c>
      <c r="R34" s="549">
        <v>8.0592670790362204E-3</v>
      </c>
      <c r="S34" s="549">
        <v>2.9154700440571371E-3</v>
      </c>
      <c r="T34" s="549">
        <v>1.0540875760748009E-3</v>
      </c>
      <c r="U34" s="549">
        <v>3.8155740096434168E-4</v>
      </c>
      <c r="V34" s="549">
        <v>1.3851370385831199E-4</v>
      </c>
      <c r="W34" s="549">
        <v>5.0462999680139788E-5</v>
      </c>
      <c r="X34" s="549">
        <v>1.8459703026820882E-5</v>
      </c>
      <c r="Y34" s="549">
        <v>6.7825473029348344E-6</v>
      </c>
      <c r="Z34" s="549">
        <v>2.5040963110051582E-6</v>
      </c>
      <c r="AA34" s="549">
        <v>9.2929040078740262E-7</v>
      </c>
      <c r="AB34" s="549">
        <v>3.4665783282537313E-7</v>
      </c>
      <c r="AC34" s="549">
        <v>1.3000338217786137E-7</v>
      </c>
      <c r="AD34" s="549">
        <v>4.9016475666329926E-8</v>
      </c>
      <c r="AE34" s="549">
        <v>1.8580878048313261E-8</v>
      </c>
      <c r="AF34" s="549">
        <v>7.0798046176132074E-9</v>
      </c>
    </row>
    <row r="35" spans="1:32" ht="14.45" x14ac:dyDescent="0.35">
      <c r="A35" s="252"/>
      <c r="B35" s="257" t="s">
        <v>50</v>
      </c>
      <c r="G35" s="549">
        <v>3.1261111199683898</v>
      </c>
      <c r="H35" s="549">
        <v>3.1680961191340775</v>
      </c>
      <c r="I35" s="549">
        <v>3.1403473715387986</v>
      </c>
      <c r="J35" s="549">
        <v>3.0082867842657137</v>
      </c>
      <c r="K35" s="549">
        <v>2.7672833571972637</v>
      </c>
      <c r="L35" s="549">
        <v>2.4584757962075257</v>
      </c>
      <c r="M35" s="549">
        <v>2.1200254933628089</v>
      </c>
      <c r="N35" s="549">
        <v>1.7913257497744115</v>
      </c>
      <c r="O35" s="549">
        <v>1.4931369572898054</v>
      </c>
      <c r="P35" s="549">
        <v>1.2338473817714215</v>
      </c>
      <c r="Q35" s="549">
        <v>1.0129029044945783</v>
      </c>
      <c r="R35" s="549">
        <v>0.82780955632362463</v>
      </c>
      <c r="S35" s="549">
        <v>0.67451156977089066</v>
      </c>
      <c r="T35" s="549">
        <v>0.54845330604738607</v>
      </c>
      <c r="U35" s="549">
        <v>0.44528925326680907</v>
      </c>
      <c r="V35" s="549">
        <v>0.36120545457116576</v>
      </c>
      <c r="W35" s="549">
        <v>0.29281239924214858</v>
      </c>
      <c r="X35" s="549">
        <v>0.23726567877740226</v>
      </c>
      <c r="Y35" s="549">
        <v>0.19219937024470696</v>
      </c>
      <c r="Z35" s="549">
        <v>0.15567352492673503</v>
      </c>
      <c r="AA35" s="549">
        <v>0.12609305349781538</v>
      </c>
      <c r="AB35" s="549">
        <v>0.10214051620991822</v>
      </c>
      <c r="AC35" s="549">
        <v>8.2747949583827349E-2</v>
      </c>
      <c r="AD35" s="549">
        <v>6.7048439301491028E-2</v>
      </c>
      <c r="AE35" s="549">
        <v>5.4337769862396787E-2</v>
      </c>
      <c r="AF35" s="549">
        <v>4.4041324637823086E-2</v>
      </c>
    </row>
    <row r="36" spans="1:32" ht="14.45" x14ac:dyDescent="0.35">
      <c r="A36" s="252"/>
      <c r="B36" s="252" t="s">
        <v>51</v>
      </c>
      <c r="G36" s="549">
        <v>3.2322536776657591</v>
      </c>
      <c r="H36" s="549">
        <v>3.3026116430697159</v>
      </c>
      <c r="I36" s="549">
        <v>3.3604923864690361</v>
      </c>
      <c r="J36" s="549">
        <v>3.3978177270449796</v>
      </c>
      <c r="K36" s="549">
        <v>3.4064632149365428</v>
      </c>
      <c r="L36" s="549">
        <v>3.3854627090965104</v>
      </c>
      <c r="M36" s="549">
        <v>3.3341840796362705</v>
      </c>
      <c r="N36" s="549">
        <v>3.2550963219599369</v>
      </c>
      <c r="O36" s="549">
        <v>3.1532462034169662</v>
      </c>
      <c r="P36" s="549">
        <v>3.0344350018191832</v>
      </c>
      <c r="Q36" s="549">
        <v>2.9035631802899822</v>
      </c>
      <c r="R36" s="549">
        <v>2.7649721528606759</v>
      </c>
      <c r="S36" s="549">
        <v>2.6228425592507087</v>
      </c>
      <c r="T36" s="549">
        <v>2.480060480937349</v>
      </c>
      <c r="U36" s="549">
        <v>2.3388227659931746</v>
      </c>
      <c r="V36" s="549">
        <v>2.2010267762975539</v>
      </c>
      <c r="W36" s="549">
        <v>2.0676835161366465</v>
      </c>
      <c r="X36" s="549">
        <v>1.9394645963838055</v>
      </c>
      <c r="Y36" s="549">
        <v>1.8168016910208462</v>
      </c>
      <c r="Z36" s="549">
        <v>1.7002185192036061</v>
      </c>
      <c r="AA36" s="549">
        <v>1.5899047265893709</v>
      </c>
      <c r="AB36" s="549">
        <v>1.4858438130824354</v>
      </c>
      <c r="AC36" s="549">
        <v>1.3875922590648579</v>
      </c>
      <c r="AD36" s="549">
        <v>1.2950914350035667</v>
      </c>
      <c r="AE36" s="549">
        <v>1.2080986420689166</v>
      </c>
      <c r="AF36" s="549">
        <v>1.1262642995559311</v>
      </c>
    </row>
    <row r="37" spans="1:32" ht="14.45" x14ac:dyDescent="0.35">
      <c r="A37" s="252"/>
      <c r="B37" s="252" t="s">
        <v>52</v>
      </c>
      <c r="G37" s="549">
        <v>3.7068089574290206</v>
      </c>
      <c r="H37" s="549">
        <v>3.7773896711240518</v>
      </c>
      <c r="I37" s="549">
        <v>3.8176597848954827</v>
      </c>
      <c r="J37" s="549">
        <v>3.8165961622440863</v>
      </c>
      <c r="K37" s="549">
        <v>3.7708673661070855</v>
      </c>
      <c r="L37" s="549">
        <v>3.6886565062254295</v>
      </c>
      <c r="M37" s="549">
        <v>3.5784808761582769</v>
      </c>
      <c r="N37" s="549">
        <v>3.44973032788582</v>
      </c>
      <c r="O37" s="549">
        <v>3.31039055824388</v>
      </c>
      <c r="P37" s="549">
        <v>3.1663658131397088</v>
      </c>
      <c r="Q37" s="549">
        <v>3.0213737835348988</v>
      </c>
      <c r="R37" s="549">
        <v>2.8779037638868354</v>
      </c>
      <c r="S37" s="549">
        <v>2.73780209985346</v>
      </c>
      <c r="T37" s="549">
        <v>2.6020890424292231</v>
      </c>
      <c r="U37" s="549">
        <v>2.4713687456198272</v>
      </c>
      <c r="V37" s="549">
        <v>2.3460680647190162</v>
      </c>
      <c r="W37" s="549">
        <v>2.2262744289399317</v>
      </c>
      <c r="X37" s="549">
        <v>2.1119623816490094</v>
      </c>
      <c r="Y37" s="549">
        <v>2.0030381907355017</v>
      </c>
      <c r="Z37" s="549">
        <v>1.8994089681204172</v>
      </c>
      <c r="AA37" s="549">
        <v>1.8009478928716693</v>
      </c>
      <c r="AB37" s="549">
        <v>1.7074748396611583</v>
      </c>
      <c r="AC37" s="549">
        <v>1.6187211429479202</v>
      </c>
      <c r="AD37" s="549">
        <v>1.5344742164713998</v>
      </c>
      <c r="AE37" s="549">
        <v>1.4545172776002198</v>
      </c>
      <c r="AF37" s="549">
        <v>1.3786046506244458</v>
      </c>
    </row>
    <row r="38" spans="1:32" x14ac:dyDescent="0.25">
      <c r="A38" s="252"/>
      <c r="B38" s="257" t="s">
        <v>29</v>
      </c>
      <c r="G38" s="549">
        <v>0.10065347134946012</v>
      </c>
      <c r="H38" s="549">
        <v>1.5432587269298317</v>
      </c>
      <c r="I38" s="549">
        <v>5.3512087281023071</v>
      </c>
      <c r="J38" s="549">
        <v>10.902399468431824</v>
      </c>
      <c r="K38" s="549">
        <v>16.285991226803286</v>
      </c>
      <c r="L38" s="549">
        <v>20.298484019758067</v>
      </c>
      <c r="M38" s="549">
        <v>23.052247363503312</v>
      </c>
      <c r="N38" s="549">
        <v>25.011429745010325</v>
      </c>
      <c r="O38" s="549">
        <v>26.576230088973034</v>
      </c>
      <c r="P38" s="549">
        <v>27.956254242275094</v>
      </c>
      <c r="Q38" s="549">
        <v>29.242897318501733</v>
      </c>
      <c r="R38" s="549">
        <v>30.46344354707972</v>
      </c>
      <c r="S38" s="549">
        <v>31.642018741726957</v>
      </c>
      <c r="T38" s="549">
        <v>32.783390401157</v>
      </c>
      <c r="U38" s="549">
        <v>33.889659477939439</v>
      </c>
      <c r="V38" s="549">
        <v>34.967794730201589</v>
      </c>
      <c r="W38" s="549">
        <v>36.014893320675625</v>
      </c>
      <c r="X38" s="549">
        <v>37.027195517881431</v>
      </c>
      <c r="Y38" s="549">
        <v>38.00324145975781</v>
      </c>
      <c r="Z38" s="549">
        <v>38.949095404404218</v>
      </c>
      <c r="AA38" s="549">
        <v>39.873047864497757</v>
      </c>
      <c r="AB38" s="549">
        <v>40.786826270371527</v>
      </c>
      <c r="AC38" s="549">
        <v>41.676456487634539</v>
      </c>
      <c r="AD38" s="549">
        <v>42.542324622035558</v>
      </c>
      <c r="AE38" s="549">
        <v>43.38484503367917</v>
      </c>
      <c r="AF38" s="549">
        <v>44.204445048930914</v>
      </c>
    </row>
    <row r="39" spans="1:32" x14ac:dyDescent="0.25">
      <c r="A39" s="252"/>
      <c r="B39" s="257" t="s">
        <v>53</v>
      </c>
      <c r="G39" s="549">
        <v>0.13077055029251408</v>
      </c>
      <c r="H39" s="549">
        <v>0.13359098418629578</v>
      </c>
      <c r="I39" s="549">
        <v>0.1359246604744388</v>
      </c>
      <c r="J39" s="549">
        <v>0.13751127113005432</v>
      </c>
      <c r="K39" s="549">
        <v>0.1381003398471092</v>
      </c>
      <c r="L39" s="549">
        <v>0.13771717431727487</v>
      </c>
      <c r="M39" s="549">
        <v>0.13637376485679387</v>
      </c>
      <c r="N39" s="549">
        <v>0.13416948951047428</v>
      </c>
      <c r="O39" s="549">
        <v>0.13127089165146205</v>
      </c>
      <c r="P39" s="549">
        <v>0.12785211921883785</v>
      </c>
      <c r="Q39" s="549">
        <v>0.12404857628369048</v>
      </c>
      <c r="R39" s="549">
        <v>0.11997320498684819</v>
      </c>
      <c r="S39" s="549">
        <v>0.11574201306619604</v>
      </c>
      <c r="T39" s="549">
        <v>0.11143072197226013</v>
      </c>
      <c r="U39" s="549">
        <v>0.10709774940585</v>
      </c>
      <c r="V39" s="549">
        <v>0.10279765323397352</v>
      </c>
      <c r="W39" s="549">
        <v>9.8558635245342127E-2</v>
      </c>
      <c r="X39" s="549">
        <v>9.4401071712352402E-2</v>
      </c>
      <c r="Y39" s="549">
        <v>9.0340414255552212E-2</v>
      </c>
      <c r="Z39" s="549">
        <v>8.6393372065214261E-2</v>
      </c>
      <c r="AA39" s="549">
        <v>8.2572973441256026E-2</v>
      </c>
      <c r="AB39" s="549">
        <v>7.8886336966894621E-2</v>
      </c>
      <c r="AC39" s="549">
        <v>7.5327215298598732E-2</v>
      </c>
      <c r="AD39" s="549">
        <v>7.1895709370069533E-2</v>
      </c>
      <c r="AE39" s="549">
        <v>6.8590224423596094E-2</v>
      </c>
      <c r="AF39" s="549">
        <v>6.5404826598896043E-2</v>
      </c>
    </row>
    <row r="40" spans="1:32" x14ac:dyDescent="0.25">
      <c r="G40" s="205"/>
    </row>
    <row r="42" spans="1:32" customFormat="1" x14ac:dyDescent="0.25">
      <c r="A42" s="290" t="s">
        <v>527</v>
      </c>
      <c r="B42" s="291"/>
      <c r="C42" s="290"/>
      <c r="D42" s="289"/>
      <c r="E42" s="289"/>
      <c r="F42" s="289"/>
      <c r="G42" s="289" t="s">
        <v>701</v>
      </c>
      <c r="H42" s="300"/>
      <c r="I42" s="300"/>
      <c r="J42" s="300"/>
      <c r="K42" s="300"/>
      <c r="L42" s="300"/>
      <c r="M42" s="300"/>
      <c r="N42" s="300"/>
      <c r="O42" s="300"/>
      <c r="P42" s="300"/>
      <c r="Q42" s="300"/>
      <c r="R42" s="300"/>
      <c r="S42" s="300"/>
      <c r="T42" s="300"/>
      <c r="U42" s="300"/>
      <c r="V42" s="300"/>
      <c r="W42" s="300"/>
      <c r="X42" s="300"/>
      <c r="Y42" s="300"/>
      <c r="Z42" s="300"/>
      <c r="AA42" s="300"/>
      <c r="AB42" s="300"/>
      <c r="AC42" s="300"/>
      <c r="AD42" s="300"/>
      <c r="AE42" s="300"/>
      <c r="AF42" s="300"/>
    </row>
    <row r="43" spans="1:32" customFormat="1" x14ac:dyDescent="0.25">
      <c r="A43" s="279" t="s">
        <v>12</v>
      </c>
      <c r="B43" s="278"/>
    </row>
    <row r="44" spans="1:32" customFormat="1" x14ac:dyDescent="0.25">
      <c r="A44" s="278"/>
      <c r="B44" s="278" t="s">
        <v>20</v>
      </c>
    </row>
    <row r="45" spans="1:32" s="202" customFormat="1" ht="12.75" x14ac:dyDescent="0.2">
      <c r="A45" s="295" t="s">
        <v>21</v>
      </c>
      <c r="B45" s="295"/>
      <c r="C45" s="295"/>
      <c r="D45" s="295"/>
      <c r="E45" s="295"/>
      <c r="F45" s="295"/>
      <c r="G45" s="295"/>
      <c r="H45" s="295"/>
      <c r="I45" s="295"/>
      <c r="J45" s="295"/>
      <c r="K45" s="295"/>
      <c r="L45" s="295"/>
      <c r="M45" s="295"/>
      <c r="N45" s="295"/>
      <c r="O45" s="295"/>
      <c r="P45" s="295"/>
      <c r="Q45" s="295"/>
      <c r="R45" s="295"/>
      <c r="S45" s="295"/>
      <c r="T45" s="295"/>
      <c r="U45" s="295"/>
      <c r="V45" s="295"/>
      <c r="W45" s="295"/>
      <c r="X45" s="295"/>
      <c r="Y45" s="295"/>
      <c r="Z45" s="295"/>
      <c r="AA45" s="295"/>
      <c r="AB45" s="295"/>
      <c r="AC45" s="295"/>
      <c r="AD45" s="295"/>
      <c r="AE45" s="295"/>
      <c r="AF45" s="295"/>
    </row>
    <row r="46" spans="1:32" x14ac:dyDescent="0.25">
      <c r="A46" s="278"/>
      <c r="B46" s="278" t="s">
        <v>22</v>
      </c>
      <c r="G46" s="549">
        <f t="array" ref="G46:AF76" ca="1">IF(ISNUMBER(Eff_Lamp_Stock),IF(Eff_Lamp_Stock=0,0,IF(Active_Case="Res", (Stock/(Eff_Lamp_Stock*Eff_Ballast_Stock*Perform_Active!M10:M40))*HVAC_factor,Stock/(Eff_Lamp_Stock*Eff_Ballast_Stock*Perform_Active!M10:M40))),"")</f>
        <v>3.6427408476007375</v>
      </c>
      <c r="H46" s="549">
        <f ca="1"/>
        <v>3.3750391963540092</v>
      </c>
      <c r="I46" s="549">
        <f ca="1"/>
        <v>3.045502582735109</v>
      </c>
      <c r="J46" s="549">
        <f ca="1"/>
        <v>2.4319163917461371</v>
      </c>
      <c r="K46" s="549">
        <f ca="1"/>
        <v>1.8410529579721109</v>
      </c>
      <c r="L46" s="549">
        <f ca="1"/>
        <v>1.3177168997953852</v>
      </c>
      <c r="M46" s="549">
        <f ca="1"/>
        <v>0.79581745491324218</v>
      </c>
      <c r="N46" s="549">
        <f ca="1"/>
        <v>0.51582176310215333</v>
      </c>
      <c r="O46" s="549">
        <f ca="1"/>
        <v>0.35956798003806001</v>
      </c>
      <c r="P46" s="549">
        <f ca="1"/>
        <v>0.26748939185201964</v>
      </c>
      <c r="Q46" s="549">
        <f ca="1"/>
        <v>0.20805456461005378</v>
      </c>
      <c r="R46" s="549">
        <f ca="1"/>
        <v>0.1655772236750393</v>
      </c>
      <c r="S46" s="549">
        <f ca="1"/>
        <v>0.13315866740238053</v>
      </c>
      <c r="T46" s="549">
        <f ca="1"/>
        <v>0.10733298413737928</v>
      </c>
      <c r="U46" s="549">
        <f ca="1"/>
        <v>8.6346216738149489E-2</v>
      </c>
      <c r="V46" s="549">
        <f ca="1"/>
        <v>6.9486766781053921E-2</v>
      </c>
      <c r="W46" s="549">
        <f ca="1"/>
        <v>5.5940073717207509E-2</v>
      </c>
      <c r="X46" s="549">
        <f ca="1"/>
        <v>4.5102779239510574E-2</v>
      </c>
      <c r="Y46" s="549">
        <f ca="1"/>
        <v>3.648660852098292E-2</v>
      </c>
      <c r="Z46" s="549">
        <f ca="1"/>
        <v>2.9727479169251281E-2</v>
      </c>
      <c r="AA46" s="549">
        <f ca="1"/>
        <v>2.4487035983091224E-2</v>
      </c>
      <c r="AB46" s="549">
        <f ca="1"/>
        <v>2.0375357809335339E-2</v>
      </c>
      <c r="AC46" s="549">
        <f ca="1"/>
        <v>1.713307512825573E-2</v>
      </c>
      <c r="AD46" s="549">
        <f ca="1"/>
        <v>1.45440701274917E-2</v>
      </c>
      <c r="AE46" s="549">
        <f ca="1"/>
        <v>1.2442091645669484E-2</v>
      </c>
      <c r="AF46" s="549">
        <f ca="1"/>
        <v>1.063856317294456E-2</v>
      </c>
    </row>
    <row r="47" spans="1:32" x14ac:dyDescent="0.25">
      <c r="A47" s="278"/>
      <c r="B47" s="278" t="s">
        <v>26</v>
      </c>
      <c r="G47" s="549">
        <f ca="1"/>
        <v>5.4122202645031502E-2</v>
      </c>
      <c r="H47" s="549">
        <f ca="1"/>
        <v>5.2400418958181962E-2</v>
      </c>
      <c r="I47" s="549">
        <f ca="1"/>
        <v>0.1294940610531459</v>
      </c>
      <c r="J47" s="549">
        <f ca="1"/>
        <v>0.3759179089057294</v>
      </c>
      <c r="K47" s="549">
        <f ca="1"/>
        <v>0.63139164920933255</v>
      </c>
      <c r="L47" s="549">
        <f ca="1"/>
        <v>0.79871291817207679</v>
      </c>
      <c r="M47" s="549">
        <f ca="1"/>
        <v>0.91108383227133172</v>
      </c>
      <c r="N47" s="549">
        <f ca="1"/>
        <v>0.90668435993844299</v>
      </c>
      <c r="O47" s="549">
        <f ca="1"/>
        <v>0.85282360590677564</v>
      </c>
      <c r="P47" s="549">
        <f ca="1"/>
        <v>0.78037033020582436</v>
      </c>
      <c r="Q47" s="549">
        <f ca="1"/>
        <v>0.7004600802974108</v>
      </c>
      <c r="R47" s="549">
        <f ca="1"/>
        <v>0.61803578274696991</v>
      </c>
      <c r="S47" s="549">
        <f ca="1"/>
        <v>0.5381238179427521</v>
      </c>
      <c r="T47" s="549">
        <f ca="1"/>
        <v>0.46346241129874538</v>
      </c>
      <c r="U47" s="549">
        <f ca="1"/>
        <v>0.3957556500361511</v>
      </c>
      <c r="V47" s="549">
        <f ca="1"/>
        <v>0.33675958320392158</v>
      </c>
      <c r="W47" s="549">
        <f ca="1"/>
        <v>0.28625263581264582</v>
      </c>
      <c r="X47" s="549">
        <f ca="1"/>
        <v>0.24365032745584017</v>
      </c>
      <c r="Y47" s="549">
        <f ca="1"/>
        <v>0.2081722268535543</v>
      </c>
      <c r="Z47" s="549">
        <f ca="1"/>
        <v>0.17915482893390058</v>
      </c>
      <c r="AA47" s="549">
        <f ca="1"/>
        <v>0.15622551503698467</v>
      </c>
      <c r="AB47" s="549">
        <f ca="1"/>
        <v>0.1373130966365029</v>
      </c>
      <c r="AC47" s="549">
        <f ca="1"/>
        <v>0.12192892000087349</v>
      </c>
      <c r="AD47" s="549">
        <f ca="1"/>
        <v>0.10929468891375994</v>
      </c>
      <c r="AE47" s="549">
        <f ca="1"/>
        <v>9.8758396176767169E-2</v>
      </c>
      <c r="AF47" s="549">
        <f ca="1"/>
        <v>8.9464657879111717E-2</v>
      </c>
    </row>
    <row r="48" spans="1:32" x14ac:dyDescent="0.25">
      <c r="A48" s="278"/>
      <c r="B48" s="278" t="s">
        <v>27</v>
      </c>
      <c r="G48" s="549">
        <f ca="1"/>
        <v>0.61583584632403054</v>
      </c>
      <c r="H48" s="549">
        <f ca="1"/>
        <v>0.71365376165649008</v>
      </c>
      <c r="I48" s="549">
        <f ca="1"/>
        <v>0.80426195096040154</v>
      </c>
      <c r="J48" s="549">
        <f ca="1"/>
        <v>0.91317015020309644</v>
      </c>
      <c r="K48" s="549">
        <f ca="1"/>
        <v>1.0089075583267482</v>
      </c>
      <c r="L48" s="549">
        <f ca="1"/>
        <v>1.107036689999976</v>
      </c>
      <c r="M48" s="549">
        <f ca="1"/>
        <v>1.2106521716945717</v>
      </c>
      <c r="N48" s="549">
        <f ca="1"/>
        <v>1.2786518787806265</v>
      </c>
      <c r="O48" s="549">
        <f ca="1"/>
        <v>1.3183060139357925</v>
      </c>
      <c r="P48" s="549">
        <f ca="1"/>
        <v>1.3340359263275809</v>
      </c>
      <c r="Q48" s="549">
        <f ca="1"/>
        <v>1.3301006334992067</v>
      </c>
      <c r="R48" s="549">
        <f ca="1"/>
        <v>1.3098153234452534</v>
      </c>
      <c r="S48" s="549">
        <f ca="1"/>
        <v>1.2761549387389197</v>
      </c>
      <c r="T48" s="549">
        <f ca="1"/>
        <v>1.2320827699831278</v>
      </c>
      <c r="U48" s="549">
        <f ca="1"/>
        <v>1.1805299933544158</v>
      </c>
      <c r="V48" s="549">
        <f ca="1"/>
        <v>1.1242277140271872</v>
      </c>
      <c r="W48" s="549">
        <f ca="1"/>
        <v>1.0655159750305254</v>
      </c>
      <c r="X48" s="549">
        <f ca="1"/>
        <v>1.006368570641252</v>
      </c>
      <c r="Y48" s="549">
        <f ca="1"/>
        <v>0.94819574006254548</v>
      </c>
      <c r="Z48" s="549">
        <f ca="1"/>
        <v>0.89005991788266725</v>
      </c>
      <c r="AA48" s="549">
        <f ca="1"/>
        <v>0.83493812169472548</v>
      </c>
      <c r="AB48" s="549">
        <f ca="1"/>
        <v>0.78299060405758603</v>
      </c>
      <c r="AC48" s="549">
        <f ca="1"/>
        <v>0.73447390831782067</v>
      </c>
      <c r="AD48" s="549">
        <f ca="1"/>
        <v>0.68932547247991238</v>
      </c>
      <c r="AE48" s="549">
        <f ca="1"/>
        <v>0.64984146508485707</v>
      </c>
      <c r="AF48" s="549">
        <f ca="1"/>
        <v>0.61109354632393786</v>
      </c>
    </row>
    <row r="49" spans="1:32" x14ac:dyDescent="0.25">
      <c r="A49" s="278"/>
      <c r="B49" s="278" t="s">
        <v>29</v>
      </c>
      <c r="G49" s="549">
        <f ca="1"/>
        <v>0</v>
      </c>
      <c r="H49" s="549">
        <f ca="1"/>
        <v>1.797635243151491E-3</v>
      </c>
      <c r="I49" s="549">
        <f ca="1"/>
        <v>5.1894778523385076E-3</v>
      </c>
      <c r="J49" s="549">
        <f ca="1"/>
        <v>9.3087878781072005E-3</v>
      </c>
      <c r="K49" s="549">
        <f ca="1"/>
        <v>1.4610349964009206E-2</v>
      </c>
      <c r="L49" s="549">
        <f ca="1"/>
        <v>2.1592176508139552E-2</v>
      </c>
      <c r="M49" s="549">
        <f ca="1"/>
        <v>3.1089948645393852E-2</v>
      </c>
      <c r="N49" s="549">
        <f ca="1"/>
        <v>4.3251805444947784E-2</v>
      </c>
      <c r="O49" s="549">
        <f ca="1"/>
        <v>5.8491673857148471E-2</v>
      </c>
      <c r="P49" s="549">
        <f ca="1"/>
        <v>7.6910073908290966E-2</v>
      </c>
      <c r="Q49" s="549">
        <f ca="1"/>
        <v>9.8373135032588155E-2</v>
      </c>
      <c r="R49" s="549">
        <f ca="1"/>
        <v>0.12301620522613602</v>
      </c>
      <c r="S49" s="549">
        <f ca="1"/>
        <v>0.15021308572687109</v>
      </c>
      <c r="T49" s="549">
        <f ca="1"/>
        <v>0.17916742122943183</v>
      </c>
      <c r="U49" s="549">
        <f ca="1"/>
        <v>0.2090851385448701</v>
      </c>
      <c r="V49" s="549">
        <f ca="1"/>
        <v>0.23924429780743056</v>
      </c>
      <c r="W49" s="549">
        <f ca="1"/>
        <v>0.26904586382884932</v>
      </c>
      <c r="X49" s="549">
        <f ca="1"/>
        <v>0.29798837121242272</v>
      </c>
      <c r="Y49" s="549">
        <f ca="1"/>
        <v>0.32575771714517854</v>
      </c>
      <c r="Z49" s="549">
        <f ca="1"/>
        <v>0.35221482700719303</v>
      </c>
      <c r="AA49" s="549">
        <f ca="1"/>
        <v>0.37733931572115126</v>
      </c>
      <c r="AB49" s="549">
        <f ca="1"/>
        <v>0.40126338434380104</v>
      </c>
      <c r="AC49" s="549">
        <f ca="1"/>
        <v>0.42387419972195223</v>
      </c>
      <c r="AD49" s="549">
        <f ca="1"/>
        <v>0.44519793547328135</v>
      </c>
      <c r="AE49" s="549">
        <f ca="1"/>
        <v>0.46530565481602826</v>
      </c>
      <c r="AF49" s="549">
        <f ca="1"/>
        <v>0.48432000732500718</v>
      </c>
    </row>
    <row r="50" spans="1:32" x14ac:dyDescent="0.25">
      <c r="A50" s="278"/>
      <c r="B50" s="278"/>
      <c r="G50" s="549" t="str">
        <v/>
      </c>
      <c r="H50" s="549" t="str">
        <v/>
      </c>
      <c r="I50" s="549" t="str">
        <v/>
      </c>
      <c r="J50" s="549" t="str">
        <v/>
      </c>
      <c r="K50" s="549" t="str">
        <v/>
      </c>
      <c r="L50" s="549" t="str">
        <v/>
      </c>
      <c r="M50" s="549" t="str">
        <v/>
      </c>
      <c r="N50" s="549" t="str">
        <v/>
      </c>
      <c r="O50" s="549" t="str">
        <v/>
      </c>
      <c r="P50" s="549" t="str">
        <v/>
      </c>
      <c r="Q50" s="549" t="str">
        <v/>
      </c>
      <c r="R50" s="549" t="str">
        <v/>
      </c>
      <c r="S50" s="549" t="str">
        <v/>
      </c>
      <c r="T50" s="549" t="str">
        <v/>
      </c>
      <c r="U50" s="549" t="str">
        <v/>
      </c>
      <c r="V50" s="549" t="str">
        <v/>
      </c>
      <c r="W50" s="549" t="str">
        <v/>
      </c>
      <c r="X50" s="549" t="str">
        <v/>
      </c>
      <c r="Y50" s="549" t="str">
        <v/>
      </c>
      <c r="Z50" s="549" t="str">
        <v/>
      </c>
      <c r="AA50" s="549" t="str">
        <v/>
      </c>
      <c r="AB50" s="549" t="str">
        <v/>
      </c>
      <c r="AC50" s="549" t="str">
        <v/>
      </c>
      <c r="AD50" s="549" t="str">
        <v/>
      </c>
      <c r="AE50" s="549" t="str">
        <v/>
      </c>
      <c r="AF50" s="549" t="str">
        <v/>
      </c>
    </row>
    <row r="51" spans="1:32" s="202" customFormat="1" ht="12.75" x14ac:dyDescent="0.2">
      <c r="A51" s="295" t="s">
        <v>32</v>
      </c>
      <c r="B51" s="295"/>
      <c r="C51" s="295"/>
      <c r="D51" s="295"/>
      <c r="E51" s="295"/>
      <c r="F51" s="295"/>
      <c r="G51" s="632" t="str">
        <v/>
      </c>
      <c r="H51" s="632" t="str">
        <v/>
      </c>
      <c r="I51" s="632" t="str">
        <v/>
      </c>
      <c r="J51" s="632" t="str">
        <v/>
      </c>
      <c r="K51" s="632" t="str">
        <v/>
      </c>
      <c r="L51" s="632" t="str">
        <v/>
      </c>
      <c r="M51" s="632" t="str">
        <v/>
      </c>
      <c r="N51" s="632" t="str">
        <v/>
      </c>
      <c r="O51" s="632" t="str">
        <v/>
      </c>
      <c r="P51" s="632" t="str">
        <v/>
      </c>
      <c r="Q51" s="632" t="str">
        <v/>
      </c>
      <c r="R51" s="632" t="str">
        <v/>
      </c>
      <c r="S51" s="632" t="str">
        <v/>
      </c>
      <c r="T51" s="632" t="str">
        <v/>
      </c>
      <c r="U51" s="632" t="str">
        <v/>
      </c>
      <c r="V51" s="632" t="str">
        <v/>
      </c>
      <c r="W51" s="632" t="str">
        <v/>
      </c>
      <c r="X51" s="632" t="str">
        <v/>
      </c>
      <c r="Y51" s="632" t="str">
        <v/>
      </c>
      <c r="Z51" s="632" t="str">
        <v/>
      </c>
      <c r="AA51" s="632" t="str">
        <v/>
      </c>
      <c r="AB51" s="632" t="str">
        <v/>
      </c>
      <c r="AC51" s="632" t="str">
        <v/>
      </c>
      <c r="AD51" s="632" t="str">
        <v/>
      </c>
      <c r="AE51" s="632" t="str">
        <v/>
      </c>
      <c r="AF51" s="632" t="str">
        <v/>
      </c>
    </row>
    <row r="52" spans="1:32" x14ac:dyDescent="0.25">
      <c r="A52" s="278"/>
      <c r="B52" s="278" t="s">
        <v>33</v>
      </c>
      <c r="G52" s="549">
        <v>0.82421848468494552</v>
      </c>
      <c r="H52" s="549">
        <v>0.7245554385892371</v>
      </c>
      <c r="I52" s="549">
        <v>0.66574976512918538</v>
      </c>
      <c r="J52" s="549">
        <v>0.6327788011226444</v>
      </c>
      <c r="K52" s="549">
        <v>0.61228628798254514</v>
      </c>
      <c r="L52" s="549">
        <v>0.58640264870345182</v>
      </c>
      <c r="M52" s="549">
        <v>0.55142822975346006</v>
      </c>
      <c r="N52" s="549">
        <v>0.50932158690545659</v>
      </c>
      <c r="O52" s="549">
        <v>0.46207826520932749</v>
      </c>
      <c r="P52" s="549">
        <v>0.41235477436467588</v>
      </c>
      <c r="Q52" s="549">
        <v>0.36174431640342014</v>
      </c>
      <c r="R52" s="549">
        <v>0.31195189343121299</v>
      </c>
      <c r="S52" s="549">
        <v>0.26505290784142327</v>
      </c>
      <c r="T52" s="549">
        <v>0.22235422073335964</v>
      </c>
      <c r="U52" s="549">
        <v>0.18458653412617237</v>
      </c>
      <c r="V52" s="549">
        <v>0.15218431700065813</v>
      </c>
      <c r="W52" s="549">
        <v>0.12491983810984642</v>
      </c>
      <c r="X52" s="549">
        <v>0.10235119031331444</v>
      </c>
      <c r="Y52" s="549">
        <v>8.3905328082820071E-2</v>
      </c>
      <c r="Z52" s="549">
        <v>6.902318615506671E-2</v>
      </c>
      <c r="AA52" s="549">
        <v>5.7149385425277331E-2</v>
      </c>
      <c r="AB52" s="549">
        <v>4.7696552491350748E-2</v>
      </c>
      <c r="AC52" s="549">
        <v>4.0160303311755637E-2</v>
      </c>
      <c r="AD52" s="549">
        <v>3.4138214863901326E-2</v>
      </c>
      <c r="AE52" s="549">
        <v>2.9287279383178436E-2</v>
      </c>
      <c r="AF52" s="549">
        <v>2.5271442862566648E-2</v>
      </c>
    </row>
    <row r="53" spans="1:32" x14ac:dyDescent="0.25">
      <c r="A53" s="282"/>
      <c r="B53" s="282" t="s">
        <v>34</v>
      </c>
      <c r="G53" s="549">
        <v>0.45221057428580463</v>
      </c>
      <c r="H53" s="549">
        <v>0.54171282790580211</v>
      </c>
      <c r="I53" s="549">
        <v>0.57935042444146256</v>
      </c>
      <c r="J53" s="549">
        <v>0.58938325630763366</v>
      </c>
      <c r="K53" s="549">
        <v>0.57807553985479632</v>
      </c>
      <c r="L53" s="549">
        <v>0.565460070667128</v>
      </c>
      <c r="M53" s="549">
        <v>0.54855015781768091</v>
      </c>
      <c r="N53" s="549">
        <v>0.5110230647741042</v>
      </c>
      <c r="O53" s="549">
        <v>0.47310323827305584</v>
      </c>
      <c r="P53" s="549">
        <v>0.43554492100490794</v>
      </c>
      <c r="Q53" s="549">
        <v>0.39941278641340444</v>
      </c>
      <c r="R53" s="549">
        <v>0.36110884102901775</v>
      </c>
      <c r="S53" s="549">
        <v>0.32252740235345051</v>
      </c>
      <c r="T53" s="549">
        <v>0.28516578744401927</v>
      </c>
      <c r="U53" s="549">
        <v>0.25016319502779327</v>
      </c>
      <c r="V53" s="549">
        <v>0.21837414634648489</v>
      </c>
      <c r="W53" s="549">
        <v>0.19014520289906747</v>
      </c>
      <c r="X53" s="549">
        <v>0.16553393612570269</v>
      </c>
      <c r="Y53" s="549">
        <v>0.14439273435649622</v>
      </c>
      <c r="Z53" s="549">
        <v>0.12649837298731306</v>
      </c>
      <c r="AA53" s="549">
        <v>0.11155390387688949</v>
      </c>
      <c r="AB53" s="549">
        <v>9.9176216735600148E-2</v>
      </c>
      <c r="AC53" s="549">
        <v>8.8921970047769056E-2</v>
      </c>
      <c r="AD53" s="549">
        <v>8.040625801466797E-2</v>
      </c>
      <c r="AE53" s="549">
        <v>7.3353827122533924E-2</v>
      </c>
      <c r="AF53" s="549">
        <v>6.740765488096663E-2</v>
      </c>
    </row>
    <row r="54" spans="1:32" x14ac:dyDescent="0.25">
      <c r="A54" s="278"/>
      <c r="B54" s="282" t="s">
        <v>35</v>
      </c>
      <c r="G54" s="549">
        <v>6.3588977834793461E-2</v>
      </c>
      <c r="H54" s="549">
        <v>6.6013774467197583E-2</v>
      </c>
      <c r="I54" s="549">
        <v>6.8540275603549874E-2</v>
      </c>
      <c r="J54" s="549">
        <v>7.1247894831878669E-2</v>
      </c>
      <c r="K54" s="549">
        <v>7.4185666758573979E-2</v>
      </c>
      <c r="L54" s="549">
        <v>7.640555312667828E-2</v>
      </c>
      <c r="M54" s="549">
        <v>7.7994534095133114E-2</v>
      </c>
      <c r="N54" s="549">
        <v>7.8722438021780444E-2</v>
      </c>
      <c r="O54" s="549">
        <v>7.8516606596312669E-2</v>
      </c>
      <c r="P54" s="549">
        <v>7.736988468590196E-2</v>
      </c>
      <c r="Q54" s="549">
        <v>7.5419024572753041E-2</v>
      </c>
      <c r="R54" s="549">
        <v>7.2817059272065623E-2</v>
      </c>
      <c r="S54" s="549">
        <v>6.9718354057800899E-2</v>
      </c>
      <c r="T54" s="549">
        <v>6.6276732400029223E-2</v>
      </c>
      <c r="U54" s="549">
        <v>6.2639890305152698E-2</v>
      </c>
      <c r="V54" s="549">
        <v>5.8935994621289518E-2</v>
      </c>
      <c r="W54" s="549">
        <v>5.5269149772571802E-2</v>
      </c>
      <c r="X54" s="549">
        <v>5.1723660902151913E-2</v>
      </c>
      <c r="Y54" s="549">
        <v>4.8351921873750342E-2</v>
      </c>
      <c r="Z54" s="549">
        <v>4.5073995932550764E-2</v>
      </c>
      <c r="AA54" s="549">
        <v>4.2036603291617118E-2</v>
      </c>
      <c r="AB54" s="549">
        <v>3.9245453484945445E-2</v>
      </c>
      <c r="AC54" s="549">
        <v>3.668437876697668E-2</v>
      </c>
      <c r="AD54" s="549">
        <v>3.4351853078875304E-2</v>
      </c>
      <c r="AE54" s="549">
        <v>3.2231840246573905E-2</v>
      </c>
      <c r="AF54" s="549">
        <v>3.0304404658683129E-2</v>
      </c>
    </row>
    <row r="55" spans="1:32" x14ac:dyDescent="0.25">
      <c r="A55" s="278"/>
      <c r="B55" s="282" t="s">
        <v>29</v>
      </c>
      <c r="G55" s="549">
        <v>0</v>
      </c>
      <c r="H55" s="549">
        <v>6.2304737006079586E-4</v>
      </c>
      <c r="I55" s="549">
        <v>2.1274510779105893E-3</v>
      </c>
      <c r="J55" s="549">
        <v>4.928211534014874E-3</v>
      </c>
      <c r="K55" s="549">
        <v>9.154182472789504E-3</v>
      </c>
      <c r="L55" s="549">
        <v>1.4523449260209143E-2</v>
      </c>
      <c r="M55" s="549">
        <v>2.0971582571497626E-2</v>
      </c>
      <c r="N55" s="549">
        <v>2.8271284807289507E-2</v>
      </c>
      <c r="O55" s="549">
        <v>3.6184510078013529E-2</v>
      </c>
      <c r="P55" s="549">
        <v>4.4435702101484155E-2</v>
      </c>
      <c r="Q55" s="549">
        <v>5.2783110808042481E-2</v>
      </c>
      <c r="R55" s="549">
        <v>6.1240174190380053E-2</v>
      </c>
      <c r="S55" s="549">
        <v>6.9569517066214462E-2</v>
      </c>
      <c r="T55" s="549">
        <v>7.757244248975384E-2</v>
      </c>
      <c r="U55" s="549">
        <v>8.5106668951170431E-2</v>
      </c>
      <c r="V55" s="549">
        <v>9.2084802122058024E-2</v>
      </c>
      <c r="W55" s="549">
        <v>9.8464745061876385E-2</v>
      </c>
      <c r="X55" s="549">
        <v>0.10423727463033479</v>
      </c>
      <c r="Y55" s="549">
        <v>0.10942826215788408</v>
      </c>
      <c r="Z55" s="549">
        <v>0.11409447510160824</v>
      </c>
      <c r="AA55" s="549">
        <v>0.11830695291358055</v>
      </c>
      <c r="AB55" s="549">
        <v>0.12215799950193788</v>
      </c>
      <c r="AC55" s="549">
        <v>0.12566628823511211</v>
      </c>
      <c r="AD55" s="549">
        <v>0.12888514404726392</v>
      </c>
      <c r="AE55" s="549">
        <v>0.13185559976156766</v>
      </c>
      <c r="AF55" s="549">
        <v>0.13462837912385761</v>
      </c>
    </row>
    <row r="56" spans="1:32" x14ac:dyDescent="0.25">
      <c r="A56" s="278"/>
      <c r="B56" s="278"/>
      <c r="G56" s="549" t="str">
        <v/>
      </c>
      <c r="H56" s="549" t="str">
        <v/>
      </c>
      <c r="I56" s="549" t="str">
        <v/>
      </c>
      <c r="J56" s="549" t="str">
        <v/>
      </c>
      <c r="K56" s="549" t="str">
        <v/>
      </c>
      <c r="L56" s="549" t="str">
        <v/>
      </c>
      <c r="M56" s="549" t="str">
        <v/>
      </c>
      <c r="N56" s="549" t="str">
        <v/>
      </c>
      <c r="O56" s="549" t="str">
        <v/>
      </c>
      <c r="P56" s="549" t="str">
        <v/>
      </c>
      <c r="Q56" s="549" t="str">
        <v/>
      </c>
      <c r="R56" s="549" t="str">
        <v/>
      </c>
      <c r="S56" s="549" t="str">
        <v/>
      </c>
      <c r="T56" s="549" t="str">
        <v/>
      </c>
      <c r="U56" s="549" t="str">
        <v/>
      </c>
      <c r="V56" s="549" t="str">
        <v/>
      </c>
      <c r="W56" s="549" t="str">
        <v/>
      </c>
      <c r="X56" s="549" t="str">
        <v/>
      </c>
      <c r="Y56" s="549" t="str">
        <v/>
      </c>
      <c r="Z56" s="549" t="str">
        <v/>
      </c>
      <c r="AA56" s="549" t="str">
        <v/>
      </c>
      <c r="AB56" s="549" t="str">
        <v/>
      </c>
      <c r="AC56" s="549" t="str">
        <v/>
      </c>
      <c r="AD56" s="549" t="str">
        <v/>
      </c>
      <c r="AE56" s="549" t="str">
        <v/>
      </c>
      <c r="AF56" s="549" t="str">
        <v/>
      </c>
    </row>
    <row r="57" spans="1:32" s="202" customFormat="1" ht="12.75" x14ac:dyDescent="0.2">
      <c r="A57" s="295" t="s">
        <v>36</v>
      </c>
      <c r="B57" s="295"/>
      <c r="C57" s="295"/>
      <c r="D57" s="295"/>
      <c r="E57" s="295"/>
      <c r="F57" s="295"/>
      <c r="G57" s="632" t="str">
        <v/>
      </c>
      <c r="H57" s="632" t="str">
        <v/>
      </c>
      <c r="I57" s="632" t="str">
        <v/>
      </c>
      <c r="J57" s="632" t="str">
        <v/>
      </c>
      <c r="K57" s="632" t="str">
        <v/>
      </c>
      <c r="L57" s="632" t="str">
        <v/>
      </c>
      <c r="M57" s="632" t="str">
        <v/>
      </c>
      <c r="N57" s="632" t="str">
        <v/>
      </c>
      <c r="O57" s="632" t="str">
        <v/>
      </c>
      <c r="P57" s="632" t="str">
        <v/>
      </c>
      <c r="Q57" s="632" t="str">
        <v/>
      </c>
      <c r="R57" s="632" t="str">
        <v/>
      </c>
      <c r="S57" s="632" t="str">
        <v/>
      </c>
      <c r="T57" s="632" t="str">
        <v/>
      </c>
      <c r="U57" s="632" t="str">
        <v/>
      </c>
      <c r="V57" s="632" t="str">
        <v/>
      </c>
      <c r="W57" s="632" t="str">
        <v/>
      </c>
      <c r="X57" s="632" t="str">
        <v/>
      </c>
      <c r="Y57" s="632" t="str">
        <v/>
      </c>
      <c r="Z57" s="632" t="str">
        <v/>
      </c>
      <c r="AA57" s="632" t="str">
        <v/>
      </c>
      <c r="AB57" s="632" t="str">
        <v/>
      </c>
      <c r="AC57" s="632" t="str">
        <v/>
      </c>
      <c r="AD57" s="632" t="str">
        <v/>
      </c>
      <c r="AE57" s="632" t="str">
        <v/>
      </c>
      <c r="AF57" s="632" t="str">
        <v/>
      </c>
    </row>
    <row r="58" spans="1:32" x14ac:dyDescent="0.25">
      <c r="A58" s="278"/>
      <c r="B58" s="278" t="s">
        <v>37</v>
      </c>
      <c r="F58" s="201"/>
      <c r="G58" s="549">
        <v>0.35419438147372145</v>
      </c>
      <c r="H58" s="549">
        <v>0.33304828762403688</v>
      </c>
      <c r="I58" s="549">
        <v>0.31131902758602914</v>
      </c>
      <c r="J58" s="549">
        <v>0.28924284156333391</v>
      </c>
      <c r="K58" s="549">
        <v>0.26706383488393798</v>
      </c>
      <c r="L58" s="549">
        <v>0.24647205081603807</v>
      </c>
      <c r="M58" s="549">
        <v>0.22736571525303445</v>
      </c>
      <c r="N58" s="549">
        <v>0.20969230988495433</v>
      </c>
      <c r="O58" s="549">
        <v>0.19343415779452955</v>
      </c>
      <c r="P58" s="549">
        <v>0.17847410234456057</v>
      </c>
      <c r="Q58" s="549">
        <v>0.16470477914570653</v>
      </c>
      <c r="R58" s="549">
        <v>0.15202800263101568</v>
      </c>
      <c r="S58" s="549">
        <v>0.14035418503614527</v>
      </c>
      <c r="T58" s="549">
        <v>0.12960125536797074</v>
      </c>
      <c r="U58" s="549">
        <v>0.1196941075021189</v>
      </c>
      <c r="V58" s="549">
        <v>0.11056408455992196</v>
      </c>
      <c r="W58" s="549">
        <v>0.10214822515816631</v>
      </c>
      <c r="X58" s="549">
        <v>9.438887586009595E-2</v>
      </c>
      <c r="Y58" s="549">
        <v>8.7233221125635793E-2</v>
      </c>
      <c r="Z58" s="549">
        <v>8.0632896762654352E-2</v>
      </c>
      <c r="AA58" s="549">
        <v>7.4543566836502637E-2</v>
      </c>
      <c r="AB58" s="549">
        <v>6.8924528209099362E-2</v>
      </c>
      <c r="AC58" s="549">
        <v>6.3738406497623148E-2</v>
      </c>
      <c r="AD58" s="549">
        <v>5.895092259031439E-2</v>
      </c>
      <c r="AE58" s="549">
        <v>5.4530595723275711E-2</v>
      </c>
      <c r="AF58" s="549">
        <v>5.0448464510753188E-2</v>
      </c>
    </row>
    <row r="59" spans="1:32" x14ac:dyDescent="0.25">
      <c r="A59" s="278"/>
      <c r="B59" s="278" t="s">
        <v>39</v>
      </c>
      <c r="E59" s="203"/>
      <c r="G59" s="549">
        <v>6.1526008171317356E-2</v>
      </c>
      <c r="H59" s="549">
        <v>8.1677202308913358E-2</v>
      </c>
      <c r="I59" s="549">
        <v>0.1007317737110752</v>
      </c>
      <c r="J59" s="549">
        <v>0.11806267615905705</v>
      </c>
      <c r="K59" s="549">
        <v>0.1326263195756075</v>
      </c>
      <c r="L59" s="549">
        <v>0.14391274491503267</v>
      </c>
      <c r="M59" s="549">
        <v>0.15212663950294994</v>
      </c>
      <c r="N59" s="549">
        <v>0.15785663567908531</v>
      </c>
      <c r="O59" s="549">
        <v>0.16138909684919209</v>
      </c>
      <c r="P59" s="549">
        <v>0.16311309773639712</v>
      </c>
      <c r="Q59" s="549">
        <v>0.16334398940242362</v>
      </c>
      <c r="R59" s="549">
        <v>0.1623549854228914</v>
      </c>
      <c r="S59" s="549">
        <v>0.16044664938286041</v>
      </c>
      <c r="T59" s="549">
        <v>0.1578313285556924</v>
      </c>
      <c r="U59" s="549">
        <v>0.15468132524544428</v>
      </c>
      <c r="V59" s="549">
        <v>0.15116623871676066</v>
      </c>
      <c r="W59" s="549">
        <v>0.14739035568921621</v>
      </c>
      <c r="X59" s="549">
        <v>0.14343870887392157</v>
      </c>
      <c r="Y59" s="549">
        <v>0.13938069442337442</v>
      </c>
      <c r="Z59" s="549">
        <v>0.13528739759100952</v>
      </c>
      <c r="AA59" s="549">
        <v>0.13121940366157966</v>
      </c>
      <c r="AB59" s="549">
        <v>0.12721357649646906</v>
      </c>
      <c r="AC59" s="549">
        <v>0.12327813921685296</v>
      </c>
      <c r="AD59" s="549">
        <v>0.11942921086787887</v>
      </c>
      <c r="AE59" s="549">
        <v>0.11567449775017649</v>
      </c>
      <c r="AF59" s="549">
        <v>0.11199868240412891</v>
      </c>
    </row>
    <row r="60" spans="1:32" x14ac:dyDescent="0.25">
      <c r="A60" s="278"/>
      <c r="B60" s="278" t="s">
        <v>40</v>
      </c>
      <c r="G60" s="549">
        <v>0</v>
      </c>
      <c r="H60" s="549">
        <v>5.6150672125443966E-3</v>
      </c>
      <c r="I60" s="549">
        <v>1.2547757201878767E-2</v>
      </c>
      <c r="J60" s="549">
        <v>2.0816845658276004E-2</v>
      </c>
      <c r="K60" s="549">
        <v>3.027174702752141E-2</v>
      </c>
      <c r="L60" s="549">
        <v>4.0271810602246848E-2</v>
      </c>
      <c r="M60" s="549">
        <v>5.0538640627543964E-2</v>
      </c>
      <c r="N60" s="549">
        <v>6.0652242504479814E-2</v>
      </c>
      <c r="O60" s="549">
        <v>7.0292495947055639E-2</v>
      </c>
      <c r="P60" s="549">
        <v>7.9210744707586087E-2</v>
      </c>
      <c r="Q60" s="549">
        <v>8.7223874623013772E-2</v>
      </c>
      <c r="R60" s="549">
        <v>9.4209534554751242E-2</v>
      </c>
      <c r="S60" s="549">
        <v>0.10016190527950332</v>
      </c>
      <c r="T60" s="549">
        <v>0.10508760923347639</v>
      </c>
      <c r="U60" s="549">
        <v>0.10903804531098207</v>
      </c>
      <c r="V60" s="549">
        <v>0.11211808112672708</v>
      </c>
      <c r="W60" s="549">
        <v>0.11441581567039388</v>
      </c>
      <c r="X60" s="549">
        <v>0.11602533553141205</v>
      </c>
      <c r="Y60" s="549">
        <v>0.11704321930001206</v>
      </c>
      <c r="Z60" s="549">
        <v>0.11757800933679492</v>
      </c>
      <c r="AA60" s="549">
        <v>0.11773120054095766</v>
      </c>
      <c r="AB60" s="549">
        <v>0.11758712415737815</v>
      </c>
      <c r="AC60" s="549">
        <v>0.1171779336603295</v>
      </c>
      <c r="AD60" s="549">
        <v>0.11655210191430224</v>
      </c>
      <c r="AE60" s="549">
        <v>0.11574716961761661</v>
      </c>
      <c r="AF60" s="549">
        <v>0.11477838273284577</v>
      </c>
    </row>
    <row r="61" spans="1:32" x14ac:dyDescent="0.25">
      <c r="A61" s="278"/>
      <c r="B61" s="278" t="s">
        <v>29</v>
      </c>
      <c r="G61" s="549">
        <v>0</v>
      </c>
      <c r="H61" s="549">
        <v>6.3973038297889097E-7</v>
      </c>
      <c r="I61" s="549">
        <v>1.3646580096415403E-5</v>
      </c>
      <c r="J61" s="549">
        <v>8.5245236011671755E-5</v>
      </c>
      <c r="K61" s="549">
        <v>2.9710073916482214E-4</v>
      </c>
      <c r="L61" s="549">
        <v>7.4182997189871955E-4</v>
      </c>
      <c r="M61" s="549">
        <v>1.5093556277582165E-3</v>
      </c>
      <c r="N61" s="549">
        <v>2.653200594050803E-3</v>
      </c>
      <c r="O61" s="549">
        <v>4.2027238000774091E-3</v>
      </c>
      <c r="P61" s="549">
        <v>6.1604327876970269E-3</v>
      </c>
      <c r="Q61" s="549">
        <v>8.5170650104627217E-3</v>
      </c>
      <c r="R61" s="549">
        <v>1.128802458078672E-2</v>
      </c>
      <c r="S61" s="549">
        <v>1.4454566734814059E-2</v>
      </c>
      <c r="T61" s="549">
        <v>1.7974858220230934E-2</v>
      </c>
      <c r="U61" s="549">
        <v>2.1799433531106738E-2</v>
      </c>
      <c r="V61" s="549">
        <v>2.5877599694973035E-2</v>
      </c>
      <c r="W61" s="549">
        <v>3.0146947000612472E-2</v>
      </c>
      <c r="X61" s="549">
        <v>3.4544051534188012E-2</v>
      </c>
      <c r="Y61" s="549">
        <v>3.9015458781642844E-2</v>
      </c>
      <c r="Z61" s="549">
        <v>4.3527722132367212E-2</v>
      </c>
      <c r="AA61" s="549">
        <v>4.8058759796013713E-2</v>
      </c>
      <c r="AB61" s="549">
        <v>5.2610101243601604E-2</v>
      </c>
      <c r="AC61" s="549">
        <v>5.7123456883174668E-2</v>
      </c>
      <c r="AD61" s="549">
        <v>6.1581279544334198E-2</v>
      </c>
      <c r="AE61" s="549">
        <v>6.5971830213757784E-2</v>
      </c>
      <c r="AF61" s="549">
        <v>7.0298263301381225E-2</v>
      </c>
    </row>
    <row r="62" spans="1:32" x14ac:dyDescent="0.25">
      <c r="A62" s="278"/>
      <c r="B62" s="278"/>
      <c r="G62" s="549" t="str">
        <v/>
      </c>
      <c r="H62" s="549" t="str">
        <v/>
      </c>
      <c r="I62" s="549" t="str">
        <v/>
      </c>
      <c r="J62" s="549" t="str">
        <v/>
      </c>
      <c r="K62" s="549" t="str">
        <v/>
      </c>
      <c r="L62" s="549" t="str">
        <v/>
      </c>
      <c r="M62" s="549" t="str">
        <v/>
      </c>
      <c r="N62" s="549" t="str">
        <v/>
      </c>
      <c r="O62" s="549" t="str">
        <v/>
      </c>
      <c r="P62" s="549" t="str">
        <v/>
      </c>
      <c r="Q62" s="549" t="str">
        <v/>
      </c>
      <c r="R62" s="549" t="str">
        <v/>
      </c>
      <c r="S62" s="549" t="str">
        <v/>
      </c>
      <c r="T62" s="549" t="str">
        <v/>
      </c>
      <c r="U62" s="549" t="str">
        <v/>
      </c>
      <c r="V62" s="549" t="str">
        <v/>
      </c>
      <c r="W62" s="549" t="str">
        <v/>
      </c>
      <c r="X62" s="549" t="str">
        <v/>
      </c>
      <c r="Y62" s="549" t="str">
        <v/>
      </c>
      <c r="Z62" s="549" t="str">
        <v/>
      </c>
      <c r="AA62" s="549" t="str">
        <v/>
      </c>
      <c r="AB62" s="549" t="str">
        <v/>
      </c>
      <c r="AC62" s="549" t="str">
        <v/>
      </c>
      <c r="AD62" s="549" t="str">
        <v/>
      </c>
      <c r="AE62" s="549" t="str">
        <v/>
      </c>
      <c r="AF62" s="549" t="str">
        <v/>
      </c>
    </row>
    <row r="63" spans="1:32" s="202" customFormat="1" ht="12.75" x14ac:dyDescent="0.2">
      <c r="A63" s="295" t="s">
        <v>42</v>
      </c>
      <c r="B63" s="295"/>
      <c r="C63" s="295"/>
      <c r="D63" s="295" t="s">
        <v>775</v>
      </c>
      <c r="E63" s="295"/>
      <c r="F63" s="295"/>
      <c r="G63" s="632" t="str">
        <v/>
      </c>
      <c r="H63" s="632" t="str">
        <v/>
      </c>
      <c r="I63" s="632" t="str">
        <v/>
      </c>
      <c r="J63" s="632" t="str">
        <v/>
      </c>
      <c r="K63" s="632" t="str">
        <v/>
      </c>
      <c r="L63" s="632" t="str">
        <v/>
      </c>
      <c r="M63" s="632" t="str">
        <v/>
      </c>
      <c r="N63" s="632" t="str">
        <v/>
      </c>
      <c r="O63" s="632" t="str">
        <v/>
      </c>
      <c r="P63" s="632" t="str">
        <v/>
      </c>
      <c r="Q63" s="632" t="str">
        <v/>
      </c>
      <c r="R63" s="632" t="str">
        <v/>
      </c>
      <c r="S63" s="632" t="str">
        <v/>
      </c>
      <c r="T63" s="632" t="str">
        <v/>
      </c>
      <c r="U63" s="632" t="str">
        <v/>
      </c>
      <c r="V63" s="632" t="str">
        <v/>
      </c>
      <c r="W63" s="632" t="str">
        <v/>
      </c>
      <c r="X63" s="632" t="str">
        <v/>
      </c>
      <c r="Y63" s="632" t="str">
        <v/>
      </c>
      <c r="Z63" s="632" t="str">
        <v/>
      </c>
      <c r="AA63" s="632" t="str">
        <v/>
      </c>
      <c r="AB63" s="632" t="str">
        <v/>
      </c>
      <c r="AC63" s="632" t="str">
        <v/>
      </c>
      <c r="AD63" s="632" t="str">
        <v/>
      </c>
      <c r="AE63" s="632" t="str">
        <v/>
      </c>
      <c r="AF63" s="632" t="str">
        <v/>
      </c>
    </row>
    <row r="64" spans="1:32" x14ac:dyDescent="0.25">
      <c r="A64" s="278"/>
      <c r="B64" s="282" t="s">
        <v>43</v>
      </c>
      <c r="D64" s="1050">
        <v>0.13453577995026955</v>
      </c>
      <c r="E64" s="1050">
        <f>D64-H64</f>
        <v>0.13340435457569821</v>
      </c>
      <c r="G64" s="549">
        <v>1.1930903795424124E-3</v>
      </c>
      <c r="H64" s="549">
        <v>1.1314253745713452E-3</v>
      </c>
      <c r="I64" s="549">
        <v>1.0735817864639136E-3</v>
      </c>
      <c r="J64" s="549">
        <v>1.0191969405150758E-3</v>
      </c>
      <c r="K64" s="549">
        <v>9.6786016436317863E-4</v>
      </c>
      <c r="L64" s="549">
        <v>9.1939487181811501E-4</v>
      </c>
      <c r="M64" s="549">
        <v>8.7357304000961801E-4</v>
      </c>
      <c r="N64" s="549">
        <v>8.301872112026602E-4</v>
      </c>
      <c r="O64" s="549">
        <v>7.8910591969657802E-4</v>
      </c>
      <c r="P64" s="549">
        <v>7.5022147774077221E-4</v>
      </c>
      <c r="Q64" s="549">
        <v>7.1343394080192321E-4</v>
      </c>
      <c r="R64" s="549">
        <v>6.7863729145062953E-4</v>
      </c>
      <c r="S64" s="549">
        <v>6.4579062133429481E-4</v>
      </c>
      <c r="T64" s="549">
        <v>6.1482119636345998E-4</v>
      </c>
      <c r="U64" s="549">
        <v>5.8565696747688825E-4</v>
      </c>
      <c r="V64" s="549">
        <v>5.5824031871011526E-4</v>
      </c>
      <c r="W64" s="549">
        <v>5.3248453618006731E-4</v>
      </c>
      <c r="X64" s="549">
        <v>5.0829964120096291E-4</v>
      </c>
      <c r="Y64" s="549">
        <v>4.856003441043651E-4</v>
      </c>
      <c r="Z64" s="549">
        <v>4.6432028329221743E-4</v>
      </c>
      <c r="AA64" s="549">
        <v>4.4439873758833306E-4</v>
      </c>
      <c r="AB64" s="549">
        <v>4.2578357422179273E-4</v>
      </c>
      <c r="AC64" s="549">
        <v>4.0836492690444267E-4</v>
      </c>
      <c r="AD64" s="549">
        <v>3.920704229256021E-4</v>
      </c>
      <c r="AE64" s="549">
        <v>3.7683051732324819E-4</v>
      </c>
      <c r="AF64" s="549">
        <v>3.6257758908825571E-4</v>
      </c>
    </row>
    <row r="65" spans="1:32" x14ac:dyDescent="0.25">
      <c r="A65" s="278"/>
      <c r="B65" s="282" t="s">
        <v>44</v>
      </c>
      <c r="D65" s="1050">
        <v>1.6326946226173267</v>
      </c>
      <c r="E65" s="1050">
        <f t="shared" ref="E65:E68" si="0">D65-H65</f>
        <v>1.6319449118440732</v>
      </c>
      <c r="G65" s="549">
        <v>1.0646068561744558E-4</v>
      </c>
      <c r="H65" s="549">
        <v>7.4971077325353662E-4</v>
      </c>
      <c r="I65" s="549">
        <v>1.3452800406137976E-3</v>
      </c>
      <c r="J65" s="549">
        <v>1.8897747993612871E-3</v>
      </c>
      <c r="K65" s="549">
        <v>2.3765809797895573E-3</v>
      </c>
      <c r="L65" s="549">
        <v>2.8106959922300895E-3</v>
      </c>
      <c r="M65" s="549">
        <v>3.1936051915071482E-3</v>
      </c>
      <c r="N65" s="549">
        <v>3.5268042341431959E-3</v>
      </c>
      <c r="O65" s="549">
        <v>3.8150868364754311E-3</v>
      </c>
      <c r="P65" s="549">
        <v>4.0636920897555977E-3</v>
      </c>
      <c r="Q65" s="549">
        <v>4.2775916429776918E-3</v>
      </c>
      <c r="R65" s="549">
        <v>4.4607325594970383E-3</v>
      </c>
      <c r="S65" s="549">
        <v>4.6197880019886468E-3</v>
      </c>
      <c r="T65" s="549">
        <v>4.7591312910855062E-3</v>
      </c>
      <c r="U65" s="549">
        <v>4.8826020840643273E-3</v>
      </c>
      <c r="V65" s="549">
        <v>4.9942311129175286E-3</v>
      </c>
      <c r="W65" s="549">
        <v>5.0960707907364627E-3</v>
      </c>
      <c r="X65" s="549">
        <v>5.1895586998589732E-3</v>
      </c>
      <c r="Y65" s="549">
        <v>5.2759695663240815E-3</v>
      </c>
      <c r="Z65" s="549">
        <v>5.3571575815904134E-3</v>
      </c>
      <c r="AA65" s="549">
        <v>5.4349001780654212E-3</v>
      </c>
      <c r="AB65" s="549">
        <v>5.5111285222722555E-3</v>
      </c>
      <c r="AC65" s="549">
        <v>5.5844624004630795E-3</v>
      </c>
      <c r="AD65" s="549">
        <v>5.6552242480448047E-3</v>
      </c>
      <c r="AE65" s="549">
        <v>5.7236040777220712E-3</v>
      </c>
      <c r="AF65" s="549">
        <v>5.7896981670114223E-3</v>
      </c>
    </row>
    <row r="66" spans="1:32" x14ac:dyDescent="0.25">
      <c r="A66" s="278"/>
      <c r="B66" s="282" t="s">
        <v>45</v>
      </c>
      <c r="D66" s="1050">
        <v>2.0335338052437715</v>
      </c>
      <c r="E66" s="1050">
        <f t="shared" si="0"/>
        <v>2.028572674378796</v>
      </c>
      <c r="G66" s="549">
        <v>5.2963367559136386E-3</v>
      </c>
      <c r="H66" s="549">
        <v>4.9611308649756703E-3</v>
      </c>
      <c r="I66" s="549">
        <v>4.6537307166067549E-3</v>
      </c>
      <c r="J66" s="549">
        <v>4.3660287076376647E-3</v>
      </c>
      <c r="K66" s="549">
        <v>4.0966810132491149E-3</v>
      </c>
      <c r="L66" s="549">
        <v>3.8444792192955501E-3</v>
      </c>
      <c r="M66" s="549">
        <v>3.6082852447650786E-3</v>
      </c>
      <c r="N66" s="549">
        <v>3.3870383796625421E-3</v>
      </c>
      <c r="O66" s="549">
        <v>3.1797635986466405E-3</v>
      </c>
      <c r="P66" s="549">
        <v>2.985555110089078E-3</v>
      </c>
      <c r="Q66" s="549">
        <v>2.8035688975124491E-3</v>
      </c>
      <c r="R66" s="549">
        <v>2.6330151070413387E-3</v>
      </c>
      <c r="S66" s="549">
        <v>2.4731693044208088E-3</v>
      </c>
      <c r="T66" s="549">
        <v>2.3233482503707431E-3</v>
      </c>
      <c r="U66" s="549">
        <v>2.1829135549859958E-3</v>
      </c>
      <c r="V66" s="549">
        <v>2.0512713881246439E-3</v>
      </c>
      <c r="W66" s="549">
        <v>1.927860498711402E-3</v>
      </c>
      <c r="X66" s="549">
        <v>1.812154959369076E-3</v>
      </c>
      <c r="Y66" s="549">
        <v>1.7036634434338394E-3</v>
      </c>
      <c r="Z66" s="549">
        <v>1.6019299273505691E-3</v>
      </c>
      <c r="AA66" s="549">
        <v>1.5065287264656464E-3</v>
      </c>
      <c r="AB66" s="549">
        <v>1.417063319511739E-3</v>
      </c>
      <c r="AC66" s="549">
        <v>1.3331499140297465E-3</v>
      </c>
      <c r="AD66" s="549">
        <v>1.2544364600087544E-3</v>
      </c>
      <c r="AE66" s="549">
        <v>1.1805935609624154E-3</v>
      </c>
      <c r="AF66" s="549">
        <v>1.1113129941966845E-3</v>
      </c>
    </row>
    <row r="67" spans="1:32" x14ac:dyDescent="0.25">
      <c r="A67" s="278"/>
      <c r="B67" s="282" t="s">
        <v>46</v>
      </c>
      <c r="D67" s="1050">
        <v>2.2688294894514509E-2</v>
      </c>
      <c r="E67" s="1050">
        <f t="shared" si="0"/>
        <v>2.2688294894514509E-2</v>
      </c>
      <c r="G67" s="549">
        <v>0</v>
      </c>
      <c r="H67" s="549">
        <v>0</v>
      </c>
      <c r="I67" s="549">
        <v>0</v>
      </c>
      <c r="J67" s="549">
        <v>0</v>
      </c>
      <c r="K67" s="549">
        <v>0</v>
      </c>
      <c r="L67" s="549">
        <v>0</v>
      </c>
      <c r="M67" s="549">
        <v>0</v>
      </c>
      <c r="N67" s="549">
        <v>0</v>
      </c>
      <c r="O67" s="549">
        <v>0</v>
      </c>
      <c r="P67" s="549">
        <v>0</v>
      </c>
      <c r="Q67" s="549">
        <v>0</v>
      </c>
      <c r="R67" s="549">
        <v>0</v>
      </c>
      <c r="S67" s="549">
        <v>0</v>
      </c>
      <c r="T67" s="549">
        <v>0</v>
      </c>
      <c r="U67" s="549">
        <v>0</v>
      </c>
      <c r="V67" s="549">
        <v>0</v>
      </c>
      <c r="W67" s="549">
        <v>0</v>
      </c>
      <c r="X67" s="549">
        <v>0</v>
      </c>
      <c r="Y67" s="549">
        <v>0</v>
      </c>
      <c r="Z67" s="549">
        <v>0</v>
      </c>
      <c r="AA67" s="549">
        <v>0</v>
      </c>
      <c r="AB67" s="549">
        <v>0</v>
      </c>
      <c r="AC67" s="549">
        <v>0</v>
      </c>
      <c r="AD67" s="549">
        <v>0</v>
      </c>
      <c r="AE67" s="549">
        <v>0</v>
      </c>
      <c r="AF67" s="549">
        <v>0</v>
      </c>
    </row>
    <row r="68" spans="1:32" x14ac:dyDescent="0.25">
      <c r="A68" s="278"/>
      <c r="B68" s="278" t="s">
        <v>29</v>
      </c>
      <c r="D68" s="1050">
        <v>1.1909887724441239E-3</v>
      </c>
      <c r="E68" s="1050">
        <f t="shared" si="0"/>
        <v>1.1695316609099356E-3</v>
      </c>
      <c r="G68" s="549">
        <v>0</v>
      </c>
      <c r="H68" s="549">
        <v>2.1457111534188357E-5</v>
      </c>
      <c r="I68" s="549">
        <v>4.5915395783435041E-5</v>
      </c>
      <c r="J68" s="549">
        <v>7.2931755582063859E-5</v>
      </c>
      <c r="K68" s="549">
        <v>1.0217137103613428E-4</v>
      </c>
      <c r="L68" s="549">
        <v>1.3377928102703752E-4</v>
      </c>
      <c r="M68" s="549">
        <v>1.6778276238986421E-4</v>
      </c>
      <c r="N68" s="549">
        <v>2.0377022270869665E-4</v>
      </c>
      <c r="O68" s="549">
        <v>2.4143003324096599E-4</v>
      </c>
      <c r="P68" s="549">
        <v>2.8038549905772843E-4</v>
      </c>
      <c r="Q68" s="549">
        <v>3.2015361932125329E-4</v>
      </c>
      <c r="R68" s="549">
        <v>3.6130716286228545E-4</v>
      </c>
      <c r="S68" s="549">
        <v>4.0347419390167452E-4</v>
      </c>
      <c r="T68" s="549">
        <v>4.4608748762067112E-4</v>
      </c>
      <c r="U68" s="549">
        <v>4.8865230107556293E-4</v>
      </c>
      <c r="V68" s="549">
        <v>5.3090384327289606E-4</v>
      </c>
      <c r="W68" s="549">
        <v>5.7242370305347044E-4</v>
      </c>
      <c r="X68" s="549">
        <v>6.1285322949963285E-4</v>
      </c>
      <c r="Y68" s="549">
        <v>6.5196129834567992E-4</v>
      </c>
      <c r="Z68" s="549">
        <v>6.8976996262803719E-4</v>
      </c>
      <c r="AA68" s="549">
        <v>7.2639952478798474E-4</v>
      </c>
      <c r="AB68" s="549">
        <v>7.6209105123972937E-4</v>
      </c>
      <c r="AC68" s="549">
        <v>7.9645677778786793E-4</v>
      </c>
      <c r="AD68" s="549">
        <v>8.2950204761854504E-4</v>
      </c>
      <c r="AE68" s="549">
        <v>8.6124366938303742E-4</v>
      </c>
      <c r="AF68" s="549">
        <v>8.9170920820382459E-4</v>
      </c>
    </row>
    <row r="69" spans="1:32" x14ac:dyDescent="0.25">
      <c r="A69" s="278"/>
      <c r="B69" s="278"/>
      <c r="G69" s="549" t="str">
        <v/>
      </c>
      <c r="H69" s="549" t="str">
        <v/>
      </c>
      <c r="I69" s="549" t="str">
        <v/>
      </c>
      <c r="J69" s="549" t="str">
        <v/>
      </c>
      <c r="K69" s="549" t="str">
        <v/>
      </c>
      <c r="L69" s="549" t="str">
        <v/>
      </c>
      <c r="M69" s="549" t="str">
        <v/>
      </c>
      <c r="N69" s="549" t="str">
        <v/>
      </c>
      <c r="O69" s="549" t="str">
        <v/>
      </c>
      <c r="P69" s="549" t="str">
        <v/>
      </c>
      <c r="Q69" s="549" t="str">
        <v/>
      </c>
      <c r="R69" s="549" t="str">
        <v/>
      </c>
      <c r="S69" s="549" t="str">
        <v/>
      </c>
      <c r="T69" s="549" t="str">
        <v/>
      </c>
      <c r="U69" s="549" t="str">
        <v/>
      </c>
      <c r="V69" s="549" t="str">
        <v/>
      </c>
      <c r="W69" s="549" t="str">
        <v/>
      </c>
      <c r="X69" s="549" t="str">
        <v/>
      </c>
      <c r="Y69" s="549" t="str">
        <v/>
      </c>
      <c r="Z69" s="549" t="str">
        <v/>
      </c>
      <c r="AA69" s="549" t="str">
        <v/>
      </c>
      <c r="AB69" s="549" t="str">
        <v/>
      </c>
      <c r="AC69" s="549" t="str">
        <v/>
      </c>
      <c r="AD69" s="549" t="str">
        <v/>
      </c>
      <c r="AE69" s="549" t="str">
        <v/>
      </c>
      <c r="AF69" s="549" t="str">
        <v/>
      </c>
    </row>
    <row r="70" spans="1:32" s="202" customFormat="1" ht="12.75" x14ac:dyDescent="0.2">
      <c r="A70" s="295" t="s">
        <v>47</v>
      </c>
      <c r="B70" s="295"/>
      <c r="C70" s="295"/>
      <c r="D70" s="295"/>
      <c r="E70" s="295"/>
      <c r="F70" s="295"/>
      <c r="G70" s="632" t="str">
        <v/>
      </c>
      <c r="H70" s="632" t="str">
        <v/>
      </c>
      <c r="I70" s="632" t="str">
        <v/>
      </c>
      <c r="J70" s="632" t="str">
        <v/>
      </c>
      <c r="K70" s="632" t="str">
        <v/>
      </c>
      <c r="L70" s="632" t="str">
        <v/>
      </c>
      <c r="M70" s="632" t="str">
        <v/>
      </c>
      <c r="N70" s="632" t="str">
        <v/>
      </c>
      <c r="O70" s="632" t="str">
        <v/>
      </c>
      <c r="P70" s="632" t="str">
        <v/>
      </c>
      <c r="Q70" s="632" t="str">
        <v/>
      </c>
      <c r="R70" s="632" t="str">
        <v/>
      </c>
      <c r="S70" s="632" t="str">
        <v/>
      </c>
      <c r="T70" s="632" t="str">
        <v/>
      </c>
      <c r="U70" s="632" t="str">
        <v/>
      </c>
      <c r="V70" s="632" t="str">
        <v/>
      </c>
      <c r="W70" s="632" t="str">
        <v/>
      </c>
      <c r="X70" s="632" t="str">
        <v/>
      </c>
      <c r="Y70" s="632" t="str">
        <v/>
      </c>
      <c r="Z70" s="632" t="str">
        <v/>
      </c>
      <c r="AA70" s="632" t="str">
        <v/>
      </c>
      <c r="AB70" s="632" t="str">
        <v/>
      </c>
      <c r="AC70" s="632" t="str">
        <v/>
      </c>
      <c r="AD70" s="632" t="str">
        <v/>
      </c>
      <c r="AE70" s="632" t="str">
        <v/>
      </c>
      <c r="AF70" s="632" t="str">
        <v/>
      </c>
    </row>
    <row r="71" spans="1:32" x14ac:dyDescent="0.25">
      <c r="A71" s="278"/>
      <c r="B71" s="278" t="s">
        <v>48</v>
      </c>
      <c r="G71" s="549">
        <v>1.431115176063237</v>
      </c>
      <c r="H71" s="549">
        <v>1.3568432586713723</v>
      </c>
      <c r="I71" s="549">
        <v>1.1085490566113889</v>
      </c>
      <c r="J71" s="549">
        <v>0.74571465871326859</v>
      </c>
      <c r="K71" s="549">
        <v>0.40791074823915946</v>
      </c>
      <c r="L71" s="549">
        <v>0.1918314742092174</v>
      </c>
      <c r="M71" s="549">
        <v>8.0465061673661298E-2</v>
      </c>
      <c r="N71" s="549">
        <v>3.1714473146333778E-2</v>
      </c>
      <c r="O71" s="549">
        <v>1.1996579997926776E-2</v>
      </c>
      <c r="P71" s="549">
        <v>4.4383991084430939E-3</v>
      </c>
      <c r="Q71" s="549">
        <v>1.6198938570183567E-3</v>
      </c>
      <c r="R71" s="549">
        <v>5.8650535214361957E-4</v>
      </c>
      <c r="S71" s="549">
        <v>2.1164000904937399E-4</v>
      </c>
      <c r="T71" s="549">
        <v>7.6326136719288005E-5</v>
      </c>
      <c r="U71" s="549">
        <v>2.7559210617682259E-5</v>
      </c>
      <c r="V71" s="549">
        <v>9.9795093147538344E-6</v>
      </c>
      <c r="W71" s="549">
        <v>3.6265821589274418E-6</v>
      </c>
      <c r="X71" s="549">
        <v>1.3233123086075893E-6</v>
      </c>
      <c r="Y71" s="549">
        <v>4.8500247035483658E-7</v>
      </c>
      <c r="Z71" s="549">
        <v>1.7861376712208716E-7</v>
      </c>
      <c r="AA71" s="549">
        <v>6.6118861305683891E-8</v>
      </c>
      <c r="AB71" s="549">
        <v>2.4602861422628655E-8</v>
      </c>
      <c r="AC71" s="549">
        <v>9.203512444773246E-9</v>
      </c>
      <c r="AD71" s="549">
        <v>3.461431585256388E-9</v>
      </c>
      <c r="AE71" s="549">
        <v>1.3088627166490848E-9</v>
      </c>
      <c r="AF71" s="549">
        <v>4.974701466872228E-10</v>
      </c>
    </row>
    <row r="72" spans="1:32" x14ac:dyDescent="0.25">
      <c r="A72" s="278"/>
      <c r="B72" s="282" t="s">
        <v>50</v>
      </c>
      <c r="G72" s="549">
        <v>0.17954016567386025</v>
      </c>
      <c r="H72" s="549">
        <v>0.1814977219966277</v>
      </c>
      <c r="I72" s="549">
        <v>0.17969898916243399</v>
      </c>
      <c r="J72" s="549">
        <v>0.17196329561953197</v>
      </c>
      <c r="K72" s="549">
        <v>0.15804926121762253</v>
      </c>
      <c r="L72" s="549">
        <v>0.14031202268292711</v>
      </c>
      <c r="M72" s="549">
        <v>0.12092871407246665</v>
      </c>
      <c r="N72" s="549">
        <v>0.10213572636489238</v>
      </c>
      <c r="O72" s="549">
        <v>8.49588191022356E-2</v>
      </c>
      <c r="P72" s="549">
        <v>7.0051073377071629E-2</v>
      </c>
      <c r="Q72" s="549">
        <v>5.7372208109080308E-2</v>
      </c>
      <c r="R72" s="549">
        <v>4.6774319686153767E-2</v>
      </c>
      <c r="S72" s="549">
        <v>3.8015753802093287E-2</v>
      </c>
      <c r="T72" s="549">
        <v>3.0831910213800346E-2</v>
      </c>
      <c r="U72" s="549">
        <v>2.4968578816462673E-2</v>
      </c>
      <c r="V72" s="549">
        <v>2.0202548807149747E-2</v>
      </c>
      <c r="W72" s="549">
        <v>1.633584163409757E-2</v>
      </c>
      <c r="X72" s="549">
        <v>1.320355070504255E-2</v>
      </c>
      <c r="Y72" s="549">
        <v>1.0669044755549056E-2</v>
      </c>
      <c r="Z72" s="549">
        <v>8.6201503881048799E-3</v>
      </c>
      <c r="AA72" s="549">
        <v>6.9790838285617362E-3</v>
      </c>
      <c r="AB72" s="549">
        <v>5.6394372707501729E-3</v>
      </c>
      <c r="AC72" s="549">
        <v>4.5576132597751418E-3</v>
      </c>
      <c r="AD72" s="549">
        <v>3.6839588950812723E-3</v>
      </c>
      <c r="AE72" s="549">
        <v>2.9783674436592925E-3</v>
      </c>
      <c r="AF72" s="549">
        <v>2.4082230085464575E-3</v>
      </c>
    </row>
    <row r="73" spans="1:32" x14ac:dyDescent="0.25">
      <c r="A73" s="278"/>
      <c r="B73" s="278" t="s">
        <v>51</v>
      </c>
      <c r="G73" s="549">
        <v>5.2331726209826575E-2</v>
      </c>
      <c r="H73" s="549">
        <v>5.3337511395022109E-2</v>
      </c>
      <c r="I73" s="549">
        <v>5.4205504598128916E-2</v>
      </c>
      <c r="J73" s="549">
        <v>5.4741925332819338E-2</v>
      </c>
      <c r="K73" s="549">
        <v>5.4818497819502515E-2</v>
      </c>
      <c r="L73" s="549">
        <v>5.4421197070127519E-2</v>
      </c>
      <c r="M73" s="549">
        <v>5.3541878071689683E-2</v>
      </c>
      <c r="N73" s="549">
        <v>5.2221695256675561E-2</v>
      </c>
      <c r="O73" s="549">
        <v>5.0542342188799098E-2</v>
      </c>
      <c r="P73" s="549">
        <v>4.8597077538261493E-2</v>
      </c>
      <c r="Q73" s="549">
        <v>4.6464493712342424E-2</v>
      </c>
      <c r="R73" s="549">
        <v>4.4213989638679868E-2</v>
      </c>
      <c r="S73" s="549">
        <v>4.1911963064109034E-2</v>
      </c>
      <c r="T73" s="549">
        <v>3.9604186358056966E-2</v>
      </c>
      <c r="U73" s="549">
        <v>3.7325357088722817E-2</v>
      </c>
      <c r="V73" s="549">
        <v>3.5105279247648072E-2</v>
      </c>
      <c r="W73" s="549">
        <v>3.2959733131642181E-2</v>
      </c>
      <c r="X73" s="549">
        <v>3.0899087283533664E-2</v>
      </c>
      <c r="Y73" s="549">
        <v>2.8929883561125212E-2</v>
      </c>
      <c r="Z73" s="549">
        <v>2.7060097330435764E-2</v>
      </c>
      <c r="AA73" s="549">
        <v>2.5292404730344751E-2</v>
      </c>
      <c r="AB73" s="549">
        <v>2.3626243246031863E-2</v>
      </c>
      <c r="AC73" s="549">
        <v>2.2014735061601221E-2</v>
      </c>
      <c r="AD73" s="549">
        <v>2.0498806612516199E-2</v>
      </c>
      <c r="AE73" s="549">
        <v>1.9074776507187557E-2</v>
      </c>
      <c r="AF73" s="549">
        <v>1.7737710199843604E-2</v>
      </c>
    </row>
    <row r="74" spans="1:32" x14ac:dyDescent="0.25">
      <c r="A74" s="278"/>
      <c r="B74" s="278" t="s">
        <v>52</v>
      </c>
      <c r="G74" s="549">
        <v>7.1788280105141614E-2</v>
      </c>
      <c r="H74" s="549">
        <v>7.2972756544624831E-2</v>
      </c>
      <c r="I74" s="549">
        <v>7.3661780385589917E-2</v>
      </c>
      <c r="J74" s="549">
        <v>7.3556937937209424E-2</v>
      </c>
      <c r="K74" s="549">
        <v>7.2597876130877897E-2</v>
      </c>
      <c r="L74" s="549">
        <v>7.0943777851839598E-2</v>
      </c>
      <c r="M74" s="549">
        <v>6.8759656535914551E-2</v>
      </c>
      <c r="N74" s="549">
        <v>6.6226169131804111E-2</v>
      </c>
      <c r="O74" s="549">
        <v>6.3496377152414629E-2</v>
      </c>
      <c r="P74" s="549">
        <v>6.0683138676592613E-2</v>
      </c>
      <c r="Q74" s="549">
        <v>5.7857379187830765E-2</v>
      </c>
      <c r="R74" s="549">
        <v>5.5066422967336194E-2</v>
      </c>
      <c r="S74" s="549">
        <v>5.2345164951611567E-2</v>
      </c>
      <c r="T74" s="549">
        <v>4.9712746425046084E-2</v>
      </c>
      <c r="U74" s="549">
        <v>4.7180349290721353E-2</v>
      </c>
      <c r="V74" s="549">
        <v>4.475573742497118E-2</v>
      </c>
      <c r="W74" s="549">
        <v>4.2440247759761303E-2</v>
      </c>
      <c r="X74" s="549">
        <v>4.0233072316565574E-2</v>
      </c>
      <c r="Y74" s="549">
        <v>3.8132110767585985E-2</v>
      </c>
      <c r="Z74" s="549">
        <v>3.6135276826973449E-2</v>
      </c>
      <c r="AA74" s="549">
        <v>3.4239853372840856E-2</v>
      </c>
      <c r="AB74" s="549">
        <v>3.2442134070245487E-2</v>
      </c>
      <c r="AC74" s="549">
        <v>3.0736773259447923E-2</v>
      </c>
      <c r="AD74" s="549">
        <v>2.9119490397516695E-2</v>
      </c>
      <c r="AE74" s="549">
        <v>2.7585943627559346E-2</v>
      </c>
      <c r="AF74" s="549">
        <v>2.6131267998562115E-2</v>
      </c>
    </row>
    <row r="75" spans="1:32" x14ac:dyDescent="0.25">
      <c r="A75" s="278"/>
      <c r="B75" s="282" t="s">
        <v>29</v>
      </c>
      <c r="G75" s="549">
        <v>2.3202253205165699E-3</v>
      </c>
      <c r="H75" s="549">
        <v>2.7177775504027279E-2</v>
      </c>
      <c r="I75" s="549">
        <v>7.8324856376694035E-2</v>
      </c>
      <c r="J75" s="549">
        <v>0.13565297029306547</v>
      </c>
      <c r="K75" s="549">
        <v>0.17830359702872342</v>
      </c>
      <c r="L75" s="549">
        <v>0.20166775110531321</v>
      </c>
      <c r="M75" s="549">
        <v>0.21223946590647336</v>
      </c>
      <c r="N75" s="549">
        <v>0.21597613495744619</v>
      </c>
      <c r="O75" s="549">
        <v>0.21659531970632351</v>
      </c>
      <c r="P75" s="549">
        <v>0.21591307155685754</v>
      </c>
      <c r="Q75" s="549">
        <v>0.21477387466459594</v>
      </c>
      <c r="R75" s="549">
        <v>0.21397536906739509</v>
      </c>
      <c r="S75" s="549">
        <v>0.21360921036974692</v>
      </c>
      <c r="T75" s="549">
        <v>0.21365251318749584</v>
      </c>
      <c r="U75" s="549">
        <v>0.2140567958495207</v>
      </c>
      <c r="V75" s="549">
        <v>0.21479246552712714</v>
      </c>
      <c r="W75" s="549">
        <v>0.21578918227778646</v>
      </c>
      <c r="X75" s="549">
        <v>0.21697797323027715</v>
      </c>
      <c r="Y75" s="549">
        <v>0.21830649972048169</v>
      </c>
      <c r="Z75" s="549">
        <v>0.21976289395899354</v>
      </c>
      <c r="AA75" s="549">
        <v>0.22135115873492428</v>
      </c>
      <c r="AB75" s="549">
        <v>0.22309588130211236</v>
      </c>
      <c r="AC75" s="549">
        <v>0.22490810270921333</v>
      </c>
      <c r="AD75" s="549">
        <v>0.22676872125809827</v>
      </c>
      <c r="AE75" s="549">
        <v>0.2286618544000282</v>
      </c>
      <c r="AF75" s="549">
        <v>0.2305742739743829</v>
      </c>
    </row>
    <row r="76" spans="1:32" x14ac:dyDescent="0.25">
      <c r="A76" s="278"/>
      <c r="B76" s="282" t="s">
        <v>53</v>
      </c>
      <c r="G76" s="549">
        <v>2.3171767302196567E-3</v>
      </c>
      <c r="H76" s="549">
        <v>2.3612500239572308E-3</v>
      </c>
      <c r="I76" s="549">
        <v>2.3995389850020848E-3</v>
      </c>
      <c r="J76" s="549">
        <v>2.4246292597790565E-3</v>
      </c>
      <c r="K76" s="549">
        <v>2.4322025804465837E-3</v>
      </c>
      <c r="L76" s="549">
        <v>2.4227596970842545E-3</v>
      </c>
      <c r="M76" s="549">
        <v>2.3965818769182789E-3</v>
      </c>
      <c r="N76" s="549">
        <v>2.3554654099683008E-3</v>
      </c>
      <c r="O76" s="549">
        <v>2.302358534319491E-3</v>
      </c>
      <c r="P76" s="549">
        <v>2.2403260841775442E-3</v>
      </c>
      <c r="Q76" s="549">
        <v>2.1717484351564792E-3</v>
      </c>
      <c r="R76" s="549">
        <v>2.0986058175163449E-3</v>
      </c>
      <c r="S76" s="549">
        <v>2.0229180609918863E-3</v>
      </c>
      <c r="T76" s="549">
        <v>1.9460030204721237E-3</v>
      </c>
      <c r="U76" s="549">
        <v>1.8688738642397345E-3</v>
      </c>
      <c r="V76" s="549">
        <v>1.7924714970269609E-3</v>
      </c>
      <c r="W76" s="549">
        <v>1.7172807744944044E-3</v>
      </c>
      <c r="X76" s="549">
        <v>1.6436494736482591E-3</v>
      </c>
      <c r="Y76" s="549">
        <v>1.5718387433121712E-3</v>
      </c>
      <c r="Z76" s="549">
        <v>1.5021293745495605E-3</v>
      </c>
      <c r="AA76" s="549">
        <v>1.4347379061601306E-3</v>
      </c>
      <c r="AB76" s="549">
        <v>1.3697789021923994E-3</v>
      </c>
      <c r="AC76" s="549">
        <v>1.3071388997671035E-3</v>
      </c>
      <c r="AD76" s="549">
        <v>1.2468123328399233E-3</v>
      </c>
      <c r="AE76" s="549">
        <v>1.1887646226606977E-3</v>
      </c>
      <c r="AF76" s="549">
        <v>1.1328872070032543E-3</v>
      </c>
    </row>
    <row r="79" spans="1:32" s="838" customFormat="1" x14ac:dyDescent="0.25">
      <c r="A79" s="860" t="s">
        <v>528</v>
      </c>
      <c r="B79" s="861"/>
      <c r="C79" s="860"/>
      <c r="D79" s="859"/>
      <c r="E79" s="859"/>
      <c r="F79" s="859"/>
      <c r="G79" s="859" t="s">
        <v>702</v>
      </c>
      <c r="H79" s="862"/>
      <c r="I79" s="862"/>
      <c r="J79" s="862"/>
      <c r="K79" s="862"/>
      <c r="L79" s="862"/>
      <c r="M79" s="862"/>
      <c r="N79" s="862"/>
      <c r="O79" s="862"/>
      <c r="P79" s="862"/>
      <c r="Q79" s="862"/>
      <c r="R79" s="862"/>
      <c r="S79" s="862"/>
      <c r="T79" s="862"/>
      <c r="U79" s="862"/>
      <c r="V79" s="862"/>
      <c r="W79" s="862"/>
      <c r="X79" s="862"/>
      <c r="Y79" s="862"/>
      <c r="Z79" s="862"/>
      <c r="AA79" s="862"/>
      <c r="AB79" s="862"/>
      <c r="AC79" s="862"/>
      <c r="AD79" s="862"/>
      <c r="AE79" s="862"/>
      <c r="AF79" s="862"/>
    </row>
    <row r="80" spans="1:32" s="838" customFormat="1" x14ac:dyDescent="0.25">
      <c r="A80" s="840" t="s">
        <v>12</v>
      </c>
      <c r="B80" s="839"/>
    </row>
    <row r="81" spans="1:32" s="838" customFormat="1" x14ac:dyDescent="0.25">
      <c r="A81" s="839"/>
      <c r="B81" s="839" t="s">
        <v>20</v>
      </c>
    </row>
    <row r="82" spans="1:32" s="856" customFormat="1" ht="12.75" x14ac:dyDescent="0.2">
      <c r="A82" s="843" t="s">
        <v>21</v>
      </c>
      <c r="B82" s="843"/>
      <c r="C82" s="843"/>
      <c r="D82" s="843"/>
      <c r="E82" s="843"/>
      <c r="F82" s="843"/>
      <c r="G82" s="843"/>
      <c r="H82" s="843"/>
      <c r="I82" s="843"/>
      <c r="J82" s="843"/>
      <c r="K82" s="843"/>
      <c r="L82" s="843"/>
      <c r="M82" s="843"/>
      <c r="N82" s="843"/>
      <c r="O82" s="843"/>
      <c r="P82" s="843"/>
      <c r="Q82" s="843"/>
      <c r="R82" s="843"/>
      <c r="S82" s="843"/>
      <c r="T82" s="843"/>
      <c r="U82" s="843"/>
      <c r="V82" s="843"/>
      <c r="W82" s="843"/>
      <c r="X82" s="843"/>
      <c r="Y82" s="843"/>
      <c r="Z82" s="843"/>
      <c r="AA82" s="843"/>
      <c r="AB82" s="843"/>
      <c r="AC82" s="843"/>
      <c r="AD82" s="843"/>
      <c r="AE82" s="843"/>
      <c r="AF82" s="843"/>
    </row>
    <row r="83" spans="1:32" s="864" customFormat="1" x14ac:dyDescent="0.25">
      <c r="A83" s="839"/>
      <c r="B83" s="839" t="s">
        <v>22</v>
      </c>
      <c r="C83" s="838"/>
      <c r="D83" s="838"/>
      <c r="E83" s="838"/>
      <c r="F83" s="838"/>
      <c r="G83" s="875">
        <f t="array" ref="G83:AF113" ca="1">IF(ISNUMBER(G46:AF76),G46:AF76*1000000/(365*24)*Busbar,"")</f>
        <v>453.49628524651371</v>
      </c>
      <c r="H83" s="875">
        <f ca="1"/>
        <v>420.16926323924974</v>
      </c>
      <c r="I83" s="875">
        <f ca="1"/>
        <v>379.14421194379003</v>
      </c>
      <c r="J83" s="875">
        <f ca="1"/>
        <v>302.75693381080669</v>
      </c>
      <c r="K83" s="875">
        <f ca="1"/>
        <v>229.19848331576088</v>
      </c>
      <c r="L83" s="875">
        <f ca="1"/>
        <v>164.04672856630768</v>
      </c>
      <c r="M83" s="875">
        <f ca="1"/>
        <v>99.073822332212941</v>
      </c>
      <c r="N83" s="875">
        <f ca="1"/>
        <v>64.216276480443412</v>
      </c>
      <c r="O83" s="875">
        <f ca="1"/>
        <v>44.763750720354651</v>
      </c>
      <c r="P83" s="875">
        <f ca="1"/>
        <v>33.300597166454175</v>
      </c>
      <c r="Q83" s="875">
        <f ca="1"/>
        <v>25.901368262687242</v>
      </c>
      <c r="R83" s="875">
        <f ca="1"/>
        <v>20.613230256969274</v>
      </c>
      <c r="S83" s="875">
        <f ca="1"/>
        <v>16.577342045929235</v>
      </c>
      <c r="T83" s="875">
        <f ca="1"/>
        <v>13.362221367678123</v>
      </c>
      <c r="U83" s="875">
        <f ca="1"/>
        <v>10.749512571456201</v>
      </c>
      <c r="V83" s="875">
        <f ca="1"/>
        <v>8.650626527482439</v>
      </c>
      <c r="W83" s="875">
        <f ca="1"/>
        <v>6.9641560266024909</v>
      </c>
      <c r="X83" s="875">
        <f ca="1"/>
        <v>5.6149870921735907</v>
      </c>
      <c r="Y83" s="875">
        <f ca="1"/>
        <v>4.5423328525848321</v>
      </c>
      <c r="Z83" s="875">
        <f ca="1"/>
        <v>3.7008675437007619</v>
      </c>
      <c r="AA83" s="875">
        <f ca="1"/>
        <v>3.0484682604703153</v>
      </c>
      <c r="AB83" s="875">
        <f ca="1"/>
        <v>2.5365924900169801</v>
      </c>
      <c r="AC83" s="875">
        <f ca="1"/>
        <v>2.1329505036381926</v>
      </c>
      <c r="AD83" s="875">
        <f ca="1"/>
        <v>1.8106371139540354</v>
      </c>
      <c r="AE83" s="875">
        <f ca="1"/>
        <v>1.5489551900800584</v>
      </c>
      <c r="AF83" s="875">
        <f ca="1"/>
        <v>1.32442824816055</v>
      </c>
    </row>
    <row r="84" spans="1:32" s="864" customFormat="1" x14ac:dyDescent="0.25">
      <c r="A84" s="839"/>
      <c r="B84" s="839" t="s">
        <v>26</v>
      </c>
      <c r="C84" s="838"/>
      <c r="D84" s="838"/>
      <c r="E84" s="838"/>
      <c r="F84" s="838"/>
      <c r="G84" s="875">
        <f ca="1"/>
        <v>6.7378435292883054</v>
      </c>
      <c r="H84" s="875">
        <f ca="1"/>
        <v>6.5234932533144878</v>
      </c>
      <c r="I84" s="875">
        <f ca="1"/>
        <v>16.121123655493012</v>
      </c>
      <c r="J84" s="875">
        <f ca="1"/>
        <v>46.799204878565327</v>
      </c>
      <c r="K84" s="875">
        <f ca="1"/>
        <v>78.603935726224847</v>
      </c>
      <c r="L84" s="875">
        <f ca="1"/>
        <v>99.434287675997723</v>
      </c>
      <c r="M84" s="875">
        <f ca="1"/>
        <v>113.42369681755976</v>
      </c>
      <c r="N84" s="875">
        <f ca="1"/>
        <v>112.87599264548724</v>
      </c>
      <c r="O84" s="875">
        <f ca="1"/>
        <v>106.17069767781886</v>
      </c>
      <c r="P84" s="875">
        <f ca="1"/>
        <v>97.150761108363454</v>
      </c>
      <c r="Q84" s="875">
        <f ca="1"/>
        <v>87.202482325244787</v>
      </c>
      <c r="R84" s="875">
        <f ca="1"/>
        <v>76.941221830198131</v>
      </c>
      <c r="S84" s="875">
        <f ca="1"/>
        <v>66.992729554297696</v>
      </c>
      <c r="T84" s="875">
        <f ca="1"/>
        <v>57.697895806616408</v>
      </c>
      <c r="U84" s="875">
        <f ca="1"/>
        <v>49.268867774363578</v>
      </c>
      <c r="V84" s="875">
        <f ca="1"/>
        <v>41.924261536400529</v>
      </c>
      <c r="W84" s="875">
        <f ca="1"/>
        <v>35.636492524182536</v>
      </c>
      <c r="X84" s="875">
        <f ca="1"/>
        <v>30.332796930392814</v>
      </c>
      <c r="Y84" s="875">
        <f ca="1"/>
        <v>25.916016406097281</v>
      </c>
      <c r="Z84" s="875">
        <f ca="1"/>
        <v>22.303549114401211</v>
      </c>
      <c r="AA84" s="875">
        <f ca="1"/>
        <v>19.449006584330363</v>
      </c>
      <c r="AB84" s="875">
        <f ca="1"/>
        <v>17.094540030582714</v>
      </c>
      <c r="AC84" s="875">
        <f ca="1"/>
        <v>15.179315410519703</v>
      </c>
      <c r="AD84" s="875">
        <f ca="1"/>
        <v>13.60644017600343</v>
      </c>
      <c r="AE84" s="875">
        <f ca="1"/>
        <v>12.29474389663644</v>
      </c>
      <c r="AF84" s="875">
        <f ca="1"/>
        <v>11.137737134320101</v>
      </c>
    </row>
    <row r="85" spans="1:32" s="864" customFormat="1" x14ac:dyDescent="0.25">
      <c r="A85" s="839"/>
      <c r="B85" s="839" t="s">
        <v>27</v>
      </c>
      <c r="C85" s="838"/>
      <c r="D85" s="838"/>
      <c r="E85" s="838"/>
      <c r="F85" s="838"/>
      <c r="G85" s="875">
        <f ca="1"/>
        <v>76.667344813599854</v>
      </c>
      <c r="H85" s="875">
        <f ca="1"/>
        <v>88.845005286769606</v>
      </c>
      <c r="I85" s="875">
        <f ca="1"/>
        <v>100.12510425107027</v>
      </c>
      <c r="J85" s="875">
        <f ca="1"/>
        <v>113.68342911021563</v>
      </c>
      <c r="K85" s="875">
        <f ca="1"/>
        <v>125.60208068593819</v>
      </c>
      <c r="L85" s="875">
        <f ca="1"/>
        <v>137.8184854619148</v>
      </c>
      <c r="M85" s="875">
        <f ca="1"/>
        <v>150.71790323781187</v>
      </c>
      <c r="N85" s="875">
        <f ca="1"/>
        <v>159.1834010186073</v>
      </c>
      <c r="O85" s="875">
        <f ca="1"/>
        <v>164.12006924176004</v>
      </c>
      <c r="P85" s="875">
        <f ca="1"/>
        <v>166.07833559541172</v>
      </c>
      <c r="Q85" s="875">
        <f ca="1"/>
        <v>165.58841859233959</v>
      </c>
      <c r="R85" s="875">
        <f ca="1"/>
        <v>163.06303643110223</v>
      </c>
      <c r="S85" s="875">
        <f ca="1"/>
        <v>158.87254908574388</v>
      </c>
      <c r="T85" s="875">
        <f ca="1"/>
        <v>153.38586593981734</v>
      </c>
      <c r="U85" s="875">
        <f ca="1"/>
        <v>146.96789835075245</v>
      </c>
      <c r="V85" s="875">
        <f ca="1"/>
        <v>139.95865020656274</v>
      </c>
      <c r="W85" s="875">
        <f ca="1"/>
        <v>132.64944083667692</v>
      </c>
      <c r="X85" s="875">
        <f ca="1"/>
        <v>125.28599410942051</v>
      </c>
      <c r="Y85" s="875">
        <f ca="1"/>
        <v>118.04387514641661</v>
      </c>
      <c r="Z85" s="875">
        <f ca="1"/>
        <v>110.80636347558466</v>
      </c>
      <c r="AA85" s="875">
        <f ca="1"/>
        <v>103.94407739673514</v>
      </c>
      <c r="AB85" s="875">
        <f ca="1"/>
        <v>97.476967255826594</v>
      </c>
      <c r="AC85" s="875">
        <f ca="1"/>
        <v>91.436970942361</v>
      </c>
      <c r="AD85" s="875">
        <f ca="1"/>
        <v>85.816299916403324</v>
      </c>
      <c r="AE85" s="875">
        <f ca="1"/>
        <v>80.900811434125771</v>
      </c>
      <c r="AF85" s="875">
        <f ca="1"/>
        <v>76.076960945095152</v>
      </c>
    </row>
    <row r="86" spans="1:32" s="864" customFormat="1" x14ac:dyDescent="0.25">
      <c r="A86" s="839"/>
      <c r="B86" s="839" t="s">
        <v>29</v>
      </c>
      <c r="C86" s="838"/>
      <c r="D86" s="838"/>
      <c r="E86" s="838"/>
      <c r="F86" s="838"/>
      <c r="G86" s="875">
        <f ca="1"/>
        <v>0</v>
      </c>
      <c r="H86" s="875">
        <f ca="1"/>
        <v>0.22379327520220207</v>
      </c>
      <c r="I86" s="875">
        <f ca="1"/>
        <v>0.64605444824729252</v>
      </c>
      <c r="J86" s="875">
        <f ca="1"/>
        <v>1.1588803320032637</v>
      </c>
      <c r="K86" s="875">
        <f ca="1"/>
        <v>1.8188884996289814</v>
      </c>
      <c r="L86" s="875">
        <f ca="1"/>
        <v>2.6880780836434557</v>
      </c>
      <c r="M86" s="875">
        <f ca="1"/>
        <v>3.8704856614977992</v>
      </c>
      <c r="N86" s="875">
        <f ca="1"/>
        <v>5.3845535326532259</v>
      </c>
      <c r="O86" s="875">
        <f ca="1"/>
        <v>7.2818127673118536</v>
      </c>
      <c r="P86" s="875">
        <f ca="1"/>
        <v>9.5747774202540867</v>
      </c>
      <c r="Q86" s="875">
        <f ca="1"/>
        <v>12.246781522961111</v>
      </c>
      <c r="R86" s="875">
        <f ca="1"/>
        <v>15.314674973905811</v>
      </c>
      <c r="S86" s="875">
        <f ca="1"/>
        <v>18.700500316243897</v>
      </c>
      <c r="T86" s="875">
        <f ca="1"/>
        <v>22.305116768946252</v>
      </c>
      <c r="U86" s="875">
        <f ca="1"/>
        <v>26.029667658846293</v>
      </c>
      <c r="V86" s="875">
        <f ca="1"/>
        <v>29.784276417451082</v>
      </c>
      <c r="W86" s="875">
        <f ca="1"/>
        <v>33.494367266802499</v>
      </c>
      <c r="X86" s="875">
        <f ca="1"/>
        <v>37.097511199705451</v>
      </c>
      <c r="Y86" s="875">
        <f ca="1"/>
        <v>40.554604567334003</v>
      </c>
      <c r="Z86" s="875">
        <f ca="1"/>
        <v>43.848333532073568</v>
      </c>
      <c r="AA86" s="875">
        <f ca="1"/>
        <v>46.976160291422225</v>
      </c>
      <c r="AB86" s="875">
        <f ca="1"/>
        <v>49.954542971458409</v>
      </c>
      <c r="AC86" s="875">
        <f ca="1"/>
        <v>52.76943461743975</v>
      </c>
      <c r="AD86" s="875">
        <f ca="1"/>
        <v>55.424093665495633</v>
      </c>
      <c r="AE86" s="875">
        <f ca="1"/>
        <v>57.92736699956253</v>
      </c>
      <c r="AF86" s="875">
        <f ca="1"/>
        <v>60.294523651639253</v>
      </c>
    </row>
    <row r="87" spans="1:32" s="864" customFormat="1" x14ac:dyDescent="0.25">
      <c r="A87" s="839"/>
      <c r="B87" s="839"/>
      <c r="C87" s="838"/>
      <c r="D87" s="838"/>
      <c r="E87" s="838"/>
      <c r="F87" s="838"/>
      <c r="G87" s="875" t="str">
        <v/>
      </c>
      <c r="H87" s="875" t="str">
        <v/>
      </c>
      <c r="I87" s="875" t="str">
        <v/>
      </c>
      <c r="J87" s="875" t="str">
        <v/>
      </c>
      <c r="K87" s="875" t="str">
        <v/>
      </c>
      <c r="L87" s="875" t="str">
        <v/>
      </c>
      <c r="M87" s="875" t="str">
        <v/>
      </c>
      <c r="N87" s="875" t="str">
        <v/>
      </c>
      <c r="O87" s="875" t="str">
        <v/>
      </c>
      <c r="P87" s="875" t="str">
        <v/>
      </c>
      <c r="Q87" s="875" t="str">
        <v/>
      </c>
      <c r="R87" s="875" t="str">
        <v/>
      </c>
      <c r="S87" s="875" t="str">
        <v/>
      </c>
      <c r="T87" s="875" t="str">
        <v/>
      </c>
      <c r="U87" s="875" t="str">
        <v/>
      </c>
      <c r="V87" s="875" t="str">
        <v/>
      </c>
      <c r="W87" s="875" t="str">
        <v/>
      </c>
      <c r="X87" s="875" t="str">
        <v/>
      </c>
      <c r="Y87" s="875" t="str">
        <v/>
      </c>
      <c r="Z87" s="875" t="str">
        <v/>
      </c>
      <c r="AA87" s="875" t="str">
        <v/>
      </c>
      <c r="AB87" s="875" t="str">
        <v/>
      </c>
      <c r="AC87" s="875" t="str">
        <v/>
      </c>
      <c r="AD87" s="875" t="str">
        <v/>
      </c>
      <c r="AE87" s="875" t="str">
        <v/>
      </c>
      <c r="AF87" s="875" t="str">
        <v/>
      </c>
    </row>
    <row r="88" spans="1:32" s="856" customFormat="1" ht="12.75" x14ac:dyDescent="0.2">
      <c r="A88" s="843" t="s">
        <v>32</v>
      </c>
      <c r="B88" s="843"/>
      <c r="C88" s="843"/>
      <c r="D88" s="843"/>
      <c r="E88" s="843"/>
      <c r="F88" s="843"/>
      <c r="G88" s="878" t="str">
        <v/>
      </c>
      <c r="H88" s="878" t="str">
        <v/>
      </c>
      <c r="I88" s="878" t="str">
        <v/>
      </c>
      <c r="J88" s="878" t="str">
        <v/>
      </c>
      <c r="K88" s="878" t="str">
        <v/>
      </c>
      <c r="L88" s="878" t="str">
        <v/>
      </c>
      <c r="M88" s="878" t="str">
        <v/>
      </c>
      <c r="N88" s="878" t="str">
        <v/>
      </c>
      <c r="O88" s="878" t="str">
        <v/>
      </c>
      <c r="P88" s="878" t="str">
        <v/>
      </c>
      <c r="Q88" s="878" t="str">
        <v/>
      </c>
      <c r="R88" s="878" t="str">
        <v/>
      </c>
      <c r="S88" s="878" t="str">
        <v/>
      </c>
      <c r="T88" s="878" t="str">
        <v/>
      </c>
      <c r="U88" s="878" t="str">
        <v/>
      </c>
      <c r="V88" s="878" t="str">
        <v/>
      </c>
      <c r="W88" s="878" t="str">
        <v/>
      </c>
      <c r="X88" s="878" t="str">
        <v/>
      </c>
      <c r="Y88" s="878" t="str">
        <v/>
      </c>
      <c r="Z88" s="878" t="str">
        <v/>
      </c>
      <c r="AA88" s="878" t="str">
        <v/>
      </c>
      <c r="AB88" s="878" t="str">
        <v/>
      </c>
      <c r="AC88" s="878" t="str">
        <v/>
      </c>
      <c r="AD88" s="878" t="str">
        <v/>
      </c>
      <c r="AE88" s="878" t="str">
        <v/>
      </c>
      <c r="AF88" s="878" t="str">
        <v/>
      </c>
    </row>
    <row r="89" spans="1:32" s="864" customFormat="1" x14ac:dyDescent="0.25">
      <c r="A89" s="839"/>
      <c r="B89" s="839" t="s">
        <v>33</v>
      </c>
      <c r="C89" s="838"/>
      <c r="D89" s="838"/>
      <c r="E89" s="838"/>
      <c r="F89" s="838"/>
      <c r="G89" s="875">
        <v>102.60955601118884</v>
      </c>
      <c r="H89" s="875">
        <v>90.202189395876516</v>
      </c>
      <c r="I89" s="875">
        <v>82.881285828685435</v>
      </c>
      <c r="J89" s="875">
        <v>78.77662663839169</v>
      </c>
      <c r="K89" s="875">
        <v>76.225449112128359</v>
      </c>
      <c r="L89" s="875">
        <v>73.00311330708179</v>
      </c>
      <c r="M89" s="875">
        <v>68.649037698622536</v>
      </c>
      <c r="N89" s="875">
        <v>63.407049065709444</v>
      </c>
      <c r="O89" s="875">
        <v>57.525579098936554</v>
      </c>
      <c r="P89" s="875">
        <v>51.335345060632527</v>
      </c>
      <c r="Q89" s="875">
        <v>45.034689691428525</v>
      </c>
      <c r="R89" s="875">
        <v>38.835874075381696</v>
      </c>
      <c r="S89" s="875">
        <v>32.997271595381577</v>
      </c>
      <c r="T89" s="875">
        <v>27.681577507188663</v>
      </c>
      <c r="U89" s="875">
        <v>22.979759207378827</v>
      </c>
      <c r="V89" s="875">
        <v>18.945905108246315</v>
      </c>
      <c r="W89" s="875">
        <v>15.551664229346359</v>
      </c>
      <c r="X89" s="875">
        <v>12.742022158457557</v>
      </c>
      <c r="Y89" s="875">
        <v>10.445638652283135</v>
      </c>
      <c r="Z89" s="875">
        <v>8.5929139147567977</v>
      </c>
      <c r="AA89" s="875">
        <v>7.1147070513002797</v>
      </c>
      <c r="AB89" s="875">
        <v>5.937894096457474</v>
      </c>
      <c r="AC89" s="875">
        <v>4.9996826917429473</v>
      </c>
      <c r="AD89" s="875">
        <v>4.249973927166236</v>
      </c>
      <c r="AE89" s="875">
        <v>3.6460656854017208</v>
      </c>
      <c r="AF89" s="875">
        <v>3.1461215443151462</v>
      </c>
    </row>
    <row r="90" spans="1:32" s="864" customFormat="1" x14ac:dyDescent="0.25">
      <c r="A90" s="842"/>
      <c r="B90" s="842" t="s">
        <v>34</v>
      </c>
      <c r="C90" s="838"/>
      <c r="D90" s="838"/>
      <c r="E90" s="838"/>
      <c r="F90" s="838"/>
      <c r="G90" s="875">
        <v>56.297119165882087</v>
      </c>
      <c r="H90" s="875">
        <v>67.439536712437388</v>
      </c>
      <c r="I90" s="875">
        <v>72.125159689370037</v>
      </c>
      <c r="J90" s="875">
        <v>73.374178538681861</v>
      </c>
      <c r="K90" s="875">
        <v>71.966445290416289</v>
      </c>
      <c r="L90" s="875">
        <v>70.395905783874767</v>
      </c>
      <c r="M90" s="875">
        <v>68.290737455439498</v>
      </c>
      <c r="N90" s="875">
        <v>63.618871406398071</v>
      </c>
      <c r="O90" s="875">
        <v>58.898112731856592</v>
      </c>
      <c r="P90" s="875">
        <v>54.222359480720584</v>
      </c>
      <c r="Q90" s="875">
        <v>49.724156204452328</v>
      </c>
      <c r="R90" s="875">
        <v>44.95557735988649</v>
      </c>
      <c r="S90" s="875">
        <v>40.152452501207641</v>
      </c>
      <c r="T90" s="875">
        <v>35.501187346455445</v>
      </c>
      <c r="U90" s="875">
        <v>31.143604334418974</v>
      </c>
      <c r="V90" s="875">
        <v>27.186085506806229</v>
      </c>
      <c r="W90" s="875">
        <v>23.671775396530478</v>
      </c>
      <c r="X90" s="875">
        <v>20.607841253566932</v>
      </c>
      <c r="Y90" s="875">
        <v>17.975906436052572</v>
      </c>
      <c r="Z90" s="875">
        <v>15.748181009708233</v>
      </c>
      <c r="AA90" s="875">
        <v>13.887696964837966</v>
      </c>
      <c r="AB90" s="875">
        <v>12.346759694426494</v>
      </c>
      <c r="AC90" s="875">
        <v>11.070176216357877</v>
      </c>
      <c r="AD90" s="875">
        <v>10.01002839503154</v>
      </c>
      <c r="AE90" s="875">
        <v>9.1320490532820315</v>
      </c>
      <c r="AF90" s="875">
        <v>8.3917913364140375</v>
      </c>
    </row>
    <row r="91" spans="1:32" s="864" customFormat="1" x14ac:dyDescent="0.25">
      <c r="A91" s="839"/>
      <c r="B91" s="842" t="s">
        <v>35</v>
      </c>
      <c r="C91" s="838"/>
      <c r="D91" s="838"/>
      <c r="E91" s="838"/>
      <c r="F91" s="838"/>
      <c r="G91" s="875">
        <v>7.9163921994877118</v>
      </c>
      <c r="H91" s="875">
        <v>8.2182627720259127</v>
      </c>
      <c r="I91" s="875">
        <v>8.5327948586994697</v>
      </c>
      <c r="J91" s="875">
        <v>8.8698749072892245</v>
      </c>
      <c r="K91" s="875">
        <v>9.2356073904372646</v>
      </c>
      <c r="L91" s="875">
        <v>9.5119680385650991</v>
      </c>
      <c r="M91" s="875">
        <v>9.7097852857064346</v>
      </c>
      <c r="N91" s="875">
        <v>9.8004043389306936</v>
      </c>
      <c r="O91" s="875">
        <v>9.7747797362642395</v>
      </c>
      <c r="P91" s="875">
        <v>9.6320207126777664</v>
      </c>
      <c r="Q91" s="875">
        <v>9.3891519906462957</v>
      </c>
      <c r="R91" s="875">
        <v>9.0652251323908555</v>
      </c>
      <c r="S91" s="875">
        <v>8.6794575572232127</v>
      </c>
      <c r="T91" s="875">
        <v>8.2509992335817213</v>
      </c>
      <c r="U91" s="875">
        <v>7.7982373026469549</v>
      </c>
      <c r="V91" s="875">
        <v>7.3371276591545085</v>
      </c>
      <c r="W91" s="875">
        <v>6.8806305908648282</v>
      </c>
      <c r="X91" s="875">
        <v>6.4392415106678982</v>
      </c>
      <c r="Y91" s="875">
        <v>6.0194830957348371</v>
      </c>
      <c r="Z91" s="875">
        <v>5.6114037676030328</v>
      </c>
      <c r="AA91" s="875">
        <v>5.2332691878659769</v>
      </c>
      <c r="AB91" s="875">
        <v>4.8857901543997837</v>
      </c>
      <c r="AC91" s="875">
        <v>4.5669538936203296</v>
      </c>
      <c r="AD91" s="875">
        <v>4.2765704216550517</v>
      </c>
      <c r="AE91" s="875">
        <v>4.0126433446693648</v>
      </c>
      <c r="AF91" s="875">
        <v>3.7726908155905789</v>
      </c>
    </row>
    <row r="92" spans="1:32" s="864" customFormat="1" x14ac:dyDescent="0.25">
      <c r="A92" s="839"/>
      <c r="B92" s="842" t="s">
        <v>29</v>
      </c>
      <c r="C92" s="838"/>
      <c r="D92" s="838"/>
      <c r="E92" s="838"/>
      <c r="F92" s="838"/>
      <c r="G92" s="875">
        <v>0</v>
      </c>
      <c r="H92" s="875">
        <v>7.7565130124828935E-2</v>
      </c>
      <c r="I92" s="875">
        <v>0.26485308761714293</v>
      </c>
      <c r="J92" s="875">
        <v>0.61352858111133113</v>
      </c>
      <c r="K92" s="875">
        <v>1.1396330179823426</v>
      </c>
      <c r="L92" s="875">
        <v>1.8080699572161738</v>
      </c>
      <c r="M92" s="875">
        <v>2.6108183891749372</v>
      </c>
      <c r="N92" s="875">
        <v>3.519581319570507</v>
      </c>
      <c r="O92" s="875">
        <v>4.5047236656025609</v>
      </c>
      <c r="P92" s="875">
        <v>5.5319405575107945</v>
      </c>
      <c r="Q92" s="875">
        <v>6.5711357674450692</v>
      </c>
      <c r="R92" s="875">
        <v>7.6239822334544369</v>
      </c>
      <c r="S92" s="875">
        <v>8.6609283712021519</v>
      </c>
      <c r="T92" s="875">
        <v>9.6572377718751081</v>
      </c>
      <c r="U92" s="875">
        <v>10.595197362030643</v>
      </c>
      <c r="V92" s="875">
        <v>11.46392714637347</v>
      </c>
      <c r="W92" s="875">
        <v>12.258186344141542</v>
      </c>
      <c r="X92" s="875">
        <v>12.976826737540858</v>
      </c>
      <c r="Y92" s="875">
        <v>13.62306913001165</v>
      </c>
      <c r="Z92" s="875">
        <v>14.20398068114268</v>
      </c>
      <c r="AA92" s="875">
        <v>14.72840531614548</v>
      </c>
      <c r="AB92" s="875">
        <v>15.207834239364541</v>
      </c>
      <c r="AC92" s="875">
        <v>15.644592157269846</v>
      </c>
      <c r="AD92" s="875">
        <v>16.045317658925129</v>
      </c>
      <c r="AE92" s="875">
        <v>16.415119049768862</v>
      </c>
      <c r="AF92" s="875">
        <v>16.760311088734493</v>
      </c>
    </row>
    <row r="93" spans="1:32" s="864" customFormat="1" x14ac:dyDescent="0.25">
      <c r="A93" s="839"/>
      <c r="B93" s="839"/>
      <c r="C93" s="838"/>
      <c r="D93" s="838"/>
      <c r="E93" s="838"/>
      <c r="F93" s="838"/>
      <c r="G93" s="875" t="str">
        <v/>
      </c>
      <c r="H93" s="875" t="str">
        <v/>
      </c>
      <c r="I93" s="875" t="str">
        <v/>
      </c>
      <c r="J93" s="875" t="str">
        <v/>
      </c>
      <c r="K93" s="875" t="str">
        <v/>
      </c>
      <c r="L93" s="875" t="str">
        <v/>
      </c>
      <c r="M93" s="875" t="str">
        <v/>
      </c>
      <c r="N93" s="875" t="str">
        <v/>
      </c>
      <c r="O93" s="875" t="str">
        <v/>
      </c>
      <c r="P93" s="875" t="str">
        <v/>
      </c>
      <c r="Q93" s="875" t="str">
        <v/>
      </c>
      <c r="R93" s="875" t="str">
        <v/>
      </c>
      <c r="S93" s="875" t="str">
        <v/>
      </c>
      <c r="T93" s="875" t="str">
        <v/>
      </c>
      <c r="U93" s="875" t="str">
        <v/>
      </c>
      <c r="V93" s="875" t="str">
        <v/>
      </c>
      <c r="W93" s="875" t="str">
        <v/>
      </c>
      <c r="X93" s="875" t="str">
        <v/>
      </c>
      <c r="Y93" s="875" t="str">
        <v/>
      </c>
      <c r="Z93" s="875" t="str">
        <v/>
      </c>
      <c r="AA93" s="875" t="str">
        <v/>
      </c>
      <c r="AB93" s="875" t="str">
        <v/>
      </c>
      <c r="AC93" s="875" t="str">
        <v/>
      </c>
      <c r="AD93" s="875" t="str">
        <v/>
      </c>
      <c r="AE93" s="875" t="str">
        <v/>
      </c>
      <c r="AF93" s="875" t="str">
        <v/>
      </c>
    </row>
    <row r="94" spans="1:32" s="856" customFormat="1" ht="12.75" x14ac:dyDescent="0.2">
      <c r="A94" s="843" t="s">
        <v>36</v>
      </c>
      <c r="B94" s="843"/>
      <c r="C94" s="843"/>
      <c r="D94" s="843"/>
      <c r="E94" s="843"/>
      <c r="F94" s="843"/>
      <c r="G94" s="878" t="str">
        <v/>
      </c>
      <c r="H94" s="878" t="str">
        <v/>
      </c>
      <c r="I94" s="878" t="str">
        <v/>
      </c>
      <c r="J94" s="878" t="str">
        <v/>
      </c>
      <c r="K94" s="878" t="str">
        <v/>
      </c>
      <c r="L94" s="878" t="str">
        <v/>
      </c>
      <c r="M94" s="878" t="str">
        <v/>
      </c>
      <c r="N94" s="878" t="str">
        <v/>
      </c>
      <c r="O94" s="878" t="str">
        <v/>
      </c>
      <c r="P94" s="878" t="str">
        <v/>
      </c>
      <c r="Q94" s="878" t="str">
        <v/>
      </c>
      <c r="R94" s="878" t="str">
        <v/>
      </c>
      <c r="S94" s="878" t="str">
        <v/>
      </c>
      <c r="T94" s="878" t="str">
        <v/>
      </c>
      <c r="U94" s="878" t="str">
        <v/>
      </c>
      <c r="V94" s="878" t="str">
        <v/>
      </c>
      <c r="W94" s="878" t="str">
        <v/>
      </c>
      <c r="X94" s="878" t="str">
        <v/>
      </c>
      <c r="Y94" s="878" t="str">
        <v/>
      </c>
      <c r="Z94" s="878" t="str">
        <v/>
      </c>
      <c r="AA94" s="878" t="str">
        <v/>
      </c>
      <c r="AB94" s="878" t="str">
        <v/>
      </c>
      <c r="AC94" s="878" t="str">
        <v/>
      </c>
      <c r="AD94" s="878" t="str">
        <v/>
      </c>
      <c r="AE94" s="878" t="str">
        <v/>
      </c>
      <c r="AF94" s="878" t="str">
        <v/>
      </c>
    </row>
    <row r="95" spans="1:32" s="864" customFormat="1" x14ac:dyDescent="0.25">
      <c r="A95" s="839"/>
      <c r="B95" s="839" t="s">
        <v>37</v>
      </c>
      <c r="C95" s="838"/>
      <c r="D95" s="838"/>
      <c r="E95" s="838"/>
      <c r="F95" s="855"/>
      <c r="G95" s="875">
        <v>44.094774504564121</v>
      </c>
      <c r="H95" s="875">
        <v>41.462230656537628</v>
      </c>
      <c r="I95" s="875">
        <v>38.757086612353874</v>
      </c>
      <c r="J95" s="875">
        <v>36.008752659281903</v>
      </c>
      <c r="K95" s="875">
        <v>33.247618238701754</v>
      </c>
      <c r="L95" s="875">
        <v>30.68408216186512</v>
      </c>
      <c r="M95" s="875">
        <v>28.305474249583249</v>
      </c>
      <c r="N95" s="875">
        <v>26.105256331978971</v>
      </c>
      <c r="O95" s="875">
        <v>24.081227753927184</v>
      </c>
      <c r="P95" s="875">
        <v>22.218803316539269</v>
      </c>
      <c r="Q95" s="875">
        <v>20.504616888714807</v>
      </c>
      <c r="R95" s="875">
        <v>18.926445039872196</v>
      </c>
      <c r="S95" s="875">
        <v>17.473134706965588</v>
      </c>
      <c r="T95" s="875">
        <v>16.134468613481069</v>
      </c>
      <c r="U95" s="875">
        <v>14.90109656135968</v>
      </c>
      <c r="V95" s="875">
        <v>13.764471239459873</v>
      </c>
      <c r="W95" s="875">
        <v>12.716754386813911</v>
      </c>
      <c r="X95" s="875">
        <v>11.750768545432219</v>
      </c>
      <c r="Y95" s="875">
        <v>10.859938542325727</v>
      </c>
      <c r="Z95" s="875">
        <v>10.038243366835653</v>
      </c>
      <c r="AA95" s="875">
        <v>9.2801634987689869</v>
      </c>
      <c r="AB95" s="875">
        <v>8.5806316762232182</v>
      </c>
      <c r="AC95" s="875">
        <v>7.9349950445260156</v>
      </c>
      <c r="AD95" s="875">
        <v>7.3389860890517413</v>
      </c>
      <c r="AE95" s="875">
        <v>6.7886856703168448</v>
      </c>
      <c r="AF95" s="875">
        <v>6.2804882941606159</v>
      </c>
    </row>
    <row r="96" spans="1:32" s="864" customFormat="1" x14ac:dyDescent="0.25">
      <c r="A96" s="839"/>
      <c r="B96" s="839" t="s">
        <v>39</v>
      </c>
      <c r="C96" s="838"/>
      <c r="D96" s="838"/>
      <c r="E96" s="857"/>
      <c r="F96" s="838"/>
      <c r="G96" s="875">
        <v>7.6595666063141383</v>
      </c>
      <c r="H96" s="875">
        <v>10.168252254567188</v>
      </c>
      <c r="I96" s="875">
        <v>12.540415883373306</v>
      </c>
      <c r="J96" s="875">
        <v>14.697994533335759</v>
      </c>
      <c r="K96" s="875">
        <v>16.511068387713983</v>
      </c>
      <c r="L96" s="875">
        <v>17.91615103818927</v>
      </c>
      <c r="M96" s="875">
        <v>18.938724654832995</v>
      </c>
      <c r="N96" s="875">
        <v>19.652069932212701</v>
      </c>
      <c r="O96" s="875">
        <v>20.091837152951474</v>
      </c>
      <c r="P96" s="875">
        <v>20.306463455183245</v>
      </c>
      <c r="Q96" s="875">
        <v>20.335207886153778</v>
      </c>
      <c r="R96" s="875">
        <v>20.212083664701876</v>
      </c>
      <c r="S96" s="875">
        <v>19.974508898512813</v>
      </c>
      <c r="T96" s="875">
        <v>19.648919368686748</v>
      </c>
      <c r="U96" s="875">
        <v>19.256765531925993</v>
      </c>
      <c r="V96" s="875">
        <v>18.819161335040011</v>
      </c>
      <c r="W96" s="875">
        <v>18.349089760323245</v>
      </c>
      <c r="X96" s="875">
        <v>17.857136797893137</v>
      </c>
      <c r="Y96" s="875">
        <v>17.351941793419545</v>
      </c>
      <c r="Z96" s="875">
        <v>16.842354374069789</v>
      </c>
      <c r="AA96" s="875">
        <v>16.33591699282789</v>
      </c>
      <c r="AB96" s="875">
        <v>15.837218947943983</v>
      </c>
      <c r="AC96" s="875">
        <v>15.347283961681638</v>
      </c>
      <c r="AD96" s="875">
        <v>14.868118744757304</v>
      </c>
      <c r="AE96" s="875">
        <v>14.400682678816493</v>
      </c>
      <c r="AF96" s="875">
        <v>13.943068845051007</v>
      </c>
    </row>
    <row r="97" spans="1:32" s="864" customFormat="1" x14ac:dyDescent="0.25">
      <c r="A97" s="839"/>
      <c r="B97" s="839" t="s">
        <v>40</v>
      </c>
      <c r="C97" s="838"/>
      <c r="D97" s="838"/>
      <c r="E97" s="838"/>
      <c r="F97" s="838"/>
      <c r="G97" s="875">
        <v>0</v>
      </c>
      <c r="H97" s="875">
        <v>0.6990374085973079</v>
      </c>
      <c r="I97" s="875">
        <v>1.5621098280914278</v>
      </c>
      <c r="J97" s="875">
        <v>2.5915547033207167</v>
      </c>
      <c r="K97" s="875">
        <v>3.7686251641933501</v>
      </c>
      <c r="L97" s="875">
        <v>5.0135645856605393</v>
      </c>
      <c r="M97" s="875">
        <v>6.2917146030564322</v>
      </c>
      <c r="N97" s="875">
        <v>7.5507887654892123</v>
      </c>
      <c r="O97" s="875">
        <v>8.7509342899567333</v>
      </c>
      <c r="P97" s="875">
        <v>9.861195176747156</v>
      </c>
      <c r="Q97" s="875">
        <v>10.858774966766427</v>
      </c>
      <c r="R97" s="875">
        <v>11.728441781281907</v>
      </c>
      <c r="S97" s="875">
        <v>12.469471166851042</v>
      </c>
      <c r="T97" s="875">
        <v>13.082687571422376</v>
      </c>
      <c r="U97" s="875">
        <v>13.574489805290479</v>
      </c>
      <c r="V97" s="875">
        <v>13.957933168215011</v>
      </c>
      <c r="W97" s="875">
        <v>14.243985380993694</v>
      </c>
      <c r="X97" s="875">
        <v>14.444359579581816</v>
      </c>
      <c r="Y97" s="875">
        <v>14.571079136965883</v>
      </c>
      <c r="Z97" s="875">
        <v>14.637656833599893</v>
      </c>
      <c r="AA97" s="875">
        <v>14.656728089263332</v>
      </c>
      <c r="AB97" s="875">
        <v>14.638791566332229</v>
      </c>
      <c r="AC97" s="875">
        <v>14.587850152124307</v>
      </c>
      <c r="AD97" s="875">
        <v>14.509938386262721</v>
      </c>
      <c r="AE97" s="875">
        <v>14.40972982856027</v>
      </c>
      <c r="AF97" s="875">
        <v>14.289122496932908</v>
      </c>
    </row>
    <row r="98" spans="1:32" s="864" customFormat="1" x14ac:dyDescent="0.25">
      <c r="A98" s="839"/>
      <c r="B98" s="839" t="s">
        <v>29</v>
      </c>
      <c r="C98" s="838"/>
      <c r="D98" s="838"/>
      <c r="E98" s="838"/>
      <c r="F98" s="838"/>
      <c r="G98" s="875">
        <v>0</v>
      </c>
      <c r="H98" s="875">
        <v>7.9642050965920009E-5</v>
      </c>
      <c r="I98" s="875">
        <v>1.6989057522770299E-3</v>
      </c>
      <c r="J98" s="875">
        <v>1.0612448011973601E-2</v>
      </c>
      <c r="K98" s="875">
        <v>3.6987007089450734E-2</v>
      </c>
      <c r="L98" s="875">
        <v>9.2352750474185799E-2</v>
      </c>
      <c r="M98" s="875">
        <v>0.18790443760365302</v>
      </c>
      <c r="N98" s="875">
        <v>0.3303053013525164</v>
      </c>
      <c r="O98" s="875">
        <v>0.5232103273301848</v>
      </c>
      <c r="P98" s="875">
        <v>0.76693168732315864</v>
      </c>
      <c r="Q98" s="875">
        <v>1.0603162577408933</v>
      </c>
      <c r="R98" s="875">
        <v>1.4052817450710919</v>
      </c>
      <c r="S98" s="875">
        <v>1.7994945546026051</v>
      </c>
      <c r="T98" s="875">
        <v>2.2377467329514893</v>
      </c>
      <c r="U98" s="875">
        <v>2.7138801634342196</v>
      </c>
      <c r="V98" s="875">
        <v>3.2215839181906158</v>
      </c>
      <c r="W98" s="875">
        <v>3.7530884156378925</v>
      </c>
      <c r="X98" s="875">
        <v>4.300497812913707</v>
      </c>
      <c r="Y98" s="875">
        <v>4.8571573891447972</v>
      </c>
      <c r="Z98" s="875">
        <v>5.4189032703966191</v>
      </c>
      <c r="AA98" s="875">
        <v>5.9829864250160627</v>
      </c>
      <c r="AB98" s="875">
        <v>6.5495972616691969</v>
      </c>
      <c r="AC98" s="875">
        <v>7.1114791254012513</v>
      </c>
      <c r="AD98" s="875">
        <v>7.6664475136836874</v>
      </c>
      <c r="AE98" s="875">
        <v>8.2130409997620646</v>
      </c>
      <c r="AF98" s="875">
        <v>8.7516522860678432</v>
      </c>
    </row>
    <row r="99" spans="1:32" s="864" customFormat="1" x14ac:dyDescent="0.25">
      <c r="A99" s="839"/>
      <c r="B99" s="839"/>
      <c r="C99" s="838"/>
      <c r="D99" s="838"/>
      <c r="E99" s="838"/>
      <c r="F99" s="838"/>
      <c r="G99" s="875" t="str">
        <v/>
      </c>
      <c r="H99" s="875" t="str">
        <v/>
      </c>
      <c r="I99" s="875" t="str">
        <v/>
      </c>
      <c r="J99" s="875" t="str">
        <v/>
      </c>
      <c r="K99" s="875" t="str">
        <v/>
      </c>
      <c r="L99" s="875" t="str">
        <v/>
      </c>
      <c r="M99" s="875" t="str">
        <v/>
      </c>
      <c r="N99" s="875" t="str">
        <v/>
      </c>
      <c r="O99" s="875" t="str">
        <v/>
      </c>
      <c r="P99" s="875" t="str">
        <v/>
      </c>
      <c r="Q99" s="875" t="str">
        <v/>
      </c>
      <c r="R99" s="875" t="str">
        <v/>
      </c>
      <c r="S99" s="875" t="str">
        <v/>
      </c>
      <c r="T99" s="875" t="str">
        <v/>
      </c>
      <c r="U99" s="875" t="str">
        <v/>
      </c>
      <c r="V99" s="875" t="str">
        <v/>
      </c>
      <c r="W99" s="875" t="str">
        <v/>
      </c>
      <c r="X99" s="875" t="str">
        <v/>
      </c>
      <c r="Y99" s="875" t="str">
        <v/>
      </c>
      <c r="Z99" s="875" t="str">
        <v/>
      </c>
      <c r="AA99" s="875" t="str">
        <v/>
      </c>
      <c r="AB99" s="875" t="str">
        <v/>
      </c>
      <c r="AC99" s="875" t="str">
        <v/>
      </c>
      <c r="AD99" s="875" t="str">
        <v/>
      </c>
      <c r="AE99" s="875" t="str">
        <v/>
      </c>
      <c r="AF99" s="875" t="str">
        <v/>
      </c>
    </row>
    <row r="100" spans="1:32" s="856" customFormat="1" ht="12.75" x14ac:dyDescent="0.2">
      <c r="A100" s="843" t="s">
        <v>42</v>
      </c>
      <c r="B100" s="843"/>
      <c r="C100" s="843"/>
      <c r="D100" s="843"/>
      <c r="E100" s="843"/>
      <c r="F100" s="843"/>
      <c r="G100" s="878" t="str">
        <v/>
      </c>
      <c r="H100" s="878" t="str">
        <v/>
      </c>
      <c r="I100" s="878" t="str">
        <v/>
      </c>
      <c r="J100" s="878" t="str">
        <v/>
      </c>
      <c r="K100" s="878" t="str">
        <v/>
      </c>
      <c r="L100" s="878" t="str">
        <v/>
      </c>
      <c r="M100" s="878" t="str">
        <v/>
      </c>
      <c r="N100" s="878" t="str">
        <v/>
      </c>
      <c r="O100" s="878" t="str">
        <v/>
      </c>
      <c r="P100" s="878" t="str">
        <v/>
      </c>
      <c r="Q100" s="878" t="str">
        <v/>
      </c>
      <c r="R100" s="878" t="str">
        <v/>
      </c>
      <c r="S100" s="878" t="str">
        <v/>
      </c>
      <c r="T100" s="878" t="str">
        <v/>
      </c>
      <c r="U100" s="878" t="str">
        <v/>
      </c>
      <c r="V100" s="878" t="str">
        <v/>
      </c>
      <c r="W100" s="878" t="str">
        <v/>
      </c>
      <c r="X100" s="878" t="str">
        <v/>
      </c>
      <c r="Y100" s="878" t="str">
        <v/>
      </c>
      <c r="Z100" s="878" t="str">
        <v/>
      </c>
      <c r="AA100" s="878" t="str">
        <v/>
      </c>
      <c r="AB100" s="878" t="str">
        <v/>
      </c>
      <c r="AC100" s="878" t="str">
        <v/>
      </c>
      <c r="AD100" s="878" t="str">
        <v/>
      </c>
      <c r="AE100" s="878" t="str">
        <v/>
      </c>
      <c r="AF100" s="878" t="str">
        <v/>
      </c>
    </row>
    <row r="101" spans="1:32" s="864" customFormat="1" x14ac:dyDescent="0.25">
      <c r="A101" s="839"/>
      <c r="B101" s="842" t="s">
        <v>43</v>
      </c>
      <c r="C101" s="838"/>
      <c r="D101" s="838"/>
      <c r="E101" s="838"/>
      <c r="F101" s="838"/>
      <c r="G101" s="875">
        <v>0.14853158040111566</v>
      </c>
      <c r="H101" s="875">
        <v>0.14085470964526556</v>
      </c>
      <c r="I101" s="875">
        <v>0.13365357911484996</v>
      </c>
      <c r="J101" s="875">
        <v>0.1268830382931645</v>
      </c>
      <c r="K101" s="875">
        <v>0.12049196128400777</v>
      </c>
      <c r="L101" s="875">
        <v>0.11445836431620589</v>
      </c>
      <c r="M101" s="875">
        <v>0.10875386010421108</v>
      </c>
      <c r="N101" s="875">
        <v>0.10335262158095584</v>
      </c>
      <c r="O101" s="875">
        <v>9.8238282167157548E-2</v>
      </c>
      <c r="P101" s="875">
        <v>9.3397435475453941E-2</v>
      </c>
      <c r="Q101" s="875">
        <v>8.8817639095998324E-2</v>
      </c>
      <c r="R101" s="875">
        <v>8.4485694584976997E-2</v>
      </c>
      <c r="S101" s="875">
        <v>8.0396509132685895E-2</v>
      </c>
      <c r="T101" s="875">
        <v>7.654102784316609E-2</v>
      </c>
      <c r="U101" s="875">
        <v>7.2910281101780272E-2</v>
      </c>
      <c r="V101" s="875">
        <v>6.9497096115582579E-2</v>
      </c>
      <c r="W101" s="875">
        <v>6.6290677600060965E-2</v>
      </c>
      <c r="X101" s="875">
        <v>6.327982382512809E-2</v>
      </c>
      <c r="Y101" s="875">
        <v>6.0453916811239315E-2</v>
      </c>
      <c r="Z101" s="875">
        <v>5.7804694993968106E-2</v>
      </c>
      <c r="AA101" s="875">
        <v>5.5324599002777683E-2</v>
      </c>
      <c r="AB101" s="875">
        <v>5.3007138664762359E-2</v>
      </c>
      <c r="AC101" s="875">
        <v>5.0838636379555817E-2</v>
      </c>
      <c r="AD101" s="875">
        <v>4.8810082240381802E-2</v>
      </c>
      <c r="AE101" s="875">
        <v>4.6912818375803821E-2</v>
      </c>
      <c r="AF101" s="875">
        <v>4.5138426433343391E-2</v>
      </c>
    </row>
    <row r="102" spans="1:32" s="864" customFormat="1" x14ac:dyDescent="0.25">
      <c r="A102" s="839"/>
      <c r="B102" s="842" t="s">
        <v>44</v>
      </c>
      <c r="C102" s="838"/>
      <c r="D102" s="838"/>
      <c r="E102" s="838"/>
      <c r="F102" s="838"/>
      <c r="G102" s="875">
        <v>1.3253626176593774E-2</v>
      </c>
      <c r="H102" s="875">
        <v>9.3333856264769047E-2</v>
      </c>
      <c r="I102" s="875">
        <v>0.16747815080956427</v>
      </c>
      <c r="J102" s="875">
        <v>0.23526401885747092</v>
      </c>
      <c r="K102" s="875">
        <v>0.29586805403188349</v>
      </c>
      <c r="L102" s="875">
        <v>0.34991239969023358</v>
      </c>
      <c r="M102" s="875">
        <v>0.39758197233447889</v>
      </c>
      <c r="N102" s="875">
        <v>0.43906297095744334</v>
      </c>
      <c r="O102" s="875">
        <v>0.47495218040943449</v>
      </c>
      <c r="P102" s="875">
        <v>0.50590183166710778</v>
      </c>
      <c r="Q102" s="875">
        <v>0.53253086097782554</v>
      </c>
      <c r="R102" s="875">
        <v>0.55533065069464493</v>
      </c>
      <c r="S102" s="875">
        <v>0.57513196386401122</v>
      </c>
      <c r="T102" s="875">
        <v>0.59247924895048054</v>
      </c>
      <c r="U102" s="875">
        <v>0.60785051698598092</v>
      </c>
      <c r="V102" s="875">
        <v>0.62174756649581508</v>
      </c>
      <c r="W102" s="875">
        <v>0.6344259088522326</v>
      </c>
      <c r="X102" s="875">
        <v>0.64606451320984037</v>
      </c>
      <c r="Y102" s="875">
        <v>0.65682207422949668</v>
      </c>
      <c r="Z102" s="875">
        <v>0.66692942604785854</v>
      </c>
      <c r="AA102" s="875">
        <v>0.6766078468254596</v>
      </c>
      <c r="AB102" s="875">
        <v>0.68609775356726377</v>
      </c>
      <c r="AC102" s="875">
        <v>0.69522731911518454</v>
      </c>
      <c r="AD102" s="875">
        <v>0.70403668446892032</v>
      </c>
      <c r="AE102" s="875">
        <v>0.71254950490874225</v>
      </c>
      <c r="AF102" s="875">
        <v>0.72077776632602464</v>
      </c>
    </row>
    <row r="103" spans="1:32" s="864" customFormat="1" x14ac:dyDescent="0.25">
      <c r="A103" s="839"/>
      <c r="B103" s="842" t="s">
        <v>45</v>
      </c>
      <c r="C103" s="838"/>
      <c r="D103" s="838"/>
      <c r="E103" s="838"/>
      <c r="F103" s="838"/>
      <c r="G103" s="875">
        <v>0.65935764983209788</v>
      </c>
      <c r="H103" s="875">
        <v>0.61762681234108063</v>
      </c>
      <c r="I103" s="875">
        <v>0.57935759934961895</v>
      </c>
      <c r="J103" s="875">
        <v>0.54354066979467253</v>
      </c>
      <c r="K103" s="875">
        <v>0.51000872669051989</v>
      </c>
      <c r="L103" s="875">
        <v>0.47861133075284873</v>
      </c>
      <c r="M103" s="875">
        <v>0.44920679869075386</v>
      </c>
      <c r="N103" s="875">
        <v>0.4216630793749751</v>
      </c>
      <c r="O103" s="875">
        <v>0.39585878882877629</v>
      </c>
      <c r="P103" s="875">
        <v>0.37168116219848685</v>
      </c>
      <c r="Q103" s="875">
        <v>0.34902512521360463</v>
      </c>
      <c r="R103" s="875">
        <v>0.32779234647659838</v>
      </c>
      <c r="S103" s="875">
        <v>0.307892638884607</v>
      </c>
      <c r="T103" s="875">
        <v>0.2892409438269769</v>
      </c>
      <c r="U103" s="875">
        <v>0.27175778613305107</v>
      </c>
      <c r="V103" s="875">
        <v>0.2553692380174899</v>
      </c>
      <c r="W103" s="875">
        <v>0.24000542756560575</v>
      </c>
      <c r="X103" s="875">
        <v>0.22560088042118032</v>
      </c>
      <c r="Y103" s="875">
        <v>0.21209442977981824</v>
      </c>
      <c r="Z103" s="875">
        <v>0.1994293038323558</v>
      </c>
      <c r="AA103" s="875">
        <v>0.18755250775506566</v>
      </c>
      <c r="AB103" s="875">
        <v>0.17641467736606414</v>
      </c>
      <c r="AC103" s="875">
        <v>0.1659680331329087</v>
      </c>
      <c r="AD103" s="875">
        <v>0.15616874724054192</v>
      </c>
      <c r="AE103" s="875">
        <v>0.14697581208255384</v>
      </c>
      <c r="AF103" s="875">
        <v>0.13835085604465025</v>
      </c>
    </row>
    <row r="104" spans="1:32" s="864" customFormat="1" x14ac:dyDescent="0.25">
      <c r="A104" s="839"/>
      <c r="B104" s="842" t="s">
        <v>46</v>
      </c>
      <c r="C104" s="838"/>
      <c r="D104" s="838"/>
      <c r="E104" s="838"/>
      <c r="F104" s="838"/>
      <c r="G104" s="875">
        <v>0</v>
      </c>
      <c r="H104" s="875">
        <v>0</v>
      </c>
      <c r="I104" s="875">
        <v>0</v>
      </c>
      <c r="J104" s="875">
        <v>0</v>
      </c>
      <c r="K104" s="875">
        <v>0</v>
      </c>
      <c r="L104" s="875">
        <v>0</v>
      </c>
      <c r="M104" s="875">
        <v>0</v>
      </c>
      <c r="N104" s="875">
        <v>0</v>
      </c>
      <c r="O104" s="875">
        <v>0</v>
      </c>
      <c r="P104" s="875">
        <v>0</v>
      </c>
      <c r="Q104" s="875">
        <v>0</v>
      </c>
      <c r="R104" s="875">
        <v>0</v>
      </c>
      <c r="S104" s="875">
        <v>0</v>
      </c>
      <c r="T104" s="875">
        <v>0</v>
      </c>
      <c r="U104" s="875">
        <v>0</v>
      </c>
      <c r="V104" s="875">
        <v>0</v>
      </c>
      <c r="W104" s="875">
        <v>0</v>
      </c>
      <c r="X104" s="875">
        <v>0</v>
      </c>
      <c r="Y104" s="875">
        <v>0</v>
      </c>
      <c r="Z104" s="875">
        <v>0</v>
      </c>
      <c r="AA104" s="875">
        <v>0</v>
      </c>
      <c r="AB104" s="875">
        <v>0</v>
      </c>
      <c r="AC104" s="875">
        <v>0</v>
      </c>
      <c r="AD104" s="875">
        <v>0</v>
      </c>
      <c r="AE104" s="875">
        <v>0</v>
      </c>
      <c r="AF104" s="875">
        <v>0</v>
      </c>
    </row>
    <row r="105" spans="1:32" s="864" customFormat="1" x14ac:dyDescent="0.25">
      <c r="A105" s="839"/>
      <c r="B105" s="839" t="s">
        <v>29</v>
      </c>
      <c r="C105" s="838"/>
      <c r="D105" s="838"/>
      <c r="E105" s="838"/>
      <c r="F105" s="838"/>
      <c r="G105" s="875">
        <v>0</v>
      </c>
      <c r="H105" s="875">
        <v>2.6712634194890929E-3</v>
      </c>
      <c r="I105" s="875">
        <v>5.7161522860254468E-3</v>
      </c>
      <c r="J105" s="875">
        <v>9.0795040373944699E-3</v>
      </c>
      <c r="K105" s="875">
        <v>1.2719635890087511E-2</v>
      </c>
      <c r="L105" s="875">
        <v>1.6654604191420778E-2</v>
      </c>
      <c r="M105" s="875">
        <v>2.0887804720535426E-2</v>
      </c>
      <c r="N105" s="875">
        <v>2.5367997040775823E-2</v>
      </c>
      <c r="O105" s="875">
        <v>3.0056385508135601E-2</v>
      </c>
      <c r="P105" s="875">
        <v>3.490607418406351E-2</v>
      </c>
      <c r="Q105" s="875">
        <v>3.9856932772486989E-2</v>
      </c>
      <c r="R105" s="875">
        <v>4.4980267069759591E-2</v>
      </c>
      <c r="S105" s="875">
        <v>5.0229773618882437E-2</v>
      </c>
      <c r="T105" s="875">
        <v>5.5534836815022727E-2</v>
      </c>
      <c r="U105" s="875">
        <v>6.0833864550338575E-2</v>
      </c>
      <c r="V105" s="875">
        <v>6.6093892159781911E-2</v>
      </c>
      <c r="W105" s="875">
        <v>7.1262830319862178E-2</v>
      </c>
      <c r="X105" s="875">
        <v>7.6296029447844707E-2</v>
      </c>
      <c r="Y105" s="875">
        <v>8.1164716155692318E-2</v>
      </c>
      <c r="Z105" s="875">
        <v>8.5871635895391804E-2</v>
      </c>
      <c r="AA105" s="875">
        <v>9.0431765496893232E-2</v>
      </c>
      <c r="AB105" s="875">
        <v>9.4875116077625485E-2</v>
      </c>
      <c r="AC105" s="875">
        <v>9.915341365118005E-2</v>
      </c>
      <c r="AD105" s="875">
        <v>0.10326732340763475</v>
      </c>
      <c r="AE105" s="875">
        <v>0.10721893790894579</v>
      </c>
      <c r="AF105" s="875">
        <v>0.11101168882405969</v>
      </c>
    </row>
    <row r="106" spans="1:32" s="864" customFormat="1" x14ac:dyDescent="0.25">
      <c r="A106" s="839"/>
      <c r="B106" s="839"/>
      <c r="C106" s="838"/>
      <c r="D106" s="838"/>
      <c r="E106" s="838"/>
      <c r="F106" s="838"/>
      <c r="G106" s="875" t="str">
        <v/>
      </c>
      <c r="H106" s="875" t="str">
        <v/>
      </c>
      <c r="I106" s="875" t="str">
        <v/>
      </c>
      <c r="J106" s="875" t="str">
        <v/>
      </c>
      <c r="K106" s="875" t="str">
        <v/>
      </c>
      <c r="L106" s="875" t="str">
        <v/>
      </c>
      <c r="M106" s="875" t="str">
        <v/>
      </c>
      <c r="N106" s="875" t="str">
        <v/>
      </c>
      <c r="O106" s="875" t="str">
        <v/>
      </c>
      <c r="P106" s="875" t="str">
        <v/>
      </c>
      <c r="Q106" s="875" t="str">
        <v/>
      </c>
      <c r="R106" s="875" t="str">
        <v/>
      </c>
      <c r="S106" s="875" t="str">
        <v/>
      </c>
      <c r="T106" s="875" t="str">
        <v/>
      </c>
      <c r="U106" s="875" t="str">
        <v/>
      </c>
      <c r="V106" s="875" t="str">
        <v/>
      </c>
      <c r="W106" s="875" t="str">
        <v/>
      </c>
      <c r="X106" s="875" t="str">
        <v/>
      </c>
      <c r="Y106" s="875" t="str">
        <v/>
      </c>
      <c r="Z106" s="875" t="str">
        <v/>
      </c>
      <c r="AA106" s="875" t="str">
        <v/>
      </c>
      <c r="AB106" s="875" t="str">
        <v/>
      </c>
      <c r="AC106" s="875" t="str">
        <v/>
      </c>
      <c r="AD106" s="875" t="str">
        <v/>
      </c>
      <c r="AE106" s="875" t="str">
        <v/>
      </c>
      <c r="AF106" s="875" t="str">
        <v/>
      </c>
    </row>
    <row r="107" spans="1:32" s="856" customFormat="1" ht="12.75" x14ac:dyDescent="0.2">
      <c r="A107" s="843" t="s">
        <v>47</v>
      </c>
      <c r="B107" s="843"/>
      <c r="C107" s="843"/>
      <c r="D107" s="843"/>
      <c r="E107" s="843"/>
      <c r="F107" s="843"/>
      <c r="G107" s="878" t="str">
        <v/>
      </c>
      <c r="H107" s="878" t="str">
        <v/>
      </c>
      <c r="I107" s="878" t="str">
        <v/>
      </c>
      <c r="J107" s="878" t="str">
        <v/>
      </c>
      <c r="K107" s="878" t="str">
        <v/>
      </c>
      <c r="L107" s="878" t="str">
        <v/>
      </c>
      <c r="M107" s="878" t="str">
        <v/>
      </c>
      <c r="N107" s="878" t="str">
        <v/>
      </c>
      <c r="O107" s="878" t="str">
        <v/>
      </c>
      <c r="P107" s="878" t="str">
        <v/>
      </c>
      <c r="Q107" s="878" t="str">
        <v/>
      </c>
      <c r="R107" s="878" t="str">
        <v/>
      </c>
      <c r="S107" s="878" t="str">
        <v/>
      </c>
      <c r="T107" s="878" t="str">
        <v/>
      </c>
      <c r="U107" s="878" t="str">
        <v/>
      </c>
      <c r="V107" s="878" t="str">
        <v/>
      </c>
      <c r="W107" s="878" t="str">
        <v/>
      </c>
      <c r="X107" s="878" t="str">
        <v/>
      </c>
      <c r="Y107" s="878" t="str">
        <v/>
      </c>
      <c r="Z107" s="878" t="str">
        <v/>
      </c>
      <c r="AA107" s="878" t="str">
        <v/>
      </c>
      <c r="AB107" s="878" t="str">
        <v/>
      </c>
      <c r="AC107" s="878" t="str">
        <v/>
      </c>
      <c r="AD107" s="878" t="str">
        <v/>
      </c>
      <c r="AE107" s="878" t="str">
        <v/>
      </c>
      <c r="AF107" s="878" t="str">
        <v/>
      </c>
    </row>
    <row r="108" spans="1:32" s="864" customFormat="1" x14ac:dyDescent="0.25">
      <c r="A108" s="839"/>
      <c r="B108" s="839" t="s">
        <v>48</v>
      </c>
      <c r="C108" s="838"/>
      <c r="D108" s="838"/>
      <c r="E108" s="838"/>
      <c r="F108" s="838"/>
      <c r="G108" s="875">
        <v>178.16403726113285</v>
      </c>
      <c r="H108" s="875">
        <v>168.91769225760865</v>
      </c>
      <c r="I108" s="875">
        <v>138.00676474636032</v>
      </c>
      <c r="J108" s="875">
        <v>92.836367375153216</v>
      </c>
      <c r="K108" s="875">
        <v>50.782094246540836</v>
      </c>
      <c r="L108" s="875">
        <v>23.881704624840651</v>
      </c>
      <c r="M108" s="875">
        <v>10.017349047811424</v>
      </c>
      <c r="N108" s="875">
        <v>3.9482346842997447</v>
      </c>
      <c r="O108" s="875">
        <v>1.4934920413857333</v>
      </c>
      <c r="P108" s="875">
        <v>0.55255028900727166</v>
      </c>
      <c r="Q108" s="875">
        <v>0.20166569003538121</v>
      </c>
      <c r="R108" s="875">
        <v>7.3015899181934449E-2</v>
      </c>
      <c r="S108" s="875">
        <v>2.6347731537543981E-2</v>
      </c>
      <c r="T108" s="875">
        <v>9.5020812397930057E-3</v>
      </c>
      <c r="U108" s="875">
        <v>3.4309329601848815E-3</v>
      </c>
      <c r="V108" s="875">
        <v>1.2423805568833265E-3</v>
      </c>
      <c r="W108" s="875">
        <v>4.5148463918263823E-4</v>
      </c>
      <c r="X108" s="875">
        <v>1.6474331863870921E-4</v>
      </c>
      <c r="Y108" s="875">
        <v>6.0379485624448693E-5</v>
      </c>
      <c r="Z108" s="875">
        <v>2.2236190624733262E-5</v>
      </c>
      <c r="AA108" s="875">
        <v>8.2313453636445918E-6</v>
      </c>
      <c r="AB108" s="875">
        <v>3.0628877343677971E-6</v>
      </c>
      <c r="AC108" s="875">
        <v>1.1457742616177981E-6</v>
      </c>
      <c r="AD108" s="875">
        <v>4.3092452392890487E-7</v>
      </c>
      <c r="AE108" s="875">
        <v>1.6294444340968331E-7</v>
      </c>
      <c r="AF108" s="875">
        <v>6.1931625932787401E-8</v>
      </c>
    </row>
    <row r="109" spans="1:32" s="864" customFormat="1" x14ac:dyDescent="0.25">
      <c r="A109" s="839"/>
      <c r="B109" s="842" t="s">
        <v>50</v>
      </c>
      <c r="C109" s="838"/>
      <c r="D109" s="838"/>
      <c r="E109" s="838"/>
      <c r="F109" s="838"/>
      <c r="G109" s="875">
        <v>22.351520899233453</v>
      </c>
      <c r="H109" s="875">
        <v>22.595223253497981</v>
      </c>
      <c r="I109" s="875">
        <v>22.371293335728765</v>
      </c>
      <c r="J109" s="875">
        <v>21.408252473839813</v>
      </c>
      <c r="K109" s="875">
        <v>19.67605049240758</v>
      </c>
      <c r="L109" s="875">
        <v>17.467885782773173</v>
      </c>
      <c r="M109" s="875">
        <v>15.054796623158587</v>
      </c>
      <c r="N109" s="875">
        <v>12.715198372659479</v>
      </c>
      <c r="O109" s="875">
        <v>10.576791068508454</v>
      </c>
      <c r="P109" s="875">
        <v>8.7208788335729732</v>
      </c>
      <c r="Q109" s="875">
        <v>7.1424469492509841</v>
      </c>
      <c r="R109" s="875">
        <v>5.8230824288734988</v>
      </c>
      <c r="S109" s="875">
        <v>4.7327009664852566</v>
      </c>
      <c r="T109" s="875">
        <v>3.8383616441509254</v>
      </c>
      <c r="U109" s="875">
        <v>3.1084170449864761</v>
      </c>
      <c r="V109" s="875">
        <v>2.5150789528681763</v>
      </c>
      <c r="W109" s="875">
        <v>2.0337003941188865</v>
      </c>
      <c r="X109" s="875">
        <v>1.6437516274989958</v>
      </c>
      <c r="Y109" s="875">
        <v>1.328222996416847</v>
      </c>
      <c r="Z109" s="875">
        <v>1.0731496811931114</v>
      </c>
      <c r="AA109" s="875">
        <v>0.86884813471190492</v>
      </c>
      <c r="AB109" s="875">
        <v>0.70207131392572009</v>
      </c>
      <c r="AC109" s="875">
        <v>0.56739163431282869</v>
      </c>
      <c r="AD109" s="875">
        <v>0.45862764984244658</v>
      </c>
      <c r="AE109" s="875">
        <v>0.37078634695857049</v>
      </c>
      <c r="AF109" s="875">
        <v>0.29980726988589318</v>
      </c>
    </row>
    <row r="110" spans="1:32" s="864" customFormat="1" x14ac:dyDescent="0.25">
      <c r="A110" s="839"/>
      <c r="B110" s="839" t="s">
        <v>51</v>
      </c>
      <c r="C110" s="838"/>
      <c r="D110" s="838"/>
      <c r="E110" s="838"/>
      <c r="F110" s="838"/>
      <c r="G110" s="875">
        <v>6.5149414766425195</v>
      </c>
      <c r="H110" s="875">
        <v>6.6401548432597393</v>
      </c>
      <c r="I110" s="875">
        <v>6.7482140518876097</v>
      </c>
      <c r="J110" s="875">
        <v>6.8149947592419471</v>
      </c>
      <c r="K110" s="875">
        <v>6.8245275093649163</v>
      </c>
      <c r="L110" s="875">
        <v>6.7750662873057381</v>
      </c>
      <c r="M110" s="875">
        <v>6.6655970947330934</v>
      </c>
      <c r="N110" s="875">
        <v>6.5012433766118836</v>
      </c>
      <c r="O110" s="875">
        <v>6.2921754220795378</v>
      </c>
      <c r="P110" s="875">
        <v>6.0500032968180877</v>
      </c>
      <c r="Q110" s="875">
        <v>5.7845112172296975</v>
      </c>
      <c r="R110" s="875">
        <v>5.5043388744701724</v>
      </c>
      <c r="S110" s="875">
        <v>5.2177523332414095</v>
      </c>
      <c r="T110" s="875">
        <v>4.9304499400276942</v>
      </c>
      <c r="U110" s="875">
        <v>4.646751304415246</v>
      </c>
      <c r="V110" s="875">
        <v>4.370366819214051</v>
      </c>
      <c r="W110" s="875">
        <v>4.1032610232926601</v>
      </c>
      <c r="X110" s="875">
        <v>3.8467247292158069</v>
      </c>
      <c r="Y110" s="875">
        <v>3.6015723534726836</v>
      </c>
      <c r="Z110" s="875">
        <v>3.3687967745068526</v>
      </c>
      <c r="AA110" s="875">
        <v>3.1487311532790834</v>
      </c>
      <c r="AB110" s="875">
        <v>2.9413054605470896</v>
      </c>
      <c r="AC110" s="875">
        <v>2.7406837293127659</v>
      </c>
      <c r="AD110" s="875">
        <v>2.5519610204732497</v>
      </c>
      <c r="AE110" s="875">
        <v>2.3746790259906922</v>
      </c>
      <c r="AF110" s="875">
        <v>2.2082234287147764</v>
      </c>
    </row>
    <row r="111" spans="1:32" s="864" customFormat="1" x14ac:dyDescent="0.25">
      <c r="A111" s="839"/>
      <c r="B111" s="839" t="s">
        <v>52</v>
      </c>
      <c r="C111" s="838"/>
      <c r="D111" s="838"/>
      <c r="E111" s="838"/>
      <c r="F111" s="838"/>
      <c r="G111" s="875">
        <v>8.9371491725414671</v>
      </c>
      <c r="H111" s="875">
        <v>9.0846083764048</v>
      </c>
      <c r="I111" s="875">
        <v>9.1703871252635771</v>
      </c>
      <c r="J111" s="875">
        <v>9.1573349585391686</v>
      </c>
      <c r="K111" s="875">
        <v>9.037938332567375</v>
      </c>
      <c r="L111" s="875">
        <v>8.8320144262673743</v>
      </c>
      <c r="M111" s="875">
        <v>8.5601062821697447</v>
      </c>
      <c r="N111" s="875">
        <v>8.2447044530114493</v>
      </c>
      <c r="O111" s="875">
        <v>7.9048640487827964</v>
      </c>
      <c r="P111" s="875">
        <v>7.5546351272996395</v>
      </c>
      <c r="Q111" s="875">
        <v>7.2028474254658361</v>
      </c>
      <c r="R111" s="875">
        <v>6.8553924921527578</v>
      </c>
      <c r="S111" s="875">
        <v>6.5166145079485736</v>
      </c>
      <c r="T111" s="875">
        <v>6.1888964316550528</v>
      </c>
      <c r="U111" s="875">
        <v>5.8736303336174744</v>
      </c>
      <c r="V111" s="875">
        <v>5.5717827632621653</v>
      </c>
      <c r="W111" s="875">
        <v>5.2835201594617907</v>
      </c>
      <c r="X111" s="875">
        <v>5.0087419344239441</v>
      </c>
      <c r="Y111" s="875">
        <v>4.7471866117235804</v>
      </c>
      <c r="Z111" s="875">
        <v>4.4985944630621191</v>
      </c>
      <c r="AA111" s="875">
        <v>4.262627225375037</v>
      </c>
      <c r="AB111" s="875">
        <v>4.0388234853478213</v>
      </c>
      <c r="AC111" s="875">
        <v>3.8265177449570236</v>
      </c>
      <c r="AD111" s="875">
        <v>3.6251771059264621</v>
      </c>
      <c r="AE111" s="875">
        <v>3.4342610368117721</v>
      </c>
      <c r="AF111" s="875">
        <v>3.2531638845333219</v>
      </c>
    </row>
    <row r="112" spans="1:32" s="864" customFormat="1" x14ac:dyDescent="0.25">
      <c r="A112" s="839"/>
      <c r="B112" s="842" t="s">
        <v>29</v>
      </c>
      <c r="C112" s="838"/>
      <c r="D112" s="838"/>
      <c r="E112" s="838"/>
      <c r="F112" s="838"/>
      <c r="G112" s="875">
        <v>0.28885216045006284</v>
      </c>
      <c r="H112" s="875">
        <v>3.383446901104108</v>
      </c>
      <c r="I112" s="875">
        <v>9.7509081472793877</v>
      </c>
      <c r="J112" s="875">
        <v>16.887865671553136</v>
      </c>
      <c r="K112" s="875">
        <v>22.19757657256217</v>
      </c>
      <c r="L112" s="875">
        <v>25.106253726645022</v>
      </c>
      <c r="M112" s="875">
        <v>26.422359810383966</v>
      </c>
      <c r="N112" s="875">
        <v>26.887549513606452</v>
      </c>
      <c r="O112" s="875">
        <v>26.964633773850245</v>
      </c>
      <c r="P112" s="875">
        <v>26.879698552174268</v>
      </c>
      <c r="Q112" s="875">
        <v>26.737876341806135</v>
      </c>
      <c r="R112" s="875">
        <v>26.638467864171048</v>
      </c>
      <c r="S112" s="875">
        <v>26.592883614250137</v>
      </c>
      <c r="T112" s="875">
        <v>26.598274518465235</v>
      </c>
      <c r="U112" s="875">
        <v>26.648604940828001</v>
      </c>
      <c r="V112" s="875">
        <v>26.740190776856593</v>
      </c>
      <c r="W112" s="875">
        <v>26.864275185486619</v>
      </c>
      <c r="X112" s="875">
        <v>27.012271516667926</v>
      </c>
      <c r="Y112" s="875">
        <v>27.177663965201884</v>
      </c>
      <c r="Z112" s="875">
        <v>27.358975072593605</v>
      </c>
      <c r="AA112" s="875">
        <v>27.55670315867112</v>
      </c>
      <c r="AB112" s="875">
        <v>27.773909168131468</v>
      </c>
      <c r="AC112" s="875">
        <v>27.999518320840146</v>
      </c>
      <c r="AD112" s="875">
        <v>28.231152586213657</v>
      </c>
      <c r="AE112" s="875">
        <v>28.466834695718578</v>
      </c>
      <c r="AF112" s="875">
        <v>28.704917833961531</v>
      </c>
    </row>
    <row r="113" spans="1:32" s="864" customFormat="1" x14ac:dyDescent="0.25">
      <c r="A113" s="839"/>
      <c r="B113" s="842" t="s">
        <v>53</v>
      </c>
      <c r="C113" s="838"/>
      <c r="D113" s="838"/>
      <c r="E113" s="838"/>
      <c r="F113" s="838"/>
      <c r="G113" s="875">
        <v>0.28847263183885258</v>
      </c>
      <c r="H113" s="875">
        <v>0.29395945503730564</v>
      </c>
      <c r="I113" s="875">
        <v>0.29872616843423211</v>
      </c>
      <c r="J113" s="875">
        <v>0.30184973579276803</v>
      </c>
      <c r="K113" s="875">
        <v>0.3027925623438158</v>
      </c>
      <c r="L113" s="875">
        <v>0.3016169880424891</v>
      </c>
      <c r="M113" s="875">
        <v>0.29835802873196321</v>
      </c>
      <c r="N113" s="875">
        <v>0.29323931021632765</v>
      </c>
      <c r="O113" s="875">
        <v>0.28662786794377443</v>
      </c>
      <c r="P113" s="875">
        <v>0.27890525278089756</v>
      </c>
      <c r="Q113" s="875">
        <v>0.27036780518769976</v>
      </c>
      <c r="R113" s="875">
        <v>0.26126205026833615</v>
      </c>
      <c r="S113" s="875">
        <v>0.25183944299033234</v>
      </c>
      <c r="T113" s="875">
        <v>0.24226404726096795</v>
      </c>
      <c r="U113" s="875">
        <v>0.23266199559192749</v>
      </c>
      <c r="V113" s="875">
        <v>0.22315042417782219</v>
      </c>
      <c r="W113" s="875">
        <v>0.21378969422746777</v>
      </c>
      <c r="X113" s="875">
        <v>0.20462310159610109</v>
      </c>
      <c r="Y113" s="875">
        <v>0.19568315752357554</v>
      </c>
      <c r="Z113" s="875">
        <v>0.18700481857406034</v>
      </c>
      <c r="AA113" s="875">
        <v>0.17861504234497627</v>
      </c>
      <c r="AB113" s="875">
        <v>0.17052809127567845</v>
      </c>
      <c r="AC113" s="875">
        <v>0.16272984001484161</v>
      </c>
      <c r="AD113" s="875">
        <v>0.15521959562807153</v>
      </c>
      <c r="AE113" s="875">
        <v>0.14799305329781395</v>
      </c>
      <c r="AF113" s="875">
        <v>0.14103669777048733</v>
      </c>
    </row>
    <row r="114" spans="1:32" s="864" customFormat="1" x14ac:dyDescent="0.25">
      <c r="A114" s="838"/>
      <c r="B114" s="838"/>
      <c r="C114" s="838"/>
      <c r="D114" s="838"/>
      <c r="E114" s="838"/>
      <c r="F114" s="838"/>
      <c r="G114" s="838"/>
      <c r="H114" s="838"/>
      <c r="I114" s="838"/>
      <c r="J114" s="838"/>
      <c r="K114" s="838"/>
      <c r="L114" s="838"/>
      <c r="M114" s="838"/>
      <c r="N114" s="838"/>
      <c r="O114" s="838"/>
      <c r="P114" s="838"/>
      <c r="Q114" s="838"/>
      <c r="R114" s="838"/>
      <c r="S114" s="838"/>
      <c r="T114" s="838"/>
      <c r="U114" s="838"/>
      <c r="V114" s="838"/>
      <c r="W114" s="838"/>
      <c r="X114" s="838"/>
      <c r="Y114" s="838"/>
      <c r="Z114" s="838"/>
      <c r="AA114" s="838"/>
      <c r="AB114" s="838"/>
      <c r="AC114" s="838"/>
      <c r="AD114" s="838"/>
      <c r="AE114" s="838"/>
      <c r="AF114" s="838"/>
    </row>
    <row r="115" spans="1:32" s="864" customFormat="1" x14ac:dyDescent="0.25">
      <c r="A115" s="838"/>
      <c r="B115" s="838"/>
      <c r="C115" s="838"/>
      <c r="D115" s="838"/>
      <c r="E115" s="838"/>
      <c r="F115" s="838"/>
      <c r="G115" s="838"/>
      <c r="H115" s="838"/>
      <c r="I115" s="838"/>
      <c r="J115" s="838"/>
      <c r="K115" s="838"/>
      <c r="L115" s="838"/>
      <c r="M115" s="838"/>
      <c r="N115" s="838"/>
      <c r="O115" s="838"/>
      <c r="P115" s="838"/>
      <c r="Q115" s="838"/>
      <c r="R115" s="838"/>
      <c r="S115" s="838"/>
      <c r="T115" s="838"/>
      <c r="U115" s="838"/>
      <c r="V115" s="838"/>
      <c r="W115" s="838"/>
      <c r="X115" s="838"/>
      <c r="Y115" s="838"/>
      <c r="Z115" s="838"/>
      <c r="AA115" s="838"/>
      <c r="AB115" s="838"/>
      <c r="AC115" s="838"/>
      <c r="AD115" s="838"/>
      <c r="AE115" s="838"/>
      <c r="AF115" s="838"/>
    </row>
    <row r="116" spans="1:32" s="539" customFormat="1" x14ac:dyDescent="0.25">
      <c r="A116" s="554" t="s">
        <v>273</v>
      </c>
      <c r="B116" s="555"/>
      <c r="C116" s="554"/>
      <c r="D116" s="553"/>
      <c r="E116" s="553"/>
      <c r="F116" s="553"/>
      <c r="G116" s="553" t="s">
        <v>700</v>
      </c>
      <c r="H116" s="560"/>
      <c r="I116" s="560"/>
      <c r="J116" s="560"/>
      <c r="K116" s="560"/>
      <c r="L116" s="560"/>
      <c r="M116" s="560"/>
      <c r="N116" s="560"/>
      <c r="O116" s="560"/>
      <c r="P116" s="560"/>
      <c r="Q116" s="560"/>
      <c r="R116" s="560"/>
      <c r="S116" s="560"/>
      <c r="T116" s="560"/>
      <c r="U116" s="560"/>
      <c r="V116" s="560"/>
      <c r="W116" s="560"/>
      <c r="X116" s="560"/>
      <c r="Y116" s="560"/>
      <c r="Z116" s="560"/>
      <c r="AA116" s="560"/>
      <c r="AB116" s="560"/>
      <c r="AC116" s="560"/>
      <c r="AD116" s="560"/>
      <c r="AE116" s="560"/>
      <c r="AF116" s="560"/>
    </row>
    <row r="117" spans="1:32" s="539" customFormat="1" x14ac:dyDescent="0.25">
      <c r="A117" s="551" t="s">
        <v>12</v>
      </c>
      <c r="B117" s="550"/>
    </row>
    <row r="118" spans="1:32" s="539" customFormat="1" x14ac:dyDescent="0.25">
      <c r="A118" s="550"/>
      <c r="B118" s="550" t="s">
        <v>20</v>
      </c>
    </row>
    <row r="119" spans="1:32" s="202" customFormat="1" ht="12.75" x14ac:dyDescent="0.2">
      <c r="A119" s="556" t="s">
        <v>21</v>
      </c>
      <c r="B119" s="556"/>
      <c r="C119" s="556"/>
      <c r="D119" s="556"/>
      <c r="E119" s="556"/>
      <c r="F119" s="556"/>
      <c r="G119" s="556"/>
      <c r="H119" s="556"/>
      <c r="I119" s="556"/>
      <c r="J119" s="556"/>
      <c r="K119" s="556"/>
      <c r="L119" s="556"/>
      <c r="M119" s="556"/>
      <c r="N119" s="556"/>
      <c r="O119" s="556"/>
      <c r="P119" s="556"/>
      <c r="Q119" s="556"/>
      <c r="R119" s="556"/>
      <c r="S119" s="556"/>
      <c r="T119" s="556"/>
      <c r="U119" s="556"/>
      <c r="V119" s="556"/>
      <c r="W119" s="556"/>
      <c r="X119" s="556"/>
      <c r="Y119" s="556"/>
      <c r="Z119" s="556"/>
      <c r="AA119" s="556"/>
      <c r="AB119" s="556"/>
      <c r="AC119" s="556"/>
      <c r="AD119" s="556"/>
      <c r="AE119" s="556"/>
      <c r="AF119" s="556"/>
    </row>
    <row r="120" spans="1:32" x14ac:dyDescent="0.25">
      <c r="A120" s="550"/>
      <c r="B120" s="550" t="s">
        <v>22</v>
      </c>
      <c r="C120" s="539"/>
      <c r="D120" s="539"/>
      <c r="E120" s="539"/>
      <c r="F120" s="539"/>
      <c r="G120" s="540"/>
      <c r="H120" s="540">
        <f t="array" ref="H120:AF150" ca="1">Sales</f>
        <v>44454.29656065478</v>
      </c>
      <c r="I120" s="540">
        <f ca="1"/>
        <v>38925.430141098121</v>
      </c>
      <c r="J120" s="540">
        <f ca="1"/>
        <v>26349.092274203373</v>
      </c>
      <c r="K120" s="540">
        <f ca="1"/>
        <v>18240.40116276445</v>
      </c>
      <c r="L120" s="540">
        <f ca="1"/>
        <v>11698.738541603325</v>
      </c>
      <c r="M120" s="540">
        <f ca="1"/>
        <v>4284.7561739203393</v>
      </c>
      <c r="N120" s="540">
        <f ca="1"/>
        <v>3564.5269579837795</v>
      </c>
      <c r="O120" s="540">
        <f ca="1"/>
        <v>3010.5687270191406</v>
      </c>
      <c r="P120" s="540">
        <f ca="1"/>
        <v>2566.0029000466534</v>
      </c>
      <c r="Q120" s="540">
        <f ca="1"/>
        <v>2160.4409378329669</v>
      </c>
      <c r="R120" s="540">
        <f ca="1"/>
        <v>1784.5069512459645</v>
      </c>
      <c r="S120" s="540">
        <f ca="1"/>
        <v>1458.6492356396998</v>
      </c>
      <c r="T120" s="540">
        <f ca="1"/>
        <v>1179.8745251525847</v>
      </c>
      <c r="U120" s="540">
        <f ca="1"/>
        <v>946.32708226941202</v>
      </c>
      <c r="V120" s="540">
        <f ca="1"/>
        <v>761.95225762747407</v>
      </c>
      <c r="W120" s="540">
        <f ca="1"/>
        <v>613.75744945413487</v>
      </c>
      <c r="X120" s="540">
        <f ca="1"/>
        <v>496.00206161369067</v>
      </c>
      <c r="Y120" s="540">
        <f ca="1"/>
        <v>403.28621445256272</v>
      </c>
      <c r="Z120" s="540">
        <f ca="1"/>
        <v>332.10194272600444</v>
      </c>
      <c r="AA120" s="540">
        <f ca="1"/>
        <v>277.97760309118166</v>
      </c>
      <c r="AB120" s="540">
        <f ca="1"/>
        <v>234.66299307255557</v>
      </c>
      <c r="AC120" s="540">
        <f ca="1"/>
        <v>200.22747053147694</v>
      </c>
      <c r="AD120" s="540">
        <f ca="1"/>
        <v>172.17714180090073</v>
      </c>
      <c r="AE120" s="540">
        <f ca="1"/>
        <v>148.81771892463277</v>
      </c>
      <c r="AF120" s="540">
        <f ca="1"/>
        <v>127.16173568373215</v>
      </c>
    </row>
    <row r="121" spans="1:32" x14ac:dyDescent="0.25">
      <c r="A121" s="550"/>
      <c r="B121" s="550" t="s">
        <v>26</v>
      </c>
      <c r="C121" s="539"/>
      <c r="D121" s="539"/>
      <c r="E121" s="539"/>
      <c r="F121" s="539"/>
      <c r="G121" s="540"/>
      <c r="H121" s="540">
        <f ca="1"/>
        <v>842.64891920597518</v>
      </c>
      <c r="I121" s="540">
        <f ca="1"/>
        <v>3628.822084203694</v>
      </c>
      <c r="J121" s="540">
        <f ca="1"/>
        <v>11005.649708337907</v>
      </c>
      <c r="K121" s="540">
        <f ca="1"/>
        <v>15482.108837477803</v>
      </c>
      <c r="L121" s="540">
        <f ca="1"/>
        <v>16596.073992319947</v>
      </c>
      <c r="M121" s="540">
        <f ca="1"/>
        <v>17440.117397471244</v>
      </c>
      <c r="N121" s="540">
        <f ca="1"/>
        <v>15087.428572280352</v>
      </c>
      <c r="O121" s="540">
        <f ca="1"/>
        <v>13206.416524889042</v>
      </c>
      <c r="P121" s="540">
        <f ca="1"/>
        <v>11624.694082557107</v>
      </c>
      <c r="Q121" s="540">
        <f ca="1"/>
        <v>10128.481073308676</v>
      </c>
      <c r="R121" s="540">
        <f ca="1"/>
        <v>8686.6849612581827</v>
      </c>
      <c r="S121" s="540">
        <f ca="1"/>
        <v>7388.6720826640958</v>
      </c>
      <c r="T121" s="540">
        <f ca="1"/>
        <v>6235.2219034945119</v>
      </c>
      <c r="U121" s="540">
        <f ca="1"/>
        <v>5234.5618334173641</v>
      </c>
      <c r="V121" s="540">
        <f ca="1"/>
        <v>4418.619562097404</v>
      </c>
      <c r="W121" s="540">
        <f ca="1"/>
        <v>3742.5718154409442</v>
      </c>
      <c r="X121" s="540">
        <f ca="1"/>
        <v>3188.8493030216778</v>
      </c>
      <c r="Y121" s="540">
        <f ca="1"/>
        <v>2740.1894670885722</v>
      </c>
      <c r="Z121" s="540">
        <f ca="1"/>
        <v>2387.7271455325954</v>
      </c>
      <c r="AA121" s="540">
        <f ca="1"/>
        <v>2115.192620776882</v>
      </c>
      <c r="AB121" s="540">
        <f ca="1"/>
        <v>1893.7997581039831</v>
      </c>
      <c r="AC121" s="540">
        <f ca="1"/>
        <v>1711.2226636007135</v>
      </c>
      <c r="AD121" s="540">
        <f ca="1"/>
        <v>1558.4263040674182</v>
      </c>
      <c r="AE121" s="540">
        <f ca="1"/>
        <v>1427.0013636030471</v>
      </c>
      <c r="AF121" s="540">
        <f ca="1"/>
        <v>1297.5663025659339</v>
      </c>
    </row>
    <row r="122" spans="1:32" x14ac:dyDescent="0.25">
      <c r="A122" s="550"/>
      <c r="B122" s="550" t="s">
        <v>27</v>
      </c>
      <c r="C122" s="539"/>
      <c r="D122" s="539"/>
      <c r="E122" s="539"/>
      <c r="F122" s="539"/>
      <c r="G122" s="540"/>
      <c r="H122" s="540">
        <f ca="1"/>
        <v>18038.742826397636</v>
      </c>
      <c r="I122" s="540">
        <f ca="1"/>
        <v>18338.593498001726</v>
      </c>
      <c r="J122" s="540">
        <f ca="1"/>
        <v>21460.122507549542</v>
      </c>
      <c r="K122" s="540">
        <f ca="1"/>
        <v>21392.250394297855</v>
      </c>
      <c r="L122" s="540">
        <f ca="1"/>
        <v>22863.472772115412</v>
      </c>
      <c r="M122" s="540">
        <f ca="1"/>
        <v>24708.269251952512</v>
      </c>
      <c r="N122" s="540">
        <f ca="1"/>
        <v>22105.788276850682</v>
      </c>
      <c r="O122" s="540">
        <f ca="1"/>
        <v>19851.211051672217</v>
      </c>
      <c r="P122" s="540">
        <f ca="1"/>
        <v>17722.229193036543</v>
      </c>
      <c r="Q122" s="540">
        <f ca="1"/>
        <v>15757.996222055623</v>
      </c>
      <c r="R122" s="540">
        <f ca="1"/>
        <v>13909.039619018411</v>
      </c>
      <c r="S122" s="540">
        <f ca="1"/>
        <v>12180.861182602141</v>
      </c>
      <c r="T122" s="540">
        <f ca="1"/>
        <v>10611.273081650774</v>
      </c>
      <c r="U122" s="540">
        <f ca="1"/>
        <v>9235.6102658316504</v>
      </c>
      <c r="V122" s="540">
        <f ca="1"/>
        <v>8069.8011688480592</v>
      </c>
      <c r="W122" s="540">
        <f ca="1"/>
        <v>7105.4950729615321</v>
      </c>
      <c r="X122" s="540">
        <f ca="1"/>
        <v>6315.0738453717204</v>
      </c>
      <c r="Y122" s="540">
        <f ca="1"/>
        <v>5679.3346722218012</v>
      </c>
      <c r="Z122" s="540">
        <f ca="1"/>
        <v>5179.4548262439348</v>
      </c>
      <c r="AA122" s="540">
        <f ca="1"/>
        <v>4793.2687911403118</v>
      </c>
      <c r="AB122" s="540">
        <f ca="1"/>
        <v>4499.639409163462</v>
      </c>
      <c r="AC122" s="540">
        <f ca="1"/>
        <v>4257.0672371930987</v>
      </c>
      <c r="AD122" s="540">
        <f ca="1"/>
        <v>4060.6408334941884</v>
      </c>
      <c r="AE122" s="540">
        <f ca="1"/>
        <v>3900.233623622144</v>
      </c>
      <c r="AF122" s="540">
        <f ca="1"/>
        <v>3761.1975880142413</v>
      </c>
    </row>
    <row r="123" spans="1:32" x14ac:dyDescent="0.25">
      <c r="A123" s="550"/>
      <c r="B123" s="550" t="s">
        <v>29</v>
      </c>
      <c r="C123" s="539"/>
      <c r="D123" s="539"/>
      <c r="E123" s="539"/>
      <c r="F123" s="539"/>
      <c r="G123" s="540"/>
      <c r="H123" s="540">
        <f ca="1"/>
        <v>181.76453459631608</v>
      </c>
      <c r="I123" s="540">
        <f ca="1"/>
        <v>460.7032384617678</v>
      </c>
      <c r="J123" s="540">
        <f ca="1"/>
        <v>750.50773782250042</v>
      </c>
      <c r="K123" s="540">
        <f ca="1"/>
        <v>1229.9224751892034</v>
      </c>
      <c r="L123" s="540">
        <f ca="1"/>
        <v>1962.9868945466326</v>
      </c>
      <c r="M123" s="540">
        <f ca="1"/>
        <v>3078.7465859278936</v>
      </c>
      <c r="N123" s="540">
        <f ca="1"/>
        <v>4449.9934556733069</v>
      </c>
      <c r="O123" s="540">
        <f ca="1"/>
        <v>6157.9595015243285</v>
      </c>
      <c r="P123" s="540">
        <f ca="1"/>
        <v>8101.3426272240258</v>
      </c>
      <c r="Q123" s="540">
        <f ca="1"/>
        <v>10174.825944323487</v>
      </c>
      <c r="R123" s="540">
        <f ca="1"/>
        <v>12198.541301304649</v>
      </c>
      <c r="S123" s="540">
        <f ca="1"/>
        <v>14066.166311832711</v>
      </c>
      <c r="T123" s="540">
        <f ca="1"/>
        <v>15667.529284595614</v>
      </c>
      <c r="U123" s="540">
        <f ca="1"/>
        <v>16967.999673256942</v>
      </c>
      <c r="V123" s="540">
        <f ca="1"/>
        <v>17970.384047279967</v>
      </c>
      <c r="W123" s="540">
        <f ca="1"/>
        <v>18705.988536136752</v>
      </c>
      <c r="X123" s="540">
        <f ca="1"/>
        <v>19201.883278371064</v>
      </c>
      <c r="Y123" s="540">
        <f ca="1"/>
        <v>19526.263531764522</v>
      </c>
      <c r="Z123" s="540">
        <f ca="1"/>
        <v>19747.677421478533</v>
      </c>
      <c r="AA123" s="540">
        <f ca="1"/>
        <v>19915.558893455418</v>
      </c>
      <c r="AB123" s="540">
        <f ca="1"/>
        <v>20096.158572119704</v>
      </c>
      <c r="AC123" s="540">
        <f ca="1"/>
        <v>20192.449737487772</v>
      </c>
      <c r="AD123" s="540">
        <f ca="1"/>
        <v>20260.984782085194</v>
      </c>
      <c r="AE123" s="540">
        <f ca="1"/>
        <v>20322.388102134108</v>
      </c>
      <c r="AF123" s="540">
        <f ca="1"/>
        <v>20401.054221734514</v>
      </c>
    </row>
    <row r="124" spans="1:32" x14ac:dyDescent="0.25">
      <c r="A124" s="550"/>
      <c r="B124" s="550"/>
      <c r="C124" s="539"/>
      <c r="D124" s="539"/>
      <c r="E124" s="539"/>
      <c r="F124" s="539"/>
      <c r="G124" s="540"/>
      <c r="H124" s="540" t="str">
        <v/>
      </c>
      <c r="I124" s="540" t="str">
        <v/>
      </c>
      <c r="J124" s="540" t="str">
        <v/>
      </c>
      <c r="K124" s="540" t="str">
        <v/>
      </c>
      <c r="L124" s="540" t="str">
        <v/>
      </c>
      <c r="M124" s="540" t="str">
        <v/>
      </c>
      <c r="N124" s="540" t="str">
        <v/>
      </c>
      <c r="O124" s="540" t="str">
        <v/>
      </c>
      <c r="P124" s="540" t="str">
        <v/>
      </c>
      <c r="Q124" s="540" t="str">
        <v/>
      </c>
      <c r="R124" s="540" t="str">
        <v/>
      </c>
      <c r="S124" s="540" t="str">
        <v/>
      </c>
      <c r="T124" s="540" t="str">
        <v/>
      </c>
      <c r="U124" s="540" t="str">
        <v/>
      </c>
      <c r="V124" s="540" t="str">
        <v/>
      </c>
      <c r="W124" s="540" t="str">
        <v/>
      </c>
      <c r="X124" s="540" t="str">
        <v/>
      </c>
      <c r="Y124" s="540" t="str">
        <v/>
      </c>
      <c r="Z124" s="540" t="str">
        <v/>
      </c>
      <c r="AA124" s="540" t="str">
        <v/>
      </c>
      <c r="AB124" s="540" t="str">
        <v/>
      </c>
      <c r="AC124" s="540" t="str">
        <v/>
      </c>
      <c r="AD124" s="540" t="str">
        <v/>
      </c>
      <c r="AE124" s="540" t="str">
        <v/>
      </c>
      <c r="AF124" s="540" t="str">
        <v/>
      </c>
    </row>
    <row r="125" spans="1:32" s="202" customFormat="1" ht="12.75" x14ac:dyDescent="0.2">
      <c r="A125" s="556" t="s">
        <v>32</v>
      </c>
      <c r="B125" s="556"/>
      <c r="C125" s="556"/>
      <c r="D125" s="556"/>
      <c r="E125" s="556"/>
      <c r="F125" s="556"/>
      <c r="G125" s="547"/>
      <c r="H125" s="547" t="str">
        <v/>
      </c>
      <c r="I125" s="547" t="str">
        <v/>
      </c>
      <c r="J125" s="547" t="str">
        <v/>
      </c>
      <c r="K125" s="547" t="str">
        <v/>
      </c>
      <c r="L125" s="547" t="str">
        <v/>
      </c>
      <c r="M125" s="547" t="str">
        <v/>
      </c>
      <c r="N125" s="547" t="str">
        <v/>
      </c>
      <c r="O125" s="547" t="str">
        <v/>
      </c>
      <c r="P125" s="547" t="str">
        <v/>
      </c>
      <c r="Q125" s="547" t="str">
        <v/>
      </c>
      <c r="R125" s="547" t="str">
        <v/>
      </c>
      <c r="S125" s="547" t="str">
        <v/>
      </c>
      <c r="T125" s="547" t="str">
        <v/>
      </c>
      <c r="U125" s="547" t="str">
        <v/>
      </c>
      <c r="V125" s="547" t="str">
        <v/>
      </c>
      <c r="W125" s="547" t="str">
        <v/>
      </c>
      <c r="X125" s="547" t="str">
        <v/>
      </c>
      <c r="Y125" s="547" t="str">
        <v/>
      </c>
      <c r="Z125" s="547" t="str">
        <v/>
      </c>
      <c r="AA125" s="547" t="str">
        <v/>
      </c>
      <c r="AB125" s="547" t="str">
        <v/>
      </c>
      <c r="AC125" s="547" t="str">
        <v/>
      </c>
      <c r="AD125" s="547" t="str">
        <v/>
      </c>
      <c r="AE125" s="547" t="str">
        <v/>
      </c>
      <c r="AF125" s="547" t="str">
        <v/>
      </c>
    </row>
    <row r="126" spans="1:32" x14ac:dyDescent="0.25">
      <c r="A126" s="550"/>
      <c r="B126" s="550" t="s">
        <v>33</v>
      </c>
      <c r="C126" s="539"/>
      <c r="D126" s="539"/>
      <c r="E126" s="539"/>
      <c r="F126" s="539"/>
      <c r="G126" s="540"/>
      <c r="H126" s="540">
        <v>3798.630321318265</v>
      </c>
      <c r="I126" s="540">
        <v>4095.2147068477243</v>
      </c>
      <c r="J126" s="540">
        <v>4315.5317939806719</v>
      </c>
      <c r="K126" s="540">
        <v>4386.4066092490057</v>
      </c>
      <c r="L126" s="540">
        <v>4085.4692207323724</v>
      </c>
      <c r="M126" s="540">
        <v>3645.4963342861356</v>
      </c>
      <c r="N126" s="540">
        <v>3186.1755108387947</v>
      </c>
      <c r="O126" s="540">
        <v>2723.7184597822338</v>
      </c>
      <c r="P126" s="540">
        <v>2290.9985173774544</v>
      </c>
      <c r="Q126" s="540">
        <v>1880.7857505924744</v>
      </c>
      <c r="R126" s="540">
        <v>1508.4118781570626</v>
      </c>
      <c r="S126" s="540">
        <v>1196.8645709760601</v>
      </c>
      <c r="T126" s="540">
        <v>942.12682689072187</v>
      </c>
      <c r="U126" s="540">
        <v>739.24933222601919</v>
      </c>
      <c r="V126" s="540">
        <v>586.14478399112579</v>
      </c>
      <c r="W126" s="540">
        <v>468.81728352817856</v>
      </c>
      <c r="X126" s="540">
        <v>379.87446843210262</v>
      </c>
      <c r="Y126" s="540">
        <v>312.43629767686838</v>
      </c>
      <c r="Z126" s="540">
        <v>262.41030809035755</v>
      </c>
      <c r="AA126" s="540">
        <v>225.54269958507646</v>
      </c>
      <c r="AB126" s="540">
        <v>196.6720634979574</v>
      </c>
      <c r="AC126" s="540">
        <v>173.4053129410716</v>
      </c>
      <c r="AD126" s="540">
        <v>154.49300355295364</v>
      </c>
      <c r="AE126" s="540">
        <v>138.36268380695003</v>
      </c>
      <c r="AF126" s="540">
        <v>122.52761315149864</v>
      </c>
    </row>
    <row r="127" spans="1:32" x14ac:dyDescent="0.25">
      <c r="A127" s="552"/>
      <c r="B127" s="552" t="s">
        <v>34</v>
      </c>
      <c r="C127" s="539"/>
      <c r="D127" s="539"/>
      <c r="E127" s="539"/>
      <c r="F127" s="539"/>
      <c r="G127" s="540"/>
      <c r="H127" s="540">
        <v>5547.4426703211766</v>
      </c>
      <c r="I127" s="540">
        <v>5294.9609063820417</v>
      </c>
      <c r="J127" s="540">
        <v>4953.6180865425231</v>
      </c>
      <c r="K127" s="540">
        <v>4521.0157019168846</v>
      </c>
      <c r="L127" s="540">
        <v>4317.8354280807644</v>
      </c>
      <c r="M127" s="540">
        <v>4046.0363058884686</v>
      </c>
      <c r="N127" s="540">
        <v>3691.247756285698</v>
      </c>
      <c r="O127" s="540">
        <v>3290.2837484083529</v>
      </c>
      <c r="P127" s="540">
        <v>2873.1075115881472</v>
      </c>
      <c r="Q127" s="540">
        <v>2466.5885926026322</v>
      </c>
      <c r="R127" s="540">
        <v>2086.0638530357178</v>
      </c>
      <c r="S127" s="540">
        <v>1750.3287659381231</v>
      </c>
      <c r="T127" s="540">
        <v>1462.4372474344923</v>
      </c>
      <c r="U127" s="540">
        <v>1223.5411892861291</v>
      </c>
      <c r="V127" s="540">
        <v>1034.1163475809592</v>
      </c>
      <c r="W127" s="540">
        <v>884.31866592517179</v>
      </c>
      <c r="X127" s="540">
        <v>767.26295689370772</v>
      </c>
      <c r="Y127" s="540">
        <v>676.45187568913752</v>
      </c>
      <c r="Z127" s="540">
        <v>608.01168824577485</v>
      </c>
      <c r="AA127" s="540">
        <v>557.45229260436531</v>
      </c>
      <c r="AB127" s="540">
        <v>519.18367460436525</v>
      </c>
      <c r="AC127" s="540">
        <v>487.63960998653027</v>
      </c>
      <c r="AD127" s="540">
        <v>462.34171852577686</v>
      </c>
      <c r="AE127" s="540">
        <v>440.97296087756166</v>
      </c>
      <c r="AF127" s="540">
        <v>419.63608977030049</v>
      </c>
    </row>
    <row r="128" spans="1:32" x14ac:dyDescent="0.25">
      <c r="A128" s="550"/>
      <c r="B128" s="552" t="s">
        <v>35</v>
      </c>
      <c r="C128" s="539"/>
      <c r="D128" s="539"/>
      <c r="E128" s="539"/>
      <c r="F128" s="539"/>
      <c r="G128" s="540"/>
      <c r="H128" s="540">
        <v>1038.8051052438191</v>
      </c>
      <c r="I128" s="540">
        <v>1065.7043275741494</v>
      </c>
      <c r="J128" s="540">
        <v>1117.5450200701578</v>
      </c>
      <c r="K128" s="540">
        <v>1177.0368335924584</v>
      </c>
      <c r="L128" s="540">
        <v>1136.6534555081298</v>
      </c>
      <c r="M128" s="540">
        <v>1096.8267604224438</v>
      </c>
      <c r="N128" s="540">
        <v>1023.8393213700563</v>
      </c>
      <c r="O128" s="540">
        <v>931.87360843210047</v>
      </c>
      <c r="P128" s="540">
        <v>827.11662496334282</v>
      </c>
      <c r="Q128" s="540">
        <v>725.30566382016832</v>
      </c>
      <c r="R128" s="540">
        <v>630.01593553876319</v>
      </c>
      <c r="S128" s="540">
        <v>543.39866934279939</v>
      </c>
      <c r="T128" s="540">
        <v>467.41843345205172</v>
      </c>
      <c r="U128" s="540">
        <v>403.40690554689354</v>
      </c>
      <c r="V128" s="540">
        <v>351.11390224809145</v>
      </c>
      <c r="W128" s="540">
        <v>309.51847797878708</v>
      </c>
      <c r="X128" s="540">
        <v>276.87824244514348</v>
      </c>
      <c r="Y128" s="540">
        <v>251.70722805774915</v>
      </c>
      <c r="Z128" s="540">
        <v>232.89096024443373</v>
      </c>
      <c r="AA128" s="540">
        <v>219.23723779585214</v>
      </c>
      <c r="AB128" s="540">
        <v>209.80943647182227</v>
      </c>
      <c r="AC128" s="540">
        <v>202.163836629266</v>
      </c>
      <c r="AD128" s="540">
        <v>196.5152303189287</v>
      </c>
      <c r="AE128" s="540">
        <v>192.25347466756807</v>
      </c>
      <c r="AF128" s="540">
        <v>188.77036157598488</v>
      </c>
    </row>
    <row r="129" spans="1:32" x14ac:dyDescent="0.25">
      <c r="A129" s="550"/>
      <c r="B129" s="552" t="s">
        <v>29</v>
      </c>
      <c r="C129" s="539"/>
      <c r="D129" s="539"/>
      <c r="E129" s="539"/>
      <c r="F129" s="539"/>
      <c r="G129" s="540"/>
      <c r="H129" s="540">
        <v>69.343327590944909</v>
      </c>
      <c r="I129" s="540">
        <v>222.63142278947814</v>
      </c>
      <c r="J129" s="540">
        <v>538.43802900744345</v>
      </c>
      <c r="K129" s="540">
        <v>1024.6709714461927</v>
      </c>
      <c r="L129" s="540">
        <v>1601.737211100587</v>
      </c>
      <c r="M129" s="540">
        <v>2280.38728780574</v>
      </c>
      <c r="N129" s="540">
        <v>2985.3421815108031</v>
      </c>
      <c r="O129" s="540">
        <v>3665.7700248505903</v>
      </c>
      <c r="P129" s="540">
        <v>4266.0858006158714</v>
      </c>
      <c r="Q129" s="540">
        <v>4766.4179110149125</v>
      </c>
      <c r="R129" s="540">
        <v>5143.6627568905469</v>
      </c>
      <c r="S129" s="540">
        <v>5402.3480791112206</v>
      </c>
      <c r="T129" s="540">
        <v>5550.5418855895905</v>
      </c>
      <c r="U129" s="540">
        <v>5609.1532404467807</v>
      </c>
      <c r="V129" s="540">
        <v>5601.6930195259201</v>
      </c>
      <c r="W129" s="540">
        <v>5549.2528437729425</v>
      </c>
      <c r="X129" s="540">
        <v>5468.2751986625808</v>
      </c>
      <c r="Y129" s="540">
        <v>5376.6221208329098</v>
      </c>
      <c r="Z129" s="540">
        <v>5290.7639969279371</v>
      </c>
      <c r="AA129" s="540">
        <v>5220.0618979406145</v>
      </c>
      <c r="AB129" s="540">
        <v>5177.1176834156113</v>
      </c>
      <c r="AC129" s="540">
        <v>5131.6054452837416</v>
      </c>
      <c r="AD129" s="540">
        <v>5100.1512885628163</v>
      </c>
      <c r="AE129" s="540">
        <v>5078.919252412994</v>
      </c>
      <c r="AF129" s="540">
        <v>5073.6603106647672</v>
      </c>
    </row>
    <row r="130" spans="1:32" x14ac:dyDescent="0.25">
      <c r="A130" s="550"/>
      <c r="B130" s="550"/>
      <c r="C130" s="539"/>
      <c r="D130" s="539"/>
      <c r="E130" s="539"/>
      <c r="F130" s="539"/>
      <c r="G130" s="540"/>
      <c r="H130" s="540" t="str">
        <v/>
      </c>
      <c r="I130" s="540" t="str">
        <v/>
      </c>
      <c r="J130" s="540" t="str">
        <v/>
      </c>
      <c r="K130" s="540" t="str">
        <v/>
      </c>
      <c r="L130" s="540" t="str">
        <v/>
      </c>
      <c r="M130" s="540" t="str">
        <v/>
      </c>
      <c r="N130" s="540" t="str">
        <v/>
      </c>
      <c r="O130" s="540" t="str">
        <v/>
      </c>
      <c r="P130" s="540" t="str">
        <v/>
      </c>
      <c r="Q130" s="540" t="str">
        <v/>
      </c>
      <c r="R130" s="540" t="str">
        <v/>
      </c>
      <c r="S130" s="540" t="str">
        <v/>
      </c>
      <c r="T130" s="540" t="str">
        <v/>
      </c>
      <c r="U130" s="540" t="str">
        <v/>
      </c>
      <c r="V130" s="540" t="str">
        <v/>
      </c>
      <c r="W130" s="540" t="str">
        <v/>
      </c>
      <c r="X130" s="540" t="str">
        <v/>
      </c>
      <c r="Y130" s="540" t="str">
        <v/>
      </c>
      <c r="Z130" s="540" t="str">
        <v/>
      </c>
      <c r="AA130" s="540" t="str">
        <v/>
      </c>
      <c r="AB130" s="540" t="str">
        <v/>
      </c>
      <c r="AC130" s="540" t="str">
        <v/>
      </c>
      <c r="AD130" s="540" t="str">
        <v/>
      </c>
      <c r="AE130" s="540" t="str">
        <v/>
      </c>
      <c r="AF130" s="540" t="str">
        <v/>
      </c>
    </row>
    <row r="131" spans="1:32" s="202" customFormat="1" ht="12.75" x14ac:dyDescent="0.2">
      <c r="A131" s="556" t="s">
        <v>36</v>
      </c>
      <c r="B131" s="556"/>
      <c r="C131" s="556"/>
      <c r="D131" s="556"/>
      <c r="E131" s="556"/>
      <c r="F131" s="556"/>
      <c r="G131" s="547"/>
      <c r="H131" s="547" t="str">
        <v/>
      </c>
      <c r="I131" s="547" t="str">
        <v/>
      </c>
      <c r="J131" s="547" t="str">
        <v/>
      </c>
      <c r="K131" s="547" t="str">
        <v/>
      </c>
      <c r="L131" s="547" t="str">
        <v/>
      </c>
      <c r="M131" s="547" t="str">
        <v/>
      </c>
      <c r="N131" s="547" t="str">
        <v/>
      </c>
      <c r="O131" s="547" t="str">
        <v/>
      </c>
      <c r="P131" s="547" t="str">
        <v/>
      </c>
      <c r="Q131" s="547" t="str">
        <v/>
      </c>
      <c r="R131" s="547" t="str">
        <v/>
      </c>
      <c r="S131" s="547" t="str">
        <v/>
      </c>
      <c r="T131" s="547" t="str">
        <v/>
      </c>
      <c r="U131" s="547" t="str">
        <v/>
      </c>
      <c r="V131" s="547" t="str">
        <v/>
      </c>
      <c r="W131" s="547" t="str">
        <v/>
      </c>
      <c r="X131" s="547" t="str">
        <v/>
      </c>
      <c r="Y131" s="547" t="str">
        <v/>
      </c>
      <c r="Z131" s="547" t="str">
        <v/>
      </c>
      <c r="AA131" s="547" t="str">
        <v/>
      </c>
      <c r="AB131" s="547" t="str">
        <v/>
      </c>
      <c r="AC131" s="547" t="str">
        <v/>
      </c>
      <c r="AD131" s="547" t="str">
        <v/>
      </c>
      <c r="AE131" s="547" t="str">
        <v/>
      </c>
      <c r="AF131" s="547" t="str">
        <v/>
      </c>
    </row>
    <row r="132" spans="1:32" x14ac:dyDescent="0.25">
      <c r="A132" s="550"/>
      <c r="B132" s="550" t="s">
        <v>37</v>
      </c>
      <c r="C132" s="539"/>
      <c r="D132" s="539"/>
      <c r="E132" s="539"/>
      <c r="F132" s="201"/>
      <c r="G132" s="540"/>
      <c r="H132" s="540">
        <v>766.31987398803631</v>
      </c>
      <c r="I132" s="540">
        <v>604.13209760257087</v>
      </c>
      <c r="J132" s="540">
        <v>453.72327905910879</v>
      </c>
      <c r="K132" s="540">
        <v>316.88396422748502</v>
      </c>
      <c r="L132" s="540">
        <v>281.88897433878867</v>
      </c>
      <c r="M132" s="540">
        <v>250.57073546146393</v>
      </c>
      <c r="N132" s="540">
        <v>225.20437024256285</v>
      </c>
      <c r="O132" s="540">
        <v>207.49038667379054</v>
      </c>
      <c r="P132" s="540">
        <v>191.26080223473758</v>
      </c>
      <c r="Q132" s="540">
        <v>176.36422425920728</v>
      </c>
      <c r="R132" s="540">
        <v>162.67859760912384</v>
      </c>
      <c r="S132" s="540">
        <v>150.10817651137168</v>
      </c>
      <c r="T132" s="540">
        <v>138.54887115261124</v>
      </c>
      <c r="U132" s="540">
        <v>127.91284472857164</v>
      </c>
      <c r="V132" s="540">
        <v>118.12661471344177</v>
      </c>
      <c r="W132" s="540">
        <v>109.11299150089343</v>
      </c>
      <c r="X132" s="540">
        <v>100.80813895732086</v>
      </c>
      <c r="Y132" s="540">
        <v>93.153806024805533</v>
      </c>
      <c r="Z132" s="540">
        <v>86.099163783287196</v>
      </c>
      <c r="AA132" s="540">
        <v>79.595965605523219</v>
      </c>
      <c r="AB132" s="540">
        <v>73.597428911486901</v>
      </c>
      <c r="AC132" s="540">
        <v>68.061164379151847</v>
      </c>
      <c r="AD132" s="540">
        <v>62.951406930542369</v>
      </c>
      <c r="AE132" s="540">
        <v>58.233622508212655</v>
      </c>
      <c r="AF132" s="540">
        <v>53.873695511018703</v>
      </c>
    </row>
    <row r="133" spans="1:32" x14ac:dyDescent="0.25">
      <c r="A133" s="550"/>
      <c r="B133" s="550" t="s">
        <v>39</v>
      </c>
      <c r="C133" s="539"/>
      <c r="D133" s="539"/>
      <c r="E133" s="203"/>
      <c r="F133" s="539"/>
      <c r="G133" s="540"/>
      <c r="H133" s="540">
        <v>1731.0746575571186</v>
      </c>
      <c r="I133" s="540">
        <v>1782.1339668451758</v>
      </c>
      <c r="J133" s="540">
        <v>1793.0169705658907</v>
      </c>
      <c r="K133" s="540">
        <v>1750.7089065867442</v>
      </c>
      <c r="L133" s="540">
        <v>1646.1221855358735</v>
      </c>
      <c r="M133" s="540">
        <v>1526.9008855318173</v>
      </c>
      <c r="N133" s="540">
        <v>1405.4454877818243</v>
      </c>
      <c r="O133" s="540">
        <v>1288.1385956351696</v>
      </c>
      <c r="P133" s="540">
        <v>1183.5408488923747</v>
      </c>
      <c r="Q133" s="540">
        <v>1088.9166219011797</v>
      </c>
      <c r="R133" s="540">
        <v>1003.404798322434</v>
      </c>
      <c r="S133" s="540">
        <v>930.87010483490565</v>
      </c>
      <c r="T133" s="540">
        <v>867.13624144744313</v>
      </c>
      <c r="U133" s="540">
        <v>810.85095685170427</v>
      </c>
      <c r="V133" s="540">
        <v>763.04962563184529</v>
      </c>
      <c r="W133" s="540">
        <v>720.24506525366644</v>
      </c>
      <c r="X133" s="540">
        <v>681.79181270058439</v>
      </c>
      <c r="Y133" s="540">
        <v>647.16543518994445</v>
      </c>
      <c r="Z133" s="540">
        <v>616.97904680408226</v>
      </c>
      <c r="AA133" s="540">
        <v>590.97294455588315</v>
      </c>
      <c r="AB133" s="540">
        <v>567.85416313366261</v>
      </c>
      <c r="AC133" s="540">
        <v>545.79248381558136</v>
      </c>
      <c r="AD133" s="540">
        <v>525.42084510516656</v>
      </c>
      <c r="AE133" s="540">
        <v>506.23693675432253</v>
      </c>
      <c r="AF133" s="540">
        <v>486.61293138625996</v>
      </c>
    </row>
    <row r="134" spans="1:32" x14ac:dyDescent="0.25">
      <c r="A134" s="550"/>
      <c r="B134" s="550" t="s">
        <v>40</v>
      </c>
      <c r="C134" s="539"/>
      <c r="D134" s="539"/>
      <c r="E134" s="539"/>
      <c r="F134" s="539"/>
      <c r="G134" s="540"/>
      <c r="H134" s="540">
        <v>264.27111623766575</v>
      </c>
      <c r="I134" s="540">
        <v>355.27897973383853</v>
      </c>
      <c r="J134" s="540">
        <v>454.20378317233491</v>
      </c>
      <c r="K134" s="540">
        <v>553.07068598679564</v>
      </c>
      <c r="L134" s="540">
        <v>627.71704869573148</v>
      </c>
      <c r="M134" s="540">
        <v>691.90090263763136</v>
      </c>
      <c r="N134" s="540">
        <v>737.23770848916558</v>
      </c>
      <c r="O134" s="540">
        <v>766.24768487085487</v>
      </c>
      <c r="P134" s="540">
        <v>780.64658780365369</v>
      </c>
      <c r="Q134" s="540">
        <v>782.26797385357122</v>
      </c>
      <c r="R134" s="540">
        <v>773.08657481165085</v>
      </c>
      <c r="S134" s="540">
        <v>758.18546483846069</v>
      </c>
      <c r="T134" s="540">
        <v>738.14270910937546</v>
      </c>
      <c r="U134" s="540">
        <v>715.21687918620739</v>
      </c>
      <c r="V134" s="540">
        <v>692.35490466291219</v>
      </c>
      <c r="W134" s="540">
        <v>669.2865724466742</v>
      </c>
      <c r="X134" s="540">
        <v>646.79150298014656</v>
      </c>
      <c r="Y134" s="540">
        <v>625.50742943206694</v>
      </c>
      <c r="Z134" s="540">
        <v>606.56411038185104</v>
      </c>
      <c r="AA134" s="540">
        <v>590.19513500497135</v>
      </c>
      <c r="AB134" s="540">
        <v>576.08251883192349</v>
      </c>
      <c r="AC134" s="540">
        <v>562.02900423761025</v>
      </c>
      <c r="AD134" s="540">
        <v>549.04208554377408</v>
      </c>
      <c r="AE134" s="540">
        <v>536.82667720216125</v>
      </c>
      <c r="AF134" s="540">
        <v>523.91059652308547</v>
      </c>
    </row>
    <row r="135" spans="1:32" x14ac:dyDescent="0.25">
      <c r="A135" s="550"/>
      <c r="B135" s="550" t="s">
        <v>29</v>
      </c>
      <c r="C135" s="539"/>
      <c r="D135" s="539"/>
      <c r="E135" s="539"/>
      <c r="F135" s="539"/>
      <c r="G135" s="540"/>
      <c r="H135" s="540">
        <v>3.4727204109571454E-2</v>
      </c>
      <c r="I135" s="540">
        <v>0.83595386825611306</v>
      </c>
      <c r="J135" s="540">
        <v>5.4003158543929519</v>
      </c>
      <c r="K135" s="540">
        <v>18.372459618830643</v>
      </c>
      <c r="L135" s="540">
        <v>43.503715262764061</v>
      </c>
      <c r="M135" s="540">
        <v>82.88989483352988</v>
      </c>
      <c r="N135" s="540">
        <v>134.70067579639874</v>
      </c>
      <c r="O135" s="540">
        <v>196.90783643786492</v>
      </c>
      <c r="P135" s="540">
        <v>266.39154724267894</v>
      </c>
      <c r="Q135" s="540">
        <v>341.279536061062</v>
      </c>
      <c r="R135" s="540">
        <v>416.55304785216902</v>
      </c>
      <c r="S135" s="540">
        <v>493.16233535114878</v>
      </c>
      <c r="T135" s="540">
        <v>567.71330782724408</v>
      </c>
      <c r="U135" s="540">
        <v>638.67770032585747</v>
      </c>
      <c r="V135" s="540">
        <v>705.38141304347835</v>
      </c>
      <c r="W135" s="540">
        <v>765.84232800053314</v>
      </c>
      <c r="X135" s="540">
        <v>819.39184490454249</v>
      </c>
      <c r="Y135" s="540">
        <v>866.79906999711193</v>
      </c>
      <c r="Z135" s="540">
        <v>910.2402633954157</v>
      </c>
      <c r="AA135" s="540">
        <v>950.95000997408999</v>
      </c>
      <c r="AB135" s="540">
        <v>991.84499391275108</v>
      </c>
      <c r="AC135" s="540">
        <v>1025.2066194706044</v>
      </c>
      <c r="AD135" s="540">
        <v>1055.8540257388483</v>
      </c>
      <c r="AE135" s="540">
        <v>1084.4172094872004</v>
      </c>
      <c r="AF135" s="540">
        <v>1112.7513517013324</v>
      </c>
    </row>
    <row r="136" spans="1:32" x14ac:dyDescent="0.25">
      <c r="A136" s="550"/>
      <c r="B136" s="550"/>
      <c r="C136" s="539"/>
      <c r="D136" s="539"/>
      <c r="E136" s="539"/>
      <c r="F136" s="539"/>
      <c r="G136" s="540"/>
      <c r="H136" s="540" t="str">
        <v/>
      </c>
      <c r="I136" s="540" t="str">
        <v/>
      </c>
      <c r="J136" s="540" t="str">
        <v/>
      </c>
      <c r="K136" s="540" t="str">
        <v/>
      </c>
      <c r="L136" s="540" t="str">
        <v/>
      </c>
      <c r="M136" s="540" t="str">
        <v/>
      </c>
      <c r="N136" s="540" t="str">
        <v/>
      </c>
      <c r="O136" s="540" t="str">
        <v/>
      </c>
      <c r="P136" s="540" t="str">
        <v/>
      </c>
      <c r="Q136" s="540" t="str">
        <v/>
      </c>
      <c r="R136" s="540" t="str">
        <v/>
      </c>
      <c r="S136" s="540" t="str">
        <v/>
      </c>
      <c r="T136" s="540" t="str">
        <v/>
      </c>
      <c r="U136" s="540" t="str">
        <v/>
      </c>
      <c r="V136" s="540" t="str">
        <v/>
      </c>
      <c r="W136" s="540" t="str">
        <v/>
      </c>
      <c r="X136" s="540" t="str">
        <v/>
      </c>
      <c r="Y136" s="540" t="str">
        <v/>
      </c>
      <c r="Z136" s="540" t="str">
        <v/>
      </c>
      <c r="AA136" s="540" t="str">
        <v/>
      </c>
      <c r="AB136" s="540" t="str">
        <v/>
      </c>
      <c r="AC136" s="540" t="str">
        <v/>
      </c>
      <c r="AD136" s="540" t="str">
        <v/>
      </c>
      <c r="AE136" s="540" t="str">
        <v/>
      </c>
      <c r="AF136" s="540" t="str">
        <v/>
      </c>
    </row>
    <row r="137" spans="1:32" s="202" customFormat="1" ht="12.75" x14ac:dyDescent="0.2">
      <c r="A137" s="556" t="s">
        <v>42</v>
      </c>
      <c r="B137" s="556"/>
      <c r="C137" s="556"/>
      <c r="D137" s="556"/>
      <c r="E137" s="556"/>
      <c r="F137" s="556"/>
      <c r="G137" s="547"/>
      <c r="H137" s="547" t="str">
        <v/>
      </c>
      <c r="I137" s="547" t="str">
        <v/>
      </c>
      <c r="J137" s="547" t="str">
        <v/>
      </c>
      <c r="K137" s="547" t="str">
        <v/>
      </c>
      <c r="L137" s="547" t="str">
        <v/>
      </c>
      <c r="M137" s="547" t="str">
        <v/>
      </c>
      <c r="N137" s="547" t="str">
        <v/>
      </c>
      <c r="O137" s="547" t="str">
        <v/>
      </c>
      <c r="P137" s="547" t="str">
        <v/>
      </c>
      <c r="Q137" s="547" t="str">
        <v/>
      </c>
      <c r="R137" s="547" t="str">
        <v/>
      </c>
      <c r="S137" s="547" t="str">
        <v/>
      </c>
      <c r="T137" s="547" t="str">
        <v/>
      </c>
      <c r="U137" s="547" t="str">
        <v/>
      </c>
      <c r="V137" s="547" t="str">
        <v/>
      </c>
      <c r="W137" s="547" t="str">
        <v/>
      </c>
      <c r="X137" s="547" t="str">
        <v/>
      </c>
      <c r="Y137" s="547" t="str">
        <v/>
      </c>
      <c r="Z137" s="547" t="str">
        <v/>
      </c>
      <c r="AA137" s="547" t="str">
        <v/>
      </c>
      <c r="AB137" s="547" t="str">
        <v/>
      </c>
      <c r="AC137" s="547" t="str">
        <v/>
      </c>
      <c r="AD137" s="547" t="str">
        <v/>
      </c>
      <c r="AE137" s="547" t="str">
        <v/>
      </c>
      <c r="AF137" s="547" t="str">
        <v/>
      </c>
    </row>
    <row r="138" spans="1:32" x14ac:dyDescent="0.25">
      <c r="A138" s="550"/>
      <c r="B138" s="552" t="s">
        <v>43</v>
      </c>
      <c r="C138" s="539"/>
      <c r="D138" s="539"/>
      <c r="E138" s="539"/>
      <c r="F138" s="539"/>
      <c r="G138" s="540"/>
      <c r="H138" s="540">
        <v>0.41897920965924429</v>
      </c>
      <c r="I138" s="540">
        <v>0.40093486757334312</v>
      </c>
      <c r="J138" s="540">
        <v>0.38319764557968083</v>
      </c>
      <c r="K138" s="540">
        <v>0.36518293625791065</v>
      </c>
      <c r="L138" s="540">
        <v>0.34817340031177468</v>
      </c>
      <c r="M138" s="540">
        <v>0.33169303916068288</v>
      </c>
      <c r="N138" s="540">
        <v>0.3157155305684175</v>
      </c>
      <c r="O138" s="540">
        <v>0.3006027874065485</v>
      </c>
      <c r="P138" s="540">
        <v>0.2864184975426729</v>
      </c>
      <c r="Q138" s="540">
        <v>0.27313529775310635</v>
      </c>
      <c r="R138" s="540">
        <v>0.2606385138665403</v>
      </c>
      <c r="S138" s="540">
        <v>0.24928895666387899</v>
      </c>
      <c r="T138" s="540">
        <v>0.23884008153494113</v>
      </c>
      <c r="U138" s="540">
        <v>0.22924244164500579</v>
      </c>
      <c r="V138" s="540">
        <v>0.22053989454015827</v>
      </c>
      <c r="W138" s="540">
        <v>0.21249335901169736</v>
      </c>
      <c r="X138" s="540">
        <v>0.20501782050556325</v>
      </c>
      <c r="Y138" s="540">
        <v>0.19807982134341923</v>
      </c>
      <c r="Z138" s="540">
        <v>0.19174527439166583</v>
      </c>
      <c r="AA138" s="540">
        <v>0.18600388785441871</v>
      </c>
      <c r="AB138" s="540">
        <v>0.18086929582741709</v>
      </c>
      <c r="AC138" s="540">
        <v>0.17591458187714493</v>
      </c>
      <c r="AD138" s="540">
        <v>0.17131453830999491</v>
      </c>
      <c r="AE138" s="540">
        <v>0.16703653600250273</v>
      </c>
      <c r="AF138" s="540">
        <v>0.16304397468272838</v>
      </c>
    </row>
    <row r="139" spans="1:32" x14ac:dyDescent="0.25">
      <c r="A139" s="550"/>
      <c r="B139" s="552" t="s">
        <v>44</v>
      </c>
      <c r="C139" s="539"/>
      <c r="D139" s="539"/>
      <c r="E139" s="539"/>
      <c r="F139" s="539"/>
      <c r="G139" s="540"/>
      <c r="H139" s="540">
        <v>10.888069129655387</v>
      </c>
      <c r="I139" s="540">
        <v>11.32598915413443</v>
      </c>
      <c r="J139" s="540">
        <v>11.621866588108913</v>
      </c>
      <c r="K139" s="540">
        <v>11.706759367123272</v>
      </c>
      <c r="L139" s="540">
        <v>11.763772224952033</v>
      </c>
      <c r="M139" s="540">
        <v>11.742317862561896</v>
      </c>
      <c r="N139" s="540">
        <v>11.644906859489426</v>
      </c>
      <c r="O139" s="540">
        <v>11.53134279458453</v>
      </c>
      <c r="P139" s="540">
        <v>11.419059184244752</v>
      </c>
      <c r="Q139" s="540">
        <v>11.314066984367477</v>
      </c>
      <c r="R139" s="540">
        <v>11.208502835815287</v>
      </c>
      <c r="S139" s="540">
        <v>11.158846676013868</v>
      </c>
      <c r="T139" s="540">
        <v>11.138187307413011</v>
      </c>
      <c r="U139" s="540">
        <v>11.146179261759853</v>
      </c>
      <c r="V139" s="540">
        <v>11.194381138205152</v>
      </c>
      <c r="W139" s="540">
        <v>11.255670412844742</v>
      </c>
      <c r="X139" s="540">
        <v>11.323255854015947</v>
      </c>
      <c r="Y139" s="540">
        <v>11.397217819235909</v>
      </c>
      <c r="Z139" s="540">
        <v>11.490857332788316</v>
      </c>
      <c r="AA139" s="540">
        <v>11.606759073347233</v>
      </c>
      <c r="AB139" s="540">
        <v>11.736386386829405</v>
      </c>
      <c r="AC139" s="540">
        <v>11.85296915542032</v>
      </c>
      <c r="AD139" s="540">
        <v>11.954595291244178</v>
      </c>
      <c r="AE139" s="540">
        <v>12.054719128363613</v>
      </c>
      <c r="AF139" s="540">
        <v>12.152002407602144</v>
      </c>
    </row>
    <row r="140" spans="1:32" x14ac:dyDescent="0.25">
      <c r="A140" s="550"/>
      <c r="B140" s="552" t="s">
        <v>45</v>
      </c>
      <c r="C140" s="539"/>
      <c r="D140" s="539"/>
      <c r="E140" s="539"/>
      <c r="F140" s="539"/>
      <c r="G140" s="540"/>
      <c r="H140" s="540">
        <v>1.4198353512155961</v>
      </c>
      <c r="I140" s="540">
        <v>1.3330242843614892</v>
      </c>
      <c r="J140" s="540">
        <v>1.251528962912059</v>
      </c>
      <c r="K140" s="540">
        <v>1.1748390752781432</v>
      </c>
      <c r="L140" s="540">
        <v>1.1030008379955536</v>
      </c>
      <c r="M140" s="540">
        <v>1.0355888765454009</v>
      </c>
      <c r="N140" s="540">
        <v>0.97230727493941593</v>
      </c>
      <c r="O140" s="540">
        <v>0.91300465708488832</v>
      </c>
      <c r="P140" s="540">
        <v>0.85745593520859453</v>
      </c>
      <c r="Q140" s="540">
        <v>0.80543016473051743</v>
      </c>
      <c r="R140" s="540">
        <v>0.75668245864975214</v>
      </c>
      <c r="S140" s="540">
        <v>0.71111868581635707</v>
      </c>
      <c r="T140" s="540">
        <v>0.66848187033161199</v>
      </c>
      <c r="U140" s="540">
        <v>0.62858541930131018</v>
      </c>
      <c r="V140" s="540">
        <v>0.59127990017358301</v>
      </c>
      <c r="W140" s="540">
        <v>0.55634619027188414</v>
      </c>
      <c r="X140" s="540">
        <v>0.52361934846882774</v>
      </c>
      <c r="Y140" s="540">
        <v>0.49295910537856197</v>
      </c>
      <c r="Z140" s="540">
        <v>0.4642620609960072</v>
      </c>
      <c r="AA140" s="540">
        <v>0.43741051182516505</v>
      </c>
      <c r="AB140" s="540">
        <v>0.4123027025427885</v>
      </c>
      <c r="AC140" s="540">
        <v>0.38871277188840353</v>
      </c>
      <c r="AD140" s="540">
        <v>0.36659992947236969</v>
      </c>
      <c r="AE140" s="540">
        <v>0.34586801545511114</v>
      </c>
      <c r="AF140" s="540">
        <v>0.32642722715211592</v>
      </c>
    </row>
    <row r="141" spans="1:32" x14ac:dyDescent="0.25">
      <c r="A141" s="550"/>
      <c r="B141" s="552" t="s">
        <v>46</v>
      </c>
      <c r="C141" s="539"/>
      <c r="D141" s="539"/>
      <c r="E141" s="539"/>
      <c r="F141" s="539"/>
      <c r="G141" s="540"/>
      <c r="H141" s="540">
        <v>0</v>
      </c>
      <c r="I141" s="540">
        <v>0</v>
      </c>
      <c r="J141" s="540">
        <v>0</v>
      </c>
      <c r="K141" s="540">
        <v>0</v>
      </c>
      <c r="L141" s="540">
        <v>0</v>
      </c>
      <c r="M141" s="540">
        <v>0</v>
      </c>
      <c r="N141" s="540">
        <v>0</v>
      </c>
      <c r="O141" s="540">
        <v>0</v>
      </c>
      <c r="P141" s="540">
        <v>0</v>
      </c>
      <c r="Q141" s="540">
        <v>0</v>
      </c>
      <c r="R141" s="540">
        <v>0</v>
      </c>
      <c r="S141" s="540">
        <v>0</v>
      </c>
      <c r="T141" s="540">
        <v>0</v>
      </c>
      <c r="U141" s="540">
        <v>0</v>
      </c>
      <c r="V141" s="540">
        <v>0</v>
      </c>
      <c r="W141" s="540">
        <v>0</v>
      </c>
      <c r="X141" s="540">
        <v>0</v>
      </c>
      <c r="Y141" s="540">
        <v>0</v>
      </c>
      <c r="Z141" s="540">
        <v>0</v>
      </c>
      <c r="AA141" s="540">
        <v>0</v>
      </c>
      <c r="AB141" s="540">
        <v>0</v>
      </c>
      <c r="AC141" s="540">
        <v>0</v>
      </c>
      <c r="AD141" s="540">
        <v>0</v>
      </c>
      <c r="AE141" s="540">
        <v>0</v>
      </c>
      <c r="AF141" s="540">
        <v>0</v>
      </c>
    </row>
    <row r="142" spans="1:32" x14ac:dyDescent="0.25">
      <c r="A142" s="550"/>
      <c r="B142" s="550" t="s">
        <v>29</v>
      </c>
      <c r="C142" s="539"/>
      <c r="D142" s="539"/>
      <c r="E142" s="539"/>
      <c r="F142" s="539"/>
      <c r="G142" s="540"/>
      <c r="H142" s="540">
        <v>0.35535827269768755</v>
      </c>
      <c r="I142" s="540">
        <v>0.51387032435672031</v>
      </c>
      <c r="J142" s="540">
        <v>0.70163251947646099</v>
      </c>
      <c r="K142" s="540">
        <v>0.90689464016302912</v>
      </c>
      <c r="L142" s="540">
        <v>1.1341026904649409</v>
      </c>
      <c r="M142" s="540">
        <v>1.3692334180842316</v>
      </c>
      <c r="N142" s="540">
        <v>1.5998487353803557</v>
      </c>
      <c r="O142" s="540">
        <v>1.8249728134671044</v>
      </c>
      <c r="P142" s="540">
        <v>2.0398749951433257</v>
      </c>
      <c r="Q142" s="540">
        <v>2.2386754512846134</v>
      </c>
      <c r="R142" s="540">
        <v>2.4120288490229798</v>
      </c>
      <c r="S142" s="540">
        <v>2.5732558950430438</v>
      </c>
      <c r="T142" s="540">
        <v>2.7133309033269595</v>
      </c>
      <c r="U142" s="540">
        <v>2.8334735660821644</v>
      </c>
      <c r="V142" s="540">
        <v>2.9414676228312655</v>
      </c>
      <c r="W142" s="540">
        <v>3.0308762246121246</v>
      </c>
      <c r="X142" s="540">
        <v>3.103130339740567</v>
      </c>
      <c r="Y142" s="540">
        <v>3.1624634151708895</v>
      </c>
      <c r="Z142" s="540">
        <v>3.2183589665323598</v>
      </c>
      <c r="AA142" s="540">
        <v>3.2749211658765853</v>
      </c>
      <c r="AB142" s="540">
        <v>3.3373647473147874</v>
      </c>
      <c r="AC142" s="540">
        <v>3.381850898252984</v>
      </c>
      <c r="AD142" s="540">
        <v>3.4227503305828577</v>
      </c>
      <c r="AE142" s="540">
        <v>3.4605872058283476</v>
      </c>
      <c r="AF142" s="540">
        <v>3.4958734098494095</v>
      </c>
    </row>
    <row r="143" spans="1:32" x14ac:dyDescent="0.25">
      <c r="A143" s="550"/>
      <c r="B143" s="550"/>
      <c r="C143" s="539"/>
      <c r="D143" s="539"/>
      <c r="E143" s="539"/>
      <c r="F143" s="539"/>
      <c r="G143" s="540"/>
      <c r="H143" s="540" t="str">
        <v/>
      </c>
      <c r="I143" s="540" t="str">
        <v/>
      </c>
      <c r="J143" s="540" t="str">
        <v/>
      </c>
      <c r="K143" s="540" t="str">
        <v/>
      </c>
      <c r="L143" s="540" t="str">
        <v/>
      </c>
      <c r="M143" s="540" t="str">
        <v/>
      </c>
      <c r="N143" s="540" t="str">
        <v/>
      </c>
      <c r="O143" s="540" t="str">
        <v/>
      </c>
      <c r="P143" s="540" t="str">
        <v/>
      </c>
      <c r="Q143" s="540" t="str">
        <v/>
      </c>
      <c r="R143" s="540" t="str">
        <v/>
      </c>
      <c r="S143" s="540" t="str">
        <v/>
      </c>
      <c r="T143" s="540" t="str">
        <v/>
      </c>
      <c r="U143" s="540" t="str">
        <v/>
      </c>
      <c r="V143" s="540" t="str">
        <v/>
      </c>
      <c r="W143" s="540" t="str">
        <v/>
      </c>
      <c r="X143" s="540" t="str">
        <v/>
      </c>
      <c r="Y143" s="540" t="str">
        <v/>
      </c>
      <c r="Z143" s="540" t="str">
        <v/>
      </c>
      <c r="AA143" s="540" t="str">
        <v/>
      </c>
      <c r="AB143" s="540" t="str">
        <v/>
      </c>
      <c r="AC143" s="540" t="str">
        <v/>
      </c>
      <c r="AD143" s="540" t="str">
        <v/>
      </c>
      <c r="AE143" s="540" t="str">
        <v/>
      </c>
      <c r="AF143" s="540" t="str">
        <v/>
      </c>
    </row>
    <row r="144" spans="1:32" s="202" customFormat="1" ht="12.75" x14ac:dyDescent="0.2">
      <c r="A144" s="556" t="s">
        <v>47</v>
      </c>
      <c r="B144" s="556"/>
      <c r="C144" s="556"/>
      <c r="D144" s="556"/>
      <c r="E144" s="556"/>
      <c r="F144" s="556"/>
      <c r="G144" s="547"/>
      <c r="H144" s="547" t="str">
        <v/>
      </c>
      <c r="I144" s="547" t="str">
        <v/>
      </c>
      <c r="J144" s="547" t="str">
        <v/>
      </c>
      <c r="K144" s="547" t="str">
        <v/>
      </c>
      <c r="L144" s="547" t="str">
        <v/>
      </c>
      <c r="M144" s="547" t="str">
        <v/>
      </c>
      <c r="N144" s="547" t="str">
        <v/>
      </c>
      <c r="O144" s="547" t="str">
        <v/>
      </c>
      <c r="P144" s="547" t="str">
        <v/>
      </c>
      <c r="Q144" s="547" t="str">
        <v/>
      </c>
      <c r="R144" s="547" t="str">
        <v/>
      </c>
      <c r="S144" s="547" t="str">
        <v/>
      </c>
      <c r="T144" s="547" t="str">
        <v/>
      </c>
      <c r="U144" s="547" t="str">
        <v/>
      </c>
      <c r="V144" s="547" t="str">
        <v/>
      </c>
      <c r="W144" s="547" t="str">
        <v/>
      </c>
      <c r="X144" s="547" t="str">
        <v/>
      </c>
      <c r="Y144" s="547" t="str">
        <v/>
      </c>
      <c r="Z144" s="547" t="str">
        <v/>
      </c>
      <c r="AA144" s="547" t="str">
        <v/>
      </c>
      <c r="AB144" s="547" t="str">
        <v/>
      </c>
      <c r="AC144" s="547" t="str">
        <v/>
      </c>
      <c r="AD144" s="547" t="str">
        <v/>
      </c>
      <c r="AE144" s="547" t="str">
        <v/>
      </c>
      <c r="AF144" s="547" t="str">
        <v/>
      </c>
    </row>
    <row r="145" spans="1:32" x14ac:dyDescent="0.25">
      <c r="A145" s="550"/>
      <c r="B145" s="550" t="s">
        <v>48</v>
      </c>
      <c r="C145" s="539"/>
      <c r="D145" s="539"/>
      <c r="E145" s="539"/>
      <c r="F145" s="539"/>
      <c r="G145" s="540"/>
      <c r="H145" s="540">
        <v>36461.516492776558</v>
      </c>
      <c r="I145" s="540">
        <v>27604.927170792631</v>
      </c>
      <c r="J145" s="540">
        <v>16045.236615748896</v>
      </c>
      <c r="K145" s="540">
        <v>7116.7945588888533</v>
      </c>
      <c r="L145" s="540">
        <v>2590.9767385786872</v>
      </c>
      <c r="M145" s="540">
        <v>794.29540688771931</v>
      </c>
      <c r="N145" s="540">
        <v>230.50979705910424</v>
      </c>
      <c r="O145" s="540">
        <v>66.036927571148482</v>
      </c>
      <c r="P145" s="540">
        <v>19.367610581202232</v>
      </c>
      <c r="Q145" s="540">
        <v>5.6988048936984574</v>
      </c>
      <c r="R145" s="540">
        <v>1.6860650770607737</v>
      </c>
      <c r="S145" s="540">
        <v>0.51001056707699222</v>
      </c>
      <c r="T145" s="540">
        <v>0.15690703511348322</v>
      </c>
      <c r="U145" s="540">
        <v>4.8890191719472169E-2</v>
      </c>
      <c r="V145" s="540">
        <v>1.5610014108278798E-2</v>
      </c>
      <c r="W145" s="540">
        <v>5.0277433651366209E-3</v>
      </c>
      <c r="X145" s="540">
        <v>1.6328291506702529E-3</v>
      </c>
      <c r="Y145" s="540">
        <v>5.3330712255444577E-4</v>
      </c>
      <c r="Z145" s="540">
        <v>1.7618483768193228E-4</v>
      </c>
      <c r="AA145" s="540">
        <v>5.9006176364646652E-5</v>
      </c>
      <c r="AB145" s="540">
        <v>1.9771177241178485E-5</v>
      </c>
      <c r="AC145" s="540">
        <v>6.6689960028469183E-6</v>
      </c>
      <c r="AD145" s="540">
        <v>2.2601653473470876E-6</v>
      </c>
      <c r="AE145" s="540">
        <v>7.6693930343385607E-7</v>
      </c>
      <c r="AF145" s="540">
        <v>2.5507343194043365E-7</v>
      </c>
    </row>
    <row r="146" spans="1:32" x14ac:dyDescent="0.25">
      <c r="A146" s="550"/>
      <c r="B146" s="552" t="s">
        <v>50</v>
      </c>
      <c r="C146" s="539"/>
      <c r="D146" s="539"/>
      <c r="E146" s="539"/>
      <c r="F146" s="539"/>
      <c r="G146" s="540"/>
      <c r="H146" s="540">
        <v>980.78009001465409</v>
      </c>
      <c r="I146" s="540">
        <v>893.55678228364411</v>
      </c>
      <c r="J146" s="540">
        <v>737.29977012607276</v>
      </c>
      <c r="K146" s="540">
        <v>543.99884332276076</v>
      </c>
      <c r="L146" s="540">
        <v>376.68108121586209</v>
      </c>
      <c r="M146" s="540">
        <v>243.36558456910248</v>
      </c>
      <c r="N146" s="540">
        <v>155.86328833719281</v>
      </c>
      <c r="O146" s="540">
        <v>101.07012459463938</v>
      </c>
      <c r="P146" s="540">
        <v>67.584287107647384</v>
      </c>
      <c r="Q146" s="540">
        <v>45.819306737604812</v>
      </c>
      <c r="R146" s="540">
        <v>31.337376984502761</v>
      </c>
      <c r="S146" s="540">
        <v>21.901951999614649</v>
      </c>
      <c r="T146" s="540">
        <v>15.53697467896383</v>
      </c>
      <c r="U146" s="540">
        <v>11.139240861184675</v>
      </c>
      <c r="V146" s="540">
        <v>8.1364231842138324</v>
      </c>
      <c r="W146" s="540">
        <v>5.9750410668828895</v>
      </c>
      <c r="X146" s="540">
        <v>4.4067790256342487</v>
      </c>
      <c r="Y146" s="540">
        <v>3.2570907926406614</v>
      </c>
      <c r="Z146" s="540">
        <v>2.4233873105222092</v>
      </c>
      <c r="AA146" s="540">
        <v>1.8177039451381565</v>
      </c>
      <c r="AB146" s="540">
        <v>1.3614449254285841</v>
      </c>
      <c r="AC146" s="540">
        <v>1.0197519930650885</v>
      </c>
      <c r="AD146" s="540">
        <v>0.76387535371588167</v>
      </c>
      <c r="AE146" s="540">
        <v>0.57073359658168943</v>
      </c>
      <c r="AF146" s="540">
        <v>0.41876266798864326</v>
      </c>
    </row>
    <row r="147" spans="1:32" x14ac:dyDescent="0.25">
      <c r="A147" s="550"/>
      <c r="B147" s="550" t="s">
        <v>51</v>
      </c>
      <c r="C147" s="539"/>
      <c r="D147" s="539"/>
      <c r="E147" s="539"/>
      <c r="F147" s="539"/>
      <c r="G147" s="540"/>
      <c r="H147" s="540">
        <v>631.17580786103724</v>
      </c>
      <c r="I147" s="540">
        <v>622.37404171569597</v>
      </c>
      <c r="J147" s="540">
        <v>598.93634350325692</v>
      </c>
      <c r="K147" s="540">
        <v>559.50029719529675</v>
      </c>
      <c r="L147" s="540">
        <v>513.94229676712837</v>
      </c>
      <c r="M147" s="540">
        <v>462.64617746695797</v>
      </c>
      <c r="N147" s="540">
        <v>410.36676671908845</v>
      </c>
      <c r="O147" s="540">
        <v>361.53856831363129</v>
      </c>
      <c r="P147" s="540">
        <v>318.1611191698243</v>
      </c>
      <c r="Q147" s="540">
        <v>279.76765808835881</v>
      </c>
      <c r="R147" s="540">
        <v>246.27637793908679</v>
      </c>
      <c r="S147" s="540">
        <v>218.13390274896469</v>
      </c>
      <c r="T147" s="540">
        <v>193.98903700851974</v>
      </c>
      <c r="U147" s="540">
        <v>173.2261863488628</v>
      </c>
      <c r="V147" s="540">
        <v>155.72628409540664</v>
      </c>
      <c r="W147" s="540">
        <v>140.40558479228332</v>
      </c>
      <c r="X147" s="540">
        <v>126.89205432458517</v>
      </c>
      <c r="Y147" s="540">
        <v>114.91446802816967</v>
      </c>
      <c r="Z147" s="540">
        <v>104.33550314581329</v>
      </c>
      <c r="AA147" s="540">
        <v>95.10760977678629</v>
      </c>
      <c r="AB147" s="540">
        <v>86.930677560025543</v>
      </c>
      <c r="AC147" s="540">
        <v>79.402424166233288</v>
      </c>
      <c r="AD147" s="540">
        <v>72.475847166417765</v>
      </c>
      <c r="AE147" s="540">
        <v>66.143933500859987</v>
      </c>
      <c r="AF147" s="540">
        <v>60.194877216185581</v>
      </c>
    </row>
    <row r="148" spans="1:32" x14ac:dyDescent="0.25">
      <c r="A148" s="550"/>
      <c r="B148" s="550" t="s">
        <v>52</v>
      </c>
      <c r="C148" s="539"/>
      <c r="D148" s="539"/>
      <c r="E148" s="539"/>
      <c r="F148" s="539"/>
      <c r="G148" s="540"/>
      <c r="H148" s="540">
        <v>866.24711133058804</v>
      </c>
      <c r="I148" s="540">
        <v>814.85935645257553</v>
      </c>
      <c r="J148" s="540">
        <v>734.90790276413986</v>
      </c>
      <c r="K148" s="540">
        <v>640.17322595444762</v>
      </c>
      <c r="L148" s="540">
        <v>553.80881656698909</v>
      </c>
      <c r="M148" s="540">
        <v>478.14602856811541</v>
      </c>
      <c r="N148" s="540">
        <v>416.66422133378109</v>
      </c>
      <c r="O148" s="540">
        <v>368.29607540980646</v>
      </c>
      <c r="P148" s="540">
        <v>330.28976997410012</v>
      </c>
      <c r="Q148" s="540">
        <v>299.26513879386374</v>
      </c>
      <c r="R148" s="540">
        <v>273.39065179492411</v>
      </c>
      <c r="S148" s="540">
        <v>251.80231123159203</v>
      </c>
      <c r="T148" s="540">
        <v>233.13393850006781</v>
      </c>
      <c r="U148" s="540">
        <v>216.70647018589202</v>
      </c>
      <c r="V148" s="540">
        <v>202.25391216817715</v>
      </c>
      <c r="W148" s="540">
        <v>189.14302227671203</v>
      </c>
      <c r="X148" s="540">
        <v>177.14416847146788</v>
      </c>
      <c r="Y148" s="540">
        <v>166.09927114625768</v>
      </c>
      <c r="Z148" s="540">
        <v>155.98071387814713</v>
      </c>
      <c r="AA148" s="540">
        <v>146.6901763645088</v>
      </c>
      <c r="AB148" s="540">
        <v>138.08392377781672</v>
      </c>
      <c r="AC148" s="540">
        <v>129.93660739553169</v>
      </c>
      <c r="AD148" s="540">
        <v>122.30530956214858</v>
      </c>
      <c r="AE148" s="540">
        <v>115.13404976936883</v>
      </c>
      <c r="AF148" s="540">
        <v>108.31593415130992</v>
      </c>
    </row>
    <row r="149" spans="1:32" x14ac:dyDescent="0.25">
      <c r="A149" s="550"/>
      <c r="B149" s="552" t="s">
        <v>29</v>
      </c>
      <c r="C149" s="539"/>
      <c r="D149" s="539"/>
      <c r="E149" s="539"/>
      <c r="F149" s="539"/>
      <c r="G149" s="540"/>
      <c r="H149" s="540">
        <v>1796.722535068169</v>
      </c>
      <c r="I149" s="540">
        <v>4855.6473500865941</v>
      </c>
      <c r="J149" s="540">
        <v>7343.8210595950359</v>
      </c>
      <c r="K149" s="540">
        <v>7603.2778055230056</v>
      </c>
      <c r="L149" s="540">
        <v>6346.6908224306426</v>
      </c>
      <c r="M149" s="540">
        <v>5107.7142145695907</v>
      </c>
      <c r="N149" s="540">
        <v>4336.6524899708174</v>
      </c>
      <c r="O149" s="540">
        <v>3995.597839715841</v>
      </c>
      <c r="P149" s="540">
        <v>3882.527169470206</v>
      </c>
      <c r="Q149" s="540">
        <v>3868.4677442608963</v>
      </c>
      <c r="R149" s="540">
        <v>3881.4554755096387</v>
      </c>
      <c r="S149" s="540">
        <v>3919.7248204566049</v>
      </c>
      <c r="T149" s="540">
        <v>3961.1598493599186</v>
      </c>
      <c r="U149" s="540">
        <v>4002.7594682368331</v>
      </c>
      <c r="V149" s="540">
        <v>4050.6529014124703</v>
      </c>
      <c r="W149" s="540">
        <v>4093.1076958905091</v>
      </c>
      <c r="X149" s="540">
        <v>4128.7781752197961</v>
      </c>
      <c r="Y149" s="540">
        <v>4160.1716905224084</v>
      </c>
      <c r="Z149" s="540">
        <v>4196.4598154840933</v>
      </c>
      <c r="AA149" s="540">
        <v>4240.8546513991532</v>
      </c>
      <c r="AB149" s="540">
        <v>4298.2474151318947</v>
      </c>
      <c r="AC149" s="540">
        <v>4337.7027912692711</v>
      </c>
      <c r="AD149" s="540">
        <v>4375.8826947629668</v>
      </c>
      <c r="AE149" s="540">
        <v>4412.8369724248387</v>
      </c>
      <c r="AF149" s="540">
        <v>4448.6010628235781</v>
      </c>
    </row>
    <row r="150" spans="1:32" x14ac:dyDescent="0.25">
      <c r="A150" s="550"/>
      <c r="B150" s="552" t="s">
        <v>53</v>
      </c>
      <c r="C150" s="539"/>
      <c r="D150" s="539"/>
      <c r="E150" s="539"/>
      <c r="F150" s="539"/>
      <c r="G150" s="540"/>
      <c r="H150" s="540">
        <v>21.751383058983368</v>
      </c>
      <c r="I150" s="540">
        <v>21.322232689159996</v>
      </c>
      <c r="J150" s="540">
        <v>20.409524103082095</v>
      </c>
      <c r="K150" s="540">
        <v>18.995106952693803</v>
      </c>
      <c r="L150" s="540">
        <v>17.490319867555204</v>
      </c>
      <c r="M150" s="540">
        <v>15.877415833848294</v>
      </c>
      <c r="N150" s="540">
        <v>14.298982010883671</v>
      </c>
      <c r="O150" s="540">
        <v>12.876472063769427</v>
      </c>
      <c r="P150" s="540">
        <v>11.644193065248389</v>
      </c>
      <c r="Q150" s="540">
        <v>10.562758862623667</v>
      </c>
      <c r="R150" s="540">
        <v>9.6138522890167621</v>
      </c>
      <c r="S150" s="540">
        <v>8.8172519539168572</v>
      </c>
      <c r="T150" s="540">
        <v>8.1233015993333471</v>
      </c>
      <c r="U150" s="540">
        <v>7.5140429816456491</v>
      </c>
      <c r="V150" s="540">
        <v>6.9908727387835201</v>
      </c>
      <c r="W150" s="540">
        <v>6.518449214155142</v>
      </c>
      <c r="X150" s="540">
        <v>6.0878140577055229</v>
      </c>
      <c r="Y150" s="540">
        <v>5.6936512934196122</v>
      </c>
      <c r="Z150" s="540">
        <v>5.3399491108874999</v>
      </c>
      <c r="AA150" s="540">
        <v>5.0229026460336952</v>
      </c>
      <c r="AB150" s="540">
        <v>4.7346366560474245</v>
      </c>
      <c r="AC150" s="540">
        <v>4.4545061029215889</v>
      </c>
      <c r="AD150" s="540">
        <v>4.1918709566480299</v>
      </c>
      <c r="AE150" s="540">
        <v>3.943965125934918</v>
      </c>
      <c r="AF150" s="540">
        <v>3.7035498388874588</v>
      </c>
    </row>
    <row r="151" spans="1:32" x14ac:dyDescent="0.25">
      <c r="A151" s="539"/>
      <c r="B151" s="539"/>
      <c r="C151" s="539"/>
      <c r="D151" s="539"/>
      <c r="E151" s="539"/>
      <c r="F151" s="539"/>
      <c r="G151" s="539"/>
      <c r="H151" s="539"/>
      <c r="I151" s="539"/>
      <c r="J151" s="539"/>
      <c r="K151" s="539"/>
      <c r="L151" s="539"/>
      <c r="M151" s="539"/>
      <c r="N151" s="539"/>
      <c r="O151" s="539"/>
      <c r="P151" s="539"/>
      <c r="Q151" s="539"/>
      <c r="R151" s="539"/>
      <c r="S151" s="539"/>
      <c r="T151" s="539"/>
      <c r="U151" s="539"/>
      <c r="V151" s="539"/>
      <c r="W151" s="539"/>
      <c r="X151" s="539"/>
      <c r="Y151" s="539"/>
      <c r="Z151" s="539"/>
      <c r="AA151" s="539"/>
      <c r="AB151" s="539"/>
      <c r="AC151" s="539"/>
      <c r="AD151" s="539"/>
      <c r="AE151" s="539"/>
      <c r="AF151" s="539"/>
    </row>
    <row r="153" spans="1:32" s="539" customFormat="1" x14ac:dyDescent="0.25">
      <c r="A153" s="554" t="s">
        <v>274</v>
      </c>
      <c r="B153" s="555"/>
      <c r="C153" s="554"/>
      <c r="D153" s="553"/>
      <c r="E153" s="553"/>
      <c r="F153" s="553"/>
      <c r="G153" s="553" t="s">
        <v>703</v>
      </c>
      <c r="H153" s="560"/>
      <c r="I153" s="560"/>
      <c r="J153" s="560"/>
      <c r="K153" s="560"/>
      <c r="L153" s="560"/>
      <c r="M153" s="560"/>
      <c r="N153" s="560"/>
      <c r="O153" s="560"/>
      <c r="P153" s="560"/>
      <c r="Q153" s="560"/>
      <c r="R153" s="560"/>
      <c r="S153" s="560"/>
      <c r="T153" s="560"/>
      <c r="U153" s="560"/>
      <c r="V153" s="560"/>
      <c r="W153" s="560"/>
      <c r="X153" s="560"/>
      <c r="Y153" s="560"/>
      <c r="Z153" s="560"/>
      <c r="AA153" s="560"/>
      <c r="AB153" s="560"/>
      <c r="AC153" s="560"/>
      <c r="AD153" s="560"/>
      <c r="AE153" s="560"/>
      <c r="AF153" s="560"/>
    </row>
    <row r="154" spans="1:32" s="539" customFormat="1" x14ac:dyDescent="0.25">
      <c r="A154" s="551" t="s">
        <v>12</v>
      </c>
      <c r="B154" s="550"/>
    </row>
    <row r="155" spans="1:32" s="539" customFormat="1" x14ac:dyDescent="0.25">
      <c r="A155" s="550"/>
      <c r="B155" s="550" t="s">
        <v>20</v>
      </c>
    </row>
    <row r="156" spans="1:32" s="202" customFormat="1" ht="12.75" x14ac:dyDescent="0.2">
      <c r="A156" s="556" t="s">
        <v>21</v>
      </c>
      <c r="B156" s="556"/>
      <c r="C156" s="556"/>
      <c r="D156" s="556"/>
      <c r="E156" s="556"/>
      <c r="F156" s="556"/>
      <c r="G156" s="556"/>
      <c r="H156" s="556"/>
      <c r="I156" s="556"/>
      <c r="J156" s="556"/>
      <c r="K156" s="556"/>
      <c r="L156" s="556"/>
      <c r="M156" s="556"/>
      <c r="N156" s="556"/>
      <c r="O156" s="556"/>
      <c r="P156" s="556"/>
      <c r="Q156" s="556"/>
      <c r="R156" s="556"/>
      <c r="S156" s="556"/>
      <c r="T156" s="556"/>
      <c r="U156" s="556"/>
      <c r="V156" s="556"/>
      <c r="W156" s="556"/>
      <c r="X156" s="556"/>
      <c r="Y156" s="556"/>
      <c r="Z156" s="556"/>
      <c r="AA156" s="556"/>
      <c r="AB156" s="556"/>
      <c r="AC156" s="556"/>
      <c r="AD156" s="556"/>
      <c r="AE156" s="556"/>
      <c r="AF156" s="556"/>
    </row>
    <row r="157" spans="1:32" x14ac:dyDescent="0.25">
      <c r="A157" s="550"/>
      <c r="B157" s="550" t="s">
        <v>22</v>
      </c>
      <c r="C157" s="539"/>
      <c r="D157" s="539"/>
      <c r="E157" s="539"/>
      <c r="F157" s="539"/>
      <c r="G157" s="540">
        <f ca="1">IF(Tech_Specs!$S9=0,0,IF(Perform_Active!$I10=0,0,(G9)/(Perform_Active!$I10/Perform_Active!$H10*Tech_Specs!$S9*365.25)*10^9))</f>
        <v>101091.03345452514</v>
      </c>
      <c r="H157" s="540">
        <f ca="1">IF(Tech_Specs!$S9=0,0,IF(Perform_Active!$I10=0,0,(H9)/(Perform_Active!$I10/Perform_Active!$H10*Tech_Specs!$S9*365.25)*10^9))</f>
        <v>93661.947029165254</v>
      </c>
      <c r="I157" s="540">
        <f ca="1">IF(Tech_Specs!$S9=0,0,IF(Perform_Active!$I10=0,0,(I9)/(Perform_Active!$I10/Perform_Active!$H10*Tech_Specs!$S9*365.25)*10^9))</f>
        <v>84516.855949249235</v>
      </c>
      <c r="J157" s="540">
        <f ca="1">IF(Tech_Specs!$S9=0,0,IF(Perform_Active!$I10=0,0,(J9)/(Perform_Active!$I10/Perform_Active!$H10*Tech_Specs!$S9*365.25)*10^9))</f>
        <v>67489.001167497438</v>
      </c>
      <c r="K157" s="540">
        <f ca="1">IF(Tech_Specs!$S9=0,0,IF(Perform_Active!$I10=0,0,(K9)/(Perform_Active!$I10/Perform_Active!$H10*Tech_Specs!$S9*365.25)*10^9))</f>
        <v>51091.733931194598</v>
      </c>
      <c r="L157" s="540">
        <f ca="1">IF(Tech_Specs!$S9=0,0,IF(Perform_Active!$I10=0,0,(L9)/(Perform_Active!$I10/Perform_Active!$H10*Tech_Specs!$S9*365.25)*10^9))</f>
        <v>36568.443590640207</v>
      </c>
      <c r="M157" s="540">
        <f ca="1">IF(Tech_Specs!$S9=0,0,IF(Perform_Active!$I10=0,0,(M9)/(Perform_Active!$I10/Perform_Active!$H10*Tech_Specs!$S9*365.25)*10^9))</f>
        <v>22085.021231009996</v>
      </c>
      <c r="N157" s="540">
        <f ca="1">IF(Tech_Specs!$S9=0,0,IF(Perform_Active!$I10=0,0,(N9)/(Perform_Active!$I10/Perform_Active!$H10*Tech_Specs!$S9*365.25)*10^9))</f>
        <v>14314.758389874698</v>
      </c>
      <c r="O157" s="540">
        <f ca="1">IF(Tech_Specs!$S9=0,0,IF(Perform_Active!$I10=0,0,(O9)/(Perform_Active!$I10/Perform_Active!$H10*Tech_Specs!$S9*365.25)*10^9))</f>
        <v>9978.5025122345978</v>
      </c>
      <c r="P157" s="540">
        <f ca="1">IF(Tech_Specs!$S9=0,0,IF(Perform_Active!$I10=0,0,(P9)/(Perform_Active!$I10/Perform_Active!$H10*Tech_Specs!$S9*365.25)*10^9))</f>
        <v>7423.195937271601</v>
      </c>
      <c r="Q157" s="540">
        <f ca="1">IF(Tech_Specs!$S9=0,0,IF(Perform_Active!$I10=0,0,(Q9)/(Perform_Active!$I10/Perform_Active!$H10*Tech_Specs!$S9*365.25)*10^9))</f>
        <v>5773.798310471213</v>
      </c>
      <c r="R157" s="540">
        <f ca="1">IF(Tech_Specs!$S9=0,0,IF(Perform_Active!$I10=0,0,(R9)/(Perform_Active!$I10/Perform_Active!$H10*Tech_Specs!$S9*365.25)*10^9))</f>
        <v>4594.9940877252866</v>
      </c>
      <c r="S157" s="540">
        <f ca="1">IF(Tech_Specs!$S9=0,0,IF(Perform_Active!$I10=0,0,(S9)/(Perform_Active!$I10/Perform_Active!$H10*Tech_Specs!$S9*365.25)*10^9))</f>
        <v>3695.3348767591069</v>
      </c>
      <c r="T157" s="540">
        <f ca="1">IF(Tech_Specs!$S9=0,0,IF(Perform_Active!$I10=0,0,(T9)/(Perform_Active!$I10/Perform_Active!$H10*Tech_Specs!$S9*365.25)*10^9))</f>
        <v>2978.6368957188811</v>
      </c>
      <c r="U157" s="540">
        <f ca="1">IF(Tech_Specs!$S9=0,0,IF(Perform_Active!$I10=0,0,(U9)/(Perform_Active!$I10/Perform_Active!$H10*Tech_Specs!$S9*365.25)*10^9))</f>
        <v>2396.225438517572</v>
      </c>
      <c r="V157" s="540">
        <f ca="1">IF(Tech_Specs!$S9=0,0,IF(Perform_Active!$I10=0,0,(V9)/(Perform_Active!$I10/Perform_Active!$H10*Tech_Specs!$S9*365.25)*10^9))</f>
        <v>1928.3526770609917</v>
      </c>
      <c r="W157" s="540">
        <f ca="1">IF(Tech_Specs!$S9=0,0,IF(Perform_Active!$I10=0,0,(W9)/(Perform_Active!$I10/Perform_Active!$H10*Tech_Specs!$S9*365.25)*10^9))</f>
        <v>1552.4134436627505</v>
      </c>
      <c r="X157" s="540">
        <f ca="1">IF(Tech_Specs!$S9=0,0,IF(Perform_Active!$I10=0,0,(X9)/(Perform_Active!$I10/Perform_Active!$H10*Tech_Specs!$S9*365.25)*10^9))</f>
        <v>1251.6637212873641</v>
      </c>
      <c r="Y157" s="540">
        <f ca="1">IF(Tech_Specs!$S9=0,0,IF(Perform_Active!$I10=0,0,(Y9)/(Perform_Active!$I10/Perform_Active!$H10*Tech_Specs!$S9*365.25)*10^9))</f>
        <v>1012.553216643514</v>
      </c>
      <c r="Z157" s="540">
        <f ca="1">IF(Tech_Specs!$S9=0,0,IF(Perform_Active!$I10=0,0,(Z9)/(Perform_Active!$I10/Perform_Active!$H10*Tech_Specs!$S9*365.25)*10^9))</f>
        <v>824.97814611127751</v>
      </c>
      <c r="AA157" s="540">
        <f ca="1">IF(Tech_Specs!$S9=0,0,IF(Perform_Active!$I10=0,0,(AA9)/(Perform_Active!$I10/Perform_Active!$H10*Tech_Specs!$S9*365.25)*10^9))</f>
        <v>679.54869076103819</v>
      </c>
      <c r="AB157" s="540">
        <f ca="1">IF(Tech_Specs!$S9=0,0,IF(Perform_Active!$I10=0,0,(AB9)/(Perform_Active!$I10/Perform_Active!$H10*Tech_Specs!$S9*365.25)*10^9))</f>
        <v>565.44400607253931</v>
      </c>
      <c r="AC157" s="540">
        <f ca="1">IF(Tech_Specs!$S9=0,0,IF(Perform_Active!$I10=0,0,(AC9)/(Perform_Active!$I10/Perform_Active!$H10*Tech_Specs!$S9*365.25)*10^9))</f>
        <v>475.466233649358</v>
      </c>
      <c r="AD157" s="540">
        <f ca="1">IF(Tech_Specs!$S9=0,0,IF(Perform_Active!$I10=0,0,(AD9)/(Perform_Active!$I10/Perform_Active!$H10*Tech_Specs!$S9*365.25)*10^9))</f>
        <v>403.61780904387109</v>
      </c>
      <c r="AE157" s="540">
        <f ca="1">IF(Tech_Specs!$S9=0,0,IF(Perform_Active!$I10=0,0,(AE9)/(Perform_Active!$I10/Perform_Active!$H10*Tech_Specs!$S9*365.25)*10^9))</f>
        <v>345.28503547680884</v>
      </c>
      <c r="AF157" s="540">
        <f ca="1">IF(Tech_Specs!$S9=0,0,IF(Perform_Active!$I10=0,0,(AF9)/(Perform_Active!$I10/Perform_Active!$H10*Tech_Specs!$S9*365.25)*10^9))</f>
        <v>295.23465725885029</v>
      </c>
    </row>
    <row r="158" spans="1:32" x14ac:dyDescent="0.25">
      <c r="A158" s="550"/>
      <c r="B158" s="550" t="s">
        <v>26</v>
      </c>
      <c r="C158" s="539"/>
      <c r="D158" s="539"/>
      <c r="E158" s="539"/>
      <c r="F158" s="539"/>
      <c r="G158" s="540">
        <f ca="1">IF(Tech_Specs!$S10=0,0,IF(Perform_Active!$I11=0,0,(G10)/(Perform_Active!$I11/Perform_Active!$H11*Tech_Specs!$S10*365.25)*10^9))</f>
        <v>1915.377197895202</v>
      </c>
      <c r="H158" s="540">
        <f ca="1">IF(Tech_Specs!$S10=0,0,IF(Perform_Active!$I11=0,0,(H10)/(Perform_Active!$I11/Perform_Active!$H11*Tech_Specs!$S10*365.25)*10^9))</f>
        <v>1863.715731090635</v>
      </c>
      <c r="I158" s="540">
        <f ca="1">IF(Tech_Specs!$S10=0,0,IF(Perform_Active!$I11=0,0,(I10)/(Perform_Active!$I11/Perform_Active!$H11*Tech_Specs!$S10*365.25)*10^9))</f>
        <v>4624.2863924953399</v>
      </c>
      <c r="J158" s="540">
        <f ca="1">IF(Tech_Specs!$S10=0,0,IF(Perform_Active!$I11=0,0,(J10)/(Perform_Active!$I11/Perform_Active!$H11*Tech_Specs!$S10*365.25)*10^9))</f>
        <v>13480.398251325832</v>
      </c>
      <c r="K158" s="540">
        <f ca="1">IF(Tech_Specs!$S10=0,0,IF(Perform_Active!$I11=0,0,(K10)/(Perform_Active!$I11/Perform_Active!$H11*Tech_Specs!$S10*365.25)*10^9))</f>
        <v>22724.007744324957</v>
      </c>
      <c r="L158" s="540">
        <f ca="1">IF(Tech_Specs!$S10=0,0,IF(Perform_Active!$I11=0,0,(L10)/(Perform_Active!$I11/Perform_Active!$H11*Tech_Specs!$S10*365.25)*10^9))</f>
        <v>28850.004235106171</v>
      </c>
      <c r="M158" s="540">
        <f ca="1">IF(Tech_Specs!$S10=0,0,IF(Perform_Active!$I11=0,0,(M10)/(Perform_Active!$I11/Perform_Active!$H11*Tech_Specs!$S10*365.25)*10^9))</f>
        <v>33055.58255353968</v>
      </c>
      <c r="N158" s="540">
        <f ca="1">IF(Tech_Specs!$S10=0,0,IF(Perform_Active!$I11=0,0,(N10)/(Perform_Active!$I11/Perform_Active!$H11*Tech_Specs!$S10*365.25)*10^9))</f>
        <v>33045.128724792499</v>
      </c>
      <c r="O158" s="540">
        <f ca="1">IF(Tech_Specs!$S10=0,0,IF(Perform_Active!$I11=0,0,(O10)/(Perform_Active!$I11/Perform_Active!$H11*Tech_Specs!$S10*365.25)*10^9))</f>
        <v>31223.684405085056</v>
      </c>
      <c r="P158" s="540">
        <f ca="1">IF(Tech_Specs!$S10=0,0,IF(Perform_Active!$I11=0,0,(P10)/(Perform_Active!$I11/Perform_Active!$H11*Tech_Specs!$S10*365.25)*10^9))</f>
        <v>28709.906682737997</v>
      </c>
      <c r="Q158" s="540">
        <f ca="1">IF(Tech_Specs!$S10=0,0,IF(Perform_Active!$I11=0,0,(Q10)/(Perform_Active!$I11/Perform_Active!$H11*Tech_Specs!$S10*365.25)*10^9))</f>
        <v>25893.785252982518</v>
      </c>
      <c r="R158" s="540">
        <f ca="1">IF(Tech_Specs!$S10=0,0,IF(Perform_Active!$I11=0,0,(R10)/(Perform_Active!$I11/Perform_Active!$H11*Tech_Specs!$S10*365.25)*10^9))</f>
        <v>22955.254740383483</v>
      </c>
      <c r="S158" s="540">
        <f ca="1">IF(Tech_Specs!$S10=0,0,IF(Perform_Active!$I11=0,0,(S10)/(Perform_Active!$I11/Perform_Active!$H11*Tech_Specs!$S10*365.25)*10^9))</f>
        <v>20081.597751196459</v>
      </c>
      <c r="T158" s="540">
        <f ca="1">IF(Tech_Specs!$S10=0,0,IF(Perform_Active!$I11=0,0,(T10)/(Perform_Active!$I11/Perform_Active!$H11*Tech_Specs!$S10*365.25)*10^9))</f>
        <v>17376.97115300786</v>
      </c>
      <c r="U158" s="540">
        <f ca="1">IF(Tech_Specs!$S10=0,0,IF(Perform_Active!$I11=0,0,(U10)/(Perform_Active!$I11/Perform_Active!$H11*Tech_Specs!$S10*365.25)*10^9))</f>
        <v>14908.111101064804</v>
      </c>
      <c r="V158" s="540">
        <f ca="1">IF(Tech_Specs!$S10=0,0,IF(Perform_Active!$I11=0,0,(V10)/(Perform_Active!$I11/Perform_Active!$H11*Tech_Specs!$S10*365.25)*10^9))</f>
        <v>12745.312716682678</v>
      </c>
      <c r="W158" s="540">
        <f ca="1">IF(Tech_Specs!$S10=0,0,IF(Perform_Active!$I11=0,0,(W10)/(Perform_Active!$I11/Perform_Active!$H11*Tech_Specs!$S10*365.25)*10^9))</f>
        <v>10884.582359076496</v>
      </c>
      <c r="X158" s="540">
        <f ca="1">IF(Tech_Specs!$S10=0,0,IF(Perform_Active!$I11=0,0,(X10)/(Perform_Active!$I11/Perform_Active!$H11*Tech_Specs!$S10*365.25)*10^9))</f>
        <v>9307.8998194327651</v>
      </c>
      <c r="Y158" s="540">
        <f ca="1">IF(Tech_Specs!$S10=0,0,IF(Perform_Active!$I11=0,0,(Y10)/(Perform_Active!$I11/Perform_Active!$H11*Tech_Specs!$S10*365.25)*10^9))</f>
        <v>7989.5791296921197</v>
      </c>
      <c r="Z158" s="540">
        <f ca="1">IF(Tech_Specs!$S10=0,0,IF(Perform_Active!$I11=0,0,(Z10)/(Perform_Active!$I11/Perform_Active!$H11*Tech_Specs!$S10*365.25)*10^9))</f>
        <v>6907.8345202583587</v>
      </c>
      <c r="AA158" s="540">
        <f ca="1">IF(Tech_Specs!$S10=0,0,IF(Perform_Active!$I11=0,0,(AA10)/(Perform_Active!$I11/Perform_Active!$H11*Tech_Specs!$S10*365.25)*10^9))</f>
        <v>6035.478417652952</v>
      </c>
      <c r="AB158" s="540">
        <f ca="1">IF(Tech_Specs!$S10=0,0,IF(Perform_Active!$I11=0,0,(AB10)/(Perform_Active!$I11/Perform_Active!$H11*Tech_Specs!$S10*365.25)*10^9))</f>
        <v>5329.5531980406577</v>
      </c>
      <c r="AC158" s="540">
        <f ca="1">IF(Tech_Specs!$S10=0,0,IF(Perform_Active!$I11=0,0,(AC10)/(Perform_Active!$I11/Perform_Active!$H11*Tech_Specs!$S10*365.25)*10^9))</f>
        <v>4754.3449950121367</v>
      </c>
      <c r="AD158" s="540">
        <f ca="1">IF(Tech_Specs!$S10=0,0,IF(Perform_Active!$I11=0,0,(AD10)/(Perform_Active!$I11/Perform_Active!$H11*Tech_Specs!$S10*365.25)*10^9))</f>
        <v>4281.2640136637119</v>
      </c>
      <c r="AE158" s="540">
        <f ca="1">IF(Tech_Specs!$S10=0,0,IF(Perform_Active!$I11=0,0,(AE10)/(Perform_Active!$I11/Perform_Active!$H11*Tech_Specs!$S10*365.25)*10^9))</f>
        <v>3886.1792957629073</v>
      </c>
      <c r="AF158" s="540">
        <f ca="1">IF(Tech_Specs!$S10=0,0,IF(Perform_Active!$I11=0,0,(AF10)/(Perform_Active!$I11/Perform_Active!$H11*Tech_Specs!$S10*365.25)*10^9))</f>
        <v>3536.3511679671378</v>
      </c>
    </row>
    <row r="159" spans="1:32" x14ac:dyDescent="0.25">
      <c r="A159" s="550"/>
      <c r="B159" s="550" t="s">
        <v>27</v>
      </c>
      <c r="C159" s="539"/>
      <c r="D159" s="539"/>
      <c r="E159" s="539"/>
      <c r="F159" s="539"/>
      <c r="G159" s="540">
        <f ca="1">IF(Tech_Specs!$S11=0,0,IF(Perform_Active!$I12=0,0,(G11)/(Perform_Active!$I12/Perform_Active!$H12*Tech_Specs!$S11*365.25)*10^9))</f>
        <v>65512.762193773975</v>
      </c>
      <c r="H159" s="540">
        <f ca="1">IF(Tech_Specs!$S11=0,0,IF(Perform_Active!$I12=0,0,(H11)/(Perform_Active!$I12/Perform_Active!$H12*Tech_Specs!$S11*365.25)*10^9))</f>
        <v>76298.248311533796</v>
      </c>
      <c r="I159" s="540">
        <f ca="1">IF(Tech_Specs!$S11=0,0,IF(Perform_Active!$I12=0,0,(I11)/(Perform_Active!$I12/Perform_Active!$H12*Tech_Specs!$S11*365.25)*10^9))</f>
        <v>86201.02042693815</v>
      </c>
      <c r="J159" s="540">
        <f ca="1">IF(Tech_Specs!$S11=0,0,IF(Perform_Active!$I12=0,0,(J11)/(Perform_Active!$I12/Perform_Active!$H12*Tech_Specs!$S11*365.25)*10^9))</f>
        <v>98143.420522299231</v>
      </c>
      <c r="K159" s="540">
        <f ca="1">IF(Tech_Specs!$S11=0,0,IF(Perform_Active!$I12=0,0,(K11)/(Perform_Active!$I12/Perform_Active!$H12*Tech_Specs!$S11*365.25)*10^9))</f>
        <v>108714.06354411205</v>
      </c>
      <c r="L159" s="540">
        <f ca="1">IF(Tech_Specs!$S11=0,0,IF(Perform_Active!$I12=0,0,(L11)/(Perform_Active!$I12/Perform_Active!$H12*Tech_Specs!$S11*365.25)*10^9))</f>
        <v>119606.59252118196</v>
      </c>
      <c r="M159" s="540">
        <f ca="1">IF(Tech_Specs!$S11=0,0,IF(Perform_Active!$I12=0,0,(M11)/(Perform_Active!$I12/Perform_Active!$H12*Tech_Specs!$S11*365.25)*10^9))</f>
        <v>131162.25087292265</v>
      </c>
      <c r="N159" s="540">
        <f ca="1">IF(Tech_Specs!$S11=0,0,IF(Perform_Active!$I12=0,0,(N11)/(Perform_Active!$I12/Perform_Active!$H12*Tech_Specs!$S11*365.25)*10^9))</f>
        <v>138864.07579832352</v>
      </c>
      <c r="O159" s="540">
        <f ca="1">IF(Tech_Specs!$S11=0,0,IF(Perform_Active!$I12=0,0,(O11)/(Perform_Active!$I12/Perform_Active!$H12*Tech_Specs!$S11*365.25)*10^9))</f>
        <v>143485.93446848993</v>
      </c>
      <c r="P159" s="540">
        <f ca="1">IF(Tech_Specs!$S11=0,0,IF(Perform_Active!$I12=0,0,(P11)/(Perform_Active!$I12/Perform_Active!$H12*Tech_Specs!$S11*365.25)*10^9))</f>
        <v>145492.91288492724</v>
      </c>
      <c r="Q159" s="540">
        <f ca="1">IF(Tech_Specs!$S11=0,0,IF(Perform_Active!$I12=0,0,(Q11)/(Perform_Active!$I12/Perform_Active!$H12*Tech_Specs!$S11*365.25)*10^9))</f>
        <v>145337.01928356694</v>
      </c>
      <c r="R159" s="540">
        <f ca="1">IF(Tech_Specs!$S11=0,0,IF(Perform_Active!$I12=0,0,(R11)/(Perform_Active!$I12/Perform_Active!$H12*Tech_Specs!$S11*365.25)*10^9))</f>
        <v>143370.26933700012</v>
      </c>
      <c r="S159" s="540">
        <f ca="1">IF(Tech_Specs!$S11=0,0,IF(Perform_Active!$I12=0,0,(S11)/(Perform_Active!$I12/Perform_Active!$H12*Tech_Specs!$S11*365.25)*10^9))</f>
        <v>139910.8404046442</v>
      </c>
      <c r="T159" s="540">
        <f ca="1">IF(Tech_Specs!$S11=0,0,IF(Perform_Active!$I12=0,0,(T11)/(Perform_Active!$I12/Perform_Active!$H12*Tech_Specs!$S11*365.25)*10^9))</f>
        <v>135279.27953922216</v>
      </c>
      <c r="U159" s="540">
        <f ca="1">IF(Tech_Specs!$S11=0,0,IF(Perform_Active!$I12=0,0,(U11)/(Perform_Active!$I12/Perform_Active!$H12*Tech_Specs!$S11*365.25)*10^9))</f>
        <v>129795.95762286254</v>
      </c>
      <c r="V159" s="540">
        <f ca="1">IF(Tech_Specs!$S11=0,0,IF(Perform_Active!$I12=0,0,(V11)/(Perform_Active!$I12/Perform_Active!$H12*Tech_Specs!$S11*365.25)*10^9))</f>
        <v>123761.87024314734</v>
      </c>
      <c r="W159" s="540">
        <f ca="1">IF(Tech_Specs!$S11=0,0,IF(Perform_Active!$I12=0,0,(W11)/(Perform_Active!$I12/Perform_Active!$H12*Tech_Specs!$S11*365.25)*10^9))</f>
        <v>117436.64704246956</v>
      </c>
      <c r="X159" s="540">
        <f ca="1">IF(Tech_Specs!$S11=0,0,IF(Perform_Active!$I12=0,0,(X11)/(Perform_Active!$I12/Perform_Active!$H12*Tech_Specs!$S11*365.25)*10^9))</f>
        <v>111040.38141057164</v>
      </c>
      <c r="Y159" s="540">
        <f ca="1">IF(Tech_Specs!$S11=0,0,IF(Perform_Active!$I12=0,0,(Y11)/(Perform_Active!$I12/Perform_Active!$H12*Tech_Specs!$S11*365.25)*10^9))</f>
        <v>104731.57690487635</v>
      </c>
      <c r="Z159" s="540">
        <f ca="1">IF(Tech_Specs!$S11=0,0,IF(Perform_Active!$I12=0,0,(Z11)/(Perform_Active!$I12/Perform_Active!$H12*Tech_Specs!$S11*365.25)*10^9))</f>
        <v>98632.841803405914</v>
      </c>
      <c r="AA159" s="540">
        <f ca="1">IF(Tech_Specs!$S11=0,0,IF(Perform_Active!$I12=0,0,(AA11)/(Perform_Active!$I12/Perform_Active!$H12*Tech_Specs!$S11*365.25)*10^9))</f>
        <v>92831.574966751679</v>
      </c>
      <c r="AB159" s="540">
        <f ca="1">IF(Tech_Specs!$S11=0,0,IF(Perform_Active!$I12=0,0,(AB11)/(Perform_Active!$I12/Perform_Active!$H12*Tech_Specs!$S11*365.25)*10^9))</f>
        <v>87384.896799793496</v>
      </c>
      <c r="AC159" s="540">
        <f ca="1">IF(Tech_Specs!$S11=0,0,IF(Perform_Active!$I12=0,0,(AC11)/(Perform_Active!$I12/Perform_Active!$H12*Tech_Specs!$S11*365.25)*10^9))</f>
        <v>82290.945483444404</v>
      </c>
      <c r="AD159" s="540">
        <f ca="1">IF(Tech_Specs!$S11=0,0,IF(Perform_Active!$I12=0,0,(AD11)/(Perform_Active!$I12/Perform_Active!$H12*Tech_Specs!$S11*365.25)*10^9))</f>
        <v>77567.591494531822</v>
      </c>
      <c r="AE159" s="540">
        <f ca="1">IF(Tech_Specs!$S11=0,0,IF(Perform_Active!$I12=0,0,(AE11)/(Perform_Active!$I12/Perform_Active!$H12*Tech_Specs!$S11*365.25)*10^9))</f>
        <v>73208.487749361972</v>
      </c>
      <c r="AF159" s="540">
        <f ca="1">IF(Tech_Specs!$S11=0,0,IF(Perform_Active!$I12=0,0,(AF11)/(Perform_Active!$I12/Perform_Active!$H12*Tech_Specs!$S11*365.25)*10^9))</f>
        <v>69193.644378902638</v>
      </c>
    </row>
    <row r="160" spans="1:32" x14ac:dyDescent="0.25">
      <c r="A160" s="550"/>
      <c r="B160" s="550" t="s">
        <v>29</v>
      </c>
      <c r="C160" s="539"/>
      <c r="D160" s="539"/>
      <c r="E160" s="539"/>
      <c r="F160" s="539"/>
      <c r="G160" s="540">
        <f ca="1">IF(Tech_Specs!$S12=0,0,IF(Perform_Active!$I13=0,0,(G12)/(Perform_Active!$I13/Perform_Active!$H13*Tech_Specs!$S12*365.25)*10^9))</f>
        <v>0</v>
      </c>
      <c r="H160" s="540">
        <f ca="1">IF(Tech_Specs!$S12=0,0,IF(Perform_Active!$I13=0,0,(H12)/(Perform_Active!$I13/Perform_Active!$H13*Tech_Specs!$S12*365.25)*10^9))</f>
        <v>181.76453459631608</v>
      </c>
      <c r="I160" s="540">
        <f ca="1">IF(Tech_Specs!$S12=0,0,IF(Perform_Active!$I13=0,0,(I12)/(Perform_Active!$I13/Perform_Active!$H13*Tech_Specs!$S12*365.25)*10^9))</f>
        <v>629.45957680902347</v>
      </c>
      <c r="J160" s="540">
        <f ca="1">IF(Tech_Specs!$S12=0,0,IF(Perform_Active!$I13=0,0,(J12)/(Perform_Active!$I13/Perform_Active!$H13*Tech_Specs!$S12*365.25)*10^9))</f>
        <v>1336.0064852114326</v>
      </c>
      <c r="K160" s="540">
        <f ca="1">IF(Tech_Specs!$S12=0,0,IF(Perform_Active!$I13=0,0,(K12)/(Perform_Active!$I13/Perform_Active!$H13*Tech_Specs!$S12*365.25)*10^9))</f>
        <v>2474.2252749074546</v>
      </c>
      <c r="L160" s="540">
        <f ca="1">IF(Tech_Specs!$S12=0,0,IF(Perform_Active!$I13=0,0,(L12)/(Perform_Active!$I13/Perform_Active!$H13*Tech_Specs!$S12*365.25)*10^9))</f>
        <v>4269.628840864928</v>
      </c>
      <c r="M160" s="540">
        <f ca="1">IF(Tech_Specs!$S12=0,0,IF(Perform_Active!$I13=0,0,(M12)/(Perform_Active!$I13/Perform_Active!$H13*Tech_Specs!$S12*365.25)*10^9))</f>
        <v>7062.2321250829627</v>
      </c>
      <c r="N160" s="540">
        <f ca="1">IF(Tech_Specs!$S12=0,0,IF(Perform_Active!$I13=0,0,(N12)/(Perform_Active!$I13/Perform_Active!$H13*Tech_Specs!$S12*365.25)*10^9))</f>
        <v>11042.959711578042</v>
      </c>
      <c r="O160" s="540">
        <f ca="1">IF(Tech_Specs!$S12=0,0,IF(Perform_Active!$I13=0,0,(O12)/(Perform_Active!$I13/Perform_Active!$H13*Tech_Specs!$S12*365.25)*10^9))</f>
        <v>16472.262692698489</v>
      </c>
      <c r="P160" s="540">
        <f ca="1">IF(Tech_Specs!$S12=0,0,IF(Perform_Active!$I13=0,0,(P12)/(Perform_Active!$I13/Perform_Active!$H13*Tech_Specs!$S12*365.25)*10^9))</f>
        <v>23492.967946676239</v>
      </c>
      <c r="Q160" s="540">
        <f ca="1">IF(Tech_Specs!$S12=0,0,IF(Perform_Active!$I13=0,0,(Q12)/(Perform_Active!$I13/Perform_Active!$H13*Tech_Specs!$S12*365.25)*10^9))</f>
        <v>32133.982205018965</v>
      </c>
      <c r="R160" s="540">
        <f ca="1">IF(Tech_Specs!$S12=0,0,IF(Perform_Active!$I13=0,0,(R12)/(Perform_Active!$I13/Perform_Active!$H13*Tech_Specs!$S12*365.25)*10^9))</f>
        <v>42243.037416244581</v>
      </c>
      <c r="S160" s="540">
        <f ca="1">IF(Tech_Specs!$S12=0,0,IF(Perform_Active!$I13=0,0,(S12)/(Perform_Active!$I13/Perform_Active!$H13*Tech_Specs!$S12*365.25)*10^9))</f>
        <v>53571.800750465511</v>
      </c>
      <c r="T160" s="540">
        <f ca="1">IF(Tech_Specs!$S12=0,0,IF(Perform_Active!$I13=0,0,(T12)/(Perform_Active!$I13/Perform_Active!$H13*Tech_Specs!$S12*365.25)*10^9))</f>
        <v>65777.98093571444</v>
      </c>
      <c r="U160" s="540">
        <f ca="1">IF(Tech_Specs!$S12=0,0,IF(Perform_Active!$I13=0,0,(U12)/(Perform_Active!$I13/Perform_Active!$H13*Tech_Specs!$S12*365.25)*10^9))</f>
        <v>78506.699861299669</v>
      </c>
      <c r="V160" s="540">
        <f ca="1">IF(Tech_Specs!$S12=0,0,IF(Perform_Active!$I13=0,0,(V12)/(Perform_Active!$I13/Perform_Active!$H13*Tech_Specs!$S12*365.25)*10^9))</f>
        <v>91428.539073503955</v>
      </c>
      <c r="W160" s="540">
        <f ca="1">IF(Tech_Specs!$S12=0,0,IF(Perform_Active!$I13=0,0,(W12)/(Perform_Active!$I13/Perform_Active!$H13*Tech_Specs!$S12*365.25)*10^9))</f>
        <v>104266.26621918187</v>
      </c>
      <c r="X160" s="540">
        <f ca="1">IF(Tech_Specs!$S12=0,0,IF(Perform_Active!$I13=0,0,(X12)/(Perform_Active!$I13/Perform_Active!$H13*Tech_Specs!$S12*365.25)*10^9))</f>
        <v>116787.17277641344</v>
      </c>
      <c r="Y160" s="540">
        <f ca="1">IF(Tech_Specs!$S12=0,0,IF(Perform_Active!$I13=0,0,(Y12)/(Perform_Active!$I13/Perform_Active!$H13*Tech_Specs!$S12*365.25)*10^9))</f>
        <v>128841.31470151895</v>
      </c>
      <c r="Z160" s="540">
        <f ca="1">IF(Tech_Specs!$S12=0,0,IF(Perform_Active!$I13=0,0,(Z12)/(Perform_Active!$I13/Perform_Active!$H13*Tech_Specs!$S12*365.25)*10^9))</f>
        <v>140356.56825199662</v>
      </c>
      <c r="AA160" s="540">
        <f ca="1">IF(Tech_Specs!$S12=0,0,IF(Perform_Active!$I13=0,0,(AA12)/(Perform_Active!$I13/Perform_Active!$H13*Tech_Specs!$S12*365.25)*10^9))</f>
        <v>151314.56937827289</v>
      </c>
      <c r="AB160" s="540">
        <f ca="1">IF(Tech_Specs!$S12=0,0,IF(Perform_Active!$I13=0,0,(AB12)/(Perform_Active!$I13/Perform_Active!$H13*Tech_Specs!$S12*365.25)*10^9))</f>
        <v>161764.14018565646</v>
      </c>
      <c r="AC160" s="540">
        <f ca="1">IF(Tech_Specs!$S12=0,0,IF(Perform_Active!$I13=0,0,(AC12)/(Perform_Active!$I13/Perform_Active!$H13*Tech_Specs!$S12*365.25)*10^9))</f>
        <v>171653.77428495808</v>
      </c>
      <c r="AD160" s="540">
        <f ca="1">IF(Tech_Specs!$S12=0,0,IF(Perform_Active!$I13=0,0,(AD12)/(Perform_Active!$I13/Perform_Active!$H13*Tech_Specs!$S12*365.25)*10^9))</f>
        <v>180991.64759898916</v>
      </c>
      <c r="AE160" s="540">
        <f ca="1">IF(Tech_Specs!$S12=0,0,IF(Perform_Active!$I13=0,0,(AE12)/(Perform_Active!$I13/Perform_Active!$H13*Tech_Specs!$S12*365.25)*10^9))</f>
        <v>189805.91202495762</v>
      </c>
      <c r="AF160" s="540">
        <f ca="1">IF(Tech_Specs!$S12=0,0,IF(Perform_Active!$I13=0,0,(AF12)/(Perform_Active!$I13/Perform_Active!$H13*Tech_Specs!$S12*365.25)*10^9))</f>
        <v>198147.22039982711</v>
      </c>
    </row>
    <row r="161" spans="1:32" x14ac:dyDescent="0.25">
      <c r="A161" s="550"/>
      <c r="B161" s="550"/>
      <c r="C161" s="539"/>
      <c r="D161" s="539"/>
      <c r="E161" s="539"/>
      <c r="F161" s="539"/>
      <c r="G161" s="540"/>
      <c r="H161" s="540"/>
      <c r="I161" s="540"/>
      <c r="J161" s="540"/>
      <c r="K161" s="540"/>
      <c r="L161" s="540"/>
      <c r="M161" s="540"/>
      <c r="N161" s="540"/>
      <c r="O161" s="540"/>
      <c r="P161" s="540"/>
      <c r="Q161" s="540"/>
      <c r="R161" s="540"/>
      <c r="S161" s="540"/>
      <c r="T161" s="540"/>
      <c r="U161" s="540"/>
      <c r="V161" s="540"/>
      <c r="W161" s="540"/>
      <c r="X161" s="540"/>
      <c r="Y161" s="540"/>
      <c r="Z161" s="540"/>
      <c r="AA161" s="540"/>
      <c r="AB161" s="540"/>
      <c r="AC161" s="540"/>
      <c r="AD161" s="540"/>
      <c r="AE161" s="540"/>
      <c r="AF161" s="540"/>
    </row>
    <row r="162" spans="1:32" s="202" customFormat="1" ht="12.75" x14ac:dyDescent="0.2">
      <c r="A162" s="556" t="s">
        <v>32</v>
      </c>
      <c r="B162" s="556"/>
      <c r="C162" s="556"/>
      <c r="D162" s="556"/>
      <c r="E162" s="556"/>
      <c r="F162" s="556"/>
      <c r="G162" s="547"/>
      <c r="H162" s="547"/>
      <c r="I162" s="547"/>
      <c r="J162" s="547"/>
      <c r="K162" s="547"/>
      <c r="L162" s="547"/>
      <c r="M162" s="547"/>
      <c r="N162" s="547"/>
      <c r="O162" s="547"/>
      <c r="P162" s="547"/>
      <c r="Q162" s="547"/>
      <c r="R162" s="547"/>
      <c r="S162" s="547"/>
      <c r="T162" s="547"/>
      <c r="U162" s="547"/>
      <c r="V162" s="547"/>
      <c r="W162" s="547"/>
      <c r="X162" s="547"/>
      <c r="Y162" s="547"/>
      <c r="Z162" s="547"/>
      <c r="AA162" s="547"/>
      <c r="AB162" s="547"/>
      <c r="AC162" s="547"/>
      <c r="AD162" s="547"/>
      <c r="AE162" s="547"/>
      <c r="AF162" s="547"/>
    </row>
    <row r="163" spans="1:32" x14ac:dyDescent="0.25">
      <c r="A163" s="550"/>
      <c r="B163" s="550" t="s">
        <v>33</v>
      </c>
      <c r="C163" s="539"/>
      <c r="D163" s="539"/>
      <c r="E163" s="539"/>
      <c r="F163" s="539"/>
      <c r="G163" s="540">
        <f>IF(Tech_Specs!$S15=0,0,IF(Perform_Active!$I16=0,0,(G15)/(Perform_Active!$I16/Perform_Active!$H16*Tech_Specs!$S15*365.25)*10^9))</f>
        <v>21628.378419260105</v>
      </c>
      <c r="H163" s="540">
        <f>IF(Tech_Specs!$S15=0,0,IF(Perform_Active!$I16=0,0,(H15)/(Perform_Active!$I16/Perform_Active!$H16*Tech_Specs!$S15*365.25)*10^9))</f>
        <v>19013.113030983724</v>
      </c>
      <c r="I163" s="540">
        <f>IF(Tech_Specs!$S15=0,0,IF(Perform_Active!$I16=0,0,(I15)/(Perform_Active!$I16/Perform_Active!$H16*Tech_Specs!$S15*365.25)*10^9))</f>
        <v>17469.988989935788</v>
      </c>
      <c r="J163" s="540">
        <f>IF(Tech_Specs!$S15=0,0,IF(Perform_Active!$I16=0,0,(J15)/(Perform_Active!$I16/Perform_Active!$H16*Tech_Specs!$S15*365.25)*10^9))</f>
        <v>16604.795476769366</v>
      </c>
      <c r="K163" s="540">
        <f>IF(Tech_Specs!$S15=0,0,IF(Perform_Active!$I16=0,0,(K15)/(Perform_Active!$I16/Perform_Active!$H16*Tech_Specs!$S15*365.25)*10^9))</f>
        <v>16067.049918775549</v>
      </c>
      <c r="L163" s="540">
        <f>IF(Tech_Specs!$S15=0,0,IF(Perform_Active!$I16=0,0,(L15)/(Perform_Active!$I16/Perform_Active!$H16*Tech_Specs!$S15*365.25)*10^9))</f>
        <v>15387.835419709991</v>
      </c>
      <c r="M163" s="540">
        <f>IF(Tech_Specs!$S15=0,0,IF(Perform_Active!$I16=0,0,(M15)/(Perform_Active!$I16/Perform_Active!$H16*Tech_Specs!$S15*365.25)*10^9))</f>
        <v>14470.069096702433</v>
      </c>
      <c r="N163" s="540">
        <f>IF(Tech_Specs!$S15=0,0,IF(Perform_Active!$I16=0,0,(N15)/(Perform_Active!$I16/Perform_Active!$H16*Tech_Specs!$S15*365.25)*10^9))</f>
        <v>13365.145557127409</v>
      </c>
      <c r="O163" s="540">
        <f>IF(Tech_Specs!$S15=0,0,IF(Perform_Active!$I16=0,0,(O15)/(Perform_Active!$I16/Perform_Active!$H16*Tech_Specs!$S15*365.25)*10^9))</f>
        <v>12125.430046722062</v>
      </c>
      <c r="P163" s="540">
        <f>IF(Tech_Specs!$S15=0,0,IF(Perform_Active!$I16=0,0,(P15)/(Perform_Active!$I16/Perform_Active!$H16*Tech_Specs!$S15*365.25)*10^9))</f>
        <v>10820.632233644837</v>
      </c>
      <c r="Q163" s="540">
        <f>IF(Tech_Specs!$S15=0,0,IF(Perform_Active!$I16=0,0,(Q15)/(Perform_Active!$I16/Perform_Active!$H16*Tech_Specs!$S15*365.25)*10^9))</f>
        <v>9492.5594506417838</v>
      </c>
      <c r="R163" s="540">
        <f>IF(Tech_Specs!$S15=0,0,IF(Perform_Active!$I16=0,0,(R15)/(Perform_Active!$I16/Perform_Active!$H16*Tech_Specs!$S15*365.25)*10^9))</f>
        <v>8185.9527844901395</v>
      </c>
      <c r="S163" s="540">
        <f>IF(Tech_Specs!$S15=0,0,IF(Perform_Active!$I16=0,0,(S15)/(Perform_Active!$I16/Perform_Active!$H16*Tech_Specs!$S15*365.25)*10^9))</f>
        <v>6955.2730234033343</v>
      </c>
      <c r="T163" s="540">
        <f>IF(Tech_Specs!$S15=0,0,IF(Perform_Active!$I16=0,0,(T15)/(Perform_Active!$I16/Perform_Active!$H16*Tech_Specs!$S15*365.25)*10^9))</f>
        <v>5834.8136064663468</v>
      </c>
      <c r="U163" s="540">
        <f>IF(Tech_Specs!$S15=0,0,IF(Perform_Active!$I16=0,0,(U15)/(Perform_Active!$I16/Perform_Active!$H16*Tech_Specs!$S15*365.25)*10^9))</f>
        <v>4843.7489395867779</v>
      </c>
      <c r="V163" s="540">
        <f>IF(Tech_Specs!$S15=0,0,IF(Perform_Active!$I16=0,0,(V15)/(Perform_Active!$I16/Perform_Active!$H16*Tech_Specs!$S15*365.25)*10^9))</f>
        <v>3993.4799555302816</v>
      </c>
      <c r="W163" s="540">
        <f>IF(Tech_Specs!$S15=0,0,IF(Perform_Active!$I16=0,0,(W15)/(Perform_Active!$I16/Perform_Active!$H16*Tech_Specs!$S15*365.25)*10^9))</f>
        <v>3278.0307417458935</v>
      </c>
      <c r="X163" s="540">
        <f>IF(Tech_Specs!$S15=0,0,IF(Perform_Active!$I16=0,0,(X15)/(Perform_Active!$I16/Perform_Active!$H16*Tech_Specs!$S15*365.25)*10^9))</f>
        <v>2685.8051801692463</v>
      </c>
      <c r="Y163" s="540">
        <f>IF(Tech_Specs!$S15=0,0,IF(Perform_Active!$I16=0,0,(Y15)/(Perform_Active!$I16/Perform_Active!$H16*Tech_Specs!$S15*365.25)*10^9))</f>
        <v>2201.7659405698482</v>
      </c>
      <c r="Z163" s="540">
        <f>IF(Tech_Specs!$S15=0,0,IF(Perform_Active!$I16=0,0,(Z15)/(Perform_Active!$I16/Perform_Active!$H16*Tech_Specs!$S15*365.25)*10^9))</f>
        <v>1811.2425498870698</v>
      </c>
      <c r="AA163" s="540">
        <f>IF(Tech_Specs!$S15=0,0,IF(Perform_Active!$I16=0,0,(AA15)/(Perform_Active!$I16/Perform_Active!$H16*Tech_Specs!$S15*365.25)*10^9))</f>
        <v>1499.6612638195336</v>
      </c>
      <c r="AB163" s="540">
        <f>IF(Tech_Specs!$S15=0,0,IF(Perform_Active!$I16=0,0,(AB15)/(Perform_Active!$I16/Perform_Active!$H16*Tech_Specs!$S15*365.25)*10^9))</f>
        <v>1251.6087733355823</v>
      </c>
      <c r="AC163" s="540">
        <f>IF(Tech_Specs!$S15=0,0,IF(Perform_Active!$I16=0,0,(AC15)/(Perform_Active!$I16/Perform_Active!$H16*Tech_Specs!$S15*365.25)*10^9))</f>
        <v>1053.849499372652</v>
      </c>
      <c r="AD163" s="540">
        <f>IF(Tech_Specs!$S15=0,0,IF(Perform_Active!$I16=0,0,(AD15)/(Perform_Active!$I16/Perform_Active!$H16*Tech_Specs!$S15*365.25)*10^9))</f>
        <v>895.82342953240254</v>
      </c>
      <c r="AE163" s="540">
        <f>IF(Tech_Specs!$S15=0,0,IF(Perform_Active!$I16=0,0,(AE15)/(Perform_Active!$I16/Perform_Active!$H16*Tech_Specs!$S15*365.25)*10^9))</f>
        <v>768.5296716101999</v>
      </c>
      <c r="AF163" s="540">
        <f>IF(Tech_Specs!$S15=0,0,IF(Perform_Active!$I16=0,0,(AF15)/(Perform_Active!$I16/Perform_Active!$H16*Tech_Specs!$S15*365.25)*10^9))</f>
        <v>663.14980747032098</v>
      </c>
    </row>
    <row r="164" spans="1:32" x14ac:dyDescent="0.25">
      <c r="A164" s="552"/>
      <c r="B164" s="552" t="s">
        <v>34</v>
      </c>
      <c r="C164" s="539"/>
      <c r="D164" s="539"/>
      <c r="E164" s="539"/>
      <c r="F164" s="539"/>
      <c r="G164" s="540">
        <f>IF(Tech_Specs!$S16=0,0,IF(Perform_Active!$I17=0,0,(G16)/(Perform_Active!$I17/Perform_Active!$H17*Tech_Specs!$S16*365.25)*10^9))</f>
        <v>12076.208313300363</v>
      </c>
      <c r="H164" s="540">
        <f>IF(Tech_Specs!$S16=0,0,IF(Perform_Active!$I17=0,0,(H16)/(Perform_Active!$I17/Perform_Active!$H17*Tech_Specs!$S16*365.25)*10^9))</f>
        <v>14538.682893339785</v>
      </c>
      <c r="I164" s="540">
        <f>IF(Tech_Specs!$S16=0,0,IF(Perform_Active!$I17=0,0,(I16)/(Perform_Active!$I17/Perform_Active!$H17*Tech_Specs!$S16*365.25)*10^9))</f>
        <v>16127.065160106264</v>
      </c>
      <c r="J164" s="540">
        <f>IF(Tech_Specs!$S16=0,0,IF(Perform_Active!$I17=0,0,(J16)/(Perform_Active!$I17/Perform_Active!$H17*Tech_Specs!$S16*365.25)*10^9))</f>
        <v>16977.374779806654</v>
      </c>
      <c r="K164" s="540">
        <f>IF(Tech_Specs!$S16=0,0,IF(Perform_Active!$I17=0,0,(K16)/(Perform_Active!$I17/Perform_Active!$H17*Tech_Specs!$S16*365.25)*10^9))</f>
        <v>17187.34488408341</v>
      </c>
      <c r="L164" s="540">
        <f>IF(Tech_Specs!$S16=0,0,IF(Perform_Active!$I17=0,0,(L16)/(Perform_Active!$I17/Perform_Active!$H17*Tech_Specs!$S16*365.25)*10^9))</f>
        <v>17149.492975398465</v>
      </c>
      <c r="M164" s="540">
        <f>IF(Tech_Specs!$S16=0,0,IF(Perform_Active!$I17=0,0,(M16)/(Perform_Active!$I17/Perform_Active!$H17*Tech_Specs!$S16*365.25)*10^9))</f>
        <v>16866.619850955503</v>
      </c>
      <c r="N164" s="540">
        <f>IF(Tech_Specs!$S16=0,0,IF(Perform_Active!$I17=0,0,(N16)/(Perform_Active!$I17/Perform_Active!$H17*Tech_Specs!$S16*365.25)*10^9))</f>
        <v>16317.097730754092</v>
      </c>
      <c r="O164" s="540">
        <f>IF(Tech_Specs!$S16=0,0,IF(Perform_Active!$I17=0,0,(O16)/(Perform_Active!$I17/Perform_Active!$H17*Tech_Specs!$S16*365.25)*10^9))</f>
        <v>15520.81072844946</v>
      </c>
      <c r="P164" s="540">
        <f>IF(Tech_Specs!$S16=0,0,IF(Perform_Active!$I17=0,0,(P16)/(Perform_Active!$I17/Perform_Active!$H17*Tech_Specs!$S16*365.25)*10^9))</f>
        <v>14521.877744693347</v>
      </c>
      <c r="Q164" s="540">
        <f>IF(Tech_Specs!$S16=0,0,IF(Perform_Active!$I17=0,0,(Q16)/(Perform_Active!$I17/Perform_Active!$H17*Tech_Specs!$S16*365.25)*10^9))</f>
        <v>13379.62766909922</v>
      </c>
      <c r="R164" s="540">
        <f>IF(Tech_Specs!$S16=0,0,IF(Perform_Active!$I17=0,0,(R16)/(Perform_Active!$I17/Perform_Active!$H17*Tech_Specs!$S16*365.25)*10^9))</f>
        <v>12153.483169851695</v>
      </c>
      <c r="S164" s="540">
        <f>IF(Tech_Specs!$S16=0,0,IF(Perform_Active!$I17=0,0,(S16)/(Perform_Active!$I17/Perform_Active!$H17*Tech_Specs!$S16*365.25)*10^9))</f>
        <v>10906.631137949471</v>
      </c>
      <c r="T164" s="540">
        <f>IF(Tech_Specs!$S16=0,0,IF(Perform_Active!$I17=0,0,(T16)/(Perform_Active!$I17/Perform_Active!$H17*Tech_Specs!$S16*365.25)*10^9))</f>
        <v>9689.586072831793</v>
      </c>
      <c r="U164" s="540">
        <f>IF(Tech_Specs!$S16=0,0,IF(Perform_Active!$I17=0,0,(U16)/(Perform_Active!$I17/Perform_Active!$H17*Tech_Specs!$S16*365.25)*10^9))</f>
        <v>8541.6278271243336</v>
      </c>
      <c r="V164" s="540">
        <f>IF(Tech_Specs!$S16=0,0,IF(Perform_Active!$I17=0,0,(V16)/(Perform_Active!$I17/Perform_Active!$H17*Tech_Specs!$S16*365.25)*10^9))</f>
        <v>7493.050852476922</v>
      </c>
      <c r="W164" s="540">
        <f>IF(Tech_Specs!$S16=0,0,IF(Perform_Active!$I17=0,0,(W16)/(Perform_Active!$I17/Perform_Active!$H17*Tech_Specs!$S16*365.25)*10^9))</f>
        <v>6557.1679001619714</v>
      </c>
      <c r="X164" s="540">
        <f>IF(Tech_Specs!$S16=0,0,IF(Perform_Active!$I17=0,0,(X16)/(Perform_Active!$I17/Perform_Active!$H17*Tech_Specs!$S16*365.25)*10^9))</f>
        <v>5737.4838538875219</v>
      </c>
      <c r="Y164" s="540">
        <f>IF(Tech_Specs!$S16=0,0,IF(Perform_Active!$I17=0,0,(Y16)/(Perform_Active!$I17/Perform_Active!$H17*Tech_Specs!$S16*365.25)*10^9))</f>
        <v>5030.4904765087804</v>
      </c>
      <c r="Z164" s="540">
        <f>IF(Tech_Specs!$S16=0,0,IF(Perform_Active!$I17=0,0,(Z16)/(Perform_Active!$I17/Perform_Active!$H17*Tech_Specs!$S16*365.25)*10^9))</f>
        <v>4429.9811534538303</v>
      </c>
      <c r="AA164" s="540">
        <f>IF(Tech_Specs!$S16=0,0,IF(Perform_Active!$I17=0,0,(AA16)/(Perform_Active!$I17/Perform_Active!$H17*Tech_Specs!$S16*365.25)*10^9))</f>
        <v>3927.0619830954747</v>
      </c>
      <c r="AB164" s="540">
        <f>IF(Tech_Specs!$S16=0,0,IF(Perform_Active!$I17=0,0,(AB16)/(Perform_Active!$I17/Perform_Active!$H17*Tech_Specs!$S16*365.25)*10^9))</f>
        <v>3509.6653810543712</v>
      </c>
      <c r="AC164" s="540">
        <f>IF(Tech_Specs!$S16=0,0,IF(Perform_Active!$I17=0,0,(AC16)/(Perform_Active!$I17/Perform_Active!$H17*Tech_Specs!$S16*365.25)*10^9))</f>
        <v>3163.2920308161765</v>
      </c>
      <c r="AD164" s="540">
        <f>IF(Tech_Specs!$S16=0,0,IF(Perform_Active!$I17=0,0,(AD16)/(Perform_Active!$I17/Perform_Active!$H17*Tech_Specs!$S16*365.25)*10^9))</f>
        <v>2875.2826153275978</v>
      </c>
      <c r="AE164" s="540">
        <f>IF(Tech_Specs!$S16=0,0,IF(Perform_Active!$I17=0,0,(AE16)/(Perform_Active!$I17/Perform_Active!$H17*Tech_Specs!$S16*365.25)*10^9))</f>
        <v>2636.6630700124988</v>
      </c>
      <c r="AF164" s="540">
        <f>IF(Tech_Specs!$S16=0,0,IF(Perform_Active!$I17=0,0,(AF16)/(Perform_Active!$I17/Perform_Active!$H17*Tech_Specs!$S16*365.25)*10^9))</f>
        <v>2435.3243277226447</v>
      </c>
    </row>
    <row r="165" spans="1:32" x14ac:dyDescent="0.25">
      <c r="A165" s="550"/>
      <c r="B165" s="552" t="s">
        <v>35</v>
      </c>
      <c r="C165" s="539"/>
      <c r="D165" s="539"/>
      <c r="E165" s="539"/>
      <c r="F165" s="539"/>
      <c r="G165" s="540">
        <f>IF(Tech_Specs!$S17=0,0,IF(Perform_Active!$I18=0,0,(G17)/(Perform_Active!$I18/Perform_Active!$H18*Tech_Specs!$S17*365.25)*10^9))</f>
        <v>6703.6765842714094</v>
      </c>
      <c r="H165" s="540">
        <f>IF(Tech_Specs!$S17=0,0,IF(Perform_Active!$I18=0,0,(H17)/(Perform_Active!$I18/Perform_Active!$H18*Tech_Specs!$S17*365.25)*10^9))</f>
        <v>6994.0999879141491</v>
      </c>
      <c r="I165" s="540">
        <f>IF(Tech_Specs!$S17=0,0,IF(Perform_Active!$I18=0,0,(I17)/(Perform_Active!$I18/Perform_Active!$H18*Tech_Specs!$S17*365.25)*10^9))</f>
        <v>7280.0755303274764</v>
      </c>
      <c r="J165" s="540">
        <f>IF(Tech_Specs!$S17=0,0,IF(Perform_Active!$I18=0,0,(J17)/(Perform_Active!$I18/Perform_Active!$H18*Tech_Specs!$S17*365.25)*10^9))</f>
        <v>7587.1235768460128</v>
      </c>
      <c r="K165" s="540">
        <f>IF(Tech_Specs!$S17=0,0,IF(Perform_Active!$I18=0,0,(K17)/(Perform_Active!$I18/Perform_Active!$H18*Tech_Specs!$S17*365.25)*10^9))</f>
        <v>7920.6341697551079</v>
      </c>
      <c r="L165" s="540">
        <f>IF(Tech_Specs!$S17=0,0,IF(Perform_Active!$I18=0,0,(L17)/(Perform_Active!$I18/Perform_Active!$H18*Tech_Specs!$S17*365.25)*10^9))</f>
        <v>8177.8815634885514</v>
      </c>
      <c r="M165" s="540">
        <f>IF(Tech_Specs!$S17=0,0,IF(Perform_Active!$I18=0,0,(M17)/(Perform_Active!$I18/Perform_Active!$H18*Tech_Specs!$S17*365.25)*10^9))</f>
        <v>8367.9730770286515</v>
      </c>
      <c r="N165" s="540">
        <f>IF(Tech_Specs!$S17=0,0,IF(Perform_Active!$I18=0,0,(N17)/(Perform_Active!$I18/Perform_Active!$H18*Tech_Specs!$S17*365.25)*10^9))</f>
        <v>8465.2551739276205</v>
      </c>
      <c r="O165" s="540">
        <f>IF(Tech_Specs!$S17=0,0,IF(Perform_Active!$I18=0,0,(O17)/(Perform_Active!$I18/Perform_Active!$H18*Tech_Specs!$S17*365.25)*10^9))</f>
        <v>8461.0629037350409</v>
      </c>
      <c r="P165" s="540">
        <f>IF(Tech_Specs!$S17=0,0,IF(Perform_Active!$I18=0,0,(P17)/(Perform_Active!$I18/Perform_Active!$H18*Tech_Specs!$S17*365.25)*10^9))</f>
        <v>8353.8334683462199</v>
      </c>
      <c r="Q165" s="540">
        <f>IF(Tech_Specs!$S17=0,0,IF(Perform_Active!$I18=0,0,(Q17)/(Perform_Active!$I18/Perform_Active!$H18*Tech_Specs!$S17*365.25)*10^9))</f>
        <v>8157.8685648281198</v>
      </c>
      <c r="R165" s="540">
        <f>IF(Tech_Specs!$S17=0,0,IF(Perform_Active!$I18=0,0,(R17)/(Perform_Active!$I18/Perform_Active!$H18*Tech_Specs!$S17*365.25)*10^9))</f>
        <v>7889.4246017926362</v>
      </c>
      <c r="S165" s="540">
        <f>IF(Tech_Specs!$S17=0,0,IF(Perform_Active!$I18=0,0,(S17)/(Perform_Active!$I18/Perform_Active!$H18*Tech_Specs!$S17*365.25)*10^9))</f>
        <v>7565.0825354085518</v>
      </c>
      <c r="T165" s="540">
        <f>IF(Tech_Specs!$S17=0,0,IF(Perform_Active!$I18=0,0,(T17)/(Perform_Active!$I18/Perform_Active!$H18*Tech_Specs!$S17*365.25)*10^9))</f>
        <v>7201.5354026819195</v>
      </c>
      <c r="U165" s="540">
        <f>IF(Tech_Specs!$S17=0,0,IF(Perform_Active!$I18=0,0,(U17)/(Perform_Active!$I18/Perform_Active!$H18*Tech_Specs!$S17*365.25)*10^9))</f>
        <v>6814.9530481949168</v>
      </c>
      <c r="V165" s="540">
        <f>IF(Tech_Specs!$S17=0,0,IF(Perform_Active!$I18=0,0,(V17)/(Perform_Active!$I18/Perform_Active!$H18*Tech_Specs!$S17*365.25)*10^9))</f>
        <v>6419.4674376008606</v>
      </c>
      <c r="W165" s="540">
        <f>IF(Tech_Specs!$S17=0,0,IF(Perform_Active!$I18=0,0,(W17)/(Perform_Active!$I18/Perform_Active!$H18*Tech_Specs!$S17*365.25)*10^9))</f>
        <v>6026.6342971299355</v>
      </c>
      <c r="X165" s="540">
        <f>IF(Tech_Specs!$S17=0,0,IF(Perform_Active!$I18=0,0,(X17)/(Perform_Active!$I18/Perform_Active!$H18*Tech_Specs!$S17*365.25)*10^9))</f>
        <v>5645.857872474473</v>
      </c>
      <c r="Y165" s="540">
        <f>IF(Tech_Specs!$S17=0,0,IF(Perform_Active!$I18=0,0,(Y17)/(Perform_Active!$I18/Perform_Active!$H18*Tech_Specs!$S17*365.25)*10^9))</f>
        <v>5283.0559105395587</v>
      </c>
      <c r="Z165" s="540">
        <f>IF(Tech_Specs!$S17=0,0,IF(Perform_Active!$I18=0,0,(Z17)/(Perform_Active!$I18/Perform_Active!$H18*Tech_Specs!$S17*365.25)*10^9))</f>
        <v>4942.4027554062322</v>
      </c>
      <c r="AA165" s="540">
        <f>IF(Tech_Specs!$S17=0,0,IF(Perform_Active!$I18=0,0,(AA17)/(Perform_Active!$I18/Perform_Active!$H18*Tech_Specs!$S17*365.25)*10^9))</f>
        <v>4626.446706550877</v>
      </c>
      <c r="AB165" s="540">
        <f>IF(Tech_Specs!$S17=0,0,IF(Perform_Active!$I18=0,0,(AB17)/(Perform_Active!$I18/Perform_Active!$H18*Tech_Specs!$S17*365.25)*10^9))</f>
        <v>4336.5454654326986</v>
      </c>
      <c r="AC165" s="540">
        <f>IF(Tech_Specs!$S17=0,0,IF(Perform_Active!$I18=0,0,(AC17)/(Perform_Active!$I18/Perform_Active!$H18*Tech_Specs!$S17*365.25)*10^9))</f>
        <v>4071.4896863032209</v>
      </c>
      <c r="AD165" s="540">
        <f>IF(Tech_Specs!$S17=0,0,IF(Perform_Active!$I18=0,0,(AD17)/(Perform_Active!$I18/Perform_Active!$H18*Tech_Specs!$S17*365.25)*10^9))</f>
        <v>3830.4384045726201</v>
      </c>
      <c r="AE165" s="540">
        <f>IF(Tech_Specs!$S17=0,0,IF(Perform_Active!$I18=0,0,(AE17)/(Perform_Active!$I18/Perform_Active!$H18*Tech_Specs!$S17*365.25)*10^9))</f>
        <v>3612.0528814074291</v>
      </c>
      <c r="AF165" s="540">
        <f>IF(Tech_Specs!$S17=0,0,IF(Perform_Active!$I18=0,0,(AF17)/(Perform_Active!$I18/Perform_Active!$H18*Tech_Specs!$S17*365.25)*10^9))</f>
        <v>3414.0743829789913</v>
      </c>
    </row>
    <row r="166" spans="1:32" x14ac:dyDescent="0.25">
      <c r="A166" s="550"/>
      <c r="B166" s="552" t="s">
        <v>29</v>
      </c>
      <c r="C166" s="539"/>
      <c r="D166" s="539"/>
      <c r="E166" s="539"/>
      <c r="F166" s="539"/>
      <c r="G166" s="540">
        <f>IF(Tech_Specs!$S18=0,0,IF(Perform_Active!$I19=0,0,(G18)/(Perform_Active!$I19/Perform_Active!$H19*Tech_Specs!$S18*365.25)*10^9))</f>
        <v>0</v>
      </c>
      <c r="H166" s="540">
        <f>IF(Tech_Specs!$S18=0,0,IF(Perform_Active!$I19=0,0,(H18)/(Perform_Active!$I19/Perform_Active!$H19*Tech_Specs!$S18*365.25)*10^9))</f>
        <v>69.343327590944909</v>
      </c>
      <c r="I166" s="540">
        <f>IF(Tech_Specs!$S18=0,0,IF(Perform_Active!$I19=0,0,(I18)/(Perform_Active!$I19/Perform_Active!$H19*Tech_Specs!$S18*365.25)*10^9))</f>
        <v>287.03361350333546</v>
      </c>
      <c r="J166" s="540">
        <f>IF(Tech_Specs!$S18=0,0,IF(Perform_Active!$I19=0,0,(J18)/(Perform_Active!$I19/Perform_Active!$H19*Tech_Specs!$S18*365.25)*10^9))</f>
        <v>805.50737364811539</v>
      </c>
      <c r="K166" s="540">
        <f>IF(Tech_Specs!$S18=0,0,IF(Perform_Active!$I19=0,0,(K18)/(Perform_Active!$I19/Perform_Active!$H19*Tech_Specs!$S18*365.25)*10^9))</f>
        <v>1775.1040744361317</v>
      </c>
      <c r="L166" s="540">
        <f>IF(Tech_Specs!$S18=0,0,IF(Perform_Active!$I19=0,0,(L18)/(Perform_Active!$I19/Perform_Active!$H19*Tech_Specs!$S18*365.25)*10^9))</f>
        <v>3257.0631221572762</v>
      </c>
      <c r="M166" s="540">
        <f>IF(Tech_Specs!$S18=0,0,IF(Perform_Active!$I19=0,0,(M18)/(Perform_Active!$I19/Perform_Active!$H19*Tech_Specs!$S18*365.25)*10^9))</f>
        <v>5319.9644950295033</v>
      </c>
      <c r="N166" s="540">
        <f>IF(Tech_Specs!$S18=0,0,IF(Perform_Active!$I19=0,0,(N18)/(Perform_Active!$I19/Perform_Active!$H19*Tech_Specs!$S18*365.25)*10^9))</f>
        <v>7953.0677125945458</v>
      </c>
      <c r="O166" s="540">
        <f>IF(Tech_Specs!$S18=0,0,IF(Perform_Active!$I19=0,0,(O18)/(Perform_Active!$I19/Perform_Active!$H19*Tech_Specs!$S18*365.25)*10^9))</f>
        <v>11095.891736817073</v>
      </c>
      <c r="P166" s="540">
        <f>IF(Tech_Specs!$S18=0,0,IF(Perform_Active!$I19=0,0,(P18)/(Perform_Active!$I19/Perform_Active!$H19*Tech_Specs!$S18*365.25)*10^9))</f>
        <v>14636.537936487312</v>
      </c>
      <c r="Q166" s="540">
        <f>IF(Tech_Specs!$S18=0,0,IF(Perform_Active!$I19=0,0,(Q18)/(Perform_Active!$I19/Perform_Active!$H19*Tech_Specs!$S18*365.25)*10^9))</f>
        <v>18450.5810199851</v>
      </c>
      <c r="R166" s="540">
        <f>IF(Tech_Specs!$S18=0,0,IF(Perform_Active!$I19=0,0,(R18)/(Perform_Active!$I19/Perform_Active!$H19*Tech_Specs!$S18*365.25)*10^9))</f>
        <v>22398.495272247048</v>
      </c>
      <c r="S166" s="540">
        <f>IF(Tech_Specs!$S18=0,0,IF(Perform_Active!$I19=0,0,(S18)/(Perform_Active!$I19/Perform_Active!$H19*Tech_Specs!$S18*365.25)*10^9))</f>
        <v>26354.158694098132</v>
      </c>
      <c r="T166" s="540">
        <f>IF(Tech_Specs!$S18=0,0,IF(Perform_Active!$I19=0,0,(T18)/(Perform_Active!$I19/Perform_Active!$H19*Tech_Specs!$S18*365.25)*10^9))</f>
        <v>30207.45785884808</v>
      </c>
      <c r="U166" s="540">
        <f>IF(Tech_Specs!$S18=0,0,IF(Perform_Active!$I19=0,0,(U18)/(Perform_Active!$I19/Perform_Active!$H19*Tech_Specs!$S18*365.25)*10^9))</f>
        <v>33876.066069764463</v>
      </c>
      <c r="V166" s="540">
        <f>IF(Tech_Specs!$S18=0,0,IF(Perform_Active!$I19=0,0,(V18)/(Perform_Active!$I19/Perform_Active!$H19*Tech_Specs!$S18*365.25)*10^9))</f>
        <v>37306.253058048089</v>
      </c>
      <c r="W166" s="540">
        <f>IF(Tech_Specs!$S18=0,0,IF(Perform_Active!$I19=0,0,(W18)/(Perform_Active!$I19/Perform_Active!$H19*Tech_Specs!$S18*365.25)*10^9))</f>
        <v>40468.644440767202</v>
      </c>
      <c r="X166" s="540">
        <f>IF(Tech_Specs!$S18=0,0,IF(Perform_Active!$I19=0,0,(X18)/(Perform_Active!$I19/Perform_Active!$H19*Tech_Specs!$S18*365.25)*10^9))</f>
        <v>43352.03639895832</v>
      </c>
      <c r="Y166" s="540">
        <f>IF(Tech_Specs!$S18=0,0,IF(Perform_Active!$I19=0,0,(Y18)/(Perform_Active!$I19/Perform_Active!$H19*Tech_Specs!$S18*365.25)*10^9))</f>
        <v>45963.680287067378</v>
      </c>
      <c r="Z166" s="540">
        <f>IF(Tech_Specs!$S18=0,0,IF(Perform_Active!$I19=0,0,(Z18)/(Perform_Active!$I19/Perform_Active!$H19*Tech_Specs!$S18*365.25)*10^9))</f>
        <v>48326.739399153834</v>
      </c>
      <c r="AA166" s="540">
        <f>IF(Tech_Specs!$S18=0,0,IF(Perform_Active!$I19=0,0,(AA18)/(Perform_Active!$I19/Perform_Active!$H19*Tech_Specs!$S18*365.25)*10^9))</f>
        <v>50472.190689893338</v>
      </c>
      <c r="AB166" s="540">
        <f>IF(Tech_Specs!$S18=0,0,IF(Perform_Active!$I19=0,0,(AB18)/(Perform_Active!$I19/Perform_Active!$H19*Tech_Specs!$S18*365.25)*10^9))</f>
        <v>52441.590797744429</v>
      </c>
      <c r="AC166" s="540">
        <f>IF(Tech_Specs!$S18=0,0,IF(Perform_Active!$I19=0,0,(AC18)/(Perform_Active!$I19/Perform_Active!$H19*Tech_Specs!$S18*365.25)*10^9))</f>
        <v>54243.494970326872</v>
      </c>
      <c r="AD166" s="540">
        <f>IF(Tech_Specs!$S18=0,0,IF(Perform_Active!$I19=0,0,(AD18)/(Perform_Active!$I19/Perform_Active!$H19*Tech_Specs!$S18*365.25)*10^9))</f>
        <v>55902.519077437413</v>
      </c>
      <c r="AE166" s="540">
        <f>IF(Tech_Specs!$S18=0,0,IF(Perform_Active!$I19=0,0,(AE18)/(Perform_Active!$I19/Perform_Active!$H19*Tech_Specs!$S18*365.25)*10^9))</f>
        <v>57437.865596829404</v>
      </c>
      <c r="AF166" s="540">
        <f>IF(Tech_Specs!$S18=0,0,IF(Perform_Active!$I19=0,0,(AF18)/(Perform_Active!$I19/Perform_Active!$H19*Tech_Specs!$S18*365.25)*10^9))</f>
        <v>58873.26113558295</v>
      </c>
    </row>
    <row r="167" spans="1:32" x14ac:dyDescent="0.25">
      <c r="A167" s="550"/>
      <c r="B167" s="550"/>
      <c r="C167" s="539"/>
      <c r="D167" s="539"/>
      <c r="E167" s="539"/>
      <c r="F167" s="539"/>
      <c r="G167" s="540"/>
      <c r="H167" s="540"/>
      <c r="I167" s="540"/>
      <c r="J167" s="540"/>
      <c r="K167" s="540"/>
      <c r="L167" s="540"/>
      <c r="M167" s="540"/>
      <c r="N167" s="540"/>
      <c r="O167" s="540"/>
      <c r="P167" s="540"/>
      <c r="Q167" s="540"/>
      <c r="R167" s="540"/>
      <c r="S167" s="540"/>
      <c r="T167" s="540"/>
      <c r="U167" s="540"/>
      <c r="V167" s="540"/>
      <c r="W167" s="540"/>
      <c r="X167" s="540"/>
      <c r="Y167" s="540"/>
      <c r="Z167" s="540"/>
      <c r="AA167" s="540"/>
      <c r="AB167" s="540"/>
      <c r="AC167" s="540"/>
      <c r="AD167" s="540"/>
      <c r="AE167" s="540"/>
      <c r="AF167" s="540"/>
    </row>
    <row r="168" spans="1:32" s="202" customFormat="1" ht="12.75" x14ac:dyDescent="0.2">
      <c r="A168" s="556" t="s">
        <v>36</v>
      </c>
      <c r="B168" s="556"/>
      <c r="C168" s="556"/>
      <c r="D168" s="556"/>
      <c r="E168" s="556"/>
      <c r="F168" s="556"/>
      <c r="G168" s="547"/>
      <c r="H168" s="547"/>
      <c r="I168" s="547"/>
      <c r="J168" s="547"/>
      <c r="K168" s="547"/>
      <c r="L168" s="547"/>
      <c r="M168" s="547"/>
      <c r="N168" s="547"/>
      <c r="O168" s="547"/>
      <c r="P168" s="547"/>
      <c r="Q168" s="547"/>
      <c r="R168" s="547"/>
      <c r="S168" s="547"/>
      <c r="T168" s="547"/>
      <c r="U168" s="547"/>
      <c r="V168" s="547"/>
      <c r="W168" s="547"/>
      <c r="X168" s="547"/>
      <c r="Y168" s="547"/>
      <c r="Z168" s="547"/>
      <c r="AA168" s="547"/>
      <c r="AB168" s="547"/>
      <c r="AC168" s="547"/>
      <c r="AD168" s="547"/>
      <c r="AE168" s="547"/>
      <c r="AF168" s="547"/>
    </row>
    <row r="169" spans="1:32" x14ac:dyDescent="0.25">
      <c r="A169" s="550"/>
      <c r="B169" s="550" t="s">
        <v>37</v>
      </c>
      <c r="C169" s="539"/>
      <c r="D169" s="539"/>
      <c r="E169" s="539"/>
      <c r="F169" s="201"/>
      <c r="G169" s="540">
        <f>IF(Tech_Specs!$S21=0,0,IF(Perform_Active!$I22=0,0,(G21)/(Perform_Active!$I22/Perform_Active!$H22*Tech_Specs!$S21*365.25)*10^9))</f>
        <v>21292.654548791172</v>
      </c>
      <c r="H169" s="540">
        <f>IF(Tech_Specs!$S21=0,0,IF(Perform_Active!$I22=0,0,(H21)/(Perform_Active!$I22/Perform_Active!$H22*Tech_Specs!$S21*365.25)*10^9))</f>
        <v>20021.441635914805</v>
      </c>
      <c r="I169" s="540">
        <f>IF(Tech_Specs!$S21=0,0,IF(Perform_Active!$I22=0,0,(I21)/(Perform_Active!$I22/Perform_Active!$H22*Tech_Specs!$S21*365.25)*10^9))</f>
        <v>18715.171260690124</v>
      </c>
      <c r="J169" s="540">
        <f>IF(Tech_Specs!$S21=0,0,IF(Perform_Active!$I22=0,0,(J21)/(Perform_Active!$I22/Perform_Active!$H22*Tech_Specs!$S21*365.25)*10^9))</f>
        <v>17388.045175910673</v>
      </c>
      <c r="K169" s="540">
        <f>IF(Tech_Specs!$S21=0,0,IF(Perform_Active!$I22=0,0,(K21)/(Perform_Active!$I22/Perform_Active!$H22*Tech_Specs!$S21*365.25)*10^9))</f>
        <v>16054.737952078425</v>
      </c>
      <c r="L169" s="540">
        <f>IF(Tech_Specs!$S21=0,0,IF(Perform_Active!$I22=0,0,(L21)/(Perform_Active!$I22/Perform_Active!$H22*Tech_Specs!$S21*365.25)*10^9))</f>
        <v>14816.847777545474</v>
      </c>
      <c r="M169" s="540">
        <f>IF(Tech_Specs!$S21=0,0,IF(Perform_Active!$I22=0,0,(M21)/(Perform_Active!$I22/Perform_Active!$H22*Tech_Specs!$S21*365.25)*10^9))</f>
        <v>13668.256427384538</v>
      </c>
      <c r="N169" s="540">
        <f>IF(Tech_Specs!$S21=0,0,IF(Perform_Active!$I22=0,0,(N21)/(Perform_Active!$I22/Perform_Active!$H22*Tech_Specs!$S21*365.25)*10^9))</f>
        <v>12605.80672494282</v>
      </c>
      <c r="O169" s="540">
        <f>IF(Tech_Specs!$S21=0,0,IF(Perform_Active!$I22=0,0,(O21)/(Perform_Active!$I22/Perform_Active!$H22*Tech_Specs!$S21*365.25)*10^9))</f>
        <v>11628.436009397452</v>
      </c>
      <c r="P169" s="540">
        <f>IF(Tech_Specs!$S21=0,0,IF(Perform_Active!$I22=0,0,(P21)/(Perform_Active!$I22/Perform_Active!$H22*Tech_Specs!$S21*365.25)*10^9))</f>
        <v>10729.101323732531</v>
      </c>
      <c r="Q169" s="540">
        <f>IF(Tech_Specs!$S21=0,0,IF(Perform_Active!$I22=0,0,(Q21)/(Perform_Active!$I22/Perform_Active!$H22*Tech_Specs!$S21*365.25)*10^9))</f>
        <v>9901.3483790811297</v>
      </c>
      <c r="R169" s="540">
        <f>IF(Tech_Specs!$S21=0,0,IF(Perform_Active!$I22=0,0,(R21)/(Perform_Active!$I22/Perform_Active!$H22*Tech_Specs!$S21*365.25)*10^9))</f>
        <v>9139.2746782040686</v>
      </c>
      <c r="S169" s="540">
        <f>IF(Tech_Specs!$S21=0,0,IF(Perform_Active!$I22=0,0,(S21)/(Perform_Active!$I22/Perform_Active!$H22*Tech_Specs!$S21*365.25)*10^9))</f>
        <v>8437.4945870604733</v>
      </c>
      <c r="T169" s="540">
        <f>IF(Tech_Specs!$S21=0,0,IF(Perform_Active!$I22=0,0,(T21)/(Perform_Active!$I22/Perform_Active!$H22*Tech_Specs!$S21*365.25)*10^9))</f>
        <v>7791.0743478143168</v>
      </c>
      <c r="U169" s="540">
        <f>IF(Tech_Specs!$S21=0,0,IF(Perform_Active!$I22=0,0,(U21)/(Perform_Active!$I22/Perform_Active!$H22*Tech_Specs!$S21*365.25)*10^9))</f>
        <v>7195.4989008135353</v>
      </c>
      <c r="V169" s="540">
        <f>IF(Tech_Specs!$S21=0,0,IF(Perform_Active!$I22=0,0,(V21)/(Perform_Active!$I22/Perform_Active!$H22*Tech_Specs!$S21*365.25)*10^9))</f>
        <v>6646.6408875331617</v>
      </c>
      <c r="W169" s="540">
        <f>IF(Tech_Specs!$S21=0,0,IF(Perform_Active!$I22=0,0,(W21)/(Perform_Active!$I22/Perform_Active!$H22*Tech_Specs!$S21*365.25)*10^9))</f>
        <v>6140.7153383271407</v>
      </c>
      <c r="X169" s="540">
        <f>IF(Tech_Specs!$S21=0,0,IF(Perform_Active!$I22=0,0,(X21)/(Perform_Active!$I22/Perform_Active!$H22*Tech_Specs!$S21*365.25)*10^9))</f>
        <v>5674.2563746366741</v>
      </c>
      <c r="Y169" s="540">
        <f>IF(Tech_Specs!$S21=0,0,IF(Perform_Active!$I22=0,0,(Y21)/(Perform_Active!$I22/Perform_Active!$H22*Tech_Specs!$S21*365.25)*10^9))</f>
        <v>5244.088951603776</v>
      </c>
      <c r="Z169" s="540">
        <f>IF(Tech_Specs!$S21=0,0,IF(Perform_Active!$I22=0,0,(Z21)/(Perform_Active!$I22/Perform_Active!$H22*Tech_Specs!$S21*365.25)*10^9))</f>
        <v>4847.3056204109271</v>
      </c>
      <c r="AA169" s="540">
        <f>IF(Tech_Specs!$S21=0,0,IF(Perform_Active!$I22=0,0,(AA21)/(Perform_Active!$I22/Perform_Active!$H22*Tech_Specs!$S21*365.25)*10^9))</f>
        <v>4481.2410938882631</v>
      </c>
      <c r="AB169" s="540">
        <f>IF(Tech_Specs!$S21=0,0,IF(Perform_Active!$I22=0,0,(AB21)/(Perform_Active!$I22/Perform_Active!$H22*Tech_Specs!$S21*365.25)*10^9))</f>
        <v>4143.4484730911781</v>
      </c>
      <c r="AC169" s="540">
        <f>IF(Tech_Specs!$S21=0,0,IF(Perform_Active!$I22=0,0,(AC21)/(Perform_Active!$I22/Perform_Active!$H22*Tech_Specs!$S21*365.25)*10^9))</f>
        <v>3831.6809696344872</v>
      </c>
      <c r="AD169" s="540">
        <f>IF(Tech_Specs!$S21=0,0,IF(Perform_Active!$I22=0,0,(AD21)/(Perform_Active!$I22/Perform_Active!$H22*Tech_Specs!$S21*365.25)*10^9))</f>
        <v>3543.877869618952</v>
      </c>
      <c r="AE169" s="540">
        <f>IF(Tech_Specs!$S21=0,0,IF(Perform_Active!$I22=0,0,(AE21)/(Perform_Active!$I22/Perform_Active!$H22*Tech_Specs!$S21*365.25)*10^9))</f>
        <v>3278.1466838757419</v>
      </c>
      <c r="AF169" s="540">
        <f>IF(Tech_Specs!$S21=0,0,IF(Perform_Active!$I22=0,0,(AF21)/(Perform_Active!$I22/Perform_Active!$H22*Tech_Specs!$S21*365.25)*10^9))</f>
        <v>3032.7463774975649</v>
      </c>
    </row>
    <row r="170" spans="1:32" x14ac:dyDescent="0.25">
      <c r="A170" s="550"/>
      <c r="B170" s="550" t="s">
        <v>39</v>
      </c>
      <c r="C170" s="539"/>
      <c r="D170" s="539"/>
      <c r="E170" s="203"/>
      <c r="F170" s="539"/>
      <c r="G170" s="540">
        <f>IF(Tech_Specs!$S22=0,0,IF(Perform_Active!$I23=0,0,(G22)/(Perform_Active!$I23/Perform_Active!$H23*Tech_Specs!$S22*365.25)*10^9))</f>
        <v>4027.135324023985</v>
      </c>
      <c r="H170" s="540">
        <f>IF(Tech_Specs!$S22=0,0,IF(Perform_Active!$I23=0,0,(H22)/(Perform_Active!$I23/Perform_Active!$H23*Tech_Specs!$S22*365.25)*10^9))</f>
        <v>5372.8460880827006</v>
      </c>
      <c r="I170" s="540">
        <f>IF(Tech_Specs!$S22=0,0,IF(Perform_Active!$I23=0,0,(I22)/(Perform_Active!$I23/Perform_Active!$H23*Tech_Specs!$S22*365.25)*10^9))</f>
        <v>6642.7504227887703</v>
      </c>
      <c r="J170" s="540">
        <f>IF(Tech_Specs!$S22=0,0,IF(Perform_Active!$I23=0,0,(J22)/(Perform_Active!$I23/Perform_Active!$H23*Tech_Specs!$S22*365.25)*10^9))</f>
        <v>7804.7488279521103</v>
      </c>
      <c r="K170" s="540">
        <f>IF(Tech_Specs!$S22=0,0,IF(Perform_Active!$I23=0,0,(K22)/(Perform_Active!$I23/Perform_Active!$H23*Tech_Specs!$S22*365.25)*10^9))</f>
        <v>8816.6478374521193</v>
      </c>
      <c r="L170" s="540">
        <f>IF(Tech_Specs!$S22=0,0,IF(Perform_Active!$I23=0,0,(L22)/(Perform_Active!$I23/Perform_Active!$H23*Tech_Specs!$S22*365.25)*10^9))</f>
        <v>9631.0062800429077</v>
      </c>
      <c r="M170" s="540">
        <f>IF(Tech_Specs!$S22=0,0,IF(Perform_Active!$I23=0,0,(M22)/(Perform_Active!$I23/Perform_Active!$H23*Tech_Specs!$S22*365.25)*10^9))</f>
        <v>10252.317026692363</v>
      </c>
      <c r="N170" s="540">
        <f>IF(Tech_Specs!$S22=0,0,IF(Perform_Active!$I23=0,0,(N22)/(Perform_Active!$I23/Perform_Active!$H23*Tech_Specs!$S22*365.25)*10^9))</f>
        <v>10696.84918292413</v>
      </c>
      <c r="O170" s="540">
        <f>IF(Tech_Specs!$S22=0,0,IF(Perform_Active!$I23=0,0,(O22)/(Perform_Active!$I23/Perform_Active!$H23*Tech_Specs!$S22*365.25)*10^9))</f>
        <v>10985.547441433619</v>
      </c>
      <c r="P170" s="540">
        <f>IF(Tech_Specs!$S22=0,0,IF(Perform_Active!$I23=0,0,(P22)/(Perform_Active!$I23/Perform_Active!$H23*Tech_Specs!$S22*365.25)*10^9))</f>
        <v>11145.804055463657</v>
      </c>
      <c r="Q170" s="540">
        <f>IF(Tech_Specs!$S22=0,0,IF(Perform_Active!$I23=0,0,(Q22)/(Perform_Active!$I23/Perform_Active!$H23*Tech_Specs!$S22*365.25)*10^9))</f>
        <v>11199.596164436709</v>
      </c>
      <c r="R170" s="540">
        <f>IF(Tech_Specs!$S22=0,0,IF(Perform_Active!$I23=0,0,(R22)/(Perform_Active!$I23/Perform_Active!$H23*Tech_Specs!$S22*365.25)*10^9))</f>
        <v>11165.898715968542</v>
      </c>
      <c r="S170" s="540">
        <f>IF(Tech_Specs!$S22=0,0,IF(Perform_Active!$I23=0,0,(S22)/(Perform_Active!$I23/Perform_Active!$H23*Tech_Specs!$S22*365.25)*10^9))</f>
        <v>11065.716224494503</v>
      </c>
      <c r="T170" s="540">
        <f>IF(Tech_Specs!$S22=0,0,IF(Perform_Active!$I23=0,0,(T22)/(Perform_Active!$I23/Perform_Active!$H23*Tech_Specs!$S22*365.25)*10^9))</f>
        <v>10913.878521553019</v>
      </c>
      <c r="U170" s="540">
        <f>IF(Tech_Specs!$S22=0,0,IF(Perform_Active!$I23=0,0,(U22)/(Perform_Active!$I23/Perform_Active!$H23*Tech_Specs!$S22*365.25)*10^9))</f>
        <v>10722.455972901565</v>
      </c>
      <c r="V170" s="540">
        <f>IF(Tech_Specs!$S22=0,0,IF(Perform_Active!$I23=0,0,(V22)/(Perform_Active!$I23/Perform_Active!$H23*Tech_Specs!$S22*365.25)*10^9))</f>
        <v>10503.416421815722</v>
      </c>
      <c r="W170" s="540">
        <f>IF(Tech_Specs!$S22=0,0,IF(Perform_Active!$I23=0,0,(W22)/(Perform_Active!$I23/Perform_Active!$H23*Tech_Specs!$S22*365.25)*10^9))</f>
        <v>10264.124917352958</v>
      </c>
      <c r="X170" s="540">
        <f>IF(Tech_Specs!$S22=0,0,IF(Perform_Active!$I23=0,0,(X22)/(Perform_Active!$I23/Perform_Active!$H23*Tech_Specs!$S22*365.25)*10^9))</f>
        <v>10010.616893861436</v>
      </c>
      <c r="Y170" s="540">
        <f>IF(Tech_Specs!$S22=0,0,IF(Perform_Active!$I23=0,0,(Y22)/(Perform_Active!$I23/Perform_Active!$H23*Tech_Specs!$S22*365.25)*10^9))</f>
        <v>9747.8472248890794</v>
      </c>
      <c r="Z170" s="540">
        <f>IF(Tech_Specs!$S22=0,0,IF(Perform_Active!$I23=0,0,(Z22)/(Perform_Active!$I23/Perform_Active!$H23*Tech_Specs!$S22*365.25)*10^9))</f>
        <v>9480.9313298918969</v>
      </c>
      <c r="AA170" s="540">
        <f>IF(Tech_Specs!$S22=0,0,IF(Perform_Active!$I23=0,0,(AA22)/(Perform_Active!$I23/Perform_Active!$H23*Tech_Specs!$S22*365.25)*10^9))</f>
        <v>9214.2621687091978</v>
      </c>
      <c r="AB170" s="540">
        <f>IF(Tech_Specs!$S22=0,0,IF(Perform_Active!$I23=0,0,(AB22)/(Perform_Active!$I23/Perform_Active!$H23*Tech_Specs!$S22*365.25)*10^9))</f>
        <v>8950.5464173001856</v>
      </c>
      <c r="AC170" s="540">
        <f>IF(Tech_Specs!$S22=0,0,IF(Perform_Active!$I23=0,0,(AC22)/(Perform_Active!$I23/Perform_Active!$H23*Tech_Specs!$S22*365.25)*10^9))</f>
        <v>8690.4224676072863</v>
      </c>
      <c r="AD170" s="540">
        <f>IF(Tech_Specs!$S22=0,0,IF(Perform_Active!$I23=0,0,(AD22)/(Perform_Active!$I23/Perform_Active!$H23*Tech_Specs!$S22*365.25)*10^9))</f>
        <v>8435.1112749501917</v>
      </c>
      <c r="AE170" s="540">
        <f>IF(Tech_Specs!$S22=0,0,IF(Perform_Active!$I23=0,0,(AE22)/(Perform_Active!$I23/Perform_Active!$H23*Tech_Specs!$S22*365.25)*10^9))</f>
        <v>8185.2290356419271</v>
      </c>
      <c r="AF170" s="540">
        <f>IF(Tech_Specs!$S22=0,0,IF(Perform_Active!$I23=0,0,(AF22)/(Perform_Active!$I23/Perform_Active!$H23*Tech_Specs!$S22*365.25)*10^9))</f>
        <v>7939.7163635313773</v>
      </c>
    </row>
    <row r="171" spans="1:32" x14ac:dyDescent="0.25">
      <c r="A171" s="550"/>
      <c r="B171" s="550" t="s">
        <v>40</v>
      </c>
      <c r="C171" s="539"/>
      <c r="D171" s="539"/>
      <c r="E171" s="539"/>
      <c r="F171" s="539"/>
      <c r="G171" s="540">
        <f>IF(Tech_Specs!$S23=0,0,IF(Perform_Active!$I24=0,0,(G23)/(Perform_Active!$I24/Perform_Active!$H24*Tech_Specs!$S23*365.25)*10^9))</f>
        <v>0</v>
      </c>
      <c r="H171" s="540">
        <f>IF(Tech_Specs!$S23=0,0,IF(Perform_Active!$I24=0,0,(H23)/(Perform_Active!$I24/Perform_Active!$H24*Tech_Specs!$S23*365.25)*10^9))</f>
        <v>264.27111623766575</v>
      </c>
      <c r="I171" s="540">
        <f>IF(Tech_Specs!$S23=0,0,IF(Perform_Active!$I24=0,0,(I23)/(Perform_Active!$I24/Perform_Active!$H24*Tech_Specs!$S23*365.25)*10^9))</f>
        <v>592.21243731802019</v>
      </c>
      <c r="J171" s="540">
        <f>IF(Tech_Specs!$S23=0,0,IF(Perform_Active!$I24=0,0,(J23)/(Perform_Active!$I24/Perform_Active!$H24*Tech_Specs!$S23*365.25)*10^9))</f>
        <v>985.36829337360064</v>
      </c>
      <c r="K171" s="540">
        <f>IF(Tech_Specs!$S23=0,0,IF(Perform_Active!$I24=0,0,(K23)/(Perform_Active!$I24/Perform_Active!$H24*Tech_Specs!$S23*365.25)*10^9))</f>
        <v>1437.2074716793304</v>
      </c>
      <c r="L171" s="540">
        <f>IF(Tech_Specs!$S23=0,0,IF(Perform_Active!$I24=0,0,(L23)/(Perform_Active!$I24/Perform_Active!$H24*Tech_Specs!$S23*365.25)*10^9))</f>
        <v>1917.7610778582412</v>
      </c>
      <c r="M171" s="540">
        <f>IF(Tech_Specs!$S23=0,0,IF(Perform_Active!$I24=0,0,(M23)/(Perform_Active!$I24/Perform_Active!$H24*Tech_Specs!$S23*365.25)*10^9))</f>
        <v>2413.923681721858</v>
      </c>
      <c r="N171" s="540">
        <f>IF(Tech_Specs!$S23=0,0,IF(Perform_Active!$I24=0,0,(N23)/(Perform_Active!$I24/Perform_Active!$H24*Tech_Specs!$S23*365.25)*10^9))</f>
        <v>2905.5541391447373</v>
      </c>
      <c r="O171" s="540">
        <f>IF(Tech_Specs!$S23=0,0,IF(Perform_Active!$I24=0,0,(O23)/(Perform_Active!$I24/Perform_Active!$H24*Tech_Specs!$S23*365.25)*10^9))</f>
        <v>3377.0770640098253</v>
      </c>
      <c r="P171" s="540">
        <f>IF(Tech_Specs!$S23=0,0,IF(Perform_Active!$I24=0,0,(P23)/(Perform_Active!$I24/Perform_Active!$H24*Tech_Specs!$S23*365.25)*10^9))</f>
        <v>3816.1923011166864</v>
      </c>
      <c r="Q171" s="540">
        <f>IF(Tech_Specs!$S23=0,0,IF(Perform_Active!$I24=0,0,(Q23)/(Perform_Active!$I24/Perform_Active!$H24*Tech_Specs!$S23*365.25)*10^9))</f>
        <v>4213.6451172245843</v>
      </c>
      <c r="R171" s="540">
        <f>IF(Tech_Specs!$S23=0,0,IF(Perform_Active!$I24=0,0,(R23)/(Perform_Active!$I24/Perform_Active!$H24*Tech_Specs!$S23*365.25)*10^9))</f>
        <v>4563.0486624621644</v>
      </c>
      <c r="S171" s="540">
        <f>IF(Tech_Specs!$S23=0,0,IF(Perform_Active!$I24=0,0,(S23)/(Perform_Active!$I24/Perform_Active!$H24*Tech_Specs!$S23*365.25)*10^9))</f>
        <v>4863.696406764725</v>
      </c>
      <c r="T171" s="540">
        <f>IF(Tech_Specs!$S23=0,0,IF(Perform_Active!$I24=0,0,(T23)/(Perform_Active!$I24/Perform_Active!$H24*Tech_Specs!$S23*365.25)*10^9))</f>
        <v>5115.4843699484345</v>
      </c>
      <c r="U171" s="540">
        <f>IF(Tech_Specs!$S23=0,0,IF(Perform_Active!$I24=0,0,(U23)/(Perform_Active!$I24/Perform_Active!$H24*Tech_Specs!$S23*365.25)*10^9))</f>
        <v>5320.5330826938371</v>
      </c>
      <c r="V171" s="540">
        <f>IF(Tech_Specs!$S23=0,0,IF(Perform_Active!$I24=0,0,(V23)/(Perform_Active!$I24/Perform_Active!$H24*Tech_Specs!$S23*365.25)*10^9))</f>
        <v>5483.6567087776284</v>
      </c>
      <c r="W171" s="540">
        <f>IF(Tech_Specs!$S23=0,0,IF(Perform_Active!$I24=0,0,(W23)/(Perform_Active!$I24/Perform_Active!$H24*Tech_Specs!$S23*365.25)*10^9))</f>
        <v>5608.8827943098131</v>
      </c>
      <c r="X171" s="540">
        <f>IF(Tech_Specs!$S23=0,0,IF(Perform_Active!$I24=0,0,(X23)/(Perform_Active!$I24/Perform_Active!$H24*Tech_Specs!$S23*365.25)*10^9))</f>
        <v>5700.5865029883316</v>
      </c>
      <c r="Y171" s="540">
        <f>IF(Tech_Specs!$S23=0,0,IF(Perform_Active!$I24=0,0,(Y23)/(Perform_Active!$I24/Perform_Active!$H24*Tech_Specs!$S23*365.25)*10^9))</f>
        <v>5763.3198076762419</v>
      </c>
      <c r="Z171" s="540">
        <f>IF(Tech_Specs!$S23=0,0,IF(Perform_Active!$I24=0,0,(Z23)/(Perform_Active!$I24/Perform_Active!$H24*Tech_Specs!$S23*365.25)*10^9))</f>
        <v>5802.2915162736044</v>
      </c>
      <c r="AA171" s="540">
        <f>IF(Tech_Specs!$S23=0,0,IF(Perform_Active!$I24=0,0,(AA23)/(Perform_Active!$I24/Perform_Active!$H24*Tech_Specs!$S23*365.25)*10^9))</f>
        <v>5822.4118426271798</v>
      </c>
      <c r="AB171" s="540">
        <f>IF(Tech_Specs!$S23=0,0,IF(Perform_Active!$I24=0,0,(AB23)/(Perform_Active!$I24/Perform_Active!$H24*Tech_Specs!$S23*365.25)*10^9))</f>
        <v>5827.7756909335594</v>
      </c>
      <c r="AC171" s="540">
        <f>IF(Tech_Specs!$S23=0,0,IF(Perform_Active!$I24=0,0,(AC23)/(Perform_Active!$I24/Perform_Active!$H24*Tech_Specs!$S23*365.25)*10^9))</f>
        <v>5819.8681469118601</v>
      </c>
      <c r="AD171" s="540">
        <f>IF(Tech_Specs!$S23=0,0,IF(Perform_Active!$I24=0,0,(AD23)/(Perform_Active!$I24/Perform_Active!$H24*Tech_Specs!$S23*365.25)*10^9))</f>
        <v>5801.0279440958438</v>
      </c>
      <c r="AE171" s="540">
        <f>IF(Tech_Specs!$S23=0,0,IF(Perform_Active!$I24=0,0,(AE23)/(Perform_Active!$I24/Perform_Active!$H24*Tech_Specs!$S23*365.25)*10^9))</f>
        <v>5773.0633754217424</v>
      </c>
      <c r="AF171" s="540">
        <f>IF(Tech_Specs!$S23=0,0,IF(Perform_Active!$I24=0,0,(AF23)/(Perform_Active!$I24/Perform_Active!$H24*Tech_Specs!$S23*365.25)*10^9))</f>
        <v>5736.6522085906663</v>
      </c>
    </row>
    <row r="172" spans="1:32" x14ac:dyDescent="0.25">
      <c r="A172" s="550"/>
      <c r="B172" s="550" t="s">
        <v>29</v>
      </c>
      <c r="C172" s="539"/>
      <c r="D172" s="539"/>
      <c r="E172" s="539"/>
      <c r="F172" s="539"/>
      <c r="G172" s="540">
        <f>IF(Tech_Specs!$S24=0,0,IF(Perform_Active!$I25=0,0,(G24)/(Perform_Active!$I25/Perform_Active!$H25*Tech_Specs!$S24*365.25)*10^9))</f>
        <v>0</v>
      </c>
      <c r="H172" s="540">
        <f>IF(Tech_Specs!$S24=0,0,IF(Perform_Active!$I25=0,0,(H24)/(Perform_Active!$I25/Perform_Active!$H25*Tech_Specs!$S24*365.25)*10^9))</f>
        <v>3.4727204109571454E-2</v>
      </c>
      <c r="I172" s="540">
        <f>IF(Tech_Specs!$S24=0,0,IF(Perform_Active!$I25=0,0,(I24)/(Perform_Active!$I25/Perform_Active!$H25*Tech_Specs!$S24*365.25)*10^9))</f>
        <v>0.86815516815537486</v>
      </c>
      <c r="J172" s="540">
        <f>IF(Tech_Specs!$S24=0,0,IF(Perform_Active!$I25=0,0,(J24)/(Perform_Active!$I25/Perform_Active!$H25*Tech_Specs!$S24*365.25)*10^9))</f>
        <v>6.2069060095743431</v>
      </c>
      <c r="K172" s="540">
        <f>IF(Tech_Specs!$S24=0,0,IF(Perform_Active!$I25=0,0,(K24)/(Perform_Active!$I25/Perform_Active!$H25*Tech_Specs!$S24*365.25)*10^9))</f>
        <v>24.147049056699732</v>
      </c>
      <c r="L172" s="540">
        <f>IF(Tech_Specs!$S24=0,0,IF(Perform_Active!$I25=0,0,(L24)/(Perform_Active!$I25/Perform_Active!$H25*Tech_Specs!$S24*365.25)*10^9))</f>
        <v>65.992028158774716</v>
      </c>
      <c r="M172" s="540">
        <f>IF(Tech_Specs!$S24=0,0,IF(Perform_Active!$I25=0,0,(M24)/(Perform_Active!$I25/Perform_Active!$H25*Tech_Specs!$S24*365.25)*10^9))</f>
        <v>144.39835119620406</v>
      </c>
      <c r="N172" s="540">
        <f>IF(Tech_Specs!$S24=0,0,IF(Perform_Active!$I25=0,0,(N24)/(Perform_Active!$I25/Perform_Active!$H25*Tech_Specs!$S24*365.25)*10^9))</f>
        <v>269.37537432695774</v>
      </c>
      <c r="O172" s="540">
        <f>IF(Tech_Specs!$S24=0,0,IF(Perform_Active!$I25=0,0,(O24)/(Perform_Active!$I25/Perform_Active!$H25*Tech_Specs!$S24*365.25)*10^9))</f>
        <v>448.27532802419688</v>
      </c>
      <c r="P172" s="540">
        <f>IF(Tech_Specs!$S24=0,0,IF(Perform_Active!$I25=0,0,(P24)/(Perform_Active!$I25/Perform_Active!$H25*Tech_Specs!$S24*365.25)*10^9))</f>
        <v>684.8791851914898</v>
      </c>
      <c r="Q172" s="540">
        <f>IF(Tech_Specs!$S24=0,0,IF(Perform_Active!$I25=0,0,(Q24)/(Perform_Active!$I25/Perform_Active!$H25*Tech_Specs!$S24*365.25)*10^9))</f>
        <v>980.87649231987314</v>
      </c>
      <c r="R172" s="540">
        <f>IF(Tech_Specs!$S24=0,0,IF(Perform_Active!$I25=0,0,(R24)/(Perform_Active!$I25/Perform_Active!$H25*Tech_Specs!$S24*365.25)*10^9))</f>
        <v>1332.8497479863613</v>
      </c>
      <c r="S172" s="540">
        <f>IF(Tech_Specs!$S24=0,0,IF(Perform_Active!$I25=0,0,(S24)/(Perform_Active!$I25/Perform_Active!$H25*Tech_Specs!$S24*365.25)*10^9))</f>
        <v>1738.571982355845</v>
      </c>
      <c r="T172" s="540">
        <f>IF(Tech_Specs!$S24=0,0,IF(Perform_Active!$I25=0,0,(T24)/(Perform_Active!$I25/Perform_Active!$H25*Tech_Specs!$S24*365.25)*10^9))</f>
        <v>2192.5762629758269</v>
      </c>
      <c r="U172" s="540">
        <f>IF(Tech_Specs!$S24=0,0,IF(Perform_Active!$I25=0,0,(U24)/(Perform_Active!$I25/Perform_Active!$H25*Tech_Specs!$S24*365.25)*10^9))</f>
        <v>2688.2283225772053</v>
      </c>
      <c r="V172" s="540">
        <f>IF(Tech_Specs!$S24=0,0,IF(Perform_Active!$I25=0,0,(V24)/(Perform_Active!$I25/Perform_Active!$H25*Tech_Specs!$S24*365.25)*10^9))</f>
        <v>3218.65182520393</v>
      </c>
      <c r="W172" s="540">
        <f>IF(Tech_Specs!$S24=0,0,IF(Perform_Active!$I25=0,0,(W24)/(Perform_Active!$I25/Perform_Active!$H25*Tech_Specs!$S24*365.25)*10^9))</f>
        <v>3775.4322411084713</v>
      </c>
      <c r="X172" s="540">
        <f>IF(Tech_Specs!$S24=0,0,IF(Perform_Active!$I25=0,0,(X24)/(Perform_Active!$I25/Perform_Active!$H25*Tech_Specs!$S24*365.25)*10^9))</f>
        <v>4350.0274172287827</v>
      </c>
      <c r="Y172" s="540">
        <f>IF(Tech_Specs!$S24=0,0,IF(Perform_Active!$I25=0,0,(Y24)/(Perform_Active!$I25/Perform_Active!$H25*Tech_Specs!$S24*365.25)*10^9))</f>
        <v>4935.2111019913218</v>
      </c>
      <c r="Z172" s="540">
        <f>IF(Tech_Specs!$S24=0,0,IF(Perform_Active!$I25=0,0,(Z24)/(Perform_Active!$I25/Perform_Active!$H25*Tech_Specs!$S24*365.25)*10^9))</f>
        <v>5526.3932769930007</v>
      </c>
      <c r="AA172" s="540">
        <f>IF(Tech_Specs!$S24=0,0,IF(Perform_Active!$I25=0,0,(AA24)/(Perform_Active!$I25/Perform_Active!$H25*Tech_Specs!$S24*365.25)*10^9))</f>
        <v>6120.5074427736563</v>
      </c>
      <c r="AB172" s="540">
        <f>IF(Tech_Specs!$S24=0,0,IF(Perform_Active!$I25=0,0,(AB24)/(Perform_Active!$I25/Perform_Active!$H25*Tech_Specs!$S24*365.25)*10^9))</f>
        <v>6717.5946338825661</v>
      </c>
      <c r="AC172" s="540">
        <f>IF(Tech_Specs!$S24=0,0,IF(Perform_Active!$I25=0,0,(AC24)/(Perform_Active!$I25/Perform_Active!$H25*Tech_Specs!$S24*365.25)*10^9))</f>
        <v>7309.9684648050888</v>
      </c>
      <c r="AD172" s="540">
        <f>IF(Tech_Specs!$S24=0,0,IF(Perform_Active!$I25=0,0,(AD24)/(Perform_Active!$I25/Perform_Active!$H25*Tech_Specs!$S24*365.25)*10^9))</f>
        <v>7895.2514773519915</v>
      </c>
      <c r="AE172" s="540">
        <f>IF(Tech_Specs!$S24=0,0,IF(Perform_Active!$I25=0,0,(AE24)/(Perform_Active!$I25/Perform_Active!$H25*Tech_Specs!$S24*365.25)*10^9))</f>
        <v>8471.8437856470882</v>
      </c>
      <c r="AF172" s="540">
        <f>IF(Tech_Specs!$S24=0,0,IF(Perform_Active!$I25=0,0,(AF24)/(Perform_Active!$I25/Perform_Active!$H25*Tech_Specs!$S24*365.25)*10^9))</f>
        <v>9040.0987459597309</v>
      </c>
    </row>
    <row r="173" spans="1:32" x14ac:dyDescent="0.25">
      <c r="A173" s="550"/>
      <c r="B173" s="550"/>
      <c r="C173" s="539"/>
      <c r="D173" s="539"/>
      <c r="E173" s="539"/>
      <c r="F173" s="539"/>
      <c r="G173" s="540"/>
      <c r="H173" s="540"/>
      <c r="I173" s="540"/>
      <c r="J173" s="540"/>
      <c r="K173" s="540"/>
      <c r="L173" s="540"/>
      <c r="M173" s="540"/>
      <c r="N173" s="540"/>
      <c r="O173" s="540"/>
      <c r="P173" s="540"/>
      <c r="Q173" s="540"/>
      <c r="R173" s="540"/>
      <c r="S173" s="540"/>
      <c r="T173" s="540"/>
      <c r="U173" s="540"/>
      <c r="V173" s="540"/>
      <c r="W173" s="540"/>
      <c r="X173" s="540"/>
      <c r="Y173" s="540"/>
      <c r="Z173" s="540"/>
      <c r="AA173" s="540"/>
      <c r="AB173" s="540"/>
      <c r="AC173" s="540"/>
      <c r="AD173" s="540"/>
      <c r="AE173" s="540"/>
      <c r="AF173" s="540"/>
    </row>
    <row r="174" spans="1:32" s="202" customFormat="1" ht="12.75" x14ac:dyDescent="0.2">
      <c r="A174" s="556" t="s">
        <v>42</v>
      </c>
      <c r="B174" s="556"/>
      <c r="C174" s="556"/>
      <c r="D174" s="556"/>
      <c r="E174" s="556"/>
      <c r="F174" s="556"/>
      <c r="G174" s="547"/>
      <c r="H174" s="547"/>
      <c r="I174" s="547"/>
      <c r="J174" s="547"/>
      <c r="K174" s="547"/>
      <c r="L174" s="547"/>
      <c r="M174" s="547"/>
      <c r="N174" s="547"/>
      <c r="O174" s="547"/>
      <c r="P174" s="547"/>
      <c r="Q174" s="547"/>
      <c r="R174" s="547"/>
      <c r="S174" s="547"/>
      <c r="T174" s="547"/>
      <c r="U174" s="547"/>
      <c r="V174" s="547"/>
      <c r="W174" s="547"/>
      <c r="X174" s="547"/>
      <c r="Y174" s="547"/>
      <c r="Z174" s="547"/>
      <c r="AA174" s="547"/>
      <c r="AB174" s="547"/>
      <c r="AC174" s="547"/>
      <c r="AD174" s="547"/>
      <c r="AE174" s="547"/>
      <c r="AF174" s="547"/>
    </row>
    <row r="175" spans="1:32" x14ac:dyDescent="0.25">
      <c r="A175" s="550"/>
      <c r="B175" s="552" t="s">
        <v>43</v>
      </c>
      <c r="C175" s="539"/>
      <c r="D175" s="539"/>
      <c r="E175" s="539"/>
      <c r="F175" s="539"/>
      <c r="G175" s="540">
        <f>IF(Tech_Specs!$S27=0,0,IF(Perform_Active!$I28=0,0,(G27)/(Perform_Active!$I28/Perform_Active!$H28*Tech_Specs!$S27*365.25)*10^9))</f>
        <v>8.0346905845822167</v>
      </c>
      <c r="H175" s="540">
        <f>IF(Tech_Specs!$S27=0,0,IF(Perform_Active!$I28=0,0,(H27)/(Perform_Active!$I28/Perform_Active!$H28*Tech_Specs!$S27*365.25)*10^9))</f>
        <v>7.6194167349772339</v>
      </c>
      <c r="I175" s="540">
        <f>IF(Tech_Specs!$S27=0,0,IF(Perform_Active!$I28=0,0,(I27)/(Perform_Active!$I28/Perform_Active!$H28*Tech_Specs!$S27*365.25)*10^9))</f>
        <v>7.2298776516736876</v>
      </c>
      <c r="J175" s="540">
        <f>IF(Tech_Specs!$S27=0,0,IF(Perform_Active!$I28=0,0,(J27)/(Perform_Active!$I28/Perform_Active!$H28*Tech_Specs!$S27*365.25)*10^9))</f>
        <v>6.8636309555460455</v>
      </c>
      <c r="K175" s="540">
        <f>IF(Tech_Specs!$S27=0,0,IF(Perform_Active!$I28=0,0,(K27)/(Perform_Active!$I28/Perform_Active!$H28*Tech_Specs!$S27*365.25)*10^9))</f>
        <v>6.517911034353947</v>
      </c>
      <c r="L175" s="540">
        <f>IF(Tech_Specs!$S27=0,0,IF(Perform_Active!$I28=0,0,(L27)/(Perform_Active!$I28/Perform_Active!$H28*Tech_Specs!$S27*365.25)*10^9))</f>
        <v>6.1915286945347328</v>
      </c>
      <c r="M175" s="540">
        <f>IF(Tech_Specs!$S27=0,0,IF(Perform_Active!$I28=0,0,(M27)/(Perform_Active!$I28/Perform_Active!$H28*Tech_Specs!$S27*365.25)*10^9))</f>
        <v>5.8829483498158019</v>
      </c>
      <c r="N175" s="540">
        <f>IF(Tech_Specs!$S27=0,0,IF(Perform_Active!$I28=0,0,(N27)/(Perform_Active!$I28/Perform_Active!$H28*Tech_Specs!$S27*365.25)*10^9))</f>
        <v>5.5907729067841894</v>
      </c>
      <c r="O175" s="540">
        <f>IF(Tech_Specs!$S27=0,0,IF(Perform_Active!$I28=0,0,(O27)/(Perform_Active!$I28/Perform_Active!$H28*Tech_Specs!$S27*365.25)*10^9))</f>
        <v>5.3141170291355984</v>
      </c>
      <c r="P175" s="540">
        <f>IF(Tech_Specs!$S27=0,0,IF(Perform_Active!$I28=0,0,(P27)/(Perform_Active!$I28/Perform_Active!$H28*Tech_Specs!$S27*365.25)*10^9))</f>
        <v>5.0522555096513235</v>
      </c>
      <c r="Q175" s="540">
        <f>IF(Tech_Specs!$S27=0,0,IF(Perform_Active!$I28=0,0,(Q27)/(Perform_Active!$I28/Perform_Active!$H28*Tech_Specs!$S27*365.25)*10^9))</f>
        <v>4.8045152866634346</v>
      </c>
      <c r="R175" s="540">
        <f>IF(Tech_Specs!$S27=0,0,IF(Perform_Active!$I28=0,0,(R27)/(Perform_Active!$I28/Perform_Active!$H28*Tech_Specs!$S27*365.25)*10^9))</f>
        <v>4.5701824014841277</v>
      </c>
      <c r="S175" s="540">
        <f>IF(Tech_Specs!$S27=0,0,IF(Perform_Active!$I28=0,0,(S27)/(Perform_Active!$I28/Perform_Active!$H28*Tech_Specs!$S27*365.25)*10^9))</f>
        <v>4.3489813628672449</v>
      </c>
      <c r="T175" s="540">
        <f>IF(Tech_Specs!$S27=0,0,IF(Perform_Active!$I28=0,0,(T27)/(Perform_Active!$I28/Perform_Active!$H28*Tech_Specs!$S27*365.25)*10^9))</f>
        <v>4.1404223538519132</v>
      </c>
      <c r="U175" s="540">
        <f>IF(Tech_Specs!$S27=0,0,IF(Perform_Active!$I28=0,0,(U27)/(Perform_Active!$I28/Perform_Active!$H28*Tech_Specs!$S27*365.25)*10^9))</f>
        <v>3.9440201706984372</v>
      </c>
      <c r="V175" s="540">
        <f>IF(Tech_Specs!$S27=0,0,IF(Perform_Active!$I28=0,0,(V27)/(Perform_Active!$I28/Perform_Active!$H28*Tech_Specs!$S27*365.25)*10^9))</f>
        <v>3.7593868072212495</v>
      </c>
      <c r="W175" s="540">
        <f>IF(Tech_Specs!$S27=0,0,IF(Perform_Active!$I28=0,0,(W27)/(Perform_Active!$I28/Perform_Active!$H28*Tech_Specs!$S27*365.25)*10^9))</f>
        <v>3.5859383016083806</v>
      </c>
      <c r="X175" s="540">
        <f>IF(Tech_Specs!$S27=0,0,IF(Perform_Active!$I28=0,0,(X27)/(Perform_Active!$I28/Perform_Active!$H28*Tech_Specs!$S27*365.25)*10^9))</f>
        <v>3.4230687057172071</v>
      </c>
      <c r="Y175" s="540">
        <f>IF(Tech_Specs!$S27=0,0,IF(Perform_Active!$I28=0,0,(Y27)/(Perform_Active!$I28/Perform_Active!$H28*Tech_Specs!$S27*365.25)*10^9))</f>
        <v>3.2702036488984452</v>
      </c>
      <c r="Z175" s="540">
        <f>IF(Tech_Specs!$S27=0,0,IF(Perform_Active!$I28=0,0,(Z27)/(Perform_Active!$I28/Perform_Active!$H28*Tech_Specs!$S27*365.25)*10^9))</f>
        <v>3.1268962287914488</v>
      </c>
      <c r="AA175" s="540">
        <f>IF(Tech_Specs!$S27=0,0,IF(Perform_Active!$I28=0,0,(AA27)/(Perform_Active!$I28/Perform_Active!$H28*Tech_Specs!$S27*365.25)*10^9))</f>
        <v>2.9927375276218755</v>
      </c>
      <c r="AB175" s="540">
        <f>IF(Tech_Specs!$S27=0,0,IF(Perform_Active!$I28=0,0,(AB27)/(Perform_Active!$I28/Perform_Active!$H28*Tech_Specs!$S27*365.25)*10^9))</f>
        <v>2.8673764649595763</v>
      </c>
      <c r="AC175" s="540">
        <f>IF(Tech_Specs!$S27=0,0,IF(Perform_Active!$I28=0,0,(AC27)/(Perform_Active!$I28/Perform_Active!$H28*Tech_Specs!$S27*365.25)*10^9))</f>
        <v>2.7500731625471082</v>
      </c>
      <c r="AD175" s="540">
        <f>IF(Tech_Specs!$S27=0,0,IF(Perform_Active!$I28=0,0,(AD27)/(Perform_Active!$I28/Perform_Active!$H28*Tech_Specs!$S27*365.25)*10^9))</f>
        <v>2.6403402370754927</v>
      </c>
      <c r="AE175" s="540">
        <f>IF(Tech_Specs!$S27=0,0,IF(Perform_Active!$I28=0,0,(AE27)/(Perform_Active!$I28/Perform_Active!$H28*Tech_Specs!$S27*365.25)*10^9))</f>
        <v>2.5377093482905906</v>
      </c>
      <c r="AF175" s="540">
        <f>IF(Tech_Specs!$S27=0,0,IF(Perform_Active!$I28=0,0,(AF27)/(Perform_Active!$I28/Perform_Active!$H28*Tech_Specs!$S27*365.25)*10^9))</f>
        <v>2.4417251125143014</v>
      </c>
    </row>
    <row r="176" spans="1:32" x14ac:dyDescent="0.25">
      <c r="A176" s="550"/>
      <c r="B176" s="552" t="s">
        <v>44</v>
      </c>
      <c r="C176" s="539"/>
      <c r="D176" s="539"/>
      <c r="E176" s="539"/>
      <c r="F176" s="539"/>
      <c r="G176" s="540">
        <f>IF(Tech_Specs!$S28=0,0,IF(Perform_Active!$I29=0,0,(G28)/(Perform_Active!$I29/Perform_Active!$H29*Tech_Specs!$S28*365.25)*10^9))</f>
        <v>1.7551508558553384</v>
      </c>
      <c r="H176" s="540">
        <f>IF(Tech_Specs!$S28=0,0,IF(Perform_Active!$I29=0,0,(H28)/(Perform_Active!$I29/Perform_Active!$H29*Tech_Specs!$S28*365.25)*10^9))</f>
        <v>12.452713543229018</v>
      </c>
      <c r="I176" s="540">
        <f>IF(Tech_Specs!$S28=0,0,IF(Perform_Active!$I29=0,0,(I28)/(Perform_Active!$I29/Perform_Active!$H29*Tech_Specs!$S28*365.25)*10^9))</f>
        <v>22.430333854244232</v>
      </c>
      <c r="J176" s="540">
        <f>IF(Tech_Specs!$S28=0,0,IF(Perform_Active!$I29=0,0,(J28)/(Perform_Active!$I29/Perform_Active!$H29*Tech_Specs!$S28*365.25)*10^9))</f>
        <v>31.629286497606262</v>
      </c>
      <c r="K176" s="540">
        <f>IF(Tech_Specs!$S28=0,0,IF(Perform_Active!$I29=0,0,(K28)/(Perform_Active!$I29/Perform_Active!$H29*Tech_Specs!$S28*365.25)*10^9))</f>
        <v>39.927594383449595</v>
      </c>
      <c r="L176" s="540">
        <f>IF(Tech_Specs!$S28=0,0,IF(Perform_Active!$I29=0,0,(L28)/(Perform_Active!$I29/Perform_Active!$H29*Tech_Specs!$S28*365.25)*10^9))</f>
        <v>47.398828606997171</v>
      </c>
      <c r="M176" s="540">
        <f>IF(Tech_Specs!$S28=0,0,IF(Perform_Active!$I29=0,0,(M28)/(Perform_Active!$I29/Perform_Active!$H29*Tech_Specs!$S28*365.25)*10^9))</f>
        <v>54.057333141462685</v>
      </c>
      <c r="N176" s="540">
        <f>IF(Tech_Specs!$S28=0,0,IF(Perform_Active!$I29=0,0,(N28)/(Perform_Active!$I29/Perform_Active!$H29*Tech_Specs!$S28*365.25)*10^9))</f>
        <v>59.9177486472</v>
      </c>
      <c r="O176" s="540">
        <f>IF(Tech_Specs!$S28=0,0,IF(Perform_Active!$I29=0,0,(O28)/(Perform_Active!$I29/Perform_Active!$H29*Tech_Specs!$S28*365.25)*10^9))</f>
        <v>65.052301304247806</v>
      </c>
      <c r="P176" s="540">
        <f>IF(Tech_Specs!$S28=0,0,IF(Perform_Active!$I29=0,0,(P28)/(Perform_Active!$I29/Perform_Active!$H29*Tech_Specs!$S28*365.25)*10^9))</f>
        <v>69.542326124567211</v>
      </c>
      <c r="Q176" s="540">
        <f>IF(Tech_Specs!$S28=0,0,IF(Perform_Active!$I29=0,0,(Q28)/(Perform_Active!$I29/Perform_Active!$H29*Tech_Specs!$S28*365.25)*10^9))</f>
        <v>73.465958590854669</v>
      </c>
      <c r="R176" s="540">
        <f>IF(Tech_Specs!$S28=0,0,IF(Perform_Active!$I29=0,0,(R28)/(Perform_Active!$I29/Perform_Active!$H29*Tech_Specs!$S28*365.25)*10^9))</f>
        <v>76.88468856304749</v>
      </c>
      <c r="S176" s="540">
        <f>IF(Tech_Specs!$S28=0,0,IF(Perform_Active!$I29=0,0,(S28)/(Perform_Active!$I29/Perform_Active!$H29*Tech_Specs!$S28*365.25)*10^9))</f>
        <v>79.909548379912991</v>
      </c>
      <c r="T176" s="540">
        <f>IF(Tech_Specs!$S28=0,0,IF(Perform_Active!$I29=0,0,(T28)/(Perform_Active!$I29/Perform_Active!$H29*Tech_Specs!$S28*365.25)*10^9))</f>
        <v>82.612558173554987</v>
      </c>
      <c r="U176" s="540">
        <f>IF(Tech_Specs!$S28=0,0,IF(Perform_Active!$I29=0,0,(U28)/(Perform_Active!$I29/Perform_Active!$H29*Tech_Specs!$S28*365.25)*10^9))</f>
        <v>85.05751137304307</v>
      </c>
      <c r="V176" s="540">
        <f>IF(Tech_Specs!$S28=0,0,IF(Perform_Active!$I29=0,0,(V28)/(Perform_Active!$I29/Perform_Active!$H29*Tech_Specs!$S28*365.25)*10^9))</f>
        <v>87.312815473466586</v>
      </c>
      <c r="W176" s="540">
        <f>IF(Tech_Specs!$S28=0,0,IF(Perform_Active!$I29=0,0,(W28)/(Perform_Active!$I29/Perform_Active!$H29*Tech_Specs!$S28*365.25)*10^9))</f>
        <v>89.412389963146623</v>
      </c>
      <c r="X176" s="540">
        <f>IF(Tech_Specs!$S28=0,0,IF(Perform_Active!$I29=0,0,(X28)/(Perform_Active!$I29/Perform_Active!$H29*Tech_Specs!$S28*365.25)*10^9))</f>
        <v>91.379672031569399</v>
      </c>
      <c r="Y176" s="540">
        <f>IF(Tech_Specs!$S28=0,0,IF(Perform_Active!$I29=0,0,(Y28)/(Perform_Active!$I29/Perform_Active!$H29*Tech_Specs!$S28*365.25)*10^9))</f>
        <v>93.235615766962638</v>
      </c>
      <c r="Z176" s="540">
        <f>IF(Tech_Specs!$S28=0,0,IF(Perform_Active!$I29=0,0,(Z28)/(Perform_Active!$I29/Perform_Active!$H29*Tech_Specs!$S28*365.25)*10^9))</f>
        <v>95.0121945527939</v>
      </c>
      <c r="AA176" s="540">
        <f>IF(Tech_Specs!$S28=0,0,IF(Perform_Active!$I29=0,0,(AA28)/(Perform_Active!$I29/Perform_Active!$H29*Tech_Specs!$S28*365.25)*10^9))</f>
        <v>96.74055934611394</v>
      </c>
      <c r="AB176" s="540">
        <f>IF(Tech_Specs!$S28=0,0,IF(Perform_Active!$I29=0,0,(AB28)/(Perform_Active!$I29/Perform_Active!$H29*Tech_Specs!$S28*365.25)*10^9))</f>
        <v>98.454791189543684</v>
      </c>
      <c r="AC176" s="540">
        <f>IF(Tech_Specs!$S28=0,0,IF(Perform_Active!$I29=0,0,(AC28)/(Perform_Active!$I29/Perform_Active!$H29*Tech_Specs!$S28*365.25)*10^9))</f>
        <v>100.12927394848676</v>
      </c>
      <c r="AD176" s="540">
        <f>IF(Tech_Specs!$S28=0,0,IF(Perform_Active!$I29=0,0,(AD28)/(Perform_Active!$I29/Perform_Active!$H29*Tech_Specs!$S28*365.25)*10^9))</f>
        <v>101.76866563129285</v>
      </c>
      <c r="AE176" s="540">
        <f>IF(Tech_Specs!$S28=0,0,IF(Perform_Active!$I29=0,0,(AE28)/(Perform_Active!$I29/Perform_Active!$H29*Tech_Specs!$S28*365.25)*10^9))</f>
        <v>103.37578316825272</v>
      </c>
      <c r="AF176" s="540">
        <f>IF(Tech_Specs!$S28=0,0,IF(Perform_Active!$I29=0,0,(AF28)/(Perform_Active!$I29/Perform_Active!$H29*Tech_Specs!$S28*365.25)*10^9))</f>
        <v>104.95176535565149</v>
      </c>
    </row>
    <row r="177" spans="1:32" x14ac:dyDescent="0.25">
      <c r="A177" s="550"/>
      <c r="B177" s="552" t="s">
        <v>45</v>
      </c>
      <c r="C177" s="539"/>
      <c r="D177" s="539"/>
      <c r="E177" s="539"/>
      <c r="F177" s="539"/>
      <c r="G177" s="540">
        <f>IF(Tech_Specs!$S29=0,0,IF(Perform_Active!$I30=0,0,(G29)/(Perform_Active!$I30/Perform_Active!$H30*Tech_Specs!$S29*365.25)*10^9))</f>
        <v>46.140965832819226</v>
      </c>
      <c r="H177" s="540">
        <f>IF(Tech_Specs!$S29=0,0,IF(Perform_Active!$I30=0,0,(H29)/(Perform_Active!$I30/Perform_Active!$H30*Tech_Specs!$S29*365.25)*10^9))</f>
        <v>43.328749423096845</v>
      </c>
      <c r="I177" s="540">
        <f>IF(Tech_Specs!$S29=0,0,IF(Perform_Active!$I30=0,0,(I29)/(Perform_Active!$I30/Perform_Active!$H30*Tech_Specs!$S29*365.25)*10^9))</f>
        <v>40.693104228783945</v>
      </c>
      <c r="J177" s="540">
        <f>IF(Tech_Specs!$S29=0,0,IF(Perform_Active!$I30=0,0,(J29)/(Perform_Active!$I30/Perform_Active!$H30*Tech_Specs!$S29*365.25)*10^9))</f>
        <v>38.22242850843223</v>
      </c>
      <c r="K177" s="540">
        <f>IF(Tech_Specs!$S29=0,0,IF(Perform_Active!$I30=0,0,(K29)/(Perform_Active!$I30/Perform_Active!$H30*Tech_Specs!$S29*365.25)*10^9))</f>
        <v>35.90574867120727</v>
      </c>
      <c r="L177" s="540">
        <f>IF(Tech_Specs!$S29=0,0,IF(Perform_Active!$I30=0,0,(L29)/(Perform_Active!$I30/Perform_Active!$H30*Tech_Specs!$S29*365.25)*10^9))</f>
        <v>33.733210977139443</v>
      </c>
      <c r="M177" s="540">
        <f>IF(Tech_Specs!$S29=0,0,IF(Perform_Active!$I30=0,0,(M29)/(Perform_Active!$I30/Perform_Active!$H30*Tech_Specs!$S29*365.25)*10^9))</f>
        <v>31.695500927249594</v>
      </c>
      <c r="N177" s="540">
        <f>IF(Tech_Specs!$S29=0,0,IF(Perform_Active!$I30=0,0,(N29)/(Perform_Active!$I30/Perform_Active!$H30*Tech_Specs!$S29*365.25)*10^9))</f>
        <v>29.783917406299434</v>
      </c>
      <c r="O177" s="540">
        <f>IF(Tech_Specs!$S29=0,0,IF(Perform_Active!$I30=0,0,(O29)/(Perform_Active!$I30/Perform_Active!$H30*Tech_Specs!$S29*365.25)*10^9))</f>
        <v>27.990455672525041</v>
      </c>
      <c r="P177" s="540">
        <f>IF(Tech_Specs!$S29=0,0,IF(Perform_Active!$I30=0,0,(P29)/(Perform_Active!$I30/Perform_Active!$H30*Tech_Specs!$S29*365.25)*10^9))</f>
        <v>26.307665091649994</v>
      </c>
      <c r="Q177" s="540">
        <f>IF(Tech_Specs!$S29=0,0,IF(Perform_Active!$I30=0,0,(Q29)/(Perform_Active!$I30/Perform_Active!$H30*Tech_Specs!$S29*365.25)*10^9))</f>
        <v>24.728588176831245</v>
      </c>
      <c r="R177" s="540">
        <f>IF(Tech_Specs!$S29=0,0,IF(Perform_Active!$I30=0,0,(R29)/(Perform_Active!$I30/Perform_Active!$H30*Tech_Specs!$S29*365.25)*10^9))</f>
        <v>23.246697517304277</v>
      </c>
      <c r="S177" s="540">
        <f>IF(Tech_Specs!$S29=0,0,IF(Perform_Active!$I30=0,0,(S29)/(Perform_Active!$I30/Perform_Active!$H30*Tech_Specs!$S29*365.25)*10^9))</f>
        <v>21.856003513411903</v>
      </c>
      <c r="T177" s="540">
        <f>IF(Tech_Specs!$S29=0,0,IF(Perform_Active!$I30=0,0,(T29)/(Perform_Active!$I30/Perform_Active!$H30*Tech_Specs!$S29*365.25)*10^9))</f>
        <v>20.550839138745602</v>
      </c>
      <c r="U177" s="540">
        <f>IF(Tech_Specs!$S29=0,0,IF(Perform_Active!$I30=0,0,(U29)/(Perform_Active!$I30/Perform_Active!$H30*Tech_Specs!$S29*365.25)*10^9))</f>
        <v>19.325897746146929</v>
      </c>
      <c r="V177" s="540">
        <f>IF(Tech_Specs!$S29=0,0,IF(Perform_Active!$I30=0,0,(V29)/(Perform_Active!$I30/Perform_Active!$H30*Tech_Specs!$S29*365.25)*10^9))</f>
        <v>18.17623451793639</v>
      </c>
      <c r="W177" s="540">
        <f>IF(Tech_Specs!$S29=0,0,IF(Perform_Active!$I30=0,0,(W29)/(Perform_Active!$I30/Perform_Active!$H30*Tech_Specs!$S29*365.25)*10^9))</f>
        <v>17.097161218787271</v>
      </c>
      <c r="X177" s="540">
        <f>IF(Tech_Specs!$S29=0,0,IF(Perform_Active!$I30=0,0,(X29)/(Perform_Active!$I30/Perform_Active!$H30*Tech_Specs!$S29*365.25)*10^9))</f>
        <v>16.084274553579775</v>
      </c>
      <c r="Y177" s="540">
        <f>IF(Tech_Specs!$S29=0,0,IF(Perform_Active!$I30=0,0,(Y29)/(Perform_Active!$I30/Perform_Active!$H30*Tech_Specs!$S29*365.25)*10^9))</f>
        <v>15.133452680141588</v>
      </c>
      <c r="Z177" s="540">
        <f>IF(Tech_Specs!$S29=0,0,IF(Perform_Active!$I30=0,0,(Z29)/(Perform_Active!$I30/Perform_Active!$H30*Tech_Specs!$S29*365.25)*10^9))</f>
        <v>14.240864450287097</v>
      </c>
      <c r="AA177" s="540">
        <f>IF(Tech_Specs!$S29=0,0,IF(Perform_Active!$I30=0,0,(AA29)/(Perform_Active!$I30/Perform_Active!$H30*Tech_Specs!$S29*365.25)*10^9))</f>
        <v>13.402926859459514</v>
      </c>
      <c r="AB177" s="540">
        <f>IF(Tech_Specs!$S29=0,0,IF(Perform_Active!$I30=0,0,(AB29)/(Perform_Active!$I30/Perform_Active!$H30*Tech_Specs!$S29*365.25)*10^9))</f>
        <v>12.616296761341864</v>
      </c>
      <c r="AC177" s="540">
        <f>IF(Tech_Specs!$S29=0,0,IF(Perform_Active!$I30=0,0,(AC29)/(Perform_Active!$I30/Perform_Active!$H30*Tech_Specs!$S29*365.25)*10^9))</f>
        <v>11.877723447547492</v>
      </c>
      <c r="AD177" s="540">
        <f>IF(Tech_Specs!$S29=0,0,IF(Perform_Active!$I30=0,0,(AD29)/(Perform_Active!$I30/Perform_Active!$H30*Tech_Specs!$S29*365.25)*10^9))</f>
        <v>11.184223730592045</v>
      </c>
      <c r="AE177" s="540">
        <f>IF(Tech_Specs!$S29=0,0,IF(Perform_Active!$I30=0,0,(AE29)/(Perform_Active!$I30/Perform_Active!$H30*Tech_Specs!$S29*365.25)*10^9))</f>
        <v>10.533001068014906</v>
      </c>
      <c r="AF177" s="540">
        <f>IF(Tech_Specs!$S29=0,0,IF(Perform_Active!$I30=0,0,(AF29)/(Perform_Active!$I30/Perform_Active!$H30*Tech_Specs!$S29*365.25)*10^9))</f>
        <v>9.9214337890677609</v>
      </c>
    </row>
    <row r="178" spans="1:32" x14ac:dyDescent="0.25">
      <c r="A178" s="550"/>
      <c r="B178" s="552" t="s">
        <v>46</v>
      </c>
      <c r="C178" s="539"/>
      <c r="D178" s="539"/>
      <c r="E178" s="539"/>
      <c r="F178" s="539"/>
      <c r="G178" s="540">
        <f>IF(Tech_Specs!$S30=0,0,IF(Perform_Active!$I31=0,0,(G30)/(Perform_Active!$I31/Perform_Active!$H31*Tech_Specs!$S30*365.25)*10^9))</f>
        <v>0</v>
      </c>
      <c r="H178" s="540">
        <f>IF(Tech_Specs!$S30=0,0,IF(Perform_Active!$I31=0,0,(H30)/(Perform_Active!$I31/Perform_Active!$H31*Tech_Specs!$S30*365.25)*10^9))</f>
        <v>0</v>
      </c>
      <c r="I178" s="540">
        <f>IF(Tech_Specs!$S30=0,0,IF(Perform_Active!$I31=0,0,(I30)/(Perform_Active!$I31/Perform_Active!$H31*Tech_Specs!$S30*365.25)*10^9))</f>
        <v>0</v>
      </c>
      <c r="J178" s="540">
        <f>IF(Tech_Specs!$S30=0,0,IF(Perform_Active!$I31=0,0,(J30)/(Perform_Active!$I31/Perform_Active!$H31*Tech_Specs!$S30*365.25)*10^9))</f>
        <v>0</v>
      </c>
      <c r="K178" s="540">
        <f>IF(Tech_Specs!$S30=0,0,IF(Perform_Active!$I31=0,0,(K30)/(Perform_Active!$I31/Perform_Active!$H31*Tech_Specs!$S30*365.25)*10^9))</f>
        <v>0</v>
      </c>
      <c r="L178" s="540">
        <f>IF(Tech_Specs!$S30=0,0,IF(Perform_Active!$I31=0,0,(L30)/(Perform_Active!$I31/Perform_Active!$H31*Tech_Specs!$S30*365.25)*10^9))</f>
        <v>0</v>
      </c>
      <c r="M178" s="540">
        <f>IF(Tech_Specs!$S30=0,0,IF(Perform_Active!$I31=0,0,(M30)/(Perform_Active!$I31/Perform_Active!$H31*Tech_Specs!$S30*365.25)*10^9))</f>
        <v>0</v>
      </c>
      <c r="N178" s="540">
        <f>IF(Tech_Specs!$S30=0,0,IF(Perform_Active!$I31=0,0,(N30)/(Perform_Active!$I31/Perform_Active!$H31*Tech_Specs!$S30*365.25)*10^9))</f>
        <v>0</v>
      </c>
      <c r="O178" s="540">
        <f>IF(Tech_Specs!$S30=0,0,IF(Perform_Active!$I31=0,0,(O30)/(Perform_Active!$I31/Perform_Active!$H31*Tech_Specs!$S30*365.25)*10^9))</f>
        <v>0</v>
      </c>
      <c r="P178" s="540">
        <f>IF(Tech_Specs!$S30=0,0,IF(Perform_Active!$I31=0,0,(P30)/(Perform_Active!$I31/Perform_Active!$H31*Tech_Specs!$S30*365.25)*10^9))</f>
        <v>0</v>
      </c>
      <c r="Q178" s="540">
        <f>IF(Tech_Specs!$S30=0,0,IF(Perform_Active!$I31=0,0,(Q30)/(Perform_Active!$I31/Perform_Active!$H31*Tech_Specs!$S30*365.25)*10^9))</f>
        <v>0</v>
      </c>
      <c r="R178" s="540">
        <f>IF(Tech_Specs!$S30=0,0,IF(Perform_Active!$I31=0,0,(R30)/(Perform_Active!$I31/Perform_Active!$H31*Tech_Specs!$S30*365.25)*10^9))</f>
        <v>0</v>
      </c>
      <c r="S178" s="540">
        <f>IF(Tech_Specs!$S30=0,0,IF(Perform_Active!$I31=0,0,(S30)/(Perform_Active!$I31/Perform_Active!$H31*Tech_Specs!$S30*365.25)*10^9))</f>
        <v>0</v>
      </c>
      <c r="T178" s="540">
        <f>IF(Tech_Specs!$S30=0,0,IF(Perform_Active!$I31=0,0,(T30)/(Perform_Active!$I31/Perform_Active!$H31*Tech_Specs!$S30*365.25)*10^9))</f>
        <v>0</v>
      </c>
      <c r="U178" s="540">
        <f>IF(Tech_Specs!$S30=0,0,IF(Perform_Active!$I31=0,0,(U30)/(Perform_Active!$I31/Perform_Active!$H31*Tech_Specs!$S30*365.25)*10^9))</f>
        <v>0</v>
      </c>
      <c r="V178" s="540">
        <f>IF(Tech_Specs!$S30=0,0,IF(Perform_Active!$I31=0,0,(V30)/(Perform_Active!$I31/Perform_Active!$H31*Tech_Specs!$S30*365.25)*10^9))</f>
        <v>0</v>
      </c>
      <c r="W178" s="540">
        <f>IF(Tech_Specs!$S30=0,0,IF(Perform_Active!$I31=0,0,(W30)/(Perform_Active!$I31/Perform_Active!$H31*Tech_Specs!$S30*365.25)*10^9))</f>
        <v>0</v>
      </c>
      <c r="X178" s="540">
        <f>IF(Tech_Specs!$S30=0,0,IF(Perform_Active!$I31=0,0,(X30)/(Perform_Active!$I31/Perform_Active!$H31*Tech_Specs!$S30*365.25)*10^9))</f>
        <v>0</v>
      </c>
      <c r="Y178" s="540">
        <f>IF(Tech_Specs!$S30=0,0,IF(Perform_Active!$I31=0,0,(Y30)/(Perform_Active!$I31/Perform_Active!$H31*Tech_Specs!$S30*365.25)*10^9))</f>
        <v>0</v>
      </c>
      <c r="Z178" s="540">
        <f>IF(Tech_Specs!$S30=0,0,IF(Perform_Active!$I31=0,0,(Z30)/(Perform_Active!$I31/Perform_Active!$H31*Tech_Specs!$S30*365.25)*10^9))</f>
        <v>0</v>
      </c>
      <c r="AA178" s="540">
        <f>IF(Tech_Specs!$S30=0,0,IF(Perform_Active!$I31=0,0,(AA30)/(Perform_Active!$I31/Perform_Active!$H31*Tech_Specs!$S30*365.25)*10^9))</f>
        <v>0</v>
      </c>
      <c r="AB178" s="540">
        <f>IF(Tech_Specs!$S30=0,0,IF(Perform_Active!$I31=0,0,(AB30)/(Perform_Active!$I31/Perform_Active!$H31*Tech_Specs!$S30*365.25)*10^9))</f>
        <v>0</v>
      </c>
      <c r="AC178" s="540">
        <f>IF(Tech_Specs!$S30=0,0,IF(Perform_Active!$I31=0,0,(AC30)/(Perform_Active!$I31/Perform_Active!$H31*Tech_Specs!$S30*365.25)*10^9))</f>
        <v>0</v>
      </c>
      <c r="AD178" s="540">
        <f>IF(Tech_Specs!$S30=0,0,IF(Perform_Active!$I31=0,0,(AD30)/(Perform_Active!$I31/Perform_Active!$H31*Tech_Specs!$S30*365.25)*10^9))</f>
        <v>0</v>
      </c>
      <c r="AE178" s="540">
        <f>IF(Tech_Specs!$S30=0,0,IF(Perform_Active!$I31=0,0,(AE30)/(Perform_Active!$I31/Perform_Active!$H31*Tech_Specs!$S30*365.25)*10^9))</f>
        <v>0</v>
      </c>
      <c r="AF178" s="540">
        <f>IF(Tech_Specs!$S30=0,0,IF(Perform_Active!$I31=0,0,(AF30)/(Perform_Active!$I31/Perform_Active!$H31*Tech_Specs!$S30*365.25)*10^9))</f>
        <v>0</v>
      </c>
    </row>
    <row r="179" spans="1:32" x14ac:dyDescent="0.25">
      <c r="A179" s="550"/>
      <c r="B179" s="550" t="s">
        <v>29</v>
      </c>
      <c r="C179" s="539"/>
      <c r="D179" s="539"/>
      <c r="E179" s="539"/>
      <c r="F179" s="539"/>
      <c r="G179" s="540">
        <f>IF(Tech_Specs!$S31=0,0,IF(Perform_Active!$I32=0,0,(G31)/(Perform_Active!$I32/Perform_Active!$H32*Tech_Specs!$S31*365.25)*10^9))</f>
        <v>0</v>
      </c>
      <c r="H179" s="540">
        <f>IF(Tech_Specs!$S31=0,0,IF(Perform_Active!$I32=0,0,(H31)/(Perform_Active!$I32/Perform_Active!$H32*Tech_Specs!$S31*365.25)*10^9))</f>
        <v>0.35535827269768755</v>
      </c>
      <c r="I179" s="540">
        <f>IF(Tech_Specs!$S31=0,0,IF(Perform_Active!$I32=0,0,(I31)/(Perform_Active!$I32/Perform_Active!$H32*Tech_Specs!$S31*365.25)*10^9))</f>
        <v>0.84094450570281776</v>
      </c>
      <c r="J179" s="540">
        <f>IF(Tech_Specs!$S31=0,0,IF(Perform_Active!$I32=0,0,(J31)/(Perform_Active!$I32/Perform_Active!$H32*Tech_Specs!$S31*365.25)*10^9))</f>
        <v>1.4776366721859955</v>
      </c>
      <c r="K179" s="540">
        <f>IF(Tech_Specs!$S31=0,0,IF(Perform_Active!$I32=0,0,(K31)/(Perform_Active!$I32/Perform_Active!$H32*Tech_Specs!$S31*365.25)*10^9))</f>
        <v>2.2728544214316377</v>
      </c>
      <c r="L179" s="540">
        <f>IF(Tech_Specs!$S31=0,0,IF(Perform_Active!$I32=0,0,(L31)/(Perform_Active!$I32/Perform_Active!$H32*Tech_Specs!$S31*365.25)*10^9))</f>
        <v>3.2380127011412378</v>
      </c>
      <c r="M179" s="540">
        <f>IF(Tech_Specs!$S31=0,0,IF(Perform_Active!$I32=0,0,(M31)/(Perform_Active!$I32/Perform_Active!$H32*Tech_Specs!$S31*365.25)*10^9))</f>
        <v>4.3697296271775379</v>
      </c>
      <c r="N179" s="540">
        <f>IF(Tech_Specs!$S31=0,0,IF(Perform_Active!$I32=0,0,(N31)/(Perform_Active!$I32/Perform_Active!$H32*Tech_Specs!$S31*365.25)*10^9))</f>
        <v>5.6524717271130376</v>
      </c>
      <c r="O179" s="540">
        <f>IF(Tech_Specs!$S31=0,0,IF(Perform_Active!$I32=0,0,(O31)/(Perform_Active!$I32/Perform_Active!$H32*Tech_Specs!$S31*365.25)*10^9))</f>
        <v>7.0708452550372876</v>
      </c>
      <c r="P179" s="540">
        <f>IF(Tech_Specs!$S31=0,0,IF(Perform_Active!$I32=0,0,(P31)/(Perform_Active!$I32/Perform_Active!$H32*Tech_Specs!$S31*365.25)*10^9))</f>
        <v>8.6057834867865957</v>
      </c>
      <c r="Q179" s="540">
        <f>IF(Tech_Specs!$S31=0,0,IF(Perform_Active!$I32=0,0,(Q31)/(Perform_Active!$I32/Perform_Active!$H32*Tech_Specs!$S31*365.25)*10^9))</f>
        <v>10.233634346457553</v>
      </c>
      <c r="R179" s="540">
        <f>IF(Tech_Specs!$S31=0,0,IF(Perform_Active!$I32=0,0,(R31)/(Perform_Active!$I32/Perform_Active!$H32*Tech_Specs!$S31*365.25)*10^9))</f>
        <v>11.923002666913439</v>
      </c>
      <c r="S179" s="540">
        <f>IF(Tech_Specs!$S31=0,0,IF(Perform_Active!$I32=0,0,(S31)/(Perform_Active!$I32/Perform_Active!$H32*Tech_Specs!$S31*365.25)*10^9))</f>
        <v>13.657948144377611</v>
      </c>
      <c r="T179" s="540">
        <f>IF(Tech_Specs!$S31=0,0,IF(Perform_Active!$I32=0,0,(T31)/(Perform_Active!$I32/Perform_Active!$H32*Tech_Specs!$S31*365.25)*10^9))</f>
        <v>15.414542663339985</v>
      </c>
      <c r="U179" s="540">
        <f>IF(Tech_Specs!$S31=0,0,IF(Perform_Active!$I32=0,0,(U31)/(Perform_Active!$I32/Perform_Active!$H32*Tech_Specs!$S31*365.25)*10^9))</f>
        <v>17.171680112737437</v>
      </c>
      <c r="V179" s="540">
        <f>IF(Tech_Specs!$S31=0,0,IF(Perform_Active!$I32=0,0,(V31)/(Perform_Active!$I32/Perform_Active!$H32*Tech_Specs!$S31*365.25)*10^9))</f>
        <v>18.917443423123515</v>
      </c>
      <c r="W179" s="540">
        <f>IF(Tech_Specs!$S31=0,0,IF(Perform_Active!$I32=0,0,(W31)/(Perform_Active!$I32/Perform_Active!$H32*Tech_Specs!$S31*365.25)*10^9))</f>
        <v>20.634248019936596</v>
      </c>
      <c r="X179" s="540">
        <f>IF(Tech_Specs!$S31=0,0,IF(Perform_Active!$I32=0,0,(X31)/(Perform_Active!$I32/Perform_Active!$H32*Tech_Specs!$S31*365.25)*10^9))</f>
        <v>22.307110063706968</v>
      </c>
      <c r="Y179" s="540">
        <f>IF(Tech_Specs!$S31=0,0,IF(Perform_Active!$I32=0,0,(Y31)/(Perform_Active!$I32/Perform_Active!$H32*Tech_Specs!$S31*365.25)*10^9))</f>
        <v>23.926271699071826</v>
      </c>
      <c r="Z179" s="540">
        <f>IF(Tech_Specs!$S31=0,0,IF(Perform_Active!$I32=0,0,(Z31)/(Perform_Active!$I32/Perform_Active!$H32*Tech_Specs!$S31*365.25)*10^9))</f>
        <v>25.492093486191074</v>
      </c>
      <c r="AA179" s="540">
        <f>IF(Tech_Specs!$S31=0,0,IF(Perform_Active!$I32=0,0,(AA31)/(Perform_Active!$I32/Perform_Active!$H32*Tech_Specs!$S31*365.25)*10^9))</f>
        <v>27.008981928919543</v>
      </c>
      <c r="AB179" s="540">
        <f>IF(Tech_Specs!$S31=0,0,IF(Perform_Active!$I32=0,0,(AB31)/(Perform_Active!$I32/Perform_Active!$H32*Tech_Specs!$S31*365.25)*10^9))</f>
        <v>28.486228686176823</v>
      </c>
      <c r="AC179" s="540">
        <f>IF(Tech_Specs!$S31=0,0,IF(Perform_Active!$I32=0,0,(AC31)/(Perform_Active!$I32/Perform_Active!$H32*Tech_Specs!$S31*365.25)*10^9))</f>
        <v>29.908627877187087</v>
      </c>
      <c r="AD179" s="540">
        <f>IF(Tech_Specs!$S31=0,0,IF(Perform_Active!$I32=0,0,(AD31)/(Perform_Active!$I32/Perform_Active!$H32*Tech_Specs!$S31*365.25)*10^9))</f>
        <v>31.276375568641466</v>
      </c>
      <c r="AE179" s="540">
        <f>IF(Tech_Specs!$S31=0,0,IF(Perform_Active!$I32=0,0,(AE31)/(Perform_Active!$I32/Perform_Active!$H32*Tech_Specs!$S31*365.25)*10^9))</f>
        <v>32.590164421606644</v>
      </c>
      <c r="AF179" s="540">
        <f>IF(Tech_Specs!$S31=0,0,IF(Perform_Active!$I32=0,0,(AF31)/(Perform_Active!$I32/Perform_Active!$H32*Tech_Specs!$S31*365.25)*10^9))</f>
        <v>33.851139985531461</v>
      </c>
    </row>
    <row r="180" spans="1:32" x14ac:dyDescent="0.25">
      <c r="A180" s="550"/>
      <c r="B180" s="550"/>
      <c r="C180" s="539"/>
      <c r="D180" s="539"/>
      <c r="E180" s="539"/>
      <c r="F180" s="539"/>
      <c r="G180" s="540"/>
      <c r="H180" s="540"/>
      <c r="I180" s="540"/>
      <c r="J180" s="540"/>
      <c r="K180" s="540"/>
      <c r="L180" s="540"/>
      <c r="M180" s="540"/>
      <c r="N180" s="540"/>
      <c r="O180" s="540"/>
      <c r="P180" s="540"/>
      <c r="Q180" s="540"/>
      <c r="R180" s="540"/>
      <c r="S180" s="540"/>
      <c r="T180" s="540"/>
      <c r="U180" s="540"/>
      <c r="V180" s="540"/>
      <c r="W180" s="540"/>
      <c r="X180" s="540"/>
      <c r="Y180" s="540"/>
      <c r="Z180" s="540"/>
      <c r="AA180" s="540"/>
      <c r="AB180" s="540"/>
      <c r="AC180" s="540"/>
      <c r="AD180" s="540"/>
      <c r="AE180" s="540"/>
      <c r="AF180" s="540"/>
    </row>
    <row r="181" spans="1:32" s="202" customFormat="1" ht="12.75" x14ac:dyDescent="0.2">
      <c r="A181" s="556" t="s">
        <v>47</v>
      </c>
      <c r="B181" s="556"/>
      <c r="C181" s="556"/>
      <c r="D181" s="556"/>
      <c r="E181" s="556"/>
      <c r="F181" s="556"/>
      <c r="G181" s="547"/>
      <c r="H181" s="547"/>
      <c r="I181" s="547"/>
      <c r="J181" s="547"/>
      <c r="K181" s="547"/>
      <c r="L181" s="547"/>
      <c r="M181" s="547"/>
      <c r="N181" s="547"/>
      <c r="O181" s="547"/>
      <c r="P181" s="547"/>
      <c r="Q181" s="547"/>
      <c r="R181" s="547"/>
      <c r="S181" s="547"/>
      <c r="T181" s="547"/>
      <c r="U181" s="547"/>
      <c r="V181" s="547"/>
      <c r="W181" s="547"/>
      <c r="X181" s="547"/>
      <c r="Y181" s="547"/>
      <c r="Z181" s="547"/>
      <c r="AA181" s="547"/>
      <c r="AB181" s="547"/>
      <c r="AC181" s="547"/>
      <c r="AD181" s="547"/>
      <c r="AE181" s="547"/>
      <c r="AF181" s="547"/>
    </row>
    <row r="182" spans="1:32" x14ac:dyDescent="0.25">
      <c r="A182" s="550"/>
      <c r="B182" s="550" t="s">
        <v>48</v>
      </c>
      <c r="C182" s="539"/>
      <c r="D182" s="539"/>
      <c r="E182" s="539"/>
      <c r="F182" s="539"/>
      <c r="G182" s="540">
        <f>IF(Tech_Specs!$S34=0,0,IF(Perform_Active!$I35=0,0,(G34)/(Perform_Active!$I35/Perform_Active!$H35*Tech_Specs!$S34*365.25)*10^9))</f>
        <v>56855.856025608635</v>
      </c>
      <c r="H182" s="540">
        <f>IF(Tech_Specs!$S34=0,0,IF(Perform_Active!$I35=0,0,(H34)/(Perform_Active!$I35/Perform_Active!$H35*Tech_Specs!$S34*365.25)*10^9))</f>
        <v>54039.91759034407</v>
      </c>
      <c r="I182" s="540">
        <f>IF(Tech_Specs!$S34=0,0,IF(Perform_Active!$I35=0,0,(I34)/(Perform_Active!$I35/Perform_Active!$H35*Tech_Specs!$S34*365.25)*10^9))</f>
        <v>44399.070354544456</v>
      </c>
      <c r="J182" s="540">
        <f>IF(Tech_Specs!$S34=0,0,IF(Perform_Active!$I35=0,0,(J34)/(Perform_Active!$I35/Perform_Active!$H35*Tech_Specs!$S34*365.25)*10^9))</f>
        <v>29984.114589135745</v>
      </c>
      <c r="K182" s="540">
        <f>IF(Tech_Specs!$S34=0,0,IF(Perform_Active!$I35=0,0,(K34)/(Perform_Active!$I35/Perform_Active!$H35*Tech_Specs!$S34*365.25)*10^9))</f>
        <v>16624.345838023608</v>
      </c>
      <c r="L182" s="540">
        <f>IF(Tech_Specs!$S34=0,0,IF(Perform_Active!$I35=0,0,(L34)/(Perform_Active!$I35/Perform_Active!$H35*Tech_Specs!$S34*365.25)*10^9))</f>
        <v>7914.0327381509223</v>
      </c>
      <c r="M182" s="540">
        <f>IF(Tech_Specs!$S34=0,0,IF(Perform_Active!$I35=0,0,(M34)/(Perform_Active!$I35/Perform_Active!$H35*Tech_Specs!$S34*365.25)*10^9))</f>
        <v>3352.7133841098826</v>
      </c>
      <c r="N182" s="540">
        <f>IF(Tech_Specs!$S34=0,0,IF(Perform_Active!$I35=0,0,(N34)/(Perform_Active!$I35/Perform_Active!$H35*Tech_Specs!$S34*365.25)*10^9))</f>
        <v>1324.5869890677432</v>
      </c>
      <c r="O182" s="540">
        <f>IF(Tech_Specs!$S34=0,0,IF(Perform_Active!$I35=0,0,(O34)/(Perform_Active!$I35/Perform_Active!$H35*Tech_Specs!$S34*365.25)*10^9))</f>
        <v>502.28449643074828</v>
      </c>
      <c r="P182" s="540">
        <f>IF(Tech_Specs!$S34=0,0,IF(Perform_Active!$I35=0,0,(P34)/(Perform_Active!$I35/Perform_Active!$H35*Tech_Specs!$S34*365.25)*10^9))</f>
        <v>186.29543903759676</v>
      </c>
      <c r="Q182" s="540">
        <f>IF(Tech_Specs!$S34=0,0,IF(Perform_Active!$I35=0,0,(Q34)/(Perform_Active!$I35/Perform_Active!$H35*Tech_Specs!$S34*365.25)*10^9))</f>
        <v>68.16359518895112</v>
      </c>
      <c r="R182" s="540">
        <f>IF(Tech_Specs!$S34=0,0,IF(Perform_Active!$I35=0,0,(R34)/(Perform_Active!$I35/Perform_Active!$H35*Tech_Specs!$S34*365.25)*10^9))</f>
        <v>24.74129367620316</v>
      </c>
      <c r="S182" s="540">
        <f>IF(Tech_Specs!$S34=0,0,IF(Perform_Active!$I35=0,0,(S34)/(Perform_Active!$I35/Perform_Active!$H35*Tech_Specs!$S34*365.25)*10^9))</f>
        <v>8.9502556320315758</v>
      </c>
      <c r="T182" s="540">
        <f>IF(Tech_Specs!$S34=0,0,IF(Perform_Active!$I35=0,0,(T34)/(Perform_Active!$I35/Perform_Active!$H35*Tech_Specs!$S34*365.25)*10^9))</f>
        <v>3.2359630254644132</v>
      </c>
      <c r="U182" s="540">
        <f>IF(Tech_Specs!$S34=0,0,IF(Perform_Active!$I35=0,0,(U34)/(Perform_Active!$I35/Perform_Active!$H35*Tech_Specs!$S34*365.25)*10^9))</f>
        <v>1.1713501511996676</v>
      </c>
      <c r="V182" s="540">
        <f>IF(Tech_Specs!$S34=0,0,IF(Perform_Active!$I35=0,0,(V34)/(Perform_Active!$I35/Perform_Active!$H35*Tech_Specs!$S34*365.25)*10^9))</f>
        <v>0.42522579184048531</v>
      </c>
      <c r="W182" s="540">
        <f>IF(Tech_Specs!$S34=0,0,IF(Perform_Active!$I35=0,0,(W34)/(Perform_Active!$I35/Perform_Active!$H35*Tech_Specs!$S34*365.25)*10^9))</f>
        <v>0.15491729987657771</v>
      </c>
      <c r="X182" s="540">
        <f>IF(Tech_Specs!$S34=0,0,IF(Perform_Active!$I35=0,0,(X34)/(Perform_Active!$I35/Perform_Active!$H35*Tech_Specs!$S34*365.25)*10^9))</f>
        <v>5.6669785140895094E-2</v>
      </c>
      <c r="Y182" s="540">
        <f>IF(Tech_Specs!$S34=0,0,IF(Perform_Active!$I35=0,0,(Y34)/(Perform_Active!$I35/Perform_Active!$H35*Tech_Specs!$S34*365.25)*10^9))</f>
        <v>2.0821867925329772E-2</v>
      </c>
      <c r="Z182" s="540">
        <f>IF(Tech_Specs!$S34=0,0,IF(Perform_Active!$I35=0,0,(Z34)/(Perform_Active!$I35/Perform_Active!$H35*Tech_Specs!$S34*365.25)*10^9))</f>
        <v>7.6873717692309716E-3</v>
      </c>
      <c r="AA182" s="540">
        <f>IF(Tech_Specs!$S34=0,0,IF(Perform_Active!$I35=0,0,(AA34)/(Perform_Active!$I35/Perform_Active!$H35*Tech_Specs!$S34*365.25)*10^9))</f>
        <v>2.8528458594161868E-3</v>
      </c>
      <c r="AB182" s="540">
        <f>IF(Tech_Specs!$S34=0,0,IF(Perform_Active!$I35=0,0,(AB34)/(Perform_Active!$I35/Perform_Active!$H35*Tech_Specs!$S34*365.25)*10^9))</f>
        <v>1.0642113188429488E-3</v>
      </c>
      <c r="AC182" s="540">
        <f>IF(Tech_Specs!$S34=0,0,IF(Perform_Active!$I35=0,0,(AC34)/(Perform_Active!$I35/Perform_Active!$H35*Tech_Specs!$S34*365.25)*10^9))</f>
        <v>3.9909979726677434E-4</v>
      </c>
      <c r="AD182" s="540">
        <f>IF(Tech_Specs!$S34=0,0,IF(Perform_Active!$I35=0,0,(AD34)/(Perform_Active!$I35/Perform_Active!$H35*Tech_Specs!$S34*365.25)*10^9))</f>
        <v>1.5047658894289443E-4</v>
      </c>
      <c r="AE182" s="540">
        <f>IF(Tech_Specs!$S34=0,0,IF(Perform_Active!$I35=0,0,(AE34)/(Perform_Active!$I35/Perform_Active!$H35*Tech_Specs!$S34*365.25)*10^9))</f>
        <v>5.7041782589740256E-5</v>
      </c>
      <c r="AF182" s="540">
        <f>IF(Tech_Specs!$S34=0,0,IF(Perform_Active!$I35=0,0,(AF34)/(Perform_Active!$I35/Perform_Active!$H35*Tech_Specs!$S34*365.25)*10^9))</f>
        <v>2.1734423676086285E-5</v>
      </c>
    </row>
    <row r="183" spans="1:32" x14ac:dyDescent="0.25">
      <c r="A183" s="550"/>
      <c r="B183" s="552" t="s">
        <v>50</v>
      </c>
      <c r="C183" s="539"/>
      <c r="D183" s="539"/>
      <c r="E183" s="539"/>
      <c r="F183" s="539"/>
      <c r="G183" s="540">
        <f>IF(Tech_Specs!$S35=0,0,IF(Perform_Active!$I36=0,0,(G35)/(Perform_Active!$I36/Perform_Active!$H36*Tech_Specs!$S35*365.25)*10^9))</f>
        <v>4385.5952275420887</v>
      </c>
      <c r="H183" s="540">
        <f>IF(Tech_Specs!$S35=0,0,IF(Perform_Active!$I36=0,0,(H35)/(Perform_Active!$I36/Perform_Active!$H36*Tech_Specs!$S35*365.25)*10^9))</f>
        <v>4444.4956328390253</v>
      </c>
      <c r="I183" s="540">
        <f>IF(Tech_Specs!$S35=0,0,IF(Perform_Active!$I36=0,0,(I35)/(Perform_Active!$I36/Perform_Active!$H36*Tech_Specs!$S35*365.25)*10^9))</f>
        <v>4405.5671461813427</v>
      </c>
      <c r="J183" s="540">
        <f>IF(Tech_Specs!$S35=0,0,IF(Perform_Active!$I36=0,0,(J35)/(Perform_Active!$I36/Perform_Active!$H36*Tech_Specs!$S35*365.25)*10^9))</f>
        <v>4220.3004492965874</v>
      </c>
      <c r="K183" s="540">
        <f>IF(Tech_Specs!$S35=0,0,IF(Perform_Active!$I36=0,0,(K35)/(Perform_Active!$I36/Perform_Active!$H36*Tech_Specs!$S35*365.25)*10^9))</f>
        <v>3882.1987507288886</v>
      </c>
      <c r="L183" s="540">
        <f>IF(Tech_Specs!$S35=0,0,IF(Perform_Active!$I36=0,0,(L35)/(Perform_Active!$I36/Perform_Active!$H36*Tech_Specs!$S35*365.25)*10^9))</f>
        <v>3448.9751979720045</v>
      </c>
      <c r="M183" s="540">
        <f>IF(Tech_Specs!$S35=0,0,IF(Perform_Active!$I36=0,0,(M35)/(Perform_Active!$I36/Perform_Active!$H36*Tech_Specs!$S35*365.25)*10^9))</f>
        <v>2974.1660898009</v>
      </c>
      <c r="N183" s="540">
        <f>IF(Tech_Specs!$S35=0,0,IF(Perform_Active!$I36=0,0,(N35)/(Perform_Active!$I36/Perform_Active!$H36*Tech_Specs!$S35*365.25)*10^9))</f>
        <v>2513.0359599192216</v>
      </c>
      <c r="O183" s="540">
        <f>IF(Tech_Specs!$S35=0,0,IF(Perform_Active!$I36=0,0,(O35)/(Perform_Active!$I36/Perform_Active!$H36*Tech_Specs!$S35*365.25)*10^9))</f>
        <v>2094.7093889685857</v>
      </c>
      <c r="P183" s="540">
        <f>IF(Tech_Specs!$S35=0,0,IF(Perform_Active!$I36=0,0,(P35)/(Perform_Active!$I36/Perform_Active!$H36*Tech_Specs!$S35*365.25)*10^9))</f>
        <v>1730.9542051936928</v>
      </c>
      <c r="Q183" s="540">
        <f>IF(Tech_Specs!$S35=0,0,IF(Perform_Active!$I36=0,0,(Q35)/(Perform_Active!$I36/Perform_Active!$H36*Tech_Specs!$S35*365.25)*10^9))</f>
        <v>1420.9930400554224</v>
      </c>
      <c r="R183" s="540">
        <f>IF(Tech_Specs!$S35=0,0,IF(Perform_Active!$I36=0,0,(R35)/(Perform_Active!$I36/Perform_Active!$H36*Tech_Specs!$S35*365.25)*10^9))</f>
        <v>1161.3271250458083</v>
      </c>
      <c r="S183" s="540">
        <f>IF(Tech_Specs!$S35=0,0,IF(Perform_Active!$I36=0,0,(S35)/(Perform_Active!$I36/Perform_Active!$H36*Tech_Specs!$S35*365.25)*10^9))</f>
        <v>946.26665776968696</v>
      </c>
      <c r="T183" s="540">
        <f>IF(Tech_Specs!$S35=0,0,IF(Perform_Active!$I36=0,0,(T35)/(Perform_Active!$I36/Perform_Active!$H36*Tech_Specs!$S35*365.25)*10^9))</f>
        <v>769.4205705507419</v>
      </c>
      <c r="U183" s="540">
        <f>IF(Tech_Specs!$S35=0,0,IF(Perform_Active!$I36=0,0,(U35)/(Perform_Active!$I36/Perform_Active!$H36*Tech_Specs!$S35*365.25)*10^9))</f>
        <v>624.69258099259287</v>
      </c>
      <c r="V183" s="540">
        <f>IF(Tech_Specs!$S35=0,0,IF(Perform_Active!$I36=0,0,(V35)/(Perform_Active!$I36/Perform_Active!$H36*Tech_Specs!$S35*365.25)*10^9))</f>
        <v>506.73212081645175</v>
      </c>
      <c r="W183" s="540">
        <f>IF(Tech_Specs!$S35=0,0,IF(Perform_Active!$I36=0,0,(W35)/(Perform_Active!$I36/Perform_Active!$H36*Tech_Specs!$S35*365.25)*10^9))</f>
        <v>410.78407369425202</v>
      </c>
      <c r="X183" s="540">
        <f>IF(Tech_Specs!$S35=0,0,IF(Perform_Active!$I36=0,0,(X35)/(Perform_Active!$I36/Perform_Active!$H36*Tech_Specs!$S35*365.25)*10^9))</f>
        <v>332.85804265212153</v>
      </c>
      <c r="Y183" s="540">
        <f>IF(Tech_Specs!$S35=0,0,IF(Perform_Active!$I36=0,0,(Y35)/(Perform_Active!$I36/Perform_Active!$H36*Tech_Specs!$S35*365.25)*10^9))</f>
        <v>269.63489413335543</v>
      </c>
      <c r="Z183" s="540">
        <f>IF(Tech_Specs!$S35=0,0,IF(Perform_Active!$I36=0,0,(Z35)/(Perform_Active!$I36/Perform_Active!$H36*Tech_Specs!$S35*365.25)*10^9))</f>
        <v>218.39309025593661</v>
      </c>
      <c r="AA183" s="540">
        <f>IF(Tech_Specs!$S35=0,0,IF(Perform_Active!$I36=0,0,(AA35)/(Perform_Active!$I36/Perform_Active!$H36*Tech_Specs!$S35*365.25)*10^9))</f>
        <v>176.89489350328029</v>
      </c>
      <c r="AB183" s="540">
        <f>IF(Tech_Specs!$S35=0,0,IF(Perform_Active!$I36=0,0,(AB35)/(Perform_Active!$I36/Perform_Active!$H36*Tech_Specs!$S35*365.25)*10^9))</f>
        <v>143.29207863648566</v>
      </c>
      <c r="AC183" s="540">
        <f>IF(Tech_Specs!$S35=0,0,IF(Perform_Active!$I36=0,0,(AC35)/(Perform_Active!$I36/Perform_Active!$H36*Tech_Specs!$S35*365.25)*10^9))</f>
        <v>116.08640859426525</v>
      </c>
      <c r="AD183" s="540">
        <f>IF(Tech_Specs!$S35=0,0,IF(Perform_Active!$I36=0,0,(AD35)/(Perform_Active!$I36/Perform_Active!$H36*Tech_Specs!$S35*365.25)*10^9))</f>
        <v>94.061696507364658</v>
      </c>
      <c r="AE183" s="540">
        <f>IF(Tech_Specs!$S35=0,0,IF(Perform_Active!$I36=0,0,(AE35)/(Perform_Active!$I36/Perform_Active!$H36*Tech_Specs!$S35*365.25)*10^9))</f>
        <v>76.230004321221116</v>
      </c>
      <c r="AF183" s="540">
        <f>IF(Tech_Specs!$S35=0,0,IF(Perform_Active!$I36=0,0,(AF35)/(Perform_Active!$I36/Perform_Active!$H36*Tech_Specs!$S35*365.25)*10^9))</f>
        <v>61.785207158030197</v>
      </c>
    </row>
    <row r="184" spans="1:32" x14ac:dyDescent="0.25">
      <c r="A184" s="550"/>
      <c r="B184" s="550" t="s">
        <v>51</v>
      </c>
      <c r="C184" s="539"/>
      <c r="D184" s="539"/>
      <c r="E184" s="539"/>
      <c r="F184" s="539"/>
      <c r="G184" s="540">
        <f>IF(Tech_Specs!$S36=0,0,IF(Perform_Active!$I37=0,0,(G36)/(Perform_Active!$I37/Perform_Active!$H37*Tech_Specs!$S36*365.25)*10^9))</f>
        <v>5042.5663513056043</v>
      </c>
      <c r="H184" s="540">
        <f>IF(Tech_Specs!$S36=0,0,IF(Perform_Active!$I37=0,0,(H36)/(Perform_Active!$I37/Perform_Active!$H37*Tech_Specs!$S36*365.25)*10^9))</f>
        <v>5152.3302325701879</v>
      </c>
      <c r="I184" s="540">
        <f>IF(Tech_Specs!$S36=0,0,IF(Perform_Active!$I37=0,0,(I36)/(Perform_Active!$I37/Perform_Active!$H37*Tech_Specs!$S36*365.25)*10^9))</f>
        <v>5242.6286800808866</v>
      </c>
      <c r="J184" s="540">
        <f>IF(Tech_Specs!$S36=0,0,IF(Perform_Active!$I37=0,0,(J36)/(Perform_Active!$I37/Perform_Active!$H37*Tech_Specs!$S36*365.25)*10^9))</f>
        <v>5300.8591054153239</v>
      </c>
      <c r="K184" s="540">
        <f>IF(Tech_Specs!$S36=0,0,IF(Perform_Active!$I37=0,0,(K36)/(Perform_Active!$I37/Perform_Active!$H37*Tech_Specs!$S36*365.25)*10^9))</f>
        <v>5314.3467368576985</v>
      </c>
      <c r="L184" s="540">
        <f>IF(Tech_Specs!$S36=0,0,IF(Perform_Active!$I37=0,0,(L36)/(Perform_Active!$I37/Perform_Active!$H37*Tech_Specs!$S36*365.25)*10^9))</f>
        <v>5281.5843194642039</v>
      </c>
      <c r="M184" s="540">
        <f>IF(Tech_Specs!$S36=0,0,IF(Perform_Active!$I37=0,0,(M36)/(Perform_Active!$I37/Perform_Active!$H37*Tech_Specs!$S36*365.25)*10^9))</f>
        <v>5201.5856815961479</v>
      </c>
      <c r="N184" s="540">
        <f>IF(Tech_Specs!$S36=0,0,IF(Perform_Active!$I37=0,0,(N36)/(Perform_Active!$I37/Perform_Active!$H37*Tech_Specs!$S36*365.25)*10^9))</f>
        <v>5078.2026475185448</v>
      </c>
      <c r="O184" s="540">
        <f>IF(Tech_Specs!$S36=0,0,IF(Perform_Active!$I37=0,0,(O36)/(Perform_Active!$I37/Perform_Active!$H37*Tech_Specs!$S36*365.25)*10^9))</f>
        <v>4919.3085655997747</v>
      </c>
      <c r="P184" s="540">
        <f>IF(Tech_Specs!$S36=0,0,IF(Perform_Active!$I37=0,0,(P36)/(Perform_Active!$I37/Perform_Active!$H37*Tech_Specs!$S36*365.25)*10^9))</f>
        <v>4733.9538790307952</v>
      </c>
      <c r="Q184" s="540">
        <f>IF(Tech_Specs!$S36=0,0,IF(Perform_Active!$I37=0,0,(Q36)/(Perform_Active!$I37/Perform_Active!$H37*Tech_Specs!$S36*365.25)*10^9))</f>
        <v>4529.7836902435702</v>
      </c>
      <c r="R184" s="540">
        <f>IF(Tech_Specs!$S36=0,0,IF(Perform_Active!$I37=0,0,(R36)/(Perform_Active!$I37/Perform_Active!$H37*Tech_Specs!$S36*365.25)*10^9))</f>
        <v>4313.5709417403077</v>
      </c>
      <c r="S184" s="540">
        <f>IF(Tech_Specs!$S36=0,0,IF(Perform_Active!$I37=0,0,(S36)/(Perform_Active!$I37/Perform_Active!$H37*Tech_Specs!$S36*365.25)*10^9))</f>
        <v>4091.8377556309983</v>
      </c>
      <c r="T184" s="540">
        <f>IF(Tech_Specs!$S36=0,0,IF(Perform_Active!$I37=0,0,(T36)/(Perform_Active!$I37/Perform_Active!$H37*Tech_Specs!$S36*365.25)*10^9))</f>
        <v>3869.0866427937212</v>
      </c>
      <c r="U184" s="540">
        <f>IF(Tech_Specs!$S36=0,0,IF(Perform_Active!$I37=0,0,(U36)/(Perform_Active!$I37/Perform_Active!$H37*Tech_Specs!$S36*365.25)*10^9))</f>
        <v>3648.7448565552359</v>
      </c>
      <c r="V184" s="540">
        <f>IF(Tech_Specs!$S36=0,0,IF(Perform_Active!$I37=0,0,(V36)/(Perform_Active!$I37/Perform_Active!$H37*Tech_Specs!$S36*365.25)*10^9))</f>
        <v>3433.7724285601075</v>
      </c>
      <c r="W184" s="540">
        <f>IF(Tech_Specs!$S36=0,0,IF(Perform_Active!$I37=0,0,(W36)/(Perform_Active!$I37/Perform_Active!$H37*Tech_Specs!$S36*365.25)*10^9))</f>
        <v>3225.7466038833877</v>
      </c>
      <c r="X184" s="540">
        <f>IF(Tech_Specs!$S36=0,0,IF(Perform_Active!$I37=0,0,(X36)/(Perform_Active!$I37/Perform_Active!$H37*Tech_Specs!$S36*365.25)*10^9))</f>
        <v>3025.7151475611377</v>
      </c>
      <c r="Y184" s="540">
        <f>IF(Tech_Specs!$S36=0,0,IF(Perform_Active!$I37=0,0,(Y36)/(Perform_Active!$I37/Perform_Active!$H37*Tech_Specs!$S36*365.25)*10^9))</f>
        <v>2834.3515044750138</v>
      </c>
      <c r="Z184" s="540">
        <f>IF(Tech_Specs!$S36=0,0,IF(Perform_Active!$I37=0,0,(Z36)/(Perform_Active!$I37/Perform_Active!$H37*Tech_Specs!$S36*365.25)*10^9))</f>
        <v>2652.472717114907</v>
      </c>
      <c r="AA184" s="540">
        <f>IF(Tech_Specs!$S36=0,0,IF(Perform_Active!$I37=0,0,(AA36)/(Perform_Active!$I37/Perform_Active!$H37*Tech_Specs!$S36*365.25)*10^9))</f>
        <v>2480.3746474104378</v>
      </c>
      <c r="AB184" s="540">
        <f>IF(Tech_Specs!$S36=0,0,IF(Perform_Active!$I37=0,0,(AB36)/(Perform_Active!$I37/Perform_Active!$H37*Tech_Specs!$S36*365.25)*10^9))</f>
        <v>2318.0315539329658</v>
      </c>
      <c r="AC184" s="540">
        <f>IF(Tech_Specs!$S36=0,0,IF(Perform_Active!$I37=0,0,(AC36)/(Perform_Active!$I37/Perform_Active!$H37*Tech_Specs!$S36*365.25)*10^9))</f>
        <v>2164.7515116900208</v>
      </c>
      <c r="AD184" s="540">
        <f>IF(Tech_Specs!$S36=0,0,IF(Perform_Active!$I37=0,0,(AD36)/(Perform_Active!$I37/Perform_Active!$H37*Tech_Specs!$S36*365.25)*10^9))</f>
        <v>2020.4430540641461</v>
      </c>
      <c r="AE184" s="540">
        <f>IF(Tech_Specs!$S36=0,0,IF(Perform_Active!$I37=0,0,(AE36)/(Perform_Active!$I37/Perform_Active!$H37*Tech_Specs!$S36*365.25)*10^9))</f>
        <v>1884.7275520633393</v>
      </c>
      <c r="AF184" s="540">
        <f>IF(Tech_Specs!$S36=0,0,IF(Perform_Active!$I37=0,0,(AF36)/(Perform_Active!$I37/Perform_Active!$H37*Tech_Specs!$S36*365.25)*10^9))</f>
        <v>1757.0596326829505</v>
      </c>
    </row>
    <row r="185" spans="1:32" x14ac:dyDescent="0.25">
      <c r="A185" s="550"/>
      <c r="B185" s="550" t="s">
        <v>52</v>
      </c>
      <c r="C185" s="539"/>
      <c r="D185" s="539"/>
      <c r="E185" s="539"/>
      <c r="F185" s="539"/>
      <c r="G185" s="540">
        <f>IF(Tech_Specs!$S37=0,0,IF(Perform_Active!$I38=0,0,(G37)/(Perform_Active!$I38/Perform_Active!$H38*Tech_Specs!$S37*365.25)*10^9))</f>
        <v>7634.3986918460068</v>
      </c>
      <c r="H185" s="540">
        <f>IF(Tech_Specs!$S37=0,0,IF(Perform_Active!$I38=0,0,(H37)/(Perform_Active!$I38/Perform_Active!$H38*Tech_Specs!$S37*365.25)*10^9))</f>
        <v>7779.7639681500314</v>
      </c>
      <c r="I185" s="540">
        <f>IF(Tech_Specs!$S37=0,0,IF(Perform_Active!$I38=0,0,(I37)/(Perform_Active!$I38/Perform_Active!$H38*Tech_Specs!$S37*365.25)*10^9))</f>
        <v>7862.7027188188376</v>
      </c>
      <c r="J185" s="540">
        <f>IF(Tech_Specs!$S37=0,0,IF(Perform_Active!$I38=0,0,(J37)/(Perform_Active!$I38/Perform_Active!$H38*Tech_Specs!$S37*365.25)*10^9))</f>
        <v>7860.5121232225447</v>
      </c>
      <c r="K185" s="540">
        <f>IF(Tech_Specs!$S37=0,0,IF(Perform_Active!$I38=0,0,(K37)/(Perform_Active!$I38/Perform_Active!$H38*Tech_Specs!$S37*365.25)*10^9))</f>
        <v>7766.3308839363017</v>
      </c>
      <c r="L185" s="540">
        <f>IF(Tech_Specs!$S37=0,0,IF(Perform_Active!$I38=0,0,(L37)/(Perform_Active!$I38/Perform_Active!$H38*Tech_Specs!$S37*365.25)*10^9))</f>
        <v>7597.0126136007939</v>
      </c>
      <c r="M185" s="540">
        <f>IF(Tech_Specs!$S37=0,0,IF(Perform_Active!$I38=0,0,(M37)/(Perform_Active!$I38/Perform_Active!$H38*Tech_Specs!$S37*365.25)*10^9))</f>
        <v>7370.0991967730315</v>
      </c>
      <c r="N185" s="540">
        <f>IF(Tech_Specs!$S37=0,0,IF(Perform_Active!$I38=0,0,(N37)/(Perform_Active!$I38/Perform_Active!$H38*Tech_Specs!$S37*365.25)*10^9))</f>
        <v>7104.929605193257</v>
      </c>
      <c r="O185" s="540">
        <f>IF(Tech_Specs!$S37=0,0,IF(Perform_Active!$I38=0,0,(O37)/(Perform_Active!$I38/Perform_Active!$H38*Tech_Specs!$S37*365.25)*10^9))</f>
        <v>6817.9508676069618</v>
      </c>
      <c r="P185" s="540">
        <f>IF(Tech_Specs!$S37=0,0,IF(Perform_Active!$I38=0,0,(P37)/(Perform_Active!$I38/Perform_Active!$H38*Tech_Specs!$S37*365.25)*10^9))</f>
        <v>6521.3231378683986</v>
      </c>
      <c r="Q185" s="540">
        <f>IF(Tech_Specs!$S37=0,0,IF(Perform_Active!$I38=0,0,(Q37)/(Perform_Active!$I38/Perform_Active!$H38*Tech_Specs!$S37*365.25)*10^9))</f>
        <v>6222.7032268194071</v>
      </c>
      <c r="R185" s="540">
        <f>IF(Tech_Specs!$S37=0,0,IF(Perform_Active!$I38=0,0,(R37)/(Perform_Active!$I38/Perform_Active!$H38*Tech_Specs!$S37*365.25)*10^9))</f>
        <v>5927.2179879254172</v>
      </c>
      <c r="S185" s="540">
        <f>IF(Tech_Specs!$S37=0,0,IF(Perform_Active!$I38=0,0,(S37)/(Perform_Active!$I38/Perform_Active!$H38*Tech_Specs!$S37*365.25)*10^9))</f>
        <v>5638.670082461279</v>
      </c>
      <c r="T185" s="540">
        <f>IF(Tech_Specs!$S37=0,0,IF(Perform_Active!$I38=0,0,(T37)/(Perform_Active!$I38/Perform_Active!$H38*Tech_Specs!$S37*365.25)*10^9))</f>
        <v>5359.1607794556485</v>
      </c>
      <c r="U185" s="540">
        <f>IF(Tech_Specs!$S37=0,0,IF(Perform_Active!$I38=0,0,(U37)/(Perform_Active!$I38/Perform_Active!$H38*Tech_Specs!$S37*365.25)*10^9))</f>
        <v>5089.9343708598435</v>
      </c>
      <c r="V185" s="540">
        <f>IF(Tech_Specs!$S37=0,0,IF(Perform_Active!$I38=0,0,(V37)/(Perform_Active!$I38/Perform_Active!$H38*Tech_Specs!$S37*365.25)*10^9))</f>
        <v>4831.8699911352296</v>
      </c>
      <c r="W185" s="540">
        <f>IF(Tech_Specs!$S37=0,0,IF(Perform_Active!$I38=0,0,(W37)/(Perform_Active!$I38/Perform_Active!$H38*Tech_Specs!$S37*365.25)*10^9))</f>
        <v>4585.1477060683346</v>
      </c>
      <c r="X185" s="540">
        <f>IF(Tech_Specs!$S37=0,0,IF(Perform_Active!$I38=0,0,(X37)/(Perform_Active!$I38/Perform_Active!$H38*Tech_Specs!$S37*365.25)*10^9))</f>
        <v>4349.7150861727177</v>
      </c>
      <c r="Y185" s="540">
        <f>IF(Tech_Specs!$S37=0,0,IF(Perform_Active!$I38=0,0,(Y37)/(Perform_Active!$I38/Perform_Active!$H38*Tech_Specs!$S37*365.25)*10^9))</f>
        <v>4125.3790844605519</v>
      </c>
      <c r="Z185" s="540">
        <f>IF(Tech_Specs!$S37=0,0,IF(Perform_Active!$I38=0,0,(Z37)/(Perform_Active!$I38/Perform_Active!$H38*Tech_Specs!$S37*365.25)*10^9))</f>
        <v>3911.9483922787931</v>
      </c>
      <c r="AA185" s="540">
        <f>IF(Tech_Specs!$S37=0,0,IF(Perform_Active!$I38=0,0,(AA37)/(Perform_Active!$I38/Perform_Active!$H38*Tech_Specs!$S37*365.25)*10^9))</f>
        <v>3709.1618141978574</v>
      </c>
      <c r="AB185" s="540">
        <f>IF(Tech_Specs!$S37=0,0,IF(Perform_Active!$I38=0,0,(AB37)/(Perform_Active!$I38/Perform_Active!$H38*Tech_Specs!$S37*365.25)*10^9))</f>
        <v>3516.6483711397814</v>
      </c>
      <c r="AC185" s="540">
        <f>IF(Tech_Specs!$S37=0,0,IF(Perform_Active!$I38=0,0,(AC37)/(Perform_Active!$I38/Perform_Active!$H38*Tech_Specs!$S37*365.25)*10^9))</f>
        <v>3333.8547300685132</v>
      </c>
      <c r="AD185" s="540">
        <f>IF(Tech_Specs!$S37=0,0,IF(Perform_Active!$I38=0,0,(AD37)/(Perform_Active!$I38/Perform_Active!$H38*Tech_Specs!$S37*365.25)*10^9))</f>
        <v>3160.3430566397078</v>
      </c>
      <c r="AE185" s="540">
        <f>IF(Tech_Specs!$S37=0,0,IF(Perform_Active!$I38=0,0,(AE37)/(Perform_Active!$I38/Perform_Active!$H38*Tech_Specs!$S37*365.25)*10^9))</f>
        <v>2995.6668738278681</v>
      </c>
      <c r="AF185" s="540">
        <f>IF(Tech_Specs!$S37=0,0,IF(Perform_Active!$I38=0,0,(AF37)/(Perform_Active!$I38/Perform_Active!$H38*Tech_Specs!$S37*365.25)*10^9))</f>
        <v>2839.3201975534025</v>
      </c>
    </row>
    <row r="186" spans="1:32" x14ac:dyDescent="0.25">
      <c r="A186" s="550"/>
      <c r="B186" s="552" t="s">
        <v>29</v>
      </c>
      <c r="C186" s="539"/>
      <c r="D186" s="539"/>
      <c r="E186" s="539"/>
      <c r="F186" s="539"/>
      <c r="G186" s="540">
        <f>IF(Tech_Specs!$S38=0,0,IF(Perform_Active!$I39=0,0,(G38)/(Perform_Active!$I39/Perform_Active!$H39*Tech_Specs!$S38*365.25)*10^9))</f>
        <v>124.702881001796</v>
      </c>
      <c r="H186" s="540">
        <f>IF(Tech_Specs!$S38=0,0,IF(Perform_Active!$I39=0,0,(H38)/(Perform_Active!$I39/Perform_Active!$H39*Tech_Specs!$S38*365.25)*10^9))</f>
        <v>1911.9937623527001</v>
      </c>
      <c r="I186" s="540">
        <f>IF(Tech_Specs!$S38=0,0,IF(Perform_Active!$I39=0,0,(I38)/(Perform_Active!$I39/Perform_Active!$H39*Tech_Specs!$S38*365.25)*10^9))</f>
        <v>6629.7876892836375</v>
      </c>
      <c r="J186" s="540">
        <f>IF(Tech_Specs!$S38=0,0,IF(Perform_Active!$I39=0,0,(J38)/(Perform_Active!$I39/Perform_Active!$H39*Tech_Specs!$S38*365.25)*10^9))</f>
        <v>13507.339640831869</v>
      </c>
      <c r="K186" s="540">
        <f>IF(Tech_Specs!$S38=0,0,IF(Perform_Active!$I39=0,0,(K38)/(Perform_Active!$I39/Perform_Active!$H39*Tech_Specs!$S38*365.25)*10^9))</f>
        <v>20177.247726521029</v>
      </c>
      <c r="L186" s="540">
        <f>IF(Tech_Specs!$S38=0,0,IF(Perform_Active!$I39=0,0,(L38)/(Perform_Active!$I39/Perform_Active!$H39*Tech_Specs!$S38*365.25)*10^9))</f>
        <v>25148.456414825127</v>
      </c>
      <c r="M186" s="540">
        <f>IF(Tech_Specs!$S38=0,0,IF(Perform_Active!$I39=0,0,(M38)/(Perform_Active!$I39/Perform_Active!$H39*Tech_Specs!$S38*365.25)*10^9))</f>
        <v>28560.183978297911</v>
      </c>
      <c r="N186" s="540">
        <f>IF(Tech_Specs!$S38=0,0,IF(Perform_Active!$I39=0,0,(N38)/(Perform_Active!$I39/Perform_Active!$H39*Tech_Specs!$S38*365.25)*10^9))</f>
        <v>30987.479173449618</v>
      </c>
      <c r="O186" s="540">
        <f>IF(Tech_Specs!$S38=0,0,IF(Perform_Active!$I39=0,0,(O38)/(Perform_Active!$I39/Perform_Active!$H39*Tech_Specs!$S38*365.25)*10^9))</f>
        <v>32926.161550406679</v>
      </c>
      <c r="P186" s="540">
        <f>IF(Tech_Specs!$S38=0,0,IF(Perform_Active!$I39=0,0,(P38)/(Perform_Active!$I39/Perform_Active!$H39*Tech_Specs!$S38*365.25)*10^9))</f>
        <v>34635.91865526935</v>
      </c>
      <c r="Q186" s="540">
        <f>IF(Tech_Specs!$S38=0,0,IF(Perform_Active!$I39=0,0,(Q38)/(Perform_Active!$I39/Perform_Active!$H39*Tech_Specs!$S38*365.25)*10^9))</f>
        <v>36229.982886491081</v>
      </c>
      <c r="R186" s="540">
        <f>IF(Tech_Specs!$S38=0,0,IF(Perform_Active!$I39=0,0,(R38)/(Perform_Active!$I39/Perform_Active!$H39*Tech_Specs!$S38*365.25)*10^9))</f>
        <v>37742.157569181429</v>
      </c>
      <c r="S186" s="540">
        <f>IF(Tech_Specs!$S38=0,0,IF(Perform_Active!$I39=0,0,(S38)/(Perform_Active!$I39/Perform_Active!$H39*Tech_Specs!$S38*365.25)*10^9))</f>
        <v>39202.33296382321</v>
      </c>
      <c r="T186" s="540">
        <f>IF(Tech_Specs!$S38=0,0,IF(Perform_Active!$I39=0,0,(T38)/(Perform_Active!$I39/Perform_Active!$H39*Tech_Specs!$S38*365.25)*10^9))</f>
        <v>40616.415680658291</v>
      </c>
      <c r="U186" s="540">
        <f>IF(Tech_Specs!$S38=0,0,IF(Perform_Active!$I39=0,0,(U38)/(Perform_Active!$I39/Perform_Active!$H39*Tech_Specs!$S38*365.25)*10^9))</f>
        <v>41987.008658609338</v>
      </c>
      <c r="V186" s="540">
        <f>IF(Tech_Specs!$S38=0,0,IF(Perform_Active!$I39=0,0,(V38)/(Perform_Active!$I39/Perform_Active!$H39*Tech_Specs!$S38*365.25)*10^9))</f>
        <v>43322.745720274121</v>
      </c>
      <c r="W186" s="540">
        <f>IF(Tech_Specs!$S38=0,0,IF(Perform_Active!$I39=0,0,(W38)/(Perform_Active!$I39/Perform_Active!$H39*Tech_Specs!$S38*365.25)*10^9))</f>
        <v>44620.030445524011</v>
      </c>
      <c r="X186" s="540">
        <f>IF(Tech_Specs!$S38=0,0,IF(Perform_Active!$I39=0,0,(X38)/(Perform_Active!$I39/Perform_Active!$H39*Tech_Specs!$S38*365.25)*10^9))</f>
        <v>45874.204779936466</v>
      </c>
      <c r="Y186" s="540">
        <f>IF(Tech_Specs!$S38=0,0,IF(Perform_Active!$I39=0,0,(Y38)/(Perform_Active!$I39/Perform_Active!$H39*Tech_Specs!$S38*365.25)*10^9))</f>
        <v>47083.460052608672</v>
      </c>
      <c r="Z186" s="540">
        <f>IF(Tech_Specs!$S38=0,0,IF(Perform_Active!$I39=0,0,(Z38)/(Perform_Active!$I39/Perform_Active!$H39*Tech_Specs!$S38*365.25)*10^9))</f>
        <v>48255.309471440996</v>
      </c>
      <c r="AA186" s="540">
        <f>IF(Tech_Specs!$S38=0,0,IF(Perform_Active!$I39=0,0,(AA38)/(Perform_Active!$I39/Perform_Active!$H39*Tech_Specs!$S38*365.25)*10^9))</f>
        <v>49400.024424016541</v>
      </c>
      <c r="AB186" s="540">
        <f>IF(Tech_Specs!$S38=0,0,IF(Perform_Active!$I39=0,0,(AB38)/(Perform_Active!$I39/Perform_Active!$H39*Tech_Specs!$S38*365.25)*10^9))</f>
        <v>50532.134407725505</v>
      </c>
      <c r="AC186" s="540">
        <f>IF(Tech_Specs!$S38=0,0,IF(Perform_Active!$I39=0,0,(AC38)/(Perform_Active!$I39/Perform_Active!$H39*Tech_Specs!$S38*365.25)*10^9))</f>
        <v>51634.326409964342</v>
      </c>
      <c r="AD186" s="540">
        <f>IF(Tech_Specs!$S38=0,0,IF(Perform_Active!$I39=0,0,(AD38)/(Perform_Active!$I39/Perform_Active!$H39*Tech_Specs!$S38*365.25)*10^9))</f>
        <v>52707.07878978613</v>
      </c>
      <c r="AE186" s="540">
        <f>IF(Tech_Specs!$S38=0,0,IF(Perform_Active!$I39=0,0,(AE38)/(Perform_Active!$I39/Perform_Active!$H39*Tech_Specs!$S38*365.25)*10^9))</f>
        <v>53750.90491149039</v>
      </c>
      <c r="AF186" s="540">
        <f>IF(Tech_Specs!$S38=0,0,IF(Perform_Active!$I39=0,0,(AF38)/(Perform_Active!$I39/Perform_Active!$H39*Tech_Specs!$S38*365.25)*10^9))</f>
        <v>54766.334203701845</v>
      </c>
    </row>
    <row r="187" spans="1:32" x14ac:dyDescent="0.25">
      <c r="A187" s="550"/>
      <c r="B187" s="552" t="s">
        <v>53</v>
      </c>
      <c r="C187" s="539"/>
      <c r="D187" s="539"/>
      <c r="E187" s="539"/>
      <c r="F187" s="539"/>
      <c r="G187" s="540">
        <f>IF(Tech_Specs!$S39=0,0,IF(Perform_Active!$I40=0,0,(G39)/(Perform_Active!$I40/Perform_Active!$H40*Tech_Specs!$S39*365.25)*10^9))</f>
        <v>210.48592758173848</v>
      </c>
      <c r="H187" s="540">
        <f>IF(Tech_Specs!$S39=0,0,IF(Perform_Active!$I40=0,0,(H39)/(Perform_Active!$I40/Perform_Active!$H40*Tech_Specs!$S39*365.25)*10^9))</f>
        <v>215.02564728917781</v>
      </c>
      <c r="I187" s="540">
        <f>IF(Tech_Specs!$S39=0,0,IF(Perform_Active!$I40=0,0,(I39)/(Perform_Active!$I40/Perform_Active!$H40*Tech_Specs!$S39*365.25)*10^9))</f>
        <v>218.78189070244278</v>
      </c>
      <c r="J187" s="540">
        <f>IF(Tech_Specs!$S39=0,0,IF(Perform_Active!$I40=0,0,(J39)/(Perform_Active!$I40/Perform_Active!$H40*Tech_Specs!$S39*365.25)*10^9))</f>
        <v>221.3356706996309</v>
      </c>
      <c r="K187" s="540">
        <f>IF(Tech_Specs!$S39=0,0,IF(Perform_Active!$I40=0,0,(K39)/(Perform_Active!$I40/Perform_Active!$H40*Tech_Specs!$S39*365.25)*10^9))</f>
        <v>222.2838251200362</v>
      </c>
      <c r="L187" s="540">
        <f>IF(Tech_Specs!$S39=0,0,IF(Perform_Active!$I40=0,0,(L39)/(Perform_Active!$I40/Perform_Active!$H40*Tech_Specs!$S39*365.25)*10^9))</f>
        <v>221.66708876935078</v>
      </c>
      <c r="M187" s="540">
        <f>IF(Tech_Specs!$S39=0,0,IF(Perform_Active!$I40=0,0,(M39)/(Perform_Active!$I40/Perform_Active!$H40*Tech_Specs!$S39*365.25)*10^9))</f>
        <v>219.5047610451123</v>
      </c>
      <c r="N187" s="540">
        <f>IF(Tech_Specs!$S39=0,0,IF(Perform_Active!$I40=0,0,(N39)/(Perform_Active!$I40/Perform_Active!$H40*Tech_Specs!$S39*365.25)*10^9))</f>
        <v>215.95679906225141</v>
      </c>
      <c r="O187" s="540">
        <f>IF(Tech_Specs!$S39=0,0,IF(Perform_Active!$I40=0,0,(O39)/(Perform_Active!$I40/Perform_Active!$H40*Tech_Specs!$S39*365.25)*10^9))</f>
        <v>211.29126804111633</v>
      </c>
      <c r="P187" s="540">
        <f>IF(Tech_Specs!$S39=0,0,IF(Perform_Active!$I40=0,0,(P39)/(Perform_Active!$I40/Perform_Active!$H40*Tech_Specs!$S39*365.25)*10^9))</f>
        <v>205.78847337471677</v>
      </c>
      <c r="Q187" s="540">
        <f>IF(Tech_Specs!$S39=0,0,IF(Perform_Active!$I40=0,0,(Q39)/(Perform_Active!$I40/Perform_Active!$H40*Tech_Specs!$S39*365.25)*10^9))</f>
        <v>199.66635902243596</v>
      </c>
      <c r="R187" s="540">
        <f>IF(Tech_Specs!$S39=0,0,IF(Perform_Active!$I40=0,0,(R39)/(Perform_Active!$I40/Perform_Active!$H40*Tech_Specs!$S39*365.25)*10^9))</f>
        <v>193.10671462438873</v>
      </c>
      <c r="S187" s="540">
        <f>IF(Tech_Specs!$S39=0,0,IF(Perform_Active!$I40=0,0,(S39)/(Perform_Active!$I40/Perform_Active!$H40*Tech_Specs!$S39*365.25)*10^9))</f>
        <v>186.29626415061864</v>
      </c>
      <c r="T187" s="540">
        <f>IF(Tech_Specs!$S39=0,0,IF(Perform_Active!$I40=0,0,(T39)/(Perform_Active!$I40/Perform_Active!$H40*Tech_Specs!$S39*365.25)*10^9))</f>
        <v>179.35688748704936</v>
      </c>
      <c r="U187" s="540">
        <f>IF(Tech_Specs!$S39=0,0,IF(Perform_Active!$I40=0,0,(U39)/(Perform_Active!$I40/Perform_Active!$H40*Tech_Specs!$S39*365.25)*10^9))</f>
        <v>172.38261271503848</v>
      </c>
      <c r="V187" s="540">
        <f>IF(Tech_Specs!$S39=0,0,IF(Perform_Active!$I40=0,0,(V39)/(Perform_Active!$I40/Perform_Active!$H40*Tech_Specs!$S39*365.25)*10^9))</f>
        <v>165.46125519682425</v>
      </c>
      <c r="W187" s="540">
        <f>IF(Tech_Specs!$S39=0,0,IF(Perform_Active!$I40=0,0,(W39)/(Perform_Active!$I40/Perform_Active!$H40*Tech_Specs!$S39*365.25)*10^9))</f>
        <v>158.63820802468254</v>
      </c>
      <c r="X187" s="540">
        <f>IF(Tech_Specs!$S39=0,0,IF(Perform_Active!$I40=0,0,(X39)/(Perform_Active!$I40/Perform_Active!$H40*Tech_Specs!$S39*365.25)*10^9))</f>
        <v>151.94626848046661</v>
      </c>
      <c r="Y187" s="540">
        <f>IF(Tech_Specs!$S39=0,0,IF(Perform_Active!$I40=0,0,(Y39)/(Perform_Active!$I40/Perform_Active!$H40*Tech_Specs!$S39*365.25)*10^9))</f>
        <v>145.41030721491845</v>
      </c>
      <c r="Z187" s="540">
        <f>IF(Tech_Specs!$S39=0,0,IF(Perform_Active!$I40=0,0,(Z39)/(Perform_Active!$I40/Perform_Active!$H40*Tech_Specs!$S39*365.25)*10^9))</f>
        <v>139.05721904040843</v>
      </c>
      <c r="AA187" s="540">
        <f>IF(Tech_Specs!$S39=0,0,IF(Perform_Active!$I40=0,0,(AA39)/(Perform_Active!$I40/Perform_Active!$H40*Tech_Specs!$S39*365.25)*10^9))</f>
        <v>132.907974074343</v>
      </c>
      <c r="AB187" s="540">
        <f>IF(Tech_Specs!$S39=0,0,IF(Perform_Active!$I40=0,0,(AB39)/(Perform_Active!$I40/Perform_Active!$H40*Tech_Specs!$S39*365.25)*10^9))</f>
        <v>126.97403026033543</v>
      </c>
      <c r="AC187" s="540">
        <f>IF(Tech_Specs!$S39=0,0,IF(Perform_Active!$I40=0,0,(AC39)/(Perform_Active!$I40/Perform_Active!$H40*Tech_Specs!$S39*365.25)*10^9))</f>
        <v>121.24533198651308</v>
      </c>
      <c r="AD187" s="540">
        <f>IF(Tech_Specs!$S39=0,0,IF(Perform_Active!$I40=0,0,(AD39)/(Perform_Active!$I40/Perform_Active!$H40*Tech_Specs!$S39*365.25)*10^9))</f>
        <v>115.72204171394739</v>
      </c>
      <c r="AE187" s="540">
        <f>IF(Tech_Specs!$S39=0,0,IF(Perform_Active!$I40=0,0,(AE39)/(Perform_Active!$I40/Perform_Active!$H40*Tech_Specs!$S39*365.25)*10^9))</f>
        <v>110.4015925492874</v>
      </c>
      <c r="AF187" s="540">
        <f>IF(Tech_Specs!$S39=0,0,IF(Perform_Active!$I40=0,0,(AF39)/(Perform_Active!$I40/Perform_Active!$H40*Tech_Specs!$S39*365.25)*10^9))</f>
        <v>105.27443345766413</v>
      </c>
    </row>
    <row r="188" spans="1:32" x14ac:dyDescent="0.25">
      <c r="A188" s="539"/>
      <c r="B188" s="539"/>
      <c r="C188" s="539"/>
      <c r="D188" s="539"/>
      <c r="E188" s="539"/>
      <c r="F188" s="539"/>
      <c r="G188" s="539"/>
      <c r="H188" s="539"/>
      <c r="I188" s="539"/>
      <c r="J188" s="539"/>
      <c r="K188" s="539"/>
      <c r="L188" s="539"/>
      <c r="M188" s="539"/>
      <c r="N188" s="539"/>
      <c r="O188" s="539"/>
      <c r="P188" s="539"/>
      <c r="Q188" s="539"/>
      <c r="R188" s="539"/>
      <c r="S188" s="539"/>
      <c r="T188" s="539"/>
      <c r="U188" s="539"/>
      <c r="V188" s="539"/>
      <c r="W188" s="539"/>
      <c r="X188" s="539"/>
      <c r="Y188" s="539"/>
      <c r="Z188" s="539"/>
      <c r="AA188" s="539"/>
      <c r="AB188" s="539"/>
      <c r="AC188" s="539"/>
      <c r="AD188" s="539"/>
      <c r="AE188" s="539"/>
      <c r="AF188" s="539"/>
    </row>
    <row r="189" spans="1:32" x14ac:dyDescent="0.25">
      <c r="A189" s="539"/>
      <c r="B189" s="539"/>
      <c r="C189" s="539"/>
      <c r="D189" s="539"/>
      <c r="E189" s="539"/>
      <c r="F189" s="539"/>
      <c r="G189" s="539"/>
      <c r="H189" s="539"/>
      <c r="I189" s="539"/>
      <c r="J189" s="539"/>
      <c r="K189" s="539"/>
      <c r="L189" s="539"/>
      <c r="M189" s="539"/>
      <c r="N189" s="539"/>
      <c r="O189" s="539"/>
      <c r="P189" s="539"/>
      <c r="Q189" s="539"/>
      <c r="R189" s="539"/>
      <c r="S189" s="539"/>
      <c r="T189" s="539"/>
      <c r="U189" s="539"/>
      <c r="V189" s="539"/>
      <c r="W189" s="539"/>
      <c r="X189" s="539"/>
      <c r="Y189" s="539"/>
      <c r="Z189" s="539"/>
      <c r="AA189" s="539"/>
      <c r="AB189" s="539"/>
      <c r="AC189" s="539"/>
      <c r="AD189" s="539"/>
      <c r="AE189" s="539"/>
      <c r="AF189" s="539"/>
    </row>
    <row r="190" spans="1:32" s="539" customFormat="1" x14ac:dyDescent="0.25">
      <c r="A190" s="554" t="s">
        <v>303</v>
      </c>
      <c r="B190" s="555"/>
      <c r="C190" s="554"/>
      <c r="D190" s="553"/>
      <c r="E190" s="553"/>
      <c r="F190" s="553"/>
      <c r="G190" s="553" t="s">
        <v>704</v>
      </c>
      <c r="H190" s="560"/>
      <c r="I190" s="560"/>
      <c r="J190" s="560"/>
      <c r="K190" s="560"/>
      <c r="L190" s="560"/>
      <c r="M190" s="560"/>
      <c r="N190" s="560"/>
      <c r="O190" s="560"/>
      <c r="P190" s="560"/>
      <c r="Q190" s="560"/>
      <c r="R190" s="560"/>
      <c r="S190" s="560"/>
      <c r="T190" s="560"/>
      <c r="U190" s="560"/>
      <c r="V190" s="560"/>
      <c r="W190" s="560"/>
      <c r="X190" s="560"/>
      <c r="Y190" s="560"/>
      <c r="Z190" s="560"/>
      <c r="AA190" s="560"/>
      <c r="AB190" s="560"/>
      <c r="AC190" s="560"/>
      <c r="AD190" s="560"/>
      <c r="AE190" s="560"/>
      <c r="AF190" s="560"/>
    </row>
    <row r="191" spans="1:32" s="539" customFormat="1" x14ac:dyDescent="0.25">
      <c r="A191" s="551" t="s">
        <v>12</v>
      </c>
      <c r="B191" s="550"/>
    </row>
    <row r="192" spans="1:32" s="539" customFormat="1" x14ac:dyDescent="0.25">
      <c r="A192" s="550"/>
      <c r="B192" s="550" t="s">
        <v>20</v>
      </c>
    </row>
    <row r="193" spans="1:32" s="202" customFormat="1" ht="12.75" x14ac:dyDescent="0.2">
      <c r="A193" s="556" t="s">
        <v>21</v>
      </c>
      <c r="B193" s="556"/>
      <c r="C193" s="556"/>
      <c r="D193" s="556"/>
      <c r="E193" s="556"/>
      <c r="F193" s="556"/>
      <c r="G193" s="556"/>
      <c r="H193" s="556"/>
      <c r="I193" s="556"/>
      <c r="J193" s="556"/>
      <c r="K193" s="556"/>
      <c r="L193" s="556"/>
      <c r="M193" s="556"/>
      <c r="N193" s="556"/>
      <c r="O193" s="556"/>
      <c r="P193" s="556"/>
      <c r="Q193" s="556"/>
      <c r="R193" s="556"/>
      <c r="S193" s="556"/>
      <c r="T193" s="556"/>
      <c r="U193" s="556"/>
      <c r="V193" s="556"/>
      <c r="W193" s="556"/>
      <c r="X193" s="556"/>
      <c r="Y193" s="556"/>
      <c r="Z193" s="556"/>
      <c r="AA193" s="556"/>
      <c r="AB193" s="556"/>
      <c r="AC193" s="556"/>
      <c r="AD193" s="556"/>
      <c r="AE193" s="556"/>
      <c r="AF193" s="556"/>
    </row>
    <row r="194" spans="1:32" x14ac:dyDescent="0.25">
      <c r="A194" s="550"/>
      <c r="B194" s="550" t="s">
        <v>22</v>
      </c>
      <c r="C194" s="539"/>
      <c r="D194" s="539"/>
      <c r="E194" s="539"/>
      <c r="F194" s="539"/>
      <c r="G194" s="549">
        <f t="array" ref="G194:AF224" ca="1">IF(ISNUMBER(Energy/Square_Feet*10^3),Energy/Square_Feet*10^3,"")</f>
        <v>0.37293317149864402</v>
      </c>
      <c r="H194" s="549">
        <f ca="1"/>
        <v>0.33720582415548722</v>
      </c>
      <c r="I194" s="549">
        <f ca="1"/>
        <v>0.2968395554230091</v>
      </c>
      <c r="J194" s="549">
        <f ca="1"/>
        <v>0.2312179130166305</v>
      </c>
      <c r="K194" s="549">
        <f ca="1"/>
        <v>0.17088685227031211</v>
      </c>
      <c r="L194" s="549">
        <f ca="1"/>
        <v>0.11944417973352248</v>
      </c>
      <c r="M194" s="549">
        <f ca="1"/>
        <v>7.0476494071526966E-2</v>
      </c>
      <c r="N194" s="549">
        <f ca="1"/>
        <v>4.4661838980091115E-2</v>
      </c>
      <c r="O194" s="549">
        <f ca="1"/>
        <v>3.0458185496139666E-2</v>
      </c>
      <c r="P194" s="549">
        <f ca="1"/>
        <v>2.2179801092584543E-2</v>
      </c>
      <c r="Q194" s="549">
        <f ca="1"/>
        <v>1.689654917847171E-2</v>
      </c>
      <c r="R194" s="549">
        <f ca="1"/>
        <v>1.3180140157119883E-2</v>
      </c>
      <c r="S194" s="549">
        <f ca="1"/>
        <v>1.0393832207477582E-2</v>
      </c>
      <c r="T194" s="549">
        <f ca="1"/>
        <v>8.2190963453069327E-3</v>
      </c>
      <c r="U194" s="549">
        <f ca="1"/>
        <v>6.4897033473951616E-3</v>
      </c>
      <c r="V194" s="549">
        <f ca="1"/>
        <v>5.1276693797585333E-3</v>
      </c>
      <c r="W194" s="549">
        <f ca="1"/>
        <v>4.0548602502876591E-3</v>
      </c>
      <c r="X194" s="549">
        <f ca="1"/>
        <v>3.2132537478386904E-3</v>
      </c>
      <c r="Y194" s="549">
        <f ca="1"/>
        <v>2.5564866261727948E-3</v>
      </c>
      <c r="Z194" s="549">
        <f ca="1"/>
        <v>2.0495472366566072E-3</v>
      </c>
      <c r="AA194" s="549">
        <f ca="1"/>
        <v>1.6617707329474106E-3</v>
      </c>
      <c r="AB194" s="549">
        <f ca="1"/>
        <v>1.3611777096449171E-3</v>
      </c>
      <c r="AC194" s="549">
        <f ca="1"/>
        <v>1.1272278386894547E-3</v>
      </c>
      <c r="AD194" s="549">
        <f ca="1"/>
        <v>9.428038290158245E-4</v>
      </c>
      <c r="AE194" s="549">
        <f ca="1"/>
        <v>7.9502363345119141E-4</v>
      </c>
      <c r="AF194" s="549">
        <f ca="1"/>
        <v>6.7036795288888363E-4</v>
      </c>
    </row>
    <row r="195" spans="1:32" x14ac:dyDescent="0.25">
      <c r="A195" s="550"/>
      <c r="B195" s="550" t="s">
        <v>26</v>
      </c>
      <c r="C195" s="539"/>
      <c r="D195" s="539"/>
      <c r="E195" s="539"/>
      <c r="F195" s="539"/>
      <c r="G195" s="549">
        <f ca="1"/>
        <v>5.5408730747887004E-3</v>
      </c>
      <c r="H195" s="549">
        <f ca="1"/>
        <v>5.2354137042244838E-3</v>
      </c>
      <c r="I195" s="549">
        <f ca="1"/>
        <v>1.2621548814584984E-2</v>
      </c>
      <c r="J195" s="549">
        <f ca="1"/>
        <v>3.5740930345204022E-2</v>
      </c>
      <c r="K195" s="549">
        <f ca="1"/>
        <v>5.8605881496201044E-2</v>
      </c>
      <c r="L195" s="549">
        <f ca="1"/>
        <v>7.2399169630780108E-2</v>
      </c>
      <c r="M195" s="549">
        <f ca="1"/>
        <v>8.0684325164411708E-2</v>
      </c>
      <c r="N195" s="549">
        <f ca="1"/>
        <v>7.8504231085182521E-2</v>
      </c>
      <c r="O195" s="549">
        <f ca="1"/>
        <v>7.2240747303043501E-2</v>
      </c>
      <c r="P195" s="549">
        <f ca="1"/>
        <v>6.4707084578872115E-2</v>
      </c>
      <c r="Q195" s="549">
        <f ca="1"/>
        <v>5.6885837695913384E-2</v>
      </c>
      <c r="R195" s="549">
        <f ca="1"/>
        <v>4.9196369270614437E-2</v>
      </c>
      <c r="S195" s="549">
        <f ca="1"/>
        <v>4.2003789761898655E-2</v>
      </c>
      <c r="T195" s="549">
        <f ca="1"/>
        <v>3.5489949725212834E-2</v>
      </c>
      <c r="U195" s="549">
        <f ca="1"/>
        <v>2.9744635767642327E-2</v>
      </c>
      <c r="V195" s="549">
        <f ca="1"/>
        <v>2.4850656939845089E-2</v>
      </c>
      <c r="W195" s="549">
        <f ca="1"/>
        <v>2.0749247495891739E-2</v>
      </c>
      <c r="X195" s="549">
        <f ca="1"/>
        <v>1.735836108240895E-2</v>
      </c>
      <c r="Y195" s="549">
        <f ca="1"/>
        <v>1.4585886040508979E-2</v>
      </c>
      <c r="Z195" s="549">
        <f ca="1"/>
        <v>1.2351746425743474E-2</v>
      </c>
      <c r="AA195" s="549">
        <f ca="1"/>
        <v>1.060197685041845E-2</v>
      </c>
      <c r="AB195" s="549">
        <f ca="1"/>
        <v>9.1732144354437373E-3</v>
      </c>
      <c r="AC195" s="549">
        <f ca="1"/>
        <v>8.0220084215737973E-3</v>
      </c>
      <c r="AD195" s="549">
        <f ca="1"/>
        <v>7.0849116028538668E-3</v>
      </c>
      <c r="AE195" s="549">
        <f ca="1"/>
        <v>6.3104549619350551E-3</v>
      </c>
      <c r="AF195" s="549">
        <f ca="1"/>
        <v>5.6374379306077553E-3</v>
      </c>
    </row>
    <row r="196" spans="1:32" x14ac:dyDescent="0.25">
      <c r="A196" s="550"/>
      <c r="B196" s="550" t="s">
        <v>27</v>
      </c>
      <c r="C196" s="539"/>
      <c r="D196" s="539"/>
      <c r="E196" s="539"/>
      <c r="F196" s="539"/>
      <c r="G196" s="549">
        <f ca="1"/>
        <v>6.3047475760851804E-2</v>
      </c>
      <c r="H196" s="549">
        <f ca="1"/>
        <v>7.130234372418788E-2</v>
      </c>
      <c r="I196" s="549">
        <f ca="1"/>
        <v>7.8389938435817208E-2</v>
      </c>
      <c r="J196" s="549">
        <f ca="1"/>
        <v>8.6820952017779562E-2</v>
      </c>
      <c r="K196" s="549">
        <f ca="1"/>
        <v>9.3646973123516219E-2</v>
      </c>
      <c r="L196" s="549">
        <f ca="1"/>
        <v>0.10034711506886906</v>
      </c>
      <c r="M196" s="549">
        <f ca="1"/>
        <v>0.10721368333195877</v>
      </c>
      <c r="N196" s="549">
        <f ca="1"/>
        <v>0.11071061441504526</v>
      </c>
      <c r="O196" s="549">
        <f ca="1"/>
        <v>0.11167070301666646</v>
      </c>
      <c r="P196" s="549">
        <f ca="1"/>
        <v>0.11061616795882706</v>
      </c>
      <c r="Q196" s="549">
        <f ca="1"/>
        <v>0.10802027251052058</v>
      </c>
      <c r="R196" s="549">
        <f ca="1"/>
        <v>0.10426282769925574</v>
      </c>
      <c r="S196" s="549">
        <f ca="1"/>
        <v>9.9611542851464716E-2</v>
      </c>
      <c r="T196" s="549">
        <f ca="1"/>
        <v>9.4347577059094578E-2</v>
      </c>
      <c r="U196" s="549">
        <f ca="1"/>
        <v>8.8727563742669796E-2</v>
      </c>
      <c r="V196" s="549">
        <f ca="1"/>
        <v>8.2960659880133042E-2</v>
      </c>
      <c r="W196" s="549">
        <f ca="1"/>
        <v>7.7234763669407847E-2</v>
      </c>
      <c r="X196" s="549">
        <f ca="1"/>
        <v>7.169663678923123E-2</v>
      </c>
      <c r="Y196" s="549">
        <f ca="1"/>
        <v>6.6436696276385279E-2</v>
      </c>
      <c r="Z196" s="549">
        <f ca="1"/>
        <v>6.1364767418359348E-2</v>
      </c>
      <c r="AA196" s="549">
        <f ca="1"/>
        <v>5.6661644774502612E-2</v>
      </c>
      <c r="AB196" s="549">
        <f ca="1"/>
        <v>5.2307761516525837E-2</v>
      </c>
      <c r="AC196" s="549">
        <f ca="1"/>
        <v>4.8322874326366297E-2</v>
      </c>
      <c r="AD196" s="549">
        <f ca="1"/>
        <v>4.4684788315462187E-2</v>
      </c>
      <c r="AE196" s="549">
        <f ca="1"/>
        <v>4.1523510471716138E-2</v>
      </c>
      <c r="AF196" s="549">
        <f ca="1"/>
        <v>3.8506847495590961E-2</v>
      </c>
    </row>
    <row r="197" spans="1:32" x14ac:dyDescent="0.25">
      <c r="A197" s="550"/>
      <c r="B197" s="550" t="s">
        <v>29</v>
      </c>
      <c r="C197" s="539"/>
      <c r="D197" s="539"/>
      <c r="E197" s="539"/>
      <c r="F197" s="539"/>
      <c r="G197" s="549">
        <f ca="1"/>
        <v>0</v>
      </c>
      <c r="H197" s="549">
        <f ca="1"/>
        <v>1.796047507693201E-4</v>
      </c>
      <c r="I197" s="549">
        <f ca="1"/>
        <v>5.0580889581195885E-4</v>
      </c>
      <c r="J197" s="549">
        <f ca="1"/>
        <v>8.8504625948305864E-4</v>
      </c>
      <c r="K197" s="549">
        <f ca="1"/>
        <v>1.3561351970381628E-3</v>
      </c>
      <c r="L197" s="549">
        <f ca="1"/>
        <v>1.9572184374933932E-3</v>
      </c>
      <c r="M197" s="549">
        <f ca="1"/>
        <v>2.7532828890138462E-3</v>
      </c>
      <c r="N197" s="549">
        <f ca="1"/>
        <v>3.7449082387745851E-3</v>
      </c>
      <c r="O197" s="549">
        <f ca="1"/>
        <v>4.9546966115618955E-3</v>
      </c>
      <c r="P197" s="549">
        <f ca="1"/>
        <v>6.3772627747629689E-3</v>
      </c>
      <c r="Q197" s="549">
        <f ca="1"/>
        <v>7.989089386401492E-3</v>
      </c>
      <c r="R197" s="549">
        <f ca="1"/>
        <v>9.7922334394227248E-3</v>
      </c>
      <c r="S197" s="549">
        <f ca="1"/>
        <v>1.1725031790042022E-2</v>
      </c>
      <c r="T197" s="549">
        <f ca="1"/>
        <v>1.3719867279009642E-2</v>
      </c>
      <c r="U197" s="549">
        <f ca="1"/>
        <v>1.5714649405197609E-2</v>
      </c>
      <c r="V197" s="549">
        <f ca="1"/>
        <v>1.7654666017407505E-2</v>
      </c>
      <c r="W197" s="549">
        <f ca="1"/>
        <v>1.9502001092435575E-2</v>
      </c>
      <c r="X197" s="549">
        <f ca="1"/>
        <v>2.1229562052616752E-2</v>
      </c>
      <c r="Y197" s="549">
        <f ca="1"/>
        <v>2.2824682287894766E-2</v>
      </c>
      <c r="Z197" s="549">
        <f ca="1"/>
        <v>2.4283287570133337E-2</v>
      </c>
      <c r="AA197" s="549">
        <f ca="1"/>
        <v>2.560748600560734E-2</v>
      </c>
      <c r="AB197" s="549">
        <f ca="1"/>
        <v>2.6806438423143474E-2</v>
      </c>
      <c r="AC197" s="549">
        <f ca="1"/>
        <v>2.7887743119786472E-2</v>
      </c>
      <c r="AD197" s="549">
        <f ca="1"/>
        <v>2.88594811875084E-2</v>
      </c>
      <c r="AE197" s="549">
        <f ca="1"/>
        <v>2.973205815325913E-2</v>
      </c>
      <c r="AF197" s="549">
        <f ca="1"/>
        <v>3.0518464436934931E-2</v>
      </c>
    </row>
    <row r="198" spans="1:32" x14ac:dyDescent="0.25">
      <c r="A198" s="550"/>
      <c r="B198" s="550"/>
      <c r="C198" s="539"/>
      <c r="D198" s="539"/>
      <c r="E198" s="539"/>
      <c r="F198" s="539"/>
      <c r="G198" s="549" t="str">
        <v/>
      </c>
      <c r="H198" s="549" t="str">
        <v/>
      </c>
      <c r="I198" s="549" t="str">
        <v/>
      </c>
      <c r="J198" s="549" t="str">
        <v/>
      </c>
      <c r="K198" s="549" t="str">
        <v/>
      </c>
      <c r="L198" s="549" t="str">
        <v/>
      </c>
      <c r="M198" s="549" t="str">
        <v/>
      </c>
      <c r="N198" s="549" t="str">
        <v/>
      </c>
      <c r="O198" s="549" t="str">
        <v/>
      </c>
      <c r="P198" s="549" t="str">
        <v/>
      </c>
      <c r="Q198" s="549" t="str">
        <v/>
      </c>
      <c r="R198" s="549" t="str">
        <v/>
      </c>
      <c r="S198" s="549" t="str">
        <v/>
      </c>
      <c r="T198" s="549" t="str">
        <v/>
      </c>
      <c r="U198" s="549" t="str">
        <v/>
      </c>
      <c r="V198" s="549" t="str">
        <v/>
      </c>
      <c r="W198" s="549" t="str">
        <v/>
      </c>
      <c r="X198" s="549" t="str">
        <v/>
      </c>
      <c r="Y198" s="549" t="str">
        <v/>
      </c>
      <c r="Z198" s="549" t="str">
        <v/>
      </c>
      <c r="AA198" s="549" t="str">
        <v/>
      </c>
      <c r="AB198" s="549" t="str">
        <v/>
      </c>
      <c r="AC198" s="549" t="str">
        <v/>
      </c>
      <c r="AD198" s="549" t="str">
        <v/>
      </c>
      <c r="AE198" s="549" t="str">
        <v/>
      </c>
      <c r="AF198" s="549" t="str">
        <v/>
      </c>
    </row>
    <row r="199" spans="1:32" s="202" customFormat="1" ht="12.75" x14ac:dyDescent="0.2">
      <c r="A199" s="556" t="s">
        <v>32</v>
      </c>
      <c r="B199" s="556"/>
      <c r="C199" s="556"/>
      <c r="D199" s="556"/>
      <c r="E199" s="556"/>
      <c r="F199" s="556"/>
      <c r="G199" s="632" t="str">
        <v/>
      </c>
      <c r="H199" s="632" t="str">
        <v/>
      </c>
      <c r="I199" s="632" t="str">
        <v/>
      </c>
      <c r="J199" s="632" t="str">
        <v/>
      </c>
      <c r="K199" s="632" t="str">
        <v/>
      </c>
      <c r="L199" s="632" t="str">
        <v/>
      </c>
      <c r="M199" s="632" t="str">
        <v/>
      </c>
      <c r="N199" s="632" t="str">
        <v/>
      </c>
      <c r="O199" s="632" t="str">
        <v/>
      </c>
      <c r="P199" s="632" t="str">
        <v/>
      </c>
      <c r="Q199" s="632" t="str">
        <v/>
      </c>
      <c r="R199" s="632" t="str">
        <v/>
      </c>
      <c r="S199" s="632" t="str">
        <v/>
      </c>
      <c r="T199" s="632" t="str">
        <v/>
      </c>
      <c r="U199" s="632" t="str">
        <v/>
      </c>
      <c r="V199" s="632" t="str">
        <v/>
      </c>
      <c r="W199" s="632" t="str">
        <v/>
      </c>
      <c r="X199" s="632" t="str">
        <v/>
      </c>
      <c r="Y199" s="632" t="str">
        <v/>
      </c>
      <c r="Z199" s="632" t="str">
        <v/>
      </c>
      <c r="AA199" s="632" t="str">
        <v/>
      </c>
      <c r="AB199" s="632" t="str">
        <v/>
      </c>
      <c r="AC199" s="632" t="str">
        <v/>
      </c>
      <c r="AD199" s="632" t="str">
        <v/>
      </c>
      <c r="AE199" s="632" t="str">
        <v/>
      </c>
      <c r="AF199" s="632" t="str">
        <v/>
      </c>
    </row>
    <row r="200" spans="1:32" x14ac:dyDescent="0.25">
      <c r="A200" s="550"/>
      <c r="B200" s="550" t="s">
        <v>33</v>
      </c>
      <c r="C200" s="539"/>
      <c r="D200" s="539"/>
      <c r="E200" s="539"/>
      <c r="F200" s="539"/>
      <c r="G200" s="549">
        <v>8.4381081817504436E-2</v>
      </c>
      <c r="H200" s="549">
        <v>7.2391548542536377E-2</v>
      </c>
      <c r="I200" s="549">
        <v>6.4889409526108652E-2</v>
      </c>
      <c r="J200" s="549">
        <v>6.016234533938547E-2</v>
      </c>
      <c r="K200" s="549">
        <v>5.6832518580487226E-2</v>
      </c>
      <c r="L200" s="549">
        <v>5.3154348539375118E-2</v>
      </c>
      <c r="M200" s="549">
        <v>4.8833722011449275E-2</v>
      </c>
      <c r="N200" s="549">
        <v>4.4099028638601899E-2</v>
      </c>
      <c r="O200" s="549">
        <v>3.9141598520508934E-2</v>
      </c>
      <c r="P200" s="549">
        <v>3.419181153937427E-2</v>
      </c>
      <c r="Q200" s="549">
        <v>2.9378017461904118E-2</v>
      </c>
      <c r="R200" s="549">
        <v>2.4831734621735477E-2</v>
      </c>
      <c r="S200" s="549">
        <v>2.0688968310886853E-2</v>
      </c>
      <c r="T200" s="549">
        <v>1.7026925857702612E-2</v>
      </c>
      <c r="U200" s="549">
        <v>1.3873356513527831E-2</v>
      </c>
      <c r="V200" s="549">
        <v>1.1230208261416894E-2</v>
      </c>
      <c r="W200" s="549">
        <v>9.0549127372381924E-3</v>
      </c>
      <c r="X200" s="549">
        <v>7.2917977875275935E-3</v>
      </c>
      <c r="Y200" s="549">
        <v>5.8789473125465379E-3</v>
      </c>
      <c r="Z200" s="549">
        <v>4.7587714936716758E-3</v>
      </c>
      <c r="AA200" s="549">
        <v>3.87834510355746E-3</v>
      </c>
      <c r="AB200" s="549">
        <v>3.186372709901051E-3</v>
      </c>
      <c r="AC200" s="549">
        <v>2.6422467399658247E-3</v>
      </c>
      <c r="AD200" s="549">
        <v>2.2129733566543181E-3</v>
      </c>
      <c r="AE200" s="549">
        <v>1.8713958980698235E-3</v>
      </c>
      <c r="AF200" s="549">
        <v>1.5924298368985659E-3</v>
      </c>
    </row>
    <row r="201" spans="1:32" x14ac:dyDescent="0.25">
      <c r="A201" s="552"/>
      <c r="B201" s="552" t="s">
        <v>34</v>
      </c>
      <c r="C201" s="539"/>
      <c r="D201" s="539"/>
      <c r="E201" s="539"/>
      <c r="F201" s="539"/>
      <c r="G201" s="549">
        <v>4.6295998180794148E-2</v>
      </c>
      <c r="H201" s="549">
        <v>5.4123436784648066E-2</v>
      </c>
      <c r="I201" s="549">
        <v>5.6468224128343569E-2</v>
      </c>
      <c r="J201" s="549">
        <v>5.6036452138286529E-2</v>
      </c>
      <c r="K201" s="549">
        <v>5.3657071054087485E-2</v>
      </c>
      <c r="L201" s="549">
        <v>5.1256012822923115E-2</v>
      </c>
      <c r="M201" s="549">
        <v>4.8578843938007821E-2</v>
      </c>
      <c r="N201" s="549">
        <v>4.4246349159048189E-2</v>
      </c>
      <c r="O201" s="549">
        <v>4.0075498904601638E-2</v>
      </c>
      <c r="P201" s="549">
        <v>3.6114702149080261E-2</v>
      </c>
      <c r="Q201" s="549">
        <v>3.243715320927109E-2</v>
      </c>
      <c r="R201" s="549">
        <v>2.8744684994105648E-2</v>
      </c>
      <c r="S201" s="549">
        <v>2.5175197137151918E-2</v>
      </c>
      <c r="T201" s="549">
        <v>2.1836764348113099E-2</v>
      </c>
      <c r="U201" s="549">
        <v>1.880203887901959E-2</v>
      </c>
      <c r="V201" s="549">
        <v>1.6114585199797894E-2</v>
      </c>
      <c r="W201" s="549">
        <v>1.3782824615426676E-2</v>
      </c>
      <c r="X201" s="549">
        <v>1.1793121169447838E-2</v>
      </c>
      <c r="Y201" s="549">
        <v>1.0117084301946497E-2</v>
      </c>
      <c r="Z201" s="549">
        <v>8.7213715405063761E-3</v>
      </c>
      <c r="AA201" s="549">
        <v>7.5704145138942129E-3</v>
      </c>
      <c r="AB201" s="549">
        <v>6.6254765590207723E-3</v>
      </c>
      <c r="AC201" s="549">
        <v>5.8503986796653836E-3</v>
      </c>
      <c r="AD201" s="549">
        <v>5.2122498907489229E-3</v>
      </c>
      <c r="AE201" s="549">
        <v>4.6871561331735794E-3</v>
      </c>
      <c r="AF201" s="549">
        <v>4.247559644756687E-3</v>
      </c>
    </row>
    <row r="202" spans="1:32" x14ac:dyDescent="0.25">
      <c r="A202" s="550"/>
      <c r="B202" s="552" t="s">
        <v>35</v>
      </c>
      <c r="C202" s="539"/>
      <c r="D202" s="539"/>
      <c r="E202" s="539"/>
      <c r="F202" s="539"/>
      <c r="G202" s="549">
        <v>6.510053876576433E-3</v>
      </c>
      <c r="H202" s="549">
        <v>6.595546875092036E-3</v>
      </c>
      <c r="I202" s="549">
        <v>6.680495053284892E-3</v>
      </c>
      <c r="J202" s="549">
        <v>6.7739950295030655E-3</v>
      </c>
      <c r="K202" s="549">
        <v>6.8859263504896292E-3</v>
      </c>
      <c r="L202" s="549">
        <v>6.9257657860495488E-3</v>
      </c>
      <c r="M202" s="549">
        <v>6.9070881592643634E-3</v>
      </c>
      <c r="N202" s="549">
        <v>6.8160925004489862E-3</v>
      </c>
      <c r="O202" s="549">
        <v>6.6509631029569955E-3</v>
      </c>
      <c r="P202" s="549">
        <v>6.4153895637059878E-3</v>
      </c>
      <c r="Q202" s="549">
        <v>6.1249377540660279E-3</v>
      </c>
      <c r="R202" s="549">
        <v>5.7963228621269068E-3</v>
      </c>
      <c r="S202" s="549">
        <v>5.4419354593611812E-3</v>
      </c>
      <c r="T202" s="549">
        <v>5.075185912568502E-3</v>
      </c>
      <c r="U202" s="549">
        <v>4.7079573506572528E-3</v>
      </c>
      <c r="V202" s="549">
        <v>4.3490913304027566E-3</v>
      </c>
      <c r="W202" s="549">
        <v>4.0062278003587873E-3</v>
      </c>
      <c r="X202" s="549">
        <v>3.6849446984895092E-3</v>
      </c>
      <c r="Y202" s="549">
        <v>3.3878468465740703E-3</v>
      </c>
      <c r="Z202" s="549">
        <v>3.1076057032170239E-3</v>
      </c>
      <c r="AA202" s="549">
        <v>2.8527420432087609E-3</v>
      </c>
      <c r="AB202" s="549">
        <v>2.621796239776404E-3</v>
      </c>
      <c r="AC202" s="549">
        <v>2.4135569757099606E-3</v>
      </c>
      <c r="AD202" s="549">
        <v>2.2268222260104172E-3</v>
      </c>
      <c r="AE202" s="549">
        <v>2.0595471786746112E-3</v>
      </c>
      <c r="AF202" s="549">
        <v>1.909571939773039E-3</v>
      </c>
    </row>
    <row r="203" spans="1:32" x14ac:dyDescent="0.25">
      <c r="A203" s="550"/>
      <c r="B203" s="552" t="s">
        <v>29</v>
      </c>
      <c r="C203" s="539"/>
      <c r="D203" s="539"/>
      <c r="E203" s="539"/>
      <c r="F203" s="539"/>
      <c r="G203" s="549">
        <v>0</v>
      </c>
      <c r="H203" s="549">
        <v>6.2249707243762205E-5</v>
      </c>
      <c r="I203" s="549">
        <v>2.0735875770758072E-4</v>
      </c>
      <c r="J203" s="549">
        <v>4.6855672738865914E-4</v>
      </c>
      <c r="K203" s="549">
        <v>8.496927918934733E-4</v>
      </c>
      <c r="L203" s="549">
        <v>1.3164750972355938E-3</v>
      </c>
      <c r="M203" s="549">
        <v>1.8572143720218082E-3</v>
      </c>
      <c r="N203" s="549">
        <v>2.4478369470684884E-3</v>
      </c>
      <c r="O203" s="549">
        <v>3.0651075213271582E-3</v>
      </c>
      <c r="P203" s="549">
        <v>3.6845387669261248E-3</v>
      </c>
      <c r="Q203" s="549">
        <v>4.2866275451940482E-3</v>
      </c>
      <c r="R203" s="549">
        <v>4.8747893047159652E-3</v>
      </c>
      <c r="S203" s="549">
        <v>5.430317839967766E-3</v>
      </c>
      <c r="T203" s="549">
        <v>5.9401626041442473E-3</v>
      </c>
      <c r="U203" s="549">
        <v>6.3965400598036612E-3</v>
      </c>
      <c r="V203" s="549">
        <v>6.7952567381670721E-3</v>
      </c>
      <c r="W203" s="549">
        <v>7.1372945059830261E-3</v>
      </c>
      <c r="X203" s="549">
        <v>7.4261679439257692E-3</v>
      </c>
      <c r="Y203" s="549">
        <v>7.6672483432128234E-3</v>
      </c>
      <c r="Z203" s="549">
        <v>7.8661905649962567E-3</v>
      </c>
      <c r="AA203" s="549">
        <v>8.0286986139004746E-3</v>
      </c>
      <c r="AB203" s="549">
        <v>8.1607767349572216E-3</v>
      </c>
      <c r="AC203" s="549">
        <v>8.267899219666407E-3</v>
      </c>
      <c r="AD203" s="549">
        <v>8.3548419559204209E-3</v>
      </c>
      <c r="AE203" s="549">
        <v>8.4252970480098877E-3</v>
      </c>
      <c r="AF203" s="549">
        <v>8.4833402261998547E-3</v>
      </c>
    </row>
    <row r="204" spans="1:32" x14ac:dyDescent="0.25">
      <c r="A204" s="550"/>
      <c r="B204" s="550"/>
      <c r="C204" s="539"/>
      <c r="D204" s="539"/>
      <c r="E204" s="539"/>
      <c r="F204" s="539"/>
      <c r="G204" s="549" t="str">
        <v/>
      </c>
      <c r="H204" s="549" t="str">
        <v/>
      </c>
      <c r="I204" s="549" t="str">
        <v/>
      </c>
      <c r="J204" s="549" t="str">
        <v/>
      </c>
      <c r="K204" s="549" t="str">
        <v/>
      </c>
      <c r="L204" s="549" t="str">
        <v/>
      </c>
      <c r="M204" s="549" t="str">
        <v/>
      </c>
      <c r="N204" s="549" t="str">
        <v/>
      </c>
      <c r="O204" s="549" t="str">
        <v/>
      </c>
      <c r="P204" s="549" t="str">
        <v/>
      </c>
      <c r="Q204" s="549" t="str">
        <v/>
      </c>
      <c r="R204" s="549" t="str">
        <v/>
      </c>
      <c r="S204" s="549" t="str">
        <v/>
      </c>
      <c r="T204" s="549" t="str">
        <v/>
      </c>
      <c r="U204" s="549" t="str">
        <v/>
      </c>
      <c r="V204" s="549" t="str">
        <v/>
      </c>
      <c r="W204" s="549" t="str">
        <v/>
      </c>
      <c r="X204" s="549" t="str">
        <v/>
      </c>
      <c r="Y204" s="549" t="str">
        <v/>
      </c>
      <c r="Z204" s="549" t="str">
        <v/>
      </c>
      <c r="AA204" s="549" t="str">
        <v/>
      </c>
      <c r="AB204" s="549" t="str">
        <v/>
      </c>
      <c r="AC204" s="549" t="str">
        <v/>
      </c>
      <c r="AD204" s="549" t="str">
        <v/>
      </c>
      <c r="AE204" s="549" t="str">
        <v/>
      </c>
      <c r="AF204" s="549" t="str">
        <v/>
      </c>
    </row>
    <row r="205" spans="1:32" s="202" customFormat="1" ht="12.75" x14ac:dyDescent="0.2">
      <c r="A205" s="556" t="s">
        <v>36</v>
      </c>
      <c r="B205" s="556"/>
      <c r="C205" s="556"/>
      <c r="D205" s="556"/>
      <c r="E205" s="556"/>
      <c r="F205" s="556"/>
      <c r="G205" s="632" t="str">
        <v/>
      </c>
      <c r="H205" s="632" t="str">
        <v/>
      </c>
      <c r="I205" s="632" t="str">
        <v/>
      </c>
      <c r="J205" s="632" t="str">
        <v/>
      </c>
      <c r="K205" s="632" t="str">
        <v/>
      </c>
      <c r="L205" s="632" t="str">
        <v/>
      </c>
      <c r="M205" s="632" t="str">
        <v/>
      </c>
      <c r="N205" s="632" t="str">
        <v/>
      </c>
      <c r="O205" s="632" t="str">
        <v/>
      </c>
      <c r="P205" s="632" t="str">
        <v/>
      </c>
      <c r="Q205" s="632" t="str">
        <v/>
      </c>
      <c r="R205" s="632" t="str">
        <v/>
      </c>
      <c r="S205" s="632" t="str">
        <v/>
      </c>
      <c r="T205" s="632" t="str">
        <v/>
      </c>
      <c r="U205" s="632" t="str">
        <v/>
      </c>
      <c r="V205" s="632" t="str">
        <v/>
      </c>
      <c r="W205" s="632" t="str">
        <v/>
      </c>
      <c r="X205" s="632" t="str">
        <v/>
      </c>
      <c r="Y205" s="632" t="str">
        <v/>
      </c>
      <c r="Z205" s="632" t="str">
        <v/>
      </c>
      <c r="AA205" s="632" t="str">
        <v/>
      </c>
      <c r="AB205" s="632" t="str">
        <v/>
      </c>
      <c r="AC205" s="632" t="str">
        <v/>
      </c>
      <c r="AD205" s="632" t="str">
        <v/>
      </c>
      <c r="AE205" s="632" t="str">
        <v/>
      </c>
      <c r="AF205" s="632" t="str">
        <v/>
      </c>
    </row>
    <row r="206" spans="1:32" x14ac:dyDescent="0.25">
      <c r="A206" s="550"/>
      <c r="B206" s="550" t="s">
        <v>37</v>
      </c>
      <c r="C206" s="539"/>
      <c r="D206" s="539"/>
      <c r="E206" s="539"/>
      <c r="F206" s="201"/>
      <c r="G206" s="549">
        <v>3.6261386559243186E-2</v>
      </c>
      <c r="H206" s="549">
        <v>3.3275412751697507E-2</v>
      </c>
      <c r="I206" s="549">
        <v>3.0343695082460601E-2</v>
      </c>
      <c r="J206" s="549">
        <v>2.7500174927171286E-2</v>
      </c>
      <c r="K206" s="549">
        <v>2.4788911096193397E-2</v>
      </c>
      <c r="L206" s="549">
        <v>2.234140879693667E-2</v>
      </c>
      <c r="M206" s="549">
        <v>2.0135193547427099E-2</v>
      </c>
      <c r="N206" s="549">
        <v>1.815596946341038E-2</v>
      </c>
      <c r="O206" s="549">
        <v>1.6385367403325805E-2</v>
      </c>
      <c r="P206" s="549">
        <v>1.4798792814818842E-2</v>
      </c>
      <c r="Q206" s="549">
        <v>1.3376021843023157E-2</v>
      </c>
      <c r="R206" s="549">
        <v>1.2101606356296464E-2</v>
      </c>
      <c r="S206" s="549">
        <v>1.095548549216613E-2</v>
      </c>
      <c r="T206" s="549">
        <v>9.9243043776616243E-3</v>
      </c>
      <c r="U206" s="549">
        <v>8.9961005758435342E-3</v>
      </c>
      <c r="V206" s="549">
        <v>8.1589070431972444E-3</v>
      </c>
      <c r="W206" s="549">
        <v>7.4042944584800019E-3</v>
      </c>
      <c r="X206" s="549">
        <v>6.7245392462654228E-3</v>
      </c>
      <c r="Y206" s="549">
        <v>6.1121209179365596E-3</v>
      </c>
      <c r="Z206" s="549">
        <v>5.5591975963590586E-3</v>
      </c>
      <c r="AA206" s="549">
        <v>5.0587714161871985E-3</v>
      </c>
      <c r="AB206" s="549">
        <v>4.6045096397293057E-3</v>
      </c>
      <c r="AC206" s="549">
        <v>4.1935090846204823E-3</v>
      </c>
      <c r="AD206" s="549">
        <v>3.8214306624599018E-3</v>
      </c>
      <c r="AE206" s="549">
        <v>3.4843910156590009E-3</v>
      </c>
      <c r="AF206" s="549">
        <v>3.1789099082917436E-3</v>
      </c>
    </row>
    <row r="207" spans="1:32" x14ac:dyDescent="0.25">
      <c r="A207" s="550"/>
      <c r="B207" s="550" t="s">
        <v>39</v>
      </c>
      <c r="C207" s="539"/>
      <c r="D207" s="539"/>
      <c r="E207" s="203"/>
      <c r="F207" s="539"/>
      <c r="G207" s="549">
        <v>6.2988530661173625E-3</v>
      </c>
      <c r="H207" s="549">
        <v>8.1605062095411289E-3</v>
      </c>
      <c r="I207" s="549">
        <v>9.8181413783313964E-3</v>
      </c>
      <c r="J207" s="549">
        <v>1.1224977009614678E-2</v>
      </c>
      <c r="K207" s="549">
        <v>1.2310397798353483E-2</v>
      </c>
      <c r="L207" s="549">
        <v>1.30449414227327E-2</v>
      </c>
      <c r="M207" s="549">
        <v>1.3472124971448111E-2</v>
      </c>
      <c r="N207" s="549">
        <v>1.3667836739261426E-2</v>
      </c>
      <c r="O207" s="549">
        <v>1.3670903199909034E-2</v>
      </c>
      <c r="P207" s="549">
        <v>1.3525082390519758E-2</v>
      </c>
      <c r="Q207" s="549">
        <v>1.326550924330186E-2</v>
      </c>
      <c r="R207" s="549">
        <v>1.2923646233376525E-2</v>
      </c>
      <c r="S207" s="549">
        <v>1.2523822778265685E-2</v>
      </c>
      <c r="T207" s="549">
        <v>1.2086041454383281E-2</v>
      </c>
      <c r="U207" s="549">
        <v>1.1625708133444655E-2</v>
      </c>
      <c r="V207" s="549">
        <v>1.1155080735927227E-2</v>
      </c>
      <c r="W207" s="549">
        <v>1.0683705881068983E-2</v>
      </c>
      <c r="X207" s="549">
        <v>1.0218992635170319E-2</v>
      </c>
      <c r="Y207" s="549">
        <v>9.7659085260039039E-3</v>
      </c>
      <c r="Z207" s="549">
        <v>9.3273267574574773E-3</v>
      </c>
      <c r="AA207" s="549">
        <v>8.9049799555241272E-3</v>
      </c>
      <c r="AB207" s="549">
        <v>8.4985150352483978E-3</v>
      </c>
      <c r="AC207" s="549">
        <v>8.1107769263145859E-3</v>
      </c>
      <c r="AD207" s="549">
        <v>7.7418711760566467E-3</v>
      </c>
      <c r="AE207" s="549">
        <v>7.3913584723510201E-3</v>
      </c>
      <c r="AF207" s="549">
        <v>7.0573747816292066E-3</v>
      </c>
    </row>
    <row r="208" spans="1:32" x14ac:dyDescent="0.25">
      <c r="A208" s="550"/>
      <c r="B208" s="550" t="s">
        <v>40</v>
      </c>
      <c r="C208" s="539"/>
      <c r="D208" s="539"/>
      <c r="E208" s="539"/>
      <c r="F208" s="539"/>
      <c r="G208" s="549">
        <v>0</v>
      </c>
      <c r="H208" s="549">
        <v>5.6101077852367697E-4</v>
      </c>
      <c r="I208" s="549">
        <v>1.2230068989192897E-3</v>
      </c>
      <c r="J208" s="549">
        <v>1.9791912357809078E-3</v>
      </c>
      <c r="K208" s="549">
        <v>2.809828766660972E-3</v>
      </c>
      <c r="L208" s="549">
        <v>3.6504300616589801E-3</v>
      </c>
      <c r="M208" s="549">
        <v>4.4756321749168347E-3</v>
      </c>
      <c r="N208" s="549">
        <v>5.2515052335627352E-3</v>
      </c>
      <c r="O208" s="549">
        <v>5.9543174014422672E-3</v>
      </c>
      <c r="P208" s="549">
        <v>6.5680307912236481E-3</v>
      </c>
      <c r="Q208" s="549">
        <v>7.0836344776517603E-3</v>
      </c>
      <c r="R208" s="549">
        <v>7.4991888498238844E-3</v>
      </c>
      <c r="S208" s="549">
        <v>7.8182371254175605E-3</v>
      </c>
      <c r="T208" s="549">
        <v>8.0471552331238313E-3</v>
      </c>
      <c r="U208" s="549">
        <v>8.1952006049555489E-3</v>
      </c>
      <c r="V208" s="549">
        <v>8.273581836413111E-3</v>
      </c>
      <c r="W208" s="549">
        <v>8.293520407417862E-3</v>
      </c>
      <c r="X208" s="549">
        <v>8.2659838379528852E-3</v>
      </c>
      <c r="Y208" s="549">
        <v>8.2008012515773724E-3</v>
      </c>
      <c r="Z208" s="549">
        <v>8.1063612140067701E-3</v>
      </c>
      <c r="AA208" s="549">
        <v>7.989626165813642E-3</v>
      </c>
      <c r="AB208" s="549">
        <v>7.8554189743327858E-3</v>
      </c>
      <c r="AC208" s="549">
        <v>7.7094291546176653E-3</v>
      </c>
      <c r="AD208" s="549">
        <v>7.555365657714818E-3</v>
      </c>
      <c r="AE208" s="549">
        <v>7.3960020526868103E-3</v>
      </c>
      <c r="AF208" s="549">
        <v>7.232532083298048E-3</v>
      </c>
    </row>
    <row r="209" spans="1:32" x14ac:dyDescent="0.25">
      <c r="A209" s="550"/>
      <c r="B209" s="550" t="s">
        <v>29</v>
      </c>
      <c r="C209" s="539"/>
      <c r="D209" s="539"/>
      <c r="E209" s="539"/>
      <c r="F209" s="539"/>
      <c r="G209" s="549">
        <v>0</v>
      </c>
      <c r="H209" s="549">
        <v>6.3916535032464665E-8</v>
      </c>
      <c r="I209" s="549">
        <v>1.330107152700703E-6</v>
      </c>
      <c r="J209" s="549">
        <v>8.1048121687591194E-6</v>
      </c>
      <c r="K209" s="549">
        <v>2.7576941718712137E-5</v>
      </c>
      <c r="L209" s="549">
        <v>6.7243026562794709E-5</v>
      </c>
      <c r="M209" s="549">
        <v>1.3366644862435747E-4</v>
      </c>
      <c r="N209" s="549">
        <v>2.2972434703169347E-4</v>
      </c>
      <c r="O209" s="549">
        <v>3.5600317102276249E-4</v>
      </c>
      <c r="P209" s="549">
        <v>5.1081343050398981E-4</v>
      </c>
      <c r="Q209" s="549">
        <v>6.9168877921638237E-4</v>
      </c>
      <c r="R209" s="549">
        <v>8.9853992457183322E-4</v>
      </c>
      <c r="S209" s="549">
        <v>1.1282655812366485E-3</v>
      </c>
      <c r="T209" s="549">
        <v>1.3764370076230848E-3</v>
      </c>
      <c r="U209" s="549">
        <v>1.6384256554883502E-3</v>
      </c>
      <c r="V209" s="549">
        <v>1.9095977799004659E-3</v>
      </c>
      <c r="W209" s="549">
        <v>2.1852251693173937E-3</v>
      </c>
      <c r="X209" s="549">
        <v>2.4610191418210038E-3</v>
      </c>
      <c r="Y209" s="549">
        <v>2.7336741514878094E-3</v>
      </c>
      <c r="Z209" s="549">
        <v>3.000998574632817E-3</v>
      </c>
      <c r="AA209" s="549">
        <v>3.261425374059644E-3</v>
      </c>
      <c r="AB209" s="549">
        <v>3.514622800005144E-3</v>
      </c>
      <c r="AC209" s="549">
        <v>3.7582950146934136E-3</v>
      </c>
      <c r="AD209" s="549">
        <v>3.9919407456889882E-3</v>
      </c>
      <c r="AE209" s="549">
        <v>4.2154619701922809E-3</v>
      </c>
      <c r="AF209" s="549">
        <v>4.4297055997973775E-3</v>
      </c>
    </row>
    <row r="210" spans="1:32" x14ac:dyDescent="0.25">
      <c r="A210" s="550"/>
      <c r="B210" s="550"/>
      <c r="C210" s="539"/>
      <c r="D210" s="539"/>
      <c r="E210" s="539"/>
      <c r="F210" s="539"/>
      <c r="G210" s="549" t="str">
        <v/>
      </c>
      <c r="H210" s="549" t="str">
        <v/>
      </c>
      <c r="I210" s="549" t="str">
        <v/>
      </c>
      <c r="J210" s="549" t="str">
        <v/>
      </c>
      <c r="K210" s="549" t="str">
        <v/>
      </c>
      <c r="L210" s="549" t="str">
        <v/>
      </c>
      <c r="M210" s="549" t="str">
        <v/>
      </c>
      <c r="N210" s="549" t="str">
        <v/>
      </c>
      <c r="O210" s="549" t="str">
        <v/>
      </c>
      <c r="P210" s="549" t="str">
        <v/>
      </c>
      <c r="Q210" s="549" t="str">
        <v/>
      </c>
      <c r="R210" s="549" t="str">
        <v/>
      </c>
      <c r="S210" s="549" t="str">
        <v/>
      </c>
      <c r="T210" s="549" t="str">
        <v/>
      </c>
      <c r="U210" s="549" t="str">
        <v/>
      </c>
      <c r="V210" s="549" t="str">
        <v/>
      </c>
      <c r="W210" s="549" t="str">
        <v/>
      </c>
      <c r="X210" s="549" t="str">
        <v/>
      </c>
      <c r="Y210" s="549" t="str">
        <v/>
      </c>
      <c r="Z210" s="549" t="str">
        <v/>
      </c>
      <c r="AA210" s="549" t="str">
        <v/>
      </c>
      <c r="AB210" s="549" t="str">
        <v/>
      </c>
      <c r="AC210" s="549" t="str">
        <v/>
      </c>
      <c r="AD210" s="549" t="str">
        <v/>
      </c>
      <c r="AE210" s="549" t="str">
        <v/>
      </c>
      <c r="AF210" s="549" t="str">
        <v/>
      </c>
    </row>
    <row r="211" spans="1:32" s="202" customFormat="1" ht="12.75" x14ac:dyDescent="0.2">
      <c r="A211" s="556" t="s">
        <v>42</v>
      </c>
      <c r="B211" s="556"/>
      <c r="C211" s="556"/>
      <c r="D211" s="556"/>
      <c r="E211" s="556"/>
      <c r="F211" s="556"/>
      <c r="G211" s="632" t="str">
        <v/>
      </c>
      <c r="H211" s="632" t="str">
        <v/>
      </c>
      <c r="I211" s="632" t="str">
        <v/>
      </c>
      <c r="J211" s="632" t="str">
        <v/>
      </c>
      <c r="K211" s="632" t="str">
        <v/>
      </c>
      <c r="L211" s="632" t="str">
        <v/>
      </c>
      <c r="M211" s="632" t="str">
        <v/>
      </c>
      <c r="N211" s="632" t="str">
        <v/>
      </c>
      <c r="O211" s="632" t="str">
        <v/>
      </c>
      <c r="P211" s="632" t="str">
        <v/>
      </c>
      <c r="Q211" s="632" t="str">
        <v/>
      </c>
      <c r="R211" s="632" t="str">
        <v/>
      </c>
      <c r="S211" s="632" t="str">
        <v/>
      </c>
      <c r="T211" s="632" t="str">
        <v/>
      </c>
      <c r="U211" s="632" t="str">
        <v/>
      </c>
      <c r="V211" s="632" t="str">
        <v/>
      </c>
      <c r="W211" s="632" t="str">
        <v/>
      </c>
      <c r="X211" s="632" t="str">
        <v/>
      </c>
      <c r="Y211" s="632" t="str">
        <v/>
      </c>
      <c r="Z211" s="632" t="str">
        <v/>
      </c>
      <c r="AA211" s="632" t="str">
        <v/>
      </c>
      <c r="AB211" s="632" t="str">
        <v/>
      </c>
      <c r="AC211" s="632" t="str">
        <v/>
      </c>
      <c r="AD211" s="632" t="str">
        <v/>
      </c>
      <c r="AE211" s="632" t="str">
        <v/>
      </c>
      <c r="AF211" s="632" t="str">
        <v/>
      </c>
    </row>
    <row r="212" spans="1:32" x14ac:dyDescent="0.25">
      <c r="A212" s="550"/>
      <c r="B212" s="552" t="s">
        <v>43</v>
      </c>
      <c r="C212" s="539"/>
      <c r="D212" s="539"/>
      <c r="E212" s="539"/>
      <c r="F212" s="539"/>
      <c r="G212" s="549">
        <v>1.221451093399441E-4</v>
      </c>
      <c r="H212" s="549">
        <v>1.1304260593918838E-4</v>
      </c>
      <c r="I212" s="549">
        <v>1.0464004923548154E-4</v>
      </c>
      <c r="J212" s="549">
        <v>9.6901600046220027E-5</v>
      </c>
      <c r="K212" s="549">
        <v>8.9836946954545985E-5</v>
      </c>
      <c r="L212" s="549">
        <v>8.3338360715092935E-5</v>
      </c>
      <c r="M212" s="549">
        <v>7.7362421237663629E-5</v>
      </c>
      <c r="N212" s="549">
        <v>7.1880812719259468E-5</v>
      </c>
      <c r="O212" s="549">
        <v>6.6843367075333586E-5</v>
      </c>
      <c r="P212" s="549">
        <v>6.2207188989687529E-5</v>
      </c>
      <c r="Q212" s="549">
        <v>5.7939472219433622E-5</v>
      </c>
      <c r="R212" s="549">
        <v>5.4020320057558115E-5</v>
      </c>
      <c r="S212" s="549">
        <v>5.0407829172908618E-5</v>
      </c>
      <c r="T212" s="549">
        <v>4.708035175450154E-5</v>
      </c>
      <c r="U212" s="549">
        <v>4.4017446575407603E-5</v>
      </c>
      <c r="V212" s="549">
        <v>4.1194488121973999E-5</v>
      </c>
      <c r="W212" s="549">
        <v>3.859756049955379E-5</v>
      </c>
      <c r="X212" s="549">
        <v>3.6212751290573893E-5</v>
      </c>
      <c r="Y212" s="549">
        <v>3.4024285503372773E-5</v>
      </c>
      <c r="Z212" s="549">
        <v>3.2012346157137857E-5</v>
      </c>
      <c r="AA212" s="549">
        <v>3.0158358749217716E-5</v>
      </c>
      <c r="AB212" s="549">
        <v>2.8444512031985388E-5</v>
      </c>
      <c r="AC212" s="549">
        <v>2.6867349293993081E-5</v>
      </c>
      <c r="AD212" s="549">
        <v>2.5415546868094012E-5</v>
      </c>
      <c r="AE212" s="549">
        <v>2.4078681913735465E-5</v>
      </c>
      <c r="AF212" s="549">
        <v>2.2847107472052182E-5</v>
      </c>
    </row>
    <row r="213" spans="1:32" x14ac:dyDescent="0.25">
      <c r="A213" s="550"/>
      <c r="B213" s="552" t="s">
        <v>44</v>
      </c>
      <c r="C213" s="539"/>
      <c r="D213" s="539"/>
      <c r="E213" s="539"/>
      <c r="F213" s="539"/>
      <c r="G213" s="549">
        <v>1.0899134137797351E-5</v>
      </c>
      <c r="H213" s="549">
        <v>7.4904860200233783E-5</v>
      </c>
      <c r="I213" s="549">
        <v>1.3112198014181761E-4</v>
      </c>
      <c r="J213" s="549">
        <v>1.7967302932894198E-4</v>
      </c>
      <c r="K213" s="549">
        <v>2.205946553808388E-4</v>
      </c>
      <c r="L213" s="549">
        <v>2.5477496518740318E-4</v>
      </c>
      <c r="M213" s="549">
        <v>2.8282126253512271E-4</v>
      </c>
      <c r="N213" s="549">
        <v>3.0536432172291461E-4</v>
      </c>
      <c r="O213" s="549">
        <v>3.2316732579177259E-4</v>
      </c>
      <c r="P213" s="549">
        <v>3.3695497839462393E-4</v>
      </c>
      <c r="Q213" s="549">
        <v>3.4739222230695325E-4</v>
      </c>
      <c r="R213" s="549">
        <v>3.5507951536248701E-4</v>
      </c>
      <c r="S213" s="549">
        <v>3.6060214677343402E-4</v>
      </c>
      <c r="T213" s="549">
        <v>3.6443371919419579E-4</v>
      </c>
      <c r="U213" s="549">
        <v>3.6697194487446568E-4</v>
      </c>
      <c r="V213" s="549">
        <v>3.6854162511022189E-4</v>
      </c>
      <c r="W213" s="549">
        <v>3.6939270023973806E-4</v>
      </c>
      <c r="X213" s="549">
        <v>3.6971932158324529E-4</v>
      </c>
      <c r="Y213" s="549">
        <v>3.6966838473478491E-4</v>
      </c>
      <c r="Z213" s="549">
        <v>3.6934673993614507E-4</v>
      </c>
      <c r="AA213" s="549">
        <v>3.6883018666024971E-4</v>
      </c>
      <c r="AB213" s="549">
        <v>3.6817146327944831E-4</v>
      </c>
      <c r="AC213" s="549">
        <v>3.6741574030308902E-4</v>
      </c>
      <c r="AD213" s="549">
        <v>3.6659387834781475E-4</v>
      </c>
      <c r="AE213" s="549">
        <v>3.6572632961520105E-4</v>
      </c>
      <c r="AF213" s="549">
        <v>3.648263440249626E-4</v>
      </c>
    </row>
    <row r="214" spans="1:32" x14ac:dyDescent="0.25">
      <c r="A214" s="550"/>
      <c r="B214" s="552" t="s">
        <v>45</v>
      </c>
      <c r="C214" s="539"/>
      <c r="D214" s="539"/>
      <c r="E214" s="539"/>
      <c r="F214" s="539"/>
      <c r="G214" s="549">
        <v>5.4222349223899608E-4</v>
      </c>
      <c r="H214" s="549">
        <v>4.9567490175360699E-4</v>
      </c>
      <c r="I214" s="549">
        <v>4.5359060432492915E-4</v>
      </c>
      <c r="J214" s="549">
        <v>4.1510639484848599E-4</v>
      </c>
      <c r="K214" s="549">
        <v>3.8025463639069259E-4</v>
      </c>
      <c r="L214" s="549">
        <v>3.4848203504306155E-4</v>
      </c>
      <c r="M214" s="549">
        <v>3.1954475500765091E-4</v>
      </c>
      <c r="N214" s="549">
        <v>2.9326285463825879E-4</v>
      </c>
      <c r="O214" s="549">
        <v>2.6935053980946938E-4</v>
      </c>
      <c r="P214" s="549">
        <v>2.4755754998074376E-4</v>
      </c>
      <c r="Q214" s="549">
        <v>2.2768373210574458E-4</v>
      </c>
      <c r="R214" s="549">
        <v>2.0959107404003655E-4</v>
      </c>
      <c r="S214" s="549">
        <v>1.9304568956939248E-4</v>
      </c>
      <c r="T214" s="549">
        <v>1.7791197428235119E-4</v>
      </c>
      <c r="U214" s="549">
        <v>1.6406580322827119E-4</v>
      </c>
      <c r="V214" s="549">
        <v>1.51370425963313E-4</v>
      </c>
      <c r="W214" s="549">
        <v>1.3974248485696913E-4</v>
      </c>
      <c r="X214" s="549">
        <v>1.2910321299571296E-4</v>
      </c>
      <c r="Y214" s="549">
        <v>1.1936962587611779E-4</v>
      </c>
      <c r="Z214" s="549">
        <v>1.1044431440775844E-4</v>
      </c>
      <c r="AA214" s="549">
        <v>1.0223799024569023E-4</v>
      </c>
      <c r="AB214" s="549">
        <v>9.4667049370345953E-5</v>
      </c>
      <c r="AC214" s="549">
        <v>8.7711265198530387E-5</v>
      </c>
      <c r="AD214" s="549">
        <v>8.131750516781087E-5</v>
      </c>
      <c r="AE214" s="549">
        <v>7.5437459327194664E-5</v>
      </c>
      <c r="AF214" s="549">
        <v>7.0027183636326345E-5</v>
      </c>
    </row>
    <row r="215" spans="1:32" x14ac:dyDescent="0.25">
      <c r="A215" s="550"/>
      <c r="B215" s="552" t="s">
        <v>46</v>
      </c>
      <c r="C215" s="539"/>
      <c r="D215" s="539"/>
      <c r="E215" s="539"/>
      <c r="F215" s="539"/>
      <c r="G215" s="549">
        <v>0</v>
      </c>
      <c r="H215" s="549">
        <v>0</v>
      </c>
      <c r="I215" s="549">
        <v>0</v>
      </c>
      <c r="J215" s="549">
        <v>0</v>
      </c>
      <c r="K215" s="549">
        <v>0</v>
      </c>
      <c r="L215" s="549">
        <v>0</v>
      </c>
      <c r="M215" s="549">
        <v>0</v>
      </c>
      <c r="N215" s="549">
        <v>0</v>
      </c>
      <c r="O215" s="549">
        <v>0</v>
      </c>
      <c r="P215" s="549">
        <v>0</v>
      </c>
      <c r="Q215" s="549">
        <v>0</v>
      </c>
      <c r="R215" s="549">
        <v>0</v>
      </c>
      <c r="S215" s="549">
        <v>0</v>
      </c>
      <c r="T215" s="549">
        <v>0</v>
      </c>
      <c r="U215" s="549">
        <v>0</v>
      </c>
      <c r="V215" s="549">
        <v>0</v>
      </c>
      <c r="W215" s="549">
        <v>0</v>
      </c>
      <c r="X215" s="549">
        <v>0</v>
      </c>
      <c r="Y215" s="549">
        <v>0</v>
      </c>
      <c r="Z215" s="549">
        <v>0</v>
      </c>
      <c r="AA215" s="549">
        <v>0</v>
      </c>
      <c r="AB215" s="549">
        <v>0</v>
      </c>
      <c r="AC215" s="549">
        <v>0</v>
      </c>
      <c r="AD215" s="549">
        <v>0</v>
      </c>
      <c r="AE215" s="549">
        <v>0</v>
      </c>
      <c r="AF215" s="549">
        <v>0</v>
      </c>
    </row>
    <row r="216" spans="1:32" x14ac:dyDescent="0.25">
      <c r="A216" s="550"/>
      <c r="B216" s="550" t="s">
        <v>29</v>
      </c>
      <c r="C216" s="539"/>
      <c r="D216" s="539"/>
      <c r="E216" s="539"/>
      <c r="F216" s="539"/>
      <c r="G216" s="549">
        <v>0</v>
      </c>
      <c r="H216" s="549">
        <v>2.1438159849220505E-6</v>
      </c>
      <c r="I216" s="549">
        <v>4.4752894805250691E-6</v>
      </c>
      <c r="J216" s="549">
        <v>6.9340904874677563E-6</v>
      </c>
      <c r="K216" s="549">
        <v>9.4835642358374844E-6</v>
      </c>
      <c r="L216" s="549">
        <v>1.2126395654556849E-5</v>
      </c>
      <c r="M216" s="549">
        <v>1.4858609579206557E-5</v>
      </c>
      <c r="N216" s="549">
        <v>1.76432123003519E-5</v>
      </c>
      <c r="O216" s="549">
        <v>2.0450988811668222E-5</v>
      </c>
      <c r="P216" s="549">
        <v>2.324912608790812E-5</v>
      </c>
      <c r="Q216" s="549">
        <v>2.6000349397120918E-5</v>
      </c>
      <c r="R216" s="549">
        <v>2.8760471643384269E-5</v>
      </c>
      <c r="S216" s="549">
        <v>3.1493579451263784E-5</v>
      </c>
      <c r="T216" s="549">
        <v>3.4159453113661767E-5</v>
      </c>
      <c r="U216" s="549">
        <v>3.672666381689107E-5</v>
      </c>
      <c r="V216" s="549">
        <v>3.917723484421508E-5</v>
      </c>
      <c r="W216" s="549">
        <v>4.1492582429686709E-5</v>
      </c>
      <c r="X216" s="549">
        <v>4.3661454344251391E-5</v>
      </c>
      <c r="Y216" s="549">
        <v>4.5680604681152253E-5</v>
      </c>
      <c r="Z216" s="549">
        <v>4.7555869530145248E-5</v>
      </c>
      <c r="AA216" s="549">
        <v>4.9295858900730691E-5</v>
      </c>
      <c r="AB216" s="549">
        <v>5.091156490965304E-5</v>
      </c>
      <c r="AC216" s="549">
        <v>5.24008822417851E-5</v>
      </c>
      <c r="AD216" s="549">
        <v>5.3771585245106789E-5</v>
      </c>
      <c r="AE216" s="549">
        <v>5.503166917742923E-5</v>
      </c>
      <c r="AF216" s="549">
        <v>5.6189286725860794E-5</v>
      </c>
    </row>
    <row r="217" spans="1:32" x14ac:dyDescent="0.25">
      <c r="A217" s="550"/>
      <c r="B217" s="550"/>
      <c r="C217" s="539"/>
      <c r="D217" s="539"/>
      <c r="E217" s="539"/>
      <c r="F217" s="539"/>
      <c r="G217" s="549" t="str">
        <v/>
      </c>
      <c r="H217" s="549" t="str">
        <v/>
      </c>
      <c r="I217" s="549" t="str">
        <v/>
      </c>
      <c r="J217" s="549" t="str">
        <v/>
      </c>
      <c r="K217" s="549" t="str">
        <v/>
      </c>
      <c r="L217" s="549" t="str">
        <v/>
      </c>
      <c r="M217" s="549" t="str">
        <v/>
      </c>
      <c r="N217" s="549" t="str">
        <v/>
      </c>
      <c r="O217" s="549" t="str">
        <v/>
      </c>
      <c r="P217" s="549" t="str">
        <v/>
      </c>
      <c r="Q217" s="549" t="str">
        <v/>
      </c>
      <c r="R217" s="549" t="str">
        <v/>
      </c>
      <c r="S217" s="549" t="str">
        <v/>
      </c>
      <c r="T217" s="549" t="str">
        <v/>
      </c>
      <c r="U217" s="549" t="str">
        <v/>
      </c>
      <c r="V217" s="549" t="str">
        <v/>
      </c>
      <c r="W217" s="549" t="str">
        <v/>
      </c>
      <c r="X217" s="549" t="str">
        <v/>
      </c>
      <c r="Y217" s="549" t="str">
        <v/>
      </c>
      <c r="Z217" s="549" t="str">
        <v/>
      </c>
      <c r="AA217" s="549" t="str">
        <v/>
      </c>
      <c r="AB217" s="549" t="str">
        <v/>
      </c>
      <c r="AC217" s="549" t="str">
        <v/>
      </c>
      <c r="AD217" s="549" t="str">
        <v/>
      </c>
      <c r="AE217" s="549" t="str">
        <v/>
      </c>
      <c r="AF217" s="549" t="str">
        <v/>
      </c>
    </row>
    <row r="218" spans="1:32" s="202" customFormat="1" ht="12.75" x14ac:dyDescent="0.2">
      <c r="A218" s="556" t="s">
        <v>47</v>
      </c>
      <c r="B218" s="556"/>
      <c r="C218" s="556"/>
      <c r="D218" s="556"/>
      <c r="E218" s="556"/>
      <c r="F218" s="556"/>
      <c r="G218" s="632" t="str">
        <v/>
      </c>
      <c r="H218" s="632" t="str">
        <v/>
      </c>
      <c r="I218" s="632" t="str">
        <v/>
      </c>
      <c r="J218" s="632" t="str">
        <v/>
      </c>
      <c r="K218" s="632" t="str">
        <v/>
      </c>
      <c r="L218" s="632" t="str">
        <v/>
      </c>
      <c r="M218" s="632" t="str">
        <v/>
      </c>
      <c r="N218" s="632" t="str">
        <v/>
      </c>
      <c r="O218" s="632" t="str">
        <v/>
      </c>
      <c r="P218" s="632" t="str">
        <v/>
      </c>
      <c r="Q218" s="632" t="str">
        <v/>
      </c>
      <c r="R218" s="632" t="str">
        <v/>
      </c>
      <c r="S218" s="632" t="str">
        <v/>
      </c>
      <c r="T218" s="632" t="str">
        <v/>
      </c>
      <c r="U218" s="632" t="str">
        <v/>
      </c>
      <c r="V218" s="632" t="str">
        <v/>
      </c>
      <c r="W218" s="632" t="str">
        <v/>
      </c>
      <c r="X218" s="632" t="str">
        <v/>
      </c>
      <c r="Y218" s="632" t="str">
        <v/>
      </c>
      <c r="Z218" s="632" t="str">
        <v/>
      </c>
      <c r="AA218" s="632" t="str">
        <v/>
      </c>
      <c r="AB218" s="632" t="str">
        <v/>
      </c>
      <c r="AC218" s="632" t="str">
        <v/>
      </c>
      <c r="AD218" s="632" t="str">
        <v/>
      </c>
      <c r="AE218" s="632" t="str">
        <v/>
      </c>
      <c r="AF218" s="632" t="str">
        <v/>
      </c>
    </row>
    <row r="219" spans="1:32" x14ac:dyDescent="0.25">
      <c r="A219" s="550"/>
      <c r="B219" s="550" t="s">
        <v>48</v>
      </c>
      <c r="C219" s="539"/>
      <c r="D219" s="539"/>
      <c r="E219" s="539"/>
      <c r="F219" s="539"/>
      <c r="G219" s="549">
        <v>0.14651339299654748</v>
      </c>
      <c r="H219" s="549">
        <v>0.13556448463898255</v>
      </c>
      <c r="I219" s="549">
        <v>0.10804824497426532</v>
      </c>
      <c r="J219" s="549">
        <v>7.0899882775077624E-2</v>
      </c>
      <c r="K219" s="549">
        <v>3.7862345823337071E-2</v>
      </c>
      <c r="L219" s="549">
        <v>1.7388524870213241E-2</v>
      </c>
      <c r="M219" s="549">
        <v>7.1258746676108875E-3</v>
      </c>
      <c r="N219" s="549">
        <v>2.7459614818917087E-3</v>
      </c>
      <c r="O219" s="549">
        <v>1.0162029968782422E-3</v>
      </c>
      <c r="P219" s="549">
        <v>3.6802509704471901E-4</v>
      </c>
      <c r="Q219" s="549">
        <v>1.3155499025130379E-4</v>
      </c>
      <c r="R219" s="549">
        <v>4.6686510213054057E-5</v>
      </c>
      <c r="S219" s="549">
        <v>1.6519771377712843E-5</v>
      </c>
      <c r="T219" s="549">
        <v>5.8447258911384883E-6</v>
      </c>
      <c r="U219" s="549">
        <v>2.0713252780896982E-6</v>
      </c>
      <c r="V219" s="549">
        <v>7.3642258387867061E-7</v>
      </c>
      <c r="W219" s="549">
        <v>2.6287566074682971E-7</v>
      </c>
      <c r="X219" s="549">
        <v>9.4276634542056829E-8</v>
      </c>
      <c r="Y219" s="549">
        <v>3.398239462047719E-8</v>
      </c>
      <c r="Z219" s="549">
        <v>1.2314443170565024E-8</v>
      </c>
      <c r="AA219" s="549">
        <v>4.4870432129664412E-9</v>
      </c>
      <c r="AB219" s="549">
        <v>1.6435964892170598E-9</v>
      </c>
      <c r="AC219" s="549">
        <v>6.055220889310044E-10</v>
      </c>
      <c r="AD219" s="549">
        <v>2.2438360952945017E-10</v>
      </c>
      <c r="AE219" s="549">
        <v>8.3633590099887207E-11</v>
      </c>
      <c r="AF219" s="549">
        <v>3.1347094380767098E-11</v>
      </c>
    </row>
    <row r="220" spans="1:32" x14ac:dyDescent="0.25">
      <c r="A220" s="550"/>
      <c r="B220" s="552" t="s">
        <v>50</v>
      </c>
      <c r="C220" s="539"/>
      <c r="D220" s="539"/>
      <c r="E220" s="539"/>
      <c r="F220" s="539"/>
      <c r="G220" s="549">
        <v>1.8380797920402446E-2</v>
      </c>
      <c r="H220" s="549">
        <v>1.8133741674565381E-2</v>
      </c>
      <c r="I220" s="549">
        <v>1.7514931149733511E-2</v>
      </c>
      <c r="J220" s="549">
        <v>1.6349655137634613E-2</v>
      </c>
      <c r="K220" s="549">
        <v>1.4670159615004931E-2</v>
      </c>
      <c r="L220" s="549">
        <v>1.2718554690097724E-2</v>
      </c>
      <c r="M220" s="549">
        <v>1.0709279807559247E-2</v>
      </c>
      <c r="N220" s="549">
        <v>8.8433053649969728E-3</v>
      </c>
      <c r="O220" s="549">
        <v>7.1966682669434602E-3</v>
      </c>
      <c r="P220" s="549">
        <v>5.8085252019453573E-3</v>
      </c>
      <c r="Q220" s="549">
        <v>4.6593177977588334E-3</v>
      </c>
      <c r="R220" s="549">
        <v>3.7232904111700856E-3</v>
      </c>
      <c r="S220" s="549">
        <v>2.9673574688587768E-3</v>
      </c>
      <c r="T220" s="549">
        <v>2.3609745186319326E-3</v>
      </c>
      <c r="U220" s="549">
        <v>1.8766157412118069E-3</v>
      </c>
      <c r="V220" s="549">
        <v>1.4908161037037078E-3</v>
      </c>
      <c r="W220" s="549">
        <v>1.1841163319153928E-3</v>
      </c>
      <c r="X220" s="549">
        <v>9.4065952260853505E-4</v>
      </c>
      <c r="Y220" s="549">
        <v>7.4754194311906364E-4</v>
      </c>
      <c r="Z220" s="549">
        <v>5.9431226263473682E-4</v>
      </c>
      <c r="AA220" s="549">
        <v>4.7362356379509763E-4</v>
      </c>
      <c r="AB220" s="549">
        <v>3.7674314138271865E-4</v>
      </c>
      <c r="AC220" s="549">
        <v>2.9985676861511343E-4</v>
      </c>
      <c r="AD220" s="549">
        <v>2.3880870497552622E-4</v>
      </c>
      <c r="AE220" s="549">
        <v>1.903114503769866E-4</v>
      </c>
      <c r="AF220" s="549">
        <v>1.5174939529849707E-4</v>
      </c>
    </row>
    <row r="221" spans="1:32" x14ac:dyDescent="0.25">
      <c r="A221" s="550"/>
      <c r="B221" s="550" t="s">
        <v>51</v>
      </c>
      <c r="C221" s="539"/>
      <c r="D221" s="539"/>
      <c r="E221" s="539"/>
      <c r="F221" s="539"/>
      <c r="G221" s="549">
        <v>5.3575693253840864E-3</v>
      </c>
      <c r="H221" s="549">
        <v>5.3290401805676079E-3</v>
      </c>
      <c r="I221" s="549">
        <v>5.2833111938910358E-3</v>
      </c>
      <c r="J221" s="549">
        <v>5.2046664815144587E-3</v>
      </c>
      <c r="K221" s="549">
        <v>5.0882623978835374E-3</v>
      </c>
      <c r="L221" s="549">
        <v>4.9329983133456993E-3</v>
      </c>
      <c r="M221" s="549">
        <v>4.7415947328137307E-3</v>
      </c>
      <c r="N221" s="549">
        <v>4.5215559165136272E-3</v>
      </c>
      <c r="O221" s="549">
        <v>4.2813268123398007E-3</v>
      </c>
      <c r="P221" s="549">
        <v>4.0295934953407369E-3</v>
      </c>
      <c r="Q221" s="549">
        <v>3.7734793492026348E-3</v>
      </c>
      <c r="R221" s="549">
        <v>3.519485152661705E-3</v>
      </c>
      <c r="S221" s="549">
        <v>3.2714799575003818E-3</v>
      </c>
      <c r="T221" s="549">
        <v>3.0327175375812541E-3</v>
      </c>
      <c r="U221" s="549">
        <v>2.8053399904709652E-3</v>
      </c>
      <c r="V221" s="549">
        <v>2.5905402396002438E-3</v>
      </c>
      <c r="W221" s="549">
        <v>2.3891121847855984E-3</v>
      </c>
      <c r="X221" s="549">
        <v>2.2013412408881691E-3</v>
      </c>
      <c r="Y221" s="549">
        <v>2.0270138392890127E-3</v>
      </c>
      <c r="Z221" s="549">
        <v>1.8656458353394345E-3</v>
      </c>
      <c r="AA221" s="549">
        <v>1.7164257027992369E-3</v>
      </c>
      <c r="AB221" s="549">
        <v>1.5783534193648803E-3</v>
      </c>
      <c r="AC221" s="549">
        <v>1.4484044479489836E-3</v>
      </c>
      <c r="AD221" s="549">
        <v>1.3288132685776756E-3</v>
      </c>
      <c r="AE221" s="549">
        <v>1.2188383238032072E-3</v>
      </c>
      <c r="AF221" s="549">
        <v>1.11770661905223E-3</v>
      </c>
    </row>
    <row r="222" spans="1:32" x14ac:dyDescent="0.25">
      <c r="A222" s="550"/>
      <c r="B222" s="550" t="s">
        <v>52</v>
      </c>
      <c r="C222" s="539"/>
      <c r="D222" s="539"/>
      <c r="E222" s="539"/>
      <c r="F222" s="539"/>
      <c r="G222" s="549">
        <v>7.3494745017825764E-3</v>
      </c>
      <c r="H222" s="549">
        <v>7.2908304407576195E-3</v>
      </c>
      <c r="I222" s="549">
        <v>7.1796787385051686E-3</v>
      </c>
      <c r="J222" s="549">
        <v>6.9935305898915848E-3</v>
      </c>
      <c r="K222" s="549">
        <v>6.7385473512835701E-3</v>
      </c>
      <c r="L222" s="549">
        <v>6.4306842797766601E-3</v>
      </c>
      <c r="M222" s="549">
        <v>6.089260164244454E-3</v>
      </c>
      <c r="N222" s="549">
        <v>5.7341173126252074E-3</v>
      </c>
      <c r="O222" s="549">
        <v>5.3786336409498382E-3</v>
      </c>
      <c r="P222" s="549">
        <v>5.0317507404747793E-3</v>
      </c>
      <c r="Q222" s="549">
        <v>4.6987195624230401E-3</v>
      </c>
      <c r="R222" s="549">
        <v>4.3833515054289918E-3</v>
      </c>
      <c r="S222" s="549">
        <v>4.0858539064206681E-3</v>
      </c>
      <c r="T222" s="549">
        <v>3.8067874078139192E-3</v>
      </c>
      <c r="U222" s="549">
        <v>3.5460322674217178E-3</v>
      </c>
      <c r="V222" s="549">
        <v>3.3026809994721271E-3</v>
      </c>
      <c r="W222" s="549">
        <v>3.0763147457290581E-3</v>
      </c>
      <c r="X222" s="549">
        <v>2.8663216011979012E-3</v>
      </c>
      <c r="Y222" s="549">
        <v>2.671781104264909E-3</v>
      </c>
      <c r="Z222" s="549">
        <v>2.491329868398332E-3</v>
      </c>
      <c r="AA222" s="549">
        <v>2.3236289714560531E-3</v>
      </c>
      <c r="AB222" s="549">
        <v>2.1672998414534648E-3</v>
      </c>
      <c r="AC222" s="549">
        <v>2.0222491426769725E-3</v>
      </c>
      <c r="AD222" s="549">
        <v>1.8876398975740528E-3</v>
      </c>
      <c r="AE222" s="549">
        <v>1.7626841016393979E-3</v>
      </c>
      <c r="AF222" s="549">
        <v>1.6466100120678551E-3</v>
      </c>
    </row>
    <row r="223" spans="1:32" x14ac:dyDescent="0.25">
      <c r="A223" s="550"/>
      <c r="B223" s="552" t="s">
        <v>29</v>
      </c>
      <c r="C223" s="539"/>
      <c r="D223" s="539"/>
      <c r="E223" s="539"/>
      <c r="F223" s="539"/>
      <c r="G223" s="549">
        <v>2.3753789346327449E-4</v>
      </c>
      <c r="H223" s="549">
        <v>2.7153771124935593E-3</v>
      </c>
      <c r="I223" s="549">
        <v>7.634180209608812E-3</v>
      </c>
      <c r="J223" s="549">
        <v>1.2897399265913476E-2</v>
      </c>
      <c r="K223" s="549">
        <v>1.6550170549289703E-2</v>
      </c>
      <c r="L223" s="549">
        <v>1.8280132184097124E-2</v>
      </c>
      <c r="M223" s="549">
        <v>1.8795633808173114E-2</v>
      </c>
      <c r="N223" s="549">
        <v>1.8700047289593746E-2</v>
      </c>
      <c r="O223" s="549">
        <v>1.8347296732352469E-2</v>
      </c>
      <c r="P223" s="549">
        <v>1.7903173457695067E-2</v>
      </c>
      <c r="Q223" s="549">
        <v>1.7442238493170285E-2</v>
      </c>
      <c r="R223" s="549">
        <v>1.7032688988762583E-2</v>
      </c>
      <c r="S223" s="549">
        <v>1.6673479345102233E-2</v>
      </c>
      <c r="T223" s="549">
        <v>1.6360586677226667E-2</v>
      </c>
      <c r="U223" s="549">
        <v>1.6088314659692047E-2</v>
      </c>
      <c r="V223" s="549">
        <v>1.5850280557111643E-2</v>
      </c>
      <c r="W223" s="549">
        <v>1.5641648634279876E-2</v>
      </c>
      <c r="X223" s="549">
        <v>1.5458144651757311E-2</v>
      </c>
      <c r="Y223" s="549">
        <v>1.5295958423240476E-2</v>
      </c>
      <c r="Z223" s="549">
        <v>1.5151450597910159E-2</v>
      </c>
      <c r="AA223" s="549">
        <v>1.5021617052537144E-2</v>
      </c>
      <c r="AB223" s="549">
        <v>1.4903941495588867E-2</v>
      </c>
      <c r="AC223" s="549">
        <v>1.4797266259723853E-2</v>
      </c>
      <c r="AD223" s="549">
        <v>1.470004041709261E-2</v>
      </c>
      <c r="AE223" s="549">
        <v>1.4611014248562537E-2</v>
      </c>
      <c r="AF223" s="549">
        <v>1.4529180446673574E-2</v>
      </c>
    </row>
    <row r="224" spans="1:32" x14ac:dyDescent="0.25">
      <c r="A224" s="550"/>
      <c r="B224" s="552" t="s">
        <v>53</v>
      </c>
      <c r="C224" s="539"/>
      <c r="D224" s="539"/>
      <c r="E224" s="539"/>
      <c r="F224" s="539"/>
      <c r="G224" s="549">
        <v>2.3722578769028854E-4</v>
      </c>
      <c r="H224" s="549">
        <v>2.3591644838549171E-4</v>
      </c>
      <c r="I224" s="549">
        <v>2.3387866737204131E-4</v>
      </c>
      <c r="J224" s="549">
        <v>2.3052507857091367E-4</v>
      </c>
      <c r="K224" s="549">
        <v>2.2575746192225689E-4</v>
      </c>
      <c r="L224" s="549">
        <v>2.1961055880409649E-4</v>
      </c>
      <c r="M224" s="549">
        <v>2.1223797919709282E-4</v>
      </c>
      <c r="N224" s="549">
        <v>2.0394528573301949E-4</v>
      </c>
      <c r="O224" s="549">
        <v>1.950275530916311E-4</v>
      </c>
      <c r="P224" s="549">
        <v>1.85764327271252E-4</v>
      </c>
      <c r="Q224" s="549">
        <v>1.7637226227968671E-4</v>
      </c>
      <c r="R224" s="549">
        <v>1.670514711836076E-4</v>
      </c>
      <c r="S224" s="549">
        <v>1.579008809985258E-4</v>
      </c>
      <c r="T224" s="549">
        <v>1.4901650636161298E-4</v>
      </c>
      <c r="U224" s="549">
        <v>1.4046286485713914E-4</v>
      </c>
      <c r="V224" s="549">
        <v>1.3227268493230766E-4</v>
      </c>
      <c r="W224" s="549">
        <v>1.2447844788839813E-4</v>
      </c>
      <c r="X224" s="549">
        <v>1.1709838995258046E-4</v>
      </c>
      <c r="Y224" s="549">
        <v>1.1013313894238495E-4</v>
      </c>
      <c r="Z224" s="549">
        <v>1.035636116732433E-4</v>
      </c>
      <c r="AA224" s="549">
        <v>9.7366029255377989E-5</v>
      </c>
      <c r="AB224" s="549">
        <v>9.1508209389673615E-5</v>
      </c>
      <c r="AC224" s="549">
        <v>8.599993555280645E-5</v>
      </c>
      <c r="AD224" s="549">
        <v>8.0823279258236187E-5</v>
      </c>
      <c r="AE224" s="549">
        <v>7.5959573079891805E-5</v>
      </c>
      <c r="AF224" s="549">
        <v>7.1386639856045004E-5</v>
      </c>
    </row>
    <row r="227" spans="1:32" s="539" customFormat="1" x14ac:dyDescent="0.25">
      <c r="A227" s="554" t="s">
        <v>705</v>
      </c>
      <c r="B227" s="555"/>
      <c r="C227" s="554"/>
      <c r="D227" s="553"/>
      <c r="E227" s="553"/>
      <c r="F227" s="553"/>
      <c r="G227" s="553" t="s">
        <v>706</v>
      </c>
      <c r="H227" s="560"/>
      <c r="I227" s="560"/>
      <c r="J227" s="560"/>
      <c r="K227" s="560"/>
      <c r="L227" s="560"/>
      <c r="M227" s="560"/>
      <c r="N227" s="560"/>
      <c r="O227" s="560"/>
      <c r="P227" s="560"/>
      <c r="Q227" s="560"/>
      <c r="R227" s="560"/>
      <c r="S227" s="560"/>
      <c r="T227" s="560"/>
      <c r="U227" s="560"/>
      <c r="V227" s="560"/>
      <c r="W227" s="560"/>
      <c r="X227" s="560"/>
      <c r="Y227" s="560"/>
      <c r="Z227" s="560"/>
      <c r="AA227" s="560"/>
      <c r="AB227" s="560"/>
      <c r="AC227" s="560"/>
      <c r="AD227" s="560"/>
      <c r="AE227" s="560"/>
      <c r="AF227" s="560"/>
    </row>
    <row r="228" spans="1:32" s="539" customFormat="1" x14ac:dyDescent="0.25">
      <c r="A228" s="551" t="s">
        <v>12</v>
      </c>
      <c r="B228" s="550"/>
    </row>
    <row r="229" spans="1:32" s="539" customFormat="1" x14ac:dyDescent="0.25">
      <c r="A229" s="550"/>
      <c r="B229" s="550" t="s">
        <v>20</v>
      </c>
    </row>
    <row r="230" spans="1:32" s="202" customFormat="1" ht="12.75" x14ac:dyDescent="0.2">
      <c r="A230" s="556" t="s">
        <v>21</v>
      </c>
      <c r="B230" s="556"/>
      <c r="C230" s="556"/>
      <c r="D230" s="556"/>
      <c r="E230" s="556"/>
      <c r="F230" s="556"/>
      <c r="G230" s="556"/>
      <c r="H230" s="556"/>
      <c r="I230" s="556"/>
      <c r="J230" s="556"/>
      <c r="K230" s="556"/>
      <c r="L230" s="556"/>
      <c r="M230" s="556"/>
      <c r="N230" s="556"/>
      <c r="O230" s="556"/>
      <c r="P230" s="556"/>
      <c r="Q230" s="556"/>
      <c r="R230" s="556"/>
      <c r="S230" s="556"/>
      <c r="T230" s="556"/>
      <c r="U230" s="556"/>
      <c r="V230" s="556"/>
      <c r="W230" s="556"/>
      <c r="X230" s="556"/>
      <c r="Y230" s="556"/>
      <c r="Z230" s="556"/>
      <c r="AA230" s="556"/>
      <c r="AB230" s="556"/>
      <c r="AC230" s="556"/>
      <c r="AD230" s="556"/>
      <c r="AE230" s="556"/>
      <c r="AF230" s="556"/>
    </row>
    <row r="231" spans="1:32" x14ac:dyDescent="0.25">
      <c r="A231" s="550"/>
      <c r="B231" s="550" t="s">
        <v>22</v>
      </c>
      <c r="C231" s="539"/>
      <c r="D231" s="539"/>
      <c r="E231" s="539"/>
      <c r="F231" s="539"/>
      <c r="G231" s="723">
        <f t="array" ref="G231:AF261" ca="1">IF(ISNUMBER(Energy_Density/(DailyOpHours*365)*1000),Energy_Density/(DailyOpHours*365)*1000,"")</f>
        <v>0.56691445209386693</v>
      </c>
      <c r="H231" s="723">
        <f ca="1"/>
        <v>0.51260351627011003</v>
      </c>
      <c r="I231" s="723">
        <f ca="1"/>
        <v>0.45124072295895012</v>
      </c>
      <c r="J231" s="723">
        <f ca="1"/>
        <v>0.35148596716499669</v>
      </c>
      <c r="K231" s="723">
        <f ca="1"/>
        <v>0.25977369037879172</v>
      </c>
      <c r="L231" s="723">
        <f ca="1"/>
        <v>0.18157309910866287</v>
      </c>
      <c r="M231" s="723">
        <f ca="1"/>
        <v>0.10713485974309916</v>
      </c>
      <c r="N231" s="723">
        <f ca="1"/>
        <v>6.7892705476307907E-2</v>
      </c>
      <c r="O231" s="723">
        <f ca="1"/>
        <v>4.6301018150057938E-2</v>
      </c>
      <c r="P231" s="723">
        <f ca="1"/>
        <v>3.371663006920058E-2</v>
      </c>
      <c r="Q231" s="723">
        <f ca="1"/>
        <v>2.5685293376551236E-2</v>
      </c>
      <c r="R231" s="723">
        <f ca="1"/>
        <v>2.0035793291509764E-2</v>
      </c>
      <c r="S231" s="723">
        <f ca="1"/>
        <v>1.5800186578680805E-2</v>
      </c>
      <c r="T231" s="723">
        <f ca="1"/>
        <v>1.249426132457441E-2</v>
      </c>
      <c r="U231" s="723">
        <f ca="1"/>
        <v>9.8653241347656292E-3</v>
      </c>
      <c r="V231" s="723">
        <f ca="1"/>
        <v>7.7948278649030752E-3</v>
      </c>
      <c r="W231" s="723">
        <f ca="1"/>
        <v>6.1639968036937874E-3</v>
      </c>
      <c r="X231" s="723">
        <f ca="1"/>
        <v>4.8846284726408668E-3</v>
      </c>
      <c r="Y231" s="723">
        <f ca="1"/>
        <v>3.8862437716064586E-3</v>
      </c>
      <c r="Z231" s="723">
        <f ca="1"/>
        <v>3.1156197343359796E-3</v>
      </c>
      <c r="AA231" s="723">
        <f ca="1"/>
        <v>2.5261411871427756E-3</v>
      </c>
      <c r="AB231" s="723">
        <f ca="1"/>
        <v>2.0691946290665075E-3</v>
      </c>
      <c r="AC231" s="723">
        <f ca="1"/>
        <v>1.7135556753709413E-3</v>
      </c>
      <c r="AD231" s="723">
        <f ca="1"/>
        <v>1.4332034718462941E-3</v>
      </c>
      <c r="AE231" s="723">
        <f ca="1"/>
        <v>1.208555371324206E-3</v>
      </c>
      <c r="AF231" s="723">
        <f ca="1"/>
        <v>1.0190600079528472E-3</v>
      </c>
    </row>
    <row r="232" spans="1:32" x14ac:dyDescent="0.25">
      <c r="A232" s="550"/>
      <c r="B232" s="550" t="s">
        <v>26</v>
      </c>
      <c r="C232" s="539"/>
      <c r="D232" s="539"/>
      <c r="E232" s="539"/>
      <c r="F232" s="539"/>
      <c r="G232" s="723">
        <f ca="1"/>
        <v>8.4229595632173936E-3</v>
      </c>
      <c r="H232" s="723">
        <f ca="1"/>
        <v>7.9586154261580278E-3</v>
      </c>
      <c r="I232" s="723">
        <f ca="1"/>
        <v>1.918665052519325E-2</v>
      </c>
      <c r="J232" s="723">
        <f ca="1"/>
        <v>5.433158402764951E-2</v>
      </c>
      <c r="K232" s="723">
        <f ca="1"/>
        <v>8.9089745126139083E-2</v>
      </c>
      <c r="L232" s="723">
        <f ca="1"/>
        <v>0.11005761546592235</v>
      </c>
      <c r="M232" s="723">
        <f ca="1"/>
        <v>0.12265229668182567</v>
      </c>
      <c r="N232" s="723">
        <f ca="1"/>
        <v>0.11933822613274397</v>
      </c>
      <c r="O232" s="723">
        <f ca="1"/>
        <v>0.10981678972556969</v>
      </c>
      <c r="P232" s="723">
        <f ca="1"/>
        <v>9.8364490488227263E-2</v>
      </c>
      <c r="Q232" s="723">
        <f ca="1"/>
        <v>8.6475020121390939E-2</v>
      </c>
      <c r="R232" s="723">
        <f ca="1"/>
        <v>7.4785872809277162E-2</v>
      </c>
      <c r="S232" s="723">
        <f ca="1"/>
        <v>6.3852071305540423E-2</v>
      </c>
      <c r="T232" s="723">
        <f ca="1"/>
        <v>5.3950055776631478E-2</v>
      </c>
      <c r="U232" s="723">
        <f ca="1"/>
        <v>4.5216315355326067E-2</v>
      </c>
      <c r="V232" s="723">
        <f ca="1"/>
        <v>3.7776732240285993E-2</v>
      </c>
      <c r="W232" s="723">
        <f ca="1"/>
        <v>3.1541973668427821E-2</v>
      </c>
      <c r="X232" s="723">
        <f ca="1"/>
        <v>2.6387316855553986E-2</v>
      </c>
      <c r="Y232" s="723">
        <f ca="1"/>
        <v>2.2172738240821242E-2</v>
      </c>
      <c r="Z232" s="723">
        <f ca="1"/>
        <v>1.8776510357642461E-2</v>
      </c>
      <c r="AA232" s="723">
        <f ca="1"/>
        <v>1.6116597708682748E-2</v>
      </c>
      <c r="AB232" s="723">
        <f ca="1"/>
        <v>1.3944664173237928E-2</v>
      </c>
      <c r="AC232" s="723">
        <f ca="1"/>
        <v>1.2194658068987117E-2</v>
      </c>
      <c r="AD232" s="723">
        <f ca="1"/>
        <v>1.077013011024144E-2</v>
      </c>
      <c r="AE232" s="723">
        <f ca="1"/>
        <v>9.5928396576581924E-3</v>
      </c>
      <c r="AF232" s="723">
        <f ca="1"/>
        <v>8.5697526524676545E-3</v>
      </c>
    </row>
    <row r="233" spans="1:32" x14ac:dyDescent="0.25">
      <c r="A233" s="550"/>
      <c r="B233" s="550" t="s">
        <v>27</v>
      </c>
      <c r="C233" s="539"/>
      <c r="D233" s="539"/>
      <c r="E233" s="539"/>
      <c r="F233" s="539"/>
      <c r="G233" s="723">
        <f ca="1"/>
        <v>9.5841635736590991E-2</v>
      </c>
      <c r="H233" s="723">
        <f ca="1"/>
        <v>0.10839027529508331</v>
      </c>
      <c r="I233" s="723">
        <f ca="1"/>
        <v>0.11916448413378765</v>
      </c>
      <c r="J233" s="723">
        <f ca="1"/>
        <v>0.13198089149762421</v>
      </c>
      <c r="K233" s="723">
        <f ca="1"/>
        <v>0.14235746915519504</v>
      </c>
      <c r="L233" s="723">
        <f ca="1"/>
        <v>0.15254269157624389</v>
      </c>
      <c r="M233" s="723">
        <f ca="1"/>
        <v>0.16298090700500684</v>
      </c>
      <c r="N233" s="723">
        <f ca="1"/>
        <v>0.16829676764838003</v>
      </c>
      <c r="O233" s="723">
        <f ca="1"/>
        <v>0.16975624657154045</v>
      </c>
      <c r="P233" s="723">
        <f ca="1"/>
        <v>0.16815319484480243</v>
      </c>
      <c r="Q233" s="723">
        <f ca="1"/>
        <v>0.16420704374256673</v>
      </c>
      <c r="R233" s="723">
        <f ca="1"/>
        <v>0.15849516309142733</v>
      </c>
      <c r="S233" s="723">
        <f ca="1"/>
        <v>0.1514245112896003</v>
      </c>
      <c r="T233" s="723">
        <f ca="1"/>
        <v>0.14342249239964691</v>
      </c>
      <c r="U233" s="723">
        <f ca="1"/>
        <v>0.1348792277787019</v>
      </c>
      <c r="V233" s="723">
        <f ca="1"/>
        <v>0.12611266745806837</v>
      </c>
      <c r="W233" s="723">
        <f ca="1"/>
        <v>0.11740844492939094</v>
      </c>
      <c r="X233" s="723">
        <f ca="1"/>
        <v>0.10898965999458644</v>
      </c>
      <c r="Y233" s="723">
        <f ca="1"/>
        <v>0.10099376013428872</v>
      </c>
      <c r="Z233" s="723">
        <f ca="1"/>
        <v>9.3283666237164581E-2</v>
      </c>
      <c r="AA233" s="723">
        <f ca="1"/>
        <v>8.6134213196938064E-2</v>
      </c>
      <c r="AB233" s="723">
        <f ca="1"/>
        <v>7.9515656494787632E-2</v>
      </c>
      <c r="AC233" s="723">
        <f ca="1"/>
        <v>7.3458029255604435E-2</v>
      </c>
      <c r="AD233" s="723">
        <f ca="1"/>
        <v>6.7927591914099236E-2</v>
      </c>
      <c r="AE233" s="723">
        <f ca="1"/>
        <v>6.3121974624808869E-2</v>
      </c>
      <c r="AF233" s="723">
        <f ca="1"/>
        <v>5.8536193661990768E-2</v>
      </c>
    </row>
    <row r="234" spans="1:32" x14ac:dyDescent="0.25">
      <c r="A234" s="550"/>
      <c r="B234" s="550" t="s">
        <v>29</v>
      </c>
      <c r="C234" s="539"/>
      <c r="D234" s="539"/>
      <c r="E234" s="539"/>
      <c r="F234" s="539"/>
      <c r="G234" s="723">
        <f ca="1"/>
        <v>0</v>
      </c>
      <c r="H234" s="723">
        <f ca="1"/>
        <v>2.7302620591961708E-4</v>
      </c>
      <c r="I234" s="723">
        <f ca="1"/>
        <v>7.6890551698880752E-4</v>
      </c>
      <c r="J234" s="723">
        <f ca="1"/>
        <v>1.3454032883593702E-3</v>
      </c>
      <c r="K234" s="723">
        <f ca="1"/>
        <v>2.0615292522909662E-3</v>
      </c>
      <c r="L234" s="723">
        <f ca="1"/>
        <v>2.9752660876497436E-3</v>
      </c>
      <c r="M234" s="723">
        <f ca="1"/>
        <v>4.1854036588171379E-3</v>
      </c>
      <c r="N234" s="723">
        <f ca="1"/>
        <v>5.6928231773944564E-3</v>
      </c>
      <c r="O234" s="723">
        <f ca="1"/>
        <v>7.5318832689174296E-3</v>
      </c>
      <c r="P234" s="723">
        <f ca="1"/>
        <v>9.6943975707092823E-3</v>
      </c>
      <c r="Q234" s="723">
        <f ca="1"/>
        <v>1.2144616189598457E-2</v>
      </c>
      <c r="R234" s="723">
        <f ca="1"/>
        <v>1.4885666063915051E-2</v>
      </c>
      <c r="S234" s="723">
        <f ca="1"/>
        <v>1.7823809950515527E-2</v>
      </c>
      <c r="T234" s="723">
        <f ca="1"/>
        <v>2.0856259608187214E-2</v>
      </c>
      <c r="U234" s="723">
        <f ca="1"/>
        <v>2.3888628146416326E-2</v>
      </c>
      <c r="V234" s="723">
        <f ca="1"/>
        <v>2.6837744875143614E-2</v>
      </c>
      <c r="W234" s="723">
        <f ca="1"/>
        <v>2.964597174239918E-2</v>
      </c>
      <c r="X234" s="723">
        <f ca="1"/>
        <v>3.2272123959602605E-2</v>
      </c>
      <c r="Y234" s="723">
        <f ca="1"/>
        <v>3.4696946376371079E-2</v>
      </c>
      <c r="Z234" s="723">
        <f ca="1"/>
        <v>3.6914245553804285E-2</v>
      </c>
      <c r="AA234" s="723">
        <f ca="1"/>
        <v>3.8927226130172854E-2</v>
      </c>
      <c r="AB234" s="723">
        <f ca="1"/>
        <v>4.0749813941663861E-2</v>
      </c>
      <c r="AC234" s="723">
        <f ca="1"/>
        <v>4.23935595413929E-2</v>
      </c>
      <c r="AD234" s="723">
        <f ca="1"/>
        <v>4.3870747403302726E-2</v>
      </c>
      <c r="AE234" s="723">
        <f ca="1"/>
        <v>4.5197195491737528E-2</v>
      </c>
      <c r="AF234" s="723">
        <f ca="1"/>
        <v>4.6392651196687763E-2</v>
      </c>
    </row>
    <row r="235" spans="1:32" x14ac:dyDescent="0.25">
      <c r="A235" s="550"/>
      <c r="B235" s="550"/>
      <c r="C235" s="539"/>
      <c r="D235" s="539"/>
      <c r="E235" s="539"/>
      <c r="F235" s="539"/>
      <c r="G235" s="723" t="str">
        <v/>
      </c>
      <c r="H235" s="723" t="str">
        <v/>
      </c>
      <c r="I235" s="723" t="str">
        <v/>
      </c>
      <c r="J235" s="723" t="str">
        <v/>
      </c>
      <c r="K235" s="723" t="str">
        <v/>
      </c>
      <c r="L235" s="723" t="str">
        <v/>
      </c>
      <c r="M235" s="723" t="str">
        <v/>
      </c>
      <c r="N235" s="723" t="str">
        <v/>
      </c>
      <c r="O235" s="723" t="str">
        <v/>
      </c>
      <c r="P235" s="723" t="str">
        <v/>
      </c>
      <c r="Q235" s="723" t="str">
        <v/>
      </c>
      <c r="R235" s="723" t="str">
        <v/>
      </c>
      <c r="S235" s="723" t="str">
        <v/>
      </c>
      <c r="T235" s="723" t="str">
        <v/>
      </c>
      <c r="U235" s="723" t="str">
        <v/>
      </c>
      <c r="V235" s="723" t="str">
        <v/>
      </c>
      <c r="W235" s="723" t="str">
        <v/>
      </c>
      <c r="X235" s="723" t="str">
        <v/>
      </c>
      <c r="Y235" s="723" t="str">
        <v/>
      </c>
      <c r="Z235" s="723" t="str">
        <v/>
      </c>
      <c r="AA235" s="723" t="str">
        <v/>
      </c>
      <c r="AB235" s="723" t="str">
        <v/>
      </c>
      <c r="AC235" s="723" t="str">
        <v/>
      </c>
      <c r="AD235" s="723" t="str">
        <v/>
      </c>
      <c r="AE235" s="723" t="str">
        <v/>
      </c>
      <c r="AF235" s="723" t="str">
        <v/>
      </c>
    </row>
    <row r="236" spans="1:32" s="202" customFormat="1" ht="12.75" x14ac:dyDescent="0.2">
      <c r="A236" s="556" t="s">
        <v>32</v>
      </c>
      <c r="B236" s="556"/>
      <c r="C236" s="556"/>
      <c r="D236" s="556"/>
      <c r="E236" s="556"/>
      <c r="F236" s="556"/>
      <c r="G236" s="724" t="str">
        <v/>
      </c>
      <c r="H236" s="724" t="str">
        <v/>
      </c>
      <c r="I236" s="724" t="str">
        <v/>
      </c>
      <c r="J236" s="724" t="str">
        <v/>
      </c>
      <c r="K236" s="724" t="str">
        <v/>
      </c>
      <c r="L236" s="724" t="str">
        <v/>
      </c>
      <c r="M236" s="724" t="str">
        <v/>
      </c>
      <c r="N236" s="724" t="str">
        <v/>
      </c>
      <c r="O236" s="724" t="str">
        <v/>
      </c>
      <c r="P236" s="724" t="str">
        <v/>
      </c>
      <c r="Q236" s="724" t="str">
        <v/>
      </c>
      <c r="R236" s="724" t="str">
        <v/>
      </c>
      <c r="S236" s="724" t="str">
        <v/>
      </c>
      <c r="T236" s="724" t="str">
        <v/>
      </c>
      <c r="U236" s="724" t="str">
        <v/>
      </c>
      <c r="V236" s="724" t="str">
        <v/>
      </c>
      <c r="W236" s="724" t="str">
        <v/>
      </c>
      <c r="X236" s="724" t="str">
        <v/>
      </c>
      <c r="Y236" s="724" t="str">
        <v/>
      </c>
      <c r="Z236" s="724" t="str">
        <v/>
      </c>
      <c r="AA236" s="724" t="str">
        <v/>
      </c>
      <c r="AB236" s="724" t="str">
        <v/>
      </c>
      <c r="AC236" s="724" t="str">
        <v/>
      </c>
      <c r="AD236" s="724" t="str">
        <v/>
      </c>
      <c r="AE236" s="724" t="str">
        <v/>
      </c>
      <c r="AF236" s="724" t="str">
        <v/>
      </c>
    </row>
    <row r="237" spans="1:32" x14ac:dyDescent="0.25">
      <c r="A237" s="550"/>
      <c r="B237" s="550" t="s">
        <v>33</v>
      </c>
      <c r="C237" s="539"/>
      <c r="D237" s="539"/>
      <c r="E237" s="539"/>
      <c r="F237" s="539"/>
      <c r="G237" s="723">
        <v>0.130143065310526</v>
      </c>
      <c r="H237" s="723">
        <v>0.11165130651296096</v>
      </c>
      <c r="I237" s="723">
        <v>0.1000805687723</v>
      </c>
      <c r="J237" s="723">
        <v>9.2789898755645348E-2</v>
      </c>
      <c r="K237" s="723">
        <v>8.7654223175030369E-2</v>
      </c>
      <c r="L237" s="723">
        <v>8.1981288986784737E-2</v>
      </c>
      <c r="M237" s="723">
        <v>7.5317477996279067E-2</v>
      </c>
      <c r="N237" s="723">
        <v>6.8015041293933237E-2</v>
      </c>
      <c r="O237" s="723">
        <v>6.0369072105878781E-2</v>
      </c>
      <c r="P237" s="723">
        <v>5.2734891120237895E-2</v>
      </c>
      <c r="Q237" s="723">
        <v>4.5310455411170458E-2</v>
      </c>
      <c r="R237" s="723">
        <v>3.8298609013327135E-2</v>
      </c>
      <c r="S237" s="723">
        <v>3.1909116310151399E-2</v>
      </c>
      <c r="T237" s="723">
        <v>2.6261056106497916E-2</v>
      </c>
      <c r="U237" s="723">
        <v>2.1397226770820059E-2</v>
      </c>
      <c r="V237" s="723">
        <v>1.7320632726389146E-2</v>
      </c>
      <c r="W237" s="723">
        <v>1.3965619714288179E-2</v>
      </c>
      <c r="X237" s="723">
        <v>1.1246323171653057E-2</v>
      </c>
      <c r="Y237" s="723">
        <v>9.0672483401980798E-3</v>
      </c>
      <c r="Z237" s="723">
        <v>7.3395729938402756E-3</v>
      </c>
      <c r="AA237" s="723">
        <v>5.9816692229742365E-3</v>
      </c>
      <c r="AB237" s="723">
        <v>4.9144227918906103E-3</v>
      </c>
      <c r="AC237" s="723">
        <v>4.0752036195696485E-3</v>
      </c>
      <c r="AD237" s="723">
        <v>3.4131244810110036E-3</v>
      </c>
      <c r="AE237" s="723">
        <v>2.8863009733756271E-3</v>
      </c>
      <c r="AF237" s="723">
        <v>2.4560445991216083E-3</v>
      </c>
    </row>
    <row r="238" spans="1:32" x14ac:dyDescent="0.25">
      <c r="A238" s="552"/>
      <c r="B238" s="552" t="s">
        <v>34</v>
      </c>
      <c r="C238" s="539"/>
      <c r="D238" s="539"/>
      <c r="E238" s="539"/>
      <c r="F238" s="539"/>
      <c r="G238" s="723">
        <v>7.1403482689282233E-2</v>
      </c>
      <c r="H238" s="723">
        <v>8.3475938167379346E-2</v>
      </c>
      <c r="I238" s="723">
        <v>8.7092362676724239E-2</v>
      </c>
      <c r="J238" s="723">
        <v>8.6426429874123065E-2</v>
      </c>
      <c r="K238" s="723">
        <v>8.2756650568504952E-2</v>
      </c>
      <c r="L238" s="723">
        <v>7.9053438053777778E-2</v>
      </c>
      <c r="M238" s="723">
        <v>7.492437313149608E-2</v>
      </c>
      <c r="N238" s="723">
        <v>6.8242257438844586E-2</v>
      </c>
      <c r="O238" s="723">
        <v>6.1809450162933856E-2</v>
      </c>
      <c r="P238" s="723">
        <v>5.5700613682852049E-2</v>
      </c>
      <c r="Q238" s="723">
        <v>5.0028637434771338E-2</v>
      </c>
      <c r="R238" s="723">
        <v>4.4333650812975862E-2</v>
      </c>
      <c r="S238" s="723">
        <v>3.8828339891537882E-2</v>
      </c>
      <c r="T238" s="723">
        <v>3.3679391014130255E-2</v>
      </c>
      <c r="U238" s="723">
        <v>2.899885757681394E-2</v>
      </c>
      <c r="V238" s="723">
        <v>2.4853930157533E-2</v>
      </c>
      <c r="W238" s="723">
        <v>2.1257597146815639E-2</v>
      </c>
      <c r="X238" s="723">
        <v>1.8188827465968935E-2</v>
      </c>
      <c r="Y238" s="723">
        <v>1.5603833640198531E-2</v>
      </c>
      <c r="Z238" s="723">
        <v>1.3451190735481049E-2</v>
      </c>
      <c r="AA238" s="723">
        <v>1.1676040758049466E-2</v>
      </c>
      <c r="AB238" s="723">
        <v>1.021863917790075E-2</v>
      </c>
      <c r="AC238" s="723">
        <v>9.0232170654911039E-3</v>
      </c>
      <c r="AD238" s="723">
        <v>8.0389841340692686E-3</v>
      </c>
      <c r="AE238" s="723">
        <v>7.2291188216752631E-3</v>
      </c>
      <c r="AF238" s="723">
        <v>6.5511180984082918E-3</v>
      </c>
    </row>
    <row r="239" spans="1:32" x14ac:dyDescent="0.25">
      <c r="A239" s="550"/>
      <c r="B239" s="552" t="s">
        <v>35</v>
      </c>
      <c r="C239" s="539"/>
      <c r="D239" s="539"/>
      <c r="E239" s="539"/>
      <c r="F239" s="539"/>
      <c r="G239" s="723">
        <v>1.0040619871012062E-2</v>
      </c>
      <c r="H239" s="723">
        <v>1.0172477873419194E-2</v>
      </c>
      <c r="I239" s="723">
        <v>1.0303495585736193E-2</v>
      </c>
      <c r="J239" s="723">
        <v>1.044770295129014E-2</v>
      </c>
      <c r="K239" s="723">
        <v>1.0620337443568313E-2</v>
      </c>
      <c r="L239" s="723">
        <v>1.0681782807295962E-2</v>
      </c>
      <c r="M239" s="723">
        <v>1.0652975833621375E-2</v>
      </c>
      <c r="N239" s="723">
        <v>1.0512630939800314E-2</v>
      </c>
      <c r="O239" s="723">
        <v>1.0257947715793227E-2</v>
      </c>
      <c r="P239" s="723">
        <v>9.8946167197474302E-3</v>
      </c>
      <c r="Q239" s="723">
        <v>9.4466455866765546E-3</v>
      </c>
      <c r="R239" s="723">
        <v>8.9398145716850785E-3</v>
      </c>
      <c r="S239" s="723">
        <v>8.3932339648718594E-3</v>
      </c>
      <c r="T239" s="723">
        <v>7.8275869123243039E-3</v>
      </c>
      <c r="U239" s="723">
        <v>7.2612010627085199E-3</v>
      </c>
      <c r="V239" s="723">
        <v>6.7077129714712145E-3</v>
      </c>
      <c r="W239" s="723">
        <v>6.1789059234694512E-3</v>
      </c>
      <c r="X239" s="723">
        <v>5.6833829127527534E-3</v>
      </c>
      <c r="Y239" s="723">
        <v>5.2251614214820991E-3</v>
      </c>
      <c r="Z239" s="723">
        <v>4.7929384558949625E-3</v>
      </c>
      <c r="AA239" s="723">
        <v>4.3998558213125937E-3</v>
      </c>
      <c r="AB239" s="723">
        <v>4.0436622986425143E-3</v>
      </c>
      <c r="AC239" s="723">
        <v>3.7224896428779482E-3</v>
      </c>
      <c r="AD239" s="723">
        <v>3.4344839406228842E-3</v>
      </c>
      <c r="AE239" s="723">
        <v>3.176491426882332E-3</v>
      </c>
      <c r="AF239" s="723">
        <v>2.9451808429111267E-3</v>
      </c>
    </row>
    <row r="240" spans="1:32" x14ac:dyDescent="0.25">
      <c r="A240" s="550"/>
      <c r="B240" s="552" t="s">
        <v>29</v>
      </c>
      <c r="C240" s="539"/>
      <c r="D240" s="539"/>
      <c r="E240" s="539"/>
      <c r="F240" s="539"/>
      <c r="G240" s="723">
        <v>0</v>
      </c>
      <c r="H240" s="723">
        <v>9.60092895337291E-5</v>
      </c>
      <c r="I240" s="723">
        <v>3.1981462865588714E-4</v>
      </c>
      <c r="J240" s="723">
        <v>7.2266682840250952E-4</v>
      </c>
      <c r="K240" s="723">
        <v>1.3105025691473877E-3</v>
      </c>
      <c r="L240" s="723">
        <v>2.0304326617873649E-3</v>
      </c>
      <c r="M240" s="723">
        <v>2.8644284489789686E-3</v>
      </c>
      <c r="N240" s="723">
        <v>3.7753605051051536E-3</v>
      </c>
      <c r="O240" s="723">
        <v>4.7273924408150272E-3</v>
      </c>
      <c r="P240" s="723">
        <v>5.682756834290292E-3</v>
      </c>
      <c r="Q240" s="723">
        <v>6.6113735041064669E-3</v>
      </c>
      <c r="R240" s="723">
        <v>7.5185101825406588E-3</v>
      </c>
      <c r="S240" s="723">
        <v>8.3753158182102647E-3</v>
      </c>
      <c r="T240" s="723">
        <v>9.1616622244575126E-3</v>
      </c>
      <c r="U240" s="723">
        <v>9.8655446556710647E-3</v>
      </c>
      <c r="V240" s="723">
        <v>1.0480495419455668E-2</v>
      </c>
      <c r="W240" s="723">
        <v>1.1008028873598988E-2</v>
      </c>
      <c r="X240" s="723">
        <v>1.1453565644293243E-2</v>
      </c>
      <c r="Y240" s="723">
        <v>1.1825390009111878E-2</v>
      </c>
      <c r="Z240" s="723">
        <v>1.2132223602672318E-2</v>
      </c>
      <c r="AA240" s="723">
        <v>1.2382863854805711E-2</v>
      </c>
      <c r="AB240" s="723">
        <v>1.2586571263676759E-2</v>
      </c>
      <c r="AC240" s="723">
        <v>1.2751788966785672E-2</v>
      </c>
      <c r="AD240" s="723">
        <v>1.2885882936178641E-2</v>
      </c>
      <c r="AE240" s="723">
        <v>1.2994547597187484E-2</v>
      </c>
      <c r="AF240" s="723">
        <v>1.3084069051135475E-2</v>
      </c>
    </row>
    <row r="241" spans="1:32" x14ac:dyDescent="0.25">
      <c r="A241" s="550"/>
      <c r="B241" s="550"/>
      <c r="C241" s="539"/>
      <c r="D241" s="539"/>
      <c r="E241" s="539"/>
      <c r="F241" s="539"/>
      <c r="G241" s="723" t="str">
        <v/>
      </c>
      <c r="H241" s="723" t="str">
        <v/>
      </c>
      <c r="I241" s="723" t="str">
        <v/>
      </c>
      <c r="J241" s="723" t="str">
        <v/>
      </c>
      <c r="K241" s="723" t="str">
        <v/>
      </c>
      <c r="L241" s="723" t="str">
        <v/>
      </c>
      <c r="M241" s="723" t="str">
        <v/>
      </c>
      <c r="N241" s="723" t="str">
        <v/>
      </c>
      <c r="O241" s="723" t="str">
        <v/>
      </c>
      <c r="P241" s="723" t="str">
        <v/>
      </c>
      <c r="Q241" s="723" t="str">
        <v/>
      </c>
      <c r="R241" s="723" t="str">
        <v/>
      </c>
      <c r="S241" s="723" t="str">
        <v/>
      </c>
      <c r="T241" s="723" t="str">
        <v/>
      </c>
      <c r="U241" s="723" t="str">
        <v/>
      </c>
      <c r="V241" s="723" t="str">
        <v/>
      </c>
      <c r="W241" s="723" t="str">
        <v/>
      </c>
      <c r="X241" s="723" t="str">
        <v/>
      </c>
      <c r="Y241" s="723" t="str">
        <v/>
      </c>
      <c r="Z241" s="723" t="str">
        <v/>
      </c>
      <c r="AA241" s="723" t="str">
        <v/>
      </c>
      <c r="AB241" s="723" t="str">
        <v/>
      </c>
      <c r="AC241" s="723" t="str">
        <v/>
      </c>
      <c r="AD241" s="723" t="str">
        <v/>
      </c>
      <c r="AE241" s="723" t="str">
        <v/>
      </c>
      <c r="AF241" s="723" t="str">
        <v/>
      </c>
    </row>
    <row r="242" spans="1:32" s="202" customFormat="1" ht="12.75" x14ac:dyDescent="0.2">
      <c r="A242" s="556" t="s">
        <v>36</v>
      </c>
      <c r="B242" s="556"/>
      <c r="C242" s="556"/>
      <c r="D242" s="556"/>
      <c r="E242" s="556"/>
      <c r="F242" s="556"/>
      <c r="G242" s="724" t="str">
        <v/>
      </c>
      <c r="H242" s="724" t="str">
        <v/>
      </c>
      <c r="I242" s="724" t="str">
        <v/>
      </c>
      <c r="J242" s="724" t="str">
        <v/>
      </c>
      <c r="K242" s="724" t="str">
        <v/>
      </c>
      <c r="L242" s="724" t="str">
        <v/>
      </c>
      <c r="M242" s="724" t="str">
        <v/>
      </c>
      <c r="N242" s="724" t="str">
        <v/>
      </c>
      <c r="O242" s="724" t="str">
        <v/>
      </c>
      <c r="P242" s="724" t="str">
        <v/>
      </c>
      <c r="Q242" s="724" t="str">
        <v/>
      </c>
      <c r="R242" s="724" t="str">
        <v/>
      </c>
      <c r="S242" s="724" t="str">
        <v/>
      </c>
      <c r="T242" s="724" t="str">
        <v/>
      </c>
      <c r="U242" s="724" t="str">
        <v/>
      </c>
      <c r="V242" s="724" t="str">
        <v/>
      </c>
      <c r="W242" s="724" t="str">
        <v/>
      </c>
      <c r="X242" s="724" t="str">
        <v/>
      </c>
      <c r="Y242" s="724" t="str">
        <v/>
      </c>
      <c r="Z242" s="724" t="str">
        <v/>
      </c>
      <c r="AA242" s="724" t="str">
        <v/>
      </c>
      <c r="AB242" s="724" t="str">
        <v/>
      </c>
      <c r="AC242" s="724" t="str">
        <v/>
      </c>
      <c r="AD242" s="724" t="str">
        <v/>
      </c>
      <c r="AE242" s="724" t="str">
        <v/>
      </c>
      <c r="AF242" s="724" t="str">
        <v/>
      </c>
    </row>
    <row r="243" spans="1:32" x14ac:dyDescent="0.25">
      <c r="A243" s="550"/>
      <c r="B243" s="550" t="s">
        <v>37</v>
      </c>
      <c r="C243" s="539"/>
      <c r="D243" s="539"/>
      <c r="E243" s="539"/>
      <c r="F243" s="201"/>
      <c r="G243" s="723">
        <v>5.2287507655721967E-2</v>
      </c>
      <c r="H243" s="723">
        <v>4.7981849678006505E-2</v>
      </c>
      <c r="I243" s="723">
        <v>4.3754426939380822E-2</v>
      </c>
      <c r="J243" s="723">
        <v>3.9654181582078285E-2</v>
      </c>
      <c r="K243" s="723">
        <v>3.5744644695304112E-2</v>
      </c>
      <c r="L243" s="723">
        <v>3.2215441668257634E-2</v>
      </c>
      <c r="M243" s="723">
        <v>2.9034165172930209E-2</v>
      </c>
      <c r="N243" s="723">
        <v>2.6180201100808046E-2</v>
      </c>
      <c r="O243" s="723">
        <v>2.3627061864925459E-2</v>
      </c>
      <c r="P243" s="723">
        <v>2.1339283078325656E-2</v>
      </c>
      <c r="Q243" s="723">
        <v>1.9287702729665689E-2</v>
      </c>
      <c r="R243" s="723">
        <v>1.7450045214558708E-2</v>
      </c>
      <c r="S243" s="723">
        <v>1.57973835503477E-2</v>
      </c>
      <c r="T243" s="723">
        <v>1.4310460530153748E-2</v>
      </c>
      <c r="U243" s="723">
        <v>1.2972026785643164E-2</v>
      </c>
      <c r="V243" s="723">
        <v>1.1764826305980166E-2</v>
      </c>
      <c r="W243" s="723">
        <v>1.0676704338111034E-2</v>
      </c>
      <c r="X243" s="723">
        <v>9.6965237869724909E-3</v>
      </c>
      <c r="Y243" s="723">
        <v>8.8134404007736995E-3</v>
      </c>
      <c r="Z243" s="723">
        <v>8.0161464979943177E-3</v>
      </c>
      <c r="AA243" s="723">
        <v>7.2945514292533506E-3</v>
      </c>
      <c r="AB243" s="723">
        <v>6.6395236333515583E-3</v>
      </c>
      <c r="AC243" s="723">
        <v>6.0468768343482074E-3</v>
      </c>
      <c r="AD243" s="723">
        <v>5.5103542357028143E-3</v>
      </c>
      <c r="AE243" s="723">
        <v>5.0243561869632311E-3</v>
      </c>
      <c r="AF243" s="723">
        <v>4.5838643234199618E-3</v>
      </c>
    </row>
    <row r="244" spans="1:32" x14ac:dyDescent="0.25">
      <c r="A244" s="550"/>
      <c r="B244" s="550" t="s">
        <v>39</v>
      </c>
      <c r="C244" s="539"/>
      <c r="D244" s="539"/>
      <c r="E244" s="203"/>
      <c r="F244" s="539"/>
      <c r="G244" s="723">
        <v>9.0827008884172486E-3</v>
      </c>
      <c r="H244" s="723">
        <v>1.1767132241587784E-2</v>
      </c>
      <c r="I244" s="723">
        <v>1.4157377618358178E-2</v>
      </c>
      <c r="J244" s="723">
        <v>1.6185979826409052E-2</v>
      </c>
      <c r="K244" s="723">
        <v>1.7751114345138402E-2</v>
      </c>
      <c r="L244" s="723">
        <v>1.8810297653543907E-2</v>
      </c>
      <c r="M244" s="723">
        <v>1.9426279699276298E-2</v>
      </c>
      <c r="N244" s="723">
        <v>1.9708488448826857E-2</v>
      </c>
      <c r="O244" s="723">
        <v>1.9712910165694351E-2</v>
      </c>
      <c r="P244" s="723">
        <v>1.9502642235789125E-2</v>
      </c>
      <c r="Q244" s="723">
        <v>1.9128347863448969E-2</v>
      </c>
      <c r="R244" s="723">
        <v>1.8635394712871702E-2</v>
      </c>
      <c r="S244" s="723">
        <v>1.8058864856907983E-2</v>
      </c>
      <c r="T244" s="723">
        <v>1.7427601231987427E-2</v>
      </c>
      <c r="U244" s="723">
        <v>1.6763818505327547E-2</v>
      </c>
      <c r="V244" s="723">
        <v>1.6085192121019793E-2</v>
      </c>
      <c r="W244" s="723">
        <v>1.5405487932327299E-2</v>
      </c>
      <c r="X244" s="723">
        <v>1.4735389524398441E-2</v>
      </c>
      <c r="Y244" s="723">
        <v>1.40820598788809E-2</v>
      </c>
      <c r="Z244" s="723">
        <v>1.3449642043918497E-2</v>
      </c>
      <c r="AA244" s="723">
        <v>1.2840634398737026E-2</v>
      </c>
      <c r="AB244" s="723">
        <v>1.2254527808577359E-2</v>
      </c>
      <c r="AC244" s="723">
        <v>1.1695424551282748E-2</v>
      </c>
      <c r="AD244" s="723">
        <v>1.116347682199949E-2</v>
      </c>
      <c r="AE244" s="723">
        <v>1.0658051149749128E-2</v>
      </c>
      <c r="AF244" s="723">
        <v>1.0176459670698208E-2</v>
      </c>
    </row>
    <row r="245" spans="1:32" x14ac:dyDescent="0.25">
      <c r="A245" s="550"/>
      <c r="B245" s="550" t="s">
        <v>40</v>
      </c>
      <c r="C245" s="539"/>
      <c r="D245" s="539"/>
      <c r="E245" s="539"/>
      <c r="F245" s="539"/>
      <c r="G245" s="723">
        <v>0</v>
      </c>
      <c r="H245" s="723">
        <v>8.0895570082721981E-4</v>
      </c>
      <c r="I245" s="723">
        <v>1.7635283329766253E-3</v>
      </c>
      <c r="J245" s="723">
        <v>2.8539167062450002E-3</v>
      </c>
      <c r="K245" s="723">
        <v>4.0516636866055828E-3</v>
      </c>
      <c r="L245" s="723">
        <v>5.2637780269055232E-3</v>
      </c>
      <c r="M245" s="723">
        <v>6.4536873466717153E-3</v>
      </c>
      <c r="N245" s="723">
        <v>7.5724660902130279E-3</v>
      </c>
      <c r="O245" s="723">
        <v>8.5858938737451585E-3</v>
      </c>
      <c r="P245" s="723">
        <v>9.4708446881379207E-3</v>
      </c>
      <c r="Q245" s="723">
        <v>1.0214325129995329E-2</v>
      </c>
      <c r="R245" s="723">
        <v>1.0813538355910432E-2</v>
      </c>
      <c r="S245" s="723">
        <v>1.127359354782633E-2</v>
      </c>
      <c r="T245" s="723">
        <v>1.1603684546681805E-2</v>
      </c>
      <c r="U245" s="723">
        <v>1.1817160209020258E-2</v>
      </c>
      <c r="V245" s="723">
        <v>1.1930182893169591E-2</v>
      </c>
      <c r="W245" s="723">
        <v>1.1958933536291077E-2</v>
      </c>
      <c r="X245" s="723">
        <v>1.1919226875202429E-2</v>
      </c>
      <c r="Y245" s="723">
        <v>1.182523612339924E-2</v>
      </c>
      <c r="Z245" s="723">
        <v>1.1689057266051579E-2</v>
      </c>
      <c r="AA245" s="723">
        <v>1.1520729871396745E-2</v>
      </c>
      <c r="AB245" s="723">
        <v>1.1327208326363065E-2</v>
      </c>
      <c r="AC245" s="723">
        <v>1.111669669014804E-2</v>
      </c>
      <c r="AD245" s="723">
        <v>1.0894543125760372E-2</v>
      </c>
      <c r="AE245" s="723">
        <v>1.0664747011805061E-2</v>
      </c>
      <c r="AF245" s="723">
        <v>1.0429029680314417E-2</v>
      </c>
    </row>
    <row r="246" spans="1:32" x14ac:dyDescent="0.25">
      <c r="A246" s="550"/>
      <c r="B246" s="550" t="s">
        <v>29</v>
      </c>
      <c r="C246" s="539"/>
      <c r="D246" s="539"/>
      <c r="E246" s="539"/>
      <c r="F246" s="539"/>
      <c r="G246" s="723">
        <v>0</v>
      </c>
      <c r="H246" s="723">
        <v>9.2165155057627488E-8</v>
      </c>
      <c r="I246" s="723">
        <v>1.9179627292007255E-6</v>
      </c>
      <c r="J246" s="723">
        <v>1.1686823603113367E-5</v>
      </c>
      <c r="K246" s="723">
        <v>3.9764876306722621E-5</v>
      </c>
      <c r="L246" s="723">
        <v>9.6961826334238945E-5</v>
      </c>
      <c r="M246" s="723">
        <v>1.9274181488732151E-4</v>
      </c>
      <c r="N246" s="723">
        <v>3.3125356457345851E-4</v>
      </c>
      <c r="O246" s="723">
        <v>5.1334271236158971E-4</v>
      </c>
      <c r="P246" s="723">
        <v>7.3657307931361191E-4</v>
      </c>
      <c r="Q246" s="723">
        <v>9.973882901461895E-4</v>
      </c>
      <c r="R246" s="723">
        <v>1.2956595884236961E-3</v>
      </c>
      <c r="S246" s="723">
        <v>1.6269150414371283E-3</v>
      </c>
      <c r="T246" s="723">
        <v>1.9847685762409296E-3</v>
      </c>
      <c r="U246" s="723">
        <v>2.3625460064720261E-3</v>
      </c>
      <c r="V246" s="723">
        <v>2.7535656523438585E-3</v>
      </c>
      <c r="W246" s="723">
        <v>3.1510096168960253E-3</v>
      </c>
      <c r="X246" s="723">
        <v>3.5486937877736175E-3</v>
      </c>
      <c r="Y246" s="723">
        <v>3.9418516964496173E-3</v>
      </c>
      <c r="Z246" s="723">
        <v>4.3273231068966357E-3</v>
      </c>
      <c r="AA246" s="723">
        <v>4.7028484124868692E-3</v>
      </c>
      <c r="AB246" s="723">
        <v>5.067949242977857E-3</v>
      </c>
      <c r="AC246" s="723">
        <v>5.419315089680481E-3</v>
      </c>
      <c r="AD246" s="723">
        <v>5.756223137258815E-3</v>
      </c>
      <c r="AE246" s="723">
        <v>6.0785320406521719E-3</v>
      </c>
      <c r="AF246" s="723">
        <v>6.387463013406456E-3</v>
      </c>
    </row>
    <row r="247" spans="1:32" x14ac:dyDescent="0.25">
      <c r="A247" s="550"/>
      <c r="B247" s="550"/>
      <c r="C247" s="539"/>
      <c r="D247" s="539"/>
      <c r="E247" s="539"/>
      <c r="F247" s="539"/>
      <c r="G247" s="723" t="str">
        <v/>
      </c>
      <c r="H247" s="723" t="str">
        <v/>
      </c>
      <c r="I247" s="723" t="str">
        <v/>
      </c>
      <c r="J247" s="723" t="str">
        <v/>
      </c>
      <c r="K247" s="723" t="str">
        <v/>
      </c>
      <c r="L247" s="723" t="str">
        <v/>
      </c>
      <c r="M247" s="723" t="str">
        <v/>
      </c>
      <c r="N247" s="723" t="str">
        <v/>
      </c>
      <c r="O247" s="723" t="str">
        <v/>
      </c>
      <c r="P247" s="723" t="str">
        <v/>
      </c>
      <c r="Q247" s="723" t="str">
        <v/>
      </c>
      <c r="R247" s="723" t="str">
        <v/>
      </c>
      <c r="S247" s="723" t="str">
        <v/>
      </c>
      <c r="T247" s="723" t="str">
        <v/>
      </c>
      <c r="U247" s="723" t="str">
        <v/>
      </c>
      <c r="V247" s="723" t="str">
        <v/>
      </c>
      <c r="W247" s="723" t="str">
        <v/>
      </c>
      <c r="X247" s="723" t="str">
        <v/>
      </c>
      <c r="Y247" s="723" t="str">
        <v/>
      </c>
      <c r="Z247" s="723" t="str">
        <v/>
      </c>
      <c r="AA247" s="723" t="str">
        <v/>
      </c>
      <c r="AB247" s="723" t="str">
        <v/>
      </c>
      <c r="AC247" s="723" t="str">
        <v/>
      </c>
      <c r="AD247" s="723" t="str">
        <v/>
      </c>
      <c r="AE247" s="723" t="str">
        <v/>
      </c>
      <c r="AF247" s="723" t="str">
        <v/>
      </c>
    </row>
    <row r="248" spans="1:32" s="202" customFormat="1" ht="12.75" x14ac:dyDescent="0.2">
      <c r="A248" s="556" t="s">
        <v>42</v>
      </c>
      <c r="B248" s="556"/>
      <c r="C248" s="556"/>
      <c r="D248" s="556"/>
      <c r="E248" s="556"/>
      <c r="F248" s="556"/>
      <c r="G248" s="724" t="str">
        <v/>
      </c>
      <c r="H248" s="724" t="str">
        <v/>
      </c>
      <c r="I248" s="724" t="str">
        <v/>
      </c>
      <c r="J248" s="724" t="str">
        <v/>
      </c>
      <c r="K248" s="724" t="str">
        <v/>
      </c>
      <c r="L248" s="724" t="str">
        <v/>
      </c>
      <c r="M248" s="724" t="str">
        <v/>
      </c>
      <c r="N248" s="724" t="str">
        <v/>
      </c>
      <c r="O248" s="724" t="str">
        <v/>
      </c>
      <c r="P248" s="724" t="str">
        <v/>
      </c>
      <c r="Q248" s="724" t="str">
        <v/>
      </c>
      <c r="R248" s="724" t="str">
        <v/>
      </c>
      <c r="S248" s="724" t="str">
        <v/>
      </c>
      <c r="T248" s="724" t="str">
        <v/>
      </c>
      <c r="U248" s="724" t="str">
        <v/>
      </c>
      <c r="V248" s="724" t="str">
        <v/>
      </c>
      <c r="W248" s="724" t="str">
        <v/>
      </c>
      <c r="X248" s="724" t="str">
        <v/>
      </c>
      <c r="Y248" s="724" t="str">
        <v/>
      </c>
      <c r="Z248" s="724" t="str">
        <v/>
      </c>
      <c r="AA248" s="724" t="str">
        <v/>
      </c>
      <c r="AB248" s="724" t="str">
        <v/>
      </c>
      <c r="AC248" s="724" t="str">
        <v/>
      </c>
      <c r="AD248" s="724" t="str">
        <v/>
      </c>
      <c r="AE248" s="724" t="str">
        <v/>
      </c>
      <c r="AF248" s="724" t="str">
        <v/>
      </c>
    </row>
    <row r="249" spans="1:32" x14ac:dyDescent="0.25">
      <c r="A249" s="550"/>
      <c r="B249" s="552" t="s">
        <v>43</v>
      </c>
      <c r="C249" s="539"/>
      <c r="D249" s="539"/>
      <c r="E249" s="539"/>
      <c r="F249" s="539"/>
      <c r="G249" s="723">
        <v>1.3531459785843397E-4</v>
      </c>
      <c r="H249" s="723">
        <v>1.2523067723456096E-4</v>
      </c>
      <c r="I249" s="723">
        <v>1.1592217043073627E-4</v>
      </c>
      <c r="J249" s="723">
        <v>1.0734937414154082E-4</v>
      </c>
      <c r="K249" s="723">
        <v>9.9523021557511489E-5</v>
      </c>
      <c r="L249" s="723">
        <v>9.2323768239946407E-5</v>
      </c>
      <c r="M249" s="723">
        <v>8.5703512614613357E-5</v>
      </c>
      <c r="N249" s="723">
        <v>7.963088591434268E-5</v>
      </c>
      <c r="O249" s="723">
        <v>7.4050311012694627E-5</v>
      </c>
      <c r="P249" s="723">
        <v>6.8914267689721177E-5</v>
      </c>
      <c r="Q249" s="723">
        <v>6.4186412586383432E-5</v>
      </c>
      <c r="R249" s="723">
        <v>5.9844703764835293E-5</v>
      </c>
      <c r="S249" s="723">
        <v>5.584271994440124E-5</v>
      </c>
      <c r="T249" s="723">
        <v>5.2156479282062002E-5</v>
      </c>
      <c r="U249" s="723">
        <v>4.8763336610797681E-5</v>
      </c>
      <c r="V249" s="723">
        <v>4.5636011333824702E-5</v>
      </c>
      <c r="W249" s="723">
        <v>4.2759087167198794E-5</v>
      </c>
      <c r="X249" s="723">
        <v>4.0117151678941999E-5</v>
      </c>
      <c r="Y249" s="723">
        <v>3.7692729043256331E-5</v>
      </c>
      <c r="Z249" s="723">
        <v>3.5463865644447232E-5</v>
      </c>
      <c r="AA249" s="723">
        <v>3.3409984306970917E-5</v>
      </c>
      <c r="AB249" s="723">
        <v>3.1511353403232802E-5</v>
      </c>
      <c r="AC249" s="723">
        <v>2.9764143524736707E-5</v>
      </c>
      <c r="AD249" s="723">
        <v>2.8155810104823115E-5</v>
      </c>
      <c r="AE249" s="723">
        <v>2.6674806529095804E-5</v>
      </c>
      <c r="AF249" s="723">
        <v>2.5310445719157095E-5</v>
      </c>
    </row>
    <row r="250" spans="1:32" x14ac:dyDescent="0.25">
      <c r="A250" s="550"/>
      <c r="B250" s="552" t="s">
        <v>44</v>
      </c>
      <c r="C250" s="539"/>
      <c r="D250" s="539"/>
      <c r="E250" s="539"/>
      <c r="F250" s="539"/>
      <c r="G250" s="723">
        <v>1.2074261186803674E-5</v>
      </c>
      <c r="H250" s="723">
        <v>8.2980981313201456E-5</v>
      </c>
      <c r="I250" s="723">
        <v>1.452593403794135E-4</v>
      </c>
      <c r="J250" s="723">
        <v>1.9904508531723688E-4</v>
      </c>
      <c r="K250" s="723">
        <v>2.4437881503305137E-4</v>
      </c>
      <c r="L250" s="723">
        <v>2.8224439066801E-4</v>
      </c>
      <c r="M250" s="723">
        <v>3.1331459452253025E-4</v>
      </c>
      <c r="N250" s="723">
        <v>3.3828820996222259E-4</v>
      </c>
      <c r="O250" s="723">
        <v>3.580107051916062E-4</v>
      </c>
      <c r="P250" s="723">
        <v>3.7328492024162703E-4</v>
      </c>
      <c r="Q250" s="723">
        <v>3.8484749094445068E-4</v>
      </c>
      <c r="R250" s="723">
        <v>3.9336361552815778E-4</v>
      </c>
      <c r="S250" s="723">
        <v>3.994816881430248E-4</v>
      </c>
      <c r="T250" s="723">
        <v>4.0372637451714628E-4</v>
      </c>
      <c r="U250" s="723">
        <v>4.0653826759297779E-4</v>
      </c>
      <c r="V250" s="723">
        <v>4.0827718821792521E-4</v>
      </c>
      <c r="W250" s="723">
        <v>4.0922002489407315E-4</v>
      </c>
      <c r="X250" s="723">
        <v>4.0958186202359466E-4</v>
      </c>
      <c r="Y250" s="723">
        <v>4.0952543324635719E-4</v>
      </c>
      <c r="Z250" s="723">
        <v>4.091691092247373E-4</v>
      </c>
      <c r="AA250" s="723">
        <v>4.0859686200847177E-4</v>
      </c>
      <c r="AB250" s="723">
        <v>4.0786711613608465E-4</v>
      </c>
      <c r="AC250" s="723">
        <v>4.0702991232832654E-4</v>
      </c>
      <c r="AD250" s="723">
        <v>4.0611943854371044E-4</v>
      </c>
      <c r="AE250" s="723">
        <v>4.051583521071713E-4</v>
      </c>
      <c r="AF250" s="723">
        <v>4.0416133152337884E-4</v>
      </c>
    </row>
    <row r="251" spans="1:32" x14ac:dyDescent="0.25">
      <c r="A251" s="550"/>
      <c r="B251" s="552" t="s">
        <v>45</v>
      </c>
      <c r="C251" s="539"/>
      <c r="D251" s="539"/>
      <c r="E251" s="539"/>
      <c r="F251" s="539"/>
      <c r="G251" s="723">
        <v>6.0068515389769786E-4</v>
      </c>
      <c r="H251" s="723">
        <v>5.4911776952639801E-4</v>
      </c>
      <c r="I251" s="723">
        <v>5.0249601108277929E-4</v>
      </c>
      <c r="J251" s="723">
        <v>4.5986249626302802E-4</v>
      </c>
      <c r="K251" s="723">
        <v>4.2125307746713878E-4</v>
      </c>
      <c r="L251" s="723">
        <v>3.860548055305556E-4</v>
      </c>
      <c r="M251" s="723">
        <v>3.5399755467321013E-4</v>
      </c>
      <c r="N251" s="723">
        <v>3.2488198223107448E-4</v>
      </c>
      <c r="O251" s="723">
        <v>2.9839148021746856E-4</v>
      </c>
      <c r="P251" s="723">
        <v>2.7424880540435106E-4</v>
      </c>
      <c r="Q251" s="723">
        <v>2.5223222456702206E-4</v>
      </c>
      <c r="R251" s="723">
        <v>2.3218884531441681E-4</v>
      </c>
      <c r="S251" s="723">
        <v>2.1385956419823677E-4</v>
      </c>
      <c r="T251" s="723">
        <v>1.9709415615827406E-4</v>
      </c>
      <c r="U251" s="723">
        <v>1.817551132920754E-4</v>
      </c>
      <c r="V251" s="723">
        <v>1.676909409436935E-4</v>
      </c>
      <c r="W251" s="723">
        <v>1.5480929399745816E-4</v>
      </c>
      <c r="X251" s="723">
        <v>1.4302291301837434E-4</v>
      </c>
      <c r="Y251" s="723">
        <v>1.3223986624781212E-4</v>
      </c>
      <c r="Z251" s="723">
        <v>1.2235224210445755E-4</v>
      </c>
      <c r="AA251" s="723">
        <v>1.1326112531814613E-4</v>
      </c>
      <c r="AB251" s="723">
        <v>1.0487389781887718E-4</v>
      </c>
      <c r="AC251" s="723">
        <v>9.7168152225905792E-5</v>
      </c>
      <c r="AD251" s="723">
        <v>9.0085027309686063E-5</v>
      </c>
      <c r="AE251" s="723">
        <v>8.3571004418292721E-5</v>
      </c>
      <c r="AF251" s="723">
        <v>7.7577401535875072E-5</v>
      </c>
    </row>
    <row r="252" spans="1:32" x14ac:dyDescent="0.25">
      <c r="A252" s="550"/>
      <c r="B252" s="552" t="s">
        <v>46</v>
      </c>
      <c r="C252" s="539"/>
      <c r="D252" s="539"/>
      <c r="E252" s="539"/>
      <c r="F252" s="539"/>
      <c r="G252" s="723">
        <v>0</v>
      </c>
      <c r="H252" s="723">
        <v>0</v>
      </c>
      <c r="I252" s="723">
        <v>0</v>
      </c>
      <c r="J252" s="723">
        <v>0</v>
      </c>
      <c r="K252" s="723">
        <v>0</v>
      </c>
      <c r="L252" s="723">
        <v>0</v>
      </c>
      <c r="M252" s="723">
        <v>0</v>
      </c>
      <c r="N252" s="723">
        <v>0</v>
      </c>
      <c r="O252" s="723">
        <v>0</v>
      </c>
      <c r="P252" s="723">
        <v>0</v>
      </c>
      <c r="Q252" s="723">
        <v>0</v>
      </c>
      <c r="R252" s="723">
        <v>0</v>
      </c>
      <c r="S252" s="723">
        <v>0</v>
      </c>
      <c r="T252" s="723">
        <v>0</v>
      </c>
      <c r="U252" s="723">
        <v>0</v>
      </c>
      <c r="V252" s="723">
        <v>0</v>
      </c>
      <c r="W252" s="723">
        <v>0</v>
      </c>
      <c r="X252" s="723">
        <v>0</v>
      </c>
      <c r="Y252" s="723">
        <v>0</v>
      </c>
      <c r="Z252" s="723">
        <v>0</v>
      </c>
      <c r="AA252" s="723">
        <v>0</v>
      </c>
      <c r="AB252" s="723">
        <v>0</v>
      </c>
      <c r="AC252" s="723">
        <v>0</v>
      </c>
      <c r="AD252" s="723">
        <v>0</v>
      </c>
      <c r="AE252" s="723">
        <v>0</v>
      </c>
      <c r="AF252" s="723">
        <v>0</v>
      </c>
    </row>
    <row r="253" spans="1:32" x14ac:dyDescent="0.25">
      <c r="A253" s="550"/>
      <c r="B253" s="550" t="s">
        <v>29</v>
      </c>
      <c r="C253" s="539"/>
      <c r="D253" s="539"/>
      <c r="E253" s="539"/>
      <c r="F253" s="539"/>
      <c r="G253" s="723">
        <v>0</v>
      </c>
      <c r="H253" s="723">
        <v>2.3749587638000029E-6</v>
      </c>
      <c r="I253" s="723">
        <v>4.9578079681598397E-6</v>
      </c>
      <c r="J253" s="723">
        <v>7.6817129305958434E-6</v>
      </c>
      <c r="K253" s="723">
        <v>1.0506066823072716E-5</v>
      </c>
      <c r="L253" s="723">
        <v>1.3433844059215381E-5</v>
      </c>
      <c r="M253" s="723">
        <v>1.64606408787937E-5</v>
      </c>
      <c r="N253" s="723">
        <v>1.9545474970338142E-5</v>
      </c>
      <c r="O253" s="723">
        <v>2.2655981412701929E-5</v>
      </c>
      <c r="P253" s="723">
        <v>2.575580933322331E-5</v>
      </c>
      <c r="Q253" s="723">
        <v>2.8803665098522753E-5</v>
      </c>
      <c r="R253" s="723">
        <v>3.1861379269900593E-5</v>
      </c>
      <c r="S253" s="723">
        <v>3.4889166349755623E-5</v>
      </c>
      <c r="T253" s="723">
        <v>3.7842470207094812E-5</v>
      </c>
      <c r="U253" s="723">
        <v>4.0686473424272654E-5</v>
      </c>
      <c r="V253" s="723">
        <v>4.3401261063972591E-5</v>
      </c>
      <c r="W253" s="723">
        <v>4.5966245688601632E-5</v>
      </c>
      <c r="X253" s="723">
        <v>4.836896187193225E-5</v>
      </c>
      <c r="Y253" s="723">
        <v>5.0605813738780698E-5</v>
      </c>
      <c r="Z253" s="723">
        <v>5.2683266616679611E-5</v>
      </c>
      <c r="AA253" s="723">
        <v>5.4610858832455071E-5</v>
      </c>
      <c r="AB253" s="723">
        <v>5.6400767655135106E-5</v>
      </c>
      <c r="AC253" s="723">
        <v>5.8050660777913968E-5</v>
      </c>
      <c r="AD253" s="723">
        <v>5.9569150766421163E-5</v>
      </c>
      <c r="AE253" s="723">
        <v>6.0965094914258815E-5</v>
      </c>
      <c r="AF253" s="723">
        <v>6.2247524918098993E-5</v>
      </c>
    </row>
    <row r="254" spans="1:32" x14ac:dyDescent="0.25">
      <c r="A254" s="550"/>
      <c r="B254" s="550"/>
      <c r="C254" s="539"/>
      <c r="D254" s="539"/>
      <c r="E254" s="539"/>
      <c r="F254" s="539"/>
      <c r="G254" s="723" t="str">
        <v/>
      </c>
      <c r="H254" s="723" t="str">
        <v/>
      </c>
      <c r="I254" s="723" t="str">
        <v/>
      </c>
      <c r="J254" s="723" t="str">
        <v/>
      </c>
      <c r="K254" s="723" t="str">
        <v/>
      </c>
      <c r="L254" s="723" t="str">
        <v/>
      </c>
      <c r="M254" s="723" t="str">
        <v/>
      </c>
      <c r="N254" s="723" t="str">
        <v/>
      </c>
      <c r="O254" s="723" t="str">
        <v/>
      </c>
      <c r="P254" s="723" t="str">
        <v/>
      </c>
      <c r="Q254" s="723" t="str">
        <v/>
      </c>
      <c r="R254" s="723" t="str">
        <v/>
      </c>
      <c r="S254" s="723" t="str">
        <v/>
      </c>
      <c r="T254" s="723" t="str">
        <v/>
      </c>
      <c r="U254" s="723" t="str">
        <v/>
      </c>
      <c r="V254" s="723" t="str">
        <v/>
      </c>
      <c r="W254" s="723" t="str">
        <v/>
      </c>
      <c r="X254" s="723" t="str">
        <v/>
      </c>
      <c r="Y254" s="723" t="str">
        <v/>
      </c>
      <c r="Z254" s="723" t="str">
        <v/>
      </c>
      <c r="AA254" s="723" t="str">
        <v/>
      </c>
      <c r="AB254" s="723" t="str">
        <v/>
      </c>
      <c r="AC254" s="723" t="str">
        <v/>
      </c>
      <c r="AD254" s="723" t="str">
        <v/>
      </c>
      <c r="AE254" s="723" t="str">
        <v/>
      </c>
      <c r="AF254" s="723" t="str">
        <v/>
      </c>
    </row>
    <row r="255" spans="1:32" s="202" customFormat="1" ht="12.75" x14ac:dyDescent="0.2">
      <c r="A255" s="556" t="s">
        <v>47</v>
      </c>
      <c r="B255" s="556"/>
      <c r="C255" s="556"/>
      <c r="D255" s="556"/>
      <c r="E255" s="556"/>
      <c r="F255" s="556"/>
      <c r="G255" s="724" t="str">
        <v/>
      </c>
      <c r="H255" s="724" t="str">
        <v/>
      </c>
      <c r="I255" s="724" t="str">
        <v/>
      </c>
      <c r="J255" s="724" t="str">
        <v/>
      </c>
      <c r="K255" s="724" t="str">
        <v/>
      </c>
      <c r="L255" s="724" t="str">
        <v/>
      </c>
      <c r="M255" s="724" t="str">
        <v/>
      </c>
      <c r="N255" s="724" t="str">
        <v/>
      </c>
      <c r="O255" s="724" t="str">
        <v/>
      </c>
      <c r="P255" s="724" t="str">
        <v/>
      </c>
      <c r="Q255" s="724" t="str">
        <v/>
      </c>
      <c r="R255" s="724" t="str">
        <v/>
      </c>
      <c r="S255" s="724" t="str">
        <v/>
      </c>
      <c r="T255" s="724" t="str">
        <v/>
      </c>
      <c r="U255" s="724" t="str">
        <v/>
      </c>
      <c r="V255" s="724" t="str">
        <v/>
      </c>
      <c r="W255" s="724" t="str">
        <v/>
      </c>
      <c r="X255" s="724" t="str">
        <v/>
      </c>
      <c r="Y255" s="724" t="str">
        <v/>
      </c>
      <c r="Z255" s="724" t="str">
        <v/>
      </c>
      <c r="AA255" s="724" t="str">
        <v/>
      </c>
      <c r="AB255" s="724" t="str">
        <v/>
      </c>
      <c r="AC255" s="724" t="str">
        <v/>
      </c>
      <c r="AD255" s="724" t="str">
        <v/>
      </c>
      <c r="AE255" s="724" t="str">
        <v/>
      </c>
      <c r="AF255" s="724" t="str">
        <v/>
      </c>
    </row>
    <row r="256" spans="1:32" x14ac:dyDescent="0.25">
      <c r="A256" s="550"/>
      <c r="B256" s="550" t="s">
        <v>48</v>
      </c>
      <c r="C256" s="539"/>
      <c r="D256" s="539"/>
      <c r="E256" s="539"/>
      <c r="F256" s="539"/>
      <c r="G256" s="723">
        <v>0.21734955112266577</v>
      </c>
      <c r="H256" s="723">
        <v>0.2011070747993168</v>
      </c>
      <c r="I256" s="723">
        <v>0.16028730933356922</v>
      </c>
      <c r="J256" s="723">
        <v>0.10517849174495519</v>
      </c>
      <c r="K256" s="723">
        <v>5.616799734715975E-2</v>
      </c>
      <c r="L256" s="723">
        <v>2.5795512600784679E-2</v>
      </c>
      <c r="M256" s="723">
        <v>1.0571085882900129E-2</v>
      </c>
      <c r="N256" s="723">
        <v>4.0735763692494459E-3</v>
      </c>
      <c r="O256" s="723">
        <v>1.5075158707586439E-3</v>
      </c>
      <c r="P256" s="723">
        <v>5.4595752653431562E-4</v>
      </c>
      <c r="Q256" s="723">
        <v>1.9515907381751333E-4</v>
      </c>
      <c r="R256" s="723">
        <v>6.9258460477604025E-5</v>
      </c>
      <c r="S256" s="723">
        <v>2.4506734982784532E-5</v>
      </c>
      <c r="T256" s="723">
        <v>8.6705284949882254E-6</v>
      </c>
      <c r="U256" s="723">
        <v>3.0727676850159052E-6</v>
      </c>
      <c r="V256" s="723">
        <v>1.0924674855246478E-6</v>
      </c>
      <c r="W256" s="723">
        <v>3.8997053918302189E-7</v>
      </c>
      <c r="X256" s="723">
        <v>1.3985741357825576E-7</v>
      </c>
      <c r="Y256" s="723">
        <v>5.0412170967933688E-8</v>
      </c>
      <c r="Z256" s="723">
        <v>1.8268218629753229E-8</v>
      </c>
      <c r="AA256" s="723">
        <v>6.6564346662099447E-9</v>
      </c>
      <c r="AB256" s="723">
        <v>2.4382409816045652E-9</v>
      </c>
      <c r="AC256" s="723">
        <v>8.9827934178764151E-10</v>
      </c>
      <c r="AD256" s="723">
        <v>3.3286838706724062E-10</v>
      </c>
      <c r="AE256" s="723">
        <v>1.2406867996986362E-10</v>
      </c>
      <c r="AF256" s="723">
        <v>4.6502758234669502E-11</v>
      </c>
    </row>
    <row r="257" spans="1:32" x14ac:dyDescent="0.25">
      <c r="A257" s="550"/>
      <c r="B257" s="552" t="s">
        <v>50</v>
      </c>
      <c r="C257" s="539"/>
      <c r="D257" s="539"/>
      <c r="E257" s="539"/>
      <c r="F257" s="539"/>
      <c r="G257" s="723">
        <v>2.7267528896624774E-2</v>
      </c>
      <c r="H257" s="723">
        <v>2.6901026128266919E-2</v>
      </c>
      <c r="I257" s="723">
        <v>2.5983033670025524E-2</v>
      </c>
      <c r="J257" s="723">
        <v>2.4254371102162709E-2</v>
      </c>
      <c r="K257" s="723">
        <v>2.1762874656068593E-2</v>
      </c>
      <c r="L257" s="723">
        <v>1.8867709608547233E-2</v>
      </c>
      <c r="M257" s="723">
        <v>1.5886992386251551E-2</v>
      </c>
      <c r="N257" s="723">
        <v>1.3118858366538869E-2</v>
      </c>
      <c r="O257" s="723">
        <v>1.0676106705383265E-2</v>
      </c>
      <c r="P257" s="723">
        <v>8.6168255304637214E-3</v>
      </c>
      <c r="Q257" s="723">
        <v>6.9120004060283687E-3</v>
      </c>
      <c r="R257" s="723">
        <v>5.5234233745867422E-3</v>
      </c>
      <c r="S257" s="723">
        <v>4.4020126807939181E-3</v>
      </c>
      <c r="T257" s="723">
        <v>3.5024562692967925E-3</v>
      </c>
      <c r="U257" s="723">
        <v>2.7839201634742464E-3</v>
      </c>
      <c r="V257" s="723">
        <v>2.2115944782882617E-3</v>
      </c>
      <c r="W257" s="723">
        <v>1.7566117878717947E-3</v>
      </c>
      <c r="X257" s="723">
        <v>1.3954487082491088E-3</v>
      </c>
      <c r="Y257" s="723">
        <v>1.1089628221641317E-3</v>
      </c>
      <c r="Z257" s="723">
        <v>8.8164979916477545E-4</v>
      </c>
      <c r="AA257" s="723">
        <v>7.0261064116102694E-4</v>
      </c>
      <c r="AB257" s="723">
        <v>5.5889056278975462E-4</v>
      </c>
      <c r="AC257" s="723">
        <v>4.4483123847335751E-4</v>
      </c>
      <c r="AD257" s="723">
        <v>3.5426771415933872E-4</v>
      </c>
      <c r="AE257" s="723">
        <v>2.8232305229540511E-4</v>
      </c>
      <c r="AF257" s="723">
        <v>2.2511705091726004E-4</v>
      </c>
    </row>
    <row r="258" spans="1:32" x14ac:dyDescent="0.25">
      <c r="A258" s="550"/>
      <c r="B258" s="550" t="s">
        <v>51</v>
      </c>
      <c r="C258" s="539"/>
      <c r="D258" s="539"/>
      <c r="E258" s="539"/>
      <c r="F258" s="539"/>
      <c r="G258" s="723">
        <v>7.9478419287459592E-3</v>
      </c>
      <c r="H258" s="723">
        <v>7.9055195396936402E-3</v>
      </c>
      <c r="I258" s="723">
        <v>7.8376815453358034E-3</v>
      </c>
      <c r="J258" s="723">
        <v>7.7210137610218945E-3</v>
      </c>
      <c r="K258" s="723">
        <v>7.5483307399780621E-3</v>
      </c>
      <c r="L258" s="723">
        <v>7.3179997211573729E-3</v>
      </c>
      <c r="M258" s="723">
        <v>7.0340565166417653E-3</v>
      </c>
      <c r="N258" s="723">
        <v>6.7076335393681632E-3</v>
      </c>
      <c r="O258" s="723">
        <v>6.351258692735463E-3</v>
      </c>
      <c r="P258" s="723">
        <v>5.9778175872274115E-3</v>
      </c>
      <c r="Q258" s="723">
        <v>5.597877613408137E-3</v>
      </c>
      <c r="R258" s="723">
        <v>5.2210825404332443E-3</v>
      </c>
      <c r="S258" s="723">
        <v>4.8531720256199465E-3</v>
      </c>
      <c r="T258" s="723">
        <v>4.4989729743727573E-3</v>
      </c>
      <c r="U258" s="723">
        <v>4.1616631435850782E-3</v>
      </c>
      <c r="V258" s="723">
        <v>3.8430122101914882E-3</v>
      </c>
      <c r="W258" s="723">
        <v>3.5441979079487806E-3</v>
      </c>
      <c r="X258" s="723">
        <v>3.2656436438280446E-3</v>
      </c>
      <c r="Y258" s="723">
        <v>3.0070325932543256E-3</v>
      </c>
      <c r="Z258" s="723">
        <v>2.7676465377772818E-3</v>
      </c>
      <c r="AA258" s="723">
        <v>2.5462815952096026E-3</v>
      </c>
      <c r="AB258" s="723">
        <v>2.3414542534003382E-3</v>
      </c>
      <c r="AC258" s="723">
        <v>2.1486776749017238E-3</v>
      </c>
      <c r="AD258" s="723">
        <v>1.9712666640517018E-3</v>
      </c>
      <c r="AE258" s="723">
        <v>1.808121135901699E-3</v>
      </c>
      <c r="AF258" s="723">
        <v>1.6580943691854792E-3</v>
      </c>
    </row>
    <row r="259" spans="1:32" x14ac:dyDescent="0.25">
      <c r="A259" s="550"/>
      <c r="B259" s="550" t="s">
        <v>52</v>
      </c>
      <c r="C259" s="539"/>
      <c r="D259" s="539"/>
      <c r="E259" s="539"/>
      <c r="F259" s="539"/>
      <c r="G259" s="723">
        <v>1.0902791555633161E-2</v>
      </c>
      <c r="H259" s="723">
        <v>1.0815794318868022E-2</v>
      </c>
      <c r="I259" s="723">
        <v>1.0650903095635893E-2</v>
      </c>
      <c r="J259" s="723">
        <v>1.0374756214344083E-2</v>
      </c>
      <c r="K259" s="723">
        <v>9.9964939181691435E-3</v>
      </c>
      <c r="L259" s="723">
        <v>9.5397854969748504E-3</v>
      </c>
      <c r="M259" s="723">
        <v>9.0332899695992289E-3</v>
      </c>
      <c r="N259" s="723">
        <v>8.5064429844523785E-3</v>
      </c>
      <c r="O259" s="723">
        <v>7.9790903998876398E-3</v>
      </c>
      <c r="P259" s="723">
        <v>7.4644968793337943E-3</v>
      </c>
      <c r="Q259" s="723">
        <v>6.9704520989968604E-3</v>
      </c>
      <c r="R259" s="723">
        <v>6.5026101889559202E-3</v>
      </c>
      <c r="S259" s="723">
        <v>6.0612787292029296E-3</v>
      </c>
      <c r="T259" s="723">
        <v>5.6472894210242552E-3</v>
      </c>
      <c r="U259" s="723">
        <v>5.2604646293923519E-3</v>
      </c>
      <c r="V259" s="723">
        <v>4.899458118163569E-3</v>
      </c>
      <c r="W259" s="723">
        <v>4.5636485199138386E-3</v>
      </c>
      <c r="X259" s="723">
        <v>4.2521280863944289E-3</v>
      </c>
      <c r="Y259" s="723">
        <v>3.9635313320720272E-3</v>
      </c>
      <c r="Z259" s="723">
        <v>3.6958357015704863E-3</v>
      </c>
      <c r="AA259" s="723">
        <v>3.4470549319234982E-3</v>
      </c>
      <c r="AB259" s="723">
        <v>3.215143940453523E-3</v>
      </c>
      <c r="AC259" s="723">
        <v>2.9999642655835095E-3</v>
      </c>
      <c r="AD259" s="723">
        <v>2.8002742686371561E-3</v>
      </c>
      <c r="AE259" s="723">
        <v>2.6149049614284103E-3</v>
      </c>
      <c r="AF259" s="723">
        <v>2.4427114796629489E-3</v>
      </c>
    </row>
    <row r="260" spans="1:32" x14ac:dyDescent="0.25">
      <c r="A260" s="550"/>
      <c r="B260" s="552" t="s">
        <v>29</v>
      </c>
      <c r="C260" s="539"/>
      <c r="D260" s="539"/>
      <c r="E260" s="539"/>
      <c r="F260" s="539"/>
      <c r="G260" s="723">
        <v>3.5238249188647837E-4</v>
      </c>
      <c r="H260" s="723">
        <v>4.0282050975581655E-3</v>
      </c>
      <c r="I260" s="723">
        <v>1.1325146512627103E-2</v>
      </c>
      <c r="J260" s="723">
        <v>1.9133021792500225E-2</v>
      </c>
      <c r="K260" s="723">
        <v>2.4551831517385211E-2</v>
      </c>
      <c r="L260" s="723">
        <v>2.711819338434222E-2</v>
      </c>
      <c r="M260" s="723">
        <v>2.7882929251175654E-2</v>
      </c>
      <c r="N260" s="723">
        <v>2.7741128652051625E-2</v>
      </c>
      <c r="O260" s="723">
        <v>2.7217830585529693E-2</v>
      </c>
      <c r="P260" s="723">
        <v>2.6558983005689742E-2</v>
      </c>
      <c r="Q260" s="723">
        <v>2.587519563589916E-2</v>
      </c>
      <c r="R260" s="723">
        <v>2.5267637520392124E-2</v>
      </c>
      <c r="S260" s="723">
        <v>2.4734757534394188E-2</v>
      </c>
      <c r="T260" s="723">
        <v>2.4270587812286051E-2</v>
      </c>
      <c r="U260" s="723">
        <v>2.3866677974529401E-2</v>
      </c>
      <c r="V260" s="723">
        <v>2.3513559366806238E-2</v>
      </c>
      <c r="W260" s="723">
        <v>2.3204058277179494E-2</v>
      </c>
      <c r="X260" s="723">
        <v>2.2931833960925751E-2</v>
      </c>
      <c r="Y260" s="723">
        <v>2.2691234086433434E-2</v>
      </c>
      <c r="Z260" s="723">
        <v>2.2476859752955287E-2</v>
      </c>
      <c r="AA260" s="723">
        <v>2.2284254406574742E-2</v>
      </c>
      <c r="AB260" s="723">
        <v>2.2109685181484033E-2</v>
      </c>
      <c r="AC260" s="723">
        <v>2.1951434702418879E-2</v>
      </c>
      <c r="AD260" s="723">
        <v>2.1807202200384596E-2</v>
      </c>
      <c r="AE260" s="723">
        <v>2.1675133743211963E-2</v>
      </c>
      <c r="AF260" s="723">
        <v>2.1553735011372841E-2</v>
      </c>
    </row>
    <row r="261" spans="1:32" x14ac:dyDescent="0.25">
      <c r="A261" s="550"/>
      <c r="B261" s="552" t="s">
        <v>53</v>
      </c>
      <c r="C261" s="539"/>
      <c r="D261" s="539"/>
      <c r="E261" s="539"/>
      <c r="F261" s="539"/>
      <c r="G261" s="723">
        <v>3.5191948950646473E-4</v>
      </c>
      <c r="H261" s="723">
        <v>3.4997711205997714E-4</v>
      </c>
      <c r="I261" s="723">
        <v>3.4695410658927475E-4</v>
      </c>
      <c r="J261" s="723">
        <v>3.419791278131552E-4</v>
      </c>
      <c r="K261" s="723">
        <v>3.3490646832915209E-4</v>
      </c>
      <c r="L261" s="723">
        <v>3.257876662442249E-4</v>
      </c>
      <c r="M261" s="723">
        <v>3.1485059874872213E-4</v>
      </c>
      <c r="N261" s="723">
        <v>3.025485616096554E-4</v>
      </c>
      <c r="O261" s="723">
        <v>2.8931929193679089E-4</v>
      </c>
      <c r="P261" s="723">
        <v>2.7557749036609945E-4</v>
      </c>
      <c r="Q261" s="723">
        <v>2.6164455858231555E-4</v>
      </c>
      <c r="R261" s="723">
        <v>2.4781736013030324E-4</v>
      </c>
      <c r="S261" s="723">
        <v>2.3424265116644852E-4</v>
      </c>
      <c r="T261" s="723">
        <v>2.2106286739484405E-4</v>
      </c>
      <c r="U261" s="723">
        <v>2.0837371930102166E-4</v>
      </c>
      <c r="V261" s="723">
        <v>1.9622375885120847E-4</v>
      </c>
      <c r="W261" s="723">
        <v>1.8466117137582792E-4</v>
      </c>
      <c r="X261" s="723">
        <v>1.7371300993609495E-4</v>
      </c>
      <c r="Y261" s="723">
        <v>1.6338020588617196E-4</v>
      </c>
      <c r="Z261" s="723">
        <v>1.5363444972127515E-4</v>
      </c>
      <c r="AA261" s="723">
        <v>1.4444046595625174E-4</v>
      </c>
      <c r="AB261" s="723">
        <v>1.3575051282412899E-4</v>
      </c>
      <c r="AC261" s="723">
        <v>1.2757910390773038E-4</v>
      </c>
      <c r="AD261" s="723">
        <v>1.1989964267262212E-4</v>
      </c>
      <c r="AE261" s="723">
        <v>1.1268443638304695E-4</v>
      </c>
      <c r="AF261" s="723">
        <v>1.0590058568387947E-4</v>
      </c>
    </row>
  </sheetData>
  <pageMargins left="0.7" right="0.7" top="0.75" bottom="0.75" header="0.3" footer="0.3"/>
  <pageSetup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AF147"/>
  <sheetViews>
    <sheetView topLeftCell="A161" zoomScale="59" zoomScaleNormal="59" workbookViewId="0">
      <selection activeCell="J165" sqref="J165"/>
    </sheetView>
  </sheetViews>
  <sheetFormatPr defaultRowHeight="15" x14ac:dyDescent="0.25"/>
  <sheetData>
    <row r="1" spans="1:32" s="1059" customFormat="1" x14ac:dyDescent="0.35">
      <c r="A1" s="1059" t="s">
        <v>742</v>
      </c>
    </row>
    <row r="2" spans="1:32" x14ac:dyDescent="0.35">
      <c r="A2" s="1047" t="s">
        <v>497</v>
      </c>
      <c r="B2" s="1048"/>
      <c r="C2" s="1047"/>
      <c r="D2" s="1046"/>
      <c r="E2" s="1046"/>
      <c r="F2" s="1046"/>
      <c r="G2" s="1046"/>
      <c r="H2" s="862"/>
      <c r="I2" s="862"/>
      <c r="J2" s="862"/>
      <c r="K2" s="862"/>
      <c r="L2" s="862"/>
      <c r="M2" s="862"/>
      <c r="N2" s="862"/>
      <c r="O2" s="862"/>
      <c r="P2" s="862"/>
      <c r="Q2" s="862"/>
      <c r="R2" s="862"/>
      <c r="S2" s="862"/>
      <c r="T2" s="862"/>
      <c r="U2" s="862"/>
      <c r="V2" s="862"/>
      <c r="W2" s="862"/>
      <c r="X2" s="862"/>
      <c r="Y2" s="862"/>
      <c r="Z2" s="862"/>
      <c r="AA2" s="862"/>
      <c r="AB2" s="862"/>
      <c r="AC2" s="862"/>
      <c r="AD2" s="862"/>
      <c r="AE2" s="862"/>
      <c r="AF2" s="862"/>
    </row>
    <row r="3" spans="1:32" x14ac:dyDescent="0.35">
      <c r="A3" s="1042" t="s">
        <v>12</v>
      </c>
      <c r="B3" s="1041"/>
      <c r="C3" s="1059"/>
      <c r="D3" s="1059"/>
      <c r="E3" s="1059"/>
      <c r="F3" s="1059"/>
      <c r="G3" s="1059"/>
      <c r="H3" s="1059"/>
      <c r="I3" s="1059"/>
      <c r="J3" s="1059"/>
      <c r="K3" s="1059"/>
      <c r="L3" s="1059"/>
      <c r="M3" s="1059"/>
      <c r="N3" s="1059"/>
      <c r="O3" s="1059"/>
      <c r="P3" s="1059"/>
      <c r="Q3" s="1059"/>
      <c r="R3" s="1059"/>
      <c r="S3" s="1059"/>
      <c r="T3" s="1059"/>
      <c r="U3" s="1059"/>
      <c r="V3" s="1059"/>
      <c r="W3" s="1059"/>
      <c r="X3" s="1059"/>
      <c r="Y3" s="1059"/>
      <c r="Z3" s="1059"/>
      <c r="AA3" s="1059"/>
      <c r="AB3" s="1059"/>
      <c r="AC3" s="1059"/>
      <c r="AD3" s="1059"/>
      <c r="AE3" s="1059"/>
      <c r="AF3" s="1059"/>
    </row>
    <row r="4" spans="1:32" x14ac:dyDescent="0.35">
      <c r="A4" s="1041"/>
      <c r="B4" s="1041" t="s">
        <v>20</v>
      </c>
      <c r="C4" s="1059"/>
      <c r="D4" s="1059"/>
      <c r="E4" s="1059"/>
      <c r="F4" s="1059"/>
      <c r="G4" s="208">
        <v>2010</v>
      </c>
      <c r="H4" s="208">
        <v>2011</v>
      </c>
      <c r="I4" s="208">
        <v>2012</v>
      </c>
      <c r="J4" s="208">
        <v>2013</v>
      </c>
      <c r="K4" s="208">
        <v>2014</v>
      </c>
      <c r="L4" s="208">
        <v>2015</v>
      </c>
      <c r="M4" s="208">
        <v>2016</v>
      </c>
      <c r="N4" s="208">
        <v>2017</v>
      </c>
      <c r="O4" s="208">
        <v>2018</v>
      </c>
      <c r="P4" s="208">
        <v>2019</v>
      </c>
      <c r="Q4" s="208">
        <v>2020</v>
      </c>
      <c r="R4" s="208">
        <v>2021</v>
      </c>
      <c r="S4" s="208">
        <v>2022</v>
      </c>
      <c r="T4" s="208">
        <v>2023</v>
      </c>
      <c r="U4" s="208">
        <v>2024</v>
      </c>
      <c r="V4" s="208">
        <v>2025</v>
      </c>
      <c r="W4" s="208">
        <v>2026</v>
      </c>
      <c r="X4" s="208">
        <v>2027</v>
      </c>
      <c r="Y4" s="208">
        <v>2028</v>
      </c>
      <c r="Z4" s="208">
        <v>2029</v>
      </c>
      <c r="AA4" s="208">
        <v>2030</v>
      </c>
      <c r="AB4" s="208">
        <v>2031</v>
      </c>
      <c r="AC4" s="208">
        <v>2032</v>
      </c>
      <c r="AD4" s="208">
        <v>2033</v>
      </c>
      <c r="AE4" s="208">
        <v>2034</v>
      </c>
      <c r="AF4" s="208">
        <v>2035</v>
      </c>
    </row>
    <row r="5" spans="1:32" x14ac:dyDescent="0.35">
      <c r="A5" s="843" t="s">
        <v>21</v>
      </c>
      <c r="B5" s="843"/>
      <c r="C5" s="843"/>
      <c r="D5" s="843"/>
      <c r="E5" s="843"/>
      <c r="F5" s="843"/>
      <c r="G5" s="843"/>
      <c r="H5" s="843"/>
      <c r="I5" s="843"/>
      <c r="J5" s="843"/>
      <c r="K5" s="843"/>
      <c r="L5" s="843"/>
      <c r="M5" s="843"/>
      <c r="N5" s="843"/>
      <c r="O5" s="843"/>
      <c r="P5" s="843"/>
      <c r="Q5" s="843"/>
      <c r="R5" s="843"/>
      <c r="S5" s="843"/>
      <c r="T5" s="843"/>
      <c r="U5" s="843"/>
      <c r="V5" s="843"/>
      <c r="W5" s="843"/>
      <c r="X5" s="843"/>
      <c r="Y5" s="843"/>
      <c r="Z5" s="843"/>
      <c r="AA5" s="843"/>
      <c r="AB5" s="843"/>
      <c r="AC5" s="843"/>
      <c r="AD5" s="843"/>
      <c r="AE5" s="843"/>
      <c r="AF5" s="843"/>
    </row>
    <row r="6" spans="1:32" x14ac:dyDescent="0.35">
      <c r="A6" s="1041"/>
      <c r="B6" s="1041" t="s">
        <v>22</v>
      </c>
      <c r="C6" s="1059"/>
      <c r="D6" s="1059"/>
      <c r="E6" s="1059"/>
      <c r="F6" s="1059"/>
      <c r="G6" s="438"/>
      <c r="H6" s="890">
        <v>23.706747765255464</v>
      </c>
      <c r="I6" s="890">
        <v>20.114684957501176</v>
      </c>
      <c r="J6" s="890">
        <v>13.682419575031727</v>
      </c>
      <c r="K6" s="890">
        <v>9.477641925408264</v>
      </c>
      <c r="L6" s="890">
        <v>6.1045376384674039</v>
      </c>
      <c r="M6" s="890">
        <v>2.3288702363792093</v>
      </c>
      <c r="N6" s="890">
        <v>2.0287025699956374</v>
      </c>
      <c r="O6" s="890">
        <v>1.8041468665440223</v>
      </c>
      <c r="P6" s="890">
        <v>1.5973507429284841</v>
      </c>
      <c r="Q6" s="890">
        <v>1.4090269069916919</v>
      </c>
      <c r="R6" s="890">
        <v>1.2333103837555672</v>
      </c>
      <c r="S6" s="890">
        <v>1.0645854355166648</v>
      </c>
      <c r="T6" s="890">
        <v>0.91545827074397468</v>
      </c>
      <c r="U6" s="890">
        <v>0.78400249113774634</v>
      </c>
      <c r="V6" s="890">
        <v>0.67166834879228643</v>
      </c>
      <c r="W6" s="890">
        <v>0.57802914772801872</v>
      </c>
      <c r="X6" s="890">
        <v>0.49908388997552677</v>
      </c>
      <c r="Y6" s="890">
        <v>0.43534645011660045</v>
      </c>
      <c r="Z6" s="890">
        <v>0.38535220820744193</v>
      </c>
      <c r="AA6" s="890">
        <v>0.34601809205312772</v>
      </c>
      <c r="AB6" s="890">
        <v>0.31440465872487383</v>
      </c>
      <c r="AC6" s="890">
        <v>0.2911502232586255</v>
      </c>
      <c r="AD6" s="540">
        <v>0.27039297750436109</v>
      </c>
      <c r="AE6" s="540">
        <v>0.25309554442708365</v>
      </c>
      <c r="AF6" s="540">
        <v>0.23847688333799616</v>
      </c>
    </row>
    <row r="7" spans="1:32" x14ac:dyDescent="0.35">
      <c r="A7" s="1041"/>
      <c r="B7" s="1041" t="s">
        <v>26</v>
      </c>
      <c r="C7" s="1059"/>
      <c r="D7" s="1059"/>
      <c r="E7" s="1059"/>
      <c r="F7" s="1059"/>
      <c r="G7" s="438"/>
      <c r="H7" s="890">
        <v>0.46305269607203248</v>
      </c>
      <c r="I7" s="890">
        <v>1.9492219530535748</v>
      </c>
      <c r="J7" s="890">
        <v>5.8538468039674996</v>
      </c>
      <c r="K7" s="890">
        <v>8.2026806025385941</v>
      </c>
      <c r="L7" s="890">
        <v>8.8076875550917606</v>
      </c>
      <c r="M7" s="890">
        <v>9.5056901712443693</v>
      </c>
      <c r="N7" s="890">
        <v>8.5051936689039067</v>
      </c>
      <c r="O7" s="890">
        <v>7.7300697450850802</v>
      </c>
      <c r="P7" s="890">
        <v>7.0022426914536213</v>
      </c>
      <c r="Q7" s="890">
        <v>6.314507489631624</v>
      </c>
      <c r="R7" s="890">
        <v>5.6508013712517666</v>
      </c>
      <c r="S7" s="890">
        <v>5.0045995406704318</v>
      </c>
      <c r="T7" s="890">
        <v>4.4178229494801995</v>
      </c>
      <c r="U7" s="890">
        <v>3.8915970883310682</v>
      </c>
      <c r="V7" s="890">
        <v>3.4372949215791486</v>
      </c>
      <c r="W7" s="890">
        <v>3.0541836658782606</v>
      </c>
      <c r="X7" s="890">
        <v>2.7288206567627427</v>
      </c>
      <c r="Y7" s="890">
        <v>2.4648949552434565</v>
      </c>
      <c r="Z7" s="890">
        <v>2.2594135150405315</v>
      </c>
      <c r="AA7" s="890">
        <v>2.1009710151240677</v>
      </c>
      <c r="AB7" s="890">
        <v>1.9780543118673903</v>
      </c>
      <c r="AC7" s="890">
        <v>1.8897824236726426</v>
      </c>
      <c r="AD7" s="540">
        <v>1.8121676466717733</v>
      </c>
      <c r="AE7" s="540">
        <v>1.7496905068462965</v>
      </c>
      <c r="AF7" s="540">
        <v>1.6988409863076486</v>
      </c>
    </row>
    <row r="8" spans="1:32" x14ac:dyDescent="0.35">
      <c r="A8" s="1041"/>
      <c r="B8" s="1041" t="s">
        <v>27</v>
      </c>
      <c r="C8" s="1059"/>
      <c r="D8" s="1059"/>
      <c r="E8" s="1059"/>
      <c r="F8" s="1059"/>
      <c r="G8" s="438"/>
      <c r="H8" s="890">
        <v>11.128099251336561</v>
      </c>
      <c r="I8" s="890">
        <v>11.542316937091339</v>
      </c>
      <c r="J8" s="890">
        <v>12.403151872045424</v>
      </c>
      <c r="K8" s="890">
        <v>12.135179644283275</v>
      </c>
      <c r="L8" s="890">
        <v>12.942936272326477</v>
      </c>
      <c r="M8" s="890">
        <v>13.699719529543824</v>
      </c>
      <c r="N8" s="890">
        <v>12.261536851787422</v>
      </c>
      <c r="O8" s="890">
        <v>11.020431082695305</v>
      </c>
      <c r="P8" s="890">
        <v>9.9462151384223958</v>
      </c>
      <c r="Q8" s="890">
        <v>8.9125305499240692</v>
      </c>
      <c r="R8" s="890">
        <v>7.9208901323207463</v>
      </c>
      <c r="S8" s="890">
        <v>7.0192769274909015</v>
      </c>
      <c r="T8" s="890">
        <v>6.1876671115723187</v>
      </c>
      <c r="U8" s="890">
        <v>5.456932304695405</v>
      </c>
      <c r="V8" s="890">
        <v>4.8386499653355157</v>
      </c>
      <c r="W8" s="890">
        <v>4.3225176124419384</v>
      </c>
      <c r="X8" s="890">
        <v>3.8985619731685395</v>
      </c>
      <c r="Y8" s="890">
        <v>3.555908872786294</v>
      </c>
      <c r="Z8" s="890">
        <v>3.2866864952846377</v>
      </c>
      <c r="AA8" s="890">
        <v>3.0799993465133468</v>
      </c>
      <c r="AB8" s="890">
        <v>2.9261105262510201</v>
      </c>
      <c r="AC8" s="890">
        <v>2.8007542957911364</v>
      </c>
      <c r="AD8" s="540">
        <v>2.7019618207029565</v>
      </c>
      <c r="AE8" s="540">
        <v>2.6238351833952898</v>
      </c>
      <c r="AF8" s="540">
        <v>2.5616093079452087</v>
      </c>
    </row>
    <row r="9" spans="1:32" x14ac:dyDescent="0.35">
      <c r="A9" s="1041"/>
      <c r="B9" s="1041" t="s">
        <v>29</v>
      </c>
      <c r="C9" s="1059"/>
      <c r="D9" s="1059"/>
      <c r="E9" s="1059"/>
      <c r="F9" s="1059"/>
      <c r="G9" s="438"/>
      <c r="H9" s="890">
        <v>0.10831100519673559</v>
      </c>
      <c r="I9" s="890">
        <v>0.2698515702863839</v>
      </c>
      <c r="J9" s="890">
        <v>0.42423804322753228</v>
      </c>
      <c r="K9" s="890">
        <v>0.6873788815278723</v>
      </c>
      <c r="L9" s="890">
        <v>1.0921565493554359</v>
      </c>
      <c r="M9" s="890">
        <v>1.6851058022829233</v>
      </c>
      <c r="N9" s="890">
        <v>2.4111848272697358</v>
      </c>
      <c r="O9" s="890">
        <v>3.3059344675827864</v>
      </c>
      <c r="P9" s="890">
        <v>4.3501035311514293</v>
      </c>
      <c r="Q9" s="890">
        <v>5.4607807540010578</v>
      </c>
      <c r="R9" s="890">
        <v>6.5397343955028386</v>
      </c>
      <c r="S9" s="890">
        <v>7.5662238192326203</v>
      </c>
      <c r="T9" s="890">
        <v>8.4472567139340367</v>
      </c>
      <c r="U9" s="890">
        <v>9.1682272605294592</v>
      </c>
      <c r="V9" s="890">
        <v>9.7378700292760136</v>
      </c>
      <c r="W9" s="890">
        <v>10.150779708826185</v>
      </c>
      <c r="X9" s="890">
        <v>10.432141945039996</v>
      </c>
      <c r="Y9" s="890">
        <v>10.60726210848085</v>
      </c>
      <c r="Z9" s="890">
        <v>10.717346460277241</v>
      </c>
      <c r="AA9" s="890">
        <v>10.796847444014107</v>
      </c>
      <c r="AB9" s="890">
        <v>10.878114675360717</v>
      </c>
      <c r="AC9" s="890">
        <v>10.901620797226446</v>
      </c>
      <c r="AD9" s="540">
        <v>10.925835072091044</v>
      </c>
      <c r="AE9" s="540">
        <v>10.944730206010316</v>
      </c>
      <c r="AF9" s="540">
        <v>10.96135154819668</v>
      </c>
    </row>
    <row r="10" spans="1:32" x14ac:dyDescent="0.35">
      <c r="A10" s="1041"/>
      <c r="B10" s="1041"/>
      <c r="C10" s="1059"/>
      <c r="D10" s="1059"/>
      <c r="E10" s="1059"/>
      <c r="F10" s="1059"/>
      <c r="G10" s="1045"/>
      <c r="H10" s="890"/>
      <c r="I10" s="890"/>
      <c r="J10" s="890"/>
      <c r="K10" s="890"/>
      <c r="L10" s="890"/>
      <c r="M10" s="890"/>
      <c r="N10" s="890"/>
      <c r="O10" s="890"/>
      <c r="P10" s="890"/>
      <c r="Q10" s="890"/>
      <c r="R10" s="890"/>
      <c r="S10" s="890"/>
      <c r="T10" s="890"/>
      <c r="U10" s="890"/>
      <c r="V10" s="890"/>
      <c r="W10" s="890"/>
      <c r="X10" s="890"/>
      <c r="Y10" s="890"/>
      <c r="Z10" s="890"/>
      <c r="AA10" s="890"/>
      <c r="AB10" s="890"/>
      <c r="AC10" s="890"/>
      <c r="AD10" s="1059"/>
      <c r="AE10" s="1059"/>
      <c r="AF10" s="1059"/>
    </row>
    <row r="11" spans="1:32" x14ac:dyDescent="0.35">
      <c r="A11" s="843" t="s">
        <v>32</v>
      </c>
      <c r="B11" s="843"/>
      <c r="C11" s="843"/>
      <c r="D11" s="843"/>
      <c r="E11" s="843"/>
      <c r="F11" s="843"/>
      <c r="G11" s="865"/>
      <c r="H11" s="891"/>
      <c r="I11" s="891"/>
      <c r="J11" s="891"/>
      <c r="K11" s="891"/>
      <c r="L11" s="891"/>
      <c r="M11" s="891"/>
      <c r="N11" s="891"/>
      <c r="O11" s="891"/>
      <c r="P11" s="891"/>
      <c r="Q11" s="891"/>
      <c r="R11" s="891"/>
      <c r="S11" s="891"/>
      <c r="T11" s="891"/>
      <c r="U11" s="891"/>
      <c r="V11" s="891"/>
      <c r="W11" s="891"/>
      <c r="X11" s="891"/>
      <c r="Y11" s="891"/>
      <c r="Z11" s="891"/>
      <c r="AA11" s="891"/>
      <c r="AB11" s="891"/>
      <c r="AC11" s="891"/>
      <c r="AD11" s="843"/>
      <c r="AE11" s="843"/>
      <c r="AF11" s="843"/>
    </row>
    <row r="12" spans="1:32" x14ac:dyDescent="0.35">
      <c r="A12" s="1041"/>
      <c r="B12" s="1041" t="s">
        <v>33</v>
      </c>
      <c r="C12" s="1059"/>
      <c r="D12" s="1059"/>
      <c r="E12" s="1059"/>
      <c r="F12" s="1059"/>
      <c r="G12" s="1045"/>
      <c r="H12" s="890">
        <v>1.6784062372763056</v>
      </c>
      <c r="I12" s="890">
        <v>1.7446768356017812</v>
      </c>
      <c r="J12" s="890">
        <v>1.8804037650810919</v>
      </c>
      <c r="K12" s="890">
        <v>1.9087825498681621</v>
      </c>
      <c r="L12" s="890">
        <v>1.7850318899755035</v>
      </c>
      <c r="M12" s="890">
        <v>1.6416045516487432</v>
      </c>
      <c r="N12" s="890">
        <v>1.4725675912004821</v>
      </c>
      <c r="O12" s="890">
        <v>1.2999303347494124</v>
      </c>
      <c r="P12" s="890">
        <v>1.1191965990138235</v>
      </c>
      <c r="Q12" s="890">
        <v>0.94945841831774413</v>
      </c>
      <c r="R12" s="890">
        <v>0.79601164124954193</v>
      </c>
      <c r="S12" s="890">
        <v>0.66011425088788767</v>
      </c>
      <c r="T12" s="890">
        <v>0.54830693268634578</v>
      </c>
      <c r="U12" s="890">
        <v>0.45745570099084715</v>
      </c>
      <c r="V12" s="890">
        <v>0.38605111234672773</v>
      </c>
      <c r="W12" s="890">
        <v>0.33092873327555405</v>
      </c>
      <c r="X12" s="890">
        <v>0.28791407888777104</v>
      </c>
      <c r="Y12" s="890">
        <v>0.25552331643032422</v>
      </c>
      <c r="Z12" s="890">
        <v>0.23205023120232757</v>
      </c>
      <c r="AA12" s="890">
        <v>0.21510281626504341</v>
      </c>
      <c r="AB12" s="890">
        <v>0.20266443743493523</v>
      </c>
      <c r="AC12" s="890">
        <v>0.19446184711259853</v>
      </c>
      <c r="AD12" s="540">
        <v>0.18732053037662305</v>
      </c>
      <c r="AE12" s="540">
        <v>0.18169208365314449</v>
      </c>
      <c r="AF12" s="540">
        <v>0.17721335641805921</v>
      </c>
    </row>
    <row r="13" spans="1:32" x14ac:dyDescent="0.35">
      <c r="A13" s="1043"/>
      <c r="B13" s="1043" t="s">
        <v>34</v>
      </c>
      <c r="C13" s="1059"/>
      <c r="D13" s="1059"/>
      <c r="E13" s="1059"/>
      <c r="F13" s="1059"/>
      <c r="G13" s="1045"/>
      <c r="H13" s="890">
        <v>3.4637837484748921</v>
      </c>
      <c r="I13" s="890">
        <v>3.3553611097235123</v>
      </c>
      <c r="J13" s="890">
        <v>3.1484213947213364</v>
      </c>
      <c r="K13" s="890">
        <v>2.9057566822926106</v>
      </c>
      <c r="L13" s="890">
        <v>2.7764030059766336</v>
      </c>
      <c r="M13" s="890">
        <v>2.5925592589424982</v>
      </c>
      <c r="N13" s="890">
        <v>2.3692842032736157</v>
      </c>
      <c r="O13" s="890">
        <v>2.1220953175476738</v>
      </c>
      <c r="P13" s="890">
        <v>1.8697707752644885</v>
      </c>
      <c r="Q13" s="890">
        <v>1.6240222406562628</v>
      </c>
      <c r="R13" s="890">
        <v>1.3957731457528493</v>
      </c>
      <c r="S13" s="890">
        <v>1.1952567925823252</v>
      </c>
      <c r="T13" s="890">
        <v>1.0246417884275658</v>
      </c>
      <c r="U13" s="890">
        <v>0.88425635371673739</v>
      </c>
      <c r="V13" s="890">
        <v>0.77328528541750807</v>
      </c>
      <c r="W13" s="890">
        <v>0.68677987491829406</v>
      </c>
      <c r="X13" s="890">
        <v>0.61974730726628491</v>
      </c>
      <c r="Y13" s="890">
        <v>0.56929326208359032</v>
      </c>
      <c r="Z13" s="890">
        <v>0.533228557278836</v>
      </c>
      <c r="AA13" s="890">
        <v>0.50839997435389939</v>
      </c>
      <c r="AB13" s="890">
        <v>0.49220367314962032</v>
      </c>
      <c r="AC13" s="890">
        <v>0.48145922638883198</v>
      </c>
      <c r="AD13" s="540">
        <v>0.47365796769624102</v>
      </c>
      <c r="AE13" s="540">
        <v>0.46866005253096876</v>
      </c>
      <c r="AF13" s="540">
        <v>0.46580697153507672</v>
      </c>
    </row>
    <row r="14" spans="1:32" x14ac:dyDescent="0.35">
      <c r="A14" s="1041"/>
      <c r="B14" s="1043" t="s">
        <v>35</v>
      </c>
      <c r="C14" s="1059"/>
      <c r="D14" s="1059"/>
      <c r="E14" s="1059"/>
      <c r="F14" s="1059"/>
      <c r="G14" s="1045"/>
      <c r="H14" s="890">
        <v>0.53923637489726639</v>
      </c>
      <c r="I14" s="890">
        <v>0.56169698063584428</v>
      </c>
      <c r="J14" s="890">
        <v>0.5448112535312658</v>
      </c>
      <c r="K14" s="890">
        <v>0.56131431992911018</v>
      </c>
      <c r="L14" s="890">
        <v>0.54138347761256977</v>
      </c>
      <c r="M14" s="890">
        <v>0.50699043133242294</v>
      </c>
      <c r="N14" s="890">
        <v>0.46553368830028918</v>
      </c>
      <c r="O14" s="890">
        <v>0.41727436361347792</v>
      </c>
      <c r="P14" s="890">
        <v>0.37028948617927937</v>
      </c>
      <c r="Q14" s="890">
        <v>0.32384468437753877</v>
      </c>
      <c r="R14" s="890">
        <v>0.28036143373564371</v>
      </c>
      <c r="S14" s="890">
        <v>0.24302735410132925</v>
      </c>
      <c r="T14" s="890">
        <v>0.210614337856947</v>
      </c>
      <c r="U14" s="890">
        <v>0.18389524957041181</v>
      </c>
      <c r="V14" s="890">
        <v>0.16278127790999281</v>
      </c>
      <c r="W14" s="890">
        <v>0.14621841680646663</v>
      </c>
      <c r="X14" s="890">
        <v>0.13350165409988707</v>
      </c>
      <c r="Y14" s="890">
        <v>0.12386371636544528</v>
      </c>
      <c r="Z14" s="890">
        <v>0.11688197177471257</v>
      </c>
      <c r="AA14" s="890">
        <v>0.11206878401547721</v>
      </c>
      <c r="AB14" s="890">
        <v>0.10906372187071114</v>
      </c>
      <c r="AC14" s="890">
        <v>0.1067143956936515</v>
      </c>
      <c r="AD14" s="540">
        <v>0.10520302112975222</v>
      </c>
      <c r="AE14" s="540">
        <v>0.10426369118758191</v>
      </c>
      <c r="AF14" s="540">
        <v>0.10376350162922438</v>
      </c>
    </row>
    <row r="15" spans="1:32" x14ac:dyDescent="0.35">
      <c r="A15" s="1041"/>
      <c r="B15" s="1043" t="s">
        <v>29</v>
      </c>
      <c r="C15" s="1059"/>
      <c r="D15" s="1059"/>
      <c r="E15" s="1059"/>
      <c r="F15" s="1059"/>
      <c r="G15" s="1045"/>
      <c r="H15" s="890">
        <v>3.6608296957938095E-2</v>
      </c>
      <c r="I15" s="890">
        <v>0.11789103469990164</v>
      </c>
      <c r="J15" s="890">
        <v>0.26891386192564565</v>
      </c>
      <c r="K15" s="890">
        <v>0.50663703030318685</v>
      </c>
      <c r="L15" s="890">
        <v>0.79427003619652092</v>
      </c>
      <c r="M15" s="890">
        <v>1.1182245940176128</v>
      </c>
      <c r="N15" s="890">
        <v>1.4598412636811844</v>
      </c>
      <c r="O15" s="890">
        <v>1.7885130646970533</v>
      </c>
      <c r="P15" s="890">
        <v>2.0892354280539736</v>
      </c>
      <c r="Q15" s="890">
        <v>2.3379124048042326</v>
      </c>
      <c r="R15" s="890">
        <v>2.5229442897521048</v>
      </c>
      <c r="S15" s="890">
        <v>2.6554538313951364</v>
      </c>
      <c r="T15" s="890">
        <v>2.7309548790209979</v>
      </c>
      <c r="U15" s="890">
        <v>2.7616412063034623</v>
      </c>
      <c r="V15" s="890">
        <v>2.7611472138240503</v>
      </c>
      <c r="W15" s="890">
        <v>2.736060966468767</v>
      </c>
      <c r="X15" s="890">
        <v>2.6968446471043173</v>
      </c>
      <c r="Y15" s="890">
        <v>2.6500108177669039</v>
      </c>
      <c r="Z15" s="890">
        <v>2.6041586063517936</v>
      </c>
      <c r="AA15" s="890">
        <v>2.5653560366344141</v>
      </c>
      <c r="AB15" s="890">
        <v>2.5389658550489465</v>
      </c>
      <c r="AC15" s="890">
        <v>2.5087933863383127</v>
      </c>
      <c r="AD15" s="540">
        <v>2.4888593017217655</v>
      </c>
      <c r="AE15" s="540">
        <v>2.4735109698014277</v>
      </c>
      <c r="AF15" s="540">
        <v>2.4633667419047924</v>
      </c>
    </row>
    <row r="16" spans="1:32" x14ac:dyDescent="0.35">
      <c r="A16" s="1041"/>
      <c r="B16" s="1041"/>
      <c r="C16" s="1059"/>
      <c r="D16" s="1059"/>
      <c r="E16" s="1059"/>
      <c r="F16" s="1059"/>
      <c r="G16" s="1045"/>
      <c r="H16" s="890"/>
      <c r="I16" s="890"/>
      <c r="J16" s="890"/>
      <c r="K16" s="890"/>
      <c r="L16" s="890"/>
      <c r="M16" s="890"/>
      <c r="N16" s="890"/>
      <c r="O16" s="890"/>
      <c r="P16" s="890"/>
      <c r="Q16" s="890"/>
      <c r="R16" s="890"/>
      <c r="S16" s="890"/>
      <c r="T16" s="890"/>
      <c r="U16" s="890"/>
      <c r="V16" s="890"/>
      <c r="W16" s="890"/>
      <c r="X16" s="890"/>
      <c r="Y16" s="890"/>
      <c r="Z16" s="890"/>
      <c r="AA16" s="890"/>
      <c r="AB16" s="890"/>
      <c r="AC16" s="890"/>
      <c r="AD16" s="1059"/>
      <c r="AE16" s="1059"/>
      <c r="AF16" s="1059"/>
    </row>
    <row r="17" spans="1:32" x14ac:dyDescent="0.35">
      <c r="A17" s="843" t="s">
        <v>36</v>
      </c>
      <c r="B17" s="843"/>
      <c r="C17" s="843"/>
      <c r="D17" s="843"/>
      <c r="E17" s="843"/>
      <c r="F17" s="843"/>
      <c r="G17" s="865"/>
      <c r="H17" s="891"/>
      <c r="I17" s="891"/>
      <c r="J17" s="891"/>
      <c r="K17" s="891"/>
      <c r="L17" s="891"/>
      <c r="M17" s="891"/>
      <c r="N17" s="891"/>
      <c r="O17" s="891"/>
      <c r="P17" s="891"/>
      <c r="Q17" s="891"/>
      <c r="R17" s="891"/>
      <c r="S17" s="891"/>
      <c r="T17" s="891"/>
      <c r="U17" s="891"/>
      <c r="V17" s="891"/>
      <c r="W17" s="891"/>
      <c r="X17" s="891"/>
      <c r="Y17" s="891"/>
      <c r="Z17" s="891"/>
      <c r="AA17" s="891"/>
      <c r="AB17" s="891"/>
      <c r="AC17" s="891"/>
      <c r="AD17" s="843"/>
      <c r="AE17" s="843"/>
      <c r="AF17" s="843"/>
    </row>
    <row r="18" spans="1:32" x14ac:dyDescent="0.35">
      <c r="A18" s="1041"/>
      <c r="B18" s="1041" t="s">
        <v>37</v>
      </c>
      <c r="C18" s="1059"/>
      <c r="D18" s="1059"/>
      <c r="E18" s="1059"/>
      <c r="F18" s="1059"/>
      <c r="G18" s="540"/>
      <c r="H18" s="890">
        <v>0.67502035453956166</v>
      </c>
      <c r="I18" s="890">
        <v>0.52971466477911555</v>
      </c>
      <c r="J18" s="890">
        <v>0.39739075736658591</v>
      </c>
      <c r="K18" s="890">
        <v>0.27295129141382024</v>
      </c>
      <c r="L18" s="890">
        <v>0.24636305412370657</v>
      </c>
      <c r="M18" s="890">
        <v>0.22365178360606114</v>
      </c>
      <c r="N18" s="890">
        <v>0.20423205155537133</v>
      </c>
      <c r="O18" s="890">
        <v>0.18824084974971367</v>
      </c>
      <c r="P18" s="890">
        <v>0.1735704638344574</v>
      </c>
      <c r="Q18" s="890">
        <v>0.16010355323908382</v>
      </c>
      <c r="R18" s="890">
        <v>0.14772902547540484</v>
      </c>
      <c r="S18" s="890">
        <v>0.13634956681418833</v>
      </c>
      <c r="T18" s="890">
        <v>0.12588175470304738</v>
      </c>
      <c r="U18" s="890">
        <v>0.11624594386003242</v>
      </c>
      <c r="V18" s="890">
        <v>0.10737330020303083</v>
      </c>
      <c r="W18" s="890">
        <v>9.9199594483574127E-2</v>
      </c>
      <c r="X18" s="890">
        <v>9.1666080260442248E-2</v>
      </c>
      <c r="Y18" s="890">
        <v>8.4722034522933504E-2</v>
      </c>
      <c r="Z18" s="890">
        <v>7.8320892442954912E-2</v>
      </c>
      <c r="AA18" s="890">
        <v>7.241842911682117E-2</v>
      </c>
      <c r="AB18" s="890">
        <v>6.6974009060832673E-2</v>
      </c>
      <c r="AC18" s="890">
        <v>6.195139198555219E-2</v>
      </c>
      <c r="AD18" s="540">
        <v>5.7314116058419455E-2</v>
      </c>
      <c r="AE18" s="540">
        <v>5.3033101306583494E-2</v>
      </c>
      <c r="AF18" s="540">
        <v>4.9080102963290698E-2</v>
      </c>
    </row>
    <row r="19" spans="1:32" x14ac:dyDescent="0.35">
      <c r="A19" s="1041"/>
      <c r="B19" s="1041" t="s">
        <v>39</v>
      </c>
      <c r="C19" s="1059"/>
      <c r="D19" s="1059"/>
      <c r="E19" s="1059"/>
      <c r="F19" s="1059"/>
      <c r="G19" s="540"/>
      <c r="H19" s="890">
        <v>1.6251151915228492</v>
      </c>
      <c r="I19" s="890">
        <v>1.6676487337922588</v>
      </c>
      <c r="J19" s="890">
        <v>1.6773944851620222</v>
      </c>
      <c r="K19" s="890">
        <v>1.7560289202844932</v>
      </c>
      <c r="L19" s="890">
        <v>1.754175392859926</v>
      </c>
      <c r="M19" s="890">
        <v>1.7285543234726402</v>
      </c>
      <c r="N19" s="890">
        <v>1.6419610186909248</v>
      </c>
      <c r="O19" s="890">
        <v>1.5546603298732782</v>
      </c>
      <c r="P19" s="890">
        <v>1.4714604868417549</v>
      </c>
      <c r="Q19" s="890">
        <v>1.3927947850509006</v>
      </c>
      <c r="R19" s="890">
        <v>1.3187735942231134</v>
      </c>
      <c r="S19" s="890">
        <v>1.2543101133296959</v>
      </c>
      <c r="T19" s="890">
        <v>1.1962348607288997</v>
      </c>
      <c r="U19" s="890">
        <v>1.1446340620836852</v>
      </c>
      <c r="V19" s="890">
        <v>1.1007287947562441</v>
      </c>
      <c r="W19" s="890">
        <v>1.0621429001914997</v>
      </c>
      <c r="X19" s="890">
        <v>1.0281499973753037</v>
      </c>
      <c r="Y19" s="890">
        <v>0.99876548347985961</v>
      </c>
      <c r="Z19" s="890">
        <v>0.97477282241763352</v>
      </c>
      <c r="AA19" s="890">
        <v>0.95575060724400851</v>
      </c>
      <c r="AB19" s="890">
        <v>0.94147546491111511</v>
      </c>
      <c r="AC19" s="890">
        <v>0.92793829331190669</v>
      </c>
      <c r="AD19" s="540">
        <v>0.91606149719054708</v>
      </c>
      <c r="AE19" s="540">
        <v>0.90581050841096622</v>
      </c>
      <c r="AF19" s="540">
        <v>0.89687548351557389</v>
      </c>
    </row>
    <row r="20" spans="1:32" x14ac:dyDescent="0.35">
      <c r="A20" s="1041"/>
      <c r="B20" s="1041" t="s">
        <v>40</v>
      </c>
      <c r="C20" s="1059"/>
      <c r="D20" s="1059"/>
      <c r="E20" s="1059"/>
      <c r="F20" s="1059"/>
      <c r="G20" s="540"/>
      <c r="H20" s="890">
        <v>0.49371072491491597</v>
      </c>
      <c r="I20" s="890">
        <v>0.66508523630236205</v>
      </c>
      <c r="J20" s="890">
        <v>0.8378243860808301</v>
      </c>
      <c r="K20" s="890">
        <v>0.89813874859573373</v>
      </c>
      <c r="L20" s="890">
        <v>0.93405206695149745</v>
      </c>
      <c r="M20" s="890">
        <v>0.96783899372029047</v>
      </c>
      <c r="N20" s="890">
        <v>1.0252278320392567</v>
      </c>
      <c r="O20" s="890">
        <v>1.0641231267091751</v>
      </c>
      <c r="P20" s="890">
        <v>1.0843659890288355</v>
      </c>
      <c r="Q20" s="890">
        <v>1.0891409615205034</v>
      </c>
      <c r="R20" s="890">
        <v>1.080771468996635</v>
      </c>
      <c r="S20" s="890">
        <v>1.0655055501781632</v>
      </c>
      <c r="T20" s="890">
        <v>1.0453785063313501</v>
      </c>
      <c r="U20" s="890">
        <v>1.0226041688496224</v>
      </c>
      <c r="V20" s="890">
        <v>1.0006088133235111</v>
      </c>
      <c r="W20" s="890">
        <v>0.97906528928588343</v>
      </c>
      <c r="X20" s="890">
        <v>0.95819716658481902</v>
      </c>
      <c r="Y20" s="890">
        <v>0.93934434525551769</v>
      </c>
      <c r="Z20" s="890">
        <v>0.92407841687106385</v>
      </c>
      <c r="AA20" s="890">
        <v>0.91231335635940813</v>
      </c>
      <c r="AB20" s="890">
        <v>0.90392602406029687</v>
      </c>
      <c r="AC20" s="890">
        <v>0.89612254943994807</v>
      </c>
      <c r="AD20" s="540">
        <v>0.88873148231563293</v>
      </c>
      <c r="AE20" s="540">
        <v>0.8823120738158885</v>
      </c>
      <c r="AF20" s="540">
        <v>0.87585476533672779</v>
      </c>
    </row>
    <row r="21" spans="1:32" x14ac:dyDescent="0.35">
      <c r="A21" s="1041"/>
      <c r="B21" s="1041" t="s">
        <v>29</v>
      </c>
      <c r="C21" s="1059"/>
      <c r="D21" s="1059"/>
      <c r="E21" s="1059"/>
      <c r="F21" s="1059"/>
      <c r="G21" s="1045"/>
      <c r="H21" s="890">
        <v>6.8837526569477127E-4</v>
      </c>
      <c r="I21" s="890">
        <v>7.444794863434143E-3</v>
      </c>
      <c r="J21" s="890">
        <v>2.8891413875649481E-2</v>
      </c>
      <c r="K21" s="890">
        <v>6.4767917962188143E-2</v>
      </c>
      <c r="L21" s="890">
        <v>0.11839212309766305</v>
      </c>
      <c r="M21" s="890">
        <v>0.18903089391048369</v>
      </c>
      <c r="N21" s="890">
        <v>0.28302478369707235</v>
      </c>
      <c r="O21" s="890">
        <v>0.39113790381435609</v>
      </c>
      <c r="P21" s="890">
        <v>0.51081151956691395</v>
      </c>
      <c r="Q21" s="890">
        <v>0.63613040990767789</v>
      </c>
      <c r="R21" s="890">
        <v>0.75864891806482904</v>
      </c>
      <c r="S21" s="890">
        <v>0.88243759323211013</v>
      </c>
      <c r="T21" s="890">
        <v>0.99970836858238432</v>
      </c>
      <c r="U21" s="890">
        <v>1.1085508038499179</v>
      </c>
      <c r="V21" s="890">
        <v>1.2097414509235072</v>
      </c>
      <c r="W21" s="890">
        <v>1.298569342053203</v>
      </c>
      <c r="X21" s="890">
        <v>1.3752000967935236</v>
      </c>
      <c r="Y21" s="890">
        <v>1.4403664412296724</v>
      </c>
      <c r="Z21" s="890">
        <v>1.4984005600029833</v>
      </c>
      <c r="AA21" s="890">
        <v>1.552228467691682</v>
      </c>
      <c r="AB21" s="890">
        <v>1.6056706715173883</v>
      </c>
      <c r="AC21" s="890">
        <v>1.6454183949169736</v>
      </c>
      <c r="AD21" s="540">
        <v>1.6820566949429592</v>
      </c>
      <c r="AE21" s="540">
        <v>1.7150910575872331</v>
      </c>
      <c r="AF21" s="540">
        <v>1.7450890216322774</v>
      </c>
    </row>
    <row r="22" spans="1:32" x14ac:dyDescent="0.35">
      <c r="A22" s="1041"/>
      <c r="B22" s="1041"/>
      <c r="C22" s="1059"/>
      <c r="D22" s="1059"/>
      <c r="E22" s="1059"/>
      <c r="F22" s="1059"/>
      <c r="G22" s="1045"/>
      <c r="H22" s="890"/>
      <c r="I22" s="890"/>
      <c r="J22" s="890"/>
      <c r="K22" s="890"/>
      <c r="L22" s="890"/>
      <c r="M22" s="890"/>
      <c r="N22" s="890"/>
      <c r="O22" s="890"/>
      <c r="P22" s="890"/>
      <c r="Q22" s="890"/>
      <c r="R22" s="890"/>
      <c r="S22" s="890"/>
      <c r="T22" s="890"/>
      <c r="U22" s="890"/>
      <c r="V22" s="890"/>
      <c r="W22" s="890"/>
      <c r="X22" s="890"/>
      <c r="Y22" s="890"/>
      <c r="Z22" s="890"/>
      <c r="AA22" s="890"/>
      <c r="AB22" s="890"/>
      <c r="AC22" s="890"/>
      <c r="AD22" s="1059"/>
      <c r="AE22" s="1059"/>
      <c r="AF22" s="1059"/>
    </row>
    <row r="23" spans="1:32" x14ac:dyDescent="0.35">
      <c r="A23" s="843" t="s">
        <v>42</v>
      </c>
      <c r="B23" s="843"/>
      <c r="C23" s="843"/>
      <c r="D23" s="843"/>
      <c r="E23" s="843"/>
      <c r="F23" s="843"/>
      <c r="G23" s="865"/>
      <c r="H23" s="891"/>
      <c r="I23" s="891"/>
      <c r="J23" s="891"/>
      <c r="K23" s="891"/>
      <c r="L23" s="891"/>
      <c r="M23" s="891"/>
      <c r="N23" s="891"/>
      <c r="O23" s="891"/>
      <c r="P23" s="891"/>
      <c r="Q23" s="891"/>
      <c r="R23" s="891"/>
      <c r="S23" s="891"/>
      <c r="T23" s="891"/>
      <c r="U23" s="891"/>
      <c r="V23" s="891"/>
      <c r="W23" s="891"/>
      <c r="X23" s="891"/>
      <c r="Y23" s="891"/>
      <c r="Z23" s="891"/>
      <c r="AA23" s="891"/>
      <c r="AB23" s="891"/>
      <c r="AC23" s="891"/>
      <c r="AD23" s="843"/>
      <c r="AE23" s="843"/>
      <c r="AF23" s="843"/>
    </row>
    <row r="24" spans="1:32" x14ac:dyDescent="0.35">
      <c r="A24" s="1041"/>
      <c r="B24" s="1043" t="s">
        <v>43</v>
      </c>
      <c r="C24" s="1059"/>
      <c r="D24" s="1059"/>
      <c r="E24" s="1059"/>
      <c r="F24" s="1059"/>
      <c r="G24" s="1045"/>
      <c r="H24" s="890">
        <v>1.3921119329773411E-3</v>
      </c>
      <c r="I24" s="890">
        <v>1.331856141627453E-3</v>
      </c>
      <c r="J24" s="890">
        <v>1.2730206605844801E-3</v>
      </c>
      <c r="K24" s="890">
        <v>1.2130367419906792E-3</v>
      </c>
      <c r="L24" s="890">
        <v>1.1563688656978191E-3</v>
      </c>
      <c r="M24" s="890">
        <v>1.1015918085260832E-3</v>
      </c>
      <c r="N24" s="890">
        <v>1.0484645792617027E-3</v>
      </c>
      <c r="O24" s="890">
        <v>9.9824035530749703E-4</v>
      </c>
      <c r="P24" s="890">
        <v>9.5105268692175686E-4</v>
      </c>
      <c r="Q24" s="890">
        <v>9.0689332389315598E-4</v>
      </c>
      <c r="R24" s="890">
        <v>8.6538312743442689E-4</v>
      </c>
      <c r="S24" s="890">
        <v>8.2766504380687306E-4</v>
      </c>
      <c r="T24" s="890">
        <v>7.9296482438402335E-4</v>
      </c>
      <c r="U24" s="890">
        <v>7.6110564918326225E-4</v>
      </c>
      <c r="V24" s="890">
        <v>7.3221639483039076E-4</v>
      </c>
      <c r="W24" s="890">
        <v>7.0552376100330898E-4</v>
      </c>
      <c r="X24" s="890">
        <v>6.8073218957450711E-4</v>
      </c>
      <c r="Y24" s="890">
        <v>6.5774412257631307E-4</v>
      </c>
      <c r="Z24" s="890">
        <v>6.3677578861621878E-4</v>
      </c>
      <c r="AA24" s="890">
        <v>6.1778405853814831E-4</v>
      </c>
      <c r="AB24" s="890">
        <v>6.0082172866001739E-4</v>
      </c>
      <c r="AC24" s="890">
        <v>5.8449195493530588E-4</v>
      </c>
      <c r="AD24" s="540">
        <v>5.6933156373160845E-4</v>
      </c>
      <c r="AE24" s="540">
        <v>5.5525443960647365E-4</v>
      </c>
      <c r="AF24" s="540">
        <v>5.4216767759762718E-4</v>
      </c>
    </row>
    <row r="25" spans="1:32" x14ac:dyDescent="0.35">
      <c r="A25" s="1041"/>
      <c r="B25" s="1043" t="s">
        <v>44</v>
      </c>
      <c r="C25" s="1059"/>
      <c r="D25" s="1059"/>
      <c r="E25" s="1059"/>
      <c r="F25" s="1059"/>
      <c r="G25" s="1045"/>
      <c r="H25" s="890">
        <v>2.4739738240728434E-2</v>
      </c>
      <c r="I25" s="890">
        <v>2.5730661837694617E-2</v>
      </c>
      <c r="J25" s="890">
        <v>2.6400135722850746E-2</v>
      </c>
      <c r="K25" s="890">
        <v>2.6588335050961028E-2</v>
      </c>
      <c r="L25" s="890">
        <v>2.6712392641880963E-2</v>
      </c>
      <c r="M25" s="890">
        <v>2.6659591100350759E-2</v>
      </c>
      <c r="N25" s="890">
        <v>2.6434166937549842E-2</v>
      </c>
      <c r="O25" s="890">
        <v>2.6172943216154741E-2</v>
      </c>
      <c r="P25" s="890">
        <v>2.5914046996228193E-2</v>
      </c>
      <c r="Q25" s="890">
        <v>2.5672853621982576E-2</v>
      </c>
      <c r="R25" s="890">
        <v>2.5431813017351264E-2</v>
      </c>
      <c r="S25" s="890">
        <v>2.5317771255470085E-2</v>
      </c>
      <c r="T25" s="890">
        <v>2.5270746450067105E-2</v>
      </c>
      <c r="U25" s="890">
        <v>2.5289566437167683E-2</v>
      </c>
      <c r="V25" s="890">
        <v>2.5399913060612449E-2</v>
      </c>
      <c r="W25" s="890">
        <v>2.5540716101923162E-2</v>
      </c>
      <c r="X25" s="890">
        <v>2.5696081892467165E-2</v>
      </c>
      <c r="Y25" s="890">
        <v>2.5866553552888669E-2</v>
      </c>
      <c r="Z25" s="890">
        <v>2.6082215085747117E-2</v>
      </c>
      <c r="AA25" s="890">
        <v>2.6348621921855813E-2</v>
      </c>
      <c r="AB25" s="890">
        <v>2.6646598818228964E-2</v>
      </c>
      <c r="AC25" s="890">
        <v>2.6915933910839605E-2</v>
      </c>
      <c r="AD25" s="540">
        <v>2.7150957740700393E-2</v>
      </c>
      <c r="AE25" s="540">
        <v>2.738287210435237E-2</v>
      </c>
      <c r="AF25" s="540">
        <v>2.7609462595343519E-2</v>
      </c>
    </row>
    <row r="26" spans="1:32" x14ac:dyDescent="0.35">
      <c r="A26" s="1041"/>
      <c r="B26" s="1043" t="s">
        <v>45</v>
      </c>
      <c r="C26" s="1059"/>
      <c r="D26" s="1059"/>
      <c r="E26" s="1059"/>
      <c r="F26" s="1059"/>
      <c r="G26" s="1045"/>
      <c r="H26" s="890">
        <v>8.7368290432899825E-3</v>
      </c>
      <c r="I26" s="890">
        <v>8.202658884640222E-3</v>
      </c>
      <c r="J26" s="890">
        <v>7.7011256628451621E-3</v>
      </c>
      <c r="K26" s="890">
        <v>7.2291970029255371E-3</v>
      </c>
      <c r="L26" s="890">
        <v>6.7871229430906035E-3</v>
      </c>
      <c r="M26" s="890">
        <v>6.3722721731802514E-3</v>
      </c>
      <c r="N26" s="890">
        <v>5.9828436753461053E-3</v>
      </c>
      <c r="O26" s="890">
        <v>5.6179029827504723E-3</v>
      </c>
      <c r="P26" s="890">
        <v>5.2760672508721761E-3</v>
      </c>
      <c r="Q26" s="890">
        <v>4.9559130887384508E-3</v>
      </c>
      <c r="R26" s="890">
        <v>4.6559357500660804E-3</v>
      </c>
      <c r="S26" s="890">
        <v>4.375553764259175E-3</v>
      </c>
      <c r="T26" s="890">
        <v>4.1131872175558231E-3</v>
      </c>
      <c r="U26" s="890">
        <v>3.8676869138313452E-3</v>
      </c>
      <c r="V26" s="890">
        <v>3.6381315538503208E-3</v>
      </c>
      <c r="W26" s="890">
        <v>3.4231736994618008E-3</v>
      </c>
      <c r="X26" s="890">
        <v>3.2217969574755935E-3</v>
      </c>
      <c r="Y26" s="890">
        <v>3.033138905277E-3</v>
      </c>
      <c r="Z26" s="890">
        <v>2.8565627020223213E-3</v>
      </c>
      <c r="AA26" s="890">
        <v>2.6913430267229261E-3</v>
      </c>
      <c r="AB26" s="890">
        <v>2.5368539094753487E-3</v>
      </c>
      <c r="AC26" s="890">
        <v>2.3917084228685754E-3</v>
      </c>
      <c r="AD26" s="540">
        <v>2.2556508454633349E-3</v>
      </c>
      <c r="AE26" s="540">
        <v>2.1280915249956072E-3</v>
      </c>
      <c r="AF26" s="540">
        <v>2.0084802178925738E-3</v>
      </c>
    </row>
    <row r="27" spans="1:32" x14ac:dyDescent="0.35">
      <c r="A27" s="1041"/>
      <c r="B27" s="1043" t="s">
        <v>46</v>
      </c>
      <c r="C27" s="1059"/>
      <c r="D27" s="1059"/>
      <c r="E27" s="1059"/>
      <c r="F27" s="1059"/>
      <c r="G27" s="1045"/>
      <c r="H27" s="890">
        <v>0</v>
      </c>
      <c r="I27" s="890">
        <v>0</v>
      </c>
      <c r="J27" s="890">
        <v>0</v>
      </c>
      <c r="K27" s="890">
        <v>0</v>
      </c>
      <c r="L27" s="890">
        <v>0</v>
      </c>
      <c r="M27" s="890">
        <v>0</v>
      </c>
      <c r="N27" s="890">
        <v>0</v>
      </c>
      <c r="O27" s="890">
        <v>0</v>
      </c>
      <c r="P27" s="890">
        <v>0</v>
      </c>
      <c r="Q27" s="890">
        <v>0</v>
      </c>
      <c r="R27" s="890">
        <v>0</v>
      </c>
      <c r="S27" s="890">
        <v>0</v>
      </c>
      <c r="T27" s="890">
        <v>0</v>
      </c>
      <c r="U27" s="890">
        <v>0</v>
      </c>
      <c r="V27" s="890">
        <v>0</v>
      </c>
      <c r="W27" s="890">
        <v>0</v>
      </c>
      <c r="X27" s="890">
        <v>0</v>
      </c>
      <c r="Y27" s="890">
        <v>0</v>
      </c>
      <c r="Z27" s="890">
        <v>0</v>
      </c>
      <c r="AA27" s="890">
        <v>0</v>
      </c>
      <c r="AB27" s="890">
        <v>0</v>
      </c>
      <c r="AC27" s="890">
        <v>0</v>
      </c>
      <c r="AD27" s="540">
        <v>0</v>
      </c>
      <c r="AE27" s="540">
        <v>0</v>
      </c>
      <c r="AF27" s="540">
        <v>0</v>
      </c>
    </row>
    <row r="28" spans="1:32" x14ac:dyDescent="0.35">
      <c r="A28" s="1041"/>
      <c r="B28" s="1041" t="s">
        <v>29</v>
      </c>
      <c r="C28" s="1059"/>
      <c r="D28" s="1059"/>
      <c r="E28" s="1059"/>
      <c r="F28" s="1059"/>
      <c r="G28" s="1045"/>
      <c r="H28" s="890">
        <v>2.1445437734450489E-3</v>
      </c>
      <c r="I28" s="890">
        <v>3.1017360639816732E-3</v>
      </c>
      <c r="J28" s="890">
        <v>4.2328872114431784E-3</v>
      </c>
      <c r="K28" s="890">
        <v>5.471084728791837E-3</v>
      </c>
      <c r="L28" s="890">
        <v>6.8418713356282763E-3</v>
      </c>
      <c r="M28" s="890">
        <v>8.2585358944767505E-3</v>
      </c>
      <c r="N28" s="890">
        <v>9.6479860383613322E-3</v>
      </c>
      <c r="O28" s="890">
        <v>1.1003420700355034E-2</v>
      </c>
      <c r="P28" s="890">
        <v>1.229801881082768E-2</v>
      </c>
      <c r="Q28" s="890">
        <v>1.3494625897787034E-2</v>
      </c>
      <c r="R28" s="890">
        <v>1.4536788015052704E-2</v>
      </c>
      <c r="S28" s="890">
        <v>1.5506212493877267E-2</v>
      </c>
      <c r="T28" s="890">
        <v>1.6347407990622908E-2</v>
      </c>
      <c r="U28" s="890">
        <v>1.7068142129723348E-2</v>
      </c>
      <c r="V28" s="890">
        <v>1.7715827958361286E-2</v>
      </c>
      <c r="W28" s="890">
        <v>1.8251169580513361E-2</v>
      </c>
      <c r="X28" s="890">
        <v>1.8683256071354709E-2</v>
      </c>
      <c r="Y28" s="890">
        <v>1.9037156122819414E-2</v>
      </c>
      <c r="Z28" s="890">
        <v>1.9370035372666926E-2</v>
      </c>
      <c r="AA28" s="890">
        <v>1.9706896100365648E-2</v>
      </c>
      <c r="AB28" s="890">
        <v>2.0078887815463187E-2</v>
      </c>
      <c r="AC28" s="890">
        <v>2.0341959789522371E-2</v>
      </c>
      <c r="AD28" s="540">
        <v>2.0583984238830393E-2</v>
      </c>
      <c r="AE28" s="540">
        <v>2.0807387266584303E-2</v>
      </c>
      <c r="AF28" s="540">
        <v>2.1014384226277816E-2</v>
      </c>
    </row>
    <row r="29" spans="1:32" x14ac:dyDescent="0.35">
      <c r="A29" s="1041"/>
      <c r="B29" s="1041"/>
      <c r="C29" s="1059"/>
      <c r="D29" s="1059"/>
      <c r="E29" s="1059"/>
      <c r="F29" s="1059"/>
      <c r="G29" s="1045"/>
      <c r="H29" s="890"/>
      <c r="I29" s="890"/>
      <c r="J29" s="890"/>
      <c r="K29" s="890"/>
      <c r="L29" s="890"/>
      <c r="M29" s="890"/>
      <c r="N29" s="890"/>
      <c r="O29" s="890"/>
      <c r="P29" s="890"/>
      <c r="Q29" s="890"/>
      <c r="R29" s="890"/>
      <c r="S29" s="890"/>
      <c r="T29" s="890"/>
      <c r="U29" s="890"/>
      <c r="V29" s="890"/>
      <c r="W29" s="890"/>
      <c r="X29" s="890"/>
      <c r="Y29" s="890"/>
      <c r="Z29" s="890"/>
      <c r="AA29" s="890"/>
      <c r="AB29" s="890"/>
      <c r="AC29" s="890"/>
      <c r="AD29" s="1059"/>
      <c r="AE29" s="1059"/>
      <c r="AF29" s="1059"/>
    </row>
    <row r="30" spans="1:32" x14ac:dyDescent="0.35">
      <c r="A30" s="843" t="s">
        <v>47</v>
      </c>
      <c r="B30" s="843"/>
      <c r="C30" s="843"/>
      <c r="D30" s="843"/>
      <c r="E30" s="843"/>
      <c r="F30" s="843"/>
      <c r="G30" s="865"/>
      <c r="H30" s="891"/>
      <c r="I30" s="891"/>
      <c r="J30" s="891"/>
      <c r="K30" s="891"/>
      <c r="L30" s="891"/>
      <c r="M30" s="891"/>
      <c r="N30" s="891"/>
      <c r="O30" s="891"/>
      <c r="P30" s="891"/>
      <c r="Q30" s="891"/>
      <c r="R30" s="891"/>
      <c r="S30" s="891"/>
      <c r="T30" s="891"/>
      <c r="U30" s="891"/>
      <c r="V30" s="891"/>
      <c r="W30" s="891"/>
      <c r="X30" s="891"/>
      <c r="Y30" s="891"/>
      <c r="Z30" s="891"/>
      <c r="AA30" s="891"/>
      <c r="AB30" s="891"/>
      <c r="AC30" s="891"/>
      <c r="AD30" s="843"/>
      <c r="AE30" s="843"/>
      <c r="AF30" s="843"/>
    </row>
    <row r="31" spans="1:32" x14ac:dyDescent="0.35">
      <c r="A31" s="1041"/>
      <c r="B31" s="1041" t="s">
        <v>48</v>
      </c>
      <c r="C31" s="1059"/>
      <c r="D31" s="1059"/>
      <c r="E31" s="1059"/>
      <c r="F31" s="1059"/>
      <c r="G31" s="1045"/>
      <c r="H31" s="890">
        <v>11.962827328717653</v>
      </c>
      <c r="I31" s="890">
        <v>8.9526591418472563</v>
      </c>
      <c r="J31" s="890">
        <v>5.5259291013669287</v>
      </c>
      <c r="K31" s="890">
        <v>2.6440264606240071</v>
      </c>
      <c r="L31" s="890">
        <v>1.0374019893405584</v>
      </c>
      <c r="M31" s="890">
        <v>0.36790464040226084</v>
      </c>
      <c r="N31" s="890">
        <v>0.12263257934202276</v>
      </c>
      <c r="O31" s="890">
        <v>4.0618757138009685E-2</v>
      </c>
      <c r="P31" s="890">
        <v>1.3251400625916336E-2</v>
      </c>
      <c r="Q31" s="890">
        <v>4.3830592267625149E-3</v>
      </c>
      <c r="R31" s="890">
        <v>1.478651465180321E-3</v>
      </c>
      <c r="S31" s="890">
        <v>5.0196305181965134E-4</v>
      </c>
      <c r="T31" s="890">
        <v>1.7457721835654777E-4</v>
      </c>
      <c r="U31" s="890">
        <v>6.1679073180109816E-5</v>
      </c>
      <c r="V31" s="890">
        <v>2.2126080740676004E-5</v>
      </c>
      <c r="W31" s="890">
        <v>8.0546920530926087E-6</v>
      </c>
      <c r="X31" s="890">
        <v>2.9540751405727356E-6</v>
      </c>
      <c r="Y31" s="890">
        <v>1.0971967193543301E-6</v>
      </c>
      <c r="Z31" s="890">
        <v>4.1375694597713779E-7</v>
      </c>
      <c r="AA31" s="890">
        <v>1.5789894588912523E-7</v>
      </c>
      <c r="AB31" s="890">
        <v>6.0677545610336512E-8</v>
      </c>
      <c r="AC31" s="890">
        <v>2.3778691694919893E-8</v>
      </c>
      <c r="AD31" s="540">
        <v>9.3009017863006137E-9</v>
      </c>
      <c r="AE31" s="540">
        <v>3.6608328605452187E-9</v>
      </c>
      <c r="AF31" s="540">
        <v>1.4492541092316764E-9</v>
      </c>
    </row>
    <row r="32" spans="1:32" x14ac:dyDescent="0.35">
      <c r="A32" s="1041"/>
      <c r="B32" s="1043" t="s">
        <v>50</v>
      </c>
      <c r="C32" s="1059"/>
      <c r="D32" s="1059"/>
      <c r="E32" s="1059"/>
      <c r="F32" s="1059"/>
      <c r="G32" s="1045"/>
      <c r="H32" s="890">
        <v>0.70357806786175325</v>
      </c>
      <c r="I32" s="890">
        <v>0.64336341337694125</v>
      </c>
      <c r="J32" s="890">
        <v>0.54992279083244766</v>
      </c>
      <c r="K32" s="890">
        <v>0.42270232048968603</v>
      </c>
      <c r="L32" s="890">
        <v>0.30502513560373545</v>
      </c>
      <c r="M32" s="890">
        <v>0.21466865116633116</v>
      </c>
      <c r="N32" s="890">
        <v>0.14894247725357082</v>
      </c>
      <c r="O32" s="890">
        <v>0.10511540654765861</v>
      </c>
      <c r="P32" s="890">
        <v>7.4589452758005742E-2</v>
      </c>
      <c r="Q32" s="890">
        <v>5.4102436848728043E-2</v>
      </c>
      <c r="R32" s="890">
        <v>3.9987300319262079E-2</v>
      </c>
      <c r="S32" s="890">
        <v>2.9879811864014325E-2</v>
      </c>
      <c r="T32" s="890">
        <v>2.2777679005423813E-2</v>
      </c>
      <c r="U32" s="890">
        <v>1.7583536476633268E-2</v>
      </c>
      <c r="V32" s="890">
        <v>1.3737476085399164E-2</v>
      </c>
      <c r="W32" s="890">
        <v>1.0833491097949784E-2</v>
      </c>
      <c r="X32" s="890">
        <v>8.5735294901894341E-3</v>
      </c>
      <c r="Y32" s="890">
        <v>6.8322583257985521E-3</v>
      </c>
      <c r="Z32" s="890">
        <v>5.4947913415702024E-3</v>
      </c>
      <c r="AA32" s="890">
        <v>4.448648919241841E-3</v>
      </c>
      <c r="AB32" s="890">
        <v>3.6136105178895639E-3</v>
      </c>
      <c r="AC32" s="890">
        <v>2.9605721217318523E-3</v>
      </c>
      <c r="AD32" s="540">
        <v>2.4140048081907903E-3</v>
      </c>
      <c r="AE32" s="540">
        <v>1.9703632080242503E-3</v>
      </c>
      <c r="AF32" s="540">
        <v>1.6093282144817541E-3</v>
      </c>
    </row>
    <row r="33" spans="1:32" x14ac:dyDescent="0.35">
      <c r="A33" s="1041"/>
      <c r="B33" s="1041" t="s">
        <v>51</v>
      </c>
      <c r="C33" s="1059"/>
      <c r="D33" s="1059"/>
      <c r="E33" s="1059"/>
      <c r="F33" s="1059"/>
      <c r="G33" s="1045"/>
      <c r="H33" s="890">
        <v>0.40698847145564016</v>
      </c>
      <c r="I33" s="890">
        <v>0.40538240299128769</v>
      </c>
      <c r="J33" s="890">
        <v>0.39602487838272327</v>
      </c>
      <c r="K33" s="890">
        <v>0.37698759940429583</v>
      </c>
      <c r="L33" s="890">
        <v>0.3538566611503976</v>
      </c>
      <c r="M33" s="890">
        <v>0.32717542672094968</v>
      </c>
      <c r="N33" s="890">
        <v>0.29846910169261631</v>
      </c>
      <c r="O33" s="890">
        <v>0.27084863249402724</v>
      </c>
      <c r="P33" s="890">
        <v>0.24497190552240494</v>
      </c>
      <c r="Q33" s="890">
        <v>0.22153515731354814</v>
      </c>
      <c r="R33" s="890">
        <v>0.20061619502770661</v>
      </c>
      <c r="S33" s="890">
        <v>0.18249067835160099</v>
      </c>
      <c r="T33" s="890">
        <v>0.16666602717178336</v>
      </c>
      <c r="U33" s="890">
        <v>0.15278035843063958</v>
      </c>
      <c r="V33" s="890">
        <v>0.14078184694307153</v>
      </c>
      <c r="W33" s="890">
        <v>0.13009147737260648</v>
      </c>
      <c r="X33" s="890">
        <v>0.12041436899781499</v>
      </c>
      <c r="Y33" s="890">
        <v>0.11171407809628506</v>
      </c>
      <c r="Z33" s="890">
        <v>0.10394348562592606</v>
      </c>
      <c r="AA33" s="890">
        <v>9.7071036081337353E-2</v>
      </c>
      <c r="AB33" s="890">
        <v>9.0978592511589268E-2</v>
      </c>
      <c r="AC33" s="890">
        <v>8.5277069290364799E-2</v>
      </c>
      <c r="AD33" s="540">
        <v>7.9841170509374004E-2</v>
      </c>
      <c r="AE33" s="540">
        <v>7.4790013024183602E-2</v>
      </c>
      <c r="AF33" s="540">
        <v>7.0081835026710865E-2</v>
      </c>
    </row>
    <row r="34" spans="1:32" x14ac:dyDescent="0.35">
      <c r="A34" s="1041"/>
      <c r="B34" s="1041" t="s">
        <v>52</v>
      </c>
      <c r="C34" s="1059"/>
      <c r="D34" s="1059"/>
      <c r="E34" s="1059"/>
      <c r="F34" s="1059"/>
      <c r="G34" s="1045"/>
      <c r="H34" s="890">
        <v>0.41943237390226923</v>
      </c>
      <c r="I34" s="890">
        <v>0.39380949236871177</v>
      </c>
      <c r="J34" s="890">
        <v>0.35635939708715703</v>
      </c>
      <c r="K34" s="890">
        <v>0.31049666554654176</v>
      </c>
      <c r="L34" s="890">
        <v>0.26848479432038286</v>
      </c>
      <c r="M34" s="890">
        <v>0.23306354512813282</v>
      </c>
      <c r="N34" s="890">
        <v>0.2040667597751521</v>
      </c>
      <c r="O34" s="890">
        <v>0.18145472564863541</v>
      </c>
      <c r="P34" s="890">
        <v>0.1632409222034229</v>
      </c>
      <c r="Q34" s="890">
        <v>0.14850880437935168</v>
      </c>
      <c r="R34" s="890">
        <v>0.13630305526427172</v>
      </c>
      <c r="S34" s="890">
        <v>0.12598786409430604</v>
      </c>
      <c r="T34" s="890">
        <v>0.11712325725726702</v>
      </c>
      <c r="U34" s="890">
        <v>0.10932078563768401</v>
      </c>
      <c r="V34" s="890">
        <v>0.10241733070673746</v>
      </c>
      <c r="W34" s="890">
        <v>9.6164216486800166E-2</v>
      </c>
      <c r="X34" s="890">
        <v>9.040872420394569E-2</v>
      </c>
      <c r="Y34" s="890">
        <v>8.5121701923442233E-2</v>
      </c>
      <c r="Z34" s="890">
        <v>8.0294598205091314E-2</v>
      </c>
      <c r="AA34" s="890">
        <v>7.5860349009117548E-2</v>
      </c>
      <c r="AB34" s="890">
        <v>7.1765765410170809E-2</v>
      </c>
      <c r="AC34" s="890">
        <v>6.790546812781996E-2</v>
      </c>
      <c r="AD34" s="540">
        <v>6.4241832402478508E-2</v>
      </c>
      <c r="AE34" s="540">
        <v>6.0791876225305817E-2</v>
      </c>
      <c r="AF34" s="540">
        <v>5.7538114289598506E-2</v>
      </c>
    </row>
    <row r="35" spans="1:32" x14ac:dyDescent="0.35">
      <c r="A35" s="1041"/>
      <c r="B35" s="1043" t="s">
        <v>29</v>
      </c>
      <c r="C35" s="1059"/>
      <c r="D35" s="1059"/>
      <c r="E35" s="1059"/>
      <c r="F35" s="1059"/>
      <c r="G35" s="1045"/>
      <c r="H35" s="890">
        <v>1.358599031964953</v>
      </c>
      <c r="I35" s="890">
        <v>4.0009144722339522</v>
      </c>
      <c r="J35" s="890">
        <v>5.5854074006549546</v>
      </c>
      <c r="K35" s="890">
        <v>5.9438032180618947</v>
      </c>
      <c r="L35" s="890">
        <v>5.1339419401672366</v>
      </c>
      <c r="M35" s="890">
        <v>4.1530122100774047</v>
      </c>
      <c r="N35" s="890">
        <v>3.5249299888281245</v>
      </c>
      <c r="O35" s="890">
        <v>3.2220059521933893</v>
      </c>
      <c r="P35" s="890">
        <v>3.1131582695881312</v>
      </c>
      <c r="Q35" s="890">
        <v>3.0915274848664254</v>
      </c>
      <c r="R35" s="890">
        <v>3.0977695532844662</v>
      </c>
      <c r="S35" s="890">
        <v>3.1284320326770856</v>
      </c>
      <c r="T35" s="890">
        <v>3.1626185577113053</v>
      </c>
      <c r="U35" s="890">
        <v>3.1973733590406037</v>
      </c>
      <c r="V35" s="890">
        <v>3.2374040254388317</v>
      </c>
      <c r="W35" s="890">
        <v>3.2729110957677929</v>
      </c>
      <c r="X35" s="890">
        <v>3.3029815630388546</v>
      </c>
      <c r="Y35" s="890">
        <v>3.3294265311729698</v>
      </c>
      <c r="Z35" s="890">
        <v>3.3596055428909546</v>
      </c>
      <c r="AA35" s="890">
        <v>3.3962246250428665</v>
      </c>
      <c r="AB35" s="890">
        <v>3.443161903674878</v>
      </c>
      <c r="AC35" s="890">
        <v>3.4756273347449547</v>
      </c>
      <c r="AD35" s="540">
        <v>3.5072048431322327</v>
      </c>
      <c r="AE35" s="540">
        <v>3.5377762319115709</v>
      </c>
      <c r="AF35" s="540">
        <v>3.5672392892052662</v>
      </c>
    </row>
    <row r="36" spans="1:32" x14ac:dyDescent="0.35">
      <c r="A36" s="1041"/>
      <c r="B36" s="1043" t="s">
        <v>53</v>
      </c>
      <c r="C36" s="1059"/>
      <c r="D36" s="1059"/>
      <c r="E36" s="1059"/>
      <c r="F36" s="1059"/>
      <c r="G36" s="1045"/>
      <c r="H36" s="890">
        <v>1.3627827523434914E-2</v>
      </c>
      <c r="I36" s="890">
        <v>1.3544777161059313E-2</v>
      </c>
      <c r="J36" s="890">
        <v>1.3227119105953965E-2</v>
      </c>
      <c r="K36" s="890">
        <v>1.2607742605734763E-2</v>
      </c>
      <c r="L36" s="890">
        <v>1.1911945895313318E-2</v>
      </c>
      <c r="M36" s="890">
        <v>1.1140639157559754E-2</v>
      </c>
      <c r="N36" s="890">
        <v>1.0327825059927954E-2</v>
      </c>
      <c r="O36" s="890">
        <v>9.5668131862903828E-3</v>
      </c>
      <c r="P36" s="890">
        <v>8.8638029776485182E-3</v>
      </c>
      <c r="Q36" s="890">
        <v>8.2311103287372525E-3</v>
      </c>
      <c r="R36" s="890">
        <v>7.662237926275392E-3</v>
      </c>
      <c r="S36" s="890">
        <v>7.1716190904321155E-3</v>
      </c>
      <c r="T36" s="890">
        <v>6.7390485127858035E-3</v>
      </c>
      <c r="U36" s="890">
        <v>6.3538222886771085E-3</v>
      </c>
      <c r="V36" s="890">
        <v>6.0179104123783472E-3</v>
      </c>
      <c r="W36" s="890">
        <v>5.7112306541537514E-3</v>
      </c>
      <c r="X36" s="890">
        <v>5.4256032296031475E-3</v>
      </c>
      <c r="Y36" s="890">
        <v>5.1623551740204495E-3</v>
      </c>
      <c r="Z36" s="890">
        <v>4.9269397472448979E-3</v>
      </c>
      <c r="AA36" s="890">
        <v>4.7160166003929992E-3</v>
      </c>
      <c r="AB36" s="890">
        <v>4.5274556557915943E-3</v>
      </c>
      <c r="AC36" s="890">
        <v>4.3402865363999614E-3</v>
      </c>
      <c r="AD36" s="540">
        <v>4.1595500075769475E-3</v>
      </c>
      <c r="AE36" s="540">
        <v>3.9871741586171277E-3</v>
      </c>
      <c r="AF36" s="540">
        <v>3.8222647809293079E-3</v>
      </c>
    </row>
    <row r="38" spans="1:32" x14ac:dyDescent="0.35">
      <c r="A38" s="1059" t="s">
        <v>767</v>
      </c>
      <c r="B38" s="1059"/>
      <c r="C38" s="1059"/>
      <c r="D38" s="1059"/>
      <c r="E38" s="1059"/>
      <c r="F38" s="1059"/>
      <c r="G38" s="1059"/>
      <c r="H38" s="1059"/>
      <c r="I38" s="1059"/>
      <c r="J38" s="1059"/>
      <c r="K38" s="1059"/>
      <c r="L38" s="1059"/>
      <c r="M38" s="1059"/>
      <c r="N38" s="1059"/>
      <c r="O38" s="1059"/>
      <c r="P38" s="1059"/>
      <c r="Q38" s="1059"/>
      <c r="R38" s="1059"/>
      <c r="S38" s="1059"/>
      <c r="T38" s="1059"/>
      <c r="U38" s="1059"/>
      <c r="V38" s="1059"/>
      <c r="W38" s="1059"/>
      <c r="X38" s="1059"/>
      <c r="Y38" s="1059"/>
      <c r="Z38" s="1059"/>
      <c r="AA38" s="1059"/>
      <c r="AB38" s="1059"/>
      <c r="AC38" s="1059"/>
      <c r="AD38" s="1059"/>
      <c r="AE38" s="1059"/>
      <c r="AF38" s="1059"/>
    </row>
    <row r="39" spans="1:32" x14ac:dyDescent="0.35">
      <c r="A39" s="1047" t="s">
        <v>497</v>
      </c>
      <c r="B39" s="1048"/>
      <c r="C39" s="1047"/>
      <c r="D39" s="1046"/>
      <c r="E39" s="1046"/>
      <c r="F39" s="1046"/>
      <c r="G39" s="1046"/>
      <c r="H39" s="862"/>
      <c r="I39" s="862"/>
      <c r="J39" s="862"/>
      <c r="K39" s="862"/>
      <c r="L39" s="862"/>
      <c r="M39" s="862"/>
      <c r="N39" s="862"/>
      <c r="O39" s="862"/>
      <c r="P39" s="862"/>
      <c r="Q39" s="862"/>
      <c r="R39" s="862"/>
      <c r="S39" s="862"/>
      <c r="T39" s="862"/>
      <c r="U39" s="862"/>
      <c r="V39" s="862"/>
      <c r="W39" s="862"/>
      <c r="X39" s="862"/>
      <c r="Y39" s="862"/>
      <c r="Z39" s="862"/>
      <c r="AA39" s="862"/>
      <c r="AB39" s="862"/>
      <c r="AC39" s="862"/>
      <c r="AD39" s="862"/>
      <c r="AE39" s="862"/>
      <c r="AF39" s="862"/>
    </row>
    <row r="40" spans="1:32" x14ac:dyDescent="0.35">
      <c r="A40" s="1042" t="s">
        <v>12</v>
      </c>
      <c r="B40" s="1041"/>
      <c r="C40" s="1059"/>
      <c r="D40" s="1059"/>
      <c r="E40" s="1059"/>
      <c r="F40" s="1059"/>
      <c r="G40" s="1059"/>
      <c r="H40" s="1059"/>
      <c r="I40" s="1059"/>
      <c r="J40" s="1059"/>
      <c r="K40" s="1059"/>
      <c r="L40" s="1059"/>
      <c r="M40" s="1059"/>
      <c r="N40" s="1059"/>
      <c r="O40" s="1059"/>
      <c r="P40" s="1059"/>
      <c r="Q40" s="1059"/>
      <c r="R40" s="1059"/>
      <c r="S40" s="1059"/>
      <c r="T40" s="1059"/>
      <c r="U40" s="1059"/>
      <c r="V40" s="1059"/>
      <c r="W40" s="1059"/>
      <c r="X40" s="1059"/>
      <c r="Y40" s="1059"/>
      <c r="Z40" s="1059"/>
      <c r="AA40" s="1059"/>
      <c r="AB40" s="1059"/>
      <c r="AC40" s="1059"/>
      <c r="AD40" s="1059"/>
      <c r="AE40" s="1059"/>
      <c r="AF40" s="1059"/>
    </row>
    <row r="41" spans="1:32" x14ac:dyDescent="0.35">
      <c r="A41" s="1041"/>
      <c r="B41" s="1041" t="s">
        <v>20</v>
      </c>
      <c r="C41" s="1059"/>
      <c r="D41" s="1059"/>
      <c r="E41" s="1059"/>
      <c r="F41" s="1059"/>
      <c r="G41" s="208">
        <v>2010</v>
      </c>
      <c r="H41" s="208">
        <v>2011</v>
      </c>
      <c r="I41" s="208">
        <v>2012</v>
      </c>
      <c r="J41" s="208">
        <v>2013</v>
      </c>
      <c r="K41" s="208">
        <v>2014</v>
      </c>
      <c r="L41" s="208">
        <v>2015</v>
      </c>
      <c r="M41" s="208">
        <v>2016</v>
      </c>
      <c r="N41" s="208">
        <v>2017</v>
      </c>
      <c r="O41" s="208">
        <v>2018</v>
      </c>
      <c r="P41" s="208">
        <v>2019</v>
      </c>
      <c r="Q41" s="208">
        <v>2020</v>
      </c>
      <c r="R41" s="208">
        <v>2021</v>
      </c>
      <c r="S41" s="208">
        <v>2022</v>
      </c>
      <c r="T41" s="208">
        <v>2023</v>
      </c>
      <c r="U41" s="208">
        <v>2024</v>
      </c>
      <c r="V41" s="208">
        <v>2025</v>
      </c>
      <c r="W41" s="208">
        <v>2026</v>
      </c>
      <c r="X41" s="208">
        <v>2027</v>
      </c>
      <c r="Y41" s="208">
        <v>2028</v>
      </c>
      <c r="Z41" s="208">
        <v>2029</v>
      </c>
      <c r="AA41" s="208">
        <v>2030</v>
      </c>
      <c r="AB41" s="208">
        <v>2031</v>
      </c>
      <c r="AC41" s="208">
        <v>2032</v>
      </c>
      <c r="AD41" s="208">
        <v>2033</v>
      </c>
      <c r="AE41" s="208">
        <v>2034</v>
      </c>
      <c r="AF41" s="208">
        <v>2035</v>
      </c>
    </row>
    <row r="42" spans="1:32" x14ac:dyDescent="0.35">
      <c r="A42" s="843" t="s">
        <v>21</v>
      </c>
      <c r="B42" s="843"/>
      <c r="C42" s="843"/>
      <c r="D42" s="843"/>
      <c r="E42" s="843"/>
      <c r="F42" s="843"/>
      <c r="G42" s="843"/>
      <c r="H42" s="843"/>
      <c r="I42" s="843"/>
      <c r="J42" s="843"/>
      <c r="K42" s="843"/>
      <c r="L42" s="843"/>
      <c r="M42" s="843"/>
      <c r="N42" s="843"/>
      <c r="O42" s="843"/>
      <c r="P42" s="843"/>
      <c r="Q42" s="843"/>
      <c r="R42" s="843"/>
      <c r="S42" s="843"/>
      <c r="T42" s="843"/>
      <c r="U42" s="843"/>
      <c r="V42" s="843"/>
      <c r="W42" s="843"/>
      <c r="X42" s="843"/>
      <c r="Y42" s="843"/>
      <c r="Z42" s="843"/>
      <c r="AA42" s="843"/>
      <c r="AB42" s="843"/>
      <c r="AC42" s="843"/>
      <c r="AD42" s="843"/>
      <c r="AE42" s="843"/>
      <c r="AF42" s="843"/>
    </row>
    <row r="43" spans="1:32" x14ac:dyDescent="0.35">
      <c r="A43" s="1041"/>
      <c r="B43" s="1041" t="s">
        <v>22</v>
      </c>
      <c r="C43" s="1059"/>
      <c r="D43" s="1059"/>
      <c r="E43" s="1059"/>
      <c r="F43" s="1059"/>
      <c r="G43" s="438"/>
      <c r="H43" s="890">
        <v>3.813505524327109</v>
      </c>
      <c r="I43" s="890">
        <v>2.7891030271430512</v>
      </c>
      <c r="J43" s="890">
        <v>1.6375996983277028</v>
      </c>
      <c r="K43" s="890">
        <v>1.0871086042226905</v>
      </c>
      <c r="L43" s="890">
        <v>0.6628718993720919</v>
      </c>
      <c r="M43" s="890">
        <v>0.22142289920960001</v>
      </c>
      <c r="N43" s="890">
        <v>0.18796745528833872</v>
      </c>
      <c r="O43" s="890">
        <v>0.16254000679524411</v>
      </c>
      <c r="P43" s="890">
        <v>0.13960718686571968</v>
      </c>
      <c r="Q43" s="890">
        <v>0.11697507471129084</v>
      </c>
      <c r="R43" s="890">
        <v>9.5471991976596393E-2</v>
      </c>
      <c r="S43" s="890">
        <v>7.6953984189886929E-2</v>
      </c>
      <c r="T43" s="890">
        <v>6.1796012799660467E-2</v>
      </c>
      <c r="U43" s="890">
        <v>4.9422146024521399E-2</v>
      </c>
      <c r="V43" s="890">
        <v>3.9989463378537302E-2</v>
      </c>
      <c r="W43" s="890">
        <v>3.269846946259939E-2</v>
      </c>
      <c r="X43" s="890">
        <v>2.7070885750733346E-2</v>
      </c>
      <c r="Y43" s="890">
        <v>2.2747008875994248E-2</v>
      </c>
      <c r="Z43" s="890">
        <v>1.9399146416755657E-2</v>
      </c>
      <c r="AA43" s="890">
        <v>1.6837848330060943E-2</v>
      </c>
      <c r="AB43" s="890">
        <v>1.4741769146381169E-2</v>
      </c>
      <c r="AC43" s="890">
        <v>1.3069603440911744E-2</v>
      </c>
      <c r="AD43" s="540">
        <v>1.1663761418433286E-2</v>
      </c>
      <c r="AE43" s="540">
        <v>1.0452295200778398E-2</v>
      </c>
      <c r="AF43" s="540">
        <v>9.2528745000659968E-3</v>
      </c>
    </row>
    <row r="44" spans="1:32" x14ac:dyDescent="0.35">
      <c r="A44" s="1041"/>
      <c r="B44" s="1041" t="s">
        <v>26</v>
      </c>
      <c r="C44" s="1059"/>
      <c r="D44" s="1059"/>
      <c r="E44" s="1059"/>
      <c r="F44" s="1059"/>
      <c r="G44" s="438"/>
      <c r="H44" s="890">
        <v>7.8764048649332868E-2</v>
      </c>
      <c r="I44" s="890">
        <v>0.28603958888264486</v>
      </c>
      <c r="J44" s="890">
        <v>0.76600740487760199</v>
      </c>
      <c r="K44" s="890">
        <v>1.0383568859100267</v>
      </c>
      <c r="L44" s="890">
        <v>1.0628191139402472</v>
      </c>
      <c r="M44" s="890">
        <v>1.0258977677738683</v>
      </c>
      <c r="N44" s="890">
        <v>0.89970489151871158</v>
      </c>
      <c r="O44" s="890">
        <v>0.80236619717420166</v>
      </c>
      <c r="P44" s="890">
        <v>0.70837956273289682</v>
      </c>
      <c r="Q44" s="890">
        <v>0.61222797695750786</v>
      </c>
      <c r="R44" s="890">
        <v>0.51699182667899457</v>
      </c>
      <c r="S44" s="890">
        <v>0.43166965978721544</v>
      </c>
      <c r="T44" s="890">
        <v>0.35957571867059013</v>
      </c>
      <c r="U44" s="890">
        <v>0.29898695760615229</v>
      </c>
      <c r="V44" s="890">
        <v>0.25143744640623128</v>
      </c>
      <c r="W44" s="890">
        <v>0.21389000968336708</v>
      </c>
      <c r="X44" s="890">
        <v>0.18463935575314055</v>
      </c>
      <c r="Y44" s="890">
        <v>0.16196373048023058</v>
      </c>
      <c r="Z44" s="890">
        <v>0.144135413294389</v>
      </c>
      <c r="AA44" s="890">
        <v>0.13037582338108816</v>
      </c>
      <c r="AB44" s="890">
        <v>0.11911323288564335</v>
      </c>
      <c r="AC44" s="890">
        <v>0.11018249564744376</v>
      </c>
      <c r="AD44" s="540">
        <v>0.10264745264053163</v>
      </c>
      <c r="AE44" s="540">
        <v>9.6110797787645974E-2</v>
      </c>
      <c r="AF44" s="540">
        <v>8.9361577288094143E-2</v>
      </c>
    </row>
    <row r="45" spans="1:32" x14ac:dyDescent="0.35">
      <c r="A45" s="1041"/>
      <c r="B45" s="1041" t="s">
        <v>27</v>
      </c>
      <c r="C45" s="1059"/>
      <c r="D45" s="1059"/>
      <c r="E45" s="1059"/>
      <c r="F45" s="1059"/>
      <c r="G45" s="438"/>
      <c r="H45" s="890">
        <v>4.8594971223311303</v>
      </c>
      <c r="I45" s="890">
        <v>4.1816455396371639</v>
      </c>
      <c r="J45" s="890">
        <v>4.3823757603012368</v>
      </c>
      <c r="K45" s="890">
        <v>4.2043305997073874</v>
      </c>
      <c r="L45" s="890">
        <v>4.2922021033477451</v>
      </c>
      <c r="M45" s="890">
        <v>4.2627864483367262</v>
      </c>
      <c r="N45" s="890">
        <v>3.810853681228449</v>
      </c>
      <c r="O45" s="890">
        <v>3.4447552849349652</v>
      </c>
      <c r="P45" s="890">
        <v>3.0516873156132491</v>
      </c>
      <c r="Q45" s="890">
        <v>2.6635852119041608</v>
      </c>
      <c r="R45" s="890">
        <v>2.2890561536389362</v>
      </c>
      <c r="S45" s="890">
        <v>1.9434223958594907</v>
      </c>
      <c r="T45" s="890">
        <v>1.6483174294340359</v>
      </c>
      <c r="U45" s="890">
        <v>1.3999052718835592</v>
      </c>
      <c r="V45" s="890">
        <v>1.1991011541017937</v>
      </c>
      <c r="W45" s="890">
        <v>1.0421603748223403</v>
      </c>
      <c r="X45" s="890">
        <v>0.92203992302412252</v>
      </c>
      <c r="Y45" s="890">
        <v>0.83145271171332369</v>
      </c>
      <c r="Z45" s="890">
        <v>0.76034173158773211</v>
      </c>
      <c r="AA45" s="890">
        <v>0.70543038563624705</v>
      </c>
      <c r="AB45" s="890">
        <v>0.66348325322732304</v>
      </c>
      <c r="AC45" s="890">
        <v>0.63196187091799905</v>
      </c>
      <c r="AD45" s="540">
        <v>0.60698995167982539</v>
      </c>
      <c r="AE45" s="540">
        <v>0.5872215613600682</v>
      </c>
      <c r="AF45" s="540">
        <v>0.57047389304130958</v>
      </c>
    </row>
    <row r="46" spans="1:32" x14ac:dyDescent="0.35">
      <c r="A46" s="1041"/>
      <c r="B46" s="1041" t="s">
        <v>29</v>
      </c>
      <c r="C46" s="1059"/>
      <c r="D46" s="1059"/>
      <c r="E46" s="1059"/>
      <c r="F46" s="1059"/>
      <c r="G46" s="438"/>
      <c r="H46" s="890">
        <v>24.310851267053287</v>
      </c>
      <c r="I46" s="890">
        <v>21.287263906541298</v>
      </c>
      <c r="J46" s="890">
        <v>14.409605209386445</v>
      </c>
      <c r="K46" s="890">
        <v>9.9751815691045742</v>
      </c>
      <c r="L46" s="890">
        <v>6.3977233856126778</v>
      </c>
      <c r="M46" s="890">
        <v>2.3432171492723626</v>
      </c>
      <c r="N46" s="890">
        <v>1.9493432900171657</v>
      </c>
      <c r="O46" s="890">
        <v>1.6463985309483491</v>
      </c>
      <c r="P46" s="890">
        <v>1.4032775160157152</v>
      </c>
      <c r="Q46" s="890">
        <v>1.1814866587585648</v>
      </c>
      <c r="R46" s="890">
        <v>0.97589853924626713</v>
      </c>
      <c r="S46" s="890">
        <v>0.79769577660628688</v>
      </c>
      <c r="T46" s="890">
        <v>0.64524143477633555</v>
      </c>
      <c r="U46" s="890">
        <v>0.5175206611501787</v>
      </c>
      <c r="V46" s="890">
        <v>0.41669106117791532</v>
      </c>
      <c r="W46" s="890">
        <v>0.33564733270195457</v>
      </c>
      <c r="X46" s="890">
        <v>0.27125009911223363</v>
      </c>
      <c r="Y46" s="890">
        <v>0.22054631241846376</v>
      </c>
      <c r="Z46" s="890">
        <v>0.18161756140028829</v>
      </c>
      <c r="AA46" s="890">
        <v>0.15201842537539753</v>
      </c>
      <c r="AB46" s="890">
        <v>0.12833083782316915</v>
      </c>
      <c r="AC46" s="890">
        <v>0.10949898282671944</v>
      </c>
      <c r="AD46" s="540">
        <v>9.4159017457330504E-2</v>
      </c>
      <c r="AE46" s="540">
        <v>8.1384381501629133E-2</v>
      </c>
      <c r="AF46" s="540">
        <v>6.9541310564875142E-2</v>
      </c>
    </row>
    <row r="47" spans="1:32" x14ac:dyDescent="0.35">
      <c r="A47" s="1041"/>
      <c r="B47" s="1041"/>
      <c r="C47" s="1059"/>
      <c r="D47" s="1059"/>
      <c r="E47" s="1059"/>
      <c r="F47" s="1059"/>
      <c r="G47" s="1045"/>
      <c r="H47" s="890">
        <v>0.42018461963890841</v>
      </c>
      <c r="I47" s="890">
        <v>1.8095023828253285</v>
      </c>
      <c r="J47" s="890">
        <v>5.4879376584670458</v>
      </c>
      <c r="K47" s="890">
        <v>7.7201119764251906</v>
      </c>
      <c r="L47" s="890">
        <v>8.2755877080257321</v>
      </c>
      <c r="M47" s="890">
        <v>8.6964676843347455</v>
      </c>
      <c r="N47" s="890">
        <v>7.523305722561787</v>
      </c>
      <c r="O47" s="890">
        <v>6.5853441187967379</v>
      </c>
      <c r="P47" s="890">
        <v>5.7966224725008715</v>
      </c>
      <c r="Q47" s="890">
        <v>5.0505398752761028</v>
      </c>
      <c r="R47" s="890">
        <v>4.3315921176386087</v>
      </c>
      <c r="S47" s="890">
        <v>3.6843414830654417</v>
      </c>
      <c r="T47" s="890">
        <v>3.109176650167421</v>
      </c>
      <c r="U47" s="890">
        <v>2.6102001946710924</v>
      </c>
      <c r="V47" s="890">
        <v>2.2033327732484822</v>
      </c>
      <c r="W47" s="890">
        <v>1.8662233806983097</v>
      </c>
      <c r="X47" s="890">
        <v>1.590111137552457</v>
      </c>
      <c r="Y47" s="890">
        <v>1.3663881157672413</v>
      </c>
      <c r="Z47" s="890">
        <v>1.1906337260747961</v>
      </c>
      <c r="AA47" s="890">
        <v>1.0547351175168489</v>
      </c>
      <c r="AB47" s="890">
        <v>0.94433816135551063</v>
      </c>
      <c r="AC47" s="890">
        <v>0.8532965837066333</v>
      </c>
      <c r="AD47" s="1059">
        <v>0.77710508953939983</v>
      </c>
      <c r="AE47" s="1059">
        <v>0.71157039607284422</v>
      </c>
      <c r="AF47" s="1059">
        <v>0.64702795063653307</v>
      </c>
    </row>
    <row r="48" spans="1:32" x14ac:dyDescent="0.35">
      <c r="A48" s="843" t="s">
        <v>32</v>
      </c>
      <c r="B48" s="843"/>
      <c r="C48" s="843"/>
      <c r="D48" s="843"/>
      <c r="E48" s="843"/>
      <c r="F48" s="843"/>
      <c r="G48" s="865"/>
      <c r="H48" s="891">
        <v>10.57309816942379</v>
      </c>
      <c r="I48" s="891">
        <v>10.74885047198438</v>
      </c>
      <c r="J48" s="891">
        <v>12.578480894363668</v>
      </c>
      <c r="K48" s="891">
        <v>12.538698825109583</v>
      </c>
      <c r="L48" s="891">
        <v>13.40103046204354</v>
      </c>
      <c r="M48" s="891">
        <v>14.482326119487109</v>
      </c>
      <c r="N48" s="891">
        <v>12.95692675553906</v>
      </c>
      <c r="O48" s="891">
        <v>11.635445177705652</v>
      </c>
      <c r="P48" s="891">
        <v>10.387579159052923</v>
      </c>
      <c r="Q48" s="891">
        <v>9.2362778610817262</v>
      </c>
      <c r="R48" s="891">
        <v>8.1525438191334842</v>
      </c>
      <c r="S48" s="891">
        <v>7.1396018176669918</v>
      </c>
      <c r="T48" s="891">
        <v>6.2196148076724391</v>
      </c>
      <c r="U48" s="891">
        <v>5.4132937608200731</v>
      </c>
      <c r="V48" s="891">
        <v>4.7299748539627284</v>
      </c>
      <c r="W48" s="891">
        <v>4.1647634578413868</v>
      </c>
      <c r="X48" s="891">
        <v>3.7014716799757066</v>
      </c>
      <c r="Y48" s="891">
        <v>3.3288441220271605</v>
      </c>
      <c r="Z48" s="891">
        <v>3.035848166859707</v>
      </c>
      <c r="AA48" s="891">
        <v>2.8094918791678691</v>
      </c>
      <c r="AB48" s="891">
        <v>2.6373860782843797</v>
      </c>
      <c r="AC48" s="891">
        <v>2.4952065809604416</v>
      </c>
      <c r="AD48" s="843">
        <v>2.3800746302828015</v>
      </c>
      <c r="AE48" s="843">
        <v>2.2860547091950312</v>
      </c>
      <c r="AF48" s="843">
        <v>2.2045611335219739</v>
      </c>
    </row>
    <row r="49" spans="1:32" x14ac:dyDescent="0.35">
      <c r="A49" s="1041"/>
      <c r="B49" s="1041" t="s">
        <v>33</v>
      </c>
      <c r="C49" s="1059"/>
      <c r="D49" s="1059"/>
      <c r="E49" s="1059"/>
      <c r="F49" s="1059"/>
      <c r="G49" s="1045"/>
      <c r="H49" s="890">
        <v>0.10207664996051932</v>
      </c>
      <c r="I49" s="890">
        <v>0.2587250769936098</v>
      </c>
      <c r="J49" s="890">
        <v>0.42147559652663541</v>
      </c>
      <c r="K49" s="890">
        <v>0.69070881323076505</v>
      </c>
      <c r="L49" s="890">
        <v>1.1023884640463</v>
      </c>
      <c r="M49" s="890">
        <v>1.7289849104329891</v>
      </c>
      <c r="N49" s="890">
        <v>2.4990597055151387</v>
      </c>
      <c r="O49" s="890">
        <v>3.4582317056745171</v>
      </c>
      <c r="P49" s="890">
        <v>4.5496109425636062</v>
      </c>
      <c r="Q49" s="890">
        <v>5.7140527916218105</v>
      </c>
      <c r="R49" s="890">
        <v>6.850545587496855</v>
      </c>
      <c r="S49" s="890">
        <v>7.8993800308088122</v>
      </c>
      <c r="T49" s="890">
        <v>8.7986851014788989</v>
      </c>
      <c r="U49" s="890">
        <v>9.5290127253039998</v>
      </c>
      <c r="V49" s="890">
        <v>10.09193903598549</v>
      </c>
      <c r="W49" s="890">
        <v>10.505045157513463</v>
      </c>
      <c r="X49" s="890">
        <v>10.783533335269013</v>
      </c>
      <c r="Y49" s="890">
        <v>10.965701158344547</v>
      </c>
      <c r="Z49" s="890">
        <v>11.090044381663274</v>
      </c>
      <c r="AA49" s="890">
        <v>11.184324480296931</v>
      </c>
      <c r="AB49" s="890">
        <v>11.285746961986987</v>
      </c>
      <c r="AC49" s="890">
        <v>11.339822855303559</v>
      </c>
      <c r="AD49" s="540">
        <v>11.378311264348461</v>
      </c>
      <c r="AE49" s="540">
        <v>11.412794587626941</v>
      </c>
      <c r="AF49" s="540">
        <v>11.456972479491473</v>
      </c>
    </row>
    <row r="50" spans="1:32" x14ac:dyDescent="0.35">
      <c r="A50" s="1043"/>
      <c r="B50" s="1043" t="s">
        <v>34</v>
      </c>
      <c r="C50" s="1059"/>
      <c r="D50" s="1059"/>
      <c r="E50" s="1059"/>
      <c r="F50" s="1059"/>
      <c r="G50" s="1045"/>
      <c r="H50" s="890"/>
      <c r="I50" s="890"/>
      <c r="J50" s="890"/>
      <c r="K50" s="890"/>
      <c r="L50" s="890"/>
      <c r="M50" s="890"/>
      <c r="N50" s="890"/>
      <c r="O50" s="890"/>
      <c r="P50" s="890"/>
      <c r="Q50" s="890"/>
      <c r="R50" s="890"/>
      <c r="S50" s="890"/>
      <c r="T50" s="890"/>
      <c r="U50" s="890"/>
      <c r="V50" s="890"/>
      <c r="W50" s="890"/>
      <c r="X50" s="890"/>
      <c r="Y50" s="890"/>
      <c r="Z50" s="890"/>
      <c r="AA50" s="890"/>
      <c r="AB50" s="890"/>
      <c r="AC50" s="890"/>
      <c r="AD50" s="540"/>
      <c r="AE50" s="540"/>
      <c r="AF50" s="540"/>
    </row>
    <row r="51" spans="1:32" x14ac:dyDescent="0.35">
      <c r="A51" s="1041"/>
      <c r="B51" s="1043" t="s">
        <v>35</v>
      </c>
      <c r="C51" s="1059"/>
      <c r="D51" s="1059"/>
      <c r="E51" s="1059"/>
      <c r="F51" s="1059"/>
      <c r="G51" s="1045"/>
      <c r="H51" s="890"/>
      <c r="I51" s="890"/>
      <c r="J51" s="890"/>
      <c r="K51" s="890"/>
      <c r="L51" s="890"/>
      <c r="M51" s="890"/>
      <c r="N51" s="890"/>
      <c r="O51" s="890"/>
      <c r="P51" s="890"/>
      <c r="Q51" s="890"/>
      <c r="R51" s="890"/>
      <c r="S51" s="890"/>
      <c r="T51" s="890"/>
      <c r="U51" s="890"/>
      <c r="V51" s="890"/>
      <c r="W51" s="890"/>
      <c r="X51" s="890"/>
      <c r="Y51" s="890"/>
      <c r="Z51" s="890"/>
      <c r="AA51" s="890"/>
      <c r="AB51" s="890"/>
      <c r="AC51" s="890"/>
      <c r="AD51" s="540"/>
      <c r="AE51" s="540"/>
      <c r="AF51" s="540"/>
    </row>
    <row r="52" spans="1:32" x14ac:dyDescent="0.35">
      <c r="A52" s="1041"/>
      <c r="B52" s="1043" t="s">
        <v>29</v>
      </c>
      <c r="C52" s="1059"/>
      <c r="D52" s="1059"/>
      <c r="E52" s="1059"/>
      <c r="F52" s="1059"/>
      <c r="G52" s="1045"/>
      <c r="H52" s="890">
        <v>1.7371073873169274</v>
      </c>
      <c r="I52" s="890">
        <v>1.8727349381672247</v>
      </c>
      <c r="J52" s="890">
        <v>1.9734855791187704</v>
      </c>
      <c r="K52" s="890">
        <v>2.00589651536766</v>
      </c>
      <c r="L52" s="890">
        <v>1.8682783434233339</v>
      </c>
      <c r="M52" s="890">
        <v>1.6670794673506351</v>
      </c>
      <c r="N52" s="890">
        <v>1.4570328115649853</v>
      </c>
      <c r="O52" s="890">
        <v>1.2455519640608865</v>
      </c>
      <c r="P52" s="890">
        <v>1.0476698473483985</v>
      </c>
      <c r="Q52" s="890">
        <v>0.86008022496403014</v>
      </c>
      <c r="R52" s="890">
        <v>0.68979426662237098</v>
      </c>
      <c r="S52" s="890">
        <v>0.54732419635372698</v>
      </c>
      <c r="T52" s="890">
        <v>0.43083304568931491</v>
      </c>
      <c r="U52" s="890">
        <v>0.33805750164003168</v>
      </c>
      <c r="V52" s="890">
        <v>0.26804304398721207</v>
      </c>
      <c r="W52" s="890">
        <v>0.21438937133425276</v>
      </c>
      <c r="X52" s="890">
        <v>0.17371596853296656</v>
      </c>
      <c r="Y52" s="890">
        <v>0.1428766041577032</v>
      </c>
      <c r="Z52" s="890">
        <v>0.11999980154259376</v>
      </c>
      <c r="AA52" s="890">
        <v>0.10314030491618688</v>
      </c>
      <c r="AB52" s="890">
        <v>8.9937810600796697E-2</v>
      </c>
      <c r="AC52" s="890">
        <v>7.9297963905422458E-2</v>
      </c>
      <c r="AD52" s="540">
        <v>7.0649395982150073E-2</v>
      </c>
      <c r="AE52" s="540">
        <v>6.3273027338611482E-2</v>
      </c>
      <c r="AF52" s="540">
        <v>5.6031675617730134E-2</v>
      </c>
    </row>
    <row r="53" spans="1:32" x14ac:dyDescent="0.35">
      <c r="A53" s="1041"/>
      <c r="B53" s="1041"/>
      <c r="C53" s="1059"/>
      <c r="D53" s="1059"/>
      <c r="E53" s="1059"/>
      <c r="F53" s="1059"/>
      <c r="G53" s="1045"/>
      <c r="H53" s="890">
        <v>3.4459036271108383</v>
      </c>
      <c r="I53" s="890">
        <v>3.2890695906291536</v>
      </c>
      <c r="J53" s="890">
        <v>3.0770377534609938</v>
      </c>
      <c r="K53" s="890">
        <v>2.8083182344196231</v>
      </c>
      <c r="L53" s="890">
        <v>2.6821087926681999</v>
      </c>
      <c r="M53" s="890">
        <v>2.5132753974140676</v>
      </c>
      <c r="N53" s="890">
        <v>2.2928914795280266</v>
      </c>
      <c r="O53" s="890">
        <v>2.0438247633495163</v>
      </c>
      <c r="P53" s="890">
        <v>1.7846875008241936</v>
      </c>
      <c r="Q53" s="890">
        <v>1.5321702418508329</v>
      </c>
      <c r="R53" s="890">
        <v>1.295799781044769</v>
      </c>
      <c r="S53" s="890">
        <v>1.087251297872974</v>
      </c>
      <c r="T53" s="890">
        <v>0.90842179267888556</v>
      </c>
      <c r="U53" s="890">
        <v>0.7600267857903753</v>
      </c>
      <c r="V53" s="890">
        <v>0.64236180250196773</v>
      </c>
      <c r="W53" s="890">
        <v>0.54931201267501173</v>
      </c>
      <c r="X53" s="890">
        <v>0.47660054609536706</v>
      </c>
      <c r="Y53" s="890">
        <v>0.42019144866046421</v>
      </c>
      <c r="Z53" s="890">
        <v>0.37767847391392662</v>
      </c>
      <c r="AA53" s="890">
        <v>0.3462725063034171</v>
      </c>
      <c r="AB53" s="890">
        <v>0.32250119807949912</v>
      </c>
      <c r="AC53" s="890">
        <v>0.30290697905999497</v>
      </c>
      <c r="AD53" s="1059">
        <v>0.28719269391573415</v>
      </c>
      <c r="AE53" s="1059">
        <v>0.27391906787525561</v>
      </c>
      <c r="AF53" s="1059">
        <v>0.26066524878973973</v>
      </c>
    </row>
    <row r="54" spans="1:32" x14ac:dyDescent="0.35">
      <c r="A54" s="843" t="s">
        <v>36</v>
      </c>
      <c r="B54" s="843"/>
      <c r="C54" s="843"/>
      <c r="D54" s="843"/>
      <c r="E54" s="843"/>
      <c r="F54" s="843"/>
      <c r="G54" s="865"/>
      <c r="H54" s="891">
        <v>0.4996446136434407</v>
      </c>
      <c r="I54" s="891">
        <v>0.51258260507292297</v>
      </c>
      <c r="J54" s="891">
        <v>0.53751694804296168</v>
      </c>
      <c r="K54" s="891">
        <v>0.56613132819208578</v>
      </c>
      <c r="L54" s="891">
        <v>0.54670772578706539</v>
      </c>
      <c r="M54" s="891">
        <v>0.52755187684260707</v>
      </c>
      <c r="N54" s="891">
        <v>0.4924463689835607</v>
      </c>
      <c r="O54" s="891">
        <v>0.4482126885006914</v>
      </c>
      <c r="P54" s="891">
        <v>0.39782666106639741</v>
      </c>
      <c r="Q54" s="891">
        <v>0.34885761183063224</v>
      </c>
      <c r="R54" s="891">
        <v>0.30302514601869707</v>
      </c>
      <c r="S54" s="891">
        <v>0.26136396214034519</v>
      </c>
      <c r="T54" s="891">
        <v>0.22481897847157531</v>
      </c>
      <c r="U54" s="891">
        <v>0.19403070551503038</v>
      </c>
      <c r="V54" s="891">
        <v>0.16887881003666477</v>
      </c>
      <c r="W54" s="891">
        <v>0.14887223750110373</v>
      </c>
      <c r="X54" s="891">
        <v>0.13317293279985232</v>
      </c>
      <c r="Y54" s="891">
        <v>0.1210661750498976</v>
      </c>
      <c r="Z54" s="891">
        <v>0.11201592412762391</v>
      </c>
      <c r="AA54" s="891">
        <v>0.10544875494143174</v>
      </c>
      <c r="AB54" s="891">
        <v>0.10091416984334792</v>
      </c>
      <c r="AC54" s="891">
        <v>9.7236788243928687E-2</v>
      </c>
      <c r="AD54" s="843">
        <v>9.451992085147401E-2</v>
      </c>
      <c r="AE54" s="843">
        <v>9.247010106803441E-2</v>
      </c>
      <c r="AF54" s="843">
        <v>9.0794792883529457E-2</v>
      </c>
    </row>
    <row r="55" spans="1:32" x14ac:dyDescent="0.35">
      <c r="A55" s="1041"/>
      <c r="B55" s="1041" t="s">
        <v>37</v>
      </c>
      <c r="C55" s="1059"/>
      <c r="D55" s="1059"/>
      <c r="E55" s="1059"/>
      <c r="F55" s="1059"/>
      <c r="G55" s="540"/>
      <c r="H55" s="890">
        <v>3.5379028390109507E-2</v>
      </c>
      <c r="I55" s="890">
        <v>0.11358675305953964</v>
      </c>
      <c r="J55" s="890">
        <v>0.27471156889010451</v>
      </c>
      <c r="K55" s="890">
        <v>0.52278805544442652</v>
      </c>
      <c r="L55" s="890">
        <v>0.81720777230803665</v>
      </c>
      <c r="M55" s="890">
        <v>1.1634556546181569</v>
      </c>
      <c r="N55" s="890">
        <v>1.5231242783286074</v>
      </c>
      <c r="O55" s="890">
        <v>1.8702791787819688</v>
      </c>
      <c r="P55" s="890">
        <v>2.1765608299758163</v>
      </c>
      <c r="Q55" s="890">
        <v>2.4318307247623849</v>
      </c>
      <c r="R55" s="890">
        <v>2.6243013859770832</v>
      </c>
      <c r="S55" s="890">
        <v>2.7562828711019032</v>
      </c>
      <c r="T55" s="890">
        <v>2.8318914850635051</v>
      </c>
      <c r="U55" s="890">
        <v>2.861795051268281</v>
      </c>
      <c r="V55" s="890">
        <v>2.8579888398139861</v>
      </c>
      <c r="W55" s="890">
        <v>2.8312338147639737</v>
      </c>
      <c r="X55" s="890">
        <v>2.7899189470635983</v>
      </c>
      <c r="Y55" s="890">
        <v>2.7431574639443443</v>
      </c>
      <c r="Z55" s="890">
        <v>2.6993525715533391</v>
      </c>
      <c r="AA55" s="890">
        <v>2.663280296769118</v>
      </c>
      <c r="AB55" s="890">
        <v>2.6413701197174264</v>
      </c>
      <c r="AC55" s="890">
        <v>2.6181497347012468</v>
      </c>
      <c r="AD55" s="540">
        <v>2.6021017955227137</v>
      </c>
      <c r="AE55" s="540">
        <v>2.5912691914954662</v>
      </c>
      <c r="AF55" s="540">
        <v>2.5885860746639526</v>
      </c>
    </row>
    <row r="56" spans="1:32" x14ac:dyDescent="0.35">
      <c r="A56" s="1041"/>
      <c r="B56" s="1041" t="s">
        <v>39</v>
      </c>
      <c r="C56" s="1059"/>
      <c r="D56" s="1059"/>
      <c r="E56" s="1059"/>
      <c r="F56" s="1059"/>
      <c r="G56" s="540"/>
      <c r="H56" s="890"/>
      <c r="I56" s="890"/>
      <c r="J56" s="890"/>
      <c r="K56" s="890"/>
      <c r="L56" s="890"/>
      <c r="M56" s="890"/>
      <c r="N56" s="890"/>
      <c r="O56" s="890"/>
      <c r="P56" s="890"/>
      <c r="Q56" s="890"/>
      <c r="R56" s="890"/>
      <c r="S56" s="890"/>
      <c r="T56" s="890"/>
      <c r="U56" s="890"/>
      <c r="V56" s="890"/>
      <c r="W56" s="890"/>
      <c r="X56" s="890"/>
      <c r="Y56" s="890"/>
      <c r="Z56" s="890"/>
      <c r="AA56" s="890"/>
      <c r="AB56" s="890"/>
      <c r="AC56" s="890"/>
      <c r="AD56" s="540"/>
      <c r="AE56" s="540"/>
      <c r="AF56" s="540"/>
    </row>
    <row r="57" spans="1:32" x14ac:dyDescent="0.35">
      <c r="A57" s="1041"/>
      <c r="B57" s="1041" t="s">
        <v>40</v>
      </c>
      <c r="C57" s="1059"/>
      <c r="D57" s="1059"/>
      <c r="E57" s="1059"/>
      <c r="F57" s="1059"/>
      <c r="G57" s="540"/>
      <c r="H57" s="890"/>
      <c r="I57" s="890"/>
      <c r="J57" s="890"/>
      <c r="K57" s="890"/>
      <c r="L57" s="890"/>
      <c r="M57" s="890"/>
      <c r="N57" s="890"/>
      <c r="O57" s="890"/>
      <c r="P57" s="890"/>
      <c r="Q57" s="890"/>
      <c r="R57" s="890"/>
      <c r="S57" s="890"/>
      <c r="T57" s="890"/>
      <c r="U57" s="890"/>
      <c r="V57" s="890"/>
      <c r="W57" s="890"/>
      <c r="X57" s="890"/>
      <c r="Y57" s="890"/>
      <c r="Z57" s="890"/>
      <c r="AA57" s="890"/>
      <c r="AB57" s="890"/>
      <c r="AC57" s="890"/>
      <c r="AD57" s="540"/>
      <c r="AE57" s="540"/>
      <c r="AF57" s="540"/>
    </row>
    <row r="58" spans="1:32" x14ac:dyDescent="0.35">
      <c r="A58" s="1041"/>
      <c r="B58" s="1041" t="s">
        <v>29</v>
      </c>
      <c r="C58" s="1059"/>
      <c r="D58" s="1059"/>
      <c r="E58" s="1059"/>
      <c r="F58" s="1059"/>
      <c r="G58" s="1045"/>
      <c r="H58" s="890">
        <v>0.7033570832402597</v>
      </c>
      <c r="I58" s="890">
        <v>0.55449506724942121</v>
      </c>
      <c r="J58" s="890">
        <v>0.41644421995272873</v>
      </c>
      <c r="K58" s="890">
        <v>0.29084797141530783</v>
      </c>
      <c r="L58" s="890">
        <v>0.25872825894061857</v>
      </c>
      <c r="M58" s="890">
        <v>0.22998320625871363</v>
      </c>
      <c r="N58" s="890">
        <v>0.20670100615091375</v>
      </c>
      <c r="O58" s="890">
        <v>0.19044244854538298</v>
      </c>
      <c r="P58" s="890">
        <v>0.17554632806002021</v>
      </c>
      <c r="Q58" s="890">
        <v>0.16187369083530215</v>
      </c>
      <c r="R58" s="890">
        <v>0.14931251009386656</v>
      </c>
      <c r="S58" s="890">
        <v>0.13777490677894222</v>
      </c>
      <c r="T58" s="890">
        <v>0.12716534336111002</v>
      </c>
      <c r="U58" s="890">
        <v>0.11740319993143876</v>
      </c>
      <c r="V58" s="890">
        <v>0.10842103147541424</v>
      </c>
      <c r="W58" s="890">
        <v>0.10014799048117312</v>
      </c>
      <c r="X58" s="890">
        <v>9.2525485754277784E-2</v>
      </c>
      <c r="Y58" s="890">
        <v>8.5500052291948056E-2</v>
      </c>
      <c r="Z58" s="890">
        <v>7.9025037407530058E-2</v>
      </c>
      <c r="AA58" s="890">
        <v>7.3056158539438934E-2</v>
      </c>
      <c r="AB58" s="890">
        <v>6.7550476883461261E-2</v>
      </c>
      <c r="AC58" s="890">
        <v>6.2469085932127945E-2</v>
      </c>
      <c r="AD58" s="540">
        <v>5.7779159157274058E-2</v>
      </c>
      <c r="AE58" s="540">
        <v>5.3448999907485424E-2</v>
      </c>
      <c r="AF58" s="540">
        <v>4.9447295606215171E-2</v>
      </c>
    </row>
    <row r="59" spans="1:32" x14ac:dyDescent="0.35">
      <c r="A59" s="1041"/>
      <c r="B59" s="1041"/>
      <c r="C59" s="1059"/>
      <c r="D59" s="1059"/>
      <c r="E59" s="1059"/>
      <c r="F59" s="1059"/>
      <c r="G59" s="1045"/>
      <c r="H59" s="890">
        <v>1.5790483736959349</v>
      </c>
      <c r="I59" s="890">
        <v>1.625623556887122</v>
      </c>
      <c r="J59" s="890">
        <v>1.6355507944277448</v>
      </c>
      <c r="K59" s="890">
        <v>1.5969583054620915</v>
      </c>
      <c r="L59" s="890">
        <v>1.5015565900799124</v>
      </c>
      <c r="M59" s="890">
        <v>1.3928055324294086</v>
      </c>
      <c r="N59" s="890">
        <v>1.2820165797655394</v>
      </c>
      <c r="O59" s="890">
        <v>1.1750118030166847</v>
      </c>
      <c r="P59" s="890">
        <v>1.079600030239912</v>
      </c>
      <c r="Q59" s="890">
        <v>0.99328588365449733</v>
      </c>
      <c r="R59" s="890">
        <v>0.91528387180346504</v>
      </c>
      <c r="S59" s="890">
        <v>0.84911931368461024</v>
      </c>
      <c r="T59" s="890">
        <v>0.7909826799513473</v>
      </c>
      <c r="U59" s="890">
        <v>0.7396404765888781</v>
      </c>
      <c r="V59" s="890">
        <v>0.69603714960716556</v>
      </c>
      <c r="W59" s="890">
        <v>0.65699176750486166</v>
      </c>
      <c r="X59" s="890">
        <v>0.62191555306073687</v>
      </c>
      <c r="Y59" s="890">
        <v>0.59033013018110392</v>
      </c>
      <c r="Z59" s="890">
        <v>0.56279476809815643</v>
      </c>
      <c r="AA59" s="890">
        <v>0.53907257143730325</v>
      </c>
      <c r="AB59" s="890">
        <v>0.5179841255709039</v>
      </c>
      <c r="AC59" s="890">
        <v>0.4978599450821326</v>
      </c>
      <c r="AD59" s="1059">
        <v>0.47927738260582864</v>
      </c>
      <c r="AE59" s="1059">
        <v>0.46177824173961057</v>
      </c>
      <c r="AF59" s="1059">
        <v>0.44387765401708656</v>
      </c>
    </row>
    <row r="60" spans="1:32" x14ac:dyDescent="0.35">
      <c r="A60" s="843" t="s">
        <v>42</v>
      </c>
      <c r="B60" s="843"/>
      <c r="C60" s="843"/>
      <c r="D60" s="843"/>
      <c r="E60" s="843"/>
      <c r="F60" s="843"/>
      <c r="G60" s="865"/>
      <c r="H60" s="891">
        <v>0.51206539385184369</v>
      </c>
      <c r="I60" s="891">
        <v>0.68840694085190324</v>
      </c>
      <c r="J60" s="891">
        <v>0.88008876047570839</v>
      </c>
      <c r="K60" s="891">
        <v>1.0716583888533675</v>
      </c>
      <c r="L60" s="891">
        <v>1.2162970450347081</v>
      </c>
      <c r="M60" s="891">
        <v>1.3406630026754613</v>
      </c>
      <c r="N60" s="891">
        <v>1.4285099443876697</v>
      </c>
      <c r="O60" s="891">
        <v>1.4847211762203718</v>
      </c>
      <c r="P60" s="891">
        <v>1.5126212358496172</v>
      </c>
      <c r="Q60" s="891">
        <v>1.5157629173850682</v>
      </c>
      <c r="R60" s="891">
        <v>1.497972563359834</v>
      </c>
      <c r="S60" s="891">
        <v>1.469099401374212</v>
      </c>
      <c r="T60" s="891">
        <v>1.4302635204334422</v>
      </c>
      <c r="U60" s="891">
        <v>1.385841245702405</v>
      </c>
      <c r="V60" s="891">
        <v>1.3415427004994032</v>
      </c>
      <c r="W60" s="891">
        <v>1.296844305949203</v>
      </c>
      <c r="X60" s="891">
        <v>1.2532566949756949</v>
      </c>
      <c r="Y60" s="891">
        <v>1.2120155723765555</v>
      </c>
      <c r="Z60" s="891">
        <v>1.1753100168530897</v>
      </c>
      <c r="AA60" s="891">
        <v>1.143592642882584</v>
      </c>
      <c r="AB60" s="891">
        <v>1.1162473072976211</v>
      </c>
      <c r="AC60" s="891">
        <v>1.0890164899907924</v>
      </c>
      <c r="AD60" s="843">
        <v>1.0638523641091715</v>
      </c>
      <c r="AE60" s="843">
        <v>1.0401831566204358</v>
      </c>
      <c r="AF60" s="843">
        <v>1.0151562901428859</v>
      </c>
    </row>
    <row r="61" spans="1:32" x14ac:dyDescent="0.35">
      <c r="A61" s="1041"/>
      <c r="B61" s="1043" t="s">
        <v>43</v>
      </c>
      <c r="C61" s="1059"/>
      <c r="D61" s="1059"/>
      <c r="E61" s="1059"/>
      <c r="F61" s="1059"/>
      <c r="G61" s="1045"/>
      <c r="H61" s="890">
        <v>6.3685339506535404E-5</v>
      </c>
      <c r="I61" s="890">
        <v>1.5330346129712978E-3</v>
      </c>
      <c r="J61" s="890">
        <v>9.9035023822937156E-3</v>
      </c>
      <c r="K61" s="890">
        <v>3.3692788071955741E-2</v>
      </c>
      <c r="L61" s="890">
        <v>7.9780360882584306E-2</v>
      </c>
      <c r="M61" s="890">
        <v>0.15200967741251048</v>
      </c>
      <c r="N61" s="890">
        <v>0.24702415555213181</v>
      </c>
      <c r="O61" s="890">
        <v>0.361104290903352</v>
      </c>
      <c r="P61" s="890">
        <v>0.48852870718565411</v>
      </c>
      <c r="Q61" s="890">
        <v>0.62586389195354775</v>
      </c>
      <c r="R61" s="890">
        <v>0.76390607753060613</v>
      </c>
      <c r="S61" s="890">
        <v>0.90439790832505795</v>
      </c>
      <c r="T61" s="890">
        <v>1.0411150473640145</v>
      </c>
      <c r="U61" s="890">
        <v>1.1712548482788714</v>
      </c>
      <c r="V61" s="890">
        <v>1.2935810965240404</v>
      </c>
      <c r="W61" s="890">
        <v>1.4044588361706518</v>
      </c>
      <c r="X61" s="890">
        <v>1.5026619380870208</v>
      </c>
      <c r="Y61" s="890">
        <v>1.5896008467177589</v>
      </c>
      <c r="Z61" s="890">
        <v>1.6692665503376343</v>
      </c>
      <c r="AA61" s="890">
        <v>1.7439231228595011</v>
      </c>
      <c r="AB61" s="890">
        <v>1.8189193974812787</v>
      </c>
      <c r="AC61" s="890">
        <v>1.8801004370904022</v>
      </c>
      <c r="AD61" s="540">
        <v>1.9363039387322138</v>
      </c>
      <c r="AE61" s="540">
        <v>1.9886852375163562</v>
      </c>
      <c r="AF61" s="540">
        <v>2.0406465028356138</v>
      </c>
    </row>
    <row r="62" spans="1:32" x14ac:dyDescent="0.35">
      <c r="A62" s="1041"/>
      <c r="B62" s="1043" t="s">
        <v>44</v>
      </c>
      <c r="C62" s="1059"/>
      <c r="D62" s="1059"/>
      <c r="E62" s="1059"/>
      <c r="F62" s="1059"/>
      <c r="G62" s="1045"/>
      <c r="H62" s="890"/>
      <c r="I62" s="890"/>
      <c r="J62" s="890"/>
      <c r="K62" s="890"/>
      <c r="L62" s="890"/>
      <c r="M62" s="890"/>
      <c r="N62" s="890"/>
      <c r="O62" s="890"/>
      <c r="P62" s="890"/>
      <c r="Q62" s="890"/>
      <c r="R62" s="890"/>
      <c r="S62" s="890"/>
      <c r="T62" s="890"/>
      <c r="U62" s="890"/>
      <c r="V62" s="890"/>
      <c r="W62" s="890"/>
      <c r="X62" s="890"/>
      <c r="Y62" s="890"/>
      <c r="Z62" s="890"/>
      <c r="AA62" s="890"/>
      <c r="AB62" s="890"/>
      <c r="AC62" s="890"/>
      <c r="AD62" s="540"/>
      <c r="AE62" s="540"/>
      <c r="AF62" s="540"/>
    </row>
    <row r="63" spans="1:32" x14ac:dyDescent="0.35">
      <c r="A63" s="1041"/>
      <c r="B63" s="1043" t="s">
        <v>45</v>
      </c>
      <c r="C63" s="1059"/>
      <c r="D63" s="1059"/>
      <c r="E63" s="1059"/>
      <c r="F63" s="1059"/>
      <c r="G63" s="1045"/>
      <c r="H63" s="890"/>
      <c r="I63" s="890"/>
      <c r="J63" s="890"/>
      <c r="K63" s="890"/>
      <c r="L63" s="890"/>
      <c r="M63" s="890"/>
      <c r="N63" s="890"/>
      <c r="O63" s="890"/>
      <c r="P63" s="890"/>
      <c r="Q63" s="890"/>
      <c r="R63" s="890"/>
      <c r="S63" s="890"/>
      <c r="T63" s="890"/>
      <c r="U63" s="890"/>
      <c r="V63" s="890"/>
      <c r="W63" s="890"/>
      <c r="X63" s="890"/>
      <c r="Y63" s="890"/>
      <c r="Z63" s="890"/>
      <c r="AA63" s="890"/>
      <c r="AB63" s="890"/>
      <c r="AC63" s="890"/>
      <c r="AD63" s="540"/>
      <c r="AE63" s="540"/>
      <c r="AF63" s="540"/>
    </row>
    <row r="64" spans="1:32" x14ac:dyDescent="0.35">
      <c r="A64" s="1041"/>
      <c r="B64" s="1043" t="s">
        <v>46</v>
      </c>
      <c r="C64" s="1059"/>
      <c r="D64" s="1059"/>
      <c r="E64" s="1059"/>
      <c r="F64" s="1059"/>
      <c r="G64" s="1045"/>
      <c r="H64" s="890">
        <v>1.3939869610122388E-3</v>
      </c>
      <c r="I64" s="890">
        <v>1.3339515773753085E-3</v>
      </c>
      <c r="J64" s="890">
        <v>1.2749380139007534E-3</v>
      </c>
      <c r="K64" s="890">
        <v>1.215001221520537E-3</v>
      </c>
      <c r="L64" s="890">
        <v>1.1584087444354168E-3</v>
      </c>
      <c r="M64" s="890">
        <v>1.1035768863676171E-3</v>
      </c>
      <c r="N64" s="890">
        <v>1.0504180705275827E-3</v>
      </c>
      <c r="O64" s="890">
        <v>1.0001364182949909E-3</v>
      </c>
      <c r="P64" s="890">
        <v>9.5294382576148126E-4</v>
      </c>
      <c r="Q64" s="890">
        <v>9.0874925266503617E-4</v>
      </c>
      <c r="R64" s="890">
        <v>8.6717116623294583E-4</v>
      </c>
      <c r="S64" s="890">
        <v>8.2941002107579176E-4</v>
      </c>
      <c r="T64" s="890">
        <v>7.9464553789575362E-4</v>
      </c>
      <c r="U64" s="890">
        <v>7.6271320198356869E-4</v>
      </c>
      <c r="V64" s="890">
        <v>7.3375893190983732E-4</v>
      </c>
      <c r="W64" s="890">
        <v>7.0698727988175976E-4</v>
      </c>
      <c r="X64" s="890">
        <v>6.8211539372642739E-4</v>
      </c>
      <c r="Y64" s="890">
        <v>6.5903195630382012E-4</v>
      </c>
      <c r="Z64" s="890">
        <v>6.3795626650564206E-4</v>
      </c>
      <c r="AA64" s="890">
        <v>6.1885408246752983E-4</v>
      </c>
      <c r="AB64" s="890">
        <v>6.0177076622952629E-4</v>
      </c>
      <c r="AC64" s="890">
        <v>5.8528592286977545E-4</v>
      </c>
      <c r="AD64" s="540">
        <v>5.6998110438508131E-4</v>
      </c>
      <c r="AE64" s="540">
        <v>5.5574775032277721E-4</v>
      </c>
      <c r="AF64" s="540">
        <v>5.4246408781042071E-4</v>
      </c>
    </row>
    <row r="65" spans="1:32" x14ac:dyDescent="0.35">
      <c r="A65" s="1041"/>
      <c r="B65" s="1041" t="s">
        <v>29</v>
      </c>
      <c r="C65" s="1059"/>
      <c r="D65" s="1059"/>
      <c r="E65" s="1059"/>
      <c r="F65" s="1059"/>
      <c r="G65" s="1045"/>
      <c r="H65" s="890">
        <v>2.4746637072202621E-2</v>
      </c>
      <c r="I65" s="890">
        <v>2.5741951097433827E-2</v>
      </c>
      <c r="J65" s="890">
        <v>2.6414427676084363E-2</v>
      </c>
      <c r="K65" s="890">
        <v>2.6607373805219155E-2</v>
      </c>
      <c r="L65" s="890">
        <v>2.6736953851445595E-2</v>
      </c>
      <c r="M65" s="890">
        <v>2.6688191916398894E-2</v>
      </c>
      <c r="N65" s="890">
        <v>2.6466794099102898E-2</v>
      </c>
      <c r="O65" s="890">
        <v>2.6208683256383217E-2</v>
      </c>
      <c r="P65" s="890">
        <v>2.5953482658265498E-2</v>
      </c>
      <c r="Q65" s="890">
        <v>2.571485413425122E-2</v>
      </c>
      <c r="R65" s="890">
        <v>2.5474925673020021E-2</v>
      </c>
      <c r="S65" s="890">
        <v>2.5362066087874835E-2</v>
      </c>
      <c r="T65" s="890">
        <v>2.5315111031765411E-2</v>
      </c>
      <c r="U65" s="890">
        <v>2.5333275317036177E-2</v>
      </c>
      <c r="V65" s="890">
        <v>2.5442829575774501E-2</v>
      </c>
      <c r="W65" s="890">
        <v>2.5582129153859788E-2</v>
      </c>
      <c r="X65" s="890">
        <v>2.5735738794293941E-2</v>
      </c>
      <c r="Y65" s="890">
        <v>2.5903841135365611E-2</v>
      </c>
      <c r="Z65" s="890">
        <v>2.6116667030380143E-2</v>
      </c>
      <c r="AA65" s="890">
        <v>2.6380090992470552E-2</v>
      </c>
      <c r="AB65" s="890">
        <v>2.6674710731121085E-2</v>
      </c>
      <c r="AC65" s="890">
        <v>2.6939682548330995E-2</v>
      </c>
      <c r="AD65" s="540">
        <v>2.717066060976097E-2</v>
      </c>
      <c r="AE65" s="540">
        <v>2.739822421447051E-2</v>
      </c>
      <c r="AF65" s="540">
        <v>2.7619331738296986E-2</v>
      </c>
    </row>
    <row r="66" spans="1:32" x14ac:dyDescent="0.35">
      <c r="A66" s="1041"/>
      <c r="B66" s="1041"/>
      <c r="C66" s="1059"/>
      <c r="D66" s="1059"/>
      <c r="E66" s="1059"/>
      <c r="F66" s="1059"/>
      <c r="G66" s="1045"/>
      <c r="H66" s="890">
        <v>8.7365374705967152E-3</v>
      </c>
      <c r="I66" s="890">
        <v>8.2023712112596365E-3</v>
      </c>
      <c r="J66" s="890">
        <v>7.7009138212096543E-3</v>
      </c>
      <c r="K66" s="890">
        <v>7.2290252488086846E-3</v>
      </c>
      <c r="L66" s="890">
        <v>6.7869898738593124E-3</v>
      </c>
      <c r="M66" s="890">
        <v>6.3721902798983274E-3</v>
      </c>
      <c r="N66" s="890">
        <v>5.9828056352937784E-3</v>
      </c>
      <c r="O66" s="890">
        <v>5.6179044919696689E-3</v>
      </c>
      <c r="P66" s="890">
        <v>5.276101838795481E-3</v>
      </c>
      <c r="Q66" s="890">
        <v>4.9559766265099567E-3</v>
      </c>
      <c r="R66" s="890">
        <v>4.6560220152829452E-3</v>
      </c>
      <c r="S66" s="890">
        <v>4.3756587968858934E-3</v>
      </c>
      <c r="T66" s="890">
        <v>4.1133057460265255E-3</v>
      </c>
      <c r="U66" s="890">
        <v>3.8678147184424889E-3</v>
      </c>
      <c r="V66" s="890">
        <v>3.6382662250623145E-3</v>
      </c>
      <c r="W66" s="890">
        <v>3.4233119592160322E-3</v>
      </c>
      <c r="X66" s="890">
        <v>3.2219370043933457E-3</v>
      </c>
      <c r="Y66" s="890">
        <v>3.0332782543584366E-3</v>
      </c>
      <c r="Z66" s="890">
        <v>2.8566994677203107E-3</v>
      </c>
      <c r="AA66" s="890">
        <v>2.6914763907812927E-3</v>
      </c>
      <c r="AB66" s="890">
        <v>2.5369829022142717E-3</v>
      </c>
      <c r="AC66" s="890">
        <v>2.3918292314633891E-3</v>
      </c>
      <c r="AD66" s="1059">
        <v>2.2557643869138572E-3</v>
      </c>
      <c r="AE66" s="1059">
        <v>2.1281966773946531E-3</v>
      </c>
      <c r="AF66" s="1059">
        <v>2.0085735286107867E-3</v>
      </c>
    </row>
    <row r="67" spans="1:32" x14ac:dyDescent="0.35">
      <c r="A67" s="843" t="s">
        <v>47</v>
      </c>
      <c r="B67" s="843"/>
      <c r="C67" s="843"/>
      <c r="D67" s="843"/>
      <c r="E67" s="843"/>
      <c r="F67" s="843"/>
      <c r="G67" s="865"/>
      <c r="H67" s="891">
        <v>0</v>
      </c>
      <c r="I67" s="891">
        <v>0</v>
      </c>
      <c r="J67" s="891">
        <v>0</v>
      </c>
      <c r="K67" s="891">
        <v>0</v>
      </c>
      <c r="L67" s="891">
        <v>0</v>
      </c>
      <c r="M67" s="891">
        <v>0</v>
      </c>
      <c r="N67" s="891">
        <v>0</v>
      </c>
      <c r="O67" s="891">
        <v>0</v>
      </c>
      <c r="P67" s="891">
        <v>0</v>
      </c>
      <c r="Q67" s="891">
        <v>0</v>
      </c>
      <c r="R67" s="891">
        <v>0</v>
      </c>
      <c r="S67" s="891">
        <v>0</v>
      </c>
      <c r="T67" s="891">
        <v>0</v>
      </c>
      <c r="U67" s="891">
        <v>0</v>
      </c>
      <c r="V67" s="891">
        <v>0</v>
      </c>
      <c r="W67" s="891">
        <v>0</v>
      </c>
      <c r="X67" s="891">
        <v>0</v>
      </c>
      <c r="Y67" s="891">
        <v>0</v>
      </c>
      <c r="Z67" s="891">
        <v>0</v>
      </c>
      <c r="AA67" s="891">
        <v>0</v>
      </c>
      <c r="AB67" s="891">
        <v>0</v>
      </c>
      <c r="AC67" s="891">
        <v>0</v>
      </c>
      <c r="AD67" s="843">
        <v>0</v>
      </c>
      <c r="AE67" s="843">
        <v>0</v>
      </c>
      <c r="AF67" s="843">
        <v>0</v>
      </c>
    </row>
    <row r="68" spans="1:32" x14ac:dyDescent="0.35">
      <c r="A68" s="1041"/>
      <c r="B68" s="1041" t="s">
        <v>48</v>
      </c>
      <c r="C68" s="1059"/>
      <c r="D68" s="1059"/>
      <c r="E68" s="1059"/>
      <c r="F68" s="1059"/>
      <c r="G68" s="1045"/>
      <c r="H68" s="890">
        <v>2.136061486592661E-3</v>
      </c>
      <c r="I68" s="890">
        <v>3.0888787268928321E-3</v>
      </c>
      <c r="J68" s="890">
        <v>4.2175188190135418E-3</v>
      </c>
      <c r="K68" s="890">
        <v>5.4513511069927099E-3</v>
      </c>
      <c r="L68" s="890">
        <v>6.8171005575665107E-3</v>
      </c>
      <c r="M68" s="890">
        <v>8.2304732863600141E-3</v>
      </c>
      <c r="N68" s="890">
        <v>9.6167038467321695E-3</v>
      </c>
      <c r="O68" s="890">
        <v>1.0969926523258625E-2</v>
      </c>
      <c r="P68" s="890">
        <v>1.2261705296772183E-2</v>
      </c>
      <c r="Q68" s="890">
        <v>1.345669646626641E-2</v>
      </c>
      <c r="R68" s="890">
        <v>1.4498725159359259E-2</v>
      </c>
      <c r="S68" s="890">
        <v>1.5467862252991927E-2</v>
      </c>
      <c r="T68" s="890">
        <v>1.6309854274615593E-2</v>
      </c>
      <c r="U68" s="890">
        <v>1.703203280407509E-2</v>
      </c>
      <c r="V68" s="890">
        <v>1.7681185963368231E-2</v>
      </c>
      <c r="W68" s="890">
        <v>1.821862180068351E-2</v>
      </c>
      <c r="X68" s="890">
        <v>1.865294187828305E-2</v>
      </c>
      <c r="Y68" s="890">
        <v>1.9009593480469416E-2</v>
      </c>
      <c r="Z68" s="890">
        <v>1.934558209733404E-2</v>
      </c>
      <c r="AA68" s="890">
        <v>1.9685577940681022E-2</v>
      </c>
      <c r="AB68" s="890">
        <v>2.0060926819947238E-2</v>
      </c>
      <c r="AC68" s="890">
        <v>2.0328333437455957E-2</v>
      </c>
      <c r="AD68" s="540">
        <v>2.0574180260044688E-2</v>
      </c>
      <c r="AE68" s="540">
        <v>2.0801618026925268E-2</v>
      </c>
      <c r="AF68" s="540">
        <v>2.1013723688192831E-2</v>
      </c>
    </row>
    <row r="69" spans="1:32" x14ac:dyDescent="0.35">
      <c r="A69" s="1041"/>
      <c r="B69" s="1043" t="s">
        <v>50</v>
      </c>
      <c r="C69" s="1059"/>
      <c r="D69" s="1059"/>
      <c r="E69" s="1059"/>
      <c r="F69" s="1059"/>
      <c r="G69" s="1045"/>
      <c r="H69" s="890"/>
      <c r="I69" s="890"/>
      <c r="J69" s="890"/>
      <c r="K69" s="890"/>
      <c r="L69" s="890"/>
      <c r="M69" s="890"/>
      <c r="N69" s="890"/>
      <c r="O69" s="890"/>
      <c r="P69" s="890"/>
      <c r="Q69" s="890"/>
      <c r="R69" s="890"/>
      <c r="S69" s="890"/>
      <c r="T69" s="890"/>
      <c r="U69" s="890"/>
      <c r="V69" s="890"/>
      <c r="W69" s="890"/>
      <c r="X69" s="890"/>
      <c r="Y69" s="890"/>
      <c r="Z69" s="890"/>
      <c r="AA69" s="890"/>
      <c r="AB69" s="890"/>
      <c r="AC69" s="890"/>
      <c r="AD69" s="540"/>
      <c r="AE69" s="540"/>
      <c r="AF69" s="540"/>
    </row>
    <row r="70" spans="1:32" x14ac:dyDescent="0.35">
      <c r="A70" s="1041"/>
      <c r="B70" s="1041" t="s">
        <v>51</v>
      </c>
      <c r="C70" s="1059"/>
      <c r="D70" s="1059"/>
      <c r="E70" s="1059"/>
      <c r="F70" s="1059"/>
      <c r="G70" s="1045"/>
      <c r="H70" s="890"/>
      <c r="I70" s="890"/>
      <c r="J70" s="890"/>
      <c r="K70" s="890"/>
      <c r="L70" s="890"/>
      <c r="M70" s="890"/>
      <c r="N70" s="890"/>
      <c r="O70" s="890"/>
      <c r="P70" s="890"/>
      <c r="Q70" s="890"/>
      <c r="R70" s="890"/>
      <c r="S70" s="890"/>
      <c r="T70" s="890"/>
      <c r="U70" s="890"/>
      <c r="V70" s="890"/>
      <c r="W70" s="890"/>
      <c r="X70" s="890"/>
      <c r="Y70" s="890"/>
      <c r="Z70" s="890"/>
      <c r="AA70" s="890"/>
      <c r="AB70" s="890"/>
      <c r="AC70" s="890"/>
      <c r="AD70" s="540"/>
      <c r="AE70" s="540"/>
      <c r="AF70" s="540"/>
    </row>
    <row r="71" spans="1:32" x14ac:dyDescent="0.35">
      <c r="A71" s="1041"/>
      <c r="B71" s="1041" t="s">
        <v>52</v>
      </c>
      <c r="C71" s="1059"/>
      <c r="D71" s="1059"/>
      <c r="E71" s="1059"/>
      <c r="F71" s="1059"/>
      <c r="G71" s="1045"/>
      <c r="H71" s="890">
        <v>11.877030496776571</v>
      </c>
      <c r="I71" s="890">
        <v>8.9920714607071819</v>
      </c>
      <c r="J71" s="890">
        <v>5.2266000688972927</v>
      </c>
      <c r="K71" s="890">
        <v>2.3182356123877108</v>
      </c>
      <c r="L71" s="890">
        <v>0.84398875034817256</v>
      </c>
      <c r="M71" s="890">
        <v>0.25873500826340989</v>
      </c>
      <c r="N71" s="890">
        <v>7.508661604953111E-2</v>
      </c>
      <c r="O71" s="890">
        <v>2.1510970418121236E-2</v>
      </c>
      <c r="P71" s="890">
        <v>6.3088352775508673E-3</v>
      </c>
      <c r="Q71" s="890">
        <v>1.856337476556832E-3</v>
      </c>
      <c r="R71" s="890">
        <v>5.4922143306266539E-4</v>
      </c>
      <c r="S71" s="890">
        <v>1.6613162702795953E-4</v>
      </c>
      <c r="T71" s="890">
        <v>5.1111139098419861E-5</v>
      </c>
      <c r="U71" s="890">
        <v>1.5925566292901224E-5</v>
      </c>
      <c r="V71" s="890">
        <v>5.084830019504806E-6</v>
      </c>
      <c r="W71" s="890">
        <v>1.6377448614767262E-6</v>
      </c>
      <c r="X71" s="890">
        <v>5.3188028046991374E-7</v>
      </c>
      <c r="Y71" s="890">
        <v>1.7372028286267721E-7</v>
      </c>
      <c r="Z71" s="890">
        <v>5.7390720175681626E-8</v>
      </c>
      <c r="AA71" s="890">
        <v>1.9220762699761139E-8</v>
      </c>
      <c r="AB71" s="890">
        <v>6.4402937024622349E-9</v>
      </c>
      <c r="AC71" s="890">
        <v>2.1723690215788444E-9</v>
      </c>
      <c r="AD71" s="540">
        <v>7.3622973864833852E-10</v>
      </c>
      <c r="AE71" s="540">
        <v>2.4982398902319597E-10</v>
      </c>
      <c r="AF71" s="540">
        <v>8.308801227930756E-11</v>
      </c>
    </row>
    <row r="72" spans="1:32" x14ac:dyDescent="0.35">
      <c r="A72" s="1041"/>
      <c r="B72" s="1043" t="s">
        <v>29</v>
      </c>
      <c r="C72" s="1059"/>
      <c r="D72" s="1059"/>
      <c r="E72" s="1059"/>
      <c r="F72" s="1059"/>
      <c r="G72" s="1045"/>
      <c r="H72" s="890">
        <v>0.69911320734375348</v>
      </c>
      <c r="I72" s="890">
        <v>0.6369392633130927</v>
      </c>
      <c r="J72" s="890">
        <v>0.52555716853810652</v>
      </c>
      <c r="K72" s="890">
        <v>0.38776967438336246</v>
      </c>
      <c r="L72" s="890">
        <v>0.26850332864179527</v>
      </c>
      <c r="M72" s="890">
        <v>0.17347425393051219</v>
      </c>
      <c r="N72" s="890">
        <v>0.11110144315320575</v>
      </c>
      <c r="O72" s="890">
        <v>7.2044140874571977E-2</v>
      </c>
      <c r="P72" s="890">
        <v>4.8174986632490154E-2</v>
      </c>
      <c r="Q72" s="890">
        <v>3.2660616602765195E-2</v>
      </c>
      <c r="R72" s="890">
        <v>2.2337702769892796E-2</v>
      </c>
      <c r="S72" s="890">
        <v>1.5612005245039948E-2</v>
      </c>
      <c r="T72" s="890">
        <v>1.1074964011623434E-2</v>
      </c>
      <c r="U72" s="890">
        <v>7.9402003416699212E-3</v>
      </c>
      <c r="V72" s="890">
        <v>5.7997516125524303E-3</v>
      </c>
      <c r="W72" s="890">
        <v>4.2590894399342121E-3</v>
      </c>
      <c r="X72" s="890">
        <v>3.1412112154726845E-3</v>
      </c>
      <c r="Y72" s="890">
        <v>2.3216980175635488E-3</v>
      </c>
      <c r="Z72" s="890">
        <v>1.7274229896632797E-3</v>
      </c>
      <c r="AA72" s="890">
        <v>1.2956837603299467E-3</v>
      </c>
      <c r="AB72" s="890">
        <v>9.704562094281844E-4</v>
      </c>
      <c r="AC72" s="890">
        <v>7.2689290272630542E-4</v>
      </c>
      <c r="AD72" s="540">
        <v>5.4450060108701334E-4</v>
      </c>
      <c r="AE72" s="540">
        <v>4.068265652080061E-4</v>
      </c>
      <c r="AF72" s="540">
        <v>2.9849964830443642E-4</v>
      </c>
    </row>
    <row r="73" spans="1:32" x14ac:dyDescent="0.35">
      <c r="A73" s="1041"/>
      <c r="B73" s="1043" t="s">
        <v>53</v>
      </c>
      <c r="C73" s="1059"/>
      <c r="D73" s="1059"/>
      <c r="E73" s="1059"/>
      <c r="F73" s="1059"/>
      <c r="G73" s="1045"/>
      <c r="H73" s="890">
        <v>0.40457976833250259</v>
      </c>
      <c r="I73" s="890">
        <v>0.39893789096070209</v>
      </c>
      <c r="J73" s="890">
        <v>0.38391447213676111</v>
      </c>
      <c r="K73" s="890">
        <v>0.35863621165765047</v>
      </c>
      <c r="L73" s="890">
        <v>0.32943381665239313</v>
      </c>
      <c r="M73" s="890">
        <v>0.2965533231284897</v>
      </c>
      <c r="N73" s="890">
        <v>0.26304254590049186</v>
      </c>
      <c r="O73" s="890">
        <v>0.23174397432513349</v>
      </c>
      <c r="P73" s="890">
        <v>0.20393929913498399</v>
      </c>
      <c r="Q73" s="890">
        <v>0.17932932930350065</v>
      </c>
      <c r="R73" s="890">
        <v>0.15786162696891648</v>
      </c>
      <c r="S73" s="890">
        <v>0.1398224753555049</v>
      </c>
      <c r="T73" s="890">
        <v>0.12434576654311759</v>
      </c>
      <c r="U73" s="890">
        <v>0.11103690836892124</v>
      </c>
      <c r="V73" s="890">
        <v>9.9819579834834693E-2</v>
      </c>
      <c r="W73" s="890">
        <v>8.9999106842127349E-2</v>
      </c>
      <c r="X73" s="890">
        <v>8.1337017836366154E-2</v>
      </c>
      <c r="Y73" s="890">
        <v>7.3659459494248514E-2</v>
      </c>
      <c r="Z73" s="890">
        <v>6.6878408782235582E-2</v>
      </c>
      <c r="AA73" s="890">
        <v>6.0963386509613957E-2</v>
      </c>
      <c r="AB73" s="890">
        <v>5.5722023800959586E-2</v>
      </c>
      <c r="AC73" s="890">
        <v>5.0896460184491857E-2</v>
      </c>
      <c r="AD73" s="540">
        <v>4.6456567395477384E-2</v>
      </c>
      <c r="AE73" s="540">
        <v>4.2397850106241891E-2</v>
      </c>
      <c r="AF73" s="540">
        <v>3.8584542017633242E-2</v>
      </c>
    </row>
    <row r="74" spans="1:32" x14ac:dyDescent="0.35">
      <c r="H74">
        <v>0.42059796471682714</v>
      </c>
      <c r="I74">
        <v>0.39564713390844497</v>
      </c>
      <c r="J74">
        <v>0.35682747349323768</v>
      </c>
      <c r="K74">
        <v>0.31082996108242084</v>
      </c>
      <c r="L74">
        <v>0.26889655162315029</v>
      </c>
      <c r="M74">
        <v>0.23215921164143904</v>
      </c>
      <c r="N74">
        <v>0.20230731066349211</v>
      </c>
      <c r="O74">
        <v>0.17882262197979565</v>
      </c>
      <c r="P74">
        <v>0.16036902542106074</v>
      </c>
      <c r="Q74">
        <v>0.14530531373900499</v>
      </c>
      <c r="R74">
        <v>0.13274220509771939</v>
      </c>
      <c r="S74">
        <v>0.12226019369036939</v>
      </c>
      <c r="T74">
        <v>0.11319594461784617</v>
      </c>
      <c r="U74">
        <v>0.10521974516157384</v>
      </c>
      <c r="V74">
        <v>9.8202444430994101E-2</v>
      </c>
      <c r="W74">
        <v>9.1836577772568748E-2</v>
      </c>
      <c r="X74">
        <v>8.601064955484744E-2</v>
      </c>
      <c r="Y74">
        <v>8.0647905743379905E-2</v>
      </c>
      <c r="Z74">
        <v>7.5734937449262518E-2</v>
      </c>
      <c r="AA74">
        <v>7.1224006193908118E-2</v>
      </c>
      <c r="AB74">
        <v>6.7045322912365618E-2</v>
      </c>
      <c r="AC74">
        <v>6.3089471696850988E-2</v>
      </c>
      <c r="AD74">
        <v>5.938416833146528E-2</v>
      </c>
      <c r="AE74">
        <v>5.5902232018089582E-2</v>
      </c>
      <c r="AF74">
        <v>5.2591761466846167E-2</v>
      </c>
    </row>
    <row r="75" spans="1:32" x14ac:dyDescent="0.35">
      <c r="A75" s="1059" t="s">
        <v>764</v>
      </c>
      <c r="B75" s="1059"/>
      <c r="C75" s="1059"/>
      <c r="D75" s="1059"/>
      <c r="E75" s="1059"/>
      <c r="F75" s="1059"/>
      <c r="G75" s="1059"/>
      <c r="H75" s="1059">
        <v>1.4502179801588444</v>
      </c>
      <c r="I75" s="1059">
        <v>3.9192178842121872</v>
      </c>
      <c r="J75" s="1059">
        <v>5.9275381344787457</v>
      </c>
      <c r="K75" s="1059">
        <v>6.1369576918529569</v>
      </c>
      <c r="L75" s="1059">
        <v>5.1227081341465066</v>
      </c>
      <c r="M75" s="1059">
        <v>4.1226727259814169</v>
      </c>
      <c r="N75" s="1059">
        <v>3.5003130933723661</v>
      </c>
      <c r="O75" s="1059">
        <v>3.2250320878954759</v>
      </c>
      <c r="P75" s="1059">
        <v>3.1337675126378328</v>
      </c>
      <c r="Q75" s="1059">
        <v>3.1224194993351189</v>
      </c>
      <c r="R75" s="1059">
        <v>3.1329024988026375</v>
      </c>
      <c r="S75" s="1059">
        <v>3.1637914597010348</v>
      </c>
      <c r="T75" s="1059">
        <v>3.1972355907514132</v>
      </c>
      <c r="U75" s="1059">
        <v>3.230812569993101</v>
      </c>
      <c r="V75" s="1059">
        <v>3.2694695782774716</v>
      </c>
      <c r="W75" s="1059">
        <v>3.3037368093575692</v>
      </c>
      <c r="X75" s="1059">
        <v>3.3325281054394953</v>
      </c>
      <c r="Y75" s="1059">
        <v>3.3578672657514756</v>
      </c>
      <c r="Z75" s="1059">
        <v>3.3871570922319392</v>
      </c>
      <c r="AA75" s="1059">
        <v>3.4229902206163287</v>
      </c>
      <c r="AB75" s="1059">
        <v>3.4693145785913182</v>
      </c>
      <c r="AC75" s="1059">
        <v>3.5011608401990872</v>
      </c>
      <c r="AD75" s="1059">
        <v>3.5319776087577255</v>
      </c>
      <c r="AE75" s="1059">
        <v>3.5618051179379324</v>
      </c>
      <c r="AF75" s="1059">
        <v>3.5906719718499689</v>
      </c>
    </row>
    <row r="76" spans="1:32" x14ac:dyDescent="0.35">
      <c r="A76" s="1047" t="s">
        <v>497</v>
      </c>
      <c r="B76" s="1048"/>
      <c r="C76" s="1047"/>
      <c r="D76" s="1046"/>
      <c r="E76" s="1046"/>
      <c r="F76" s="1046"/>
      <c r="G76" s="1046"/>
      <c r="H76" s="862">
        <v>1.3513684097203769E-2</v>
      </c>
      <c r="I76" s="862">
        <v>1.3247061854734638E-2</v>
      </c>
      <c r="J76" s="862">
        <v>1.2680014900910327E-2</v>
      </c>
      <c r="K76" s="862">
        <v>1.1801266800148962E-2</v>
      </c>
      <c r="L76" s="862">
        <v>1.086637372935103E-2</v>
      </c>
      <c r="M76" s="862">
        <v>9.8643098361486624E-3</v>
      </c>
      <c r="N76" s="862">
        <v>8.883661571436316E-3</v>
      </c>
      <c r="O76" s="862">
        <v>7.9998855835690681E-3</v>
      </c>
      <c r="P76" s="862">
        <v>7.2342961467744106E-3</v>
      </c>
      <c r="Q76" s="862">
        <v>6.5624234595732054E-3</v>
      </c>
      <c r="R76" s="862">
        <v>5.9728874453017933E-3</v>
      </c>
      <c r="S76" s="862">
        <v>5.4779761446697725E-3</v>
      </c>
      <c r="T76" s="862">
        <v>5.0468391523436195E-3</v>
      </c>
      <c r="U76" s="862">
        <v>4.6683193832510418E-3</v>
      </c>
      <c r="V76" s="862">
        <v>4.343284539631005E-3</v>
      </c>
      <c r="W76" s="862">
        <v>4.0497775817238488E-3</v>
      </c>
      <c r="X76" s="862">
        <v>3.7822328720550709E-3</v>
      </c>
      <c r="Y76" s="862">
        <v>3.537347704753468E-3</v>
      </c>
      <c r="Z76" s="862">
        <v>3.3175998594661589E-3</v>
      </c>
      <c r="AA76" s="862">
        <v>3.1206254528938823E-3</v>
      </c>
      <c r="AB76" s="862">
        <v>2.94153175967545E-3</v>
      </c>
      <c r="AC76" s="862">
        <v>2.7674924449959159E-3</v>
      </c>
      <c r="AD76" s="862">
        <v>2.604322664484052E-3</v>
      </c>
      <c r="AE76" s="862">
        <v>2.4503039028711776E-3</v>
      </c>
      <c r="AF76" s="862">
        <v>2.3009388610029033E-3</v>
      </c>
    </row>
    <row r="77" spans="1:32" x14ac:dyDescent="0.35">
      <c r="A77" s="1042" t="s">
        <v>12</v>
      </c>
      <c r="B77" s="1041"/>
      <c r="C77" s="1059"/>
      <c r="D77" s="1059"/>
      <c r="E77" s="1059"/>
      <c r="F77" s="1059"/>
      <c r="G77" s="1059"/>
      <c r="H77" s="1059"/>
      <c r="I77" s="1059"/>
      <c r="J77" s="1059"/>
      <c r="K77" s="1059"/>
      <c r="L77" s="1059"/>
      <c r="M77" s="1059"/>
      <c r="N77" s="1059"/>
      <c r="O77" s="1059"/>
      <c r="P77" s="1059"/>
      <c r="Q77" s="1059"/>
      <c r="R77" s="1059"/>
      <c r="S77" s="1059"/>
      <c r="T77" s="1059"/>
      <c r="U77" s="1059"/>
      <c r="V77" s="1059"/>
      <c r="W77" s="1059"/>
      <c r="X77" s="1059"/>
      <c r="Y77" s="1059"/>
      <c r="Z77" s="1059"/>
      <c r="AA77" s="1059"/>
      <c r="AB77" s="1059"/>
      <c r="AC77" s="1059"/>
      <c r="AD77" s="1059"/>
      <c r="AE77" s="1059"/>
      <c r="AF77" s="1059"/>
    </row>
    <row r="78" spans="1:32" x14ac:dyDescent="0.35">
      <c r="A78" s="1041"/>
      <c r="B78" s="1041" t="s">
        <v>20</v>
      </c>
      <c r="C78" s="1059"/>
      <c r="D78" s="1059"/>
      <c r="E78" s="1059"/>
      <c r="F78" s="1059"/>
      <c r="G78" s="208">
        <v>2010</v>
      </c>
      <c r="H78" s="208">
        <v>2011</v>
      </c>
      <c r="I78" s="208">
        <v>2012</v>
      </c>
      <c r="J78" s="208">
        <v>2013</v>
      </c>
      <c r="K78" s="208">
        <v>2014</v>
      </c>
      <c r="L78" s="208">
        <v>2015</v>
      </c>
      <c r="M78" s="208">
        <v>2016</v>
      </c>
      <c r="N78" s="208">
        <v>2017</v>
      </c>
      <c r="O78" s="208">
        <v>2018</v>
      </c>
      <c r="P78" s="208">
        <v>2019</v>
      </c>
      <c r="Q78" s="208">
        <v>2020</v>
      </c>
      <c r="R78" s="208">
        <v>2021</v>
      </c>
      <c r="S78" s="208">
        <v>2022</v>
      </c>
      <c r="T78" s="208">
        <v>2023</v>
      </c>
      <c r="U78" s="208">
        <v>2024</v>
      </c>
      <c r="V78" s="208">
        <v>2025</v>
      </c>
      <c r="W78" s="208">
        <v>2026</v>
      </c>
      <c r="X78" s="208">
        <v>2027</v>
      </c>
      <c r="Y78" s="208">
        <v>2028</v>
      </c>
      <c r="Z78" s="208">
        <v>2029</v>
      </c>
      <c r="AA78" s="208">
        <v>2030</v>
      </c>
      <c r="AB78" s="208">
        <v>2031</v>
      </c>
      <c r="AC78" s="208">
        <v>2032</v>
      </c>
      <c r="AD78" s="208">
        <v>2033</v>
      </c>
      <c r="AE78" s="208">
        <v>2034</v>
      </c>
      <c r="AF78" s="208">
        <v>2035</v>
      </c>
    </row>
    <row r="79" spans="1:32" x14ac:dyDescent="0.35">
      <c r="A79" s="843" t="s">
        <v>21</v>
      </c>
      <c r="B79" s="843"/>
      <c r="C79" s="843"/>
      <c r="D79" s="843"/>
      <c r="E79" s="843"/>
      <c r="F79" s="843"/>
      <c r="G79" s="843"/>
      <c r="H79" s="843"/>
      <c r="I79" s="843"/>
      <c r="J79" s="843"/>
      <c r="K79" s="843"/>
      <c r="L79" s="843"/>
      <c r="M79" s="843"/>
      <c r="N79" s="843"/>
      <c r="O79" s="843"/>
      <c r="P79" s="843"/>
      <c r="Q79" s="843"/>
      <c r="R79" s="843"/>
      <c r="S79" s="843"/>
      <c r="T79" s="843"/>
      <c r="U79" s="843"/>
      <c r="V79" s="843"/>
      <c r="W79" s="843"/>
      <c r="X79" s="843"/>
      <c r="Y79" s="843"/>
      <c r="Z79" s="843"/>
      <c r="AA79" s="843"/>
      <c r="AB79" s="843"/>
      <c r="AC79" s="843"/>
      <c r="AD79" s="843"/>
      <c r="AE79" s="843"/>
      <c r="AF79" s="843"/>
    </row>
    <row r="80" spans="1:32" x14ac:dyDescent="0.35">
      <c r="A80" s="1041"/>
      <c r="B80" s="1041" t="s">
        <v>22</v>
      </c>
      <c r="C80" s="1059"/>
      <c r="D80" s="1059"/>
      <c r="E80" s="1059"/>
      <c r="F80" s="1059"/>
      <c r="G80" s="438"/>
      <c r="H80" s="890">
        <v>2.740884287427536E-2</v>
      </c>
      <c r="I80" s="890">
        <v>1.8309508107750325E-2</v>
      </c>
      <c r="J80" s="890">
        <v>1.05078350196172E-2</v>
      </c>
      <c r="K80" s="890">
        <v>6.8281659385146199E-3</v>
      </c>
      <c r="L80" s="890">
        <v>4.0283460257931163E-3</v>
      </c>
      <c r="M80" s="890">
        <v>1.3156104907137212E-3</v>
      </c>
      <c r="N80" s="890">
        <v>1.0784965577145661E-3</v>
      </c>
      <c r="O80" s="890">
        <v>9.0191863965523864E-4</v>
      </c>
      <c r="P80" s="890">
        <v>7.4659427512795173E-4</v>
      </c>
      <c r="Q80" s="890">
        <v>6.010292144995892E-4</v>
      </c>
      <c r="R80" s="890">
        <v>4.7334742978573266E-4</v>
      </c>
      <c r="S80" s="890">
        <v>3.6848067747312818E-4</v>
      </c>
      <c r="T80" s="890">
        <v>2.8666284879328541E-4</v>
      </c>
      <c r="U80" s="890">
        <v>2.2274184866849224E-4</v>
      </c>
      <c r="V80" s="890">
        <v>1.7562419882976064E-4</v>
      </c>
      <c r="W80" s="890">
        <v>1.4077002746869179E-4</v>
      </c>
      <c r="X80" s="890">
        <v>1.1442356660006691E-4</v>
      </c>
      <c r="Y80" s="890">
        <v>9.4647022854115902E-5</v>
      </c>
      <c r="Z80" s="890">
        <v>7.989216542827057E-5</v>
      </c>
      <c r="AA80" s="890">
        <v>6.8806627955036309E-5</v>
      </c>
      <c r="AB80" s="890">
        <v>5.9994485238695296E-5</v>
      </c>
      <c r="AC80" s="890">
        <v>5.2882440096267778E-5</v>
      </c>
      <c r="AD80" s="540">
        <v>4.703504041580912E-5</v>
      </c>
      <c r="AE80" s="540">
        <v>4.2052250482125089E-5</v>
      </c>
      <c r="AF80" s="540">
        <v>3.7281812224032238E-5</v>
      </c>
    </row>
    <row r="81" spans="1:32" x14ac:dyDescent="0.35">
      <c r="A81" s="1041"/>
      <c r="B81" s="1041" t="s">
        <v>26</v>
      </c>
      <c r="C81" s="1059"/>
      <c r="D81" s="1059"/>
      <c r="E81" s="1059"/>
      <c r="F81" s="1059"/>
      <c r="G81" s="438"/>
      <c r="H81" s="890">
        <v>3.6480518830507108E-4</v>
      </c>
      <c r="I81" s="890">
        <v>1.2106206572034283E-3</v>
      </c>
      <c r="J81" s="890">
        <v>3.1815433317687394E-3</v>
      </c>
      <c r="K81" s="890">
        <v>4.2304594610979608E-3</v>
      </c>
      <c r="L81" s="890">
        <v>4.2041712412433981E-3</v>
      </c>
      <c r="M81" s="890">
        <v>3.975279486687678E-3</v>
      </c>
      <c r="N81" s="890">
        <v>3.367098301833021E-3</v>
      </c>
      <c r="O81" s="890">
        <v>2.903897502662085E-3</v>
      </c>
      <c r="P81" s="890">
        <v>2.4735737307002752E-3</v>
      </c>
      <c r="Q81" s="890">
        <v>2.0541274437118387E-3</v>
      </c>
      <c r="R81" s="890">
        <v>1.6737677564857092E-3</v>
      </c>
      <c r="S81" s="890">
        <v>1.3490321347870049E-3</v>
      </c>
      <c r="T81" s="890">
        <v>1.0876394665237979E-3</v>
      </c>
      <c r="U81" s="890">
        <v>8.774356452304462E-4</v>
      </c>
      <c r="V81" s="890">
        <v>7.1802002948360706E-4</v>
      </c>
      <c r="W81" s="890">
        <v>5.9797991126287831E-4</v>
      </c>
      <c r="X81" s="890">
        <v>5.0562248450785664E-4</v>
      </c>
      <c r="Y81" s="890">
        <v>4.3541845637572608E-4</v>
      </c>
      <c r="Z81" s="890">
        <v>3.8252376320180873E-4</v>
      </c>
      <c r="AA81" s="890">
        <v>3.425798524312897E-4</v>
      </c>
      <c r="AB81" s="890">
        <v>3.1087033863150672E-4</v>
      </c>
      <c r="AC81" s="890">
        <v>2.8518865629226681E-4</v>
      </c>
      <c r="AD81" s="540">
        <v>2.6404440068946073E-4</v>
      </c>
      <c r="AE81" s="540">
        <v>2.4592933423568794E-4</v>
      </c>
      <c r="AF81" s="540">
        <v>2.2812940164155572E-4</v>
      </c>
    </row>
    <row r="82" spans="1:32" x14ac:dyDescent="0.35">
      <c r="A82" s="1041"/>
      <c r="B82" s="1041" t="s">
        <v>27</v>
      </c>
      <c r="C82" s="1059"/>
      <c r="D82" s="1059"/>
      <c r="E82" s="1059"/>
      <c r="F82" s="1059"/>
      <c r="G82" s="438"/>
      <c r="H82" s="890">
        <v>3.1206545327014879E-2</v>
      </c>
      <c r="I82" s="890">
        <v>2.4613269602513036E-2</v>
      </c>
      <c r="J82" s="890">
        <v>2.5274590813351205E-2</v>
      </c>
      <c r="K82" s="890">
        <v>2.3584980372568114E-2</v>
      </c>
      <c r="L82" s="890">
        <v>2.3255535260421237E-2</v>
      </c>
      <c r="M82" s="890">
        <v>2.2360921660073585E-2</v>
      </c>
      <c r="N82" s="890">
        <v>1.91057004754667E-2</v>
      </c>
      <c r="O82" s="890">
        <v>1.6547971910806619E-2</v>
      </c>
      <c r="P82" s="890">
        <v>1.4044845962949646E-2</v>
      </c>
      <c r="Q82" s="890">
        <v>1.1678896050893138E-2</v>
      </c>
      <c r="R82" s="890">
        <v>9.5880585892805445E-3</v>
      </c>
      <c r="S82" s="890">
        <v>7.781082548966806E-3</v>
      </c>
      <c r="T82" s="890">
        <v>6.321432543128256E-3</v>
      </c>
      <c r="U82" s="890">
        <v>5.1525509580715905E-3</v>
      </c>
      <c r="V82" s="890">
        <v>4.2505411197410964E-3</v>
      </c>
      <c r="W82" s="890">
        <v>3.5779188238918057E-3</v>
      </c>
      <c r="X82" s="890">
        <v>3.0651157410495899E-3</v>
      </c>
      <c r="Y82" s="890">
        <v>2.6802523468292903E-3</v>
      </c>
      <c r="Z82" s="890">
        <v>2.3907465477691144E-3</v>
      </c>
      <c r="AA82" s="890">
        <v>2.1714390237697863E-3</v>
      </c>
      <c r="AB82" s="890">
        <v>2.0041231406106833E-3</v>
      </c>
      <c r="AC82" s="890">
        <v>1.8709138482030023E-3</v>
      </c>
      <c r="AD82" s="540">
        <v>1.7642312025154586E-3</v>
      </c>
      <c r="AE82" s="540">
        <v>1.6767246847658539E-3</v>
      </c>
      <c r="AF82" s="540">
        <v>1.6014515851495385E-3</v>
      </c>
    </row>
    <row r="83" spans="1:32" x14ac:dyDescent="0.35">
      <c r="A83" s="1041"/>
      <c r="B83" s="1041" t="s">
        <v>29</v>
      </c>
      <c r="C83" s="1059"/>
      <c r="D83" s="1059"/>
      <c r="E83" s="1059"/>
      <c r="F83" s="1059"/>
      <c r="G83" s="438"/>
      <c r="H83" s="890">
        <v>5.1954247099287061E-5</v>
      </c>
      <c r="I83" s="890">
        <v>1.8078747638525407E-4</v>
      </c>
      <c r="J83" s="890">
        <v>4.6159239910365088E-4</v>
      </c>
      <c r="K83" s="890">
        <v>1.0867819753765402E-3</v>
      </c>
      <c r="L83" s="890">
        <v>2.1342667619630401E-3</v>
      </c>
      <c r="M83" s="890">
        <v>3.4940976415190205E-3</v>
      </c>
      <c r="N83" s="890">
        <v>4.702419313745744E-3</v>
      </c>
      <c r="O83" s="890">
        <v>5.9606967447223321E-3</v>
      </c>
      <c r="P83" s="890">
        <v>7.0222618402259827E-3</v>
      </c>
      <c r="Q83" s="890">
        <v>7.7903342815318997E-3</v>
      </c>
      <c r="R83" s="890">
        <v>8.2567775337774128E-3</v>
      </c>
      <c r="S83" s="890">
        <v>8.4204511225453825E-3</v>
      </c>
      <c r="T83" s="890">
        <v>8.3898449579516456E-3</v>
      </c>
      <c r="U83" s="890">
        <v>8.1971290007266679E-3</v>
      </c>
      <c r="V83" s="890">
        <v>7.9211648384192191E-3</v>
      </c>
      <c r="W83" s="890">
        <v>7.6438446129477172E-3</v>
      </c>
      <c r="X83" s="890">
        <v>7.3563799214828082E-3</v>
      </c>
      <c r="Y83" s="890">
        <v>7.0954185227304406E-3</v>
      </c>
      <c r="Z83" s="890">
        <v>6.8673753274257196E-3</v>
      </c>
      <c r="AA83" s="890">
        <v>6.6727140509158078E-3</v>
      </c>
      <c r="AB83" s="890">
        <v>6.5176134762326534E-3</v>
      </c>
      <c r="AC83" s="890">
        <v>6.3797655383727187E-3</v>
      </c>
      <c r="AD83" s="540">
        <v>6.2624328675992304E-3</v>
      </c>
      <c r="AE83" s="540">
        <v>6.1618356381778414E-3</v>
      </c>
      <c r="AF83" s="540">
        <v>6.0778998214191336E-3</v>
      </c>
    </row>
    <row r="84" spans="1:32" x14ac:dyDescent="0.35">
      <c r="A84" s="1041"/>
      <c r="B84" s="1041"/>
      <c r="C84" s="1059"/>
      <c r="D84" s="1059"/>
      <c r="E84" s="1059"/>
      <c r="F84" s="1059"/>
      <c r="G84" s="1045"/>
      <c r="H84" s="890"/>
      <c r="I84" s="890"/>
      <c r="J84" s="890"/>
      <c r="K84" s="890"/>
      <c r="L84" s="890"/>
      <c r="M84" s="890"/>
      <c r="N84" s="890"/>
      <c r="O84" s="890"/>
      <c r="P84" s="890"/>
      <c r="Q84" s="890"/>
      <c r="R84" s="890"/>
      <c r="S84" s="890"/>
      <c r="T84" s="890"/>
      <c r="U84" s="890"/>
      <c r="V84" s="890"/>
      <c r="W84" s="890"/>
      <c r="X84" s="890"/>
      <c r="Y84" s="890"/>
      <c r="Z84" s="890"/>
      <c r="AA84" s="890"/>
      <c r="AB84" s="890"/>
      <c r="AC84" s="890"/>
      <c r="AD84" s="1059"/>
      <c r="AE84" s="1059"/>
      <c r="AF84" s="1059"/>
    </row>
    <row r="85" spans="1:32" x14ac:dyDescent="0.35">
      <c r="A85" s="843" t="s">
        <v>32</v>
      </c>
      <c r="B85" s="843"/>
      <c r="C85" s="843"/>
      <c r="D85" s="843"/>
      <c r="E85" s="843"/>
      <c r="F85" s="843"/>
      <c r="G85" s="865"/>
      <c r="H85" s="891"/>
      <c r="I85" s="891"/>
      <c r="J85" s="891"/>
      <c r="K85" s="891"/>
      <c r="L85" s="891"/>
      <c r="M85" s="891"/>
      <c r="N85" s="891"/>
      <c r="O85" s="891"/>
      <c r="P85" s="891"/>
      <c r="Q85" s="891"/>
      <c r="R85" s="891"/>
      <c r="S85" s="891"/>
      <c r="T85" s="891"/>
      <c r="U85" s="891"/>
      <c r="V85" s="891"/>
      <c r="W85" s="891"/>
      <c r="X85" s="891"/>
      <c r="Y85" s="891"/>
      <c r="Z85" s="891"/>
      <c r="AA85" s="891"/>
      <c r="AB85" s="891"/>
      <c r="AC85" s="891"/>
      <c r="AD85" s="843"/>
      <c r="AE85" s="843"/>
      <c r="AF85" s="843"/>
    </row>
    <row r="86" spans="1:32" x14ac:dyDescent="0.35">
      <c r="A86" s="1041"/>
      <c r="B86" s="1041" t="s">
        <v>33</v>
      </c>
      <c r="C86" s="1059"/>
      <c r="D86" s="1059"/>
      <c r="E86" s="1059"/>
      <c r="F86" s="1059"/>
      <c r="G86" s="1045"/>
      <c r="H86" s="890">
        <v>7.1900903541245193E-3</v>
      </c>
      <c r="I86" s="890">
        <v>8.0200334226755796E-3</v>
      </c>
      <c r="J86" s="890">
        <v>8.3035711104829015E-3</v>
      </c>
      <c r="K86" s="890">
        <v>8.0303504411172472E-3</v>
      </c>
      <c r="L86" s="890">
        <v>6.8718820740709804E-3</v>
      </c>
      <c r="M86" s="890">
        <v>5.5584633562592032E-3</v>
      </c>
      <c r="N86" s="890">
        <v>4.2932559940126033E-3</v>
      </c>
      <c r="O86" s="890">
        <v>3.1886657862950155E-3</v>
      </c>
      <c r="P86" s="890">
        <v>2.3077226071538982E-3</v>
      </c>
      <c r="Q86" s="890">
        <v>1.6308015457703654E-3</v>
      </c>
      <c r="R86" s="890">
        <v>1.1487690962903058E-3</v>
      </c>
      <c r="S86" s="890">
        <v>8.1579482465911259E-4</v>
      </c>
      <c r="T86" s="890">
        <v>5.94628641051093E-4</v>
      </c>
      <c r="U86" s="890">
        <v>4.4230357781379996E-4</v>
      </c>
      <c r="V86" s="890">
        <v>3.3902645542847778E-4</v>
      </c>
      <c r="W86" s="890">
        <v>2.6798199966832125E-4</v>
      </c>
      <c r="X86" s="890">
        <v>2.1629704973504129E-4</v>
      </c>
      <c r="Y86" s="890">
        <v>1.7850587428097468E-4</v>
      </c>
      <c r="Z86" s="890">
        <v>1.5078081972684724E-4</v>
      </c>
      <c r="AA86" s="890">
        <v>1.3044044975138008E-4</v>
      </c>
      <c r="AB86" s="890">
        <v>1.1413946943293041E-4</v>
      </c>
      <c r="AC86" s="890">
        <v>1.0119733171362703E-4</v>
      </c>
      <c r="AD86" s="540">
        <v>9.0629186428386945E-5</v>
      </c>
      <c r="AE86" s="540">
        <v>8.1646364316095409E-5</v>
      </c>
      <c r="AF86" s="540">
        <v>7.2964321974882792E-5</v>
      </c>
    </row>
    <row r="87" spans="1:32" x14ac:dyDescent="0.35">
      <c r="A87" s="1043"/>
      <c r="B87" s="1043" t="s">
        <v>34</v>
      </c>
      <c r="C87" s="1059"/>
      <c r="D87" s="1059"/>
      <c r="E87" s="1059"/>
      <c r="F87" s="1059"/>
      <c r="G87" s="1045"/>
      <c r="H87" s="890">
        <v>1.0659675921641283E-2</v>
      </c>
      <c r="I87" s="890">
        <v>1.0413373135943888E-2</v>
      </c>
      <c r="J87" s="890">
        <v>9.3482634201544033E-3</v>
      </c>
      <c r="K87" s="890">
        <v>7.857415871919092E-3</v>
      </c>
      <c r="L87" s="890">
        <v>6.8829525592719546E-3</v>
      </c>
      <c r="M87" s="890">
        <v>5.8008799266804608E-3</v>
      </c>
      <c r="N87" s="890">
        <v>4.6461922143306977E-3</v>
      </c>
      <c r="O87" s="890">
        <v>3.5731283265932594E-3</v>
      </c>
      <c r="P87" s="890">
        <v>2.666654499303589E-3</v>
      </c>
      <c r="Q87" s="890">
        <v>1.953322435244759E-3</v>
      </c>
      <c r="R87" s="890">
        <v>1.4343266741218691E-3</v>
      </c>
      <c r="S87" s="890">
        <v>1.0623065213490241E-3</v>
      </c>
      <c r="T87" s="890">
        <v>8.0779263789011106E-4</v>
      </c>
      <c r="U87" s="890">
        <v>6.279406346104111E-4</v>
      </c>
      <c r="V87" s="890">
        <v>5.0177710570780971E-4</v>
      </c>
      <c r="W87" s="890">
        <v>4.1375957610783031E-4</v>
      </c>
      <c r="X87" s="890">
        <v>3.4884277717329477E-4</v>
      </c>
      <c r="Y87" s="890">
        <v>3.0104704101705404E-4</v>
      </c>
      <c r="Z87" s="890">
        <v>2.6572189826592888E-4</v>
      </c>
      <c r="AA87" s="890">
        <v>2.3980976586665585E-4</v>
      </c>
      <c r="AB87" s="890">
        <v>2.1938357968921397E-4</v>
      </c>
      <c r="AC87" s="890">
        <v>2.0338462275943487E-4</v>
      </c>
      <c r="AD87" s="540">
        <v>1.905667031096814E-4</v>
      </c>
      <c r="AE87" s="540">
        <v>1.7989556386669936E-4</v>
      </c>
      <c r="AF87" s="540">
        <v>1.6979254739499521E-4</v>
      </c>
    </row>
    <row r="88" spans="1:32" x14ac:dyDescent="0.35">
      <c r="A88" s="1041"/>
      <c r="B88" s="1043" t="s">
        <v>35</v>
      </c>
      <c r="C88" s="1059"/>
      <c r="D88" s="1059"/>
      <c r="E88" s="1059"/>
      <c r="F88" s="1059"/>
      <c r="G88" s="1045"/>
      <c r="H88" s="890">
        <v>2.0383352656568919E-3</v>
      </c>
      <c r="I88" s="890">
        <v>2.2128433906164618E-3</v>
      </c>
      <c r="J88" s="890">
        <v>2.3111285583404988E-3</v>
      </c>
      <c r="K88" s="890">
        <v>2.3287237820320641E-3</v>
      </c>
      <c r="L88" s="890">
        <v>2.0513271717663415E-3</v>
      </c>
      <c r="M88" s="890">
        <v>1.7639805869329897E-3</v>
      </c>
      <c r="N88" s="890">
        <v>1.4333507646512105E-3</v>
      </c>
      <c r="O88" s="890">
        <v>1.1155919128759116E-3</v>
      </c>
      <c r="P88" s="890">
        <v>8.3882132281082821E-4</v>
      </c>
      <c r="Q88" s="890">
        <v>6.2133812050360138E-4</v>
      </c>
      <c r="R88" s="890">
        <v>4.6328054796170655E-4</v>
      </c>
      <c r="S88" s="890">
        <v>3.4831158048618041E-4</v>
      </c>
      <c r="T88" s="890">
        <v>2.6883037852376085E-4</v>
      </c>
      <c r="U88" s="890">
        <v>2.1233625528839595E-4</v>
      </c>
      <c r="V88" s="890">
        <v>1.7202106668519779E-4</v>
      </c>
      <c r="W88" s="890">
        <v>1.4388385031055816E-4</v>
      </c>
      <c r="X88" s="890">
        <v>1.2316042523845028E-4</v>
      </c>
      <c r="Y88" s="890">
        <v>1.079873791848775E-4</v>
      </c>
      <c r="Z88" s="890">
        <v>9.6779774727947176E-5</v>
      </c>
      <c r="AA88" s="890">
        <v>8.856649548570137E-5</v>
      </c>
      <c r="AB88" s="890">
        <v>8.2281803372556516E-5</v>
      </c>
      <c r="AC88" s="890">
        <v>7.7464059906318556E-5</v>
      </c>
      <c r="AD88" s="540">
        <v>7.3726565018486132E-5</v>
      </c>
      <c r="AE88" s="540">
        <v>7.0761685135693671E-5</v>
      </c>
      <c r="AF88" s="540">
        <v>6.8272170860977533E-5</v>
      </c>
    </row>
    <row r="89" spans="1:32" x14ac:dyDescent="0.35">
      <c r="A89" s="1041"/>
      <c r="B89" s="1043" t="s">
        <v>29</v>
      </c>
      <c r="C89" s="1059"/>
      <c r="D89" s="1059"/>
      <c r="E89" s="1059"/>
      <c r="F89" s="1059"/>
      <c r="G89" s="1045"/>
      <c r="H89" s="890">
        <v>1.692145662959936E-4</v>
      </c>
      <c r="I89" s="890">
        <v>6.3819491432094125E-4</v>
      </c>
      <c r="J89" s="890">
        <v>1.3492534099272698E-3</v>
      </c>
      <c r="K89" s="890">
        <v>2.1942127312596506E-3</v>
      </c>
      <c r="L89" s="890">
        <v>2.9695592603007268E-3</v>
      </c>
      <c r="M89" s="890">
        <v>3.6633296670975295E-3</v>
      </c>
      <c r="N89" s="890">
        <v>4.1201009247690988E-3</v>
      </c>
      <c r="O89" s="890">
        <v>4.3098730003537922E-3</v>
      </c>
      <c r="P89" s="890">
        <v>4.2599476310948969E-3</v>
      </c>
      <c r="Q89" s="890">
        <v>4.0480403344695711E-3</v>
      </c>
      <c r="R89" s="890">
        <v>3.7900109313570981E-3</v>
      </c>
      <c r="S89" s="890">
        <v>3.5223876412045314E-3</v>
      </c>
      <c r="T89" s="890">
        <v>3.3115383978536183E-3</v>
      </c>
      <c r="U89" s="890">
        <v>3.1342428014296845E-3</v>
      </c>
      <c r="V89" s="890">
        <v>2.9931732507171467E-3</v>
      </c>
      <c r="W89" s="890">
        <v>2.897640978236667E-3</v>
      </c>
      <c r="X89" s="890">
        <v>2.8138033236784783E-3</v>
      </c>
      <c r="Y89" s="890">
        <v>2.7453486721592964E-3</v>
      </c>
      <c r="Z89" s="890">
        <v>2.6885469671141778E-3</v>
      </c>
      <c r="AA89" s="890">
        <v>2.6449809536845999E-3</v>
      </c>
      <c r="AB89" s="890">
        <v>2.6040658282909628E-3</v>
      </c>
      <c r="AC89" s="890">
        <v>2.5670774306645514E-3</v>
      </c>
      <c r="AD89" s="540">
        <v>2.5338372367744505E-3</v>
      </c>
      <c r="AE89" s="540">
        <v>2.5036077798504478E-3</v>
      </c>
      <c r="AF89" s="540">
        <v>2.4772863081770589E-3</v>
      </c>
    </row>
    <row r="90" spans="1:32" x14ac:dyDescent="0.35">
      <c r="A90" s="1041"/>
      <c r="B90" s="1041"/>
      <c r="C90" s="1059"/>
      <c r="D90" s="1059"/>
      <c r="E90" s="1059"/>
      <c r="F90" s="1059"/>
      <c r="G90" s="1045"/>
      <c r="H90" s="890"/>
      <c r="I90" s="890"/>
      <c r="J90" s="890"/>
      <c r="K90" s="890"/>
      <c r="L90" s="890"/>
      <c r="M90" s="890"/>
      <c r="N90" s="890"/>
      <c r="O90" s="890"/>
      <c r="P90" s="890"/>
      <c r="Q90" s="890"/>
      <c r="R90" s="890"/>
      <c r="S90" s="890"/>
      <c r="T90" s="890"/>
      <c r="U90" s="890"/>
      <c r="V90" s="890"/>
      <c r="W90" s="890"/>
      <c r="X90" s="890"/>
      <c r="Y90" s="890"/>
      <c r="Z90" s="890"/>
      <c r="AA90" s="890"/>
      <c r="AB90" s="890"/>
      <c r="AC90" s="890"/>
      <c r="AD90" s="1059"/>
      <c r="AE90" s="1059"/>
      <c r="AF90" s="1059"/>
    </row>
    <row r="91" spans="1:32" x14ac:dyDescent="0.35">
      <c r="A91" s="843" t="s">
        <v>36</v>
      </c>
      <c r="B91" s="843"/>
      <c r="C91" s="843"/>
      <c r="D91" s="843"/>
      <c r="E91" s="843"/>
      <c r="F91" s="843"/>
      <c r="G91" s="865"/>
      <c r="H91" s="891"/>
      <c r="I91" s="891"/>
      <c r="J91" s="891"/>
      <c r="K91" s="891"/>
      <c r="L91" s="891"/>
      <c r="M91" s="891"/>
      <c r="N91" s="891"/>
      <c r="O91" s="891"/>
      <c r="P91" s="891"/>
      <c r="Q91" s="891"/>
      <c r="R91" s="891"/>
      <c r="S91" s="891"/>
      <c r="T91" s="891"/>
      <c r="U91" s="891"/>
      <c r="V91" s="891"/>
      <c r="W91" s="891"/>
      <c r="X91" s="891"/>
      <c r="Y91" s="891"/>
      <c r="Z91" s="891"/>
      <c r="AA91" s="891"/>
      <c r="AB91" s="891"/>
      <c r="AC91" s="891"/>
      <c r="AD91" s="843"/>
      <c r="AE91" s="843"/>
      <c r="AF91" s="843"/>
    </row>
    <row r="92" spans="1:32" x14ac:dyDescent="0.35">
      <c r="A92" s="1041"/>
      <c r="B92" s="1041" t="s">
        <v>37</v>
      </c>
      <c r="C92" s="1059"/>
      <c r="D92" s="1059"/>
      <c r="E92" s="1059"/>
      <c r="F92" s="1059"/>
      <c r="G92" s="540"/>
      <c r="H92" s="890">
        <v>2.2467925201782042</v>
      </c>
      <c r="I92" s="890">
        <v>1.4052505657255843</v>
      </c>
      <c r="J92" s="890">
        <v>0.67429342186929009</v>
      </c>
      <c r="K92" s="890">
        <v>0.1357119774911455</v>
      </c>
      <c r="L92" s="890">
        <v>9.4375906437334331E-2</v>
      </c>
      <c r="M92" s="890">
        <v>6.4447808026347406E-2</v>
      </c>
      <c r="N92" s="890">
        <v>4.3739530745538463E-2</v>
      </c>
      <c r="O92" s="890">
        <v>3.1067755759274032E-2</v>
      </c>
      <c r="P92" s="890">
        <v>2.2144307680637132E-2</v>
      </c>
      <c r="Q92" s="890">
        <v>1.583755383029643E-2</v>
      </c>
      <c r="R92" s="890">
        <v>1.1368651852906491E-2</v>
      </c>
      <c r="S92" s="890">
        <v>8.1955254275714907E-3</v>
      </c>
      <c r="T92" s="890">
        <v>5.9371761457640525E-3</v>
      </c>
      <c r="U92" s="890">
        <v>4.3270510659678693E-3</v>
      </c>
      <c r="V92" s="890">
        <v>3.1730637375290971E-3</v>
      </c>
      <c r="W92" s="890">
        <v>2.3444397495608733E-3</v>
      </c>
      <c r="X92" s="890">
        <v>1.7477009177234546E-3</v>
      </c>
      <c r="Y92" s="890">
        <v>1.3131235773540979E-3</v>
      </c>
      <c r="Z92" s="890">
        <v>9.9729809603223574E-4</v>
      </c>
      <c r="AA92" s="890">
        <v>7.6807803124838989E-4</v>
      </c>
      <c r="AB92" s="890">
        <v>5.9763893559681253E-4</v>
      </c>
      <c r="AC92" s="890">
        <v>4.7150483574952241E-4</v>
      </c>
      <c r="AD92" s="540">
        <v>3.7815197706786007E-4</v>
      </c>
      <c r="AE92" s="540">
        <v>3.0684079100781937E-4</v>
      </c>
      <c r="AF92" s="540">
        <v>2.5115687985027233E-4</v>
      </c>
    </row>
    <row r="93" spans="1:32" x14ac:dyDescent="0.35">
      <c r="A93" s="1041"/>
      <c r="B93" s="1041" t="s">
        <v>39</v>
      </c>
      <c r="C93" s="1059"/>
      <c r="D93" s="1059"/>
      <c r="E93" s="1059"/>
      <c r="F93" s="1059"/>
      <c r="G93" s="540"/>
      <c r="H93" s="890">
        <v>10.35087436312126</v>
      </c>
      <c r="I93" s="890">
        <v>10.491381448480579</v>
      </c>
      <c r="J93" s="890">
        <v>10.4727056348117</v>
      </c>
      <c r="K93" s="890">
        <v>10.204029691302619</v>
      </c>
      <c r="L93" s="890">
        <v>9.6266934467099041</v>
      </c>
      <c r="M93" s="890">
        <v>9.0503709900312046</v>
      </c>
      <c r="N93" s="890">
        <v>8.537978023579555</v>
      </c>
      <c r="O93" s="890">
        <v>8.0068857921706496</v>
      </c>
      <c r="P93" s="890">
        <v>7.5008436775007343</v>
      </c>
      <c r="Q93" s="890">
        <v>7.0182594317886604</v>
      </c>
      <c r="R93" s="890">
        <v>6.5628641042385221</v>
      </c>
      <c r="S93" s="890">
        <v>6.134361577115631</v>
      </c>
      <c r="T93" s="890">
        <v>5.7221774416579905</v>
      </c>
      <c r="U93" s="890">
        <v>5.3506346658775694</v>
      </c>
      <c r="V93" s="890">
        <v>4.9974842214447506</v>
      </c>
      <c r="W93" s="890">
        <v>4.6738870551709253</v>
      </c>
      <c r="X93" s="890">
        <v>4.3826727074566953</v>
      </c>
      <c r="Y93" s="890">
        <v>4.1075531010447346</v>
      </c>
      <c r="Z93" s="890">
        <v>3.8563064723570939</v>
      </c>
      <c r="AA93" s="890">
        <v>3.6316599553531708</v>
      </c>
      <c r="AB93" s="890">
        <v>3.4196469364000652</v>
      </c>
      <c r="AC93" s="890">
        <v>3.225544224504755</v>
      </c>
      <c r="AD93" s="540">
        <v>3.0501131595645523</v>
      </c>
      <c r="AE93" s="540">
        <v>2.8848600715665618</v>
      </c>
      <c r="AF93" s="540">
        <v>2.7300722154211745</v>
      </c>
    </row>
    <row r="94" spans="1:32" x14ac:dyDescent="0.35">
      <c r="A94" s="1041"/>
      <c r="B94" s="1041" t="s">
        <v>40</v>
      </c>
      <c r="C94" s="1059"/>
      <c r="D94" s="1059"/>
      <c r="E94" s="1059"/>
      <c r="F94" s="1059"/>
      <c r="G94" s="540"/>
      <c r="H94" s="890">
        <v>2.5235000263703755</v>
      </c>
      <c r="I94" s="890">
        <v>2.9637480249160988</v>
      </c>
      <c r="J94" s="890">
        <v>3.4480578466037435</v>
      </c>
      <c r="K94" s="890">
        <v>3.9830735783478088</v>
      </c>
      <c r="L94" s="890">
        <v>4.316508357255989</v>
      </c>
      <c r="M94" s="890">
        <v>4.6202296602027095</v>
      </c>
      <c r="N94" s="890">
        <v>4.8021248110484205</v>
      </c>
      <c r="O94" s="890">
        <v>4.9654683013737833</v>
      </c>
      <c r="P94" s="890">
        <v>5.0685247333871279</v>
      </c>
      <c r="Q94" s="890">
        <v>5.1130766269324628</v>
      </c>
      <c r="R94" s="890">
        <v>5.1081035130585679</v>
      </c>
      <c r="S94" s="890">
        <v>5.0577017700925122</v>
      </c>
      <c r="T94" s="890">
        <v>4.9546468429623669</v>
      </c>
      <c r="U94" s="890">
        <v>4.8437316900957192</v>
      </c>
      <c r="V94" s="890">
        <v>4.7011742510191317</v>
      </c>
      <c r="W94" s="890">
        <v>4.5522823304374755</v>
      </c>
      <c r="X94" s="890">
        <v>4.4101782801555434</v>
      </c>
      <c r="Y94" s="890">
        <v>4.2564164789257708</v>
      </c>
      <c r="Z94" s="890">
        <v>4.1065262538623148</v>
      </c>
      <c r="AA94" s="890">
        <v>3.969887262894467</v>
      </c>
      <c r="AB94" s="890">
        <v>3.8293970692593153</v>
      </c>
      <c r="AC94" s="890">
        <v>3.6952825742832993</v>
      </c>
      <c r="AD94" s="540">
        <v>3.5720332274201034</v>
      </c>
      <c r="AE94" s="540">
        <v>3.4488587768783248</v>
      </c>
      <c r="AF94" s="540">
        <v>3.3289774660149649</v>
      </c>
    </row>
    <row r="95" spans="1:32" x14ac:dyDescent="0.35">
      <c r="A95" s="1041"/>
      <c r="B95" s="1041" t="s">
        <v>29</v>
      </c>
      <c r="C95" s="1059"/>
      <c r="D95" s="1059"/>
      <c r="E95" s="1059"/>
      <c r="F95" s="1059"/>
      <c r="G95" s="1045"/>
      <c r="H95" s="890">
        <v>6.2567922990074972E-6</v>
      </c>
      <c r="I95" s="890">
        <v>3.0477906565618321E-4</v>
      </c>
      <c r="J95" s="890">
        <v>2.9130924248171181E-3</v>
      </c>
      <c r="K95" s="890">
        <v>1.3415390149013428E-2</v>
      </c>
      <c r="L95" s="890">
        <v>4.0952886607737028E-2</v>
      </c>
      <c r="M95" s="890">
        <v>9.664679239795744E-2</v>
      </c>
      <c r="N95" s="890">
        <v>0.18585788079951479</v>
      </c>
      <c r="O95" s="890">
        <v>0.30355856472767795</v>
      </c>
      <c r="P95" s="890">
        <v>0.44812395602753652</v>
      </c>
      <c r="Q95" s="890">
        <v>0.61530443138572477</v>
      </c>
      <c r="R95" s="890">
        <v>0.79521011371947758</v>
      </c>
      <c r="S95" s="890">
        <v>0.97971920677977553</v>
      </c>
      <c r="T95" s="890">
        <v>1.156005648309073</v>
      </c>
      <c r="U95" s="890">
        <v>1.3305816401221437</v>
      </c>
      <c r="V95" s="890">
        <v>1.4813785727107369</v>
      </c>
      <c r="W95" s="890">
        <v>1.6184689496549838</v>
      </c>
      <c r="X95" s="890">
        <v>1.7477859931829991</v>
      </c>
      <c r="Y95" s="890">
        <v>1.8522899942058899</v>
      </c>
      <c r="Z95" s="890">
        <v>1.941416081058478</v>
      </c>
      <c r="AA95" s="890">
        <v>2.027222910876616</v>
      </c>
      <c r="AB95" s="890">
        <v>2.0920289568975319</v>
      </c>
      <c r="AC95" s="890">
        <v>2.1471403185062812</v>
      </c>
      <c r="AD95" s="540">
        <v>2.2032501239579085</v>
      </c>
      <c r="AE95" s="540">
        <v>2.2442866282510003</v>
      </c>
      <c r="AF95" s="540">
        <v>2.2850424766470434</v>
      </c>
    </row>
    <row r="96" spans="1:32" x14ac:dyDescent="0.35">
      <c r="A96" s="1041"/>
      <c r="B96" s="1041"/>
      <c r="C96" s="1059"/>
      <c r="D96" s="1059"/>
      <c r="E96" s="1059"/>
      <c r="F96" s="1059"/>
      <c r="G96" s="1045"/>
      <c r="H96" s="890"/>
      <c r="I96" s="890"/>
      <c r="J96" s="890"/>
      <c r="K96" s="890"/>
      <c r="L96" s="890"/>
      <c r="M96" s="890"/>
      <c r="N96" s="890"/>
      <c r="O96" s="890"/>
      <c r="P96" s="890"/>
      <c r="Q96" s="890"/>
      <c r="R96" s="890"/>
      <c r="S96" s="890"/>
      <c r="T96" s="890"/>
      <c r="U96" s="890"/>
      <c r="V96" s="890"/>
      <c r="W96" s="890"/>
      <c r="X96" s="890"/>
      <c r="Y96" s="890"/>
      <c r="Z96" s="890"/>
      <c r="AA96" s="890"/>
      <c r="AB96" s="890"/>
      <c r="AC96" s="890"/>
      <c r="AD96" s="1059"/>
      <c r="AE96" s="1059"/>
      <c r="AF96" s="1059"/>
    </row>
    <row r="97" spans="1:32" x14ac:dyDescent="0.35">
      <c r="A97" s="843" t="s">
        <v>42</v>
      </c>
      <c r="B97" s="843"/>
      <c r="C97" s="843"/>
      <c r="D97" s="843"/>
      <c r="E97" s="843"/>
      <c r="F97" s="843"/>
      <c r="G97" s="865"/>
      <c r="H97" s="891"/>
      <c r="I97" s="891"/>
      <c r="J97" s="891"/>
      <c r="K97" s="891"/>
      <c r="L97" s="891"/>
      <c r="M97" s="891"/>
      <c r="N97" s="891"/>
      <c r="O97" s="891"/>
      <c r="P97" s="891"/>
      <c r="Q97" s="891"/>
      <c r="R97" s="891"/>
      <c r="S97" s="891"/>
      <c r="T97" s="891"/>
      <c r="U97" s="891"/>
      <c r="V97" s="891"/>
      <c r="W97" s="891"/>
      <c r="X97" s="891"/>
      <c r="Y97" s="891"/>
      <c r="Z97" s="891"/>
      <c r="AA97" s="891"/>
      <c r="AB97" s="891"/>
      <c r="AC97" s="891"/>
      <c r="AD97" s="843"/>
      <c r="AE97" s="843"/>
      <c r="AF97" s="843"/>
    </row>
    <row r="98" spans="1:32" x14ac:dyDescent="0.35">
      <c r="A98" s="1041"/>
      <c r="B98" s="1043" t="s">
        <v>43</v>
      </c>
      <c r="C98" s="1059"/>
      <c r="D98" s="1059"/>
      <c r="E98" s="1059"/>
      <c r="F98" s="1059"/>
      <c r="G98" s="1045"/>
      <c r="H98" s="890">
        <v>1.0781805826845037</v>
      </c>
      <c r="I98" s="890">
        <v>0.96924081803730944</v>
      </c>
      <c r="J98" s="890">
        <v>0.87283778167678883</v>
      </c>
      <c r="K98" s="890">
        <v>0.78731764405150506</v>
      </c>
      <c r="L98" s="890">
        <v>0.71136174372637528</v>
      </c>
      <c r="M98" s="890">
        <v>0.64351162261788875</v>
      </c>
      <c r="N98" s="890">
        <v>0.58326408346202485</v>
      </c>
      <c r="O98" s="890">
        <v>0.52943955185505176</v>
      </c>
      <c r="P98" s="890">
        <v>0.48161806771351789</v>
      </c>
      <c r="Q98" s="890">
        <v>0.43889107435707198</v>
      </c>
      <c r="R98" s="890">
        <v>0.40085021607582416</v>
      </c>
      <c r="S98" s="890">
        <v>0.36712153901210548</v>
      </c>
      <c r="T98" s="890">
        <v>0.33707618339844375</v>
      </c>
      <c r="U98" s="890">
        <v>0.31043498962909538</v>
      </c>
      <c r="V98" s="890">
        <v>0.28686073127024636</v>
      </c>
      <c r="W98" s="890">
        <v>0.26599405123129966</v>
      </c>
      <c r="X98" s="890">
        <v>0.24749276496081471</v>
      </c>
      <c r="Y98" s="890">
        <v>0.2311019276512388</v>
      </c>
      <c r="Z98" s="890">
        <v>0.21656332469533529</v>
      </c>
      <c r="AA98" s="890">
        <v>0.20364463629875235</v>
      </c>
      <c r="AB98" s="890">
        <v>0.19210152541082903</v>
      </c>
      <c r="AC98" s="890">
        <v>0.18181335520350456</v>
      </c>
      <c r="AD98" s="540">
        <v>0.17262384864833014</v>
      </c>
      <c r="AE98" s="540">
        <v>0.16439561223522881</v>
      </c>
      <c r="AF98" s="540">
        <v>0.15699949576635291</v>
      </c>
    </row>
    <row r="99" spans="1:32" x14ac:dyDescent="0.35">
      <c r="A99" s="1041"/>
      <c r="B99" s="1043" t="s">
        <v>44</v>
      </c>
      <c r="C99" s="1059"/>
      <c r="D99" s="1059"/>
      <c r="E99" s="1059"/>
      <c r="F99" s="1059"/>
      <c r="G99" s="1045"/>
      <c r="H99" s="890">
        <v>22.398768257221409</v>
      </c>
      <c r="I99" s="890">
        <v>22.251698581813606</v>
      </c>
      <c r="J99" s="890">
        <v>21.978915212554575</v>
      </c>
      <c r="K99" s="890">
        <v>21.596766373489853</v>
      </c>
      <c r="L99" s="890">
        <v>21.069164332938584</v>
      </c>
      <c r="M99" s="890">
        <v>20.448979858141236</v>
      </c>
      <c r="N99" s="890">
        <v>19.802142273430334</v>
      </c>
      <c r="O99" s="890">
        <v>19.113174628086792</v>
      </c>
      <c r="P99" s="890">
        <v>18.430628731337254</v>
      </c>
      <c r="Q99" s="890">
        <v>17.74177877332319</v>
      </c>
      <c r="R99" s="890">
        <v>17.074126934600962</v>
      </c>
      <c r="S99" s="890">
        <v>16.448592530504463</v>
      </c>
      <c r="T99" s="890">
        <v>15.851773129595145</v>
      </c>
      <c r="U99" s="890">
        <v>15.290673795003951</v>
      </c>
      <c r="V99" s="890">
        <v>14.780604264178915</v>
      </c>
      <c r="W99" s="890">
        <v>14.311067569949332</v>
      </c>
      <c r="X99" s="890">
        <v>13.878044249347885</v>
      </c>
      <c r="Y99" s="890">
        <v>13.482362551693729</v>
      </c>
      <c r="Z99" s="890">
        <v>13.120341278574584</v>
      </c>
      <c r="AA99" s="890">
        <v>12.79200179203734</v>
      </c>
      <c r="AB99" s="890">
        <v>12.484550630206439</v>
      </c>
      <c r="AC99" s="890">
        <v>12.200709274096385</v>
      </c>
      <c r="AD99" s="540">
        <v>11.937540276718863</v>
      </c>
      <c r="AE99" s="540">
        <v>11.69241557022081</v>
      </c>
      <c r="AF99" s="540">
        <v>11.462817055607546</v>
      </c>
    </row>
    <row r="100" spans="1:32" x14ac:dyDescent="0.35">
      <c r="A100" s="1041"/>
      <c r="B100" s="1043" t="s">
        <v>45</v>
      </c>
      <c r="C100" s="1059"/>
      <c r="D100" s="1059"/>
      <c r="E100" s="1059"/>
      <c r="F100" s="1059"/>
      <c r="G100" s="1045"/>
      <c r="H100" s="890">
        <v>2.2665420865103609</v>
      </c>
      <c r="I100" s="890">
        <v>1.9958153204634563</v>
      </c>
      <c r="J100" s="890">
        <v>1.7591165558191575</v>
      </c>
      <c r="K100" s="890">
        <v>1.5519675198303473</v>
      </c>
      <c r="L100" s="890">
        <v>1.3705133524188866</v>
      </c>
      <c r="M100" s="890">
        <v>1.2098517788003171</v>
      </c>
      <c r="N100" s="890">
        <v>1.0691726090186908</v>
      </c>
      <c r="O100" s="890">
        <v>0.94574890337930473</v>
      </c>
      <c r="P100" s="890">
        <v>0.83754981411424301</v>
      </c>
      <c r="Q100" s="890">
        <v>0.74252482119075713</v>
      </c>
      <c r="R100" s="890">
        <v>0.65910418863563802</v>
      </c>
      <c r="S100" s="890">
        <v>0.58590193613750574</v>
      </c>
      <c r="T100" s="890">
        <v>0.52155361064973615</v>
      </c>
      <c r="U100" s="890">
        <v>0.46518938607789995</v>
      </c>
      <c r="V100" s="890">
        <v>0.41565669488425133</v>
      </c>
      <c r="W100" s="890">
        <v>0.37221875139364857</v>
      </c>
      <c r="X100" s="890">
        <v>0.33407360612069215</v>
      </c>
      <c r="Y100" s="890">
        <v>0.30055425504741634</v>
      </c>
      <c r="Z100" s="890">
        <v>0.27136823976131219</v>
      </c>
      <c r="AA100" s="890">
        <v>0.24529109285970419</v>
      </c>
      <c r="AB100" s="890">
        <v>0.22227102013236083</v>
      </c>
      <c r="AC100" s="890">
        <v>0.20194914382689946</v>
      </c>
      <c r="AD100" s="540">
        <v>0.18398543830543077</v>
      </c>
      <c r="AE100" s="540">
        <v>0.16808502312042428</v>
      </c>
      <c r="AF100" s="540">
        <v>0.15399143812182178</v>
      </c>
    </row>
    <row r="101" spans="1:32" x14ac:dyDescent="0.35">
      <c r="A101" s="1041"/>
      <c r="B101" s="1043" t="s">
        <v>46</v>
      </c>
      <c r="C101" s="1059"/>
      <c r="D101" s="1059"/>
      <c r="E101" s="1059"/>
      <c r="F101" s="1059"/>
      <c r="G101" s="1045"/>
      <c r="H101" s="890">
        <v>0</v>
      </c>
      <c r="I101" s="890">
        <v>0</v>
      </c>
      <c r="J101" s="890">
        <v>0</v>
      </c>
      <c r="K101" s="890">
        <v>0</v>
      </c>
      <c r="L101" s="890">
        <v>0</v>
      </c>
      <c r="M101" s="890">
        <v>0</v>
      </c>
      <c r="N101" s="890">
        <v>0</v>
      </c>
      <c r="O101" s="890">
        <v>0</v>
      </c>
      <c r="P101" s="890">
        <v>0</v>
      </c>
      <c r="Q101" s="890">
        <v>0</v>
      </c>
      <c r="R101" s="890">
        <v>0</v>
      </c>
      <c r="S101" s="890">
        <v>0</v>
      </c>
      <c r="T101" s="890">
        <v>0</v>
      </c>
      <c r="U101" s="890">
        <v>0</v>
      </c>
      <c r="V101" s="890">
        <v>0</v>
      </c>
      <c r="W101" s="890">
        <v>0</v>
      </c>
      <c r="X101" s="890">
        <v>0</v>
      </c>
      <c r="Y101" s="890">
        <v>0</v>
      </c>
      <c r="Z101" s="890">
        <v>0</v>
      </c>
      <c r="AA101" s="890">
        <v>0</v>
      </c>
      <c r="AB101" s="890">
        <v>0</v>
      </c>
      <c r="AC101" s="890">
        <v>0</v>
      </c>
      <c r="AD101" s="540">
        <v>0</v>
      </c>
      <c r="AE101" s="540">
        <v>0</v>
      </c>
      <c r="AF101" s="540">
        <v>0</v>
      </c>
    </row>
    <row r="102" spans="1:32" x14ac:dyDescent="0.35">
      <c r="A102" s="1041"/>
      <c r="B102" s="1041" t="s">
        <v>29</v>
      </c>
      <c r="C102" s="1059"/>
      <c r="D102" s="1059"/>
      <c r="E102" s="1059"/>
      <c r="F102" s="1059"/>
      <c r="G102" s="1045"/>
      <c r="H102" s="890">
        <v>0.5451268874121189</v>
      </c>
      <c r="I102" s="890">
        <v>0.77851228462781707</v>
      </c>
      <c r="J102" s="890">
        <v>1.0403402245384692</v>
      </c>
      <c r="K102" s="890">
        <v>1.3241907861005617</v>
      </c>
      <c r="L102" s="890">
        <v>1.6183928773849288</v>
      </c>
      <c r="M102" s="890">
        <v>1.902714301590529</v>
      </c>
      <c r="N102" s="890">
        <v>2.181994267238843</v>
      </c>
      <c r="O102" s="890">
        <v>2.432810805783145</v>
      </c>
      <c r="P102" s="890">
        <v>2.6652497661457675</v>
      </c>
      <c r="Q102" s="890">
        <v>2.8581037402279938</v>
      </c>
      <c r="R102" s="890">
        <v>3.0188826573532799</v>
      </c>
      <c r="S102" s="890">
        <v>3.1558783072262866</v>
      </c>
      <c r="T102" s="890">
        <v>3.2537764645236233</v>
      </c>
      <c r="U102" s="890">
        <v>3.3150733358259963</v>
      </c>
      <c r="V102" s="890">
        <v>3.3644799404898764</v>
      </c>
      <c r="W102" s="890">
        <v>3.390377255376575</v>
      </c>
      <c r="X102" s="890">
        <v>3.3968949151699341</v>
      </c>
      <c r="Y102" s="890">
        <v>3.3928303311332377</v>
      </c>
      <c r="Z102" s="890">
        <v>3.3805952179751388</v>
      </c>
      <c r="AA102" s="890">
        <v>3.3700930109232186</v>
      </c>
      <c r="AB102" s="890">
        <v>3.346821905558826</v>
      </c>
      <c r="AC102" s="890">
        <v>3.3199933819329117</v>
      </c>
      <c r="AD102" s="540">
        <v>3.2904951938698588</v>
      </c>
      <c r="AE102" s="540">
        <v>3.2590270583367054</v>
      </c>
      <c r="AF102" s="540">
        <v>3.2263416106214375</v>
      </c>
    </row>
    <row r="103" spans="1:32" x14ac:dyDescent="0.35">
      <c r="A103" s="1041"/>
      <c r="B103" s="1041"/>
      <c r="C103" s="1059"/>
      <c r="D103" s="1059"/>
      <c r="E103" s="1059"/>
      <c r="F103" s="1059"/>
      <c r="G103" s="1045"/>
      <c r="H103" s="890"/>
      <c r="I103" s="890"/>
      <c r="J103" s="890"/>
      <c r="K103" s="890"/>
      <c r="L103" s="890"/>
      <c r="M103" s="890"/>
      <c r="N103" s="890"/>
      <c r="O103" s="890"/>
      <c r="P103" s="890"/>
      <c r="Q103" s="890"/>
      <c r="R103" s="890"/>
      <c r="S103" s="890"/>
      <c r="T103" s="890"/>
      <c r="U103" s="890"/>
      <c r="V103" s="890"/>
      <c r="W103" s="890"/>
      <c r="X103" s="890"/>
      <c r="Y103" s="890"/>
      <c r="Z103" s="890"/>
      <c r="AA103" s="890"/>
      <c r="AB103" s="890"/>
      <c r="AC103" s="890"/>
      <c r="AD103" s="1059"/>
      <c r="AE103" s="1059"/>
      <c r="AF103" s="1059"/>
    </row>
    <row r="104" spans="1:32" x14ac:dyDescent="0.35">
      <c r="A104" s="843" t="s">
        <v>47</v>
      </c>
      <c r="B104" s="843"/>
      <c r="C104" s="843"/>
      <c r="D104" s="843"/>
      <c r="E104" s="843"/>
      <c r="F104" s="843"/>
      <c r="G104" s="865"/>
      <c r="H104" s="891"/>
      <c r="I104" s="891"/>
      <c r="J104" s="891"/>
      <c r="K104" s="891"/>
      <c r="L104" s="891"/>
      <c r="M104" s="891"/>
      <c r="N104" s="891"/>
      <c r="O104" s="891"/>
      <c r="P104" s="891"/>
      <c r="Q104" s="891"/>
      <c r="R104" s="891"/>
      <c r="S104" s="891"/>
      <c r="T104" s="891"/>
      <c r="U104" s="891"/>
      <c r="V104" s="891"/>
      <c r="W104" s="891"/>
      <c r="X104" s="891"/>
      <c r="Y104" s="891"/>
      <c r="Z104" s="891"/>
      <c r="AA104" s="891"/>
      <c r="AB104" s="891"/>
      <c r="AC104" s="891"/>
      <c r="AD104" s="843"/>
      <c r="AE104" s="843"/>
      <c r="AF104" s="843"/>
    </row>
    <row r="105" spans="1:32" x14ac:dyDescent="0.35">
      <c r="A105" s="1041"/>
      <c r="B105" s="1041" t="s">
        <v>48</v>
      </c>
      <c r="C105" s="1059"/>
      <c r="D105" s="1059"/>
      <c r="E105" s="1059"/>
      <c r="F105" s="1059"/>
      <c r="G105" s="1045"/>
      <c r="H105" s="890">
        <v>0</v>
      </c>
      <c r="I105" s="890">
        <v>0</v>
      </c>
      <c r="J105" s="890">
        <v>0</v>
      </c>
      <c r="K105" s="890">
        <v>0</v>
      </c>
      <c r="L105" s="890">
        <v>0</v>
      </c>
      <c r="M105" s="890">
        <v>0</v>
      </c>
      <c r="N105" s="890">
        <v>0</v>
      </c>
      <c r="O105" s="890">
        <v>0</v>
      </c>
      <c r="P105" s="890">
        <v>0</v>
      </c>
      <c r="Q105" s="890">
        <v>0</v>
      </c>
      <c r="R105" s="890">
        <v>0</v>
      </c>
      <c r="S105" s="890">
        <v>0</v>
      </c>
      <c r="T105" s="890">
        <v>0</v>
      </c>
      <c r="U105" s="890">
        <v>0</v>
      </c>
      <c r="V105" s="890">
        <v>0</v>
      </c>
      <c r="W105" s="890">
        <v>0</v>
      </c>
      <c r="X105" s="890">
        <v>0</v>
      </c>
      <c r="Y105" s="890">
        <v>0</v>
      </c>
      <c r="Z105" s="890">
        <v>0</v>
      </c>
      <c r="AA105" s="890">
        <v>0</v>
      </c>
      <c r="AB105" s="890">
        <v>0</v>
      </c>
      <c r="AC105" s="890">
        <v>0</v>
      </c>
      <c r="AD105" s="540">
        <v>0</v>
      </c>
      <c r="AE105" s="540">
        <v>0</v>
      </c>
      <c r="AF105" s="540">
        <v>0</v>
      </c>
    </row>
    <row r="106" spans="1:32" x14ac:dyDescent="0.35">
      <c r="A106" s="1041"/>
      <c r="B106" s="1043" t="s">
        <v>50</v>
      </c>
      <c r="C106" s="1059"/>
      <c r="D106" s="1059"/>
      <c r="E106" s="1059"/>
      <c r="F106" s="1059"/>
      <c r="G106" s="1045"/>
      <c r="H106" s="890">
        <v>2.2439375906705473E-3</v>
      </c>
      <c r="I106" s="890">
        <v>2.0800140036429989E-3</v>
      </c>
      <c r="J106" s="890">
        <v>1.8640272592469237E-3</v>
      </c>
      <c r="K106" s="890">
        <v>1.6023577851004848E-3</v>
      </c>
      <c r="L106" s="890">
        <v>1.3119490508188274E-3</v>
      </c>
      <c r="M106" s="890">
        <v>1.0177231881187223E-3</v>
      </c>
      <c r="N106" s="890">
        <v>7.461206887921472E-4</v>
      </c>
      <c r="O106" s="890">
        <v>5.171214026627154E-4</v>
      </c>
      <c r="P106" s="890">
        <v>3.3973373603442345E-4</v>
      </c>
      <c r="Q106" s="890">
        <v>2.1244705191798922E-4</v>
      </c>
      <c r="R106" s="890">
        <v>1.2708846152256715E-4</v>
      </c>
      <c r="S106" s="890">
        <v>7.3127167257979744E-5</v>
      </c>
      <c r="T106" s="890">
        <v>4.0700140765562916E-5</v>
      </c>
      <c r="U106" s="890">
        <v>2.2030869918780309E-5</v>
      </c>
      <c r="V106" s="890">
        <v>1.1658095491654535E-5</v>
      </c>
      <c r="W106" s="890">
        <v>6.0586486663120139E-6</v>
      </c>
      <c r="X106" s="890">
        <v>3.1014420507168185E-6</v>
      </c>
      <c r="Y106" s="890">
        <v>1.5698489473780515E-6</v>
      </c>
      <c r="Z106" s="890">
        <v>7.8796537407293471E-7</v>
      </c>
      <c r="AA106" s="890">
        <v>3.9472768334098974E-7</v>
      </c>
      <c r="AB106" s="890">
        <v>1.9765252021228187E-7</v>
      </c>
      <c r="AC106" s="890">
        <v>9.9042465030709008E-8</v>
      </c>
      <c r="AD106" s="540">
        <v>4.9706608453565626E-8</v>
      </c>
      <c r="AE106" s="540">
        <v>2.4999548246636566E-8</v>
      </c>
      <c r="AF106" s="540">
        <v>1.2604467491752276E-8</v>
      </c>
    </row>
    <row r="107" spans="1:32" x14ac:dyDescent="0.35">
      <c r="A107" s="1041"/>
      <c r="B107" s="1041" t="s">
        <v>51</v>
      </c>
      <c r="C107" s="1059"/>
      <c r="D107" s="1059"/>
      <c r="E107" s="1059"/>
      <c r="F107" s="1059"/>
      <c r="G107" s="1045"/>
      <c r="H107" s="890">
        <v>3.1851911275399832E-2</v>
      </c>
      <c r="I107" s="890">
        <v>2.9577199418866648E-2</v>
      </c>
      <c r="J107" s="890">
        <v>2.7018245583202694E-2</v>
      </c>
      <c r="K107" s="890">
        <v>2.4185058597098116E-2</v>
      </c>
      <c r="L107" s="890">
        <v>2.1249651289956706E-2</v>
      </c>
      <c r="M107" s="890">
        <v>1.8335687541268578E-2</v>
      </c>
      <c r="N107" s="890">
        <v>1.5563370401775726E-2</v>
      </c>
      <c r="O107" s="890">
        <v>1.3025581195686314E-2</v>
      </c>
      <c r="P107" s="890">
        <v>1.0776818977304965E-2</v>
      </c>
      <c r="Q107" s="890">
        <v>8.8353866008726439E-3</v>
      </c>
      <c r="R107" s="890">
        <v>7.1934956716443428E-3</v>
      </c>
      <c r="S107" s="890">
        <v>5.8273535958461957E-3</v>
      </c>
      <c r="T107" s="890">
        <v>4.7050815100896396E-3</v>
      </c>
      <c r="U107" s="890">
        <v>3.7919518627703742E-3</v>
      </c>
      <c r="V107" s="890">
        <v>3.0539260949486993E-3</v>
      </c>
      <c r="W107" s="890">
        <v>2.4598247924402694E-3</v>
      </c>
      <c r="X107" s="890">
        <v>1.9825355082416164E-3</v>
      </c>
      <c r="Y107" s="890">
        <v>1.5993013895895108E-3</v>
      </c>
      <c r="Z107" s="890">
        <v>1.2914806185497917E-3</v>
      </c>
      <c r="AA107" s="890">
        <v>1.0461516274749192E-3</v>
      </c>
      <c r="AB107" s="890">
        <v>8.4621328390124058E-4</v>
      </c>
      <c r="AC107" s="890">
        <v>6.8518757126002211E-4</v>
      </c>
      <c r="AD107" s="540">
        <v>5.5535014750153673E-4</v>
      </c>
      <c r="AE107" s="540">
        <v>4.505424203045414E-4</v>
      </c>
      <c r="AF107" s="540">
        <v>3.6584585811415932E-4</v>
      </c>
    </row>
    <row r="108" spans="1:32" x14ac:dyDescent="0.35">
      <c r="A108" s="1041"/>
      <c r="B108" s="1041" t="s">
        <v>52</v>
      </c>
      <c r="C108" s="1059"/>
      <c r="D108" s="1059"/>
      <c r="E108" s="1059"/>
      <c r="F108" s="1059"/>
      <c r="G108" s="1045"/>
      <c r="H108" s="890">
        <v>6.2653455217759405E-2</v>
      </c>
      <c r="I108" s="890">
        <v>6.0758633872362328E-2</v>
      </c>
      <c r="J108" s="890">
        <v>5.8614309424823111E-2</v>
      </c>
      <c r="K108" s="890">
        <v>5.6219577848038785E-2</v>
      </c>
      <c r="L108" s="890">
        <v>5.3600594336232245E-2</v>
      </c>
      <c r="M108" s="890">
        <v>5.0737561301459358E-2</v>
      </c>
      <c r="N108" s="890">
        <v>4.7801380650300082E-2</v>
      </c>
      <c r="O108" s="890">
        <v>4.4877869267448425E-2</v>
      </c>
      <c r="P108" s="890">
        <v>4.202365571013273E-2</v>
      </c>
      <c r="Q108" s="890">
        <v>3.9280655376043437E-2</v>
      </c>
      <c r="R108" s="890">
        <v>3.6674507601348091E-2</v>
      </c>
      <c r="S108" s="890">
        <v>3.4219044203261675E-2</v>
      </c>
      <c r="T108" s="890">
        <v>3.186734944728252E-2</v>
      </c>
      <c r="U108" s="890">
        <v>2.9746423628507459E-2</v>
      </c>
      <c r="V108" s="890">
        <v>2.7734882449216083E-2</v>
      </c>
      <c r="W108" s="890">
        <v>2.588760310700319E-2</v>
      </c>
      <c r="X108" s="890">
        <v>2.4219602745182922E-2</v>
      </c>
      <c r="Y108" s="890">
        <v>2.2644058088980769E-2</v>
      </c>
      <c r="Z108" s="890">
        <v>2.1193715050114095E-2</v>
      </c>
      <c r="AA108" s="890">
        <v>1.9877053142981004E-2</v>
      </c>
      <c r="AB108" s="890">
        <v>1.8632131794470423E-2</v>
      </c>
      <c r="AC108" s="890">
        <v>1.7513125676581632E-2</v>
      </c>
      <c r="AD108" s="540">
        <v>1.6460559468439395E-2</v>
      </c>
      <c r="AE108" s="540">
        <v>1.5463665906096973E-2</v>
      </c>
      <c r="AF108" s="540">
        <v>1.4538540926237645E-2</v>
      </c>
    </row>
    <row r="109" spans="1:32" x14ac:dyDescent="0.35">
      <c r="A109" s="1041"/>
      <c r="B109" s="1043" t="s">
        <v>29</v>
      </c>
      <c r="C109" s="1059"/>
      <c r="D109" s="1059"/>
      <c r="E109" s="1059"/>
      <c r="F109" s="1059"/>
      <c r="G109" s="1045"/>
      <c r="H109" s="890">
        <v>3.5535368964886259E-3</v>
      </c>
      <c r="I109" s="890">
        <v>5.7390488427925077E-3</v>
      </c>
      <c r="J109" s="890">
        <v>8.1647355968886507E-3</v>
      </c>
      <c r="K109" s="890">
        <v>1.075078087126642E-2</v>
      </c>
      <c r="L109" s="890">
        <v>1.3375265431390516E-2</v>
      </c>
      <c r="M109" s="890">
        <v>1.5874916332182281E-2</v>
      </c>
      <c r="N109" s="890">
        <v>1.7854812195041113E-2</v>
      </c>
      <c r="O109" s="890">
        <v>1.9698807910838008E-2</v>
      </c>
      <c r="P109" s="890">
        <v>2.1173548455180671E-2</v>
      </c>
      <c r="Q109" s="890">
        <v>2.2102767544706275E-2</v>
      </c>
      <c r="R109" s="890">
        <v>2.2938944847256008E-2</v>
      </c>
      <c r="S109" s="890">
        <v>2.3364181841510366E-2</v>
      </c>
      <c r="T109" s="890">
        <v>2.3726714509463634E-2</v>
      </c>
      <c r="U109" s="890">
        <v>2.3869095283708272E-2</v>
      </c>
      <c r="V109" s="890">
        <v>2.3891700508869185E-2</v>
      </c>
      <c r="W109" s="890">
        <v>2.3970279181477483E-2</v>
      </c>
      <c r="X109" s="890">
        <v>2.3960299429887675E-2</v>
      </c>
      <c r="Y109" s="890">
        <v>2.3899523753112877E-2</v>
      </c>
      <c r="Z109" s="890">
        <v>2.3838269994044002E-2</v>
      </c>
      <c r="AA109" s="890">
        <v>2.3851310220601458E-2</v>
      </c>
      <c r="AB109" s="890">
        <v>2.3781318710054171E-2</v>
      </c>
      <c r="AC109" s="890">
        <v>2.3714445846279415E-2</v>
      </c>
      <c r="AD109" s="540">
        <v>2.3673491797141878E-2</v>
      </c>
      <c r="AE109" s="540">
        <v>2.3607134943961303E-2</v>
      </c>
      <c r="AF109" s="540">
        <v>2.3539134362917082E-2</v>
      </c>
    </row>
    <row r="110" spans="1:32" x14ac:dyDescent="0.35">
      <c r="A110" s="1041"/>
      <c r="B110" s="1043" t="s">
        <v>53</v>
      </c>
      <c r="C110" s="1059"/>
      <c r="D110" s="1059"/>
      <c r="E110" s="1059"/>
      <c r="F110" s="1059"/>
      <c r="G110" s="1045"/>
      <c r="H110" s="890">
        <v>0</v>
      </c>
      <c r="I110" s="890">
        <v>0</v>
      </c>
      <c r="J110" s="890">
        <v>0</v>
      </c>
      <c r="K110" s="890">
        <v>0</v>
      </c>
      <c r="L110" s="890">
        <v>0</v>
      </c>
      <c r="M110" s="890">
        <v>0</v>
      </c>
      <c r="N110" s="890">
        <v>0</v>
      </c>
      <c r="O110" s="890">
        <v>0</v>
      </c>
      <c r="P110" s="890">
        <v>0</v>
      </c>
      <c r="Q110" s="890">
        <v>0</v>
      </c>
      <c r="R110" s="890">
        <v>0</v>
      </c>
      <c r="S110" s="890">
        <v>0</v>
      </c>
      <c r="T110" s="890">
        <v>0</v>
      </c>
      <c r="U110" s="890">
        <v>0</v>
      </c>
      <c r="V110" s="890">
        <v>0</v>
      </c>
      <c r="W110" s="890">
        <v>0</v>
      </c>
      <c r="X110" s="890">
        <v>0</v>
      </c>
      <c r="Y110" s="890">
        <v>0</v>
      </c>
      <c r="Z110" s="890">
        <v>0</v>
      </c>
      <c r="AA110" s="890">
        <v>0</v>
      </c>
      <c r="AB110" s="890">
        <v>0</v>
      </c>
      <c r="AC110" s="890">
        <v>0</v>
      </c>
      <c r="AD110" s="540">
        <v>0</v>
      </c>
      <c r="AE110" s="540">
        <v>0</v>
      </c>
      <c r="AF110" s="540">
        <v>0</v>
      </c>
    </row>
    <row r="112" spans="1:32" x14ac:dyDescent="0.35">
      <c r="A112" s="1059" t="s">
        <v>57</v>
      </c>
      <c r="B112" s="1059"/>
      <c r="C112" s="1059"/>
      <c r="D112" s="1059"/>
      <c r="E112" s="1059"/>
      <c r="F112" s="1059"/>
      <c r="G112" s="1059"/>
      <c r="H112" s="1059"/>
      <c r="I112" s="1059"/>
      <c r="J112" s="1059"/>
      <c r="K112" s="1059"/>
      <c r="L112" s="1059"/>
      <c r="M112" s="1059"/>
      <c r="N112" s="1059"/>
      <c r="O112" s="1059"/>
      <c r="P112" s="1059"/>
      <c r="Q112" s="1059"/>
      <c r="R112" s="1059"/>
      <c r="S112" s="1059"/>
      <c r="T112" s="1059"/>
      <c r="U112" s="1059"/>
      <c r="V112" s="1059"/>
      <c r="W112" s="1059"/>
      <c r="X112" s="1059"/>
      <c r="Y112" s="1059"/>
      <c r="Z112" s="1059"/>
      <c r="AA112" s="1059"/>
      <c r="AB112" s="1059"/>
      <c r="AC112" s="1059"/>
      <c r="AD112" s="1059"/>
      <c r="AE112" s="1059"/>
      <c r="AF112" s="1059"/>
    </row>
    <row r="113" spans="1:32" x14ac:dyDescent="0.35">
      <c r="A113" s="1047" t="s">
        <v>497</v>
      </c>
      <c r="B113" s="1048"/>
      <c r="C113" s="1047"/>
      <c r="D113" s="1046"/>
      <c r="E113" s="1046"/>
      <c r="F113" s="1046"/>
      <c r="G113" s="1046"/>
      <c r="H113" s="862"/>
      <c r="I113" s="862"/>
      <c r="J113" s="862"/>
      <c r="K113" s="862"/>
      <c r="L113" s="862"/>
      <c r="M113" s="862"/>
      <c r="N113" s="862"/>
      <c r="O113" s="862"/>
      <c r="P113" s="862"/>
      <c r="Q113" s="862"/>
      <c r="R113" s="862"/>
      <c r="S113" s="862"/>
      <c r="T113" s="862"/>
      <c r="U113" s="862"/>
      <c r="V113" s="862"/>
      <c r="W113" s="862"/>
      <c r="X113" s="862"/>
      <c r="Y113" s="862"/>
      <c r="Z113" s="862"/>
      <c r="AA113" s="862"/>
      <c r="AB113" s="862"/>
      <c r="AC113" s="862"/>
      <c r="AD113" s="862"/>
      <c r="AE113" s="862"/>
      <c r="AF113" s="862"/>
    </row>
    <row r="114" spans="1:32" x14ac:dyDescent="0.35">
      <c r="A114" s="1042" t="s">
        <v>12</v>
      </c>
      <c r="B114" s="1041"/>
      <c r="C114" s="1059"/>
      <c r="D114" s="1059"/>
      <c r="E114" s="1059"/>
      <c r="F114" s="1059"/>
      <c r="G114" s="1059"/>
      <c r="H114" s="1059"/>
      <c r="I114" s="1059"/>
      <c r="J114" s="1059"/>
      <c r="K114" s="1059"/>
      <c r="L114" s="1059"/>
      <c r="M114" s="1059"/>
      <c r="N114" s="1059"/>
      <c r="O114" s="1059"/>
      <c r="P114" s="1059"/>
      <c r="Q114" s="1059"/>
      <c r="R114" s="1059"/>
      <c r="S114" s="1059"/>
      <c r="T114" s="1059"/>
      <c r="U114" s="1059"/>
      <c r="V114" s="1059"/>
      <c r="W114" s="1059"/>
      <c r="X114" s="1059"/>
      <c r="Y114" s="1059"/>
      <c r="Z114" s="1059"/>
      <c r="AA114" s="1059"/>
      <c r="AB114" s="1059"/>
      <c r="AC114" s="1059"/>
      <c r="AD114" s="1059"/>
      <c r="AE114" s="1059"/>
      <c r="AF114" s="1059"/>
    </row>
    <row r="115" spans="1:32" x14ac:dyDescent="0.35">
      <c r="A115" s="1041"/>
      <c r="B115" s="1041" t="s">
        <v>20</v>
      </c>
      <c r="C115" s="1059"/>
      <c r="D115" s="1059"/>
      <c r="E115" s="1059"/>
      <c r="F115" s="1059"/>
      <c r="G115" s="208">
        <v>2010</v>
      </c>
      <c r="H115" s="208">
        <v>2011</v>
      </c>
      <c r="I115" s="208">
        <v>2012</v>
      </c>
      <c r="J115" s="208">
        <v>2013</v>
      </c>
      <c r="K115" s="208">
        <v>2014</v>
      </c>
      <c r="L115" s="208">
        <v>2015</v>
      </c>
      <c r="M115" s="208">
        <v>2016</v>
      </c>
      <c r="N115" s="208">
        <v>2017</v>
      </c>
      <c r="O115" s="208">
        <v>2018</v>
      </c>
      <c r="P115" s="208">
        <v>2019</v>
      </c>
      <c r="Q115" s="208">
        <v>2020</v>
      </c>
      <c r="R115" s="208">
        <v>2021</v>
      </c>
      <c r="S115" s="208">
        <v>2022</v>
      </c>
      <c r="T115" s="208">
        <v>2023</v>
      </c>
      <c r="U115" s="208">
        <v>2024</v>
      </c>
      <c r="V115" s="208">
        <v>2025</v>
      </c>
      <c r="W115" s="208">
        <v>2026</v>
      </c>
      <c r="X115" s="208">
        <v>2027</v>
      </c>
      <c r="Y115" s="208">
        <v>2028</v>
      </c>
      <c r="Z115" s="208">
        <v>2029</v>
      </c>
      <c r="AA115" s="208">
        <v>2030</v>
      </c>
      <c r="AB115" s="208">
        <v>2031</v>
      </c>
      <c r="AC115" s="208">
        <v>2032</v>
      </c>
      <c r="AD115" s="208">
        <v>2033</v>
      </c>
      <c r="AE115" s="208">
        <v>2034</v>
      </c>
      <c r="AF115" s="208">
        <v>2035</v>
      </c>
    </row>
    <row r="116" spans="1:32" x14ac:dyDescent="0.35">
      <c r="A116" s="843" t="s">
        <v>21</v>
      </c>
      <c r="B116" s="843"/>
      <c r="C116" s="843"/>
      <c r="D116" s="843"/>
      <c r="E116" s="843"/>
      <c r="F116" s="843"/>
      <c r="G116" s="843"/>
      <c r="H116" s="843"/>
      <c r="I116" s="843"/>
      <c r="J116" s="843"/>
      <c r="K116" s="843"/>
      <c r="L116" s="843"/>
      <c r="M116" s="843"/>
      <c r="N116" s="843"/>
      <c r="O116" s="843"/>
      <c r="P116" s="843"/>
      <c r="Q116" s="843"/>
      <c r="R116" s="843"/>
      <c r="S116" s="843"/>
      <c r="T116" s="843"/>
      <c r="U116" s="843"/>
      <c r="V116" s="843"/>
      <c r="W116" s="843"/>
      <c r="X116" s="843"/>
      <c r="Y116" s="843"/>
      <c r="Z116" s="843"/>
      <c r="AA116" s="843"/>
      <c r="AB116" s="843"/>
      <c r="AC116" s="843"/>
      <c r="AD116" s="843"/>
      <c r="AE116" s="843"/>
      <c r="AF116" s="843"/>
    </row>
    <row r="117" spans="1:32" x14ac:dyDescent="0.35">
      <c r="A117" s="1041"/>
      <c r="B117" s="1041" t="s">
        <v>22</v>
      </c>
      <c r="C117" s="1059"/>
      <c r="D117" s="1059"/>
      <c r="E117" s="1059"/>
      <c r="F117" s="1059"/>
      <c r="G117" s="438"/>
      <c r="H117" s="890">
        <v>0</v>
      </c>
      <c r="I117" s="890">
        <v>0</v>
      </c>
      <c r="J117" s="890">
        <v>0</v>
      </c>
      <c r="K117" s="890">
        <v>0</v>
      </c>
      <c r="L117" s="890">
        <v>0</v>
      </c>
      <c r="M117" s="890">
        <v>0</v>
      </c>
      <c r="N117" s="890">
        <v>0</v>
      </c>
      <c r="O117" s="890">
        <v>0</v>
      </c>
      <c r="P117" s="890">
        <v>0</v>
      </c>
      <c r="Q117" s="890">
        <v>0</v>
      </c>
      <c r="R117" s="890">
        <v>0</v>
      </c>
      <c r="S117" s="890">
        <v>0</v>
      </c>
      <c r="T117" s="890">
        <v>0</v>
      </c>
      <c r="U117" s="890">
        <v>0</v>
      </c>
      <c r="V117" s="890">
        <v>0</v>
      </c>
      <c r="W117" s="890">
        <v>0</v>
      </c>
      <c r="X117" s="890">
        <v>0</v>
      </c>
      <c r="Y117" s="890">
        <v>0</v>
      </c>
      <c r="Z117" s="890">
        <v>0</v>
      </c>
      <c r="AA117" s="890">
        <v>0</v>
      </c>
      <c r="AB117" s="890">
        <v>0</v>
      </c>
      <c r="AC117" s="890">
        <v>0</v>
      </c>
      <c r="AD117" s="540">
        <v>0</v>
      </c>
      <c r="AE117" s="540">
        <v>0</v>
      </c>
      <c r="AF117" s="540">
        <v>0</v>
      </c>
    </row>
    <row r="118" spans="1:32" x14ac:dyDescent="0.35">
      <c r="A118" s="1041"/>
      <c r="B118" s="1041" t="s">
        <v>26</v>
      </c>
      <c r="C118" s="1059"/>
      <c r="D118" s="1059"/>
      <c r="E118" s="1059"/>
      <c r="F118" s="1059"/>
      <c r="G118" s="438"/>
      <c r="H118" s="890">
        <v>0</v>
      </c>
      <c r="I118" s="890">
        <v>0</v>
      </c>
      <c r="J118" s="890">
        <v>0</v>
      </c>
      <c r="K118" s="890">
        <v>0</v>
      </c>
      <c r="L118" s="890">
        <v>0</v>
      </c>
      <c r="M118" s="890">
        <v>0</v>
      </c>
      <c r="N118" s="890">
        <v>0</v>
      </c>
      <c r="O118" s="890">
        <v>0</v>
      </c>
      <c r="P118" s="890">
        <v>0</v>
      </c>
      <c r="Q118" s="890">
        <v>0</v>
      </c>
      <c r="R118" s="890">
        <v>0</v>
      </c>
      <c r="S118" s="890">
        <v>0</v>
      </c>
      <c r="T118" s="890">
        <v>0</v>
      </c>
      <c r="U118" s="890">
        <v>0</v>
      </c>
      <c r="V118" s="890">
        <v>0</v>
      </c>
      <c r="W118" s="890">
        <v>0</v>
      </c>
      <c r="X118" s="890">
        <v>0</v>
      </c>
      <c r="Y118" s="890">
        <v>0</v>
      </c>
      <c r="Z118" s="890">
        <v>0</v>
      </c>
      <c r="AA118" s="890">
        <v>0</v>
      </c>
      <c r="AB118" s="890">
        <v>0</v>
      </c>
      <c r="AC118" s="890">
        <v>0</v>
      </c>
      <c r="AD118" s="540">
        <v>0</v>
      </c>
      <c r="AE118" s="540">
        <v>0</v>
      </c>
      <c r="AF118" s="540">
        <v>0</v>
      </c>
    </row>
    <row r="119" spans="1:32" x14ac:dyDescent="0.35">
      <c r="A119" s="1041"/>
      <c r="B119" s="1041" t="s">
        <v>27</v>
      </c>
      <c r="C119" s="1059"/>
      <c r="D119" s="1059"/>
      <c r="E119" s="1059"/>
      <c r="F119" s="1059"/>
      <c r="G119" s="438"/>
      <c r="H119" s="890">
        <v>0</v>
      </c>
      <c r="I119" s="890">
        <v>0</v>
      </c>
      <c r="J119" s="890">
        <v>0</v>
      </c>
      <c r="K119" s="890">
        <v>0</v>
      </c>
      <c r="L119" s="890">
        <v>0</v>
      </c>
      <c r="M119" s="890">
        <v>0</v>
      </c>
      <c r="N119" s="890">
        <v>0</v>
      </c>
      <c r="O119" s="890">
        <v>0</v>
      </c>
      <c r="P119" s="890">
        <v>0</v>
      </c>
      <c r="Q119" s="890">
        <v>0</v>
      </c>
      <c r="R119" s="890">
        <v>0</v>
      </c>
      <c r="S119" s="890">
        <v>0</v>
      </c>
      <c r="T119" s="890">
        <v>0</v>
      </c>
      <c r="U119" s="890">
        <v>0</v>
      </c>
      <c r="V119" s="890">
        <v>0</v>
      </c>
      <c r="W119" s="890">
        <v>0</v>
      </c>
      <c r="X119" s="890">
        <v>0</v>
      </c>
      <c r="Y119" s="890">
        <v>0</v>
      </c>
      <c r="Z119" s="890">
        <v>0</v>
      </c>
      <c r="AA119" s="890">
        <v>0</v>
      </c>
      <c r="AB119" s="890">
        <v>0</v>
      </c>
      <c r="AC119" s="890">
        <v>0</v>
      </c>
      <c r="AD119" s="540">
        <v>0</v>
      </c>
      <c r="AE119" s="540">
        <v>0</v>
      </c>
      <c r="AF119" s="540">
        <v>0</v>
      </c>
    </row>
    <row r="120" spans="1:32" x14ac:dyDescent="0.35">
      <c r="A120" s="1041"/>
      <c r="B120" s="1041" t="s">
        <v>29</v>
      </c>
      <c r="C120" s="1059"/>
      <c r="D120" s="1059"/>
      <c r="E120" s="1059"/>
      <c r="F120" s="1059"/>
      <c r="G120" s="438"/>
      <c r="H120" s="890">
        <v>0</v>
      </c>
      <c r="I120" s="890">
        <v>0</v>
      </c>
      <c r="J120" s="890">
        <v>0</v>
      </c>
      <c r="K120" s="890">
        <v>0</v>
      </c>
      <c r="L120" s="890">
        <v>0</v>
      </c>
      <c r="M120" s="890">
        <v>0</v>
      </c>
      <c r="N120" s="890">
        <v>0</v>
      </c>
      <c r="O120" s="890">
        <v>0</v>
      </c>
      <c r="P120" s="890">
        <v>0</v>
      </c>
      <c r="Q120" s="890">
        <v>0</v>
      </c>
      <c r="R120" s="890">
        <v>0</v>
      </c>
      <c r="S120" s="890">
        <v>0</v>
      </c>
      <c r="T120" s="890">
        <v>0</v>
      </c>
      <c r="U120" s="890">
        <v>0</v>
      </c>
      <c r="V120" s="890">
        <v>0</v>
      </c>
      <c r="W120" s="890">
        <v>0</v>
      </c>
      <c r="X120" s="890">
        <v>0</v>
      </c>
      <c r="Y120" s="890">
        <v>0</v>
      </c>
      <c r="Z120" s="890">
        <v>0</v>
      </c>
      <c r="AA120" s="890">
        <v>0</v>
      </c>
      <c r="AB120" s="890">
        <v>0</v>
      </c>
      <c r="AC120" s="890">
        <v>0</v>
      </c>
      <c r="AD120" s="540">
        <v>0</v>
      </c>
      <c r="AE120" s="540">
        <v>0</v>
      </c>
      <c r="AF120" s="540">
        <v>0</v>
      </c>
    </row>
    <row r="121" spans="1:32" x14ac:dyDescent="0.35">
      <c r="A121" s="1041"/>
      <c r="B121" s="1041"/>
      <c r="C121" s="1059"/>
      <c r="D121" s="1059"/>
      <c r="E121" s="1059"/>
      <c r="F121" s="1059"/>
      <c r="G121" s="1045"/>
      <c r="H121" s="890"/>
      <c r="I121" s="890"/>
      <c r="J121" s="890"/>
      <c r="K121" s="890"/>
      <c r="L121" s="890"/>
      <c r="M121" s="890"/>
      <c r="N121" s="890"/>
      <c r="O121" s="890"/>
      <c r="P121" s="890"/>
      <c r="Q121" s="890"/>
      <c r="R121" s="890"/>
      <c r="S121" s="890"/>
      <c r="T121" s="890"/>
      <c r="U121" s="890"/>
      <c r="V121" s="890"/>
      <c r="W121" s="890"/>
      <c r="X121" s="890"/>
      <c r="Y121" s="890"/>
      <c r="Z121" s="890"/>
      <c r="AA121" s="890"/>
      <c r="AB121" s="890"/>
      <c r="AC121" s="890"/>
      <c r="AD121" s="1059"/>
      <c r="AE121" s="1059"/>
      <c r="AF121" s="1059"/>
    </row>
    <row r="122" spans="1:32" x14ac:dyDescent="0.35">
      <c r="A122" s="843" t="s">
        <v>32</v>
      </c>
      <c r="B122" s="843"/>
      <c r="C122" s="843"/>
      <c r="D122" s="843"/>
      <c r="E122" s="843"/>
      <c r="F122" s="843"/>
      <c r="G122" s="865"/>
      <c r="H122" s="891"/>
      <c r="I122" s="891"/>
      <c r="J122" s="891"/>
      <c r="K122" s="891"/>
      <c r="L122" s="891"/>
      <c r="M122" s="891"/>
      <c r="N122" s="891"/>
      <c r="O122" s="891"/>
      <c r="P122" s="891"/>
      <c r="Q122" s="891"/>
      <c r="R122" s="891"/>
      <c r="S122" s="891"/>
      <c r="T122" s="891"/>
      <c r="U122" s="891"/>
      <c r="V122" s="891"/>
      <c r="W122" s="891"/>
      <c r="X122" s="891"/>
      <c r="Y122" s="891"/>
      <c r="Z122" s="891"/>
      <c r="AA122" s="891"/>
      <c r="AB122" s="891"/>
      <c r="AC122" s="891"/>
      <c r="AD122" s="843"/>
      <c r="AE122" s="843"/>
      <c r="AF122" s="843"/>
    </row>
    <row r="123" spans="1:32" x14ac:dyDescent="0.35">
      <c r="A123" s="1041"/>
      <c r="B123" s="1041" t="s">
        <v>33</v>
      </c>
      <c r="C123" s="1059"/>
      <c r="D123" s="1059"/>
      <c r="E123" s="1059"/>
      <c r="F123" s="1059"/>
      <c r="G123" s="1045"/>
      <c r="H123" s="890">
        <v>0</v>
      </c>
      <c r="I123" s="890">
        <v>0</v>
      </c>
      <c r="J123" s="890">
        <v>0</v>
      </c>
      <c r="K123" s="890">
        <v>0</v>
      </c>
      <c r="L123" s="890">
        <v>0</v>
      </c>
      <c r="M123" s="890">
        <v>0</v>
      </c>
      <c r="N123" s="890">
        <v>0</v>
      </c>
      <c r="O123" s="890">
        <v>0</v>
      </c>
      <c r="P123" s="890">
        <v>0</v>
      </c>
      <c r="Q123" s="890">
        <v>0</v>
      </c>
      <c r="R123" s="890">
        <v>0</v>
      </c>
      <c r="S123" s="890">
        <v>0</v>
      </c>
      <c r="T123" s="890">
        <v>0</v>
      </c>
      <c r="U123" s="890">
        <v>0</v>
      </c>
      <c r="V123" s="890">
        <v>0</v>
      </c>
      <c r="W123" s="890">
        <v>0</v>
      </c>
      <c r="X123" s="890">
        <v>0</v>
      </c>
      <c r="Y123" s="890">
        <v>0</v>
      </c>
      <c r="Z123" s="890">
        <v>0</v>
      </c>
      <c r="AA123" s="890">
        <v>0</v>
      </c>
      <c r="AB123" s="890">
        <v>0</v>
      </c>
      <c r="AC123" s="890">
        <v>0</v>
      </c>
      <c r="AD123" s="540">
        <v>0</v>
      </c>
      <c r="AE123" s="540">
        <v>0</v>
      </c>
      <c r="AF123" s="540">
        <v>0</v>
      </c>
    </row>
    <row r="124" spans="1:32" x14ac:dyDescent="0.35">
      <c r="A124" s="1043"/>
      <c r="B124" s="1043" t="s">
        <v>34</v>
      </c>
      <c r="C124" s="1059"/>
      <c r="D124" s="1059"/>
      <c r="E124" s="1059"/>
      <c r="F124" s="1059"/>
      <c r="G124" s="1045"/>
      <c r="H124" s="890">
        <v>0</v>
      </c>
      <c r="I124" s="890">
        <v>0</v>
      </c>
      <c r="J124" s="890">
        <v>0</v>
      </c>
      <c r="K124" s="890">
        <v>0</v>
      </c>
      <c r="L124" s="890">
        <v>0</v>
      </c>
      <c r="M124" s="890">
        <v>0</v>
      </c>
      <c r="N124" s="890">
        <v>0</v>
      </c>
      <c r="O124" s="890">
        <v>0</v>
      </c>
      <c r="P124" s="890">
        <v>0</v>
      </c>
      <c r="Q124" s="890">
        <v>0</v>
      </c>
      <c r="R124" s="890">
        <v>0</v>
      </c>
      <c r="S124" s="890">
        <v>0</v>
      </c>
      <c r="T124" s="890">
        <v>0</v>
      </c>
      <c r="U124" s="890">
        <v>0</v>
      </c>
      <c r="V124" s="890">
        <v>0</v>
      </c>
      <c r="W124" s="890">
        <v>0</v>
      </c>
      <c r="X124" s="890">
        <v>0</v>
      </c>
      <c r="Y124" s="890">
        <v>0</v>
      </c>
      <c r="Z124" s="890">
        <v>0</v>
      </c>
      <c r="AA124" s="890">
        <v>0</v>
      </c>
      <c r="AB124" s="890">
        <v>0</v>
      </c>
      <c r="AC124" s="890">
        <v>0</v>
      </c>
      <c r="AD124" s="540">
        <v>0</v>
      </c>
      <c r="AE124" s="540">
        <v>0</v>
      </c>
      <c r="AF124" s="540">
        <v>0</v>
      </c>
    </row>
    <row r="125" spans="1:32" x14ac:dyDescent="0.35">
      <c r="A125" s="1041"/>
      <c r="B125" s="1043" t="s">
        <v>35</v>
      </c>
      <c r="C125" s="1059"/>
      <c r="D125" s="1059"/>
      <c r="E125" s="1059"/>
      <c r="F125" s="1059"/>
      <c r="G125" s="1045"/>
      <c r="H125" s="890">
        <v>0</v>
      </c>
      <c r="I125" s="890">
        <v>0</v>
      </c>
      <c r="J125" s="890">
        <v>0</v>
      </c>
      <c r="K125" s="890">
        <v>0</v>
      </c>
      <c r="L125" s="890">
        <v>0</v>
      </c>
      <c r="M125" s="890">
        <v>0</v>
      </c>
      <c r="N125" s="890">
        <v>0</v>
      </c>
      <c r="O125" s="890">
        <v>0</v>
      </c>
      <c r="P125" s="890">
        <v>0</v>
      </c>
      <c r="Q125" s="890">
        <v>0</v>
      </c>
      <c r="R125" s="890">
        <v>0</v>
      </c>
      <c r="S125" s="890">
        <v>0</v>
      </c>
      <c r="T125" s="890">
        <v>0</v>
      </c>
      <c r="U125" s="890">
        <v>0</v>
      </c>
      <c r="V125" s="890">
        <v>0</v>
      </c>
      <c r="W125" s="890">
        <v>0</v>
      </c>
      <c r="X125" s="890">
        <v>0</v>
      </c>
      <c r="Y125" s="890">
        <v>0</v>
      </c>
      <c r="Z125" s="890">
        <v>0</v>
      </c>
      <c r="AA125" s="890">
        <v>0</v>
      </c>
      <c r="AB125" s="890">
        <v>0</v>
      </c>
      <c r="AC125" s="890">
        <v>0</v>
      </c>
      <c r="AD125" s="540">
        <v>0</v>
      </c>
      <c r="AE125" s="540">
        <v>0</v>
      </c>
      <c r="AF125" s="540">
        <v>0</v>
      </c>
    </row>
    <row r="126" spans="1:32" x14ac:dyDescent="0.35">
      <c r="A126" s="1041"/>
      <c r="B126" s="1043" t="s">
        <v>29</v>
      </c>
      <c r="C126" s="1059"/>
      <c r="D126" s="1059"/>
      <c r="E126" s="1059"/>
      <c r="F126" s="1059"/>
      <c r="G126" s="1045"/>
      <c r="H126" s="890">
        <v>0</v>
      </c>
      <c r="I126" s="890">
        <v>0</v>
      </c>
      <c r="J126" s="890">
        <v>0</v>
      </c>
      <c r="K126" s="890">
        <v>0</v>
      </c>
      <c r="L126" s="890">
        <v>0</v>
      </c>
      <c r="M126" s="890">
        <v>0</v>
      </c>
      <c r="N126" s="890">
        <v>0</v>
      </c>
      <c r="O126" s="890">
        <v>0</v>
      </c>
      <c r="P126" s="890">
        <v>0</v>
      </c>
      <c r="Q126" s="890">
        <v>0</v>
      </c>
      <c r="R126" s="890">
        <v>0</v>
      </c>
      <c r="S126" s="890">
        <v>0</v>
      </c>
      <c r="T126" s="890">
        <v>0</v>
      </c>
      <c r="U126" s="890">
        <v>0</v>
      </c>
      <c r="V126" s="890">
        <v>0</v>
      </c>
      <c r="W126" s="890">
        <v>0</v>
      </c>
      <c r="X126" s="890">
        <v>0</v>
      </c>
      <c r="Y126" s="890">
        <v>0</v>
      </c>
      <c r="Z126" s="890">
        <v>0</v>
      </c>
      <c r="AA126" s="890">
        <v>0</v>
      </c>
      <c r="AB126" s="890">
        <v>0</v>
      </c>
      <c r="AC126" s="890">
        <v>0</v>
      </c>
      <c r="AD126" s="540">
        <v>0</v>
      </c>
      <c r="AE126" s="540">
        <v>0</v>
      </c>
      <c r="AF126" s="540">
        <v>0</v>
      </c>
    </row>
    <row r="127" spans="1:32" x14ac:dyDescent="0.35">
      <c r="A127" s="1041"/>
      <c r="B127" s="1041"/>
      <c r="C127" s="1059"/>
      <c r="D127" s="1059"/>
      <c r="E127" s="1059"/>
      <c r="F127" s="1059"/>
      <c r="G127" s="1045"/>
      <c r="H127" s="890"/>
      <c r="I127" s="890"/>
      <c r="J127" s="890"/>
      <c r="K127" s="890"/>
      <c r="L127" s="890"/>
      <c r="M127" s="890"/>
      <c r="N127" s="890"/>
      <c r="O127" s="890"/>
      <c r="P127" s="890"/>
      <c r="Q127" s="890"/>
      <c r="R127" s="890"/>
      <c r="S127" s="890"/>
      <c r="T127" s="890"/>
      <c r="U127" s="890"/>
      <c r="V127" s="890"/>
      <c r="W127" s="890"/>
      <c r="X127" s="890"/>
      <c r="Y127" s="890"/>
      <c r="Z127" s="890"/>
      <c r="AA127" s="890"/>
      <c r="AB127" s="890"/>
      <c r="AC127" s="890"/>
      <c r="AD127" s="1059"/>
      <c r="AE127" s="1059"/>
      <c r="AF127" s="1059"/>
    </row>
    <row r="128" spans="1:32" x14ac:dyDescent="0.35">
      <c r="A128" s="843" t="s">
        <v>36</v>
      </c>
      <c r="B128" s="843"/>
      <c r="C128" s="843"/>
      <c r="D128" s="843"/>
      <c r="E128" s="843"/>
      <c r="F128" s="843"/>
      <c r="G128" s="865"/>
      <c r="H128" s="891"/>
      <c r="I128" s="891"/>
      <c r="J128" s="891"/>
      <c r="K128" s="891"/>
      <c r="L128" s="891"/>
      <c r="M128" s="891"/>
      <c r="N128" s="891"/>
      <c r="O128" s="891"/>
      <c r="P128" s="891"/>
      <c r="Q128" s="891"/>
      <c r="R128" s="891"/>
      <c r="S128" s="891"/>
      <c r="T128" s="891"/>
      <c r="U128" s="891"/>
      <c r="V128" s="891"/>
      <c r="W128" s="891"/>
      <c r="X128" s="891"/>
      <c r="Y128" s="891"/>
      <c r="Z128" s="891"/>
      <c r="AA128" s="891"/>
      <c r="AB128" s="891"/>
      <c r="AC128" s="891"/>
      <c r="AD128" s="843"/>
      <c r="AE128" s="843"/>
      <c r="AF128" s="843"/>
    </row>
    <row r="129" spans="1:32" x14ac:dyDescent="0.35">
      <c r="A129" s="1041"/>
      <c r="B129" s="1041" t="s">
        <v>37</v>
      </c>
      <c r="C129" s="1059"/>
      <c r="D129" s="1059"/>
      <c r="E129" s="1059"/>
      <c r="F129" s="1059"/>
      <c r="G129" s="540"/>
      <c r="H129" s="890">
        <v>0</v>
      </c>
      <c r="I129" s="890">
        <v>0</v>
      </c>
      <c r="J129" s="890">
        <v>0</v>
      </c>
      <c r="K129" s="890">
        <v>0</v>
      </c>
      <c r="L129" s="890">
        <v>0</v>
      </c>
      <c r="M129" s="890">
        <v>0</v>
      </c>
      <c r="N129" s="890">
        <v>0</v>
      </c>
      <c r="O129" s="890">
        <v>0</v>
      </c>
      <c r="P129" s="890">
        <v>0</v>
      </c>
      <c r="Q129" s="890">
        <v>0</v>
      </c>
      <c r="R129" s="890">
        <v>0</v>
      </c>
      <c r="S129" s="890">
        <v>0</v>
      </c>
      <c r="T129" s="890">
        <v>0</v>
      </c>
      <c r="U129" s="890">
        <v>0</v>
      </c>
      <c r="V129" s="890">
        <v>0</v>
      </c>
      <c r="W129" s="890">
        <v>0</v>
      </c>
      <c r="X129" s="890">
        <v>0</v>
      </c>
      <c r="Y129" s="890">
        <v>0</v>
      </c>
      <c r="Z129" s="890">
        <v>0</v>
      </c>
      <c r="AA129" s="890">
        <v>0</v>
      </c>
      <c r="AB129" s="890">
        <v>0</v>
      </c>
      <c r="AC129" s="890">
        <v>0</v>
      </c>
      <c r="AD129" s="540">
        <v>0</v>
      </c>
      <c r="AE129" s="540">
        <v>0</v>
      </c>
      <c r="AF129" s="540">
        <v>0</v>
      </c>
    </row>
    <row r="130" spans="1:32" x14ac:dyDescent="0.35">
      <c r="A130" s="1041"/>
      <c r="B130" s="1041" t="s">
        <v>39</v>
      </c>
      <c r="C130" s="1059"/>
      <c r="D130" s="1059"/>
      <c r="E130" s="1059"/>
      <c r="F130" s="1059"/>
      <c r="G130" s="540"/>
      <c r="H130" s="890">
        <v>0</v>
      </c>
      <c r="I130" s="890">
        <v>0</v>
      </c>
      <c r="J130" s="890">
        <v>0</v>
      </c>
      <c r="K130" s="890">
        <v>0</v>
      </c>
      <c r="L130" s="890">
        <v>0</v>
      </c>
      <c r="M130" s="890">
        <v>0</v>
      </c>
      <c r="N130" s="890">
        <v>0</v>
      </c>
      <c r="O130" s="890">
        <v>0</v>
      </c>
      <c r="P130" s="890">
        <v>0</v>
      </c>
      <c r="Q130" s="890">
        <v>0</v>
      </c>
      <c r="R130" s="890">
        <v>0</v>
      </c>
      <c r="S130" s="890">
        <v>0</v>
      </c>
      <c r="T130" s="890">
        <v>0</v>
      </c>
      <c r="U130" s="890">
        <v>0</v>
      </c>
      <c r="V130" s="890">
        <v>0</v>
      </c>
      <c r="W130" s="890">
        <v>0</v>
      </c>
      <c r="X130" s="890">
        <v>0</v>
      </c>
      <c r="Y130" s="890">
        <v>0</v>
      </c>
      <c r="Z130" s="890">
        <v>0</v>
      </c>
      <c r="AA130" s="890">
        <v>0</v>
      </c>
      <c r="AB130" s="890">
        <v>0</v>
      </c>
      <c r="AC130" s="890">
        <v>0</v>
      </c>
      <c r="AD130" s="540">
        <v>0</v>
      </c>
      <c r="AE130" s="540">
        <v>0</v>
      </c>
      <c r="AF130" s="540">
        <v>0</v>
      </c>
    </row>
    <row r="131" spans="1:32" x14ac:dyDescent="0.35">
      <c r="A131" s="1041"/>
      <c r="B131" s="1041" t="s">
        <v>40</v>
      </c>
      <c r="C131" s="1059"/>
      <c r="D131" s="1059"/>
      <c r="E131" s="1059"/>
      <c r="F131" s="1059"/>
      <c r="G131" s="540"/>
      <c r="H131" s="890">
        <v>0</v>
      </c>
      <c r="I131" s="890">
        <v>0</v>
      </c>
      <c r="J131" s="890">
        <v>0</v>
      </c>
      <c r="K131" s="890">
        <v>0</v>
      </c>
      <c r="L131" s="890">
        <v>0</v>
      </c>
      <c r="M131" s="890">
        <v>0</v>
      </c>
      <c r="N131" s="890">
        <v>0</v>
      </c>
      <c r="O131" s="890">
        <v>0</v>
      </c>
      <c r="P131" s="890">
        <v>0</v>
      </c>
      <c r="Q131" s="890">
        <v>0</v>
      </c>
      <c r="R131" s="890">
        <v>0</v>
      </c>
      <c r="S131" s="890">
        <v>0</v>
      </c>
      <c r="T131" s="890">
        <v>0</v>
      </c>
      <c r="U131" s="890">
        <v>0</v>
      </c>
      <c r="V131" s="890">
        <v>0</v>
      </c>
      <c r="W131" s="890">
        <v>0</v>
      </c>
      <c r="X131" s="890">
        <v>0</v>
      </c>
      <c r="Y131" s="890">
        <v>0</v>
      </c>
      <c r="Z131" s="890">
        <v>0</v>
      </c>
      <c r="AA131" s="890">
        <v>0</v>
      </c>
      <c r="AB131" s="890">
        <v>0</v>
      </c>
      <c r="AC131" s="890">
        <v>0</v>
      </c>
      <c r="AD131" s="540">
        <v>0</v>
      </c>
      <c r="AE131" s="540">
        <v>0</v>
      </c>
      <c r="AF131" s="540">
        <v>0</v>
      </c>
    </row>
    <row r="132" spans="1:32" x14ac:dyDescent="0.35">
      <c r="A132" s="1041"/>
      <c r="B132" s="1041" t="s">
        <v>29</v>
      </c>
      <c r="C132" s="1059"/>
      <c r="D132" s="1059"/>
      <c r="E132" s="1059"/>
      <c r="F132" s="1059"/>
      <c r="G132" s="1045"/>
      <c r="H132" s="890">
        <v>0</v>
      </c>
      <c r="I132" s="890">
        <v>0</v>
      </c>
      <c r="J132" s="890">
        <v>0</v>
      </c>
      <c r="K132" s="890">
        <v>0</v>
      </c>
      <c r="L132" s="890">
        <v>0</v>
      </c>
      <c r="M132" s="890">
        <v>0</v>
      </c>
      <c r="N132" s="890">
        <v>0</v>
      </c>
      <c r="O132" s="890">
        <v>0</v>
      </c>
      <c r="P132" s="890">
        <v>0</v>
      </c>
      <c r="Q132" s="890">
        <v>0</v>
      </c>
      <c r="R132" s="890">
        <v>0</v>
      </c>
      <c r="S132" s="890">
        <v>0</v>
      </c>
      <c r="T132" s="890">
        <v>0</v>
      </c>
      <c r="U132" s="890">
        <v>0</v>
      </c>
      <c r="V132" s="890">
        <v>0</v>
      </c>
      <c r="W132" s="890">
        <v>0</v>
      </c>
      <c r="X132" s="890">
        <v>0</v>
      </c>
      <c r="Y132" s="890">
        <v>0</v>
      </c>
      <c r="Z132" s="890">
        <v>0</v>
      </c>
      <c r="AA132" s="890">
        <v>0</v>
      </c>
      <c r="AB132" s="890">
        <v>0</v>
      </c>
      <c r="AC132" s="890">
        <v>0</v>
      </c>
      <c r="AD132" s="540">
        <v>0</v>
      </c>
      <c r="AE132" s="540">
        <v>0</v>
      </c>
      <c r="AF132" s="540">
        <v>0</v>
      </c>
    </row>
    <row r="133" spans="1:32" x14ac:dyDescent="0.35">
      <c r="A133" s="1041"/>
      <c r="B133" s="1041"/>
      <c r="C133" s="1059"/>
      <c r="D133" s="1059"/>
      <c r="E133" s="1059"/>
      <c r="F133" s="1059"/>
      <c r="G133" s="1045"/>
      <c r="H133" s="890"/>
      <c r="I133" s="890"/>
      <c r="J133" s="890"/>
      <c r="K133" s="890"/>
      <c r="L133" s="890"/>
      <c r="M133" s="890"/>
      <c r="N133" s="890"/>
      <c r="O133" s="890"/>
      <c r="P133" s="890"/>
      <c r="Q133" s="890"/>
      <c r="R133" s="890"/>
      <c r="S133" s="890"/>
      <c r="T133" s="890"/>
      <c r="U133" s="890"/>
      <c r="V133" s="890"/>
      <c r="W133" s="890"/>
      <c r="X133" s="890"/>
      <c r="Y133" s="890"/>
      <c r="Z133" s="890"/>
      <c r="AA133" s="890"/>
      <c r="AB133" s="890"/>
      <c r="AC133" s="890"/>
      <c r="AD133" s="1059"/>
      <c r="AE133" s="1059"/>
      <c r="AF133" s="1059"/>
    </row>
    <row r="134" spans="1:32" x14ac:dyDescent="0.35">
      <c r="A134" s="843" t="s">
        <v>42</v>
      </c>
      <c r="B134" s="843"/>
      <c r="C134" s="843"/>
      <c r="D134" s="843"/>
      <c r="E134" s="843"/>
      <c r="F134" s="843"/>
      <c r="G134" s="865"/>
      <c r="H134" s="891"/>
      <c r="I134" s="891"/>
      <c r="J134" s="891"/>
      <c r="K134" s="891"/>
      <c r="L134" s="891"/>
      <c r="M134" s="891"/>
      <c r="N134" s="891"/>
      <c r="O134" s="891"/>
      <c r="P134" s="891"/>
      <c r="Q134" s="891"/>
      <c r="R134" s="891"/>
      <c r="S134" s="891"/>
      <c r="T134" s="891"/>
      <c r="U134" s="891"/>
      <c r="V134" s="891"/>
      <c r="W134" s="891"/>
      <c r="X134" s="891"/>
      <c r="Y134" s="891"/>
      <c r="Z134" s="891"/>
      <c r="AA134" s="891"/>
      <c r="AB134" s="891"/>
      <c r="AC134" s="891"/>
      <c r="AD134" s="843"/>
      <c r="AE134" s="843"/>
      <c r="AF134" s="843"/>
    </row>
    <row r="135" spans="1:32" x14ac:dyDescent="0.35">
      <c r="A135" s="1041"/>
      <c r="B135" s="1043" t="s">
        <v>43</v>
      </c>
      <c r="C135" s="1059"/>
      <c r="D135" s="1059"/>
      <c r="E135" s="1059"/>
      <c r="F135" s="1059"/>
      <c r="G135" s="1045"/>
      <c r="H135" s="890">
        <v>0.62125622533644509</v>
      </c>
      <c r="I135" s="890">
        <v>0.56405845272341926</v>
      </c>
      <c r="J135" s="890">
        <v>0.51210737317961796</v>
      </c>
      <c r="K135" s="890">
        <v>0.46481937283576674</v>
      </c>
      <c r="L135" s="890">
        <v>0.42216077303339045</v>
      </c>
      <c r="M135" s="890">
        <v>0.38310085477643224</v>
      </c>
      <c r="N135" s="890">
        <v>0.34779984006843351</v>
      </c>
      <c r="O135" s="890">
        <v>0.31608485533852715</v>
      </c>
      <c r="P135" s="890">
        <v>0.2872568475028906</v>
      </c>
      <c r="Q135" s="890">
        <v>0.26114470487335883</v>
      </c>
      <c r="R135" s="890">
        <v>0.23743733560561961</v>
      </c>
      <c r="S135" s="890">
        <v>0.21600250041127306</v>
      </c>
      <c r="T135" s="890">
        <v>0.19666718526460686</v>
      </c>
      <c r="U135" s="890">
        <v>0.17927383762155155</v>
      </c>
      <c r="V135" s="890">
        <v>0.16360581158485663</v>
      </c>
      <c r="W135" s="890">
        <v>0.14947161320195707</v>
      </c>
      <c r="X135" s="890">
        <v>0.13681039875079393</v>
      </c>
      <c r="Y135" s="890">
        <v>0.12543786830310991</v>
      </c>
      <c r="Z135" s="890">
        <v>0.11522553688704784</v>
      </c>
      <c r="AA135" s="890">
        <v>0.10602384655860451</v>
      </c>
      <c r="AB135" s="890">
        <v>9.7739152717113156E-2</v>
      </c>
      <c r="AC135" s="890">
        <v>9.0291466496539283E-2</v>
      </c>
      <c r="AD135" s="540">
        <v>8.3580873649043222E-2</v>
      </c>
      <c r="AE135" s="540">
        <v>7.7508134118970007E-2</v>
      </c>
      <c r="AF135" s="540">
        <v>7.1975454384465745E-2</v>
      </c>
    </row>
    <row r="136" spans="1:32" x14ac:dyDescent="0.35">
      <c r="A136" s="1041"/>
      <c r="B136" s="1043" t="s">
        <v>44</v>
      </c>
      <c r="C136" s="1059"/>
      <c r="D136" s="1059"/>
      <c r="E136" s="1059"/>
      <c r="F136" s="1059"/>
      <c r="G136" s="1045"/>
      <c r="H136" s="890">
        <v>30.340877737305995</v>
      </c>
      <c r="I136" s="890">
        <v>33.170500916541904</v>
      </c>
      <c r="J136" s="890">
        <v>35.109699045818189</v>
      </c>
      <c r="K136" s="890">
        <v>36.293999952490196</v>
      </c>
      <c r="L136" s="890">
        <v>36.92329218964997</v>
      </c>
      <c r="M136" s="890">
        <v>36.838471748587757</v>
      </c>
      <c r="N136" s="890">
        <v>36.382599054059703</v>
      </c>
      <c r="O136" s="890">
        <v>35.792221607008905</v>
      </c>
      <c r="P136" s="890">
        <v>34.853569505146993</v>
      </c>
      <c r="Q136" s="890">
        <v>33.764308052688413</v>
      </c>
      <c r="R136" s="890">
        <v>32.541933310356129</v>
      </c>
      <c r="S136" s="890">
        <v>31.270858813803791</v>
      </c>
      <c r="T136" s="890">
        <v>30.020633964874616</v>
      </c>
      <c r="U136" s="890">
        <v>28.849407968766876</v>
      </c>
      <c r="V136" s="890">
        <v>27.732832111930083</v>
      </c>
      <c r="W136" s="890">
        <v>26.676859561089458</v>
      </c>
      <c r="X136" s="890">
        <v>25.756903553415889</v>
      </c>
      <c r="Y136" s="890">
        <v>24.9146373217209</v>
      </c>
      <c r="Z136" s="890">
        <v>24.148981575608779</v>
      </c>
      <c r="AA136" s="890">
        <v>23.455503834173562</v>
      </c>
      <c r="AB136" s="890">
        <v>22.8288224274377</v>
      </c>
      <c r="AC136" s="890">
        <v>22.273933516933958</v>
      </c>
      <c r="AD136" s="540">
        <v>21.779256168286697</v>
      </c>
      <c r="AE136" s="540">
        <v>21.340291459482067</v>
      </c>
      <c r="AF136" s="540">
        <v>20.931646796269629</v>
      </c>
    </row>
    <row r="137" spans="1:32" x14ac:dyDescent="0.35">
      <c r="A137" s="1041"/>
      <c r="B137" s="1043" t="s">
        <v>45</v>
      </c>
      <c r="C137" s="1059"/>
      <c r="D137" s="1059"/>
      <c r="E137" s="1059"/>
      <c r="F137" s="1059"/>
      <c r="G137" s="1045"/>
      <c r="H137" s="890">
        <v>17.841302699599886</v>
      </c>
      <c r="I137" s="890">
        <v>15.959920518489151</v>
      </c>
      <c r="J137" s="890">
        <v>14.283656889547634</v>
      </c>
      <c r="K137" s="890">
        <v>12.789472350082979</v>
      </c>
      <c r="L137" s="890">
        <v>11.457127689869024</v>
      </c>
      <c r="M137" s="890">
        <v>10.267475307053502</v>
      </c>
      <c r="N137" s="890">
        <v>9.205639092072051</v>
      </c>
      <c r="O137" s="890">
        <v>8.2486166990897214</v>
      </c>
      <c r="P137" s="890">
        <v>7.3936435248874561</v>
      </c>
      <c r="Q137" s="890">
        <v>6.6305789361192167</v>
      </c>
      <c r="R137" s="890">
        <v>5.9490059476169028</v>
      </c>
      <c r="S137" s="890">
        <v>5.3402406190639091</v>
      </c>
      <c r="T137" s="890">
        <v>4.7965993086116976</v>
      </c>
      <c r="U137" s="890">
        <v>4.3112410391281095</v>
      </c>
      <c r="V137" s="890">
        <v>3.8774714783226192</v>
      </c>
      <c r="W137" s="890">
        <v>3.489664235365344</v>
      </c>
      <c r="X137" s="890">
        <v>3.1433804203861002</v>
      </c>
      <c r="Y137" s="890">
        <v>2.8346851007980853</v>
      </c>
      <c r="Z137" s="890">
        <v>2.5592691991192074</v>
      </c>
      <c r="AA137" s="890">
        <v>2.3125522098785831</v>
      </c>
      <c r="AB137" s="890">
        <v>2.0921598263544738</v>
      </c>
      <c r="AC137" s="890">
        <v>1.8951950565348923</v>
      </c>
      <c r="AD137" s="540">
        <v>1.7189897144949633</v>
      </c>
      <c r="AE137" s="540">
        <v>1.5607808783915758</v>
      </c>
      <c r="AF137" s="540">
        <v>1.4189581559659397</v>
      </c>
    </row>
    <row r="138" spans="1:32" x14ac:dyDescent="0.35">
      <c r="A138" s="1041"/>
      <c r="B138" s="1043" t="s">
        <v>46</v>
      </c>
      <c r="C138" s="1059"/>
      <c r="D138" s="1059"/>
      <c r="E138" s="1059"/>
      <c r="F138" s="1059"/>
      <c r="G138" s="1045"/>
      <c r="H138" s="890">
        <v>0.23603333573395144</v>
      </c>
      <c r="I138" s="890">
        <v>0.21013884561968579</v>
      </c>
      <c r="J138" s="890">
        <v>0.18718069347208779</v>
      </c>
      <c r="K138" s="890">
        <v>0.1668145599920971</v>
      </c>
      <c r="L138" s="890">
        <v>0.14873788917547287</v>
      </c>
      <c r="M138" s="890">
        <v>0.13268464799137594</v>
      </c>
      <c r="N138" s="890">
        <v>0.11798804726015673</v>
      </c>
      <c r="O138" s="890">
        <v>0.10497300580742218</v>
      </c>
      <c r="P138" s="890">
        <v>9.3440707237392492E-2</v>
      </c>
      <c r="Q138" s="890">
        <v>8.3216630144641673E-2</v>
      </c>
      <c r="R138" s="890">
        <v>7.4147479645216924E-2</v>
      </c>
      <c r="S138" s="890">
        <v>6.6098519426694854E-2</v>
      </c>
      <c r="T138" s="890">
        <v>5.895125030125848E-2</v>
      </c>
      <c r="U138" s="890">
        <v>5.260138877024844E-2</v>
      </c>
      <c r="V138" s="890">
        <v>4.6957105550883574E-2</v>
      </c>
      <c r="W138" s="890">
        <v>4.1937489536552269E-2</v>
      </c>
      <c r="X138" s="890">
        <v>3.7471207397257712E-2</v>
      </c>
      <c r="Y138" s="890">
        <v>3.3622066823341457E-2</v>
      </c>
      <c r="Z138" s="890">
        <v>3.0089853375937187E-2</v>
      </c>
      <c r="AA138" s="890">
        <v>2.6939972872200218E-2</v>
      </c>
      <c r="AB138" s="890">
        <v>2.4138503489218744E-2</v>
      </c>
      <c r="AC138" s="890">
        <v>2.1644657159276066E-2</v>
      </c>
      <c r="AD138" s="540">
        <v>1.9422704166495594E-2</v>
      </c>
      <c r="AE138" s="540">
        <v>1.7435492014387689E-2</v>
      </c>
      <c r="AF138" s="540">
        <v>1.5662640826565429E-2</v>
      </c>
    </row>
    <row r="139" spans="1:32" x14ac:dyDescent="0.35">
      <c r="A139" s="1041"/>
      <c r="B139" s="1041" t="s">
        <v>29</v>
      </c>
      <c r="C139" s="1059"/>
      <c r="D139" s="1059"/>
      <c r="E139" s="1059"/>
      <c r="F139" s="1059"/>
      <c r="G139" s="1045"/>
      <c r="H139" s="890">
        <v>0.66863241929944373</v>
      </c>
      <c r="I139" s="890">
        <v>1.6586614339061192</v>
      </c>
      <c r="J139" s="890">
        <v>2.9132409835178468</v>
      </c>
      <c r="K139" s="890">
        <v>4.3427681740144912</v>
      </c>
      <c r="L139" s="890">
        <v>5.8976988009143323</v>
      </c>
      <c r="M139" s="890">
        <v>7.4708399426908896</v>
      </c>
      <c r="N139" s="890">
        <v>9.074927184854932</v>
      </c>
      <c r="O139" s="890">
        <v>10.825294532860383</v>
      </c>
      <c r="P139" s="890">
        <v>12.404035768208034</v>
      </c>
      <c r="Q139" s="890">
        <v>13.926073075351777</v>
      </c>
      <c r="R139" s="890">
        <v>15.270424885067762</v>
      </c>
      <c r="S139" s="890">
        <v>16.443659993380621</v>
      </c>
      <c r="T139" s="890">
        <v>17.490481658148255</v>
      </c>
      <c r="U139" s="890">
        <v>18.488170271926879</v>
      </c>
      <c r="V139" s="890">
        <v>19.305582533688103</v>
      </c>
      <c r="W139" s="890">
        <v>19.965844886519214</v>
      </c>
      <c r="X139" s="890">
        <v>20.721083371762049</v>
      </c>
      <c r="Y139" s="890">
        <v>21.36449213676697</v>
      </c>
      <c r="Z139" s="890">
        <v>21.90625995589356</v>
      </c>
      <c r="AA139" s="890">
        <v>22.379422436941873</v>
      </c>
      <c r="AB139" s="890">
        <v>22.811631676993422</v>
      </c>
      <c r="AC139" s="890">
        <v>23.236141426483016</v>
      </c>
      <c r="AD139" s="540">
        <v>23.640050844974841</v>
      </c>
      <c r="AE139" s="540">
        <v>24.056119182409194</v>
      </c>
      <c r="AF139" s="540">
        <v>24.437193831093715</v>
      </c>
    </row>
    <row r="140" spans="1:32" x14ac:dyDescent="0.35">
      <c r="A140" s="1041"/>
      <c r="B140" s="1041"/>
      <c r="C140" s="1059"/>
      <c r="D140" s="1059"/>
      <c r="E140" s="1059"/>
      <c r="F140" s="1059"/>
      <c r="G140" s="1045"/>
      <c r="H140" s="890"/>
      <c r="I140" s="890"/>
      <c r="J140" s="890"/>
      <c r="K140" s="890"/>
      <c r="L140" s="890"/>
      <c r="M140" s="890"/>
      <c r="N140" s="890"/>
      <c r="O140" s="890"/>
      <c r="P140" s="890"/>
      <c r="Q140" s="890"/>
      <c r="R140" s="890"/>
      <c r="S140" s="890"/>
      <c r="T140" s="890"/>
      <c r="U140" s="890"/>
      <c r="V140" s="890"/>
      <c r="W140" s="890"/>
      <c r="X140" s="890"/>
      <c r="Y140" s="890"/>
      <c r="Z140" s="890"/>
      <c r="AA140" s="890"/>
      <c r="AB140" s="890"/>
      <c r="AC140" s="890"/>
      <c r="AD140" s="1059"/>
      <c r="AE140" s="1059"/>
      <c r="AF140" s="1059"/>
    </row>
    <row r="141" spans="1:32" x14ac:dyDescent="0.35">
      <c r="A141" s="843" t="s">
        <v>47</v>
      </c>
      <c r="B141" s="843"/>
      <c r="C141" s="843"/>
      <c r="D141" s="843"/>
      <c r="E141" s="843"/>
      <c r="F141" s="843"/>
      <c r="G141" s="865"/>
      <c r="H141" s="891"/>
      <c r="I141" s="891"/>
      <c r="J141" s="891"/>
      <c r="K141" s="891"/>
      <c r="L141" s="891"/>
      <c r="M141" s="891"/>
      <c r="N141" s="891"/>
      <c r="O141" s="891"/>
      <c r="P141" s="891"/>
      <c r="Q141" s="891"/>
      <c r="R141" s="891"/>
      <c r="S141" s="891"/>
      <c r="T141" s="891"/>
      <c r="U141" s="891"/>
      <c r="V141" s="891"/>
      <c r="W141" s="891"/>
      <c r="X141" s="891"/>
      <c r="Y141" s="891"/>
      <c r="Z141" s="891"/>
      <c r="AA141" s="891"/>
      <c r="AB141" s="891"/>
      <c r="AC141" s="891"/>
      <c r="AD141" s="843"/>
      <c r="AE141" s="843"/>
      <c r="AF141" s="843"/>
    </row>
    <row r="142" spans="1:32" x14ac:dyDescent="0.35">
      <c r="A142" s="1041"/>
      <c r="B142" s="1041" t="s">
        <v>48</v>
      </c>
      <c r="C142" s="1059"/>
      <c r="D142" s="1059"/>
      <c r="E142" s="1059"/>
      <c r="F142" s="1059"/>
      <c r="G142" s="1045"/>
      <c r="H142" s="890">
        <v>0.11999552109504641</v>
      </c>
      <c r="I142" s="890">
        <v>4.1705037870241619E-3</v>
      </c>
      <c r="J142" s="890">
        <v>9.6911313270284274E-5</v>
      </c>
      <c r="K142" s="890">
        <v>1.5898186066010143E-6</v>
      </c>
      <c r="L142" s="890">
        <v>1.9289222040885866E-8</v>
      </c>
      <c r="M142" s="890">
        <v>1.8018254366766989E-10</v>
      </c>
      <c r="N142" s="890">
        <v>1.3494413347147378E-12</v>
      </c>
      <c r="O142" s="890">
        <v>8.4149503380704596E-15</v>
      </c>
      <c r="P142" s="890">
        <v>4.5029122266586479E-17</v>
      </c>
      <c r="Q142" s="890">
        <v>2.1279535466189069E-19</v>
      </c>
      <c r="R142" s="890">
        <v>9.080433499239298E-22</v>
      </c>
      <c r="S142" s="890">
        <v>3.5721912619265611E-24</v>
      </c>
      <c r="T142" s="890">
        <v>1.3185122626649859E-26</v>
      </c>
      <c r="U142" s="890">
        <v>4.636363888662316E-29</v>
      </c>
      <c r="V142" s="890">
        <v>1.5732957053392448E-31</v>
      </c>
      <c r="W142" s="890">
        <v>5.2049527492134557E-34</v>
      </c>
      <c r="X142" s="890">
        <v>1.6954334273044884E-36</v>
      </c>
      <c r="Y142" s="890">
        <v>5.4757700080925239E-39</v>
      </c>
      <c r="Z142" s="890">
        <v>1.7620807274716183E-41</v>
      </c>
      <c r="AA142" s="890">
        <v>5.6704783031148666E-44</v>
      </c>
      <c r="AB142" s="890">
        <v>1.8305980731003974E-46</v>
      </c>
      <c r="AC142" s="890">
        <v>5.9426244188376764E-49</v>
      </c>
      <c r="AD142" s="540">
        <v>1.9429968319083964E-51</v>
      </c>
      <c r="AE142" s="540">
        <v>6.4057261471614218E-54</v>
      </c>
      <c r="AF142" s="540">
        <v>2.1309910105965266E-56</v>
      </c>
    </row>
    <row r="143" spans="1:32" x14ac:dyDescent="0.35">
      <c r="A143" s="1041"/>
      <c r="B143" s="1043" t="s">
        <v>50</v>
      </c>
      <c r="C143" s="1059"/>
      <c r="D143" s="1059"/>
      <c r="E143" s="1059"/>
      <c r="F143" s="1059"/>
      <c r="G143" s="1045"/>
      <c r="H143" s="890">
        <v>0.33490312981171227</v>
      </c>
      <c r="I143" s="890">
        <v>9.2305649095071537E-2</v>
      </c>
      <c r="J143" s="890">
        <v>1.8476707600176036E-2</v>
      </c>
      <c r="K143" s="890">
        <v>2.8000610321697295E-3</v>
      </c>
      <c r="L143" s="890">
        <v>3.3567565093128252E-4</v>
      </c>
      <c r="M143" s="890">
        <v>3.3393600669848425E-5</v>
      </c>
      <c r="N143" s="890">
        <v>2.9035526474927469E-6</v>
      </c>
      <c r="O143" s="890">
        <v>2.3151147993615601E-7</v>
      </c>
      <c r="P143" s="890">
        <v>1.756631661948703E-8</v>
      </c>
      <c r="Q143" s="890">
        <v>1.3088204812633355E-9</v>
      </c>
      <c r="R143" s="890">
        <v>9.771535961371403E-11</v>
      </c>
      <c r="S143" s="890">
        <v>7.4296890132591449E-12</v>
      </c>
      <c r="T143" s="890">
        <v>5.8126378274844965E-13</v>
      </c>
      <c r="U143" s="890">
        <v>4.7113054299084918E-14</v>
      </c>
      <c r="V143" s="890">
        <v>3.9716992532323082E-15</v>
      </c>
      <c r="W143" s="890">
        <v>3.4876042881515769E-16</v>
      </c>
      <c r="X143" s="890">
        <v>3.1955772499665211E-17</v>
      </c>
      <c r="Y143" s="890">
        <v>3.0519281599979661E-18</v>
      </c>
      <c r="Z143" s="890">
        <v>3.0333953809282891E-19</v>
      </c>
      <c r="AA143" s="890">
        <v>3.133289425124958E-20</v>
      </c>
      <c r="AB143" s="890">
        <v>3.359615180108565E-21</v>
      </c>
      <c r="AC143" s="890">
        <v>3.733846862186686E-22</v>
      </c>
      <c r="AD143" s="540">
        <v>4.2944619999113841E-23</v>
      </c>
      <c r="AE143" s="540">
        <v>5.1041975179849459E-24</v>
      </c>
      <c r="AF143" s="540">
        <v>6.2605252053300612E-25</v>
      </c>
    </row>
    <row r="144" spans="1:32" x14ac:dyDescent="0.35">
      <c r="A144" s="1041"/>
      <c r="B144" s="1041" t="s">
        <v>51</v>
      </c>
      <c r="C144" s="1059"/>
      <c r="D144" s="1059"/>
      <c r="E144" s="1059"/>
      <c r="F144" s="1059"/>
      <c r="G144" s="1045"/>
      <c r="H144" s="890">
        <v>0.72554214981594467</v>
      </c>
      <c r="I144" s="890">
        <v>0.69233904513794942</v>
      </c>
      <c r="J144" s="890">
        <v>0.64863187048428605</v>
      </c>
      <c r="K144" s="890">
        <v>0.5959651996228551</v>
      </c>
      <c r="L144" s="890">
        <v>0.53655773380518013</v>
      </c>
      <c r="M144" s="890">
        <v>0.47317819743635159</v>
      </c>
      <c r="N144" s="890">
        <v>0.41150153276095935</v>
      </c>
      <c r="O144" s="890">
        <v>0.35434551424619865</v>
      </c>
      <c r="P144" s="890">
        <v>0.30078444807519228</v>
      </c>
      <c r="Q144" s="890">
        <v>0.25356313232981426</v>
      </c>
      <c r="R144" s="890">
        <v>0.21173829405759942</v>
      </c>
      <c r="S144" s="890">
        <v>0.17603650720881558</v>
      </c>
      <c r="T144" s="890">
        <v>0.14589119565468692</v>
      </c>
      <c r="U144" s="890">
        <v>0.12072442651233438</v>
      </c>
      <c r="V144" s="890">
        <v>9.982516946309257E-2</v>
      </c>
      <c r="W144" s="890">
        <v>8.2454234877563662E-2</v>
      </c>
      <c r="X144" s="890">
        <v>6.8293795514162356E-2</v>
      </c>
      <c r="Y144" s="890">
        <v>5.6638420702060141E-2</v>
      </c>
      <c r="Z144" s="890">
        <v>4.6977966592612767E-2</v>
      </c>
      <c r="AA144" s="890">
        <v>3.8968841652110016E-2</v>
      </c>
      <c r="AB144" s="890">
        <v>3.2360448827270218E-2</v>
      </c>
      <c r="AC144" s="890">
        <v>2.6903575421647431E-2</v>
      </c>
      <c r="AD144" s="540">
        <v>2.2385501514896749E-2</v>
      </c>
      <c r="AE144" s="540">
        <v>1.8640875288259497E-2</v>
      </c>
      <c r="AF144" s="540">
        <v>1.5534233205201585E-2</v>
      </c>
    </row>
    <row r="145" spans="1:32" x14ac:dyDescent="0.35">
      <c r="A145" s="1041"/>
      <c r="B145" s="1041" t="s">
        <v>52</v>
      </c>
      <c r="C145" s="1059"/>
      <c r="D145" s="1059"/>
      <c r="E145" s="1059"/>
      <c r="F145" s="1059"/>
      <c r="G145" s="1045"/>
      <c r="H145" s="890">
        <v>4.2095255156050158</v>
      </c>
      <c r="I145" s="890">
        <v>4.1889866515912235</v>
      </c>
      <c r="J145" s="890">
        <v>4.1315300923771945</v>
      </c>
      <c r="K145" s="890">
        <v>4.0396978141133237</v>
      </c>
      <c r="L145" s="890">
        <v>3.9240853017769433</v>
      </c>
      <c r="M145" s="890">
        <v>3.7759226821588925</v>
      </c>
      <c r="N145" s="890">
        <v>3.6168360099668306</v>
      </c>
      <c r="O145" s="890">
        <v>3.4627978398748063</v>
      </c>
      <c r="P145" s="890">
        <v>3.2939877586869057</v>
      </c>
      <c r="Q145" s="890">
        <v>3.132007393274959</v>
      </c>
      <c r="R145" s="890">
        <v>2.9658356263573702</v>
      </c>
      <c r="S145" s="890">
        <v>2.8070698457255556</v>
      </c>
      <c r="T145" s="890">
        <v>2.6555612395544439</v>
      </c>
      <c r="U145" s="890">
        <v>2.5086133697532365</v>
      </c>
      <c r="V145" s="890">
        <v>2.3748613427497309</v>
      </c>
      <c r="W145" s="890">
        <v>2.2436894015919422</v>
      </c>
      <c r="X145" s="890">
        <v>2.125590034192983</v>
      </c>
      <c r="Y145" s="890">
        <v>2.0187526056368563</v>
      </c>
      <c r="Z145" s="890">
        <v>1.9146936382957618</v>
      </c>
      <c r="AA145" s="890">
        <v>1.8163753701680749</v>
      </c>
      <c r="AB145" s="890">
        <v>1.7264933457872726</v>
      </c>
      <c r="AC145" s="890">
        <v>1.6403685326825255</v>
      </c>
      <c r="AD145" s="540">
        <v>1.5596968151617325</v>
      </c>
      <c r="AE145" s="540">
        <v>1.4853325201264524</v>
      </c>
      <c r="AF145" s="540">
        <v>1.4136711826677715</v>
      </c>
    </row>
    <row r="146" spans="1:32" x14ac:dyDescent="0.35">
      <c r="A146" s="1041"/>
      <c r="B146" s="1043" t="s">
        <v>29</v>
      </c>
      <c r="C146" s="1059"/>
      <c r="D146" s="1059"/>
      <c r="E146" s="1059"/>
      <c r="F146" s="1059"/>
      <c r="G146" s="1045"/>
      <c r="H146" s="890">
        <v>3.5626951282977632</v>
      </c>
      <c r="I146" s="890">
        <v>1.8807454662387819</v>
      </c>
      <c r="J146" s="890">
        <v>1.7294501092466263</v>
      </c>
      <c r="K146" s="890">
        <v>1.7792849553403258</v>
      </c>
      <c r="L146" s="890">
        <v>1.8947465063123381</v>
      </c>
      <c r="M146" s="890">
        <v>2.0219139310087755</v>
      </c>
      <c r="N146" s="890">
        <v>2.1667800030474087</v>
      </c>
      <c r="O146" s="890">
        <v>2.2814136009052151</v>
      </c>
      <c r="P146" s="890">
        <v>2.421288229440349</v>
      </c>
      <c r="Q146" s="890">
        <v>2.5631413535784224</v>
      </c>
      <c r="R146" s="890">
        <v>2.6471329098468814</v>
      </c>
      <c r="S146" s="890">
        <v>2.7536048044515242</v>
      </c>
      <c r="T146" s="890">
        <v>2.8278288889429435</v>
      </c>
      <c r="U146" s="890">
        <v>2.8962935469095883</v>
      </c>
      <c r="V146" s="890">
        <v>2.9807575574043104</v>
      </c>
      <c r="W146" s="890">
        <v>3.0319628409177537</v>
      </c>
      <c r="X146" s="890">
        <v>3.1114825205456551</v>
      </c>
      <c r="Y146" s="890">
        <v>3.1840504921596562</v>
      </c>
      <c r="Z146" s="890">
        <v>3.2460987242415209</v>
      </c>
      <c r="AA146" s="890">
        <v>3.3007283722898881</v>
      </c>
      <c r="AB146" s="890">
        <v>3.3596851131451464</v>
      </c>
      <c r="AC146" s="890">
        <v>3.4216766100636118</v>
      </c>
      <c r="AD146" s="540">
        <v>3.4790094266854945</v>
      </c>
      <c r="AE146" s="540">
        <v>3.5380789281693676</v>
      </c>
      <c r="AF146" s="540">
        <v>3.5946324181327083</v>
      </c>
    </row>
    <row r="147" spans="1:32" x14ac:dyDescent="0.35">
      <c r="A147" s="1041"/>
      <c r="B147" s="1043" t="s">
        <v>53</v>
      </c>
      <c r="C147" s="1059"/>
      <c r="D147" s="1059"/>
      <c r="E147" s="1059"/>
      <c r="F147" s="1059"/>
      <c r="G147" s="1045"/>
      <c r="H147" s="890">
        <v>0</v>
      </c>
      <c r="I147" s="890">
        <v>0</v>
      </c>
      <c r="J147" s="890">
        <v>0</v>
      </c>
      <c r="K147" s="890">
        <v>0</v>
      </c>
      <c r="L147" s="890">
        <v>0</v>
      </c>
      <c r="M147" s="890">
        <v>0</v>
      </c>
      <c r="N147" s="890">
        <v>0</v>
      </c>
      <c r="O147" s="890">
        <v>0</v>
      </c>
      <c r="P147" s="890">
        <v>0</v>
      </c>
      <c r="Q147" s="890">
        <v>0</v>
      </c>
      <c r="R147" s="890">
        <v>0</v>
      </c>
      <c r="S147" s="890">
        <v>0</v>
      </c>
      <c r="T147" s="890">
        <v>0</v>
      </c>
      <c r="U147" s="890">
        <v>0</v>
      </c>
      <c r="V147" s="890">
        <v>0</v>
      </c>
      <c r="W147" s="890">
        <v>0</v>
      </c>
      <c r="X147" s="890">
        <v>0</v>
      </c>
      <c r="Y147" s="890">
        <v>0</v>
      </c>
      <c r="Z147" s="890">
        <v>0</v>
      </c>
      <c r="AA147" s="890">
        <v>0</v>
      </c>
      <c r="AB147" s="890">
        <v>0</v>
      </c>
      <c r="AC147" s="890">
        <v>0</v>
      </c>
      <c r="AD147" s="540">
        <v>0</v>
      </c>
      <c r="AE147" s="540">
        <v>0</v>
      </c>
      <c r="AF147" s="540">
        <v>0</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BJ459"/>
  <sheetViews>
    <sheetView zoomScale="59" zoomScaleNormal="59" workbookViewId="0">
      <selection activeCell="H35" sqref="H35"/>
    </sheetView>
  </sheetViews>
  <sheetFormatPr defaultRowHeight="15" x14ac:dyDescent="0.25"/>
  <cols>
    <col min="1" max="1" width="10.85546875" customWidth="1"/>
    <col min="2" max="4" width="8.85546875" bestFit="1" customWidth="1"/>
    <col min="5" max="6" width="9.7109375" bestFit="1" customWidth="1"/>
  </cols>
  <sheetData>
    <row r="1" spans="1:62" s="1059" customFormat="1" ht="14.45" x14ac:dyDescent="0.35">
      <c r="A1" s="1082" t="s">
        <v>742</v>
      </c>
      <c r="B1" s="1082"/>
      <c r="C1" s="1082"/>
      <c r="D1" s="1082"/>
      <c r="E1" s="1082"/>
      <c r="F1" s="1082"/>
      <c r="G1" s="1082"/>
      <c r="H1" s="1082"/>
      <c r="I1" s="1082"/>
      <c r="J1" s="1082"/>
      <c r="K1" s="1082"/>
      <c r="L1" s="1082"/>
      <c r="M1" s="1082"/>
      <c r="N1" s="1082"/>
      <c r="O1" s="1082"/>
      <c r="P1" s="1082"/>
      <c r="Q1" s="1082"/>
      <c r="R1" s="1082"/>
      <c r="S1" s="1082"/>
      <c r="T1" s="1082"/>
      <c r="U1" s="1082"/>
      <c r="V1" s="1082"/>
      <c r="W1" s="1082"/>
      <c r="X1" s="1082"/>
      <c r="Y1" s="1082"/>
      <c r="Z1" s="1082"/>
      <c r="AA1" s="1082"/>
      <c r="AB1" s="1082"/>
      <c r="AC1" s="1082"/>
      <c r="AD1" s="1082"/>
      <c r="AE1" s="1082"/>
      <c r="AF1" s="1082"/>
    </row>
    <row r="2" spans="1:62" ht="14.45" x14ac:dyDescent="0.35">
      <c r="A2" s="1047" t="s">
        <v>497</v>
      </c>
      <c r="B2" s="1048"/>
      <c r="C2" s="1047"/>
      <c r="D2" s="1046"/>
      <c r="E2" s="1046"/>
      <c r="F2" s="1046"/>
      <c r="G2" s="1046"/>
      <c r="H2" s="862"/>
      <c r="I2" s="862"/>
      <c r="J2" s="862"/>
      <c r="K2" s="862"/>
      <c r="L2" s="862"/>
      <c r="M2" s="862"/>
      <c r="N2" s="862"/>
      <c r="O2" s="862"/>
      <c r="P2" s="862"/>
      <c r="Q2" s="862"/>
      <c r="R2" s="862"/>
      <c r="S2" s="862"/>
      <c r="T2" s="862"/>
      <c r="U2" s="862"/>
      <c r="V2" s="862"/>
      <c r="W2" s="862"/>
      <c r="X2" s="862"/>
      <c r="Y2" s="862"/>
      <c r="Z2" s="862"/>
      <c r="AA2" s="862"/>
      <c r="AB2" s="862"/>
      <c r="AC2" s="862"/>
      <c r="AD2" s="862"/>
      <c r="AE2" s="862"/>
      <c r="AF2" s="862"/>
    </row>
    <row r="3" spans="1:62" ht="14.45" x14ac:dyDescent="0.35">
      <c r="A3" s="1042" t="s">
        <v>12</v>
      </c>
      <c r="B3" s="1041"/>
      <c r="C3" s="1059"/>
      <c r="D3" s="1059"/>
      <c r="E3" s="1059"/>
      <c r="F3" s="1059"/>
      <c r="G3" s="1059"/>
      <c r="H3" s="1059"/>
      <c r="I3" s="1059"/>
      <c r="J3" s="1059"/>
      <c r="K3" s="1059"/>
      <c r="L3" s="1059"/>
      <c r="M3" s="1059"/>
      <c r="N3" s="1059"/>
      <c r="O3" s="1059"/>
      <c r="P3" s="1059"/>
      <c r="Q3" s="1059"/>
      <c r="R3" s="1059"/>
      <c r="S3" s="1059"/>
      <c r="T3" s="1059"/>
      <c r="U3" s="1059"/>
      <c r="V3" s="1059"/>
      <c r="W3" s="1059"/>
      <c r="X3" s="1059"/>
      <c r="Y3" s="1059"/>
      <c r="Z3" s="1059"/>
      <c r="AA3" s="1059"/>
      <c r="AB3" s="1059"/>
      <c r="AC3" s="1059"/>
      <c r="AD3" s="1059"/>
      <c r="AE3" s="1059"/>
      <c r="AF3" s="1059"/>
      <c r="AK3" t="s">
        <v>756</v>
      </c>
    </row>
    <row r="4" spans="1:62" ht="14.45" x14ac:dyDescent="0.35">
      <c r="A4" s="1041"/>
      <c r="B4" s="1041" t="s">
        <v>20</v>
      </c>
      <c r="C4" s="1059"/>
      <c r="D4" s="1059"/>
      <c r="E4" s="1059"/>
      <c r="F4" s="1059"/>
      <c r="G4" s="208">
        <v>2010</v>
      </c>
      <c r="H4" s="208">
        <v>2011</v>
      </c>
      <c r="I4" s="208">
        <v>2012</v>
      </c>
      <c r="J4" s="208">
        <v>2013</v>
      </c>
      <c r="K4" s="208">
        <v>2014</v>
      </c>
      <c r="L4" s="208">
        <v>2015</v>
      </c>
      <c r="M4" s="208">
        <v>2016</v>
      </c>
      <c r="N4" s="208">
        <v>2017</v>
      </c>
      <c r="O4" s="208">
        <v>2018</v>
      </c>
      <c r="P4" s="208">
        <v>2019</v>
      </c>
      <c r="Q4" s="208">
        <v>2020</v>
      </c>
      <c r="R4" s="208">
        <v>2021</v>
      </c>
      <c r="S4" s="208">
        <v>2022</v>
      </c>
      <c r="T4" s="208">
        <v>2023</v>
      </c>
      <c r="U4" s="208">
        <v>2024</v>
      </c>
      <c r="V4" s="208">
        <v>2025</v>
      </c>
      <c r="W4" s="208">
        <v>2026</v>
      </c>
      <c r="X4" s="208">
        <v>2027</v>
      </c>
      <c r="Y4" s="208">
        <v>2028</v>
      </c>
      <c r="Z4" s="208">
        <v>2029</v>
      </c>
      <c r="AA4" s="208">
        <v>2030</v>
      </c>
      <c r="AB4" s="208">
        <v>2031</v>
      </c>
      <c r="AC4" s="208">
        <v>2032</v>
      </c>
      <c r="AD4" s="208">
        <v>2033</v>
      </c>
      <c r="AE4" s="208">
        <v>2034</v>
      </c>
      <c r="AF4" s="208">
        <v>2035</v>
      </c>
      <c r="AL4" s="208">
        <v>2011</v>
      </c>
      <c r="AM4" s="208">
        <v>2012</v>
      </c>
      <c r="AN4" s="208">
        <v>2013</v>
      </c>
      <c r="AO4" s="208">
        <v>2014</v>
      </c>
      <c r="AP4" s="208">
        <v>2015</v>
      </c>
      <c r="AQ4" s="208">
        <v>2016</v>
      </c>
      <c r="AR4" s="208">
        <v>2017</v>
      </c>
      <c r="AS4" s="208">
        <v>2018</v>
      </c>
      <c r="AT4" s="208">
        <v>2019</v>
      </c>
      <c r="AU4" s="208">
        <v>2020</v>
      </c>
      <c r="AV4" s="208">
        <v>2021</v>
      </c>
      <c r="AW4" s="208">
        <v>2022</v>
      </c>
      <c r="AX4" s="208">
        <v>2023</v>
      </c>
      <c r="AY4" s="208">
        <v>2024</v>
      </c>
      <c r="AZ4" s="208">
        <v>2025</v>
      </c>
      <c r="BA4" s="208">
        <v>2026</v>
      </c>
      <c r="BB4" s="208">
        <v>2027</v>
      </c>
      <c r="BC4" s="208">
        <v>2028</v>
      </c>
      <c r="BD4" s="208">
        <v>2029</v>
      </c>
      <c r="BE4" s="208">
        <v>2030</v>
      </c>
      <c r="BF4" s="208">
        <v>2031</v>
      </c>
      <c r="BG4" s="208">
        <v>2032</v>
      </c>
      <c r="BH4" s="208">
        <v>2033</v>
      </c>
      <c r="BI4" s="208">
        <v>2034</v>
      </c>
      <c r="BJ4" s="208">
        <v>2035</v>
      </c>
    </row>
    <row r="5" spans="1:62" ht="14.45" x14ac:dyDescent="0.35">
      <c r="A5" s="843" t="s">
        <v>21</v>
      </c>
      <c r="B5" s="843"/>
      <c r="C5" s="843"/>
      <c r="D5" s="843"/>
      <c r="E5" s="843"/>
      <c r="F5" s="843"/>
      <c r="G5" s="843"/>
      <c r="H5" s="843"/>
      <c r="I5" s="843"/>
      <c r="J5" s="843"/>
      <c r="K5" s="843"/>
      <c r="L5" s="843"/>
      <c r="M5" s="843"/>
      <c r="N5" s="843"/>
      <c r="O5" s="843"/>
      <c r="P5" s="843"/>
      <c r="Q5" s="843"/>
      <c r="R5" s="843"/>
      <c r="S5" s="843"/>
      <c r="T5" s="843"/>
      <c r="U5" s="843"/>
      <c r="V5" s="843"/>
      <c r="W5" s="843"/>
      <c r="X5" s="843"/>
      <c r="Y5" s="843"/>
      <c r="Z5" s="843"/>
      <c r="AA5" s="843"/>
      <c r="AB5" s="843"/>
      <c r="AC5" s="843"/>
      <c r="AD5" s="843"/>
      <c r="AE5" s="843"/>
      <c r="AF5" s="843"/>
    </row>
    <row r="6" spans="1:62" ht="14.45" x14ac:dyDescent="0.35">
      <c r="A6" s="1041"/>
      <c r="B6" s="1041" t="s">
        <v>22</v>
      </c>
      <c r="C6" s="1059"/>
      <c r="D6" s="1059"/>
      <c r="E6" s="1059"/>
      <c r="F6" s="1059"/>
      <c r="G6" s="438"/>
      <c r="H6" s="890">
        <v>24.310851267053287</v>
      </c>
      <c r="I6" s="890">
        <v>21.287263906541298</v>
      </c>
      <c r="J6" s="890">
        <v>14.409605209386445</v>
      </c>
      <c r="K6" s="890">
        <v>9.9751815691045742</v>
      </c>
      <c r="L6" s="890">
        <v>6.3977233856126778</v>
      </c>
      <c r="M6" s="890">
        <v>2.3432171492723626</v>
      </c>
      <c r="N6" s="890">
        <v>1.9493432900171657</v>
      </c>
      <c r="O6" s="890">
        <v>1.6463985309483491</v>
      </c>
      <c r="P6" s="890">
        <v>1.4032775160157152</v>
      </c>
      <c r="Q6" s="890">
        <v>1.1814866587585648</v>
      </c>
      <c r="R6" s="890">
        <v>0.97589853924626713</v>
      </c>
      <c r="S6" s="890">
        <v>0.79769577660628688</v>
      </c>
      <c r="T6" s="890">
        <v>0.64524143477633555</v>
      </c>
      <c r="U6" s="890">
        <v>0.5175206611501787</v>
      </c>
      <c r="V6" s="890">
        <v>0.41669106117791532</v>
      </c>
      <c r="W6" s="890">
        <v>0.33564733270195457</v>
      </c>
      <c r="X6" s="890">
        <v>0.27125009911223363</v>
      </c>
      <c r="Y6" s="890">
        <v>0.22054631241846376</v>
      </c>
      <c r="Z6" s="890">
        <v>0.18161756140028829</v>
      </c>
      <c r="AA6" s="890">
        <v>0.15201842537539753</v>
      </c>
      <c r="AB6" s="890">
        <v>0.12833083782316915</v>
      </c>
      <c r="AC6" s="890">
        <v>0.10949898282671944</v>
      </c>
      <c r="AD6" s="540">
        <v>9.4159017457330504E-2</v>
      </c>
      <c r="AE6" s="540">
        <v>8.1384381501629133E-2</v>
      </c>
      <c r="AF6" s="540">
        <v>6.9541310564875142E-2</v>
      </c>
      <c r="AK6" s="858" t="s">
        <v>753</v>
      </c>
    </row>
    <row r="7" spans="1:62" ht="14.45" x14ac:dyDescent="0.35">
      <c r="A7" s="1041"/>
      <c r="B7" s="1041" t="s">
        <v>26</v>
      </c>
      <c r="C7" s="1059"/>
      <c r="D7" s="1059"/>
      <c r="E7" s="1059"/>
      <c r="F7" s="1059"/>
      <c r="G7" s="438"/>
      <c r="H7" s="890">
        <v>0.42018461963890841</v>
      </c>
      <c r="I7" s="890">
        <v>1.8095023828253285</v>
      </c>
      <c r="J7" s="890">
        <v>5.4879376584670458</v>
      </c>
      <c r="K7" s="890">
        <v>7.7201119764251906</v>
      </c>
      <c r="L7" s="890">
        <v>8.2755877080257321</v>
      </c>
      <c r="M7" s="890">
        <v>8.6964676843347455</v>
      </c>
      <c r="N7" s="890">
        <v>7.523305722561787</v>
      </c>
      <c r="O7" s="890">
        <v>6.5853441187967379</v>
      </c>
      <c r="P7" s="890">
        <v>5.7966224725008715</v>
      </c>
      <c r="Q7" s="890">
        <v>5.0505398752761028</v>
      </c>
      <c r="R7" s="890">
        <v>4.3315921176386087</v>
      </c>
      <c r="S7" s="890">
        <v>3.6843414830654417</v>
      </c>
      <c r="T7" s="890">
        <v>3.109176650167421</v>
      </c>
      <c r="U7" s="890">
        <v>2.6102001946710924</v>
      </c>
      <c r="V7" s="890">
        <v>2.2033327732484822</v>
      </c>
      <c r="W7" s="890">
        <v>1.8662233806983097</v>
      </c>
      <c r="X7" s="890">
        <v>1.590111137552457</v>
      </c>
      <c r="Y7" s="890">
        <v>1.3663881157672413</v>
      </c>
      <c r="Z7" s="890">
        <v>1.1906337260747961</v>
      </c>
      <c r="AA7" s="890">
        <v>1.0547351175168489</v>
      </c>
      <c r="AB7" s="890">
        <v>0.94433816135551063</v>
      </c>
      <c r="AC7" s="890">
        <v>0.8532965837066333</v>
      </c>
      <c r="AD7" s="540">
        <v>0.77710508953939983</v>
      </c>
      <c r="AE7" s="540">
        <v>0.71157039607284422</v>
      </c>
      <c r="AF7" s="540">
        <v>0.64702795063653307</v>
      </c>
      <c r="AK7" t="s">
        <v>13</v>
      </c>
      <c r="AL7">
        <v>0.88383322555717259</v>
      </c>
      <c r="AM7">
        <v>0.80891358609747011</v>
      </c>
      <c r="AN7">
        <v>0.74779897978633536</v>
      </c>
      <c r="AO7">
        <v>0.70037692057729639</v>
      </c>
      <c r="AP7">
        <v>0.74566095064096427</v>
      </c>
      <c r="AQ7">
        <v>0.7885674617016375</v>
      </c>
      <c r="AR7">
        <v>0.82835852592393133</v>
      </c>
      <c r="AS7">
        <v>0.86399900585746803</v>
      </c>
      <c r="AT7">
        <v>0.89490863111572794</v>
      </c>
      <c r="AU7">
        <v>0.92086317295497855</v>
      </c>
      <c r="AV7">
        <v>0.94169002766194898</v>
      </c>
      <c r="AW7">
        <v>0.95733961776830712</v>
      </c>
      <c r="AX7">
        <v>0.96831452592876988</v>
      </c>
      <c r="AY7">
        <v>0.9749183436619776</v>
      </c>
      <c r="AZ7">
        <v>0.97753372950355899</v>
      </c>
      <c r="BA7">
        <v>0.97676732623338092</v>
      </c>
      <c r="BB7">
        <v>0.97299257465874811</v>
      </c>
      <c r="BC7">
        <v>0.96658232615601136</v>
      </c>
      <c r="BD7">
        <v>0.95791843894579909</v>
      </c>
      <c r="BE7">
        <v>0.94748467049327068</v>
      </c>
      <c r="BF7">
        <v>0.93571010570832625</v>
      </c>
      <c r="BG7">
        <v>0.92303361443474152</v>
      </c>
      <c r="BH7">
        <v>0.90944200504267325</v>
      </c>
      <c r="BI7">
        <v>0.89516332955817701</v>
      </c>
      <c r="BJ7">
        <v>0.87938567822206726</v>
      </c>
    </row>
    <row r="8" spans="1:62" ht="14.45" x14ac:dyDescent="0.35">
      <c r="A8" s="1041"/>
      <c r="B8" s="1041" t="s">
        <v>27</v>
      </c>
      <c r="C8" s="1059"/>
      <c r="D8" s="1059"/>
      <c r="E8" s="1059"/>
      <c r="F8" s="1059"/>
      <c r="G8" s="438"/>
      <c r="H8" s="890">
        <v>10.57309816942379</v>
      </c>
      <c r="I8" s="890">
        <v>10.74885047198438</v>
      </c>
      <c r="J8" s="890">
        <v>12.578480894363668</v>
      </c>
      <c r="K8" s="890">
        <v>12.538698825109583</v>
      </c>
      <c r="L8" s="890">
        <v>13.40103046204354</v>
      </c>
      <c r="M8" s="890">
        <v>14.482326119487109</v>
      </c>
      <c r="N8" s="890">
        <v>12.95692675553906</v>
      </c>
      <c r="O8" s="890">
        <v>11.635445177705652</v>
      </c>
      <c r="P8" s="890">
        <v>10.387579159052923</v>
      </c>
      <c r="Q8" s="890">
        <v>9.2362778610817262</v>
      </c>
      <c r="R8" s="890">
        <v>8.1525438191334842</v>
      </c>
      <c r="S8" s="890">
        <v>7.1396018176669918</v>
      </c>
      <c r="T8" s="890">
        <v>6.2196148076724391</v>
      </c>
      <c r="U8" s="890">
        <v>5.4132937608200731</v>
      </c>
      <c r="V8" s="890">
        <v>4.7299748539627284</v>
      </c>
      <c r="W8" s="890">
        <v>4.1647634578413868</v>
      </c>
      <c r="X8" s="890">
        <v>3.7014716799757066</v>
      </c>
      <c r="Y8" s="890">
        <v>3.3288441220271605</v>
      </c>
      <c r="Z8" s="890">
        <v>3.035848166859707</v>
      </c>
      <c r="AA8" s="890">
        <v>2.8094918791678691</v>
      </c>
      <c r="AB8" s="890">
        <v>2.6373860782843797</v>
      </c>
      <c r="AC8" s="890">
        <v>2.4952065809604416</v>
      </c>
      <c r="AD8" s="540">
        <v>2.3800746302828015</v>
      </c>
      <c r="AE8" s="540">
        <v>2.2860547091950312</v>
      </c>
      <c r="AF8" s="540">
        <v>2.2045611335219739</v>
      </c>
      <c r="AK8" t="s">
        <v>751</v>
      </c>
      <c r="AL8">
        <v>95.219839472075591</v>
      </c>
      <c r="AM8">
        <v>90.442772596621992</v>
      </c>
      <c r="AN8">
        <v>87.763949880254515</v>
      </c>
      <c r="AO8">
        <v>87.282155608992881</v>
      </c>
      <c r="AP8">
        <v>91.287067533375094</v>
      </c>
      <c r="AQ8">
        <v>94.263614593175646</v>
      </c>
      <c r="AR8">
        <v>96.130124258983685</v>
      </c>
      <c r="AS8">
        <v>97.266908814928556</v>
      </c>
      <c r="AT8">
        <v>97.853105405516359</v>
      </c>
      <c r="AU8">
        <v>97.807982050747341</v>
      </c>
      <c r="AV8">
        <v>97.241308854423963</v>
      </c>
      <c r="AW8">
        <v>96.125871768922821</v>
      </c>
      <c r="AX8">
        <v>94.566339584582693</v>
      </c>
      <c r="AY8">
        <v>92.632895782198744</v>
      </c>
      <c r="AZ8">
        <v>90.548051174732535</v>
      </c>
      <c r="BA8">
        <v>88.376092643868176</v>
      </c>
      <c r="BB8">
        <v>85.812998000747882</v>
      </c>
      <c r="BC8">
        <v>83.261332054608388</v>
      </c>
      <c r="BD8">
        <v>80.718832511706395</v>
      </c>
      <c r="BE8">
        <v>78.163057677978017</v>
      </c>
      <c r="BF8">
        <v>75.715731647068509</v>
      </c>
      <c r="BG8">
        <v>73.352886370208807</v>
      </c>
      <c r="BH8">
        <v>71.053700583200822</v>
      </c>
      <c r="BI8">
        <v>68.900515505623375</v>
      </c>
      <c r="BJ8">
        <v>66.830061334783167</v>
      </c>
    </row>
    <row r="9" spans="1:62" ht="14.45" x14ac:dyDescent="0.35">
      <c r="A9" s="1041"/>
      <c r="B9" s="1041" t="s">
        <v>29</v>
      </c>
      <c r="C9" s="1059"/>
      <c r="D9" s="1059"/>
      <c r="E9" s="1059"/>
      <c r="F9" s="1059"/>
      <c r="G9" s="438"/>
      <c r="H9" s="890">
        <v>0.10207664996051932</v>
      </c>
      <c r="I9" s="890">
        <v>0.2587250769936098</v>
      </c>
      <c r="J9" s="890">
        <v>0.42147559652663541</v>
      </c>
      <c r="K9" s="890">
        <v>0.69070881323076505</v>
      </c>
      <c r="L9" s="890">
        <v>1.1023884640463</v>
      </c>
      <c r="M9" s="890">
        <v>1.7289849104329891</v>
      </c>
      <c r="N9" s="890">
        <v>2.4990597055151387</v>
      </c>
      <c r="O9" s="890">
        <v>3.4582317056745171</v>
      </c>
      <c r="P9" s="890">
        <v>4.5496109425636062</v>
      </c>
      <c r="Q9" s="890">
        <v>5.7140527916218105</v>
      </c>
      <c r="R9" s="890">
        <v>6.850545587496855</v>
      </c>
      <c r="S9" s="890">
        <v>7.8993800308088122</v>
      </c>
      <c r="T9" s="890">
        <v>8.7986851014788989</v>
      </c>
      <c r="U9" s="890">
        <v>9.5290127253039998</v>
      </c>
      <c r="V9" s="890">
        <v>10.09193903598549</v>
      </c>
      <c r="W9" s="890">
        <v>10.505045157513463</v>
      </c>
      <c r="X9" s="890">
        <v>10.783533335269013</v>
      </c>
      <c r="Y9" s="890">
        <v>10.965701158344547</v>
      </c>
      <c r="Z9" s="890">
        <v>11.090044381663274</v>
      </c>
      <c r="AA9" s="890">
        <v>11.184324480296931</v>
      </c>
      <c r="AB9" s="890">
        <v>11.285746961986987</v>
      </c>
      <c r="AC9" s="890">
        <v>11.339822855303559</v>
      </c>
      <c r="AD9" s="540">
        <v>11.378311264348461</v>
      </c>
      <c r="AE9" s="540">
        <v>11.412794587626941</v>
      </c>
      <c r="AF9" s="540">
        <v>11.456972479491473</v>
      </c>
      <c r="AK9" t="s">
        <v>15</v>
      </c>
      <c r="AL9">
        <v>27.292499981063646</v>
      </c>
      <c r="AM9">
        <v>26.393468174109895</v>
      </c>
      <c r="AN9">
        <v>25.629431884254476</v>
      </c>
      <c r="AO9">
        <v>25.034069987475917</v>
      </c>
      <c r="AP9">
        <v>24.784628654852586</v>
      </c>
      <c r="AQ9">
        <v>24.408311711434511</v>
      </c>
      <c r="AR9">
        <v>23.911600972623827</v>
      </c>
      <c r="AS9">
        <v>23.345358748121331</v>
      </c>
      <c r="AT9">
        <v>22.724018823677358</v>
      </c>
      <c r="AU9">
        <v>22.069309496739024</v>
      </c>
      <c r="AV9">
        <v>21.390300621045025</v>
      </c>
      <c r="AW9">
        <v>20.700540432886484</v>
      </c>
      <c r="AX9">
        <v>20.022762371445779</v>
      </c>
      <c r="AY9">
        <v>19.35109764100724</v>
      </c>
      <c r="AZ9">
        <v>18.698515816559198</v>
      </c>
      <c r="BA9">
        <v>18.072571456334177</v>
      </c>
      <c r="BB9">
        <v>17.468140220093037</v>
      </c>
      <c r="BC9">
        <v>16.897840663078206</v>
      </c>
      <c r="BD9">
        <v>16.357017946490807</v>
      </c>
      <c r="BE9">
        <v>15.835697008596544</v>
      </c>
      <c r="BF9">
        <v>15.350836957700134</v>
      </c>
      <c r="BG9">
        <v>14.894230238258622</v>
      </c>
      <c r="BH9">
        <v>14.460436880730136</v>
      </c>
      <c r="BI9">
        <v>14.054961233881611</v>
      </c>
      <c r="BJ9">
        <v>13.672919806299467</v>
      </c>
    </row>
    <row r="10" spans="1:62" ht="14.45" x14ac:dyDescent="0.35">
      <c r="A10" s="1041"/>
      <c r="B10" s="1041"/>
      <c r="C10" s="1059"/>
      <c r="D10" s="1059"/>
      <c r="E10" s="1059"/>
      <c r="F10" s="1059"/>
      <c r="G10" s="1045"/>
      <c r="H10" s="890"/>
      <c r="I10" s="890"/>
      <c r="J10" s="890"/>
      <c r="K10" s="890"/>
      <c r="L10" s="890"/>
      <c r="M10" s="890"/>
      <c r="N10" s="890"/>
      <c r="O10" s="890"/>
      <c r="P10" s="890"/>
      <c r="Q10" s="890"/>
      <c r="R10" s="890"/>
      <c r="S10" s="890"/>
      <c r="T10" s="890"/>
      <c r="U10" s="890"/>
      <c r="V10" s="890"/>
      <c r="W10" s="890"/>
      <c r="X10" s="890"/>
      <c r="Y10" s="890"/>
      <c r="Z10" s="890"/>
      <c r="AA10" s="890"/>
      <c r="AB10" s="890"/>
      <c r="AC10" s="890"/>
      <c r="AD10" s="1059"/>
      <c r="AE10" s="1059"/>
      <c r="AF10" s="1059"/>
      <c r="AK10" t="s">
        <v>16</v>
      </c>
      <c r="AL10">
        <v>31.175196960531373</v>
      </c>
      <c r="AM10">
        <v>32.698605111794251</v>
      </c>
      <c r="AN10">
        <v>34.123732019121562</v>
      </c>
      <c r="AO10">
        <v>35.375939514177574</v>
      </c>
      <c r="AP10">
        <v>36.400476751626066</v>
      </c>
      <c r="AQ10">
        <v>37.097977425409766</v>
      </c>
      <c r="AR10">
        <v>37.491430461053596</v>
      </c>
      <c r="AS10">
        <v>37.620479842280204</v>
      </c>
      <c r="AT10">
        <v>37.558378190379848</v>
      </c>
      <c r="AU10">
        <v>37.277663248042472</v>
      </c>
      <c r="AV10">
        <v>36.819752729195272</v>
      </c>
      <c r="AW10">
        <v>36.1924337798118</v>
      </c>
      <c r="AX10">
        <v>35.433088911518354</v>
      </c>
      <c r="AY10">
        <v>34.579499995288877</v>
      </c>
      <c r="AZ10">
        <v>33.665698043303124</v>
      </c>
      <c r="BA10">
        <v>32.718100715095396</v>
      </c>
      <c r="BB10">
        <v>31.750317332772582</v>
      </c>
      <c r="BC10">
        <v>30.807811937578684</v>
      </c>
      <c r="BD10">
        <v>29.894962535500891</v>
      </c>
      <c r="BE10">
        <v>29.004550784624513</v>
      </c>
      <c r="BF10">
        <v>28.154636681091382</v>
      </c>
      <c r="BG10">
        <v>27.345461747790143</v>
      </c>
      <c r="BH10">
        <v>26.580421228138928</v>
      </c>
      <c r="BI10">
        <v>25.850961551661936</v>
      </c>
      <c r="BJ10">
        <v>25.170949055634075</v>
      </c>
    </row>
    <row r="11" spans="1:62" ht="14.45" x14ac:dyDescent="0.35">
      <c r="A11" s="843" t="s">
        <v>32</v>
      </c>
      <c r="B11" s="843"/>
      <c r="C11" s="843"/>
      <c r="D11" s="843"/>
      <c r="E11" s="843"/>
      <c r="F11" s="843"/>
      <c r="G11" s="865"/>
      <c r="H11" s="891"/>
      <c r="I11" s="891"/>
      <c r="J11" s="891"/>
      <c r="K11" s="891"/>
      <c r="L11" s="891"/>
      <c r="M11" s="891"/>
      <c r="N11" s="891"/>
      <c r="O11" s="891"/>
      <c r="P11" s="891"/>
      <c r="Q11" s="891"/>
      <c r="R11" s="891"/>
      <c r="S11" s="891"/>
      <c r="T11" s="891"/>
      <c r="U11" s="891"/>
      <c r="V11" s="891"/>
      <c r="W11" s="891"/>
      <c r="X11" s="891"/>
      <c r="Y11" s="891"/>
      <c r="Z11" s="891"/>
      <c r="AA11" s="891"/>
      <c r="AB11" s="891"/>
      <c r="AC11" s="891"/>
      <c r="AD11" s="843"/>
      <c r="AE11" s="843"/>
      <c r="AF11" s="843"/>
      <c r="AK11" t="s">
        <v>752</v>
      </c>
      <c r="AL11">
        <v>154.57136963922778</v>
      </c>
      <c r="AM11">
        <v>150.3437594686236</v>
      </c>
      <c r="AN11">
        <v>148.26491276341687</v>
      </c>
      <c r="AO11">
        <v>148.39254203122368</v>
      </c>
      <c r="AP11">
        <v>153.21783389049472</v>
      </c>
      <c r="AQ11">
        <v>156.55847119172154</v>
      </c>
      <c r="AR11">
        <v>158.36151421858506</v>
      </c>
      <c r="AS11">
        <v>159.09674641118755</v>
      </c>
      <c r="AT11">
        <v>159.03041105068928</v>
      </c>
      <c r="AU11">
        <v>158.07581796848382</v>
      </c>
      <c r="AV11">
        <v>156.39305223232623</v>
      </c>
      <c r="AW11">
        <v>153.97618559938942</v>
      </c>
      <c r="AX11">
        <v>150.99050539347559</v>
      </c>
      <c r="AY11">
        <v>147.53841176215684</v>
      </c>
      <c r="AZ11">
        <v>143.88979876409843</v>
      </c>
      <c r="BA11">
        <v>140.14353214153113</v>
      </c>
      <c r="BB11">
        <v>136.00444812827226</v>
      </c>
      <c r="BC11">
        <v>131.93356698142131</v>
      </c>
      <c r="BD11">
        <v>127.9287314326439</v>
      </c>
      <c r="BE11">
        <v>123.95079014169234</v>
      </c>
      <c r="BF11">
        <v>120.15691539156836</v>
      </c>
      <c r="BG11">
        <v>116.51561197069232</v>
      </c>
      <c r="BH11">
        <v>113.00400069711256</v>
      </c>
      <c r="BI11">
        <v>109.7016016207251</v>
      </c>
      <c r="BJ11">
        <v>106.55331587493876</v>
      </c>
    </row>
    <row r="12" spans="1:62" ht="14.45" x14ac:dyDescent="0.35">
      <c r="A12" s="1041"/>
      <c r="B12" s="1041" t="s">
        <v>33</v>
      </c>
      <c r="C12" s="1059"/>
      <c r="D12" s="1059"/>
      <c r="E12" s="1059"/>
      <c r="F12" s="1059"/>
      <c r="G12" s="1045"/>
      <c r="H12" s="890">
        <v>1.7371073873169274</v>
      </c>
      <c r="I12" s="890">
        <v>1.8727349381672247</v>
      </c>
      <c r="J12" s="890">
        <v>1.9734855791187704</v>
      </c>
      <c r="K12" s="890">
        <v>2.00589651536766</v>
      </c>
      <c r="L12" s="890">
        <v>1.8682783434233339</v>
      </c>
      <c r="M12" s="890">
        <v>1.6670794673506351</v>
      </c>
      <c r="N12" s="890">
        <v>1.4570328115649853</v>
      </c>
      <c r="O12" s="890">
        <v>1.2455519640608865</v>
      </c>
      <c r="P12" s="890">
        <v>1.0476698473483985</v>
      </c>
      <c r="Q12" s="890">
        <v>0.86008022496403014</v>
      </c>
      <c r="R12" s="890">
        <v>0.68979426662237098</v>
      </c>
      <c r="S12" s="890">
        <v>0.54732419635372698</v>
      </c>
      <c r="T12" s="890">
        <v>0.43083304568931491</v>
      </c>
      <c r="U12" s="890">
        <v>0.33805750164003168</v>
      </c>
      <c r="V12" s="890">
        <v>0.26804304398721207</v>
      </c>
      <c r="W12" s="890">
        <v>0.21438937133425276</v>
      </c>
      <c r="X12" s="890">
        <v>0.17371596853296656</v>
      </c>
      <c r="Y12" s="890">
        <v>0.1428766041577032</v>
      </c>
      <c r="Z12" s="890">
        <v>0.11999980154259376</v>
      </c>
      <c r="AA12" s="890">
        <v>0.10314030491618688</v>
      </c>
      <c r="AB12" s="890">
        <v>8.9937810600796697E-2</v>
      </c>
      <c r="AC12" s="890">
        <v>7.9297963905422458E-2</v>
      </c>
      <c r="AD12" s="540">
        <v>7.0649395982150073E-2</v>
      </c>
      <c r="AE12" s="540">
        <v>6.3273027338611482E-2</v>
      </c>
      <c r="AF12" s="540">
        <v>5.6031675617730134E-2</v>
      </c>
    </row>
    <row r="13" spans="1:62" ht="14.45" x14ac:dyDescent="0.35">
      <c r="A13" s="1043"/>
      <c r="B13" s="1043" t="s">
        <v>34</v>
      </c>
      <c r="C13" s="1059"/>
      <c r="D13" s="1059"/>
      <c r="E13" s="1059"/>
      <c r="F13" s="1059"/>
      <c r="G13" s="1045"/>
      <c r="H13" s="890">
        <v>3.4459036271108383</v>
      </c>
      <c r="I13" s="890">
        <v>3.2890695906291536</v>
      </c>
      <c r="J13" s="890">
        <v>3.0770377534609938</v>
      </c>
      <c r="K13" s="890">
        <v>2.8083182344196231</v>
      </c>
      <c r="L13" s="890">
        <v>2.6821087926681999</v>
      </c>
      <c r="M13" s="890">
        <v>2.5132753974140676</v>
      </c>
      <c r="N13" s="890">
        <v>2.2928914795280266</v>
      </c>
      <c r="O13" s="890">
        <v>2.0438247633495163</v>
      </c>
      <c r="P13" s="890">
        <v>1.7846875008241936</v>
      </c>
      <c r="Q13" s="890">
        <v>1.5321702418508329</v>
      </c>
      <c r="R13" s="890">
        <v>1.295799781044769</v>
      </c>
      <c r="S13" s="890">
        <v>1.087251297872974</v>
      </c>
      <c r="T13" s="890">
        <v>0.90842179267888556</v>
      </c>
      <c r="U13" s="890">
        <v>0.7600267857903753</v>
      </c>
      <c r="V13" s="890">
        <v>0.64236180250196773</v>
      </c>
      <c r="W13" s="890">
        <v>0.54931201267501173</v>
      </c>
      <c r="X13" s="890">
        <v>0.47660054609536706</v>
      </c>
      <c r="Y13" s="890">
        <v>0.42019144866046421</v>
      </c>
      <c r="Z13" s="890">
        <v>0.37767847391392662</v>
      </c>
      <c r="AA13" s="890">
        <v>0.3462725063034171</v>
      </c>
      <c r="AB13" s="890">
        <v>0.32250119807949912</v>
      </c>
      <c r="AC13" s="890">
        <v>0.30290697905999497</v>
      </c>
      <c r="AD13" s="540">
        <v>0.28719269391573415</v>
      </c>
      <c r="AE13" s="540">
        <v>0.27391906787525561</v>
      </c>
      <c r="AF13" s="540">
        <v>0.26066524878973973</v>
      </c>
      <c r="AK13" s="858" t="s">
        <v>754</v>
      </c>
    </row>
    <row r="14" spans="1:62" ht="14.45" x14ac:dyDescent="0.35">
      <c r="A14" s="1041"/>
      <c r="B14" s="1043" t="s">
        <v>35</v>
      </c>
      <c r="C14" s="1059"/>
      <c r="D14" s="1059"/>
      <c r="E14" s="1059"/>
      <c r="F14" s="1059"/>
      <c r="G14" s="1045"/>
      <c r="H14" s="890">
        <v>0.4996446136434407</v>
      </c>
      <c r="I14" s="890">
        <v>0.51258260507292297</v>
      </c>
      <c r="J14" s="890">
        <v>0.53751694804296168</v>
      </c>
      <c r="K14" s="890">
        <v>0.56613132819208578</v>
      </c>
      <c r="L14" s="890">
        <v>0.54670772578706539</v>
      </c>
      <c r="M14" s="890">
        <v>0.52755187684260707</v>
      </c>
      <c r="N14" s="890">
        <v>0.4924463689835607</v>
      </c>
      <c r="O14" s="890">
        <v>0.4482126885006914</v>
      </c>
      <c r="P14" s="890">
        <v>0.39782666106639741</v>
      </c>
      <c r="Q14" s="890">
        <v>0.34885761183063224</v>
      </c>
      <c r="R14" s="890">
        <v>0.30302514601869707</v>
      </c>
      <c r="S14" s="890">
        <v>0.26136396214034519</v>
      </c>
      <c r="T14" s="890">
        <v>0.22481897847157531</v>
      </c>
      <c r="U14" s="890">
        <v>0.19403070551503038</v>
      </c>
      <c r="V14" s="890">
        <v>0.16887881003666477</v>
      </c>
      <c r="W14" s="890">
        <v>0.14887223750110373</v>
      </c>
      <c r="X14" s="890">
        <v>0.13317293279985232</v>
      </c>
      <c r="Y14" s="890">
        <v>0.1210661750498976</v>
      </c>
      <c r="Z14" s="890">
        <v>0.11201592412762391</v>
      </c>
      <c r="AA14" s="890">
        <v>0.10544875494143174</v>
      </c>
      <c r="AB14" s="890">
        <v>0.10091416984334792</v>
      </c>
      <c r="AC14" s="890">
        <v>9.7236788243928687E-2</v>
      </c>
      <c r="AD14" s="540">
        <v>9.451992085147401E-2</v>
      </c>
      <c r="AE14" s="540">
        <v>9.247010106803441E-2</v>
      </c>
      <c r="AF14" s="540">
        <v>9.0794792883529457E-2</v>
      </c>
      <c r="AK14" s="584" t="s">
        <v>13</v>
      </c>
      <c r="AL14" s="584">
        <v>45.421137558321504</v>
      </c>
      <c r="AM14" s="584">
        <v>43.569152039544484</v>
      </c>
      <c r="AN14" s="584">
        <v>40.387194138838773</v>
      </c>
      <c r="AO14" s="584">
        <v>35.425040908994816</v>
      </c>
      <c r="AP14" s="584">
        <v>30.678730511061026</v>
      </c>
      <c r="AQ14" s="584">
        <v>26.687656649685138</v>
      </c>
      <c r="AR14" s="584">
        <v>23.142339054444918</v>
      </c>
      <c r="AS14" s="584">
        <v>20.780231647887032</v>
      </c>
      <c r="AT14" s="584">
        <v>19.030095688287965</v>
      </c>
      <c r="AU14" s="584">
        <v>17.591847380191126</v>
      </c>
      <c r="AV14" s="584">
        <v>16.288692448815848</v>
      </c>
      <c r="AW14" s="584">
        <v>15.045941572653293</v>
      </c>
      <c r="AX14" s="584">
        <v>13.865766466766539</v>
      </c>
      <c r="AY14" s="584">
        <v>12.758376953941371</v>
      </c>
      <c r="AZ14" s="584">
        <v>11.737428687055139</v>
      </c>
      <c r="BA14" s="584">
        <v>10.822981654959941</v>
      </c>
      <c r="BB14" s="584">
        <v>10.004800026241384</v>
      </c>
      <c r="BC14" s="584">
        <v>9.2901333572907454</v>
      </c>
      <c r="BD14" s="584">
        <v>8.6714940938716332</v>
      </c>
      <c r="BE14" s="584">
        <v>8.1429292757481324</v>
      </c>
      <c r="BF14" s="584">
        <v>7.6963712025072235</v>
      </c>
      <c r="BG14" s="584">
        <v>7.3266286964814968</v>
      </c>
      <c r="BH14" s="584">
        <v>7.0066934482645955</v>
      </c>
      <c r="BI14" s="584">
        <v>6.7328843745999176</v>
      </c>
      <c r="BJ14" s="584">
        <v>6.4980939545597405</v>
      </c>
    </row>
    <row r="15" spans="1:62" ht="14.45" x14ac:dyDescent="0.35">
      <c r="A15" s="1041"/>
      <c r="B15" s="1043" t="s">
        <v>29</v>
      </c>
      <c r="C15" s="1059"/>
      <c r="D15" s="1059"/>
      <c r="E15" s="1059"/>
      <c r="F15" s="1059"/>
      <c r="G15" s="1045"/>
      <c r="H15" s="890">
        <v>3.5379028390109507E-2</v>
      </c>
      <c r="I15" s="890">
        <v>0.11358675305953964</v>
      </c>
      <c r="J15" s="890">
        <v>0.27471156889010451</v>
      </c>
      <c r="K15" s="890">
        <v>0.52278805544442652</v>
      </c>
      <c r="L15" s="890">
        <v>0.81720777230803665</v>
      </c>
      <c r="M15" s="890">
        <v>1.1634556546181569</v>
      </c>
      <c r="N15" s="890">
        <v>1.5231242783286074</v>
      </c>
      <c r="O15" s="890">
        <v>1.8702791787819688</v>
      </c>
      <c r="P15" s="890">
        <v>2.1765608299758163</v>
      </c>
      <c r="Q15" s="890">
        <v>2.4318307247623849</v>
      </c>
      <c r="R15" s="890">
        <v>2.6243013859770832</v>
      </c>
      <c r="S15" s="890">
        <v>2.7562828711019032</v>
      </c>
      <c r="T15" s="890">
        <v>2.8318914850635051</v>
      </c>
      <c r="U15" s="890">
        <v>2.861795051268281</v>
      </c>
      <c r="V15" s="890">
        <v>2.8579888398139861</v>
      </c>
      <c r="W15" s="890">
        <v>2.8312338147639737</v>
      </c>
      <c r="X15" s="890">
        <v>2.7899189470635983</v>
      </c>
      <c r="Y15" s="890">
        <v>2.7431574639443443</v>
      </c>
      <c r="Z15" s="890">
        <v>2.6993525715533391</v>
      </c>
      <c r="AA15" s="890">
        <v>2.663280296769118</v>
      </c>
      <c r="AB15" s="890">
        <v>2.6413701197174264</v>
      </c>
      <c r="AC15" s="890">
        <v>2.6181497347012468</v>
      </c>
      <c r="AD15" s="540">
        <v>2.6021017955227137</v>
      </c>
      <c r="AE15" s="540">
        <v>2.5912691914954662</v>
      </c>
      <c r="AF15" s="540">
        <v>2.5885860746639526</v>
      </c>
      <c r="AK15" s="584" t="s">
        <v>751</v>
      </c>
      <c r="AL15" s="584">
        <v>68.462019435704207</v>
      </c>
      <c r="AM15" s="584">
        <v>72.763837342073799</v>
      </c>
      <c r="AN15" s="584">
        <v>75.674451031036341</v>
      </c>
      <c r="AO15" s="584">
        <v>75.901955321071199</v>
      </c>
      <c r="AP15" s="584">
        <v>71.17302487896724</v>
      </c>
      <c r="AQ15" s="584">
        <v>66.84206914942402</v>
      </c>
      <c r="AR15" s="584">
        <v>62.655695891973366</v>
      </c>
      <c r="AS15" s="584">
        <v>58.820033260359544</v>
      </c>
      <c r="AT15" s="584">
        <v>55.410805542289502</v>
      </c>
      <c r="AU15" s="584">
        <v>52.298459364133059</v>
      </c>
      <c r="AV15" s="584">
        <v>49.440320799172504</v>
      </c>
      <c r="AW15" s="584">
        <v>46.864861096271248</v>
      </c>
      <c r="AX15" s="584">
        <v>44.484074052430671</v>
      </c>
      <c r="AY15" s="584">
        <v>42.336464047772871</v>
      </c>
      <c r="AZ15" s="584">
        <v>39.849224323265695</v>
      </c>
      <c r="BA15" s="584">
        <v>37.625463779235062</v>
      </c>
      <c r="BB15" s="584">
        <v>35.9455413696801</v>
      </c>
      <c r="BC15" s="584">
        <v>34.031304096089606</v>
      </c>
      <c r="BD15" s="584">
        <v>32.312364164014141</v>
      </c>
      <c r="BE15" s="584">
        <v>31.043701380337673</v>
      </c>
      <c r="BF15" s="584">
        <v>29.556025115045585</v>
      </c>
      <c r="BG15" s="584">
        <v>28.206619369278478</v>
      </c>
      <c r="BH15" s="584">
        <v>27.250708026184785</v>
      </c>
      <c r="BI15" s="584">
        <v>26.111411991061878</v>
      </c>
      <c r="BJ15" s="584">
        <v>25.299532780830109</v>
      </c>
    </row>
    <row r="16" spans="1:62" ht="14.45" x14ac:dyDescent="0.35">
      <c r="A16" s="1041"/>
      <c r="B16" s="1041"/>
      <c r="C16" s="1059"/>
      <c r="D16" s="1059"/>
      <c r="E16" s="1059"/>
      <c r="F16" s="1059"/>
      <c r="G16" s="1045"/>
      <c r="H16" s="890"/>
      <c r="I16" s="890"/>
      <c r="J16" s="890"/>
      <c r="K16" s="890"/>
      <c r="L16" s="890"/>
      <c r="M16" s="890"/>
      <c r="N16" s="890"/>
      <c r="O16" s="890"/>
      <c r="P16" s="890"/>
      <c r="Q16" s="890"/>
      <c r="R16" s="890"/>
      <c r="S16" s="890"/>
      <c r="T16" s="890"/>
      <c r="U16" s="890"/>
      <c r="V16" s="890"/>
      <c r="W16" s="890"/>
      <c r="X16" s="890"/>
      <c r="Y16" s="890"/>
      <c r="Z16" s="890"/>
      <c r="AA16" s="890"/>
      <c r="AB16" s="890"/>
      <c r="AC16" s="890"/>
      <c r="AD16" s="1059"/>
      <c r="AE16" s="1059"/>
      <c r="AF16" s="1059"/>
      <c r="AK16" s="584" t="s">
        <v>15</v>
      </c>
      <c r="AL16" s="584">
        <v>9.4434510343658982</v>
      </c>
      <c r="AM16" s="584">
        <v>9.7220406725931863</v>
      </c>
      <c r="AN16" s="584">
        <v>9.8192294620097638</v>
      </c>
      <c r="AO16" s="584">
        <v>9.6923244555977757</v>
      </c>
      <c r="AP16" s="584">
        <v>9.1135731166123062</v>
      </c>
      <c r="AQ16" s="584">
        <v>8.6236904149330851</v>
      </c>
      <c r="AR16" s="584">
        <v>8.1935885840019882</v>
      </c>
      <c r="AS16" s="584">
        <v>7.8092205215512429</v>
      </c>
      <c r="AT16" s="584">
        <v>7.4564065587126676</v>
      </c>
      <c r="AU16" s="584">
        <v>7.1279660485671084</v>
      </c>
      <c r="AV16" s="584">
        <v>6.8179827431332836</v>
      </c>
      <c r="AW16" s="584">
        <v>6.5233636236742001</v>
      </c>
      <c r="AX16" s="584">
        <v>6.1950202244687995</v>
      </c>
      <c r="AY16" s="584">
        <v>5.9086030970863606</v>
      </c>
      <c r="AZ16" s="584">
        <v>5.6174449052464261</v>
      </c>
      <c r="BA16" s="584">
        <v>5.3250599474969622</v>
      </c>
      <c r="BB16" s="584">
        <v>5.0891240534668087</v>
      </c>
      <c r="BC16" s="584">
        <v>4.8343561120500516</v>
      </c>
      <c r="BD16" s="584">
        <v>4.598443086941912</v>
      </c>
      <c r="BE16" s="584">
        <v>4.4242697401761966</v>
      </c>
      <c r="BF16" s="584">
        <v>4.2185236558211274</v>
      </c>
      <c r="BG16" s="584">
        <v>4.0283125035088414</v>
      </c>
      <c r="BH16" s="584">
        <v>3.8744321360203822</v>
      </c>
      <c r="BI16" s="584">
        <v>3.7094133362457717</v>
      </c>
      <c r="BJ16" s="584">
        <v>3.5564694006784943</v>
      </c>
    </row>
    <row r="17" spans="1:62" ht="14.45" x14ac:dyDescent="0.35">
      <c r="A17" s="843" t="s">
        <v>36</v>
      </c>
      <c r="B17" s="843"/>
      <c r="C17" s="843"/>
      <c r="D17" s="843"/>
      <c r="E17" s="843"/>
      <c r="F17" s="843"/>
      <c r="G17" s="865"/>
      <c r="H17" s="891"/>
      <c r="I17" s="891"/>
      <c r="J17" s="891"/>
      <c r="K17" s="891"/>
      <c r="L17" s="891"/>
      <c r="M17" s="891"/>
      <c r="N17" s="891"/>
      <c r="O17" s="891"/>
      <c r="P17" s="891"/>
      <c r="Q17" s="891"/>
      <c r="R17" s="891"/>
      <c r="S17" s="891"/>
      <c r="T17" s="891"/>
      <c r="U17" s="891"/>
      <c r="V17" s="891"/>
      <c r="W17" s="891"/>
      <c r="X17" s="891"/>
      <c r="Y17" s="891"/>
      <c r="Z17" s="891"/>
      <c r="AA17" s="891"/>
      <c r="AB17" s="891"/>
      <c r="AC17" s="891"/>
      <c r="AD17" s="843"/>
      <c r="AE17" s="843"/>
      <c r="AF17" s="843"/>
      <c r="AK17" s="775" t="s">
        <v>16</v>
      </c>
      <c r="AL17" s="775">
        <v>15.564325731424919</v>
      </c>
      <c r="AM17" s="775">
        <v>13.174117902373956</v>
      </c>
      <c r="AN17" s="775">
        <v>12.737192244478328</v>
      </c>
      <c r="AO17" s="775">
        <v>12.624155742836425</v>
      </c>
      <c r="AP17" s="775">
        <v>12.570840900257032</v>
      </c>
      <c r="AQ17" s="775">
        <v>12.507331513231733</v>
      </c>
      <c r="AR17" s="775">
        <v>12.400743976486357</v>
      </c>
      <c r="AS17" s="775">
        <v>12.206354872448548</v>
      </c>
      <c r="AT17" s="775">
        <v>12.045081685442419</v>
      </c>
      <c r="AU17" s="775">
        <v>11.850294197299947</v>
      </c>
      <c r="AV17" s="775">
        <v>11.601551763287922</v>
      </c>
      <c r="AW17" s="775">
        <v>11.358095215286642</v>
      </c>
      <c r="AX17" s="775">
        <v>11.072973010345871</v>
      </c>
      <c r="AY17" s="775">
        <v>10.772539400354921</v>
      </c>
      <c r="AZ17" s="775">
        <v>10.500779767943929</v>
      </c>
      <c r="BA17" s="775">
        <v>10.207526110550891</v>
      </c>
      <c r="BB17" s="775">
        <v>9.934237657038123</v>
      </c>
      <c r="BC17" s="775">
        <v>9.6178331415114116</v>
      </c>
      <c r="BD17" s="775">
        <v>9.3181053980559607</v>
      </c>
      <c r="BE17" s="775">
        <v>9.088268651888523</v>
      </c>
      <c r="BF17" s="775">
        <v>8.8328570814914364</v>
      </c>
      <c r="BG17" s="775">
        <v>8.5952632320263653</v>
      </c>
      <c r="BH17" s="775">
        <v>8.3730909973906389</v>
      </c>
      <c r="BI17" s="775">
        <v>8.2131708637823913</v>
      </c>
      <c r="BJ17" s="775">
        <v>8.0242584896358533</v>
      </c>
    </row>
    <row r="18" spans="1:62" ht="14.45" x14ac:dyDescent="0.35">
      <c r="A18" s="1041"/>
      <c r="B18" s="1041" t="s">
        <v>37</v>
      </c>
      <c r="C18" s="1059"/>
      <c r="D18" s="1059"/>
      <c r="E18" s="1059"/>
      <c r="F18" s="1059"/>
      <c r="G18" s="540"/>
      <c r="H18" s="890">
        <v>0.68111216070113267</v>
      </c>
      <c r="I18" s="890">
        <v>0.53635103210699053</v>
      </c>
      <c r="J18" s="890">
        <v>0.40267157156141437</v>
      </c>
      <c r="K18" s="890">
        <v>0.27924881649776623</v>
      </c>
      <c r="L18" s="890">
        <v>0.25088451568247983</v>
      </c>
      <c r="M18" s="890">
        <v>0.22592604793300655</v>
      </c>
      <c r="N18" s="890">
        <v>0.20515852620647226</v>
      </c>
      <c r="O18" s="890">
        <v>0.18907389344173806</v>
      </c>
      <c r="P18" s="890">
        <v>0.17433052412232267</v>
      </c>
      <c r="Q18" s="890">
        <v>0.16079007479222393</v>
      </c>
      <c r="R18" s="890">
        <v>0.14834243193848415</v>
      </c>
      <c r="S18" s="890">
        <v>0.1369013812282934</v>
      </c>
      <c r="T18" s="890">
        <v>0.12637491454483316</v>
      </c>
      <c r="U18" s="890">
        <v>0.1166846334875222</v>
      </c>
      <c r="V18" s="890">
        <v>0.10776466547927872</v>
      </c>
      <c r="W18" s="890">
        <v>9.954620839343703E-2</v>
      </c>
      <c r="X18" s="890">
        <v>9.1971928605457304E-2</v>
      </c>
      <c r="Y18" s="890">
        <v>8.4989335695112758E-2</v>
      </c>
      <c r="Z18" s="890">
        <v>7.8552391127021781E-2</v>
      </c>
      <c r="AA18" s="890">
        <v>7.2617466268974043E-2</v>
      </c>
      <c r="AB18" s="890">
        <v>6.7142266873651268E-2</v>
      </c>
      <c r="AC18" s="890">
        <v>6.2088832081480354E-2</v>
      </c>
      <c r="AD18" s="540">
        <v>5.7424423878418951E-2</v>
      </c>
      <c r="AE18" s="540">
        <v>5.3117696858274381E-2</v>
      </c>
      <c r="AF18" s="540">
        <v>4.9137851110873876E-2</v>
      </c>
      <c r="AK18" t="s">
        <v>752</v>
      </c>
      <c r="AL18">
        <v>138.89093375981653</v>
      </c>
      <c r="AM18">
        <v>139.22914795658542</v>
      </c>
      <c r="AN18">
        <v>138.6180668763632</v>
      </c>
      <c r="AO18">
        <v>133.64347642850021</v>
      </c>
      <c r="AP18">
        <v>123.53616940689761</v>
      </c>
      <c r="AQ18">
        <v>114.66074772727397</v>
      </c>
      <c r="AR18">
        <v>106.39236750690662</v>
      </c>
      <c r="AS18">
        <v>99.615840302246355</v>
      </c>
      <c r="AT18">
        <v>93.942389474732551</v>
      </c>
      <c r="AU18">
        <v>88.868566990191241</v>
      </c>
      <c r="AV18">
        <v>84.148547754409549</v>
      </c>
      <c r="AW18">
        <v>79.792261507885385</v>
      </c>
      <c r="AX18">
        <v>75.617833754011883</v>
      </c>
      <c r="AY18">
        <v>71.775983499155529</v>
      </c>
      <c r="AZ18">
        <v>67.704877683511185</v>
      </c>
      <c r="BA18">
        <v>63.981031492242849</v>
      </c>
      <c r="BB18">
        <v>60.97370310642642</v>
      </c>
      <c r="BC18">
        <v>57.773626706941819</v>
      </c>
      <c r="BD18">
        <v>54.900406742883646</v>
      </c>
      <c r="BE18">
        <v>52.699169048150523</v>
      </c>
      <c r="BF18">
        <v>50.303777054865378</v>
      </c>
      <c r="BG18">
        <v>48.156823801295189</v>
      </c>
      <c r="BH18">
        <v>46.504924607860403</v>
      </c>
      <c r="BI18">
        <v>44.766880565689959</v>
      </c>
      <c r="BJ18">
        <v>43.378354625704198</v>
      </c>
    </row>
    <row r="19" spans="1:62" ht="14.45" x14ac:dyDescent="0.35">
      <c r="A19" s="1041"/>
      <c r="B19" s="1041" t="s">
        <v>39</v>
      </c>
      <c r="C19" s="1059"/>
      <c r="D19" s="1059"/>
      <c r="E19" s="1059"/>
      <c r="F19" s="1059"/>
      <c r="G19" s="540"/>
      <c r="H19" s="890">
        <v>1.7313085550534499</v>
      </c>
      <c r="I19" s="890">
        <v>1.81513890908621</v>
      </c>
      <c r="J19" s="890">
        <v>1.8665555497812814</v>
      </c>
      <c r="K19" s="890">
        <v>1.9220663495679684</v>
      </c>
      <c r="L19" s="890">
        <v>1.9108126342854597</v>
      </c>
      <c r="M19" s="890">
        <v>1.8864077966827086</v>
      </c>
      <c r="N19" s="890">
        <v>1.8144778400879398</v>
      </c>
      <c r="O19" s="890">
        <v>1.7360452080468609</v>
      </c>
      <c r="P19" s="890">
        <v>1.6569273800539266</v>
      </c>
      <c r="Q19" s="890">
        <v>1.5784351562209622</v>
      </c>
      <c r="R19" s="890">
        <v>1.5011048400995095</v>
      </c>
      <c r="S19" s="890">
        <v>1.4310775350465814</v>
      </c>
      <c r="T19" s="890">
        <v>1.3650064263681125</v>
      </c>
      <c r="U19" s="890">
        <v>1.3034178952368651</v>
      </c>
      <c r="V19" s="890">
        <v>1.2487574792555833</v>
      </c>
      <c r="W19" s="890">
        <v>1.1982262855789492</v>
      </c>
      <c r="X19" s="890">
        <v>1.1516905814282228</v>
      </c>
      <c r="Y19" s="890">
        <v>1.1092538675803294</v>
      </c>
      <c r="Z19" s="890">
        <v>1.0722488501301315</v>
      </c>
      <c r="AA19" s="890">
        <v>1.0406405034121458</v>
      </c>
      <c r="AB19" s="890">
        <v>1.0136543815951322</v>
      </c>
      <c r="AC19" s="890">
        <v>0.98709315450448964</v>
      </c>
      <c r="AD19" s="540">
        <v>0.96273273199507314</v>
      </c>
      <c r="AE19" s="540">
        <v>0.94000460537937958</v>
      </c>
      <c r="AF19" s="540">
        <v>0.91726860950898192</v>
      </c>
    </row>
    <row r="20" spans="1:62" ht="14.45" x14ac:dyDescent="0.35">
      <c r="A20" s="1041"/>
      <c r="B20" s="1041" t="s">
        <v>40</v>
      </c>
      <c r="C20" s="1059"/>
      <c r="D20" s="1059"/>
      <c r="E20" s="1059"/>
      <c r="F20" s="1059"/>
      <c r="G20" s="540"/>
      <c r="H20" s="890">
        <v>0.38206267483832523</v>
      </c>
      <c r="I20" s="890">
        <v>0.51620158170142882</v>
      </c>
      <c r="J20" s="890">
        <v>0.66160933106152853</v>
      </c>
      <c r="K20" s="890">
        <v>0.75892743250066763</v>
      </c>
      <c r="L20" s="890">
        <v>0.82137023022512168</v>
      </c>
      <c r="M20" s="890">
        <v>0.86804707481233367</v>
      </c>
      <c r="N20" s="890">
        <v>0.9233603492653919</v>
      </c>
      <c r="O20" s="890">
        <v>0.96024828386774286</v>
      </c>
      <c r="P20" s="890">
        <v>0.98127643102359008</v>
      </c>
      <c r="Q20" s="890">
        <v>0.98614161620452467</v>
      </c>
      <c r="R20" s="890">
        <v>0.97676285006217345</v>
      </c>
      <c r="S20" s="890">
        <v>0.96065571367389269</v>
      </c>
      <c r="T20" s="890">
        <v>0.93798792469769054</v>
      </c>
      <c r="U20" s="890">
        <v>0.91120214540433675</v>
      </c>
      <c r="V20" s="890">
        <v>0.88448105079626083</v>
      </c>
      <c r="W20" s="890">
        <v>0.8566873150943356</v>
      </c>
      <c r="X20" s="890">
        <v>0.82886877531869618</v>
      </c>
      <c r="Y20" s="890">
        <v>0.80184505136375672</v>
      </c>
      <c r="Z20" s="890">
        <v>0.77737440712613703</v>
      </c>
      <c r="AA20" s="890">
        <v>0.75591460999911175</v>
      </c>
      <c r="AB20" s="890">
        <v>0.73673121252973406</v>
      </c>
      <c r="AC20" s="890">
        <v>0.71735982980001012</v>
      </c>
      <c r="AD20" s="540">
        <v>0.69908642324468051</v>
      </c>
      <c r="AE20" s="540">
        <v>0.68151375179986817</v>
      </c>
      <c r="AF20" s="540">
        <v>0.66231987949084825</v>
      </c>
      <c r="AK20" s="1139" t="s">
        <v>755</v>
      </c>
      <c r="AL20" s="584"/>
      <c r="AM20" s="584"/>
      <c r="AN20" s="584"/>
      <c r="AO20" s="584"/>
      <c r="AP20" s="584"/>
      <c r="AQ20" s="584"/>
      <c r="AR20" s="584"/>
      <c r="AS20" s="584"/>
      <c r="AT20" s="584"/>
      <c r="AU20" s="584"/>
      <c r="AV20" s="584"/>
      <c r="AW20" s="584"/>
      <c r="AX20" s="584"/>
      <c r="AY20" s="584"/>
      <c r="AZ20" s="584"/>
      <c r="BA20" s="584"/>
      <c r="BB20" s="584"/>
      <c r="BC20" s="584"/>
      <c r="BD20" s="584"/>
      <c r="BE20" s="584"/>
      <c r="BF20" s="584"/>
      <c r="BG20" s="584"/>
      <c r="BH20" s="584"/>
      <c r="BI20" s="584"/>
      <c r="BJ20" s="584"/>
    </row>
    <row r="21" spans="1:62" ht="14.45" x14ac:dyDescent="0.35">
      <c r="A21" s="1041"/>
      <c r="B21" s="1041" t="s">
        <v>29</v>
      </c>
      <c r="C21" s="1059"/>
      <c r="D21" s="1059"/>
      <c r="E21" s="1059"/>
      <c r="F21" s="1059"/>
      <c r="G21" s="1045"/>
      <c r="H21" s="890">
        <v>5.1231977581186118E-5</v>
      </c>
      <c r="I21" s="890">
        <v>1.3114524784360983E-3</v>
      </c>
      <c r="J21" s="890">
        <v>8.8139500429754644E-3</v>
      </c>
      <c r="K21" s="890">
        <v>2.9081149390342516E-2</v>
      </c>
      <c r="L21" s="890">
        <v>6.7456323449649705E-2</v>
      </c>
      <c r="M21" s="890">
        <v>0.12699909456347325</v>
      </c>
      <c r="N21" s="890">
        <v>0.21089960439498795</v>
      </c>
      <c r="O21" s="890">
        <v>0.31359173763203901</v>
      </c>
      <c r="P21" s="890">
        <v>0.42987287273338975</v>
      </c>
      <c r="Q21" s="890">
        <v>0.55641573357261731</v>
      </c>
      <c r="R21" s="890">
        <v>0.68461533230847282</v>
      </c>
      <c r="S21" s="890">
        <v>0.81591127852701895</v>
      </c>
      <c r="T21" s="890">
        <v>0.94453614218475446</v>
      </c>
      <c r="U21" s="890">
        <v>1.0678121444781949</v>
      </c>
      <c r="V21" s="890">
        <v>1.1844665764695481</v>
      </c>
      <c r="W21" s="890">
        <v>1.2910275159513291</v>
      </c>
      <c r="X21" s="890">
        <v>1.386206083038839</v>
      </c>
      <c r="Y21" s="890">
        <v>1.4711815213171224</v>
      </c>
      <c r="Z21" s="890">
        <v>1.5495463479661935</v>
      </c>
      <c r="AA21" s="890">
        <v>1.6233143487428143</v>
      </c>
      <c r="AB21" s="890">
        <v>1.6975154978242504</v>
      </c>
      <c r="AC21" s="890">
        <v>1.7587078465762203</v>
      </c>
      <c r="AD21" s="540">
        <v>1.8151741239635086</v>
      </c>
      <c r="AE21" s="540">
        <v>1.8679937772895721</v>
      </c>
      <c r="AF21" s="540">
        <v>1.9205314357922036</v>
      </c>
      <c r="AK21" s="584" t="s">
        <v>13</v>
      </c>
      <c r="AL21" s="584">
        <v>12.515875377444846</v>
      </c>
      <c r="AM21" s="584">
        <v>12.892437924927149</v>
      </c>
      <c r="AN21" s="584">
        <v>13.230895555639588</v>
      </c>
      <c r="AO21" s="584">
        <v>13.410758799533395</v>
      </c>
      <c r="AP21" s="584">
        <v>13.67988241119602</v>
      </c>
      <c r="AQ21" s="584">
        <v>13.92507425368318</v>
      </c>
      <c r="AR21" s="584">
        <v>14.108970127532086</v>
      </c>
      <c r="AS21" s="584">
        <v>14.302054305327928</v>
      </c>
      <c r="AT21" s="584">
        <v>14.506453001092169</v>
      </c>
      <c r="AU21" s="584">
        <v>14.706063379984013</v>
      </c>
      <c r="AV21" s="584">
        <v>14.857116466839837</v>
      </c>
      <c r="AW21" s="584">
        <v>15.069131922446687</v>
      </c>
      <c r="AX21" s="584">
        <v>15.273112054677629</v>
      </c>
      <c r="AY21" s="584">
        <v>15.468775087150883</v>
      </c>
      <c r="AZ21" s="584">
        <v>15.69192653574645</v>
      </c>
      <c r="BA21" s="584">
        <v>15.884402059662895</v>
      </c>
      <c r="BB21" s="584">
        <v>16.040975647262307</v>
      </c>
      <c r="BC21" s="584">
        <v>16.174415485250723</v>
      </c>
      <c r="BD21" s="584">
        <v>16.330465041442288</v>
      </c>
      <c r="BE21" s="584">
        <v>16.52318934883527</v>
      </c>
      <c r="BF21" s="584">
        <v>16.774564558849846</v>
      </c>
      <c r="BG21" s="584">
        <v>16.936464850811344</v>
      </c>
      <c r="BH21" s="584">
        <v>17.091417673025667</v>
      </c>
      <c r="BI21" s="584">
        <v>17.239150928601333</v>
      </c>
      <c r="BJ21" s="584">
        <v>17.379418528522848</v>
      </c>
    </row>
    <row r="22" spans="1:62" ht="14.45" x14ac:dyDescent="0.35">
      <c r="A22" s="1041"/>
      <c r="B22" s="1041"/>
      <c r="C22" s="1059"/>
      <c r="D22" s="1059"/>
      <c r="E22" s="1059"/>
      <c r="F22" s="1059"/>
      <c r="G22" s="1045"/>
      <c r="H22" s="890"/>
      <c r="I22" s="890"/>
      <c r="J22" s="890"/>
      <c r="K22" s="890"/>
      <c r="L22" s="890"/>
      <c r="M22" s="890"/>
      <c r="N22" s="890"/>
      <c r="O22" s="890"/>
      <c r="P22" s="890"/>
      <c r="Q22" s="890"/>
      <c r="R22" s="890"/>
      <c r="S22" s="890"/>
      <c r="T22" s="890"/>
      <c r="U22" s="890"/>
      <c r="V22" s="890"/>
      <c r="W22" s="890"/>
      <c r="X22" s="890"/>
      <c r="Y22" s="890"/>
      <c r="Z22" s="890"/>
      <c r="AA22" s="890"/>
      <c r="AB22" s="890"/>
      <c r="AC22" s="890"/>
      <c r="AD22" s="1059"/>
      <c r="AE22" s="1059"/>
      <c r="AF22" s="1059"/>
      <c r="AK22" s="584" t="s">
        <v>751</v>
      </c>
      <c r="AL22" s="584">
        <v>58.726781420351919</v>
      </c>
      <c r="AM22" s="584">
        <v>60.395329428209109</v>
      </c>
      <c r="AN22" s="584">
        <v>61.276375006107067</v>
      </c>
      <c r="AO22" s="584">
        <v>61.728932983947416</v>
      </c>
      <c r="AP22" s="584">
        <v>62.365428294739338</v>
      </c>
      <c r="AQ22" s="584">
        <v>62.354828052179997</v>
      </c>
      <c r="AR22" s="584">
        <v>63.224097006366954</v>
      </c>
      <c r="AS22" s="584">
        <v>65.259291193598486</v>
      </c>
      <c r="AT22" s="584">
        <v>66.477938183142072</v>
      </c>
      <c r="AU22" s="584">
        <v>68.455777221316339</v>
      </c>
      <c r="AV22" s="584">
        <v>69.740385625090923</v>
      </c>
      <c r="AW22" s="584">
        <v>71.466339906595408</v>
      </c>
      <c r="AX22" s="584">
        <v>73.283934619356415</v>
      </c>
      <c r="AY22" s="584">
        <v>75.41905147034548</v>
      </c>
      <c r="AZ22" s="584">
        <v>77.532858418956209</v>
      </c>
      <c r="BA22" s="584">
        <v>79.466312790442529</v>
      </c>
      <c r="BB22" s="584">
        <v>82.031435908443896</v>
      </c>
      <c r="BC22" s="584">
        <v>84.716842360743215</v>
      </c>
      <c r="BD22" s="584">
        <v>87.139978781786951</v>
      </c>
      <c r="BE22" s="584">
        <v>89.357304974907862</v>
      </c>
      <c r="BF22" s="584">
        <v>91.540120393223887</v>
      </c>
      <c r="BG22" s="584">
        <v>93.774807785707281</v>
      </c>
      <c r="BH22" s="584">
        <v>95.963728605091219</v>
      </c>
      <c r="BI22" s="584">
        <v>98.109009927670172</v>
      </c>
      <c r="BJ22" s="584">
        <v>100.19946767826328</v>
      </c>
    </row>
    <row r="23" spans="1:62" ht="14.45" x14ac:dyDescent="0.35">
      <c r="A23" s="843" t="s">
        <v>42</v>
      </c>
      <c r="B23" s="843"/>
      <c r="C23" s="843"/>
      <c r="D23" s="843"/>
      <c r="E23" s="843"/>
      <c r="F23" s="843"/>
      <c r="G23" s="865"/>
      <c r="H23" s="891"/>
      <c r="I23" s="891"/>
      <c r="J23" s="891"/>
      <c r="K23" s="891"/>
      <c r="L23" s="891"/>
      <c r="M23" s="891"/>
      <c r="N23" s="891"/>
      <c r="O23" s="891"/>
      <c r="P23" s="891"/>
      <c r="Q23" s="891"/>
      <c r="R23" s="891"/>
      <c r="S23" s="891"/>
      <c r="T23" s="891"/>
      <c r="U23" s="891"/>
      <c r="V23" s="891"/>
      <c r="W23" s="891"/>
      <c r="X23" s="891"/>
      <c r="Y23" s="891"/>
      <c r="Z23" s="891"/>
      <c r="AA23" s="891"/>
      <c r="AB23" s="891"/>
      <c r="AC23" s="891"/>
      <c r="AD23" s="843"/>
      <c r="AE23" s="843"/>
      <c r="AF23" s="843"/>
      <c r="AK23" s="584" t="s">
        <v>15</v>
      </c>
      <c r="AL23" s="584">
        <v>4.8532321749132636</v>
      </c>
      <c r="AM23" s="584">
        <v>4.9061528285160021</v>
      </c>
      <c r="AN23" s="584">
        <v>4.9611092374408408</v>
      </c>
      <c r="AO23" s="584">
        <v>5.0258639300293337</v>
      </c>
      <c r="AP23" s="584">
        <v>5.1024237490567481</v>
      </c>
      <c r="AQ23" s="584">
        <v>5.1563866817344213</v>
      </c>
      <c r="AR23" s="584">
        <v>5.2549805958281484</v>
      </c>
      <c r="AS23" s="584">
        <v>5.3368253347982009</v>
      </c>
      <c r="AT23" s="584">
        <v>5.4527069082719164</v>
      </c>
      <c r="AU23" s="584">
        <v>5.5477619233753392</v>
      </c>
      <c r="AV23" s="584">
        <v>5.6515388875957502</v>
      </c>
      <c r="AW23" s="584">
        <v>5.7769346393407206</v>
      </c>
      <c r="AX23" s="584">
        <v>5.8839093619142071</v>
      </c>
      <c r="AY23" s="584">
        <v>5.9889439391269494</v>
      </c>
      <c r="AZ23" s="584">
        <v>6.0908970002349756</v>
      </c>
      <c r="BA23" s="584">
        <v>6.1993975774565024</v>
      </c>
      <c r="BB23" s="584">
        <v>6.2865903128487979</v>
      </c>
      <c r="BC23" s="584">
        <v>6.3666587712258282</v>
      </c>
      <c r="BD23" s="584">
        <v>6.4382374191728582</v>
      </c>
      <c r="BE23" s="584">
        <v>6.5022444970767577</v>
      </c>
      <c r="BF23" s="584">
        <v>6.556628274360083</v>
      </c>
      <c r="BG23" s="584">
        <v>6.6017752349380352</v>
      </c>
      <c r="BH23" s="584">
        <v>6.6379786982989222</v>
      </c>
      <c r="BI23" s="584">
        <v>6.6662592404289001</v>
      </c>
      <c r="BJ23" s="584">
        <v>6.6865441291909846</v>
      </c>
    </row>
    <row r="24" spans="1:62" ht="14.45" x14ac:dyDescent="0.35">
      <c r="A24" s="1041"/>
      <c r="B24" s="1043" t="s">
        <v>43</v>
      </c>
      <c r="C24" s="1059"/>
      <c r="D24" s="1059"/>
      <c r="E24" s="1059"/>
      <c r="F24" s="1059"/>
      <c r="G24" s="1045"/>
      <c r="H24" s="890">
        <v>1.3907486747144206E-3</v>
      </c>
      <c r="I24" s="890">
        <v>1.330805128690586E-3</v>
      </c>
      <c r="J24" s="890">
        <v>1.2719961400522394E-3</v>
      </c>
      <c r="K24" s="890">
        <v>1.2123817359869179E-3</v>
      </c>
      <c r="L24" s="890">
        <v>1.1561510403093043E-3</v>
      </c>
      <c r="M24" s="890">
        <v>1.1017376822210867E-3</v>
      </c>
      <c r="N24" s="890">
        <v>1.0490175931674129E-3</v>
      </c>
      <c r="O24" s="890">
        <v>9.9917492954285612E-4</v>
      </c>
      <c r="P24" s="890">
        <v>9.524068342842871E-4</v>
      </c>
      <c r="Q24" s="890">
        <v>9.0861825264538956E-4</v>
      </c>
      <c r="R24" s="890">
        <v>8.674172477354553E-4</v>
      </c>
      <c r="S24" s="890">
        <v>8.2999939264635379E-4</v>
      </c>
      <c r="T24" s="890">
        <v>7.9554138793864278E-4</v>
      </c>
      <c r="U24" s="890">
        <v>7.6388039326498393E-4</v>
      </c>
      <c r="V24" s="890">
        <v>7.3516635893682741E-4</v>
      </c>
      <c r="W24" s="890">
        <v>7.0860590998953268E-4</v>
      </c>
      <c r="X24" s="890">
        <v>6.8391941980986369E-4</v>
      </c>
      <c r="Y24" s="890">
        <v>6.610010313516649E-4</v>
      </c>
      <c r="Z24" s="890">
        <v>6.4007737740065388E-4</v>
      </c>
      <c r="AA24" s="890">
        <v>6.211186277423835E-4</v>
      </c>
      <c r="AB24" s="890">
        <v>6.0417829247166877E-4</v>
      </c>
      <c r="AC24" s="890">
        <v>5.8781921851523331E-4</v>
      </c>
      <c r="AD24" s="540">
        <v>5.726339369733507E-4</v>
      </c>
      <c r="AE24" s="540">
        <v>5.5851568340587463E-4</v>
      </c>
      <c r="AF24" s="540">
        <v>5.4534829041776739E-4</v>
      </c>
      <c r="AK24" s="775" t="s">
        <v>16</v>
      </c>
      <c r="AL24" s="775">
        <v>12.491535483937092</v>
      </c>
      <c r="AM24" s="775">
        <v>12.925489330164392</v>
      </c>
      <c r="AN24" s="775">
        <v>13.125598782624262</v>
      </c>
      <c r="AO24" s="775">
        <v>13.222180052899274</v>
      </c>
      <c r="AP24" s="775">
        <v>13.413733111250648</v>
      </c>
      <c r="AQ24" s="775">
        <v>13.450655553493631</v>
      </c>
      <c r="AR24" s="775">
        <v>13.759746645074143</v>
      </c>
      <c r="AS24" s="775">
        <v>14.469806460840005</v>
      </c>
      <c r="AT24" s="775">
        <v>14.936572625477652</v>
      </c>
      <c r="AU24" s="775">
        <v>15.592004798913214</v>
      </c>
      <c r="AV24" s="775">
        <v>16.090408622580537</v>
      </c>
      <c r="AW24" s="775">
        <v>16.642547039947623</v>
      </c>
      <c r="AX24" s="775">
        <v>17.236614203313191</v>
      </c>
      <c r="AY24" s="775">
        <v>17.922128025147355</v>
      </c>
      <c r="AZ24" s="775">
        <v>18.571558996169767</v>
      </c>
      <c r="BA24" s="775">
        <v>19.129069630931898</v>
      </c>
      <c r="BB24" s="775">
        <v>19.920242867105888</v>
      </c>
      <c r="BC24" s="775">
        <v>20.701697149507197</v>
      </c>
      <c r="BD24" s="775">
        <v>21.392378484620888</v>
      </c>
      <c r="BE24" s="775">
        <v>21.993246713746988</v>
      </c>
      <c r="BF24" s="775">
        <v>22.601827166760163</v>
      </c>
      <c r="BG24" s="775">
        <v>23.220620105476826</v>
      </c>
      <c r="BH24" s="775">
        <v>23.821299400153134</v>
      </c>
      <c r="BI24" s="775">
        <v>24.410015347359494</v>
      </c>
      <c r="BJ24" s="775">
        <v>24.972857059562063</v>
      </c>
    </row>
    <row r="25" spans="1:62" ht="14.45" x14ac:dyDescent="0.35">
      <c r="A25" s="1041"/>
      <c r="B25" s="1043" t="s">
        <v>44</v>
      </c>
      <c r="C25" s="1059"/>
      <c r="D25" s="1059"/>
      <c r="E25" s="1059"/>
      <c r="F25" s="1059"/>
      <c r="G25" s="1045"/>
      <c r="H25" s="890">
        <v>2.4810281955627188E-2</v>
      </c>
      <c r="I25" s="890">
        <v>2.5828229483809237E-2</v>
      </c>
      <c r="J25" s="890">
        <v>2.6528113498861437E-2</v>
      </c>
      <c r="K25" s="890">
        <v>2.6751457171509768E-2</v>
      </c>
      <c r="L25" s="890">
        <v>2.6915157807114964E-2</v>
      </c>
      <c r="M25" s="890">
        <v>2.6902506187039942E-2</v>
      </c>
      <c r="N25" s="890">
        <v>2.6717306054639116E-2</v>
      </c>
      <c r="O25" s="890">
        <v>2.6495391416428916E-2</v>
      </c>
      <c r="P25" s="890">
        <v>2.6275636540841411E-2</v>
      </c>
      <c r="Q25" s="890">
        <v>2.6070939751111591E-2</v>
      </c>
      <c r="R25" s="890">
        <v>2.5862062911198185E-2</v>
      </c>
      <c r="S25" s="890">
        <v>2.5779001775708563E-2</v>
      </c>
      <c r="T25" s="890">
        <v>2.5759250905611444E-2</v>
      </c>
      <c r="U25" s="890">
        <v>2.5802072092943822E-2</v>
      </c>
      <c r="V25" s="890">
        <v>2.5934609924800449E-2</v>
      </c>
      <c r="W25" s="890">
        <v>2.6094320508742053E-2</v>
      </c>
      <c r="X25" s="890">
        <v>2.6265854925575705E-2</v>
      </c>
      <c r="Y25" s="890">
        <v>2.6449895674892018E-2</v>
      </c>
      <c r="Z25" s="890">
        <v>2.6677869900006982E-2</v>
      </c>
      <c r="AA25" s="890">
        <v>2.6956181227425675E-2</v>
      </c>
      <c r="AB25" s="890">
        <v>2.7265650127398455E-2</v>
      </c>
      <c r="AC25" s="890">
        <v>2.7543312495954098E-2</v>
      </c>
      <c r="AD25" s="540">
        <v>2.7785544587541268E-2</v>
      </c>
      <c r="AE25" s="540">
        <v>2.8023596539452789E-2</v>
      </c>
      <c r="AF25" s="540">
        <v>2.8254640144475276E-2</v>
      </c>
      <c r="AK25" t="s">
        <v>752</v>
      </c>
      <c r="AL25">
        <v>88.587424456647113</v>
      </c>
      <c r="AM25">
        <v>91.119409511816656</v>
      </c>
      <c r="AN25">
        <v>92.593978581811754</v>
      </c>
      <c r="AO25">
        <v>93.387735766409421</v>
      </c>
      <c r="AP25">
        <v>94.561467566242769</v>
      </c>
      <c r="AQ25">
        <v>94.886944541091225</v>
      </c>
      <c r="AR25">
        <v>96.347794374801325</v>
      </c>
      <c r="AS25">
        <v>99.367977294564625</v>
      </c>
      <c r="AT25">
        <v>101.37367071798381</v>
      </c>
      <c r="AU25">
        <v>104.3016073235889</v>
      </c>
      <c r="AV25">
        <v>106.33944960210705</v>
      </c>
      <c r="AW25">
        <v>108.95495350833045</v>
      </c>
      <c r="AX25">
        <v>111.67757023926144</v>
      </c>
      <c r="AY25">
        <v>114.79889852177068</v>
      </c>
      <c r="AZ25">
        <v>117.8872409511074</v>
      </c>
      <c r="BA25">
        <v>120.67918205849382</v>
      </c>
      <c r="BB25">
        <v>124.27924473566088</v>
      </c>
      <c r="BC25">
        <v>127.95961376672696</v>
      </c>
      <c r="BD25">
        <v>131.30105972702299</v>
      </c>
      <c r="BE25">
        <v>134.37598553456689</v>
      </c>
      <c r="BF25">
        <v>137.47314039319397</v>
      </c>
      <c r="BG25">
        <v>140.53366797693349</v>
      </c>
      <c r="BH25">
        <v>143.51442437656894</v>
      </c>
      <c r="BI25">
        <v>146.4244354440599</v>
      </c>
      <c r="BJ25">
        <v>149.23828739553917</v>
      </c>
    </row>
    <row r="26" spans="1:62" ht="14.45" x14ac:dyDescent="0.35">
      <c r="A26" s="1041"/>
      <c r="B26" s="1043" t="s">
        <v>45</v>
      </c>
      <c r="C26" s="1059"/>
      <c r="D26" s="1059"/>
      <c r="E26" s="1059"/>
      <c r="F26" s="1059"/>
      <c r="G26" s="1045"/>
      <c r="H26" s="890">
        <v>8.7322129761563411E-3</v>
      </c>
      <c r="I26" s="890">
        <v>8.1980728854460574E-3</v>
      </c>
      <c r="J26" s="890">
        <v>7.69671585444169E-3</v>
      </c>
      <c r="K26" s="890">
        <v>7.2250227246507918E-3</v>
      </c>
      <c r="L26" s="890">
        <v>6.7832061216952077E-3</v>
      </c>
      <c r="M26" s="890">
        <v>6.368656338662528E-3</v>
      </c>
      <c r="N26" s="890">
        <v>5.9795477999258651E-3</v>
      </c>
      <c r="O26" s="890">
        <v>5.6149218479569175E-3</v>
      </c>
      <c r="P26" s="890">
        <v>5.2733833962532962E-3</v>
      </c>
      <c r="Q26" s="890">
        <v>4.9535038599133694E-3</v>
      </c>
      <c r="R26" s="890">
        <v>4.6537734699382332E-3</v>
      </c>
      <c r="S26" s="890">
        <v>4.3735993123131109E-3</v>
      </c>
      <c r="T26" s="890">
        <v>4.1114055594896719E-3</v>
      </c>
      <c r="U26" s="890">
        <v>3.8660452225624422E-3</v>
      </c>
      <c r="V26" s="890">
        <v>3.636599925008165E-3</v>
      </c>
      <c r="W26" s="890">
        <v>3.421728219311298E-3</v>
      </c>
      <c r="X26" s="890">
        <v>3.2204190638706813E-3</v>
      </c>
      <c r="Y26" s="890">
        <v>3.0318122973212744E-3</v>
      </c>
      <c r="Z26" s="890">
        <v>2.8552730242374209E-3</v>
      </c>
      <c r="AA26" s="890">
        <v>2.6900791443929886E-3</v>
      </c>
      <c r="AB26" s="890">
        <v>2.535605888112572E-3</v>
      </c>
      <c r="AC26" s="890">
        <v>2.3904702207412577E-3</v>
      </c>
      <c r="AD26" s="540">
        <v>2.2544195120000232E-3</v>
      </c>
      <c r="AE26" s="540">
        <v>2.1268630178480187E-3</v>
      </c>
      <c r="AF26" s="540">
        <v>2.0072489708497384E-3</v>
      </c>
    </row>
    <row r="27" spans="1:62" ht="14.45" x14ac:dyDescent="0.35">
      <c r="A27" s="1041"/>
      <c r="B27" s="1043" t="s">
        <v>46</v>
      </c>
      <c r="C27" s="1059"/>
      <c r="D27" s="1059"/>
      <c r="E27" s="1059"/>
      <c r="F27" s="1059"/>
      <c r="G27" s="1045"/>
      <c r="H27" s="890">
        <v>0</v>
      </c>
      <c r="I27" s="890">
        <v>0</v>
      </c>
      <c r="J27" s="890">
        <v>0</v>
      </c>
      <c r="K27" s="890">
        <v>0</v>
      </c>
      <c r="L27" s="890">
        <v>0</v>
      </c>
      <c r="M27" s="890">
        <v>0</v>
      </c>
      <c r="N27" s="890">
        <v>0</v>
      </c>
      <c r="O27" s="890">
        <v>0</v>
      </c>
      <c r="P27" s="890">
        <v>0</v>
      </c>
      <c r="Q27" s="890">
        <v>0</v>
      </c>
      <c r="R27" s="890">
        <v>0</v>
      </c>
      <c r="S27" s="890">
        <v>0</v>
      </c>
      <c r="T27" s="890">
        <v>0</v>
      </c>
      <c r="U27" s="890">
        <v>0</v>
      </c>
      <c r="V27" s="890">
        <v>0</v>
      </c>
      <c r="W27" s="890">
        <v>0</v>
      </c>
      <c r="X27" s="890">
        <v>0</v>
      </c>
      <c r="Y27" s="890">
        <v>0</v>
      </c>
      <c r="Z27" s="890">
        <v>0</v>
      </c>
      <c r="AA27" s="890">
        <v>0</v>
      </c>
      <c r="AB27" s="890">
        <v>0</v>
      </c>
      <c r="AC27" s="890">
        <v>0</v>
      </c>
      <c r="AD27" s="540">
        <v>0</v>
      </c>
      <c r="AE27" s="540">
        <v>0</v>
      </c>
      <c r="AF27" s="540">
        <v>0</v>
      </c>
      <c r="AK27" s="858" t="s">
        <v>287</v>
      </c>
      <c r="AM27" s="1059"/>
      <c r="AN27" s="1059"/>
      <c r="AO27" s="1059"/>
      <c r="AP27" s="1059"/>
      <c r="AQ27" s="1059"/>
      <c r="AR27" s="1059"/>
      <c r="AS27" s="1059"/>
      <c r="AT27" s="1059"/>
      <c r="AU27" s="1059"/>
      <c r="AV27" s="1059"/>
      <c r="AW27" s="1059"/>
      <c r="AX27" s="1059"/>
      <c r="AY27" s="1059"/>
      <c r="AZ27" s="1059"/>
      <c r="BA27" s="1059"/>
      <c r="BB27" s="1059"/>
      <c r="BC27" s="1059"/>
      <c r="BD27" s="1059"/>
      <c r="BE27" s="1059"/>
      <c r="BF27" s="1059"/>
      <c r="BG27" s="1059"/>
      <c r="BH27" s="1059"/>
      <c r="BI27" s="1059"/>
      <c r="BJ27" s="1059"/>
    </row>
    <row r="28" spans="1:62" ht="14.45" x14ac:dyDescent="0.35">
      <c r="A28" s="1041"/>
      <c r="B28" s="1041" t="s">
        <v>29</v>
      </c>
      <c r="C28" s="1059"/>
      <c r="D28" s="1059"/>
      <c r="E28" s="1059"/>
      <c r="F28" s="1059"/>
      <c r="G28" s="1045"/>
      <c r="H28" s="890">
        <v>2.0799793839694531E-3</v>
      </c>
      <c r="I28" s="890">
        <v>3.0117407203030071E-3</v>
      </c>
      <c r="J28" s="890">
        <v>4.1151005910926826E-3</v>
      </c>
      <c r="K28" s="890">
        <v>5.3212365935658345E-3</v>
      </c>
      <c r="L28" s="890">
        <v>6.6563183108550774E-3</v>
      </c>
      <c r="M28" s="890">
        <v>8.0378040295739032E-3</v>
      </c>
      <c r="N28" s="890">
        <v>9.3928498754264553E-3</v>
      </c>
      <c r="O28" s="890">
        <v>1.0715634105047139E-2</v>
      </c>
      <c r="P28" s="890">
        <v>1.1978403097326383E-2</v>
      </c>
      <c r="Q28" s="890">
        <v>1.3146477164259108E-2</v>
      </c>
      <c r="R28" s="890">
        <v>1.4164933308779933E-2</v>
      </c>
      <c r="S28" s="890">
        <v>1.5112071102962856E-2</v>
      </c>
      <c r="T28" s="890">
        <v>1.5934888145800668E-2</v>
      </c>
      <c r="U28" s="890">
        <v>1.6640541726695119E-2</v>
      </c>
      <c r="V28" s="890">
        <v>1.7274832965069192E-2</v>
      </c>
      <c r="W28" s="890">
        <v>1.7799896646382502E-2</v>
      </c>
      <c r="X28" s="890">
        <v>1.8224154103088083E-2</v>
      </c>
      <c r="Y28" s="890">
        <v>1.8572471731144097E-2</v>
      </c>
      <c r="Z28" s="890">
        <v>1.890060458381853E-2</v>
      </c>
      <c r="AA28" s="890">
        <v>1.9232690080941597E-2</v>
      </c>
      <c r="AB28" s="890">
        <v>1.9599290410265487E-2</v>
      </c>
      <c r="AC28" s="890">
        <v>1.9860408875885228E-2</v>
      </c>
      <c r="AD28" s="540">
        <v>2.0100460758783613E-2</v>
      </c>
      <c r="AE28" s="540">
        <v>2.0322505823492092E-2</v>
      </c>
      <c r="AF28" s="540">
        <v>2.0529413418985461E-2</v>
      </c>
      <c r="AK28" s="584" t="s">
        <v>13</v>
      </c>
      <c r="AL28" s="584">
        <f>SUM(AL7,AL14,AL21)</f>
        <v>58.82084616132353</v>
      </c>
      <c r="AM28" s="584">
        <f t="shared" ref="AM28:BJ31" si="0">SUM(AM7,AM14,AM21)</f>
        <v>57.270503550569103</v>
      </c>
      <c r="AN28" s="584">
        <f t="shared" si="0"/>
        <v>54.365888674264696</v>
      </c>
      <c r="AO28" s="584">
        <f t="shared" si="0"/>
        <v>49.536176629105512</v>
      </c>
      <c r="AP28" s="584">
        <f t="shared" si="0"/>
        <v>45.104273872898013</v>
      </c>
      <c r="AQ28" s="584">
        <f t="shared" si="0"/>
        <v>41.401298365069955</v>
      </c>
      <c r="AR28" s="584">
        <f t="shared" si="0"/>
        <v>38.079667707900938</v>
      </c>
      <c r="AS28" s="584">
        <f t="shared" si="0"/>
        <v>35.946284959072429</v>
      </c>
      <c r="AT28" s="584">
        <f t="shared" si="0"/>
        <v>34.431457320495866</v>
      </c>
      <c r="AU28" s="584">
        <f t="shared" si="0"/>
        <v>33.218773933130116</v>
      </c>
      <c r="AV28" s="584">
        <f t="shared" si="0"/>
        <v>32.087498943317634</v>
      </c>
      <c r="AW28" s="584">
        <f t="shared" si="0"/>
        <v>31.072413112868286</v>
      </c>
      <c r="AX28" s="584">
        <f t="shared" si="0"/>
        <v>30.107193047372938</v>
      </c>
      <c r="AY28" s="584">
        <f t="shared" si="0"/>
        <v>29.202070384754229</v>
      </c>
      <c r="AZ28" s="584">
        <f t="shared" si="0"/>
        <v>28.406888952305149</v>
      </c>
      <c r="BA28" s="584">
        <f t="shared" si="0"/>
        <v>27.684151040856214</v>
      </c>
      <c r="BB28" s="584">
        <f t="shared" si="0"/>
        <v>27.018768248162438</v>
      </c>
      <c r="BC28" s="584">
        <f t="shared" si="0"/>
        <v>26.43113116869748</v>
      </c>
      <c r="BD28" s="584">
        <f t="shared" si="0"/>
        <v>25.959877574259721</v>
      </c>
      <c r="BE28" s="584">
        <f t="shared" si="0"/>
        <v>25.613603295076672</v>
      </c>
      <c r="BF28" s="584">
        <f t="shared" si="0"/>
        <v>25.406645867065397</v>
      </c>
      <c r="BG28" s="584">
        <f t="shared" si="0"/>
        <v>25.186127161727583</v>
      </c>
      <c r="BH28" s="584">
        <f t="shared" si="0"/>
        <v>25.007553126332937</v>
      </c>
      <c r="BI28" s="584">
        <f t="shared" si="0"/>
        <v>24.867198632759429</v>
      </c>
      <c r="BJ28" s="584">
        <f t="shared" si="0"/>
        <v>24.756898161304655</v>
      </c>
    </row>
    <row r="29" spans="1:62" ht="14.45" x14ac:dyDescent="0.35">
      <c r="A29" s="1041"/>
      <c r="B29" s="1041"/>
      <c r="C29" s="1059"/>
      <c r="D29" s="1059"/>
      <c r="E29" s="1059"/>
      <c r="F29" s="1059"/>
      <c r="G29" s="1045"/>
      <c r="H29" s="890"/>
      <c r="I29" s="890"/>
      <c r="J29" s="890"/>
      <c r="K29" s="890"/>
      <c r="L29" s="890"/>
      <c r="M29" s="890"/>
      <c r="N29" s="890"/>
      <c r="O29" s="890"/>
      <c r="P29" s="890"/>
      <c r="Q29" s="890"/>
      <c r="R29" s="890"/>
      <c r="S29" s="890"/>
      <c r="T29" s="890"/>
      <c r="U29" s="890"/>
      <c r="V29" s="890"/>
      <c r="W29" s="890"/>
      <c r="X29" s="890"/>
      <c r="Y29" s="890"/>
      <c r="Z29" s="890"/>
      <c r="AA29" s="890"/>
      <c r="AB29" s="890"/>
      <c r="AC29" s="890"/>
      <c r="AD29" s="1059"/>
      <c r="AE29" s="1059"/>
      <c r="AF29" s="1059"/>
      <c r="AK29" s="584" t="s">
        <v>751</v>
      </c>
      <c r="AL29" s="584">
        <f>SUM(AL8,AL15,AL22)</f>
        <v>222.40864032813172</v>
      </c>
      <c r="AM29" s="584">
        <f t="shared" ref="AM29:BA29" si="1">SUM(AM8,AM15,AM22)</f>
        <v>223.6019393669049</v>
      </c>
      <c r="AN29" s="584">
        <f t="shared" si="1"/>
        <v>224.7147759173979</v>
      </c>
      <c r="AO29" s="584">
        <f t="shared" si="1"/>
        <v>224.9130439140115</v>
      </c>
      <c r="AP29" s="584">
        <f t="shared" si="1"/>
        <v>224.82552070708167</v>
      </c>
      <c r="AQ29" s="584">
        <f t="shared" si="1"/>
        <v>223.46051179477968</v>
      </c>
      <c r="AR29" s="584">
        <f t="shared" si="1"/>
        <v>222.009917157324</v>
      </c>
      <c r="AS29" s="584">
        <f t="shared" si="1"/>
        <v>221.34623326888658</v>
      </c>
      <c r="AT29" s="584">
        <f t="shared" si="1"/>
        <v>219.74184913094794</v>
      </c>
      <c r="AU29" s="584">
        <f t="shared" si="1"/>
        <v>218.56221863619675</v>
      </c>
      <c r="AV29" s="584">
        <f t="shared" si="1"/>
        <v>216.42201527868741</v>
      </c>
      <c r="AW29" s="584">
        <f t="shared" si="1"/>
        <v>214.45707277178948</v>
      </c>
      <c r="AX29" s="584">
        <f t="shared" si="1"/>
        <v>212.33434825636979</v>
      </c>
      <c r="AY29" s="584">
        <f t="shared" si="1"/>
        <v>210.3884113003171</v>
      </c>
      <c r="AZ29" s="584">
        <f t="shared" si="1"/>
        <v>207.93013391695445</v>
      </c>
      <c r="BA29" s="584">
        <f t="shared" si="1"/>
        <v>205.46786921354578</v>
      </c>
      <c r="BB29" s="584">
        <f t="shared" si="0"/>
        <v>203.78997527887188</v>
      </c>
      <c r="BC29" s="584">
        <f t="shared" si="0"/>
        <v>202.00947851144122</v>
      </c>
      <c r="BD29" s="584">
        <f t="shared" si="0"/>
        <v>200.1711754575075</v>
      </c>
      <c r="BE29" s="584">
        <f t="shared" si="0"/>
        <v>198.56406403322356</v>
      </c>
      <c r="BF29" s="584">
        <f t="shared" si="0"/>
        <v>196.81187715533798</v>
      </c>
      <c r="BG29" s="584">
        <f t="shared" si="0"/>
        <v>195.33431352519457</v>
      </c>
      <c r="BH29" s="584">
        <f t="shared" si="0"/>
        <v>194.26813721447684</v>
      </c>
      <c r="BI29" s="584">
        <f t="shared" si="0"/>
        <v>193.12093742435542</v>
      </c>
      <c r="BJ29" s="584">
        <f t="shared" si="0"/>
        <v>192.32906179387655</v>
      </c>
    </row>
    <row r="30" spans="1:62" ht="14.45" x14ac:dyDescent="0.35">
      <c r="A30" s="843" t="s">
        <v>47</v>
      </c>
      <c r="B30" s="843"/>
      <c r="C30" s="843"/>
      <c r="D30" s="843"/>
      <c r="E30" s="843"/>
      <c r="F30" s="843"/>
      <c r="G30" s="865"/>
      <c r="H30" s="891"/>
      <c r="I30" s="891"/>
      <c r="J30" s="891"/>
      <c r="K30" s="891"/>
      <c r="L30" s="891"/>
      <c r="M30" s="891"/>
      <c r="N30" s="891"/>
      <c r="O30" s="891"/>
      <c r="P30" s="891"/>
      <c r="Q30" s="891"/>
      <c r="R30" s="891"/>
      <c r="S30" s="891"/>
      <c r="T30" s="891"/>
      <c r="U30" s="891"/>
      <c r="V30" s="891"/>
      <c r="W30" s="891"/>
      <c r="X30" s="891"/>
      <c r="Y30" s="891"/>
      <c r="Z30" s="891"/>
      <c r="AA30" s="891"/>
      <c r="AB30" s="891"/>
      <c r="AC30" s="891"/>
      <c r="AD30" s="843"/>
      <c r="AE30" s="843"/>
      <c r="AF30" s="843"/>
      <c r="AK30" s="584" t="s">
        <v>15</v>
      </c>
      <c r="AL30" s="584">
        <f>SUM(AL9,AL16,AL23)</f>
        <v>41.589183190342808</v>
      </c>
      <c r="AM30" s="584">
        <f t="shared" si="0"/>
        <v>41.021661675219079</v>
      </c>
      <c r="AN30" s="584">
        <f t="shared" si="0"/>
        <v>40.409770583705082</v>
      </c>
      <c r="AO30" s="584">
        <f t="shared" si="0"/>
        <v>39.752258373103025</v>
      </c>
      <c r="AP30" s="584">
        <f t="shared" si="0"/>
        <v>39.000625520521638</v>
      </c>
      <c r="AQ30" s="584">
        <f t="shared" si="0"/>
        <v>38.188388808102019</v>
      </c>
      <c r="AR30" s="584">
        <f t="shared" si="0"/>
        <v>37.360170152453968</v>
      </c>
      <c r="AS30" s="584">
        <f t="shared" si="0"/>
        <v>36.491404604470773</v>
      </c>
      <c r="AT30" s="584">
        <f t="shared" si="0"/>
        <v>35.633132290661941</v>
      </c>
      <c r="AU30" s="584">
        <f t="shared" si="0"/>
        <v>34.745037468681474</v>
      </c>
      <c r="AV30" s="584">
        <f t="shared" si="0"/>
        <v>33.859822251774055</v>
      </c>
      <c r="AW30" s="584">
        <f t="shared" si="0"/>
        <v>33.000838695901408</v>
      </c>
      <c r="AX30" s="584">
        <f t="shared" si="0"/>
        <v>32.101691957828784</v>
      </c>
      <c r="AY30" s="584">
        <f t="shared" si="0"/>
        <v>31.248644677220547</v>
      </c>
      <c r="AZ30" s="584">
        <f t="shared" si="0"/>
        <v>30.406857722040598</v>
      </c>
      <c r="BA30" s="584">
        <f t="shared" si="0"/>
        <v>29.597028981287643</v>
      </c>
      <c r="BB30" s="584">
        <f t="shared" si="0"/>
        <v>28.843854586408643</v>
      </c>
      <c r="BC30" s="584">
        <f t="shared" si="0"/>
        <v>28.098855546354088</v>
      </c>
      <c r="BD30" s="584">
        <f t="shared" si="0"/>
        <v>27.393698452605577</v>
      </c>
      <c r="BE30" s="584">
        <f t="shared" si="0"/>
        <v>26.7622112458495</v>
      </c>
      <c r="BF30" s="584">
        <f t="shared" si="0"/>
        <v>26.125988887881345</v>
      </c>
      <c r="BG30" s="584">
        <f t="shared" si="0"/>
        <v>25.5243179767055</v>
      </c>
      <c r="BH30" s="584">
        <f t="shared" si="0"/>
        <v>24.97284771504944</v>
      </c>
      <c r="BI30" s="584">
        <f t="shared" si="0"/>
        <v>24.430633810556284</v>
      </c>
      <c r="BJ30" s="584">
        <f t="shared" si="0"/>
        <v>23.915933336168944</v>
      </c>
    </row>
    <row r="31" spans="1:62" ht="14.45" x14ac:dyDescent="0.35">
      <c r="A31" s="1041"/>
      <c r="B31" s="1041" t="s">
        <v>48</v>
      </c>
      <c r="C31" s="1059"/>
      <c r="D31" s="1059"/>
      <c r="E31" s="1059"/>
      <c r="F31" s="1059"/>
      <c r="G31" s="1045"/>
      <c r="H31" s="890">
        <v>12.07237349196758</v>
      </c>
      <c r="I31" s="890">
        <v>9.2925893509794975</v>
      </c>
      <c r="J31" s="890">
        <v>5.463455713067269</v>
      </c>
      <c r="K31" s="890">
        <v>2.4330814754828793</v>
      </c>
      <c r="L31" s="890">
        <v>0.88477168374475601</v>
      </c>
      <c r="M31" s="890">
        <v>0.26999397058849645</v>
      </c>
      <c r="N31" s="890">
        <v>7.7944218744771004E-2</v>
      </c>
      <c r="O31" s="890">
        <v>2.2221062568119912E-2</v>
      </c>
      <c r="P31" s="890">
        <v>6.4909319729471414E-3</v>
      </c>
      <c r="Q31" s="890">
        <v>1.9028771028760068E-3</v>
      </c>
      <c r="R31" s="890">
        <v>5.6101453274220645E-4</v>
      </c>
      <c r="S31" s="890">
        <v>1.6919569356960062E-4</v>
      </c>
      <c r="T31" s="890">
        <v>5.1913193480751036E-5</v>
      </c>
      <c r="U31" s="890">
        <v>1.6134299079241087E-5</v>
      </c>
      <c r="V31" s="890">
        <v>5.1402181267634073E-6</v>
      </c>
      <c r="W31" s="890">
        <v>1.6519724852373025E-6</v>
      </c>
      <c r="X31" s="890">
        <v>5.3532394336945048E-7</v>
      </c>
      <c r="Y31" s="890">
        <v>1.7445880469440996E-7</v>
      </c>
      <c r="Z31" s="890">
        <v>5.7516701559756871E-8</v>
      </c>
      <c r="AA31" s="890">
        <v>1.9227749976565502E-8</v>
      </c>
      <c r="AB31" s="890">
        <v>6.4314458182483757E-9</v>
      </c>
      <c r="AC31" s="890">
        <v>2.1653280735200256E-9</v>
      </c>
      <c r="AD31" s="540">
        <v>7.3248763612882891E-10</v>
      </c>
      <c r="AE31" s="540">
        <v>2.4809001158355913E-10</v>
      </c>
      <c r="AF31" s="540">
        <v>8.2333878991478784E-11</v>
      </c>
      <c r="AK31" s="775" t="s">
        <v>16</v>
      </c>
      <c r="AL31" s="775">
        <f>SUM(AL10,AL17,AL24)</f>
        <v>59.231058175893388</v>
      </c>
      <c r="AM31" s="775">
        <f t="shared" si="0"/>
        <v>58.798212344332597</v>
      </c>
      <c r="AN31" s="775">
        <f t="shared" si="0"/>
        <v>59.98652304622415</v>
      </c>
      <c r="AO31" s="775">
        <f t="shared" si="0"/>
        <v>61.222275309913272</v>
      </c>
      <c r="AP31" s="775">
        <f t="shared" si="0"/>
        <v>62.385050763133748</v>
      </c>
      <c r="AQ31" s="775">
        <f t="shared" si="0"/>
        <v>63.055964492135132</v>
      </c>
      <c r="AR31" s="775">
        <f t="shared" si="0"/>
        <v>63.651921082614095</v>
      </c>
      <c r="AS31" s="775">
        <f t="shared" si="0"/>
        <v>64.296641175568766</v>
      </c>
      <c r="AT31" s="775">
        <f t="shared" si="0"/>
        <v>64.540032501299919</v>
      </c>
      <c r="AU31" s="775">
        <f t="shared" si="0"/>
        <v>64.719962244255626</v>
      </c>
      <c r="AV31" s="775">
        <f t="shared" si="0"/>
        <v>64.511713115063728</v>
      </c>
      <c r="AW31" s="775">
        <f t="shared" si="0"/>
        <v>64.193076035046062</v>
      </c>
      <c r="AX31" s="775">
        <f t="shared" si="0"/>
        <v>63.742676125177411</v>
      </c>
      <c r="AY31" s="775">
        <f t="shared" si="0"/>
        <v>63.274167420791159</v>
      </c>
      <c r="AZ31" s="775">
        <f t="shared" si="0"/>
        <v>62.738036807416819</v>
      </c>
      <c r="BA31" s="775">
        <f t="shared" si="0"/>
        <v>62.054696456578185</v>
      </c>
      <c r="BB31" s="775">
        <f t="shared" si="0"/>
        <v>61.604797856916591</v>
      </c>
      <c r="BC31" s="775">
        <f t="shared" si="0"/>
        <v>61.127342228597293</v>
      </c>
      <c r="BD31" s="775">
        <f t="shared" si="0"/>
        <v>60.605446418177735</v>
      </c>
      <c r="BE31" s="775">
        <f t="shared" si="0"/>
        <v>60.086066150260024</v>
      </c>
      <c r="BF31" s="775">
        <f t="shared" si="0"/>
        <v>59.589320929342975</v>
      </c>
      <c r="BG31" s="775">
        <f t="shared" si="0"/>
        <v>59.161345085293334</v>
      </c>
      <c r="BH31" s="775">
        <f t="shared" si="0"/>
        <v>58.774811625682702</v>
      </c>
      <c r="BI31" s="775">
        <f t="shared" si="0"/>
        <v>58.474147762803824</v>
      </c>
      <c r="BJ31" s="775">
        <f t="shared" si="0"/>
        <v>58.168064604831997</v>
      </c>
    </row>
    <row r="32" spans="1:62" ht="14.45" x14ac:dyDescent="0.35">
      <c r="A32" s="1041"/>
      <c r="B32" s="1043" t="s">
        <v>50</v>
      </c>
      <c r="C32" s="1059"/>
      <c r="D32" s="1059"/>
      <c r="E32" s="1059"/>
      <c r="F32" s="1059"/>
      <c r="G32" s="1045"/>
      <c r="H32" s="890">
        <v>0.70823871229479973</v>
      </c>
      <c r="I32" s="890">
        <v>0.65748215327304527</v>
      </c>
      <c r="J32" s="890">
        <v>0.55509452392833736</v>
      </c>
      <c r="K32" s="890">
        <v>0.4194246148277625</v>
      </c>
      <c r="L32" s="890">
        <v>0.29677455294780036</v>
      </c>
      <c r="M32" s="890">
        <v>0.19557836993509209</v>
      </c>
      <c r="N32" s="890">
        <v>0.12728567963713655</v>
      </c>
      <c r="O32" s="890">
        <v>8.3619045783051335E-2</v>
      </c>
      <c r="P32" s="890">
        <v>5.6500083106985184E-2</v>
      </c>
      <c r="Q32" s="890">
        <v>3.8631599767507782E-2</v>
      </c>
      <c r="R32" s="890">
        <v>2.6608956870021912E-2</v>
      </c>
      <c r="S32" s="890">
        <v>1.8714331937208097E-2</v>
      </c>
      <c r="T32" s="890">
        <v>1.334692510648313E-2</v>
      </c>
      <c r="U32" s="890">
        <v>9.6134705959857458E-3</v>
      </c>
      <c r="V32" s="890">
        <v>7.0513788528417751E-3</v>
      </c>
      <c r="W32" s="890">
        <v>5.1967903800696708E-3</v>
      </c>
      <c r="X32" s="890">
        <v>3.8443557207111633E-3</v>
      </c>
      <c r="Y32" s="890">
        <v>2.8488123015418011E-3</v>
      </c>
      <c r="Z32" s="890">
        <v>2.1249467807568671E-3</v>
      </c>
      <c r="AA32" s="890">
        <v>1.5978957542060908E-3</v>
      </c>
      <c r="AB32" s="890">
        <v>1.2001528495434216E-3</v>
      </c>
      <c r="AC32" s="890">
        <v>9.0076203788649477E-4</v>
      </c>
      <c r="AD32" s="540">
        <v>6.7599981597472392E-4</v>
      </c>
      <c r="AE32" s="540">
        <v>5.0594964159881585E-4</v>
      </c>
      <c r="AF32" s="540">
        <v>3.7185530165854649E-4</v>
      </c>
      <c r="AK32" s="1059" t="s">
        <v>752</v>
      </c>
      <c r="AL32">
        <f>SUM(AL28:AL31)</f>
        <v>382.04972785569146</v>
      </c>
      <c r="AM32" s="1059">
        <f t="shared" ref="AM32:BJ32" si="2">SUM(AM28:AM31)</f>
        <v>380.69231693702568</v>
      </c>
      <c r="AN32" s="1059">
        <f t="shared" si="2"/>
        <v>379.47695822159181</v>
      </c>
      <c r="AO32" s="1059">
        <f t="shared" si="2"/>
        <v>375.42375422613327</v>
      </c>
      <c r="AP32" s="1059">
        <f t="shared" si="2"/>
        <v>371.31547086363503</v>
      </c>
      <c r="AQ32" s="1059">
        <f t="shared" si="2"/>
        <v>366.1061634600868</v>
      </c>
      <c r="AR32" s="1059">
        <f t="shared" si="2"/>
        <v>361.10167610029299</v>
      </c>
      <c r="AS32" s="1059">
        <f t="shared" si="2"/>
        <v>358.08056400799853</v>
      </c>
      <c r="AT32" s="1059">
        <f t="shared" si="2"/>
        <v>354.34647124340563</v>
      </c>
      <c r="AU32" s="1059">
        <f t="shared" si="2"/>
        <v>351.24599228226396</v>
      </c>
      <c r="AV32" s="1059">
        <f t="shared" si="2"/>
        <v>346.88104958884281</v>
      </c>
      <c r="AW32" s="1059">
        <f t="shared" si="2"/>
        <v>342.72340061560521</v>
      </c>
      <c r="AX32" s="1059">
        <f t="shared" si="2"/>
        <v>338.28590938674893</v>
      </c>
      <c r="AY32" s="1059">
        <f t="shared" si="2"/>
        <v>334.11329378308307</v>
      </c>
      <c r="AZ32" s="1059">
        <f t="shared" si="2"/>
        <v>329.48191739871697</v>
      </c>
      <c r="BA32" s="1059">
        <f t="shared" si="2"/>
        <v>324.80374569226785</v>
      </c>
      <c r="BB32" s="1059">
        <f t="shared" si="2"/>
        <v>321.2573959703596</v>
      </c>
      <c r="BC32" s="1059">
        <f t="shared" si="2"/>
        <v>317.66680745509007</v>
      </c>
      <c r="BD32" s="1059">
        <f t="shared" si="2"/>
        <v>314.13019790255055</v>
      </c>
      <c r="BE32" s="1059">
        <f t="shared" si="2"/>
        <v>311.02594472440978</v>
      </c>
      <c r="BF32" s="1059">
        <f t="shared" si="2"/>
        <v>307.93383283962771</v>
      </c>
      <c r="BG32" s="1059">
        <f t="shared" si="2"/>
        <v>305.20610374892101</v>
      </c>
      <c r="BH32" s="1059">
        <f t="shared" si="2"/>
        <v>303.02334968154196</v>
      </c>
      <c r="BI32" s="1059">
        <f t="shared" si="2"/>
        <v>300.89291763047493</v>
      </c>
      <c r="BJ32" s="1059">
        <f t="shared" si="2"/>
        <v>299.16995789618215</v>
      </c>
    </row>
    <row r="33" spans="1:62" ht="14.45" x14ac:dyDescent="0.35">
      <c r="A33" s="1041"/>
      <c r="B33" s="1041" t="s">
        <v>51</v>
      </c>
      <c r="C33" s="1059"/>
      <c r="D33" s="1059"/>
      <c r="E33" s="1059"/>
      <c r="F33" s="1059"/>
      <c r="G33" s="1045"/>
      <c r="H33" s="890">
        <v>0.40785621580162112</v>
      </c>
      <c r="I33" s="890">
        <v>0.40688917043791673</v>
      </c>
      <c r="J33" s="890">
        <v>0.39769583087096422</v>
      </c>
      <c r="K33" s="890">
        <v>0.37837490597759182</v>
      </c>
      <c r="L33" s="890">
        <v>0.35461112435605929</v>
      </c>
      <c r="M33" s="890">
        <v>0.3260173178460799</v>
      </c>
      <c r="N33" s="890">
        <v>0.29520330163270658</v>
      </c>
      <c r="O33" s="890">
        <v>0.26523596687241469</v>
      </c>
      <c r="P33" s="890">
        <v>0.2376968963155375</v>
      </c>
      <c r="Q33" s="890">
        <v>0.21256596901008046</v>
      </c>
      <c r="R33" s="890">
        <v>0.18998741133051378</v>
      </c>
      <c r="S33" s="890">
        <v>0.1706654635606977</v>
      </c>
      <c r="T33" s="890">
        <v>0.15374425070955389</v>
      </c>
      <c r="U33" s="890">
        <v>0.13892370643488583</v>
      </c>
      <c r="V33" s="890">
        <v>0.12626394170926142</v>
      </c>
      <c r="W33" s="890">
        <v>0.11499539473644418</v>
      </c>
      <c r="X33" s="890">
        <v>0.10489883821367328</v>
      </c>
      <c r="Y33" s="890">
        <v>9.5827222390044819E-2</v>
      </c>
      <c r="Z33" s="890">
        <v>8.7748415468167432E-2</v>
      </c>
      <c r="AA33" s="890">
        <v>8.0651745771999364E-2</v>
      </c>
      <c r="AB33" s="890">
        <v>7.433273579130148E-2</v>
      </c>
      <c r="AC33" s="890">
        <v>6.8408839876243632E-2</v>
      </c>
      <c r="AD33" s="540">
        <v>6.2911276508412828E-2</v>
      </c>
      <c r="AE33" s="540">
        <v>5.7838539758560695E-2</v>
      </c>
      <c r="AF33" s="540">
        <v>5.3026998420232806E-2</v>
      </c>
    </row>
    <row r="34" spans="1:62" ht="14.45" x14ac:dyDescent="0.35">
      <c r="A34" s="1041"/>
      <c r="B34" s="1041" t="s">
        <v>52</v>
      </c>
      <c r="C34" s="1059"/>
      <c r="D34" s="1059"/>
      <c r="E34" s="1059"/>
      <c r="F34" s="1059"/>
      <c r="G34" s="1045"/>
      <c r="H34" s="890">
        <v>0.43311549067356941</v>
      </c>
      <c r="I34" s="890">
        <v>0.42727940844688134</v>
      </c>
      <c r="J34" s="890">
        <v>0.4100816031261495</v>
      </c>
      <c r="K34" s="890">
        <v>0.38096531323625316</v>
      </c>
      <c r="L34" s="890">
        <v>0.34848780901726406</v>
      </c>
      <c r="M34" s="890">
        <v>0.31408656197390172</v>
      </c>
      <c r="N34" s="890">
        <v>0.28151977847186643</v>
      </c>
      <c r="O34" s="890">
        <v>0.25316640550020297</v>
      </c>
      <c r="P34" s="890">
        <v>0.22936283893196613</v>
      </c>
      <c r="Q34" s="890">
        <v>0.20908566224832009</v>
      </c>
      <c r="R34" s="890">
        <v>0.19169963158881725</v>
      </c>
      <c r="S34" s="890">
        <v>0.17715579857397493</v>
      </c>
      <c r="T34" s="890">
        <v>0.16453108523814566</v>
      </c>
      <c r="U34" s="890">
        <v>0.15342597177498846</v>
      </c>
      <c r="V34" s="890">
        <v>0.14375453385392806</v>
      </c>
      <c r="W34" s="890">
        <v>0.1349761704186504</v>
      </c>
      <c r="X34" s="890">
        <v>0.12692876308613124</v>
      </c>
      <c r="Y34" s="890">
        <v>0.11951184554323049</v>
      </c>
      <c r="Z34" s="890">
        <v>0.112755369528208</v>
      </c>
      <c r="AA34" s="890">
        <v>0.10659438162051266</v>
      </c>
      <c r="AB34" s="890">
        <v>0.10091581669962038</v>
      </c>
      <c r="AC34" s="890">
        <v>9.5445116238186856E-2</v>
      </c>
      <c r="AD34" s="540">
        <v>9.0294278700058975E-2</v>
      </c>
      <c r="AE34" s="540">
        <v>8.542136613707664E-2</v>
      </c>
      <c r="AF34" s="540">
        <v>8.0728337604188516E-2</v>
      </c>
      <c r="AK34" s="858" t="s">
        <v>757</v>
      </c>
    </row>
    <row r="35" spans="1:62" ht="14.45" x14ac:dyDescent="0.35">
      <c r="A35" s="1041"/>
      <c r="B35" s="1043" t="s">
        <v>29</v>
      </c>
      <c r="C35" s="1059"/>
      <c r="D35" s="1059"/>
      <c r="E35" s="1059"/>
      <c r="F35" s="1059"/>
      <c r="G35" s="1045"/>
      <c r="H35" s="890">
        <v>1.2297685773249283</v>
      </c>
      <c r="I35" s="890">
        <v>3.6803097188068383</v>
      </c>
      <c r="J35" s="890">
        <v>5.8209745116610767</v>
      </c>
      <c r="K35" s="890">
        <v>6.124716457759555</v>
      </c>
      <c r="L35" s="890">
        <v>5.1010748629772085</v>
      </c>
      <c r="M35" s="890">
        <v>4.0649859954637302</v>
      </c>
      <c r="N35" s="890">
        <v>3.4200059514982044</v>
      </c>
      <c r="O35" s="890">
        <v>3.139014950409587</v>
      </c>
      <c r="P35" s="890">
        <v>3.0505928024047928</v>
      </c>
      <c r="Q35" s="890">
        <v>3.0453759154447573</v>
      </c>
      <c r="R35" s="890">
        <v>3.062703269688396</v>
      </c>
      <c r="S35" s="890">
        <v>3.0996306953621393</v>
      </c>
      <c r="T35" s="890">
        <v>3.1384861217690734</v>
      </c>
      <c r="U35" s="890">
        <v>3.176847839054239</v>
      </c>
      <c r="V35" s="890">
        <v>3.2195206848498588</v>
      </c>
      <c r="W35" s="890">
        <v>3.2574321597410569</v>
      </c>
      <c r="X35" s="890">
        <v>3.2895606577188392</v>
      </c>
      <c r="Y35" s="890">
        <v>3.3179513406229661</v>
      </c>
      <c r="Z35" s="890">
        <v>3.3498936799683983</v>
      </c>
      <c r="AA35" s="890">
        <v>3.3880255671063577</v>
      </c>
      <c r="AB35" s="890">
        <v>3.436368873562226</v>
      </c>
      <c r="AC35" s="890">
        <v>3.4702901851107075</v>
      </c>
      <c r="AD35" s="540">
        <v>3.5030330077919727</v>
      </c>
      <c r="AE35" s="540">
        <v>3.5346809509493804</v>
      </c>
      <c r="AF35" s="540">
        <v>3.565342095574501</v>
      </c>
    </row>
    <row r="36" spans="1:62" ht="14.45" x14ac:dyDescent="0.35">
      <c r="A36" s="1041"/>
      <c r="B36" s="1043" t="s">
        <v>53</v>
      </c>
      <c r="C36" s="1059"/>
      <c r="D36" s="1059"/>
      <c r="E36" s="1059"/>
      <c r="F36" s="1059"/>
      <c r="G36" s="1045"/>
      <c r="H36" s="890">
        <v>1.3700613363203624E-2</v>
      </c>
      <c r="I36" s="890">
        <v>1.3698193681425838E-2</v>
      </c>
      <c r="J36" s="890">
        <v>1.3461191671411601E-2</v>
      </c>
      <c r="K36" s="890">
        <v>1.2922325381891987E-2</v>
      </c>
      <c r="L36" s="890">
        <v>1.2298535031994219E-2</v>
      </c>
      <c r="M36" s="890">
        <v>1.1550729058774776E-2</v>
      </c>
      <c r="N36" s="890">
        <v>1.0739170698676111E-2</v>
      </c>
      <c r="O36" s="890">
        <v>9.9534053225387616E-3</v>
      </c>
      <c r="P36" s="890">
        <v>9.2300867820640075E-3</v>
      </c>
      <c r="Q36" s="890">
        <v>8.5615218767305708E-3</v>
      </c>
      <c r="R36" s="890">
        <v>7.945297147275732E-3</v>
      </c>
      <c r="S36" s="890">
        <v>7.4149654592725869E-3</v>
      </c>
      <c r="T36" s="890">
        <v>6.9388710474388281E-3</v>
      </c>
      <c r="U36" s="890">
        <v>6.5104233268736822E-3</v>
      </c>
      <c r="V36" s="890">
        <v>6.1372992880221163E-3</v>
      </c>
      <c r="W36" s="890">
        <v>5.7930896754335836E-3</v>
      </c>
      <c r="X36" s="890">
        <v>5.4728709945933065E-3</v>
      </c>
      <c r="Y36" s="890">
        <v>5.1748773616524316E-3</v>
      </c>
      <c r="Z36" s="890">
        <v>4.9056018124996022E-3</v>
      </c>
      <c r="AA36" s="890">
        <v>4.6634485291009373E-3</v>
      </c>
      <c r="AB36" s="890">
        <v>4.4436866107249407E-3</v>
      </c>
      <c r="AC36" s="890">
        <v>4.223434896723232E-3</v>
      </c>
      <c r="AD36" s="540">
        <v>4.01435405138496E-3</v>
      </c>
      <c r="AE36" s="540">
        <v>3.8144916105748482E-3</v>
      </c>
      <c r="AF36" s="540">
        <v>3.6180417748338297E-3</v>
      </c>
      <c r="AK36" s="584" t="s">
        <v>13</v>
      </c>
      <c r="AL36" s="1074">
        <f>AL7/AL28</f>
        <v>1.5025850242499902E-2</v>
      </c>
      <c r="AM36" s="1074">
        <f t="shared" ref="AM36:BJ40" si="3">AM7/AM28</f>
        <v>1.4124436419232982E-2</v>
      </c>
      <c r="AN36" s="1074">
        <f t="shared" si="3"/>
        <v>1.3754929755067586E-2</v>
      </c>
      <c r="AO36" s="1074">
        <f t="shared" si="3"/>
        <v>1.4138695560241976E-2</v>
      </c>
      <c r="AP36" s="1074">
        <f t="shared" si="3"/>
        <v>1.6531935593114881E-2</v>
      </c>
      <c r="AQ36" s="1074">
        <f t="shared" si="3"/>
        <v>1.9046925889815752E-2</v>
      </c>
      <c r="AR36" s="1074">
        <f t="shared" si="3"/>
        <v>2.175330237327832E-2</v>
      </c>
      <c r="AS36" s="1074">
        <f t="shared" si="3"/>
        <v>2.4035835882378287E-2</v>
      </c>
      <c r="AT36" s="1074">
        <f t="shared" si="3"/>
        <v>2.5991018120020713E-2</v>
      </c>
      <c r="AU36" s="1074">
        <f t="shared" si="3"/>
        <v>2.7721166795881443E-2</v>
      </c>
      <c r="AV36" s="1074">
        <f t="shared" si="3"/>
        <v>2.9347567079797604E-2</v>
      </c>
      <c r="AW36" s="1074">
        <f t="shared" si="3"/>
        <v>3.0809953970772738E-2</v>
      </c>
      <c r="AX36" s="1074">
        <f t="shared" si="3"/>
        <v>3.2162231942551085E-2</v>
      </c>
      <c r="AY36" s="1074">
        <f t="shared" si="3"/>
        <v>3.338524737516424E-2</v>
      </c>
      <c r="AZ36" s="1074">
        <f t="shared" si="3"/>
        <v>3.4411854502787241E-2</v>
      </c>
      <c r="BA36" s="1074">
        <f t="shared" si="3"/>
        <v>3.528254577111177E-2</v>
      </c>
      <c r="BB36" s="1074">
        <f t="shared" si="3"/>
        <v>3.6011729540073388E-2</v>
      </c>
      <c r="BC36" s="1074">
        <f t="shared" si="3"/>
        <v>3.6569843340671683E-2</v>
      </c>
      <c r="BD36" s="1074">
        <f t="shared" si="3"/>
        <v>3.6899959801644608E-2</v>
      </c>
      <c r="BE36" s="1074">
        <f t="shared" si="3"/>
        <v>3.6991463464860944E-2</v>
      </c>
      <c r="BF36" s="1074">
        <f t="shared" si="3"/>
        <v>3.6829344204040965E-2</v>
      </c>
      <c r="BG36" s="1074">
        <f t="shared" si="3"/>
        <v>3.6648493375248573E-2</v>
      </c>
      <c r="BH36" s="1074">
        <f t="shared" si="3"/>
        <v>3.6366692912671708E-2</v>
      </c>
      <c r="BI36" s="1074">
        <f t="shared" si="3"/>
        <v>3.5997755226795478E-2</v>
      </c>
      <c r="BJ36" s="1074">
        <f t="shared" si="3"/>
        <v>3.5520834334430401E-2</v>
      </c>
    </row>
    <row r="37" spans="1:62" ht="14.45" x14ac:dyDescent="0.35">
      <c r="A37" s="1059"/>
      <c r="B37" s="1059"/>
      <c r="C37" s="1059"/>
      <c r="D37" s="1059"/>
      <c r="E37" s="1059"/>
      <c r="F37" s="1059"/>
      <c r="G37" s="1059"/>
      <c r="H37" s="1059"/>
      <c r="I37" s="1059"/>
      <c r="J37" s="1059"/>
      <c r="K37" s="1059"/>
      <c r="L37" s="1059"/>
      <c r="M37" s="1059"/>
      <c r="N37" s="1059"/>
      <c r="O37" s="1059"/>
      <c r="P37" s="1059"/>
      <c r="Q37" s="1059"/>
      <c r="R37" s="1059"/>
      <c r="S37" s="1059"/>
      <c r="T37" s="1059"/>
      <c r="U37" s="1059"/>
      <c r="V37" s="1059"/>
      <c r="W37" s="1059"/>
      <c r="X37" s="1059"/>
      <c r="Y37" s="1059"/>
      <c r="Z37" s="1059"/>
      <c r="AA37" s="1059"/>
      <c r="AB37" s="1059"/>
      <c r="AC37" s="1059"/>
      <c r="AD37" s="1059"/>
      <c r="AE37" s="1059"/>
      <c r="AF37" s="1059"/>
      <c r="AK37" s="584" t="s">
        <v>751</v>
      </c>
      <c r="AL37" s="1074">
        <f t="shared" ref="AL37:BA40" si="4">AL8/AL29</f>
        <v>0.4281301271910683</v>
      </c>
      <c r="AM37" s="1074">
        <f t="shared" si="4"/>
        <v>0.40448116350286151</v>
      </c>
      <c r="AN37" s="1074">
        <f t="shared" si="4"/>
        <v>0.39055709408497175</v>
      </c>
      <c r="AO37" s="1074">
        <f t="shared" si="4"/>
        <v>0.38807066984679867</v>
      </c>
      <c r="AP37" s="1074">
        <f t="shared" si="4"/>
        <v>0.40603516560875774</v>
      </c>
      <c r="AQ37" s="1074">
        <f t="shared" si="4"/>
        <v>0.42183566947051881</v>
      </c>
      <c r="AR37" s="1074">
        <f t="shared" si="4"/>
        <v>0.43299923485338049</v>
      </c>
      <c r="AS37" s="1074">
        <f t="shared" si="4"/>
        <v>0.43943331394653024</v>
      </c>
      <c r="AT37" s="1074">
        <f t="shared" si="4"/>
        <v>0.4453093745798235</v>
      </c>
      <c r="AU37" s="1074">
        <f t="shared" si="4"/>
        <v>0.44750635613537404</v>
      </c>
      <c r="AV37" s="1074">
        <f t="shared" si="4"/>
        <v>0.44931338768473245</v>
      </c>
      <c r="AW37" s="1074">
        <f t="shared" si="4"/>
        <v>0.448228965016292</v>
      </c>
      <c r="AX37" s="1074">
        <f t="shared" si="4"/>
        <v>0.44536524759717394</v>
      </c>
      <c r="AY37" s="1074">
        <f t="shared" si="4"/>
        <v>0.44029466836921322</v>
      </c>
      <c r="AZ37" s="1074">
        <f t="shared" si="4"/>
        <v>0.43547344230007889</v>
      </c>
      <c r="BA37" s="1074">
        <f t="shared" si="4"/>
        <v>0.43012123005966252</v>
      </c>
      <c r="BB37" s="1074">
        <f t="shared" si="3"/>
        <v>0.42108547235122329</v>
      </c>
      <c r="BC37" s="1074">
        <f t="shared" si="3"/>
        <v>0.41216547197755732</v>
      </c>
      <c r="BD37" s="1074">
        <f t="shared" si="3"/>
        <v>0.40324903087178732</v>
      </c>
      <c r="BE37" s="1074">
        <f t="shared" si="3"/>
        <v>0.39364150838945283</v>
      </c>
      <c r="BF37" s="1074">
        <f t="shared" si="3"/>
        <v>0.3847111909171429</v>
      </c>
      <c r="BG37" s="1074">
        <f t="shared" si="3"/>
        <v>0.37552483763047406</v>
      </c>
      <c r="BH37" s="1074">
        <f t="shared" si="3"/>
        <v>0.36575066607426093</v>
      </c>
      <c r="BI37" s="1074">
        <f t="shared" si="3"/>
        <v>0.3567739284230193</v>
      </c>
      <c r="BJ37" s="1074">
        <f t="shared" si="3"/>
        <v>0.34747770675659234</v>
      </c>
    </row>
    <row r="38" spans="1:62" x14ac:dyDescent="0.25">
      <c r="A38" s="1059"/>
      <c r="B38" s="1059"/>
      <c r="C38" s="1059"/>
      <c r="D38" s="1059"/>
      <c r="E38" s="1059"/>
      <c r="F38" s="1059"/>
      <c r="G38" s="208">
        <v>2010</v>
      </c>
      <c r="H38" s="208">
        <v>2011</v>
      </c>
      <c r="I38" s="208">
        <v>2012</v>
      </c>
      <c r="J38" s="208">
        <v>2013</v>
      </c>
      <c r="K38" s="208">
        <v>2014</v>
      </c>
      <c r="L38" s="208">
        <v>2015</v>
      </c>
      <c r="M38" s="208">
        <v>2016</v>
      </c>
      <c r="N38" s="208">
        <v>2017</v>
      </c>
      <c r="O38" s="208">
        <v>2018</v>
      </c>
      <c r="P38" s="208">
        <v>2019</v>
      </c>
      <c r="Q38" s="208">
        <v>2020</v>
      </c>
      <c r="R38" s="208">
        <v>2021</v>
      </c>
      <c r="S38" s="208">
        <v>2022</v>
      </c>
      <c r="T38" s="208">
        <v>2023</v>
      </c>
      <c r="U38" s="208">
        <v>2024</v>
      </c>
      <c r="V38" s="208">
        <v>2025</v>
      </c>
      <c r="W38" s="208">
        <v>2026</v>
      </c>
      <c r="X38" s="208">
        <v>2027</v>
      </c>
      <c r="Y38" s="208">
        <v>2028</v>
      </c>
      <c r="Z38" s="208">
        <v>2029</v>
      </c>
      <c r="AA38" s="208">
        <v>2030</v>
      </c>
      <c r="AB38" s="208">
        <v>2031</v>
      </c>
      <c r="AC38" s="208">
        <v>2032</v>
      </c>
      <c r="AD38" s="208">
        <v>2033</v>
      </c>
      <c r="AE38" s="208">
        <v>2034</v>
      </c>
      <c r="AF38" s="208">
        <v>2035</v>
      </c>
      <c r="AK38" s="584" t="s">
        <v>15</v>
      </c>
      <c r="AL38" s="1074">
        <f t="shared" si="4"/>
        <v>0.65624034634565953</v>
      </c>
      <c r="AM38" s="1074">
        <f t="shared" si="3"/>
        <v>0.64340319470905338</v>
      </c>
      <c r="AN38" s="1074">
        <f t="shared" si="3"/>
        <v>0.63423849019794587</v>
      </c>
      <c r="AO38" s="1074">
        <f t="shared" si="3"/>
        <v>0.62975214521181377</v>
      </c>
      <c r="AP38" s="1074">
        <f t="shared" si="3"/>
        <v>0.63549310617623878</v>
      </c>
      <c r="AQ38" s="1074">
        <f t="shared" si="3"/>
        <v>0.63915531587591001</v>
      </c>
      <c r="AR38" s="1074">
        <f t="shared" si="3"/>
        <v>0.64002923099784692</v>
      </c>
      <c r="AS38" s="1074">
        <f t="shared" si="3"/>
        <v>0.63974952461164392</v>
      </c>
      <c r="AT38" s="1074">
        <f t="shared" si="3"/>
        <v>0.63772161925917581</v>
      </c>
      <c r="AU38" s="1074">
        <f t="shared" si="3"/>
        <v>0.63517875082540598</v>
      </c>
      <c r="AV38" s="1074">
        <f t="shared" si="3"/>
        <v>0.63173103692014509</v>
      </c>
      <c r="AW38" s="1074">
        <f t="shared" si="3"/>
        <v>0.62727316186232018</v>
      </c>
      <c r="AX38" s="1074">
        <f t="shared" si="3"/>
        <v>0.6237291915251445</v>
      </c>
      <c r="AY38" s="1074">
        <f t="shared" si="3"/>
        <v>0.61926198210809724</v>
      </c>
      <c r="AZ38" s="1074">
        <f t="shared" si="3"/>
        <v>0.61494403622658655</v>
      </c>
      <c r="BA38" s="1074">
        <f t="shared" si="3"/>
        <v>0.61062113591740363</v>
      </c>
      <c r="BB38" s="1074">
        <f t="shared" si="3"/>
        <v>0.60561046609644553</v>
      </c>
      <c r="BC38" s="1074">
        <f t="shared" si="3"/>
        <v>0.6013711353902722</v>
      </c>
      <c r="BD38" s="1074">
        <f t="shared" si="3"/>
        <v>0.59710878305791504</v>
      </c>
      <c r="BE38" s="1074">
        <f t="shared" si="3"/>
        <v>0.59171855655434569</v>
      </c>
      <c r="BF38" s="1074">
        <f t="shared" si="3"/>
        <v>0.58756960448760998</v>
      </c>
      <c r="BG38" s="1074">
        <f t="shared" si="3"/>
        <v>0.58353097825578271</v>
      </c>
      <c r="BH38" s="1074">
        <f t="shared" si="3"/>
        <v>0.57904637251344837</v>
      </c>
      <c r="BI38" s="1074">
        <f t="shared" si="3"/>
        <v>0.57530072051624681</v>
      </c>
      <c r="BJ38" s="1074">
        <f t="shared" si="3"/>
        <v>0.57170755638549164</v>
      </c>
    </row>
    <row r="39" spans="1:62" x14ac:dyDescent="0.25">
      <c r="A39" s="1047" t="s">
        <v>739</v>
      </c>
      <c r="B39" s="1048"/>
      <c r="C39" s="1047"/>
      <c r="D39" s="1046"/>
      <c r="E39" s="1046"/>
      <c r="F39" s="1046"/>
      <c r="G39" s="1046"/>
      <c r="H39" s="862"/>
      <c r="I39" s="862"/>
      <c r="J39" s="862"/>
      <c r="K39" s="862"/>
      <c r="L39" s="862"/>
      <c r="M39" s="862"/>
      <c r="N39" s="862"/>
      <c r="O39" s="862"/>
      <c r="P39" s="862"/>
      <c r="Q39" s="862"/>
      <c r="R39" s="862"/>
      <c r="S39" s="862"/>
      <c r="T39" s="862"/>
      <c r="U39" s="862"/>
      <c r="V39" s="862"/>
      <c r="W39" s="862"/>
      <c r="X39" s="862"/>
      <c r="Y39" s="862"/>
      <c r="Z39" s="862"/>
      <c r="AA39" s="862"/>
      <c r="AB39" s="862"/>
      <c r="AC39" s="862"/>
      <c r="AD39" s="862"/>
      <c r="AE39" s="862"/>
      <c r="AF39" s="862"/>
      <c r="AK39" s="775" t="s">
        <v>16</v>
      </c>
      <c r="AL39" s="1138">
        <f t="shared" si="4"/>
        <v>0.52633192653680216</v>
      </c>
      <c r="AM39" s="1138">
        <f t="shared" si="3"/>
        <v>0.55611563358942806</v>
      </c>
      <c r="AN39" s="1138">
        <f t="shared" si="3"/>
        <v>0.56885664122967494</v>
      </c>
      <c r="AO39" s="1138">
        <f t="shared" si="3"/>
        <v>0.57782791206470252</v>
      </c>
      <c r="AP39" s="1138">
        <f t="shared" si="3"/>
        <v>0.58348075871306038</v>
      </c>
      <c r="AQ39" s="1138">
        <f t="shared" si="3"/>
        <v>0.58833415243433373</v>
      </c>
      <c r="AR39" s="1138">
        <f t="shared" si="3"/>
        <v>0.58900705310046042</v>
      </c>
      <c r="AS39" s="1138">
        <f t="shared" si="3"/>
        <v>0.58510801115650057</v>
      </c>
      <c r="AT39" s="1138">
        <f t="shared" si="3"/>
        <v>0.58193925126429669</v>
      </c>
      <c r="AU39" s="1138">
        <f t="shared" si="3"/>
        <v>0.57598400795345239</v>
      </c>
      <c r="AV39" s="1138">
        <f t="shared" si="3"/>
        <v>0.57074523293968649</v>
      </c>
      <c r="AW39" s="1138">
        <f t="shared" si="3"/>
        <v>0.56380588087183459</v>
      </c>
      <c r="AX39" s="1138">
        <f t="shared" si="3"/>
        <v>0.55587702094488645</v>
      </c>
      <c r="AY39" s="1138">
        <f t="shared" si="3"/>
        <v>0.54650264720712005</v>
      </c>
      <c r="AZ39" s="1138">
        <f t="shared" si="3"/>
        <v>0.53660745149939415</v>
      </c>
      <c r="BA39" s="1138">
        <f t="shared" si="3"/>
        <v>0.52724616480864395</v>
      </c>
      <c r="BB39" s="1138">
        <f t="shared" si="3"/>
        <v>0.51538708732582683</v>
      </c>
      <c r="BC39" s="1138">
        <f t="shared" si="3"/>
        <v>0.50399397085459774</v>
      </c>
      <c r="BD39" s="1138">
        <f t="shared" si="3"/>
        <v>0.49327188070236416</v>
      </c>
      <c r="BE39" s="1138">
        <f t="shared" si="3"/>
        <v>0.48271675353303178</v>
      </c>
      <c r="BF39" s="1138">
        <f t="shared" si="3"/>
        <v>0.47247789103814869</v>
      </c>
      <c r="BG39" s="1138">
        <f t="shared" si="3"/>
        <v>0.46221839122092295</v>
      </c>
      <c r="BH39" s="1138">
        <f t="shared" si="3"/>
        <v>0.45224170853019185</v>
      </c>
      <c r="BI39" s="1138">
        <f t="shared" si="3"/>
        <v>0.44209214739690611</v>
      </c>
      <c r="BJ39" s="1138">
        <f t="shared" si="3"/>
        <v>0.43272797928956941</v>
      </c>
    </row>
    <row r="40" spans="1:62" x14ac:dyDescent="0.25">
      <c r="A40" s="1042" t="s">
        <v>740</v>
      </c>
      <c r="B40" s="1041"/>
      <c r="C40" s="1059"/>
      <c r="D40" s="1059"/>
      <c r="E40" s="1059"/>
      <c r="F40" s="1059"/>
      <c r="G40" s="1059"/>
      <c r="H40" s="1059"/>
      <c r="I40" s="1059"/>
      <c r="J40" s="1059"/>
      <c r="K40" s="1059"/>
      <c r="L40" s="1059"/>
      <c r="M40" s="1059"/>
      <c r="N40" s="1059"/>
      <c r="O40" s="1059"/>
      <c r="P40" s="1059"/>
      <c r="Q40" s="1059"/>
      <c r="R40" s="1059"/>
      <c r="S40" s="1059"/>
      <c r="T40" s="1059"/>
      <c r="U40" s="1059"/>
      <c r="V40" s="1059"/>
      <c r="W40" s="1059"/>
      <c r="X40" s="1059"/>
      <c r="Y40" s="1059"/>
      <c r="Z40" s="1059"/>
      <c r="AA40" s="1059"/>
      <c r="AB40" s="1059"/>
      <c r="AC40" s="1059"/>
      <c r="AD40" s="1059"/>
      <c r="AE40" s="1059"/>
      <c r="AF40" s="1059"/>
      <c r="AK40" s="1059" t="s">
        <v>752</v>
      </c>
      <c r="AL40" s="1031">
        <f t="shared" si="4"/>
        <v>0.4045844254536749</v>
      </c>
      <c r="AM40" s="1031">
        <f t="shared" si="3"/>
        <v>0.39492196921193329</v>
      </c>
      <c r="AN40" s="1031">
        <f t="shared" si="3"/>
        <v>0.39070860443874184</v>
      </c>
      <c r="AO40" s="1031">
        <f t="shared" si="3"/>
        <v>0.39526678948993921</v>
      </c>
      <c r="AP40" s="1031">
        <f t="shared" si="3"/>
        <v>0.41263520082836436</v>
      </c>
      <c r="AQ40" s="1031">
        <f t="shared" si="3"/>
        <v>0.42763134526903335</v>
      </c>
      <c r="AR40" s="1031">
        <f t="shared" si="3"/>
        <v>0.43855103617575419</v>
      </c>
      <c r="AS40" s="1031">
        <f t="shared" si="3"/>
        <v>0.44430433372427824</v>
      </c>
      <c r="AT40" s="1031">
        <f t="shared" si="3"/>
        <v>0.44879919501568571</v>
      </c>
      <c r="AU40" s="1031">
        <f t="shared" si="3"/>
        <v>0.45004305085836505</v>
      </c>
      <c r="AV40" s="1031">
        <f t="shared" si="3"/>
        <v>0.45085499025587733</v>
      </c>
      <c r="AW40" s="1031">
        <f t="shared" si="3"/>
        <v>0.44927246089066269</v>
      </c>
      <c r="AX40" s="1031">
        <f t="shared" si="3"/>
        <v>0.44633991899690417</v>
      </c>
      <c r="AY40" s="1031">
        <f t="shared" si="3"/>
        <v>0.44158198583365393</v>
      </c>
      <c r="AZ40" s="1031">
        <f t="shared" si="3"/>
        <v>0.43671531324121993</v>
      </c>
      <c r="BA40" s="1031">
        <f t="shared" si="3"/>
        <v>0.43147141620192014</v>
      </c>
      <c r="BB40" s="1031">
        <f t="shared" si="3"/>
        <v>0.42335040324120832</v>
      </c>
      <c r="BC40" s="1031">
        <f t="shared" si="3"/>
        <v>0.41532059341791111</v>
      </c>
      <c r="BD40" s="1031">
        <f t="shared" si="3"/>
        <v>0.40724747982468701</v>
      </c>
      <c r="BE40" s="1031">
        <f t="shared" si="3"/>
        <v>0.39852234916132545</v>
      </c>
      <c r="BF40" s="1031">
        <f t="shared" si="3"/>
        <v>0.39020368201679945</v>
      </c>
      <c r="BG40" s="1031">
        <f t="shared" si="3"/>
        <v>0.38176042529786475</v>
      </c>
      <c r="BH40" s="1031">
        <f t="shared" si="3"/>
        <v>0.37292175938214822</v>
      </c>
      <c r="BI40" s="1031">
        <f t="shared" si="3"/>
        <v>0.364586851975855</v>
      </c>
      <c r="BJ40" s="1031">
        <f t="shared" si="3"/>
        <v>0.35616315429611034</v>
      </c>
    </row>
    <row r="41" spans="1:62" x14ac:dyDescent="0.25">
      <c r="A41" s="1041"/>
      <c r="B41" s="1041" t="s">
        <v>20</v>
      </c>
      <c r="C41" s="1059"/>
      <c r="D41" s="1059"/>
      <c r="E41" s="1059"/>
      <c r="F41" s="1059"/>
      <c r="G41" s="1059"/>
      <c r="H41" s="1059"/>
      <c r="I41" s="1059"/>
      <c r="J41" s="1059"/>
      <c r="K41" s="1059"/>
      <c r="L41" s="1059"/>
      <c r="M41" s="1059"/>
      <c r="N41" s="1059"/>
      <c r="O41" s="1059"/>
      <c r="P41" s="1059"/>
      <c r="Q41" s="1059"/>
      <c r="R41" s="1059"/>
      <c r="S41" s="1059"/>
      <c r="T41" s="1059"/>
      <c r="U41" s="1059"/>
      <c r="V41" s="1059"/>
      <c r="W41" s="1059"/>
      <c r="X41" s="1059"/>
      <c r="Y41" s="1059"/>
      <c r="Z41" s="1059"/>
      <c r="AA41" s="1059"/>
      <c r="AB41" s="1059"/>
      <c r="AC41" s="1059"/>
      <c r="AD41" s="1059"/>
      <c r="AE41" s="1059"/>
      <c r="AF41" s="1059"/>
      <c r="AL41" s="1031"/>
      <c r="AM41" s="1031"/>
      <c r="AN41" s="1031"/>
      <c r="AO41" s="1031"/>
      <c r="AP41" s="1031"/>
      <c r="AQ41" s="1031"/>
      <c r="AR41" s="1031"/>
      <c r="AS41" s="1031"/>
      <c r="AT41" s="1031"/>
      <c r="AU41" s="1031"/>
      <c r="AV41" s="1031"/>
      <c r="AW41" s="1031"/>
      <c r="AX41" s="1031"/>
      <c r="AY41" s="1031"/>
      <c r="AZ41" s="1031"/>
      <c r="BA41" s="1031"/>
      <c r="BB41" s="1031"/>
      <c r="BC41" s="1031"/>
      <c r="BD41" s="1031"/>
      <c r="BE41" s="1031"/>
      <c r="BF41" s="1031"/>
      <c r="BG41" s="1031"/>
      <c r="BH41" s="1031"/>
      <c r="BI41" s="1031"/>
      <c r="BJ41" s="1031"/>
    </row>
    <row r="42" spans="1:62" x14ac:dyDescent="0.25">
      <c r="A42" s="843" t="s">
        <v>21</v>
      </c>
      <c r="B42" s="843"/>
      <c r="C42" s="843"/>
      <c r="D42" s="843"/>
      <c r="E42" s="843"/>
      <c r="F42" s="843"/>
      <c r="G42" s="843"/>
      <c r="H42" s="843"/>
      <c r="I42" s="843"/>
      <c r="J42" s="843"/>
      <c r="K42" s="843"/>
      <c r="L42" s="843"/>
      <c r="M42" s="843"/>
      <c r="N42" s="843"/>
      <c r="O42" s="843"/>
      <c r="P42" s="843"/>
      <c r="Q42" s="843"/>
      <c r="R42" s="843"/>
      <c r="S42" s="843"/>
      <c r="T42" s="843"/>
      <c r="U42" s="843"/>
      <c r="V42" s="843"/>
      <c r="W42" s="843"/>
      <c r="X42" s="843"/>
      <c r="Y42" s="843"/>
      <c r="Z42" s="843"/>
      <c r="AA42" s="843"/>
      <c r="AB42" s="843"/>
      <c r="AC42" s="843"/>
      <c r="AD42" s="843"/>
      <c r="AE42" s="843"/>
      <c r="AF42" s="843"/>
    </row>
    <row r="43" spans="1:62" x14ac:dyDescent="0.25">
      <c r="A43" s="1041"/>
      <c r="B43" s="1041" t="s">
        <v>22</v>
      </c>
      <c r="C43" s="1059"/>
      <c r="D43" s="1059"/>
      <c r="E43" s="1059"/>
      <c r="F43" s="1059"/>
      <c r="G43" s="1045"/>
      <c r="H43" s="855">
        <v>0.68662674661428824</v>
      </c>
      <c r="I43" s="855">
        <v>0.62418046380849179</v>
      </c>
      <c r="J43" s="855">
        <v>0.43801521362615453</v>
      </c>
      <c r="K43" s="855">
        <v>0.32256355557956007</v>
      </c>
      <c r="L43" s="855">
        <v>0.21927485983819189</v>
      </c>
      <c r="M43" s="855">
        <v>8.5986477742214545E-2</v>
      </c>
      <c r="N43" s="855">
        <v>7.819695113593253E-2</v>
      </c>
      <c r="O43" s="855">
        <v>7.0583876470484919E-2</v>
      </c>
      <c r="P43" s="855">
        <v>6.3390333160417506E-2</v>
      </c>
      <c r="Q43" s="855">
        <v>5.577692078095383E-2</v>
      </c>
      <c r="R43" s="855">
        <v>4.8048777346311064E-2</v>
      </c>
      <c r="S43" s="855">
        <v>4.0863428911523919E-2</v>
      </c>
      <c r="T43" s="855">
        <v>3.4371231431660265E-2</v>
      </c>
      <c r="U43" s="855">
        <v>2.8639727619497037E-2</v>
      </c>
      <c r="V43" s="855">
        <v>2.3890181685237946E-2</v>
      </c>
      <c r="W43" s="855">
        <v>1.9894127084901184E-2</v>
      </c>
      <c r="X43" s="855">
        <v>1.6593908085263235E-2</v>
      </c>
      <c r="Y43" s="855">
        <v>1.3887012826621368E-2</v>
      </c>
      <c r="Z43" s="855">
        <v>1.1718665365489704E-2</v>
      </c>
      <c r="AA43" s="855">
        <v>1.0000837228597929E-2</v>
      </c>
      <c r="AB43" s="855">
        <v>8.5577842042435705E-3</v>
      </c>
      <c r="AC43" s="855">
        <v>7.3996673704426127E-3</v>
      </c>
      <c r="AD43" s="855">
        <v>6.4361770409307436E-3</v>
      </c>
      <c r="AE43" s="855">
        <v>5.6158902703781297E-3</v>
      </c>
      <c r="AF43" s="855">
        <v>4.8366123940862807E-3</v>
      </c>
    </row>
    <row r="44" spans="1:62" x14ac:dyDescent="0.25">
      <c r="A44" s="1041"/>
      <c r="B44" s="1041" t="s">
        <v>26</v>
      </c>
      <c r="C44" s="1059"/>
      <c r="D44" s="1059"/>
      <c r="E44" s="1059"/>
      <c r="F44" s="1059"/>
      <c r="G44" s="1045"/>
      <c r="H44" s="855">
        <v>1.1867539938884092E-2</v>
      </c>
      <c r="I44" s="855">
        <v>5.3057830331469581E-2</v>
      </c>
      <c r="J44" s="855">
        <v>0.16681929524860412</v>
      </c>
      <c r="K44" s="855">
        <v>0.24964224975120833</v>
      </c>
      <c r="L44" s="855">
        <v>0.28363657279037363</v>
      </c>
      <c r="M44" s="855">
        <v>0.31912476622456643</v>
      </c>
      <c r="N44" s="855">
        <v>0.3017937235481315</v>
      </c>
      <c r="O44" s="855">
        <v>0.28232478774688946</v>
      </c>
      <c r="P44" s="855">
        <v>0.26185114885919564</v>
      </c>
      <c r="Q44" s="855">
        <v>0.2384314375757072</v>
      </c>
      <c r="R44" s="855">
        <v>0.21326777000424704</v>
      </c>
      <c r="S44" s="855">
        <v>0.18873714853993967</v>
      </c>
      <c r="T44" s="855">
        <v>0.16562208259589278</v>
      </c>
      <c r="U44" s="855">
        <v>0.14444915579137629</v>
      </c>
      <c r="V44" s="855">
        <v>0.12632385277751487</v>
      </c>
      <c r="W44" s="855">
        <v>0.11061278159297555</v>
      </c>
      <c r="X44" s="855">
        <v>9.7276123209751111E-2</v>
      </c>
      <c r="Y44" s="855">
        <v>8.6036574729934701E-2</v>
      </c>
      <c r="Z44" s="855">
        <v>7.6824279002319668E-2</v>
      </c>
      <c r="AA44" s="855">
        <v>6.9387866658426972E-2</v>
      </c>
      <c r="AB44" s="855">
        <v>6.2973501442017105E-2</v>
      </c>
      <c r="AC44" s="855">
        <v>5.7663648782529033E-2</v>
      </c>
      <c r="AD44" s="855">
        <v>5.3118501772285956E-2</v>
      </c>
      <c r="AE44" s="855">
        <v>4.9101574408532002E-2</v>
      </c>
      <c r="AF44" s="855">
        <v>4.5000926498925564E-2</v>
      </c>
    </row>
    <row r="45" spans="1:62" x14ac:dyDescent="0.25">
      <c r="A45" s="1041"/>
      <c r="B45" s="1041" t="s">
        <v>27</v>
      </c>
      <c r="C45" s="1059"/>
      <c r="D45" s="1059"/>
      <c r="E45" s="1059"/>
      <c r="F45" s="1059"/>
      <c r="G45" s="1045"/>
      <c r="H45" s="855">
        <v>0.29862269806831404</v>
      </c>
      <c r="I45" s="855">
        <v>0.3151754261358915</v>
      </c>
      <c r="J45" s="855">
        <v>0.38235370893078069</v>
      </c>
      <c r="K45" s="855">
        <v>0.40545901318683042</v>
      </c>
      <c r="L45" s="855">
        <v>0.45930542774951982</v>
      </c>
      <c r="M45" s="855">
        <v>0.53144208718149222</v>
      </c>
      <c r="N45" s="855">
        <v>0.51976076946704575</v>
      </c>
      <c r="O45" s="855">
        <v>0.49883112118012468</v>
      </c>
      <c r="P45" s="855">
        <v>0.46923869021443093</v>
      </c>
      <c r="Q45" s="855">
        <v>0.43603635703321775</v>
      </c>
      <c r="R45" s="855">
        <v>0.40139394313893845</v>
      </c>
      <c r="S45" s="855">
        <v>0.36573919517793613</v>
      </c>
      <c r="T45" s="855">
        <v>0.33131136416307966</v>
      </c>
      <c r="U45" s="855">
        <v>0.29957308079188</v>
      </c>
      <c r="V45" s="855">
        <v>0.27118402374254102</v>
      </c>
      <c r="W45" s="855">
        <v>0.24684937264918289</v>
      </c>
      <c r="X45" s="855">
        <v>0.2264400309483669</v>
      </c>
      <c r="Y45" s="855">
        <v>0.20960541354553258</v>
      </c>
      <c r="Z45" s="855">
        <v>0.1958846297327709</v>
      </c>
      <c r="AA45" s="855">
        <v>0.18482806218549877</v>
      </c>
      <c r="AB45" s="855">
        <v>0.17587495962844163</v>
      </c>
      <c r="AC45" s="855">
        <v>0.16861981949974084</v>
      </c>
      <c r="AD45" s="855">
        <v>0.16268841906798492</v>
      </c>
      <c r="AE45" s="855">
        <v>0.15774811041186679</v>
      </c>
      <c r="AF45" s="855">
        <v>0.15332767840154701</v>
      </c>
    </row>
    <row r="46" spans="1:62" x14ac:dyDescent="0.25">
      <c r="A46" s="1041"/>
      <c r="B46" s="1041" t="s">
        <v>29</v>
      </c>
      <c r="C46" s="1059"/>
      <c r="D46" s="1059"/>
      <c r="E46" s="1059"/>
      <c r="F46" s="1059"/>
      <c r="G46" s="1045"/>
      <c r="H46" s="855">
        <v>2.8830153785138232E-3</v>
      </c>
      <c r="I46" s="855">
        <v>7.5862797241469347E-3</v>
      </c>
      <c r="J46" s="855">
        <v>1.2811782194460681E-2</v>
      </c>
      <c r="K46" s="855">
        <v>2.2335181482401163E-2</v>
      </c>
      <c r="L46" s="855">
        <v>3.778313962191461E-2</v>
      </c>
      <c r="M46" s="855">
        <v>6.3446668851726867E-2</v>
      </c>
      <c r="N46" s="855">
        <v>0.10024855584889021</v>
      </c>
      <c r="O46" s="855">
        <v>0.14826021460250091</v>
      </c>
      <c r="P46" s="855">
        <v>0.20551982776595584</v>
      </c>
      <c r="Q46" s="855">
        <v>0.26975528461012122</v>
      </c>
      <c r="R46" s="855">
        <v>0.33728950951050329</v>
      </c>
      <c r="S46" s="855">
        <v>0.4046602273706002</v>
      </c>
      <c r="T46" s="855">
        <v>0.46869532180936718</v>
      </c>
      <c r="U46" s="855">
        <v>0.5273380357972467</v>
      </c>
      <c r="V46" s="855">
        <v>0.57860194179470603</v>
      </c>
      <c r="W46" s="855">
        <v>0.62264371867294033</v>
      </c>
      <c r="X46" s="855">
        <v>0.65968993775661888</v>
      </c>
      <c r="Y46" s="855">
        <v>0.69047099889791141</v>
      </c>
      <c r="Z46" s="855">
        <v>0.71557242589941972</v>
      </c>
      <c r="AA46" s="855">
        <v>0.73578323392747635</v>
      </c>
      <c r="AB46" s="855">
        <v>0.75259375472529766</v>
      </c>
      <c r="AC46" s="855">
        <v>0.76631686434728752</v>
      </c>
      <c r="AD46" s="855">
        <v>0.77775690211879833</v>
      </c>
      <c r="AE46" s="855">
        <v>0.7875344249092231</v>
      </c>
      <c r="AF46" s="855">
        <v>0.79683478270544117</v>
      </c>
    </row>
    <row r="47" spans="1:62" x14ac:dyDescent="0.25">
      <c r="A47" s="1041"/>
      <c r="B47" s="1041"/>
      <c r="C47" s="1059"/>
      <c r="D47" s="1059"/>
      <c r="E47" s="1059"/>
      <c r="F47" s="1059"/>
      <c r="G47" s="1045"/>
      <c r="H47" s="1059"/>
      <c r="I47" s="1059"/>
      <c r="J47" s="1059"/>
      <c r="K47" s="1059"/>
      <c r="L47" s="1059"/>
      <c r="M47" s="1059"/>
      <c r="N47" s="1059"/>
      <c r="O47" s="1059"/>
      <c r="P47" s="1059"/>
      <c r="Q47" s="1059"/>
      <c r="R47" s="1059"/>
      <c r="S47" s="1059"/>
      <c r="T47" s="1059"/>
      <c r="U47" s="1059"/>
      <c r="V47" s="1059"/>
      <c r="W47" s="1059"/>
      <c r="X47" s="1059"/>
      <c r="Y47" s="1059"/>
      <c r="Z47" s="1059"/>
      <c r="AA47" s="1059"/>
      <c r="AB47" s="1059"/>
      <c r="AC47" s="1059"/>
      <c r="AD47" s="1059"/>
      <c r="AE47" s="1059"/>
      <c r="AF47" s="1059"/>
    </row>
    <row r="48" spans="1:62" x14ac:dyDescent="0.25">
      <c r="A48" s="843" t="s">
        <v>32</v>
      </c>
      <c r="B48" s="843"/>
      <c r="C48" s="843"/>
      <c r="D48" s="843"/>
      <c r="E48" s="843"/>
      <c r="F48" s="843"/>
      <c r="G48" s="865"/>
      <c r="H48" s="843"/>
      <c r="I48" s="843"/>
      <c r="J48" s="843"/>
      <c r="K48" s="843"/>
      <c r="L48" s="843"/>
      <c r="M48" s="843"/>
      <c r="N48" s="843"/>
      <c r="O48" s="843"/>
      <c r="P48" s="843"/>
      <c r="Q48" s="843"/>
      <c r="R48" s="843"/>
      <c r="S48" s="843"/>
      <c r="T48" s="843"/>
      <c r="U48" s="843"/>
      <c r="V48" s="843"/>
      <c r="W48" s="843"/>
      <c r="X48" s="843"/>
      <c r="Y48" s="843"/>
      <c r="Z48" s="843"/>
      <c r="AA48" s="843"/>
      <c r="AB48" s="843"/>
      <c r="AC48" s="843"/>
      <c r="AD48" s="843"/>
      <c r="AE48" s="843"/>
      <c r="AF48" s="843"/>
    </row>
    <row r="49" spans="1:32" x14ac:dyDescent="0.25">
      <c r="A49" s="1041"/>
      <c r="B49" s="1041" t="s">
        <v>33</v>
      </c>
      <c r="C49" s="1059"/>
      <c r="D49" s="1059"/>
      <c r="E49" s="1059"/>
      <c r="F49" s="1059"/>
      <c r="G49" s="1045"/>
      <c r="H49" s="855">
        <v>0.30379448388862335</v>
      </c>
      <c r="I49" s="855">
        <v>0.32355621755593605</v>
      </c>
      <c r="J49" s="855">
        <v>0.33661420946594534</v>
      </c>
      <c r="K49" s="855">
        <v>0.3398019543567864</v>
      </c>
      <c r="L49" s="855">
        <v>0.31589156980639843</v>
      </c>
      <c r="M49" s="855">
        <v>0.28393400966398419</v>
      </c>
      <c r="N49" s="855">
        <v>0.25271599873575157</v>
      </c>
      <c r="O49" s="855">
        <v>0.22210790838422984</v>
      </c>
      <c r="P49" s="855">
        <v>0.19377090624837889</v>
      </c>
      <c r="Q49" s="855">
        <v>0.16626530056713951</v>
      </c>
      <c r="R49" s="855">
        <v>0.14040411511592121</v>
      </c>
      <c r="S49" s="855">
        <v>0.11764790197623674</v>
      </c>
      <c r="T49" s="855">
        <v>9.80064709570799E-2</v>
      </c>
      <c r="U49" s="855">
        <v>8.1382961605279913E-2</v>
      </c>
      <c r="V49" s="855">
        <v>6.8078357349253923E-2</v>
      </c>
      <c r="W49" s="855">
        <v>5.7265063704131855E-2</v>
      </c>
      <c r="X49" s="855">
        <v>4.8613522260914907E-2</v>
      </c>
      <c r="Y49" s="855">
        <v>4.1687903162437756E-2</v>
      </c>
      <c r="Z49" s="855">
        <v>3.6264159995944664E-2</v>
      </c>
      <c r="AA49" s="855">
        <v>3.2049645201867046E-2</v>
      </c>
      <c r="AB49" s="855">
        <v>2.850893789986016E-2</v>
      </c>
      <c r="AC49" s="855">
        <v>2.559987809177134E-2</v>
      </c>
      <c r="AD49" s="855">
        <v>2.3129884805666308E-2</v>
      </c>
      <c r="AE49" s="855">
        <v>2.0944874019520263E-2</v>
      </c>
      <c r="AF49" s="855">
        <v>1.8701675827038276E-2</v>
      </c>
    </row>
    <row r="50" spans="1:32" x14ac:dyDescent="0.25">
      <c r="A50" s="1043"/>
      <c r="B50" s="1043" t="s">
        <v>34</v>
      </c>
      <c r="C50" s="1059"/>
      <c r="D50" s="1059"/>
      <c r="E50" s="1059"/>
      <c r="F50" s="1059"/>
      <c r="G50" s="1045"/>
      <c r="H50" s="855">
        <v>0.60263776527080071</v>
      </c>
      <c r="I50" s="855">
        <v>0.56825923110278032</v>
      </c>
      <c r="J50" s="855">
        <v>0.52484530003034024</v>
      </c>
      <c r="K50" s="855">
        <v>0.47573342752264547</v>
      </c>
      <c r="L50" s="855">
        <v>0.45349535838168292</v>
      </c>
      <c r="M50" s="855">
        <v>0.42805659535336826</v>
      </c>
      <c r="N50" s="855">
        <v>0.39769204622045407</v>
      </c>
      <c r="O50" s="855">
        <v>0.36445660750390346</v>
      </c>
      <c r="P50" s="855">
        <v>0.3300853940581695</v>
      </c>
      <c r="Q50" s="855">
        <v>0.2961895162651943</v>
      </c>
      <c r="R50" s="855">
        <v>0.26375345581785792</v>
      </c>
      <c r="S50" s="855">
        <v>0.23370579076870884</v>
      </c>
      <c r="T50" s="855">
        <v>0.2066489906746021</v>
      </c>
      <c r="U50" s="855">
        <v>0.18296659718211075</v>
      </c>
      <c r="V50" s="855">
        <v>0.16314893193171681</v>
      </c>
      <c r="W50" s="855">
        <v>0.14672549858003936</v>
      </c>
      <c r="X50" s="855">
        <v>0.13337421684854747</v>
      </c>
      <c r="Y50" s="855">
        <v>0.12260160104384343</v>
      </c>
      <c r="Z50" s="855">
        <v>0.11413512713333449</v>
      </c>
      <c r="AA50" s="855">
        <v>0.10760013730038991</v>
      </c>
      <c r="AB50" s="855">
        <v>0.1022280458826012</v>
      </c>
      <c r="AC50" s="855">
        <v>9.7787904697416259E-2</v>
      </c>
      <c r="AD50" s="855">
        <v>9.4023930919073032E-2</v>
      </c>
      <c r="AE50" s="855">
        <v>9.0673713737268929E-2</v>
      </c>
      <c r="AF50" s="855">
        <v>8.7002163124627913E-2</v>
      </c>
    </row>
    <row r="51" spans="1:32" x14ac:dyDescent="0.25">
      <c r="A51" s="1041"/>
      <c r="B51" s="1043" t="s">
        <v>35</v>
      </c>
      <c r="C51" s="1059"/>
      <c r="D51" s="1059"/>
      <c r="E51" s="1059"/>
      <c r="F51" s="1059"/>
      <c r="G51" s="1045"/>
      <c r="H51" s="855">
        <v>8.7380480123331841E-2</v>
      </c>
      <c r="I51" s="855">
        <v>8.8559937395450941E-2</v>
      </c>
      <c r="J51" s="855">
        <v>9.1683387228409977E-2</v>
      </c>
      <c r="K51" s="855">
        <v>9.5903517588500381E-2</v>
      </c>
      <c r="L51" s="855">
        <v>9.2438239907933178E-2</v>
      </c>
      <c r="M51" s="855">
        <v>8.9851697313345066E-2</v>
      </c>
      <c r="N51" s="855">
        <v>8.5412679092521857E-2</v>
      </c>
      <c r="O51" s="855">
        <v>7.9925676026869091E-2</v>
      </c>
      <c r="P51" s="855">
        <v>7.3579699596878281E-2</v>
      </c>
      <c r="Q51" s="855">
        <v>6.7438959765154835E-2</v>
      </c>
      <c r="R51" s="855">
        <v>6.1679227478879356E-2</v>
      </c>
      <c r="S51" s="855">
        <v>5.6180453929969579E-2</v>
      </c>
      <c r="T51" s="855">
        <v>5.1142118518141502E-2</v>
      </c>
      <c r="U51" s="855">
        <v>4.6710377319150127E-2</v>
      </c>
      <c r="V51" s="855">
        <v>4.2892334780906829E-2</v>
      </c>
      <c r="W51" s="855">
        <v>3.9764929162396843E-2</v>
      </c>
      <c r="X51" s="855">
        <v>3.7267761783156717E-2</v>
      </c>
      <c r="Y51" s="855">
        <v>3.5324152694419707E-2</v>
      </c>
      <c r="Z51" s="855">
        <v>3.3851417606019056E-2</v>
      </c>
      <c r="AA51" s="855">
        <v>3.2766969087378729E-2</v>
      </c>
      <c r="AB51" s="855">
        <v>3.1988279257205557E-2</v>
      </c>
      <c r="AC51" s="855">
        <v>3.1391095085982937E-2</v>
      </c>
      <c r="AD51" s="855">
        <v>3.0944848865907558E-2</v>
      </c>
      <c r="AE51" s="855">
        <v>3.0609798501934446E-2</v>
      </c>
      <c r="AF51" s="855">
        <v>3.0304551212699159E-2</v>
      </c>
    </row>
    <row r="52" spans="1:32" x14ac:dyDescent="0.25">
      <c r="A52" s="1041"/>
      <c r="B52" s="1043" t="s">
        <v>29</v>
      </c>
      <c r="C52" s="1059"/>
      <c r="D52" s="1059"/>
      <c r="E52" s="1059"/>
      <c r="F52" s="1059"/>
      <c r="G52" s="1045"/>
      <c r="H52" s="855">
        <v>6.187270717244008E-3</v>
      </c>
      <c r="I52" s="855">
        <v>1.9624613945832772E-2</v>
      </c>
      <c r="J52" s="855">
        <v>4.6857103275304381E-2</v>
      </c>
      <c r="K52" s="855">
        <v>8.8561100532067963E-2</v>
      </c>
      <c r="L52" s="855">
        <v>0.13817483190398544</v>
      </c>
      <c r="M52" s="855">
        <v>0.19815769766930239</v>
      </c>
      <c r="N52" s="855">
        <v>0.26417927595127261</v>
      </c>
      <c r="O52" s="855">
        <v>0.33350980808499764</v>
      </c>
      <c r="P52" s="855">
        <v>0.40256400009657328</v>
      </c>
      <c r="Q52" s="855">
        <v>0.4701062234025114</v>
      </c>
      <c r="R52" s="855">
        <v>0.53416320158734154</v>
      </c>
      <c r="S52" s="855">
        <v>0.59246585332508472</v>
      </c>
      <c r="T52" s="855">
        <v>0.64420241985017634</v>
      </c>
      <c r="U52" s="855">
        <v>0.68894006389345919</v>
      </c>
      <c r="V52" s="855">
        <v>0.72588037593812249</v>
      </c>
      <c r="W52" s="855">
        <v>0.75624450855343195</v>
      </c>
      <c r="X52" s="855">
        <v>0.78074449910738086</v>
      </c>
      <c r="Y52" s="855">
        <v>0.80038634309929912</v>
      </c>
      <c r="Z52" s="855">
        <v>0.81574929526470186</v>
      </c>
      <c r="AA52" s="855">
        <v>0.82758324841036435</v>
      </c>
      <c r="AB52" s="855">
        <v>0.83727473696033305</v>
      </c>
      <c r="AC52" s="855">
        <v>0.84522112212482947</v>
      </c>
      <c r="AD52" s="855">
        <v>0.85190133540935309</v>
      </c>
      <c r="AE52" s="855">
        <v>0.85777161374127642</v>
      </c>
      <c r="AF52" s="855">
        <v>0.86399160983563461</v>
      </c>
    </row>
    <row r="53" spans="1:32" x14ac:dyDescent="0.25">
      <c r="A53" s="1041"/>
      <c r="B53" s="1041"/>
      <c r="C53" s="1059"/>
      <c r="D53" s="1059"/>
      <c r="E53" s="1059"/>
      <c r="F53" s="1059"/>
      <c r="G53" s="1045"/>
      <c r="H53" s="1059"/>
      <c r="I53" s="1059"/>
      <c r="J53" s="1059"/>
      <c r="K53" s="1059"/>
      <c r="L53" s="1059"/>
      <c r="M53" s="1059"/>
      <c r="N53" s="1059"/>
      <c r="O53" s="1059"/>
      <c r="P53" s="1059"/>
      <c r="Q53" s="1059"/>
      <c r="R53" s="1059"/>
      <c r="S53" s="1059"/>
      <c r="T53" s="1059"/>
      <c r="U53" s="1059"/>
      <c r="V53" s="1059"/>
      <c r="W53" s="1059"/>
      <c r="X53" s="1059"/>
      <c r="Y53" s="1059"/>
      <c r="Z53" s="1059"/>
      <c r="AA53" s="1059"/>
      <c r="AB53" s="1059"/>
      <c r="AC53" s="1059"/>
      <c r="AD53" s="1059"/>
      <c r="AE53" s="1059"/>
      <c r="AF53" s="1059"/>
    </row>
    <row r="54" spans="1:32" x14ac:dyDescent="0.25">
      <c r="A54" s="843" t="s">
        <v>36</v>
      </c>
      <c r="B54" s="843"/>
      <c r="C54" s="843"/>
      <c r="D54" s="843"/>
      <c r="E54" s="843"/>
      <c r="F54" s="843"/>
      <c r="G54" s="865"/>
      <c r="H54" s="843"/>
      <c r="I54" s="843"/>
      <c r="J54" s="843"/>
      <c r="K54" s="843"/>
      <c r="L54" s="843"/>
      <c r="M54" s="843"/>
      <c r="N54" s="843"/>
      <c r="O54" s="843"/>
      <c r="P54" s="843"/>
      <c r="Q54" s="843"/>
      <c r="R54" s="843"/>
      <c r="S54" s="843"/>
      <c r="T54" s="843"/>
      <c r="U54" s="843"/>
      <c r="V54" s="843"/>
      <c r="W54" s="843"/>
      <c r="X54" s="843"/>
      <c r="Y54" s="843"/>
      <c r="Z54" s="843"/>
      <c r="AA54" s="843"/>
      <c r="AB54" s="843"/>
      <c r="AC54" s="843"/>
      <c r="AD54" s="843"/>
      <c r="AE54" s="843"/>
      <c r="AF54" s="843"/>
    </row>
    <row r="55" spans="1:32" x14ac:dyDescent="0.25">
      <c r="A55" s="1041"/>
      <c r="B55" s="1041" t="s">
        <v>37</v>
      </c>
      <c r="C55" s="1059"/>
      <c r="D55" s="1059"/>
      <c r="E55" s="1059"/>
      <c r="F55" s="1059"/>
      <c r="G55" s="540"/>
      <c r="H55" s="855">
        <v>0.25737728014451189</v>
      </c>
      <c r="I55" s="855">
        <v>0.19853274346806474</v>
      </c>
      <c r="J55" s="855">
        <v>0.14625823990939141</v>
      </c>
      <c r="K55" s="855">
        <v>0.10100172464506896</v>
      </c>
      <c r="L55" s="855">
        <v>8.7419560475667471E-2</v>
      </c>
      <c r="M55" s="855">
        <v>7.5424750686924252E-2</v>
      </c>
      <c r="N55" s="855">
        <v>6.6035769858409837E-2</v>
      </c>
      <c r="O55" s="855">
        <v>5.9935681113296523E-2</v>
      </c>
      <c r="P55" s="855">
        <v>5.4453083180719224E-2</v>
      </c>
      <c r="Q55" s="855">
        <v>4.9554091631827786E-2</v>
      </c>
      <c r="R55" s="855">
        <v>4.5253387725889715E-2</v>
      </c>
      <c r="S55" s="855">
        <v>4.1287433971890601E-2</v>
      </c>
      <c r="T55" s="855">
        <v>3.7733261142860366E-2</v>
      </c>
      <c r="U55" s="855">
        <v>3.4540405972629036E-2</v>
      </c>
      <c r="V55" s="855">
        <v>3.1621540589572658E-2</v>
      </c>
      <c r="W55" s="855">
        <v>2.9012722288706449E-2</v>
      </c>
      <c r="X55" s="855">
        <v>2.6679806028451054E-2</v>
      </c>
      <c r="Y55" s="855">
        <v>2.4575506105272774E-2</v>
      </c>
      <c r="Z55" s="855">
        <v>2.2633297997452183E-2</v>
      </c>
      <c r="AA55" s="855">
        <v>2.0827348246256584E-2</v>
      </c>
      <c r="AB55" s="855">
        <v>1.9130456940170487E-2</v>
      </c>
      <c r="AC55" s="855">
        <v>1.763730142311095E-2</v>
      </c>
      <c r="AD55" s="855">
        <v>1.6270068649758433E-2</v>
      </c>
      <c r="AE55" s="855">
        <v>1.5016645980443704E-2</v>
      </c>
      <c r="AF55" s="855">
        <v>1.3868856865390198E-2</v>
      </c>
    </row>
    <row r="56" spans="1:32" x14ac:dyDescent="0.25">
      <c r="A56" s="1041"/>
      <c r="B56" s="1041" t="s">
        <v>39</v>
      </c>
      <c r="C56" s="1059"/>
      <c r="D56" s="1059"/>
      <c r="E56" s="1059"/>
      <c r="F56" s="1059"/>
      <c r="G56" s="540"/>
      <c r="H56" s="855">
        <v>0.5984267791084934</v>
      </c>
      <c r="I56" s="855">
        <v>0.6113993831747746</v>
      </c>
      <c r="J56" s="855">
        <v>0.61459649057360777</v>
      </c>
      <c r="K56" s="855">
        <v>0.60814299505298619</v>
      </c>
      <c r="L56" s="855">
        <v>0.58000601196884316</v>
      </c>
      <c r="M56" s="855">
        <v>0.54945258544216158</v>
      </c>
      <c r="N56" s="855">
        <v>0.51812307174613204</v>
      </c>
      <c r="O56" s="855">
        <v>0.48574927719768801</v>
      </c>
      <c r="P56" s="855">
        <v>0.45522775211111827</v>
      </c>
      <c r="Q56" s="855">
        <v>0.42659300510545195</v>
      </c>
      <c r="R56" s="855">
        <v>0.40058273052656512</v>
      </c>
      <c r="S56" s="855">
        <v>0.37705283223093883</v>
      </c>
      <c r="T56" s="855">
        <v>0.35585481414736614</v>
      </c>
      <c r="U56" s="855">
        <v>0.336764191609078</v>
      </c>
      <c r="V56" s="855">
        <v>0.31984074530008594</v>
      </c>
      <c r="W56" s="855">
        <v>0.30469604852492477</v>
      </c>
      <c r="X56" s="855">
        <v>0.29118312141814662</v>
      </c>
      <c r="Y56" s="855">
        <v>0.27903841681243391</v>
      </c>
      <c r="Z56" s="855">
        <v>0.26810084331907563</v>
      </c>
      <c r="AA56" s="855">
        <v>0.25822079292055444</v>
      </c>
      <c r="AB56" s="855">
        <v>0.24887604051324627</v>
      </c>
      <c r="AC56" s="855">
        <v>0.24053345858531161</v>
      </c>
      <c r="AD56" s="855">
        <v>0.23279900848307872</v>
      </c>
      <c r="AE56" s="855">
        <v>0.22551016726192197</v>
      </c>
      <c r="AF56" s="855">
        <v>0.21818061967133437</v>
      </c>
    </row>
    <row r="57" spans="1:32" x14ac:dyDescent="0.25">
      <c r="A57" s="1041"/>
      <c r="B57" s="1041" t="s">
        <v>40</v>
      </c>
      <c r="C57" s="1059"/>
      <c r="D57" s="1059"/>
      <c r="E57" s="1059"/>
      <c r="F57" s="1059"/>
      <c r="G57" s="540"/>
      <c r="H57" s="855">
        <v>0.14419537437772642</v>
      </c>
      <c r="I57" s="855">
        <v>0.19002659416297568</v>
      </c>
      <c r="J57" s="855">
        <v>0.23864825346847832</v>
      </c>
      <c r="K57" s="855">
        <v>0.28828894001625521</v>
      </c>
      <c r="L57" s="855">
        <v>0.32440319610422658</v>
      </c>
      <c r="M57" s="855">
        <v>0.35575972675892997</v>
      </c>
      <c r="N57" s="855">
        <v>0.37886042042535201</v>
      </c>
      <c r="O57" s="855">
        <v>0.39363331588932199</v>
      </c>
      <c r="P57" s="855">
        <v>0.40121468497153323</v>
      </c>
      <c r="Q57" s="855">
        <v>0.40266082019769361</v>
      </c>
      <c r="R57" s="855">
        <v>0.39972027265924798</v>
      </c>
      <c r="S57" s="855">
        <v>0.39324884656184711</v>
      </c>
      <c r="T57" s="855">
        <v>0.3844597709736885</v>
      </c>
      <c r="U57" s="855">
        <v>0.37431656920827622</v>
      </c>
      <c r="V57" s="855">
        <v>0.36366500572779964</v>
      </c>
      <c r="W57" s="855">
        <v>0.35301831670399025</v>
      </c>
      <c r="X57" s="855">
        <v>0.34274414294265204</v>
      </c>
      <c r="Y57" s="855">
        <v>0.33295715833103029</v>
      </c>
      <c r="Z57" s="855">
        <v>0.32368261544970123</v>
      </c>
      <c r="AA57" s="855">
        <v>0.31492956676926137</v>
      </c>
      <c r="AB57" s="855">
        <v>0.30635340820675361</v>
      </c>
      <c r="AC57" s="855">
        <v>0.29857831953841985</v>
      </c>
      <c r="AD57" s="855">
        <v>0.29121469026898589</v>
      </c>
      <c r="AE57" s="855">
        <v>0.28415302777098878</v>
      </c>
      <c r="AF57" s="855">
        <v>0.27674512055307421</v>
      </c>
    </row>
    <row r="58" spans="1:32" x14ac:dyDescent="0.25">
      <c r="A58" s="1041"/>
      <c r="B58" s="1041" t="s">
        <v>29</v>
      </c>
      <c r="C58" s="1059"/>
      <c r="D58" s="1059"/>
      <c r="E58" s="1059"/>
      <c r="F58" s="1059"/>
      <c r="G58" s="1045"/>
      <c r="H58" s="855">
        <v>5.6636926830063963E-7</v>
      </c>
      <c r="I58" s="855">
        <v>4.1279194184838269E-5</v>
      </c>
      <c r="J58" s="855">
        <v>4.9701604852245794E-4</v>
      </c>
      <c r="K58" s="855">
        <v>2.5663402856896961E-3</v>
      </c>
      <c r="L58" s="855">
        <v>8.1712314512629204E-3</v>
      </c>
      <c r="M58" s="855">
        <v>1.9362937111984262E-2</v>
      </c>
      <c r="N58" s="855">
        <v>3.6980737970106169E-2</v>
      </c>
      <c r="O58" s="855">
        <v>6.0681725799693456E-2</v>
      </c>
      <c r="P58" s="855">
        <v>8.91044797366293E-2</v>
      </c>
      <c r="Q58" s="855">
        <v>0.12119208306502652</v>
      </c>
      <c r="R58" s="855">
        <v>0.15444360908829718</v>
      </c>
      <c r="S58" s="855">
        <v>0.18841088723532362</v>
      </c>
      <c r="T58" s="855">
        <v>0.22195215373608498</v>
      </c>
      <c r="U58" s="855">
        <v>0.25437883321001675</v>
      </c>
      <c r="V58" s="855">
        <v>0.28487270838254175</v>
      </c>
      <c r="W58" s="855">
        <v>0.3132729124823786</v>
      </c>
      <c r="X58" s="855">
        <v>0.33939292961075035</v>
      </c>
      <c r="Y58" s="855">
        <v>0.36342891875126299</v>
      </c>
      <c r="Z58" s="855">
        <v>0.38558324323377108</v>
      </c>
      <c r="AA58" s="855">
        <v>0.40602229206392754</v>
      </c>
      <c r="AB58" s="855">
        <v>0.42564009433982963</v>
      </c>
      <c r="AC58" s="855">
        <v>0.4432509204531575</v>
      </c>
      <c r="AD58" s="855">
        <v>0.45971623259817701</v>
      </c>
      <c r="AE58" s="855">
        <v>0.47532015898664554</v>
      </c>
      <c r="AF58" s="855">
        <v>0.49120540291020121</v>
      </c>
    </row>
    <row r="59" spans="1:32" x14ac:dyDescent="0.25">
      <c r="A59" s="1041"/>
      <c r="B59" s="1041"/>
      <c r="C59" s="1059"/>
      <c r="D59" s="1059"/>
      <c r="E59" s="1059"/>
      <c r="F59" s="1059"/>
      <c r="G59" s="1045"/>
      <c r="H59" s="1059"/>
      <c r="I59" s="1059"/>
      <c r="J59" s="1059"/>
      <c r="K59" s="1059"/>
      <c r="L59" s="1059"/>
      <c r="M59" s="1059"/>
      <c r="N59" s="1059"/>
      <c r="O59" s="1059"/>
      <c r="P59" s="1059"/>
      <c r="Q59" s="1059"/>
      <c r="R59" s="1059"/>
      <c r="S59" s="1059"/>
      <c r="T59" s="1059"/>
      <c r="U59" s="1059"/>
      <c r="V59" s="1059"/>
      <c r="W59" s="1059"/>
      <c r="X59" s="1059"/>
      <c r="Y59" s="1059"/>
      <c r="Z59" s="1059"/>
      <c r="AA59" s="1059"/>
      <c r="AB59" s="1059"/>
      <c r="AC59" s="1059"/>
      <c r="AD59" s="1059"/>
      <c r="AE59" s="1059"/>
      <c r="AF59" s="1059"/>
    </row>
    <row r="60" spans="1:32" x14ac:dyDescent="0.25">
      <c r="A60" s="843" t="s">
        <v>42</v>
      </c>
      <c r="B60" s="843"/>
      <c r="C60" s="843"/>
      <c r="D60" s="843"/>
      <c r="E60" s="843"/>
      <c r="F60" s="843"/>
      <c r="G60" s="865"/>
      <c r="H60" s="843"/>
      <c r="I60" s="843"/>
      <c r="J60" s="843"/>
      <c r="K60" s="843"/>
      <c r="L60" s="843"/>
      <c r="M60" s="843"/>
      <c r="N60" s="843"/>
      <c r="O60" s="843"/>
      <c r="P60" s="843"/>
      <c r="Q60" s="843"/>
      <c r="R60" s="843"/>
      <c r="S60" s="843"/>
      <c r="T60" s="843"/>
      <c r="U60" s="843"/>
      <c r="V60" s="843"/>
      <c r="W60" s="843"/>
      <c r="X60" s="843"/>
      <c r="Y60" s="843"/>
      <c r="Z60" s="843"/>
      <c r="AA60" s="843"/>
      <c r="AB60" s="843"/>
      <c r="AC60" s="843"/>
      <c r="AD60" s="843"/>
      <c r="AE60" s="843"/>
      <c r="AF60" s="843"/>
    </row>
    <row r="61" spans="1:32" x14ac:dyDescent="0.25">
      <c r="A61" s="1041"/>
      <c r="B61" s="1043" t="s">
        <v>43</v>
      </c>
      <c r="C61" s="1059"/>
      <c r="D61" s="1059"/>
      <c r="E61" s="1059"/>
      <c r="F61" s="1059"/>
      <c r="G61" s="1045"/>
      <c r="H61" s="855">
        <v>3.751324791775798E-2</v>
      </c>
      <c r="I61" s="855">
        <v>3.4626121750158015E-2</v>
      </c>
      <c r="J61" s="855">
        <v>3.205729474489797E-2</v>
      </c>
      <c r="K61" s="855">
        <v>2.987924639657364E-2</v>
      </c>
      <c r="L61" s="855">
        <v>2.7808974310778171E-2</v>
      </c>
      <c r="M61" s="855">
        <v>2.5941398436522638E-2</v>
      </c>
      <c r="N61" s="855">
        <v>2.4287066575647671E-2</v>
      </c>
      <c r="O61" s="855">
        <v>2.2774795846724566E-2</v>
      </c>
      <c r="P61" s="855">
        <v>2.1393213113965925E-2</v>
      </c>
      <c r="Q61" s="855">
        <v>2.0142055706688571E-2</v>
      </c>
      <c r="R61" s="855">
        <v>1.9034655417370795E-2</v>
      </c>
      <c r="S61" s="855">
        <v>1.8001200510251822E-2</v>
      </c>
      <c r="T61" s="855">
        <v>1.7069655455538162E-2</v>
      </c>
      <c r="U61" s="855">
        <v>1.6229175757004194E-2</v>
      </c>
      <c r="V61" s="855">
        <v>1.5454935356287747E-2</v>
      </c>
      <c r="W61" s="855">
        <v>1.4761616085636241E-2</v>
      </c>
      <c r="X61" s="855">
        <v>1.4140851636396255E-2</v>
      </c>
      <c r="Y61" s="855">
        <v>1.3579234091923829E-2</v>
      </c>
      <c r="Z61" s="855">
        <v>1.3055535252701225E-2</v>
      </c>
      <c r="AA61" s="855">
        <v>1.256201701429582E-2</v>
      </c>
      <c r="AB61" s="855">
        <v>1.2098594152397581E-2</v>
      </c>
      <c r="AC61" s="855">
        <v>1.1685099602492194E-2</v>
      </c>
      <c r="AD61" s="855">
        <v>1.1311263402060474E-2</v>
      </c>
      <c r="AE61" s="855">
        <v>1.096591341897867E-2</v>
      </c>
      <c r="AF61" s="855">
        <v>1.0646249825511626E-2</v>
      </c>
    </row>
    <row r="62" spans="1:32" x14ac:dyDescent="0.25">
      <c r="A62" s="1041"/>
      <c r="B62" s="1043" t="s">
        <v>44</v>
      </c>
      <c r="C62" s="1059"/>
      <c r="D62" s="1059"/>
      <c r="E62" s="1059"/>
      <c r="F62" s="1059"/>
      <c r="G62" s="1045"/>
      <c r="H62" s="855">
        <v>0.6715451907169</v>
      </c>
      <c r="I62" s="855">
        <v>0.67475973595227667</v>
      </c>
      <c r="J62" s="855">
        <v>0.67173145175204352</v>
      </c>
      <c r="K62" s="855">
        <v>0.66286689423263312</v>
      </c>
      <c r="L62" s="855">
        <v>0.65139083945960863</v>
      </c>
      <c r="M62" s="855">
        <v>0.63785060932887916</v>
      </c>
      <c r="N62" s="855">
        <v>0.62335771177919996</v>
      </c>
      <c r="O62" s="855">
        <v>0.6090817977104821</v>
      </c>
      <c r="P62" s="855">
        <v>0.59570152014347111</v>
      </c>
      <c r="Q62" s="855">
        <v>0.58372756210987908</v>
      </c>
      <c r="R62" s="855">
        <v>0.57357474063084035</v>
      </c>
      <c r="S62" s="855">
        <v>0.56538489974135731</v>
      </c>
      <c r="T62" s="855">
        <v>0.55918270027400752</v>
      </c>
      <c r="U62" s="855">
        <v>0.5548137685369432</v>
      </c>
      <c r="V62" s="855">
        <v>0.55195983691401695</v>
      </c>
      <c r="W62" s="855">
        <v>0.5504402838671828</v>
      </c>
      <c r="X62" s="855">
        <v>0.54999039230754698</v>
      </c>
      <c r="Y62" s="855">
        <v>0.55032826880173336</v>
      </c>
      <c r="Z62" s="855">
        <v>0.55112292890713643</v>
      </c>
      <c r="AA62" s="855">
        <v>0.55216743092952292</v>
      </c>
      <c r="AB62" s="855">
        <v>0.55295778992801248</v>
      </c>
      <c r="AC62" s="855">
        <v>0.55446553320340219</v>
      </c>
      <c r="AD62" s="855">
        <v>0.5557465230172155</v>
      </c>
      <c r="AE62" s="855">
        <v>0.55705910732007224</v>
      </c>
      <c r="AF62" s="855">
        <v>0.55836030960930361</v>
      </c>
    </row>
    <row r="63" spans="1:32" x14ac:dyDescent="0.25">
      <c r="A63" s="1041"/>
      <c r="B63" s="1043" t="s">
        <v>45</v>
      </c>
      <c r="C63" s="1059"/>
      <c r="D63" s="1059"/>
      <c r="E63" s="1059"/>
      <c r="F63" s="1059"/>
      <c r="G63" s="1045"/>
      <c r="H63" s="855">
        <v>0.2358600749892944</v>
      </c>
      <c r="I63" s="855">
        <v>0.21359960844487849</v>
      </c>
      <c r="J63" s="855">
        <v>0.19423372518187773</v>
      </c>
      <c r="K63" s="855">
        <v>0.17827756622681665</v>
      </c>
      <c r="L63" s="855">
        <v>0.1633301760492229</v>
      </c>
      <c r="M63" s="855">
        <v>0.15008388313766491</v>
      </c>
      <c r="N63" s="855">
        <v>0.13852500962079761</v>
      </c>
      <c r="O63" s="855">
        <v>0.12802945863389706</v>
      </c>
      <c r="P63" s="855">
        <v>0.11846088736605667</v>
      </c>
      <c r="Q63" s="855">
        <v>0.10978394873783537</v>
      </c>
      <c r="R63" s="855">
        <v>0.10206916687971372</v>
      </c>
      <c r="S63" s="855">
        <v>9.4776957848865029E-2</v>
      </c>
      <c r="T63" s="855">
        <v>8.8117456497748561E-2</v>
      </c>
      <c r="U63" s="855">
        <v>8.2020023176903101E-2</v>
      </c>
      <c r="V63" s="855">
        <v>7.6319341872601157E-2</v>
      </c>
      <c r="W63" s="855">
        <v>7.113955363441414E-2</v>
      </c>
      <c r="X63" s="855">
        <v>6.6435735243187216E-2</v>
      </c>
      <c r="Y63" s="855">
        <v>6.2126719263918523E-2</v>
      </c>
      <c r="Z63" s="855">
        <v>5.8076110844164364E-2</v>
      </c>
      <c r="AA63" s="855">
        <v>5.4240282991559745E-2</v>
      </c>
      <c r="AB63" s="855">
        <v>5.0606217794173396E-2</v>
      </c>
      <c r="AC63" s="855">
        <v>4.7348686784485762E-2</v>
      </c>
      <c r="AD63" s="855">
        <v>4.4359601447779139E-2</v>
      </c>
      <c r="AE63" s="855">
        <v>4.1586198311932832E-2</v>
      </c>
      <c r="AF63" s="855">
        <v>3.9012114528831791E-2</v>
      </c>
    </row>
    <row r="64" spans="1:32" x14ac:dyDescent="0.25">
      <c r="A64" s="1041"/>
      <c r="B64" s="1043" t="s">
        <v>46</v>
      </c>
      <c r="C64" s="1059"/>
      <c r="D64" s="1059"/>
      <c r="E64" s="1059"/>
      <c r="F64" s="1059"/>
      <c r="G64" s="1045"/>
      <c r="H64" s="855">
        <v>0</v>
      </c>
      <c r="I64" s="855">
        <v>0</v>
      </c>
      <c r="J64" s="855">
        <v>0</v>
      </c>
      <c r="K64" s="855">
        <v>0</v>
      </c>
      <c r="L64" s="855">
        <v>0</v>
      </c>
      <c r="M64" s="855">
        <v>0</v>
      </c>
      <c r="N64" s="855">
        <v>0</v>
      </c>
      <c r="O64" s="855">
        <v>0</v>
      </c>
      <c r="P64" s="855">
        <v>0</v>
      </c>
      <c r="Q64" s="855">
        <v>0</v>
      </c>
      <c r="R64" s="855">
        <v>0</v>
      </c>
      <c r="S64" s="855">
        <v>0</v>
      </c>
      <c r="T64" s="855">
        <v>0</v>
      </c>
      <c r="U64" s="855">
        <v>0</v>
      </c>
      <c r="V64" s="855">
        <v>0</v>
      </c>
      <c r="W64" s="855">
        <v>0</v>
      </c>
      <c r="X64" s="855">
        <v>0</v>
      </c>
      <c r="Y64" s="855">
        <v>0</v>
      </c>
      <c r="Z64" s="855">
        <v>0</v>
      </c>
      <c r="AA64" s="855">
        <v>0</v>
      </c>
      <c r="AB64" s="855">
        <v>0</v>
      </c>
      <c r="AC64" s="855">
        <v>0</v>
      </c>
      <c r="AD64" s="855">
        <v>0</v>
      </c>
      <c r="AE64" s="855">
        <v>0</v>
      </c>
      <c r="AF64" s="855">
        <v>0</v>
      </c>
    </row>
    <row r="65" spans="1:32" x14ac:dyDescent="0.25">
      <c r="A65" s="1041"/>
      <c r="B65" s="1041" t="s">
        <v>29</v>
      </c>
      <c r="C65" s="1059"/>
      <c r="D65" s="1059"/>
      <c r="E65" s="1059"/>
      <c r="F65" s="1059"/>
      <c r="G65" s="1045"/>
      <c r="H65" s="855">
        <v>5.5081486376047505E-2</v>
      </c>
      <c r="I65" s="855">
        <v>7.7014533852686931E-2</v>
      </c>
      <c r="J65" s="855">
        <v>0.10197752832118083</v>
      </c>
      <c r="K65" s="855">
        <v>0.12897629314397663</v>
      </c>
      <c r="L65" s="855">
        <v>0.15747001018039036</v>
      </c>
      <c r="M65" s="855">
        <v>0.18612410909693347</v>
      </c>
      <c r="N65" s="855">
        <v>0.21383021202435462</v>
      </c>
      <c r="O65" s="855">
        <v>0.24011394780889628</v>
      </c>
      <c r="P65" s="855">
        <v>0.26444437937650622</v>
      </c>
      <c r="Q65" s="855">
        <v>0.28634643344559707</v>
      </c>
      <c r="R65" s="855">
        <v>0.30532143707207515</v>
      </c>
      <c r="S65" s="855">
        <v>0.32183694189952589</v>
      </c>
      <c r="T65" s="855">
        <v>0.33563018777270581</v>
      </c>
      <c r="U65" s="855">
        <v>0.34693703252914954</v>
      </c>
      <c r="V65" s="855">
        <v>0.35626588585709429</v>
      </c>
      <c r="W65" s="855">
        <v>0.36365854641276674</v>
      </c>
      <c r="X65" s="855">
        <v>0.36943302081286949</v>
      </c>
      <c r="Y65" s="855">
        <v>0.37396577784242424</v>
      </c>
      <c r="Z65" s="855">
        <v>0.377745424995998</v>
      </c>
      <c r="AA65" s="855">
        <v>0.38103026906462156</v>
      </c>
      <c r="AB65" s="855">
        <v>0.38433739812541662</v>
      </c>
      <c r="AC65" s="855">
        <v>0.38650068040961993</v>
      </c>
      <c r="AD65" s="855">
        <v>0.38858261213294482</v>
      </c>
      <c r="AE65" s="855">
        <v>0.39038878094901619</v>
      </c>
      <c r="AF65" s="855">
        <v>0.39198132603635299</v>
      </c>
    </row>
    <row r="66" spans="1:32" x14ac:dyDescent="0.25">
      <c r="A66" s="1041"/>
      <c r="B66" s="1041"/>
      <c r="C66" s="1059"/>
      <c r="D66" s="1059"/>
      <c r="E66" s="1059"/>
      <c r="F66" s="1059"/>
      <c r="G66" s="1045"/>
      <c r="H66" s="1059"/>
      <c r="I66" s="1059"/>
      <c r="J66" s="1059"/>
      <c r="K66" s="1059"/>
      <c r="L66" s="1059"/>
      <c r="M66" s="1059"/>
      <c r="N66" s="1059"/>
      <c r="O66" s="1059"/>
      <c r="P66" s="1059"/>
      <c r="Q66" s="1059"/>
      <c r="R66" s="1059"/>
      <c r="S66" s="1059"/>
      <c r="T66" s="1059"/>
      <c r="U66" s="1059"/>
      <c r="V66" s="1059"/>
      <c r="W66" s="1059"/>
      <c r="X66" s="1059"/>
      <c r="Y66" s="1059"/>
      <c r="Z66" s="1059"/>
      <c r="AA66" s="1059"/>
      <c r="AB66" s="1059"/>
      <c r="AC66" s="1059"/>
      <c r="AD66" s="1059"/>
      <c r="AE66" s="1059"/>
      <c r="AF66" s="1059"/>
    </row>
    <row r="67" spans="1:32" x14ac:dyDescent="0.25">
      <c r="A67" s="843" t="s">
        <v>47</v>
      </c>
      <c r="B67" s="843"/>
      <c r="C67" s="843"/>
      <c r="D67" s="843"/>
      <c r="E67" s="843"/>
      <c r="F67" s="843"/>
      <c r="G67" s="865"/>
      <c r="H67" s="843"/>
      <c r="I67" s="843"/>
      <c r="J67" s="843"/>
      <c r="K67" s="843"/>
      <c r="L67" s="843"/>
      <c r="M67" s="843"/>
      <c r="N67" s="843"/>
      <c r="O67" s="843"/>
      <c r="P67" s="843"/>
      <c r="Q67" s="843"/>
      <c r="R67" s="843"/>
      <c r="S67" s="843"/>
      <c r="T67" s="843"/>
      <c r="U67" s="843"/>
      <c r="V67" s="843"/>
      <c r="W67" s="843"/>
      <c r="X67" s="843"/>
      <c r="Y67" s="843"/>
      <c r="Z67" s="843"/>
      <c r="AA67" s="843"/>
      <c r="AB67" s="843"/>
      <c r="AC67" s="843"/>
      <c r="AD67" s="843"/>
      <c r="AE67" s="843"/>
      <c r="AF67" s="843"/>
    </row>
    <row r="68" spans="1:32" x14ac:dyDescent="0.25">
      <c r="A68" s="1041"/>
      <c r="B68" s="1041" t="s">
        <v>48</v>
      </c>
      <c r="C68" s="1059"/>
      <c r="D68" s="1059"/>
      <c r="E68" s="1059"/>
      <c r="F68" s="1059"/>
      <c r="G68" s="1045"/>
      <c r="H68" s="855">
        <v>0.81129920923892396</v>
      </c>
      <c r="I68" s="855">
        <v>0.63852980133689308</v>
      </c>
      <c r="J68" s="855">
        <v>0.4248841019603099</v>
      </c>
      <c r="K68" s="855">
        <v>0.2419975442598491</v>
      </c>
      <c r="L68" s="855">
        <v>0.12035387804895839</v>
      </c>
      <c r="M68" s="855">
        <v>4.8478516510509682E-2</v>
      </c>
      <c r="N68" s="855">
        <v>1.6833619944669774E-2</v>
      </c>
      <c r="O68" s="855">
        <v>5.2569014615588706E-3</v>
      </c>
      <c r="P68" s="855">
        <v>1.5907311908269655E-3</v>
      </c>
      <c r="Q68" s="855">
        <v>4.7058135962238284E-4</v>
      </c>
      <c r="R68" s="855">
        <v>1.3883328217674602E-4</v>
      </c>
      <c r="S68" s="855">
        <v>4.1597090637418281E-5</v>
      </c>
      <c r="T68" s="855">
        <v>1.2659697159235294E-5</v>
      </c>
      <c r="U68" s="855">
        <v>3.8999760616700583E-6</v>
      </c>
      <c r="V68" s="855">
        <v>1.2293428880559196E-6</v>
      </c>
      <c r="W68" s="855">
        <v>3.9124936287059891E-7</v>
      </c>
      <c r="X68" s="855">
        <v>1.2571367530169651E-7</v>
      </c>
      <c r="Y68" s="855">
        <v>4.0652128233881771E-8</v>
      </c>
      <c r="Z68" s="855">
        <v>1.3282290356690857E-8</v>
      </c>
      <c r="AA68" s="855">
        <v>4.3921486457920065E-9</v>
      </c>
      <c r="AB68" s="855">
        <v>1.4486014595087838E-9</v>
      </c>
      <c r="AC68" s="855">
        <v>4.8287410683562296E-10</v>
      </c>
      <c r="AD68" s="855">
        <v>1.6176790748152421E-10</v>
      </c>
      <c r="AE68" s="855">
        <v>5.4269630174202586E-11</v>
      </c>
      <c r="AF68" s="855">
        <v>1.7834962066629844E-11</v>
      </c>
    </row>
    <row r="69" spans="1:32" x14ac:dyDescent="0.25">
      <c r="A69" s="1041"/>
      <c r="B69" s="1043" t="s">
        <v>50</v>
      </c>
      <c r="C69" s="1059"/>
      <c r="D69" s="1059"/>
      <c r="E69" s="1059"/>
      <c r="F69" s="1059"/>
      <c r="G69" s="1045"/>
      <c r="H69" s="855">
        <v>4.7620673858261971E-2</v>
      </c>
      <c r="I69" s="855">
        <v>4.5296310283011287E-2</v>
      </c>
      <c r="J69" s="855">
        <v>4.3545219252397634E-2</v>
      </c>
      <c r="K69" s="855">
        <v>4.2454431738949937E-2</v>
      </c>
      <c r="L69" s="855">
        <v>4.1471164857197672E-2</v>
      </c>
      <c r="M69" s="855">
        <v>3.6371954655660468E-2</v>
      </c>
      <c r="N69" s="855">
        <v>2.8649510483543705E-2</v>
      </c>
      <c r="O69" s="855">
        <v>2.0712696626469951E-2</v>
      </c>
      <c r="P69" s="855">
        <v>1.4549950005858169E-2</v>
      </c>
      <c r="Q69" s="855">
        <v>1.0068853196794481E-2</v>
      </c>
      <c r="R69" s="855">
        <v>6.9574112959844975E-3</v>
      </c>
      <c r="S69" s="855">
        <v>4.8714335170795776E-3</v>
      </c>
      <c r="T69" s="855">
        <v>3.4524566477153375E-3</v>
      </c>
      <c r="U69" s="855">
        <v>2.4688788629958426E-3</v>
      </c>
      <c r="V69" s="855">
        <v>1.7943027476061697E-3</v>
      </c>
      <c r="W69" s="855">
        <v>1.3112725662236318E-3</v>
      </c>
      <c r="X69" s="855">
        <v>9.6301472570881703E-4</v>
      </c>
      <c r="Y69" s="855">
        <v>7.0891873593180465E-4</v>
      </c>
      <c r="Z69" s="855">
        <v>5.245890802105306E-4</v>
      </c>
      <c r="AA69" s="855">
        <v>3.905623615941213E-4</v>
      </c>
      <c r="AB69" s="855">
        <v>2.8948994352825697E-4</v>
      </c>
      <c r="AC69" s="855">
        <v>2.1529026509441613E-4</v>
      </c>
      <c r="AD69" s="855">
        <v>1.6012643252647543E-4</v>
      </c>
      <c r="AE69" s="855">
        <v>1.1878929513480344E-4</v>
      </c>
      <c r="AF69" s="855">
        <v>8.6514006593936936E-5</v>
      </c>
    </row>
    <row r="70" spans="1:32" x14ac:dyDescent="0.25">
      <c r="A70" s="1041"/>
      <c r="B70" s="1041" t="s">
        <v>51</v>
      </c>
      <c r="C70" s="1059"/>
      <c r="D70" s="1059"/>
      <c r="E70" s="1059"/>
      <c r="F70" s="1059"/>
      <c r="G70" s="1045"/>
      <c r="H70" s="855">
        <v>2.7433101363174232E-2</v>
      </c>
      <c r="I70" s="855">
        <v>2.8090439826926186E-2</v>
      </c>
      <c r="J70" s="855">
        <v>3.1415660106549802E-2</v>
      </c>
      <c r="K70" s="855">
        <v>3.889881325499811E-2</v>
      </c>
      <c r="L70" s="855">
        <v>5.0824188234867354E-2</v>
      </c>
      <c r="M70" s="855">
        <v>6.2835704317220159E-2</v>
      </c>
      <c r="N70" s="855">
        <v>6.9439099933434084E-2</v>
      </c>
      <c r="O70" s="855">
        <v>6.9086221707465353E-2</v>
      </c>
      <c r="P70" s="855">
        <v>6.4629972679163317E-2</v>
      </c>
      <c r="Q70" s="855">
        <v>5.8674905696399653E-2</v>
      </c>
      <c r="R70" s="855">
        <v>5.2738533385784103E-2</v>
      </c>
      <c r="S70" s="855">
        <v>4.7247509715367286E-2</v>
      </c>
      <c r="T70" s="855">
        <v>4.2353317334970914E-2</v>
      </c>
      <c r="U70" s="855">
        <v>3.8039712495240241E-2</v>
      </c>
      <c r="V70" s="855">
        <v>3.4284809236941875E-2</v>
      </c>
      <c r="W70" s="855">
        <v>3.0987309539000283E-2</v>
      </c>
      <c r="X70" s="855">
        <v>2.8084065131343108E-2</v>
      </c>
      <c r="Y70" s="855">
        <v>2.550604198738023E-2</v>
      </c>
      <c r="Z70" s="855">
        <v>2.3186344719362647E-2</v>
      </c>
      <c r="AA70" s="855">
        <v>2.1112122669164023E-2</v>
      </c>
      <c r="AB70" s="855">
        <v>1.9215474865178692E-2</v>
      </c>
      <c r="AC70" s="855">
        <v>1.753382452465721E-2</v>
      </c>
      <c r="AD70" s="855">
        <v>1.5990171821471288E-2</v>
      </c>
      <c r="AE70" s="855">
        <v>1.4580329955290081E-2</v>
      </c>
      <c r="AF70" s="855">
        <v>1.3258921154953527E-2</v>
      </c>
    </row>
    <row r="71" spans="1:32" x14ac:dyDescent="0.25">
      <c r="A71" s="1041"/>
      <c r="B71" s="1041" t="s">
        <v>52</v>
      </c>
      <c r="C71" s="1059"/>
      <c r="D71" s="1059"/>
      <c r="E71" s="1059"/>
      <c r="F71" s="1059"/>
      <c r="G71" s="1045"/>
      <c r="H71" s="855">
        <v>2.9370598572473001E-2</v>
      </c>
      <c r="I71" s="855">
        <v>3.0203918736394986E-2</v>
      </c>
      <c r="J71" s="855">
        <v>3.3984873654156908E-2</v>
      </c>
      <c r="K71" s="855">
        <v>4.2401579652163672E-2</v>
      </c>
      <c r="L71" s="855">
        <v>5.5972538269133058E-2</v>
      </c>
      <c r="M71" s="855">
        <v>7.0258725023351107E-2</v>
      </c>
      <c r="N71" s="855">
        <v>7.9277253562365563E-2</v>
      </c>
      <c r="O71" s="855">
        <v>8.1030064786138903E-2</v>
      </c>
      <c r="P71" s="855">
        <v>7.8263336046725057E-2</v>
      </c>
      <c r="Q71" s="855">
        <v>7.3716979383458198E-2</v>
      </c>
      <c r="R71" s="855">
        <v>6.8988245807823673E-2</v>
      </c>
      <c r="S71" s="855">
        <v>6.4426484586795493E-2</v>
      </c>
      <c r="T71" s="855">
        <v>6.0250179828928573E-2</v>
      </c>
      <c r="U71" s="855">
        <v>5.6462639471165053E-2</v>
      </c>
      <c r="V71" s="855">
        <v>5.3012111120170742E-2</v>
      </c>
      <c r="W71" s="855">
        <v>4.9892518697024234E-2</v>
      </c>
      <c r="X71" s="855">
        <v>4.7066551014177546E-2</v>
      </c>
      <c r="Y71" s="855">
        <v>4.4476690928972447E-2</v>
      </c>
      <c r="Z71" s="855">
        <v>4.2054785226416681E-2</v>
      </c>
      <c r="AA71" s="855">
        <v>3.9763660309760682E-2</v>
      </c>
      <c r="AB71" s="855">
        <v>3.7548046890087297E-2</v>
      </c>
      <c r="AC71" s="855">
        <v>3.5543200215857794E-2</v>
      </c>
      <c r="AD71" s="855">
        <v>3.365866644316292E-2</v>
      </c>
      <c r="AE71" s="855">
        <v>3.1878730749481964E-2</v>
      </c>
      <c r="AF71" s="855">
        <v>3.0172679948895907E-2</v>
      </c>
    </row>
    <row r="72" spans="1:32" x14ac:dyDescent="0.25">
      <c r="A72" s="1041"/>
      <c r="B72" s="1043" t="s">
        <v>29</v>
      </c>
      <c r="C72" s="1059"/>
      <c r="D72" s="1059"/>
      <c r="E72" s="1059"/>
      <c r="F72" s="1059"/>
      <c r="G72" s="1045"/>
      <c r="H72" s="855">
        <v>8.3355080899263051E-2</v>
      </c>
      <c r="I72" s="855">
        <v>0.25693451371587961</v>
      </c>
      <c r="J72" s="855">
        <v>0.46510827132385302</v>
      </c>
      <c r="K72" s="855">
        <v>0.63292200681869504</v>
      </c>
      <c r="L72" s="855">
        <v>0.72962052236272135</v>
      </c>
      <c r="M72" s="855">
        <v>0.77983617405288674</v>
      </c>
      <c r="N72" s="855">
        <v>0.80328322996855184</v>
      </c>
      <c r="O72" s="855">
        <v>0.82133037655619234</v>
      </c>
      <c r="P72" s="855">
        <v>0.83846404074813696</v>
      </c>
      <c r="Q72" s="855">
        <v>0.85471140030995441</v>
      </c>
      <c r="R72" s="855">
        <v>0.86897552747953954</v>
      </c>
      <c r="S72" s="855">
        <v>0.88136244798550323</v>
      </c>
      <c r="T72" s="855">
        <v>0.89202045796186002</v>
      </c>
      <c r="U72" s="855">
        <v>0.90124131897903392</v>
      </c>
      <c r="V72" s="855">
        <v>0.90923896726080977</v>
      </c>
      <c r="W72" s="855">
        <v>0.91624434108743791</v>
      </c>
      <c r="X72" s="855">
        <v>0.92241703329891611</v>
      </c>
      <c r="Y72" s="855">
        <v>0.927926227464969</v>
      </c>
      <c r="Z72" s="855">
        <v>0.93293272471217292</v>
      </c>
      <c r="AA72" s="855">
        <v>0.93750713532784491</v>
      </c>
      <c r="AB72" s="855">
        <v>0.94179212502690224</v>
      </c>
      <c r="AC72" s="855">
        <v>0.94561875754078195</v>
      </c>
      <c r="AD72" s="855">
        <v>0.94916403698096696</v>
      </c>
      <c r="AE72" s="855">
        <v>0.95245369765492249</v>
      </c>
      <c r="AF72" s="855">
        <v>0.95557015368415354</v>
      </c>
    </row>
    <row r="73" spans="1:32" x14ac:dyDescent="0.25">
      <c r="A73" s="1041"/>
      <c r="B73" s="1043" t="s">
        <v>53</v>
      </c>
      <c r="C73" s="1059"/>
      <c r="D73" s="1059"/>
      <c r="E73" s="1059"/>
      <c r="F73" s="1059"/>
      <c r="G73" s="1045"/>
      <c r="H73" s="855">
        <v>9.213360679037637E-4</v>
      </c>
      <c r="I73" s="855">
        <v>9.4501610089473432E-4</v>
      </c>
      <c r="J73" s="855">
        <v>1.0618737027327553E-3</v>
      </c>
      <c r="K73" s="855">
        <v>1.325624275344244E-3</v>
      </c>
      <c r="L73" s="855">
        <v>1.7577082271221253E-3</v>
      </c>
      <c r="M73" s="855">
        <v>2.2189254403718567E-3</v>
      </c>
      <c r="N73" s="855">
        <v>2.5172861074348987E-3</v>
      </c>
      <c r="O73" s="855">
        <v>2.5837388621746215E-3</v>
      </c>
      <c r="P73" s="855">
        <v>2.501969329289617E-3</v>
      </c>
      <c r="Q73" s="855">
        <v>2.3572800537709549E-3</v>
      </c>
      <c r="R73" s="855">
        <v>2.2014487486914395E-3</v>
      </c>
      <c r="S73" s="855">
        <v>2.0505271046169049E-3</v>
      </c>
      <c r="T73" s="855">
        <v>1.9109285293659312E-3</v>
      </c>
      <c r="U73" s="855">
        <v>1.7835502155032306E-3</v>
      </c>
      <c r="V73" s="855">
        <v>1.6685802915833415E-3</v>
      </c>
      <c r="W73" s="855">
        <v>1.5641668609510421E-3</v>
      </c>
      <c r="X73" s="855">
        <v>1.4692101161792185E-3</v>
      </c>
      <c r="Y73" s="855">
        <v>1.3820802306182677E-3</v>
      </c>
      <c r="Z73" s="855">
        <v>1.3015429795469875E-3</v>
      </c>
      <c r="AA73" s="855">
        <v>1.2265149394876259E-3</v>
      </c>
      <c r="AB73" s="855">
        <v>1.1548618257020129E-3</v>
      </c>
      <c r="AC73" s="855">
        <v>1.0889269707345132E-3</v>
      </c>
      <c r="AD73" s="855">
        <v>1.0269981601045187E-3</v>
      </c>
      <c r="AE73" s="855">
        <v>9.6845229090093059E-4</v>
      </c>
      <c r="AF73" s="855">
        <v>9.1173118756807288E-4</v>
      </c>
    </row>
    <row r="74" spans="1:32" x14ac:dyDescent="0.25">
      <c r="A74" s="1059"/>
      <c r="B74" s="1059"/>
      <c r="C74" s="1059"/>
      <c r="D74" s="1059"/>
      <c r="E74" s="1059"/>
      <c r="F74" s="1059"/>
      <c r="G74" s="1059"/>
      <c r="H74" s="1059"/>
      <c r="I74" s="1059"/>
      <c r="J74" s="1059"/>
      <c r="K74" s="1059"/>
      <c r="L74" s="1059"/>
      <c r="M74" s="1059"/>
      <c r="N74" s="1059"/>
      <c r="O74" s="1059"/>
      <c r="P74" s="1059"/>
      <c r="Q74" s="1059"/>
      <c r="R74" s="1059"/>
      <c r="S74" s="1059"/>
      <c r="T74" s="1059"/>
      <c r="U74" s="1059"/>
      <c r="V74" s="1059"/>
      <c r="W74" s="1059"/>
      <c r="X74" s="1059"/>
      <c r="Y74" s="1059"/>
      <c r="Z74" s="1059"/>
      <c r="AA74" s="1059"/>
      <c r="AB74" s="1059"/>
      <c r="AC74" s="1059"/>
      <c r="AD74" s="1059"/>
      <c r="AE74" s="1059"/>
      <c r="AF74" s="1059"/>
    </row>
    <row r="75" spans="1:32" ht="15.75" thickBot="1" x14ac:dyDescent="0.3">
      <c r="A75" s="1059" t="s">
        <v>741</v>
      </c>
      <c r="B75" s="1059"/>
      <c r="C75" s="1059"/>
      <c r="D75" s="1059"/>
      <c r="E75" s="1059"/>
      <c r="F75" s="1059"/>
      <c r="G75" s="1059"/>
      <c r="H75" s="1059"/>
      <c r="I75" s="1059"/>
      <c r="J75" s="1059"/>
      <c r="K75" s="1059"/>
      <c r="L75" s="1059"/>
      <c r="M75" s="1059"/>
      <c r="N75" s="1059"/>
      <c r="O75" s="1059"/>
      <c r="P75" s="1059"/>
      <c r="Q75" s="1059"/>
      <c r="R75" s="1059"/>
      <c r="S75" s="1059"/>
      <c r="T75" s="1059"/>
      <c r="U75" s="1059"/>
      <c r="V75" s="1059"/>
      <c r="W75" s="1059"/>
      <c r="X75" s="1059"/>
      <c r="Y75" s="1059"/>
      <c r="Z75" s="1059"/>
      <c r="AA75" s="1059"/>
      <c r="AB75" s="1059"/>
      <c r="AC75" s="1059"/>
      <c r="AD75" s="1059"/>
      <c r="AE75" s="1059"/>
      <c r="AF75" s="1059"/>
    </row>
    <row r="76" spans="1:32" x14ac:dyDescent="0.25">
      <c r="A76" s="1059"/>
      <c r="B76" s="1075" t="s">
        <v>400</v>
      </c>
      <c r="C76" s="1076"/>
      <c r="D76" s="1076"/>
      <c r="E76" s="1076"/>
      <c r="F76" s="1076"/>
      <c r="G76" s="1076"/>
      <c r="H76" s="1077">
        <v>0.72562602136272303</v>
      </c>
      <c r="I76" s="1077">
        <v>0.66620635006703832</v>
      </c>
      <c r="J76" s="1077">
        <v>0.56768002548651653</v>
      </c>
      <c r="K76" s="1077">
        <v>0.50997719610553072</v>
      </c>
      <c r="L76" s="1077">
        <v>0.45102961017489346</v>
      </c>
      <c r="M76" s="1077">
        <v>0.37812503294542477</v>
      </c>
      <c r="N76" s="1077">
        <v>0.35222795554519593</v>
      </c>
      <c r="O76" s="1077">
        <v>0.32322455187051574</v>
      </c>
      <c r="P76" s="1077">
        <v>0.29304915344471255</v>
      </c>
      <c r="Q76" s="1077">
        <v>0.26073583057356914</v>
      </c>
      <c r="R76" s="1077">
        <v>0.22805724765051136</v>
      </c>
      <c r="S76" s="1077">
        <v>0.19739998749169252</v>
      </c>
      <c r="T76" s="1077">
        <v>0.16958522951524058</v>
      </c>
      <c r="U76" s="1077">
        <v>0.14500462682208476</v>
      </c>
      <c r="V76" s="1077">
        <v>0.12450245932978438</v>
      </c>
      <c r="W76" s="1077">
        <v>0.10728863201365307</v>
      </c>
      <c r="X76" s="1077">
        <v>9.3086564411952247E-2</v>
      </c>
      <c r="Y76" s="1077">
        <v>8.1438730354368633E-2</v>
      </c>
      <c r="Z76" s="1077">
        <v>7.2103551115595771E-2</v>
      </c>
      <c r="AA76" s="1077">
        <v>6.4714358587477386E-2</v>
      </c>
      <c r="AB76" s="1077">
        <v>5.8494822323412618E-2</v>
      </c>
      <c r="AC76" s="1077">
        <v>5.3433604759296205E-2</v>
      </c>
      <c r="AD76" s="1077">
        <v>4.9172886628114011E-2</v>
      </c>
      <c r="AE76" s="1077">
        <v>4.5464918316417219E-2</v>
      </c>
      <c r="AF76" s="1077">
        <v>4.1749462330876126E-2</v>
      </c>
    </row>
    <row r="77" spans="1:32" x14ac:dyDescent="0.25">
      <c r="A77" s="1059"/>
      <c r="B77" s="1078" t="s">
        <v>402</v>
      </c>
      <c r="C77" s="584"/>
      <c r="D77" s="584"/>
      <c r="E77" s="584"/>
      <c r="F77" s="584"/>
      <c r="G77" s="584"/>
      <c r="H77" s="1074">
        <v>0.19517803705306791</v>
      </c>
      <c r="I77" s="1074">
        <v>0.20373349333708179</v>
      </c>
      <c r="J77" s="1074">
        <v>0.24855015838094663</v>
      </c>
      <c r="K77" s="1074">
        <v>0.27215013729806703</v>
      </c>
      <c r="L77" s="1074">
        <v>0.3170296002889591</v>
      </c>
      <c r="M77" s="1074">
        <v>0.37032384463468798</v>
      </c>
      <c r="N77" s="1074">
        <v>0.36081395356046003</v>
      </c>
      <c r="O77" s="1074">
        <v>0.34338199623251575</v>
      </c>
      <c r="P77" s="1074">
        <v>0.31997063272657733</v>
      </c>
      <c r="Q77" s="1074">
        <v>0.29475459058459275</v>
      </c>
      <c r="R77" s="1074">
        <v>0.2692372978594767</v>
      </c>
      <c r="S77" s="1074">
        <v>0.24347101287735745</v>
      </c>
      <c r="T77" s="1074">
        <v>0.21894663927378735</v>
      </c>
      <c r="U77" s="1074">
        <v>0.19656434331003697</v>
      </c>
      <c r="V77" s="1074">
        <v>0.17668697357389945</v>
      </c>
      <c r="W77" s="1074">
        <v>0.15976079194568757</v>
      </c>
      <c r="X77" s="1074">
        <v>0.14560160283619991</v>
      </c>
      <c r="Y77" s="1074">
        <v>0.1339481819577204</v>
      </c>
      <c r="Z77" s="1074">
        <v>0.12444223773897398</v>
      </c>
      <c r="AA77" s="1074">
        <v>0.11676224334036799</v>
      </c>
      <c r="AB77" s="1074">
        <v>0.11052007897517017</v>
      </c>
      <c r="AC77" s="1074">
        <v>0.10546997544205172</v>
      </c>
      <c r="AD77" s="1074">
        <v>0.10129938872458337</v>
      </c>
      <c r="AE77" s="1074">
        <v>9.7812383987832069E-2</v>
      </c>
      <c r="AF77" s="1074">
        <v>9.4702971572799693E-2</v>
      </c>
    </row>
    <row r="78" spans="1:32" x14ac:dyDescent="0.25">
      <c r="A78" s="1059"/>
      <c r="B78" s="1078" t="s">
        <v>716</v>
      </c>
      <c r="C78" s="584"/>
      <c r="D78" s="584"/>
      <c r="E78" s="584"/>
      <c r="F78" s="584"/>
      <c r="G78" s="584"/>
      <c r="H78" s="1074">
        <v>5.5164526190354876E-2</v>
      </c>
      <c r="I78" s="1074">
        <v>5.7967067555157792E-2</v>
      </c>
      <c r="J78" s="1074">
        <v>6.2191837790216233E-2</v>
      </c>
      <c r="K78" s="1074">
        <v>6.8752323296219289E-2</v>
      </c>
      <c r="L78" s="1074">
        <v>7.5984559580117988E-2</v>
      </c>
      <c r="M78" s="1074">
        <v>8.2679767448477451E-2</v>
      </c>
      <c r="N78" s="1074">
        <v>8.893830992197102E-2</v>
      </c>
      <c r="O78" s="1074">
        <v>9.2644510765067495E-2</v>
      </c>
      <c r="P78" s="1074">
        <v>9.4622128430204885E-2</v>
      </c>
      <c r="Q78" s="1074">
        <v>9.5437345394893347E-2</v>
      </c>
      <c r="R78" s="1074">
        <v>9.5669217759496272E-2</v>
      </c>
      <c r="S78" s="1074">
        <v>9.5625171298809347E-2</v>
      </c>
      <c r="T78" s="1074">
        <v>9.5330784112937009E-2</v>
      </c>
      <c r="U78" s="1074">
        <v>9.4819144465978847E-2</v>
      </c>
      <c r="V78" s="1074">
        <v>9.415741461779388E-2</v>
      </c>
      <c r="W78" s="1074">
        <v>9.3280134650494548E-2</v>
      </c>
      <c r="X78" s="1074">
        <v>9.2260803724519405E-2</v>
      </c>
      <c r="Y78" s="1074">
        <v>9.1069356509311639E-2</v>
      </c>
      <c r="Z78" s="1074">
        <v>8.9720859981820306E-2</v>
      </c>
      <c r="AA78" s="1074">
        <v>8.8224419746480182E-2</v>
      </c>
      <c r="AB78" s="1074">
        <v>8.6490046103054732E-2</v>
      </c>
      <c r="AC78" s="1074">
        <v>8.4744699821358072E-2</v>
      </c>
      <c r="AD78" s="1074">
        <v>8.2960509976102437E-2</v>
      </c>
      <c r="AE78" s="1074">
        <v>8.1121085453202887E-2</v>
      </c>
      <c r="AF78" s="1074">
        <v>7.9073463727073856E-2</v>
      </c>
    </row>
    <row r="79" spans="1:32" x14ac:dyDescent="0.25">
      <c r="A79" s="1059"/>
      <c r="B79" s="1078" t="s">
        <v>42</v>
      </c>
      <c r="C79" s="584"/>
      <c r="D79" s="584"/>
      <c r="E79" s="584"/>
      <c r="F79" s="584"/>
      <c r="G79" s="584"/>
      <c r="H79" s="1074">
        <v>5.9459327662006402E-4</v>
      </c>
      <c r="I79" s="1074">
        <v>6.1838159796138721E-4</v>
      </c>
      <c r="J79" s="1074">
        <v>6.5436431741435234E-4</v>
      </c>
      <c r="K79" s="1074">
        <v>7.1240706555815729E-4</v>
      </c>
      <c r="L79" s="1074">
        <v>7.7556122495891697E-4</v>
      </c>
      <c r="M79" s="1074">
        <v>8.3395300112891024E-4</v>
      </c>
      <c r="N79" s="1074">
        <v>8.9094864951394482E-4</v>
      </c>
      <c r="O79" s="1074">
        <v>9.2688206125666193E-4</v>
      </c>
      <c r="P79" s="1074">
        <v>9.5077625519552071E-4</v>
      </c>
      <c r="Q79" s="1074">
        <v>9.6914655876150619E-4</v>
      </c>
      <c r="R79" s="1074">
        <v>9.8691319641966186E-4</v>
      </c>
      <c r="S79" s="1074">
        <v>1.0069859054050742E-3</v>
      </c>
      <c r="T79" s="1074">
        <v>1.0294450820175489E-3</v>
      </c>
      <c r="U79" s="1074">
        <v>1.0539745035593919E-3</v>
      </c>
      <c r="V79" s="1074">
        <v>1.0796699423296769E-3</v>
      </c>
      <c r="W79" s="1074">
        <v>1.1054663939207689E-3</v>
      </c>
      <c r="X79" s="1074">
        <v>1.1311827573871848E-3</v>
      </c>
      <c r="Y79" s="1074">
        <v>1.1557567927482841E-3</v>
      </c>
      <c r="Z79" s="1074">
        <v>1.1783632339284183E-3</v>
      </c>
      <c r="AA79" s="1074">
        <v>1.1984185314716912E-3</v>
      </c>
      <c r="AB79" s="1074">
        <v>1.2140679597757384E-3</v>
      </c>
      <c r="AC79" s="1074">
        <v>1.2297041739665947E-3</v>
      </c>
      <c r="AD79" s="1074">
        <v>1.2424791767969908E-3</v>
      </c>
      <c r="AE79" s="1074">
        <v>1.2537034656488763E-3</v>
      </c>
      <c r="AF79" s="1074">
        <v>1.26358467198222E-3</v>
      </c>
    </row>
    <row r="80" spans="1:32" ht="15.75" thickBot="1" x14ac:dyDescent="0.3">
      <c r="A80" s="1059"/>
      <c r="B80" s="1079" t="s">
        <v>29</v>
      </c>
      <c r="C80" s="1080"/>
      <c r="D80" s="1080"/>
      <c r="E80" s="1080"/>
      <c r="F80" s="1080"/>
      <c r="G80" s="1080"/>
      <c r="H80" s="1081">
        <v>2.3436822117234253E-2</v>
      </c>
      <c r="I80" s="1081">
        <v>7.1474707442760604E-2</v>
      </c>
      <c r="J80" s="1081">
        <v>0.12092361402490626</v>
      </c>
      <c r="K80" s="1081">
        <v>0.14840793623462481</v>
      </c>
      <c r="L80" s="1081">
        <v>0.15518066873107061</v>
      </c>
      <c r="M80" s="1081">
        <v>0.1680374019702808</v>
      </c>
      <c r="N80" s="1081">
        <v>0.19712883232285849</v>
      </c>
      <c r="O80" s="1081">
        <v>0.23982205907064461</v>
      </c>
      <c r="P80" s="1081">
        <v>0.29140730914330965</v>
      </c>
      <c r="Q80" s="1081">
        <v>0.34810308688818326</v>
      </c>
      <c r="R80" s="1081">
        <v>0.4060493235340959</v>
      </c>
      <c r="S80" s="1081">
        <v>0.46249684242673555</v>
      </c>
      <c r="T80" s="1081">
        <v>0.51510790201601742</v>
      </c>
      <c r="U80" s="1081">
        <v>0.56255791089834006</v>
      </c>
      <c r="V80" s="1081">
        <v>0.6035734825361927</v>
      </c>
      <c r="W80" s="1081">
        <v>0.63856497499624376</v>
      </c>
      <c r="X80" s="1081">
        <v>0.66791984626994116</v>
      </c>
      <c r="Y80" s="1081">
        <v>0.6923879743858512</v>
      </c>
      <c r="Z80" s="1081">
        <v>0.7125549879296813</v>
      </c>
      <c r="AA80" s="1081">
        <v>0.72910055979420285</v>
      </c>
      <c r="AB80" s="1081">
        <v>0.74328098463858672</v>
      </c>
      <c r="AC80" s="1081">
        <v>0.75512201580332761</v>
      </c>
      <c r="AD80" s="1081">
        <v>0.76532473549440305</v>
      </c>
      <c r="AE80" s="1081">
        <v>0.77434790877689885</v>
      </c>
      <c r="AF80" s="1081">
        <v>0.78321051769726813</v>
      </c>
    </row>
    <row r="81" spans="1:32" x14ac:dyDescent="0.25">
      <c r="A81" s="1059"/>
      <c r="B81" s="1059"/>
      <c r="C81" s="1059"/>
      <c r="D81" s="1059"/>
      <c r="E81" s="1059"/>
      <c r="F81" s="1059"/>
      <c r="G81" s="1059"/>
      <c r="H81" s="1031">
        <v>1</v>
      </c>
      <c r="I81" s="1031">
        <v>0.99999999999999989</v>
      </c>
      <c r="J81" s="1031">
        <v>1</v>
      </c>
      <c r="K81" s="1031">
        <v>1</v>
      </c>
      <c r="L81" s="1031">
        <v>1</v>
      </c>
      <c r="M81" s="1031">
        <v>1</v>
      </c>
      <c r="N81" s="1031">
        <v>0.99999999999999933</v>
      </c>
      <c r="O81" s="1031">
        <v>1.0000000000000002</v>
      </c>
      <c r="P81" s="1031">
        <v>1</v>
      </c>
      <c r="Q81" s="1031">
        <v>1</v>
      </c>
      <c r="R81" s="1031">
        <v>1</v>
      </c>
      <c r="S81" s="1031">
        <v>1</v>
      </c>
      <c r="T81" s="1031">
        <v>0.99999999999999978</v>
      </c>
      <c r="U81" s="1031">
        <v>1</v>
      </c>
      <c r="V81" s="1031">
        <v>1</v>
      </c>
      <c r="W81" s="1031">
        <v>0.99999999999999978</v>
      </c>
      <c r="X81" s="1031">
        <v>0.99999999999999989</v>
      </c>
      <c r="Y81" s="1031">
        <v>1</v>
      </c>
      <c r="Z81" s="1031">
        <v>0.99999999999999978</v>
      </c>
      <c r="AA81" s="1031">
        <v>1</v>
      </c>
      <c r="AB81" s="1031">
        <v>1</v>
      </c>
      <c r="AC81" s="1031">
        <v>1.0000000000000002</v>
      </c>
      <c r="AD81" s="1031">
        <v>0.99999999999999989</v>
      </c>
      <c r="AE81" s="1031">
        <v>0.99999999999999989</v>
      </c>
      <c r="AF81" s="1031">
        <v>1</v>
      </c>
    </row>
    <row r="82" spans="1:32" s="1059" customFormat="1" x14ac:dyDescent="0.25">
      <c r="A82" s="1082" t="s">
        <v>743</v>
      </c>
      <c r="B82" s="1082"/>
      <c r="C82" s="1082"/>
      <c r="D82" s="1082"/>
      <c r="E82" s="1082"/>
      <c r="F82" s="1082"/>
      <c r="G82" s="1082"/>
      <c r="H82" s="1082"/>
      <c r="I82" s="1082"/>
      <c r="J82" s="1082"/>
      <c r="K82" s="1082"/>
      <c r="L82" s="1082"/>
      <c r="M82" s="1082"/>
      <c r="N82" s="1082"/>
      <c r="O82" s="1082"/>
      <c r="P82" s="1082"/>
      <c r="Q82" s="1082"/>
      <c r="R82" s="1082"/>
      <c r="S82" s="1082"/>
      <c r="T82" s="1082"/>
      <c r="U82" s="1082"/>
      <c r="V82" s="1082"/>
      <c r="W82" s="1082"/>
      <c r="X82" s="1082"/>
      <c r="Y82" s="1082"/>
      <c r="Z82" s="1082"/>
      <c r="AA82" s="1082"/>
      <c r="AB82" s="1082"/>
      <c r="AC82" s="1082"/>
      <c r="AD82" s="1082"/>
      <c r="AE82" s="1082"/>
      <c r="AF82" s="1082"/>
    </row>
    <row r="83" spans="1:32" x14ac:dyDescent="0.25">
      <c r="A83" s="1047" t="s">
        <v>497</v>
      </c>
      <c r="B83" s="1048"/>
      <c r="C83" s="1047"/>
      <c r="D83" s="1046"/>
      <c r="E83" s="1046"/>
      <c r="F83" s="1046"/>
      <c r="G83" s="1046"/>
      <c r="H83" s="862"/>
      <c r="I83" s="862"/>
      <c r="J83" s="862"/>
      <c r="K83" s="862"/>
      <c r="L83" s="862"/>
      <c r="M83" s="862"/>
      <c r="N83" s="862"/>
      <c r="O83" s="862"/>
      <c r="P83" s="862"/>
      <c r="Q83" s="862"/>
      <c r="R83" s="862"/>
      <c r="S83" s="862"/>
      <c r="T83" s="862"/>
      <c r="U83" s="862"/>
      <c r="V83" s="862"/>
      <c r="W83" s="862"/>
      <c r="X83" s="862"/>
      <c r="Y83" s="862"/>
      <c r="Z83" s="862"/>
      <c r="AA83" s="862"/>
      <c r="AB83" s="862"/>
      <c r="AC83" s="862"/>
      <c r="AD83" s="862"/>
      <c r="AE83" s="862"/>
      <c r="AF83" s="862"/>
    </row>
    <row r="84" spans="1:32" x14ac:dyDescent="0.25">
      <c r="A84" s="1042" t="s">
        <v>12</v>
      </c>
      <c r="B84" s="1041"/>
      <c r="C84" s="1059"/>
      <c r="D84" s="1059"/>
      <c r="E84" s="1059"/>
      <c r="F84" s="1059"/>
      <c r="G84" s="1059"/>
      <c r="H84" s="1059"/>
      <c r="I84" s="1059"/>
      <c r="J84" s="1059"/>
      <c r="K84" s="1059"/>
      <c r="L84" s="1059"/>
      <c r="M84" s="1059"/>
      <c r="N84" s="1059"/>
      <c r="O84" s="1059"/>
      <c r="P84" s="1059"/>
      <c r="Q84" s="1059"/>
      <c r="R84" s="1059"/>
      <c r="S84" s="1059"/>
      <c r="T84" s="1059"/>
      <c r="U84" s="1059"/>
      <c r="V84" s="1059"/>
      <c r="W84" s="1059"/>
      <c r="X84" s="1059"/>
      <c r="Y84" s="1059"/>
      <c r="Z84" s="1059"/>
      <c r="AA84" s="1059"/>
      <c r="AB84" s="1059"/>
      <c r="AC84" s="1059"/>
      <c r="AD84" s="1059"/>
      <c r="AE84" s="1059"/>
      <c r="AF84" s="1059"/>
    </row>
    <row r="85" spans="1:32" x14ac:dyDescent="0.25">
      <c r="A85" s="1041"/>
      <c r="B85" s="1041" t="s">
        <v>20</v>
      </c>
      <c r="C85" s="1059"/>
      <c r="D85" s="1059"/>
      <c r="E85" s="1059"/>
      <c r="F85" s="1059"/>
      <c r="G85" s="208">
        <v>2010</v>
      </c>
      <c r="H85" s="208">
        <v>2011</v>
      </c>
      <c r="I85" s="208">
        <v>2012</v>
      </c>
      <c r="J85" s="208">
        <v>2013</v>
      </c>
      <c r="K85" s="208">
        <v>2014</v>
      </c>
      <c r="L85" s="208">
        <v>2015</v>
      </c>
      <c r="M85" s="208">
        <v>2016</v>
      </c>
      <c r="N85" s="208">
        <v>2017</v>
      </c>
      <c r="O85" s="208">
        <v>2018</v>
      </c>
      <c r="P85" s="208">
        <v>2019</v>
      </c>
      <c r="Q85" s="208">
        <v>2020</v>
      </c>
      <c r="R85" s="208">
        <v>2021</v>
      </c>
      <c r="S85" s="208">
        <v>2022</v>
      </c>
      <c r="T85" s="208">
        <v>2023</v>
      </c>
      <c r="U85" s="208">
        <v>2024</v>
      </c>
      <c r="V85" s="208">
        <v>2025</v>
      </c>
      <c r="W85" s="208">
        <v>2026</v>
      </c>
      <c r="X85" s="208">
        <v>2027</v>
      </c>
      <c r="Y85" s="208">
        <v>2028</v>
      </c>
      <c r="Z85" s="208">
        <v>2029</v>
      </c>
      <c r="AA85" s="208">
        <v>2030</v>
      </c>
      <c r="AB85" s="208">
        <v>2031</v>
      </c>
      <c r="AC85" s="208">
        <v>2032</v>
      </c>
      <c r="AD85" s="208">
        <v>2033</v>
      </c>
      <c r="AE85" s="208">
        <v>2034</v>
      </c>
      <c r="AF85" s="208">
        <v>2035</v>
      </c>
    </row>
    <row r="86" spans="1:32" x14ac:dyDescent="0.25">
      <c r="A86" s="843" t="s">
        <v>21</v>
      </c>
      <c r="B86" s="843"/>
      <c r="C86" s="843"/>
      <c r="D86" s="843"/>
      <c r="E86" s="843"/>
      <c r="F86" s="843"/>
      <c r="G86" s="843"/>
      <c r="H86" s="843"/>
      <c r="I86" s="843"/>
      <c r="J86" s="843"/>
      <c r="K86" s="843"/>
      <c r="L86" s="843"/>
      <c r="M86" s="843"/>
      <c r="N86" s="843"/>
      <c r="O86" s="843"/>
      <c r="P86" s="843"/>
      <c r="Q86" s="843"/>
      <c r="R86" s="843"/>
      <c r="S86" s="843"/>
      <c r="T86" s="843"/>
      <c r="U86" s="843"/>
      <c r="V86" s="843"/>
      <c r="W86" s="843"/>
      <c r="X86" s="843"/>
      <c r="Y86" s="843"/>
      <c r="Z86" s="843"/>
      <c r="AA86" s="843"/>
      <c r="AB86" s="843"/>
      <c r="AC86" s="843"/>
      <c r="AD86" s="843"/>
      <c r="AE86" s="843"/>
      <c r="AF86" s="843"/>
    </row>
    <row r="87" spans="1:32" x14ac:dyDescent="0.25">
      <c r="A87" s="1041"/>
      <c r="B87" s="1041" t="s">
        <v>22</v>
      </c>
      <c r="C87" s="1059"/>
      <c r="D87" s="1059"/>
      <c r="E87" s="1059"/>
      <c r="F87" s="1059"/>
      <c r="G87" s="438"/>
      <c r="H87" s="890">
        <v>3.813505524327109</v>
      </c>
      <c r="I87" s="890">
        <v>2.7891030271430512</v>
      </c>
      <c r="J87" s="890">
        <v>1.6375996983277028</v>
      </c>
      <c r="K87" s="890">
        <v>1.0871086042226905</v>
      </c>
      <c r="L87" s="890">
        <v>0.6628718993720919</v>
      </c>
      <c r="M87" s="890">
        <v>0.22142289920960001</v>
      </c>
      <c r="N87" s="890">
        <v>0.18796745528833872</v>
      </c>
      <c r="O87" s="890">
        <v>0.16254000679524411</v>
      </c>
      <c r="P87" s="890">
        <v>0.13960718686571968</v>
      </c>
      <c r="Q87" s="890">
        <v>0.11697507471129084</v>
      </c>
      <c r="R87" s="890">
        <v>9.5471991976596393E-2</v>
      </c>
      <c r="S87" s="890">
        <v>7.6953984189886929E-2</v>
      </c>
      <c r="T87" s="890">
        <v>6.1796012799660467E-2</v>
      </c>
      <c r="U87" s="890">
        <v>4.9422146024521399E-2</v>
      </c>
      <c r="V87" s="890">
        <v>3.9989463378537302E-2</v>
      </c>
      <c r="W87" s="890">
        <v>3.269846946259939E-2</v>
      </c>
      <c r="X87" s="890">
        <v>2.7070885750733346E-2</v>
      </c>
      <c r="Y87" s="890">
        <v>2.2747008875994248E-2</v>
      </c>
      <c r="Z87" s="890">
        <v>1.9399146416755657E-2</v>
      </c>
      <c r="AA87" s="890">
        <v>1.6837848330060943E-2</v>
      </c>
      <c r="AB87" s="890">
        <v>1.4741769146381169E-2</v>
      </c>
      <c r="AC87" s="890">
        <v>1.3069603440911744E-2</v>
      </c>
      <c r="AD87" s="540">
        <v>1.1663761418433286E-2</v>
      </c>
      <c r="AE87" s="540">
        <v>1.0452295200778398E-2</v>
      </c>
      <c r="AF87" s="540">
        <v>9.2528745000659968E-3</v>
      </c>
    </row>
    <row r="88" spans="1:32" x14ac:dyDescent="0.25">
      <c r="A88" s="1041"/>
      <c r="B88" s="1041" t="s">
        <v>26</v>
      </c>
      <c r="C88" s="1059"/>
      <c r="D88" s="1059"/>
      <c r="E88" s="1059"/>
      <c r="F88" s="1059"/>
      <c r="G88" s="438"/>
      <c r="H88" s="890">
        <v>7.8764048649332868E-2</v>
      </c>
      <c r="I88" s="890">
        <v>0.28603958888264486</v>
      </c>
      <c r="J88" s="890">
        <v>0.76600740487760199</v>
      </c>
      <c r="K88" s="890">
        <v>1.0383568859100267</v>
      </c>
      <c r="L88" s="890">
        <v>1.0628191139402472</v>
      </c>
      <c r="M88" s="890">
        <v>1.0258977677738683</v>
      </c>
      <c r="N88" s="890">
        <v>0.89970489151871158</v>
      </c>
      <c r="O88" s="890">
        <v>0.80236619717420166</v>
      </c>
      <c r="P88" s="890">
        <v>0.70837956273289682</v>
      </c>
      <c r="Q88" s="890">
        <v>0.61222797695750786</v>
      </c>
      <c r="R88" s="890">
        <v>0.51699182667899457</v>
      </c>
      <c r="S88" s="890">
        <v>0.43166965978721544</v>
      </c>
      <c r="T88" s="890">
        <v>0.35957571867059013</v>
      </c>
      <c r="U88" s="890">
        <v>0.29898695760615229</v>
      </c>
      <c r="V88" s="890">
        <v>0.25143744640623128</v>
      </c>
      <c r="W88" s="890">
        <v>0.21389000968336708</v>
      </c>
      <c r="X88" s="890">
        <v>0.18463935575314055</v>
      </c>
      <c r="Y88" s="890">
        <v>0.16196373048023058</v>
      </c>
      <c r="Z88" s="890">
        <v>0.144135413294389</v>
      </c>
      <c r="AA88" s="890">
        <v>0.13037582338108816</v>
      </c>
      <c r="AB88" s="890">
        <v>0.11911323288564335</v>
      </c>
      <c r="AC88" s="890">
        <v>0.11018249564744376</v>
      </c>
      <c r="AD88" s="540">
        <v>0.10264745264053163</v>
      </c>
      <c r="AE88" s="540">
        <v>9.6110797787645974E-2</v>
      </c>
      <c r="AF88" s="540">
        <v>8.9361577288094143E-2</v>
      </c>
    </row>
    <row r="89" spans="1:32" x14ac:dyDescent="0.25">
      <c r="A89" s="1041"/>
      <c r="B89" s="1041" t="s">
        <v>27</v>
      </c>
      <c r="C89" s="1059"/>
      <c r="D89" s="1059"/>
      <c r="E89" s="1059"/>
      <c r="F89" s="1059"/>
      <c r="G89" s="438"/>
      <c r="H89" s="890">
        <v>4.8594971223311303</v>
      </c>
      <c r="I89" s="890">
        <v>4.1816455396371639</v>
      </c>
      <c r="J89" s="890">
        <v>4.3823757603012368</v>
      </c>
      <c r="K89" s="890">
        <v>4.2043305997073874</v>
      </c>
      <c r="L89" s="890">
        <v>4.2922021033477451</v>
      </c>
      <c r="M89" s="890">
        <v>4.2627864483367262</v>
      </c>
      <c r="N89" s="890">
        <v>3.810853681228449</v>
      </c>
      <c r="O89" s="890">
        <v>3.4447552849349652</v>
      </c>
      <c r="P89" s="890">
        <v>3.0516873156132491</v>
      </c>
      <c r="Q89" s="890">
        <v>2.6635852119041608</v>
      </c>
      <c r="R89" s="890">
        <v>2.2890561536389362</v>
      </c>
      <c r="S89" s="890">
        <v>1.9434223958594907</v>
      </c>
      <c r="T89" s="890">
        <v>1.6483174294340359</v>
      </c>
      <c r="U89" s="890">
        <v>1.3999052718835592</v>
      </c>
      <c r="V89" s="890">
        <v>1.1991011541017937</v>
      </c>
      <c r="W89" s="890">
        <v>1.0421603748223403</v>
      </c>
      <c r="X89" s="890">
        <v>0.92203992302412252</v>
      </c>
      <c r="Y89" s="890">
        <v>0.83145271171332369</v>
      </c>
      <c r="Z89" s="890">
        <v>0.76034173158773211</v>
      </c>
      <c r="AA89" s="890">
        <v>0.70543038563624705</v>
      </c>
      <c r="AB89" s="890">
        <v>0.66348325322732304</v>
      </c>
      <c r="AC89" s="890">
        <v>0.63196187091799905</v>
      </c>
      <c r="AD89" s="540">
        <v>0.60698995167982539</v>
      </c>
      <c r="AE89" s="540">
        <v>0.5872215613600682</v>
      </c>
      <c r="AF89" s="540">
        <v>0.57047389304130958</v>
      </c>
    </row>
    <row r="90" spans="1:32" x14ac:dyDescent="0.25">
      <c r="A90" s="1041"/>
      <c r="B90" s="1041" t="s">
        <v>29</v>
      </c>
      <c r="C90" s="1059"/>
      <c r="D90" s="1059"/>
      <c r="E90" s="1059"/>
      <c r="F90" s="1059"/>
      <c r="G90" s="438"/>
      <c r="H90" s="890">
        <v>1.7393893986906574E-2</v>
      </c>
      <c r="I90" s="890">
        <v>4.4255824957658722E-2</v>
      </c>
      <c r="J90" s="890">
        <v>8.311828987421932E-2</v>
      </c>
      <c r="K90" s="890">
        <v>0.17065145955775884</v>
      </c>
      <c r="L90" s="890">
        <v>0.33144659680772115</v>
      </c>
      <c r="M90" s="890">
        <v>0.56813750021304865</v>
      </c>
      <c r="N90" s="890">
        <v>0.8237487048954002</v>
      </c>
      <c r="O90" s="890">
        <v>1.1173322109429795</v>
      </c>
      <c r="P90" s="890">
        <v>1.3995370752217384</v>
      </c>
      <c r="Q90" s="890">
        <v>1.6558837550994623</v>
      </c>
      <c r="R90" s="890">
        <v>1.8593186897910763</v>
      </c>
      <c r="S90" s="890">
        <v>2.0051194310379006</v>
      </c>
      <c r="T90" s="890">
        <v>2.1055802935959869</v>
      </c>
      <c r="U90" s="890">
        <v>2.1628750310618052</v>
      </c>
      <c r="V90" s="890">
        <v>2.1883820256208537</v>
      </c>
      <c r="W90" s="890">
        <v>2.1969337555984541</v>
      </c>
      <c r="X90" s="890">
        <v>2.200462471770634</v>
      </c>
      <c r="Y90" s="890">
        <v>2.2045606401517794</v>
      </c>
      <c r="Z90" s="890">
        <v>2.2016887334806383</v>
      </c>
      <c r="AA90" s="890">
        <v>2.197512199719144</v>
      </c>
      <c r="AB90" s="890">
        <v>2.1985911502216151</v>
      </c>
      <c r="AC90" s="890">
        <v>2.2059207327509154</v>
      </c>
      <c r="AD90" s="540">
        <v>2.2149077294966908</v>
      </c>
      <c r="AE90" s="540">
        <v>2.2271263578113132</v>
      </c>
      <c r="AF90" s="540">
        <v>2.2438494321392013</v>
      </c>
    </row>
    <row r="91" spans="1:32" x14ac:dyDescent="0.25">
      <c r="A91" s="1041"/>
      <c r="B91" s="1041"/>
      <c r="C91" s="1059"/>
      <c r="D91" s="1059"/>
      <c r="E91" s="1059"/>
      <c r="F91" s="1059"/>
      <c r="G91" s="1045"/>
      <c r="H91" s="890"/>
      <c r="I91" s="890"/>
      <c r="J91" s="890"/>
      <c r="K91" s="890"/>
      <c r="L91" s="890"/>
      <c r="M91" s="890"/>
      <c r="N91" s="890"/>
      <c r="O91" s="890"/>
      <c r="P91" s="890"/>
      <c r="Q91" s="890"/>
      <c r="R91" s="890"/>
      <c r="S91" s="890"/>
      <c r="T91" s="890"/>
      <c r="U91" s="890"/>
      <c r="V91" s="890"/>
      <c r="W91" s="890"/>
      <c r="X91" s="890"/>
      <c r="Y91" s="890"/>
      <c r="Z91" s="890"/>
      <c r="AA91" s="890"/>
      <c r="AB91" s="890"/>
      <c r="AC91" s="890"/>
      <c r="AD91" s="1059"/>
      <c r="AE91" s="1059"/>
      <c r="AF91" s="1059"/>
    </row>
    <row r="92" spans="1:32" x14ac:dyDescent="0.25">
      <c r="A92" s="843" t="s">
        <v>32</v>
      </c>
      <c r="B92" s="843"/>
      <c r="C92" s="843"/>
      <c r="D92" s="843"/>
      <c r="E92" s="843"/>
      <c r="F92" s="843"/>
      <c r="G92" s="865"/>
      <c r="H92" s="891"/>
      <c r="I92" s="891"/>
      <c r="J92" s="891"/>
      <c r="K92" s="891"/>
      <c r="L92" s="891"/>
      <c r="M92" s="891"/>
      <c r="N92" s="891"/>
      <c r="O92" s="891"/>
      <c r="P92" s="891"/>
      <c r="Q92" s="891"/>
      <c r="R92" s="891"/>
      <c r="S92" s="891"/>
      <c r="T92" s="891"/>
      <c r="U92" s="891"/>
      <c r="V92" s="891"/>
      <c r="W92" s="891"/>
      <c r="X92" s="891"/>
      <c r="Y92" s="891"/>
      <c r="Z92" s="891"/>
      <c r="AA92" s="891"/>
      <c r="AB92" s="891"/>
      <c r="AC92" s="891"/>
      <c r="AD92" s="843"/>
      <c r="AE92" s="843"/>
      <c r="AF92" s="843"/>
    </row>
    <row r="93" spans="1:32" x14ac:dyDescent="0.25">
      <c r="A93" s="1041"/>
      <c r="B93" s="1041" t="s">
        <v>33</v>
      </c>
      <c r="C93" s="1059"/>
      <c r="D93" s="1059"/>
      <c r="E93" s="1059"/>
      <c r="F93" s="1059"/>
      <c r="G93" s="1045"/>
      <c r="H93" s="890">
        <v>2.5796802821104503</v>
      </c>
      <c r="I93" s="890">
        <v>2.827634784175554</v>
      </c>
      <c r="J93" s="890">
        <v>2.9372541662716576</v>
      </c>
      <c r="K93" s="890">
        <v>2.8686882404605685</v>
      </c>
      <c r="L93" s="890">
        <v>2.5383830116854402</v>
      </c>
      <c r="M93" s="890">
        <v>2.1116163173989149</v>
      </c>
      <c r="N93" s="890">
        <v>1.6924353303769735</v>
      </c>
      <c r="O93" s="890">
        <v>1.3087843171814688</v>
      </c>
      <c r="P93" s="890">
        <v>0.99199973590561707</v>
      </c>
      <c r="Q93" s="890">
        <v>0.73859122630943808</v>
      </c>
      <c r="R93" s="890">
        <v>0.54206812003127669</v>
      </c>
      <c r="S93" s="890">
        <v>0.40222543493412899</v>
      </c>
      <c r="T93" s="890">
        <v>0.30224950319365651</v>
      </c>
      <c r="U93" s="890">
        <v>0.23240596130307467</v>
      </c>
      <c r="V93" s="890">
        <v>0.18314763021471878</v>
      </c>
      <c r="W93" s="890">
        <v>0.14775086465104514</v>
      </c>
      <c r="X93" s="890">
        <v>0.12170496111651147</v>
      </c>
      <c r="Y93" s="890">
        <v>0.10228224169734171</v>
      </c>
      <c r="Z93" s="890">
        <v>8.7863411136545583E-2</v>
      </c>
      <c r="AA93" s="890">
        <v>7.6750354353841338E-2</v>
      </c>
      <c r="AB93" s="890">
        <v>6.7695313942465057E-2</v>
      </c>
      <c r="AC93" s="890">
        <v>6.0435732917310608E-2</v>
      </c>
      <c r="AD93" s="540">
        <v>5.4414074043378273E-2</v>
      </c>
      <c r="AE93" s="540">
        <v>4.9131518928510469E-2</v>
      </c>
      <c r="AF93" s="540">
        <v>4.3758990041595225E-2</v>
      </c>
    </row>
    <row r="94" spans="1:32" x14ac:dyDescent="0.25">
      <c r="A94" s="1043"/>
      <c r="B94" s="1043" t="s">
        <v>34</v>
      </c>
      <c r="C94" s="1059"/>
      <c r="D94" s="1059"/>
      <c r="E94" s="1059"/>
      <c r="F94" s="1059"/>
      <c r="G94" s="1045"/>
      <c r="H94" s="890">
        <v>6.0452740727327594</v>
      </c>
      <c r="I94" s="890">
        <v>6.0548979451825797</v>
      </c>
      <c r="J94" s="890">
        <v>5.764341504457712</v>
      </c>
      <c r="K94" s="890">
        <v>5.2241407488278977</v>
      </c>
      <c r="L94" s="890">
        <v>4.7353270216089296</v>
      </c>
      <c r="M94" s="890">
        <v>4.1347012070671854</v>
      </c>
      <c r="N94" s="890">
        <v>3.4581869424412508</v>
      </c>
      <c r="O94" s="890">
        <v>2.7881327392657091</v>
      </c>
      <c r="P94" s="890">
        <v>2.1897492020983815</v>
      </c>
      <c r="Q94" s="890">
        <v>1.7016990748811678</v>
      </c>
      <c r="R94" s="890">
        <v>1.3131675390281763</v>
      </c>
      <c r="S94" s="890">
        <v>1.0245294319082769</v>
      </c>
      <c r="T94" s="890">
        <v>0.8106335901723607</v>
      </c>
      <c r="U94" s="890">
        <v>0.65720171890489598</v>
      </c>
      <c r="V94" s="890">
        <v>0.5443676703886029</v>
      </c>
      <c r="W94" s="890">
        <v>0.46185023367978972</v>
      </c>
      <c r="X94" s="890">
        <v>0.40114085161673685</v>
      </c>
      <c r="Y94" s="890">
        <v>0.35607719453093623</v>
      </c>
      <c r="Z94" s="890">
        <v>0.32248458693030191</v>
      </c>
      <c r="AA94" s="890">
        <v>0.29638596629630409</v>
      </c>
      <c r="AB94" s="890">
        <v>0.27588454249765587</v>
      </c>
      <c r="AC94" s="890">
        <v>0.25998804223850069</v>
      </c>
      <c r="AD94" s="540">
        <v>0.24733220318802351</v>
      </c>
      <c r="AE94" s="540">
        <v>0.23651372130351728</v>
      </c>
      <c r="AF94" s="540">
        <v>0.22552447282460847</v>
      </c>
    </row>
    <row r="95" spans="1:32" x14ac:dyDescent="0.25">
      <c r="A95" s="1041"/>
      <c r="B95" s="1043" t="s">
        <v>35</v>
      </c>
      <c r="C95" s="1059"/>
      <c r="D95" s="1059"/>
      <c r="E95" s="1059"/>
      <c r="F95" s="1059"/>
      <c r="G95" s="1045"/>
      <c r="H95" s="890">
        <v>1.1816564808650731</v>
      </c>
      <c r="I95" s="890">
        <v>1.2410051107240159</v>
      </c>
      <c r="J95" s="890">
        <v>1.2938954479740494</v>
      </c>
      <c r="K95" s="890">
        <v>1.3243872343723306</v>
      </c>
      <c r="L95" s="890">
        <v>1.2121537127406354</v>
      </c>
      <c r="M95" s="890">
        <v>1.0882575110014014</v>
      </c>
      <c r="N95" s="890">
        <v>0.93018995818982986</v>
      </c>
      <c r="O95" s="890">
        <v>0.76502275158065236</v>
      </c>
      <c r="P95" s="890">
        <v>0.60941964459225284</v>
      </c>
      <c r="Q95" s="890">
        <v>0.48268182267696902</v>
      </c>
      <c r="R95" s="890">
        <v>0.38144255660984799</v>
      </c>
      <c r="S95" s="890">
        <v>0.30450210415548656</v>
      </c>
      <c r="T95" s="890">
        <v>0.24658311917575459</v>
      </c>
      <c r="U95" s="890">
        <v>0.20467535505939161</v>
      </c>
      <c r="V95" s="890">
        <v>0.17308112509359214</v>
      </c>
      <c r="W95" s="890">
        <v>0.14992893890899128</v>
      </c>
      <c r="X95" s="890">
        <v>0.13313537043997212</v>
      </c>
      <c r="Y95" s="890">
        <v>0.12092366554177178</v>
      </c>
      <c r="Z95" s="890">
        <v>0.11188692358507414</v>
      </c>
      <c r="AA95" s="890">
        <v>0.10487960396087828</v>
      </c>
      <c r="AB95" s="890">
        <v>9.9743159224914696E-2</v>
      </c>
      <c r="AC95" s="890">
        <v>9.601579023985185E-2</v>
      </c>
      <c r="AD95" s="540">
        <v>9.333344803722457E-2</v>
      </c>
      <c r="AE95" s="540">
        <v>9.1301194557738843E-2</v>
      </c>
      <c r="AF95" s="540">
        <v>8.964914486227514E-2</v>
      </c>
    </row>
    <row r="96" spans="1:32" x14ac:dyDescent="0.25">
      <c r="A96" s="1041"/>
      <c r="B96" s="1043" t="s">
        <v>29</v>
      </c>
      <c r="C96" s="1059"/>
      <c r="D96" s="1059"/>
      <c r="E96" s="1059"/>
      <c r="F96" s="1059"/>
      <c r="G96" s="1045"/>
      <c r="H96" s="890">
        <v>4.882023858236325E-2</v>
      </c>
      <c r="I96" s="890">
        <v>0.2089045497272799</v>
      </c>
      <c r="J96" s="890">
        <v>0.51470644361733886</v>
      </c>
      <c r="K96" s="890">
        <v>0.93872853878225071</v>
      </c>
      <c r="L96" s="890">
        <v>1.3797633688948048</v>
      </c>
      <c r="M96" s="890">
        <v>1.8236850770300239</v>
      </c>
      <c r="N96" s="890">
        <v>2.1870002281931167</v>
      </c>
      <c r="O96" s="890">
        <v>2.430538192912274</v>
      </c>
      <c r="P96" s="890">
        <v>2.547651379164471</v>
      </c>
      <c r="Q96" s="890">
        <v>2.5820470753249474</v>
      </c>
      <c r="R96" s="890">
        <v>2.5497894963025383</v>
      </c>
      <c r="S96" s="890">
        <v>2.499738234420116</v>
      </c>
      <c r="T96" s="890">
        <v>2.4438635745518171</v>
      </c>
      <c r="U96" s="890">
        <v>2.4087412685802692</v>
      </c>
      <c r="V96" s="890">
        <v>2.3769811054082117</v>
      </c>
      <c r="W96" s="890">
        <v>2.3610055849163585</v>
      </c>
      <c r="X96" s="890">
        <v>2.3552172300879008</v>
      </c>
      <c r="Y96" s="890">
        <v>2.3602345237260507</v>
      </c>
      <c r="Z96" s="890">
        <v>2.3722210562600661</v>
      </c>
      <c r="AA96" s="890">
        <v>2.379221402652969</v>
      </c>
      <c r="AB96" s="890">
        <v>2.3912870006054394</v>
      </c>
      <c r="AC96" s="890">
        <v>2.4068666365757547</v>
      </c>
      <c r="AD96" s="540">
        <v>2.4268202765700257</v>
      </c>
      <c r="AE96" s="540">
        <v>2.4465320881800734</v>
      </c>
      <c r="AF96" s="540">
        <v>2.4697093429616377</v>
      </c>
    </row>
    <row r="97" spans="1:32" x14ac:dyDescent="0.25">
      <c r="A97" s="1041"/>
      <c r="B97" s="1041"/>
      <c r="C97" s="1059"/>
      <c r="D97" s="1059"/>
      <c r="E97" s="1059"/>
      <c r="F97" s="1059"/>
      <c r="G97" s="1045"/>
      <c r="H97" s="890"/>
      <c r="I97" s="890"/>
      <c r="J97" s="890"/>
      <c r="K97" s="890"/>
      <c r="L97" s="890"/>
      <c r="M97" s="890"/>
      <c r="N97" s="890"/>
      <c r="O97" s="890"/>
      <c r="P97" s="890"/>
      <c r="Q97" s="890"/>
      <c r="R97" s="890"/>
      <c r="S97" s="890"/>
      <c r="T97" s="890"/>
      <c r="U97" s="890"/>
      <c r="V97" s="890"/>
      <c r="W97" s="890"/>
      <c r="X97" s="890"/>
      <c r="Y97" s="890"/>
      <c r="Z97" s="890"/>
      <c r="AA97" s="890"/>
      <c r="AB97" s="890"/>
      <c r="AC97" s="890"/>
      <c r="AD97" s="1059"/>
      <c r="AE97" s="1059"/>
      <c r="AF97" s="1059"/>
    </row>
    <row r="98" spans="1:32" x14ac:dyDescent="0.25">
      <c r="A98" s="843" t="s">
        <v>36</v>
      </c>
      <c r="B98" s="843"/>
      <c r="C98" s="843"/>
      <c r="D98" s="843"/>
      <c r="E98" s="843"/>
      <c r="F98" s="843"/>
      <c r="G98" s="865"/>
      <c r="H98" s="891"/>
      <c r="I98" s="891"/>
      <c r="J98" s="891"/>
      <c r="K98" s="891"/>
      <c r="L98" s="891"/>
      <c r="M98" s="891"/>
      <c r="N98" s="891"/>
      <c r="O98" s="891"/>
      <c r="P98" s="891"/>
      <c r="Q98" s="891"/>
      <c r="R98" s="891"/>
      <c r="S98" s="891"/>
      <c r="T98" s="891"/>
      <c r="U98" s="891"/>
      <c r="V98" s="891"/>
      <c r="W98" s="891"/>
      <c r="X98" s="891"/>
      <c r="Y98" s="891"/>
      <c r="Z98" s="891"/>
      <c r="AA98" s="891"/>
      <c r="AB98" s="891"/>
      <c r="AC98" s="891"/>
      <c r="AD98" s="843"/>
      <c r="AE98" s="843"/>
      <c r="AF98" s="843"/>
    </row>
    <row r="99" spans="1:32" x14ac:dyDescent="0.25">
      <c r="A99" s="1041"/>
      <c r="B99" s="1041" t="s">
        <v>37</v>
      </c>
      <c r="C99" s="1059"/>
      <c r="D99" s="1059"/>
      <c r="E99" s="1059"/>
      <c r="F99" s="1059"/>
      <c r="G99" s="540"/>
      <c r="H99" s="890">
        <v>23.424352052411024</v>
      </c>
      <c r="I99" s="890">
        <v>14.383236944443469</v>
      </c>
      <c r="J99" s="890">
        <v>6.8415598008674694</v>
      </c>
      <c r="K99" s="890">
        <v>1.3858567137910733</v>
      </c>
      <c r="L99" s="890">
        <v>0.97326800992290463</v>
      </c>
      <c r="M99" s="890">
        <v>0.67447841000408704</v>
      </c>
      <c r="N99" s="890">
        <v>0.46716751991153055</v>
      </c>
      <c r="O99" s="890">
        <v>0.33494001636406506</v>
      </c>
      <c r="P99" s="890">
        <v>0.24073497002153149</v>
      </c>
      <c r="Q99" s="890">
        <v>0.17359780456250479</v>
      </c>
      <c r="R99" s="890">
        <v>0.12551665611912519</v>
      </c>
      <c r="S99" s="890">
        <v>9.1120355727515964E-2</v>
      </c>
      <c r="T99" s="890">
        <v>6.6432910433796608E-2</v>
      </c>
      <c r="U99" s="890">
        <v>4.867932139178556E-2</v>
      </c>
      <c r="V99" s="890">
        <v>3.5894418387148706E-2</v>
      </c>
      <c r="W99" s="890">
        <v>2.665603889486785E-2</v>
      </c>
      <c r="X99" s="890">
        <v>1.9978317206657381E-2</v>
      </c>
      <c r="Y99" s="890">
        <v>1.5104782542018406E-2</v>
      </c>
      <c r="Z99" s="890">
        <v>1.1545800934292066E-2</v>
      </c>
      <c r="AA99" s="890">
        <v>8.9452126903301586E-3</v>
      </c>
      <c r="AB99" s="890">
        <v>7.0099286810052916E-3</v>
      </c>
      <c r="AC99" s="890">
        <v>5.5756333227600357E-3</v>
      </c>
      <c r="AD99" s="540">
        <v>4.5062123089227553E-3</v>
      </c>
      <c r="AE99" s="540">
        <v>3.6899545361181773E-3</v>
      </c>
      <c r="AF99" s="540">
        <v>3.0478957414338788E-3</v>
      </c>
    </row>
    <row r="100" spans="1:32" x14ac:dyDescent="0.25">
      <c r="A100" s="1041"/>
      <c r="B100" s="1041" t="s">
        <v>39</v>
      </c>
      <c r="C100" s="1059"/>
      <c r="D100" s="1059"/>
      <c r="E100" s="1059"/>
      <c r="F100" s="1059"/>
      <c r="G100" s="540"/>
      <c r="H100" s="890">
        <v>117.98167927498073</v>
      </c>
      <c r="I100" s="890">
        <v>124.10832168702461</v>
      </c>
      <c r="J100" s="890">
        <v>127.7432268675702</v>
      </c>
      <c r="K100" s="890">
        <v>129.33493093228861</v>
      </c>
      <c r="L100" s="890">
        <v>127.15560450402913</v>
      </c>
      <c r="M100" s="890">
        <v>124.3703441122035</v>
      </c>
      <c r="N100" s="890">
        <v>121.11533840063146</v>
      </c>
      <c r="O100" s="890">
        <v>117.54866553968648</v>
      </c>
      <c r="P100" s="890">
        <v>113.32694982584735</v>
      </c>
      <c r="Q100" s="890">
        <v>109.15838863914968</v>
      </c>
      <c r="R100" s="890">
        <v>104.64882948994938</v>
      </c>
      <c r="S100" s="890">
        <v>100.22885961486016</v>
      </c>
      <c r="T100" s="890">
        <v>95.858667659177314</v>
      </c>
      <c r="U100" s="890">
        <v>91.687702726025094</v>
      </c>
      <c r="V100" s="890">
        <v>87.507326689256075</v>
      </c>
      <c r="W100" s="890">
        <v>83.689405481077031</v>
      </c>
      <c r="X100" s="890">
        <v>80.315869212028872</v>
      </c>
      <c r="Y100" s="890">
        <v>77.113749036277767</v>
      </c>
      <c r="Z100" s="890">
        <v>74.174600899753173</v>
      </c>
      <c r="AA100" s="890">
        <v>71.594857479421307</v>
      </c>
      <c r="AB100" s="890">
        <v>69.146147155567121</v>
      </c>
      <c r="AC100" s="890">
        <v>66.96090501402557</v>
      </c>
      <c r="AD100" s="540">
        <v>65.064632295260211</v>
      </c>
      <c r="AE100" s="540">
        <v>63.274569699119581</v>
      </c>
      <c r="AF100" s="540">
        <v>61.671271035979515</v>
      </c>
    </row>
    <row r="101" spans="1:32" x14ac:dyDescent="0.25">
      <c r="A101" s="1041"/>
      <c r="B101" s="1041" t="s">
        <v>40</v>
      </c>
      <c r="C101" s="1059"/>
      <c r="D101" s="1059"/>
      <c r="E101" s="1059"/>
      <c r="F101" s="1059"/>
      <c r="G101" s="540"/>
      <c r="H101" s="890">
        <v>18.529130505459136</v>
      </c>
      <c r="I101" s="890">
        <v>23.120237954032742</v>
      </c>
      <c r="J101" s="890">
        <v>28.028209352085888</v>
      </c>
      <c r="K101" s="890">
        <v>32.186633547119271</v>
      </c>
      <c r="L101" s="890">
        <v>34.593364443084077</v>
      </c>
      <c r="M101" s="890">
        <v>36.313761248556148</v>
      </c>
      <c r="N101" s="890">
        <v>37.870283960860817</v>
      </c>
      <c r="O101" s="890">
        <v>39.595989271850534</v>
      </c>
      <c r="P101" s="890">
        <v>40.702617142450379</v>
      </c>
      <c r="Q101" s="890">
        <v>41.404356122665547</v>
      </c>
      <c r="R101" s="890">
        <v>41.499150659299765</v>
      </c>
      <c r="S101" s="890">
        <v>41.272533634776394</v>
      </c>
      <c r="T101" s="890">
        <v>40.73735219142597</v>
      </c>
      <c r="U101" s="890">
        <v>40.01256634153323</v>
      </c>
      <c r="V101" s="890">
        <v>39.056938124857403</v>
      </c>
      <c r="W101" s="890">
        <v>38.058060796594376</v>
      </c>
      <c r="X101" s="890">
        <v>37.131336847702947</v>
      </c>
      <c r="Y101" s="890">
        <v>36.14721138434092</v>
      </c>
      <c r="Z101" s="890">
        <v>35.181087643007444</v>
      </c>
      <c r="AA101" s="890">
        <v>34.305688932155334</v>
      </c>
      <c r="AB101" s="890">
        <v>33.405855031096515</v>
      </c>
      <c r="AC101" s="890">
        <v>32.570391718614133</v>
      </c>
      <c r="AD101" s="540">
        <v>31.81680461270097</v>
      </c>
      <c r="AE101" s="540">
        <v>31.061699918280926</v>
      </c>
      <c r="AF101" s="540">
        <v>30.320856903000635</v>
      </c>
    </row>
    <row r="102" spans="1:32" x14ac:dyDescent="0.25">
      <c r="A102" s="1041"/>
      <c r="B102" s="1041" t="s">
        <v>29</v>
      </c>
      <c r="C102" s="1059"/>
      <c r="D102" s="1059"/>
      <c r="E102" s="1059"/>
      <c r="F102" s="1059"/>
      <c r="G102" s="1045"/>
      <c r="H102" s="890">
        <v>1.9356331283066535E-3</v>
      </c>
      <c r="I102" s="890">
        <v>4.1334039142818586E-2</v>
      </c>
      <c r="J102" s="890">
        <v>0.24830146781529958</v>
      </c>
      <c r="K102" s="890">
        <v>0.79613420281776726</v>
      </c>
      <c r="L102" s="890">
        <v>1.8413476864209244</v>
      </c>
      <c r="M102" s="890">
        <v>3.4616609532848055</v>
      </c>
      <c r="N102" s="890">
        <v>5.7904090595073354</v>
      </c>
      <c r="O102" s="890">
        <v>8.7697227612446813</v>
      </c>
      <c r="P102" s="890">
        <v>12.130749038642477</v>
      </c>
      <c r="Q102" s="890">
        <v>15.989127575198797</v>
      </c>
      <c r="R102" s="890">
        <v>19.858500561946421</v>
      </c>
      <c r="S102" s="890">
        <v>23.864783496886574</v>
      </c>
      <c r="T102" s="890">
        <v>27.817227493380763</v>
      </c>
      <c r="U102" s="890">
        <v>31.717308691855752</v>
      </c>
      <c r="V102" s="890">
        <v>35.225988643298237</v>
      </c>
      <c r="W102" s="890">
        <v>38.398601921090972</v>
      </c>
      <c r="X102" s="890">
        <v>41.618798985464196</v>
      </c>
      <c r="Y102" s="890">
        <v>44.544627889101065</v>
      </c>
      <c r="Z102" s="890">
        <v>47.110707317107526</v>
      </c>
      <c r="AA102" s="890">
        <v>49.466305336954065</v>
      </c>
      <c r="AB102" s="890">
        <v>51.542950794693908</v>
      </c>
      <c r="AC102" s="890">
        <v>53.500457987540926</v>
      </c>
      <c r="AD102" s="540">
        <v>55.435815042029027</v>
      </c>
      <c r="AE102" s="540">
        <v>57.175018170961863</v>
      </c>
      <c r="AF102" s="540">
        <v>59.025378455593341</v>
      </c>
    </row>
    <row r="103" spans="1:32" x14ac:dyDescent="0.25">
      <c r="A103" s="1041"/>
      <c r="B103" s="1041"/>
      <c r="C103" s="1059"/>
      <c r="D103" s="1059"/>
      <c r="E103" s="1059"/>
      <c r="F103" s="1059"/>
      <c r="G103" s="1045"/>
      <c r="H103" s="890"/>
      <c r="I103" s="890"/>
      <c r="J103" s="890"/>
      <c r="K103" s="890"/>
      <c r="L103" s="890"/>
      <c r="M103" s="890"/>
      <c r="N103" s="890"/>
      <c r="O103" s="890"/>
      <c r="P103" s="890"/>
      <c r="Q103" s="890"/>
      <c r="R103" s="890"/>
      <c r="S103" s="890"/>
      <c r="T103" s="890"/>
      <c r="U103" s="890"/>
      <c r="V103" s="890"/>
      <c r="W103" s="890"/>
      <c r="X103" s="890"/>
      <c r="Y103" s="890"/>
      <c r="Z103" s="890"/>
      <c r="AA103" s="890"/>
      <c r="AB103" s="890"/>
      <c r="AC103" s="890"/>
      <c r="AD103" s="1059"/>
      <c r="AE103" s="1059"/>
      <c r="AF103" s="1059"/>
    </row>
    <row r="104" spans="1:32" x14ac:dyDescent="0.25">
      <c r="A104" s="843" t="s">
        <v>42</v>
      </c>
      <c r="B104" s="843"/>
      <c r="C104" s="843"/>
      <c r="D104" s="843"/>
      <c r="E104" s="843"/>
      <c r="F104" s="843"/>
      <c r="G104" s="865"/>
      <c r="H104" s="891"/>
      <c r="I104" s="891"/>
      <c r="J104" s="891"/>
      <c r="K104" s="891"/>
      <c r="L104" s="891"/>
      <c r="M104" s="891"/>
      <c r="N104" s="891"/>
      <c r="O104" s="891"/>
      <c r="P104" s="891"/>
      <c r="Q104" s="891"/>
      <c r="R104" s="891"/>
      <c r="S104" s="891"/>
      <c r="T104" s="891"/>
      <c r="U104" s="891"/>
      <c r="V104" s="891"/>
      <c r="W104" s="891"/>
      <c r="X104" s="891"/>
      <c r="Y104" s="891"/>
      <c r="Z104" s="891"/>
      <c r="AA104" s="891"/>
      <c r="AB104" s="891"/>
      <c r="AC104" s="891"/>
      <c r="AD104" s="843"/>
      <c r="AE104" s="843"/>
      <c r="AF104" s="843"/>
    </row>
    <row r="105" spans="1:32" x14ac:dyDescent="0.25">
      <c r="A105" s="1041"/>
      <c r="B105" s="1043" t="s">
        <v>43</v>
      </c>
      <c r="C105" s="1059"/>
      <c r="D105" s="1059"/>
      <c r="E105" s="1059"/>
      <c r="F105" s="1059"/>
      <c r="G105" s="1045"/>
      <c r="H105" s="890">
        <v>0.25546772547524332</v>
      </c>
      <c r="I105" s="890">
        <v>0.22859957818524038</v>
      </c>
      <c r="J105" s="890">
        <v>0.20463333705089456</v>
      </c>
      <c r="K105" s="890">
        <v>0.18297496724227919</v>
      </c>
      <c r="L105" s="890">
        <v>0.16385363630957248</v>
      </c>
      <c r="M105" s="890">
        <v>0.14625968812951462</v>
      </c>
      <c r="N105" s="890">
        <v>0.1306585986598871</v>
      </c>
      <c r="O105" s="890">
        <v>0.1168033073361313</v>
      </c>
      <c r="P105" s="890">
        <v>0.10443779690137629</v>
      </c>
      <c r="Q105" s="890">
        <v>9.3356796070186571E-2</v>
      </c>
      <c r="R105" s="890">
        <v>8.3346867735103941E-2</v>
      </c>
      <c r="S105" s="890">
        <v>7.4441158388003831E-2</v>
      </c>
      <c r="T105" s="890">
        <v>6.648820235387376E-2</v>
      </c>
      <c r="U105" s="890">
        <v>5.9399344500529146E-2</v>
      </c>
      <c r="V105" s="890">
        <v>5.3103780488327042E-2</v>
      </c>
      <c r="W105" s="890">
        <v>4.7478140852966394E-2</v>
      </c>
      <c r="X105" s="890">
        <v>4.247935988753497E-2</v>
      </c>
      <c r="Y105" s="890">
        <v>3.8015247131953471E-2</v>
      </c>
      <c r="Z105" s="890">
        <v>3.4037000955627013E-2</v>
      </c>
      <c r="AA105" s="890">
        <v>3.049719648505661E-2</v>
      </c>
      <c r="AB105" s="890">
        <v>2.7333177524539193E-2</v>
      </c>
      <c r="AC105" s="890">
        <v>2.4516774301553905E-2</v>
      </c>
      <c r="AD105" s="540">
        <v>2.1999267205532313E-2</v>
      </c>
      <c r="AE105" s="540">
        <v>1.9746792567215621E-2</v>
      </c>
      <c r="AF105" s="540">
        <v>1.7708308209403091E-2</v>
      </c>
    </row>
    <row r="106" spans="1:32" x14ac:dyDescent="0.25">
      <c r="A106" s="1041"/>
      <c r="B106" s="1043" t="s">
        <v>44</v>
      </c>
      <c r="C106" s="1059"/>
      <c r="D106" s="1059"/>
      <c r="E106" s="1059"/>
      <c r="F106" s="1059"/>
      <c r="G106" s="1045"/>
      <c r="H106" s="890">
        <v>27.781034197667836</v>
      </c>
      <c r="I106" s="890">
        <v>28.437531238077355</v>
      </c>
      <c r="J106" s="890">
        <v>28.905173275232009</v>
      </c>
      <c r="K106" s="890">
        <v>29.106129066165842</v>
      </c>
      <c r="L106" s="890">
        <v>29.044927787131691</v>
      </c>
      <c r="M106" s="890">
        <v>28.528772266256027</v>
      </c>
      <c r="N106" s="890">
        <v>27.828010494099843</v>
      </c>
      <c r="O106" s="890">
        <v>27.010141187055886</v>
      </c>
      <c r="P106" s="890">
        <v>25.97474584125872</v>
      </c>
      <c r="Q106" s="890">
        <v>24.872503230727226</v>
      </c>
      <c r="R106" s="890">
        <v>23.651995069233365</v>
      </c>
      <c r="S106" s="890">
        <v>22.445963424376103</v>
      </c>
      <c r="T106" s="890">
        <v>21.24799244366179</v>
      </c>
      <c r="U106" s="890">
        <v>20.104808259833426</v>
      </c>
      <c r="V106" s="890">
        <v>19.062785434224431</v>
      </c>
      <c r="W106" s="890">
        <v>18.020014101917937</v>
      </c>
      <c r="X106" s="890">
        <v>17.076253182461976</v>
      </c>
      <c r="Y106" s="890">
        <v>16.19454499262163</v>
      </c>
      <c r="Z106" s="890">
        <v>15.373412434273487</v>
      </c>
      <c r="AA106" s="890">
        <v>14.61629294525166</v>
      </c>
      <c r="AB106" s="890">
        <v>13.906520504622376</v>
      </c>
      <c r="AC106" s="890">
        <v>13.256958925564296</v>
      </c>
      <c r="AD106" s="540">
        <v>12.660123810954701</v>
      </c>
      <c r="AE106" s="540">
        <v>12.103279778793928</v>
      </c>
      <c r="AF106" s="540">
        <v>11.566560017871904</v>
      </c>
    </row>
    <row r="107" spans="1:32" x14ac:dyDescent="0.25">
      <c r="A107" s="1041"/>
      <c r="B107" s="1043" t="s">
        <v>45</v>
      </c>
      <c r="C107" s="1059"/>
      <c r="D107" s="1059"/>
      <c r="E107" s="1059"/>
      <c r="F107" s="1059"/>
      <c r="G107" s="1045"/>
      <c r="H107" s="890">
        <v>1.3342956347228419</v>
      </c>
      <c r="I107" s="890">
        <v>1.2040017151564613</v>
      </c>
      <c r="J107" s="890">
        <v>1.0896451320009315</v>
      </c>
      <c r="K107" s="890">
        <v>0.98834184652342461</v>
      </c>
      <c r="L107" s="890">
        <v>0.89666512554615263</v>
      </c>
      <c r="M107" s="890">
        <v>0.81330288425084074</v>
      </c>
      <c r="N107" s="890">
        <v>0.73775304277710396</v>
      </c>
      <c r="O107" s="890">
        <v>0.66968398025633114</v>
      </c>
      <c r="P107" s="890">
        <v>0.60610500074961016</v>
      </c>
      <c r="Q107" s="890">
        <v>0.54896187006868691</v>
      </c>
      <c r="R107" s="890">
        <v>0.49678621203858186</v>
      </c>
      <c r="S107" s="890">
        <v>0.45005060163238214</v>
      </c>
      <c r="T107" s="890">
        <v>0.40799618042596064</v>
      </c>
      <c r="U107" s="890">
        <v>0.37053314659742315</v>
      </c>
      <c r="V107" s="890">
        <v>0.33701615841091603</v>
      </c>
      <c r="W107" s="890">
        <v>0.30697814792258066</v>
      </c>
      <c r="X107" s="890">
        <v>0.28056495427969153</v>
      </c>
      <c r="Y107" s="890">
        <v>0.25700843970714499</v>
      </c>
      <c r="Z107" s="890">
        <v>0.23595949484218656</v>
      </c>
      <c r="AA107" s="890">
        <v>0.21718938526105203</v>
      </c>
      <c r="AB107" s="890">
        <v>0.2003697059493646</v>
      </c>
      <c r="AC107" s="890">
        <v>0.18541721429907901</v>
      </c>
      <c r="AD107" s="540">
        <v>0.17207843390651628</v>
      </c>
      <c r="AE107" s="540">
        <v>0.16009342373522067</v>
      </c>
      <c r="AF107" s="540">
        <v>0.14920214216356562</v>
      </c>
    </row>
    <row r="108" spans="1:32" x14ac:dyDescent="0.25">
      <c r="A108" s="1041"/>
      <c r="B108" s="1043" t="s">
        <v>46</v>
      </c>
      <c r="C108" s="1059"/>
      <c r="D108" s="1059"/>
      <c r="E108" s="1059"/>
      <c r="F108" s="1059"/>
      <c r="G108" s="1045"/>
      <c r="H108" s="890">
        <v>1.7922454537913711E-2</v>
      </c>
      <c r="I108" s="890">
        <v>1.5662100129650466E-2</v>
      </c>
      <c r="J108" s="890">
        <v>1.3692764598657871E-2</v>
      </c>
      <c r="K108" s="890">
        <v>1.1976170003146673E-2</v>
      </c>
      <c r="L108" s="890">
        <v>1.0479185412689145E-2</v>
      </c>
      <c r="M108" s="890">
        <v>9.1731189433041701E-3</v>
      </c>
      <c r="N108" s="890">
        <v>8.0331094614781405E-3</v>
      </c>
      <c r="O108" s="890">
        <v>7.0119812455782787E-3</v>
      </c>
      <c r="P108" s="890">
        <v>6.1233184897791825E-3</v>
      </c>
      <c r="Q108" s="890">
        <v>5.3495730477858489E-3</v>
      </c>
      <c r="R108" s="890">
        <v>4.6755721080608851E-3</v>
      </c>
      <c r="S108" s="890">
        <v>4.0881894808504045E-3</v>
      </c>
      <c r="T108" s="890">
        <v>3.576063412988449E-3</v>
      </c>
      <c r="U108" s="890">
        <v>3.1293541916381949E-3</v>
      </c>
      <c r="V108" s="890">
        <v>2.7395357971544648E-3</v>
      </c>
      <c r="W108" s="890">
        <v>2.3992167126449626E-3</v>
      </c>
      <c r="X108" s="890">
        <v>2.1019857171346011E-3</v>
      </c>
      <c r="Y108" s="890">
        <v>1.8485524684201818E-3</v>
      </c>
      <c r="Z108" s="890">
        <v>1.620729389135169E-3</v>
      </c>
      <c r="AA108" s="890">
        <v>1.4215105783221276E-3</v>
      </c>
      <c r="AB108" s="890">
        <v>1.2476286674565421E-3</v>
      </c>
      <c r="AC108" s="890">
        <v>1.0957421431533813E-3</v>
      </c>
      <c r="AD108" s="540">
        <v>9.6267994604862836E-4</v>
      </c>
      <c r="AE108" s="540">
        <v>8.4631470099623331E-4</v>
      </c>
      <c r="AF108" s="540">
        <v>7.4447671528850149E-4</v>
      </c>
    </row>
    <row r="109" spans="1:32" x14ac:dyDescent="0.25">
      <c r="A109" s="1041"/>
      <c r="B109" s="1041" t="s">
        <v>29</v>
      </c>
      <c r="C109" s="1059"/>
      <c r="D109" s="1059"/>
      <c r="E109" s="1059"/>
      <c r="F109" s="1059"/>
      <c r="G109" s="1045"/>
      <c r="H109" s="890">
        <v>5.3248801856755333E-4</v>
      </c>
      <c r="I109" s="890">
        <v>1.5647613385079261E-2</v>
      </c>
      <c r="J109" s="890">
        <v>0.1078101633458234</v>
      </c>
      <c r="K109" s="890">
        <v>0.37129590443967742</v>
      </c>
      <c r="L109" s="890">
        <v>0.85373124540024459</v>
      </c>
      <c r="M109" s="890">
        <v>1.5467869075214074</v>
      </c>
      <c r="N109" s="890">
        <v>2.4091130495179227</v>
      </c>
      <c r="O109" s="890">
        <v>3.4102074333058612</v>
      </c>
      <c r="P109" s="890">
        <v>4.4174088191565151</v>
      </c>
      <c r="Q109" s="890">
        <v>5.4741856568840888</v>
      </c>
      <c r="R109" s="890">
        <v>6.4326741021646132</v>
      </c>
      <c r="S109" s="890">
        <v>7.3547895092796738</v>
      </c>
      <c r="T109" s="890">
        <v>8.1921303537647727</v>
      </c>
      <c r="U109" s="890">
        <v>8.985551367643458</v>
      </c>
      <c r="V109" s="890">
        <v>9.6747210519161122</v>
      </c>
      <c r="W109" s="890">
        <v>10.271129144033097</v>
      </c>
      <c r="X109" s="890">
        <v>10.894313379768889</v>
      </c>
      <c r="Y109" s="890">
        <v>11.467653864938459</v>
      </c>
      <c r="Z109" s="890">
        <v>11.971703885282578</v>
      </c>
      <c r="AA109" s="890">
        <v>12.420256535951768</v>
      </c>
      <c r="AB109" s="890">
        <v>12.827968872516786</v>
      </c>
      <c r="AC109" s="890">
        <v>13.220443858240806</v>
      </c>
      <c r="AD109" s="540">
        <v>13.604144407992187</v>
      </c>
      <c r="AE109" s="540">
        <v>13.964234411981369</v>
      </c>
      <c r="AF109" s="540">
        <v>14.332211067740275</v>
      </c>
    </row>
    <row r="110" spans="1:32" x14ac:dyDescent="0.25">
      <c r="A110" s="1041"/>
      <c r="B110" s="1041"/>
      <c r="C110" s="1059"/>
      <c r="D110" s="1059"/>
      <c r="E110" s="1059"/>
      <c r="F110" s="1059"/>
      <c r="G110" s="1045"/>
      <c r="H110" s="890"/>
      <c r="I110" s="890"/>
      <c r="J110" s="890"/>
      <c r="K110" s="890"/>
      <c r="L110" s="890"/>
      <c r="M110" s="890"/>
      <c r="N110" s="890"/>
      <c r="O110" s="890"/>
      <c r="P110" s="890"/>
      <c r="Q110" s="890"/>
      <c r="R110" s="890"/>
      <c r="S110" s="890"/>
      <c r="T110" s="890"/>
      <c r="U110" s="890"/>
      <c r="V110" s="890"/>
      <c r="W110" s="890"/>
      <c r="X110" s="890"/>
      <c r="Y110" s="890"/>
      <c r="Z110" s="890"/>
      <c r="AA110" s="890"/>
      <c r="AB110" s="890"/>
      <c r="AC110" s="890"/>
      <c r="AD110" s="1059"/>
      <c r="AE110" s="1059"/>
      <c r="AF110" s="1059"/>
    </row>
    <row r="111" spans="1:32" x14ac:dyDescent="0.25">
      <c r="A111" s="843" t="s">
        <v>47</v>
      </c>
      <c r="B111" s="843"/>
      <c r="C111" s="843"/>
      <c r="D111" s="843"/>
      <c r="E111" s="843"/>
      <c r="F111" s="843"/>
      <c r="G111" s="865"/>
      <c r="H111" s="891"/>
      <c r="I111" s="891"/>
      <c r="J111" s="891"/>
      <c r="K111" s="891"/>
      <c r="L111" s="891"/>
      <c r="M111" s="891"/>
      <c r="N111" s="891"/>
      <c r="O111" s="891"/>
      <c r="P111" s="891"/>
      <c r="Q111" s="891"/>
      <c r="R111" s="891"/>
      <c r="S111" s="891"/>
      <c r="T111" s="891"/>
      <c r="U111" s="891"/>
      <c r="V111" s="891"/>
      <c r="W111" s="891"/>
      <c r="X111" s="891"/>
      <c r="Y111" s="891"/>
      <c r="Z111" s="891"/>
      <c r="AA111" s="891"/>
      <c r="AB111" s="891"/>
      <c r="AC111" s="891"/>
      <c r="AD111" s="843"/>
      <c r="AE111" s="843"/>
      <c r="AF111" s="843"/>
    </row>
    <row r="112" spans="1:32" x14ac:dyDescent="0.25">
      <c r="A112" s="1041"/>
      <c r="B112" s="1041" t="s">
        <v>48</v>
      </c>
      <c r="C112" s="1059"/>
      <c r="D112" s="1059"/>
      <c r="E112" s="1059"/>
      <c r="F112" s="1059"/>
      <c r="G112" s="1045"/>
      <c r="H112" s="890">
        <v>0.24831960453046747</v>
      </c>
      <c r="I112" s="890">
        <v>0.21942091929970772</v>
      </c>
      <c r="J112" s="890">
        <v>0.18019620468045736</v>
      </c>
      <c r="K112" s="890">
        <v>0.13553410505515529</v>
      </c>
      <c r="L112" s="890">
        <v>9.2499380016312485E-2</v>
      </c>
      <c r="M112" s="890">
        <v>5.6841000386424353E-2</v>
      </c>
      <c r="N112" s="890">
        <v>3.150355219958588E-2</v>
      </c>
      <c r="O112" s="890">
        <v>1.5851247924192603E-2</v>
      </c>
      <c r="P112" s="890">
        <v>7.2972737764255471E-3</v>
      </c>
      <c r="Q112" s="890">
        <v>3.1045016624561481E-3</v>
      </c>
      <c r="R112" s="890">
        <v>1.2313158610092584E-3</v>
      </c>
      <c r="S112" s="890">
        <v>4.6009547596751442E-4</v>
      </c>
      <c r="T112" s="890">
        <v>1.6352729975176506E-4</v>
      </c>
      <c r="U112" s="890">
        <v>5.577115938123988E-5</v>
      </c>
      <c r="V112" s="890">
        <v>1.8405860075527583E-5</v>
      </c>
      <c r="W112" s="890">
        <v>5.9155036098711787E-6</v>
      </c>
      <c r="X112" s="890">
        <v>1.8631243229716344E-6</v>
      </c>
      <c r="Y112" s="890">
        <v>5.7763193890937892E-7</v>
      </c>
      <c r="Z112" s="890">
        <v>1.769025662381864E-7</v>
      </c>
      <c r="AA112" s="890">
        <v>5.3668659181349578E-8</v>
      </c>
      <c r="AB112" s="890">
        <v>1.615872247966637E-8</v>
      </c>
      <c r="AC112" s="890">
        <v>4.8363999607897807E-9</v>
      </c>
      <c r="AD112" s="540">
        <v>1.4405213297248324E-9</v>
      </c>
      <c r="AE112" s="540">
        <v>4.2723099639972548E-10</v>
      </c>
      <c r="AF112" s="540">
        <v>1.2607867120797185E-10</v>
      </c>
    </row>
    <row r="113" spans="1:32" x14ac:dyDescent="0.25">
      <c r="A113" s="1041"/>
      <c r="B113" s="1043" t="s">
        <v>50</v>
      </c>
      <c r="C113" s="1059"/>
      <c r="D113" s="1059"/>
      <c r="E113" s="1059"/>
      <c r="F113" s="1059"/>
      <c r="G113" s="1045"/>
      <c r="H113" s="890">
        <v>5.8744137662226645</v>
      </c>
      <c r="I113" s="890">
        <v>5.5831543116077906</v>
      </c>
      <c r="J113" s="890">
        <v>5.1094324014182906</v>
      </c>
      <c r="K113" s="890">
        <v>4.4731790627744141</v>
      </c>
      <c r="L113" s="890">
        <v>3.7223499846253407</v>
      </c>
      <c r="M113" s="890">
        <v>2.9257639237183732</v>
      </c>
      <c r="N113" s="890">
        <v>2.1720628619719968</v>
      </c>
      <c r="O113" s="890">
        <v>1.527726544965593</v>
      </c>
      <c r="P113" s="890">
        <v>1.0204745321844422</v>
      </c>
      <c r="Q113" s="890">
        <v>0.65133453032587441</v>
      </c>
      <c r="R113" s="890">
        <v>0.39901043327539792</v>
      </c>
      <c r="S113" s="890">
        <v>0.23619609340485603</v>
      </c>
      <c r="T113" s="890">
        <v>0.13591739228445104</v>
      </c>
      <c r="U113" s="890">
        <v>7.6464654983568414E-2</v>
      </c>
      <c r="V113" s="890">
        <v>4.2277310175469887E-2</v>
      </c>
      <c r="W113" s="890">
        <v>2.305970053830074E-2</v>
      </c>
      <c r="X113" s="890">
        <v>1.2465184910890624E-2</v>
      </c>
      <c r="Y113" s="890">
        <v>6.6956469468292534E-3</v>
      </c>
      <c r="Z113" s="890">
        <v>3.5803854696542054E-3</v>
      </c>
      <c r="AA113" s="890">
        <v>1.9088301761385246E-3</v>
      </c>
      <c r="AB113" s="890">
        <v>1.015883869152078E-3</v>
      </c>
      <c r="AC113" s="890">
        <v>5.4028121317809853E-4</v>
      </c>
      <c r="AD113" s="540">
        <v>2.8730416897402563E-4</v>
      </c>
      <c r="AE113" s="540">
        <v>1.5281749429150578E-4</v>
      </c>
      <c r="AF113" s="540">
        <v>8.1283659557547657E-5</v>
      </c>
    </row>
    <row r="114" spans="1:32" x14ac:dyDescent="0.25">
      <c r="A114" s="1041"/>
      <c r="B114" s="1041" t="s">
        <v>51</v>
      </c>
      <c r="C114" s="1059"/>
      <c r="D114" s="1059"/>
      <c r="E114" s="1059"/>
      <c r="F114" s="1059"/>
      <c r="G114" s="1045"/>
      <c r="H114" s="890">
        <v>6.5868346046152952</v>
      </c>
      <c r="I114" s="890">
        <v>6.3004470247818727</v>
      </c>
      <c r="J114" s="890">
        <v>5.9114056239410742</v>
      </c>
      <c r="K114" s="890">
        <v>5.4340548320773294</v>
      </c>
      <c r="L114" s="890">
        <v>4.8908897828618638</v>
      </c>
      <c r="M114" s="890">
        <v>4.3071494979774725</v>
      </c>
      <c r="N114" s="890">
        <v>3.7369865984763124</v>
      </c>
      <c r="O114" s="890">
        <v>3.2077273614448218</v>
      </c>
      <c r="P114" s="890">
        <v>2.7125404290115318</v>
      </c>
      <c r="Q114" s="890">
        <v>2.2766162936408727</v>
      </c>
      <c r="R114" s="890">
        <v>1.8919225084401925</v>
      </c>
      <c r="S114" s="890">
        <v>1.564771775988091</v>
      </c>
      <c r="T114" s="890">
        <v>1.2897010238315014</v>
      </c>
      <c r="U114" s="890">
        <v>1.0610815610127653</v>
      </c>
      <c r="V114" s="890">
        <v>0.87218959115156069</v>
      </c>
      <c r="W114" s="890">
        <v>0.71600421654847157</v>
      </c>
      <c r="X114" s="890">
        <v>0.58928551957418729</v>
      </c>
      <c r="Y114" s="890">
        <v>0.48552335822749959</v>
      </c>
      <c r="Z114" s="890">
        <v>0.40001872957657431</v>
      </c>
      <c r="AA114" s="890">
        <v>0.32955933886380312</v>
      </c>
      <c r="AB114" s="890">
        <v>0.2717545096117564</v>
      </c>
      <c r="AC114" s="890">
        <v>0.22430937148111804</v>
      </c>
      <c r="AD114" s="540">
        <v>0.1852698853401076</v>
      </c>
      <c r="AE114" s="540">
        <v>0.153117554347035</v>
      </c>
      <c r="AF114" s="540">
        <v>0.12660238007284549</v>
      </c>
    </row>
    <row r="115" spans="1:32" x14ac:dyDescent="0.25">
      <c r="A115" s="1041"/>
      <c r="B115" s="1041" t="s">
        <v>52</v>
      </c>
      <c r="C115" s="1059"/>
      <c r="D115" s="1059"/>
      <c r="E115" s="1059"/>
      <c r="F115" s="1059"/>
      <c r="G115" s="1045"/>
      <c r="H115" s="890">
        <v>1.0515332664590318</v>
      </c>
      <c r="I115" s="890">
        <v>1.0452268312885415</v>
      </c>
      <c r="J115" s="890">
        <v>1.0285381102421665</v>
      </c>
      <c r="K115" s="890">
        <v>1.001960152183903</v>
      </c>
      <c r="L115" s="890">
        <v>0.96819538846879938</v>
      </c>
      <c r="M115" s="890">
        <v>0.92534416398621344</v>
      </c>
      <c r="N115" s="890">
        <v>0.87922424796102305</v>
      </c>
      <c r="O115" s="890">
        <v>0.83397591748489874</v>
      </c>
      <c r="P115" s="890">
        <v>0.78526299619880113</v>
      </c>
      <c r="Q115" s="890">
        <v>0.73849106633789596</v>
      </c>
      <c r="R115" s="890">
        <v>0.69129402029216802</v>
      </c>
      <c r="S115" s="890">
        <v>0.64650482930922171</v>
      </c>
      <c r="T115" s="890">
        <v>0.60413749789594873</v>
      </c>
      <c r="U115" s="890">
        <v>0.56445540907033909</v>
      </c>
      <c r="V115" s="890">
        <v>0.52661148124903234</v>
      </c>
      <c r="W115" s="890">
        <v>0.49120894743809096</v>
      </c>
      <c r="X115" s="890">
        <v>0.45991827378900946</v>
      </c>
      <c r="Y115" s="890">
        <v>0.43043966340748674</v>
      </c>
      <c r="Z115" s="890">
        <v>0.40336677890751543</v>
      </c>
      <c r="AA115" s="890">
        <v>0.37748597467734279</v>
      </c>
      <c r="AB115" s="890">
        <v>0.35358286334091193</v>
      </c>
      <c r="AC115" s="890">
        <v>0.33180618130324285</v>
      </c>
      <c r="AD115" s="540">
        <v>0.3111755594398915</v>
      </c>
      <c r="AE115" s="540">
        <v>0.29201180757203538</v>
      </c>
      <c r="AF115" s="540">
        <v>0.27440280883970286</v>
      </c>
    </row>
    <row r="116" spans="1:32" x14ac:dyDescent="0.25">
      <c r="A116" s="1041"/>
      <c r="B116" s="1043" t="s">
        <v>29</v>
      </c>
      <c r="C116" s="1059"/>
      <c r="D116" s="1059"/>
      <c r="E116" s="1059"/>
      <c r="F116" s="1059"/>
      <c r="G116" s="1045"/>
      <c r="H116" s="890">
        <v>0.69660158585543819</v>
      </c>
      <c r="I116" s="890">
        <v>1.251228991670565</v>
      </c>
      <c r="J116" s="890">
        <v>1.8965650120205222</v>
      </c>
      <c r="K116" s="890">
        <v>2.5919641735346217</v>
      </c>
      <c r="L116" s="890">
        <v>3.2739859880602937</v>
      </c>
      <c r="M116" s="890">
        <v>3.8689773020927212</v>
      </c>
      <c r="N116" s="890">
        <v>4.3514844350371646</v>
      </c>
      <c r="O116" s="890">
        <v>4.6746815326855842</v>
      </c>
      <c r="P116" s="890">
        <v>4.9180012846616812</v>
      </c>
      <c r="Q116" s="890">
        <v>5.0993890044021528</v>
      </c>
      <c r="R116" s="890">
        <v>5.1650026148103798</v>
      </c>
      <c r="S116" s="890">
        <v>5.2467516938418122</v>
      </c>
      <c r="T116" s="890">
        <v>5.2785152628024008</v>
      </c>
      <c r="U116" s="890">
        <v>5.3399508555625657</v>
      </c>
      <c r="V116" s="890">
        <v>5.3677127559685136</v>
      </c>
      <c r="W116" s="890">
        <v>5.4078109204134757</v>
      </c>
      <c r="X116" s="890">
        <v>5.4519991328746595</v>
      </c>
      <c r="Y116" s="890">
        <v>5.5057589906303868</v>
      </c>
      <c r="Z116" s="890">
        <v>5.5664808689049945</v>
      </c>
      <c r="AA116" s="890">
        <v>5.6045855202451875</v>
      </c>
      <c r="AB116" s="890">
        <v>5.6486888733455114</v>
      </c>
      <c r="AC116" s="890">
        <v>5.6995836930753159</v>
      </c>
      <c r="AD116" s="540">
        <v>5.7521249487788575</v>
      </c>
      <c r="AE116" s="540">
        <v>5.8062019296136125</v>
      </c>
      <c r="AF116" s="540">
        <v>5.864202446944951</v>
      </c>
    </row>
    <row r="117" spans="1:32" x14ac:dyDescent="0.25">
      <c r="A117" s="1041"/>
      <c r="B117" s="1043" t="s">
        <v>53</v>
      </c>
      <c r="C117" s="1059"/>
      <c r="D117" s="1059"/>
      <c r="E117" s="1059"/>
      <c r="F117" s="1059"/>
      <c r="G117" s="1045"/>
      <c r="H117" s="890">
        <v>0</v>
      </c>
      <c r="I117" s="890">
        <v>0</v>
      </c>
      <c r="J117" s="890">
        <v>0</v>
      </c>
      <c r="K117" s="890">
        <v>0</v>
      </c>
      <c r="L117" s="890">
        <v>0</v>
      </c>
      <c r="M117" s="890">
        <v>0</v>
      </c>
      <c r="N117" s="890">
        <v>0</v>
      </c>
      <c r="O117" s="890">
        <v>0</v>
      </c>
      <c r="P117" s="890">
        <v>0</v>
      </c>
      <c r="Q117" s="890">
        <v>0</v>
      </c>
      <c r="R117" s="890">
        <v>0</v>
      </c>
      <c r="S117" s="890">
        <v>0</v>
      </c>
      <c r="T117" s="890">
        <v>0</v>
      </c>
      <c r="U117" s="890">
        <v>0</v>
      </c>
      <c r="V117" s="890">
        <v>0</v>
      </c>
      <c r="W117" s="890">
        <v>0</v>
      </c>
      <c r="X117" s="890">
        <v>0</v>
      </c>
      <c r="Y117" s="890">
        <v>0</v>
      </c>
      <c r="Z117" s="890">
        <v>0</v>
      </c>
      <c r="AA117" s="890">
        <v>0</v>
      </c>
      <c r="AB117" s="890">
        <v>0</v>
      </c>
      <c r="AC117" s="890">
        <v>0</v>
      </c>
      <c r="AD117" s="540">
        <v>0</v>
      </c>
      <c r="AE117" s="540">
        <v>0</v>
      </c>
      <c r="AF117" s="540">
        <v>0</v>
      </c>
    </row>
    <row r="118" spans="1:32" x14ac:dyDescent="0.25">
      <c r="A118" s="1059"/>
      <c r="B118" s="1059"/>
      <c r="C118" s="1059"/>
      <c r="D118" s="1059"/>
      <c r="E118" s="1059"/>
      <c r="F118" s="1059"/>
      <c r="G118" s="1059"/>
      <c r="H118" s="1059"/>
      <c r="I118" s="1059"/>
      <c r="J118" s="1059"/>
      <c r="K118" s="1059"/>
      <c r="L118" s="1059"/>
      <c r="M118" s="1059"/>
      <c r="N118" s="1059"/>
      <c r="O118" s="1059"/>
      <c r="P118" s="1059"/>
      <c r="Q118" s="1059"/>
      <c r="R118" s="1059"/>
      <c r="S118" s="1059"/>
      <c r="T118" s="1059"/>
      <c r="U118" s="1059"/>
      <c r="V118" s="1059"/>
      <c r="W118" s="1059"/>
      <c r="X118" s="1059"/>
      <c r="Y118" s="1059"/>
      <c r="Z118" s="1059"/>
      <c r="AA118" s="1059"/>
      <c r="AB118" s="1059"/>
      <c r="AC118" s="1059"/>
      <c r="AD118" s="1059"/>
      <c r="AE118" s="1059"/>
      <c r="AF118" s="1059"/>
    </row>
    <row r="119" spans="1:32" x14ac:dyDescent="0.25">
      <c r="A119" s="1059"/>
      <c r="B119" s="1059"/>
      <c r="C119" s="1059"/>
      <c r="D119" s="1059"/>
      <c r="E119" s="1059"/>
      <c r="F119" s="1059"/>
      <c r="G119" s="208">
        <v>2010</v>
      </c>
      <c r="H119" s="208">
        <v>2011</v>
      </c>
      <c r="I119" s="208">
        <v>2012</v>
      </c>
      <c r="J119" s="208">
        <v>2013</v>
      </c>
      <c r="K119" s="208">
        <v>2014</v>
      </c>
      <c r="L119" s="208">
        <v>2015</v>
      </c>
      <c r="M119" s="208">
        <v>2016</v>
      </c>
      <c r="N119" s="208">
        <v>2017</v>
      </c>
      <c r="O119" s="208">
        <v>2018</v>
      </c>
      <c r="P119" s="208">
        <v>2019</v>
      </c>
      <c r="Q119" s="208">
        <v>2020</v>
      </c>
      <c r="R119" s="208">
        <v>2021</v>
      </c>
      <c r="S119" s="208">
        <v>2022</v>
      </c>
      <c r="T119" s="208">
        <v>2023</v>
      </c>
      <c r="U119" s="208">
        <v>2024</v>
      </c>
      <c r="V119" s="208">
        <v>2025</v>
      </c>
      <c r="W119" s="208">
        <v>2026</v>
      </c>
      <c r="X119" s="208">
        <v>2027</v>
      </c>
      <c r="Y119" s="208">
        <v>2028</v>
      </c>
      <c r="Z119" s="208">
        <v>2029</v>
      </c>
      <c r="AA119" s="208">
        <v>2030</v>
      </c>
      <c r="AB119" s="208">
        <v>2031</v>
      </c>
      <c r="AC119" s="208">
        <v>2032</v>
      </c>
      <c r="AD119" s="208">
        <v>2033</v>
      </c>
      <c r="AE119" s="208">
        <v>2034</v>
      </c>
      <c r="AF119" s="208">
        <v>2035</v>
      </c>
    </row>
    <row r="120" spans="1:32" x14ac:dyDescent="0.25">
      <c r="A120" s="1047" t="s">
        <v>739</v>
      </c>
      <c r="B120" s="1048"/>
      <c r="C120" s="1047"/>
      <c r="D120" s="1046"/>
      <c r="E120" s="1046"/>
      <c r="F120" s="1046"/>
      <c r="G120" s="1046"/>
      <c r="H120" s="862"/>
      <c r="I120" s="862"/>
      <c r="J120" s="862"/>
      <c r="K120" s="862"/>
      <c r="L120" s="862"/>
      <c r="M120" s="862"/>
      <c r="N120" s="862"/>
      <c r="O120" s="862"/>
      <c r="P120" s="862"/>
      <c r="Q120" s="862"/>
      <c r="R120" s="862"/>
      <c r="S120" s="862"/>
      <c r="T120" s="862"/>
      <c r="U120" s="862"/>
      <c r="V120" s="862"/>
      <c r="W120" s="862"/>
      <c r="X120" s="862"/>
      <c r="Y120" s="862"/>
      <c r="Z120" s="862"/>
      <c r="AA120" s="862"/>
      <c r="AB120" s="862"/>
      <c r="AC120" s="862"/>
      <c r="AD120" s="862"/>
      <c r="AE120" s="862"/>
      <c r="AF120" s="862"/>
    </row>
    <row r="121" spans="1:32" x14ac:dyDescent="0.25">
      <c r="A121" s="1042" t="s">
        <v>740</v>
      </c>
      <c r="B121" s="1041"/>
      <c r="C121" s="1059"/>
      <c r="D121" s="1059"/>
      <c r="E121" s="1059"/>
      <c r="F121" s="1059"/>
      <c r="G121" s="1059"/>
      <c r="H121" s="1059"/>
      <c r="I121" s="1059"/>
      <c r="J121" s="1059"/>
      <c r="K121" s="1059"/>
      <c r="L121" s="1059"/>
      <c r="M121" s="1059"/>
      <c r="N121" s="1059"/>
      <c r="O121" s="1059"/>
      <c r="P121" s="1059"/>
      <c r="Q121" s="1059"/>
      <c r="R121" s="1059"/>
      <c r="S121" s="1059"/>
      <c r="T121" s="1059"/>
      <c r="U121" s="1059"/>
      <c r="V121" s="1059"/>
      <c r="W121" s="1059"/>
      <c r="X121" s="1059"/>
      <c r="Y121" s="1059"/>
      <c r="Z121" s="1059"/>
      <c r="AA121" s="1059"/>
      <c r="AB121" s="1059"/>
      <c r="AC121" s="1059"/>
      <c r="AD121" s="1059"/>
      <c r="AE121" s="1059"/>
      <c r="AF121" s="1059"/>
    </row>
    <row r="122" spans="1:32" x14ac:dyDescent="0.25">
      <c r="A122" s="1041"/>
      <c r="B122" s="1041" t="s">
        <v>20</v>
      </c>
      <c r="C122" s="1059"/>
      <c r="D122" s="1059"/>
      <c r="E122" s="1059"/>
      <c r="F122" s="1059"/>
      <c r="G122" s="1059"/>
      <c r="H122" s="1059"/>
      <c r="I122" s="1059"/>
      <c r="J122" s="1059"/>
      <c r="K122" s="1059"/>
      <c r="L122" s="1059"/>
      <c r="M122" s="1059"/>
      <c r="N122" s="1059"/>
      <c r="O122" s="1059"/>
      <c r="P122" s="1059"/>
      <c r="Q122" s="1059"/>
      <c r="R122" s="1059"/>
      <c r="S122" s="1059"/>
      <c r="T122" s="1059"/>
      <c r="U122" s="1059"/>
      <c r="V122" s="1059"/>
      <c r="W122" s="1059"/>
      <c r="X122" s="1059"/>
      <c r="Y122" s="1059"/>
      <c r="Z122" s="1059"/>
      <c r="AA122" s="1059"/>
      <c r="AB122" s="1059"/>
      <c r="AC122" s="1059"/>
      <c r="AD122" s="1059"/>
      <c r="AE122" s="1059"/>
      <c r="AF122" s="1059"/>
    </row>
    <row r="123" spans="1:32" x14ac:dyDescent="0.25">
      <c r="A123" s="843" t="s">
        <v>21</v>
      </c>
      <c r="B123" s="843"/>
      <c r="C123" s="843"/>
      <c r="D123" s="843"/>
      <c r="E123" s="843"/>
      <c r="F123" s="843"/>
      <c r="G123" s="843"/>
      <c r="H123" s="843"/>
      <c r="I123" s="843"/>
      <c r="J123" s="843"/>
      <c r="K123" s="843"/>
      <c r="L123" s="843"/>
      <c r="M123" s="843"/>
      <c r="N123" s="843"/>
      <c r="O123" s="843"/>
      <c r="P123" s="843"/>
      <c r="Q123" s="843"/>
      <c r="R123" s="843"/>
      <c r="S123" s="843"/>
      <c r="T123" s="843"/>
      <c r="U123" s="843"/>
      <c r="V123" s="843"/>
      <c r="W123" s="843"/>
      <c r="X123" s="843"/>
      <c r="Y123" s="843"/>
      <c r="Z123" s="843"/>
      <c r="AA123" s="843"/>
      <c r="AB123" s="843"/>
      <c r="AC123" s="843"/>
      <c r="AD123" s="843"/>
      <c r="AE123" s="843"/>
      <c r="AF123" s="843"/>
    </row>
    <row r="124" spans="1:32" x14ac:dyDescent="0.25">
      <c r="A124" s="1041"/>
      <c r="B124" s="1041" t="s">
        <v>22</v>
      </c>
      <c r="C124" s="1059"/>
      <c r="D124" s="1059"/>
      <c r="E124" s="1059"/>
      <c r="F124" s="1059"/>
      <c r="G124" s="1045"/>
      <c r="H124" s="855">
        <v>0.43487691729385053</v>
      </c>
      <c r="I124" s="855">
        <v>0.38201427556747908</v>
      </c>
      <c r="J124" s="855">
        <v>0.23840087105453767</v>
      </c>
      <c r="K124" s="855">
        <v>0.16723596274896324</v>
      </c>
      <c r="L124" s="855">
        <v>0.10440013123979668</v>
      </c>
      <c r="M124" s="855">
        <v>3.6428757513928163E-2</v>
      </c>
      <c r="N124" s="855">
        <v>3.2848380069312649E-2</v>
      </c>
      <c r="O124" s="855">
        <v>2.9408393716774475E-2</v>
      </c>
      <c r="P124" s="855">
        <v>2.6344899866416048E-2</v>
      </c>
      <c r="Q124" s="855">
        <v>2.3169473928720395E-2</v>
      </c>
      <c r="R124" s="855">
        <v>2.0053607936122018E-2</v>
      </c>
      <c r="S124" s="855">
        <v>1.7265229368921903E-2</v>
      </c>
      <c r="T124" s="855">
        <v>1.480048496823462E-2</v>
      </c>
      <c r="U124" s="855">
        <v>1.2636091195539132E-2</v>
      </c>
      <c r="V124" s="855">
        <v>1.0869921364099347E-2</v>
      </c>
      <c r="W124" s="855">
        <v>9.3807936995914613E-3</v>
      </c>
      <c r="X124" s="855">
        <v>8.1191239742841419E-3</v>
      </c>
      <c r="Y124" s="855">
        <v>7.0627002598562779E-3</v>
      </c>
      <c r="Z124" s="855">
        <v>6.2066046500261563E-3</v>
      </c>
      <c r="AA124" s="855">
        <v>5.5203231936237227E-3</v>
      </c>
      <c r="AB124" s="855">
        <v>4.9205996374318923E-3</v>
      </c>
      <c r="AC124" s="855">
        <v>4.4137145901339582E-3</v>
      </c>
      <c r="AD124" s="855">
        <v>3.9723881490039093E-3</v>
      </c>
      <c r="AE124" s="855">
        <v>3.5784367128150435E-3</v>
      </c>
      <c r="AF124" s="855">
        <v>3.1764751630551265E-3</v>
      </c>
    </row>
    <row r="125" spans="1:32" x14ac:dyDescent="0.25">
      <c r="A125" s="1041"/>
      <c r="B125" s="1041" t="s">
        <v>26</v>
      </c>
      <c r="C125" s="1059"/>
      <c r="D125" s="1059"/>
      <c r="E125" s="1059"/>
      <c r="F125" s="1059"/>
      <c r="G125" s="1045"/>
      <c r="H125" s="855">
        <v>8.9819370790733596E-3</v>
      </c>
      <c r="I125" s="855">
        <v>3.9177902453661734E-2</v>
      </c>
      <c r="J125" s="855">
        <v>0.11151494027724379</v>
      </c>
      <c r="K125" s="855">
        <v>0.15973621477896699</v>
      </c>
      <c r="L125" s="855">
        <v>0.16739049442981679</v>
      </c>
      <c r="M125" s="855">
        <v>0.16878191528391895</v>
      </c>
      <c r="N125" s="855">
        <v>0.15722853821418856</v>
      </c>
      <c r="O125" s="855">
        <v>0.14517226556570098</v>
      </c>
      <c r="P125" s="855">
        <v>0.13367641785923143</v>
      </c>
      <c r="Q125" s="855">
        <v>0.12126515144837965</v>
      </c>
      <c r="R125" s="855">
        <v>0.10859259541731948</v>
      </c>
      <c r="S125" s="855">
        <v>9.684847076196211E-2</v>
      </c>
      <c r="T125" s="855">
        <v>8.6120362431465328E-2</v>
      </c>
      <c r="U125" s="855">
        <v>7.644399862186517E-2</v>
      </c>
      <c r="V125" s="855">
        <v>6.8345635062774052E-2</v>
      </c>
      <c r="W125" s="855">
        <v>6.1362445650194095E-2</v>
      </c>
      <c r="X125" s="855">
        <v>5.5377198725427429E-2</v>
      </c>
      <c r="Y125" s="855">
        <v>5.0287986767228003E-2</v>
      </c>
      <c r="Z125" s="855">
        <v>4.6114994297569177E-2</v>
      </c>
      <c r="AA125" s="855">
        <v>4.2743981748159986E-2</v>
      </c>
      <c r="AB125" s="855">
        <v>3.9758357679499812E-2</v>
      </c>
      <c r="AC125" s="855">
        <v>3.7209551981828785E-2</v>
      </c>
      <c r="AD125" s="855">
        <v>3.4959179098971907E-2</v>
      </c>
      <c r="AE125" s="855">
        <v>3.2904390920344702E-2</v>
      </c>
      <c r="AF125" s="855">
        <v>3.0677475500725478E-2</v>
      </c>
    </row>
    <row r="126" spans="1:32" x14ac:dyDescent="0.25">
      <c r="A126" s="1041"/>
      <c r="B126" s="1041" t="s">
        <v>27</v>
      </c>
      <c r="C126" s="1059"/>
      <c r="D126" s="1059"/>
      <c r="E126" s="1059"/>
      <c r="F126" s="1059"/>
      <c r="G126" s="1045"/>
      <c r="H126" s="855">
        <v>0.55415761552635678</v>
      </c>
      <c r="I126" s="855">
        <v>0.57274624707599198</v>
      </c>
      <c r="J126" s="855">
        <v>0.63798387335501172</v>
      </c>
      <c r="K126" s="855">
        <v>0.64677555933773123</v>
      </c>
      <c r="L126" s="855">
        <v>0.67600763182404711</v>
      </c>
      <c r="M126" s="855">
        <v>0.70131867306606466</v>
      </c>
      <c r="N126" s="855">
        <v>0.66596831838525916</v>
      </c>
      <c r="O126" s="855">
        <v>0.62326021559063483</v>
      </c>
      <c r="P126" s="855">
        <v>0.5758757737219633</v>
      </c>
      <c r="Q126" s="855">
        <v>0.52758135249288118</v>
      </c>
      <c r="R126" s="855">
        <v>0.48080943634333501</v>
      </c>
      <c r="S126" s="855">
        <v>0.43602204328263194</v>
      </c>
      <c r="T126" s="855">
        <v>0.39478109075269691</v>
      </c>
      <c r="U126" s="855">
        <v>0.3579231600315349</v>
      </c>
      <c r="V126" s="855">
        <v>0.32593923877665254</v>
      </c>
      <c r="W126" s="855">
        <v>0.29898315238514256</v>
      </c>
      <c r="X126" s="855">
        <v>0.27653902843092082</v>
      </c>
      <c r="Y126" s="855">
        <v>0.25815707529235427</v>
      </c>
      <c r="Z126" s="855">
        <v>0.24326536980025504</v>
      </c>
      <c r="AA126" s="855">
        <v>0.23127680229559397</v>
      </c>
      <c r="AB126" s="855">
        <v>0.2214615778374151</v>
      </c>
      <c r="AC126" s="855">
        <v>0.21341881891747302</v>
      </c>
      <c r="AD126" s="855">
        <v>0.20672573830314803</v>
      </c>
      <c r="AE126" s="855">
        <v>0.20104055170303173</v>
      </c>
      <c r="AF126" s="855">
        <v>0.19584142769948534</v>
      </c>
    </row>
    <row r="127" spans="1:32" x14ac:dyDescent="0.25">
      <c r="A127" s="1041"/>
      <c r="B127" s="1041" t="s">
        <v>29</v>
      </c>
      <c r="C127" s="1059"/>
      <c r="D127" s="1059"/>
      <c r="E127" s="1059"/>
      <c r="F127" s="1059"/>
      <c r="G127" s="1045"/>
      <c r="H127" s="855">
        <v>1.9835301007192522E-3</v>
      </c>
      <c r="I127" s="855">
        <v>6.0615749028671648E-3</v>
      </c>
      <c r="J127" s="855">
        <v>1.2100315313206742E-2</v>
      </c>
      <c r="K127" s="855">
        <v>2.6252263134338542E-2</v>
      </c>
      <c r="L127" s="855">
        <v>5.2201742506339396E-2</v>
      </c>
      <c r="M127" s="855">
        <v>9.347065413608828E-2</v>
      </c>
      <c r="N127" s="855">
        <v>0.14395476333123963</v>
      </c>
      <c r="O127" s="855">
        <v>0.20215912512688966</v>
      </c>
      <c r="P127" s="855">
        <v>0.26410290855238927</v>
      </c>
      <c r="Q127" s="855">
        <v>0.32798402213001882</v>
      </c>
      <c r="R127" s="855">
        <v>0.39054436030322343</v>
      </c>
      <c r="S127" s="855">
        <v>0.44986425658648421</v>
      </c>
      <c r="T127" s="855">
        <v>0.50429806184760306</v>
      </c>
      <c r="U127" s="855">
        <v>0.55299675015106087</v>
      </c>
      <c r="V127" s="855">
        <v>0.59484520479647407</v>
      </c>
      <c r="W127" s="855">
        <v>0.63027360826507184</v>
      </c>
      <c r="X127" s="855">
        <v>0.65996464886936756</v>
      </c>
      <c r="Y127" s="855">
        <v>0.68449223768056144</v>
      </c>
      <c r="Z127" s="855">
        <v>0.7044130312521496</v>
      </c>
      <c r="AA127" s="855">
        <v>0.72045889276262243</v>
      </c>
      <c r="AB127" s="855">
        <v>0.73385946484565312</v>
      </c>
      <c r="AC127" s="855">
        <v>0.74495791451056437</v>
      </c>
      <c r="AD127" s="855">
        <v>0.75434269444887625</v>
      </c>
      <c r="AE127" s="855">
        <v>0.7624766206638085</v>
      </c>
      <c r="AF127" s="855">
        <v>0.77030462163673408</v>
      </c>
    </row>
    <row r="128" spans="1:32" x14ac:dyDescent="0.25">
      <c r="A128" s="1041"/>
      <c r="B128" s="1041"/>
      <c r="C128" s="1059"/>
      <c r="D128" s="1059"/>
      <c r="E128" s="1059"/>
      <c r="F128" s="1059"/>
      <c r="G128" s="1045"/>
      <c r="H128" s="1059"/>
      <c r="I128" s="1059"/>
      <c r="J128" s="1059"/>
      <c r="K128" s="1059"/>
      <c r="L128" s="1059"/>
      <c r="M128" s="1059"/>
      <c r="N128" s="1059"/>
      <c r="O128" s="1059"/>
      <c r="P128" s="1059"/>
      <c r="Q128" s="1059"/>
      <c r="R128" s="1059"/>
      <c r="S128" s="1059"/>
      <c r="T128" s="1059"/>
      <c r="U128" s="1059"/>
      <c r="V128" s="1059"/>
      <c r="W128" s="1059"/>
      <c r="X128" s="1059"/>
      <c r="Y128" s="1059"/>
      <c r="Z128" s="1059"/>
      <c r="AA128" s="1059"/>
      <c r="AB128" s="1059"/>
      <c r="AC128" s="1059"/>
      <c r="AD128" s="1059"/>
      <c r="AE128" s="1059"/>
      <c r="AF128" s="1059"/>
    </row>
    <row r="129" spans="1:32" x14ac:dyDescent="0.25">
      <c r="A129" s="843" t="s">
        <v>32</v>
      </c>
      <c r="B129" s="843"/>
      <c r="C129" s="843"/>
      <c r="D129" s="843"/>
      <c r="E129" s="843"/>
      <c r="F129" s="843"/>
      <c r="G129" s="865"/>
      <c r="H129" s="843"/>
      <c r="I129" s="843"/>
      <c r="J129" s="843"/>
      <c r="K129" s="843"/>
      <c r="L129" s="843"/>
      <c r="M129" s="843"/>
      <c r="N129" s="843"/>
      <c r="O129" s="843"/>
      <c r="P129" s="843"/>
      <c r="Q129" s="843"/>
      <c r="R129" s="843"/>
      <c r="S129" s="843"/>
      <c r="T129" s="843"/>
      <c r="U129" s="843"/>
      <c r="V129" s="843"/>
      <c r="W129" s="843"/>
      <c r="X129" s="843"/>
      <c r="Y129" s="843"/>
      <c r="Z129" s="843"/>
      <c r="AA129" s="843"/>
      <c r="AB129" s="843"/>
      <c r="AC129" s="843"/>
      <c r="AD129" s="843"/>
      <c r="AE129" s="843"/>
      <c r="AF129" s="843"/>
    </row>
    <row r="130" spans="1:32" x14ac:dyDescent="0.25">
      <c r="A130" s="1041"/>
      <c r="B130" s="1041" t="s">
        <v>33</v>
      </c>
      <c r="C130" s="1059"/>
      <c r="D130" s="1059"/>
      <c r="E130" s="1059"/>
      <c r="F130" s="1059"/>
      <c r="G130" s="1045"/>
      <c r="H130" s="855">
        <v>0.26175215093735771</v>
      </c>
      <c r="I130" s="855">
        <v>0.27366567143547427</v>
      </c>
      <c r="J130" s="855">
        <v>0.27946707460588227</v>
      </c>
      <c r="K130" s="855">
        <v>0.27700883948938931</v>
      </c>
      <c r="L130" s="855">
        <v>0.25729565714520725</v>
      </c>
      <c r="M130" s="855">
        <v>0.23056959416531153</v>
      </c>
      <c r="N130" s="855">
        <v>0.20470170782520328</v>
      </c>
      <c r="O130" s="855">
        <v>0.17947045119817268</v>
      </c>
      <c r="P130" s="855">
        <v>0.15649596326917464</v>
      </c>
      <c r="Q130" s="855">
        <v>0.13416687564282695</v>
      </c>
      <c r="R130" s="855">
        <v>0.11325013614433546</v>
      </c>
      <c r="S130" s="855">
        <v>9.5066388734985685E-2</v>
      </c>
      <c r="T130" s="855">
        <v>7.946970683933989E-2</v>
      </c>
      <c r="U130" s="855">
        <v>6.6344375929052499E-2</v>
      </c>
      <c r="V130" s="855">
        <v>5.5878961970112571E-2</v>
      </c>
      <c r="W130" s="855">
        <v>4.7347917967029737E-2</v>
      </c>
      <c r="X130" s="855">
        <v>4.0417449936387705E-2</v>
      </c>
      <c r="Y130" s="855">
        <v>3.4795587143342813E-2</v>
      </c>
      <c r="Z130" s="855">
        <v>3.0355760048535539E-2</v>
      </c>
      <c r="AA130" s="855">
        <v>2.686173585284049E-2</v>
      </c>
      <c r="AB130" s="855">
        <v>2.3881702792940971E-2</v>
      </c>
      <c r="AC130" s="855">
        <v>2.1406014294556647E-2</v>
      </c>
      <c r="AD130" s="855">
        <v>1.9282778981510311E-2</v>
      </c>
      <c r="AE130" s="855">
        <v>1.7401059908482005E-2</v>
      </c>
      <c r="AF130" s="855">
        <v>1.5469964316593391E-2</v>
      </c>
    </row>
    <row r="131" spans="1:32" x14ac:dyDescent="0.25">
      <c r="A131" s="1043"/>
      <c r="B131" s="1043" t="s">
        <v>34</v>
      </c>
      <c r="C131" s="1059"/>
      <c r="D131" s="1059"/>
      <c r="E131" s="1059"/>
      <c r="F131" s="1059"/>
      <c r="G131" s="1045"/>
      <c r="H131" s="855">
        <v>0.61339519572134737</v>
      </c>
      <c r="I131" s="855">
        <v>0.58600839150618822</v>
      </c>
      <c r="J131" s="855">
        <v>0.54845225032904965</v>
      </c>
      <c r="K131" s="855">
        <v>0.50445815120352977</v>
      </c>
      <c r="L131" s="855">
        <v>0.47998236365966884</v>
      </c>
      <c r="M131" s="855">
        <v>0.45147234914466972</v>
      </c>
      <c r="N131" s="855">
        <v>0.41827109159843934</v>
      </c>
      <c r="O131" s="855">
        <v>0.38232994859995179</v>
      </c>
      <c r="P131" s="855">
        <v>0.34545060678614681</v>
      </c>
      <c r="Q131" s="855">
        <v>0.30911773661584563</v>
      </c>
      <c r="R131" s="855">
        <v>0.27435002554048399</v>
      </c>
      <c r="S131" s="855">
        <v>0.24214856840213717</v>
      </c>
      <c r="T131" s="855">
        <v>0.21313786485810554</v>
      </c>
      <c r="U131" s="855">
        <v>0.18760980852546258</v>
      </c>
      <c r="V131" s="855">
        <v>0.16608841902972599</v>
      </c>
      <c r="W131" s="855">
        <v>0.1480035127305058</v>
      </c>
      <c r="X131" s="855">
        <v>0.13321634663798265</v>
      </c>
      <c r="Y131" s="855">
        <v>0.12113456692434062</v>
      </c>
      <c r="Z131" s="855">
        <v>0.11141457648388106</v>
      </c>
      <c r="AA131" s="855">
        <v>0.10373165836389049</v>
      </c>
      <c r="AB131" s="855">
        <v>9.7327159967013702E-2</v>
      </c>
      <c r="AC131" s="855">
        <v>9.2086378040383984E-2</v>
      </c>
      <c r="AD131" s="855">
        <v>8.7647401760115679E-2</v>
      </c>
      <c r="AE131" s="855">
        <v>8.3766786033400861E-2</v>
      </c>
      <c r="AF131" s="855">
        <v>7.9728886425369683E-2</v>
      </c>
    </row>
    <row r="132" spans="1:32" x14ac:dyDescent="0.25">
      <c r="A132" s="1041"/>
      <c r="B132" s="1043" t="s">
        <v>35</v>
      </c>
      <c r="C132" s="1059"/>
      <c r="D132" s="1059"/>
      <c r="E132" s="1059"/>
      <c r="F132" s="1059"/>
      <c r="G132" s="1045"/>
      <c r="H132" s="855">
        <v>0.11989901526962117</v>
      </c>
      <c r="I132" s="855">
        <v>0.12010762450008733</v>
      </c>
      <c r="J132" s="855">
        <v>0.12310857529573822</v>
      </c>
      <c r="K132" s="855">
        <v>0.12788666459243428</v>
      </c>
      <c r="L132" s="855">
        <v>0.12286636202844764</v>
      </c>
      <c r="M132" s="855">
        <v>0.11882797579819181</v>
      </c>
      <c r="N132" s="855">
        <v>0.11250738484695916</v>
      </c>
      <c r="O132" s="855">
        <v>0.104905733206467</v>
      </c>
      <c r="P132" s="855">
        <v>9.6140866638997499E-2</v>
      </c>
      <c r="Q132" s="855">
        <v>8.7680315946539994E-2</v>
      </c>
      <c r="R132" s="855">
        <v>7.969186873564188E-2</v>
      </c>
      <c r="S132" s="855">
        <v>7.196938057636082E-2</v>
      </c>
      <c r="T132" s="855">
        <v>6.4833483547107107E-2</v>
      </c>
      <c r="U132" s="855">
        <v>5.8428185849176521E-2</v>
      </c>
      <c r="V132" s="855">
        <v>5.2807637180510285E-2</v>
      </c>
      <c r="W132" s="855">
        <v>4.8045898865719548E-2</v>
      </c>
      <c r="X132" s="855">
        <v>4.4213416775743718E-2</v>
      </c>
      <c r="Y132" s="855">
        <v>4.1137247993661398E-2</v>
      </c>
      <c r="Z132" s="855">
        <v>3.8655596920077362E-2</v>
      </c>
      <c r="AA132" s="855">
        <v>3.6706647697798328E-2</v>
      </c>
      <c r="AB132" s="855">
        <v>3.5187612635387416E-2</v>
      </c>
      <c r="AC132" s="855">
        <v>3.4008280849171554E-2</v>
      </c>
      <c r="AD132" s="855">
        <v>3.3074683006630898E-2</v>
      </c>
      <c r="AE132" s="855">
        <v>3.2336422542256438E-2</v>
      </c>
      <c r="AF132" s="855">
        <v>3.1693351942405801E-2</v>
      </c>
    </row>
    <row r="133" spans="1:32" x14ac:dyDescent="0.25">
      <c r="A133" s="1041"/>
      <c r="B133" s="1043" t="s">
        <v>29</v>
      </c>
      <c r="C133" s="1059"/>
      <c r="D133" s="1059"/>
      <c r="E133" s="1059"/>
      <c r="F133" s="1059"/>
      <c r="G133" s="1045"/>
      <c r="H133" s="855">
        <v>4.953638071673809E-3</v>
      </c>
      <c r="I133" s="855">
        <v>2.0218312558250122E-2</v>
      </c>
      <c r="J133" s="855">
        <v>4.8972099769329779E-2</v>
      </c>
      <c r="K133" s="855">
        <v>9.0646344714646512E-2</v>
      </c>
      <c r="L133" s="855">
        <v>0.1398556171666763</v>
      </c>
      <c r="M133" s="855">
        <v>0.19913008089182688</v>
      </c>
      <c r="N133" s="855">
        <v>0.26451981572939826</v>
      </c>
      <c r="O133" s="855">
        <v>0.33329386699540858</v>
      </c>
      <c r="P133" s="855">
        <v>0.40191256330568104</v>
      </c>
      <c r="Q133" s="855">
        <v>0.46903507179478732</v>
      </c>
      <c r="R133" s="855">
        <v>0.53270796957953859</v>
      </c>
      <c r="S133" s="855">
        <v>0.59081566228651639</v>
      </c>
      <c r="T133" s="855">
        <v>0.64255894475544739</v>
      </c>
      <c r="U133" s="855">
        <v>0.68761762969630835</v>
      </c>
      <c r="V133" s="855">
        <v>0.72522498181965112</v>
      </c>
      <c r="W133" s="855">
        <v>0.7566026704367449</v>
      </c>
      <c r="X133" s="855">
        <v>0.78215278664988597</v>
      </c>
      <c r="Y133" s="855">
        <v>0.80293259793865512</v>
      </c>
      <c r="Z133" s="855">
        <v>0.81957406654750609</v>
      </c>
      <c r="AA133" s="855">
        <v>0.83269995808547059</v>
      </c>
      <c r="AB133" s="855">
        <v>0.84360352460465782</v>
      </c>
      <c r="AC133" s="855">
        <v>0.8524993268158878</v>
      </c>
      <c r="AD133" s="855">
        <v>0.85999513625174306</v>
      </c>
      <c r="AE133" s="855">
        <v>0.86649573151586068</v>
      </c>
      <c r="AF133" s="855">
        <v>0.87310779731563115</v>
      </c>
    </row>
    <row r="134" spans="1:32" x14ac:dyDescent="0.25">
      <c r="A134" s="1041"/>
      <c r="B134" s="1041"/>
      <c r="C134" s="1059"/>
      <c r="D134" s="1059"/>
      <c r="E134" s="1059"/>
      <c r="F134" s="1059"/>
      <c r="G134" s="1045"/>
      <c r="H134" s="1059"/>
      <c r="I134" s="1059"/>
      <c r="J134" s="1059"/>
      <c r="K134" s="1059"/>
      <c r="L134" s="1059"/>
      <c r="M134" s="1059"/>
      <c r="N134" s="1059"/>
      <c r="O134" s="1059"/>
      <c r="P134" s="1059"/>
      <c r="Q134" s="1059"/>
      <c r="R134" s="1059"/>
      <c r="S134" s="1059"/>
      <c r="T134" s="1059"/>
      <c r="U134" s="1059"/>
      <c r="V134" s="1059"/>
      <c r="W134" s="1059"/>
      <c r="X134" s="1059"/>
      <c r="Y134" s="1059"/>
      <c r="Z134" s="1059"/>
      <c r="AA134" s="1059"/>
      <c r="AB134" s="1059"/>
      <c r="AC134" s="1059"/>
      <c r="AD134" s="1059"/>
      <c r="AE134" s="1059"/>
      <c r="AF134" s="1059"/>
    </row>
    <row r="135" spans="1:32" x14ac:dyDescent="0.25">
      <c r="A135" s="843" t="s">
        <v>36</v>
      </c>
      <c r="B135" s="843"/>
      <c r="C135" s="843"/>
      <c r="D135" s="843"/>
      <c r="E135" s="843"/>
      <c r="F135" s="843"/>
      <c r="G135" s="865"/>
      <c r="H135" s="843"/>
      <c r="I135" s="843"/>
      <c r="J135" s="843"/>
      <c r="K135" s="843"/>
      <c r="L135" s="843"/>
      <c r="M135" s="843"/>
      <c r="N135" s="843"/>
      <c r="O135" s="843"/>
      <c r="P135" s="843"/>
      <c r="Q135" s="843"/>
      <c r="R135" s="843"/>
      <c r="S135" s="843"/>
      <c r="T135" s="843"/>
      <c r="U135" s="843"/>
      <c r="V135" s="843"/>
      <c r="W135" s="843"/>
      <c r="X135" s="843"/>
      <c r="Y135" s="843"/>
      <c r="Z135" s="843"/>
      <c r="AA135" s="843"/>
      <c r="AB135" s="843"/>
      <c r="AC135" s="843"/>
      <c r="AD135" s="843"/>
      <c r="AE135" s="843"/>
      <c r="AF135" s="843"/>
    </row>
    <row r="136" spans="1:32" x14ac:dyDescent="0.25">
      <c r="A136" s="1041"/>
      <c r="B136" s="1041" t="s">
        <v>37</v>
      </c>
      <c r="C136" s="1059"/>
      <c r="D136" s="1059"/>
      <c r="E136" s="1059"/>
      <c r="F136" s="1059"/>
      <c r="G136" s="540"/>
      <c r="H136" s="855">
        <v>0.15310422727876424</v>
      </c>
      <c r="I136" s="855">
        <v>9.4537902698461906E-2</v>
      </c>
      <c r="J136" s="855">
        <v>4.5429416607658903E-2</v>
      </c>
      <c r="K136" s="855">
        <v>9.3794892893993217E-3</v>
      </c>
      <c r="L136" s="855">
        <v>6.5424200538267184E-3</v>
      </c>
      <c r="M136" s="855">
        <v>4.4357836639224131E-3</v>
      </c>
      <c r="N136" s="855">
        <v>2.9650030795108917E-3</v>
      </c>
      <c r="O136" s="855">
        <v>2.1267287001901459E-3</v>
      </c>
      <c r="P136" s="855">
        <v>1.5397222193725066E-3</v>
      </c>
      <c r="Q136" s="855">
        <v>1.119958723057685E-3</v>
      </c>
      <c r="R136" s="855">
        <v>8.2326518232151932E-4</v>
      </c>
      <c r="S136" s="855">
        <v>6.1009659429658522E-4</v>
      </c>
      <c r="T136" s="855">
        <v>4.5667829547255985E-4</v>
      </c>
      <c r="U136" s="855">
        <v>3.4534321626391922E-4</v>
      </c>
      <c r="V136" s="855">
        <v>2.6502093481871932E-4</v>
      </c>
      <c r="W136" s="855">
        <v>2.0599252632313598E-4</v>
      </c>
      <c r="X136" s="855">
        <v>1.6228170873158095E-4</v>
      </c>
      <c r="Y136" s="855">
        <v>1.2986674165015968E-4</v>
      </c>
      <c r="Z136" s="855">
        <v>1.0576346320699713E-4</v>
      </c>
      <c r="AA136" s="855">
        <v>8.7751826933213725E-5</v>
      </c>
      <c r="AB136" s="855">
        <v>7.3976274053880458E-5</v>
      </c>
      <c r="AC136" s="855">
        <v>6.3419897901874147E-5</v>
      </c>
      <c r="AD136" s="855">
        <v>5.5251916038382664E-5</v>
      </c>
      <c r="AE136" s="855">
        <v>4.8744649691577344E-5</v>
      </c>
      <c r="AF136" s="855">
        <v>4.3277062571139343E-5</v>
      </c>
    </row>
    <row r="137" spans="1:32" x14ac:dyDescent="0.25">
      <c r="A137" s="1041"/>
      <c r="B137" s="1041" t="s">
        <v>39</v>
      </c>
      <c r="C137" s="1059"/>
      <c r="D137" s="1059"/>
      <c r="E137" s="1059"/>
      <c r="F137" s="1059"/>
      <c r="G137" s="540"/>
      <c r="H137" s="855">
        <v>0.7339325693206058</v>
      </c>
      <c r="I137" s="855">
        <v>0.76613706730691944</v>
      </c>
      <c r="J137" s="855">
        <v>0.78621075506150906</v>
      </c>
      <c r="K137" s="855">
        <v>0.78925761227686497</v>
      </c>
      <c r="L137" s="855">
        <v>0.76668888040383598</v>
      </c>
      <c r="M137" s="855">
        <v>0.74249618127973427</v>
      </c>
      <c r="N137" s="855">
        <v>0.72021471121828429</v>
      </c>
      <c r="O137" s="855">
        <v>0.69348897011631494</v>
      </c>
      <c r="P137" s="855">
        <v>0.66698270827229345</v>
      </c>
      <c r="Q137" s="855">
        <v>0.64035317567559824</v>
      </c>
      <c r="R137" s="855">
        <v>0.61530955012621458</v>
      </c>
      <c r="S137" s="855">
        <v>0.59108516342905981</v>
      </c>
      <c r="T137" s="855">
        <v>0.56805868633396805</v>
      </c>
      <c r="U137" s="855">
        <v>0.54609962380595589</v>
      </c>
      <c r="V137" s="855">
        <v>0.52584903200945754</v>
      </c>
      <c r="W137" s="855">
        <v>0.50738102274529995</v>
      </c>
      <c r="X137" s="855">
        <v>0.48946378984562539</v>
      </c>
      <c r="Y137" s="855">
        <v>0.47281642469960428</v>
      </c>
      <c r="Z137" s="855">
        <v>0.45772982401905815</v>
      </c>
      <c r="AA137" s="855">
        <v>0.44395074836072906</v>
      </c>
      <c r="AB137" s="855">
        <v>0.43121576803092432</v>
      </c>
      <c r="AC137" s="855">
        <v>0.41935719531313354</v>
      </c>
      <c r="AD137" s="855">
        <v>0.40822046253617172</v>
      </c>
      <c r="AE137" s="855">
        <v>0.39787414800079263</v>
      </c>
      <c r="AF137" s="855">
        <v>0.38769180593473412</v>
      </c>
    </row>
    <row r="138" spans="1:32" x14ac:dyDescent="0.25">
      <c r="A138" s="1041"/>
      <c r="B138" s="1041" t="s">
        <v>40</v>
      </c>
      <c r="C138" s="1059"/>
      <c r="D138" s="1059"/>
      <c r="E138" s="1059"/>
      <c r="F138" s="1059"/>
      <c r="G138" s="540"/>
      <c r="H138" s="855">
        <v>0.11296170538139896</v>
      </c>
      <c r="I138" s="855">
        <v>0.1392627157353874</v>
      </c>
      <c r="J138" s="855">
        <v>0.16781570780665314</v>
      </c>
      <c r="K138" s="855">
        <v>0.19904304975243892</v>
      </c>
      <c r="L138" s="855">
        <v>0.22022608178238975</v>
      </c>
      <c r="M138" s="855">
        <v>0.23886113347899049</v>
      </c>
      <c r="N138" s="855">
        <v>0.25117062154390446</v>
      </c>
      <c r="O138" s="855">
        <v>0.26352382061158158</v>
      </c>
      <c r="P138" s="855">
        <v>0.27267716764839189</v>
      </c>
      <c r="Q138" s="855">
        <v>0.27870473972282506</v>
      </c>
      <c r="R138" s="855">
        <v>0.28206380077298471</v>
      </c>
      <c r="S138" s="855">
        <v>0.2831709342737887</v>
      </c>
      <c r="T138" s="855">
        <v>0.2824653140178936</v>
      </c>
      <c r="U138" s="855">
        <v>0.2803097093359071</v>
      </c>
      <c r="V138" s="855">
        <v>0.2772688285257997</v>
      </c>
      <c r="W138" s="855">
        <v>0.27370047696711142</v>
      </c>
      <c r="X138" s="855">
        <v>0.26953468239228151</v>
      </c>
      <c r="Y138" s="855">
        <v>0.26504086850666986</v>
      </c>
      <c r="Z138" s="855">
        <v>0.26061279775600715</v>
      </c>
      <c r="AA138" s="855">
        <v>0.2563151505115645</v>
      </c>
      <c r="AB138" s="855">
        <v>0.2519722691671723</v>
      </c>
      <c r="AC138" s="855">
        <v>0.24765493907199898</v>
      </c>
      <c r="AD138" s="855">
        <v>0.2433331767686176</v>
      </c>
      <c r="AE138" s="855">
        <v>0.23906169025167159</v>
      </c>
      <c r="AF138" s="855">
        <v>0.23442637852935147</v>
      </c>
    </row>
    <row r="139" spans="1:32" x14ac:dyDescent="0.25">
      <c r="A139" s="1041"/>
      <c r="B139" s="1041" t="s">
        <v>29</v>
      </c>
      <c r="C139" s="1059"/>
      <c r="D139" s="1059"/>
      <c r="E139" s="1059"/>
      <c r="F139" s="1059"/>
      <c r="G139" s="1045"/>
      <c r="H139" s="855">
        <v>1.4980192308913685E-6</v>
      </c>
      <c r="I139" s="855">
        <v>6.2314259231278086E-5</v>
      </c>
      <c r="J139" s="855">
        <v>5.4412052417887407E-4</v>
      </c>
      <c r="K139" s="855">
        <v>2.319848681296797E-3</v>
      </c>
      <c r="L139" s="855">
        <v>6.5426177599474554E-3</v>
      </c>
      <c r="M139" s="855">
        <v>1.4206901577352852E-2</v>
      </c>
      <c r="N139" s="855">
        <v>2.5649664158300271E-2</v>
      </c>
      <c r="O139" s="855">
        <v>4.0860480571913362E-2</v>
      </c>
      <c r="P139" s="855">
        <v>5.8800401859942217E-2</v>
      </c>
      <c r="Q139" s="855">
        <v>7.9822125878518904E-2</v>
      </c>
      <c r="R139" s="855">
        <v>0.10180338391847926</v>
      </c>
      <c r="S139" s="855">
        <v>0.12513380570285482</v>
      </c>
      <c r="T139" s="855">
        <v>0.14901932135266577</v>
      </c>
      <c r="U139" s="855">
        <v>0.17324532364187306</v>
      </c>
      <c r="V139" s="855">
        <v>0.19661711852992408</v>
      </c>
      <c r="W139" s="855">
        <v>0.21871250776126547</v>
      </c>
      <c r="X139" s="855">
        <v>0.24083924605336157</v>
      </c>
      <c r="Y139" s="855">
        <v>0.26201284005207565</v>
      </c>
      <c r="Z139" s="855">
        <v>0.2815516147617278</v>
      </c>
      <c r="AA139" s="855">
        <v>0.29964634930077316</v>
      </c>
      <c r="AB139" s="855">
        <v>0.31673798652784946</v>
      </c>
      <c r="AC139" s="855">
        <v>0.3329244457169655</v>
      </c>
      <c r="AD139" s="855">
        <v>0.34839110877917229</v>
      </c>
      <c r="AE139" s="855">
        <v>0.36301541709784435</v>
      </c>
      <c r="AF139" s="855">
        <v>0.3778385384733432</v>
      </c>
    </row>
    <row r="140" spans="1:32" x14ac:dyDescent="0.25">
      <c r="A140" s="1041"/>
      <c r="B140" s="1041"/>
      <c r="C140" s="1059"/>
      <c r="D140" s="1059"/>
      <c r="E140" s="1059"/>
      <c r="F140" s="1059"/>
      <c r="G140" s="1045"/>
      <c r="H140" s="1059"/>
      <c r="I140" s="1059"/>
      <c r="J140" s="1059"/>
      <c r="K140" s="1059"/>
      <c r="L140" s="1059"/>
      <c r="M140" s="1059"/>
      <c r="N140" s="1059"/>
      <c r="O140" s="1059"/>
      <c r="P140" s="1059"/>
      <c r="Q140" s="1059"/>
      <c r="R140" s="1059"/>
      <c r="S140" s="1059"/>
      <c r="T140" s="1059"/>
      <c r="U140" s="1059"/>
      <c r="V140" s="1059"/>
      <c r="W140" s="1059"/>
      <c r="X140" s="1059"/>
      <c r="Y140" s="1059"/>
      <c r="Z140" s="1059"/>
      <c r="AA140" s="1059"/>
      <c r="AB140" s="1059"/>
      <c r="AC140" s="1059"/>
      <c r="AD140" s="1059"/>
      <c r="AE140" s="1059"/>
      <c r="AF140" s="1059"/>
    </row>
    <row r="141" spans="1:32" x14ac:dyDescent="0.25">
      <c r="A141" s="843" t="s">
        <v>42</v>
      </c>
      <c r="B141" s="843"/>
      <c r="C141" s="843"/>
      <c r="D141" s="843"/>
      <c r="E141" s="843"/>
      <c r="F141" s="843"/>
      <c r="G141" s="865"/>
      <c r="H141" s="843"/>
      <c r="I141" s="843"/>
      <c r="J141" s="843"/>
      <c r="K141" s="843"/>
      <c r="L141" s="843"/>
      <c r="M141" s="843"/>
      <c r="N141" s="843"/>
      <c r="O141" s="843"/>
      <c r="P141" s="843"/>
      <c r="Q141" s="843"/>
      <c r="R141" s="843"/>
      <c r="S141" s="843"/>
      <c r="T141" s="843"/>
      <c r="U141" s="843"/>
      <c r="V141" s="843"/>
      <c r="W141" s="843"/>
      <c r="X141" s="843"/>
      <c r="Y141" s="843"/>
      <c r="Z141" s="843"/>
      <c r="AA141" s="843"/>
      <c r="AB141" s="843"/>
      <c r="AC141" s="843"/>
      <c r="AD141" s="843"/>
      <c r="AE141" s="843"/>
      <c r="AF141" s="843"/>
    </row>
    <row r="142" spans="1:32" x14ac:dyDescent="0.25">
      <c r="A142" s="1041"/>
      <c r="B142" s="1043" t="s">
        <v>43</v>
      </c>
      <c r="C142" s="1059"/>
      <c r="D142" s="1059"/>
      <c r="E142" s="1059"/>
      <c r="F142" s="1059"/>
      <c r="G142" s="1045"/>
      <c r="H142" s="855">
        <v>8.6091115356248544E-3</v>
      </c>
      <c r="I142" s="855">
        <v>7.5466378157061894E-3</v>
      </c>
      <c r="J142" s="855">
        <v>6.6411941996860312E-3</v>
      </c>
      <c r="K142" s="855">
        <v>5.8569801279809404E-3</v>
      </c>
      <c r="L142" s="855">
        <v>5.1787415498973921E-3</v>
      </c>
      <c r="M142" s="855">
        <v>4.599114349294455E-3</v>
      </c>
      <c r="N142" s="855">
        <v>4.0856354845686168E-3</v>
      </c>
      <c r="O142" s="855">
        <v>3.6252628310589011E-3</v>
      </c>
      <c r="P142" s="855">
        <v>3.2379520489516653E-3</v>
      </c>
      <c r="Q142" s="855">
        <v>2.8922767949996833E-3</v>
      </c>
      <c r="R142" s="855">
        <v>2.5968951152948246E-3</v>
      </c>
      <c r="S142" s="855">
        <v>2.3356010733091167E-3</v>
      </c>
      <c r="T142" s="855">
        <v>2.1058215531284735E-3</v>
      </c>
      <c r="U142" s="855">
        <v>1.9000585250586309E-3</v>
      </c>
      <c r="V142" s="855">
        <v>1.7158371114977032E-3</v>
      </c>
      <c r="W142" s="855">
        <v>1.5556053310600397E-3</v>
      </c>
      <c r="X142" s="855">
        <v>1.4067282107097304E-3</v>
      </c>
      <c r="Y142" s="855">
        <v>1.2721842345257072E-3</v>
      </c>
      <c r="Z142" s="855">
        <v>1.1519593075907505E-3</v>
      </c>
      <c r="AA142" s="855">
        <v>1.0441281537220764E-3</v>
      </c>
      <c r="AB142" s="855">
        <v>9.4671218109254065E-4</v>
      </c>
      <c r="AC142" s="855">
        <v>8.5797556807891244E-4</v>
      </c>
      <c r="AD142" s="855">
        <v>7.767615255404349E-4</v>
      </c>
      <c r="AE142" s="855">
        <v>7.031985580535819E-4</v>
      </c>
      <c r="AF142" s="855">
        <v>6.3540586413411368E-4</v>
      </c>
    </row>
    <row r="143" spans="1:32" x14ac:dyDescent="0.25">
      <c r="A143" s="1041"/>
      <c r="B143" s="1043" t="s">
        <v>44</v>
      </c>
      <c r="C143" s="1059"/>
      <c r="D143" s="1059"/>
      <c r="E143" s="1059"/>
      <c r="F143" s="1059"/>
      <c r="G143" s="1045"/>
      <c r="H143" s="855">
        <v>0.94430424007421521</v>
      </c>
      <c r="I143" s="855">
        <v>0.95047252707946372</v>
      </c>
      <c r="J143" s="855">
        <v>0.95527144866749247</v>
      </c>
      <c r="K143" s="855">
        <v>0.95775599158096469</v>
      </c>
      <c r="L143" s="855">
        <v>0.9564582804594467</v>
      </c>
      <c r="M143" s="855">
        <v>0.94974847293152953</v>
      </c>
      <c r="N143" s="855">
        <v>0.93743200861253739</v>
      </c>
      <c r="O143" s="855">
        <v>0.91968836624787831</v>
      </c>
      <c r="P143" s="855">
        <v>0.89858040829550212</v>
      </c>
      <c r="Q143" s="855">
        <v>0.87400392847996289</v>
      </c>
      <c r="R143" s="855">
        <v>0.8488755278825405</v>
      </c>
      <c r="S143" s="855">
        <v>0.82281885496140994</v>
      </c>
      <c r="T143" s="855">
        <v>0.79673564883399606</v>
      </c>
      <c r="U143" s="855">
        <v>0.77056717174470868</v>
      </c>
      <c r="V143" s="855">
        <v>0.74596172576150621</v>
      </c>
      <c r="W143" s="855">
        <v>0.72204119332432259</v>
      </c>
      <c r="X143" s="855">
        <v>0.69767524434029127</v>
      </c>
      <c r="Y143" s="855">
        <v>0.67403101639153129</v>
      </c>
      <c r="Z143" s="855">
        <v>0.65172616711634812</v>
      </c>
      <c r="AA143" s="855">
        <v>0.63071529587317021</v>
      </c>
      <c r="AB143" s="855">
        <v>0.61043836591473011</v>
      </c>
      <c r="AC143" s="855">
        <v>0.59084935003184702</v>
      </c>
      <c r="AD143" s="855">
        <v>0.57186258190620054</v>
      </c>
      <c r="AE143" s="855">
        <v>0.55359011777450629</v>
      </c>
      <c r="AF143" s="855">
        <v>0.53515510766589469</v>
      </c>
    </row>
    <row r="144" spans="1:32" x14ac:dyDescent="0.25">
      <c r="A144" s="1041"/>
      <c r="B144" s="1043" t="s">
        <v>45</v>
      </c>
      <c r="C144" s="1059"/>
      <c r="D144" s="1059"/>
      <c r="E144" s="1059"/>
      <c r="F144" s="1059"/>
      <c r="G144" s="1045"/>
      <c r="H144" s="855">
        <v>4.6476513680169126E-2</v>
      </c>
      <c r="I144" s="855">
        <v>4.1425699037268213E-2</v>
      </c>
      <c r="J144" s="855">
        <v>3.7203587801611718E-2</v>
      </c>
      <c r="K144" s="855">
        <v>3.3645972841715679E-2</v>
      </c>
      <c r="L144" s="855">
        <v>3.0504033453970514E-2</v>
      </c>
      <c r="M144" s="855">
        <v>2.7894589916036563E-2</v>
      </c>
      <c r="N144" s="855">
        <v>2.5516257852081167E-2</v>
      </c>
      <c r="O144" s="855">
        <v>2.332901325214487E-2</v>
      </c>
      <c r="P144" s="855">
        <v>2.1383856696151796E-2</v>
      </c>
      <c r="Q144" s="855">
        <v>1.9626337933326816E-2</v>
      </c>
      <c r="R144" s="855">
        <v>1.8110230417393638E-2</v>
      </c>
      <c r="S144" s="855">
        <v>1.6746204452270836E-2</v>
      </c>
      <c r="T144" s="855">
        <v>1.5531282762247418E-2</v>
      </c>
      <c r="U144" s="855">
        <v>1.4436101993644417E-2</v>
      </c>
      <c r="V144" s="855">
        <v>1.3435509320088253E-2</v>
      </c>
      <c r="W144" s="855">
        <v>1.2568489196176104E-2</v>
      </c>
      <c r="X144" s="855">
        <v>1.176128008957123E-2</v>
      </c>
      <c r="Y144" s="855">
        <v>1.1029804553045718E-2</v>
      </c>
      <c r="Z144" s="855">
        <v>1.0372562045219627E-2</v>
      </c>
      <c r="AA144" s="855">
        <v>9.7790911449757954E-3</v>
      </c>
      <c r="AB144" s="855">
        <v>9.2396983141618105E-3</v>
      </c>
      <c r="AC144" s="855">
        <v>8.7445593852377712E-3</v>
      </c>
      <c r="AD144" s="855">
        <v>8.2885526663149627E-3</v>
      </c>
      <c r="AE144" s="855">
        <v>7.8708624005571302E-3</v>
      </c>
      <c r="AF144" s="855">
        <v>7.4821490590041891E-3</v>
      </c>
    </row>
    <row r="145" spans="1:32" x14ac:dyDescent="0.25">
      <c r="A145" s="1041"/>
      <c r="B145" s="1043" t="s">
        <v>46</v>
      </c>
      <c r="C145" s="1059"/>
      <c r="D145" s="1059"/>
      <c r="E145" s="1059"/>
      <c r="F145" s="1059"/>
      <c r="G145" s="1045"/>
      <c r="H145" s="855">
        <v>6.0983022748288508E-4</v>
      </c>
      <c r="I145" s="855">
        <v>5.2382564150788252E-4</v>
      </c>
      <c r="J145" s="855">
        <v>4.5162318657130133E-4</v>
      </c>
      <c r="K145" s="855">
        <v>3.9049937319964425E-4</v>
      </c>
      <c r="L145" s="855">
        <v>3.3789614813777827E-4</v>
      </c>
      <c r="M145" s="855">
        <v>2.9438653964903363E-4</v>
      </c>
      <c r="N145" s="855">
        <v>2.5630604951255398E-4</v>
      </c>
      <c r="O145" s="855">
        <v>2.2188999087192373E-4</v>
      </c>
      <c r="P145" s="855">
        <v>1.93338097098299E-4</v>
      </c>
      <c r="Q145" s="855">
        <v>1.6854262357299984E-4</v>
      </c>
      <c r="R145" s="855">
        <v>1.4791022870318493E-4</v>
      </c>
      <c r="S145" s="855">
        <v>1.3002391126259143E-4</v>
      </c>
      <c r="T145" s="855">
        <v>1.1462940098760939E-4</v>
      </c>
      <c r="U145" s="855">
        <v>1.0116524243897967E-4</v>
      </c>
      <c r="V145" s="855">
        <v>8.9337501356536177E-5</v>
      </c>
      <c r="W145" s="855">
        <v>7.9246570137423363E-5</v>
      </c>
      <c r="X145" s="855">
        <v>7.010560525302788E-5</v>
      </c>
      <c r="Y145" s="855">
        <v>6.2255042254683564E-5</v>
      </c>
      <c r="Z145" s="855">
        <v>5.5167775322190431E-5</v>
      </c>
      <c r="AA145" s="855">
        <v>4.8926984745763766E-5</v>
      </c>
      <c r="AB145" s="855">
        <v>4.3433120267526714E-5</v>
      </c>
      <c r="AC145" s="855">
        <v>3.8538867876240975E-5</v>
      </c>
      <c r="AD145" s="855">
        <v>3.4163595984759399E-5</v>
      </c>
      <c r="AE145" s="855">
        <v>3.0297861898692243E-5</v>
      </c>
      <c r="AF145" s="855">
        <v>2.68647757310037E-5</v>
      </c>
    </row>
    <row r="146" spans="1:32" x14ac:dyDescent="0.25">
      <c r="A146" s="1041"/>
      <c r="B146" s="1041" t="s">
        <v>29</v>
      </c>
      <c r="C146" s="1059"/>
      <c r="D146" s="1059"/>
      <c r="E146" s="1059"/>
      <c r="F146" s="1059"/>
      <c r="G146" s="1045"/>
      <c r="H146" s="855">
        <v>3.0448250794070693E-7</v>
      </c>
      <c r="I146" s="855">
        <v>3.1310426054158686E-5</v>
      </c>
      <c r="J146" s="855">
        <v>4.3214614463834802E-4</v>
      </c>
      <c r="K146" s="855">
        <v>2.3505560761388853E-3</v>
      </c>
      <c r="L146" s="855">
        <v>7.5210483885475906E-3</v>
      </c>
      <c r="M146" s="855">
        <v>1.7463436263490346E-2</v>
      </c>
      <c r="N146" s="855">
        <v>3.2709792001300177E-2</v>
      </c>
      <c r="O146" s="855">
        <v>5.3135467678046014E-2</v>
      </c>
      <c r="P146" s="855">
        <v>7.6604444862296103E-2</v>
      </c>
      <c r="Q146" s="855">
        <v>0.10330891416813763</v>
      </c>
      <c r="R146" s="855">
        <v>0.13026943635606783</v>
      </c>
      <c r="S146" s="855">
        <v>0.15796931560174751</v>
      </c>
      <c r="T146" s="855">
        <v>0.18551261744964048</v>
      </c>
      <c r="U146" s="855">
        <v>0.21299550249414925</v>
      </c>
      <c r="V146" s="855">
        <v>0.23879759030555137</v>
      </c>
      <c r="W146" s="855">
        <v>0.26375546557830387</v>
      </c>
      <c r="X146" s="855">
        <v>0.2890866417541747</v>
      </c>
      <c r="Y146" s="855">
        <v>0.31360473977864256</v>
      </c>
      <c r="Z146" s="855">
        <v>0.33669414375551932</v>
      </c>
      <c r="AA146" s="855">
        <v>0.3584125578433861</v>
      </c>
      <c r="AB146" s="855">
        <v>0.37933179046974802</v>
      </c>
      <c r="AC146" s="855">
        <v>0.39950957614695998</v>
      </c>
      <c r="AD146" s="855">
        <v>0.41903794030595931</v>
      </c>
      <c r="AE146" s="855">
        <v>0.4378055234049843</v>
      </c>
      <c r="AF146" s="855">
        <v>0.456700472635236</v>
      </c>
    </row>
    <row r="147" spans="1:32" x14ac:dyDescent="0.25">
      <c r="A147" s="1041"/>
      <c r="B147" s="1041"/>
      <c r="C147" s="1059"/>
      <c r="D147" s="1059"/>
      <c r="E147" s="1059"/>
      <c r="F147" s="1059"/>
      <c r="G147" s="1045"/>
      <c r="H147" s="1059"/>
      <c r="I147" s="1059"/>
      <c r="J147" s="1059"/>
      <c r="K147" s="1059"/>
      <c r="L147" s="1059"/>
      <c r="M147" s="1059"/>
      <c r="N147" s="1059"/>
      <c r="O147" s="1059"/>
      <c r="P147" s="1059"/>
      <c r="Q147" s="1059"/>
      <c r="R147" s="1059"/>
      <c r="S147" s="1059"/>
      <c r="T147" s="1059"/>
      <c r="U147" s="1059"/>
      <c r="V147" s="1059"/>
      <c r="W147" s="1059"/>
      <c r="X147" s="1059"/>
      <c r="Y147" s="1059"/>
      <c r="Z147" s="1059"/>
      <c r="AA147" s="1059"/>
      <c r="AB147" s="1059"/>
      <c r="AC147" s="1059"/>
      <c r="AD147" s="1059"/>
      <c r="AE147" s="1059"/>
      <c r="AF147" s="1059"/>
    </row>
    <row r="148" spans="1:32" x14ac:dyDescent="0.25">
      <c r="A148" s="843" t="s">
        <v>47</v>
      </c>
      <c r="B148" s="843"/>
      <c r="C148" s="843"/>
      <c r="D148" s="843"/>
      <c r="E148" s="843"/>
      <c r="F148" s="843"/>
      <c r="G148" s="865"/>
      <c r="H148" s="843"/>
      <c r="I148" s="843"/>
      <c r="J148" s="843"/>
      <c r="K148" s="843"/>
      <c r="L148" s="843"/>
      <c r="M148" s="843"/>
      <c r="N148" s="843"/>
      <c r="O148" s="843"/>
      <c r="P148" s="843"/>
      <c r="Q148" s="843"/>
      <c r="R148" s="843"/>
      <c r="S148" s="843"/>
      <c r="T148" s="843"/>
      <c r="U148" s="843"/>
      <c r="V148" s="843"/>
      <c r="W148" s="843"/>
      <c r="X148" s="843"/>
      <c r="Y148" s="843"/>
      <c r="Z148" s="843"/>
      <c r="AA148" s="843"/>
      <c r="AB148" s="843"/>
      <c r="AC148" s="843"/>
      <c r="AD148" s="843"/>
      <c r="AE148" s="843"/>
      <c r="AF148" s="843"/>
    </row>
    <row r="149" spans="1:32" x14ac:dyDescent="0.25">
      <c r="A149" s="1041"/>
      <c r="B149" s="1041" t="s">
        <v>48</v>
      </c>
      <c r="C149" s="1059"/>
      <c r="D149" s="1059"/>
      <c r="E149" s="1059"/>
      <c r="F149" s="1059"/>
      <c r="G149" s="1045"/>
      <c r="H149" s="855">
        <v>1.7174970619812158E-2</v>
      </c>
      <c r="I149" s="855">
        <v>1.5236472378989195E-2</v>
      </c>
      <c r="J149" s="855">
        <v>1.275343974511677E-2</v>
      </c>
      <c r="K149" s="855">
        <v>9.9352257817946401E-3</v>
      </c>
      <c r="L149" s="855">
        <v>7.1398777197875301E-3</v>
      </c>
      <c r="M149" s="855">
        <v>4.6999635628084749E-3</v>
      </c>
      <c r="N149" s="855">
        <v>2.8169546264071193E-3</v>
      </c>
      <c r="O149" s="855">
        <v>1.5427641537640422E-3</v>
      </c>
      <c r="P149" s="855">
        <v>7.7135272671227434E-4</v>
      </c>
      <c r="Q149" s="855">
        <v>3.5327295393856661E-4</v>
      </c>
      <c r="R149" s="855">
        <v>1.5072523753479028E-4</v>
      </c>
      <c r="S149" s="855">
        <v>5.9617159305978892E-5</v>
      </c>
      <c r="T149" s="855">
        <v>2.2299583829353055E-5</v>
      </c>
      <c r="U149" s="855">
        <v>7.8896811038921635E-6</v>
      </c>
      <c r="V149" s="855">
        <v>2.6918112838135834E-6</v>
      </c>
      <c r="W149" s="855">
        <v>8.8699655727249256E-7</v>
      </c>
      <c r="X149" s="855">
        <v>2.8457816218955832E-7</v>
      </c>
      <c r="Y149" s="855">
        <v>8.9360425228551757E-8</v>
      </c>
      <c r="Z149" s="855">
        <v>2.7591192062407906E-8</v>
      </c>
      <c r="AA149" s="855">
        <v>8.4463859882084252E-9</v>
      </c>
      <c r="AB149" s="855">
        <v>2.557561269274226E-9</v>
      </c>
      <c r="AC149" s="855">
        <v>7.674616888833667E-10</v>
      </c>
      <c r="AD149" s="855">
        <v>2.2875971478837079E-10</v>
      </c>
      <c r="AE149" s="855">
        <v>6.7787945486981378E-11</v>
      </c>
      <c r="AF149" s="855">
        <v>1.9951914392276194E-11</v>
      </c>
    </row>
    <row r="150" spans="1:32" x14ac:dyDescent="0.25">
      <c r="A150" s="1041"/>
      <c r="B150" s="1043" t="s">
        <v>50</v>
      </c>
      <c r="C150" s="1059"/>
      <c r="D150" s="1059"/>
      <c r="E150" s="1059"/>
      <c r="F150" s="1059"/>
      <c r="G150" s="1045"/>
      <c r="H150" s="855">
        <v>0.40631859284070754</v>
      </c>
      <c r="I150" s="855">
        <v>0.38773374784241343</v>
      </c>
      <c r="J150" s="855">
        <v>0.36169936310379308</v>
      </c>
      <c r="K150" s="855">
        <v>0.32802085977750117</v>
      </c>
      <c r="L150" s="855">
        <v>0.28747789111135519</v>
      </c>
      <c r="M150" s="855">
        <v>0.24210436953552261</v>
      </c>
      <c r="N150" s="855">
        <v>0.19441628853509721</v>
      </c>
      <c r="O150" s="855">
        <v>0.14888225242362346</v>
      </c>
      <c r="P150" s="855">
        <v>0.10804045884332829</v>
      </c>
      <c r="Q150" s="855">
        <v>7.4259626147194099E-2</v>
      </c>
      <c r="R150" s="855">
        <v>4.895254584975816E-2</v>
      </c>
      <c r="S150" s="855">
        <v>3.0684544220309858E-2</v>
      </c>
      <c r="T150" s="855">
        <v>1.8589084622858642E-2</v>
      </c>
      <c r="U150" s="855">
        <v>1.0852823023174996E-2</v>
      </c>
      <c r="V150" s="855">
        <v>6.2056302144958119E-3</v>
      </c>
      <c r="W150" s="855">
        <v>3.4716291031118723E-3</v>
      </c>
      <c r="X150" s="855">
        <v>1.9123553257774217E-3</v>
      </c>
      <c r="Y150" s="855">
        <v>1.0407787570606037E-3</v>
      </c>
      <c r="Z150" s="855">
        <v>5.6130693002845239E-4</v>
      </c>
      <c r="AA150" s="855">
        <v>3.0207490549216686E-4</v>
      </c>
      <c r="AB150" s="855">
        <v>1.6174228354891521E-4</v>
      </c>
      <c r="AC150" s="855">
        <v>8.6273715413755681E-5</v>
      </c>
      <c r="AD150" s="855">
        <v>4.5929307458799136E-5</v>
      </c>
      <c r="AE150" s="855">
        <v>2.4418288677346498E-5</v>
      </c>
      <c r="AF150" s="855">
        <v>1.2958763574324726E-5</v>
      </c>
    </row>
    <row r="151" spans="1:32" x14ac:dyDescent="0.25">
      <c r="A151" s="1041"/>
      <c r="B151" s="1041" t="s">
        <v>51</v>
      </c>
      <c r="C151" s="1059"/>
      <c r="D151" s="1059"/>
      <c r="E151" s="1059"/>
      <c r="F151" s="1059"/>
      <c r="G151" s="1045"/>
      <c r="H151" s="855">
        <v>0.45559844542559491</v>
      </c>
      <c r="I151" s="855">
        <v>0.43755148554375478</v>
      </c>
      <c r="J151" s="855">
        <v>0.41847633147135721</v>
      </c>
      <c r="K151" s="855">
        <v>0.39848927178593424</v>
      </c>
      <c r="L151" s="855">
        <v>0.37773426083639261</v>
      </c>
      <c r="M151" s="855">
        <v>0.35642663975713695</v>
      </c>
      <c r="N151" s="855">
        <v>0.33450771728103534</v>
      </c>
      <c r="O151" s="855">
        <v>0.31262838689479128</v>
      </c>
      <c r="P151" s="855">
        <v>0.28721365878584831</v>
      </c>
      <c r="Q151" s="855">
        <v>0.25959457414619652</v>
      </c>
      <c r="R151" s="855">
        <v>0.23214825590837804</v>
      </c>
      <c r="S151" s="855">
        <v>0.20332190823334495</v>
      </c>
      <c r="T151" s="855">
        <v>0.17643081561938456</v>
      </c>
      <c r="U151" s="855">
        <v>0.1506434801634057</v>
      </c>
      <c r="V151" s="855">
        <v>0.12806396663372879</v>
      </c>
      <c r="W151" s="855">
        <v>0.10783291631093546</v>
      </c>
      <c r="X151" s="855">
        <v>9.0442169112741763E-2</v>
      </c>
      <c r="Y151" s="855">
        <v>7.5504205924427178E-2</v>
      </c>
      <c r="Z151" s="855">
        <v>6.2743163472349414E-2</v>
      </c>
      <c r="AA151" s="855">
        <v>5.2181578924073678E-2</v>
      </c>
      <c r="AB151" s="855">
        <v>4.3292605840272835E-2</v>
      </c>
      <c r="AC151" s="855">
        <v>3.5841416479839301E-2</v>
      </c>
      <c r="AD151" s="855">
        <v>2.9638347278344173E-2</v>
      </c>
      <c r="AE151" s="855">
        <v>2.4484475925377405E-2</v>
      </c>
      <c r="AF151" s="855">
        <v>2.019988697905778E-2</v>
      </c>
    </row>
    <row r="152" spans="1:32" x14ac:dyDescent="0.25">
      <c r="A152" s="1041"/>
      <c r="B152" s="1041" t="s">
        <v>52</v>
      </c>
      <c r="C152" s="1059"/>
      <c r="D152" s="1059"/>
      <c r="E152" s="1059"/>
      <c r="F152" s="1059"/>
      <c r="G152" s="1045"/>
      <c r="H152" s="855">
        <v>7.2749056732839004E-2</v>
      </c>
      <c r="I152" s="855">
        <v>7.2622033666292704E-2</v>
      </c>
      <c r="J152" s="855">
        <v>7.2868192556793138E-2</v>
      </c>
      <c r="K152" s="855">
        <v>7.3562566093002782E-2</v>
      </c>
      <c r="L152" s="855">
        <v>7.490030362887129E-2</v>
      </c>
      <c r="M152" s="855">
        <v>7.6743790875163309E-2</v>
      </c>
      <c r="N152" s="855">
        <v>7.8922618675665648E-2</v>
      </c>
      <c r="O152" s="855">
        <v>8.1559389363969031E-2</v>
      </c>
      <c r="P152" s="855">
        <v>8.3483972873237458E-2</v>
      </c>
      <c r="Q152" s="855">
        <v>8.4602710898166761E-2</v>
      </c>
      <c r="R152" s="855">
        <v>8.5276361451998378E-2</v>
      </c>
      <c r="S152" s="855">
        <v>8.4504002436062126E-2</v>
      </c>
      <c r="T152" s="855">
        <v>8.3187882374963565E-2</v>
      </c>
      <c r="U152" s="855">
        <v>8.0711617014200598E-2</v>
      </c>
      <c r="V152" s="855">
        <v>7.7923927262793194E-2</v>
      </c>
      <c r="W152" s="855">
        <v>7.4597150327992176E-2</v>
      </c>
      <c r="X152" s="855">
        <v>7.1221149857889646E-2</v>
      </c>
      <c r="Y152" s="855">
        <v>6.7580081288156166E-2</v>
      </c>
      <c r="Z152" s="855">
        <v>6.3913874826158082E-2</v>
      </c>
      <c r="AA152" s="855">
        <v>6.0416015675784439E-2</v>
      </c>
      <c r="AB152" s="855">
        <v>5.6971328541407296E-2</v>
      </c>
      <c r="AC152" s="855">
        <v>5.3655609359311102E-2</v>
      </c>
      <c r="AD152" s="855">
        <v>5.0409395029176157E-2</v>
      </c>
      <c r="AE152" s="855">
        <v>4.7313916546958899E-2</v>
      </c>
      <c r="AF152" s="855">
        <v>4.4390765001406436E-2</v>
      </c>
    </row>
    <row r="153" spans="1:32" x14ac:dyDescent="0.25">
      <c r="A153" s="1041"/>
      <c r="B153" s="1043" t="s">
        <v>29</v>
      </c>
      <c r="C153" s="1059"/>
      <c r="D153" s="1059"/>
      <c r="E153" s="1059"/>
      <c r="F153" s="1059"/>
      <c r="G153" s="1045"/>
      <c r="H153" s="855">
        <v>4.8158934381046375E-2</v>
      </c>
      <c r="I153" s="855">
        <v>8.6856260568550087E-2</v>
      </c>
      <c r="J153" s="855">
        <v>0.13420267312293974</v>
      </c>
      <c r="K153" s="855">
        <v>0.18999207656176717</v>
      </c>
      <c r="L153" s="855">
        <v>0.2527476667035935</v>
      </c>
      <c r="M153" s="855">
        <v>0.32002523626936868</v>
      </c>
      <c r="N153" s="855">
        <v>0.38933642088179465</v>
      </c>
      <c r="O153" s="855">
        <v>0.45538720716385223</v>
      </c>
      <c r="P153" s="855">
        <v>0.52049055677087375</v>
      </c>
      <c r="Q153" s="855">
        <v>0.58118981585450391</v>
      </c>
      <c r="R153" s="855">
        <v>0.63347211155233063</v>
      </c>
      <c r="S153" s="855">
        <v>0.68142992795097712</v>
      </c>
      <c r="T153" s="855">
        <v>0.72176991779896393</v>
      </c>
      <c r="U153" s="855">
        <v>0.75778419011811482</v>
      </c>
      <c r="V153" s="855">
        <v>0.78780378407769835</v>
      </c>
      <c r="W153" s="855">
        <v>0.81409741726140317</v>
      </c>
      <c r="X153" s="855">
        <v>0.83642404112542901</v>
      </c>
      <c r="Y153" s="855">
        <v>0.85587484466993091</v>
      </c>
      <c r="Z153" s="855">
        <v>0.87278162718027197</v>
      </c>
      <c r="AA153" s="855">
        <v>0.88710032204826372</v>
      </c>
      <c r="AB153" s="855">
        <v>0.89957432077720967</v>
      </c>
      <c r="AC153" s="855">
        <v>0.91041669967797412</v>
      </c>
      <c r="AD153" s="855">
        <v>0.91990632815626117</v>
      </c>
      <c r="AE153" s="855">
        <v>0.92817718917119829</v>
      </c>
      <c r="AF153" s="855">
        <v>0.93539638923600954</v>
      </c>
    </row>
    <row r="154" spans="1:32" x14ac:dyDescent="0.25">
      <c r="A154" s="1041"/>
      <c r="B154" s="1043" t="s">
        <v>53</v>
      </c>
      <c r="C154" s="1059"/>
      <c r="D154" s="1059"/>
      <c r="E154" s="1059"/>
      <c r="F154" s="1059"/>
      <c r="G154" s="1045"/>
      <c r="H154" s="855">
        <v>0</v>
      </c>
      <c r="I154" s="855">
        <v>0</v>
      </c>
      <c r="J154" s="855">
        <v>0</v>
      </c>
      <c r="K154" s="855">
        <v>0</v>
      </c>
      <c r="L154" s="855">
        <v>0</v>
      </c>
      <c r="M154" s="855">
        <v>0</v>
      </c>
      <c r="N154" s="855">
        <v>0</v>
      </c>
      <c r="O154" s="855">
        <v>0</v>
      </c>
      <c r="P154" s="855">
        <v>0</v>
      </c>
      <c r="Q154" s="855">
        <v>0</v>
      </c>
      <c r="R154" s="855">
        <v>0</v>
      </c>
      <c r="S154" s="855">
        <v>0</v>
      </c>
      <c r="T154" s="855">
        <v>0</v>
      </c>
      <c r="U154" s="855">
        <v>0</v>
      </c>
      <c r="V154" s="855">
        <v>0</v>
      </c>
      <c r="W154" s="855">
        <v>0</v>
      </c>
      <c r="X154" s="855">
        <v>0</v>
      </c>
      <c r="Y154" s="855">
        <v>0</v>
      </c>
      <c r="Z154" s="855">
        <v>0</v>
      </c>
      <c r="AA154" s="855">
        <v>0</v>
      </c>
      <c r="AB154" s="855">
        <v>0</v>
      </c>
      <c r="AC154" s="855">
        <v>0</v>
      </c>
      <c r="AD154" s="855">
        <v>0</v>
      </c>
      <c r="AE154" s="855">
        <v>0</v>
      </c>
      <c r="AF154" s="855">
        <v>0</v>
      </c>
    </row>
    <row r="155" spans="1:32" x14ac:dyDescent="0.25">
      <c r="A155" s="1059"/>
      <c r="B155" s="1059"/>
      <c r="C155" s="1059"/>
      <c r="D155" s="1059"/>
      <c r="E155" s="1059"/>
      <c r="F155" s="1059"/>
      <c r="G155" s="1059"/>
      <c r="H155" s="1059"/>
      <c r="I155" s="1059"/>
      <c r="J155" s="1059"/>
      <c r="K155" s="1059"/>
      <c r="L155" s="1059"/>
      <c r="M155" s="1059"/>
      <c r="N155" s="1059"/>
      <c r="O155" s="1059"/>
      <c r="P155" s="1059"/>
      <c r="Q155" s="1059"/>
      <c r="R155" s="1059"/>
      <c r="S155" s="1059"/>
      <c r="T155" s="1059"/>
      <c r="U155" s="1059"/>
      <c r="V155" s="1059"/>
      <c r="W155" s="1059"/>
      <c r="X155" s="1059"/>
      <c r="Y155" s="1059"/>
      <c r="Z155" s="1059"/>
      <c r="AA155" s="1059"/>
      <c r="AB155" s="1059"/>
      <c r="AC155" s="1059"/>
      <c r="AD155" s="1059"/>
      <c r="AE155" s="1059"/>
      <c r="AF155" s="1059"/>
    </row>
    <row r="156" spans="1:32" ht="15.75" thickBot="1" x14ac:dyDescent="0.3">
      <c r="A156" s="1059" t="s">
        <v>741</v>
      </c>
      <c r="B156" s="1059"/>
      <c r="C156" s="1059"/>
      <c r="D156" s="1059"/>
      <c r="E156" s="1059"/>
      <c r="F156" s="1059"/>
      <c r="G156" s="1059"/>
      <c r="H156" s="1059"/>
      <c r="I156" s="1059"/>
      <c r="J156" s="1059"/>
      <c r="K156" s="1059"/>
      <c r="L156" s="1059"/>
      <c r="M156" s="1059"/>
      <c r="N156" s="1059"/>
      <c r="O156" s="1059"/>
      <c r="P156" s="1059"/>
      <c r="Q156" s="1059"/>
      <c r="R156" s="1059"/>
      <c r="S156" s="1059"/>
      <c r="T156" s="1059"/>
      <c r="U156" s="1059"/>
      <c r="V156" s="1059"/>
      <c r="W156" s="1059"/>
      <c r="X156" s="1059"/>
      <c r="Y156" s="1059"/>
      <c r="Z156" s="1059"/>
      <c r="AA156" s="1059"/>
      <c r="AB156" s="1059"/>
      <c r="AC156" s="1059"/>
      <c r="AD156" s="1059"/>
      <c r="AE156" s="1059"/>
      <c r="AF156" s="1059"/>
    </row>
    <row r="157" spans="1:32" x14ac:dyDescent="0.25">
      <c r="A157" s="1059"/>
      <c r="B157" s="1075" t="s">
        <v>400</v>
      </c>
      <c r="C157" s="1076"/>
      <c r="D157" s="1076"/>
      <c r="E157" s="1076"/>
      <c r="F157" s="1076"/>
      <c r="G157" s="1076"/>
      <c r="H157" s="1077">
        <v>8.3809549801067737E-2</v>
      </c>
      <c r="I157" s="1077">
        <v>7.9428001225353595E-2</v>
      </c>
      <c r="J157" s="1077">
        <v>7.2958325046954528E-2</v>
      </c>
      <c r="K157" s="1077">
        <v>6.5923061791080428E-2</v>
      </c>
      <c r="L157" s="1077">
        <v>5.6996043466942002E-2</v>
      </c>
      <c r="M157" s="1077">
        <v>4.6881353736944062E-2</v>
      </c>
      <c r="N157" s="1077">
        <v>3.8024142688522965E-2</v>
      </c>
      <c r="O157" s="1077">
        <v>2.9841388697455753E-2</v>
      </c>
      <c r="P157" s="1077">
        <v>2.3015184386422017E-2</v>
      </c>
      <c r="Q157" s="1077">
        <v>1.7495447047863162E-2</v>
      </c>
      <c r="R157" s="1077">
        <v>1.3251301900458786E-2</v>
      </c>
      <c r="S157" s="1077">
        <v>1.0127834880300154E-2</v>
      </c>
      <c r="T157" s="1077">
        <v>7.8663775846013282E-3</v>
      </c>
      <c r="U157" s="1077">
        <v>6.248039161265183E-3</v>
      </c>
      <c r="V157" s="1077">
        <v>5.1037516169927773E-3</v>
      </c>
      <c r="W157" s="1077">
        <v>4.2792402665763835E-3</v>
      </c>
      <c r="X157" s="1077">
        <v>3.6656254954449451E-3</v>
      </c>
      <c r="Y157" s="1077">
        <v>3.2164984589359161E-3</v>
      </c>
      <c r="Z157" s="1077">
        <v>2.8848369876687072E-3</v>
      </c>
      <c r="AA157" s="1077">
        <v>2.6301725832780475E-3</v>
      </c>
      <c r="AB157" s="1077">
        <v>2.4310022083920127E-3</v>
      </c>
      <c r="AC157" s="1077">
        <v>2.2741308298129754E-3</v>
      </c>
      <c r="AD157" s="1077">
        <v>2.1431439394501207E-3</v>
      </c>
      <c r="AE157" s="1077">
        <v>2.0316855992716736E-3</v>
      </c>
      <c r="AF157" s="1077">
        <v>1.9132788588858555E-3</v>
      </c>
    </row>
    <row r="158" spans="1:32" x14ac:dyDescent="0.25">
      <c r="A158" s="1059"/>
      <c r="B158" s="1078" t="s">
        <v>402</v>
      </c>
      <c r="C158" s="584"/>
      <c r="D158" s="584"/>
      <c r="E158" s="584"/>
      <c r="F158" s="584"/>
      <c r="G158" s="584"/>
      <c r="H158" s="1074">
        <v>5.67786418606889E-2</v>
      </c>
      <c r="I158" s="1074">
        <v>5.2428812770808644E-2</v>
      </c>
      <c r="J158" s="1074">
        <v>5.1566565072964525E-2</v>
      </c>
      <c r="K158" s="1074">
        <v>4.8742672426350081E-2</v>
      </c>
      <c r="L158" s="1074">
        <v>4.6237309910129538E-2</v>
      </c>
      <c r="M158" s="1074">
        <v>4.3221335173956821E-2</v>
      </c>
      <c r="N158" s="1074">
        <v>3.8187857376978128E-2</v>
      </c>
      <c r="O158" s="1074">
        <v>3.3511041618430541E-2</v>
      </c>
      <c r="P158" s="1074">
        <v>2.9005266269610742E-2</v>
      </c>
      <c r="Q158" s="1074">
        <v>2.4811675775574638E-2</v>
      </c>
      <c r="R158" s="1074">
        <v>2.1081142915647406E-2</v>
      </c>
      <c r="S158" s="1074">
        <v>1.7778343599265198E-2</v>
      </c>
      <c r="T158" s="1074">
        <v>1.4998006492403805E-2</v>
      </c>
      <c r="U158" s="1074">
        <v>1.2670133894041816E-2</v>
      </c>
      <c r="V158" s="1074">
        <v>1.0793804294634127E-2</v>
      </c>
      <c r="W158" s="1074">
        <v>9.2865030151752636E-3</v>
      </c>
      <c r="X158" s="1074">
        <v>8.0693129107238595E-3</v>
      </c>
      <c r="Y158" s="1074">
        <v>7.1179050579846335E-3</v>
      </c>
      <c r="Z158" s="1074">
        <v>6.3557231942890421E-3</v>
      </c>
      <c r="AA158" s="1074">
        <v>5.7404919213692087E-3</v>
      </c>
      <c r="AB158" s="1074">
        <v>5.258666304176012E-3</v>
      </c>
      <c r="AC158" s="1074">
        <v>4.8751042176354556E-3</v>
      </c>
      <c r="AD158" s="1074">
        <v>4.5585572956499624E-3</v>
      </c>
      <c r="AE158" s="1074">
        <v>4.3062678312009543E-3</v>
      </c>
      <c r="AF158" s="1074">
        <v>4.0904715419915515E-3</v>
      </c>
    </row>
    <row r="159" spans="1:32" x14ac:dyDescent="0.25">
      <c r="A159" s="1059"/>
      <c r="B159" s="1078" t="s">
        <v>716</v>
      </c>
      <c r="C159" s="584"/>
      <c r="D159" s="584"/>
      <c r="E159" s="584"/>
      <c r="F159" s="584"/>
      <c r="G159" s="584"/>
      <c r="H159" s="1074">
        <v>0.72384165360335895</v>
      </c>
      <c r="I159" s="1074">
        <v>0.72765524283773886</v>
      </c>
      <c r="J159" s="1074">
        <v>0.72906177939760952</v>
      </c>
      <c r="K159" s="1074">
        <v>0.73083450090448565</v>
      </c>
      <c r="L159" s="1074">
        <v>0.73186496641547982</v>
      </c>
      <c r="M159" s="1074">
        <v>0.73195485153731876</v>
      </c>
      <c r="N159" s="1074">
        <v>0.73034004497020411</v>
      </c>
      <c r="O159" s="1074">
        <v>0.72597489824889905</v>
      </c>
      <c r="P159" s="1074">
        <v>0.71883146125523201</v>
      </c>
      <c r="Q159" s="1074">
        <v>0.70858675449177011</v>
      </c>
      <c r="R159" s="1074">
        <v>0.69677002455566761</v>
      </c>
      <c r="S159" s="1074">
        <v>0.68279510123050935</v>
      </c>
      <c r="T159" s="1074">
        <v>0.66754383431229258</v>
      </c>
      <c r="U159" s="1074">
        <v>0.65108612006985089</v>
      </c>
      <c r="V159" s="1074">
        <v>0.63426269859175166</v>
      </c>
      <c r="W159" s="1074">
        <v>0.61820905436061557</v>
      </c>
      <c r="X159" s="1074">
        <v>0.6018349151451502</v>
      </c>
      <c r="Y159" s="1074">
        <v>0.58566633481475128</v>
      </c>
      <c r="Z159" s="1074">
        <v>0.57055189290302566</v>
      </c>
      <c r="AA159" s="1074">
        <v>0.55668931297304591</v>
      </c>
      <c r="AB159" s="1074">
        <v>0.54332219203341614</v>
      </c>
      <c r="AC159" s="1074">
        <v>0.53057187191509758</v>
      </c>
      <c r="AD159" s="1074">
        <v>0.51843570976452291</v>
      </c>
      <c r="AE159" s="1074">
        <v>0.5068100109245135</v>
      </c>
      <c r="AF159" s="1074">
        <v>0.49511648181219386</v>
      </c>
    </row>
    <row r="160" spans="1:32" x14ac:dyDescent="0.25">
      <c r="A160" s="1059"/>
      <c r="B160" s="1078" t="s">
        <v>42</v>
      </c>
      <c r="C160" s="584"/>
      <c r="D160" s="584"/>
      <c r="E160" s="584"/>
      <c r="F160" s="584"/>
      <c r="G160" s="584"/>
      <c r="H160" s="1074">
        <v>0.1321407455600527</v>
      </c>
      <c r="I160" s="1074">
        <v>0.13371313721220149</v>
      </c>
      <c r="J160" s="1074">
        <v>0.1348638526519812</v>
      </c>
      <c r="K160" s="1074">
        <v>0.136038217482816</v>
      </c>
      <c r="L160" s="1074">
        <v>0.13690521154834487</v>
      </c>
      <c r="M160" s="1074">
        <v>0.13700834113958368</v>
      </c>
      <c r="N160" s="1074">
        <v>0.13655551504575467</v>
      </c>
      <c r="O160" s="1074">
        <v>0.13518196242482258</v>
      </c>
      <c r="P160" s="1074">
        <v>0.13308969013565625</v>
      </c>
      <c r="Q160" s="1074">
        <v>0.13021983297897238</v>
      </c>
      <c r="R160" s="1074">
        <v>0.12703396277227996</v>
      </c>
      <c r="S160" s="1074">
        <v>0.12345120532763161</v>
      </c>
      <c r="T160" s="1074">
        <v>0.1196666947755036</v>
      </c>
      <c r="U160" s="1074">
        <v>0.11571210504792512</v>
      </c>
      <c r="V160" s="1074">
        <v>0.11226022262427064</v>
      </c>
      <c r="W160" s="1074">
        <v>0.10848436968706897</v>
      </c>
      <c r="X160" s="1074">
        <v>0.10459498831970133</v>
      </c>
      <c r="Y160" s="1074">
        <v>0.10089270782204428</v>
      </c>
      <c r="Z160" s="1074">
        <v>9.7350307678041786E-2</v>
      </c>
      <c r="AA160" s="1074">
        <v>9.3876490554989256E-2</v>
      </c>
      <c r="AB160" s="1074">
        <v>9.0588384050968945E-2</v>
      </c>
      <c r="AC160" s="1074">
        <v>8.7405137046769263E-2</v>
      </c>
      <c r="AD160" s="1074">
        <v>8.4268360223560559E-2</v>
      </c>
      <c r="AE160" s="1074">
        <v>8.1316207762808859E-2</v>
      </c>
      <c r="AF160" s="1074">
        <v>7.828207228667694E-2</v>
      </c>
    </row>
    <row r="161" spans="1:32" ht="15.75" thickBot="1" x14ac:dyDescent="0.3">
      <c r="A161" s="1059"/>
      <c r="B161" s="1079" t="s">
        <v>29</v>
      </c>
      <c r="C161" s="1080"/>
      <c r="D161" s="1080"/>
      <c r="E161" s="1080"/>
      <c r="F161" s="1080"/>
      <c r="G161" s="1080"/>
      <c r="H161" s="1081">
        <v>3.429409174831876E-3</v>
      </c>
      <c r="I161" s="1081">
        <v>6.7748059538972269E-3</v>
      </c>
      <c r="J161" s="1081">
        <v>1.1549477830490061E-2</v>
      </c>
      <c r="K161" s="1081">
        <v>1.8461547395267744E-2</v>
      </c>
      <c r="L161" s="1081">
        <v>2.7996468659103869E-2</v>
      </c>
      <c r="M161" s="1081">
        <v>4.0934118412196636E-2</v>
      </c>
      <c r="N161" s="1081">
        <v>5.6892439918540434E-2</v>
      </c>
      <c r="O161" s="1081">
        <v>7.5490709010391829E-2</v>
      </c>
      <c r="P161" s="1081">
        <v>9.6058397953079133E-2</v>
      </c>
      <c r="Q161" s="1081">
        <v>0.11888628970581951</v>
      </c>
      <c r="R161" s="1081">
        <v>0.14186356785594637</v>
      </c>
      <c r="S161" s="1081">
        <v>0.16584751496229375</v>
      </c>
      <c r="T161" s="1081">
        <v>0.18992508683519857</v>
      </c>
      <c r="U161" s="1081">
        <v>0.21428360182691686</v>
      </c>
      <c r="V161" s="1081">
        <v>0.23757952287235054</v>
      </c>
      <c r="W161" s="1081">
        <v>0.25974083267056391</v>
      </c>
      <c r="X161" s="1081">
        <v>0.28183515812897947</v>
      </c>
      <c r="Y161" s="1081">
        <v>0.30310655384628393</v>
      </c>
      <c r="Z161" s="1081">
        <v>0.32285723923697479</v>
      </c>
      <c r="AA161" s="1081">
        <v>0.34106353196731748</v>
      </c>
      <c r="AB161" s="1081">
        <v>0.35839975540304692</v>
      </c>
      <c r="AC161" s="1081">
        <v>0.37487375599068479</v>
      </c>
      <c r="AD161" s="1081">
        <v>0.39059422877681665</v>
      </c>
      <c r="AE161" s="1081">
        <v>0.4055358278822051</v>
      </c>
      <c r="AF161" s="1081">
        <v>0.42059769550025206</v>
      </c>
    </row>
    <row r="162" spans="1:32" x14ac:dyDescent="0.25">
      <c r="A162" s="1059"/>
      <c r="B162" s="1059"/>
      <c r="C162" s="1059"/>
      <c r="D162" s="1059"/>
      <c r="E162" s="1059"/>
      <c r="F162" s="1059"/>
      <c r="G162" s="1059"/>
      <c r="H162" s="1031">
        <v>1.0000000000000002</v>
      </c>
      <c r="I162" s="1031">
        <v>0.99999999999999978</v>
      </c>
      <c r="J162" s="1031">
        <v>0.99999999999999989</v>
      </c>
      <c r="K162" s="1031">
        <v>0.99999999999999989</v>
      </c>
      <c r="L162" s="1031">
        <v>1</v>
      </c>
      <c r="M162" s="1031">
        <v>1</v>
      </c>
      <c r="N162" s="1031">
        <v>1.0000000000000004</v>
      </c>
      <c r="O162" s="1031">
        <v>0.99999999999999978</v>
      </c>
      <c r="P162" s="1031">
        <v>1.0000000000000002</v>
      </c>
      <c r="Q162" s="1031">
        <v>0.99999999999999989</v>
      </c>
      <c r="R162" s="1031">
        <v>1.0000000000000002</v>
      </c>
      <c r="S162" s="1031">
        <v>1</v>
      </c>
      <c r="T162" s="1031">
        <v>0.99999999999999989</v>
      </c>
      <c r="U162" s="1031">
        <v>0.99999999999999989</v>
      </c>
      <c r="V162" s="1031">
        <v>0.99999999999999967</v>
      </c>
      <c r="W162" s="1031">
        <v>1</v>
      </c>
      <c r="X162" s="1031">
        <v>0.99999999999999978</v>
      </c>
      <c r="Y162" s="1031">
        <v>1</v>
      </c>
      <c r="Z162" s="1031">
        <v>1</v>
      </c>
      <c r="AA162" s="1031">
        <v>1</v>
      </c>
      <c r="AB162" s="1031">
        <v>1</v>
      </c>
      <c r="AC162" s="1031">
        <v>1</v>
      </c>
      <c r="AD162" s="1031">
        <v>1.0000000000000002</v>
      </c>
      <c r="AE162" s="1031">
        <v>1</v>
      </c>
      <c r="AF162" s="1031">
        <v>1.0000000000000002</v>
      </c>
    </row>
    <row r="163" spans="1:32" s="1059" customFormat="1" x14ac:dyDescent="0.25">
      <c r="A163" s="1082" t="s">
        <v>744</v>
      </c>
      <c r="B163" s="1082"/>
      <c r="C163" s="1082"/>
      <c r="D163" s="1082"/>
      <c r="E163" s="1082"/>
      <c r="F163" s="1082"/>
      <c r="G163" s="1082"/>
      <c r="H163" s="1082"/>
      <c r="I163" s="1082"/>
      <c r="J163" s="1082"/>
      <c r="K163" s="1082"/>
      <c r="L163" s="1082"/>
      <c r="M163" s="1082"/>
      <c r="N163" s="1082"/>
      <c r="O163" s="1082"/>
      <c r="P163" s="1082"/>
      <c r="Q163" s="1082"/>
      <c r="R163" s="1082"/>
      <c r="S163" s="1082"/>
      <c r="T163" s="1082"/>
      <c r="U163" s="1082"/>
      <c r="V163" s="1082"/>
      <c r="W163" s="1082"/>
      <c r="X163" s="1082"/>
      <c r="Y163" s="1082"/>
      <c r="Z163" s="1082"/>
      <c r="AA163" s="1082"/>
      <c r="AB163" s="1082"/>
      <c r="AC163" s="1082"/>
      <c r="AD163" s="1082"/>
      <c r="AE163" s="1082"/>
      <c r="AF163" s="1082"/>
    </row>
    <row r="164" spans="1:32" x14ac:dyDescent="0.25">
      <c r="A164" s="1047" t="s">
        <v>497</v>
      </c>
      <c r="B164" s="1048"/>
      <c r="C164" s="1047"/>
      <c r="D164" s="1046"/>
      <c r="E164" s="1046"/>
      <c r="F164" s="1046"/>
      <c r="G164" s="1046"/>
      <c r="H164" s="862"/>
      <c r="I164" s="862"/>
      <c r="J164" s="862"/>
      <c r="K164" s="862"/>
      <c r="L164" s="862"/>
      <c r="M164" s="862"/>
      <c r="N164" s="862"/>
      <c r="O164" s="862"/>
      <c r="P164" s="862"/>
      <c r="Q164" s="862"/>
      <c r="R164" s="862"/>
      <c r="S164" s="862"/>
      <c r="T164" s="862"/>
      <c r="U164" s="862"/>
      <c r="V164" s="862"/>
      <c r="W164" s="862"/>
      <c r="X164" s="862"/>
      <c r="Y164" s="862"/>
      <c r="Z164" s="862"/>
      <c r="AA164" s="862"/>
      <c r="AB164" s="862"/>
      <c r="AC164" s="862"/>
      <c r="AD164" s="862"/>
      <c r="AE164" s="862"/>
      <c r="AF164" s="862"/>
    </row>
    <row r="165" spans="1:32" x14ac:dyDescent="0.25">
      <c r="A165" s="1042" t="s">
        <v>12</v>
      </c>
      <c r="B165" s="1041"/>
      <c r="C165" s="1059"/>
      <c r="D165" s="1059"/>
      <c r="E165" s="1059"/>
      <c r="F165" s="1059"/>
      <c r="G165" s="1059"/>
      <c r="H165" s="1059"/>
      <c r="I165" s="1059"/>
      <c r="J165" s="1059"/>
      <c r="K165" s="1059"/>
      <c r="L165" s="1059"/>
      <c r="M165" s="1059"/>
      <c r="N165" s="1059"/>
      <c r="O165" s="1059"/>
      <c r="P165" s="1059"/>
      <c r="Q165" s="1059"/>
      <c r="R165" s="1059"/>
      <c r="S165" s="1059"/>
      <c r="T165" s="1059"/>
      <c r="U165" s="1059"/>
      <c r="V165" s="1059"/>
      <c r="W165" s="1059"/>
      <c r="X165" s="1059"/>
      <c r="Y165" s="1059"/>
      <c r="Z165" s="1059"/>
      <c r="AA165" s="1059"/>
      <c r="AB165" s="1059"/>
      <c r="AC165" s="1059"/>
      <c r="AD165" s="1059"/>
      <c r="AE165" s="1059"/>
      <c r="AF165" s="1059"/>
    </row>
    <row r="166" spans="1:32" x14ac:dyDescent="0.25">
      <c r="A166" s="1041"/>
      <c r="B166" s="1041" t="s">
        <v>20</v>
      </c>
      <c r="C166" s="1059"/>
      <c r="D166" s="1059"/>
      <c r="E166" s="1059"/>
      <c r="F166" s="1059"/>
      <c r="G166" s="208">
        <v>2010</v>
      </c>
      <c r="H166" s="208">
        <v>2011</v>
      </c>
      <c r="I166" s="208">
        <v>2012</v>
      </c>
      <c r="J166" s="208">
        <v>2013</v>
      </c>
      <c r="K166" s="208">
        <v>2014</v>
      </c>
      <c r="L166" s="208">
        <v>2015</v>
      </c>
      <c r="M166" s="208">
        <v>2016</v>
      </c>
      <c r="N166" s="208">
        <v>2017</v>
      </c>
      <c r="O166" s="208">
        <v>2018</v>
      </c>
      <c r="P166" s="208">
        <v>2019</v>
      </c>
      <c r="Q166" s="208">
        <v>2020</v>
      </c>
      <c r="R166" s="208">
        <v>2021</v>
      </c>
      <c r="S166" s="208">
        <v>2022</v>
      </c>
      <c r="T166" s="208">
        <v>2023</v>
      </c>
      <c r="U166" s="208">
        <v>2024</v>
      </c>
      <c r="V166" s="208">
        <v>2025</v>
      </c>
      <c r="W166" s="208">
        <v>2026</v>
      </c>
      <c r="X166" s="208">
        <v>2027</v>
      </c>
      <c r="Y166" s="208">
        <v>2028</v>
      </c>
      <c r="Z166" s="208">
        <v>2029</v>
      </c>
      <c r="AA166" s="208">
        <v>2030</v>
      </c>
      <c r="AB166" s="208">
        <v>2031</v>
      </c>
      <c r="AC166" s="208">
        <v>2032</v>
      </c>
      <c r="AD166" s="208">
        <v>2033</v>
      </c>
      <c r="AE166" s="208">
        <v>2034</v>
      </c>
      <c r="AF166" s="208">
        <v>2035</v>
      </c>
    </row>
    <row r="167" spans="1:32" x14ac:dyDescent="0.25">
      <c r="A167" s="843" t="s">
        <v>21</v>
      </c>
      <c r="B167" s="843"/>
      <c r="C167" s="843"/>
      <c r="D167" s="843"/>
      <c r="E167" s="843"/>
      <c r="F167" s="843"/>
      <c r="G167" s="843"/>
      <c r="H167" s="843"/>
      <c r="I167" s="843"/>
      <c r="J167" s="843"/>
      <c r="K167" s="843"/>
      <c r="L167" s="843"/>
      <c r="M167" s="843"/>
      <c r="N167" s="843"/>
      <c r="O167" s="843"/>
      <c r="P167" s="843"/>
      <c r="Q167" s="843"/>
      <c r="R167" s="843"/>
      <c r="S167" s="843"/>
      <c r="T167" s="843"/>
      <c r="U167" s="843"/>
      <c r="V167" s="843"/>
      <c r="W167" s="843"/>
      <c r="X167" s="843"/>
      <c r="Y167" s="843"/>
      <c r="Z167" s="843"/>
      <c r="AA167" s="843"/>
      <c r="AB167" s="843"/>
      <c r="AC167" s="843"/>
      <c r="AD167" s="843"/>
      <c r="AE167" s="843"/>
      <c r="AF167" s="843"/>
    </row>
    <row r="168" spans="1:32" x14ac:dyDescent="0.25">
      <c r="A168" s="1041"/>
      <c r="B168" s="1041" t="s">
        <v>22</v>
      </c>
      <c r="C168" s="1059"/>
      <c r="D168" s="1059"/>
      <c r="E168" s="1059"/>
      <c r="F168" s="1059"/>
      <c r="G168" s="438"/>
      <c r="H168" s="890">
        <v>2.740884287427536E-2</v>
      </c>
      <c r="I168" s="890">
        <v>1.8309508107750325E-2</v>
      </c>
      <c r="J168" s="890">
        <v>1.05078350196172E-2</v>
      </c>
      <c r="K168" s="890">
        <v>6.8281659385146199E-3</v>
      </c>
      <c r="L168" s="890">
        <v>4.0283460257931163E-3</v>
      </c>
      <c r="M168" s="890">
        <v>1.3156104907137212E-3</v>
      </c>
      <c r="N168" s="890">
        <v>1.0784965577145661E-3</v>
      </c>
      <c r="O168" s="890">
        <v>9.0191863965523864E-4</v>
      </c>
      <c r="P168" s="890">
        <v>7.4659427512795173E-4</v>
      </c>
      <c r="Q168" s="890">
        <v>6.010292144995892E-4</v>
      </c>
      <c r="R168" s="890">
        <v>4.7334742978573266E-4</v>
      </c>
      <c r="S168" s="890">
        <v>3.6848067747312818E-4</v>
      </c>
      <c r="T168" s="890">
        <v>2.8666284879328541E-4</v>
      </c>
      <c r="U168" s="890">
        <v>2.2274184866849224E-4</v>
      </c>
      <c r="V168" s="890">
        <v>1.7562419882976064E-4</v>
      </c>
      <c r="W168" s="890">
        <v>1.4077002746869179E-4</v>
      </c>
      <c r="X168" s="890">
        <v>1.1442356660006691E-4</v>
      </c>
      <c r="Y168" s="890">
        <v>9.4647022854115902E-5</v>
      </c>
      <c r="Z168" s="890">
        <v>7.989216542827057E-5</v>
      </c>
      <c r="AA168" s="890">
        <v>6.8806627955036309E-5</v>
      </c>
      <c r="AB168" s="890">
        <v>5.9994485238695296E-5</v>
      </c>
      <c r="AC168" s="890">
        <v>5.2882440096267778E-5</v>
      </c>
      <c r="AD168" s="540">
        <v>4.703504041580912E-5</v>
      </c>
      <c r="AE168" s="540">
        <v>4.2052250482125089E-5</v>
      </c>
      <c r="AF168" s="540">
        <v>3.7281812224032238E-5</v>
      </c>
    </row>
    <row r="169" spans="1:32" x14ac:dyDescent="0.25">
      <c r="A169" s="1041"/>
      <c r="B169" s="1041" t="s">
        <v>26</v>
      </c>
      <c r="C169" s="1059"/>
      <c r="D169" s="1059"/>
      <c r="E169" s="1059"/>
      <c r="F169" s="1059"/>
      <c r="G169" s="438"/>
      <c r="H169" s="890">
        <v>3.6480518830507108E-4</v>
      </c>
      <c r="I169" s="890">
        <v>1.2106206572034283E-3</v>
      </c>
      <c r="J169" s="890">
        <v>3.1815433317687394E-3</v>
      </c>
      <c r="K169" s="890">
        <v>4.2304594610979608E-3</v>
      </c>
      <c r="L169" s="890">
        <v>4.2041712412433981E-3</v>
      </c>
      <c r="M169" s="890">
        <v>3.975279486687678E-3</v>
      </c>
      <c r="N169" s="890">
        <v>3.367098301833021E-3</v>
      </c>
      <c r="O169" s="890">
        <v>2.903897502662085E-3</v>
      </c>
      <c r="P169" s="890">
        <v>2.4735737307002752E-3</v>
      </c>
      <c r="Q169" s="890">
        <v>2.0541274437118387E-3</v>
      </c>
      <c r="R169" s="890">
        <v>1.6737677564857092E-3</v>
      </c>
      <c r="S169" s="890">
        <v>1.3490321347870049E-3</v>
      </c>
      <c r="T169" s="890">
        <v>1.0876394665237979E-3</v>
      </c>
      <c r="U169" s="890">
        <v>8.774356452304462E-4</v>
      </c>
      <c r="V169" s="890">
        <v>7.1802002948360706E-4</v>
      </c>
      <c r="W169" s="890">
        <v>5.9797991126287831E-4</v>
      </c>
      <c r="X169" s="890">
        <v>5.0562248450785664E-4</v>
      </c>
      <c r="Y169" s="890">
        <v>4.3541845637572608E-4</v>
      </c>
      <c r="Z169" s="890">
        <v>3.8252376320180873E-4</v>
      </c>
      <c r="AA169" s="890">
        <v>3.425798524312897E-4</v>
      </c>
      <c r="AB169" s="890">
        <v>3.1087033863150672E-4</v>
      </c>
      <c r="AC169" s="890">
        <v>2.8518865629226681E-4</v>
      </c>
      <c r="AD169" s="540">
        <v>2.6404440068946073E-4</v>
      </c>
      <c r="AE169" s="540">
        <v>2.4592933423568794E-4</v>
      </c>
      <c r="AF169" s="540">
        <v>2.2812940164155572E-4</v>
      </c>
    </row>
    <row r="170" spans="1:32" x14ac:dyDescent="0.25">
      <c r="A170" s="1041"/>
      <c r="B170" s="1041" t="s">
        <v>27</v>
      </c>
      <c r="C170" s="1059"/>
      <c r="D170" s="1059"/>
      <c r="E170" s="1059"/>
      <c r="F170" s="1059"/>
      <c r="G170" s="438"/>
      <c r="H170" s="890">
        <v>3.1206545327014879E-2</v>
      </c>
      <c r="I170" s="890">
        <v>2.4613269602513036E-2</v>
      </c>
      <c r="J170" s="890">
        <v>2.5274590813351205E-2</v>
      </c>
      <c r="K170" s="890">
        <v>2.3584980372568114E-2</v>
      </c>
      <c r="L170" s="890">
        <v>2.3255535260421237E-2</v>
      </c>
      <c r="M170" s="890">
        <v>2.2360921660073585E-2</v>
      </c>
      <c r="N170" s="890">
        <v>1.91057004754667E-2</v>
      </c>
      <c r="O170" s="890">
        <v>1.6547971910806619E-2</v>
      </c>
      <c r="P170" s="890">
        <v>1.4044845962949646E-2</v>
      </c>
      <c r="Q170" s="890">
        <v>1.1678896050893138E-2</v>
      </c>
      <c r="R170" s="890">
        <v>9.5880585892805445E-3</v>
      </c>
      <c r="S170" s="890">
        <v>7.781082548966806E-3</v>
      </c>
      <c r="T170" s="890">
        <v>6.321432543128256E-3</v>
      </c>
      <c r="U170" s="890">
        <v>5.1525509580715905E-3</v>
      </c>
      <c r="V170" s="890">
        <v>4.2505411197410964E-3</v>
      </c>
      <c r="W170" s="890">
        <v>3.5779188238918057E-3</v>
      </c>
      <c r="X170" s="890">
        <v>3.0651157410495899E-3</v>
      </c>
      <c r="Y170" s="890">
        <v>2.6802523468292903E-3</v>
      </c>
      <c r="Z170" s="890">
        <v>2.3907465477691144E-3</v>
      </c>
      <c r="AA170" s="890">
        <v>2.1714390237697863E-3</v>
      </c>
      <c r="AB170" s="890">
        <v>2.0041231406106833E-3</v>
      </c>
      <c r="AC170" s="890">
        <v>1.8709138482030023E-3</v>
      </c>
      <c r="AD170" s="540">
        <v>1.7642312025154586E-3</v>
      </c>
      <c r="AE170" s="540">
        <v>1.6767246847658539E-3</v>
      </c>
      <c r="AF170" s="540">
        <v>1.6014515851495385E-3</v>
      </c>
    </row>
    <row r="171" spans="1:32" x14ac:dyDescent="0.25">
      <c r="A171" s="1041"/>
      <c r="B171" s="1041" t="s">
        <v>29</v>
      </c>
      <c r="C171" s="1059"/>
      <c r="D171" s="1059"/>
      <c r="E171" s="1059"/>
      <c r="F171" s="1059"/>
      <c r="G171" s="438"/>
      <c r="H171" s="890">
        <v>5.1954247099287061E-5</v>
      </c>
      <c r="I171" s="890">
        <v>1.8078747638525407E-4</v>
      </c>
      <c r="J171" s="890">
        <v>4.6159239910365088E-4</v>
      </c>
      <c r="K171" s="890">
        <v>1.0867819753765402E-3</v>
      </c>
      <c r="L171" s="890">
        <v>2.1342667619630401E-3</v>
      </c>
      <c r="M171" s="890">
        <v>3.4940976415190205E-3</v>
      </c>
      <c r="N171" s="890">
        <v>4.702419313745744E-3</v>
      </c>
      <c r="O171" s="890">
        <v>5.9606967447223321E-3</v>
      </c>
      <c r="P171" s="890">
        <v>7.0222618402259827E-3</v>
      </c>
      <c r="Q171" s="890">
        <v>7.7903342815318997E-3</v>
      </c>
      <c r="R171" s="890">
        <v>8.2567775337774128E-3</v>
      </c>
      <c r="S171" s="890">
        <v>8.4204511225453825E-3</v>
      </c>
      <c r="T171" s="890">
        <v>8.3898449579516456E-3</v>
      </c>
      <c r="U171" s="890">
        <v>8.1971290007266679E-3</v>
      </c>
      <c r="V171" s="890">
        <v>7.9211648384192191E-3</v>
      </c>
      <c r="W171" s="890">
        <v>7.6438446129477172E-3</v>
      </c>
      <c r="X171" s="890">
        <v>7.3563799214828082E-3</v>
      </c>
      <c r="Y171" s="890">
        <v>7.0954185227304406E-3</v>
      </c>
      <c r="Z171" s="890">
        <v>6.8673753274257196E-3</v>
      </c>
      <c r="AA171" s="890">
        <v>6.6727140509158078E-3</v>
      </c>
      <c r="AB171" s="890">
        <v>6.5176134762326534E-3</v>
      </c>
      <c r="AC171" s="890">
        <v>6.3797655383727187E-3</v>
      </c>
      <c r="AD171" s="540">
        <v>6.2624328675992304E-3</v>
      </c>
      <c r="AE171" s="540">
        <v>6.1618356381778414E-3</v>
      </c>
      <c r="AF171" s="540">
        <v>6.0778998214191336E-3</v>
      </c>
    </row>
    <row r="172" spans="1:32" x14ac:dyDescent="0.25">
      <c r="A172" s="1041"/>
      <c r="B172" s="1041"/>
      <c r="C172" s="1059"/>
      <c r="D172" s="1059"/>
      <c r="E172" s="1059"/>
      <c r="F172" s="1059"/>
      <c r="G172" s="1045"/>
      <c r="H172" s="890"/>
      <c r="I172" s="890"/>
      <c r="J172" s="890"/>
      <c r="K172" s="890"/>
      <c r="L172" s="890"/>
      <c r="M172" s="890"/>
      <c r="N172" s="890"/>
      <c r="O172" s="890"/>
      <c r="P172" s="890"/>
      <c r="Q172" s="890"/>
      <c r="R172" s="890"/>
      <c r="S172" s="890"/>
      <c r="T172" s="890"/>
      <c r="U172" s="890"/>
      <c r="V172" s="890"/>
      <c r="W172" s="890"/>
      <c r="X172" s="890"/>
      <c r="Y172" s="890"/>
      <c r="Z172" s="890"/>
      <c r="AA172" s="890"/>
      <c r="AB172" s="890"/>
      <c r="AC172" s="890"/>
      <c r="AD172" s="1059"/>
      <c r="AE172" s="1059"/>
      <c r="AF172" s="1059"/>
    </row>
    <row r="173" spans="1:32" x14ac:dyDescent="0.25">
      <c r="A173" s="843" t="s">
        <v>32</v>
      </c>
      <c r="B173" s="843"/>
      <c r="C173" s="843"/>
      <c r="D173" s="843"/>
      <c r="E173" s="843"/>
      <c r="F173" s="843"/>
      <c r="G173" s="865"/>
      <c r="H173" s="891"/>
      <c r="I173" s="891"/>
      <c r="J173" s="891"/>
      <c r="K173" s="891"/>
      <c r="L173" s="891"/>
      <c r="M173" s="891"/>
      <c r="N173" s="891"/>
      <c r="O173" s="891"/>
      <c r="P173" s="891"/>
      <c r="Q173" s="891"/>
      <c r="R173" s="891"/>
      <c r="S173" s="891"/>
      <c r="T173" s="891"/>
      <c r="U173" s="891"/>
      <c r="V173" s="891"/>
      <c r="W173" s="891"/>
      <c r="X173" s="891"/>
      <c r="Y173" s="891"/>
      <c r="Z173" s="891"/>
      <c r="AA173" s="891"/>
      <c r="AB173" s="891"/>
      <c r="AC173" s="891"/>
      <c r="AD173" s="843"/>
      <c r="AE173" s="843"/>
      <c r="AF173" s="843"/>
    </row>
    <row r="174" spans="1:32" x14ac:dyDescent="0.25">
      <c r="A174" s="1041"/>
      <c r="B174" s="1041" t="s">
        <v>33</v>
      </c>
      <c r="C174" s="1059"/>
      <c r="D174" s="1059"/>
      <c r="E174" s="1059"/>
      <c r="F174" s="1059"/>
      <c r="G174" s="1045"/>
      <c r="H174" s="890">
        <v>7.1900903541245193E-3</v>
      </c>
      <c r="I174" s="890">
        <v>8.0200334226755796E-3</v>
      </c>
      <c r="J174" s="890">
        <v>8.3035711104829015E-3</v>
      </c>
      <c r="K174" s="890">
        <v>8.0303504411172472E-3</v>
      </c>
      <c r="L174" s="890">
        <v>6.8718820740709804E-3</v>
      </c>
      <c r="M174" s="890">
        <v>5.5584633562592032E-3</v>
      </c>
      <c r="N174" s="890">
        <v>4.2932559940126033E-3</v>
      </c>
      <c r="O174" s="890">
        <v>3.1886657862950155E-3</v>
      </c>
      <c r="P174" s="890">
        <v>2.3077226071538982E-3</v>
      </c>
      <c r="Q174" s="890">
        <v>1.6308015457703654E-3</v>
      </c>
      <c r="R174" s="890">
        <v>1.1487690962903058E-3</v>
      </c>
      <c r="S174" s="890">
        <v>8.1579482465911259E-4</v>
      </c>
      <c r="T174" s="890">
        <v>5.94628641051093E-4</v>
      </c>
      <c r="U174" s="890">
        <v>4.4230357781379996E-4</v>
      </c>
      <c r="V174" s="890">
        <v>3.3902645542847778E-4</v>
      </c>
      <c r="W174" s="890">
        <v>2.6798199966832125E-4</v>
      </c>
      <c r="X174" s="890">
        <v>2.1629704973504129E-4</v>
      </c>
      <c r="Y174" s="890">
        <v>1.7850587428097468E-4</v>
      </c>
      <c r="Z174" s="890">
        <v>1.5078081972684724E-4</v>
      </c>
      <c r="AA174" s="890">
        <v>1.3044044975138008E-4</v>
      </c>
      <c r="AB174" s="890">
        <v>1.1413946943293041E-4</v>
      </c>
      <c r="AC174" s="890">
        <v>1.0119733171362703E-4</v>
      </c>
      <c r="AD174" s="540">
        <v>9.0629186428386945E-5</v>
      </c>
      <c r="AE174" s="540">
        <v>8.1646364316095409E-5</v>
      </c>
      <c r="AF174" s="540">
        <v>7.2964321974882792E-5</v>
      </c>
    </row>
    <row r="175" spans="1:32" x14ac:dyDescent="0.25">
      <c r="A175" s="1043"/>
      <c r="B175" s="1043" t="s">
        <v>34</v>
      </c>
      <c r="C175" s="1059"/>
      <c r="D175" s="1059"/>
      <c r="E175" s="1059"/>
      <c r="F175" s="1059"/>
      <c r="G175" s="1045"/>
      <c r="H175" s="890">
        <v>1.0659675921641283E-2</v>
      </c>
      <c r="I175" s="890">
        <v>1.0413373135943888E-2</v>
      </c>
      <c r="J175" s="890">
        <v>9.3482634201544033E-3</v>
      </c>
      <c r="K175" s="890">
        <v>7.857415871919092E-3</v>
      </c>
      <c r="L175" s="890">
        <v>6.8829525592719546E-3</v>
      </c>
      <c r="M175" s="890">
        <v>5.8008799266804608E-3</v>
      </c>
      <c r="N175" s="890">
        <v>4.6461922143306977E-3</v>
      </c>
      <c r="O175" s="890">
        <v>3.5731283265932594E-3</v>
      </c>
      <c r="P175" s="890">
        <v>2.666654499303589E-3</v>
      </c>
      <c r="Q175" s="890">
        <v>1.953322435244759E-3</v>
      </c>
      <c r="R175" s="890">
        <v>1.4343266741218691E-3</v>
      </c>
      <c r="S175" s="890">
        <v>1.0623065213490241E-3</v>
      </c>
      <c r="T175" s="890">
        <v>8.0779263789011106E-4</v>
      </c>
      <c r="U175" s="890">
        <v>6.279406346104111E-4</v>
      </c>
      <c r="V175" s="890">
        <v>5.0177710570780971E-4</v>
      </c>
      <c r="W175" s="890">
        <v>4.1375957610783031E-4</v>
      </c>
      <c r="X175" s="890">
        <v>3.4884277717329477E-4</v>
      </c>
      <c r="Y175" s="890">
        <v>3.0104704101705404E-4</v>
      </c>
      <c r="Z175" s="890">
        <v>2.6572189826592888E-4</v>
      </c>
      <c r="AA175" s="890">
        <v>2.3980976586665585E-4</v>
      </c>
      <c r="AB175" s="890">
        <v>2.1938357968921397E-4</v>
      </c>
      <c r="AC175" s="890">
        <v>2.0338462275943487E-4</v>
      </c>
      <c r="AD175" s="540">
        <v>1.905667031096814E-4</v>
      </c>
      <c r="AE175" s="540">
        <v>1.7989556386669936E-4</v>
      </c>
      <c r="AF175" s="540">
        <v>1.6979254739499521E-4</v>
      </c>
    </row>
    <row r="176" spans="1:32" x14ac:dyDescent="0.25">
      <c r="A176" s="1041"/>
      <c r="B176" s="1043" t="s">
        <v>35</v>
      </c>
      <c r="C176" s="1059"/>
      <c r="D176" s="1059"/>
      <c r="E176" s="1059"/>
      <c r="F176" s="1059"/>
      <c r="G176" s="1045"/>
      <c r="H176" s="890">
        <v>2.0383352656568919E-3</v>
      </c>
      <c r="I176" s="890">
        <v>2.2128433906164618E-3</v>
      </c>
      <c r="J176" s="890">
        <v>2.3111285583404988E-3</v>
      </c>
      <c r="K176" s="890">
        <v>2.3287237820320641E-3</v>
      </c>
      <c r="L176" s="890">
        <v>2.0513271717663415E-3</v>
      </c>
      <c r="M176" s="890">
        <v>1.7639805869329897E-3</v>
      </c>
      <c r="N176" s="890">
        <v>1.4333507646512105E-3</v>
      </c>
      <c r="O176" s="890">
        <v>1.1155919128759116E-3</v>
      </c>
      <c r="P176" s="890">
        <v>8.3882132281082821E-4</v>
      </c>
      <c r="Q176" s="890">
        <v>6.2133812050360138E-4</v>
      </c>
      <c r="R176" s="890">
        <v>4.6328054796170655E-4</v>
      </c>
      <c r="S176" s="890">
        <v>3.4831158048618041E-4</v>
      </c>
      <c r="T176" s="890">
        <v>2.6883037852376085E-4</v>
      </c>
      <c r="U176" s="890">
        <v>2.1233625528839595E-4</v>
      </c>
      <c r="V176" s="890">
        <v>1.7202106668519779E-4</v>
      </c>
      <c r="W176" s="890">
        <v>1.4388385031055816E-4</v>
      </c>
      <c r="X176" s="890">
        <v>1.2316042523845028E-4</v>
      </c>
      <c r="Y176" s="890">
        <v>1.079873791848775E-4</v>
      </c>
      <c r="Z176" s="890">
        <v>9.6779774727947176E-5</v>
      </c>
      <c r="AA176" s="890">
        <v>8.856649548570137E-5</v>
      </c>
      <c r="AB176" s="890">
        <v>8.2281803372556516E-5</v>
      </c>
      <c r="AC176" s="890">
        <v>7.7464059906318556E-5</v>
      </c>
      <c r="AD176" s="540">
        <v>7.3726565018486132E-5</v>
      </c>
      <c r="AE176" s="540">
        <v>7.0761685135693671E-5</v>
      </c>
      <c r="AF176" s="540">
        <v>6.8272170860977533E-5</v>
      </c>
    </row>
    <row r="177" spans="1:32" x14ac:dyDescent="0.25">
      <c r="A177" s="1041"/>
      <c r="B177" s="1043" t="s">
        <v>29</v>
      </c>
      <c r="C177" s="1059"/>
      <c r="D177" s="1059"/>
      <c r="E177" s="1059"/>
      <c r="F177" s="1059"/>
      <c r="G177" s="1045"/>
      <c r="H177" s="890">
        <v>1.692145662959936E-4</v>
      </c>
      <c r="I177" s="890">
        <v>6.3819491432094125E-4</v>
      </c>
      <c r="J177" s="890">
        <v>1.3492534099272698E-3</v>
      </c>
      <c r="K177" s="890">
        <v>2.1942127312596506E-3</v>
      </c>
      <c r="L177" s="890">
        <v>2.9695592603007268E-3</v>
      </c>
      <c r="M177" s="890">
        <v>3.6633296670975295E-3</v>
      </c>
      <c r="N177" s="890">
        <v>4.1201009247690988E-3</v>
      </c>
      <c r="O177" s="890">
        <v>4.3098730003537922E-3</v>
      </c>
      <c r="P177" s="890">
        <v>4.2599476310948969E-3</v>
      </c>
      <c r="Q177" s="890">
        <v>4.0480403344695711E-3</v>
      </c>
      <c r="R177" s="890">
        <v>3.7900109313570981E-3</v>
      </c>
      <c r="S177" s="890">
        <v>3.5223876412045314E-3</v>
      </c>
      <c r="T177" s="890">
        <v>3.3115383978536183E-3</v>
      </c>
      <c r="U177" s="890">
        <v>3.1342428014296845E-3</v>
      </c>
      <c r="V177" s="890">
        <v>2.9931732507171467E-3</v>
      </c>
      <c r="W177" s="890">
        <v>2.897640978236667E-3</v>
      </c>
      <c r="X177" s="890">
        <v>2.8138033236784783E-3</v>
      </c>
      <c r="Y177" s="890">
        <v>2.7453486721592964E-3</v>
      </c>
      <c r="Z177" s="890">
        <v>2.6885469671141778E-3</v>
      </c>
      <c r="AA177" s="890">
        <v>2.6449809536845999E-3</v>
      </c>
      <c r="AB177" s="890">
        <v>2.6040658282909628E-3</v>
      </c>
      <c r="AC177" s="890">
        <v>2.5670774306645514E-3</v>
      </c>
      <c r="AD177" s="540">
        <v>2.5338372367744505E-3</v>
      </c>
      <c r="AE177" s="540">
        <v>2.5036077798504478E-3</v>
      </c>
      <c r="AF177" s="540">
        <v>2.4772863081770589E-3</v>
      </c>
    </row>
    <row r="178" spans="1:32" x14ac:dyDescent="0.25">
      <c r="A178" s="1041"/>
      <c r="B178" s="1041"/>
      <c r="C178" s="1059"/>
      <c r="D178" s="1059"/>
      <c r="E178" s="1059"/>
      <c r="F178" s="1059"/>
      <c r="G178" s="1045"/>
      <c r="H178" s="890"/>
      <c r="I178" s="890"/>
      <c r="J178" s="890"/>
      <c r="K178" s="890"/>
      <c r="L178" s="890"/>
      <c r="M178" s="890"/>
      <c r="N178" s="890"/>
      <c r="O178" s="890"/>
      <c r="P178" s="890"/>
      <c r="Q178" s="890"/>
      <c r="R178" s="890"/>
      <c r="S178" s="890"/>
      <c r="T178" s="890"/>
      <c r="U178" s="890"/>
      <c r="V178" s="890"/>
      <c r="W178" s="890"/>
      <c r="X178" s="890"/>
      <c r="Y178" s="890"/>
      <c r="Z178" s="890"/>
      <c r="AA178" s="890"/>
      <c r="AB178" s="890"/>
      <c r="AC178" s="890"/>
      <c r="AD178" s="1059"/>
      <c r="AE178" s="1059"/>
      <c r="AF178" s="1059"/>
    </row>
    <row r="179" spans="1:32" x14ac:dyDescent="0.25">
      <c r="A179" s="843" t="s">
        <v>36</v>
      </c>
      <c r="B179" s="843"/>
      <c r="C179" s="843"/>
      <c r="D179" s="843"/>
      <c r="E179" s="843"/>
      <c r="F179" s="843"/>
      <c r="G179" s="865"/>
      <c r="H179" s="891"/>
      <c r="I179" s="891"/>
      <c r="J179" s="891"/>
      <c r="K179" s="891"/>
      <c r="L179" s="891"/>
      <c r="M179" s="891"/>
      <c r="N179" s="891"/>
      <c r="O179" s="891"/>
      <c r="P179" s="891"/>
      <c r="Q179" s="891"/>
      <c r="R179" s="891"/>
      <c r="S179" s="891"/>
      <c r="T179" s="891"/>
      <c r="U179" s="891"/>
      <c r="V179" s="891"/>
      <c r="W179" s="891"/>
      <c r="X179" s="891"/>
      <c r="Y179" s="891"/>
      <c r="Z179" s="891"/>
      <c r="AA179" s="891"/>
      <c r="AB179" s="891"/>
      <c r="AC179" s="891"/>
      <c r="AD179" s="843"/>
      <c r="AE179" s="843"/>
      <c r="AF179" s="843"/>
    </row>
    <row r="180" spans="1:32" x14ac:dyDescent="0.25">
      <c r="A180" s="1041"/>
      <c r="B180" s="1041" t="s">
        <v>37</v>
      </c>
      <c r="C180" s="1059"/>
      <c r="D180" s="1059"/>
      <c r="E180" s="1059"/>
      <c r="F180" s="1059"/>
      <c r="G180" s="540"/>
      <c r="H180" s="890">
        <v>2.206547461867864</v>
      </c>
      <c r="I180" s="890">
        <v>1.3729349804882685</v>
      </c>
      <c r="J180" s="890">
        <v>0.65567773743392443</v>
      </c>
      <c r="K180" s="890">
        <v>0.13101649290309736</v>
      </c>
      <c r="L180" s="890">
        <v>9.1194374027874905E-2</v>
      </c>
      <c r="M180" s="890">
        <v>6.2831750657389232E-2</v>
      </c>
      <c r="N180" s="890">
        <v>4.3247080706160713E-2</v>
      </c>
      <c r="O180" s="890">
        <v>3.0688239925624722E-2</v>
      </c>
      <c r="P180" s="890">
        <v>2.1844782297142696E-2</v>
      </c>
      <c r="Q180" s="890">
        <v>1.5597501453041271E-2</v>
      </c>
      <c r="R180" s="890">
        <v>1.1173424049206682E-2</v>
      </c>
      <c r="S180" s="890">
        <v>8.0346107813574486E-3</v>
      </c>
      <c r="T180" s="890">
        <v>5.8036553489769632E-3</v>
      </c>
      <c r="U180" s="890">
        <v>4.2146980614452588E-3</v>
      </c>
      <c r="V180" s="890">
        <v>3.0780860082032921E-3</v>
      </c>
      <c r="W180" s="890">
        <v>2.2633469668161856E-3</v>
      </c>
      <c r="X180" s="890">
        <v>1.6774493160245665E-3</v>
      </c>
      <c r="Y180" s="890">
        <v>1.2520542422684497E-3</v>
      </c>
      <c r="Z180" s="890">
        <v>9.4364197703768529E-4</v>
      </c>
      <c r="AA180" s="890">
        <v>7.2013718942864446E-4</v>
      </c>
      <c r="AB180" s="890">
        <v>5.5471777663623756E-4</v>
      </c>
      <c r="AC180" s="890">
        <v>4.3274319399071756E-4</v>
      </c>
      <c r="AD180" s="540">
        <v>3.4273349346388001E-4</v>
      </c>
      <c r="AE180" s="540">
        <v>2.7443801685833765E-4</v>
      </c>
      <c r="AF180" s="540">
        <v>2.215098831480459E-4</v>
      </c>
    </row>
    <row r="181" spans="1:32" x14ac:dyDescent="0.25">
      <c r="A181" s="1041"/>
      <c r="B181" s="1041" t="s">
        <v>39</v>
      </c>
      <c r="C181" s="1059"/>
      <c r="D181" s="1059"/>
      <c r="E181" s="1059"/>
      <c r="F181" s="1059"/>
      <c r="G181" s="540"/>
      <c r="H181" s="890">
        <v>10.659991735414296</v>
      </c>
      <c r="I181" s="890">
        <v>10.909828867676815</v>
      </c>
      <c r="J181" s="890">
        <v>11.002248855686297</v>
      </c>
      <c r="K181" s="890">
        <v>10.936150310122731</v>
      </c>
      <c r="L181" s="890">
        <v>10.556704384731589</v>
      </c>
      <c r="M181" s="890">
        <v>10.194145496307765</v>
      </c>
      <c r="N181" s="890">
        <v>9.8183652086622679</v>
      </c>
      <c r="O181" s="890">
        <v>9.4000917505630763</v>
      </c>
      <c r="P181" s="890">
        <v>8.984520039190393</v>
      </c>
      <c r="Q181" s="890">
        <v>8.5756000928145735</v>
      </c>
      <c r="R181" s="890">
        <v>8.1789232152552689</v>
      </c>
      <c r="S181" s="890">
        <v>7.7923514599882324</v>
      </c>
      <c r="T181" s="890">
        <v>7.3997127387669472</v>
      </c>
      <c r="U181" s="890">
        <v>7.0441533184296787</v>
      </c>
      <c r="V181" s="890">
        <v>6.6888788910884935</v>
      </c>
      <c r="W181" s="890">
        <v>6.3567074833265753</v>
      </c>
      <c r="X181" s="890">
        <v>6.0575169120485768</v>
      </c>
      <c r="Y181" s="890">
        <v>5.7647661479396177</v>
      </c>
      <c r="Z181" s="890">
        <v>5.4928658190206541</v>
      </c>
      <c r="AA181" s="890">
        <v>5.2498063182061401</v>
      </c>
      <c r="AB181" s="890">
        <v>5.0137585408955871</v>
      </c>
      <c r="AC181" s="890">
        <v>4.7949129289199472</v>
      </c>
      <c r="AD181" s="540">
        <v>4.5978383786537611</v>
      </c>
      <c r="AE181" s="540">
        <v>4.4075269887676285</v>
      </c>
      <c r="AF181" s="540">
        <v>4.2290641290516415</v>
      </c>
    </row>
    <row r="182" spans="1:32" x14ac:dyDescent="0.25">
      <c r="A182" s="1041"/>
      <c r="B182" s="1041" t="s">
        <v>40</v>
      </c>
      <c r="C182" s="1059"/>
      <c r="D182" s="1059"/>
      <c r="E182" s="1059"/>
      <c r="F182" s="1059"/>
      <c r="G182" s="540"/>
      <c r="H182" s="890">
        <v>2.2546311067811087</v>
      </c>
      <c r="I182" s="890">
        <v>2.5770363090096513</v>
      </c>
      <c r="J182" s="890">
        <v>2.9370804293664481</v>
      </c>
      <c r="K182" s="890">
        <v>3.2590713477110453</v>
      </c>
      <c r="L182" s="890">
        <v>3.4024919413396342</v>
      </c>
      <c r="M182" s="890">
        <v>3.5100445233127173</v>
      </c>
      <c r="N182" s="890">
        <v>3.5832595942543999</v>
      </c>
      <c r="O182" s="890">
        <v>3.6704751091093231</v>
      </c>
      <c r="P182" s="890">
        <v>3.7269722453047853</v>
      </c>
      <c r="Q182" s="890">
        <v>3.7482875765894614</v>
      </c>
      <c r="R182" s="890">
        <v>3.7381917364337696</v>
      </c>
      <c r="S182" s="890">
        <v>3.7010129554880762</v>
      </c>
      <c r="T182" s="890">
        <v>3.6294313573342873</v>
      </c>
      <c r="U182" s="890">
        <v>3.5536656306798973</v>
      </c>
      <c r="V182" s="890">
        <v>3.4567051687526158</v>
      </c>
      <c r="W182" s="890">
        <v>3.3545068786982979</v>
      </c>
      <c r="X182" s="890">
        <v>3.2567202805553976</v>
      </c>
      <c r="Y182" s="890">
        <v>3.1491390387043428</v>
      </c>
      <c r="Z182" s="890">
        <v>3.0434485549136983</v>
      </c>
      <c r="AA182" s="890">
        <v>2.9468735296566395</v>
      </c>
      <c r="AB182" s="890">
        <v>2.8459604191845096</v>
      </c>
      <c r="AC182" s="890">
        <v>2.7487676650721049</v>
      </c>
      <c r="AD182" s="540">
        <v>2.6589553141655893</v>
      </c>
      <c r="AE182" s="540">
        <v>2.5680242562946227</v>
      </c>
      <c r="AF182" s="540">
        <v>2.478025184406186</v>
      </c>
    </row>
    <row r="183" spans="1:32" x14ac:dyDescent="0.25">
      <c r="A183" s="1041"/>
      <c r="B183" s="1041" t="s">
        <v>29</v>
      </c>
      <c r="C183" s="1059"/>
      <c r="D183" s="1059"/>
      <c r="E183" s="1059"/>
      <c r="F183" s="1059"/>
      <c r="G183" s="1045"/>
      <c r="H183" s="890">
        <v>3.0187896729467038E-6</v>
      </c>
      <c r="I183" s="890">
        <v>1.7906422276534452E-4</v>
      </c>
      <c r="J183" s="890">
        <v>1.9029460349454718E-3</v>
      </c>
      <c r="K183" s="890">
        <v>9.0357762291556031E-3</v>
      </c>
      <c r="L183" s="890">
        <v>2.7969118594186576E-2</v>
      </c>
      <c r="M183" s="890">
        <v>6.6316035011423247E-2</v>
      </c>
      <c r="N183" s="890">
        <v>0.13061165292235116</v>
      </c>
      <c r="O183" s="890">
        <v>0.21846052715126593</v>
      </c>
      <c r="P183" s="890">
        <v>0.32912995943949402</v>
      </c>
      <c r="Q183" s="890">
        <v>0.45982682675726178</v>
      </c>
      <c r="R183" s="890">
        <v>0.60279979685957985</v>
      </c>
      <c r="S183" s="890">
        <v>0.75242648568312764</v>
      </c>
      <c r="T183" s="890">
        <v>0.89863609543576906</v>
      </c>
      <c r="U183" s="890">
        <v>1.0454500587925029</v>
      </c>
      <c r="V183" s="890">
        <v>1.1758406357048916</v>
      </c>
      <c r="W183" s="890">
        <v>1.2961524503891293</v>
      </c>
      <c r="X183" s="890">
        <v>1.4109054693091707</v>
      </c>
      <c r="Y183" s="890">
        <v>1.5061881031295057</v>
      </c>
      <c r="Z183" s="890">
        <v>1.5889878762297456</v>
      </c>
      <c r="AA183" s="890">
        <v>1.6688061192630843</v>
      </c>
      <c r="AB183" s="890">
        <v>1.7311562542960974</v>
      </c>
      <c r="AC183" s="890">
        <v>1.7850176301990528</v>
      </c>
      <c r="AD183" s="540">
        <v>1.8394120483567757</v>
      </c>
      <c r="AE183" s="540">
        <v>1.880538674185648</v>
      </c>
      <c r="AF183" s="540">
        <v>1.9207349834432192</v>
      </c>
    </row>
    <row r="184" spans="1:32" x14ac:dyDescent="0.25">
      <c r="A184" s="1041"/>
      <c r="B184" s="1041"/>
      <c r="C184" s="1059"/>
      <c r="D184" s="1059"/>
      <c r="E184" s="1059"/>
      <c r="F184" s="1059"/>
      <c r="G184" s="1045"/>
      <c r="H184" s="890"/>
      <c r="I184" s="890"/>
      <c r="J184" s="890"/>
      <c r="K184" s="890"/>
      <c r="L184" s="890"/>
      <c r="M184" s="890"/>
      <c r="N184" s="890"/>
      <c r="O184" s="890"/>
      <c r="P184" s="890"/>
      <c r="Q184" s="890"/>
      <c r="R184" s="890"/>
      <c r="S184" s="890"/>
      <c r="T184" s="890"/>
      <c r="U184" s="890"/>
      <c r="V184" s="890"/>
      <c r="W184" s="890"/>
      <c r="X184" s="890"/>
      <c r="Y184" s="890"/>
      <c r="Z184" s="890"/>
      <c r="AA184" s="890"/>
      <c r="AB184" s="890"/>
      <c r="AC184" s="890"/>
      <c r="AD184" s="1059"/>
      <c r="AE184" s="1059"/>
      <c r="AF184" s="1059"/>
    </row>
    <row r="185" spans="1:32" x14ac:dyDescent="0.25">
      <c r="A185" s="843" t="s">
        <v>42</v>
      </c>
      <c r="B185" s="843"/>
      <c r="C185" s="843"/>
      <c r="D185" s="843"/>
      <c r="E185" s="843"/>
      <c r="F185" s="843"/>
      <c r="G185" s="865"/>
      <c r="H185" s="891"/>
      <c r="I185" s="891"/>
      <c r="J185" s="891"/>
      <c r="K185" s="891"/>
      <c r="L185" s="891"/>
      <c r="M185" s="891"/>
      <c r="N185" s="891"/>
      <c r="O185" s="891"/>
      <c r="P185" s="891"/>
      <c r="Q185" s="891"/>
      <c r="R185" s="891"/>
      <c r="S185" s="891"/>
      <c r="T185" s="891"/>
      <c r="U185" s="891"/>
      <c r="V185" s="891"/>
      <c r="W185" s="891"/>
      <c r="X185" s="891"/>
      <c r="Y185" s="891"/>
      <c r="Z185" s="891"/>
      <c r="AA185" s="891"/>
      <c r="AB185" s="891"/>
      <c r="AC185" s="891"/>
      <c r="AD185" s="843"/>
      <c r="AE185" s="843"/>
      <c r="AF185" s="843"/>
    </row>
    <row r="186" spans="1:32" x14ac:dyDescent="0.25">
      <c r="A186" s="1041"/>
      <c r="B186" s="1043" t="s">
        <v>43</v>
      </c>
      <c r="C186" s="1059"/>
      <c r="D186" s="1059"/>
      <c r="E186" s="1059"/>
      <c r="F186" s="1059"/>
      <c r="G186" s="1045"/>
      <c r="H186" s="890">
        <v>1.0789778073273766</v>
      </c>
      <c r="I186" s="890">
        <v>0.97021414055177435</v>
      </c>
      <c r="J186" s="890">
        <v>0.87396609947223303</v>
      </c>
      <c r="K186" s="890">
        <v>0.78858463426502767</v>
      </c>
      <c r="L186" s="890">
        <v>0.71274492327130479</v>
      </c>
      <c r="M186" s="890">
        <v>0.6449996551700814</v>
      </c>
      <c r="N186" s="890">
        <v>0.58484155259439907</v>
      </c>
      <c r="O186" s="890">
        <v>0.53109192430152696</v>
      </c>
      <c r="P186" s="890">
        <v>0.48333316639209817</v>
      </c>
      <c r="Q186" s="890">
        <v>0.44065937837559338</v>
      </c>
      <c r="R186" s="890">
        <v>0.40266520935196531</v>
      </c>
      <c r="S186" s="890">
        <v>0.36897743336909605</v>
      </c>
      <c r="T186" s="890">
        <v>0.33896672484716617</v>
      </c>
      <c r="U186" s="890">
        <v>0.31235427549869843</v>
      </c>
      <c r="V186" s="890">
        <v>0.28880616461040576</v>
      </c>
      <c r="W186" s="890">
        <v>0.26796170200517144</v>
      </c>
      <c r="X186" s="890">
        <v>0.24947999134149901</v>
      </c>
      <c r="Y186" s="890">
        <v>0.23310704216340788</v>
      </c>
      <c r="Z186" s="890">
        <v>0.21858450621857789</v>
      </c>
      <c r="AA186" s="890">
        <v>0.20568136625678163</v>
      </c>
      <c r="AB186" s="890">
        <v>0.1941515949060747</v>
      </c>
      <c r="AC186" s="890">
        <v>0.18387572471025282</v>
      </c>
      <c r="AD186" s="540">
        <v>0.17469770317841365</v>
      </c>
      <c r="AE186" s="540">
        <v>0.16648049214262606</v>
      </c>
      <c r="AF186" s="540">
        <v>0.15909667213280132</v>
      </c>
    </row>
    <row r="187" spans="1:32" x14ac:dyDescent="0.25">
      <c r="A187" s="1041"/>
      <c r="B187" s="1043" t="s">
        <v>44</v>
      </c>
      <c r="C187" s="1059"/>
      <c r="D187" s="1059"/>
      <c r="E187" s="1059"/>
      <c r="F187" s="1059"/>
      <c r="G187" s="1045"/>
      <c r="H187" s="890">
        <v>22.404094876483285</v>
      </c>
      <c r="I187" s="890">
        <v>22.259753583061897</v>
      </c>
      <c r="J187" s="890">
        <v>21.990274334885875</v>
      </c>
      <c r="K187" s="890">
        <v>21.611976242206367</v>
      </c>
      <c r="L187" s="890">
        <v>21.088583788420664</v>
      </c>
      <c r="M187" s="890">
        <v>20.473159386816413</v>
      </c>
      <c r="N187" s="890">
        <v>19.831095997208408</v>
      </c>
      <c r="O187" s="890">
        <v>19.147021626429716</v>
      </c>
      <c r="P187" s="890">
        <v>18.469163671712806</v>
      </c>
      <c r="Q187" s="890">
        <v>17.784886774220926</v>
      </c>
      <c r="R187" s="890">
        <v>17.121550095462403</v>
      </c>
      <c r="S187" s="890">
        <v>16.49993689520506</v>
      </c>
      <c r="T187" s="890">
        <v>15.906669448092865</v>
      </c>
      <c r="U187" s="890">
        <v>15.348611724929736</v>
      </c>
      <c r="V187" s="890">
        <v>14.841240069443252</v>
      </c>
      <c r="W187" s="890">
        <v>14.373911368872228</v>
      </c>
      <c r="X187" s="890">
        <v>13.942741396669694</v>
      </c>
      <c r="Y187" s="890">
        <v>13.548588931202003</v>
      </c>
      <c r="Z187" s="890">
        <v>13.18779414444553</v>
      </c>
      <c r="AA187" s="890">
        <v>12.860490049239775</v>
      </c>
      <c r="AB187" s="890">
        <v>12.553776799110345</v>
      </c>
      <c r="AC187" s="890">
        <v>12.270469653543348</v>
      </c>
      <c r="AD187" s="540">
        <v>12.007660626418753</v>
      </c>
      <c r="AE187" s="540">
        <v>11.762752909437431</v>
      </c>
      <c r="AF187" s="540">
        <v>11.533300291247912</v>
      </c>
    </row>
    <row r="188" spans="1:32" x14ac:dyDescent="0.25">
      <c r="A188" s="1041"/>
      <c r="B188" s="1043" t="s">
        <v>45</v>
      </c>
      <c r="C188" s="1059"/>
      <c r="D188" s="1059"/>
      <c r="E188" s="1059"/>
      <c r="F188" s="1059"/>
      <c r="G188" s="1045"/>
      <c r="H188" s="890">
        <v>2.2664163807294893</v>
      </c>
      <c r="I188" s="890">
        <v>1.9956841167513097</v>
      </c>
      <c r="J188" s="890">
        <v>1.7589854525323889</v>
      </c>
      <c r="K188" s="890">
        <v>1.5518410951424912</v>
      </c>
      <c r="L188" s="890">
        <v>1.370397316047907</v>
      </c>
      <c r="M188" s="890">
        <v>1.209750181425552</v>
      </c>
      <c r="N188" s="890">
        <v>1.0690874942173332</v>
      </c>
      <c r="O188" s="890">
        <v>0.94568300112829196</v>
      </c>
      <c r="P188" s="890">
        <v>0.83750345430578443</v>
      </c>
      <c r="Q188" s="890">
        <v>0.74249844627740735</v>
      </c>
      <c r="R188" s="890">
        <v>0.65909687328520528</v>
      </c>
      <c r="S188" s="890">
        <v>0.5859120439096438</v>
      </c>
      <c r="T188" s="890">
        <v>0.52157990094275164</v>
      </c>
      <c r="U188" s="890">
        <v>0.46522970401669028</v>
      </c>
      <c r="V188" s="890">
        <v>0.41570958718203127</v>
      </c>
      <c r="W188" s="890">
        <v>0.37228201479159362</v>
      </c>
      <c r="X188" s="890">
        <v>0.33414575517221823</v>
      </c>
      <c r="Y188" s="890">
        <v>0.30063383275743089</v>
      </c>
      <c r="Z188" s="890">
        <v>0.27145400274684744</v>
      </c>
      <c r="AA188" s="890">
        <v>0.24538222887918021</v>
      </c>
      <c r="AB188" s="890">
        <v>0.2223662384598861</v>
      </c>
      <c r="AC188" s="890">
        <v>0.20204758335186396</v>
      </c>
      <c r="AD188" s="540">
        <v>0.18408635402624274</v>
      </c>
      <c r="AE188" s="540">
        <v>0.16818777131754697</v>
      </c>
      <c r="AF188" s="540">
        <v>0.15409545779092113</v>
      </c>
    </row>
    <row r="189" spans="1:32" x14ac:dyDescent="0.25">
      <c r="A189" s="1041"/>
      <c r="B189" s="1043" t="s">
        <v>46</v>
      </c>
      <c r="C189" s="1059"/>
      <c r="D189" s="1059"/>
      <c r="E189" s="1059"/>
      <c r="F189" s="1059"/>
      <c r="G189" s="1045"/>
      <c r="H189" s="890">
        <v>0</v>
      </c>
      <c r="I189" s="890">
        <v>0</v>
      </c>
      <c r="J189" s="890">
        <v>0</v>
      </c>
      <c r="K189" s="890">
        <v>0</v>
      </c>
      <c r="L189" s="890">
        <v>0</v>
      </c>
      <c r="M189" s="890">
        <v>0</v>
      </c>
      <c r="N189" s="890">
        <v>0</v>
      </c>
      <c r="O189" s="890">
        <v>0</v>
      </c>
      <c r="P189" s="890">
        <v>0</v>
      </c>
      <c r="Q189" s="890">
        <v>0</v>
      </c>
      <c r="R189" s="890">
        <v>0</v>
      </c>
      <c r="S189" s="890">
        <v>0</v>
      </c>
      <c r="T189" s="890">
        <v>0</v>
      </c>
      <c r="U189" s="890">
        <v>0</v>
      </c>
      <c r="V189" s="890">
        <v>0</v>
      </c>
      <c r="W189" s="890">
        <v>0</v>
      </c>
      <c r="X189" s="890">
        <v>0</v>
      </c>
      <c r="Y189" s="890">
        <v>0</v>
      </c>
      <c r="Z189" s="890">
        <v>0</v>
      </c>
      <c r="AA189" s="890">
        <v>0</v>
      </c>
      <c r="AB189" s="890">
        <v>0</v>
      </c>
      <c r="AC189" s="890">
        <v>0</v>
      </c>
      <c r="AD189" s="540">
        <v>0</v>
      </c>
      <c r="AE189" s="540">
        <v>0</v>
      </c>
      <c r="AF189" s="540">
        <v>0</v>
      </c>
    </row>
    <row r="190" spans="1:32" x14ac:dyDescent="0.25">
      <c r="A190" s="1041"/>
      <c r="B190" s="1041" t="s">
        <v>29</v>
      </c>
      <c r="C190" s="1059"/>
      <c r="D190" s="1059"/>
      <c r="E190" s="1059"/>
      <c r="F190" s="1059"/>
      <c r="G190" s="1045"/>
      <c r="H190" s="890">
        <v>0.53912874927269128</v>
      </c>
      <c r="I190" s="890">
        <v>0.77058971075244509</v>
      </c>
      <c r="J190" s="890">
        <v>1.030185996947276</v>
      </c>
      <c r="K190" s="890">
        <v>1.3115235107786001</v>
      </c>
      <c r="L190" s="890">
        <v>1.6031167915903732</v>
      </c>
      <c r="M190" s="890">
        <v>1.8848608663401105</v>
      </c>
      <c r="N190" s="890">
        <v>2.1615189092843021</v>
      </c>
      <c r="O190" s="890">
        <v>2.4100162616667142</v>
      </c>
      <c r="P190" s="890">
        <v>2.6402348457605687</v>
      </c>
      <c r="Q190" s="890">
        <v>2.831252817852679</v>
      </c>
      <c r="R190" s="890">
        <v>2.990414555292026</v>
      </c>
      <c r="S190" s="890">
        <v>3.1259144069374729</v>
      </c>
      <c r="T190" s="890">
        <v>3.222727853036524</v>
      </c>
      <c r="U190" s="890">
        <v>3.2832076509614421</v>
      </c>
      <c r="V190" s="890">
        <v>3.3319427438440226</v>
      </c>
      <c r="W190" s="890">
        <v>3.357285857055337</v>
      </c>
      <c r="X190" s="890">
        <v>3.3634558015690845</v>
      </c>
      <c r="Y190" s="890">
        <v>3.3591252073931672</v>
      </c>
      <c r="Z190" s="890">
        <v>3.3467040952585969</v>
      </c>
      <c r="AA190" s="890">
        <v>3.3360537992849375</v>
      </c>
      <c r="AB190" s="890">
        <v>3.3127010859728143</v>
      </c>
      <c r="AC190" s="890">
        <v>3.2858307536195488</v>
      </c>
      <c r="AD190" s="540">
        <v>3.2563205000180488</v>
      </c>
      <c r="AE190" s="540">
        <v>3.2248572761963104</v>
      </c>
      <c r="AF190" s="540">
        <v>3.1921386370944109</v>
      </c>
    </row>
    <row r="191" spans="1:32" x14ac:dyDescent="0.25">
      <c r="A191" s="1041"/>
      <c r="B191" s="1041"/>
      <c r="C191" s="1059"/>
      <c r="D191" s="1059"/>
      <c r="E191" s="1059"/>
      <c r="F191" s="1059"/>
      <c r="G191" s="1045"/>
      <c r="H191" s="890"/>
      <c r="I191" s="890"/>
      <c r="J191" s="890"/>
      <c r="K191" s="890"/>
      <c r="L191" s="890"/>
      <c r="M191" s="890"/>
      <c r="N191" s="890"/>
      <c r="O191" s="890"/>
      <c r="P191" s="890"/>
      <c r="Q191" s="890"/>
      <c r="R191" s="890"/>
      <c r="S191" s="890"/>
      <c r="T191" s="890"/>
      <c r="U191" s="890"/>
      <c r="V191" s="890"/>
      <c r="W191" s="890"/>
      <c r="X191" s="890"/>
      <c r="Y191" s="890"/>
      <c r="Z191" s="890"/>
      <c r="AA191" s="890"/>
      <c r="AB191" s="890"/>
      <c r="AC191" s="890"/>
      <c r="AD191" s="1059"/>
      <c r="AE191" s="1059"/>
      <c r="AF191" s="1059"/>
    </row>
    <row r="192" spans="1:32" x14ac:dyDescent="0.25">
      <c r="A192" s="843" t="s">
        <v>47</v>
      </c>
      <c r="B192" s="843"/>
      <c r="C192" s="843"/>
      <c r="D192" s="843"/>
      <c r="E192" s="843"/>
      <c r="F192" s="843"/>
      <c r="G192" s="865"/>
      <c r="H192" s="891"/>
      <c r="I192" s="891"/>
      <c r="J192" s="891"/>
      <c r="K192" s="891"/>
      <c r="L192" s="891"/>
      <c r="M192" s="891"/>
      <c r="N192" s="891"/>
      <c r="O192" s="891"/>
      <c r="P192" s="891"/>
      <c r="Q192" s="891"/>
      <c r="R192" s="891"/>
      <c r="S192" s="891"/>
      <c r="T192" s="891"/>
      <c r="U192" s="891"/>
      <c r="V192" s="891"/>
      <c r="W192" s="891"/>
      <c r="X192" s="891"/>
      <c r="Y192" s="891"/>
      <c r="Z192" s="891"/>
      <c r="AA192" s="891"/>
      <c r="AB192" s="891"/>
      <c r="AC192" s="891"/>
      <c r="AD192" s="843"/>
      <c r="AE192" s="843"/>
      <c r="AF192" s="843"/>
    </row>
    <row r="193" spans="1:32" x14ac:dyDescent="0.25">
      <c r="A193" s="1041"/>
      <c r="B193" s="1041" t="s">
        <v>48</v>
      </c>
      <c r="C193" s="1059"/>
      <c r="D193" s="1059"/>
      <c r="E193" s="1059"/>
      <c r="F193" s="1059"/>
      <c r="G193" s="1045"/>
      <c r="H193" s="890">
        <v>0</v>
      </c>
      <c r="I193" s="890">
        <v>0</v>
      </c>
      <c r="J193" s="890">
        <v>0</v>
      </c>
      <c r="K193" s="890">
        <v>0</v>
      </c>
      <c r="L193" s="890">
        <v>0</v>
      </c>
      <c r="M193" s="890">
        <v>0</v>
      </c>
      <c r="N193" s="890">
        <v>0</v>
      </c>
      <c r="O193" s="890">
        <v>0</v>
      </c>
      <c r="P193" s="890">
        <v>0</v>
      </c>
      <c r="Q193" s="890">
        <v>0</v>
      </c>
      <c r="R193" s="890">
        <v>0</v>
      </c>
      <c r="S193" s="890">
        <v>0</v>
      </c>
      <c r="T193" s="890">
        <v>0</v>
      </c>
      <c r="U193" s="890">
        <v>0</v>
      </c>
      <c r="V193" s="890">
        <v>0</v>
      </c>
      <c r="W193" s="890">
        <v>0</v>
      </c>
      <c r="X193" s="890">
        <v>0</v>
      </c>
      <c r="Y193" s="890">
        <v>0</v>
      </c>
      <c r="Z193" s="890">
        <v>0</v>
      </c>
      <c r="AA193" s="890">
        <v>0</v>
      </c>
      <c r="AB193" s="890">
        <v>0</v>
      </c>
      <c r="AC193" s="890">
        <v>0</v>
      </c>
      <c r="AD193" s="540">
        <v>0</v>
      </c>
      <c r="AE193" s="540">
        <v>0</v>
      </c>
      <c r="AF193" s="540">
        <v>0</v>
      </c>
    </row>
    <row r="194" spans="1:32" x14ac:dyDescent="0.25">
      <c r="A194" s="1041"/>
      <c r="B194" s="1043" t="s">
        <v>50</v>
      </c>
      <c r="C194" s="1059"/>
      <c r="D194" s="1059"/>
      <c r="E194" s="1059"/>
      <c r="F194" s="1059"/>
      <c r="G194" s="1045"/>
      <c r="H194" s="890">
        <v>2.2439408756299646E-3</v>
      </c>
      <c r="I194" s="890">
        <v>2.0800205084398819E-3</v>
      </c>
      <c r="J194" s="890">
        <v>1.864036559653102E-3</v>
      </c>
      <c r="K194" s="890">
        <v>1.602369054415553E-3</v>
      </c>
      <c r="L194" s="890">
        <v>1.3119611532781755E-3</v>
      </c>
      <c r="M194" s="890">
        <v>1.017734903478669E-3</v>
      </c>
      <c r="N194" s="890">
        <v>7.4613101206998848E-4</v>
      </c>
      <c r="O194" s="890">
        <v>5.1712975082707918E-4</v>
      </c>
      <c r="P194" s="890">
        <v>3.3973998363188719E-4</v>
      </c>
      <c r="Q194" s="890">
        <v>2.1245141517034591E-4</v>
      </c>
      <c r="R194" s="890">
        <v>1.2709132905073801E-4</v>
      </c>
      <c r="S194" s="890">
        <v>7.3128955284874596E-5</v>
      </c>
      <c r="T194" s="890">
        <v>4.070120683532855E-5</v>
      </c>
      <c r="U194" s="890">
        <v>2.2031482084792536E-5</v>
      </c>
      <c r="V194" s="890">
        <v>1.1658436302306896E-5</v>
      </c>
      <c r="W194" s="890">
        <v>6.0588336815478253E-6</v>
      </c>
      <c r="X194" s="890">
        <v>3.1015403727237568E-6</v>
      </c>
      <c r="Y194" s="890">
        <v>1.5699003304883157E-6</v>
      </c>
      <c r="Z194" s="890">
        <v>7.8799187344782597E-7</v>
      </c>
      <c r="AA194" s="890">
        <v>3.9474126353202878E-7</v>
      </c>
      <c r="AB194" s="890">
        <v>1.9765945000960295E-7</v>
      </c>
      <c r="AC194" s="890">
        <v>9.9045991771032168E-8</v>
      </c>
      <c r="AD194" s="540">
        <v>4.9708400636074481E-8</v>
      </c>
      <c r="AE194" s="540">
        <v>2.5000458418517804E-8</v>
      </c>
      <c r="AF194" s="540">
        <v>1.2604929663107477E-8</v>
      </c>
    </row>
    <row r="195" spans="1:32" x14ac:dyDescent="0.25">
      <c r="A195" s="1041"/>
      <c r="B195" s="1041" t="s">
        <v>51</v>
      </c>
      <c r="C195" s="1059"/>
      <c r="D195" s="1059"/>
      <c r="E195" s="1059"/>
      <c r="F195" s="1059"/>
      <c r="G195" s="1045"/>
      <c r="H195" s="890">
        <v>3.1851999647258232E-2</v>
      </c>
      <c r="I195" s="890">
        <v>2.9577309771506171E-2</v>
      </c>
      <c r="J195" s="890">
        <v>2.7018371862928655E-2</v>
      </c>
      <c r="K195" s="890">
        <v>2.4185193813804531E-2</v>
      </c>
      <c r="L195" s="890">
        <v>2.12497886119523E-2</v>
      </c>
      <c r="M195" s="890">
        <v>1.8335820827893604E-2</v>
      </c>
      <c r="N195" s="890">
        <v>1.5563494881584317E-2</v>
      </c>
      <c r="O195" s="890">
        <v>1.3025693770267403E-2</v>
      </c>
      <c r="P195" s="890">
        <v>1.0776918154205414E-2</v>
      </c>
      <c r="Q195" s="890">
        <v>8.8354721598327638E-3</v>
      </c>
      <c r="R195" s="890">
        <v>7.1935682769111095E-3</v>
      </c>
      <c r="S195" s="890">
        <v>5.8274144291254734E-3</v>
      </c>
      <c r="T195" s="890">
        <v>4.7051319940539949E-3</v>
      </c>
      <c r="U195" s="890">
        <v>3.7919934664388797E-3</v>
      </c>
      <c r="V195" s="890">
        <v>3.0539602132389947E-3</v>
      </c>
      <c r="W195" s="890">
        <v>2.4598526780130834E-3</v>
      </c>
      <c r="X195" s="890">
        <v>1.9825582479543139E-3</v>
      </c>
      <c r="Y195" s="890">
        <v>1.5993199046603628E-3</v>
      </c>
      <c r="Z195" s="890">
        <v>1.2914956783513828E-3</v>
      </c>
      <c r="AA195" s="890">
        <v>1.0461638937132971E-3</v>
      </c>
      <c r="AB195" s="890">
        <v>8.4622324477623412E-4</v>
      </c>
      <c r="AC195" s="890">
        <v>6.8519565704208674E-4</v>
      </c>
      <c r="AD195" s="540">
        <v>5.553567093672505E-4</v>
      </c>
      <c r="AE195" s="540">
        <v>4.5054774435856506E-4</v>
      </c>
      <c r="AF195" s="540">
        <v>3.6585017695798025E-4</v>
      </c>
    </row>
    <row r="196" spans="1:32" x14ac:dyDescent="0.25">
      <c r="A196" s="1041"/>
      <c r="B196" s="1041" t="s">
        <v>52</v>
      </c>
      <c r="C196" s="1059"/>
      <c r="D196" s="1059"/>
      <c r="E196" s="1059"/>
      <c r="F196" s="1059"/>
      <c r="G196" s="1045"/>
      <c r="H196" s="890">
        <v>6.2656326531812773E-2</v>
      </c>
      <c r="I196" s="890">
        <v>6.0763877433744076E-2</v>
      </c>
      <c r="J196" s="890">
        <v>5.8622490102416179E-2</v>
      </c>
      <c r="K196" s="890">
        <v>5.6231155994994175E-2</v>
      </c>
      <c r="L196" s="890">
        <v>5.362190914593546E-2</v>
      </c>
      <c r="M196" s="890">
        <v>5.0771898267774396E-2</v>
      </c>
      <c r="N196" s="890">
        <v>4.7851173818649152E-2</v>
      </c>
      <c r="O196" s="890">
        <v>4.4936712556049092E-2</v>
      </c>
      <c r="P196" s="890">
        <v>4.2090003211413922E-2</v>
      </c>
      <c r="Q196" s="890">
        <v>3.9353013728168122E-2</v>
      </c>
      <c r="R196" s="890">
        <v>3.6751519971046843E-2</v>
      </c>
      <c r="S196" s="890">
        <v>3.4299512430162889E-2</v>
      </c>
      <c r="T196" s="890">
        <v>3.1949862585715277E-2</v>
      </c>
      <c r="U196" s="890">
        <v>2.9830523337501934E-2</v>
      </c>
      <c r="V196" s="890">
        <v>2.7819544174166568E-2</v>
      </c>
      <c r="W196" s="890">
        <v>2.5972302550692078E-2</v>
      </c>
      <c r="X196" s="890">
        <v>2.4304193526730456E-2</v>
      </c>
      <c r="Y196" s="890">
        <v>2.2727923623712669E-2</v>
      </c>
      <c r="Z196" s="890">
        <v>2.1276586751116208E-2</v>
      </c>
      <c r="AA196" s="890">
        <v>1.9958921137010033E-2</v>
      </c>
      <c r="AB196" s="890">
        <v>1.8712606521362075E-2</v>
      </c>
      <c r="AC196" s="890">
        <v>1.7592189958876351E-2</v>
      </c>
      <c r="AD196" s="540">
        <v>1.6538151005608345E-2</v>
      </c>
      <c r="AE196" s="540">
        <v>1.5539531753022442E-2</v>
      </c>
      <c r="AF196" s="540">
        <v>1.4612631357698865E-2</v>
      </c>
    </row>
    <row r="197" spans="1:32" x14ac:dyDescent="0.25">
      <c r="A197" s="1041"/>
      <c r="B197" s="1043" t="s">
        <v>29</v>
      </c>
      <c r="C197" s="1059"/>
      <c r="D197" s="1059"/>
      <c r="E197" s="1059"/>
      <c r="F197" s="1059"/>
      <c r="G197" s="1045"/>
      <c r="H197" s="890">
        <v>3.550573925617433E-3</v>
      </c>
      <c r="I197" s="890">
        <v>5.7340706565813231E-3</v>
      </c>
      <c r="J197" s="890">
        <v>8.1574358312097948E-3</v>
      </c>
      <c r="K197" s="890">
        <v>1.0740970725648356E-2</v>
      </c>
      <c r="L197" s="890">
        <v>1.3356874157007965E-2</v>
      </c>
      <c r="M197" s="890">
        <v>1.5845781276828817E-2</v>
      </c>
      <c r="N197" s="890">
        <v>1.7814146438275884E-2</v>
      </c>
      <c r="O197" s="890">
        <v>1.9654082001316353E-2</v>
      </c>
      <c r="P197" s="890">
        <v>2.1126202697165735E-2</v>
      </c>
      <c r="Q197" s="890">
        <v>2.2054370815288403E-2</v>
      </c>
      <c r="R197" s="890">
        <v>2.2890018897824466E-2</v>
      </c>
      <c r="S197" s="890">
        <v>2.3315741432998825E-2</v>
      </c>
      <c r="T197" s="890">
        <v>2.3679033264297964E-2</v>
      </c>
      <c r="U197" s="890">
        <v>2.3822523607820813E-2</v>
      </c>
      <c r="V197" s="890">
        <v>2.3846473850266649E-2</v>
      </c>
      <c r="W197" s="890">
        <v>2.3926186498488815E-2</v>
      </c>
      <c r="X197" s="890">
        <v>2.3917438486913987E-2</v>
      </c>
      <c r="Y197" s="890">
        <v>2.3857922174942391E-2</v>
      </c>
      <c r="Z197" s="890">
        <v>2.3797859260180441E-2</v>
      </c>
      <c r="AA197" s="890">
        <v>2.3811928912371487E-2</v>
      </c>
      <c r="AB197" s="890">
        <v>2.3743046890032704E-2</v>
      </c>
      <c r="AC197" s="890">
        <v>2.3677231966271244E-2</v>
      </c>
      <c r="AD197" s="540">
        <v>2.363728662870869E-2</v>
      </c>
      <c r="AE197" s="540">
        <v>2.3571916197001542E-2</v>
      </c>
      <c r="AF197" s="540">
        <v>2.3504861829155177E-2</v>
      </c>
    </row>
    <row r="198" spans="1:32" x14ac:dyDescent="0.25">
      <c r="A198" s="1041"/>
      <c r="B198" s="1043" t="s">
        <v>53</v>
      </c>
      <c r="C198" s="1059"/>
      <c r="D198" s="1059"/>
      <c r="E198" s="1059"/>
      <c r="F198" s="1059"/>
      <c r="G198" s="1045"/>
      <c r="H198" s="890">
        <v>0</v>
      </c>
      <c r="I198" s="890">
        <v>0</v>
      </c>
      <c r="J198" s="890">
        <v>0</v>
      </c>
      <c r="K198" s="890">
        <v>0</v>
      </c>
      <c r="L198" s="890">
        <v>0</v>
      </c>
      <c r="M198" s="890">
        <v>0</v>
      </c>
      <c r="N198" s="890">
        <v>0</v>
      </c>
      <c r="O198" s="890">
        <v>0</v>
      </c>
      <c r="P198" s="890">
        <v>0</v>
      </c>
      <c r="Q198" s="890">
        <v>0</v>
      </c>
      <c r="R198" s="890">
        <v>0</v>
      </c>
      <c r="S198" s="890">
        <v>0</v>
      </c>
      <c r="T198" s="890">
        <v>0</v>
      </c>
      <c r="U198" s="890">
        <v>0</v>
      </c>
      <c r="V198" s="890">
        <v>0</v>
      </c>
      <c r="W198" s="890">
        <v>0</v>
      </c>
      <c r="X198" s="890">
        <v>0</v>
      </c>
      <c r="Y198" s="890">
        <v>0</v>
      </c>
      <c r="Z198" s="890">
        <v>0</v>
      </c>
      <c r="AA198" s="890">
        <v>0</v>
      </c>
      <c r="AB198" s="890">
        <v>0</v>
      </c>
      <c r="AC198" s="890">
        <v>0</v>
      </c>
      <c r="AD198" s="540">
        <v>0</v>
      </c>
      <c r="AE198" s="540">
        <v>0</v>
      </c>
      <c r="AF198" s="540">
        <v>0</v>
      </c>
    </row>
    <row r="199" spans="1:32" x14ac:dyDescent="0.25">
      <c r="A199" s="1059"/>
      <c r="B199" s="1059"/>
      <c r="C199" s="1059"/>
      <c r="D199" s="1059"/>
      <c r="E199" s="1059"/>
      <c r="F199" s="1059"/>
      <c r="G199" s="1059"/>
      <c r="H199" s="1059"/>
      <c r="I199" s="1059"/>
      <c r="J199" s="1059"/>
      <c r="K199" s="1059"/>
      <c r="L199" s="1059"/>
      <c r="M199" s="1059"/>
      <c r="N199" s="1059"/>
      <c r="O199" s="1059"/>
      <c r="P199" s="1059"/>
      <c r="Q199" s="1059"/>
      <c r="R199" s="1059"/>
      <c r="S199" s="1059"/>
      <c r="T199" s="1059"/>
      <c r="U199" s="1059"/>
      <c r="V199" s="1059"/>
      <c r="W199" s="1059"/>
      <c r="X199" s="1059"/>
      <c r="Y199" s="1059"/>
      <c r="Z199" s="1059"/>
      <c r="AA199" s="1059"/>
      <c r="AB199" s="1059"/>
      <c r="AC199" s="1059"/>
      <c r="AD199" s="1059"/>
      <c r="AE199" s="1059"/>
      <c r="AF199" s="1059"/>
    </row>
    <row r="200" spans="1:32" x14ac:dyDescent="0.25">
      <c r="A200" s="1059"/>
      <c r="B200" s="1059"/>
      <c r="C200" s="1059"/>
      <c r="D200" s="1059"/>
      <c r="E200" s="1059"/>
      <c r="F200" s="1059"/>
      <c r="G200" s="208">
        <v>2010</v>
      </c>
      <c r="H200" s="208">
        <v>2011</v>
      </c>
      <c r="I200" s="208">
        <v>2012</v>
      </c>
      <c r="J200" s="208">
        <v>2013</v>
      </c>
      <c r="K200" s="208">
        <v>2014</v>
      </c>
      <c r="L200" s="208">
        <v>2015</v>
      </c>
      <c r="M200" s="208">
        <v>2016</v>
      </c>
      <c r="N200" s="208">
        <v>2017</v>
      </c>
      <c r="O200" s="208">
        <v>2018</v>
      </c>
      <c r="P200" s="208">
        <v>2019</v>
      </c>
      <c r="Q200" s="208">
        <v>2020</v>
      </c>
      <c r="R200" s="208">
        <v>2021</v>
      </c>
      <c r="S200" s="208">
        <v>2022</v>
      </c>
      <c r="T200" s="208">
        <v>2023</v>
      </c>
      <c r="U200" s="208">
        <v>2024</v>
      </c>
      <c r="V200" s="208">
        <v>2025</v>
      </c>
      <c r="W200" s="208">
        <v>2026</v>
      </c>
      <c r="X200" s="208">
        <v>2027</v>
      </c>
      <c r="Y200" s="208">
        <v>2028</v>
      </c>
      <c r="Z200" s="208">
        <v>2029</v>
      </c>
      <c r="AA200" s="208">
        <v>2030</v>
      </c>
      <c r="AB200" s="208">
        <v>2031</v>
      </c>
      <c r="AC200" s="208">
        <v>2032</v>
      </c>
      <c r="AD200" s="208">
        <v>2033</v>
      </c>
      <c r="AE200" s="208">
        <v>2034</v>
      </c>
      <c r="AF200" s="208">
        <v>2035</v>
      </c>
    </row>
    <row r="201" spans="1:32" x14ac:dyDescent="0.25">
      <c r="A201" s="1047" t="s">
        <v>739</v>
      </c>
      <c r="B201" s="1048"/>
      <c r="C201" s="1047"/>
      <c r="D201" s="1046"/>
      <c r="E201" s="1046"/>
      <c r="F201" s="1046"/>
      <c r="G201" s="1046"/>
      <c r="H201" s="862"/>
      <c r="I201" s="862"/>
      <c r="J201" s="862"/>
      <c r="K201" s="862"/>
      <c r="L201" s="862"/>
      <c r="M201" s="862"/>
      <c r="N201" s="862"/>
      <c r="O201" s="862"/>
      <c r="P201" s="862"/>
      <c r="Q201" s="862"/>
      <c r="R201" s="862"/>
      <c r="S201" s="862"/>
      <c r="T201" s="862"/>
      <c r="U201" s="862"/>
      <c r="V201" s="862"/>
      <c r="W201" s="862"/>
      <c r="X201" s="862"/>
      <c r="Y201" s="862"/>
      <c r="Z201" s="862"/>
      <c r="AA201" s="862"/>
      <c r="AB201" s="862"/>
      <c r="AC201" s="862"/>
      <c r="AD201" s="862"/>
      <c r="AE201" s="862"/>
      <c r="AF201" s="862"/>
    </row>
    <row r="202" spans="1:32" x14ac:dyDescent="0.25">
      <c r="A202" s="1042" t="s">
        <v>740</v>
      </c>
      <c r="B202" s="1041"/>
      <c r="C202" s="1059"/>
      <c r="D202" s="1059"/>
      <c r="E202" s="1059"/>
      <c r="F202" s="1059"/>
      <c r="G202" s="1059"/>
      <c r="H202" s="1059"/>
      <c r="I202" s="1059"/>
      <c r="J202" s="1059"/>
      <c r="K202" s="1059"/>
      <c r="L202" s="1059"/>
      <c r="M202" s="1059"/>
      <c r="N202" s="1059"/>
      <c r="O202" s="1059"/>
      <c r="P202" s="1059"/>
      <c r="Q202" s="1059"/>
      <c r="R202" s="1059"/>
      <c r="S202" s="1059"/>
      <c r="T202" s="1059"/>
      <c r="U202" s="1059"/>
      <c r="V202" s="1059"/>
      <c r="W202" s="1059"/>
      <c r="X202" s="1059"/>
      <c r="Y202" s="1059"/>
      <c r="Z202" s="1059"/>
      <c r="AA202" s="1059"/>
      <c r="AB202" s="1059"/>
      <c r="AC202" s="1059"/>
      <c r="AD202" s="1059"/>
      <c r="AE202" s="1059"/>
      <c r="AF202" s="1059"/>
    </row>
    <row r="203" spans="1:32" x14ac:dyDescent="0.25">
      <c r="A203" s="1041"/>
      <c r="B203" s="1041" t="s">
        <v>20</v>
      </c>
      <c r="C203" s="1059"/>
      <c r="D203" s="1059"/>
      <c r="E203" s="1059"/>
      <c r="F203" s="1059"/>
      <c r="G203" s="1059"/>
      <c r="H203" s="1059"/>
      <c r="I203" s="1059"/>
      <c r="J203" s="1059"/>
      <c r="K203" s="1059"/>
      <c r="L203" s="1059"/>
      <c r="M203" s="1059"/>
      <c r="N203" s="1059"/>
      <c r="O203" s="1059"/>
      <c r="P203" s="1059"/>
      <c r="Q203" s="1059"/>
      <c r="R203" s="1059"/>
      <c r="S203" s="1059"/>
      <c r="T203" s="1059"/>
      <c r="U203" s="1059"/>
      <c r="V203" s="1059"/>
      <c r="W203" s="1059"/>
      <c r="X203" s="1059"/>
      <c r="Y203" s="1059"/>
      <c r="Z203" s="1059"/>
      <c r="AA203" s="1059"/>
      <c r="AB203" s="1059"/>
      <c r="AC203" s="1059"/>
      <c r="AD203" s="1059"/>
      <c r="AE203" s="1059"/>
      <c r="AF203" s="1059"/>
    </row>
    <row r="204" spans="1:32" x14ac:dyDescent="0.25">
      <c r="A204" s="843" t="s">
        <v>21</v>
      </c>
      <c r="B204" s="843"/>
      <c r="C204" s="843"/>
      <c r="D204" s="843"/>
      <c r="E204" s="843"/>
      <c r="F204" s="843"/>
      <c r="G204" s="843"/>
      <c r="H204" s="843"/>
      <c r="I204" s="843"/>
      <c r="J204" s="843"/>
      <c r="K204" s="843"/>
      <c r="L204" s="843"/>
      <c r="M204" s="843"/>
      <c r="N204" s="843"/>
      <c r="O204" s="843"/>
      <c r="P204" s="843"/>
      <c r="Q204" s="843"/>
      <c r="R204" s="843"/>
      <c r="S204" s="843"/>
      <c r="T204" s="843"/>
      <c r="U204" s="843"/>
      <c r="V204" s="843"/>
      <c r="W204" s="843"/>
      <c r="X204" s="843"/>
      <c r="Y204" s="843"/>
      <c r="Z204" s="843"/>
      <c r="AA204" s="843"/>
      <c r="AB204" s="843"/>
      <c r="AC204" s="843"/>
      <c r="AD204" s="843"/>
      <c r="AE204" s="843"/>
      <c r="AF204" s="843"/>
    </row>
    <row r="205" spans="1:32" x14ac:dyDescent="0.25">
      <c r="A205" s="1041"/>
      <c r="B205" s="1041" t="s">
        <v>22</v>
      </c>
      <c r="C205" s="1059"/>
      <c r="D205" s="1059"/>
      <c r="E205" s="1059"/>
      <c r="F205" s="1059"/>
      <c r="G205" s="1045"/>
      <c r="H205" s="855">
        <v>0.46430367133107525</v>
      </c>
      <c r="I205" s="855">
        <v>0.41317487299138783</v>
      </c>
      <c r="J205" s="855">
        <v>0.26652340772881916</v>
      </c>
      <c r="K205" s="855">
        <v>0.19110248639777044</v>
      </c>
      <c r="L205" s="855">
        <v>0.11981166412456945</v>
      </c>
      <c r="M205" s="855">
        <v>4.2240233827465085E-2</v>
      </c>
      <c r="N205" s="855">
        <v>3.8171850007053781E-2</v>
      </c>
      <c r="O205" s="855">
        <v>3.4274607562488048E-2</v>
      </c>
      <c r="P205" s="855">
        <v>3.0740140681038093E-2</v>
      </c>
      <c r="Q205" s="855">
        <v>2.7165914913437294E-2</v>
      </c>
      <c r="R205" s="855">
        <v>2.3676899891449891E-2</v>
      </c>
      <c r="S205" s="855">
        <v>2.0563631988277289E-2</v>
      </c>
      <c r="T205" s="855">
        <v>1.782110760477984E-2</v>
      </c>
      <c r="U205" s="855">
        <v>1.5414812872559892E-2</v>
      </c>
      <c r="V205" s="855">
        <v>1.3441981755037927E-2</v>
      </c>
      <c r="W205" s="855">
        <v>1.1769563985122022E-2</v>
      </c>
      <c r="X205" s="855">
        <v>1.0363006323538331E-2</v>
      </c>
      <c r="Y205" s="855">
        <v>9.1839165733395029E-3</v>
      </c>
      <c r="Z205" s="855">
        <v>8.2189038343983365E-3</v>
      </c>
      <c r="AA205" s="855">
        <v>7.4341023065836445E-3</v>
      </c>
      <c r="AB205" s="855">
        <v>6.7465618063145046E-3</v>
      </c>
      <c r="AC205" s="855">
        <v>6.1571750397406283E-3</v>
      </c>
      <c r="AD205" s="855">
        <v>5.6412193961729419E-3</v>
      </c>
      <c r="AE205" s="855">
        <v>5.1746795820346711E-3</v>
      </c>
      <c r="AF205" s="855">
        <v>4.6926275843839392E-3</v>
      </c>
    </row>
    <row r="206" spans="1:32" x14ac:dyDescent="0.25">
      <c r="A206" s="1041"/>
      <c r="B206" s="1041" t="s">
        <v>26</v>
      </c>
      <c r="C206" s="1059"/>
      <c r="D206" s="1059"/>
      <c r="E206" s="1059"/>
      <c r="F206" s="1059"/>
      <c r="G206" s="1045"/>
      <c r="H206" s="855">
        <v>6.1797715805668374E-3</v>
      </c>
      <c r="I206" s="855">
        <v>2.7319031911569792E-2</v>
      </c>
      <c r="J206" s="855">
        <v>8.0697476600731455E-2</v>
      </c>
      <c r="K206" s="855">
        <v>0.11839948368282634</v>
      </c>
      <c r="L206" s="855">
        <v>0.12504108372340136</v>
      </c>
      <c r="M206" s="855">
        <v>0.1276340803242742</v>
      </c>
      <c r="N206" s="855">
        <v>0.11917365003828949</v>
      </c>
      <c r="O206" s="855">
        <v>0.11035357617564895</v>
      </c>
      <c r="P206" s="855">
        <v>0.10184648744274828</v>
      </c>
      <c r="Q206" s="855">
        <v>9.2844490768543841E-2</v>
      </c>
      <c r="R206" s="855">
        <v>8.3722080480689881E-2</v>
      </c>
      <c r="S206" s="855">
        <v>7.5284816968843885E-2</v>
      </c>
      <c r="T206" s="855">
        <v>6.7615807383896886E-2</v>
      </c>
      <c r="U206" s="855">
        <v>6.0722789003476635E-2</v>
      </c>
      <c r="V206" s="855">
        <v>5.4956049339340327E-2</v>
      </c>
      <c r="W206" s="855">
        <v>4.9996174284979288E-2</v>
      </c>
      <c r="X206" s="855">
        <v>4.579274322563387E-2</v>
      </c>
      <c r="Y206" s="855">
        <v>4.2250106313545151E-2</v>
      </c>
      <c r="Z206" s="855">
        <v>3.9352119288223977E-2</v>
      </c>
      <c r="AA206" s="855">
        <v>3.7013493421197717E-2</v>
      </c>
      <c r="AB206" s="855">
        <v>3.4958312334592005E-2</v>
      </c>
      <c r="AC206" s="855">
        <v>3.3204906448026074E-2</v>
      </c>
      <c r="AD206" s="855">
        <v>3.1668568400328063E-2</v>
      </c>
      <c r="AE206" s="855">
        <v>3.0262482742361999E-2</v>
      </c>
      <c r="AF206" s="855">
        <v>2.8714439000958616E-2</v>
      </c>
    </row>
    <row r="207" spans="1:32" x14ac:dyDescent="0.25">
      <c r="A207" s="1041"/>
      <c r="B207" s="1041" t="s">
        <v>27</v>
      </c>
      <c r="C207" s="1059"/>
      <c r="D207" s="1059"/>
      <c r="E207" s="1059"/>
      <c r="F207" s="1059"/>
      <c r="G207" s="1045"/>
      <c r="H207" s="855">
        <v>0.52863645617420796</v>
      </c>
      <c r="I207" s="855">
        <v>0.55542642009133913</v>
      </c>
      <c r="J207" s="855">
        <v>0.6410711683186735</v>
      </c>
      <c r="K207" s="855">
        <v>0.66008184795533154</v>
      </c>
      <c r="L207" s="855">
        <v>0.69166957401830853</v>
      </c>
      <c r="M207" s="855">
        <v>0.71794088462058958</v>
      </c>
      <c r="N207" s="855">
        <v>0.67621906404102483</v>
      </c>
      <c r="O207" s="855">
        <v>0.62885410973962896</v>
      </c>
      <c r="P207" s="855">
        <v>0.57828000445166838</v>
      </c>
      <c r="Q207" s="855">
        <v>0.52787433413797669</v>
      </c>
      <c r="R207" s="855">
        <v>0.47959593543058521</v>
      </c>
      <c r="S207" s="855">
        <v>0.43423530130430971</v>
      </c>
      <c r="T207" s="855">
        <v>0.39298754631676042</v>
      </c>
      <c r="U207" s="855">
        <v>0.35658143860165353</v>
      </c>
      <c r="V207" s="855">
        <v>0.32532929152879525</v>
      </c>
      <c r="W207" s="855">
        <v>0.29914425171745324</v>
      </c>
      <c r="X207" s="855">
        <v>0.27759852931253765</v>
      </c>
      <c r="Y207" s="855">
        <v>0.26007383229283665</v>
      </c>
      <c r="Z207" s="855">
        <v>0.24594797078289068</v>
      </c>
      <c r="AA207" s="855">
        <v>0.23460966385043053</v>
      </c>
      <c r="AB207" s="855">
        <v>0.22536972493055679</v>
      </c>
      <c r="AC207" s="855">
        <v>0.21783306569610456</v>
      </c>
      <c r="AD207" s="855">
        <v>0.21159576330710617</v>
      </c>
      <c r="AE207" s="855">
        <v>0.20632695971026474</v>
      </c>
      <c r="AF207" s="855">
        <v>0.2015732453768396</v>
      </c>
    </row>
    <row r="208" spans="1:32" x14ac:dyDescent="0.25">
      <c r="A208" s="1041"/>
      <c r="B208" s="1041" t="s">
        <v>29</v>
      </c>
      <c r="C208" s="1059"/>
      <c r="D208" s="1059"/>
      <c r="E208" s="1059"/>
      <c r="F208" s="1059"/>
      <c r="G208" s="1045"/>
      <c r="H208" s="855">
        <v>8.8010091414990484E-4</v>
      </c>
      <c r="I208" s="855">
        <v>4.0796750057032977E-3</v>
      </c>
      <c r="J208" s="855">
        <v>1.1707947351775985E-2</v>
      </c>
      <c r="K208" s="855">
        <v>3.041618196407174E-2</v>
      </c>
      <c r="L208" s="855">
        <v>6.3477678133720641E-2</v>
      </c>
      <c r="M208" s="855">
        <v>0.11218480122767113</v>
      </c>
      <c r="N208" s="855">
        <v>0.16643543591363194</v>
      </c>
      <c r="O208" s="855">
        <v>0.22651770652223407</v>
      </c>
      <c r="P208" s="855">
        <v>0.28913336742454532</v>
      </c>
      <c r="Q208" s="855">
        <v>0.35211526018004219</v>
      </c>
      <c r="R208" s="855">
        <v>0.41300508419727516</v>
      </c>
      <c r="S208" s="855">
        <v>0.4699162497385691</v>
      </c>
      <c r="T208" s="855">
        <v>0.52157553869456297</v>
      </c>
      <c r="U208" s="855">
        <v>0.56728095952231006</v>
      </c>
      <c r="V208" s="855">
        <v>0.60627267737682644</v>
      </c>
      <c r="W208" s="855">
        <v>0.63909001001244536</v>
      </c>
      <c r="X208" s="855">
        <v>0.66624572113829006</v>
      </c>
      <c r="Y208" s="855">
        <v>0.68849214482027865</v>
      </c>
      <c r="Z208" s="855">
        <v>0.70648100609448694</v>
      </c>
      <c r="AA208" s="855">
        <v>0.72094274042178819</v>
      </c>
      <c r="AB208" s="855">
        <v>0.73292540092853675</v>
      </c>
      <c r="AC208" s="855">
        <v>0.74280485281612885</v>
      </c>
      <c r="AD208" s="855">
        <v>0.75109444889639287</v>
      </c>
      <c r="AE208" s="855">
        <v>0.75823587796533864</v>
      </c>
      <c r="AF208" s="855">
        <v>0.76501968803781772</v>
      </c>
    </row>
    <row r="209" spans="1:32" x14ac:dyDescent="0.25">
      <c r="A209" s="1041"/>
      <c r="B209" s="1041"/>
      <c r="C209" s="1059"/>
      <c r="D209" s="1059"/>
      <c r="E209" s="1059"/>
      <c r="F209" s="1059"/>
      <c r="G209" s="1045"/>
      <c r="H209" s="1059"/>
      <c r="I209" s="1059"/>
      <c r="J209" s="1059"/>
      <c r="K209" s="1059"/>
      <c r="L209" s="1059"/>
      <c r="M209" s="1059"/>
      <c r="N209" s="1059"/>
      <c r="O209" s="1059"/>
      <c r="P209" s="1059"/>
      <c r="Q209" s="1059"/>
      <c r="R209" s="1059"/>
      <c r="S209" s="1059"/>
      <c r="T209" s="1059"/>
      <c r="U209" s="1059"/>
      <c r="V209" s="1059"/>
      <c r="W209" s="1059"/>
      <c r="X209" s="1059"/>
      <c r="Y209" s="1059"/>
      <c r="Z209" s="1059"/>
      <c r="AA209" s="1059"/>
      <c r="AB209" s="1059"/>
      <c r="AC209" s="1059"/>
      <c r="AD209" s="1059"/>
      <c r="AE209" s="1059"/>
      <c r="AF209" s="1059"/>
    </row>
    <row r="210" spans="1:32" x14ac:dyDescent="0.25">
      <c r="A210" s="843" t="s">
        <v>32</v>
      </c>
      <c r="B210" s="843"/>
      <c r="C210" s="843"/>
      <c r="D210" s="843"/>
      <c r="E210" s="843"/>
      <c r="F210" s="843"/>
      <c r="G210" s="865"/>
      <c r="H210" s="843"/>
      <c r="I210" s="843"/>
      <c r="J210" s="843"/>
      <c r="K210" s="843"/>
      <c r="L210" s="843"/>
      <c r="M210" s="843"/>
      <c r="N210" s="843"/>
      <c r="O210" s="843"/>
      <c r="P210" s="843"/>
      <c r="Q210" s="843"/>
      <c r="R210" s="843"/>
      <c r="S210" s="843"/>
      <c r="T210" s="843"/>
      <c r="U210" s="843"/>
      <c r="V210" s="843"/>
      <c r="W210" s="843"/>
      <c r="X210" s="843"/>
      <c r="Y210" s="843"/>
      <c r="Z210" s="843"/>
      <c r="AA210" s="843"/>
      <c r="AB210" s="843"/>
      <c r="AC210" s="843"/>
      <c r="AD210" s="843"/>
      <c r="AE210" s="843"/>
      <c r="AF210" s="843"/>
    </row>
    <row r="211" spans="1:32" x14ac:dyDescent="0.25">
      <c r="A211" s="1041"/>
      <c r="B211" s="1041" t="s">
        <v>33</v>
      </c>
      <c r="C211" s="1059"/>
      <c r="D211" s="1059"/>
      <c r="E211" s="1059"/>
      <c r="F211" s="1059"/>
      <c r="G211" s="1045"/>
      <c r="H211" s="855">
        <v>0.3584771918391188</v>
      </c>
      <c r="I211" s="855">
        <v>0.37680256516379451</v>
      </c>
      <c r="J211" s="855">
        <v>0.38961555739214188</v>
      </c>
      <c r="K211" s="855">
        <v>0.39343821275761187</v>
      </c>
      <c r="L211" s="855">
        <v>0.36599830441297199</v>
      </c>
      <c r="M211" s="855">
        <v>0.33112396964752322</v>
      </c>
      <c r="N211" s="855">
        <v>0.29623167373667519</v>
      </c>
      <c r="O211" s="855">
        <v>0.26163928898709105</v>
      </c>
      <c r="P211" s="855">
        <v>0.22909651000044046</v>
      </c>
      <c r="Q211" s="855">
        <v>0.19758903064709507</v>
      </c>
      <c r="R211" s="855">
        <v>0.16803745228673397</v>
      </c>
      <c r="S211" s="855">
        <v>0.14190696216579002</v>
      </c>
      <c r="T211" s="855">
        <v>0.119336483064622</v>
      </c>
      <c r="U211" s="855">
        <v>0.10014065559378639</v>
      </c>
      <c r="V211" s="855">
        <v>8.4629714170530959E-2</v>
      </c>
      <c r="W211" s="855">
        <v>7.19749732001842E-2</v>
      </c>
      <c r="X211" s="855">
        <v>6.176203674503581E-2</v>
      </c>
      <c r="Y211" s="855">
        <v>5.3558902221940687E-2</v>
      </c>
      <c r="Z211" s="855">
        <v>4.7092083328704862E-2</v>
      </c>
      <c r="AA211" s="855">
        <v>4.202608025361583E-2</v>
      </c>
      <c r="AB211" s="855">
        <v>3.7796144768436027E-2</v>
      </c>
      <c r="AC211" s="855">
        <v>3.4314376322120872E-2</v>
      </c>
      <c r="AD211" s="855">
        <v>3.1373044528542719E-2</v>
      </c>
      <c r="AE211" s="855">
        <v>2.8790167602825278E-2</v>
      </c>
      <c r="AF211" s="855">
        <v>2.6167887364872237E-2</v>
      </c>
    </row>
    <row r="212" spans="1:32" x14ac:dyDescent="0.25">
      <c r="A212" s="1043"/>
      <c r="B212" s="1043" t="s">
        <v>34</v>
      </c>
      <c r="C212" s="1059"/>
      <c r="D212" s="1059"/>
      <c r="E212" s="1059"/>
      <c r="F212" s="1059"/>
      <c r="G212" s="1045"/>
      <c r="H212" s="855">
        <v>0.53146073305087438</v>
      </c>
      <c r="I212" s="855">
        <v>0.48924804958261409</v>
      </c>
      <c r="J212" s="855">
        <v>0.43863403042262994</v>
      </c>
      <c r="K212" s="855">
        <v>0.3849654732018194</v>
      </c>
      <c r="L212" s="855">
        <v>0.36658792145949748</v>
      </c>
      <c r="M212" s="855">
        <v>0.34556499983185213</v>
      </c>
      <c r="N212" s="855">
        <v>0.3205840271516433</v>
      </c>
      <c r="O212" s="855">
        <v>0.29318555705887972</v>
      </c>
      <c r="P212" s="855">
        <v>0.26472906114174188</v>
      </c>
      <c r="Q212" s="855">
        <v>0.23666588219899917</v>
      </c>
      <c r="R212" s="855">
        <v>0.20980769838313529</v>
      </c>
      <c r="S212" s="855">
        <v>0.18478750633964822</v>
      </c>
      <c r="T212" s="855">
        <v>0.16211653088371258</v>
      </c>
      <c r="U212" s="855">
        <v>0.14217019707296363</v>
      </c>
      <c r="V212" s="855">
        <v>0.12525645817137965</v>
      </c>
      <c r="W212" s="855">
        <v>0.11112811471867326</v>
      </c>
      <c r="X212" s="855">
        <v>9.9609497440717634E-2</v>
      </c>
      <c r="Y212" s="855">
        <v>9.0326153685326913E-2</v>
      </c>
      <c r="Z212" s="855">
        <v>8.2990646940836937E-2</v>
      </c>
      <c r="AA212" s="855">
        <v>7.7263337293930728E-2</v>
      </c>
      <c r="AB212" s="855">
        <v>7.26466802320615E-2</v>
      </c>
      <c r="AC212" s="855">
        <v>6.8964431821674776E-2</v>
      </c>
      <c r="AD212" s="855">
        <v>6.5968347481987058E-2</v>
      </c>
      <c r="AE212" s="855">
        <v>6.343483237876428E-2</v>
      </c>
      <c r="AF212" s="855">
        <v>6.0894312937718527E-2</v>
      </c>
    </row>
    <row r="213" spans="1:32" x14ac:dyDescent="0.25">
      <c r="A213" s="1041"/>
      <c r="B213" s="1043" t="s">
        <v>35</v>
      </c>
      <c r="C213" s="1059"/>
      <c r="D213" s="1059"/>
      <c r="E213" s="1059"/>
      <c r="F213" s="1059"/>
      <c r="G213" s="1045"/>
      <c r="H213" s="855">
        <v>0.10162552430793452</v>
      </c>
      <c r="I213" s="855">
        <v>0.1039652856723213</v>
      </c>
      <c r="J213" s="855">
        <v>0.10844149215822926</v>
      </c>
      <c r="K213" s="855">
        <v>0.11409326772560768</v>
      </c>
      <c r="L213" s="855">
        <v>0.10925424193403925</v>
      </c>
      <c r="M213" s="855">
        <v>0.10508232525607782</v>
      </c>
      <c r="N213" s="855">
        <v>9.8900204566540195E-2</v>
      </c>
      <c r="O213" s="855">
        <v>9.1537556597848263E-2</v>
      </c>
      <c r="P213" s="855">
        <v>8.3273022924933382E-2</v>
      </c>
      <c r="Q213" s="855">
        <v>7.5281751634837996E-2</v>
      </c>
      <c r="R213" s="855">
        <v>6.7766867358185018E-2</v>
      </c>
      <c r="S213" s="855">
        <v>6.0588565629369866E-2</v>
      </c>
      <c r="T213" s="855">
        <v>5.3951777124708243E-2</v>
      </c>
      <c r="U213" s="855">
        <v>4.8074428689928041E-2</v>
      </c>
      <c r="V213" s="855">
        <v>4.2940878128460279E-2</v>
      </c>
      <c r="W213" s="855">
        <v>3.8644521956173572E-2</v>
      </c>
      <c r="X213" s="855">
        <v>3.5167556461955227E-2</v>
      </c>
      <c r="Y213" s="855">
        <v>3.2400533070764709E-2</v>
      </c>
      <c r="Z213" s="855">
        <v>3.02263989828295E-2</v>
      </c>
      <c r="AA213" s="855">
        <v>2.8534880507986058E-2</v>
      </c>
      <c r="AB213" s="855">
        <v>2.7246796989051764E-2</v>
      </c>
      <c r="AC213" s="855">
        <v>2.6266808205841177E-2</v>
      </c>
      <c r="AD213" s="855">
        <v>2.552187544008425E-2</v>
      </c>
      <c r="AE213" s="855">
        <v>2.495200848169743E-2</v>
      </c>
      <c r="AF213" s="855">
        <v>2.448509667314348E-2</v>
      </c>
    </row>
    <row r="214" spans="1:32" x14ac:dyDescent="0.25">
      <c r="A214" s="1041"/>
      <c r="B214" s="1043" t="s">
        <v>29</v>
      </c>
      <c r="C214" s="1059"/>
      <c r="D214" s="1059"/>
      <c r="E214" s="1059"/>
      <c r="F214" s="1059"/>
      <c r="G214" s="1045"/>
      <c r="H214" s="855">
        <v>8.4365508020723921E-3</v>
      </c>
      <c r="I214" s="855">
        <v>2.998409958127006E-2</v>
      </c>
      <c r="J214" s="855">
        <v>6.3308920026998991E-2</v>
      </c>
      <c r="K214" s="855">
        <v>0.10750304631496102</v>
      </c>
      <c r="L214" s="855">
        <v>0.15815953219349135</v>
      </c>
      <c r="M214" s="855">
        <v>0.21822870526454688</v>
      </c>
      <c r="N214" s="855">
        <v>0.28428409454514131</v>
      </c>
      <c r="O214" s="855">
        <v>0.353637597356181</v>
      </c>
      <c r="P214" s="855">
        <v>0.42290140593288428</v>
      </c>
      <c r="Q214" s="855">
        <v>0.49046333551906773</v>
      </c>
      <c r="R214" s="855">
        <v>0.55438798197194583</v>
      </c>
      <c r="S214" s="855">
        <v>0.61271696586519198</v>
      </c>
      <c r="T214" s="855">
        <v>0.66459520892695723</v>
      </c>
      <c r="U214" s="855">
        <v>0.70961471864332182</v>
      </c>
      <c r="V214" s="855">
        <v>0.7471729495296292</v>
      </c>
      <c r="W214" s="855">
        <v>0.77825239012496894</v>
      </c>
      <c r="X214" s="855">
        <v>0.80346090935229131</v>
      </c>
      <c r="Y214" s="855">
        <v>0.82371441102196763</v>
      </c>
      <c r="Z214" s="855">
        <v>0.83969087074762883</v>
      </c>
      <c r="AA214" s="855">
        <v>0.85217570194446735</v>
      </c>
      <c r="AB214" s="855">
        <v>0.86231037801045074</v>
      </c>
      <c r="AC214" s="855">
        <v>0.87045438365036321</v>
      </c>
      <c r="AD214" s="855">
        <v>0.87713673254938596</v>
      </c>
      <c r="AE214" s="855">
        <v>0.88282299153671306</v>
      </c>
      <c r="AF214" s="855">
        <v>0.88845270302426571</v>
      </c>
    </row>
    <row r="215" spans="1:32" x14ac:dyDescent="0.25">
      <c r="A215" s="1041"/>
      <c r="B215" s="1041"/>
      <c r="C215" s="1059"/>
      <c r="D215" s="1059"/>
      <c r="E215" s="1059"/>
      <c r="F215" s="1059"/>
      <c r="G215" s="1045"/>
      <c r="H215" s="1059"/>
      <c r="I215" s="1059"/>
      <c r="J215" s="1059"/>
      <c r="K215" s="1059"/>
      <c r="L215" s="1059"/>
      <c r="M215" s="1059"/>
      <c r="N215" s="1059"/>
      <c r="O215" s="1059"/>
      <c r="P215" s="1059"/>
      <c r="Q215" s="1059"/>
      <c r="R215" s="1059"/>
      <c r="S215" s="1059"/>
      <c r="T215" s="1059"/>
      <c r="U215" s="1059"/>
      <c r="V215" s="1059"/>
      <c r="W215" s="1059"/>
      <c r="X215" s="1059"/>
      <c r="Y215" s="1059"/>
      <c r="Z215" s="1059"/>
      <c r="AA215" s="1059"/>
      <c r="AB215" s="1059"/>
      <c r="AC215" s="1059"/>
      <c r="AD215" s="1059"/>
      <c r="AE215" s="1059"/>
      <c r="AF215" s="1059"/>
    </row>
    <row r="216" spans="1:32" x14ac:dyDescent="0.25">
      <c r="A216" s="843" t="s">
        <v>36</v>
      </c>
      <c r="B216" s="843"/>
      <c r="C216" s="843"/>
      <c r="D216" s="843"/>
      <c r="E216" s="843"/>
      <c r="F216" s="843"/>
      <c r="G216" s="865"/>
      <c r="H216" s="843"/>
      <c r="I216" s="843"/>
      <c r="J216" s="843"/>
      <c r="K216" s="843"/>
      <c r="L216" s="843"/>
      <c r="M216" s="843"/>
      <c r="N216" s="843"/>
      <c r="O216" s="843"/>
      <c r="P216" s="843"/>
      <c r="Q216" s="843"/>
      <c r="R216" s="843"/>
      <c r="S216" s="843"/>
      <c r="T216" s="843"/>
      <c r="U216" s="843"/>
      <c r="V216" s="843"/>
      <c r="W216" s="843"/>
      <c r="X216" s="843"/>
      <c r="Y216" s="843"/>
      <c r="Z216" s="843"/>
      <c r="AA216" s="843"/>
      <c r="AB216" s="843"/>
      <c r="AC216" s="843"/>
      <c r="AD216" s="843"/>
      <c r="AE216" s="843"/>
      <c r="AF216" s="843"/>
    </row>
    <row r="217" spans="1:32" x14ac:dyDescent="0.25">
      <c r="A217" s="1041"/>
      <c r="B217" s="1041" t="s">
        <v>37</v>
      </c>
      <c r="C217" s="1059"/>
      <c r="D217" s="1059"/>
      <c r="E217" s="1059"/>
      <c r="F217" s="1059"/>
      <c r="G217" s="540"/>
      <c r="H217" s="855">
        <v>0.15019653133171762</v>
      </c>
      <c r="I217" s="855">
        <v>9.6071337074092156E-2</v>
      </c>
      <c r="J217" s="855">
        <v>4.7226156806519405E-2</v>
      </c>
      <c r="K217" s="855">
        <v>9.7740569181514626E-3</v>
      </c>
      <c r="L217" s="855">
        <v>6.9227326455592484E-3</v>
      </c>
      <c r="M217" s="855">
        <v>4.7939358347580778E-3</v>
      </c>
      <c r="N217" s="855">
        <v>3.2914249244067701E-3</v>
      </c>
      <c r="O217" s="855">
        <v>2.390036970036731E-3</v>
      </c>
      <c r="P217" s="855">
        <v>1.7437042022308221E-3</v>
      </c>
      <c r="Q217" s="855">
        <v>1.2788663226965193E-3</v>
      </c>
      <c r="R217" s="855">
        <v>9.4352144391239177E-4</v>
      </c>
      <c r="S217" s="855">
        <v>7.0114038129355234E-4</v>
      </c>
      <c r="T217" s="855">
        <v>5.2670450075113708E-4</v>
      </c>
      <c r="U217" s="855">
        <v>3.9839711303872539E-4</v>
      </c>
      <c r="V217" s="855">
        <v>3.0516327633880189E-4</v>
      </c>
      <c r="W217" s="855">
        <v>2.3636204906725465E-4</v>
      </c>
      <c r="X217" s="855">
        <v>1.8516501500488635E-4</v>
      </c>
      <c r="Y217" s="855">
        <v>1.4709502200722734E-4</v>
      </c>
      <c r="Z217" s="855">
        <v>1.1857145670594036E-4</v>
      </c>
      <c r="AA217" s="855">
        <v>9.7141636802732084E-5</v>
      </c>
      <c r="AB217" s="855">
        <v>8.0753989768019122E-5</v>
      </c>
      <c r="AC217" s="855">
        <v>6.8195685506616349E-5</v>
      </c>
      <c r="AD217" s="855">
        <v>5.8555369562425324E-5</v>
      </c>
      <c r="AE217" s="855">
        <v>5.0909009295734318E-5</v>
      </c>
      <c r="AF217" s="855">
        <v>4.4612765574321805E-5</v>
      </c>
    </row>
    <row r="218" spans="1:32" x14ac:dyDescent="0.25">
      <c r="A218" s="1041"/>
      <c r="B218" s="1041" t="s">
        <v>39</v>
      </c>
      <c r="C218" s="1059"/>
      <c r="D218" s="1059"/>
      <c r="E218" s="1059"/>
      <c r="F218" s="1059"/>
      <c r="G218" s="540"/>
      <c r="H218" s="855">
        <v>0.70295841439264528</v>
      </c>
      <c r="I218" s="855">
        <v>0.73359314268756337</v>
      </c>
      <c r="J218" s="855">
        <v>0.75529619601743836</v>
      </c>
      <c r="K218" s="855">
        <v>0.76128403389034149</v>
      </c>
      <c r="L218" s="855">
        <v>0.7430246728175951</v>
      </c>
      <c r="M218" s="855">
        <v>0.72418967081518093</v>
      </c>
      <c r="N218" s="855">
        <v>0.7089765598715565</v>
      </c>
      <c r="O218" s="855">
        <v>0.69011629757275783</v>
      </c>
      <c r="P218" s="855">
        <v>0.67134376160721065</v>
      </c>
      <c r="Q218" s="855">
        <v>0.65295541630795639</v>
      </c>
      <c r="R218" s="855">
        <v>0.63524392699220433</v>
      </c>
      <c r="S218" s="855">
        <v>0.6182485418047774</v>
      </c>
      <c r="T218" s="855">
        <v>0.60233600472977922</v>
      </c>
      <c r="U218" s="855">
        <v>0.58698323436460231</v>
      </c>
      <c r="V218" s="855">
        <v>0.57283153503899864</v>
      </c>
      <c r="W218" s="855">
        <v>0.55950794256368241</v>
      </c>
      <c r="X218" s="855">
        <v>0.54674598187550305</v>
      </c>
      <c r="Y218" s="855">
        <v>0.53503394291944495</v>
      </c>
      <c r="Z218" s="855">
        <v>0.52408975304692673</v>
      </c>
      <c r="AA218" s="855">
        <v>0.51354653311406206</v>
      </c>
      <c r="AB218" s="855">
        <v>0.50387997930374184</v>
      </c>
      <c r="AC218" s="855">
        <v>0.49478581379035996</v>
      </c>
      <c r="AD218" s="855">
        <v>0.4859205468984984</v>
      </c>
      <c r="AE218" s="855">
        <v>0.47773567152008423</v>
      </c>
      <c r="AF218" s="855">
        <v>0.46972831331444331</v>
      </c>
    </row>
    <row r="219" spans="1:32" x14ac:dyDescent="0.25">
      <c r="A219" s="1041"/>
      <c r="B219" s="1041" t="s">
        <v>40</v>
      </c>
      <c r="C219" s="1059"/>
      <c r="D219" s="1059"/>
      <c r="E219" s="1059"/>
      <c r="F219" s="1059"/>
      <c r="G219" s="540"/>
      <c r="H219" s="855">
        <v>0.14684503750915107</v>
      </c>
      <c r="I219" s="855">
        <v>0.17033329436889144</v>
      </c>
      <c r="J219" s="855">
        <v>0.19744100261458089</v>
      </c>
      <c r="K219" s="855">
        <v>0.22870396199068618</v>
      </c>
      <c r="L219" s="855">
        <v>0.24912949896141071</v>
      </c>
      <c r="M219" s="855">
        <v>0.26841644835412126</v>
      </c>
      <c r="N219" s="855">
        <v>0.28200271509857516</v>
      </c>
      <c r="O219" s="855">
        <v>0.29700352112113015</v>
      </c>
      <c r="P219" s="855">
        <v>0.30988154968575232</v>
      </c>
      <c r="Q219" s="855">
        <v>0.32037687941502635</v>
      </c>
      <c r="R219" s="855">
        <v>0.32862379546005083</v>
      </c>
      <c r="S219" s="855">
        <v>0.33482416516028335</v>
      </c>
      <c r="T219" s="855">
        <v>0.33903434277594141</v>
      </c>
      <c r="U219" s="855">
        <v>0.34190179079172911</v>
      </c>
      <c r="V219" s="855">
        <v>0.34355969361121769</v>
      </c>
      <c r="W219" s="855">
        <v>0.34429899711430745</v>
      </c>
      <c r="X219" s="855">
        <v>0.34436676648802822</v>
      </c>
      <c r="Y219" s="855">
        <v>0.34387064566638825</v>
      </c>
      <c r="Z219" s="855">
        <v>0.34301413265044128</v>
      </c>
      <c r="AA219" s="855">
        <v>0.34183569036858419</v>
      </c>
      <c r="AB219" s="855">
        <v>0.34043279381622404</v>
      </c>
      <c r="AC219" s="855">
        <v>0.33883973160468395</v>
      </c>
      <c r="AD219" s="855">
        <v>0.33694561004085732</v>
      </c>
      <c r="AE219" s="855">
        <v>0.33498254099014085</v>
      </c>
      <c r="AF219" s="855">
        <v>0.33259152226967259</v>
      </c>
    </row>
    <row r="220" spans="1:32" x14ac:dyDescent="0.25">
      <c r="A220" s="1041"/>
      <c r="B220" s="1041" t="s">
        <v>29</v>
      </c>
      <c r="C220" s="1059"/>
      <c r="D220" s="1059"/>
      <c r="E220" s="1059"/>
      <c r="F220" s="1059"/>
      <c r="G220" s="1045"/>
      <c r="H220" s="855">
        <v>1.6766486154215827E-8</v>
      </c>
      <c r="I220" s="855">
        <v>2.2258694529719846E-6</v>
      </c>
      <c r="J220" s="855">
        <v>3.6644561461433224E-5</v>
      </c>
      <c r="K220" s="855">
        <v>2.3794720082088506E-4</v>
      </c>
      <c r="L220" s="855">
        <v>9.2309557543493546E-4</v>
      </c>
      <c r="M220" s="855">
        <v>2.5999449959397186E-3</v>
      </c>
      <c r="N220" s="855">
        <v>5.7293001054616348E-3</v>
      </c>
      <c r="O220" s="855">
        <v>1.049014433607531E-2</v>
      </c>
      <c r="P220" s="855">
        <v>1.7030984504806109E-2</v>
      </c>
      <c r="Q220" s="855">
        <v>2.5388837954320665E-2</v>
      </c>
      <c r="R220" s="855">
        <v>3.51887561038325E-2</v>
      </c>
      <c r="S220" s="855">
        <v>4.6226152653645713E-2</v>
      </c>
      <c r="T220" s="855">
        <v>5.810294799352813E-2</v>
      </c>
      <c r="U220" s="855">
        <v>7.0716577730629782E-2</v>
      </c>
      <c r="V220" s="855">
        <v>8.3303608073444793E-2</v>
      </c>
      <c r="W220" s="855">
        <v>9.5956698272942967E-2</v>
      </c>
      <c r="X220" s="855">
        <v>0.1087020866214638</v>
      </c>
      <c r="Y220" s="855">
        <v>0.12094831639215965</v>
      </c>
      <c r="Z220" s="855">
        <v>0.13277754284592616</v>
      </c>
      <c r="AA220" s="855">
        <v>0.144520634880551</v>
      </c>
      <c r="AB220" s="855">
        <v>0.15560647289026616</v>
      </c>
      <c r="AC220" s="855">
        <v>0.1663062589194495</v>
      </c>
      <c r="AD220" s="855">
        <v>0.17707528769108197</v>
      </c>
      <c r="AE220" s="855">
        <v>0.18723087848047903</v>
      </c>
      <c r="AF220" s="855">
        <v>0.19763555165030977</v>
      </c>
    </row>
    <row r="221" spans="1:32" x14ac:dyDescent="0.25">
      <c r="A221" s="1041"/>
      <c r="B221" s="1041"/>
      <c r="C221" s="1059"/>
      <c r="D221" s="1059"/>
      <c r="E221" s="1059"/>
      <c r="F221" s="1059"/>
      <c r="G221" s="1045"/>
      <c r="H221" s="1059"/>
      <c r="I221" s="1059"/>
      <c r="J221" s="1059"/>
      <c r="K221" s="1059"/>
      <c r="L221" s="1059"/>
      <c r="M221" s="1059"/>
      <c r="N221" s="1059"/>
      <c r="O221" s="1059"/>
      <c r="P221" s="1059"/>
      <c r="Q221" s="1059"/>
      <c r="R221" s="1059"/>
      <c r="S221" s="1059"/>
      <c r="T221" s="1059"/>
      <c r="U221" s="1059"/>
      <c r="V221" s="1059"/>
      <c r="W221" s="1059"/>
      <c r="X221" s="1059"/>
      <c r="Y221" s="1059"/>
      <c r="Z221" s="1059"/>
      <c r="AA221" s="1059"/>
      <c r="AB221" s="1059"/>
      <c r="AC221" s="1059"/>
      <c r="AD221" s="1059"/>
      <c r="AE221" s="1059"/>
      <c r="AF221" s="1059"/>
    </row>
    <row r="222" spans="1:32" x14ac:dyDescent="0.25">
      <c r="A222" s="843" t="s">
        <v>42</v>
      </c>
      <c r="B222" s="843"/>
      <c r="C222" s="843"/>
      <c r="D222" s="843"/>
      <c r="E222" s="843"/>
      <c r="F222" s="843"/>
      <c r="G222" s="865"/>
      <c r="H222" s="843"/>
      <c r="I222" s="843"/>
      <c r="J222" s="843"/>
      <c r="K222" s="843"/>
      <c r="L222" s="843"/>
      <c r="M222" s="843"/>
      <c r="N222" s="843"/>
      <c r="O222" s="843"/>
      <c r="P222" s="843"/>
      <c r="Q222" s="843"/>
      <c r="R222" s="843"/>
      <c r="S222" s="843"/>
      <c r="T222" s="843"/>
      <c r="U222" s="843"/>
      <c r="V222" s="843"/>
      <c r="W222" s="843"/>
      <c r="X222" s="843"/>
      <c r="Y222" s="843"/>
      <c r="Z222" s="843"/>
      <c r="AA222" s="843"/>
      <c r="AB222" s="843"/>
      <c r="AC222" s="843"/>
      <c r="AD222" s="843"/>
      <c r="AE222" s="843"/>
      <c r="AF222" s="843"/>
    </row>
    <row r="223" spans="1:32" x14ac:dyDescent="0.25">
      <c r="A223" s="1041"/>
      <c r="B223" s="1043" t="s">
        <v>43</v>
      </c>
      <c r="C223" s="1059"/>
      <c r="D223" s="1059"/>
      <c r="E223" s="1059"/>
      <c r="F223" s="1059"/>
      <c r="G223" s="1045"/>
      <c r="H223" s="855">
        <v>4.1069668420036398E-2</v>
      </c>
      <c r="I223" s="855">
        <v>3.7352551663814827E-2</v>
      </c>
      <c r="J223" s="855">
        <v>3.4103990330359366E-2</v>
      </c>
      <c r="K223" s="855">
        <v>3.1253821054704589E-2</v>
      </c>
      <c r="L223" s="855">
        <v>2.8812466268548612E-2</v>
      </c>
      <c r="M223" s="855">
        <v>2.6685708011909875E-2</v>
      </c>
      <c r="N223" s="855">
        <v>2.478262129504671E-2</v>
      </c>
      <c r="O223" s="855">
        <v>2.3109699870699614E-2</v>
      </c>
      <c r="P223" s="855">
        <v>2.1603460733274005E-2</v>
      </c>
      <c r="Q223" s="855">
        <v>2.0271927289100929E-2</v>
      </c>
      <c r="R223" s="855">
        <v>1.9077195398351905E-2</v>
      </c>
      <c r="S223" s="855">
        <v>1.7990828693436631E-2</v>
      </c>
      <c r="T223" s="855">
        <v>1.7021930853850845E-2</v>
      </c>
      <c r="U223" s="855">
        <v>1.6160645157417566E-2</v>
      </c>
      <c r="V223" s="855">
        <v>1.536920731919756E-2</v>
      </c>
      <c r="W223" s="855">
        <v>1.4659035679182699E-2</v>
      </c>
      <c r="X223" s="855">
        <v>1.4021540948432255E-2</v>
      </c>
      <c r="Y223" s="855">
        <v>1.3444325248514841E-2</v>
      </c>
      <c r="Z223" s="855">
        <v>1.2921676241667537E-2</v>
      </c>
      <c r="AA223" s="855">
        <v>1.2440406920604186E-2</v>
      </c>
      <c r="AB223" s="855">
        <v>1.2012170512355069E-2</v>
      </c>
      <c r="AC223" s="855">
        <v>1.1625702303323418E-2</v>
      </c>
      <c r="AD223" s="855">
        <v>1.127733699352404E-2</v>
      </c>
      <c r="AE223" s="855">
        <v>1.096365514674408E-2</v>
      </c>
      <c r="AF223" s="855">
        <v>1.0681098710016261E-2</v>
      </c>
    </row>
    <row r="224" spans="1:32" x14ac:dyDescent="0.25">
      <c r="A224" s="1041"/>
      <c r="B224" s="1043" t="s">
        <v>44</v>
      </c>
      <c r="C224" s="1059"/>
      <c r="D224" s="1059"/>
      <c r="E224" s="1059"/>
      <c r="F224" s="1059"/>
      <c r="G224" s="1045"/>
      <c r="H224" s="855">
        <v>0.8523416250550836</v>
      </c>
      <c r="I224" s="855">
        <v>0.85641440168713734</v>
      </c>
      <c r="J224" s="855">
        <v>0.85740423117986697</v>
      </c>
      <c r="K224" s="855">
        <v>0.85570935504274537</v>
      </c>
      <c r="L224" s="855">
        <v>0.85154200066279506</v>
      </c>
      <c r="M224" s="855">
        <v>0.84596580031313506</v>
      </c>
      <c r="N224" s="855">
        <v>0.83914815281213839</v>
      </c>
      <c r="O224" s="855">
        <v>0.83184743432431318</v>
      </c>
      <c r="P224" s="855">
        <v>0.82408618523877697</v>
      </c>
      <c r="Q224" s="855">
        <v>0.81661845036454461</v>
      </c>
      <c r="R224" s="855">
        <v>0.80948608482872408</v>
      </c>
      <c r="S224" s="855">
        <v>0.80267343385748924</v>
      </c>
      <c r="T224" s="855">
        <v>0.79677604124415158</v>
      </c>
      <c r="U224" s="855">
        <v>0.79190695174323944</v>
      </c>
      <c r="V224" s="855">
        <v>0.78738104104380513</v>
      </c>
      <c r="W224" s="855">
        <v>0.78368260783027333</v>
      </c>
      <c r="X224" s="855">
        <v>0.7807137788673576</v>
      </c>
      <c r="Y224" s="855">
        <v>0.77821633598374917</v>
      </c>
      <c r="Z224" s="855">
        <v>0.77610870982255087</v>
      </c>
      <c r="AA224" s="855">
        <v>0.77404497096497438</v>
      </c>
      <c r="AB224" s="855">
        <v>0.77256196555755641</v>
      </c>
      <c r="AC224" s="855">
        <v>0.77132298974890401</v>
      </c>
      <c r="AD224" s="855">
        <v>0.77028879985096077</v>
      </c>
      <c r="AE224" s="855">
        <v>0.76942564316920914</v>
      </c>
      <c r="AF224" s="855">
        <v>0.7686981324188924</v>
      </c>
    </row>
    <row r="225" spans="1:32" x14ac:dyDescent="0.25">
      <c r="A225" s="1041"/>
      <c r="B225" s="1043" t="s">
        <v>45</v>
      </c>
      <c r="C225" s="1059"/>
      <c r="D225" s="1059"/>
      <c r="E225" s="1059"/>
      <c r="F225" s="1059"/>
      <c r="G225" s="1045"/>
      <c r="H225" s="855">
        <v>8.6214006565535212E-2</v>
      </c>
      <c r="I225" s="855">
        <v>7.6768119109399763E-2</v>
      </c>
      <c r="J225" s="855">
        <v>6.856599988667858E-2</v>
      </c>
      <c r="K225" s="855">
        <v>6.1422622091421332E-2</v>
      </c>
      <c r="L225" s="855">
        <v>5.5310244849075901E-2</v>
      </c>
      <c r="M225" s="855">
        <v>4.9957871308501399E-2</v>
      </c>
      <c r="N225" s="855">
        <v>4.5204465127275682E-2</v>
      </c>
      <c r="O225" s="855">
        <v>4.1048185369668137E-2</v>
      </c>
      <c r="P225" s="855">
        <v>3.7329018449962732E-2</v>
      </c>
      <c r="Q225" s="855">
        <v>3.4050484338035002E-2</v>
      </c>
      <c r="R225" s="855">
        <v>3.1117101430173343E-2</v>
      </c>
      <c r="S225" s="855">
        <v>2.845765710334654E-2</v>
      </c>
      <c r="T225" s="855">
        <v>2.6080567092891496E-2</v>
      </c>
      <c r="U225" s="855">
        <v>2.3957757687917358E-2</v>
      </c>
      <c r="V225" s="855">
        <v>2.200995054751136E-2</v>
      </c>
      <c r="W225" s="855">
        <v>2.0253507907319591E-2</v>
      </c>
      <c r="X225" s="855">
        <v>1.8668022949760495E-2</v>
      </c>
      <c r="Y225" s="855">
        <v>1.7227661265699516E-2</v>
      </c>
      <c r="Z225" s="855">
        <v>1.5936777709557273E-2</v>
      </c>
      <c r="AA225" s="855">
        <v>1.4732804507135811E-2</v>
      </c>
      <c r="AB225" s="855">
        <v>1.3650527861501019E-2</v>
      </c>
      <c r="AC225" s="855">
        <v>1.2669120181996261E-2</v>
      </c>
      <c r="AD225" s="855">
        <v>1.1779806865340001E-2</v>
      </c>
      <c r="AE225" s="855">
        <v>1.0974489249898455E-2</v>
      </c>
      <c r="AF225" s="855">
        <v>1.0245671455114505E-2</v>
      </c>
    </row>
    <row r="226" spans="1:32" x14ac:dyDescent="0.25">
      <c r="A226" s="1041"/>
      <c r="B226" s="1043" t="s">
        <v>46</v>
      </c>
      <c r="C226" s="1059"/>
      <c r="D226" s="1059"/>
      <c r="E226" s="1059"/>
      <c r="F226" s="1059"/>
      <c r="G226" s="1045"/>
      <c r="H226" s="855">
        <v>0</v>
      </c>
      <c r="I226" s="855">
        <v>0</v>
      </c>
      <c r="J226" s="855">
        <v>0</v>
      </c>
      <c r="K226" s="855">
        <v>0</v>
      </c>
      <c r="L226" s="855">
        <v>0</v>
      </c>
      <c r="M226" s="855">
        <v>0</v>
      </c>
      <c r="N226" s="855">
        <v>0</v>
      </c>
      <c r="O226" s="855">
        <v>0</v>
      </c>
      <c r="P226" s="855">
        <v>0</v>
      </c>
      <c r="Q226" s="855">
        <v>0</v>
      </c>
      <c r="R226" s="855">
        <v>0</v>
      </c>
      <c r="S226" s="855">
        <v>0</v>
      </c>
      <c r="T226" s="855">
        <v>0</v>
      </c>
      <c r="U226" s="855">
        <v>0</v>
      </c>
      <c r="V226" s="855">
        <v>0</v>
      </c>
      <c r="W226" s="855">
        <v>0</v>
      </c>
      <c r="X226" s="855">
        <v>0</v>
      </c>
      <c r="Y226" s="855">
        <v>0</v>
      </c>
      <c r="Z226" s="855">
        <v>0</v>
      </c>
      <c r="AA226" s="855">
        <v>0</v>
      </c>
      <c r="AB226" s="855">
        <v>0</v>
      </c>
      <c r="AC226" s="855">
        <v>0</v>
      </c>
      <c r="AD226" s="855">
        <v>0</v>
      </c>
      <c r="AE226" s="855">
        <v>0</v>
      </c>
      <c r="AF226" s="855">
        <v>0</v>
      </c>
    </row>
    <row r="227" spans="1:32" x14ac:dyDescent="0.25">
      <c r="A227" s="1041"/>
      <c r="B227" s="1041" t="s">
        <v>29</v>
      </c>
      <c r="C227" s="1059"/>
      <c r="D227" s="1059"/>
      <c r="E227" s="1059"/>
      <c r="F227" s="1059"/>
      <c r="G227" s="1045"/>
      <c r="H227" s="855">
        <v>2.0374699959344933E-2</v>
      </c>
      <c r="I227" s="855">
        <v>2.946492753964803E-2</v>
      </c>
      <c r="J227" s="855">
        <v>3.9925778603095062E-2</v>
      </c>
      <c r="K227" s="855">
        <v>5.1614201811128753E-2</v>
      </c>
      <c r="L227" s="855">
        <v>6.4335288219580539E-2</v>
      </c>
      <c r="M227" s="855">
        <v>7.7390620366453555E-2</v>
      </c>
      <c r="N227" s="855">
        <v>9.0864760765539107E-2</v>
      </c>
      <c r="O227" s="855">
        <v>0.10399468043531893</v>
      </c>
      <c r="P227" s="855">
        <v>0.1169813355779864</v>
      </c>
      <c r="Q227" s="855">
        <v>0.12905913800831936</v>
      </c>
      <c r="R227" s="855">
        <v>0.14031961834275064</v>
      </c>
      <c r="S227" s="855">
        <v>0.15087808034572767</v>
      </c>
      <c r="T227" s="855">
        <v>0.160121460809106</v>
      </c>
      <c r="U227" s="855">
        <v>0.16797464541142557</v>
      </c>
      <c r="V227" s="855">
        <v>0.17523980108948597</v>
      </c>
      <c r="W227" s="855">
        <v>0.18140484858322442</v>
      </c>
      <c r="X227" s="855">
        <v>0.18659665723444965</v>
      </c>
      <c r="Y227" s="855">
        <v>0.19111167750203648</v>
      </c>
      <c r="Z227" s="855">
        <v>0.19503283622622442</v>
      </c>
      <c r="AA227" s="855">
        <v>0.19878181760728558</v>
      </c>
      <c r="AB227" s="855">
        <v>0.20177533606858755</v>
      </c>
      <c r="AC227" s="855">
        <v>0.20438218776577627</v>
      </c>
      <c r="AD227" s="855">
        <v>0.20665405629017522</v>
      </c>
      <c r="AE227" s="855">
        <v>0.20863621243414832</v>
      </c>
      <c r="AF227" s="855">
        <v>0.21037509741597679</v>
      </c>
    </row>
    <row r="228" spans="1:32" x14ac:dyDescent="0.25">
      <c r="A228" s="1041"/>
      <c r="B228" s="1041"/>
      <c r="C228" s="1059"/>
      <c r="D228" s="1059"/>
      <c r="E228" s="1059"/>
      <c r="F228" s="1059"/>
      <c r="G228" s="1045"/>
      <c r="H228" s="1059"/>
      <c r="I228" s="1059"/>
      <c r="J228" s="1059"/>
      <c r="K228" s="1059"/>
      <c r="L228" s="1059"/>
      <c r="M228" s="1059"/>
      <c r="N228" s="1059"/>
      <c r="O228" s="1059"/>
      <c r="P228" s="1059"/>
      <c r="Q228" s="1059"/>
      <c r="R228" s="1059"/>
      <c r="S228" s="1059"/>
      <c r="T228" s="1059"/>
      <c r="U228" s="1059"/>
      <c r="V228" s="1059"/>
      <c r="W228" s="1059"/>
      <c r="X228" s="1059"/>
      <c r="Y228" s="1059"/>
      <c r="Z228" s="1059"/>
      <c r="AA228" s="1059"/>
      <c r="AB228" s="1059"/>
      <c r="AC228" s="1059"/>
      <c r="AD228" s="1059"/>
      <c r="AE228" s="1059"/>
      <c r="AF228" s="1059"/>
    </row>
    <row r="229" spans="1:32" x14ac:dyDescent="0.25">
      <c r="A229" s="843" t="s">
        <v>47</v>
      </c>
      <c r="B229" s="843"/>
      <c r="C229" s="843"/>
      <c r="D229" s="843"/>
      <c r="E229" s="843"/>
      <c r="F229" s="843"/>
      <c r="G229" s="865"/>
      <c r="H229" s="843"/>
      <c r="I229" s="843"/>
      <c r="J229" s="843"/>
      <c r="K229" s="843"/>
      <c r="L229" s="843"/>
      <c r="M229" s="843"/>
      <c r="N229" s="843"/>
      <c r="O229" s="843"/>
      <c r="P229" s="843"/>
      <c r="Q229" s="843"/>
      <c r="R229" s="843"/>
      <c r="S229" s="843"/>
      <c r="T229" s="843"/>
      <c r="U229" s="843"/>
      <c r="V229" s="843"/>
      <c r="W229" s="843"/>
      <c r="X229" s="843"/>
      <c r="Y229" s="843"/>
      <c r="Z229" s="843"/>
      <c r="AA229" s="843"/>
      <c r="AB229" s="843"/>
      <c r="AC229" s="843"/>
      <c r="AD229" s="843"/>
      <c r="AE229" s="843"/>
      <c r="AF229" s="843"/>
    </row>
    <row r="230" spans="1:32" x14ac:dyDescent="0.25">
      <c r="A230" s="1041"/>
      <c r="B230" s="1041" t="s">
        <v>48</v>
      </c>
      <c r="C230" s="1059"/>
      <c r="D230" s="1059"/>
      <c r="E230" s="1059"/>
      <c r="F230" s="1059"/>
      <c r="G230" s="1045"/>
      <c r="H230" s="855">
        <v>0</v>
      </c>
      <c r="I230" s="855">
        <v>0</v>
      </c>
      <c r="J230" s="855">
        <v>0</v>
      </c>
      <c r="K230" s="855">
        <v>0</v>
      </c>
      <c r="L230" s="855">
        <v>0</v>
      </c>
      <c r="M230" s="855">
        <v>0</v>
      </c>
      <c r="N230" s="855">
        <v>0</v>
      </c>
      <c r="O230" s="855">
        <v>0</v>
      </c>
      <c r="P230" s="855">
        <v>0</v>
      </c>
      <c r="Q230" s="855">
        <v>0</v>
      </c>
      <c r="R230" s="855">
        <v>0</v>
      </c>
      <c r="S230" s="855">
        <v>0</v>
      </c>
      <c r="T230" s="855">
        <v>0</v>
      </c>
      <c r="U230" s="855">
        <v>0</v>
      </c>
      <c r="V230" s="855">
        <v>0</v>
      </c>
      <c r="W230" s="855">
        <v>0</v>
      </c>
      <c r="X230" s="855">
        <v>0</v>
      </c>
      <c r="Y230" s="855">
        <v>0</v>
      </c>
      <c r="Z230" s="855">
        <v>0</v>
      </c>
      <c r="AA230" s="855">
        <v>0</v>
      </c>
      <c r="AB230" s="855">
        <v>0</v>
      </c>
      <c r="AC230" s="855">
        <v>0</v>
      </c>
      <c r="AD230" s="855">
        <v>0</v>
      </c>
      <c r="AE230" s="855">
        <v>0</v>
      </c>
      <c r="AF230" s="855">
        <v>0</v>
      </c>
    </row>
    <row r="231" spans="1:32" x14ac:dyDescent="0.25">
      <c r="A231" s="1041"/>
      <c r="B231" s="1043" t="s">
        <v>50</v>
      </c>
      <c r="C231" s="1059"/>
      <c r="D231" s="1059"/>
      <c r="E231" s="1059"/>
      <c r="F231" s="1059"/>
      <c r="G231" s="1045"/>
      <c r="H231" s="855">
        <v>2.2371678384001226E-2</v>
      </c>
      <c r="I231" s="855">
        <v>2.119110369469402E-2</v>
      </c>
      <c r="J231" s="855">
        <v>1.9485495765624618E-2</v>
      </c>
      <c r="K231" s="855">
        <v>1.7274229057231482E-2</v>
      </c>
      <c r="L231" s="855">
        <v>1.4651867667443015E-2</v>
      </c>
      <c r="M231" s="855">
        <v>1.1837727703675718E-2</v>
      </c>
      <c r="N231" s="855">
        <v>9.1015195099808203E-3</v>
      </c>
      <c r="O231" s="855">
        <v>6.6181179556002558E-3</v>
      </c>
      <c r="P231" s="855">
        <v>4.5701559137929903E-3</v>
      </c>
      <c r="Q231" s="855">
        <v>3.0151027935138388E-3</v>
      </c>
      <c r="R231" s="855">
        <v>1.8977287941422736E-3</v>
      </c>
      <c r="S231" s="855">
        <v>1.151188374223669E-3</v>
      </c>
      <c r="T231" s="855">
        <v>6.7403613022567717E-4</v>
      </c>
      <c r="U231" s="855">
        <v>3.8330754288763951E-4</v>
      </c>
      <c r="V231" s="855">
        <v>2.1296937413206588E-4</v>
      </c>
      <c r="W231" s="855">
        <v>1.1568102483317395E-4</v>
      </c>
      <c r="X231" s="855">
        <v>6.1760887561173379E-5</v>
      </c>
      <c r="Y231" s="855">
        <v>3.2571831237479406E-5</v>
      </c>
      <c r="Z231" s="855">
        <v>1.6990584608211251E-5</v>
      </c>
      <c r="AA231" s="855">
        <v>8.805518422569389E-6</v>
      </c>
      <c r="AB231" s="855">
        <v>4.5634647757371002E-6</v>
      </c>
      <c r="AC231" s="855">
        <v>2.3601464179143862E-6</v>
      </c>
      <c r="AD231" s="855">
        <v>1.2200753482193584E-6</v>
      </c>
      <c r="AE231" s="855">
        <v>6.3175405374018346E-7</v>
      </c>
      <c r="AF231" s="855">
        <v>3.2744977681513191E-7</v>
      </c>
    </row>
    <row r="232" spans="1:32" x14ac:dyDescent="0.25">
      <c r="A232" s="1041"/>
      <c r="B232" s="1041" t="s">
        <v>51</v>
      </c>
      <c r="C232" s="1059"/>
      <c r="D232" s="1059"/>
      <c r="E232" s="1059"/>
      <c r="F232" s="1059"/>
      <c r="G232" s="1045"/>
      <c r="H232" s="855">
        <v>0.31755885196478212</v>
      </c>
      <c r="I232" s="855">
        <v>0.30133169192918707</v>
      </c>
      <c r="J232" s="855">
        <v>0.28243346513390749</v>
      </c>
      <c r="K232" s="855">
        <v>0.26072661038139661</v>
      </c>
      <c r="L232" s="855">
        <v>0.23731542013586077</v>
      </c>
      <c r="M232" s="855">
        <v>0.21327158826523773</v>
      </c>
      <c r="N232" s="855">
        <v>0.189847343708056</v>
      </c>
      <c r="O232" s="855">
        <v>0.16669939886851484</v>
      </c>
      <c r="P232" s="855">
        <v>0.14496953212791197</v>
      </c>
      <c r="Q232" s="855">
        <v>0.12539195540079281</v>
      </c>
      <c r="R232" s="855">
        <v>0.10741369441976539</v>
      </c>
      <c r="S232" s="855">
        <v>9.1733857431220908E-2</v>
      </c>
      <c r="T232" s="855">
        <v>7.7919135065088838E-2</v>
      </c>
      <c r="U232" s="855">
        <v>6.5973174649921015E-2</v>
      </c>
      <c r="V232" s="855">
        <v>5.578740202778406E-2</v>
      </c>
      <c r="W232" s="855">
        <v>4.6965386453945025E-2</v>
      </c>
      <c r="X232" s="855">
        <v>3.9478221435378935E-2</v>
      </c>
      <c r="Y232" s="855">
        <v>3.3181867888640887E-2</v>
      </c>
      <c r="Z232" s="855">
        <v>2.784676977624705E-2</v>
      </c>
      <c r="AA232" s="855">
        <v>2.3336586708589284E-2</v>
      </c>
      <c r="AB232" s="855">
        <v>1.9536970700621731E-2</v>
      </c>
      <c r="AC232" s="855">
        <v>1.6327202295557695E-2</v>
      </c>
      <c r="AD232" s="855">
        <v>1.3630883853255173E-2</v>
      </c>
      <c r="AE232" s="855">
        <v>1.1385078819734409E-2</v>
      </c>
      <c r="AF232" s="855">
        <v>9.5039194470631048E-3</v>
      </c>
    </row>
    <row r="233" spans="1:32" x14ac:dyDescent="0.25">
      <c r="A233" s="1041"/>
      <c r="B233" s="1041" t="s">
        <v>52</v>
      </c>
      <c r="C233" s="1059"/>
      <c r="D233" s="1059"/>
      <c r="E233" s="1059"/>
      <c r="F233" s="1059"/>
      <c r="G233" s="1045"/>
      <c r="H233" s="855">
        <v>0.62469219850076274</v>
      </c>
      <c r="I233" s="855">
        <v>0.61909548222194877</v>
      </c>
      <c r="J233" s="855">
        <v>0.61286338391784723</v>
      </c>
      <c r="K233" s="855">
        <v>0.60628367319631504</v>
      </c>
      <c r="L233" s="855">
        <v>0.59896402847197783</v>
      </c>
      <c r="M233" s="855">
        <v>0.59070476283995399</v>
      </c>
      <c r="N233" s="855">
        <v>0.58389319070914592</v>
      </c>
      <c r="O233" s="855">
        <v>0.57531761652222124</v>
      </c>
      <c r="P233" s="855">
        <v>0.56645327618349173</v>
      </c>
      <c r="Q233" s="855">
        <v>0.55879254916542231</v>
      </c>
      <c r="R233" s="855">
        <v>0.54910180870341763</v>
      </c>
      <c r="S233" s="855">
        <v>0.54029780875143241</v>
      </c>
      <c r="T233" s="855">
        <v>0.52949403066343348</v>
      </c>
      <c r="U233" s="855">
        <v>0.51940828849750775</v>
      </c>
      <c r="V233" s="855">
        <v>0.50862588100263062</v>
      </c>
      <c r="W233" s="855">
        <v>0.49634323632957461</v>
      </c>
      <c r="X233" s="855">
        <v>0.48444356088108287</v>
      </c>
      <c r="Y233" s="855">
        <v>0.4720440408400004</v>
      </c>
      <c r="Z233" s="855">
        <v>0.45926972328346477</v>
      </c>
      <c r="AA233" s="855">
        <v>0.445744191583829</v>
      </c>
      <c r="AB233" s="855">
        <v>0.43255785369192773</v>
      </c>
      <c r="AC233" s="855">
        <v>0.41974067018475414</v>
      </c>
      <c r="AD233" s="855">
        <v>0.40647128878328559</v>
      </c>
      <c r="AE233" s="855">
        <v>0.3932336716599989</v>
      </c>
      <c r="AF233" s="855">
        <v>0.3801652037662589</v>
      </c>
    </row>
    <row r="234" spans="1:32" x14ac:dyDescent="0.25">
      <c r="A234" s="1041"/>
      <c r="B234" s="1043" t="s">
        <v>29</v>
      </c>
      <c r="C234" s="1059"/>
      <c r="D234" s="1059"/>
      <c r="E234" s="1059"/>
      <c r="F234" s="1059"/>
      <c r="G234" s="1045"/>
      <c r="H234" s="855">
        <v>3.5377271150453984E-2</v>
      </c>
      <c r="I234" s="855">
        <v>5.8381722154170167E-2</v>
      </c>
      <c r="J234" s="855">
        <v>8.5217655182620686E-2</v>
      </c>
      <c r="K234" s="855">
        <v>0.11571548736505688</v>
      </c>
      <c r="L234" s="855">
        <v>0.14906868372471832</v>
      </c>
      <c r="M234" s="855">
        <v>0.18418592119113247</v>
      </c>
      <c r="N234" s="855">
        <v>0.2171579460728173</v>
      </c>
      <c r="O234" s="855">
        <v>0.25136486665366353</v>
      </c>
      <c r="P234" s="855">
        <v>0.28400703577480346</v>
      </c>
      <c r="Q234" s="855">
        <v>0.31280039264027099</v>
      </c>
      <c r="R234" s="855">
        <v>0.34158676808267474</v>
      </c>
      <c r="S234" s="855">
        <v>0.36681714544312299</v>
      </c>
      <c r="T234" s="855">
        <v>0.39191279814125202</v>
      </c>
      <c r="U234" s="855">
        <v>0.41423522930968354</v>
      </c>
      <c r="V234" s="855">
        <v>0.43537374759545316</v>
      </c>
      <c r="W234" s="855">
        <v>0.45657569619164723</v>
      </c>
      <c r="X234" s="855">
        <v>0.47601645679597704</v>
      </c>
      <c r="Y234" s="855">
        <v>0.49474151944012124</v>
      </c>
      <c r="Z234" s="855">
        <v>0.51286651635567981</v>
      </c>
      <c r="AA234" s="855">
        <v>0.53091041618915913</v>
      </c>
      <c r="AB234" s="855">
        <v>0.54790061214267483</v>
      </c>
      <c r="AC234" s="855">
        <v>0.56392976737327027</v>
      </c>
      <c r="AD234" s="855">
        <v>0.57989660728811099</v>
      </c>
      <c r="AE234" s="855">
        <v>0.59538061776621298</v>
      </c>
      <c r="AF234" s="855">
        <v>0.61033054933690112</v>
      </c>
    </row>
    <row r="235" spans="1:32" x14ac:dyDescent="0.25">
      <c r="A235" s="1041"/>
      <c r="B235" s="1043" t="s">
        <v>53</v>
      </c>
      <c r="C235" s="1059"/>
      <c r="D235" s="1059"/>
      <c r="E235" s="1059"/>
      <c r="F235" s="1059"/>
      <c r="G235" s="1045"/>
      <c r="H235" s="855">
        <v>0</v>
      </c>
      <c r="I235" s="855">
        <v>0</v>
      </c>
      <c r="J235" s="855">
        <v>0</v>
      </c>
      <c r="K235" s="855">
        <v>0</v>
      </c>
      <c r="L235" s="855">
        <v>0</v>
      </c>
      <c r="M235" s="855">
        <v>0</v>
      </c>
      <c r="N235" s="855">
        <v>0</v>
      </c>
      <c r="O235" s="855">
        <v>0</v>
      </c>
      <c r="P235" s="855">
        <v>0</v>
      </c>
      <c r="Q235" s="855">
        <v>0</v>
      </c>
      <c r="R235" s="855">
        <v>0</v>
      </c>
      <c r="S235" s="855">
        <v>0</v>
      </c>
      <c r="T235" s="855">
        <v>0</v>
      </c>
      <c r="U235" s="855">
        <v>0</v>
      </c>
      <c r="V235" s="855">
        <v>0</v>
      </c>
      <c r="W235" s="855">
        <v>0</v>
      </c>
      <c r="X235" s="855">
        <v>0</v>
      </c>
      <c r="Y235" s="855">
        <v>0</v>
      </c>
      <c r="Z235" s="855">
        <v>0</v>
      </c>
      <c r="AA235" s="855">
        <v>0</v>
      </c>
      <c r="AB235" s="855">
        <v>0</v>
      </c>
      <c r="AC235" s="855">
        <v>0</v>
      </c>
      <c r="AD235" s="855">
        <v>0</v>
      </c>
      <c r="AE235" s="855">
        <v>0</v>
      </c>
      <c r="AF235" s="855">
        <v>0</v>
      </c>
    </row>
    <row r="236" spans="1:32" x14ac:dyDescent="0.25">
      <c r="A236" s="1059"/>
      <c r="B236" s="1059"/>
      <c r="C236" s="1059"/>
      <c r="D236" s="1059"/>
      <c r="E236" s="1059"/>
      <c r="F236" s="1059"/>
      <c r="G236" s="1059"/>
      <c r="H236" s="1059"/>
      <c r="I236" s="1059"/>
      <c r="J236" s="1059"/>
      <c r="K236" s="1059"/>
      <c r="L236" s="1059"/>
      <c r="M236" s="1059"/>
      <c r="N236" s="1059"/>
      <c r="O236" s="1059"/>
      <c r="P236" s="1059"/>
      <c r="Q236" s="1059"/>
      <c r="R236" s="1059"/>
      <c r="S236" s="1059"/>
      <c r="T236" s="1059"/>
      <c r="U236" s="1059"/>
      <c r="V236" s="1059"/>
      <c r="W236" s="1059"/>
      <c r="X236" s="1059"/>
      <c r="Y236" s="1059"/>
      <c r="Z236" s="1059"/>
      <c r="AA236" s="1059"/>
      <c r="AB236" s="1059"/>
      <c r="AC236" s="1059"/>
      <c r="AD236" s="1059"/>
      <c r="AE236" s="1059"/>
      <c r="AF236" s="1059"/>
    </row>
    <row r="237" spans="1:32" ht="15.75" thickBot="1" x14ac:dyDescent="0.3">
      <c r="A237" s="1059" t="s">
        <v>741</v>
      </c>
      <c r="B237" s="1059"/>
      <c r="C237" s="1059"/>
      <c r="D237" s="1059"/>
      <c r="E237" s="1059"/>
      <c r="F237" s="1059"/>
      <c r="G237" s="1059"/>
      <c r="H237" s="1059"/>
      <c r="I237" s="1059"/>
      <c r="J237" s="1059"/>
      <c r="K237" s="1059"/>
      <c r="L237" s="1059"/>
      <c r="M237" s="1059"/>
      <c r="N237" s="1059"/>
      <c r="O237" s="1059"/>
      <c r="P237" s="1059"/>
      <c r="Q237" s="1059"/>
      <c r="R237" s="1059"/>
      <c r="S237" s="1059"/>
      <c r="T237" s="1059"/>
      <c r="U237" s="1059"/>
      <c r="V237" s="1059"/>
      <c r="W237" s="1059"/>
      <c r="X237" s="1059"/>
      <c r="Y237" s="1059"/>
      <c r="Z237" s="1059"/>
      <c r="AA237" s="1059"/>
      <c r="AB237" s="1059"/>
      <c r="AC237" s="1059"/>
      <c r="AD237" s="1059"/>
      <c r="AE237" s="1059"/>
      <c r="AF237" s="1059"/>
    </row>
    <row r="238" spans="1:32" x14ac:dyDescent="0.25">
      <c r="A238" s="1059"/>
      <c r="B238" s="1075" t="s">
        <v>400</v>
      </c>
      <c r="C238" s="1076"/>
      <c r="D238" s="1076"/>
      <c r="E238" s="1076"/>
      <c r="F238" s="1076"/>
      <c r="G238" s="1076"/>
      <c r="H238" s="1077">
        <v>1.1509568971019017E-3</v>
      </c>
      <c r="I238" s="1077">
        <v>9.7591268087275412E-4</v>
      </c>
      <c r="J238" s="1077">
        <v>8.2171352700194822E-4</v>
      </c>
      <c r="K238" s="1077">
        <v>7.1816718759553895E-4</v>
      </c>
      <c r="L238" s="1077">
        <v>5.9740888846855948E-4</v>
      </c>
      <c r="M238" s="1077">
        <v>4.626530660789973E-4</v>
      </c>
      <c r="N238" s="1077">
        <v>3.7824185896974643E-4</v>
      </c>
      <c r="O238" s="1077">
        <v>3.0376317509259583E-4</v>
      </c>
      <c r="P238" s="1077">
        <v>2.3950430965641791E-4</v>
      </c>
      <c r="Q238" s="1077">
        <v>1.8568794442760608E-4</v>
      </c>
      <c r="R238" s="1077">
        <v>1.4345332058789018E-4</v>
      </c>
      <c r="S238" s="1077">
        <v>1.1117123925780873E-4</v>
      </c>
      <c r="T238" s="1077">
        <v>8.7765635787486105E-5</v>
      </c>
      <c r="U238" s="1077">
        <v>7.0161555949113603E-5</v>
      </c>
      <c r="V238" s="1077">
        <v>5.7424756980008174E-5</v>
      </c>
      <c r="W238" s="1077">
        <v>4.8199109815081748E-5</v>
      </c>
      <c r="X238" s="1077">
        <v>4.1197249432734177E-5</v>
      </c>
      <c r="Y238" s="1077">
        <v>3.5986815225216649E-5</v>
      </c>
      <c r="Z238" s="1077">
        <v>3.2113467780386491E-5</v>
      </c>
      <c r="AA238" s="1077">
        <v>2.9221480887853843E-5</v>
      </c>
      <c r="AB238" s="1077">
        <v>2.6968760458487122E-5</v>
      </c>
      <c r="AC238" s="1077">
        <v>2.5181949984242853E-5</v>
      </c>
      <c r="AD238" s="1077">
        <v>2.3718762341992849E-5</v>
      </c>
      <c r="AE238" s="1077">
        <v>2.2494238916493467E-5</v>
      </c>
      <c r="AF238" s="1077">
        <v>2.1248624557141258E-5</v>
      </c>
    </row>
    <row r="239" spans="1:32" x14ac:dyDescent="0.25">
      <c r="A239" s="1059"/>
      <c r="B239" s="1078" t="s">
        <v>402</v>
      </c>
      <c r="C239" s="584"/>
      <c r="D239" s="584"/>
      <c r="E239" s="584"/>
      <c r="F239" s="584"/>
      <c r="G239" s="584"/>
      <c r="H239" s="1074">
        <v>1.5652371753793802E-3</v>
      </c>
      <c r="I239" s="1074">
        <v>1.3749684791137199E-3</v>
      </c>
      <c r="J239" s="1074">
        <v>1.3512615699254526E-3</v>
      </c>
      <c r="K239" s="1074">
        <v>1.2602801513087933E-3</v>
      </c>
      <c r="L239" s="1074">
        <v>1.1937433263278943E-3</v>
      </c>
      <c r="M239" s="1074">
        <v>1.1118773832127838E-3</v>
      </c>
      <c r="N239" s="1074">
        <v>9.6633990476995035E-4</v>
      </c>
      <c r="O239" s="1074">
        <v>8.4100153390753696E-4</v>
      </c>
      <c r="P239" s="1074">
        <v>7.2013446631960585E-4</v>
      </c>
      <c r="Q239" s="1074">
        <v>6.0831015421013244E-4</v>
      </c>
      <c r="R239" s="1074">
        <v>5.0930427208309241E-4</v>
      </c>
      <c r="S239" s="1074">
        <v>4.2292397751587078E-4</v>
      </c>
      <c r="T239" s="1074">
        <v>3.5186388069499968E-4</v>
      </c>
      <c r="U239" s="1074">
        <v>2.9303370680913542E-4</v>
      </c>
      <c r="V239" s="1074">
        <v>2.4588345664146668E-4</v>
      </c>
      <c r="W239" s="1074">
        <v>2.0886124745638125E-4</v>
      </c>
      <c r="X239" s="1074">
        <v>1.7927036327146563E-4</v>
      </c>
      <c r="Y239" s="1074">
        <v>1.5614767311542262E-4</v>
      </c>
      <c r="Z239" s="1074">
        <v>1.3795257211582064E-4</v>
      </c>
      <c r="AA239" s="1074">
        <v>1.2353900175921458E-4</v>
      </c>
      <c r="AB239" s="1074">
        <v>1.1224969284452684E-4</v>
      </c>
      <c r="AC239" s="1074">
        <v>1.0317919019651405E-4</v>
      </c>
      <c r="AD239" s="1074">
        <v>9.5836825216198565E-5</v>
      </c>
      <c r="AE239" s="1074">
        <v>8.9970540361128233E-5</v>
      </c>
      <c r="AF239" s="1074">
        <v>8.5113823667954774E-5</v>
      </c>
    </row>
    <row r="240" spans="1:32" x14ac:dyDescent="0.25">
      <c r="A240" s="1059"/>
      <c r="B240" s="1078" t="s">
        <v>716</v>
      </c>
      <c r="C240" s="584"/>
      <c r="D240" s="584"/>
      <c r="E240" s="584"/>
      <c r="F240" s="584"/>
      <c r="G240" s="584"/>
      <c r="H240" s="1074">
        <v>0.36509087353423458</v>
      </c>
      <c r="I240" s="1074">
        <v>0.36375531024585367</v>
      </c>
      <c r="J240" s="1074">
        <v>0.36270435103288035</v>
      </c>
      <c r="K240" s="1074">
        <v>0.36199594556174219</v>
      </c>
      <c r="L240" s="1074">
        <v>0.36208043579327431</v>
      </c>
      <c r="M240" s="1074">
        <v>0.36272931587626517</v>
      </c>
      <c r="N240" s="1074">
        <v>0.36276896451609841</v>
      </c>
      <c r="O240" s="1074">
        <v>0.36278602218988648</v>
      </c>
      <c r="P240" s="1074">
        <v>0.36214648862250304</v>
      </c>
      <c r="Q240" s="1074">
        <v>0.36113495126904532</v>
      </c>
      <c r="R240" s="1074">
        <v>0.35953798664320946</v>
      </c>
      <c r="S240" s="1074">
        <v>0.35707237168073447</v>
      </c>
      <c r="T240" s="1074">
        <v>0.35351664950449957</v>
      </c>
      <c r="U240" s="1074">
        <v>0.35025379578996868</v>
      </c>
      <c r="V240" s="1074">
        <v>0.34576906265307522</v>
      </c>
      <c r="W240" s="1074">
        <v>0.34108448615344994</v>
      </c>
      <c r="X240" s="1074">
        <v>0.33668940327714414</v>
      </c>
      <c r="Y240" s="1074">
        <v>0.33160626298466123</v>
      </c>
      <c r="Z240" s="1074">
        <v>0.32645366363078054</v>
      </c>
      <c r="AA240" s="1074">
        <v>0.32150143021677308</v>
      </c>
      <c r="AB240" s="1074">
        <v>0.31629215199237193</v>
      </c>
      <c r="AC240" s="1074">
        <v>0.31113055177308652</v>
      </c>
      <c r="AD240" s="1074">
        <v>0.30625332949841932</v>
      </c>
      <c r="AE240" s="1074">
        <v>0.3011505061436201</v>
      </c>
      <c r="AF240" s="1074">
        <v>0.29594757740918876</v>
      </c>
    </row>
    <row r="241" spans="1:32" x14ac:dyDescent="0.25">
      <c r="A241" s="1059"/>
      <c r="B241" s="1078" t="s">
        <v>42</v>
      </c>
      <c r="C241" s="584"/>
      <c r="D241" s="584"/>
      <c r="E241" s="584"/>
      <c r="F241" s="584"/>
      <c r="G241" s="584"/>
      <c r="H241" s="1074">
        <v>0.61922339266998006</v>
      </c>
      <c r="I241" s="1074">
        <v>0.61506043629602192</v>
      </c>
      <c r="J241" s="1074">
        <v>0.60951549042933184</v>
      </c>
      <c r="K241" s="1074">
        <v>0.60278190401725273</v>
      </c>
      <c r="L241" s="1074">
        <v>0.59444839686370732</v>
      </c>
      <c r="M241" s="1074">
        <v>0.58507458269000856</v>
      </c>
      <c r="N241" s="1074">
        <v>0.57556514731945319</v>
      </c>
      <c r="O241" s="1074">
        <v>0.56575258722421118</v>
      </c>
      <c r="P241" s="1074">
        <v>0.55606391181390602</v>
      </c>
      <c r="Q241" s="1074">
        <v>0.54670511873734384</v>
      </c>
      <c r="R241" s="1074">
        <v>0.5379057385110535</v>
      </c>
      <c r="S241" s="1074">
        <v>0.52991139643560969</v>
      </c>
      <c r="T241" s="1074">
        <v>0.52340895020555744</v>
      </c>
      <c r="U241" s="1074">
        <v>0.51725148773359242</v>
      </c>
      <c r="V241" s="1074">
        <v>0.51254454647299896</v>
      </c>
      <c r="W241" s="1074">
        <v>0.50866213435029639</v>
      </c>
      <c r="X241" s="1074">
        <v>0.50508216291012631</v>
      </c>
      <c r="Y241" s="1074">
        <v>0.50271486356876849</v>
      </c>
      <c r="Z241" s="1074">
        <v>0.50092779867919557</v>
      </c>
      <c r="AA241" s="1074">
        <v>0.499096046928101</v>
      </c>
      <c r="AB241" s="1074">
        <v>0.4982169922289113</v>
      </c>
      <c r="AC241" s="1074">
        <v>0.49768783740120909</v>
      </c>
      <c r="AD241" s="1074">
        <v>0.4970887576761997</v>
      </c>
      <c r="AE241" s="1074">
        <v>0.49712768942094804</v>
      </c>
      <c r="AF241" s="1074">
        <v>0.49735308431700825</v>
      </c>
    </row>
    <row r="242" spans="1:32" ht="15.75" thickBot="1" x14ac:dyDescent="0.3">
      <c r="A242" s="1059"/>
      <c r="B242" s="1079" t="s">
        <v>29</v>
      </c>
      <c r="C242" s="1080"/>
      <c r="D242" s="1080"/>
      <c r="E242" s="1080"/>
      <c r="F242" s="1080"/>
      <c r="G242" s="1080"/>
      <c r="H242" s="1081">
        <v>1.2969539723303796E-2</v>
      </c>
      <c r="I242" s="1081">
        <v>1.883337229813813E-2</v>
      </c>
      <c r="J242" s="1081">
        <v>2.5607183440860295E-2</v>
      </c>
      <c r="K242" s="1081">
        <v>3.3243703082100638E-2</v>
      </c>
      <c r="L242" s="1081">
        <v>4.1680015128222066E-2</v>
      </c>
      <c r="M242" s="1081">
        <v>5.0621570984434525E-2</v>
      </c>
      <c r="N242" s="1081">
        <v>6.0321306400708603E-2</v>
      </c>
      <c r="O242" s="1081">
        <v>7.031662587690217E-2</v>
      </c>
      <c r="P242" s="1081">
        <v>8.0829960787614716E-2</v>
      </c>
      <c r="Q242" s="1081">
        <v>9.1365931894973398E-2</v>
      </c>
      <c r="R242" s="1081">
        <v>0.10190351725306594</v>
      </c>
      <c r="S242" s="1081">
        <v>0.11248213666688212</v>
      </c>
      <c r="T242" s="1081">
        <v>0.12263477077346072</v>
      </c>
      <c r="U242" s="1081">
        <v>0.13213152121368063</v>
      </c>
      <c r="V242" s="1081">
        <v>0.14138308266030464</v>
      </c>
      <c r="W242" s="1081">
        <v>0.14999631913898226</v>
      </c>
      <c r="X242" s="1081">
        <v>0.15800796620002525</v>
      </c>
      <c r="Y242" s="1081">
        <v>0.16548673895822957</v>
      </c>
      <c r="Z242" s="1081">
        <v>0.1724484716501278</v>
      </c>
      <c r="AA242" s="1081">
        <v>0.17924976237247892</v>
      </c>
      <c r="AB242" s="1081">
        <v>0.1853516373254139</v>
      </c>
      <c r="AC242" s="1081">
        <v>0.19105324968552356</v>
      </c>
      <c r="AD242" s="1081">
        <v>0.19653835723782284</v>
      </c>
      <c r="AE242" s="1081">
        <v>0.20160933965615443</v>
      </c>
      <c r="AF242" s="1081">
        <v>0.20659297582557767</v>
      </c>
    </row>
    <row r="243" spans="1:32" x14ac:dyDescent="0.25">
      <c r="A243" s="1059"/>
      <c r="B243" s="1059"/>
      <c r="C243" s="1059"/>
      <c r="D243" s="1059"/>
      <c r="E243" s="1059"/>
      <c r="F243" s="1059"/>
      <c r="G243" s="1059"/>
      <c r="H243" s="1031">
        <v>0.99999999999999978</v>
      </c>
      <c r="I243" s="1031">
        <v>1.0000000000000002</v>
      </c>
      <c r="J243" s="1031">
        <v>0.99999999999999989</v>
      </c>
      <c r="K243" s="1031">
        <v>1</v>
      </c>
      <c r="L243" s="1031">
        <v>1.0000000000000002</v>
      </c>
      <c r="M243" s="1031">
        <v>1</v>
      </c>
      <c r="N243" s="1031">
        <v>1</v>
      </c>
      <c r="O243" s="1031">
        <v>1</v>
      </c>
      <c r="P243" s="1031">
        <v>0.99999999999999989</v>
      </c>
      <c r="Q243" s="1031">
        <v>1.0000000000000002</v>
      </c>
      <c r="R243" s="1031">
        <v>0.99999999999999989</v>
      </c>
      <c r="S243" s="1031">
        <v>0.99999999999999989</v>
      </c>
      <c r="T243" s="1031">
        <v>1.0000000000000002</v>
      </c>
      <c r="U243" s="1031">
        <v>1</v>
      </c>
      <c r="V243" s="1031">
        <v>1.0000000000000002</v>
      </c>
      <c r="W243" s="1031">
        <v>1</v>
      </c>
      <c r="X243" s="1031">
        <v>0.99999999999999989</v>
      </c>
      <c r="Y243" s="1031">
        <v>1</v>
      </c>
      <c r="Z243" s="1031">
        <v>1.0000000000000002</v>
      </c>
      <c r="AA243" s="1031">
        <v>1</v>
      </c>
      <c r="AB243" s="1031">
        <v>1</v>
      </c>
      <c r="AC243" s="1031">
        <v>1</v>
      </c>
      <c r="AD243" s="1031">
        <v>1</v>
      </c>
      <c r="AE243" s="1031">
        <v>1.0000000000000002</v>
      </c>
      <c r="AF243" s="1031">
        <v>0.99999999999999978</v>
      </c>
    </row>
    <row r="244" spans="1:32" x14ac:dyDescent="0.25">
      <c r="A244" s="1082" t="s">
        <v>745</v>
      </c>
      <c r="B244" s="1082"/>
      <c r="C244" s="1082"/>
      <c r="D244" s="1082"/>
      <c r="E244" s="1082"/>
      <c r="F244" s="1082"/>
      <c r="G244" s="1082"/>
      <c r="H244" s="1082"/>
      <c r="I244" s="1082"/>
      <c r="J244" s="1082"/>
      <c r="K244" s="1082"/>
      <c r="L244" s="1082"/>
      <c r="M244" s="1082"/>
      <c r="N244" s="1082"/>
      <c r="O244" s="1082"/>
      <c r="P244" s="1082"/>
      <c r="Q244" s="1082"/>
      <c r="R244" s="1082"/>
      <c r="S244" s="1082"/>
      <c r="T244" s="1082"/>
      <c r="U244" s="1082"/>
      <c r="V244" s="1082"/>
      <c r="W244" s="1082"/>
      <c r="X244" s="1082"/>
      <c r="Y244" s="1082"/>
      <c r="Z244" s="1082"/>
      <c r="AA244" s="1082"/>
      <c r="AB244" s="1082"/>
      <c r="AC244" s="1082"/>
      <c r="AD244" s="1082"/>
      <c r="AE244" s="1082"/>
      <c r="AF244" s="1082"/>
    </row>
    <row r="245" spans="1:32" x14ac:dyDescent="0.25">
      <c r="A245" s="1047" t="s">
        <v>497</v>
      </c>
      <c r="B245" s="1048"/>
      <c r="C245" s="1047"/>
      <c r="D245" s="1046"/>
      <c r="E245" s="1046"/>
      <c r="F245" s="1046"/>
      <c r="G245" s="1046"/>
      <c r="H245" s="862"/>
      <c r="I245" s="862"/>
      <c r="J245" s="862"/>
      <c r="K245" s="862"/>
      <c r="L245" s="862"/>
      <c r="M245" s="862"/>
      <c r="N245" s="862"/>
      <c r="O245" s="862"/>
      <c r="P245" s="862"/>
      <c r="Q245" s="862"/>
      <c r="R245" s="862"/>
      <c r="S245" s="862"/>
      <c r="T245" s="862"/>
      <c r="U245" s="862"/>
      <c r="V245" s="862"/>
      <c r="W245" s="862"/>
      <c r="X245" s="862"/>
      <c r="Y245" s="862"/>
      <c r="Z245" s="862"/>
      <c r="AA245" s="862"/>
      <c r="AB245" s="862"/>
      <c r="AC245" s="862"/>
      <c r="AD245" s="862"/>
      <c r="AE245" s="862"/>
      <c r="AF245" s="862"/>
    </row>
    <row r="246" spans="1:32" x14ac:dyDescent="0.25">
      <c r="A246" s="1042" t="s">
        <v>12</v>
      </c>
      <c r="B246" s="1041"/>
      <c r="C246" s="1059"/>
      <c r="D246" s="1059"/>
      <c r="E246" s="1059"/>
      <c r="F246" s="1059"/>
      <c r="G246" s="1059"/>
      <c r="H246" s="1059"/>
      <c r="I246" s="1059"/>
      <c r="J246" s="1059"/>
      <c r="K246" s="1059"/>
      <c r="L246" s="1059"/>
      <c r="M246" s="1059"/>
      <c r="N246" s="1059"/>
      <c r="O246" s="1059"/>
      <c r="P246" s="1059"/>
      <c r="Q246" s="1059"/>
      <c r="R246" s="1059"/>
      <c r="S246" s="1059"/>
      <c r="T246" s="1059"/>
      <c r="U246" s="1059"/>
      <c r="V246" s="1059"/>
      <c r="W246" s="1059"/>
      <c r="X246" s="1059"/>
      <c r="Y246" s="1059"/>
      <c r="Z246" s="1059"/>
      <c r="AA246" s="1059"/>
      <c r="AB246" s="1059"/>
      <c r="AC246" s="1059"/>
      <c r="AD246" s="1059"/>
      <c r="AE246" s="1059"/>
      <c r="AF246" s="1059"/>
    </row>
    <row r="247" spans="1:32" x14ac:dyDescent="0.25">
      <c r="A247" s="1041"/>
      <c r="B247" s="1041" t="s">
        <v>20</v>
      </c>
      <c r="C247" s="1059"/>
      <c r="D247" s="1059"/>
      <c r="E247" s="1059"/>
      <c r="F247" s="1059"/>
      <c r="G247" s="208">
        <v>2010</v>
      </c>
      <c r="H247" s="208">
        <v>2011</v>
      </c>
      <c r="I247" s="208">
        <v>2012</v>
      </c>
      <c r="J247" s="208">
        <v>2013</v>
      </c>
      <c r="K247" s="208">
        <v>2014</v>
      </c>
      <c r="L247" s="208">
        <v>2015</v>
      </c>
      <c r="M247" s="208">
        <v>2016</v>
      </c>
      <c r="N247" s="208">
        <v>2017</v>
      </c>
      <c r="O247" s="208">
        <v>2018</v>
      </c>
      <c r="P247" s="208">
        <v>2019</v>
      </c>
      <c r="Q247" s="208">
        <v>2020</v>
      </c>
      <c r="R247" s="208">
        <v>2021</v>
      </c>
      <c r="S247" s="208">
        <v>2022</v>
      </c>
      <c r="T247" s="208">
        <v>2023</v>
      </c>
      <c r="U247" s="208">
        <v>2024</v>
      </c>
      <c r="V247" s="208">
        <v>2025</v>
      </c>
      <c r="W247" s="208">
        <v>2026</v>
      </c>
      <c r="X247" s="208">
        <v>2027</v>
      </c>
      <c r="Y247" s="208">
        <v>2028</v>
      </c>
      <c r="Z247" s="208">
        <v>2029</v>
      </c>
      <c r="AA247" s="208">
        <v>2030</v>
      </c>
      <c r="AB247" s="208">
        <v>2031</v>
      </c>
      <c r="AC247" s="208">
        <v>2032</v>
      </c>
      <c r="AD247" s="208">
        <v>2033</v>
      </c>
      <c r="AE247" s="208">
        <v>2034</v>
      </c>
      <c r="AF247" s="208">
        <v>2035</v>
      </c>
    </row>
    <row r="248" spans="1:32" x14ac:dyDescent="0.25">
      <c r="A248" s="843" t="s">
        <v>21</v>
      </c>
      <c r="B248" s="843"/>
      <c r="C248" s="843"/>
      <c r="D248" s="843"/>
      <c r="E248" s="843"/>
      <c r="F248" s="843"/>
      <c r="G248" s="843"/>
      <c r="H248" s="843"/>
      <c r="I248" s="843"/>
      <c r="J248" s="843"/>
      <c r="K248" s="843"/>
      <c r="L248" s="843"/>
      <c r="M248" s="843"/>
      <c r="N248" s="843"/>
      <c r="O248" s="843"/>
      <c r="P248" s="843"/>
      <c r="Q248" s="843"/>
      <c r="R248" s="843"/>
      <c r="S248" s="843"/>
      <c r="T248" s="843"/>
      <c r="U248" s="843"/>
      <c r="V248" s="843"/>
      <c r="W248" s="843"/>
      <c r="X248" s="843"/>
      <c r="Y248" s="843"/>
      <c r="Z248" s="843"/>
      <c r="AA248" s="843"/>
      <c r="AB248" s="843"/>
      <c r="AC248" s="843"/>
      <c r="AD248" s="843"/>
      <c r="AE248" s="843"/>
      <c r="AF248" s="843"/>
    </row>
    <row r="249" spans="1:32" x14ac:dyDescent="0.25">
      <c r="A249" s="1041"/>
      <c r="B249" s="1041" t="s">
        <v>22</v>
      </c>
      <c r="C249" s="1059"/>
      <c r="D249" s="1059"/>
      <c r="E249" s="1059"/>
      <c r="F249" s="1059"/>
      <c r="G249" s="438"/>
      <c r="H249" s="890">
        <v>0</v>
      </c>
      <c r="I249" s="890">
        <v>0</v>
      </c>
      <c r="J249" s="890">
        <v>0</v>
      </c>
      <c r="K249" s="890">
        <v>0</v>
      </c>
      <c r="L249" s="890">
        <v>0</v>
      </c>
      <c r="M249" s="890">
        <v>0</v>
      </c>
      <c r="N249" s="890">
        <v>0</v>
      </c>
      <c r="O249" s="890">
        <v>0</v>
      </c>
      <c r="P249" s="890">
        <v>0</v>
      </c>
      <c r="Q249" s="890">
        <v>0</v>
      </c>
      <c r="R249" s="890">
        <v>0</v>
      </c>
      <c r="S249" s="890">
        <v>0</v>
      </c>
      <c r="T249" s="890">
        <v>0</v>
      </c>
      <c r="U249" s="890">
        <v>0</v>
      </c>
      <c r="V249" s="890">
        <v>0</v>
      </c>
      <c r="W249" s="890">
        <v>0</v>
      </c>
      <c r="X249" s="890">
        <v>0</v>
      </c>
      <c r="Y249" s="890">
        <v>0</v>
      </c>
      <c r="Z249" s="890">
        <v>0</v>
      </c>
      <c r="AA249" s="890">
        <v>0</v>
      </c>
      <c r="AB249" s="890">
        <v>0</v>
      </c>
      <c r="AC249" s="890">
        <v>0</v>
      </c>
      <c r="AD249" s="540">
        <v>0</v>
      </c>
      <c r="AE249" s="540">
        <v>0</v>
      </c>
      <c r="AF249" s="540">
        <v>0</v>
      </c>
    </row>
    <row r="250" spans="1:32" x14ac:dyDescent="0.25">
      <c r="A250" s="1041"/>
      <c r="B250" s="1041" t="s">
        <v>26</v>
      </c>
      <c r="C250" s="1059"/>
      <c r="D250" s="1059"/>
      <c r="E250" s="1059"/>
      <c r="F250" s="1059"/>
      <c r="G250" s="438"/>
      <c r="H250" s="890">
        <v>0</v>
      </c>
      <c r="I250" s="890">
        <v>0</v>
      </c>
      <c r="J250" s="890">
        <v>0</v>
      </c>
      <c r="K250" s="890">
        <v>0</v>
      </c>
      <c r="L250" s="890">
        <v>0</v>
      </c>
      <c r="M250" s="890">
        <v>0</v>
      </c>
      <c r="N250" s="890">
        <v>0</v>
      </c>
      <c r="O250" s="890">
        <v>0</v>
      </c>
      <c r="P250" s="890">
        <v>0</v>
      </c>
      <c r="Q250" s="890">
        <v>0</v>
      </c>
      <c r="R250" s="890">
        <v>0</v>
      </c>
      <c r="S250" s="890">
        <v>0</v>
      </c>
      <c r="T250" s="890">
        <v>0</v>
      </c>
      <c r="U250" s="890">
        <v>0</v>
      </c>
      <c r="V250" s="890">
        <v>0</v>
      </c>
      <c r="W250" s="890">
        <v>0</v>
      </c>
      <c r="X250" s="890">
        <v>0</v>
      </c>
      <c r="Y250" s="890">
        <v>0</v>
      </c>
      <c r="Z250" s="890">
        <v>0</v>
      </c>
      <c r="AA250" s="890">
        <v>0</v>
      </c>
      <c r="AB250" s="890">
        <v>0</v>
      </c>
      <c r="AC250" s="890">
        <v>0</v>
      </c>
      <c r="AD250" s="540">
        <v>0</v>
      </c>
      <c r="AE250" s="540">
        <v>0</v>
      </c>
      <c r="AF250" s="540">
        <v>0</v>
      </c>
    </row>
    <row r="251" spans="1:32" x14ac:dyDescent="0.25">
      <c r="A251" s="1041"/>
      <c r="B251" s="1041" t="s">
        <v>27</v>
      </c>
      <c r="C251" s="1059"/>
      <c r="D251" s="1059"/>
      <c r="E251" s="1059"/>
      <c r="F251" s="1059"/>
      <c r="G251" s="438"/>
      <c r="H251" s="890">
        <v>0</v>
      </c>
      <c r="I251" s="890">
        <v>0</v>
      </c>
      <c r="J251" s="890">
        <v>0</v>
      </c>
      <c r="K251" s="890">
        <v>0</v>
      </c>
      <c r="L251" s="890">
        <v>0</v>
      </c>
      <c r="M251" s="890">
        <v>0</v>
      </c>
      <c r="N251" s="890">
        <v>0</v>
      </c>
      <c r="O251" s="890">
        <v>0</v>
      </c>
      <c r="P251" s="890">
        <v>0</v>
      </c>
      <c r="Q251" s="890">
        <v>0</v>
      </c>
      <c r="R251" s="890">
        <v>0</v>
      </c>
      <c r="S251" s="890">
        <v>0</v>
      </c>
      <c r="T251" s="890">
        <v>0</v>
      </c>
      <c r="U251" s="890">
        <v>0</v>
      </c>
      <c r="V251" s="890">
        <v>0</v>
      </c>
      <c r="W251" s="890">
        <v>0</v>
      </c>
      <c r="X251" s="890">
        <v>0</v>
      </c>
      <c r="Y251" s="890">
        <v>0</v>
      </c>
      <c r="Z251" s="890">
        <v>0</v>
      </c>
      <c r="AA251" s="890">
        <v>0</v>
      </c>
      <c r="AB251" s="890">
        <v>0</v>
      </c>
      <c r="AC251" s="890">
        <v>0</v>
      </c>
      <c r="AD251" s="540">
        <v>0</v>
      </c>
      <c r="AE251" s="540">
        <v>0</v>
      </c>
      <c r="AF251" s="540">
        <v>0</v>
      </c>
    </row>
    <row r="252" spans="1:32" x14ac:dyDescent="0.25">
      <c r="A252" s="1041"/>
      <c r="B252" s="1041" t="s">
        <v>29</v>
      </c>
      <c r="C252" s="1059"/>
      <c r="D252" s="1059"/>
      <c r="E252" s="1059"/>
      <c r="F252" s="1059"/>
      <c r="G252" s="438"/>
      <c r="H252" s="890">
        <v>0</v>
      </c>
      <c r="I252" s="890">
        <v>0</v>
      </c>
      <c r="J252" s="890">
        <v>0</v>
      </c>
      <c r="K252" s="890">
        <v>0</v>
      </c>
      <c r="L252" s="890">
        <v>0</v>
      </c>
      <c r="M252" s="890">
        <v>0</v>
      </c>
      <c r="N252" s="890">
        <v>0</v>
      </c>
      <c r="O252" s="890">
        <v>0</v>
      </c>
      <c r="P252" s="890">
        <v>0</v>
      </c>
      <c r="Q252" s="890">
        <v>0</v>
      </c>
      <c r="R252" s="890">
        <v>0</v>
      </c>
      <c r="S252" s="890">
        <v>0</v>
      </c>
      <c r="T252" s="890">
        <v>0</v>
      </c>
      <c r="U252" s="890">
        <v>0</v>
      </c>
      <c r="V252" s="890">
        <v>0</v>
      </c>
      <c r="W252" s="890">
        <v>0</v>
      </c>
      <c r="X252" s="890">
        <v>0</v>
      </c>
      <c r="Y252" s="890">
        <v>0</v>
      </c>
      <c r="Z252" s="890">
        <v>0</v>
      </c>
      <c r="AA252" s="890">
        <v>0</v>
      </c>
      <c r="AB252" s="890">
        <v>0</v>
      </c>
      <c r="AC252" s="890">
        <v>0</v>
      </c>
      <c r="AD252" s="540">
        <v>0</v>
      </c>
      <c r="AE252" s="540">
        <v>0</v>
      </c>
      <c r="AF252" s="540">
        <v>0</v>
      </c>
    </row>
    <row r="253" spans="1:32" x14ac:dyDescent="0.25">
      <c r="A253" s="1041"/>
      <c r="B253" s="1041"/>
      <c r="C253" s="1059"/>
      <c r="D253" s="1059"/>
      <c r="E253" s="1059"/>
      <c r="F253" s="1059"/>
      <c r="G253" s="1045"/>
      <c r="H253" s="890"/>
      <c r="I253" s="890"/>
      <c r="J253" s="890"/>
      <c r="K253" s="890"/>
      <c r="L253" s="890"/>
      <c r="M253" s="890"/>
      <c r="N253" s="890"/>
      <c r="O253" s="890"/>
      <c r="P253" s="890"/>
      <c r="Q253" s="890"/>
      <c r="R253" s="890"/>
      <c r="S253" s="890"/>
      <c r="T253" s="890"/>
      <c r="U253" s="890"/>
      <c r="V253" s="890"/>
      <c r="W253" s="890"/>
      <c r="X253" s="890"/>
      <c r="Y253" s="890"/>
      <c r="Z253" s="890"/>
      <c r="AA253" s="890"/>
      <c r="AB253" s="890"/>
      <c r="AC253" s="890"/>
      <c r="AD253" s="1059"/>
      <c r="AE253" s="1059"/>
      <c r="AF253" s="1059"/>
    </row>
    <row r="254" spans="1:32" x14ac:dyDescent="0.25">
      <c r="A254" s="843" t="s">
        <v>32</v>
      </c>
      <c r="B254" s="843"/>
      <c r="C254" s="843"/>
      <c r="D254" s="843"/>
      <c r="E254" s="843"/>
      <c r="F254" s="843"/>
      <c r="G254" s="865"/>
      <c r="H254" s="891"/>
      <c r="I254" s="891"/>
      <c r="J254" s="891"/>
      <c r="K254" s="891"/>
      <c r="L254" s="891"/>
      <c r="M254" s="891"/>
      <c r="N254" s="891"/>
      <c r="O254" s="891"/>
      <c r="P254" s="891"/>
      <c r="Q254" s="891"/>
      <c r="R254" s="891"/>
      <c r="S254" s="891"/>
      <c r="T254" s="891"/>
      <c r="U254" s="891"/>
      <c r="V254" s="891"/>
      <c r="W254" s="891"/>
      <c r="X254" s="891"/>
      <c r="Y254" s="891"/>
      <c r="Z254" s="891"/>
      <c r="AA254" s="891"/>
      <c r="AB254" s="891"/>
      <c r="AC254" s="891"/>
      <c r="AD254" s="843"/>
      <c r="AE254" s="843"/>
      <c r="AF254" s="843"/>
    </row>
    <row r="255" spans="1:32" x14ac:dyDescent="0.25">
      <c r="A255" s="1041"/>
      <c r="B255" s="1041" t="s">
        <v>33</v>
      </c>
      <c r="C255" s="1059"/>
      <c r="D255" s="1059"/>
      <c r="E255" s="1059"/>
      <c r="F255" s="1059"/>
      <c r="G255" s="1045"/>
      <c r="H255" s="890">
        <v>0</v>
      </c>
      <c r="I255" s="890">
        <v>0</v>
      </c>
      <c r="J255" s="890">
        <v>0</v>
      </c>
      <c r="K255" s="890">
        <v>0</v>
      </c>
      <c r="L255" s="890">
        <v>0</v>
      </c>
      <c r="M255" s="890">
        <v>0</v>
      </c>
      <c r="N255" s="890">
        <v>0</v>
      </c>
      <c r="O255" s="890">
        <v>0</v>
      </c>
      <c r="P255" s="890">
        <v>0</v>
      </c>
      <c r="Q255" s="890">
        <v>0</v>
      </c>
      <c r="R255" s="890">
        <v>0</v>
      </c>
      <c r="S255" s="890">
        <v>0</v>
      </c>
      <c r="T255" s="890">
        <v>0</v>
      </c>
      <c r="U255" s="890">
        <v>0</v>
      </c>
      <c r="V255" s="890">
        <v>0</v>
      </c>
      <c r="W255" s="890">
        <v>0</v>
      </c>
      <c r="X255" s="890">
        <v>0</v>
      </c>
      <c r="Y255" s="890">
        <v>0</v>
      </c>
      <c r="Z255" s="890">
        <v>0</v>
      </c>
      <c r="AA255" s="890">
        <v>0</v>
      </c>
      <c r="AB255" s="890">
        <v>0</v>
      </c>
      <c r="AC255" s="890">
        <v>0</v>
      </c>
      <c r="AD255" s="540">
        <v>0</v>
      </c>
      <c r="AE255" s="540">
        <v>0</v>
      </c>
      <c r="AF255" s="540">
        <v>0</v>
      </c>
    </row>
    <row r="256" spans="1:32" x14ac:dyDescent="0.25">
      <c r="A256" s="1043"/>
      <c r="B256" s="1043" t="s">
        <v>34</v>
      </c>
      <c r="C256" s="1059"/>
      <c r="D256" s="1059"/>
      <c r="E256" s="1059"/>
      <c r="F256" s="1059"/>
      <c r="G256" s="1045"/>
      <c r="H256" s="890">
        <v>0</v>
      </c>
      <c r="I256" s="890">
        <v>0</v>
      </c>
      <c r="J256" s="890">
        <v>0</v>
      </c>
      <c r="K256" s="890">
        <v>0</v>
      </c>
      <c r="L256" s="890">
        <v>0</v>
      </c>
      <c r="M256" s="890">
        <v>0</v>
      </c>
      <c r="N256" s="890">
        <v>0</v>
      </c>
      <c r="O256" s="890">
        <v>0</v>
      </c>
      <c r="P256" s="890">
        <v>0</v>
      </c>
      <c r="Q256" s="890">
        <v>0</v>
      </c>
      <c r="R256" s="890">
        <v>0</v>
      </c>
      <c r="S256" s="890">
        <v>0</v>
      </c>
      <c r="T256" s="890">
        <v>0</v>
      </c>
      <c r="U256" s="890">
        <v>0</v>
      </c>
      <c r="V256" s="890">
        <v>0</v>
      </c>
      <c r="W256" s="890">
        <v>0</v>
      </c>
      <c r="X256" s="890">
        <v>0</v>
      </c>
      <c r="Y256" s="890">
        <v>0</v>
      </c>
      <c r="Z256" s="890">
        <v>0</v>
      </c>
      <c r="AA256" s="890">
        <v>0</v>
      </c>
      <c r="AB256" s="890">
        <v>0</v>
      </c>
      <c r="AC256" s="890">
        <v>0</v>
      </c>
      <c r="AD256" s="540">
        <v>0</v>
      </c>
      <c r="AE256" s="540">
        <v>0</v>
      </c>
      <c r="AF256" s="540">
        <v>0</v>
      </c>
    </row>
    <row r="257" spans="1:32" x14ac:dyDescent="0.25">
      <c r="A257" s="1041"/>
      <c r="B257" s="1043" t="s">
        <v>35</v>
      </c>
      <c r="C257" s="1059"/>
      <c r="D257" s="1059"/>
      <c r="E257" s="1059"/>
      <c r="F257" s="1059"/>
      <c r="G257" s="1045"/>
      <c r="H257" s="890">
        <v>0</v>
      </c>
      <c r="I257" s="890">
        <v>0</v>
      </c>
      <c r="J257" s="890">
        <v>0</v>
      </c>
      <c r="K257" s="890">
        <v>0</v>
      </c>
      <c r="L257" s="890">
        <v>0</v>
      </c>
      <c r="M257" s="890">
        <v>0</v>
      </c>
      <c r="N257" s="890">
        <v>0</v>
      </c>
      <c r="O257" s="890">
        <v>0</v>
      </c>
      <c r="P257" s="890">
        <v>0</v>
      </c>
      <c r="Q257" s="890">
        <v>0</v>
      </c>
      <c r="R257" s="890">
        <v>0</v>
      </c>
      <c r="S257" s="890">
        <v>0</v>
      </c>
      <c r="T257" s="890">
        <v>0</v>
      </c>
      <c r="U257" s="890">
        <v>0</v>
      </c>
      <c r="V257" s="890">
        <v>0</v>
      </c>
      <c r="W257" s="890">
        <v>0</v>
      </c>
      <c r="X257" s="890">
        <v>0</v>
      </c>
      <c r="Y257" s="890">
        <v>0</v>
      </c>
      <c r="Z257" s="890">
        <v>0</v>
      </c>
      <c r="AA257" s="890">
        <v>0</v>
      </c>
      <c r="AB257" s="890">
        <v>0</v>
      </c>
      <c r="AC257" s="890">
        <v>0</v>
      </c>
      <c r="AD257" s="540">
        <v>0</v>
      </c>
      <c r="AE257" s="540">
        <v>0</v>
      </c>
      <c r="AF257" s="540">
        <v>0</v>
      </c>
    </row>
    <row r="258" spans="1:32" x14ac:dyDescent="0.25">
      <c r="A258" s="1041"/>
      <c r="B258" s="1043" t="s">
        <v>29</v>
      </c>
      <c r="C258" s="1059"/>
      <c r="D258" s="1059"/>
      <c r="E258" s="1059"/>
      <c r="F258" s="1059"/>
      <c r="G258" s="1045"/>
      <c r="H258" s="890">
        <v>0</v>
      </c>
      <c r="I258" s="890">
        <v>0</v>
      </c>
      <c r="J258" s="890">
        <v>0</v>
      </c>
      <c r="K258" s="890">
        <v>0</v>
      </c>
      <c r="L258" s="890">
        <v>0</v>
      </c>
      <c r="M258" s="890">
        <v>0</v>
      </c>
      <c r="N258" s="890">
        <v>0</v>
      </c>
      <c r="O258" s="890">
        <v>0</v>
      </c>
      <c r="P258" s="890">
        <v>0</v>
      </c>
      <c r="Q258" s="890">
        <v>0</v>
      </c>
      <c r="R258" s="890">
        <v>0</v>
      </c>
      <c r="S258" s="890">
        <v>0</v>
      </c>
      <c r="T258" s="890">
        <v>0</v>
      </c>
      <c r="U258" s="890">
        <v>0</v>
      </c>
      <c r="V258" s="890">
        <v>0</v>
      </c>
      <c r="W258" s="890">
        <v>0</v>
      </c>
      <c r="X258" s="890">
        <v>0</v>
      </c>
      <c r="Y258" s="890">
        <v>0</v>
      </c>
      <c r="Z258" s="890">
        <v>0</v>
      </c>
      <c r="AA258" s="890">
        <v>0</v>
      </c>
      <c r="AB258" s="890">
        <v>0</v>
      </c>
      <c r="AC258" s="890">
        <v>0</v>
      </c>
      <c r="AD258" s="540">
        <v>0</v>
      </c>
      <c r="AE258" s="540">
        <v>0</v>
      </c>
      <c r="AF258" s="540">
        <v>0</v>
      </c>
    </row>
    <row r="259" spans="1:32" x14ac:dyDescent="0.25">
      <c r="A259" s="1041"/>
      <c r="B259" s="1041"/>
      <c r="C259" s="1059"/>
      <c r="D259" s="1059"/>
      <c r="E259" s="1059"/>
      <c r="F259" s="1059"/>
      <c r="G259" s="1045"/>
      <c r="H259" s="890"/>
      <c r="I259" s="890"/>
      <c r="J259" s="890"/>
      <c r="K259" s="890"/>
      <c r="L259" s="890"/>
      <c r="M259" s="890"/>
      <c r="N259" s="890"/>
      <c r="O259" s="890"/>
      <c r="P259" s="890"/>
      <c r="Q259" s="890"/>
      <c r="R259" s="890"/>
      <c r="S259" s="890"/>
      <c r="T259" s="890"/>
      <c r="U259" s="890"/>
      <c r="V259" s="890"/>
      <c r="W259" s="890"/>
      <c r="X259" s="890"/>
      <c r="Y259" s="890"/>
      <c r="Z259" s="890"/>
      <c r="AA259" s="890"/>
      <c r="AB259" s="890"/>
      <c r="AC259" s="890"/>
      <c r="AD259" s="1059"/>
      <c r="AE259" s="1059"/>
      <c r="AF259" s="1059"/>
    </row>
    <row r="260" spans="1:32" x14ac:dyDescent="0.25">
      <c r="A260" s="843" t="s">
        <v>36</v>
      </c>
      <c r="B260" s="843"/>
      <c r="C260" s="843"/>
      <c r="D260" s="843"/>
      <c r="E260" s="843"/>
      <c r="F260" s="843"/>
      <c r="G260" s="865"/>
      <c r="H260" s="891"/>
      <c r="I260" s="891"/>
      <c r="J260" s="891"/>
      <c r="K260" s="891"/>
      <c r="L260" s="891"/>
      <c r="M260" s="891"/>
      <c r="N260" s="891"/>
      <c r="O260" s="891"/>
      <c r="P260" s="891"/>
      <c r="Q260" s="891"/>
      <c r="R260" s="891"/>
      <c r="S260" s="891"/>
      <c r="T260" s="891"/>
      <c r="U260" s="891"/>
      <c r="V260" s="891"/>
      <c r="W260" s="891"/>
      <c r="X260" s="891"/>
      <c r="Y260" s="891"/>
      <c r="Z260" s="891"/>
      <c r="AA260" s="891"/>
      <c r="AB260" s="891"/>
      <c r="AC260" s="891"/>
      <c r="AD260" s="843"/>
      <c r="AE260" s="843"/>
      <c r="AF260" s="843"/>
    </row>
    <row r="261" spans="1:32" x14ac:dyDescent="0.25">
      <c r="A261" s="1041"/>
      <c r="B261" s="1041" t="s">
        <v>37</v>
      </c>
      <c r="C261" s="1059"/>
      <c r="D261" s="1059"/>
      <c r="E261" s="1059"/>
      <c r="F261" s="1059"/>
      <c r="G261" s="540"/>
      <c r="H261" s="890">
        <v>0</v>
      </c>
      <c r="I261" s="890">
        <v>0</v>
      </c>
      <c r="J261" s="890">
        <v>0</v>
      </c>
      <c r="K261" s="890">
        <v>0</v>
      </c>
      <c r="L261" s="890">
        <v>0</v>
      </c>
      <c r="M261" s="890">
        <v>0</v>
      </c>
      <c r="N261" s="890">
        <v>0</v>
      </c>
      <c r="O261" s="890">
        <v>0</v>
      </c>
      <c r="P261" s="890">
        <v>0</v>
      </c>
      <c r="Q261" s="890">
        <v>0</v>
      </c>
      <c r="R261" s="890">
        <v>0</v>
      </c>
      <c r="S261" s="890">
        <v>0</v>
      </c>
      <c r="T261" s="890">
        <v>0</v>
      </c>
      <c r="U261" s="890">
        <v>0</v>
      </c>
      <c r="V261" s="890">
        <v>0</v>
      </c>
      <c r="W261" s="890">
        <v>0</v>
      </c>
      <c r="X261" s="890">
        <v>0</v>
      </c>
      <c r="Y261" s="890">
        <v>0</v>
      </c>
      <c r="Z261" s="890">
        <v>0</v>
      </c>
      <c r="AA261" s="890">
        <v>0</v>
      </c>
      <c r="AB261" s="890">
        <v>0</v>
      </c>
      <c r="AC261" s="890">
        <v>0</v>
      </c>
      <c r="AD261" s="540">
        <v>0</v>
      </c>
      <c r="AE261" s="540">
        <v>0</v>
      </c>
      <c r="AF261" s="540">
        <v>0</v>
      </c>
    </row>
    <row r="262" spans="1:32" x14ac:dyDescent="0.25">
      <c r="A262" s="1041"/>
      <c r="B262" s="1041" t="s">
        <v>39</v>
      </c>
      <c r="C262" s="1059"/>
      <c r="D262" s="1059"/>
      <c r="E262" s="1059"/>
      <c r="F262" s="1059"/>
      <c r="G262" s="540"/>
      <c r="H262" s="890">
        <v>0</v>
      </c>
      <c r="I262" s="890">
        <v>0</v>
      </c>
      <c r="J262" s="890">
        <v>0</v>
      </c>
      <c r="K262" s="890">
        <v>0</v>
      </c>
      <c r="L262" s="890">
        <v>0</v>
      </c>
      <c r="M262" s="890">
        <v>0</v>
      </c>
      <c r="N262" s="890">
        <v>0</v>
      </c>
      <c r="O262" s="890">
        <v>0</v>
      </c>
      <c r="P262" s="890">
        <v>0</v>
      </c>
      <c r="Q262" s="890">
        <v>0</v>
      </c>
      <c r="R262" s="890">
        <v>0</v>
      </c>
      <c r="S262" s="890">
        <v>0</v>
      </c>
      <c r="T262" s="890">
        <v>0</v>
      </c>
      <c r="U262" s="890">
        <v>0</v>
      </c>
      <c r="V262" s="890">
        <v>0</v>
      </c>
      <c r="W262" s="890">
        <v>0</v>
      </c>
      <c r="X262" s="890">
        <v>0</v>
      </c>
      <c r="Y262" s="890">
        <v>0</v>
      </c>
      <c r="Z262" s="890">
        <v>0</v>
      </c>
      <c r="AA262" s="890">
        <v>0</v>
      </c>
      <c r="AB262" s="890">
        <v>0</v>
      </c>
      <c r="AC262" s="890">
        <v>0</v>
      </c>
      <c r="AD262" s="540">
        <v>0</v>
      </c>
      <c r="AE262" s="540">
        <v>0</v>
      </c>
      <c r="AF262" s="540">
        <v>0</v>
      </c>
    </row>
    <row r="263" spans="1:32" x14ac:dyDescent="0.25">
      <c r="A263" s="1041"/>
      <c r="B263" s="1041" t="s">
        <v>40</v>
      </c>
      <c r="C263" s="1059"/>
      <c r="D263" s="1059"/>
      <c r="E263" s="1059"/>
      <c r="F263" s="1059"/>
      <c r="G263" s="540"/>
      <c r="H263" s="890">
        <v>0</v>
      </c>
      <c r="I263" s="890">
        <v>0</v>
      </c>
      <c r="J263" s="890">
        <v>0</v>
      </c>
      <c r="K263" s="890">
        <v>0</v>
      </c>
      <c r="L263" s="890">
        <v>0</v>
      </c>
      <c r="M263" s="890">
        <v>0</v>
      </c>
      <c r="N263" s="890">
        <v>0</v>
      </c>
      <c r="O263" s="890">
        <v>0</v>
      </c>
      <c r="P263" s="890">
        <v>0</v>
      </c>
      <c r="Q263" s="890">
        <v>0</v>
      </c>
      <c r="R263" s="890">
        <v>0</v>
      </c>
      <c r="S263" s="890">
        <v>0</v>
      </c>
      <c r="T263" s="890">
        <v>0</v>
      </c>
      <c r="U263" s="890">
        <v>0</v>
      </c>
      <c r="V263" s="890">
        <v>0</v>
      </c>
      <c r="W263" s="890">
        <v>0</v>
      </c>
      <c r="X263" s="890">
        <v>0</v>
      </c>
      <c r="Y263" s="890">
        <v>0</v>
      </c>
      <c r="Z263" s="890">
        <v>0</v>
      </c>
      <c r="AA263" s="890">
        <v>0</v>
      </c>
      <c r="AB263" s="890">
        <v>0</v>
      </c>
      <c r="AC263" s="890">
        <v>0</v>
      </c>
      <c r="AD263" s="540">
        <v>0</v>
      </c>
      <c r="AE263" s="540">
        <v>0</v>
      </c>
      <c r="AF263" s="540">
        <v>0</v>
      </c>
    </row>
    <row r="264" spans="1:32" x14ac:dyDescent="0.25">
      <c r="A264" s="1041"/>
      <c r="B264" s="1041" t="s">
        <v>29</v>
      </c>
      <c r="C264" s="1059"/>
      <c r="D264" s="1059"/>
      <c r="E264" s="1059"/>
      <c r="F264" s="1059"/>
      <c r="G264" s="1045"/>
      <c r="H264" s="890">
        <v>0</v>
      </c>
      <c r="I264" s="890">
        <v>0</v>
      </c>
      <c r="J264" s="890">
        <v>0</v>
      </c>
      <c r="K264" s="890">
        <v>0</v>
      </c>
      <c r="L264" s="890">
        <v>0</v>
      </c>
      <c r="M264" s="890">
        <v>0</v>
      </c>
      <c r="N264" s="890">
        <v>0</v>
      </c>
      <c r="O264" s="890">
        <v>0</v>
      </c>
      <c r="P264" s="890">
        <v>0</v>
      </c>
      <c r="Q264" s="890">
        <v>0</v>
      </c>
      <c r="R264" s="890">
        <v>0</v>
      </c>
      <c r="S264" s="890">
        <v>0</v>
      </c>
      <c r="T264" s="890">
        <v>0</v>
      </c>
      <c r="U264" s="890">
        <v>0</v>
      </c>
      <c r="V264" s="890">
        <v>0</v>
      </c>
      <c r="W264" s="890">
        <v>0</v>
      </c>
      <c r="X264" s="890">
        <v>0</v>
      </c>
      <c r="Y264" s="890">
        <v>0</v>
      </c>
      <c r="Z264" s="890">
        <v>0</v>
      </c>
      <c r="AA264" s="890">
        <v>0</v>
      </c>
      <c r="AB264" s="890">
        <v>0</v>
      </c>
      <c r="AC264" s="890">
        <v>0</v>
      </c>
      <c r="AD264" s="540">
        <v>0</v>
      </c>
      <c r="AE264" s="540">
        <v>0</v>
      </c>
      <c r="AF264" s="540">
        <v>0</v>
      </c>
    </row>
    <row r="265" spans="1:32" x14ac:dyDescent="0.25">
      <c r="A265" s="1041"/>
      <c r="B265" s="1041"/>
      <c r="C265" s="1059"/>
      <c r="D265" s="1059"/>
      <c r="E265" s="1059"/>
      <c r="F265" s="1059"/>
      <c r="G265" s="1045"/>
      <c r="H265" s="890"/>
      <c r="I265" s="890"/>
      <c r="J265" s="890"/>
      <c r="K265" s="890"/>
      <c r="L265" s="890"/>
      <c r="M265" s="890"/>
      <c r="N265" s="890"/>
      <c r="O265" s="890"/>
      <c r="P265" s="890"/>
      <c r="Q265" s="890"/>
      <c r="R265" s="890"/>
      <c r="S265" s="890"/>
      <c r="T265" s="890"/>
      <c r="U265" s="890"/>
      <c r="V265" s="890"/>
      <c r="W265" s="890"/>
      <c r="X265" s="890"/>
      <c r="Y265" s="890"/>
      <c r="Z265" s="890"/>
      <c r="AA265" s="890"/>
      <c r="AB265" s="890"/>
      <c r="AC265" s="890"/>
      <c r="AD265" s="1059"/>
      <c r="AE265" s="1059"/>
      <c r="AF265" s="1059"/>
    </row>
    <row r="266" spans="1:32" x14ac:dyDescent="0.25">
      <c r="A266" s="843" t="s">
        <v>42</v>
      </c>
      <c r="B266" s="843"/>
      <c r="C266" s="843"/>
      <c r="D266" s="843"/>
      <c r="E266" s="843"/>
      <c r="F266" s="843"/>
      <c r="G266" s="865"/>
      <c r="H266" s="891"/>
      <c r="I266" s="891"/>
      <c r="J266" s="891"/>
      <c r="K266" s="891"/>
      <c r="L266" s="891"/>
      <c r="M266" s="891"/>
      <c r="N266" s="891"/>
      <c r="O266" s="891"/>
      <c r="P266" s="891"/>
      <c r="Q266" s="891"/>
      <c r="R266" s="891"/>
      <c r="S266" s="891"/>
      <c r="T266" s="891"/>
      <c r="U266" s="891"/>
      <c r="V266" s="891"/>
      <c r="W266" s="891"/>
      <c r="X266" s="891"/>
      <c r="Y266" s="891"/>
      <c r="Z266" s="891"/>
      <c r="AA266" s="891"/>
      <c r="AB266" s="891"/>
      <c r="AC266" s="891"/>
      <c r="AD266" s="843"/>
      <c r="AE266" s="843"/>
      <c r="AF266" s="843"/>
    </row>
    <row r="267" spans="1:32" x14ac:dyDescent="0.25">
      <c r="A267" s="1041"/>
      <c r="B267" s="1043" t="s">
        <v>43</v>
      </c>
      <c r="C267" s="1059"/>
      <c r="D267" s="1059"/>
      <c r="E267" s="1059"/>
      <c r="F267" s="1059"/>
      <c r="G267" s="1045"/>
      <c r="H267" s="890">
        <v>0.62878677458832288</v>
      </c>
      <c r="I267" s="890">
        <v>0.57432633574500391</v>
      </c>
      <c r="J267" s="890">
        <v>0.52488280719636049</v>
      </c>
      <c r="K267" s="890">
        <v>0.47971138638338029</v>
      </c>
      <c r="L267" s="890">
        <v>0.43895219661468987</v>
      </c>
      <c r="M267" s="890">
        <v>0.4012702780890392</v>
      </c>
      <c r="N267" s="890">
        <v>0.36718119690413803</v>
      </c>
      <c r="O267" s="890">
        <v>0.33649163904792156</v>
      </c>
      <c r="P267" s="890">
        <v>0.30842751805008178</v>
      </c>
      <c r="Q267" s="890">
        <v>0.28289619334949667</v>
      </c>
      <c r="R267" s="890">
        <v>0.25948888945403492</v>
      </c>
      <c r="S267" s="890">
        <v>0.23821172462464635</v>
      </c>
      <c r="T267" s="890">
        <v>0.21889318964584092</v>
      </c>
      <c r="U267" s="890">
        <v>0.20140025112373106</v>
      </c>
      <c r="V267" s="890">
        <v>0.18555419820999278</v>
      </c>
      <c r="W267" s="890">
        <v>0.17113933040909904</v>
      </c>
      <c r="X267" s="890">
        <v>0.15816757434855644</v>
      </c>
      <c r="Y267" s="890">
        <v>0.14641494377554229</v>
      </c>
      <c r="Z267" s="890">
        <v>0.13578360315398397</v>
      </c>
      <c r="AA267" s="890">
        <v>0.12615179966592308</v>
      </c>
      <c r="AB267" s="890">
        <v>0.11739456734505775</v>
      </c>
      <c r="AC267" s="890">
        <v>0.10946705227094097</v>
      </c>
      <c r="AD267" s="540">
        <v>0.10226720450009008</v>
      </c>
      <c r="AE267" s="540">
        <v>9.5705579487451814E-2</v>
      </c>
      <c r="AF267" s="540">
        <v>8.9633929229354856E-2</v>
      </c>
    </row>
    <row r="268" spans="1:32" x14ac:dyDescent="0.25">
      <c r="A268" s="1041"/>
      <c r="B268" s="1043" t="s">
        <v>44</v>
      </c>
      <c r="C268" s="1059"/>
      <c r="D268" s="1059"/>
      <c r="E268" s="1059"/>
      <c r="F268" s="1059"/>
      <c r="G268" s="1045"/>
      <c r="H268" s="890">
        <v>30.945871403116747</v>
      </c>
      <c r="I268" s="890">
        <v>34.567331712336909</v>
      </c>
      <c r="J268" s="890">
        <v>37.388511263525288</v>
      </c>
      <c r="K268" s="890">
        <v>39.463601813998139</v>
      </c>
      <c r="L268" s="890">
        <v>40.95654317558099</v>
      </c>
      <c r="M268" s="890">
        <v>41.653589772085297</v>
      </c>
      <c r="N268" s="890">
        <v>41.952412739904247</v>
      </c>
      <c r="O268" s="890">
        <v>42.045896947714375</v>
      </c>
      <c r="P268" s="890">
        <v>41.685060178541818</v>
      </c>
      <c r="Q268" s="890">
        <v>41.119621409711833</v>
      </c>
      <c r="R268" s="890">
        <v>40.307011839670267</v>
      </c>
      <c r="S268" s="890">
        <v>39.376745461667497</v>
      </c>
      <c r="T268" s="890">
        <v>38.391280992691314</v>
      </c>
      <c r="U268" s="890">
        <v>37.416879576266695</v>
      </c>
      <c r="V268" s="890">
        <v>36.44074425421725</v>
      </c>
      <c r="W268" s="890">
        <v>35.464152575068113</v>
      </c>
      <c r="X268" s="890">
        <v>34.597755724123587</v>
      </c>
      <c r="Y268" s="890">
        <v>33.766873644774485</v>
      </c>
      <c r="Z268" s="890">
        <v>32.980396367143356</v>
      </c>
      <c r="AA268" s="890">
        <v>32.248140911693859</v>
      </c>
      <c r="AB268" s="890">
        <v>31.556287950030804</v>
      </c>
      <c r="AC268" s="890">
        <v>30.925087790941973</v>
      </c>
      <c r="AD268" s="540">
        <v>30.34407491599864</v>
      </c>
      <c r="AE268" s="540">
        <v>29.817550374921229</v>
      </c>
      <c r="AF268" s="540">
        <v>29.304217009377474</v>
      </c>
    </row>
    <row r="269" spans="1:32" x14ac:dyDescent="0.25">
      <c r="A269" s="1041"/>
      <c r="B269" s="1043" t="s">
        <v>45</v>
      </c>
      <c r="C269" s="1059"/>
      <c r="D269" s="1059"/>
      <c r="E269" s="1059"/>
      <c r="F269" s="1059"/>
      <c r="G269" s="1045"/>
      <c r="H269" s="890">
        <v>17.83323635388097</v>
      </c>
      <c r="I269" s="890">
        <v>15.956092720373809</v>
      </c>
      <c r="J269" s="890">
        <v>14.284825718427625</v>
      </c>
      <c r="K269" s="890">
        <v>12.795777091680728</v>
      </c>
      <c r="L269" s="890">
        <v>11.468426646928007</v>
      </c>
      <c r="M269" s="890">
        <v>10.283404720375366</v>
      </c>
      <c r="N269" s="890">
        <v>9.2261394255973173</v>
      </c>
      <c r="O269" s="890">
        <v>8.2731850377969973</v>
      </c>
      <c r="P269" s="890">
        <v>7.4217059271202253</v>
      </c>
      <c r="Q269" s="890">
        <v>6.6618839993450134</v>
      </c>
      <c r="R269" s="890">
        <v>5.9828631476098382</v>
      </c>
      <c r="S269" s="890">
        <v>5.3762736613463566</v>
      </c>
      <c r="T269" s="890">
        <v>4.8343434536860102</v>
      </c>
      <c r="U269" s="890">
        <v>4.3502656004387523</v>
      </c>
      <c r="V269" s="890">
        <v>3.917444814849238</v>
      </c>
      <c r="W269" s="890">
        <v>3.5302165284134697</v>
      </c>
      <c r="X269" s="890">
        <v>3.1843496335380048</v>
      </c>
      <c r="Y269" s="890">
        <v>2.8758071645128775</v>
      </c>
      <c r="Z269" s="890">
        <v>2.6003468228489743</v>
      </c>
      <c r="AA269" s="890">
        <v>2.353488759890221</v>
      </c>
      <c r="AB269" s="890">
        <v>2.1327858330400931</v>
      </c>
      <c r="AC269" s="890">
        <v>1.9354418961469608</v>
      </c>
      <c r="AD269" s="540">
        <v>1.7587940978002734</v>
      </c>
      <c r="AE269" s="540">
        <v>1.6001407558370109</v>
      </c>
      <c r="AF269" s="540">
        <v>1.4577616019625279</v>
      </c>
    </row>
    <row r="270" spans="1:32" x14ac:dyDescent="0.25">
      <c r="A270" s="1041"/>
      <c r="B270" s="1043" t="s">
        <v>46</v>
      </c>
      <c r="C270" s="1059"/>
      <c r="D270" s="1059"/>
      <c r="E270" s="1059"/>
      <c r="F270" s="1059"/>
      <c r="G270" s="1045"/>
      <c r="H270" s="890">
        <v>0.23603333573395144</v>
      </c>
      <c r="I270" s="890">
        <v>0.21013884561968579</v>
      </c>
      <c r="J270" s="890">
        <v>0.18718069347208779</v>
      </c>
      <c r="K270" s="890">
        <v>0.1668145599920971</v>
      </c>
      <c r="L270" s="890">
        <v>0.14873788917547287</v>
      </c>
      <c r="M270" s="890">
        <v>0.13268464799137594</v>
      </c>
      <c r="N270" s="890">
        <v>0.11798804726015673</v>
      </c>
      <c r="O270" s="890">
        <v>0.10497300580742218</v>
      </c>
      <c r="P270" s="890">
        <v>9.3440707237392492E-2</v>
      </c>
      <c r="Q270" s="890">
        <v>8.3216630144641673E-2</v>
      </c>
      <c r="R270" s="890">
        <v>7.4147479645216924E-2</v>
      </c>
      <c r="S270" s="890">
        <v>6.6098519426694854E-2</v>
      </c>
      <c r="T270" s="890">
        <v>5.895125030125848E-2</v>
      </c>
      <c r="U270" s="890">
        <v>5.260138877024844E-2</v>
      </c>
      <c r="V270" s="890">
        <v>4.6957105550883574E-2</v>
      </c>
      <c r="W270" s="890">
        <v>4.1937489536552269E-2</v>
      </c>
      <c r="X270" s="890">
        <v>3.7471207397257712E-2</v>
      </c>
      <c r="Y270" s="890">
        <v>3.3622066823341457E-2</v>
      </c>
      <c r="Z270" s="890">
        <v>3.0089853375937187E-2</v>
      </c>
      <c r="AA270" s="890">
        <v>2.6939972872200218E-2</v>
      </c>
      <c r="AB270" s="890">
        <v>2.4138503489218744E-2</v>
      </c>
      <c r="AC270" s="890">
        <v>2.1644657159276066E-2</v>
      </c>
      <c r="AD270" s="540">
        <v>1.9422704166495594E-2</v>
      </c>
      <c r="AE270" s="540">
        <v>1.7435492014387689E-2</v>
      </c>
      <c r="AF270" s="540">
        <v>1.5662640826565429E-2</v>
      </c>
    </row>
    <row r="271" spans="1:32" x14ac:dyDescent="0.25">
      <c r="A271" s="1041"/>
      <c r="B271" s="1041" t="s">
        <v>29</v>
      </c>
      <c r="C271" s="1059"/>
      <c r="D271" s="1059"/>
      <c r="E271" s="1059"/>
      <c r="F271" s="1059"/>
      <c r="G271" s="1045"/>
      <c r="H271" s="890">
        <v>6.4174549808825074E-2</v>
      </c>
      <c r="I271" s="890">
        <v>0.33521678189310772</v>
      </c>
      <c r="J271" s="890">
        <v>0.87759030960407869</v>
      </c>
      <c r="K271" s="890">
        <v>1.6745807047419836</v>
      </c>
      <c r="L271" s="890">
        <v>2.6911048657026</v>
      </c>
      <c r="M271" s="890">
        <v>3.8459020624677085</v>
      </c>
      <c r="N271" s="890">
        <v>5.1353066059784878</v>
      </c>
      <c r="O271" s="890">
        <v>6.5915758085373666</v>
      </c>
      <c r="P271" s="890">
        <v>7.9727722114858164</v>
      </c>
      <c r="Q271" s="890">
        <v>9.3728316242897964</v>
      </c>
      <c r="R271" s="890">
        <v>10.637524644784364</v>
      </c>
      <c r="S271" s="890">
        <v>11.801494110545873</v>
      </c>
      <c r="T271" s="890">
        <v>12.869116914482646</v>
      </c>
      <c r="U271" s="890">
        <v>13.883346884731571</v>
      </c>
      <c r="V271" s="890">
        <v>14.759614374077666</v>
      </c>
      <c r="W271" s="890">
        <v>15.49715980454075</v>
      </c>
      <c r="X271" s="890">
        <v>16.300614490336734</v>
      </c>
      <c r="Y271" s="890">
        <v>17.012254879364008</v>
      </c>
      <c r="Z271" s="890">
        <v>17.625113766452383</v>
      </c>
      <c r="AA271" s="890">
        <v>18.169047981473909</v>
      </c>
      <c r="AB271" s="890">
        <v>18.669197631286284</v>
      </c>
      <c r="AC271" s="890">
        <v>19.154751221162812</v>
      </c>
      <c r="AD271" s="540">
        <v>19.61563415725686</v>
      </c>
      <c r="AE271" s="540">
        <v>20.08362601119984</v>
      </c>
      <c r="AF271" s="540">
        <v>20.52047228626779</v>
      </c>
    </row>
    <row r="272" spans="1:32" x14ac:dyDescent="0.25">
      <c r="A272" s="1041"/>
      <c r="B272" s="1041"/>
      <c r="C272" s="1059"/>
      <c r="D272" s="1059"/>
      <c r="E272" s="1059"/>
      <c r="F272" s="1059"/>
      <c r="G272" s="1045"/>
      <c r="H272" s="890"/>
      <c r="I272" s="890"/>
      <c r="J272" s="890"/>
      <c r="K272" s="890"/>
      <c r="L272" s="890"/>
      <c r="M272" s="890"/>
      <c r="N272" s="890"/>
      <c r="O272" s="890"/>
      <c r="P272" s="890"/>
      <c r="Q272" s="890"/>
      <c r="R272" s="890"/>
      <c r="S272" s="890"/>
      <c r="T272" s="890"/>
      <c r="U272" s="890"/>
      <c r="V272" s="890"/>
      <c r="W272" s="890"/>
      <c r="X272" s="890"/>
      <c r="Y272" s="890"/>
      <c r="Z272" s="890"/>
      <c r="AA272" s="890"/>
      <c r="AB272" s="890"/>
      <c r="AC272" s="890"/>
      <c r="AD272" s="1059"/>
      <c r="AE272" s="1059"/>
      <c r="AF272" s="1059"/>
    </row>
    <row r="273" spans="1:32" x14ac:dyDescent="0.25">
      <c r="A273" s="843" t="s">
        <v>47</v>
      </c>
      <c r="B273" s="843"/>
      <c r="C273" s="843"/>
      <c r="D273" s="843"/>
      <c r="E273" s="843"/>
      <c r="F273" s="843"/>
      <c r="G273" s="865"/>
      <c r="H273" s="891"/>
      <c r="I273" s="891"/>
      <c r="J273" s="891"/>
      <c r="K273" s="891"/>
      <c r="L273" s="891"/>
      <c r="M273" s="891"/>
      <c r="N273" s="891"/>
      <c r="O273" s="891"/>
      <c r="P273" s="891"/>
      <c r="Q273" s="891"/>
      <c r="R273" s="891"/>
      <c r="S273" s="891"/>
      <c r="T273" s="891"/>
      <c r="U273" s="891"/>
      <c r="V273" s="891"/>
      <c r="W273" s="891"/>
      <c r="X273" s="891"/>
      <c r="Y273" s="891"/>
      <c r="Z273" s="891"/>
      <c r="AA273" s="891"/>
      <c r="AB273" s="891"/>
      <c r="AC273" s="891"/>
      <c r="AD273" s="843"/>
      <c r="AE273" s="843"/>
      <c r="AF273" s="843"/>
    </row>
    <row r="274" spans="1:32" x14ac:dyDescent="0.25">
      <c r="A274" s="1041"/>
      <c r="B274" s="1041" t="s">
        <v>48</v>
      </c>
      <c r="C274" s="1059"/>
      <c r="D274" s="1059"/>
      <c r="E274" s="1059"/>
      <c r="F274" s="1059"/>
      <c r="G274" s="1045"/>
      <c r="H274" s="890">
        <v>0.11991961788786006</v>
      </c>
      <c r="I274" s="890">
        <v>4.1660302773695538E-3</v>
      </c>
      <c r="J274" s="890">
        <v>9.6785369793049835E-5</v>
      </c>
      <c r="K274" s="890">
        <v>1.5877767118264066E-6</v>
      </c>
      <c r="L274" s="890">
        <v>1.9264819101301418E-8</v>
      </c>
      <c r="M274" s="890">
        <v>1.799618907205406E-10</v>
      </c>
      <c r="N274" s="890">
        <v>1.3478637678418638E-12</v>
      </c>
      <c r="O274" s="890">
        <v>8.4056787378695257E-15</v>
      </c>
      <c r="P274" s="890">
        <v>4.4982851036016386E-17</v>
      </c>
      <c r="Q274" s="890">
        <v>2.1259457004736199E-19</v>
      </c>
      <c r="R274" s="890">
        <v>9.0727583654162584E-22</v>
      </c>
      <c r="S274" s="890">
        <v>3.5695707075561169E-24</v>
      </c>
      <c r="T274" s="890">
        <v>1.317710407157417E-26</v>
      </c>
      <c r="U274" s="890">
        <v>4.6341962195014185E-29</v>
      </c>
      <c r="V274" s="890">
        <v>1.5728025396830808E-31</v>
      </c>
      <c r="W274" s="890">
        <v>5.2042028660842318E-34</v>
      </c>
      <c r="X274" s="890">
        <v>1.6955043403365458E-36</v>
      </c>
      <c r="Y274" s="890">
        <v>5.4771165577357366E-39</v>
      </c>
      <c r="Z274" s="890">
        <v>1.7629056583460988E-41</v>
      </c>
      <c r="AA274" s="890">
        <v>5.6744917961017326E-44</v>
      </c>
      <c r="AB274" s="890">
        <v>1.8323679931016752E-46</v>
      </c>
      <c r="AC274" s="890">
        <v>5.9500260894205347E-49</v>
      </c>
      <c r="AD274" s="540">
        <v>1.94599780135765E-51</v>
      </c>
      <c r="AE274" s="540">
        <v>6.4176729879082873E-54</v>
      </c>
      <c r="AF274" s="540">
        <v>2.1357074291786212E-56</v>
      </c>
    </row>
    <row r="275" spans="1:32" x14ac:dyDescent="0.25">
      <c r="A275" s="1041"/>
      <c r="B275" s="1043" t="s">
        <v>50</v>
      </c>
      <c r="C275" s="1059"/>
      <c r="D275" s="1059"/>
      <c r="E275" s="1059"/>
      <c r="F275" s="1059"/>
      <c r="G275" s="1045"/>
      <c r="H275" s="890">
        <v>0.55355197332590445</v>
      </c>
      <c r="I275" s="890">
        <v>0.15251865067061482</v>
      </c>
      <c r="J275" s="890">
        <v>3.0518304389400976E-2</v>
      </c>
      <c r="K275" s="890">
        <v>4.6231573254835552E-3</v>
      </c>
      <c r="L275" s="890">
        <v>5.5402203067807438E-4</v>
      </c>
      <c r="M275" s="890">
        <v>5.509507735828704E-5</v>
      </c>
      <c r="N275" s="890">
        <v>4.788854429276789E-6</v>
      </c>
      <c r="O275" s="890">
        <v>3.8171466295634257E-7</v>
      </c>
      <c r="P275" s="890">
        <v>2.895507140102668E-8</v>
      </c>
      <c r="Q275" s="890">
        <v>2.1568210459187218E-9</v>
      </c>
      <c r="R275" s="890">
        <v>1.6098991206200779E-10</v>
      </c>
      <c r="S275" s="890">
        <v>1.2238222063388929E-11</v>
      </c>
      <c r="T275" s="890">
        <v>9.572853914562409E-13</v>
      </c>
      <c r="U275" s="890">
        <v>7.7577740300429395E-14</v>
      </c>
      <c r="V275" s="890">
        <v>6.5389193173949583E-15</v>
      </c>
      <c r="W275" s="890">
        <v>5.7411085512145245E-16</v>
      </c>
      <c r="X275" s="890">
        <v>5.25969814271152E-17</v>
      </c>
      <c r="Y275" s="890">
        <v>5.0226419335604598E-18</v>
      </c>
      <c r="Z275" s="890">
        <v>4.9915613577560785E-19</v>
      </c>
      <c r="AA275" s="890">
        <v>5.1553725931787982E-20</v>
      </c>
      <c r="AB275" s="890">
        <v>5.5271782442978942E-21</v>
      </c>
      <c r="AC275" s="890">
        <v>6.1422399598706115E-22</v>
      </c>
      <c r="AD275" s="540">
        <v>7.0637796085524175E-23</v>
      </c>
      <c r="AE275" s="540">
        <v>8.394900031828432E-24</v>
      </c>
      <c r="AF275" s="540">
        <v>1.029579623821479E-24</v>
      </c>
    </row>
    <row r="276" spans="1:32" x14ac:dyDescent="0.25">
      <c r="A276" s="1041"/>
      <c r="B276" s="1041" t="s">
        <v>51</v>
      </c>
      <c r="C276" s="1059"/>
      <c r="D276" s="1059"/>
      <c r="E276" s="1059"/>
      <c r="F276" s="1059"/>
      <c r="G276" s="1045"/>
      <c r="H276" s="890">
        <v>0.72554321166935742</v>
      </c>
      <c r="I276" s="890">
        <v>0.69234035783256043</v>
      </c>
      <c r="J276" s="890">
        <v>0.64863336396634497</v>
      </c>
      <c r="K276" s="890">
        <v>0.59596679370107764</v>
      </c>
      <c r="L276" s="890">
        <v>0.53655934584188225</v>
      </c>
      <c r="M276" s="890">
        <v>0.47317975106546922</v>
      </c>
      <c r="N276" s="890">
        <v>0.41150297572043598</v>
      </c>
      <c r="O276" s="890">
        <v>0.35434681542696728</v>
      </c>
      <c r="P276" s="890">
        <v>0.30078558807106892</v>
      </c>
      <c r="Q276" s="890">
        <v>0.25356411115200866</v>
      </c>
      <c r="R276" s="890">
        <v>0.21173911886826063</v>
      </c>
      <c r="S276" s="890">
        <v>0.17603719323831252</v>
      </c>
      <c r="T276" s="890">
        <v>0.14589176040996193</v>
      </c>
      <c r="U276" s="890">
        <v>0.12072488784835622</v>
      </c>
      <c r="V276" s="890">
        <v>9.9825544096519642E-2</v>
      </c>
      <c r="W276" s="890">
        <v>8.2454537555711499E-2</v>
      </c>
      <c r="X276" s="890">
        <v>6.8294039358113942E-2</v>
      </c>
      <c r="Y276" s="890">
        <v>5.6638616515037363E-2</v>
      </c>
      <c r="Z276" s="890">
        <v>4.6978123299804907E-2</v>
      </c>
      <c r="AA276" s="890">
        <v>3.8968966650573089E-2</v>
      </c>
      <c r="AB276" s="890">
        <v>3.2360548209714325E-2</v>
      </c>
      <c r="AC276" s="890">
        <v>2.6903654162552915E-2</v>
      </c>
      <c r="AD276" s="540">
        <v>2.2385563654139341E-2</v>
      </c>
      <c r="AE276" s="540">
        <v>1.8640924105392642E-2</v>
      </c>
      <c r="AF276" s="540">
        <v>1.5534271348203879E-2</v>
      </c>
    </row>
    <row r="277" spans="1:32" x14ac:dyDescent="0.25">
      <c r="A277" s="1041"/>
      <c r="B277" s="1041" t="s">
        <v>52</v>
      </c>
      <c r="C277" s="1059"/>
      <c r="D277" s="1059"/>
      <c r="E277" s="1059"/>
      <c r="F277" s="1059"/>
      <c r="G277" s="1045"/>
      <c r="H277" s="890">
        <v>4.2097155618573865</v>
      </c>
      <c r="I277" s="890">
        <v>4.1893460686655049</v>
      </c>
      <c r="J277" s="890">
        <v>4.1321051729376403</v>
      </c>
      <c r="K277" s="890">
        <v>4.0405268825507434</v>
      </c>
      <c r="L277" s="890">
        <v>3.9252049806579645</v>
      </c>
      <c r="M277" s="890">
        <v>3.7773375077013895</v>
      </c>
      <c r="N277" s="890">
        <v>3.6185462117519416</v>
      </c>
      <c r="O277" s="890">
        <v>3.4647867303325768</v>
      </c>
      <c r="P277" s="890">
        <v>3.2962067590799782</v>
      </c>
      <c r="Q277" s="890">
        <v>3.1344327310401265</v>
      </c>
      <c r="R277" s="890">
        <v>2.9684197826910919</v>
      </c>
      <c r="S277" s="890">
        <v>2.8097845044292677</v>
      </c>
      <c r="T277" s="890">
        <v>2.6583797156627691</v>
      </c>
      <c r="U277" s="890">
        <v>2.5115069275499073</v>
      </c>
      <c r="V277" s="890">
        <v>2.3778175139439619</v>
      </c>
      <c r="W277" s="890">
        <v>2.2466792351043603</v>
      </c>
      <c r="X277" s="890">
        <v>2.1286122886233581</v>
      </c>
      <c r="Y277" s="890">
        <v>2.0218048232878276</v>
      </c>
      <c r="Z277" s="890">
        <v>1.9177562675427171</v>
      </c>
      <c r="AA277" s="890">
        <v>1.8194363159202906</v>
      </c>
      <c r="AB277" s="890">
        <v>1.7295516058825522</v>
      </c>
      <c r="AC277" s="890">
        <v>1.6434141740815777</v>
      </c>
      <c r="AD277" s="540">
        <v>1.5627249728060622</v>
      </c>
      <c r="AE277" s="540">
        <v>1.4883429137211859</v>
      </c>
      <c r="AF277" s="540">
        <v>1.416656186449929</v>
      </c>
    </row>
    <row r="278" spans="1:32" x14ac:dyDescent="0.25">
      <c r="A278" s="1041"/>
      <c r="B278" s="1043" t="s">
        <v>29</v>
      </c>
      <c r="C278" s="1059"/>
      <c r="D278" s="1059"/>
      <c r="E278" s="1059"/>
      <c r="F278" s="1059"/>
      <c r="G278" s="1045"/>
      <c r="H278" s="890">
        <v>3.9142253938820941</v>
      </c>
      <c r="I278" s="890">
        <v>2.1112351726488749</v>
      </c>
      <c r="J278" s="890">
        <v>1.87448648341234</v>
      </c>
      <c r="K278" s="890">
        <v>1.891311799247092</v>
      </c>
      <c r="L278" s="890">
        <v>1.997341479982798</v>
      </c>
      <c r="M278" s="890">
        <v>2.121002508603925</v>
      </c>
      <c r="N278" s="890">
        <v>2.264511585655256</v>
      </c>
      <c r="O278" s="890">
        <v>2.3762861241936077</v>
      </c>
      <c r="P278" s="890">
        <v>2.5160212020396355</v>
      </c>
      <c r="Q278" s="890">
        <v>2.658391425685116</v>
      </c>
      <c r="R278" s="890">
        <v>2.7409474076725147</v>
      </c>
      <c r="S278" s="890">
        <v>2.8477820750526548</v>
      </c>
      <c r="T278" s="890">
        <v>2.9214404320405922</v>
      </c>
      <c r="U278" s="890">
        <v>2.9897855547763417</v>
      </c>
      <c r="V278" s="890">
        <v>3.0749842760186157</v>
      </c>
      <c r="W278" s="890">
        <v>3.1261152324181301</v>
      </c>
      <c r="X278" s="890">
        <v>3.206715439604602</v>
      </c>
      <c r="Y278" s="890">
        <v>3.2800817069028678</v>
      </c>
      <c r="Z278" s="890">
        <v>3.3428375144152485</v>
      </c>
      <c r="AA278" s="890">
        <v>3.3980542653493391</v>
      </c>
      <c r="AB278" s="890">
        <v>3.4577224495165835</v>
      </c>
      <c r="AC278" s="890">
        <v>3.5206588489874489</v>
      </c>
      <c r="AD278" s="540">
        <v>3.5788273995310429</v>
      </c>
      <c r="AE278" s="540">
        <v>3.6387651355501394</v>
      </c>
      <c r="AF278" s="540">
        <v>3.6962051273659542</v>
      </c>
    </row>
    <row r="279" spans="1:32" x14ac:dyDescent="0.25">
      <c r="A279" s="1041"/>
      <c r="B279" s="1043" t="s">
        <v>53</v>
      </c>
      <c r="C279" s="1059"/>
      <c r="D279" s="1059"/>
      <c r="E279" s="1059"/>
      <c r="F279" s="1059"/>
      <c r="G279" s="1045"/>
      <c r="H279" s="890">
        <v>0</v>
      </c>
      <c r="I279" s="890">
        <v>0</v>
      </c>
      <c r="J279" s="890">
        <v>0</v>
      </c>
      <c r="K279" s="890">
        <v>0</v>
      </c>
      <c r="L279" s="890">
        <v>0</v>
      </c>
      <c r="M279" s="890">
        <v>0</v>
      </c>
      <c r="N279" s="890">
        <v>0</v>
      </c>
      <c r="O279" s="890">
        <v>0</v>
      </c>
      <c r="P279" s="890">
        <v>0</v>
      </c>
      <c r="Q279" s="890">
        <v>0</v>
      </c>
      <c r="R279" s="890">
        <v>0</v>
      </c>
      <c r="S279" s="890">
        <v>0</v>
      </c>
      <c r="T279" s="890">
        <v>0</v>
      </c>
      <c r="U279" s="890">
        <v>0</v>
      </c>
      <c r="V279" s="890">
        <v>0</v>
      </c>
      <c r="W279" s="890">
        <v>0</v>
      </c>
      <c r="X279" s="890">
        <v>0</v>
      </c>
      <c r="Y279" s="890">
        <v>0</v>
      </c>
      <c r="Z279" s="890">
        <v>0</v>
      </c>
      <c r="AA279" s="890">
        <v>0</v>
      </c>
      <c r="AB279" s="890">
        <v>0</v>
      </c>
      <c r="AC279" s="890">
        <v>0</v>
      </c>
      <c r="AD279" s="540">
        <v>0</v>
      </c>
      <c r="AE279" s="540">
        <v>0</v>
      </c>
      <c r="AF279" s="540">
        <v>0</v>
      </c>
    </row>
    <row r="280" spans="1:32" x14ac:dyDescent="0.25">
      <c r="A280" s="1059"/>
      <c r="B280" s="1059"/>
      <c r="C280" s="1059"/>
      <c r="D280" s="1059"/>
      <c r="E280" s="1059"/>
      <c r="F280" s="1059"/>
      <c r="G280" s="1059"/>
      <c r="H280" s="1059"/>
      <c r="I280" s="1059"/>
      <c r="J280" s="1059"/>
      <c r="K280" s="1059"/>
      <c r="L280" s="1059"/>
      <c r="M280" s="1059"/>
      <c r="N280" s="1059"/>
      <c r="O280" s="1059"/>
      <c r="P280" s="1059"/>
      <c r="Q280" s="1059"/>
      <c r="R280" s="1059"/>
      <c r="S280" s="1059"/>
      <c r="T280" s="1059"/>
      <c r="U280" s="1059"/>
      <c r="V280" s="1059"/>
      <c r="W280" s="1059"/>
      <c r="X280" s="1059"/>
      <c r="Y280" s="1059"/>
      <c r="Z280" s="1059"/>
      <c r="AA280" s="1059"/>
      <c r="AB280" s="1059"/>
      <c r="AC280" s="1059"/>
      <c r="AD280" s="1059"/>
      <c r="AE280" s="1059"/>
      <c r="AF280" s="1059"/>
    </row>
    <row r="281" spans="1:32" x14ac:dyDescent="0.25">
      <c r="A281" s="1059"/>
      <c r="B281" s="1059"/>
      <c r="C281" s="1059"/>
      <c r="D281" s="1059"/>
      <c r="E281" s="1059"/>
      <c r="F281" s="1059"/>
      <c r="G281" s="208">
        <v>2010</v>
      </c>
      <c r="H281" s="208">
        <v>2011</v>
      </c>
      <c r="I281" s="208">
        <v>2012</v>
      </c>
      <c r="J281" s="208">
        <v>2013</v>
      </c>
      <c r="K281" s="208">
        <v>2014</v>
      </c>
      <c r="L281" s="208">
        <v>2015</v>
      </c>
      <c r="M281" s="208">
        <v>2016</v>
      </c>
      <c r="N281" s="208">
        <v>2017</v>
      </c>
      <c r="O281" s="208">
        <v>2018</v>
      </c>
      <c r="P281" s="208">
        <v>2019</v>
      </c>
      <c r="Q281" s="208">
        <v>2020</v>
      </c>
      <c r="R281" s="208">
        <v>2021</v>
      </c>
      <c r="S281" s="208">
        <v>2022</v>
      </c>
      <c r="T281" s="208">
        <v>2023</v>
      </c>
      <c r="U281" s="208">
        <v>2024</v>
      </c>
      <c r="V281" s="208">
        <v>2025</v>
      </c>
      <c r="W281" s="208">
        <v>2026</v>
      </c>
      <c r="X281" s="208">
        <v>2027</v>
      </c>
      <c r="Y281" s="208">
        <v>2028</v>
      </c>
      <c r="Z281" s="208">
        <v>2029</v>
      </c>
      <c r="AA281" s="208">
        <v>2030</v>
      </c>
      <c r="AB281" s="208">
        <v>2031</v>
      </c>
      <c r="AC281" s="208">
        <v>2032</v>
      </c>
      <c r="AD281" s="208">
        <v>2033</v>
      </c>
      <c r="AE281" s="208">
        <v>2034</v>
      </c>
      <c r="AF281" s="208">
        <v>2035</v>
      </c>
    </row>
    <row r="282" spans="1:32" x14ac:dyDescent="0.25">
      <c r="A282" s="1047" t="s">
        <v>739</v>
      </c>
      <c r="B282" s="1048"/>
      <c r="C282" s="1047"/>
      <c r="D282" s="1046"/>
      <c r="E282" s="1046"/>
      <c r="F282" s="1046"/>
      <c r="G282" s="1046"/>
      <c r="H282" s="862"/>
      <c r="I282" s="862"/>
      <c r="J282" s="862"/>
      <c r="K282" s="862"/>
      <c r="L282" s="862"/>
      <c r="M282" s="862"/>
      <c r="N282" s="862"/>
      <c r="O282" s="862"/>
      <c r="P282" s="862"/>
      <c r="Q282" s="862"/>
      <c r="R282" s="862"/>
      <c r="S282" s="862"/>
      <c r="T282" s="862"/>
      <c r="U282" s="862"/>
      <c r="V282" s="862"/>
      <c r="W282" s="862"/>
      <c r="X282" s="862"/>
      <c r="Y282" s="862"/>
      <c r="Z282" s="862"/>
      <c r="AA282" s="862"/>
      <c r="AB282" s="862"/>
      <c r="AC282" s="862"/>
      <c r="AD282" s="862"/>
      <c r="AE282" s="862"/>
      <c r="AF282" s="862"/>
    </row>
    <row r="283" spans="1:32" x14ac:dyDescent="0.25">
      <c r="A283" s="1042" t="s">
        <v>740</v>
      </c>
      <c r="B283" s="1041"/>
      <c r="C283" s="1059"/>
      <c r="D283" s="1059"/>
      <c r="E283" s="1059"/>
      <c r="F283" s="1059"/>
      <c r="G283" s="1059"/>
      <c r="H283" s="1059"/>
      <c r="I283" s="1059"/>
      <c r="J283" s="1059"/>
      <c r="K283" s="1059"/>
      <c r="L283" s="1059"/>
      <c r="M283" s="1059"/>
      <c r="N283" s="1059"/>
      <c r="O283" s="1059"/>
      <c r="P283" s="1059"/>
      <c r="Q283" s="1059"/>
      <c r="R283" s="1059"/>
      <c r="S283" s="1059"/>
      <c r="T283" s="1059"/>
      <c r="U283" s="1059"/>
      <c r="V283" s="1059"/>
      <c r="W283" s="1059"/>
      <c r="X283" s="1059"/>
      <c r="Y283" s="1059"/>
      <c r="Z283" s="1059"/>
      <c r="AA283" s="1059"/>
      <c r="AB283" s="1059"/>
      <c r="AC283" s="1059"/>
      <c r="AD283" s="1059"/>
      <c r="AE283" s="1059"/>
      <c r="AF283" s="1059"/>
    </row>
    <row r="284" spans="1:32" x14ac:dyDescent="0.25">
      <c r="A284" s="1041"/>
      <c r="B284" s="1041" t="s">
        <v>20</v>
      </c>
      <c r="C284" s="1059"/>
      <c r="D284" s="1059"/>
      <c r="E284" s="1059"/>
      <c r="F284" s="1059"/>
      <c r="G284" s="1059"/>
      <c r="H284" s="1059"/>
      <c r="I284" s="1059"/>
      <c r="J284" s="1059"/>
      <c r="K284" s="1059"/>
      <c r="L284" s="1059"/>
      <c r="M284" s="1059"/>
      <c r="N284" s="1059"/>
      <c r="O284" s="1059"/>
      <c r="P284" s="1059"/>
      <c r="Q284" s="1059"/>
      <c r="R284" s="1059"/>
      <c r="S284" s="1059"/>
      <c r="T284" s="1059"/>
      <c r="U284" s="1059"/>
      <c r="V284" s="1059"/>
      <c r="W284" s="1059"/>
      <c r="X284" s="1059"/>
      <c r="Y284" s="1059"/>
      <c r="Z284" s="1059"/>
      <c r="AA284" s="1059"/>
      <c r="AB284" s="1059"/>
      <c r="AC284" s="1059"/>
      <c r="AD284" s="1059"/>
      <c r="AE284" s="1059"/>
      <c r="AF284" s="1059"/>
    </row>
    <row r="285" spans="1:32" x14ac:dyDescent="0.25">
      <c r="A285" s="843" t="s">
        <v>21</v>
      </c>
      <c r="B285" s="843"/>
      <c r="C285" s="843"/>
      <c r="D285" s="843"/>
      <c r="E285" s="843"/>
      <c r="F285" s="843"/>
      <c r="G285" s="843"/>
      <c r="H285" s="843"/>
      <c r="I285" s="843"/>
      <c r="J285" s="843"/>
      <c r="K285" s="843"/>
      <c r="L285" s="843"/>
      <c r="M285" s="843"/>
      <c r="N285" s="843"/>
      <c r="O285" s="843"/>
      <c r="P285" s="843"/>
      <c r="Q285" s="843"/>
      <c r="R285" s="843"/>
      <c r="S285" s="843"/>
      <c r="T285" s="843"/>
      <c r="U285" s="843"/>
      <c r="V285" s="843"/>
      <c r="W285" s="843"/>
      <c r="X285" s="843"/>
      <c r="Y285" s="843"/>
      <c r="Z285" s="843"/>
      <c r="AA285" s="843"/>
      <c r="AB285" s="843"/>
      <c r="AC285" s="843"/>
      <c r="AD285" s="843"/>
      <c r="AE285" s="843"/>
      <c r="AF285" s="843"/>
    </row>
    <row r="286" spans="1:32" x14ac:dyDescent="0.25">
      <c r="A286" s="1041"/>
      <c r="B286" s="1041" t="s">
        <v>22</v>
      </c>
      <c r="C286" s="1059"/>
      <c r="D286" s="1059"/>
      <c r="E286" s="1059"/>
      <c r="F286" s="1059"/>
      <c r="G286" s="1045"/>
      <c r="H286" s="855">
        <v>0</v>
      </c>
      <c r="I286" s="855">
        <v>0</v>
      </c>
      <c r="J286" s="855">
        <v>0</v>
      </c>
      <c r="K286" s="855">
        <v>0</v>
      </c>
      <c r="L286" s="855">
        <v>0</v>
      </c>
      <c r="M286" s="855">
        <v>0</v>
      </c>
      <c r="N286" s="855">
        <v>0</v>
      </c>
      <c r="O286" s="855">
        <v>0</v>
      </c>
      <c r="P286" s="855">
        <v>0</v>
      </c>
      <c r="Q286" s="855">
        <v>0</v>
      </c>
      <c r="R286" s="855">
        <v>0</v>
      </c>
      <c r="S286" s="855">
        <v>0</v>
      </c>
      <c r="T286" s="855">
        <v>0</v>
      </c>
      <c r="U286" s="855">
        <v>0</v>
      </c>
      <c r="V286" s="855">
        <v>0</v>
      </c>
      <c r="W286" s="855">
        <v>0</v>
      </c>
      <c r="X286" s="855">
        <v>0</v>
      </c>
      <c r="Y286" s="855">
        <v>0</v>
      </c>
      <c r="Z286" s="855">
        <v>0</v>
      </c>
      <c r="AA286" s="855">
        <v>0</v>
      </c>
      <c r="AB286" s="855">
        <v>0</v>
      </c>
      <c r="AC286" s="855">
        <v>0</v>
      </c>
      <c r="AD286" s="855">
        <v>0</v>
      </c>
      <c r="AE286" s="855">
        <v>0</v>
      </c>
      <c r="AF286" s="855">
        <v>0</v>
      </c>
    </row>
    <row r="287" spans="1:32" x14ac:dyDescent="0.25">
      <c r="A287" s="1041"/>
      <c r="B287" s="1041" t="s">
        <v>26</v>
      </c>
      <c r="C287" s="1059"/>
      <c r="D287" s="1059"/>
      <c r="E287" s="1059"/>
      <c r="F287" s="1059"/>
      <c r="G287" s="1045"/>
      <c r="H287" s="855">
        <v>0</v>
      </c>
      <c r="I287" s="855">
        <v>0</v>
      </c>
      <c r="J287" s="855">
        <v>0</v>
      </c>
      <c r="K287" s="855">
        <v>0</v>
      </c>
      <c r="L287" s="855">
        <v>0</v>
      </c>
      <c r="M287" s="855">
        <v>0</v>
      </c>
      <c r="N287" s="855">
        <v>0</v>
      </c>
      <c r="O287" s="855">
        <v>0</v>
      </c>
      <c r="P287" s="855">
        <v>0</v>
      </c>
      <c r="Q287" s="855">
        <v>0</v>
      </c>
      <c r="R287" s="855">
        <v>0</v>
      </c>
      <c r="S287" s="855">
        <v>0</v>
      </c>
      <c r="T287" s="855">
        <v>0</v>
      </c>
      <c r="U287" s="855">
        <v>0</v>
      </c>
      <c r="V287" s="855">
        <v>0</v>
      </c>
      <c r="W287" s="855">
        <v>0</v>
      </c>
      <c r="X287" s="855">
        <v>0</v>
      </c>
      <c r="Y287" s="855">
        <v>0</v>
      </c>
      <c r="Z287" s="855">
        <v>0</v>
      </c>
      <c r="AA287" s="855">
        <v>0</v>
      </c>
      <c r="AB287" s="855">
        <v>0</v>
      </c>
      <c r="AC287" s="855">
        <v>0</v>
      </c>
      <c r="AD287" s="855">
        <v>0</v>
      </c>
      <c r="AE287" s="855">
        <v>0</v>
      </c>
      <c r="AF287" s="855">
        <v>0</v>
      </c>
    </row>
    <row r="288" spans="1:32" x14ac:dyDescent="0.25">
      <c r="A288" s="1041"/>
      <c r="B288" s="1041" t="s">
        <v>27</v>
      </c>
      <c r="C288" s="1059"/>
      <c r="D288" s="1059"/>
      <c r="E288" s="1059"/>
      <c r="F288" s="1059"/>
      <c r="G288" s="1045"/>
      <c r="H288" s="855">
        <v>0</v>
      </c>
      <c r="I288" s="855">
        <v>0</v>
      </c>
      <c r="J288" s="855">
        <v>0</v>
      </c>
      <c r="K288" s="855">
        <v>0</v>
      </c>
      <c r="L288" s="855">
        <v>0</v>
      </c>
      <c r="M288" s="855">
        <v>0</v>
      </c>
      <c r="N288" s="855">
        <v>0</v>
      </c>
      <c r="O288" s="855">
        <v>0</v>
      </c>
      <c r="P288" s="855">
        <v>0</v>
      </c>
      <c r="Q288" s="855">
        <v>0</v>
      </c>
      <c r="R288" s="855">
        <v>0</v>
      </c>
      <c r="S288" s="855">
        <v>0</v>
      </c>
      <c r="T288" s="855">
        <v>0</v>
      </c>
      <c r="U288" s="855">
        <v>0</v>
      </c>
      <c r="V288" s="855">
        <v>0</v>
      </c>
      <c r="W288" s="855">
        <v>0</v>
      </c>
      <c r="X288" s="855">
        <v>0</v>
      </c>
      <c r="Y288" s="855">
        <v>0</v>
      </c>
      <c r="Z288" s="855">
        <v>0</v>
      </c>
      <c r="AA288" s="855">
        <v>0</v>
      </c>
      <c r="AB288" s="855">
        <v>0</v>
      </c>
      <c r="AC288" s="855">
        <v>0</v>
      </c>
      <c r="AD288" s="855">
        <v>0</v>
      </c>
      <c r="AE288" s="855">
        <v>0</v>
      </c>
      <c r="AF288" s="855">
        <v>0</v>
      </c>
    </row>
    <row r="289" spans="1:32" x14ac:dyDescent="0.25">
      <c r="A289" s="1041"/>
      <c r="B289" s="1041" t="s">
        <v>29</v>
      </c>
      <c r="C289" s="1059"/>
      <c r="D289" s="1059"/>
      <c r="E289" s="1059"/>
      <c r="F289" s="1059"/>
      <c r="G289" s="1045"/>
      <c r="H289" s="855">
        <v>0</v>
      </c>
      <c r="I289" s="855">
        <v>0</v>
      </c>
      <c r="J289" s="855">
        <v>0</v>
      </c>
      <c r="K289" s="855">
        <v>0</v>
      </c>
      <c r="L289" s="855">
        <v>0</v>
      </c>
      <c r="M289" s="855">
        <v>0</v>
      </c>
      <c r="N289" s="855">
        <v>0</v>
      </c>
      <c r="O289" s="855">
        <v>0</v>
      </c>
      <c r="P289" s="855">
        <v>0</v>
      </c>
      <c r="Q289" s="855">
        <v>0</v>
      </c>
      <c r="R289" s="855">
        <v>0</v>
      </c>
      <c r="S289" s="855">
        <v>0</v>
      </c>
      <c r="T289" s="855">
        <v>0</v>
      </c>
      <c r="U289" s="855">
        <v>0</v>
      </c>
      <c r="V289" s="855">
        <v>0</v>
      </c>
      <c r="W289" s="855">
        <v>0</v>
      </c>
      <c r="X289" s="855">
        <v>0</v>
      </c>
      <c r="Y289" s="855">
        <v>0</v>
      </c>
      <c r="Z289" s="855">
        <v>0</v>
      </c>
      <c r="AA289" s="855">
        <v>0</v>
      </c>
      <c r="AB289" s="855">
        <v>0</v>
      </c>
      <c r="AC289" s="855">
        <v>0</v>
      </c>
      <c r="AD289" s="855">
        <v>0</v>
      </c>
      <c r="AE289" s="855">
        <v>0</v>
      </c>
      <c r="AF289" s="855">
        <v>0</v>
      </c>
    </row>
    <row r="290" spans="1:32" x14ac:dyDescent="0.25">
      <c r="A290" s="1041"/>
      <c r="B290" s="1041"/>
      <c r="C290" s="1059"/>
      <c r="D290" s="1059"/>
      <c r="E290" s="1059"/>
      <c r="F290" s="1059"/>
      <c r="G290" s="1045"/>
      <c r="H290" s="1059"/>
      <c r="I290" s="1059"/>
      <c r="J290" s="1059"/>
      <c r="K290" s="1059"/>
      <c r="L290" s="1059"/>
      <c r="M290" s="1059"/>
      <c r="N290" s="1059"/>
      <c r="O290" s="1059"/>
      <c r="P290" s="1059"/>
      <c r="Q290" s="1059"/>
      <c r="R290" s="1059"/>
      <c r="S290" s="1059"/>
      <c r="T290" s="1059"/>
      <c r="U290" s="1059"/>
      <c r="V290" s="1059"/>
      <c r="W290" s="1059"/>
      <c r="X290" s="1059"/>
      <c r="Y290" s="1059"/>
      <c r="Z290" s="1059"/>
      <c r="AA290" s="1059"/>
      <c r="AB290" s="1059"/>
      <c r="AC290" s="1059"/>
      <c r="AD290" s="1059"/>
      <c r="AE290" s="1059"/>
      <c r="AF290" s="1059"/>
    </row>
    <row r="291" spans="1:32" x14ac:dyDescent="0.25">
      <c r="A291" s="843" t="s">
        <v>32</v>
      </c>
      <c r="B291" s="843"/>
      <c r="C291" s="843"/>
      <c r="D291" s="843"/>
      <c r="E291" s="843"/>
      <c r="F291" s="843"/>
      <c r="G291" s="865"/>
      <c r="H291" s="843"/>
      <c r="I291" s="843"/>
      <c r="J291" s="843"/>
      <c r="K291" s="843"/>
      <c r="L291" s="843"/>
      <c r="M291" s="843"/>
      <c r="N291" s="843"/>
      <c r="O291" s="843"/>
      <c r="P291" s="843"/>
      <c r="Q291" s="843"/>
      <c r="R291" s="843"/>
      <c r="S291" s="843"/>
      <c r="T291" s="843"/>
      <c r="U291" s="843"/>
      <c r="V291" s="843"/>
      <c r="W291" s="843"/>
      <c r="X291" s="843"/>
      <c r="Y291" s="843"/>
      <c r="Z291" s="843"/>
      <c r="AA291" s="843"/>
      <c r="AB291" s="843"/>
      <c r="AC291" s="843"/>
      <c r="AD291" s="843"/>
      <c r="AE291" s="843"/>
      <c r="AF291" s="843"/>
    </row>
    <row r="292" spans="1:32" x14ac:dyDescent="0.25">
      <c r="A292" s="1041"/>
      <c r="B292" s="1041" t="s">
        <v>33</v>
      </c>
      <c r="C292" s="1059"/>
      <c r="D292" s="1059"/>
      <c r="E292" s="1059"/>
      <c r="F292" s="1059"/>
      <c r="G292" s="1045"/>
      <c r="H292" s="855">
        <v>0</v>
      </c>
      <c r="I292" s="855">
        <v>0</v>
      </c>
      <c r="J292" s="855">
        <v>0</v>
      </c>
      <c r="K292" s="855">
        <v>0</v>
      </c>
      <c r="L292" s="855">
        <v>0</v>
      </c>
      <c r="M292" s="855">
        <v>0</v>
      </c>
      <c r="N292" s="855">
        <v>0</v>
      </c>
      <c r="O292" s="855">
        <v>0</v>
      </c>
      <c r="P292" s="855">
        <v>0</v>
      </c>
      <c r="Q292" s="855">
        <v>0</v>
      </c>
      <c r="R292" s="855">
        <v>0</v>
      </c>
      <c r="S292" s="855">
        <v>0</v>
      </c>
      <c r="T292" s="855">
        <v>0</v>
      </c>
      <c r="U292" s="855">
        <v>0</v>
      </c>
      <c r="V292" s="855">
        <v>0</v>
      </c>
      <c r="W292" s="855">
        <v>0</v>
      </c>
      <c r="X292" s="855">
        <v>0</v>
      </c>
      <c r="Y292" s="855">
        <v>0</v>
      </c>
      <c r="Z292" s="855">
        <v>0</v>
      </c>
      <c r="AA292" s="855">
        <v>0</v>
      </c>
      <c r="AB292" s="855">
        <v>0</v>
      </c>
      <c r="AC292" s="855">
        <v>0</v>
      </c>
      <c r="AD292" s="855">
        <v>0</v>
      </c>
      <c r="AE292" s="855">
        <v>0</v>
      </c>
      <c r="AF292" s="855">
        <v>0</v>
      </c>
    </row>
    <row r="293" spans="1:32" x14ac:dyDescent="0.25">
      <c r="A293" s="1043"/>
      <c r="B293" s="1043" t="s">
        <v>34</v>
      </c>
      <c r="C293" s="1059"/>
      <c r="D293" s="1059"/>
      <c r="E293" s="1059"/>
      <c r="F293" s="1059"/>
      <c r="G293" s="1045"/>
      <c r="H293" s="855">
        <v>0</v>
      </c>
      <c r="I293" s="855">
        <v>0</v>
      </c>
      <c r="J293" s="855">
        <v>0</v>
      </c>
      <c r="K293" s="855">
        <v>0</v>
      </c>
      <c r="L293" s="855">
        <v>0</v>
      </c>
      <c r="M293" s="855">
        <v>0</v>
      </c>
      <c r="N293" s="855">
        <v>0</v>
      </c>
      <c r="O293" s="855">
        <v>0</v>
      </c>
      <c r="P293" s="855">
        <v>0</v>
      </c>
      <c r="Q293" s="855">
        <v>0</v>
      </c>
      <c r="R293" s="855">
        <v>0</v>
      </c>
      <c r="S293" s="855">
        <v>0</v>
      </c>
      <c r="T293" s="855">
        <v>0</v>
      </c>
      <c r="U293" s="855">
        <v>0</v>
      </c>
      <c r="V293" s="855">
        <v>0</v>
      </c>
      <c r="W293" s="855">
        <v>0</v>
      </c>
      <c r="X293" s="855">
        <v>0</v>
      </c>
      <c r="Y293" s="855">
        <v>0</v>
      </c>
      <c r="Z293" s="855">
        <v>0</v>
      </c>
      <c r="AA293" s="855">
        <v>0</v>
      </c>
      <c r="AB293" s="855">
        <v>0</v>
      </c>
      <c r="AC293" s="855">
        <v>0</v>
      </c>
      <c r="AD293" s="855">
        <v>0</v>
      </c>
      <c r="AE293" s="855">
        <v>0</v>
      </c>
      <c r="AF293" s="855">
        <v>0</v>
      </c>
    </row>
    <row r="294" spans="1:32" x14ac:dyDescent="0.25">
      <c r="A294" s="1041"/>
      <c r="B294" s="1043" t="s">
        <v>35</v>
      </c>
      <c r="C294" s="1059"/>
      <c r="D294" s="1059"/>
      <c r="E294" s="1059"/>
      <c r="F294" s="1059"/>
      <c r="G294" s="1045"/>
      <c r="H294" s="855">
        <v>0</v>
      </c>
      <c r="I294" s="855">
        <v>0</v>
      </c>
      <c r="J294" s="855">
        <v>0</v>
      </c>
      <c r="K294" s="855">
        <v>0</v>
      </c>
      <c r="L294" s="855">
        <v>0</v>
      </c>
      <c r="M294" s="855">
        <v>0</v>
      </c>
      <c r="N294" s="855">
        <v>0</v>
      </c>
      <c r="O294" s="855">
        <v>0</v>
      </c>
      <c r="P294" s="855">
        <v>0</v>
      </c>
      <c r="Q294" s="855">
        <v>0</v>
      </c>
      <c r="R294" s="855">
        <v>0</v>
      </c>
      <c r="S294" s="855">
        <v>0</v>
      </c>
      <c r="T294" s="855">
        <v>0</v>
      </c>
      <c r="U294" s="855">
        <v>0</v>
      </c>
      <c r="V294" s="855">
        <v>0</v>
      </c>
      <c r="W294" s="855">
        <v>0</v>
      </c>
      <c r="X294" s="855">
        <v>0</v>
      </c>
      <c r="Y294" s="855">
        <v>0</v>
      </c>
      <c r="Z294" s="855">
        <v>0</v>
      </c>
      <c r="AA294" s="855">
        <v>0</v>
      </c>
      <c r="AB294" s="855">
        <v>0</v>
      </c>
      <c r="AC294" s="855">
        <v>0</v>
      </c>
      <c r="AD294" s="855">
        <v>0</v>
      </c>
      <c r="AE294" s="855">
        <v>0</v>
      </c>
      <c r="AF294" s="855">
        <v>0</v>
      </c>
    </row>
    <row r="295" spans="1:32" x14ac:dyDescent="0.25">
      <c r="A295" s="1041"/>
      <c r="B295" s="1043" t="s">
        <v>29</v>
      </c>
      <c r="C295" s="1059"/>
      <c r="D295" s="1059"/>
      <c r="E295" s="1059"/>
      <c r="F295" s="1059"/>
      <c r="G295" s="1045"/>
      <c r="H295" s="855">
        <v>0</v>
      </c>
      <c r="I295" s="855">
        <v>0</v>
      </c>
      <c r="J295" s="855">
        <v>0</v>
      </c>
      <c r="K295" s="855">
        <v>0</v>
      </c>
      <c r="L295" s="855">
        <v>0</v>
      </c>
      <c r="M295" s="855">
        <v>0</v>
      </c>
      <c r="N295" s="855">
        <v>0</v>
      </c>
      <c r="O295" s="855">
        <v>0</v>
      </c>
      <c r="P295" s="855">
        <v>0</v>
      </c>
      <c r="Q295" s="855">
        <v>0</v>
      </c>
      <c r="R295" s="855">
        <v>0</v>
      </c>
      <c r="S295" s="855">
        <v>0</v>
      </c>
      <c r="T295" s="855">
        <v>0</v>
      </c>
      <c r="U295" s="855">
        <v>0</v>
      </c>
      <c r="V295" s="855">
        <v>0</v>
      </c>
      <c r="W295" s="855">
        <v>0</v>
      </c>
      <c r="X295" s="855">
        <v>0</v>
      </c>
      <c r="Y295" s="855">
        <v>0</v>
      </c>
      <c r="Z295" s="855">
        <v>0</v>
      </c>
      <c r="AA295" s="855">
        <v>0</v>
      </c>
      <c r="AB295" s="855">
        <v>0</v>
      </c>
      <c r="AC295" s="855">
        <v>0</v>
      </c>
      <c r="AD295" s="855">
        <v>0</v>
      </c>
      <c r="AE295" s="855">
        <v>0</v>
      </c>
      <c r="AF295" s="855">
        <v>0</v>
      </c>
    </row>
    <row r="296" spans="1:32" x14ac:dyDescent="0.25">
      <c r="A296" s="1041"/>
      <c r="B296" s="1041"/>
      <c r="C296" s="1059"/>
      <c r="D296" s="1059"/>
      <c r="E296" s="1059"/>
      <c r="F296" s="1059"/>
      <c r="G296" s="1045"/>
      <c r="H296" s="1059"/>
      <c r="I296" s="1059"/>
      <c r="J296" s="1059"/>
      <c r="K296" s="1059"/>
      <c r="L296" s="1059"/>
      <c r="M296" s="1059"/>
      <c r="N296" s="1059"/>
      <c r="O296" s="1059"/>
      <c r="P296" s="1059"/>
      <c r="Q296" s="1059"/>
      <c r="R296" s="1059"/>
      <c r="S296" s="1059"/>
      <c r="T296" s="1059"/>
      <c r="U296" s="1059"/>
      <c r="V296" s="1059"/>
      <c r="W296" s="1059"/>
      <c r="X296" s="1059"/>
      <c r="Y296" s="1059"/>
      <c r="Z296" s="1059"/>
      <c r="AA296" s="1059"/>
      <c r="AB296" s="1059"/>
      <c r="AC296" s="1059"/>
      <c r="AD296" s="1059"/>
      <c r="AE296" s="1059"/>
      <c r="AF296" s="1059"/>
    </row>
    <row r="297" spans="1:32" x14ac:dyDescent="0.25">
      <c r="A297" s="843" t="s">
        <v>36</v>
      </c>
      <c r="B297" s="843"/>
      <c r="C297" s="843"/>
      <c r="D297" s="843"/>
      <c r="E297" s="843"/>
      <c r="F297" s="843"/>
      <c r="G297" s="865"/>
      <c r="H297" s="843"/>
      <c r="I297" s="843"/>
      <c r="J297" s="843"/>
      <c r="K297" s="843"/>
      <c r="L297" s="843"/>
      <c r="M297" s="843"/>
      <c r="N297" s="843"/>
      <c r="O297" s="843"/>
      <c r="P297" s="843"/>
      <c r="Q297" s="843"/>
      <c r="R297" s="843"/>
      <c r="S297" s="843"/>
      <c r="T297" s="843"/>
      <c r="U297" s="843"/>
      <c r="V297" s="843"/>
      <c r="W297" s="843"/>
      <c r="X297" s="843"/>
      <c r="Y297" s="843"/>
      <c r="Z297" s="843"/>
      <c r="AA297" s="843"/>
      <c r="AB297" s="843"/>
      <c r="AC297" s="843"/>
      <c r="AD297" s="843"/>
      <c r="AE297" s="843"/>
      <c r="AF297" s="843"/>
    </row>
    <row r="298" spans="1:32" x14ac:dyDescent="0.25">
      <c r="A298" s="1041"/>
      <c r="B298" s="1041" t="s">
        <v>37</v>
      </c>
      <c r="C298" s="1059"/>
      <c r="D298" s="1059"/>
      <c r="E298" s="1059"/>
      <c r="F298" s="1059"/>
      <c r="G298" s="540"/>
      <c r="H298" s="855">
        <v>0</v>
      </c>
      <c r="I298" s="855">
        <v>0</v>
      </c>
      <c r="J298" s="855">
        <v>0</v>
      </c>
      <c r="K298" s="855">
        <v>0</v>
      </c>
      <c r="L298" s="855">
        <v>0</v>
      </c>
      <c r="M298" s="855">
        <v>0</v>
      </c>
      <c r="N298" s="855">
        <v>0</v>
      </c>
      <c r="O298" s="855">
        <v>0</v>
      </c>
      <c r="P298" s="855">
        <v>0</v>
      </c>
      <c r="Q298" s="855">
        <v>0</v>
      </c>
      <c r="R298" s="855">
        <v>0</v>
      </c>
      <c r="S298" s="855">
        <v>0</v>
      </c>
      <c r="T298" s="855">
        <v>0</v>
      </c>
      <c r="U298" s="855">
        <v>0</v>
      </c>
      <c r="V298" s="855">
        <v>0</v>
      </c>
      <c r="W298" s="855">
        <v>0</v>
      </c>
      <c r="X298" s="855">
        <v>0</v>
      </c>
      <c r="Y298" s="855">
        <v>0</v>
      </c>
      <c r="Z298" s="855">
        <v>0</v>
      </c>
      <c r="AA298" s="855">
        <v>0</v>
      </c>
      <c r="AB298" s="855">
        <v>0</v>
      </c>
      <c r="AC298" s="855">
        <v>0</v>
      </c>
      <c r="AD298" s="855">
        <v>0</v>
      </c>
      <c r="AE298" s="855">
        <v>0</v>
      </c>
      <c r="AF298" s="855">
        <v>0</v>
      </c>
    </row>
    <row r="299" spans="1:32" x14ac:dyDescent="0.25">
      <c r="A299" s="1041"/>
      <c r="B299" s="1041" t="s">
        <v>39</v>
      </c>
      <c r="C299" s="1059"/>
      <c r="D299" s="1059"/>
      <c r="E299" s="1059"/>
      <c r="F299" s="1059"/>
      <c r="G299" s="540"/>
      <c r="H299" s="855">
        <v>0</v>
      </c>
      <c r="I299" s="855">
        <v>0</v>
      </c>
      <c r="J299" s="855">
        <v>0</v>
      </c>
      <c r="K299" s="855">
        <v>0</v>
      </c>
      <c r="L299" s="855">
        <v>0</v>
      </c>
      <c r="M299" s="855">
        <v>0</v>
      </c>
      <c r="N299" s="855">
        <v>0</v>
      </c>
      <c r="O299" s="855">
        <v>0</v>
      </c>
      <c r="P299" s="855">
        <v>0</v>
      </c>
      <c r="Q299" s="855">
        <v>0</v>
      </c>
      <c r="R299" s="855">
        <v>0</v>
      </c>
      <c r="S299" s="855">
        <v>0</v>
      </c>
      <c r="T299" s="855">
        <v>0</v>
      </c>
      <c r="U299" s="855">
        <v>0</v>
      </c>
      <c r="V299" s="855">
        <v>0</v>
      </c>
      <c r="W299" s="855">
        <v>0</v>
      </c>
      <c r="X299" s="855">
        <v>0</v>
      </c>
      <c r="Y299" s="855">
        <v>0</v>
      </c>
      <c r="Z299" s="855">
        <v>0</v>
      </c>
      <c r="AA299" s="855">
        <v>0</v>
      </c>
      <c r="AB299" s="855">
        <v>0</v>
      </c>
      <c r="AC299" s="855">
        <v>0</v>
      </c>
      <c r="AD299" s="855">
        <v>0</v>
      </c>
      <c r="AE299" s="855">
        <v>0</v>
      </c>
      <c r="AF299" s="855">
        <v>0</v>
      </c>
    </row>
    <row r="300" spans="1:32" x14ac:dyDescent="0.25">
      <c r="A300" s="1041"/>
      <c r="B300" s="1041" t="s">
        <v>40</v>
      </c>
      <c r="C300" s="1059"/>
      <c r="D300" s="1059"/>
      <c r="E300" s="1059"/>
      <c r="F300" s="1059"/>
      <c r="G300" s="540"/>
      <c r="H300" s="855">
        <v>0</v>
      </c>
      <c r="I300" s="855">
        <v>0</v>
      </c>
      <c r="J300" s="855">
        <v>0</v>
      </c>
      <c r="K300" s="855">
        <v>0</v>
      </c>
      <c r="L300" s="855">
        <v>0</v>
      </c>
      <c r="M300" s="855">
        <v>0</v>
      </c>
      <c r="N300" s="855">
        <v>0</v>
      </c>
      <c r="O300" s="855">
        <v>0</v>
      </c>
      <c r="P300" s="855">
        <v>0</v>
      </c>
      <c r="Q300" s="855">
        <v>0</v>
      </c>
      <c r="R300" s="855">
        <v>0</v>
      </c>
      <c r="S300" s="855">
        <v>0</v>
      </c>
      <c r="T300" s="855">
        <v>0</v>
      </c>
      <c r="U300" s="855">
        <v>0</v>
      </c>
      <c r="V300" s="855">
        <v>0</v>
      </c>
      <c r="W300" s="855">
        <v>0</v>
      </c>
      <c r="X300" s="855">
        <v>0</v>
      </c>
      <c r="Y300" s="855">
        <v>0</v>
      </c>
      <c r="Z300" s="855">
        <v>0</v>
      </c>
      <c r="AA300" s="855">
        <v>0</v>
      </c>
      <c r="AB300" s="855">
        <v>0</v>
      </c>
      <c r="AC300" s="855">
        <v>0</v>
      </c>
      <c r="AD300" s="855">
        <v>0</v>
      </c>
      <c r="AE300" s="855">
        <v>0</v>
      </c>
      <c r="AF300" s="855">
        <v>0</v>
      </c>
    </row>
    <row r="301" spans="1:32" x14ac:dyDescent="0.25">
      <c r="A301" s="1041"/>
      <c r="B301" s="1041" t="s">
        <v>29</v>
      </c>
      <c r="C301" s="1059"/>
      <c r="D301" s="1059"/>
      <c r="E301" s="1059"/>
      <c r="F301" s="1059"/>
      <c r="G301" s="1045"/>
      <c r="H301" s="855">
        <v>0</v>
      </c>
      <c r="I301" s="855">
        <v>0</v>
      </c>
      <c r="J301" s="855">
        <v>0</v>
      </c>
      <c r="K301" s="855">
        <v>0</v>
      </c>
      <c r="L301" s="855">
        <v>0</v>
      </c>
      <c r="M301" s="855">
        <v>0</v>
      </c>
      <c r="N301" s="855">
        <v>0</v>
      </c>
      <c r="O301" s="855">
        <v>0</v>
      </c>
      <c r="P301" s="855">
        <v>0</v>
      </c>
      <c r="Q301" s="855">
        <v>0</v>
      </c>
      <c r="R301" s="855">
        <v>0</v>
      </c>
      <c r="S301" s="855">
        <v>0</v>
      </c>
      <c r="T301" s="855">
        <v>0</v>
      </c>
      <c r="U301" s="855">
        <v>0</v>
      </c>
      <c r="V301" s="855">
        <v>0</v>
      </c>
      <c r="W301" s="855">
        <v>0</v>
      </c>
      <c r="X301" s="855">
        <v>0</v>
      </c>
      <c r="Y301" s="855">
        <v>0</v>
      </c>
      <c r="Z301" s="855">
        <v>0</v>
      </c>
      <c r="AA301" s="855">
        <v>0</v>
      </c>
      <c r="AB301" s="855">
        <v>0</v>
      </c>
      <c r="AC301" s="855">
        <v>0</v>
      </c>
      <c r="AD301" s="855">
        <v>0</v>
      </c>
      <c r="AE301" s="855">
        <v>0</v>
      </c>
      <c r="AF301" s="855">
        <v>0</v>
      </c>
    </row>
    <row r="302" spans="1:32" x14ac:dyDescent="0.25">
      <c r="A302" s="1041"/>
      <c r="B302" s="1041"/>
      <c r="C302" s="1059"/>
      <c r="D302" s="1059"/>
      <c r="E302" s="1059"/>
      <c r="F302" s="1059"/>
      <c r="G302" s="1045"/>
      <c r="H302" s="1059"/>
      <c r="I302" s="1059"/>
      <c r="J302" s="1059"/>
      <c r="K302" s="1059"/>
      <c r="L302" s="1059"/>
      <c r="M302" s="1059"/>
      <c r="N302" s="1059"/>
      <c r="O302" s="1059"/>
      <c r="P302" s="1059"/>
      <c r="Q302" s="1059"/>
      <c r="R302" s="1059"/>
      <c r="S302" s="1059"/>
      <c r="T302" s="1059"/>
      <c r="U302" s="1059"/>
      <c r="V302" s="1059"/>
      <c r="W302" s="1059"/>
      <c r="X302" s="1059"/>
      <c r="Y302" s="1059"/>
      <c r="Z302" s="1059"/>
      <c r="AA302" s="1059"/>
      <c r="AB302" s="1059"/>
      <c r="AC302" s="1059"/>
      <c r="AD302" s="1059"/>
      <c r="AE302" s="1059"/>
      <c r="AF302" s="1059"/>
    </row>
    <row r="303" spans="1:32" x14ac:dyDescent="0.25">
      <c r="A303" s="843" t="s">
        <v>42</v>
      </c>
      <c r="B303" s="843"/>
      <c r="C303" s="843"/>
      <c r="D303" s="843"/>
      <c r="E303" s="843"/>
      <c r="F303" s="843"/>
      <c r="G303" s="865"/>
      <c r="H303" s="843"/>
      <c r="I303" s="843"/>
      <c r="J303" s="843"/>
      <c r="K303" s="843"/>
      <c r="L303" s="843"/>
      <c r="M303" s="843"/>
      <c r="N303" s="843"/>
      <c r="O303" s="843"/>
      <c r="P303" s="843"/>
      <c r="Q303" s="843"/>
      <c r="R303" s="843"/>
      <c r="S303" s="843"/>
      <c r="T303" s="843"/>
      <c r="U303" s="843"/>
      <c r="V303" s="843"/>
      <c r="W303" s="843"/>
      <c r="X303" s="843"/>
      <c r="Y303" s="843"/>
      <c r="Z303" s="843"/>
      <c r="AA303" s="843"/>
      <c r="AB303" s="843"/>
      <c r="AC303" s="843"/>
      <c r="AD303" s="843"/>
      <c r="AE303" s="843"/>
      <c r="AF303" s="843"/>
    </row>
    <row r="304" spans="1:32" x14ac:dyDescent="0.25">
      <c r="A304" s="1041"/>
      <c r="B304" s="1043" t="s">
        <v>43</v>
      </c>
      <c r="C304" s="1059"/>
      <c r="D304" s="1059"/>
      <c r="E304" s="1059"/>
      <c r="F304" s="1059"/>
      <c r="G304" s="1045"/>
      <c r="H304" s="855">
        <v>1.250317888433668E-2</v>
      </c>
      <c r="I304" s="855">
        <v>1.0953540667619459E-2</v>
      </c>
      <c r="J304" s="855">
        <v>9.6716042992811349E-3</v>
      </c>
      <c r="K304" s="855">
        <v>8.5933087792768557E-3</v>
      </c>
      <c r="L304" s="855">
        <v>7.6728916056409378E-3</v>
      </c>
      <c r="M304" s="855">
        <v>6.9087367996100001E-3</v>
      </c>
      <c r="N304" s="855">
        <v>6.2391408025476748E-3</v>
      </c>
      <c r="O304" s="855">
        <v>5.6373223085042666E-3</v>
      </c>
      <c r="P304" s="855">
        <v>5.132858717704439E-3</v>
      </c>
      <c r="Q304" s="855">
        <v>4.6836951376958364E-3</v>
      </c>
      <c r="R304" s="855">
        <v>4.2981419648633256E-3</v>
      </c>
      <c r="S304" s="855">
        <v>3.9574930154211655E-3</v>
      </c>
      <c r="T304" s="855">
        <v>3.6540103357744205E-3</v>
      </c>
      <c r="U304" s="855">
        <v>3.3788195570772575E-3</v>
      </c>
      <c r="V304" s="855">
        <v>3.1337217616115589E-3</v>
      </c>
      <c r="W304" s="855">
        <v>2.9152539443615851E-3</v>
      </c>
      <c r="X304" s="855">
        <v>2.7079186250823376E-3</v>
      </c>
      <c r="Y304" s="855">
        <v>2.5203993366833127E-3</v>
      </c>
      <c r="Z304" s="855">
        <v>2.3513500557226503E-3</v>
      </c>
      <c r="AA304" s="855">
        <v>2.1971517050062097E-3</v>
      </c>
      <c r="AB304" s="855">
        <v>2.0556986108984541E-3</v>
      </c>
      <c r="AC304" s="855">
        <v>1.9247383805123693E-3</v>
      </c>
      <c r="AD304" s="855">
        <v>1.8038467180525738E-3</v>
      </c>
      <c r="AE304" s="855">
        <v>1.6907282017098713E-3</v>
      </c>
      <c r="AF304" s="855">
        <v>1.5858708530402563E-3</v>
      </c>
    </row>
    <row r="305" spans="1:32" x14ac:dyDescent="0.25">
      <c r="A305" s="1041"/>
      <c r="B305" s="1043" t="s">
        <v>44</v>
      </c>
      <c r="C305" s="1059"/>
      <c r="D305" s="1059"/>
      <c r="E305" s="1059"/>
      <c r="F305" s="1059"/>
      <c r="G305" s="1045"/>
      <c r="H305" s="855">
        <v>0.62335480454400438</v>
      </c>
      <c r="I305" s="855">
        <v>0.67374879288033052</v>
      </c>
      <c r="J305" s="855">
        <v>0.71170614469178062</v>
      </c>
      <c r="K305" s="855">
        <v>0.73861781115564551</v>
      </c>
      <c r="L305" s="855">
        <v>0.75655079188252805</v>
      </c>
      <c r="M305" s="855">
        <v>0.76617545091970762</v>
      </c>
      <c r="N305" s="855">
        <v>0.76983336663078539</v>
      </c>
      <c r="O305" s="855">
        <v>0.76838630641952221</v>
      </c>
      <c r="P305" s="855">
        <v>0.76350356530844543</v>
      </c>
      <c r="Q305" s="855">
        <v>0.75546059641903329</v>
      </c>
      <c r="R305" s="855">
        <v>0.74617037416156418</v>
      </c>
      <c r="S305" s="855">
        <v>0.73580840447806317</v>
      </c>
      <c r="T305" s="855">
        <v>0.72485391180410785</v>
      </c>
      <c r="U305" s="855">
        <v>0.71336403073775911</v>
      </c>
      <c r="V305" s="855">
        <v>0.70226965516265294</v>
      </c>
      <c r="W305" s="855">
        <v>0.69178307909778358</v>
      </c>
      <c r="X305" s="855">
        <v>0.68035788042846479</v>
      </c>
      <c r="Y305" s="855">
        <v>0.66936876600463935</v>
      </c>
      <c r="Z305" s="855">
        <v>0.65915244407617812</v>
      </c>
      <c r="AA305" s="855">
        <v>0.64956495910151879</v>
      </c>
      <c r="AB305" s="855">
        <v>0.64022682987308488</v>
      </c>
      <c r="AC305" s="855">
        <v>0.63105973962297923</v>
      </c>
      <c r="AD305" s="855">
        <v>0.62218020592984014</v>
      </c>
      <c r="AE305" s="855">
        <v>0.61336227454641179</v>
      </c>
      <c r="AF305" s="855">
        <v>0.60472283341883304</v>
      </c>
    </row>
    <row r="306" spans="1:32" x14ac:dyDescent="0.25">
      <c r="A306" s="1041"/>
      <c r="B306" s="1043" t="s">
        <v>45</v>
      </c>
      <c r="C306" s="1059"/>
      <c r="D306" s="1059"/>
      <c r="E306" s="1059"/>
      <c r="F306" s="1059"/>
      <c r="G306" s="1045"/>
      <c r="H306" s="855">
        <v>0.35921131943572138</v>
      </c>
      <c r="I306" s="855">
        <v>0.30945654164745384</v>
      </c>
      <c r="J306" s="855">
        <v>0.26859992934870358</v>
      </c>
      <c r="K306" s="855">
        <v>0.23463704028792223</v>
      </c>
      <c r="L306" s="855">
        <v>0.20579627746257001</v>
      </c>
      <c r="M306" s="855">
        <v>0.18220168343034726</v>
      </c>
      <c r="N306" s="855">
        <v>0.16168987810883156</v>
      </c>
      <c r="O306" s="855">
        <v>0.1432678383366357</v>
      </c>
      <c r="P306" s="855">
        <v>0.12792676316803198</v>
      </c>
      <c r="Q306" s="855">
        <v>0.11446250012350755</v>
      </c>
      <c r="R306" s="855">
        <v>0.10304576103671423</v>
      </c>
      <c r="S306" s="855">
        <v>9.3062613754153492E-2</v>
      </c>
      <c r="T306" s="855">
        <v>8.4266966366778939E-2</v>
      </c>
      <c r="U306" s="855">
        <v>7.6394357491209278E-2</v>
      </c>
      <c r="V306" s="855">
        <v>6.9435440232976195E-2</v>
      </c>
      <c r="W306" s="855">
        <v>6.3294976511383591E-2</v>
      </c>
      <c r="X306" s="855">
        <v>5.7571547530416038E-2</v>
      </c>
      <c r="Y306" s="855">
        <v>5.2465198103779566E-2</v>
      </c>
      <c r="Z306" s="855">
        <v>4.7909095592196006E-2</v>
      </c>
      <c r="AA306" s="855">
        <v>4.3794506365309224E-2</v>
      </c>
      <c r="AB306" s="855">
        <v>4.0083321719476865E-2</v>
      </c>
      <c r="AC306" s="855">
        <v>3.6701520218207391E-2</v>
      </c>
      <c r="AD306" s="855">
        <v>3.3631313960429197E-2</v>
      </c>
      <c r="AE306" s="855">
        <v>3.0814596541719832E-2</v>
      </c>
      <c r="AF306" s="855">
        <v>2.8278263107507313E-2</v>
      </c>
    </row>
    <row r="307" spans="1:32" x14ac:dyDescent="0.25">
      <c r="A307" s="1041"/>
      <c r="B307" s="1043" t="s">
        <v>46</v>
      </c>
      <c r="C307" s="1059"/>
      <c r="D307" s="1059"/>
      <c r="E307" s="1059"/>
      <c r="F307" s="1059"/>
      <c r="G307" s="1045"/>
      <c r="H307" s="855">
        <v>4.7483875717601945E-3</v>
      </c>
      <c r="I307" s="855">
        <v>4.068616373140755E-3</v>
      </c>
      <c r="J307" s="855">
        <v>3.5117870836744933E-3</v>
      </c>
      <c r="K307" s="855">
        <v>3.050196340384401E-3</v>
      </c>
      <c r="L307" s="855">
        <v>2.6595835687693963E-3</v>
      </c>
      <c r="M307" s="855">
        <v>2.3407702785802125E-3</v>
      </c>
      <c r="N307" s="855">
        <v>2.0570794461522335E-3</v>
      </c>
      <c r="O307" s="855">
        <v>1.8067382933252161E-3</v>
      </c>
      <c r="P307" s="855">
        <v>1.5992852076254335E-3</v>
      </c>
      <c r="Q307" s="855">
        <v>1.4183118985689621E-3</v>
      </c>
      <c r="R307" s="855">
        <v>1.2655323668677382E-3</v>
      </c>
      <c r="S307" s="855">
        <v>1.1326241419657782E-3</v>
      </c>
      <c r="T307" s="855">
        <v>1.016117785095628E-3</v>
      </c>
      <c r="U307" s="855">
        <v>9.1240618809509217E-4</v>
      </c>
      <c r="V307" s="855">
        <v>8.211509964932862E-4</v>
      </c>
      <c r="W307" s="855">
        <v>7.4096477496608381E-4</v>
      </c>
      <c r="X307" s="855">
        <v>6.6674515591069673E-4</v>
      </c>
      <c r="Y307" s="855">
        <v>6.0289384704148368E-4</v>
      </c>
      <c r="Z307" s="855">
        <v>5.4415136967452427E-4</v>
      </c>
      <c r="AA307" s="855">
        <v>4.9134924457619206E-4</v>
      </c>
      <c r="AB307" s="855">
        <v>4.439785121015557E-4</v>
      </c>
      <c r="AC307" s="855">
        <v>4.0105491817233181E-4</v>
      </c>
      <c r="AD307" s="855">
        <v>3.6229754249512475E-4</v>
      </c>
      <c r="AE307" s="855">
        <v>3.269522243995425E-4</v>
      </c>
      <c r="AF307" s="855">
        <v>2.9530637228031401E-4</v>
      </c>
    </row>
    <row r="308" spans="1:32" x14ac:dyDescent="0.25">
      <c r="A308" s="1041"/>
      <c r="B308" s="1041" t="s">
        <v>29</v>
      </c>
      <c r="C308" s="1059"/>
      <c r="D308" s="1059"/>
      <c r="E308" s="1059"/>
      <c r="F308" s="1059"/>
      <c r="G308" s="1045"/>
      <c r="H308" s="855">
        <v>1.8230956417745919E-4</v>
      </c>
      <c r="I308" s="855">
        <v>1.7725084314554466E-3</v>
      </c>
      <c r="J308" s="855">
        <v>6.5105345765602996E-3</v>
      </c>
      <c r="K308" s="855">
        <v>1.5101643436771022E-2</v>
      </c>
      <c r="L308" s="855">
        <v>2.7320455480491543E-2</v>
      </c>
      <c r="M308" s="855">
        <v>4.2373358571755032E-2</v>
      </c>
      <c r="N308" s="855">
        <v>6.0180535011683224E-2</v>
      </c>
      <c r="O308" s="855">
        <v>8.0901794642012526E-2</v>
      </c>
      <c r="P308" s="855">
        <v>0.10183752759819273</v>
      </c>
      <c r="Q308" s="855">
        <v>0.12397489642119426</v>
      </c>
      <c r="R308" s="855">
        <v>0.14522019046999063</v>
      </c>
      <c r="S308" s="855">
        <v>0.16603886461039635</v>
      </c>
      <c r="T308" s="855">
        <v>0.1862089937082432</v>
      </c>
      <c r="U308" s="855">
        <v>0.20595038602585922</v>
      </c>
      <c r="V308" s="855">
        <v>0.22434003184626594</v>
      </c>
      <c r="W308" s="855">
        <v>0.2412657256715052</v>
      </c>
      <c r="X308" s="855">
        <v>0.25869590826012595</v>
      </c>
      <c r="Y308" s="855">
        <v>0.27504274270785639</v>
      </c>
      <c r="Z308" s="855">
        <v>0.29004295890622867</v>
      </c>
      <c r="AA308" s="855">
        <v>0.30395203358358963</v>
      </c>
      <c r="AB308" s="855">
        <v>0.31719017128443827</v>
      </c>
      <c r="AC308" s="855">
        <v>0.32991294686012856</v>
      </c>
      <c r="AD308" s="855">
        <v>0.34202233584918301</v>
      </c>
      <c r="AE308" s="855">
        <v>0.3538054484857589</v>
      </c>
      <c r="AF308" s="855">
        <v>0.36511772624833916</v>
      </c>
    </row>
    <row r="309" spans="1:32" x14ac:dyDescent="0.25">
      <c r="A309" s="1041"/>
      <c r="B309" s="1041"/>
      <c r="C309" s="1059"/>
      <c r="D309" s="1059"/>
      <c r="E309" s="1059"/>
      <c r="F309" s="1059"/>
      <c r="G309" s="1045"/>
      <c r="H309" s="1059"/>
      <c r="I309" s="1059"/>
      <c r="J309" s="1059"/>
      <c r="K309" s="1059"/>
      <c r="L309" s="1059"/>
      <c r="M309" s="1059"/>
      <c r="N309" s="1059"/>
      <c r="O309" s="1059"/>
      <c r="P309" s="1059"/>
      <c r="Q309" s="1059"/>
      <c r="R309" s="1059"/>
      <c r="S309" s="1059"/>
      <c r="T309" s="1059"/>
      <c r="U309" s="1059"/>
      <c r="V309" s="1059"/>
      <c r="W309" s="1059"/>
      <c r="X309" s="1059"/>
      <c r="Y309" s="1059"/>
      <c r="Z309" s="1059"/>
      <c r="AA309" s="1059"/>
      <c r="AB309" s="1059"/>
      <c r="AC309" s="1059"/>
      <c r="AD309" s="1059"/>
      <c r="AE309" s="1059"/>
      <c r="AF309" s="1059"/>
    </row>
    <row r="310" spans="1:32" x14ac:dyDescent="0.25">
      <c r="A310" s="843" t="s">
        <v>47</v>
      </c>
      <c r="B310" s="843"/>
      <c r="C310" s="843"/>
      <c r="D310" s="843"/>
      <c r="E310" s="843"/>
      <c r="F310" s="843"/>
      <c r="G310" s="865"/>
      <c r="H310" s="843"/>
      <c r="I310" s="843"/>
      <c r="J310" s="843"/>
      <c r="K310" s="843"/>
      <c r="L310" s="843"/>
      <c r="M310" s="843"/>
      <c r="N310" s="843"/>
      <c r="O310" s="843"/>
      <c r="P310" s="843"/>
      <c r="Q310" s="843"/>
      <c r="R310" s="843"/>
      <c r="S310" s="843"/>
      <c r="T310" s="843"/>
      <c r="U310" s="843"/>
      <c r="V310" s="843"/>
      <c r="W310" s="843"/>
      <c r="X310" s="843"/>
      <c r="Y310" s="843"/>
      <c r="Z310" s="843"/>
      <c r="AA310" s="843"/>
      <c r="AB310" s="843"/>
      <c r="AC310" s="843"/>
      <c r="AD310" s="843"/>
      <c r="AE310" s="843"/>
      <c r="AF310" s="843"/>
    </row>
    <row r="311" spans="1:32" x14ac:dyDescent="0.25">
      <c r="A311" s="1041"/>
      <c r="B311" s="1041" t="s">
        <v>48</v>
      </c>
      <c r="C311" s="1059"/>
      <c r="D311" s="1059"/>
      <c r="E311" s="1059"/>
      <c r="F311" s="1059"/>
      <c r="G311" s="1045"/>
      <c r="H311" s="855">
        <v>1.2586458973681098E-2</v>
      </c>
      <c r="I311" s="855">
        <v>5.8211799968819827E-4</v>
      </c>
      <c r="J311" s="855">
        <v>1.4454176794171385E-5</v>
      </c>
      <c r="K311" s="855">
        <v>2.4256200850129808E-7</v>
      </c>
      <c r="L311" s="855">
        <v>2.9746218428900559E-9</v>
      </c>
      <c r="M311" s="855">
        <v>2.8156470151566702E-11</v>
      </c>
      <c r="N311" s="855">
        <v>2.133496890357568E-13</v>
      </c>
      <c r="O311" s="855">
        <v>1.3510744116181372E-15</v>
      </c>
      <c r="P311" s="855">
        <v>7.3237756031947021E-18</v>
      </c>
      <c r="Q311" s="855">
        <v>3.4975666604725697E-20</v>
      </c>
      <c r="R311" s="855">
        <v>1.5233943514788925E-22</v>
      </c>
      <c r="S311" s="855">
        <v>6.0802685501923679E-25</v>
      </c>
      <c r="T311" s="855">
        <v>2.2856101199263271E-27</v>
      </c>
      <c r="U311" s="855">
        <v>8.1820730289224056E-30</v>
      </c>
      <c r="V311" s="855">
        <v>2.8101394747510271E-32</v>
      </c>
      <c r="W311" s="855">
        <v>9.4594019024968246E-35</v>
      </c>
      <c r="X311" s="855">
        <v>3.109652485416915E-37</v>
      </c>
      <c r="Y311" s="855">
        <v>1.0124618443213855E-39</v>
      </c>
      <c r="Z311" s="855">
        <v>3.2883682847791995E-42</v>
      </c>
      <c r="AA311" s="855">
        <v>1.0682114937756754E-44</v>
      </c>
      <c r="AB311" s="855">
        <v>3.471949381994882E-47</v>
      </c>
      <c r="AC311" s="855">
        <v>1.1330504957235691E-49</v>
      </c>
      <c r="AD311" s="855">
        <v>3.7232329048020721E-52</v>
      </c>
      <c r="AE311" s="855">
        <v>1.2315948541795988E-54</v>
      </c>
      <c r="AF311" s="855">
        <v>4.1103634998756845E-57</v>
      </c>
    </row>
    <row r="312" spans="1:32" x14ac:dyDescent="0.25">
      <c r="A312" s="1041"/>
      <c r="B312" s="1043" t="s">
        <v>50</v>
      </c>
      <c r="C312" s="1059"/>
      <c r="D312" s="1059"/>
      <c r="E312" s="1059"/>
      <c r="F312" s="1059"/>
      <c r="G312" s="1045"/>
      <c r="H312" s="855">
        <v>5.8117157455751606E-2</v>
      </c>
      <c r="I312" s="855">
        <v>2.1323957330061132E-2</v>
      </c>
      <c r="J312" s="855">
        <v>4.5616027411935307E-3</v>
      </c>
      <c r="K312" s="855">
        <v>7.0706652087165842E-4</v>
      </c>
      <c r="L312" s="855">
        <v>8.5663977237139771E-5</v>
      </c>
      <c r="M312" s="855">
        <v>8.6344622397366544E-6</v>
      </c>
      <c r="N312" s="855">
        <v>7.5950361291120498E-7</v>
      </c>
      <c r="O312" s="855">
        <v>6.1494082929047204E-8</v>
      </c>
      <c r="P312" s="855">
        <v>4.7265601135127765E-9</v>
      </c>
      <c r="Q312" s="855">
        <v>3.5588790654763505E-10</v>
      </c>
      <c r="R312" s="855">
        <v>2.7121711706239525E-11</v>
      </c>
      <c r="S312" s="855">
        <v>2.0923628309614424E-12</v>
      </c>
      <c r="T312" s="855">
        <v>1.6672751197950484E-13</v>
      </c>
      <c r="U312" s="855">
        <v>1.3758968570006493E-14</v>
      </c>
      <c r="V312" s="855">
        <v>1.1740841030200066E-15</v>
      </c>
      <c r="W312" s="855">
        <v>1.0491252752296004E-16</v>
      </c>
      <c r="X312" s="855">
        <v>9.7024362336042638E-18</v>
      </c>
      <c r="Y312" s="855">
        <v>9.3422777927267485E-19</v>
      </c>
      <c r="Z312" s="855">
        <v>9.3728159107686142E-20</v>
      </c>
      <c r="AA312" s="855">
        <v>9.7737729462961623E-21</v>
      </c>
      <c r="AB312" s="855">
        <v>1.0551802026210263E-21</v>
      </c>
      <c r="AC312" s="855">
        <v>1.1789923868947384E-22</v>
      </c>
      <c r="AD312" s="855">
        <v>1.3628900871410289E-23</v>
      </c>
      <c r="AE312" s="855">
        <v>1.6253398724959233E-24</v>
      </c>
      <c r="AF312" s="855">
        <v>1.999999002105022E-25</v>
      </c>
    </row>
    <row r="313" spans="1:32" x14ac:dyDescent="0.25">
      <c r="A313" s="1041"/>
      <c r="B313" s="1041" t="s">
        <v>51</v>
      </c>
      <c r="C313" s="1059"/>
      <c r="D313" s="1059"/>
      <c r="E313" s="1059"/>
      <c r="F313" s="1059"/>
      <c r="G313" s="1045"/>
      <c r="H313" s="855">
        <v>7.6188936929272005E-2</v>
      </c>
      <c r="I313" s="855">
        <v>9.6837868385986556E-2</v>
      </c>
      <c r="J313" s="855">
        <v>9.701630377255567E-2</v>
      </c>
      <c r="K313" s="855">
        <v>9.1231228994752098E-2</v>
      </c>
      <c r="L313" s="855">
        <v>8.3061501554993991E-2</v>
      </c>
      <c r="M313" s="855">
        <v>7.4261902230306431E-2</v>
      </c>
      <c r="N313" s="855">
        <v>6.5371487187132205E-2</v>
      </c>
      <c r="O313" s="855">
        <v>5.7191537409586886E-2</v>
      </c>
      <c r="P313" s="855">
        <v>4.9200430849568308E-2</v>
      </c>
      <c r="Q313" s="855">
        <v>4.1932654238709594E-2</v>
      </c>
      <c r="R313" s="855">
        <v>3.5756184819369374E-2</v>
      </c>
      <c r="S313" s="855">
        <v>3.0172695463111451E-2</v>
      </c>
      <c r="T313" s="855">
        <v>2.5476580998409302E-2</v>
      </c>
      <c r="U313" s="855">
        <v>2.1470331420902562E-2</v>
      </c>
      <c r="V313" s="855">
        <v>1.7975154767457608E-2</v>
      </c>
      <c r="W313" s="855">
        <v>1.5112103402640652E-2</v>
      </c>
      <c r="X313" s="855">
        <v>1.2636297954445996E-2</v>
      </c>
      <c r="Y313" s="855">
        <v>1.0567840288728928E-2</v>
      </c>
      <c r="Z313" s="855">
        <v>8.8494498631425372E-3</v>
      </c>
      <c r="AA313" s="855">
        <v>7.4120800006240595E-3</v>
      </c>
      <c r="AB313" s="855">
        <v>6.1985288140883905E-3</v>
      </c>
      <c r="AC313" s="855">
        <v>5.1817246180984981E-3</v>
      </c>
      <c r="AD313" s="855">
        <v>4.3340968926993398E-3</v>
      </c>
      <c r="AE313" s="855">
        <v>3.6218459339878266E-3</v>
      </c>
      <c r="AF313" s="855">
        <v>3.0284514309207667E-3</v>
      </c>
    </row>
    <row r="314" spans="1:32" x14ac:dyDescent="0.25">
      <c r="A314" s="1041"/>
      <c r="B314" s="1041" t="s">
        <v>52</v>
      </c>
      <c r="C314" s="1059"/>
      <c r="D314" s="1059"/>
      <c r="E314" s="1059"/>
      <c r="F314" s="1059"/>
      <c r="G314" s="1045"/>
      <c r="H314" s="855">
        <v>0.44207361117751159</v>
      </c>
      <c r="I314" s="855">
        <v>0.58599929084201086</v>
      </c>
      <c r="J314" s="855">
        <v>0.61809895654547775</v>
      </c>
      <c r="K314" s="855">
        <v>0.61861505160671337</v>
      </c>
      <c r="L314" s="855">
        <v>0.60775604216812096</v>
      </c>
      <c r="M314" s="855">
        <v>0.59297641567999559</v>
      </c>
      <c r="N314" s="855">
        <v>0.5750301207348647</v>
      </c>
      <c r="O314" s="855">
        <v>0.55943727473955651</v>
      </c>
      <c r="P314" s="855">
        <v>0.53942107683168228</v>
      </c>
      <c r="Q314" s="855">
        <v>0.51862749964453847</v>
      </c>
      <c r="R314" s="855">
        <v>0.50157608438959345</v>
      </c>
      <c r="S314" s="855">
        <v>0.48191809486578929</v>
      </c>
      <c r="T314" s="855">
        <v>0.4645651920815711</v>
      </c>
      <c r="U314" s="855">
        <v>0.44701666962279796</v>
      </c>
      <c r="V314" s="855">
        <v>0.42853353776507391</v>
      </c>
      <c r="W314" s="855">
        <v>0.41214847338064925</v>
      </c>
      <c r="X314" s="855">
        <v>0.39424240511142922</v>
      </c>
      <c r="Y314" s="855">
        <v>0.37763333676151239</v>
      </c>
      <c r="Z314" s="855">
        <v>0.36165842378992019</v>
      </c>
      <c r="AA314" s="855">
        <v>0.34647280804489677</v>
      </c>
      <c r="AB314" s="855">
        <v>0.33169898698639</v>
      </c>
      <c r="AC314" s="855">
        <v>0.31693814571609241</v>
      </c>
      <c r="AD314" s="855">
        <v>0.30297307940480811</v>
      </c>
      <c r="AE314" s="855">
        <v>0.28958972278881889</v>
      </c>
      <c r="AF314" s="855">
        <v>0.27659127944215794</v>
      </c>
    </row>
    <row r="315" spans="1:32" x14ac:dyDescent="0.25">
      <c r="A315" s="1041"/>
      <c r="B315" s="1043" t="s">
        <v>29</v>
      </c>
      <c r="C315" s="1059"/>
      <c r="D315" s="1059"/>
      <c r="E315" s="1059"/>
      <c r="F315" s="1059"/>
      <c r="G315" s="1045"/>
      <c r="H315" s="855">
        <v>0.41103383546378369</v>
      </c>
      <c r="I315" s="855">
        <v>0.29525676544225327</v>
      </c>
      <c r="J315" s="855">
        <v>0.28030868276397897</v>
      </c>
      <c r="K315" s="855">
        <v>0.28944641031565432</v>
      </c>
      <c r="L315" s="855">
        <v>0.30909678932502593</v>
      </c>
      <c r="M315" s="855">
        <v>0.3327530475993018</v>
      </c>
      <c r="N315" s="855">
        <v>0.35959763257417687</v>
      </c>
      <c r="O315" s="855">
        <v>0.38337112635677223</v>
      </c>
      <c r="P315" s="855">
        <v>0.41137848759218931</v>
      </c>
      <c r="Q315" s="855">
        <v>0.43943984576086398</v>
      </c>
      <c r="R315" s="855">
        <v>0.46266773076391549</v>
      </c>
      <c r="S315" s="855">
        <v>0.48790920966900686</v>
      </c>
      <c r="T315" s="855">
        <v>0.50995822691985282</v>
      </c>
      <c r="U315" s="855">
        <v>0.53151299895628579</v>
      </c>
      <c r="V315" s="855">
        <v>0.55349130746746722</v>
      </c>
      <c r="W315" s="855">
        <v>0.57273942321671001</v>
      </c>
      <c r="X315" s="855">
        <v>0.59312129693412485</v>
      </c>
      <c r="Y315" s="855">
        <v>0.61179882294975863</v>
      </c>
      <c r="Z315" s="855">
        <v>0.6294921263469373</v>
      </c>
      <c r="AA315" s="855">
        <v>0.64611511195447924</v>
      </c>
      <c r="AB315" s="855">
        <v>0.66210248419952156</v>
      </c>
      <c r="AC315" s="855">
        <v>0.67788012966580913</v>
      </c>
      <c r="AD315" s="855">
        <v>0.69269282370249263</v>
      </c>
      <c r="AE315" s="855">
        <v>0.70678843127719326</v>
      </c>
      <c r="AF315" s="855">
        <v>0.72038026912692121</v>
      </c>
    </row>
    <row r="316" spans="1:32" x14ac:dyDescent="0.25">
      <c r="A316" s="1041"/>
      <c r="B316" s="1043" t="s">
        <v>53</v>
      </c>
      <c r="C316" s="1059"/>
      <c r="D316" s="1059"/>
      <c r="E316" s="1059"/>
      <c r="F316" s="1059"/>
      <c r="G316" s="1045"/>
      <c r="H316" s="855">
        <v>0</v>
      </c>
      <c r="I316" s="855">
        <v>0</v>
      </c>
      <c r="J316" s="855">
        <v>0</v>
      </c>
      <c r="K316" s="855">
        <v>0</v>
      </c>
      <c r="L316" s="855">
        <v>0</v>
      </c>
      <c r="M316" s="855">
        <v>0</v>
      </c>
      <c r="N316" s="855">
        <v>0</v>
      </c>
      <c r="O316" s="855">
        <v>0</v>
      </c>
      <c r="P316" s="855">
        <v>0</v>
      </c>
      <c r="Q316" s="855">
        <v>0</v>
      </c>
      <c r="R316" s="855">
        <v>0</v>
      </c>
      <c r="S316" s="855">
        <v>0</v>
      </c>
      <c r="T316" s="855">
        <v>0</v>
      </c>
      <c r="U316" s="855">
        <v>0</v>
      </c>
      <c r="V316" s="855">
        <v>0</v>
      </c>
      <c r="W316" s="855">
        <v>0</v>
      </c>
      <c r="X316" s="855">
        <v>0</v>
      </c>
      <c r="Y316" s="855">
        <v>0</v>
      </c>
      <c r="Z316" s="855">
        <v>0</v>
      </c>
      <c r="AA316" s="855">
        <v>0</v>
      </c>
      <c r="AB316" s="855">
        <v>0</v>
      </c>
      <c r="AC316" s="855">
        <v>0</v>
      </c>
      <c r="AD316" s="855">
        <v>0</v>
      </c>
      <c r="AE316" s="855">
        <v>0</v>
      </c>
      <c r="AF316" s="855">
        <v>0</v>
      </c>
    </row>
    <row r="317" spans="1:32" x14ac:dyDescent="0.25">
      <c r="A317" s="1059"/>
      <c r="B317" s="1059"/>
      <c r="C317" s="1059"/>
      <c r="D317" s="1059"/>
      <c r="E317" s="1059"/>
      <c r="F317" s="1059"/>
      <c r="G317" s="1059"/>
      <c r="H317" s="1059"/>
      <c r="I317" s="1059"/>
      <c r="J317" s="1059"/>
      <c r="K317" s="1059"/>
      <c r="L317" s="1059"/>
      <c r="M317" s="1059"/>
      <c r="N317" s="1059"/>
      <c r="O317" s="1059"/>
      <c r="P317" s="1059"/>
      <c r="Q317" s="1059"/>
      <c r="R317" s="1059"/>
      <c r="S317" s="1059"/>
      <c r="T317" s="1059"/>
      <c r="U317" s="1059"/>
      <c r="V317" s="1059"/>
      <c r="W317" s="1059"/>
      <c r="X317" s="1059"/>
      <c r="Y317" s="1059"/>
      <c r="Z317" s="1059"/>
      <c r="AA317" s="1059"/>
      <c r="AB317" s="1059"/>
      <c r="AC317" s="1059"/>
      <c r="AD317" s="1059"/>
      <c r="AE317" s="1059"/>
      <c r="AF317" s="1059"/>
    </row>
    <row r="318" spans="1:32" ht="15.75" thickBot="1" x14ac:dyDescent="0.3">
      <c r="A318" s="1059" t="s">
        <v>741</v>
      </c>
      <c r="B318" s="1059"/>
      <c r="C318" s="1059"/>
      <c r="D318" s="1059"/>
      <c r="E318" s="1059"/>
      <c r="F318" s="1059"/>
      <c r="G318" s="1059"/>
      <c r="H318" s="1059"/>
      <c r="I318" s="1059"/>
      <c r="J318" s="1059"/>
      <c r="K318" s="1059"/>
      <c r="L318" s="1059"/>
      <c r="M318" s="1059"/>
      <c r="N318" s="1059"/>
      <c r="O318" s="1059"/>
      <c r="P318" s="1059"/>
      <c r="Q318" s="1059"/>
      <c r="R318" s="1059"/>
      <c r="S318" s="1059"/>
      <c r="T318" s="1059"/>
      <c r="U318" s="1059"/>
      <c r="V318" s="1059"/>
      <c r="W318" s="1059"/>
      <c r="X318" s="1059"/>
      <c r="Y318" s="1059"/>
      <c r="Z318" s="1059"/>
      <c r="AA318" s="1059"/>
      <c r="AB318" s="1059"/>
      <c r="AC318" s="1059"/>
      <c r="AD318" s="1059"/>
      <c r="AE318" s="1059"/>
      <c r="AF318" s="1059"/>
    </row>
    <row r="319" spans="1:32" x14ac:dyDescent="0.25">
      <c r="A319" s="1059"/>
      <c r="B319" s="1075" t="s">
        <v>400</v>
      </c>
      <c r="C319" s="1076"/>
      <c r="D319" s="1076"/>
      <c r="E319" s="1076"/>
      <c r="F319" s="1076"/>
      <c r="G319" s="1076"/>
      <c r="H319" s="1077">
        <v>1.1367472268225341E-2</v>
      </c>
      <c r="I319" s="1077">
        <v>2.6636391807092611E-3</v>
      </c>
      <c r="J319" s="1077">
        <v>5.1002669499308599E-4</v>
      </c>
      <c r="K319" s="1077">
        <v>7.547081229419711E-5</v>
      </c>
      <c r="L319" s="1077">
        <v>8.8705709006844671E-6</v>
      </c>
      <c r="M319" s="1077">
        <v>8.7251217267096329E-7</v>
      </c>
      <c r="N319" s="1077">
        <v>7.5111078113251662E-8</v>
      </c>
      <c r="O319" s="1077">
        <v>5.9257426294113334E-9</v>
      </c>
      <c r="P319" s="1077">
        <v>4.4771858269962197E-10</v>
      </c>
      <c r="Q319" s="1077">
        <v>3.3251513363156906E-11</v>
      </c>
      <c r="R319" s="1077">
        <v>2.4895993470024476E-12</v>
      </c>
      <c r="S319" s="1077">
        <v>1.9016918407014087E-13</v>
      </c>
      <c r="T319" s="1077">
        <v>1.4978474743499292E-14</v>
      </c>
      <c r="U319" s="1077">
        <v>1.2226959582093842E-15</v>
      </c>
      <c r="V319" s="1077">
        <v>1.0392936680490396E-16</v>
      </c>
      <c r="W319" s="1077">
        <v>9.2245090397396577E-18</v>
      </c>
      <c r="X319" s="1077">
        <v>8.5119701621371449E-19</v>
      </c>
      <c r="Y319" s="1077">
        <v>8.1911430720746024E-20</v>
      </c>
      <c r="Z319" s="1077">
        <v>8.2099145516090878E-21</v>
      </c>
      <c r="AA319" s="1077">
        <v>8.552006831746315E-22</v>
      </c>
      <c r="AB319" s="1077">
        <v>9.2445584867004425E-23</v>
      </c>
      <c r="AC319" s="1077">
        <v>1.0346908046447023E-23</v>
      </c>
      <c r="AD319" s="1077">
        <v>1.1976768173929667E-24</v>
      </c>
      <c r="AE319" s="1077">
        <v>1.4306004072782202E-25</v>
      </c>
      <c r="AF319" s="1077">
        <v>1.7636645199314177E-26</v>
      </c>
    </row>
    <row r="320" spans="1:32" x14ac:dyDescent="0.25">
      <c r="A320" s="1059"/>
      <c r="B320" s="1078" t="s">
        <v>402</v>
      </c>
      <c r="C320" s="584"/>
      <c r="D320" s="584"/>
      <c r="E320" s="584"/>
      <c r="F320" s="584"/>
      <c r="G320" s="584"/>
      <c r="H320" s="1074">
        <v>1.2249382300740937E-2</v>
      </c>
      <c r="I320" s="1074">
        <v>1.1774867771909198E-2</v>
      </c>
      <c r="J320" s="1074">
        <v>1.0813000288318267E-2</v>
      </c>
      <c r="K320" s="1074">
        <v>9.7344924948439167E-3</v>
      </c>
      <c r="L320" s="1074">
        <v>8.6007838807402297E-3</v>
      </c>
      <c r="M320" s="1074">
        <v>7.5041387144408637E-3</v>
      </c>
      <c r="N320" s="1074">
        <v>6.4649086821130259E-3</v>
      </c>
      <c r="O320" s="1074">
        <v>5.5111371319194451E-3</v>
      </c>
      <c r="P320" s="1074">
        <v>4.6604605897366145E-3</v>
      </c>
      <c r="Q320" s="1074">
        <v>3.9178746649752537E-3</v>
      </c>
      <c r="R320" s="1074">
        <v>3.2821886517074624E-3</v>
      </c>
      <c r="S320" s="1074">
        <v>2.7423144745782457E-3</v>
      </c>
      <c r="T320" s="1074">
        <v>2.2887663859716867E-3</v>
      </c>
      <c r="U320" s="1074">
        <v>1.9079691414500485E-3</v>
      </c>
      <c r="V320" s="1074">
        <v>1.5911521571552924E-3</v>
      </c>
      <c r="W320" s="1074">
        <v>1.3287425032880954E-3</v>
      </c>
      <c r="X320" s="1074">
        <v>1.1085853960635886E-3</v>
      </c>
      <c r="Y320" s="1074">
        <v>9.2656944792633494E-4</v>
      </c>
      <c r="Z320" s="1074">
        <v>7.7514834279073202E-4</v>
      </c>
      <c r="AA320" s="1074">
        <v>6.4855362561710181E-4</v>
      </c>
      <c r="AB320" s="1074">
        <v>5.4306043660599858E-4</v>
      </c>
      <c r="AC320" s="1074">
        <v>4.5475126677185882E-4</v>
      </c>
      <c r="AD320" s="1074">
        <v>3.8087057949110718E-4</v>
      </c>
      <c r="AE320" s="1074">
        <v>3.1878958708526646E-4</v>
      </c>
      <c r="AF320" s="1074">
        <v>2.6705875020081724E-4</v>
      </c>
    </row>
    <row r="321" spans="1:34" x14ac:dyDescent="0.25">
      <c r="A321" s="1059"/>
      <c r="B321" s="1078" t="s">
        <v>716</v>
      </c>
      <c r="C321" s="584"/>
      <c r="D321" s="584"/>
      <c r="E321" s="584"/>
      <c r="F321" s="584"/>
      <c r="G321" s="584"/>
      <c r="H321" s="1074">
        <v>7.1074999686758109E-2</v>
      </c>
      <c r="I321" s="1074">
        <v>7.125377994272071E-2</v>
      </c>
      <c r="J321" s="1074">
        <v>6.8890525978027667E-2</v>
      </c>
      <c r="K321" s="1074">
        <v>6.6007042143534325E-2</v>
      </c>
      <c r="L321" s="1074">
        <v>6.2931421573702281E-2</v>
      </c>
      <c r="M321" s="1074">
        <v>5.992005515633924E-2</v>
      </c>
      <c r="N321" s="1074">
        <v>5.6867563826008355E-2</v>
      </c>
      <c r="O321" s="1074">
        <v>5.3908946628180195E-2</v>
      </c>
      <c r="P321" s="1074">
        <v>5.1096110876220083E-2</v>
      </c>
      <c r="Q321" s="1074">
        <v>4.8456687951345105E-2</v>
      </c>
      <c r="R321" s="1074">
        <v>4.6041470600621623E-2</v>
      </c>
      <c r="S321" s="1074">
        <v>4.3800228876712491E-2</v>
      </c>
      <c r="T321" s="1074">
        <v>4.1735631472495024E-2</v>
      </c>
      <c r="U321" s="1074">
        <v>3.9724305816897176E-2</v>
      </c>
      <c r="V321" s="1074">
        <v>3.7933585098401258E-2</v>
      </c>
      <c r="W321" s="1074">
        <v>3.6238449384251678E-2</v>
      </c>
      <c r="X321" s="1074">
        <v>3.4586979065473991E-2</v>
      </c>
      <c r="Y321" s="1074">
        <v>3.3110219572004877E-2</v>
      </c>
      <c r="Z321" s="1074">
        <v>3.1678684233769246E-2</v>
      </c>
      <c r="AA321" s="1074">
        <v>3.0316212968065217E-2</v>
      </c>
      <c r="AB321" s="1074">
        <v>2.9060540347119166E-2</v>
      </c>
      <c r="AC321" s="1074">
        <v>2.7814682152214928E-2</v>
      </c>
      <c r="AD321" s="1074">
        <v>2.6624585278075239E-2</v>
      </c>
      <c r="AE321" s="1074">
        <v>2.5489264268714378E-2</v>
      </c>
      <c r="AF321" s="1074">
        <v>2.4390723473418734E-2</v>
      </c>
    </row>
    <row r="322" spans="1:34" x14ac:dyDescent="0.25">
      <c r="A322" s="1059"/>
      <c r="B322" s="1078" t="s">
        <v>42</v>
      </c>
      <c r="C322" s="584"/>
      <c r="D322" s="584"/>
      <c r="E322" s="584"/>
      <c r="F322" s="584"/>
      <c r="G322" s="584"/>
      <c r="H322" s="1074">
        <v>0.83907061067854016</v>
      </c>
      <c r="I322" s="1074">
        <v>0.87684938902033582</v>
      </c>
      <c r="J322" s="1074">
        <v>0.88275960396376496</v>
      </c>
      <c r="K322" s="1074">
        <v>0.87980840254430026</v>
      </c>
      <c r="L322" s="1074">
        <v>0.87196132499526546</v>
      </c>
      <c r="M322" s="1074">
        <v>0.86085881111283746</v>
      </c>
      <c r="N322" s="1074">
        <v>0.84687608431488826</v>
      </c>
      <c r="O322" s="1074">
        <v>0.83053132156969056</v>
      </c>
      <c r="P322" s="1074">
        <v>0.81308494902386408</v>
      </c>
      <c r="Q322" s="1074">
        <v>0.79417584739636793</v>
      </c>
      <c r="R322" s="1074">
        <v>0.77631650018308274</v>
      </c>
      <c r="S322" s="1074">
        <v>0.75816466915705794</v>
      </c>
      <c r="T322" s="1074">
        <v>0.74068160827155383</v>
      </c>
      <c r="U322" s="1074">
        <v>0.72348609399195618</v>
      </c>
      <c r="V322" s="1074">
        <v>0.70699891641240409</v>
      </c>
      <c r="W322" s="1074">
        <v>0.69202202043896976</v>
      </c>
      <c r="X322" s="1074">
        <v>0.67626930915500605</v>
      </c>
      <c r="Y322" s="1074">
        <v>0.6613942938760714</v>
      </c>
      <c r="Z322" s="1074">
        <v>0.64776989586246048</v>
      </c>
      <c r="AA322" s="1074">
        <v>0.63514408623908281</v>
      </c>
      <c r="AB322" s="1074">
        <v>0.62298805248079658</v>
      </c>
      <c r="AC322" s="1074">
        <v>0.61127981062481074</v>
      </c>
      <c r="AD322" s="1074">
        <v>0.60015608322135916</v>
      </c>
      <c r="AE322" s="1074">
        <v>0.58931745127073121</v>
      </c>
      <c r="AF322" s="1074">
        <v>0.57889627879012973</v>
      </c>
    </row>
    <row r="323" spans="1:34" ht="15.75" thickBot="1" x14ac:dyDescent="0.3">
      <c r="A323" s="1059"/>
      <c r="B323" s="1079" t="s">
        <v>29</v>
      </c>
      <c r="C323" s="1080"/>
      <c r="D323" s="1080"/>
      <c r="E323" s="1080"/>
      <c r="F323" s="1080"/>
      <c r="G323" s="1080"/>
      <c r="H323" s="1081">
        <v>6.6237535065735473E-2</v>
      </c>
      <c r="I323" s="1081">
        <v>3.7458324084324986E-2</v>
      </c>
      <c r="J323" s="1081">
        <v>3.7026843074896072E-2</v>
      </c>
      <c r="K323" s="1081">
        <v>4.4374592005027351E-2</v>
      </c>
      <c r="L323" s="1081">
        <v>5.6497598979391349E-2</v>
      </c>
      <c r="M323" s="1081">
        <v>7.1716122504209723E-2</v>
      </c>
      <c r="N323" s="1081">
        <v>8.9791368065912314E-2</v>
      </c>
      <c r="O323" s="1081">
        <v>0.11004858874446738</v>
      </c>
      <c r="P323" s="1081">
        <v>0.13115847906246059</v>
      </c>
      <c r="Q323" s="1081">
        <v>0.15344958995406011</v>
      </c>
      <c r="R323" s="1081">
        <v>0.17435984056209861</v>
      </c>
      <c r="S323" s="1081">
        <v>0.19529278749146137</v>
      </c>
      <c r="T323" s="1081">
        <v>0.21529399386996451</v>
      </c>
      <c r="U323" s="1081">
        <v>0.23488163104969539</v>
      </c>
      <c r="V323" s="1081">
        <v>0.25347634633203914</v>
      </c>
      <c r="W323" s="1081">
        <v>0.27041078767349064</v>
      </c>
      <c r="X323" s="1081">
        <v>0.2880351263834563</v>
      </c>
      <c r="Y323" s="1081">
        <v>0.30456891710399747</v>
      </c>
      <c r="Z323" s="1081">
        <v>0.31977627156097954</v>
      </c>
      <c r="AA323" s="1081">
        <v>0.33389114716723489</v>
      </c>
      <c r="AB323" s="1081">
        <v>0.34740834673547832</v>
      </c>
      <c r="AC323" s="1081">
        <v>0.36045075595620241</v>
      </c>
      <c r="AD323" s="1081">
        <v>0.37283846092107459</v>
      </c>
      <c r="AE323" s="1081">
        <v>0.38487449487346898</v>
      </c>
      <c r="AF323" s="1081">
        <v>0.39644593898625069</v>
      </c>
    </row>
    <row r="324" spans="1:34" x14ac:dyDescent="0.25">
      <c r="A324" s="1059"/>
      <c r="B324" s="1059"/>
      <c r="C324" s="1059"/>
      <c r="D324" s="1059"/>
      <c r="E324" s="1059"/>
      <c r="F324" s="1059"/>
      <c r="G324" s="1059"/>
      <c r="H324" s="1031">
        <v>1</v>
      </c>
      <c r="I324" s="1031">
        <v>1</v>
      </c>
      <c r="J324" s="1031">
        <v>1</v>
      </c>
      <c r="K324" s="1031">
        <v>1</v>
      </c>
      <c r="L324" s="1031">
        <v>1</v>
      </c>
      <c r="M324" s="1031">
        <v>1</v>
      </c>
      <c r="N324" s="1031">
        <v>1</v>
      </c>
      <c r="O324" s="1031">
        <v>1.0000000000000002</v>
      </c>
      <c r="P324" s="1031">
        <v>0.99999999999999989</v>
      </c>
      <c r="Q324" s="1031">
        <v>0.99999999999999989</v>
      </c>
      <c r="R324" s="1031">
        <v>1</v>
      </c>
      <c r="S324" s="1031">
        <v>1.0000000000000002</v>
      </c>
      <c r="T324" s="1031">
        <v>1</v>
      </c>
      <c r="U324" s="1031">
        <v>1</v>
      </c>
      <c r="V324" s="1031">
        <v>0.99999999999999978</v>
      </c>
      <c r="W324" s="1031">
        <v>1.0000000000000002</v>
      </c>
      <c r="X324" s="1031">
        <v>0.99999999999999989</v>
      </c>
      <c r="Y324" s="1031">
        <v>1</v>
      </c>
      <c r="Z324" s="1031">
        <v>1</v>
      </c>
      <c r="AA324" s="1031">
        <v>1</v>
      </c>
      <c r="AB324" s="1031">
        <v>1</v>
      </c>
      <c r="AC324" s="1031">
        <v>1</v>
      </c>
      <c r="AD324" s="1031">
        <v>1</v>
      </c>
      <c r="AE324" s="1031">
        <v>0.99999999999999978</v>
      </c>
      <c r="AF324" s="1031">
        <v>1</v>
      </c>
    </row>
    <row r="326" spans="1:34" s="1059" customFormat="1" x14ac:dyDescent="0.25">
      <c r="A326" s="1082" t="s">
        <v>746</v>
      </c>
      <c r="B326" s="1082"/>
      <c r="C326" s="1082"/>
      <c r="D326" s="1082"/>
      <c r="E326" s="1082"/>
      <c r="F326" s="1082"/>
      <c r="G326" s="1082"/>
      <c r="H326" s="1082"/>
      <c r="I326" s="1082"/>
      <c r="J326" s="1082"/>
      <c r="K326" s="1082"/>
      <c r="L326" s="1082"/>
      <c r="M326" s="1082"/>
      <c r="N326" s="1082"/>
      <c r="O326" s="1082"/>
      <c r="P326" s="1082"/>
      <c r="Q326" s="1082"/>
      <c r="R326" s="1082"/>
      <c r="S326" s="1082"/>
      <c r="T326" s="1082"/>
      <c r="U326" s="1082"/>
      <c r="V326" s="1082"/>
      <c r="W326" s="1082"/>
      <c r="X326" s="1082"/>
      <c r="Y326" s="1082"/>
      <c r="Z326" s="1082"/>
      <c r="AA326" s="1082"/>
      <c r="AB326" s="1082"/>
      <c r="AC326" s="1082"/>
      <c r="AD326" s="1082"/>
      <c r="AE326" s="1082"/>
      <c r="AF326" s="1082"/>
    </row>
    <row r="327" spans="1:34" x14ac:dyDescent="0.25">
      <c r="A327" s="1047" t="s">
        <v>497</v>
      </c>
      <c r="B327" s="1048"/>
      <c r="C327" s="1047"/>
      <c r="D327" s="1048"/>
      <c r="E327" s="1047"/>
      <c r="F327" s="1046"/>
      <c r="G327" s="1046"/>
      <c r="H327" s="862"/>
      <c r="I327" s="862"/>
      <c r="J327" s="862"/>
      <c r="K327" s="862"/>
      <c r="L327" s="862"/>
      <c r="M327" s="862"/>
      <c r="N327" s="862"/>
      <c r="O327" s="862"/>
      <c r="P327" s="862"/>
      <c r="Q327" s="862"/>
      <c r="R327" s="862"/>
      <c r="S327" s="862"/>
      <c r="T327" s="862"/>
      <c r="U327" s="862"/>
      <c r="V327" s="862"/>
      <c r="W327" s="862"/>
      <c r="X327" s="862"/>
      <c r="Y327" s="862"/>
      <c r="Z327" s="862"/>
      <c r="AA327" s="862"/>
      <c r="AB327" s="862"/>
      <c r="AC327" s="862"/>
      <c r="AD327" s="862"/>
      <c r="AE327" s="862"/>
      <c r="AF327" s="862"/>
      <c r="AG327" s="862"/>
      <c r="AH327" s="862"/>
    </row>
    <row r="328" spans="1:34" x14ac:dyDescent="0.25">
      <c r="A328" s="1042" t="s">
        <v>12</v>
      </c>
      <c r="B328" s="1041"/>
      <c r="C328" s="1059"/>
      <c r="D328" s="1059"/>
      <c r="E328" s="1059"/>
      <c r="F328" s="1059"/>
      <c r="G328" s="1059"/>
      <c r="H328" s="1059"/>
      <c r="I328" s="1059"/>
      <c r="J328" s="1059"/>
      <c r="K328" s="1059"/>
      <c r="L328" s="1059"/>
      <c r="M328" s="1059"/>
      <c r="N328" s="1059"/>
      <c r="O328" s="1059"/>
      <c r="P328" s="1059"/>
      <c r="Q328" s="1059"/>
      <c r="R328" s="1059"/>
      <c r="S328" s="1059"/>
      <c r="T328" s="1059"/>
      <c r="U328" s="1059"/>
      <c r="V328" s="1059"/>
      <c r="W328" s="1059"/>
      <c r="X328" s="1059"/>
      <c r="Y328" s="1059"/>
      <c r="Z328" s="1059"/>
      <c r="AA328" s="1059"/>
      <c r="AB328" s="1059"/>
      <c r="AC328" s="1059"/>
      <c r="AD328" s="1059"/>
      <c r="AE328" s="1059"/>
      <c r="AF328" s="1059"/>
    </row>
    <row r="329" spans="1:34" x14ac:dyDescent="0.25">
      <c r="A329" s="1041"/>
      <c r="B329" s="1041" t="s">
        <v>20</v>
      </c>
      <c r="C329" s="1059"/>
      <c r="D329" s="1059"/>
      <c r="E329" s="1059"/>
      <c r="F329" s="1059"/>
      <c r="G329" s="208">
        <v>2010</v>
      </c>
      <c r="H329" s="208">
        <v>2011</v>
      </c>
      <c r="I329" s="208">
        <v>2012</v>
      </c>
      <c r="J329" s="208">
        <v>2013</v>
      </c>
      <c r="K329" s="208">
        <v>2014</v>
      </c>
      <c r="L329" s="208">
        <v>2015</v>
      </c>
      <c r="M329" s="208">
        <v>2016</v>
      </c>
      <c r="N329" s="208">
        <v>2017</v>
      </c>
      <c r="O329" s="208">
        <v>2018</v>
      </c>
      <c r="P329" s="208">
        <v>2019</v>
      </c>
      <c r="Q329" s="208">
        <v>2020</v>
      </c>
      <c r="R329" s="208">
        <v>2021</v>
      </c>
      <c r="S329" s="208">
        <v>2022</v>
      </c>
      <c r="T329" s="208">
        <v>2023</v>
      </c>
      <c r="U329" s="208">
        <v>2024</v>
      </c>
      <c r="V329" s="208">
        <v>2025</v>
      </c>
      <c r="W329" s="208">
        <v>2026</v>
      </c>
      <c r="X329" s="208">
        <v>2027</v>
      </c>
      <c r="Y329" s="208">
        <v>2028</v>
      </c>
      <c r="Z329" s="208">
        <v>2029</v>
      </c>
      <c r="AA329" s="208">
        <v>2030</v>
      </c>
      <c r="AB329" s="208">
        <v>2031</v>
      </c>
      <c r="AC329" s="208">
        <v>2032</v>
      </c>
      <c r="AD329" s="208">
        <v>2033</v>
      </c>
      <c r="AE329" s="208">
        <v>2034</v>
      </c>
      <c r="AF329" s="208">
        <v>2035</v>
      </c>
    </row>
    <row r="330" spans="1:34" x14ac:dyDescent="0.25">
      <c r="A330" s="843" t="s">
        <v>21</v>
      </c>
      <c r="B330" s="843"/>
      <c r="C330" s="843"/>
      <c r="D330" s="843"/>
      <c r="E330" s="843"/>
      <c r="F330" s="843"/>
      <c r="G330" s="843"/>
      <c r="H330" s="843"/>
      <c r="I330" s="843"/>
      <c r="J330" s="843"/>
      <c r="K330" s="843"/>
      <c r="L330" s="843"/>
      <c r="M330" s="843"/>
      <c r="N330" s="843"/>
      <c r="O330" s="843"/>
      <c r="P330" s="843"/>
      <c r="Q330" s="843"/>
      <c r="R330" s="843"/>
      <c r="S330" s="843"/>
      <c r="T330" s="843"/>
      <c r="U330" s="843"/>
      <c r="V330" s="843"/>
      <c r="W330" s="843"/>
      <c r="X330" s="843"/>
      <c r="Y330" s="843"/>
      <c r="Z330" s="843"/>
      <c r="AA330" s="843"/>
      <c r="AB330" s="843"/>
      <c r="AC330" s="843"/>
      <c r="AD330" s="843"/>
      <c r="AE330" s="843"/>
      <c r="AF330" s="843"/>
    </row>
    <row r="331" spans="1:34" x14ac:dyDescent="0.25">
      <c r="A331" s="1041"/>
      <c r="B331" s="1041" t="s">
        <v>22</v>
      </c>
      <c r="C331" s="1059"/>
      <c r="D331" s="1059"/>
      <c r="E331" s="1059"/>
      <c r="F331" s="1059"/>
      <c r="G331" s="438"/>
      <c r="H331" s="890">
        <f>SUM(H6,H87,H168,H249)</f>
        <v>28.151765634254673</v>
      </c>
      <c r="I331" s="890">
        <f t="shared" ref="I331:AF334" si="5">SUM(I6,I87,I168,I249)</f>
        <v>24.0946764417921</v>
      </c>
      <c r="J331" s="890">
        <f t="shared" si="5"/>
        <v>16.057712742733763</v>
      </c>
      <c r="K331" s="890">
        <f t="shared" si="5"/>
        <v>11.069118339265779</v>
      </c>
      <c r="L331" s="890">
        <f t="shared" si="5"/>
        <v>7.0646236310105621</v>
      </c>
      <c r="M331" s="890">
        <f t="shared" si="5"/>
        <v>2.5659556589726766</v>
      </c>
      <c r="N331" s="890">
        <f t="shared" si="5"/>
        <v>2.1383892418632189</v>
      </c>
      <c r="O331" s="890">
        <f t="shared" si="5"/>
        <v>1.8098404563832484</v>
      </c>
      <c r="P331" s="890">
        <f t="shared" si="5"/>
        <v>1.5436312971565627</v>
      </c>
      <c r="Q331" s="890">
        <f t="shared" si="5"/>
        <v>1.2990627626843552</v>
      </c>
      <c r="R331" s="890">
        <f t="shared" si="5"/>
        <v>1.0718438786526492</v>
      </c>
      <c r="S331" s="890">
        <f t="shared" si="5"/>
        <v>0.87501824147364693</v>
      </c>
      <c r="T331" s="890">
        <f t="shared" si="5"/>
        <v>0.70732411042478938</v>
      </c>
      <c r="U331" s="890">
        <f t="shared" si="5"/>
        <v>0.56716554902336858</v>
      </c>
      <c r="V331" s="890">
        <f t="shared" si="5"/>
        <v>0.45685614875528241</v>
      </c>
      <c r="W331" s="890">
        <f t="shared" si="5"/>
        <v>0.36848657219202269</v>
      </c>
      <c r="X331" s="890">
        <f t="shared" si="5"/>
        <v>0.29843540842956706</v>
      </c>
      <c r="Y331" s="890">
        <f t="shared" si="5"/>
        <v>0.24338796831731213</v>
      </c>
      <c r="Z331" s="890">
        <f t="shared" si="5"/>
        <v>0.20109659998247223</v>
      </c>
      <c r="AA331" s="890">
        <f t="shared" si="5"/>
        <v>0.1689250803334135</v>
      </c>
      <c r="AB331" s="890">
        <f t="shared" si="5"/>
        <v>0.14313260145478901</v>
      </c>
      <c r="AC331" s="890">
        <f t="shared" si="5"/>
        <v>0.12262146870772744</v>
      </c>
      <c r="AD331" s="890">
        <f t="shared" si="5"/>
        <v>0.1058698139161796</v>
      </c>
      <c r="AE331" s="890">
        <f t="shared" si="5"/>
        <v>9.1878728952889649E-2</v>
      </c>
      <c r="AF331" s="890">
        <f t="shared" si="5"/>
        <v>7.8831466877165177E-2</v>
      </c>
    </row>
    <row r="332" spans="1:34" x14ac:dyDescent="0.25">
      <c r="A332" s="1041"/>
      <c r="B332" s="1041" t="s">
        <v>26</v>
      </c>
      <c r="C332" s="1059"/>
      <c r="D332" s="1059"/>
      <c r="E332" s="1059"/>
      <c r="F332" s="1059"/>
      <c r="G332" s="438"/>
      <c r="H332" s="890">
        <f>SUM(H7,H88,H169,H250)</f>
        <v>0.49931347347654631</v>
      </c>
      <c r="I332" s="890">
        <f t="shared" ref="I332:W332" si="6">SUM(I7,I88,I169,I250)</f>
        <v>2.0967525923651769</v>
      </c>
      <c r="J332" s="890">
        <f t="shared" si="6"/>
        <v>6.2571266066764162</v>
      </c>
      <c r="K332" s="890">
        <f t="shared" si="6"/>
        <v>8.7626993217963154</v>
      </c>
      <c r="L332" s="890">
        <f t="shared" si="6"/>
        <v>9.3426109932072219</v>
      </c>
      <c r="M332" s="890">
        <f t="shared" si="6"/>
        <v>9.7263407315953021</v>
      </c>
      <c r="N332" s="890">
        <f t="shared" si="6"/>
        <v>8.4263777123823314</v>
      </c>
      <c r="O332" s="890">
        <f t="shared" si="6"/>
        <v>7.3906142134736017</v>
      </c>
      <c r="P332" s="890">
        <f t="shared" si="6"/>
        <v>6.5074756089644685</v>
      </c>
      <c r="Q332" s="890">
        <f t="shared" si="6"/>
        <v>5.6648219796773223</v>
      </c>
      <c r="R332" s="890">
        <f t="shared" si="6"/>
        <v>4.8502577120740886</v>
      </c>
      <c r="S332" s="890">
        <f t="shared" si="6"/>
        <v>4.1173601749874438</v>
      </c>
      <c r="T332" s="890">
        <f t="shared" si="6"/>
        <v>3.4698400083045349</v>
      </c>
      <c r="U332" s="890">
        <f t="shared" si="6"/>
        <v>2.9100645879224754</v>
      </c>
      <c r="V332" s="890">
        <f t="shared" si="6"/>
        <v>2.4554882396841968</v>
      </c>
      <c r="W332" s="890">
        <f t="shared" si="6"/>
        <v>2.0807113702929394</v>
      </c>
      <c r="X332" s="890">
        <f t="shared" si="5"/>
        <v>1.7752561157901054</v>
      </c>
      <c r="Y332" s="890">
        <f t="shared" si="5"/>
        <v>1.5287872647038476</v>
      </c>
      <c r="Z332" s="890">
        <f t="shared" si="5"/>
        <v>1.335151663132387</v>
      </c>
      <c r="AA332" s="890">
        <f t="shared" si="5"/>
        <v>1.1854535207503683</v>
      </c>
      <c r="AB332" s="890">
        <f t="shared" si="5"/>
        <v>1.0637622645797855</v>
      </c>
      <c r="AC332" s="890">
        <f t="shared" si="5"/>
        <v>0.9637642680103693</v>
      </c>
      <c r="AD332" s="890">
        <f t="shared" si="5"/>
        <v>0.88001658658062099</v>
      </c>
      <c r="AE332" s="890">
        <f t="shared" si="5"/>
        <v>0.80792712319472593</v>
      </c>
      <c r="AF332" s="890">
        <f t="shared" si="5"/>
        <v>0.73661765732626872</v>
      </c>
    </row>
    <row r="333" spans="1:34" x14ac:dyDescent="0.25">
      <c r="A333" s="1041"/>
      <c r="B333" s="1041" t="s">
        <v>27</v>
      </c>
      <c r="C333" s="1059"/>
      <c r="D333" s="1059"/>
      <c r="E333" s="1059"/>
      <c r="F333" s="1059"/>
      <c r="G333" s="438"/>
      <c r="H333" s="890">
        <f>SUM(H8,H89,H170,H251)</f>
        <v>15.463801837081936</v>
      </c>
      <c r="I333" s="890">
        <f t="shared" si="5"/>
        <v>14.955109281224056</v>
      </c>
      <c r="J333" s="890">
        <f t="shared" si="5"/>
        <v>16.986131245478255</v>
      </c>
      <c r="K333" s="890">
        <f t="shared" si="5"/>
        <v>16.766614405189539</v>
      </c>
      <c r="L333" s="890">
        <f t="shared" si="5"/>
        <v>17.716488100651706</v>
      </c>
      <c r="M333" s="890">
        <f t="shared" si="5"/>
        <v>18.767473489483908</v>
      </c>
      <c r="N333" s="890">
        <f t="shared" si="5"/>
        <v>16.786886137242977</v>
      </c>
      <c r="O333" s="890">
        <f t="shared" si="5"/>
        <v>15.096748434551424</v>
      </c>
      <c r="P333" s="890">
        <f t="shared" si="5"/>
        <v>13.453311320629121</v>
      </c>
      <c r="Q333" s="890">
        <f t="shared" si="5"/>
        <v>11.911541969036781</v>
      </c>
      <c r="R333" s="890">
        <f t="shared" si="5"/>
        <v>10.451188031361701</v>
      </c>
      <c r="S333" s="890">
        <f t="shared" si="5"/>
        <v>9.0908052960754482</v>
      </c>
      <c r="T333" s="890">
        <f t="shared" si="5"/>
        <v>7.8742536696496028</v>
      </c>
      <c r="U333" s="890">
        <f t="shared" si="5"/>
        <v>6.8183515836617046</v>
      </c>
      <c r="V333" s="890">
        <f t="shared" si="5"/>
        <v>5.9333265491842626</v>
      </c>
      <c r="W333" s="890">
        <f t="shared" si="5"/>
        <v>5.2105017514876186</v>
      </c>
      <c r="X333" s="890">
        <f t="shared" si="5"/>
        <v>4.6265767187408793</v>
      </c>
      <c r="Y333" s="890">
        <f t="shared" si="5"/>
        <v>4.1629770860873139</v>
      </c>
      <c r="Z333" s="890">
        <f t="shared" si="5"/>
        <v>3.7985806449952082</v>
      </c>
      <c r="AA333" s="890">
        <f t="shared" si="5"/>
        <v>3.5170937038278862</v>
      </c>
      <c r="AB333" s="890">
        <f t="shared" si="5"/>
        <v>3.3028734546523131</v>
      </c>
      <c r="AC333" s="890">
        <f t="shared" si="5"/>
        <v>3.1290393657266438</v>
      </c>
      <c r="AD333" s="890">
        <f t="shared" si="5"/>
        <v>2.9888288131651422</v>
      </c>
      <c r="AE333" s="890">
        <f t="shared" si="5"/>
        <v>2.8749529952398651</v>
      </c>
      <c r="AF333" s="890">
        <f t="shared" si="5"/>
        <v>2.7766364781484332</v>
      </c>
    </row>
    <row r="334" spans="1:34" x14ac:dyDescent="0.25">
      <c r="A334" s="1041"/>
      <c r="B334" s="1041" t="s">
        <v>29</v>
      </c>
      <c r="C334" s="1059"/>
      <c r="D334" s="1059"/>
      <c r="E334" s="1059"/>
      <c r="F334" s="1059"/>
      <c r="G334" s="438"/>
      <c r="H334" s="890">
        <f>SUM(H9,H90,H171,H252)</f>
        <v>0.11952249819452519</v>
      </c>
      <c r="I334" s="890">
        <f t="shared" si="5"/>
        <v>0.30316168942765381</v>
      </c>
      <c r="J334" s="890">
        <f t="shared" si="5"/>
        <v>0.50505547879995849</v>
      </c>
      <c r="K334" s="890">
        <f t="shared" si="5"/>
        <v>0.86244705476390049</v>
      </c>
      <c r="L334" s="890">
        <f t="shared" si="5"/>
        <v>1.4359693276159842</v>
      </c>
      <c r="M334" s="890">
        <f t="shared" si="5"/>
        <v>2.3006165082875571</v>
      </c>
      <c r="N334" s="890">
        <f t="shared" si="5"/>
        <v>3.3275108297242846</v>
      </c>
      <c r="O334" s="890">
        <f t="shared" si="5"/>
        <v>4.5815246133622187</v>
      </c>
      <c r="P334" s="890">
        <f t="shared" si="5"/>
        <v>5.9561702796255709</v>
      </c>
      <c r="Q334" s="890">
        <f t="shared" si="5"/>
        <v>7.3777268810028049</v>
      </c>
      <c r="R334" s="890">
        <f t="shared" si="5"/>
        <v>8.7181210548217081</v>
      </c>
      <c r="S334" s="890">
        <f t="shared" si="5"/>
        <v>9.912919912969258</v>
      </c>
      <c r="T334" s="890">
        <f t="shared" si="5"/>
        <v>10.912655240032837</v>
      </c>
      <c r="U334" s="890">
        <f t="shared" si="5"/>
        <v>11.700084885366532</v>
      </c>
      <c r="V334" s="890">
        <f t="shared" si="5"/>
        <v>12.288242226444764</v>
      </c>
      <c r="W334" s="890">
        <f t="shared" si="5"/>
        <v>12.709622757724865</v>
      </c>
      <c r="X334" s="890">
        <f t="shared" si="5"/>
        <v>12.99135218696113</v>
      </c>
      <c r="Y334" s="890">
        <f t="shared" si="5"/>
        <v>13.177357217019058</v>
      </c>
      <c r="Z334" s="890">
        <f t="shared" si="5"/>
        <v>13.298600490471339</v>
      </c>
      <c r="AA334" s="890">
        <f t="shared" si="5"/>
        <v>13.388509394066991</v>
      </c>
      <c r="AB334" s="890">
        <f t="shared" si="5"/>
        <v>13.490855725684835</v>
      </c>
      <c r="AC334" s="890">
        <f t="shared" si="5"/>
        <v>13.552123353592847</v>
      </c>
      <c r="AD334" s="890">
        <f t="shared" si="5"/>
        <v>13.599481426712751</v>
      </c>
      <c r="AE334" s="890">
        <f t="shared" si="5"/>
        <v>13.646082781076432</v>
      </c>
      <c r="AF334" s="890">
        <f t="shared" si="5"/>
        <v>13.706899811452093</v>
      </c>
    </row>
    <row r="335" spans="1:34" x14ac:dyDescent="0.25">
      <c r="A335" s="1041"/>
      <c r="B335" s="1041"/>
      <c r="C335" s="1059"/>
      <c r="D335" s="1059"/>
      <c r="E335" s="1059"/>
      <c r="F335" s="1059"/>
      <c r="G335" s="1045"/>
      <c r="H335" s="890"/>
      <c r="I335" s="890"/>
      <c r="J335" s="890"/>
      <c r="K335" s="890"/>
      <c r="L335" s="890"/>
      <c r="M335" s="890"/>
      <c r="N335" s="890"/>
      <c r="O335" s="890"/>
      <c r="P335" s="890"/>
      <c r="Q335" s="890"/>
      <c r="R335" s="890"/>
      <c r="S335" s="890"/>
      <c r="T335" s="890"/>
      <c r="U335" s="890"/>
      <c r="V335" s="890"/>
      <c r="W335" s="890"/>
      <c r="X335" s="890"/>
      <c r="Y335" s="890"/>
      <c r="Z335" s="890"/>
      <c r="AA335" s="890"/>
      <c r="AB335" s="890"/>
      <c r="AC335" s="890"/>
      <c r="AD335" s="1059"/>
      <c r="AE335" s="1059"/>
      <c r="AF335" s="1059"/>
    </row>
    <row r="336" spans="1:34" x14ac:dyDescent="0.25">
      <c r="A336" s="843" t="s">
        <v>32</v>
      </c>
      <c r="B336" s="843"/>
      <c r="C336" s="843"/>
      <c r="D336" s="843"/>
      <c r="E336" s="843"/>
      <c r="F336" s="843"/>
      <c r="G336" s="865"/>
      <c r="H336" s="891"/>
      <c r="I336" s="891"/>
      <c r="J336" s="891"/>
      <c r="K336" s="891"/>
      <c r="L336" s="891"/>
      <c r="M336" s="891"/>
      <c r="N336" s="891"/>
      <c r="O336" s="891"/>
      <c r="P336" s="891"/>
      <c r="Q336" s="891"/>
      <c r="R336" s="891"/>
      <c r="S336" s="891"/>
      <c r="T336" s="891"/>
      <c r="U336" s="891"/>
      <c r="V336" s="891"/>
      <c r="W336" s="891"/>
      <c r="X336" s="891"/>
      <c r="Y336" s="891"/>
      <c r="Z336" s="891"/>
      <c r="AA336" s="891"/>
      <c r="AB336" s="891"/>
      <c r="AC336" s="891"/>
      <c r="AD336" s="843"/>
      <c r="AE336" s="843"/>
      <c r="AF336" s="843"/>
    </row>
    <row r="337" spans="1:32" x14ac:dyDescent="0.25">
      <c r="A337" s="1041"/>
      <c r="B337" s="1041" t="s">
        <v>33</v>
      </c>
      <c r="C337" s="1059"/>
      <c r="D337" s="1059"/>
      <c r="E337" s="1059"/>
      <c r="F337" s="1059"/>
      <c r="G337" s="1045"/>
      <c r="H337" s="890">
        <f>SUM(H12,H93,H174,H255)</f>
        <v>4.3239777597815019</v>
      </c>
      <c r="I337" s="890">
        <f t="shared" ref="I337:AF337" si="7">SUM(I12,I93,I174,I255)</f>
        <v>4.7083897557654542</v>
      </c>
      <c r="J337" s="890">
        <f t="shared" si="7"/>
        <v>4.9190433165009111</v>
      </c>
      <c r="K337" s="890">
        <f t="shared" si="7"/>
        <v>4.8826151062693466</v>
      </c>
      <c r="L337" s="890">
        <f t="shared" si="7"/>
        <v>4.4135332371828451</v>
      </c>
      <c r="M337" s="890">
        <f t="shared" si="7"/>
        <v>3.784254248105809</v>
      </c>
      <c r="N337" s="890">
        <f t="shared" si="7"/>
        <v>3.1537613979359715</v>
      </c>
      <c r="O337" s="890">
        <f t="shared" si="7"/>
        <v>2.5575249470286505</v>
      </c>
      <c r="P337" s="890">
        <f t="shared" si="7"/>
        <v>2.0419773058611694</v>
      </c>
      <c r="Q337" s="890">
        <f t="shared" si="7"/>
        <v>1.6003022528192388</v>
      </c>
      <c r="R337" s="890">
        <f t="shared" si="7"/>
        <v>1.2330111557499381</v>
      </c>
      <c r="S337" s="890">
        <f t="shared" si="7"/>
        <v>0.95036542611251507</v>
      </c>
      <c r="T337" s="890">
        <f t="shared" si="7"/>
        <v>0.73367717752402251</v>
      </c>
      <c r="U337" s="890">
        <f t="shared" si="7"/>
        <v>0.57090576652092018</v>
      </c>
      <c r="V337" s="890">
        <f t="shared" si="7"/>
        <v>0.45152970065735931</v>
      </c>
      <c r="W337" s="890">
        <f t="shared" si="7"/>
        <v>0.3624082179849662</v>
      </c>
      <c r="X337" s="890">
        <f t="shared" si="7"/>
        <v>0.29563722669921305</v>
      </c>
      <c r="Y337" s="890">
        <f t="shared" si="7"/>
        <v>0.24533735172932589</v>
      </c>
      <c r="Z337" s="890">
        <f t="shared" si="7"/>
        <v>0.20801399349886621</v>
      </c>
      <c r="AA337" s="890">
        <f t="shared" si="7"/>
        <v>0.18002109971977961</v>
      </c>
      <c r="AB337" s="890">
        <f t="shared" si="7"/>
        <v>0.15774726401269468</v>
      </c>
      <c r="AC337" s="890">
        <f t="shared" si="7"/>
        <v>0.13983489415444669</v>
      </c>
      <c r="AD337" s="890">
        <f t="shared" si="7"/>
        <v>0.12515409921195672</v>
      </c>
      <c r="AE337" s="890">
        <f t="shared" si="7"/>
        <v>0.11248619263143805</v>
      </c>
      <c r="AF337" s="890">
        <f t="shared" si="7"/>
        <v>9.9863629981300245E-2</v>
      </c>
    </row>
    <row r="338" spans="1:32" x14ac:dyDescent="0.25">
      <c r="A338" s="1043"/>
      <c r="B338" s="1043" t="s">
        <v>34</v>
      </c>
      <c r="C338" s="1059"/>
      <c r="D338" s="1059"/>
      <c r="E338" s="1059"/>
      <c r="F338" s="1059"/>
      <c r="G338" s="1045"/>
      <c r="H338" s="890">
        <f t="shared" ref="H338:AF338" si="8">SUM(H13,H94,H175,H256)</f>
        <v>9.5018373757652377</v>
      </c>
      <c r="I338" s="890">
        <f t="shared" si="8"/>
        <v>9.354380908947677</v>
      </c>
      <c r="J338" s="890">
        <f t="shared" si="8"/>
        <v>8.850727521338861</v>
      </c>
      <c r="K338" s="890">
        <f t="shared" si="8"/>
        <v>8.0403163991194404</v>
      </c>
      <c r="L338" s="890">
        <f t="shared" si="8"/>
        <v>7.424318766836401</v>
      </c>
      <c r="M338" s="890">
        <f t="shared" si="8"/>
        <v>6.6537774844079332</v>
      </c>
      <c r="N338" s="890">
        <f t="shared" si="8"/>
        <v>5.7557246141836078</v>
      </c>
      <c r="O338" s="890">
        <f t="shared" si="8"/>
        <v>4.8355306309418182</v>
      </c>
      <c r="P338" s="890">
        <f t="shared" si="8"/>
        <v>3.9771033574218788</v>
      </c>
      <c r="Q338" s="890">
        <f t="shared" si="8"/>
        <v>3.2358226391672456</v>
      </c>
      <c r="R338" s="890">
        <f t="shared" si="8"/>
        <v>2.610401646747067</v>
      </c>
      <c r="S338" s="890">
        <f t="shared" si="8"/>
        <v>2.1128430363025998</v>
      </c>
      <c r="T338" s="890">
        <f t="shared" si="8"/>
        <v>1.7198631754891365</v>
      </c>
      <c r="U338" s="890">
        <f t="shared" si="8"/>
        <v>1.4178564453298816</v>
      </c>
      <c r="V338" s="890">
        <f t="shared" si="8"/>
        <v>1.1872312499962785</v>
      </c>
      <c r="W338" s="890">
        <f t="shared" si="8"/>
        <v>1.0115760059309093</v>
      </c>
      <c r="X338" s="890">
        <f t="shared" si="8"/>
        <v>0.8780902404892772</v>
      </c>
      <c r="Y338" s="890">
        <f t="shared" si="8"/>
        <v>0.77656969023241751</v>
      </c>
      <c r="Z338" s="890">
        <f t="shared" si="8"/>
        <v>0.70042878274249443</v>
      </c>
      <c r="AA338" s="890">
        <f t="shared" si="8"/>
        <v>0.64289828236558788</v>
      </c>
      <c r="AB338" s="890">
        <f t="shared" si="8"/>
        <v>0.59860512415684419</v>
      </c>
      <c r="AC338" s="890">
        <f t="shared" si="8"/>
        <v>0.56309840592125515</v>
      </c>
      <c r="AD338" s="890">
        <f t="shared" si="8"/>
        <v>0.53471546380686741</v>
      </c>
      <c r="AE338" s="890">
        <f t="shared" si="8"/>
        <v>0.51061268474263954</v>
      </c>
      <c r="AF338" s="890">
        <f t="shared" si="8"/>
        <v>0.48635951416174322</v>
      </c>
    </row>
    <row r="339" spans="1:32" x14ac:dyDescent="0.25">
      <c r="A339" s="1041"/>
      <c r="B339" s="1043" t="s">
        <v>35</v>
      </c>
      <c r="C339" s="1059"/>
      <c r="D339" s="1059"/>
      <c r="E339" s="1059"/>
      <c r="F339" s="1059"/>
      <c r="G339" s="1045"/>
      <c r="H339" s="890">
        <f t="shared" ref="H339:AF339" si="9">SUM(H14,H95,H176,H257)</f>
        <v>1.6833394297741708</v>
      </c>
      <c r="I339" s="890">
        <f t="shared" si="9"/>
        <v>1.7558005591875554</v>
      </c>
      <c r="J339" s="890">
        <f t="shared" si="9"/>
        <v>1.8337235245753516</v>
      </c>
      <c r="K339" s="890">
        <f t="shared" si="9"/>
        <v>1.8928472863464485</v>
      </c>
      <c r="L339" s="890">
        <f t="shared" si="9"/>
        <v>1.7609127656994672</v>
      </c>
      <c r="M339" s="890">
        <f t="shared" si="9"/>
        <v>1.6175733684309415</v>
      </c>
      <c r="N339" s="890">
        <f t="shared" si="9"/>
        <v>1.4240696779380417</v>
      </c>
      <c r="O339" s="890">
        <f t="shared" si="9"/>
        <v>1.2143510319942197</v>
      </c>
      <c r="P339" s="890">
        <f t="shared" si="9"/>
        <v>1.008085126981461</v>
      </c>
      <c r="Q339" s="890">
        <f t="shared" si="9"/>
        <v>0.83216077262810484</v>
      </c>
      <c r="R339" s="890">
        <f t="shared" si="9"/>
        <v>0.6849309831765068</v>
      </c>
      <c r="S339" s="890">
        <f t="shared" si="9"/>
        <v>0.5662143778763179</v>
      </c>
      <c r="T339" s="890">
        <f t="shared" si="9"/>
        <v>0.47167092802585364</v>
      </c>
      <c r="U339" s="890">
        <f t="shared" si="9"/>
        <v>0.39891839682971036</v>
      </c>
      <c r="V339" s="890">
        <f t="shared" si="9"/>
        <v>0.34213195619694209</v>
      </c>
      <c r="W339" s="890">
        <f t="shared" si="9"/>
        <v>0.29894506026040557</v>
      </c>
      <c r="X339" s="890">
        <f t="shared" si="9"/>
        <v>0.26643146366506293</v>
      </c>
      <c r="Y339" s="890">
        <f t="shared" si="9"/>
        <v>0.24209782797085427</v>
      </c>
      <c r="Z339" s="890">
        <f t="shared" si="9"/>
        <v>0.223999627487426</v>
      </c>
      <c r="AA339" s="890">
        <f t="shared" si="9"/>
        <v>0.21041692539779572</v>
      </c>
      <c r="AB339" s="890">
        <f t="shared" si="9"/>
        <v>0.20073961087163517</v>
      </c>
      <c r="AC339" s="890">
        <f t="shared" si="9"/>
        <v>0.19333004254368685</v>
      </c>
      <c r="AD339" s="890">
        <f t="shared" si="9"/>
        <v>0.18792709545371705</v>
      </c>
      <c r="AE339" s="890">
        <f t="shared" si="9"/>
        <v>0.18384205731090897</v>
      </c>
      <c r="AF339" s="890">
        <f t="shared" si="9"/>
        <v>0.18051220991666556</v>
      </c>
    </row>
    <row r="340" spans="1:32" x14ac:dyDescent="0.25">
      <c r="A340" s="1041"/>
      <c r="B340" s="1043" t="s">
        <v>29</v>
      </c>
      <c r="C340" s="1059"/>
      <c r="D340" s="1059"/>
      <c r="E340" s="1059"/>
      <c r="F340" s="1059"/>
      <c r="G340" s="1045"/>
      <c r="H340" s="890">
        <f t="shared" ref="H340:AF340" si="10">SUM(H15,H96,H177,H258)</f>
        <v>8.4368481538768761E-2</v>
      </c>
      <c r="I340" s="890">
        <f t="shared" si="10"/>
        <v>0.32312949770114047</v>
      </c>
      <c r="J340" s="890">
        <f t="shared" si="10"/>
        <v>0.79076726591737068</v>
      </c>
      <c r="K340" s="890">
        <f t="shared" si="10"/>
        <v>1.463710806957937</v>
      </c>
      <c r="L340" s="890">
        <f t="shared" si="10"/>
        <v>2.1999407004631419</v>
      </c>
      <c r="M340" s="890">
        <f t="shared" si="10"/>
        <v>2.9908040613152784</v>
      </c>
      <c r="N340" s="890">
        <f t="shared" si="10"/>
        <v>3.714244607446493</v>
      </c>
      <c r="O340" s="890">
        <f t="shared" si="10"/>
        <v>4.3051272446945967</v>
      </c>
      <c r="P340" s="890">
        <f t="shared" si="10"/>
        <v>4.7284721567713817</v>
      </c>
      <c r="Q340" s="890">
        <f t="shared" si="10"/>
        <v>5.0179258404218015</v>
      </c>
      <c r="R340" s="890">
        <f t="shared" si="10"/>
        <v>5.1778808932109781</v>
      </c>
      <c r="S340" s="890">
        <f t="shared" si="10"/>
        <v>5.2595434931632239</v>
      </c>
      <c r="T340" s="890">
        <f t="shared" si="10"/>
        <v>5.2790665980131761</v>
      </c>
      <c r="U340" s="890">
        <f t="shared" si="10"/>
        <v>5.27367056264998</v>
      </c>
      <c r="V340" s="890">
        <f t="shared" si="10"/>
        <v>5.2379631184729147</v>
      </c>
      <c r="W340" s="890">
        <f t="shared" si="10"/>
        <v>5.1951370406585688</v>
      </c>
      <c r="X340" s="890">
        <f t="shared" si="10"/>
        <v>5.147949980475178</v>
      </c>
      <c r="Y340" s="890">
        <f t="shared" si="10"/>
        <v>5.1061373363425551</v>
      </c>
      <c r="Z340" s="890">
        <f t="shared" si="10"/>
        <v>5.0742621747805199</v>
      </c>
      <c r="AA340" s="890">
        <f t="shared" si="10"/>
        <v>5.0451466803757716</v>
      </c>
      <c r="AB340" s="890">
        <f t="shared" si="10"/>
        <v>5.0352611861511569</v>
      </c>
      <c r="AC340" s="890">
        <f t="shared" si="10"/>
        <v>5.0275834487076656</v>
      </c>
      <c r="AD340" s="890">
        <f t="shared" si="10"/>
        <v>5.0314559093295141</v>
      </c>
      <c r="AE340" s="890">
        <f t="shared" si="10"/>
        <v>5.04030488745539</v>
      </c>
      <c r="AF340" s="890">
        <f t="shared" si="10"/>
        <v>5.0607727039337673</v>
      </c>
    </row>
    <row r="341" spans="1:32" x14ac:dyDescent="0.25">
      <c r="A341" s="1041"/>
      <c r="B341" s="1041"/>
      <c r="C341" s="1059"/>
      <c r="D341" s="1059"/>
      <c r="E341" s="1059"/>
      <c r="F341" s="1059"/>
      <c r="G341" s="1045"/>
      <c r="H341" s="890"/>
      <c r="I341" s="890"/>
      <c r="J341" s="890"/>
      <c r="K341" s="890"/>
      <c r="L341" s="890"/>
      <c r="M341" s="890"/>
      <c r="N341" s="890"/>
      <c r="O341" s="890"/>
      <c r="P341" s="890"/>
      <c r="Q341" s="890"/>
      <c r="R341" s="890"/>
      <c r="S341" s="890"/>
      <c r="T341" s="890"/>
      <c r="U341" s="890"/>
      <c r="V341" s="890"/>
      <c r="W341" s="890"/>
      <c r="X341" s="890"/>
      <c r="Y341" s="890"/>
      <c r="Z341" s="890"/>
      <c r="AA341" s="890"/>
      <c r="AB341" s="890"/>
      <c r="AC341" s="890"/>
      <c r="AD341" s="1059"/>
      <c r="AE341" s="1059"/>
      <c r="AF341" s="1059"/>
    </row>
    <row r="342" spans="1:32" x14ac:dyDescent="0.25">
      <c r="A342" s="843" t="s">
        <v>36</v>
      </c>
      <c r="B342" s="843"/>
      <c r="C342" s="843"/>
      <c r="D342" s="843"/>
      <c r="E342" s="843"/>
      <c r="F342" s="843"/>
      <c r="G342" s="865"/>
      <c r="H342" s="891"/>
      <c r="I342" s="891"/>
      <c r="J342" s="891"/>
      <c r="K342" s="891"/>
      <c r="L342" s="891"/>
      <c r="M342" s="891"/>
      <c r="N342" s="891"/>
      <c r="O342" s="891"/>
      <c r="P342" s="891"/>
      <c r="Q342" s="891"/>
      <c r="R342" s="891"/>
      <c r="S342" s="891"/>
      <c r="T342" s="891"/>
      <c r="U342" s="891"/>
      <c r="V342" s="891"/>
      <c r="W342" s="891"/>
      <c r="X342" s="891"/>
      <c r="Y342" s="891"/>
      <c r="Z342" s="891"/>
      <c r="AA342" s="891"/>
      <c r="AB342" s="891"/>
      <c r="AC342" s="891"/>
      <c r="AD342" s="843"/>
      <c r="AE342" s="843"/>
      <c r="AF342" s="843"/>
    </row>
    <row r="343" spans="1:32" x14ac:dyDescent="0.25">
      <c r="A343" s="1041"/>
      <c r="B343" s="1041" t="s">
        <v>37</v>
      </c>
      <c r="C343" s="1059"/>
      <c r="D343" s="1059"/>
      <c r="E343" s="1059"/>
      <c r="F343" s="1059"/>
      <c r="G343" s="540"/>
      <c r="H343" s="890">
        <f>SUM(H18,H99,H180,H261)</f>
        <v>26.31201167498002</v>
      </c>
      <c r="I343" s="890">
        <f t="shared" ref="I343:AF343" si="11">SUM(I18,I99,I180,I261)</f>
        <v>16.292522957038727</v>
      </c>
      <c r="J343" s="890">
        <f t="shared" si="11"/>
        <v>7.8999091098628078</v>
      </c>
      <c r="K343" s="890">
        <f t="shared" si="11"/>
        <v>1.7961220231919368</v>
      </c>
      <c r="L343" s="890">
        <f t="shared" si="11"/>
        <v>1.3153468996332593</v>
      </c>
      <c r="M343" s="890">
        <f t="shared" si="11"/>
        <v>0.96323620859448278</v>
      </c>
      <c r="N343" s="890">
        <f t="shared" si="11"/>
        <v>0.71557312682416352</v>
      </c>
      <c r="O343" s="890">
        <f t="shared" si="11"/>
        <v>0.55470214973142784</v>
      </c>
      <c r="P343" s="890">
        <f t="shared" si="11"/>
        <v>0.43691027644099689</v>
      </c>
      <c r="Q343" s="890">
        <f t="shared" si="11"/>
        <v>0.34998538080776997</v>
      </c>
      <c r="R343" s="890">
        <f t="shared" si="11"/>
        <v>0.28503251210681602</v>
      </c>
      <c r="S343" s="890">
        <f t="shared" si="11"/>
        <v>0.2360563477371668</v>
      </c>
      <c r="T343" s="890">
        <f t="shared" si="11"/>
        <v>0.19861148032760673</v>
      </c>
      <c r="U343" s="890">
        <f t="shared" si="11"/>
        <v>0.16957865294075303</v>
      </c>
      <c r="V343" s="890">
        <f t="shared" si="11"/>
        <v>0.1467371698746307</v>
      </c>
      <c r="W343" s="890">
        <f t="shared" si="11"/>
        <v>0.12846559425512105</v>
      </c>
      <c r="X343" s="890">
        <f t="shared" si="11"/>
        <v>0.11362769512813925</v>
      </c>
      <c r="Y343" s="890">
        <f t="shared" si="11"/>
        <v>0.1013461724793996</v>
      </c>
      <c r="Z343" s="890">
        <f t="shared" si="11"/>
        <v>9.1041834038351532E-2</v>
      </c>
      <c r="AA343" s="890">
        <f t="shared" si="11"/>
        <v>8.2282816148732854E-2</v>
      </c>
      <c r="AB343" s="890">
        <f t="shared" si="11"/>
        <v>7.4706913331292799E-2</v>
      </c>
      <c r="AC343" s="890">
        <f t="shared" si="11"/>
        <v>6.8097208598231096E-2</v>
      </c>
      <c r="AD343" s="890">
        <f t="shared" si="11"/>
        <v>6.2273369680805588E-2</v>
      </c>
      <c r="AE343" s="890">
        <f t="shared" si="11"/>
        <v>5.7082089411250897E-2</v>
      </c>
      <c r="AF343" s="890">
        <f t="shared" si="11"/>
        <v>5.24072567354558E-2</v>
      </c>
    </row>
    <row r="344" spans="1:32" x14ac:dyDescent="0.25">
      <c r="A344" s="1041"/>
      <c r="B344" s="1041" t="s">
        <v>39</v>
      </c>
      <c r="C344" s="1059"/>
      <c r="D344" s="1059"/>
      <c r="E344" s="1059"/>
      <c r="F344" s="1059"/>
      <c r="G344" s="540"/>
      <c r="H344" s="890">
        <f t="shared" ref="H344:AF344" si="12">SUM(H19,H100,H181,H262)</f>
        <v>130.37297956544847</v>
      </c>
      <c r="I344" s="890">
        <f t="shared" si="12"/>
        <v>136.83328946378765</v>
      </c>
      <c r="J344" s="890">
        <f t="shared" si="12"/>
        <v>140.61203127303779</v>
      </c>
      <c r="K344" s="890">
        <f t="shared" si="12"/>
        <v>142.19314759197931</v>
      </c>
      <c r="L344" s="890">
        <f t="shared" si="12"/>
        <v>139.62312152304617</v>
      </c>
      <c r="M344" s="890">
        <f t="shared" si="12"/>
        <v>136.45089740519396</v>
      </c>
      <c r="N344" s="890">
        <f t="shared" si="12"/>
        <v>132.74818144938166</v>
      </c>
      <c r="O344" s="890">
        <f t="shared" si="12"/>
        <v>128.68480249829642</v>
      </c>
      <c r="P344" s="890">
        <f t="shared" si="12"/>
        <v>123.96839724509167</v>
      </c>
      <c r="Q344" s="890">
        <f t="shared" si="12"/>
        <v>119.31242388818521</v>
      </c>
      <c r="R344" s="890">
        <f t="shared" si="12"/>
        <v>114.32885754530416</v>
      </c>
      <c r="S344" s="890">
        <f t="shared" si="12"/>
        <v>109.45228860989496</v>
      </c>
      <c r="T344" s="890">
        <f t="shared" si="12"/>
        <v>104.62338682431238</v>
      </c>
      <c r="U344" s="890">
        <f t="shared" si="12"/>
        <v>100.03527393969163</v>
      </c>
      <c r="V344" s="890">
        <f t="shared" si="12"/>
        <v>95.444963059600155</v>
      </c>
      <c r="W344" s="890">
        <f t="shared" si="12"/>
        <v>91.244339249982559</v>
      </c>
      <c r="X344" s="890">
        <f t="shared" si="12"/>
        <v>87.525076705505683</v>
      </c>
      <c r="Y344" s="890">
        <f t="shared" si="12"/>
        <v>83.987769051797727</v>
      </c>
      <c r="Z344" s="890">
        <f t="shared" si="12"/>
        <v>80.739715568903961</v>
      </c>
      <c r="AA344" s="890">
        <f t="shared" si="12"/>
        <v>77.885304301039596</v>
      </c>
      <c r="AB344" s="890">
        <f t="shared" si="12"/>
        <v>75.173560078057847</v>
      </c>
      <c r="AC344" s="890">
        <f t="shared" si="12"/>
        <v>72.742911097450005</v>
      </c>
      <c r="AD344" s="890">
        <f t="shared" si="12"/>
        <v>70.625203405909048</v>
      </c>
      <c r="AE344" s="890">
        <f t="shared" si="12"/>
        <v>68.622101293266596</v>
      </c>
      <c r="AF344" s="890">
        <f t="shared" si="12"/>
        <v>66.817603774540132</v>
      </c>
    </row>
    <row r="345" spans="1:32" x14ac:dyDescent="0.25">
      <c r="A345" s="1041"/>
      <c r="B345" s="1041" t="s">
        <v>40</v>
      </c>
      <c r="C345" s="1059"/>
      <c r="D345" s="1059"/>
      <c r="E345" s="1059"/>
      <c r="F345" s="1059"/>
      <c r="G345" s="540"/>
      <c r="H345" s="890">
        <f t="shared" ref="H345:AF345" si="13">SUM(H20,H101,H182,H263)</f>
        <v>21.165824287078571</v>
      </c>
      <c r="I345" s="890">
        <f t="shared" si="13"/>
        <v>26.213475844743819</v>
      </c>
      <c r="J345" s="890">
        <f t="shared" si="13"/>
        <v>31.626899112513861</v>
      </c>
      <c r="K345" s="890">
        <f t="shared" si="13"/>
        <v>36.204632327330984</v>
      </c>
      <c r="L345" s="890">
        <f t="shared" si="13"/>
        <v>38.817226614648831</v>
      </c>
      <c r="M345" s="890">
        <f t="shared" si="13"/>
        <v>40.691852846681194</v>
      </c>
      <c r="N345" s="890">
        <f t="shared" si="13"/>
        <v>42.376903904380612</v>
      </c>
      <c r="O345" s="890">
        <f t="shared" si="13"/>
        <v>44.226712664827602</v>
      </c>
      <c r="P345" s="890">
        <f t="shared" si="13"/>
        <v>45.410865818778753</v>
      </c>
      <c r="Q345" s="890">
        <f t="shared" si="13"/>
        <v>46.138785315459536</v>
      </c>
      <c r="R345" s="890">
        <f t="shared" si="13"/>
        <v>46.214105245795707</v>
      </c>
      <c r="S345" s="890">
        <f t="shared" si="13"/>
        <v>45.934202303938363</v>
      </c>
      <c r="T345" s="890">
        <f t="shared" si="13"/>
        <v>45.304771473457954</v>
      </c>
      <c r="U345" s="890">
        <f t="shared" si="13"/>
        <v>44.477434117617463</v>
      </c>
      <c r="V345" s="890">
        <f t="shared" si="13"/>
        <v>43.398124344406277</v>
      </c>
      <c r="W345" s="890">
        <f t="shared" si="13"/>
        <v>42.269254990387005</v>
      </c>
      <c r="X345" s="890">
        <f t="shared" si="13"/>
        <v>41.216925903577042</v>
      </c>
      <c r="Y345" s="890">
        <f t="shared" si="13"/>
        <v>40.098195474409017</v>
      </c>
      <c r="Z345" s="890">
        <f t="shared" si="13"/>
        <v>39.001910605047279</v>
      </c>
      <c r="AA345" s="890">
        <f t="shared" si="13"/>
        <v>38.008477071811086</v>
      </c>
      <c r="AB345" s="890">
        <f t="shared" si="13"/>
        <v>36.988546662810755</v>
      </c>
      <c r="AC345" s="890">
        <f t="shared" si="13"/>
        <v>36.036519213486244</v>
      </c>
      <c r="AD345" s="890">
        <f t="shared" si="13"/>
        <v>35.174846350111238</v>
      </c>
      <c r="AE345" s="890">
        <f t="shared" si="13"/>
        <v>34.311237926375419</v>
      </c>
      <c r="AF345" s="890">
        <f t="shared" si="13"/>
        <v>33.461201966897669</v>
      </c>
    </row>
    <row r="346" spans="1:32" x14ac:dyDescent="0.25">
      <c r="A346" s="1041"/>
      <c r="B346" s="1041" t="s">
        <v>29</v>
      </c>
      <c r="C346" s="1059"/>
      <c r="D346" s="1059"/>
      <c r="E346" s="1059"/>
      <c r="F346" s="1059"/>
      <c r="G346" s="1045"/>
      <c r="H346" s="890">
        <f t="shared" ref="H346:AF346" si="14">SUM(H21,H102,H183,H264)</f>
        <v>1.9898838955607866E-3</v>
      </c>
      <c r="I346" s="890">
        <f t="shared" si="14"/>
        <v>4.2824555844020035E-2</v>
      </c>
      <c r="J346" s="890">
        <f t="shared" si="14"/>
        <v>0.25901836389322047</v>
      </c>
      <c r="K346" s="890">
        <f t="shared" si="14"/>
        <v>0.83425112843726545</v>
      </c>
      <c r="L346" s="890">
        <f t="shared" si="14"/>
        <v>1.9367731284647607</v>
      </c>
      <c r="M346" s="890">
        <f t="shared" si="14"/>
        <v>3.6549760828597018</v>
      </c>
      <c r="N346" s="890">
        <f t="shared" si="14"/>
        <v>6.1319203168246741</v>
      </c>
      <c r="O346" s="890">
        <f t="shared" si="14"/>
        <v>9.3017750260279861</v>
      </c>
      <c r="P346" s="890">
        <f t="shared" si="14"/>
        <v>12.88975187081536</v>
      </c>
      <c r="Q346" s="890">
        <f t="shared" si="14"/>
        <v>17.005370135528675</v>
      </c>
      <c r="R346" s="890">
        <f t="shared" si="14"/>
        <v>21.145915691114471</v>
      </c>
      <c r="S346" s="890">
        <f t="shared" si="14"/>
        <v>25.433121261096719</v>
      </c>
      <c r="T346" s="890">
        <f t="shared" si="14"/>
        <v>29.660399731001288</v>
      </c>
      <c r="U346" s="890">
        <f t="shared" si="14"/>
        <v>33.830570895126449</v>
      </c>
      <c r="V346" s="890">
        <f t="shared" si="14"/>
        <v>37.586295855472677</v>
      </c>
      <c r="W346" s="890">
        <f t="shared" si="14"/>
        <v>40.985781887431429</v>
      </c>
      <c r="X346" s="890">
        <f t="shared" si="14"/>
        <v>44.415910537812202</v>
      </c>
      <c r="Y346" s="890">
        <f t="shared" si="14"/>
        <v>47.521997513547689</v>
      </c>
      <c r="Z346" s="890">
        <f t="shared" si="14"/>
        <v>50.249241541303462</v>
      </c>
      <c r="AA346" s="890">
        <f t="shared" si="14"/>
        <v>52.758425804959963</v>
      </c>
      <c r="AB346" s="890">
        <f t="shared" si="14"/>
        <v>54.971622546814253</v>
      </c>
      <c r="AC346" s="890">
        <f t="shared" si="14"/>
        <v>57.044183464316198</v>
      </c>
      <c r="AD346" s="890">
        <f t="shared" si="14"/>
        <v>59.090401214349313</v>
      </c>
      <c r="AE346" s="890">
        <f t="shared" si="14"/>
        <v>60.923550622437084</v>
      </c>
      <c r="AF346" s="890">
        <f t="shared" si="14"/>
        <v>62.866644874828765</v>
      </c>
    </row>
    <row r="347" spans="1:32" x14ac:dyDescent="0.25">
      <c r="A347" s="1041"/>
      <c r="B347" s="1041"/>
      <c r="C347" s="1059"/>
      <c r="D347" s="1059"/>
      <c r="E347" s="1059"/>
      <c r="F347" s="1059"/>
      <c r="G347" s="1045"/>
      <c r="H347" s="890"/>
      <c r="I347" s="890"/>
      <c r="J347" s="890"/>
      <c r="K347" s="890"/>
      <c r="L347" s="890"/>
      <c r="M347" s="890"/>
      <c r="N347" s="890"/>
      <c r="O347" s="890"/>
      <c r="P347" s="890"/>
      <c r="Q347" s="890"/>
      <c r="R347" s="890"/>
      <c r="S347" s="890"/>
      <c r="T347" s="890"/>
      <c r="U347" s="890"/>
      <c r="V347" s="890"/>
      <c r="W347" s="890"/>
      <c r="X347" s="890"/>
      <c r="Y347" s="890"/>
      <c r="Z347" s="890"/>
      <c r="AA347" s="890"/>
      <c r="AB347" s="890"/>
      <c r="AC347" s="890"/>
      <c r="AD347" s="1059"/>
      <c r="AE347" s="1059"/>
      <c r="AF347" s="1059"/>
    </row>
    <row r="348" spans="1:32" x14ac:dyDescent="0.25">
      <c r="A348" s="843" t="s">
        <v>42</v>
      </c>
      <c r="B348" s="843"/>
      <c r="C348" s="843"/>
      <c r="D348" s="843"/>
      <c r="E348" s="843"/>
      <c r="F348" s="843"/>
      <c r="G348" s="865"/>
      <c r="H348" s="891"/>
      <c r="I348" s="891"/>
      <c r="J348" s="891"/>
      <c r="K348" s="891"/>
      <c r="L348" s="891"/>
      <c r="M348" s="891"/>
      <c r="N348" s="891"/>
      <c r="O348" s="891"/>
      <c r="P348" s="891"/>
      <c r="Q348" s="891"/>
      <c r="R348" s="891"/>
      <c r="S348" s="891"/>
      <c r="T348" s="891"/>
      <c r="U348" s="891"/>
      <c r="V348" s="891"/>
      <c r="W348" s="891"/>
      <c r="X348" s="891"/>
      <c r="Y348" s="891"/>
      <c r="Z348" s="891"/>
      <c r="AA348" s="891"/>
      <c r="AB348" s="891"/>
      <c r="AC348" s="891"/>
      <c r="AD348" s="843"/>
      <c r="AE348" s="843"/>
      <c r="AF348" s="843"/>
    </row>
    <row r="349" spans="1:32" x14ac:dyDescent="0.25">
      <c r="A349" s="1041"/>
      <c r="B349" s="1043" t="s">
        <v>43</v>
      </c>
      <c r="C349" s="1059"/>
      <c r="D349" s="1059"/>
      <c r="E349" s="1059"/>
      <c r="F349" s="1059"/>
      <c r="G349" s="1045"/>
      <c r="H349" s="890">
        <f>SUM(H24,H105,H186,H267)</f>
        <v>1.9646230560656572</v>
      </c>
      <c r="I349" s="890">
        <f t="shared" ref="I349:AF349" si="15">SUM(I24,I105,I186,I267)</f>
        <v>1.7744708596107093</v>
      </c>
      <c r="J349" s="890">
        <f t="shared" si="15"/>
        <v>1.6047542398595402</v>
      </c>
      <c r="K349" s="890">
        <f t="shared" si="15"/>
        <v>1.4524833696266741</v>
      </c>
      <c r="L349" s="890">
        <f t="shared" si="15"/>
        <v>1.3167069072358766</v>
      </c>
      <c r="M349" s="890">
        <f t="shared" si="15"/>
        <v>1.1936313590708563</v>
      </c>
      <c r="N349" s="890">
        <f t="shared" si="15"/>
        <v>1.0837303657515915</v>
      </c>
      <c r="O349" s="890">
        <f t="shared" si="15"/>
        <v>0.98538604561512266</v>
      </c>
      <c r="P349" s="890">
        <f t="shared" si="15"/>
        <v>0.8971508881778405</v>
      </c>
      <c r="Q349" s="890">
        <f t="shared" si="15"/>
        <v>0.81782098604792197</v>
      </c>
      <c r="R349" s="890">
        <f t="shared" si="15"/>
        <v>0.74636838378883963</v>
      </c>
      <c r="S349" s="890">
        <f t="shared" si="15"/>
        <v>0.68246031577439259</v>
      </c>
      <c r="T349" s="890">
        <f t="shared" si="15"/>
        <v>0.62514365823481954</v>
      </c>
      <c r="U349" s="890">
        <f t="shared" si="15"/>
        <v>0.5739177515162236</v>
      </c>
      <c r="V349" s="890">
        <f t="shared" si="15"/>
        <v>0.52819930966766238</v>
      </c>
      <c r="W349" s="890">
        <f t="shared" si="15"/>
        <v>0.48728777917722643</v>
      </c>
      <c r="X349" s="890">
        <f t="shared" si="15"/>
        <v>0.45081084499740026</v>
      </c>
      <c r="Y349" s="890">
        <f t="shared" si="15"/>
        <v>0.41819823410225532</v>
      </c>
      <c r="Z349" s="890">
        <f t="shared" si="15"/>
        <v>0.38904518770558955</v>
      </c>
      <c r="AA349" s="890">
        <f t="shared" si="15"/>
        <v>0.36295148103550368</v>
      </c>
      <c r="AB349" s="890">
        <f t="shared" si="15"/>
        <v>0.33948351806814331</v>
      </c>
      <c r="AC349" s="890">
        <f t="shared" si="15"/>
        <v>0.31844737050126293</v>
      </c>
      <c r="AD349" s="890">
        <f t="shared" si="15"/>
        <v>0.29953680882100941</v>
      </c>
      <c r="AE349" s="890">
        <f t="shared" si="15"/>
        <v>0.28249137988069939</v>
      </c>
      <c r="AF349" s="890">
        <f t="shared" si="15"/>
        <v>0.26698425786197705</v>
      </c>
    </row>
    <row r="350" spans="1:32" x14ac:dyDescent="0.25">
      <c r="A350" s="1041"/>
      <c r="B350" s="1043" t="s">
        <v>44</v>
      </c>
      <c r="C350" s="1059"/>
      <c r="D350" s="1059"/>
      <c r="E350" s="1059"/>
      <c r="F350" s="1059"/>
      <c r="G350" s="1045"/>
      <c r="H350" s="890">
        <f>SUM(H25,H106,H187,H268)</f>
        <v>81.155810759223499</v>
      </c>
      <c r="I350" s="890">
        <f t="shared" ref="I350:AF350" si="16">SUM(I25,I106,I187,I268)</f>
        <v>85.290444762959964</v>
      </c>
      <c r="J350" s="890">
        <f t="shared" si="16"/>
        <v>88.310486987142042</v>
      </c>
      <c r="K350" s="890">
        <f t="shared" si="16"/>
        <v>90.208458579541855</v>
      </c>
      <c r="L350" s="890">
        <f t="shared" si="16"/>
        <v>91.116969908940462</v>
      </c>
      <c r="M350" s="890">
        <f t="shared" si="16"/>
        <v>90.682423931344772</v>
      </c>
      <c r="N350" s="890">
        <f t="shared" si="16"/>
        <v>89.638236537267133</v>
      </c>
      <c r="O350" s="890">
        <f t="shared" si="16"/>
        <v>88.229555152616399</v>
      </c>
      <c r="P350" s="890">
        <f t="shared" si="16"/>
        <v>86.155245328054178</v>
      </c>
      <c r="Q350" s="890">
        <f t="shared" si="16"/>
        <v>83.803082354411089</v>
      </c>
      <c r="R350" s="890">
        <f t="shared" si="16"/>
        <v>81.10641906727723</v>
      </c>
      <c r="S350" s="890">
        <f t="shared" si="16"/>
        <v>78.34842478302437</v>
      </c>
      <c r="T350" s="890">
        <f t="shared" si="16"/>
        <v>75.571702135351586</v>
      </c>
      <c r="U350" s="890">
        <f t="shared" si="16"/>
        <v>72.896101633122797</v>
      </c>
      <c r="V350" s="890">
        <f t="shared" si="16"/>
        <v>70.370704367809736</v>
      </c>
      <c r="W350" s="890">
        <f t="shared" si="16"/>
        <v>67.884172366367025</v>
      </c>
      <c r="X350" s="890">
        <f t="shared" si="16"/>
        <v>65.643016158180842</v>
      </c>
      <c r="Y350" s="890">
        <f t="shared" si="16"/>
        <v>63.536457464273013</v>
      </c>
      <c r="Z350" s="890">
        <f t="shared" si="16"/>
        <v>61.568280815762378</v>
      </c>
      <c r="AA350" s="890">
        <f t="shared" si="16"/>
        <v>59.751880087412722</v>
      </c>
      <c r="AB350" s="890">
        <f t="shared" si="16"/>
        <v>58.043850903890927</v>
      </c>
      <c r="AC350" s="890">
        <f t="shared" si="16"/>
        <v>56.480059682545573</v>
      </c>
      <c r="AD350" s="890">
        <f t="shared" si="16"/>
        <v>55.039644897959633</v>
      </c>
      <c r="AE350" s="890">
        <f t="shared" si="16"/>
        <v>53.711606659692038</v>
      </c>
      <c r="AF350" s="890">
        <f t="shared" si="16"/>
        <v>52.432331958641768</v>
      </c>
    </row>
    <row r="351" spans="1:32" x14ac:dyDescent="0.25">
      <c r="A351" s="1041"/>
      <c r="B351" s="1043" t="s">
        <v>45</v>
      </c>
      <c r="C351" s="1059"/>
      <c r="D351" s="1059"/>
      <c r="E351" s="1059"/>
      <c r="F351" s="1059"/>
      <c r="G351" s="1045"/>
      <c r="H351" s="890">
        <f t="shared" ref="H351:AF351" si="17">SUM(H26,H107,H188,H269)</f>
        <v>21.442680582309457</v>
      </c>
      <c r="I351" s="890">
        <f t="shared" si="17"/>
        <v>19.163976625167024</v>
      </c>
      <c r="J351" s="890">
        <f t="shared" si="17"/>
        <v>17.141153018815388</v>
      </c>
      <c r="K351" s="890">
        <f t="shared" si="17"/>
        <v>15.343185056071295</v>
      </c>
      <c r="L351" s="890">
        <f t="shared" si="17"/>
        <v>13.742272294643762</v>
      </c>
      <c r="M351" s="890">
        <f t="shared" si="17"/>
        <v>12.312826442390421</v>
      </c>
      <c r="N351" s="890">
        <f t="shared" si="17"/>
        <v>11.038959510391681</v>
      </c>
      <c r="O351" s="890">
        <f t="shared" si="17"/>
        <v>9.8941669410295781</v>
      </c>
      <c r="P351" s="890">
        <f t="shared" si="17"/>
        <v>8.870587765571873</v>
      </c>
      <c r="Q351" s="890">
        <f t="shared" si="17"/>
        <v>7.9582978195510208</v>
      </c>
      <c r="R351" s="890">
        <f t="shared" si="17"/>
        <v>7.1434000064035637</v>
      </c>
      <c r="S351" s="890">
        <f t="shared" si="17"/>
        <v>6.416609906200696</v>
      </c>
      <c r="T351" s="890">
        <f t="shared" si="17"/>
        <v>5.7680309406142118</v>
      </c>
      <c r="U351" s="890">
        <f t="shared" si="17"/>
        <v>5.1898944962754285</v>
      </c>
      <c r="V351" s="890">
        <f t="shared" si="17"/>
        <v>4.6738071603671933</v>
      </c>
      <c r="W351" s="890">
        <f t="shared" si="17"/>
        <v>4.2128984193469554</v>
      </c>
      <c r="X351" s="890">
        <f t="shared" si="17"/>
        <v>3.8022807620537851</v>
      </c>
      <c r="Y351" s="890">
        <f t="shared" si="17"/>
        <v>3.4364812492747747</v>
      </c>
      <c r="Z351" s="890">
        <f t="shared" si="17"/>
        <v>3.1106155934622457</v>
      </c>
      <c r="AA351" s="890">
        <f t="shared" si="17"/>
        <v>2.8187504531748462</v>
      </c>
      <c r="AB351" s="890">
        <f t="shared" si="17"/>
        <v>2.5580573833374562</v>
      </c>
      <c r="AC351" s="890">
        <f t="shared" si="17"/>
        <v>2.3252971640186448</v>
      </c>
      <c r="AD351" s="890">
        <f t="shared" si="17"/>
        <v>2.1172133052450324</v>
      </c>
      <c r="AE351" s="890">
        <f t="shared" si="17"/>
        <v>1.9305488139076266</v>
      </c>
      <c r="AF351" s="890">
        <f t="shared" si="17"/>
        <v>1.7630664508878644</v>
      </c>
    </row>
    <row r="352" spans="1:32" x14ac:dyDescent="0.25">
      <c r="A352" s="1041"/>
      <c r="B352" s="1043" t="s">
        <v>46</v>
      </c>
      <c r="C352" s="1059"/>
      <c r="D352" s="1059"/>
      <c r="E352" s="1059"/>
      <c r="F352" s="1059"/>
      <c r="G352" s="1045"/>
      <c r="H352" s="890">
        <f t="shared" ref="H352:AF352" si="18">SUM(H27,H108,H189,H270)</f>
        <v>0.25395579027186516</v>
      </c>
      <c r="I352" s="890">
        <f t="shared" si="18"/>
        <v>0.22580094574933626</v>
      </c>
      <c r="J352" s="890">
        <f t="shared" si="18"/>
        <v>0.20087345807074566</v>
      </c>
      <c r="K352" s="890">
        <f t="shared" si="18"/>
        <v>0.17879072999524379</v>
      </c>
      <c r="L352" s="890">
        <f t="shared" si="18"/>
        <v>0.15921707458816201</v>
      </c>
      <c r="M352" s="890">
        <f t="shared" si="18"/>
        <v>0.14185776693468011</v>
      </c>
      <c r="N352" s="890">
        <f t="shared" si="18"/>
        <v>0.12602115672163486</v>
      </c>
      <c r="O352" s="890">
        <f t="shared" si="18"/>
        <v>0.11198498705300046</v>
      </c>
      <c r="P352" s="890">
        <f t="shared" si="18"/>
        <v>9.9564025727171671E-2</v>
      </c>
      <c r="Q352" s="890">
        <f t="shared" si="18"/>
        <v>8.8566203192427528E-2</v>
      </c>
      <c r="R352" s="890">
        <f t="shared" si="18"/>
        <v>7.8823051753277806E-2</v>
      </c>
      <c r="S352" s="890">
        <f t="shared" si="18"/>
        <v>7.0186708907545262E-2</v>
      </c>
      <c r="T352" s="890">
        <f t="shared" si="18"/>
        <v>6.2527313714246927E-2</v>
      </c>
      <c r="U352" s="890">
        <f t="shared" si="18"/>
        <v>5.5730742961886633E-2</v>
      </c>
      <c r="V352" s="890">
        <f t="shared" si="18"/>
        <v>4.9696641348038036E-2</v>
      </c>
      <c r="W352" s="890">
        <f t="shared" si="18"/>
        <v>4.4336706249197229E-2</v>
      </c>
      <c r="X352" s="890">
        <f t="shared" si="18"/>
        <v>3.9573193114392315E-2</v>
      </c>
      <c r="Y352" s="890">
        <f t="shared" si="18"/>
        <v>3.5470619291761638E-2</v>
      </c>
      <c r="Z352" s="890">
        <f t="shared" si="18"/>
        <v>3.1710582765072354E-2</v>
      </c>
      <c r="AA352" s="890">
        <f t="shared" si="18"/>
        <v>2.8361483450522345E-2</v>
      </c>
      <c r="AB352" s="890">
        <f t="shared" si="18"/>
        <v>2.5386132156675286E-2</v>
      </c>
      <c r="AC352" s="890">
        <f t="shared" si="18"/>
        <v>2.2740399302429447E-2</v>
      </c>
      <c r="AD352" s="890">
        <f t="shared" si="18"/>
        <v>2.0385384112544223E-2</v>
      </c>
      <c r="AE352" s="890">
        <f t="shared" si="18"/>
        <v>1.8281806715383923E-2</v>
      </c>
      <c r="AF352" s="890">
        <f t="shared" si="18"/>
        <v>1.6407117541853932E-2</v>
      </c>
    </row>
    <row r="353" spans="1:32" x14ac:dyDescent="0.25">
      <c r="A353" s="1041"/>
      <c r="B353" s="1041" t="s">
        <v>29</v>
      </c>
      <c r="C353" s="1059"/>
      <c r="D353" s="1059"/>
      <c r="E353" s="1059"/>
      <c r="F353" s="1059"/>
      <c r="G353" s="1045"/>
      <c r="H353" s="890">
        <f t="shared" ref="H353:AF353" si="19">SUM(H28,H109,H190,H271)</f>
        <v>0.60591576648405332</v>
      </c>
      <c r="I353" s="890">
        <f t="shared" si="19"/>
        <v>1.124465846750935</v>
      </c>
      <c r="J353" s="890">
        <f t="shared" si="19"/>
        <v>2.0197015704882708</v>
      </c>
      <c r="K353" s="890">
        <f t="shared" si="19"/>
        <v>3.362721356553827</v>
      </c>
      <c r="L353" s="890">
        <f t="shared" si="19"/>
        <v>5.1546092210040726</v>
      </c>
      <c r="M353" s="890">
        <f t="shared" si="19"/>
        <v>7.2855876403588002</v>
      </c>
      <c r="N353" s="890">
        <f t="shared" si="19"/>
        <v>9.7153314146561378</v>
      </c>
      <c r="O353" s="890">
        <f t="shared" si="19"/>
        <v>12.42251513761499</v>
      </c>
      <c r="P353" s="890">
        <f t="shared" si="19"/>
        <v>15.042394279500225</v>
      </c>
      <c r="Q353" s="890">
        <f t="shared" si="19"/>
        <v>17.691416576190825</v>
      </c>
      <c r="R353" s="890">
        <f t="shared" si="19"/>
        <v>20.074778235549783</v>
      </c>
      <c r="S353" s="890">
        <f t="shared" si="19"/>
        <v>22.297310097865982</v>
      </c>
      <c r="T353" s="890">
        <f t="shared" si="19"/>
        <v>24.299910009429745</v>
      </c>
      <c r="U353" s="890">
        <f t="shared" si="19"/>
        <v>26.168746445063164</v>
      </c>
      <c r="V353" s="890">
        <f t="shared" si="19"/>
        <v>27.783553002802869</v>
      </c>
      <c r="W353" s="890">
        <f t="shared" si="19"/>
        <v>29.143374702275565</v>
      </c>
      <c r="X353" s="890">
        <f t="shared" si="19"/>
        <v>30.576607825777796</v>
      </c>
      <c r="Y353" s="890">
        <f t="shared" si="19"/>
        <v>31.857606423426777</v>
      </c>
      <c r="Z353" s="890">
        <f t="shared" si="19"/>
        <v>32.962422351577374</v>
      </c>
      <c r="AA353" s="890">
        <f t="shared" si="19"/>
        <v>33.944591006791555</v>
      </c>
      <c r="AB353" s="890">
        <f t="shared" si="19"/>
        <v>34.829466880186146</v>
      </c>
      <c r="AC353" s="890">
        <f t="shared" si="19"/>
        <v>35.680886241899053</v>
      </c>
      <c r="AD353" s="890">
        <f t="shared" si="19"/>
        <v>36.496199526025876</v>
      </c>
      <c r="AE353" s="890">
        <f t="shared" si="19"/>
        <v>37.293040205201009</v>
      </c>
      <c r="AF353" s="890">
        <f t="shared" si="19"/>
        <v>38.065351404521465</v>
      </c>
    </row>
    <row r="354" spans="1:32" x14ac:dyDescent="0.25">
      <c r="A354" s="1041"/>
      <c r="B354" s="1041"/>
      <c r="C354" s="1059"/>
      <c r="D354" s="1059"/>
      <c r="E354" s="1059"/>
      <c r="F354" s="1059"/>
      <c r="G354" s="1045"/>
      <c r="H354" s="890"/>
      <c r="I354" s="890"/>
      <c r="J354" s="890"/>
      <c r="K354" s="890"/>
      <c r="L354" s="890"/>
      <c r="M354" s="890"/>
      <c r="N354" s="890"/>
      <c r="O354" s="890"/>
      <c r="P354" s="890"/>
      <c r="Q354" s="890"/>
      <c r="R354" s="890"/>
      <c r="S354" s="890"/>
      <c r="T354" s="890"/>
      <c r="U354" s="890"/>
      <c r="V354" s="890"/>
      <c r="W354" s="890"/>
      <c r="X354" s="890"/>
      <c r="Y354" s="890"/>
      <c r="Z354" s="890"/>
      <c r="AA354" s="890"/>
      <c r="AB354" s="890"/>
      <c r="AC354" s="890"/>
      <c r="AD354" s="1059"/>
      <c r="AE354" s="1059"/>
      <c r="AF354" s="1059"/>
    </row>
    <row r="355" spans="1:32" x14ac:dyDescent="0.25">
      <c r="A355" s="843" t="s">
        <v>47</v>
      </c>
      <c r="B355" s="843"/>
      <c r="C355" s="843"/>
      <c r="D355" s="843"/>
      <c r="E355" s="843"/>
      <c r="F355" s="843"/>
      <c r="G355" s="865"/>
      <c r="H355" s="891"/>
      <c r="I355" s="891"/>
      <c r="J355" s="891"/>
      <c r="K355" s="891"/>
      <c r="L355" s="891"/>
      <c r="M355" s="891"/>
      <c r="N355" s="891"/>
      <c r="O355" s="891"/>
      <c r="P355" s="891"/>
      <c r="Q355" s="891"/>
      <c r="R355" s="891"/>
      <c r="S355" s="891"/>
      <c r="T355" s="891"/>
      <c r="U355" s="891"/>
      <c r="V355" s="891"/>
      <c r="W355" s="891"/>
      <c r="X355" s="891"/>
      <c r="Y355" s="891"/>
      <c r="Z355" s="891"/>
      <c r="AA355" s="891"/>
      <c r="AB355" s="891"/>
      <c r="AC355" s="891"/>
      <c r="AD355" s="843"/>
      <c r="AE355" s="843"/>
      <c r="AF355" s="843"/>
    </row>
    <row r="356" spans="1:32" x14ac:dyDescent="0.25">
      <c r="A356" s="1041"/>
      <c r="B356" s="1041" t="s">
        <v>48</v>
      </c>
      <c r="C356" s="1059"/>
      <c r="D356" s="1059"/>
      <c r="E356" s="1059"/>
      <c r="F356" s="1059"/>
      <c r="G356" s="1045"/>
      <c r="H356" s="890">
        <f>SUM(H31,H112,H193,H274)</f>
        <v>12.440612714385907</v>
      </c>
      <c r="I356" s="890">
        <f t="shared" ref="I356:AF356" si="20">SUM(I31,I112,I193,I274)</f>
        <v>9.5161763005565749</v>
      </c>
      <c r="J356" s="890">
        <f t="shared" si="20"/>
        <v>5.6437487031175193</v>
      </c>
      <c r="K356" s="890">
        <f t="shared" si="20"/>
        <v>2.5686171683147467</v>
      </c>
      <c r="L356" s="890">
        <f t="shared" si="20"/>
        <v>0.97727108302588761</v>
      </c>
      <c r="M356" s="890">
        <f t="shared" si="20"/>
        <v>0.32683497115488269</v>
      </c>
      <c r="N356" s="890">
        <f t="shared" si="20"/>
        <v>0.10944777094570475</v>
      </c>
      <c r="O356" s="890">
        <f t="shared" si="20"/>
        <v>3.8072310492320918E-2</v>
      </c>
      <c r="P356" s="890">
        <f t="shared" si="20"/>
        <v>1.3788205749372734E-2</v>
      </c>
      <c r="Q356" s="890">
        <f t="shared" si="20"/>
        <v>5.0073787653321551E-3</v>
      </c>
      <c r="R356" s="890">
        <f t="shared" si="20"/>
        <v>1.792330393751465E-3</v>
      </c>
      <c r="S356" s="890">
        <f t="shared" si="20"/>
        <v>6.2929116953711506E-4</v>
      </c>
      <c r="T356" s="890">
        <f t="shared" si="20"/>
        <v>2.1544049323251609E-4</v>
      </c>
      <c r="U356" s="890">
        <f t="shared" si="20"/>
        <v>7.1905458460480961E-5</v>
      </c>
      <c r="V356" s="890">
        <f t="shared" si="20"/>
        <v>2.3546078202290991E-5</v>
      </c>
      <c r="W356" s="890">
        <f t="shared" si="20"/>
        <v>7.5674760951084814E-6</v>
      </c>
      <c r="X356" s="890">
        <f t="shared" si="20"/>
        <v>2.3984482663410851E-6</v>
      </c>
      <c r="Y356" s="890">
        <f t="shared" si="20"/>
        <v>7.5209074360378886E-7</v>
      </c>
      <c r="Z356" s="890">
        <f t="shared" si="20"/>
        <v>2.3441926779794328E-7</v>
      </c>
      <c r="AA356" s="890">
        <f t="shared" si="20"/>
        <v>7.2896409157915073E-8</v>
      </c>
      <c r="AB356" s="890">
        <f t="shared" si="20"/>
        <v>2.2590168297914745E-8</v>
      </c>
      <c r="AC356" s="890">
        <f t="shared" si="20"/>
        <v>7.0017280343098063E-9</v>
      </c>
      <c r="AD356" s="890">
        <f t="shared" si="20"/>
        <v>2.1730089658536611E-9</v>
      </c>
      <c r="AE356" s="890">
        <f t="shared" si="20"/>
        <v>6.7532100798328461E-10</v>
      </c>
      <c r="AF356" s="890">
        <f t="shared" si="20"/>
        <v>2.0841255019945064E-10</v>
      </c>
    </row>
    <row r="357" spans="1:32" x14ac:dyDescent="0.25">
      <c r="A357" s="1041"/>
      <c r="B357" s="1043" t="s">
        <v>50</v>
      </c>
      <c r="C357" s="1059"/>
      <c r="D357" s="1059"/>
      <c r="E357" s="1059"/>
      <c r="F357" s="1059"/>
      <c r="G357" s="1045"/>
      <c r="H357" s="890">
        <f t="shared" ref="H357:AF357" si="21">SUM(H32,H113,H194,H275)</f>
        <v>7.138448392718999</v>
      </c>
      <c r="I357" s="890">
        <f t="shared" si="21"/>
        <v>6.3952351360598909</v>
      </c>
      <c r="J357" s="890">
        <f t="shared" si="21"/>
        <v>5.6969092662956822</v>
      </c>
      <c r="K357" s="890">
        <f t="shared" si="21"/>
        <v>4.8988292039820758</v>
      </c>
      <c r="L357" s="890">
        <f t="shared" si="21"/>
        <v>4.0209905207570973</v>
      </c>
      <c r="M357" s="890">
        <f t="shared" si="21"/>
        <v>3.1224151236343021</v>
      </c>
      <c r="N357" s="890">
        <f t="shared" si="21"/>
        <v>2.3000994614756327</v>
      </c>
      <c r="O357" s="890">
        <f t="shared" si="21"/>
        <v>1.6118631022141343</v>
      </c>
      <c r="P357" s="890">
        <f t="shared" si="21"/>
        <v>1.0773143842301307</v>
      </c>
      <c r="Q357" s="890">
        <f t="shared" si="21"/>
        <v>0.69017858366537355</v>
      </c>
      <c r="R357" s="890">
        <f t="shared" si="21"/>
        <v>0.42574648163546047</v>
      </c>
      <c r="S357" s="890">
        <f t="shared" si="21"/>
        <v>0.25498355430958725</v>
      </c>
      <c r="T357" s="890">
        <f t="shared" si="21"/>
        <v>0.1493050185987268</v>
      </c>
      <c r="U357" s="890">
        <f t="shared" si="21"/>
        <v>8.6100157061716531E-2</v>
      </c>
      <c r="V357" s="890">
        <f t="shared" si="21"/>
        <v>4.9340347464620501E-2</v>
      </c>
      <c r="W357" s="890">
        <f t="shared" si="21"/>
        <v>2.8262549752052529E-2</v>
      </c>
      <c r="X357" s="890">
        <f t="shared" si="21"/>
        <v>1.6312642171974565E-2</v>
      </c>
      <c r="Y357" s="890">
        <f t="shared" si="21"/>
        <v>9.5460291487015486E-3</v>
      </c>
      <c r="Z357" s="890">
        <f t="shared" si="21"/>
        <v>5.7061202422845209E-3</v>
      </c>
      <c r="AA357" s="890">
        <f t="shared" si="21"/>
        <v>3.5071206716081474E-3</v>
      </c>
      <c r="AB357" s="890">
        <f t="shared" si="21"/>
        <v>2.2162343781455093E-3</v>
      </c>
      <c r="AC357" s="890">
        <f t="shared" si="21"/>
        <v>1.4411422970563644E-3</v>
      </c>
      <c r="AD357" s="890">
        <f t="shared" si="21"/>
        <v>9.6335369334938563E-4</v>
      </c>
      <c r="AE357" s="890">
        <f t="shared" si="21"/>
        <v>6.5879213634874019E-4</v>
      </c>
      <c r="AF357" s="890">
        <f t="shared" si="21"/>
        <v>4.5315156614575723E-4</v>
      </c>
    </row>
    <row r="358" spans="1:32" x14ac:dyDescent="0.25">
      <c r="A358" s="1041"/>
      <c r="B358" s="1041" t="s">
        <v>51</v>
      </c>
      <c r="C358" s="1059"/>
      <c r="D358" s="1059"/>
      <c r="E358" s="1059"/>
      <c r="F358" s="1059"/>
      <c r="G358" s="1045"/>
      <c r="H358" s="890">
        <f>SUM(H33,H114,H195,H276)</f>
        <v>7.7520860317335316</v>
      </c>
      <c r="I358" s="890">
        <f t="shared" ref="I358:AF358" si="22">SUM(I33,I114,I195,I276)</f>
        <v>7.429253862823856</v>
      </c>
      <c r="J358" s="890">
        <f t="shared" si="22"/>
        <v>6.9847531906413129</v>
      </c>
      <c r="K358" s="890">
        <f t="shared" si="22"/>
        <v>6.4325817255698032</v>
      </c>
      <c r="L358" s="890">
        <f t="shared" si="22"/>
        <v>5.8033100416717573</v>
      </c>
      <c r="M358" s="890">
        <f t="shared" si="22"/>
        <v>5.1246823877169145</v>
      </c>
      <c r="N358" s="890">
        <f t="shared" si="22"/>
        <v>4.4592563707110386</v>
      </c>
      <c r="O358" s="890">
        <f t="shared" si="22"/>
        <v>3.8403358375144712</v>
      </c>
      <c r="P358" s="890">
        <f t="shared" si="22"/>
        <v>3.2617998315523438</v>
      </c>
      <c r="Q358" s="890">
        <f t="shared" si="22"/>
        <v>2.7515818459627948</v>
      </c>
      <c r="R358" s="890">
        <f t="shared" si="22"/>
        <v>2.3008426069158783</v>
      </c>
      <c r="S358" s="890">
        <f t="shared" si="22"/>
        <v>1.9173018472162267</v>
      </c>
      <c r="T358" s="890">
        <f t="shared" si="22"/>
        <v>1.5940421669450713</v>
      </c>
      <c r="U358" s="890">
        <f t="shared" si="22"/>
        <v>1.3245221487624461</v>
      </c>
      <c r="V358" s="890">
        <f t="shared" si="22"/>
        <v>1.1013330371705807</v>
      </c>
      <c r="W358" s="890">
        <f t="shared" si="22"/>
        <v>0.91591400151864033</v>
      </c>
      <c r="X358" s="890">
        <f t="shared" si="22"/>
        <v>0.76446095539392889</v>
      </c>
      <c r="Y358" s="890">
        <f t="shared" si="22"/>
        <v>0.63958851703724207</v>
      </c>
      <c r="Z358" s="890">
        <f t="shared" si="22"/>
        <v>0.53603676402289802</v>
      </c>
      <c r="AA358" s="890">
        <f t="shared" si="22"/>
        <v>0.45022621518008887</v>
      </c>
      <c r="AB358" s="890">
        <f t="shared" si="22"/>
        <v>0.37929401685754849</v>
      </c>
      <c r="AC358" s="890">
        <f t="shared" si="22"/>
        <v>0.32030706117695662</v>
      </c>
      <c r="AD358" s="890">
        <f t="shared" si="22"/>
        <v>0.27112208221202699</v>
      </c>
      <c r="AE358" s="890">
        <f t="shared" si="22"/>
        <v>0.23004756595534689</v>
      </c>
      <c r="AF358" s="890">
        <f t="shared" si="22"/>
        <v>0.19552950001824015</v>
      </c>
    </row>
    <row r="359" spans="1:32" x14ac:dyDescent="0.25">
      <c r="A359" s="1041"/>
      <c r="B359" s="1041" t="s">
        <v>52</v>
      </c>
      <c r="C359" s="1059"/>
      <c r="D359" s="1059"/>
      <c r="E359" s="1059"/>
      <c r="F359" s="1059"/>
      <c r="G359" s="1045"/>
      <c r="H359" s="890">
        <f t="shared" ref="H359:AF359" si="23">SUM(H34,H115,H196,H277)</f>
        <v>5.7570206455218003</v>
      </c>
      <c r="I359" s="890">
        <f t="shared" si="23"/>
        <v>5.7226161858346716</v>
      </c>
      <c r="J359" s="890">
        <f t="shared" si="23"/>
        <v>5.6293473764083721</v>
      </c>
      <c r="K359" s="890">
        <f t="shared" si="23"/>
        <v>5.4796835039658935</v>
      </c>
      <c r="L359" s="890">
        <f t="shared" si="23"/>
        <v>5.2955100872899639</v>
      </c>
      <c r="M359" s="890">
        <f t="shared" si="23"/>
        <v>5.0675401319292792</v>
      </c>
      <c r="N359" s="890">
        <f t="shared" si="23"/>
        <v>4.8271414120034803</v>
      </c>
      <c r="O359" s="890">
        <f t="shared" si="23"/>
        <v>4.5968657658737282</v>
      </c>
      <c r="P359" s="890">
        <f t="shared" si="23"/>
        <v>4.3529225974221593</v>
      </c>
      <c r="Q359" s="890">
        <f t="shared" si="23"/>
        <v>4.1213624733545107</v>
      </c>
      <c r="R359" s="890">
        <f t="shared" si="23"/>
        <v>3.8881649545431243</v>
      </c>
      <c r="S359" s="890">
        <f t="shared" si="23"/>
        <v>3.6677446447426272</v>
      </c>
      <c r="T359" s="890">
        <f t="shared" si="23"/>
        <v>3.4589981613825787</v>
      </c>
      <c r="U359" s="890">
        <f t="shared" si="23"/>
        <v>3.2592188317327366</v>
      </c>
      <c r="V359" s="890">
        <f t="shared" si="23"/>
        <v>3.0760030732210888</v>
      </c>
      <c r="W359" s="890">
        <f t="shared" si="23"/>
        <v>2.8988366555117935</v>
      </c>
      <c r="X359" s="890">
        <f t="shared" si="23"/>
        <v>2.739763519025229</v>
      </c>
      <c r="Y359" s="890">
        <f t="shared" si="23"/>
        <v>2.5944842558622576</v>
      </c>
      <c r="Z359" s="890">
        <f t="shared" si="23"/>
        <v>2.4551550027295566</v>
      </c>
      <c r="AA359" s="890">
        <f t="shared" si="23"/>
        <v>2.3234755933551563</v>
      </c>
      <c r="AB359" s="890">
        <f t="shared" si="23"/>
        <v>2.2027628924444467</v>
      </c>
      <c r="AC359" s="890">
        <f t="shared" si="23"/>
        <v>2.088257661581884</v>
      </c>
      <c r="AD359" s="890">
        <f t="shared" si="23"/>
        <v>1.980732961951621</v>
      </c>
      <c r="AE359" s="890">
        <f t="shared" si="23"/>
        <v>1.8813156191833202</v>
      </c>
      <c r="AF359" s="890">
        <f t="shared" si="23"/>
        <v>1.7863999642515191</v>
      </c>
    </row>
    <row r="360" spans="1:32" x14ac:dyDescent="0.25">
      <c r="A360" s="1041"/>
      <c r="B360" s="1043" t="s">
        <v>29</v>
      </c>
      <c r="C360" s="1059"/>
      <c r="D360" s="1059"/>
      <c r="E360" s="1059"/>
      <c r="F360" s="1059"/>
      <c r="G360" s="1045"/>
      <c r="H360" s="890">
        <f t="shared" ref="H360:AF360" si="24">SUM(H35,H116,H197,H278)</f>
        <v>5.8441461309880776</v>
      </c>
      <c r="I360" s="890">
        <f t="shared" si="24"/>
        <v>7.0485079537828597</v>
      </c>
      <c r="J360" s="890">
        <f t="shared" si="24"/>
        <v>9.6001834429251485</v>
      </c>
      <c r="K360" s="890">
        <f t="shared" si="24"/>
        <v>10.618733401266915</v>
      </c>
      <c r="L360" s="890">
        <f t="shared" si="24"/>
        <v>10.385759205177308</v>
      </c>
      <c r="M360" s="890">
        <f t="shared" si="24"/>
        <v>10.070811587437206</v>
      </c>
      <c r="N360" s="890">
        <f t="shared" si="24"/>
        <v>10.053816118628902</v>
      </c>
      <c r="O360" s="890">
        <f t="shared" si="24"/>
        <v>10.209636689290095</v>
      </c>
      <c r="P360" s="890">
        <f t="shared" si="24"/>
        <v>10.505741491803276</v>
      </c>
      <c r="Q360" s="890">
        <f t="shared" si="24"/>
        <v>10.825210716347314</v>
      </c>
      <c r="R360" s="890">
        <f t="shared" si="24"/>
        <v>10.991543311069114</v>
      </c>
      <c r="S360" s="890">
        <f t="shared" si="24"/>
        <v>11.217480205689604</v>
      </c>
      <c r="T360" s="890">
        <f t="shared" si="24"/>
        <v>11.362120849876364</v>
      </c>
      <c r="U360" s="890">
        <f t="shared" si="24"/>
        <v>11.530406773000967</v>
      </c>
      <c r="V360" s="890">
        <f t="shared" si="24"/>
        <v>11.686064190687254</v>
      </c>
      <c r="W360" s="890">
        <f t="shared" si="24"/>
        <v>11.815284499071151</v>
      </c>
      <c r="X360" s="890">
        <f t="shared" si="24"/>
        <v>11.972192668685015</v>
      </c>
      <c r="Y360" s="890">
        <f t="shared" si="24"/>
        <v>12.127649960331162</v>
      </c>
      <c r="Z360" s="890">
        <f t="shared" si="24"/>
        <v>12.283009922548821</v>
      </c>
      <c r="AA360" s="890">
        <f t="shared" si="24"/>
        <v>12.414477281613255</v>
      </c>
      <c r="AB360" s="890">
        <f t="shared" si="24"/>
        <v>12.566523243314354</v>
      </c>
      <c r="AC360" s="890">
        <f t="shared" si="24"/>
        <v>12.714209959139744</v>
      </c>
      <c r="AD360" s="890">
        <f t="shared" si="24"/>
        <v>12.857622642730583</v>
      </c>
      <c r="AE360" s="890">
        <f t="shared" si="24"/>
        <v>13.003219932310135</v>
      </c>
      <c r="AF360" s="890">
        <f t="shared" si="24"/>
        <v>13.149254531714561</v>
      </c>
    </row>
    <row r="361" spans="1:32" x14ac:dyDescent="0.25">
      <c r="A361" s="1041"/>
      <c r="B361" s="1043" t="s">
        <v>53</v>
      </c>
      <c r="C361" s="1059"/>
      <c r="D361" s="1059"/>
      <c r="E361" s="1059"/>
      <c r="F361" s="1059"/>
      <c r="G361" s="1045"/>
      <c r="H361" s="890">
        <f t="shared" ref="H361:AF361" si="25">SUM(H36,H117,H198,H279)</f>
        <v>1.3700613363203624E-2</v>
      </c>
      <c r="I361" s="890">
        <f t="shared" si="25"/>
        <v>1.3698193681425838E-2</v>
      </c>
      <c r="J361" s="890">
        <f t="shared" si="25"/>
        <v>1.3461191671411601E-2</v>
      </c>
      <c r="K361" s="890">
        <f t="shared" si="25"/>
        <v>1.2922325381891987E-2</v>
      </c>
      <c r="L361" s="890">
        <f t="shared" si="25"/>
        <v>1.2298535031994219E-2</v>
      </c>
      <c r="M361" s="890">
        <f t="shared" si="25"/>
        <v>1.1550729058774776E-2</v>
      </c>
      <c r="N361" s="890">
        <f t="shared" si="25"/>
        <v>1.0739170698676111E-2</v>
      </c>
      <c r="O361" s="890">
        <f t="shared" si="25"/>
        <v>9.9534053225387616E-3</v>
      </c>
      <c r="P361" s="890">
        <f t="shared" si="25"/>
        <v>9.2300867820640075E-3</v>
      </c>
      <c r="Q361" s="890">
        <f t="shared" si="25"/>
        <v>8.5615218767305708E-3</v>
      </c>
      <c r="R361" s="890">
        <f t="shared" si="25"/>
        <v>7.945297147275732E-3</v>
      </c>
      <c r="S361" s="890">
        <f t="shared" si="25"/>
        <v>7.4149654592725869E-3</v>
      </c>
      <c r="T361" s="890">
        <f t="shared" si="25"/>
        <v>6.9388710474388281E-3</v>
      </c>
      <c r="U361" s="890">
        <f t="shared" si="25"/>
        <v>6.5104233268736822E-3</v>
      </c>
      <c r="V361" s="890">
        <f t="shared" si="25"/>
        <v>6.1372992880221163E-3</v>
      </c>
      <c r="W361" s="890">
        <f t="shared" si="25"/>
        <v>5.7930896754335836E-3</v>
      </c>
      <c r="X361" s="890">
        <f t="shared" si="25"/>
        <v>5.4728709945933065E-3</v>
      </c>
      <c r="Y361" s="890">
        <f t="shared" si="25"/>
        <v>5.1748773616524316E-3</v>
      </c>
      <c r="Z361" s="890">
        <f t="shared" si="25"/>
        <v>4.9056018124996022E-3</v>
      </c>
      <c r="AA361" s="890">
        <f t="shared" si="25"/>
        <v>4.6634485291009373E-3</v>
      </c>
      <c r="AB361" s="890">
        <f t="shared" si="25"/>
        <v>4.4436866107249407E-3</v>
      </c>
      <c r="AC361" s="890">
        <f t="shared" si="25"/>
        <v>4.223434896723232E-3</v>
      </c>
      <c r="AD361" s="890">
        <f t="shared" si="25"/>
        <v>4.01435405138496E-3</v>
      </c>
      <c r="AE361" s="890">
        <f t="shared" si="25"/>
        <v>3.8144916105748482E-3</v>
      </c>
      <c r="AF361" s="890">
        <f t="shared" si="25"/>
        <v>3.6180417748338297E-3</v>
      </c>
    </row>
    <row r="362" spans="1:32" x14ac:dyDescent="0.25">
      <c r="A362" s="1059"/>
      <c r="B362" s="1059"/>
      <c r="C362" s="1059"/>
      <c r="D362" s="1059"/>
      <c r="E362" s="1059"/>
      <c r="F362" s="1059"/>
      <c r="G362" s="1059"/>
      <c r="H362" s="1059"/>
      <c r="I362" s="1059"/>
      <c r="J362" s="1059"/>
      <c r="K362" s="1059"/>
      <c r="L362" s="1059"/>
      <c r="M362" s="1059"/>
      <c r="N362" s="1059"/>
      <c r="O362" s="1059"/>
      <c r="P362" s="1059"/>
      <c r="Q362" s="1059"/>
      <c r="R362" s="1059"/>
      <c r="S362" s="1059"/>
      <c r="T362" s="1059"/>
      <c r="U362" s="1059"/>
      <c r="V362" s="1059"/>
      <c r="W362" s="1059"/>
      <c r="X362" s="1059"/>
      <c r="Y362" s="1059"/>
      <c r="Z362" s="1059"/>
      <c r="AA362" s="1059"/>
      <c r="AB362" s="1059"/>
      <c r="AC362" s="1059"/>
      <c r="AD362" s="1059"/>
      <c r="AE362" s="1059"/>
      <c r="AF362" s="1059"/>
    </row>
    <row r="363" spans="1:32" x14ac:dyDescent="0.25">
      <c r="A363" s="1059"/>
      <c r="B363" s="1059"/>
      <c r="C363" s="1059"/>
      <c r="D363" s="1059"/>
      <c r="E363" s="1059"/>
      <c r="F363" s="1059"/>
      <c r="G363" s="208">
        <v>2010</v>
      </c>
      <c r="H363" s="208">
        <v>2011</v>
      </c>
      <c r="I363" s="208">
        <v>2012</v>
      </c>
      <c r="J363" s="208">
        <v>2013</v>
      </c>
      <c r="K363" s="208">
        <v>2014</v>
      </c>
      <c r="L363" s="208">
        <v>2015</v>
      </c>
      <c r="M363" s="208">
        <v>2016</v>
      </c>
      <c r="N363" s="208">
        <v>2017</v>
      </c>
      <c r="O363" s="208">
        <v>2018</v>
      </c>
      <c r="P363" s="208">
        <v>2019</v>
      </c>
      <c r="Q363" s="208">
        <v>2020</v>
      </c>
      <c r="R363" s="208">
        <v>2021</v>
      </c>
      <c r="S363" s="208">
        <v>2022</v>
      </c>
      <c r="T363" s="208">
        <v>2023</v>
      </c>
      <c r="U363" s="208">
        <v>2024</v>
      </c>
      <c r="V363" s="208">
        <v>2025</v>
      </c>
      <c r="W363" s="208">
        <v>2026</v>
      </c>
      <c r="X363" s="208">
        <v>2027</v>
      </c>
      <c r="Y363" s="208">
        <v>2028</v>
      </c>
      <c r="Z363" s="208">
        <v>2029</v>
      </c>
      <c r="AA363" s="208">
        <v>2030</v>
      </c>
      <c r="AB363" s="208">
        <v>2031</v>
      </c>
      <c r="AC363" s="208">
        <v>2032</v>
      </c>
      <c r="AD363" s="208">
        <v>2033</v>
      </c>
      <c r="AE363" s="208">
        <v>2034</v>
      </c>
      <c r="AF363" s="208">
        <v>2035</v>
      </c>
    </row>
    <row r="364" spans="1:32" x14ac:dyDescent="0.25">
      <c r="A364" s="1047" t="s">
        <v>739</v>
      </c>
      <c r="B364" s="1048"/>
      <c r="C364" s="1047"/>
      <c r="D364" s="1046"/>
      <c r="E364" s="1046"/>
      <c r="F364" s="1046"/>
      <c r="G364" s="1046"/>
      <c r="H364" s="862"/>
      <c r="I364" s="862"/>
      <c r="J364" s="862"/>
      <c r="K364" s="862"/>
      <c r="L364" s="862"/>
      <c r="M364" s="862"/>
      <c r="N364" s="862"/>
      <c r="O364" s="862"/>
      <c r="P364" s="862"/>
      <c r="Q364" s="862"/>
      <c r="R364" s="862"/>
      <c r="S364" s="862"/>
      <c r="T364" s="862"/>
      <c r="U364" s="862"/>
      <c r="V364" s="862"/>
      <c r="W364" s="862"/>
      <c r="X364" s="862"/>
      <c r="Y364" s="862"/>
      <c r="Z364" s="862"/>
      <c r="AA364" s="862"/>
      <c r="AB364" s="862"/>
      <c r="AC364" s="862"/>
      <c r="AD364" s="862"/>
      <c r="AE364" s="862"/>
      <c r="AF364" s="862"/>
    </row>
    <row r="365" spans="1:32" x14ac:dyDescent="0.25">
      <c r="A365" s="1042" t="s">
        <v>740</v>
      </c>
      <c r="B365" s="1041"/>
      <c r="C365" s="1059"/>
      <c r="D365" s="1059"/>
      <c r="E365" s="1059"/>
      <c r="F365" s="1059"/>
      <c r="G365" s="1059"/>
      <c r="H365" s="1059"/>
      <c r="I365" s="1059"/>
      <c r="J365" s="1059"/>
      <c r="K365" s="1059"/>
      <c r="L365" s="1059"/>
      <c r="M365" s="1059"/>
      <c r="N365" s="1059"/>
      <c r="O365" s="1059"/>
      <c r="P365" s="1059"/>
      <c r="Q365" s="1059"/>
      <c r="R365" s="1059"/>
      <c r="S365" s="1059"/>
      <c r="T365" s="1059"/>
      <c r="U365" s="1059"/>
      <c r="V365" s="1059"/>
      <c r="W365" s="1059"/>
      <c r="X365" s="1059"/>
      <c r="Y365" s="1059"/>
      <c r="Z365" s="1059"/>
      <c r="AA365" s="1059"/>
      <c r="AB365" s="1059"/>
      <c r="AC365" s="1059"/>
      <c r="AD365" s="1059"/>
      <c r="AE365" s="1059"/>
      <c r="AF365" s="1059"/>
    </row>
    <row r="366" spans="1:32" x14ac:dyDescent="0.25">
      <c r="A366" s="1041"/>
      <c r="B366" s="1041" t="s">
        <v>20</v>
      </c>
      <c r="C366" s="1059"/>
      <c r="D366" s="1059"/>
      <c r="E366" s="1059"/>
      <c r="F366" s="1059"/>
      <c r="G366" s="1059"/>
      <c r="H366" s="1059"/>
      <c r="I366" s="1059"/>
      <c r="J366" s="1059"/>
      <c r="K366" s="1059"/>
      <c r="L366" s="1059"/>
      <c r="M366" s="1059"/>
      <c r="N366" s="1059"/>
      <c r="O366" s="1059"/>
      <c r="P366" s="1059"/>
      <c r="Q366" s="1059"/>
      <c r="R366" s="1059"/>
      <c r="S366" s="1059"/>
      <c r="T366" s="1059"/>
      <c r="U366" s="1059"/>
      <c r="V366" s="1059"/>
      <c r="W366" s="1059"/>
      <c r="X366" s="1059"/>
      <c r="Y366" s="1059"/>
      <c r="Z366" s="1059"/>
      <c r="AA366" s="1059"/>
      <c r="AB366" s="1059"/>
      <c r="AC366" s="1059"/>
      <c r="AD366" s="1059"/>
      <c r="AE366" s="1059"/>
      <c r="AF366" s="1059"/>
    </row>
    <row r="367" spans="1:32" x14ac:dyDescent="0.25">
      <c r="A367" s="843" t="s">
        <v>21</v>
      </c>
      <c r="B367" s="843"/>
      <c r="C367" s="843"/>
      <c r="D367" s="843"/>
      <c r="E367" s="843"/>
      <c r="F367" s="843"/>
      <c r="G367" s="843"/>
      <c r="H367" s="843"/>
      <c r="I367" s="843"/>
      <c r="J367" s="843"/>
      <c r="K367" s="843"/>
      <c r="L367" s="843"/>
      <c r="M367" s="843"/>
      <c r="N367" s="843"/>
      <c r="O367" s="843"/>
      <c r="P367" s="843"/>
      <c r="Q367" s="843"/>
      <c r="R367" s="843"/>
      <c r="S367" s="843"/>
      <c r="T367" s="843"/>
      <c r="U367" s="843"/>
      <c r="V367" s="843"/>
      <c r="W367" s="843"/>
      <c r="X367" s="843"/>
      <c r="Y367" s="843"/>
      <c r="Z367" s="843"/>
      <c r="AA367" s="843"/>
      <c r="AB367" s="843"/>
      <c r="AC367" s="843"/>
      <c r="AD367" s="843"/>
      <c r="AE367" s="843"/>
      <c r="AF367" s="843"/>
    </row>
    <row r="368" spans="1:32" x14ac:dyDescent="0.25">
      <c r="A368" s="1041"/>
      <c r="B368" s="1041" t="s">
        <v>22</v>
      </c>
      <c r="C368" s="1059"/>
      <c r="D368" s="1059"/>
      <c r="E368" s="1059"/>
      <c r="F368" s="1059"/>
      <c r="G368" s="1045"/>
      <c r="H368" s="855">
        <f>H331/SUM(H$331:H$334)</f>
        <v>0.63642240977717401</v>
      </c>
      <c r="I368" s="855">
        <f t="shared" ref="I368:AF371" si="26">I331/SUM(I$331:I$334)</f>
        <v>0.58129917560311983</v>
      </c>
      <c r="J368" s="855">
        <f t="shared" si="26"/>
        <v>0.40339904096449958</v>
      </c>
      <c r="K368" s="855">
        <f t="shared" si="26"/>
        <v>0.29548474565979982</v>
      </c>
      <c r="L368" s="855">
        <f t="shared" si="26"/>
        <v>0.19866942662448545</v>
      </c>
      <c r="M368" s="855">
        <f t="shared" si="26"/>
        <v>7.6916245186823218E-2</v>
      </c>
      <c r="N368" s="855">
        <f t="shared" si="26"/>
        <v>6.9701679203345246E-2</v>
      </c>
      <c r="O368" s="855">
        <f t="shared" si="26"/>
        <v>6.2670366716659917E-2</v>
      </c>
      <c r="P368" s="855">
        <f t="shared" si="26"/>
        <v>5.6212607999940226E-2</v>
      </c>
      <c r="Q368" s="855">
        <f t="shared" si="26"/>
        <v>4.9482160614043605E-2</v>
      </c>
      <c r="R368" s="855">
        <f t="shared" si="26"/>
        <v>4.2717561497608081E-2</v>
      </c>
      <c r="S368" s="855">
        <f t="shared" si="26"/>
        <v>3.6465013450916163E-2</v>
      </c>
      <c r="T368" s="855">
        <f t="shared" si="26"/>
        <v>3.0801335179071635E-2</v>
      </c>
      <c r="U368" s="855">
        <f t="shared" si="26"/>
        <v>2.578533122834863E-2</v>
      </c>
      <c r="V368" s="855">
        <f t="shared" si="26"/>
        <v>2.1617205730362368E-2</v>
      </c>
      <c r="W368" s="855">
        <f t="shared" si="26"/>
        <v>1.8090271439603796E-2</v>
      </c>
      <c r="X368" s="855">
        <f t="shared" si="26"/>
        <v>1.5155452010241394E-2</v>
      </c>
      <c r="Y368" s="855">
        <f t="shared" si="26"/>
        <v>1.273448512123678E-2</v>
      </c>
      <c r="Z368" s="855">
        <f t="shared" si="26"/>
        <v>1.0792248473476495E-2</v>
      </c>
      <c r="AA368" s="855">
        <f t="shared" si="26"/>
        <v>9.2511089615638573E-3</v>
      </c>
      <c r="AB368" s="855">
        <f t="shared" si="26"/>
        <v>7.951535518216625E-3</v>
      </c>
      <c r="AC368" s="855">
        <f t="shared" si="26"/>
        <v>6.9014286923787431E-3</v>
      </c>
      <c r="AD368" s="855">
        <f t="shared" si="26"/>
        <v>6.0241623604549797E-3</v>
      </c>
      <c r="AE368" s="855">
        <f t="shared" si="26"/>
        <v>5.2740694687660209E-3</v>
      </c>
      <c r="AF368" s="855">
        <f t="shared" si="26"/>
        <v>4.5569994419592105E-3</v>
      </c>
    </row>
    <row r="369" spans="1:32" x14ac:dyDescent="0.25">
      <c r="A369" s="1041"/>
      <c r="B369" s="1041" t="s">
        <v>26</v>
      </c>
      <c r="C369" s="1059"/>
      <c r="D369" s="1059"/>
      <c r="E369" s="1059"/>
      <c r="F369" s="1059"/>
      <c r="G369" s="1045"/>
      <c r="H369" s="855">
        <f>H332/SUM(H$331:H$334)</f>
        <v>1.1287898888924088E-2</v>
      </c>
      <c r="I369" s="855">
        <f t="shared" ref="I369:W369" si="27">I332/SUM(I$331:I$334)</f>
        <v>5.0585470874865486E-2</v>
      </c>
      <c r="J369" s="855">
        <f t="shared" si="27"/>
        <v>0.15719043631969956</v>
      </c>
      <c r="K369" s="855">
        <f t="shared" si="27"/>
        <v>0.23391600857761094</v>
      </c>
      <c r="L369" s="855">
        <f t="shared" si="27"/>
        <v>0.26273036840188863</v>
      </c>
      <c r="M369" s="855">
        <f t="shared" si="27"/>
        <v>0.29155359948093945</v>
      </c>
      <c r="N369" s="855">
        <f t="shared" si="27"/>
        <v>0.27466125654604273</v>
      </c>
      <c r="O369" s="855">
        <f t="shared" si="27"/>
        <v>0.25591896865060976</v>
      </c>
      <c r="P369" s="855">
        <f t="shared" si="27"/>
        <v>0.23697509641694608</v>
      </c>
      <c r="Q369" s="855">
        <f t="shared" si="27"/>
        <v>0.21577681933483808</v>
      </c>
      <c r="R369" s="855">
        <f t="shared" si="27"/>
        <v>0.19330350830124662</v>
      </c>
      <c r="S369" s="855">
        <f t="shared" si="27"/>
        <v>0.17158453052399072</v>
      </c>
      <c r="T369" s="855">
        <f t="shared" si="27"/>
        <v>0.15109863150197947</v>
      </c>
      <c r="U369" s="855">
        <f t="shared" si="27"/>
        <v>0.13230172288263792</v>
      </c>
      <c r="V369" s="855">
        <f t="shared" si="27"/>
        <v>0.11618710745244157</v>
      </c>
      <c r="W369" s="855">
        <f t="shared" si="27"/>
        <v>0.10214926761687876</v>
      </c>
      <c r="X369" s="855">
        <f t="shared" si="26"/>
        <v>9.0152870969043258E-2</v>
      </c>
      <c r="Y369" s="855">
        <f t="shared" si="26"/>
        <v>7.9988829400662875E-2</v>
      </c>
      <c r="Z369" s="855">
        <f t="shared" si="26"/>
        <v>7.1653565995427243E-2</v>
      </c>
      <c r="AA369" s="855">
        <f t="shared" si="26"/>
        <v>6.4920849335608835E-2</v>
      </c>
      <c r="AB369" s="855">
        <f t="shared" si="26"/>
        <v>5.9095854779223703E-2</v>
      </c>
      <c r="AC369" s="855">
        <f t="shared" si="26"/>
        <v>5.4242951434466058E-2</v>
      </c>
      <c r="AD369" s="855">
        <f t="shared" si="26"/>
        <v>5.0074356432252734E-2</v>
      </c>
      <c r="AE369" s="855">
        <f t="shared" si="26"/>
        <v>4.6377043108792967E-2</v>
      </c>
      <c r="AF369" s="855">
        <f t="shared" si="26"/>
        <v>4.2581552600100735E-2</v>
      </c>
    </row>
    <row r="370" spans="1:32" x14ac:dyDescent="0.25">
      <c r="A370" s="1041"/>
      <c r="B370" s="1041" t="s">
        <v>27</v>
      </c>
      <c r="C370" s="1059"/>
      <c r="D370" s="1059"/>
      <c r="E370" s="1059"/>
      <c r="F370" s="1059"/>
      <c r="G370" s="1045"/>
      <c r="H370" s="855">
        <f>H333/SUM(H$331:H$334)</f>
        <v>0.34958766556003734</v>
      </c>
      <c r="I370" s="855">
        <f t="shared" si="26"/>
        <v>0.36080138769373399</v>
      </c>
      <c r="J370" s="855">
        <f t="shared" si="26"/>
        <v>0.42672260762814535</v>
      </c>
      <c r="K370" s="855">
        <f t="shared" si="26"/>
        <v>0.44757663991348989</v>
      </c>
      <c r="L370" s="855">
        <f t="shared" si="26"/>
        <v>0.49821826562790478</v>
      </c>
      <c r="M370" s="855">
        <f t="shared" si="26"/>
        <v>0.56256762949375672</v>
      </c>
      <c r="N370" s="855">
        <f t="shared" si="26"/>
        <v>0.54717547650103482</v>
      </c>
      <c r="O370" s="855">
        <f t="shared" si="26"/>
        <v>0.52276362664209941</v>
      </c>
      <c r="P370" s="855">
        <f t="shared" si="26"/>
        <v>0.48991343785314606</v>
      </c>
      <c r="Q370" s="855">
        <f t="shared" si="26"/>
        <v>0.45371851907667465</v>
      </c>
      <c r="R370" s="855">
        <f t="shared" si="26"/>
        <v>0.4165245296861364</v>
      </c>
      <c r="S370" s="855">
        <f t="shared" si="26"/>
        <v>0.37884505909587352</v>
      </c>
      <c r="T370" s="855">
        <f t="shared" si="26"/>
        <v>0.3428944708505049</v>
      </c>
      <c r="U370" s="855">
        <f t="shared" si="26"/>
        <v>0.30998613071402997</v>
      </c>
      <c r="V370" s="855">
        <f t="shared" si="26"/>
        <v>0.28074907392313869</v>
      </c>
      <c r="W370" s="855">
        <f t="shared" si="26"/>
        <v>0.25580142706481673</v>
      </c>
      <c r="X370" s="855">
        <f t="shared" si="26"/>
        <v>0.23495154881772626</v>
      </c>
      <c r="Y370" s="855">
        <f t="shared" si="26"/>
        <v>0.21781425815475577</v>
      </c>
      <c r="Z370" s="855">
        <f t="shared" si="26"/>
        <v>0.20385837538227936</v>
      </c>
      <c r="AA370" s="855">
        <f t="shared" si="26"/>
        <v>0.19261211548884569</v>
      </c>
      <c r="AB370" s="855">
        <f t="shared" si="26"/>
        <v>0.18348660836111699</v>
      </c>
      <c r="AC370" s="855">
        <f t="shared" si="26"/>
        <v>0.17610979778492544</v>
      </c>
      <c r="AD370" s="855">
        <f t="shared" si="26"/>
        <v>0.17006915731776051</v>
      </c>
      <c r="AE370" s="855">
        <f t="shared" si="26"/>
        <v>0.16502951215298806</v>
      </c>
      <c r="AF370" s="855">
        <f t="shared" si="26"/>
        <v>0.16050863167575008</v>
      </c>
    </row>
    <row r="371" spans="1:32" x14ac:dyDescent="0.25">
      <c r="A371" s="1041"/>
      <c r="B371" s="1041" t="s">
        <v>29</v>
      </c>
      <c r="C371" s="1059"/>
      <c r="D371" s="1059"/>
      <c r="E371" s="1059"/>
      <c r="F371" s="1059"/>
      <c r="G371" s="1045"/>
      <c r="H371" s="1118">
        <f>H334/SUM(H$331:H$334)</f>
        <v>2.7020257738644515E-3</v>
      </c>
      <c r="I371" s="855">
        <f t="shared" si="26"/>
        <v>7.3139658282805678E-3</v>
      </c>
      <c r="J371" s="855">
        <f t="shared" si="26"/>
        <v>1.2687915087655483E-2</v>
      </c>
      <c r="K371" s="855">
        <f t="shared" si="26"/>
        <v>2.3022605849099473E-2</v>
      </c>
      <c r="L371" s="1118">
        <f t="shared" si="26"/>
        <v>4.0381939345720957E-2</v>
      </c>
      <c r="M371" s="855">
        <f t="shared" si="26"/>
        <v>6.8962525838480657E-2</v>
      </c>
      <c r="N371" s="855">
        <f t="shared" si="26"/>
        <v>0.10846158774957713</v>
      </c>
      <c r="O371" s="855">
        <f t="shared" si="26"/>
        <v>0.15864703799063082</v>
      </c>
      <c r="P371" s="855">
        <f t="shared" si="26"/>
        <v>0.21689885772996756</v>
      </c>
      <c r="Q371" s="1118">
        <f t="shared" si="26"/>
        <v>0.28102250097444376</v>
      </c>
      <c r="R371" s="855">
        <f t="shared" si="26"/>
        <v>0.34745440051500887</v>
      </c>
      <c r="S371" s="855">
        <f t="shared" si="26"/>
        <v>0.4131053969292196</v>
      </c>
      <c r="T371" s="855">
        <f t="shared" si="26"/>
        <v>0.47520556246844403</v>
      </c>
      <c r="U371" s="855">
        <f t="shared" si="26"/>
        <v>0.53192681517498352</v>
      </c>
      <c r="V371" s="1118">
        <f t="shared" si="26"/>
        <v>0.58144661289405741</v>
      </c>
      <c r="W371" s="855">
        <f t="shared" si="26"/>
        <v>0.62395903387870066</v>
      </c>
      <c r="X371" s="855">
        <f t="shared" si="26"/>
        <v>0.65974012820298911</v>
      </c>
      <c r="Y371" s="855">
        <f t="shared" si="26"/>
        <v>0.68946242732334451</v>
      </c>
      <c r="Z371" s="855">
        <f t="shared" si="26"/>
        <v>0.71369581014881689</v>
      </c>
      <c r="AA371" s="1118">
        <f t="shared" si="26"/>
        <v>0.73321592621398157</v>
      </c>
      <c r="AB371" s="855">
        <f t="shared" si="26"/>
        <v>0.7494660013414427</v>
      </c>
      <c r="AC371" s="855">
        <f t="shared" si="26"/>
        <v>0.76274582208822972</v>
      </c>
      <c r="AD371" s="855">
        <f t="shared" si="26"/>
        <v>0.77383232388953171</v>
      </c>
      <c r="AE371" s="855">
        <f t="shared" si="26"/>
        <v>0.78331937526945306</v>
      </c>
      <c r="AF371" s="855">
        <f t="shared" si="26"/>
        <v>0.7923528162821899</v>
      </c>
    </row>
    <row r="372" spans="1:32" x14ac:dyDescent="0.25">
      <c r="A372" s="1041"/>
      <c r="B372" s="1041"/>
      <c r="C372" s="1059"/>
      <c r="D372" s="1059"/>
      <c r="E372" s="1059"/>
      <c r="F372" s="1059"/>
      <c r="G372" s="1045"/>
      <c r="H372" s="1059"/>
      <c r="I372" s="1059"/>
      <c r="J372" s="1059"/>
      <c r="K372" s="1059"/>
      <c r="L372" s="1059"/>
      <c r="M372" s="1059"/>
      <c r="N372" s="1059"/>
      <c r="O372" s="1059"/>
      <c r="P372" s="1059"/>
      <c r="Q372" s="1059"/>
      <c r="R372" s="1059"/>
      <c r="S372" s="1059"/>
      <c r="T372" s="1059"/>
      <c r="U372" s="1059"/>
      <c r="V372" s="1059"/>
      <c r="W372" s="1059"/>
      <c r="X372" s="1059"/>
      <c r="Y372" s="1059"/>
      <c r="Z372" s="1059"/>
      <c r="AA372" s="1059"/>
      <c r="AB372" s="1059"/>
      <c r="AC372" s="1059"/>
      <c r="AD372" s="1059"/>
      <c r="AE372" s="1059"/>
      <c r="AF372" s="1059"/>
    </row>
    <row r="373" spans="1:32" x14ac:dyDescent="0.25">
      <c r="A373" s="843" t="s">
        <v>32</v>
      </c>
      <c r="B373" s="843"/>
      <c r="C373" s="843"/>
      <c r="D373" s="843"/>
      <c r="E373" s="843"/>
      <c r="F373" s="843"/>
      <c r="G373" s="865"/>
      <c r="H373" s="843"/>
      <c r="I373" s="843"/>
      <c r="J373" s="843"/>
      <c r="K373" s="843"/>
      <c r="L373" s="843"/>
      <c r="M373" s="843"/>
      <c r="N373" s="843"/>
      <c r="O373" s="843"/>
      <c r="P373" s="843"/>
      <c r="Q373" s="843"/>
      <c r="R373" s="843"/>
      <c r="S373" s="843"/>
      <c r="T373" s="843"/>
      <c r="U373" s="843"/>
      <c r="V373" s="843"/>
      <c r="W373" s="843"/>
      <c r="X373" s="843"/>
      <c r="Y373" s="843"/>
      <c r="Z373" s="843"/>
      <c r="AA373" s="843"/>
      <c r="AB373" s="843"/>
      <c r="AC373" s="843"/>
      <c r="AD373" s="843"/>
      <c r="AE373" s="843"/>
      <c r="AF373" s="843"/>
    </row>
    <row r="374" spans="1:32" x14ac:dyDescent="0.25">
      <c r="A374" s="1041"/>
      <c r="B374" s="1041" t="s">
        <v>33</v>
      </c>
      <c r="C374" s="1059"/>
      <c r="D374" s="1059"/>
      <c r="E374" s="1059"/>
      <c r="F374" s="1059"/>
      <c r="G374" s="1045"/>
      <c r="H374" s="855">
        <f>H337/SUM(H$337:H$340)</f>
        <v>0.27729319069126535</v>
      </c>
      <c r="I374" s="855">
        <f t="shared" ref="I374:AF377" si="28">I337/SUM(I$337:I$340)</f>
        <v>0.29169105765072167</v>
      </c>
      <c r="J374" s="855">
        <f t="shared" si="28"/>
        <v>0.30004665217735949</v>
      </c>
      <c r="K374" s="855">
        <f t="shared" si="28"/>
        <v>0.2999243358748358</v>
      </c>
      <c r="L374" s="855">
        <f t="shared" si="28"/>
        <v>0.27936043529090754</v>
      </c>
      <c r="M374" s="855">
        <f t="shared" si="28"/>
        <v>0.25150547265440815</v>
      </c>
      <c r="N374" s="855">
        <f t="shared" si="28"/>
        <v>0.22450215201993606</v>
      </c>
      <c r="O374" s="855">
        <f t="shared" si="28"/>
        <v>0.1980653042861768</v>
      </c>
      <c r="P374" s="855">
        <f t="shared" si="28"/>
        <v>0.17370195603685132</v>
      </c>
      <c r="Q374" s="855">
        <f t="shared" si="28"/>
        <v>0.14975393777907348</v>
      </c>
      <c r="R374" s="855">
        <f t="shared" si="28"/>
        <v>0.12703303256850274</v>
      </c>
      <c r="S374" s="855">
        <f t="shared" si="28"/>
        <v>0.10691517893770217</v>
      </c>
      <c r="T374" s="855">
        <f t="shared" si="28"/>
        <v>8.9426173557249342E-2</v>
      </c>
      <c r="U374" s="855">
        <f t="shared" si="28"/>
        <v>7.4517634520827616E-2</v>
      </c>
      <c r="V374" s="855">
        <f t="shared" si="28"/>
        <v>6.2548650239512865E-2</v>
      </c>
      <c r="W374" s="855">
        <f t="shared" si="28"/>
        <v>5.276714010091927E-2</v>
      </c>
      <c r="X374" s="855">
        <f t="shared" si="28"/>
        <v>4.4874368453569943E-2</v>
      </c>
      <c r="Y374" s="855">
        <f t="shared" si="28"/>
        <v>3.8513638123752858E-2</v>
      </c>
      <c r="Z374" s="855">
        <f t="shared" si="28"/>
        <v>3.3514402186808429E-2</v>
      </c>
      <c r="AA374" s="855">
        <f t="shared" si="28"/>
        <v>2.9616122983209935E-2</v>
      </c>
      <c r="AB374" s="855">
        <f t="shared" si="28"/>
        <v>2.6324760763852005E-2</v>
      </c>
      <c r="AC374" s="855">
        <f t="shared" si="28"/>
        <v>2.3605420443887106E-2</v>
      </c>
      <c r="AD374" s="855">
        <f t="shared" si="28"/>
        <v>2.1287416685816116E-2</v>
      </c>
      <c r="AE374" s="855">
        <f t="shared" si="28"/>
        <v>1.9237465988776001E-2</v>
      </c>
      <c r="AF374" s="855">
        <f t="shared" si="28"/>
        <v>1.7136592345731602E-2</v>
      </c>
    </row>
    <row r="375" spans="1:32" x14ac:dyDescent="0.25">
      <c r="A375" s="1043"/>
      <c r="B375" s="1043" t="s">
        <v>34</v>
      </c>
      <c r="C375" s="1059"/>
      <c r="D375" s="1059"/>
      <c r="E375" s="1059"/>
      <c r="F375" s="1059"/>
      <c r="G375" s="1045"/>
      <c r="H375" s="855">
        <f>H338/SUM(H$337:H$340)</f>
        <v>0.60934513305373772</v>
      </c>
      <c r="I375" s="855">
        <f t="shared" ref="I375:W375" si="29">I338/SUM(I$337:I$340)</f>
        <v>0.57951643821701293</v>
      </c>
      <c r="J375" s="855">
        <f t="shared" si="29"/>
        <v>0.53986740738863592</v>
      </c>
      <c r="K375" s="855">
        <f t="shared" si="29"/>
        <v>0.49389241292705349</v>
      </c>
      <c r="L375" s="855">
        <f t="shared" si="29"/>
        <v>0.46993209543964876</v>
      </c>
      <c r="M375" s="855">
        <f t="shared" si="29"/>
        <v>0.44221697101639496</v>
      </c>
      <c r="N375" s="855">
        <f t="shared" si="29"/>
        <v>0.4097242623249871</v>
      </c>
      <c r="O375" s="855">
        <f t="shared" si="29"/>
        <v>0.37448348134994386</v>
      </c>
      <c r="P375" s="855">
        <f t="shared" si="29"/>
        <v>0.33831454960933699</v>
      </c>
      <c r="Q375" s="855">
        <f t="shared" si="29"/>
        <v>0.30280353684205191</v>
      </c>
      <c r="R375" s="855">
        <f t="shared" si="29"/>
        <v>0.26894098716114551</v>
      </c>
      <c r="S375" s="855">
        <f t="shared" si="29"/>
        <v>0.23769277068253364</v>
      </c>
      <c r="T375" s="855">
        <f t="shared" si="29"/>
        <v>0.20963004920645451</v>
      </c>
      <c r="U375" s="855">
        <f t="shared" si="29"/>
        <v>0.18506610826503239</v>
      </c>
      <c r="V375" s="855">
        <f t="shared" si="29"/>
        <v>0.16446251952269345</v>
      </c>
      <c r="W375" s="855">
        <f t="shared" si="29"/>
        <v>0.14728687203748486</v>
      </c>
      <c r="X375" s="855">
        <f t="shared" si="28"/>
        <v>0.1332841111626642</v>
      </c>
      <c r="Y375" s="855">
        <f t="shared" si="28"/>
        <v>0.12190774790983909</v>
      </c>
      <c r="Z375" s="855">
        <f t="shared" si="28"/>
        <v>0.11285034979234015</v>
      </c>
      <c r="AA375" s="855">
        <f t="shared" si="28"/>
        <v>0.10576623865686598</v>
      </c>
      <c r="AB375" s="855">
        <f t="shared" si="28"/>
        <v>9.9894833574905736E-2</v>
      </c>
      <c r="AC375" s="855">
        <f t="shared" si="28"/>
        <v>9.5056206846144714E-2</v>
      </c>
      <c r="AD375" s="855">
        <f t="shared" si="28"/>
        <v>9.0949565040844893E-2</v>
      </c>
      <c r="AE375" s="855">
        <f t="shared" si="28"/>
        <v>8.7325332348645895E-2</v>
      </c>
      <c r="AF375" s="855">
        <f t="shared" si="28"/>
        <v>8.3459260685982847E-2</v>
      </c>
    </row>
    <row r="376" spans="1:32" x14ac:dyDescent="0.25">
      <c r="A376" s="1041"/>
      <c r="B376" s="1043" t="s">
        <v>35</v>
      </c>
      <c r="C376" s="1059"/>
      <c r="D376" s="1059"/>
      <c r="E376" s="1059"/>
      <c r="F376" s="1059"/>
      <c r="G376" s="1045"/>
      <c r="H376" s="855">
        <f>H339/SUM(H$337:H$340)</f>
        <v>0.10795119388451298</v>
      </c>
      <c r="I376" s="855">
        <f t="shared" si="28"/>
        <v>0.10877419854760621</v>
      </c>
      <c r="J376" s="855">
        <f t="shared" si="28"/>
        <v>0.11185154697094246</v>
      </c>
      <c r="K376" s="855">
        <f t="shared" si="28"/>
        <v>0.11627190612280595</v>
      </c>
      <c r="L376" s="855">
        <f t="shared" si="28"/>
        <v>0.11145930715798057</v>
      </c>
      <c r="M376" s="855">
        <f t="shared" si="28"/>
        <v>0.10750560821436433</v>
      </c>
      <c r="N376" s="855">
        <f t="shared" si="28"/>
        <v>0.10137314367937431</v>
      </c>
      <c r="O376" s="855">
        <f t="shared" si="28"/>
        <v>9.4044363845446205E-2</v>
      </c>
      <c r="P376" s="855">
        <f t="shared" si="28"/>
        <v>8.5753332275399247E-2</v>
      </c>
      <c r="Q376" s="855">
        <f t="shared" si="28"/>
        <v>7.7872384636586051E-2</v>
      </c>
      <c r="R376" s="855">
        <f t="shared" si="28"/>
        <v>7.0566157886963743E-2</v>
      </c>
      <c r="S376" s="855">
        <f t="shared" si="28"/>
        <v>6.3698562536490241E-2</v>
      </c>
      <c r="T376" s="855">
        <f t="shared" si="28"/>
        <v>5.7490852330850613E-2</v>
      </c>
      <c r="U376" s="855">
        <f t="shared" si="28"/>
        <v>5.2068935088434673E-2</v>
      </c>
      <c r="V376" s="855">
        <f t="shared" si="28"/>
        <v>4.7394206920979599E-2</v>
      </c>
      <c r="W376" s="855">
        <f t="shared" si="28"/>
        <v>4.3526816154850406E-2</v>
      </c>
      <c r="X376" s="855">
        <f t="shared" si="28"/>
        <v>4.0441265809512447E-2</v>
      </c>
      <c r="Y376" s="855">
        <f t="shared" si="28"/>
        <v>3.8005090017043344E-2</v>
      </c>
      <c r="Z376" s="855">
        <f t="shared" si="28"/>
        <v>3.608994509953381E-2</v>
      </c>
      <c r="AA376" s="855">
        <f t="shared" si="28"/>
        <v>3.4616684099976772E-2</v>
      </c>
      <c r="AB376" s="855">
        <f t="shared" si="28"/>
        <v>3.3499295630251176E-2</v>
      </c>
      <c r="AC376" s="855">
        <f t="shared" si="28"/>
        <v>3.2635895112401656E-2</v>
      </c>
      <c r="AD376" s="855">
        <f t="shared" si="28"/>
        <v>3.1964453523039095E-2</v>
      </c>
      <c r="AE376" s="855">
        <f t="shared" si="28"/>
        <v>3.1440795017510285E-2</v>
      </c>
      <c r="AF376" s="855">
        <f t="shared" si="28"/>
        <v>3.0975883365628395E-2</v>
      </c>
    </row>
    <row r="377" spans="1:32" x14ac:dyDescent="0.25">
      <c r="A377" s="1041"/>
      <c r="B377" s="1043" t="s">
        <v>29</v>
      </c>
      <c r="C377" s="1059"/>
      <c r="D377" s="1059"/>
      <c r="E377" s="1059"/>
      <c r="F377" s="1059"/>
      <c r="G377" s="1045"/>
      <c r="H377" s="1118">
        <f>H340/SUM(H$337:H$340)</f>
        <v>5.4104823704839043E-3</v>
      </c>
      <c r="I377" s="855">
        <f t="shared" si="28"/>
        <v>2.0018305584659276E-2</v>
      </c>
      <c r="J377" s="855">
        <f t="shared" si="28"/>
        <v>4.8234393463062103E-2</v>
      </c>
      <c r="K377" s="855">
        <f t="shared" si="28"/>
        <v>8.9911345075304794E-2</v>
      </c>
      <c r="L377" s="1118">
        <f t="shared" si="28"/>
        <v>0.1392481621114631</v>
      </c>
      <c r="M377" s="855">
        <f t="shared" si="28"/>
        <v>0.19877194811483256</v>
      </c>
      <c r="N377" s="855">
        <f t="shared" si="28"/>
        <v>0.2644004419757025</v>
      </c>
      <c r="O377" s="855">
        <f t="shared" si="28"/>
        <v>0.33340685051843327</v>
      </c>
      <c r="P377" s="855">
        <f t="shared" si="28"/>
        <v>0.40223016207841239</v>
      </c>
      <c r="Q377" s="1118">
        <f t="shared" si="28"/>
        <v>0.46957014074228864</v>
      </c>
      <c r="R377" s="855">
        <f t="shared" si="28"/>
        <v>0.53345982238338818</v>
      </c>
      <c r="S377" s="855">
        <f t="shared" si="28"/>
        <v>0.5916934878432738</v>
      </c>
      <c r="T377" s="855">
        <f t="shared" si="28"/>
        <v>0.64345292490544559</v>
      </c>
      <c r="U377" s="855">
        <f t="shared" si="28"/>
        <v>0.68834732212570526</v>
      </c>
      <c r="V377" s="1118">
        <f t="shared" si="28"/>
        <v>0.72559462331681401</v>
      </c>
      <c r="W377" s="855">
        <f t="shared" si="28"/>
        <v>0.75641917170674555</v>
      </c>
      <c r="X377" s="855">
        <f t="shared" si="28"/>
        <v>0.78140025457425333</v>
      </c>
      <c r="Y377" s="855">
        <f t="shared" si="28"/>
        <v>0.80157352394936465</v>
      </c>
      <c r="Z377" s="855">
        <f t="shared" si="28"/>
        <v>0.81754530292131766</v>
      </c>
      <c r="AA377" s="1118">
        <f t="shared" si="28"/>
        <v>0.83000095425994724</v>
      </c>
      <c r="AB377" s="855">
        <f t="shared" si="28"/>
        <v>0.84028111003099104</v>
      </c>
      <c r="AC377" s="855">
        <f t="shared" si="28"/>
        <v>0.84870247759756645</v>
      </c>
      <c r="AD377" s="855">
        <f t="shared" si="28"/>
        <v>0.85579856475029992</v>
      </c>
      <c r="AE377" s="855">
        <f t="shared" si="28"/>
        <v>0.86199640664506783</v>
      </c>
      <c r="AF377" s="855">
        <f t="shared" si="28"/>
        <v>0.86842826360265712</v>
      </c>
    </row>
    <row r="378" spans="1:32" x14ac:dyDescent="0.25">
      <c r="A378" s="1041"/>
      <c r="B378" s="1041"/>
      <c r="C378" s="1059"/>
      <c r="D378" s="1059"/>
      <c r="E378" s="1059"/>
      <c r="F378" s="1059"/>
      <c r="G378" s="1045"/>
      <c r="H378" s="1059"/>
      <c r="I378" s="1059"/>
      <c r="J378" s="1059"/>
      <c r="K378" s="1059"/>
      <c r="L378" s="1059"/>
      <c r="M378" s="1059"/>
      <c r="N378" s="1059"/>
      <c r="O378" s="1059"/>
      <c r="P378" s="1059"/>
      <c r="Q378" s="1059"/>
      <c r="R378" s="1059"/>
      <c r="S378" s="1059"/>
      <c r="T378" s="1059"/>
      <c r="U378" s="1059"/>
      <c r="V378" s="1059"/>
      <c r="W378" s="1059"/>
      <c r="X378" s="1059"/>
      <c r="Y378" s="1059"/>
      <c r="Z378" s="1059"/>
      <c r="AA378" s="1059"/>
      <c r="AB378" s="1059"/>
      <c r="AC378" s="1059"/>
      <c r="AD378" s="1059"/>
      <c r="AE378" s="1059"/>
      <c r="AF378" s="1059"/>
    </row>
    <row r="379" spans="1:32" x14ac:dyDescent="0.25">
      <c r="A379" s="843" t="s">
        <v>36</v>
      </c>
      <c r="B379" s="843"/>
      <c r="C379" s="843"/>
      <c r="D379" s="843"/>
      <c r="E379" s="843"/>
      <c r="F379" s="843"/>
      <c r="G379" s="865"/>
      <c r="H379" s="843"/>
      <c r="I379" s="843"/>
      <c r="J379" s="843"/>
      <c r="K379" s="843"/>
      <c r="L379" s="843"/>
      <c r="M379" s="843"/>
      <c r="N379" s="843"/>
      <c r="O379" s="843"/>
      <c r="P379" s="843"/>
      <c r="Q379" s="843"/>
      <c r="R379" s="843"/>
      <c r="S379" s="843"/>
      <c r="T379" s="843"/>
      <c r="U379" s="843"/>
      <c r="V379" s="843"/>
      <c r="W379" s="843"/>
      <c r="X379" s="843"/>
      <c r="Y379" s="843"/>
      <c r="Z379" s="843"/>
      <c r="AA379" s="843"/>
      <c r="AB379" s="843"/>
      <c r="AC379" s="843"/>
      <c r="AD379" s="843"/>
      <c r="AE379" s="843"/>
      <c r="AF379" s="843"/>
    </row>
    <row r="380" spans="1:32" x14ac:dyDescent="0.25">
      <c r="A380" s="1041"/>
      <c r="B380" s="1041" t="s">
        <v>37</v>
      </c>
      <c r="C380" s="1059"/>
      <c r="D380" s="1059"/>
      <c r="E380" s="1059"/>
      <c r="F380" s="1059"/>
      <c r="G380" s="540"/>
      <c r="H380" s="855">
        <f>H343/SUM(H$343:H$346)</f>
        <v>0.14794262937891833</v>
      </c>
      <c r="I380" s="855">
        <f t="shared" ref="I380:AF383" si="30">I343/SUM(I$343:I$346)</f>
        <v>9.0825794728256568E-2</v>
      </c>
      <c r="J380" s="855">
        <f t="shared" si="30"/>
        <v>4.3791590452387452E-2</v>
      </c>
      <c r="K380" s="855">
        <f t="shared" si="30"/>
        <v>9.9217828427387786E-3</v>
      </c>
      <c r="L380" s="855">
        <f t="shared" si="30"/>
        <v>7.2394134600726277E-3</v>
      </c>
      <c r="M380" s="855">
        <f t="shared" si="30"/>
        <v>5.2994669213685553E-3</v>
      </c>
      <c r="N380" s="855">
        <f t="shared" si="30"/>
        <v>3.9323129427143331E-3</v>
      </c>
      <c r="O380" s="855">
        <f t="shared" si="30"/>
        <v>3.0350070744494151E-3</v>
      </c>
      <c r="P380" s="855">
        <f t="shared" si="30"/>
        <v>2.391330636574172E-3</v>
      </c>
      <c r="Q380" s="855">
        <f t="shared" si="30"/>
        <v>1.9145121037850551E-3</v>
      </c>
      <c r="R380" s="855">
        <f t="shared" si="30"/>
        <v>1.5663372323503615E-3</v>
      </c>
      <c r="S380" s="855">
        <f t="shared" si="30"/>
        <v>1.3037777257308781E-3</v>
      </c>
      <c r="T380" s="855">
        <f t="shared" si="30"/>
        <v>1.1047033048571064E-3</v>
      </c>
      <c r="U380" s="855">
        <f t="shared" si="30"/>
        <v>9.4995203827629392E-4</v>
      </c>
      <c r="V380" s="855">
        <f t="shared" si="30"/>
        <v>8.310136700128639E-4</v>
      </c>
      <c r="W380" s="855">
        <f t="shared" si="30"/>
        <v>7.3565356467951686E-4</v>
      </c>
      <c r="X380" s="855">
        <f t="shared" si="30"/>
        <v>6.5577817670437334E-4</v>
      </c>
      <c r="Y380" s="855">
        <f t="shared" si="30"/>
        <v>5.902194443305023E-4</v>
      </c>
      <c r="Z380" s="855">
        <f t="shared" si="30"/>
        <v>5.3528229004252709E-4</v>
      </c>
      <c r="AA380" s="855">
        <f t="shared" si="30"/>
        <v>4.876466936408706E-4</v>
      </c>
      <c r="AB380" s="855">
        <f t="shared" si="30"/>
        <v>4.467891395233304E-4</v>
      </c>
      <c r="AC380" s="855">
        <f t="shared" si="30"/>
        <v>4.1049192991240085E-4</v>
      </c>
      <c r="AD380" s="855">
        <f t="shared" si="30"/>
        <v>3.7752252913646276E-4</v>
      </c>
      <c r="AE380" s="855">
        <f t="shared" si="30"/>
        <v>3.4824419626112768E-4</v>
      </c>
      <c r="AF380" s="855">
        <f t="shared" si="30"/>
        <v>3.2112711170656597E-4</v>
      </c>
    </row>
    <row r="381" spans="1:32" x14ac:dyDescent="0.25">
      <c r="A381" s="1041"/>
      <c r="B381" s="1041" t="s">
        <v>39</v>
      </c>
      <c r="C381" s="1059"/>
      <c r="D381" s="1059"/>
      <c r="E381" s="1059"/>
      <c r="F381" s="1059"/>
      <c r="G381" s="540"/>
      <c r="H381" s="855">
        <f>H344/SUM(H$343:H$346)</f>
        <v>0.7330386454342086</v>
      </c>
      <c r="I381" s="855">
        <f t="shared" ref="I381:W381" si="31">I344/SUM(I$343:I$346)</f>
        <v>0.76280342176599014</v>
      </c>
      <c r="J381" s="855">
        <f t="shared" si="31"/>
        <v>0.77945510518590044</v>
      </c>
      <c r="K381" s="855">
        <f t="shared" si="31"/>
        <v>0.78547532623977045</v>
      </c>
      <c r="L381" s="855">
        <f t="shared" si="31"/>
        <v>0.76845849986275228</v>
      </c>
      <c r="M381" s="855">
        <f t="shared" si="31"/>
        <v>0.75071619062682904</v>
      </c>
      <c r="N381" s="855">
        <f t="shared" si="31"/>
        <v>0.72949552249391025</v>
      </c>
      <c r="O381" s="855">
        <f t="shared" si="31"/>
        <v>0.70408828620107911</v>
      </c>
      <c r="P381" s="855">
        <f t="shared" si="31"/>
        <v>0.67851328358310947</v>
      </c>
      <c r="Q381" s="855">
        <f t="shared" si="31"/>
        <v>0.65267034622605158</v>
      </c>
      <c r="R381" s="855">
        <f t="shared" si="31"/>
        <v>0.62827059615634684</v>
      </c>
      <c r="S381" s="855">
        <f t="shared" si="31"/>
        <v>0.60452284925943711</v>
      </c>
      <c r="T381" s="855">
        <f t="shared" si="31"/>
        <v>0.58192910600896497</v>
      </c>
      <c r="U381" s="855">
        <f t="shared" si="31"/>
        <v>0.56038133768958753</v>
      </c>
      <c r="V381" s="855">
        <f t="shared" si="31"/>
        <v>0.54053154428538186</v>
      </c>
      <c r="W381" s="855">
        <f t="shared" si="31"/>
        <v>0.52250739830599457</v>
      </c>
      <c r="X381" s="855">
        <f t="shared" si="30"/>
        <v>0.50513244287072478</v>
      </c>
      <c r="Y381" s="855">
        <f t="shared" si="30"/>
        <v>0.48912764209607262</v>
      </c>
      <c r="Z381" s="855">
        <f t="shared" si="30"/>
        <v>0.4747107777826543</v>
      </c>
      <c r="AA381" s="855">
        <f t="shared" si="30"/>
        <v>0.46158496881003908</v>
      </c>
      <c r="AB381" s="855">
        <f t="shared" si="30"/>
        <v>0.44957994815336899</v>
      </c>
      <c r="AC381" s="855">
        <f t="shared" si="30"/>
        <v>0.43849635805209952</v>
      </c>
      <c r="AD381" s="855">
        <f t="shared" si="30"/>
        <v>0.42815421017427419</v>
      </c>
      <c r="AE381" s="855">
        <f t="shared" si="30"/>
        <v>0.41864705299160193</v>
      </c>
      <c r="AF381" s="855">
        <f t="shared" si="30"/>
        <v>0.40942696580329213</v>
      </c>
    </row>
    <row r="382" spans="1:32" x14ac:dyDescent="0.25">
      <c r="A382" s="1041"/>
      <c r="B382" s="1041" t="s">
        <v>40</v>
      </c>
      <c r="C382" s="1059"/>
      <c r="D382" s="1059"/>
      <c r="E382" s="1059"/>
      <c r="F382" s="1059"/>
      <c r="G382" s="540"/>
      <c r="H382" s="855">
        <f>H345/SUM(H$343:H$346)</f>
        <v>0.11900753681179532</v>
      </c>
      <c r="I382" s="855">
        <f t="shared" si="30"/>
        <v>0.14613204980387831</v>
      </c>
      <c r="J382" s="855">
        <f t="shared" si="30"/>
        <v>0.17531748706894115</v>
      </c>
      <c r="K382" s="855">
        <f t="shared" si="30"/>
        <v>0.19999448546074197</v>
      </c>
      <c r="L382" s="855">
        <f t="shared" si="30"/>
        <v>0.2136424641401668</v>
      </c>
      <c r="M382" s="855">
        <f t="shared" si="30"/>
        <v>0.22387564566830906</v>
      </c>
      <c r="N382" s="855">
        <f t="shared" si="30"/>
        <v>0.23287521770826003</v>
      </c>
      <c r="O382" s="855">
        <f t="shared" si="30"/>
        <v>0.24198281164474156</v>
      </c>
      <c r="P382" s="855">
        <f t="shared" si="30"/>
        <v>0.24854621308150784</v>
      </c>
      <c r="Q382" s="855">
        <f t="shared" si="30"/>
        <v>0.25239129342063754</v>
      </c>
      <c r="R382" s="855">
        <f t="shared" si="30"/>
        <v>0.25396005940234972</v>
      </c>
      <c r="S382" s="855">
        <f t="shared" si="30"/>
        <v>0.25370209438202507</v>
      </c>
      <c r="T382" s="855">
        <f t="shared" si="30"/>
        <v>0.2519911270485018</v>
      </c>
      <c r="U382" s="855">
        <f t="shared" si="30"/>
        <v>0.24915535336922381</v>
      </c>
      <c r="V382" s="855">
        <f t="shared" si="30"/>
        <v>0.24577572685865759</v>
      </c>
      <c r="W382" s="855">
        <f t="shared" si="30"/>
        <v>0.24205335514404541</v>
      </c>
      <c r="X382" s="855">
        <f t="shared" si="30"/>
        <v>0.23787475833181262</v>
      </c>
      <c r="Y382" s="855">
        <f t="shared" si="30"/>
        <v>0.23352371453763815</v>
      </c>
      <c r="Z382" s="855">
        <f t="shared" si="30"/>
        <v>0.22931251600126096</v>
      </c>
      <c r="AA382" s="855">
        <f t="shared" si="30"/>
        <v>0.22525612323344071</v>
      </c>
      <c r="AB382" s="855">
        <f t="shared" si="30"/>
        <v>0.22121220378105788</v>
      </c>
      <c r="AC382" s="855">
        <f t="shared" si="30"/>
        <v>0.21722917317426635</v>
      </c>
      <c r="AD382" s="855">
        <f t="shared" si="30"/>
        <v>0.21324198488288207</v>
      </c>
      <c r="AE382" s="855">
        <f t="shared" si="30"/>
        <v>0.20932466904478514</v>
      </c>
      <c r="AF382" s="855">
        <f t="shared" si="30"/>
        <v>0.20503456603539885</v>
      </c>
    </row>
    <row r="383" spans="1:32" x14ac:dyDescent="0.25">
      <c r="A383" s="1041"/>
      <c r="B383" s="1041" t="s">
        <v>29</v>
      </c>
      <c r="C383" s="1059"/>
      <c r="D383" s="1059"/>
      <c r="E383" s="1059"/>
      <c r="F383" s="1059"/>
      <c r="G383" s="1045"/>
      <c r="H383" s="1118">
        <f>H346/SUM(H$343:H$346)</f>
        <v>1.118837507768213E-5</v>
      </c>
      <c r="I383" s="855">
        <f t="shared" si="30"/>
        <v>2.3873370187502742E-4</v>
      </c>
      <c r="J383" s="855">
        <f t="shared" si="30"/>
        <v>1.4358172927708983E-3</v>
      </c>
      <c r="K383" s="855">
        <f t="shared" si="30"/>
        <v>4.6084054567487494E-3</v>
      </c>
      <c r="L383" s="1118">
        <f t="shared" si="30"/>
        <v>1.0659622537008358E-2</v>
      </c>
      <c r="M383" s="855">
        <f t="shared" si="30"/>
        <v>2.0108696783493349E-2</v>
      </c>
      <c r="N383" s="855">
        <f t="shared" si="30"/>
        <v>3.369694685511547E-2</v>
      </c>
      <c r="O383" s="855">
        <f t="shared" si="30"/>
        <v>5.0893895079729752E-2</v>
      </c>
      <c r="P383" s="855">
        <f t="shared" si="30"/>
        <v>7.0549172698808421E-2</v>
      </c>
      <c r="Q383" s="1118">
        <f t="shared" si="30"/>
        <v>9.3023848249525962E-2</v>
      </c>
      <c r="R383" s="855">
        <f t="shared" si="30"/>
        <v>0.11620300720895299</v>
      </c>
      <c r="S383" s="855">
        <f t="shared" si="30"/>
        <v>0.14047127863280695</v>
      </c>
      <c r="T383" s="855">
        <f t="shared" si="30"/>
        <v>0.164975063637676</v>
      </c>
      <c r="U383" s="855">
        <f t="shared" si="30"/>
        <v>0.18951335690291235</v>
      </c>
      <c r="V383" s="1118">
        <f t="shared" si="30"/>
        <v>0.21286171518594757</v>
      </c>
      <c r="W383" s="855">
        <f t="shared" si="30"/>
        <v>0.2347035929852804</v>
      </c>
      <c r="X383" s="855">
        <f t="shared" si="30"/>
        <v>0.25633702062075808</v>
      </c>
      <c r="Y383" s="855">
        <f t="shared" si="30"/>
        <v>0.27675842392195882</v>
      </c>
      <c r="Z383" s="855">
        <f t="shared" si="30"/>
        <v>0.29544142392604228</v>
      </c>
      <c r="AA383" s="1118">
        <f t="shared" si="30"/>
        <v>0.31267126126287925</v>
      </c>
      <c r="AB383" s="855">
        <f t="shared" si="30"/>
        <v>0.32876105892604984</v>
      </c>
      <c r="AC383" s="855">
        <f t="shared" si="30"/>
        <v>0.34386397684372166</v>
      </c>
      <c r="AD383" s="855">
        <f t="shared" si="30"/>
        <v>0.35822628241370735</v>
      </c>
      <c r="AE383" s="855">
        <f t="shared" si="30"/>
        <v>0.37168003376735176</v>
      </c>
      <c r="AF383" s="855">
        <f t="shared" si="30"/>
        <v>0.38521734104960242</v>
      </c>
    </row>
    <row r="384" spans="1:32" x14ac:dyDescent="0.25">
      <c r="A384" s="1041"/>
      <c r="B384" s="1041"/>
      <c r="C384" s="1059"/>
      <c r="D384" s="1059"/>
      <c r="E384" s="1059"/>
      <c r="F384" s="1059"/>
      <c r="G384" s="1045"/>
      <c r="H384" s="1059"/>
      <c r="I384" s="1059"/>
      <c r="J384" s="1059"/>
      <c r="K384" s="1059"/>
      <c r="L384" s="1059"/>
      <c r="M384" s="1059"/>
      <c r="N384" s="1059"/>
      <c r="O384" s="1059"/>
      <c r="P384" s="1059"/>
      <c r="Q384" s="1059"/>
      <c r="R384" s="1059"/>
      <c r="S384" s="1059"/>
      <c r="T384" s="1059"/>
      <c r="U384" s="1059"/>
      <c r="V384" s="1059"/>
      <c r="W384" s="1059"/>
      <c r="X384" s="1059"/>
      <c r="Y384" s="1059"/>
      <c r="Z384" s="1059"/>
      <c r="AA384" s="1059"/>
      <c r="AB384" s="1059"/>
      <c r="AC384" s="1059"/>
      <c r="AD384" s="1059"/>
      <c r="AE384" s="1059"/>
      <c r="AF384" s="1059"/>
    </row>
    <row r="385" spans="1:32" x14ac:dyDescent="0.25">
      <c r="A385" s="843" t="s">
        <v>42</v>
      </c>
      <c r="B385" s="843"/>
      <c r="C385" s="843"/>
      <c r="D385" s="843"/>
      <c r="E385" s="843"/>
      <c r="F385" s="843"/>
      <c r="G385" s="865"/>
      <c r="H385" s="843"/>
      <c r="I385" s="843"/>
      <c r="J385" s="843"/>
      <c r="K385" s="843"/>
      <c r="L385" s="843"/>
      <c r="M385" s="843"/>
      <c r="N385" s="843"/>
      <c r="O385" s="843"/>
      <c r="P385" s="843"/>
      <c r="Q385" s="843"/>
      <c r="R385" s="843"/>
      <c r="S385" s="843"/>
      <c r="T385" s="843"/>
      <c r="U385" s="843"/>
      <c r="V385" s="843"/>
      <c r="W385" s="843"/>
      <c r="X385" s="843"/>
      <c r="Y385" s="843"/>
      <c r="Z385" s="843"/>
      <c r="AA385" s="843"/>
      <c r="AB385" s="843"/>
      <c r="AC385" s="843"/>
      <c r="AD385" s="843"/>
      <c r="AE385" s="843"/>
      <c r="AF385" s="843"/>
    </row>
    <row r="386" spans="1:32" x14ac:dyDescent="0.25">
      <c r="A386" s="1041"/>
      <c r="B386" s="1043" t="s">
        <v>43</v>
      </c>
      <c r="C386" s="1059"/>
      <c r="D386" s="1059"/>
      <c r="E386" s="1059"/>
      <c r="F386" s="1059"/>
      <c r="G386" s="1045"/>
      <c r="H386" s="855">
        <f>H349/SUM(H$349:H$353)</f>
        <v>1.8635623325223297E-2</v>
      </c>
      <c r="I386" s="855">
        <f t="shared" ref="I386:AF390" si="32">I349/SUM(I$349:I$353)</f>
        <v>1.6494559684622573E-2</v>
      </c>
      <c r="J386" s="855">
        <f t="shared" si="32"/>
        <v>1.4685200829740013E-2</v>
      </c>
      <c r="K386" s="855">
        <f t="shared" si="32"/>
        <v>1.3139219073315408E-2</v>
      </c>
      <c r="L386" s="855">
        <f t="shared" si="32"/>
        <v>1.1810113550198667E-2</v>
      </c>
      <c r="M386" s="855">
        <f t="shared" si="32"/>
        <v>1.0694056950759758E-2</v>
      </c>
      <c r="N386" s="855">
        <f t="shared" si="32"/>
        <v>9.7106472700195321E-3</v>
      </c>
      <c r="O386" s="855">
        <f t="shared" si="32"/>
        <v>8.8261751920955308E-3</v>
      </c>
      <c r="P386" s="855">
        <f t="shared" si="32"/>
        <v>8.0777144407934206E-3</v>
      </c>
      <c r="Q386" s="855">
        <f t="shared" si="32"/>
        <v>7.4105385420125099E-3</v>
      </c>
      <c r="R386" s="855">
        <f t="shared" si="32"/>
        <v>6.8380194993697052E-3</v>
      </c>
      <c r="S386" s="855">
        <f t="shared" si="32"/>
        <v>6.329920397024698E-3</v>
      </c>
      <c r="T386" s="855">
        <f t="shared" si="32"/>
        <v>5.8794267848961759E-3</v>
      </c>
      <c r="U386" s="855">
        <f t="shared" si="32"/>
        <v>5.4719081234784785E-3</v>
      </c>
      <c r="V386" s="855">
        <f t="shared" si="32"/>
        <v>5.1080160873282513E-3</v>
      </c>
      <c r="W386" s="855">
        <f t="shared" si="32"/>
        <v>4.7880305402504993E-3</v>
      </c>
      <c r="X386" s="855">
        <f t="shared" si="32"/>
        <v>4.4851316237125146E-3</v>
      </c>
      <c r="Y386" s="855">
        <f t="shared" si="32"/>
        <v>4.2121321939742017E-3</v>
      </c>
      <c r="Z386" s="855">
        <f t="shared" si="32"/>
        <v>3.9673358896922008E-3</v>
      </c>
      <c r="AA386" s="855">
        <f t="shared" si="32"/>
        <v>3.7453767474376481E-3</v>
      </c>
      <c r="AB386" s="855">
        <f t="shared" si="32"/>
        <v>3.543808201609515E-3</v>
      </c>
      <c r="AC386" s="855">
        <f t="shared" si="32"/>
        <v>3.3581777721810022E-3</v>
      </c>
      <c r="AD386" s="855">
        <f t="shared" si="32"/>
        <v>3.1874780289941822E-3</v>
      </c>
      <c r="AE386" s="855">
        <f t="shared" si="32"/>
        <v>3.0298540715389313E-3</v>
      </c>
      <c r="AF386" s="855">
        <f t="shared" si="32"/>
        <v>2.884939602123607E-3</v>
      </c>
    </row>
    <row r="387" spans="1:32" x14ac:dyDescent="0.25">
      <c r="A387" s="1041"/>
      <c r="B387" s="1043" t="s">
        <v>44</v>
      </c>
      <c r="C387" s="1059"/>
      <c r="D387" s="1059"/>
      <c r="E387" s="1059"/>
      <c r="F387" s="1059"/>
      <c r="G387" s="1045"/>
      <c r="H387" s="855">
        <f>H350/SUM(H$349:H$353)</f>
        <v>0.76981134640183591</v>
      </c>
      <c r="I387" s="855">
        <f t="shared" ref="I387:W387" si="33">I350/SUM(I$349:I$353)</f>
        <v>0.79281568589933538</v>
      </c>
      <c r="J387" s="855">
        <f t="shared" si="33"/>
        <v>0.80813448225681794</v>
      </c>
      <c r="K387" s="855">
        <f t="shared" si="33"/>
        <v>0.81602910183222555</v>
      </c>
      <c r="L387" s="855">
        <f t="shared" si="33"/>
        <v>0.81726749898627793</v>
      </c>
      <c r="M387" s="855">
        <f t="shared" si="33"/>
        <v>0.81244766115195</v>
      </c>
      <c r="N387" s="855">
        <f t="shared" si="33"/>
        <v>0.80319360278910767</v>
      </c>
      <c r="O387" s="855">
        <f t="shared" si="33"/>
        <v>0.79027860640296455</v>
      </c>
      <c r="P387" s="855">
        <f t="shared" si="33"/>
        <v>0.77571953448099229</v>
      </c>
      <c r="Q387" s="855">
        <f t="shared" si="33"/>
        <v>0.75936663685764294</v>
      </c>
      <c r="R387" s="855">
        <f t="shared" si="33"/>
        <v>0.743074448425458</v>
      </c>
      <c r="S387" s="855">
        <f t="shared" si="33"/>
        <v>0.72669323130690089</v>
      </c>
      <c r="T387" s="855">
        <f t="shared" si="33"/>
        <v>0.7107458963422526</v>
      </c>
      <c r="U387" s="855">
        <f t="shared" si="33"/>
        <v>0.69501382322188343</v>
      </c>
      <c r="V387" s="855">
        <f t="shared" si="33"/>
        <v>0.68052851150744176</v>
      </c>
      <c r="W387" s="855">
        <f t="shared" si="33"/>
        <v>0.66702163357883115</v>
      </c>
      <c r="X387" s="855">
        <f t="shared" si="32"/>
        <v>0.65308448302441868</v>
      </c>
      <c r="Y387" s="855">
        <f t="shared" si="32"/>
        <v>0.6399452129463058</v>
      </c>
      <c r="Z387" s="855">
        <f t="shared" si="32"/>
        <v>0.6278500746598813</v>
      </c>
      <c r="AA387" s="855">
        <f t="shared" si="32"/>
        <v>0.61659288910075261</v>
      </c>
      <c r="AB387" s="855">
        <f t="shared" si="32"/>
        <v>0.6059094593361668</v>
      </c>
      <c r="AC387" s="855">
        <f t="shared" si="32"/>
        <v>0.59560887784635896</v>
      </c>
      <c r="AD387" s="855">
        <f t="shared" si="32"/>
        <v>0.58569649428535575</v>
      </c>
      <c r="AE387" s="855">
        <f t="shared" si="32"/>
        <v>0.5760824638100196</v>
      </c>
      <c r="AF387" s="855">
        <f t="shared" si="32"/>
        <v>0.56656565488357724</v>
      </c>
    </row>
    <row r="388" spans="1:32" x14ac:dyDescent="0.25">
      <c r="A388" s="1041"/>
      <c r="B388" s="1043" t="s">
        <v>45</v>
      </c>
      <c r="C388" s="1059"/>
      <c r="D388" s="1059"/>
      <c r="E388" s="1059"/>
      <c r="F388" s="1059"/>
      <c r="G388" s="1045"/>
      <c r="H388" s="855">
        <f>H351/SUM(H$349:H$353)</f>
        <v>0.20339663488182352</v>
      </c>
      <c r="I388" s="855">
        <f t="shared" si="32"/>
        <v>0.17813837546358857</v>
      </c>
      <c r="J388" s="855">
        <f t="shared" si="32"/>
        <v>0.15685970367440236</v>
      </c>
      <c r="K388" s="855">
        <f t="shared" si="32"/>
        <v>0.13879502784665665</v>
      </c>
      <c r="L388" s="855">
        <f t="shared" si="32"/>
        <v>0.12326038190093415</v>
      </c>
      <c r="M388" s="855">
        <f t="shared" si="32"/>
        <v>0.11031384706769203</v>
      </c>
      <c r="N388" s="855">
        <f t="shared" si="32"/>
        <v>9.8913387887861456E-2</v>
      </c>
      <c r="O388" s="855">
        <f t="shared" si="32"/>
        <v>8.8622780066723097E-2</v>
      </c>
      <c r="P388" s="855">
        <f t="shared" si="32"/>
        <v>7.9868476793038087E-2</v>
      </c>
      <c r="Q388" s="855">
        <f t="shared" si="32"/>
        <v>7.2112691807521279E-2</v>
      </c>
      <c r="R388" s="855">
        <f t="shared" si="32"/>
        <v>6.5445843629685169E-2</v>
      </c>
      <c r="S388" s="855">
        <f t="shared" si="32"/>
        <v>5.9515006200649978E-2</v>
      </c>
      <c r="T388" s="855">
        <f t="shared" si="32"/>
        <v>5.424787592681396E-2</v>
      </c>
      <c r="U388" s="855">
        <f t="shared" si="32"/>
        <v>4.9482048218825632E-2</v>
      </c>
      <c r="V388" s="855">
        <f t="shared" si="32"/>
        <v>4.5198624320896594E-2</v>
      </c>
      <c r="W388" s="855">
        <f t="shared" si="32"/>
        <v>4.1395428239274418E-2</v>
      </c>
      <c r="X388" s="855">
        <f t="shared" si="32"/>
        <v>3.7829013825564681E-2</v>
      </c>
      <c r="Y388" s="855">
        <f t="shared" si="32"/>
        <v>3.4612564386198828E-2</v>
      </c>
      <c r="Z388" s="855">
        <f t="shared" si="32"/>
        <v>3.1720883005287116E-2</v>
      </c>
      <c r="AA388" s="855">
        <f t="shared" si="32"/>
        <v>2.908731044168875E-2</v>
      </c>
      <c r="AB388" s="855">
        <f t="shared" si="32"/>
        <v>2.6703107081149709E-2</v>
      </c>
      <c r="AC388" s="855">
        <f t="shared" si="32"/>
        <v>2.4521355719255237E-2</v>
      </c>
      <c r="AD388" s="855">
        <f t="shared" si="32"/>
        <v>2.253002200205503E-2</v>
      </c>
      <c r="AE388" s="855">
        <f t="shared" si="32"/>
        <v>2.0706051938975699E-2</v>
      </c>
      <c r="AF388" s="855">
        <f t="shared" si="32"/>
        <v>1.9051086629876892E-2</v>
      </c>
    </row>
    <row r="389" spans="1:32" x14ac:dyDescent="0.25">
      <c r="A389" s="1041"/>
      <c r="B389" s="1043" t="s">
        <v>46</v>
      </c>
      <c r="C389" s="1059"/>
      <c r="D389" s="1059"/>
      <c r="E389" s="1059"/>
      <c r="F389" s="1059"/>
      <c r="G389" s="1045"/>
      <c r="H389" s="855">
        <f>H352/SUM(H$349:H$353)</f>
        <v>2.4089223803793751E-3</v>
      </c>
      <c r="I389" s="855">
        <f t="shared" si="32"/>
        <v>2.0989283404314364E-3</v>
      </c>
      <c r="J389" s="855">
        <f t="shared" si="32"/>
        <v>1.8382048788925175E-3</v>
      </c>
      <c r="K389" s="855">
        <f t="shared" si="32"/>
        <v>1.6173476535495826E-3</v>
      </c>
      <c r="L389" s="855">
        <f t="shared" si="32"/>
        <v>1.4280867820189781E-3</v>
      </c>
      <c r="M389" s="855">
        <f t="shared" si="32"/>
        <v>1.2709410045057467E-3</v>
      </c>
      <c r="N389" s="855">
        <f t="shared" si="32"/>
        <v>1.1291987750430439E-3</v>
      </c>
      <c r="O389" s="855">
        <f t="shared" si="32"/>
        <v>1.0030577548896871E-3</v>
      </c>
      <c r="P389" s="855">
        <f t="shared" si="32"/>
        <v>8.964487233952082E-4</v>
      </c>
      <c r="Q389" s="855">
        <f t="shared" si="32"/>
        <v>8.0252680412231064E-4</v>
      </c>
      <c r="R389" s="855">
        <f t="shared" si="32"/>
        <v>7.2215487230663775E-4</v>
      </c>
      <c r="S389" s="855">
        <f t="shared" si="32"/>
        <v>6.5099210905733378E-4</v>
      </c>
      <c r="T389" s="855">
        <f t="shared" si="32"/>
        <v>5.8806445238073629E-4</v>
      </c>
      <c r="U389" s="855">
        <f t="shared" si="32"/>
        <v>5.3135402125999241E-4</v>
      </c>
      <c r="V389" s="855">
        <f t="shared" si="32"/>
        <v>4.8059745411572244E-4</v>
      </c>
      <c r="W389" s="855">
        <f t="shared" si="32"/>
        <v>4.3564709119877867E-4</v>
      </c>
      <c r="X389" s="855">
        <f t="shared" si="32"/>
        <v>3.937149734932993E-4</v>
      </c>
      <c r="Y389" s="855">
        <f t="shared" si="32"/>
        <v>3.5726343460001198E-4</v>
      </c>
      <c r="Z389" s="855">
        <f t="shared" si="32"/>
        <v>3.2337254658996263E-4</v>
      </c>
      <c r="AA389" s="855">
        <f t="shared" si="32"/>
        <v>2.9266843142605406E-4</v>
      </c>
      <c r="AB389" s="855">
        <f t="shared" si="32"/>
        <v>2.6500132865334234E-4</v>
      </c>
      <c r="AC389" s="855">
        <f t="shared" si="32"/>
        <v>2.3980824004836955E-4</v>
      </c>
      <c r="AD389" s="855">
        <f t="shared" si="32"/>
        <v>2.1692814391359116E-4</v>
      </c>
      <c r="AE389" s="855">
        <f t="shared" si="32"/>
        <v>1.9608105045572133E-4</v>
      </c>
      <c r="AF389" s="855">
        <f t="shared" si="32"/>
        <v>1.7728964071605068E-4</v>
      </c>
    </row>
    <row r="390" spans="1:32" x14ac:dyDescent="0.25">
      <c r="A390" s="1041"/>
      <c r="B390" s="1041" t="s">
        <v>29</v>
      </c>
      <c r="C390" s="1059"/>
      <c r="D390" s="1059"/>
      <c r="E390" s="1059"/>
      <c r="F390" s="1059"/>
      <c r="G390" s="1045"/>
      <c r="H390" s="1118">
        <f>H353/SUM(H$349:H$353)</f>
        <v>5.7474730107378996E-3</v>
      </c>
      <c r="I390" s="855">
        <f t="shared" si="32"/>
        <v>1.0452450612021883E-2</v>
      </c>
      <c r="J390" s="855">
        <f t="shared" si="32"/>
        <v>1.8482408360147157E-2</v>
      </c>
      <c r="K390" s="855">
        <f t="shared" si="32"/>
        <v>3.0419303594252801E-2</v>
      </c>
      <c r="L390" s="1118">
        <f t="shared" si="32"/>
        <v>4.6233918780570121E-2</v>
      </c>
      <c r="M390" s="855">
        <f t="shared" si="32"/>
        <v>6.5273493825092593E-2</v>
      </c>
      <c r="N390" s="855">
        <f t="shared" si="32"/>
        <v>8.7053163277968332E-2</v>
      </c>
      <c r="O390" s="855">
        <f t="shared" si="32"/>
        <v>0.11126938058332692</v>
      </c>
      <c r="P390" s="855">
        <f t="shared" si="32"/>
        <v>0.13543782556178108</v>
      </c>
      <c r="Q390" s="1118">
        <f t="shared" si="32"/>
        <v>0.16030760598870086</v>
      </c>
      <c r="R390" s="855">
        <f t="shared" si="32"/>
        <v>0.18391953357318053</v>
      </c>
      <c r="S390" s="855">
        <f t="shared" si="32"/>
        <v>0.20681084998636712</v>
      </c>
      <c r="T390" s="855">
        <f t="shared" si="32"/>
        <v>0.22853873649365655</v>
      </c>
      <c r="U390" s="855">
        <f t="shared" si="32"/>
        <v>0.24950086641455257</v>
      </c>
      <c r="V390" s="1118">
        <f t="shared" si="32"/>
        <v>0.26868425063021772</v>
      </c>
      <c r="W390" s="855">
        <f t="shared" si="32"/>
        <v>0.28635926055044519</v>
      </c>
      <c r="X390" s="855">
        <f t="shared" si="32"/>
        <v>0.30420765655281079</v>
      </c>
      <c r="Y390" s="855">
        <f t="shared" si="32"/>
        <v>0.32087282703892123</v>
      </c>
      <c r="Z390" s="855">
        <f t="shared" si="32"/>
        <v>0.33613833389854947</v>
      </c>
      <c r="AA390" s="1118">
        <f t="shared" si="32"/>
        <v>0.35028175527869498</v>
      </c>
      <c r="AB390" s="855">
        <f t="shared" si="32"/>
        <v>0.36357862405242064</v>
      </c>
      <c r="AC390" s="855">
        <f t="shared" si="32"/>
        <v>0.37627178042215653</v>
      </c>
      <c r="AD390" s="855">
        <f t="shared" si="32"/>
        <v>0.38836907753968147</v>
      </c>
      <c r="AE390" s="855">
        <f t="shared" si="32"/>
        <v>0.39998554912901008</v>
      </c>
      <c r="AF390" s="855">
        <f t="shared" si="32"/>
        <v>0.41132102924370617</v>
      </c>
    </row>
    <row r="391" spans="1:32" x14ac:dyDescent="0.25">
      <c r="A391" s="1041"/>
      <c r="B391" s="1041"/>
      <c r="C391" s="1059"/>
      <c r="D391" s="1059"/>
      <c r="E391" s="1059"/>
      <c r="F391" s="1059"/>
      <c r="G391" s="1045"/>
      <c r="H391" s="864"/>
      <c r="I391" s="1059"/>
      <c r="J391" s="1059"/>
      <c r="K391" s="1059"/>
      <c r="L391" s="1059"/>
      <c r="M391" s="1059"/>
      <c r="N391" s="1059"/>
      <c r="O391" s="1059"/>
      <c r="P391" s="1059"/>
      <c r="Q391" s="1059"/>
      <c r="R391" s="1059"/>
      <c r="S391" s="1059"/>
      <c r="T391" s="1059"/>
      <c r="U391" s="1059"/>
      <c r="V391" s="1059"/>
      <c r="W391" s="1059"/>
      <c r="X391" s="1059"/>
      <c r="Y391" s="1059"/>
      <c r="Z391" s="1059"/>
      <c r="AA391" s="1059"/>
      <c r="AB391" s="1059"/>
      <c r="AC391" s="1059"/>
      <c r="AD391" s="1059"/>
      <c r="AE391" s="1059"/>
      <c r="AF391" s="1059"/>
    </row>
    <row r="392" spans="1:32" x14ac:dyDescent="0.25">
      <c r="A392" s="843" t="s">
        <v>47</v>
      </c>
      <c r="B392" s="843"/>
      <c r="C392" s="843"/>
      <c r="D392" s="843"/>
      <c r="E392" s="843"/>
      <c r="F392" s="843"/>
      <c r="G392" s="865"/>
      <c r="H392" s="843"/>
      <c r="I392" s="843"/>
      <c r="J392" s="843"/>
      <c r="K392" s="843"/>
      <c r="L392" s="843"/>
      <c r="M392" s="843"/>
      <c r="N392" s="843"/>
      <c r="O392" s="843"/>
      <c r="P392" s="843"/>
      <c r="Q392" s="843"/>
      <c r="R392" s="843"/>
      <c r="S392" s="843"/>
      <c r="T392" s="843"/>
      <c r="U392" s="843"/>
      <c r="V392" s="843"/>
      <c r="W392" s="843"/>
      <c r="X392" s="843"/>
      <c r="Y392" s="843"/>
      <c r="Z392" s="843"/>
      <c r="AA392" s="843"/>
      <c r="AB392" s="843"/>
      <c r="AC392" s="843"/>
      <c r="AD392" s="843"/>
      <c r="AE392" s="843"/>
      <c r="AF392" s="843"/>
    </row>
    <row r="393" spans="1:32" x14ac:dyDescent="0.25">
      <c r="A393" s="1041"/>
      <c r="B393" s="1041" t="s">
        <v>48</v>
      </c>
      <c r="C393" s="1059"/>
      <c r="D393" s="1059"/>
      <c r="E393" s="1059"/>
      <c r="F393" s="1059"/>
      <c r="G393" s="1045"/>
      <c r="H393" s="855">
        <f>H356/SUM(H$356:H$361)</f>
        <v>0.31943224139698612</v>
      </c>
      <c r="I393" s="855">
        <f t="shared" ref="I393:AF393" si="34">I356/SUM(I$356:I$361)</f>
        <v>0.2634200096425105</v>
      </c>
      <c r="J393" s="855">
        <f t="shared" si="34"/>
        <v>0.16812681480134278</v>
      </c>
      <c r="K393" s="855">
        <f t="shared" si="34"/>
        <v>8.5588141993020186E-2</v>
      </c>
      <c r="L393" s="855">
        <f t="shared" si="34"/>
        <v>3.688491936505852E-2</v>
      </c>
      <c r="M393" s="855">
        <f t="shared" si="34"/>
        <v>1.3776650027553183E-2</v>
      </c>
      <c r="N393" s="855">
        <f t="shared" si="34"/>
        <v>5.0296532439217502E-3</v>
      </c>
      <c r="O393" s="855">
        <f t="shared" si="34"/>
        <v>1.8748619747909168E-3</v>
      </c>
      <c r="P393" s="855">
        <f t="shared" si="34"/>
        <v>7.1735870464067586E-4</v>
      </c>
      <c r="Q393" s="855">
        <f t="shared" si="34"/>
        <v>2.7211201449945288E-4</v>
      </c>
      <c r="R393" s="855">
        <f t="shared" si="34"/>
        <v>1.0174425718460008E-4</v>
      </c>
      <c r="S393" s="855">
        <f t="shared" si="34"/>
        <v>3.6874932438935722E-5</v>
      </c>
      <c r="T393" s="855">
        <f t="shared" si="34"/>
        <v>1.3000568841414574E-5</v>
      </c>
      <c r="U393" s="855">
        <f t="shared" si="34"/>
        <v>4.4367379307722683E-6</v>
      </c>
      <c r="V393" s="855">
        <f t="shared" si="34"/>
        <v>1.4791270748989316E-6</v>
      </c>
      <c r="W393" s="855">
        <f t="shared" si="34"/>
        <v>4.8310958727002375E-7</v>
      </c>
      <c r="X393" s="855">
        <f t="shared" si="34"/>
        <v>1.5475651908546583E-7</v>
      </c>
      <c r="Y393" s="855">
        <f t="shared" si="34"/>
        <v>4.8911876142400832E-8</v>
      </c>
      <c r="Z393" s="855">
        <f t="shared" si="34"/>
        <v>1.5336743596002952E-8</v>
      </c>
      <c r="AA393" s="855">
        <f t="shared" si="34"/>
        <v>4.7969683800599731E-9</v>
      </c>
      <c r="AB393" s="855">
        <f t="shared" si="34"/>
        <v>1.4905846528677457E-9</v>
      </c>
      <c r="AC393" s="855">
        <f t="shared" si="34"/>
        <v>4.6281892739604029E-10</v>
      </c>
      <c r="AD393" s="855">
        <f t="shared" si="34"/>
        <v>1.437702456889055E-10</v>
      </c>
      <c r="AE393" s="855">
        <f t="shared" si="34"/>
        <v>4.4666875367943648E-11</v>
      </c>
      <c r="AF393" s="855">
        <f t="shared" si="34"/>
        <v>1.3770005697926486E-11</v>
      </c>
    </row>
    <row r="394" spans="1:32" x14ac:dyDescent="0.25">
      <c r="A394" s="1041"/>
      <c r="B394" s="1043" t="s">
        <v>50</v>
      </c>
      <c r="C394" s="1059"/>
      <c r="D394" s="1059"/>
      <c r="E394" s="1059"/>
      <c r="F394" s="1059"/>
      <c r="G394" s="1045"/>
      <c r="H394" s="855">
        <f t="shared" ref="H394:AF394" si="35">H357/SUM(H$356:H$361)</f>
        <v>0.18329085733423223</v>
      </c>
      <c r="I394" s="855">
        <f t="shared" si="35"/>
        <v>0.17702834079571317</v>
      </c>
      <c r="J394" s="855">
        <f t="shared" si="35"/>
        <v>0.16971046365432113</v>
      </c>
      <c r="K394" s="855">
        <f t="shared" si="35"/>
        <v>0.16323245623444149</v>
      </c>
      <c r="L394" s="855">
        <f t="shared" si="35"/>
        <v>0.15176332718918831</v>
      </c>
      <c r="M394" s="855">
        <f t="shared" si="35"/>
        <v>0.13161510913917496</v>
      </c>
      <c r="N394" s="855">
        <f t="shared" si="35"/>
        <v>0.10570066998890851</v>
      </c>
      <c r="O394" s="855">
        <f t="shared" si="35"/>
        <v>7.9375819324633293E-2</v>
      </c>
      <c r="P394" s="855">
        <f t="shared" si="35"/>
        <v>5.6049413912847346E-2</v>
      </c>
      <c r="Q394" s="855">
        <f t="shared" si="35"/>
        <v>3.7505827613003868E-2</v>
      </c>
      <c r="R394" s="855">
        <f t="shared" si="35"/>
        <v>2.4168121945581159E-2</v>
      </c>
      <c r="S394" s="855">
        <f t="shared" si="35"/>
        <v>1.4941416300377904E-2</v>
      </c>
      <c r="T394" s="855">
        <f t="shared" si="35"/>
        <v>9.0096812513631563E-3</v>
      </c>
      <c r="U394" s="855">
        <f t="shared" si="35"/>
        <v>5.3125846195823329E-3</v>
      </c>
      <c r="V394" s="855">
        <f t="shared" si="35"/>
        <v>3.0994819261553354E-3</v>
      </c>
      <c r="W394" s="855">
        <f t="shared" si="35"/>
        <v>1.804288322065308E-3</v>
      </c>
      <c r="X394" s="855">
        <f t="shared" si="35"/>
        <v>1.0525504156371692E-3</v>
      </c>
      <c r="Y394" s="855">
        <f t="shared" si="35"/>
        <v>6.2082162205019057E-4</v>
      </c>
      <c r="Z394" s="855">
        <f t="shared" si="35"/>
        <v>3.7331958207169075E-4</v>
      </c>
      <c r="AA394" s="855">
        <f t="shared" si="35"/>
        <v>2.307870464553916E-4</v>
      </c>
      <c r="AB394" s="855">
        <f t="shared" si="35"/>
        <v>1.4623551748954995E-4</v>
      </c>
      <c r="AC394" s="855">
        <f t="shared" si="35"/>
        <v>9.5260474111579863E-5</v>
      </c>
      <c r="AD394" s="855">
        <f t="shared" si="35"/>
        <v>6.3737241472331283E-5</v>
      </c>
      <c r="AE394" s="855">
        <f t="shared" si="35"/>
        <v>4.357362780042357E-5</v>
      </c>
      <c r="AF394" s="855">
        <f t="shared" si="35"/>
        <v>2.9940133844530041E-5</v>
      </c>
    </row>
    <row r="395" spans="1:32" x14ac:dyDescent="0.25">
      <c r="A395" s="1041"/>
      <c r="B395" s="1041" t="s">
        <v>51</v>
      </c>
      <c r="C395" s="1059"/>
      <c r="D395" s="1059"/>
      <c r="E395" s="1059"/>
      <c r="F395" s="1059"/>
      <c r="G395" s="1045"/>
      <c r="H395" s="855">
        <f t="shared" ref="H395:AF395" si="36">H358/SUM(H$356:H$361)</f>
        <v>0.1990469660513938</v>
      </c>
      <c r="I395" s="855">
        <f t="shared" si="36"/>
        <v>0.20565131018718708</v>
      </c>
      <c r="J395" s="855">
        <f t="shared" si="36"/>
        <v>0.20807522940689432</v>
      </c>
      <c r="K395" s="855">
        <f t="shared" si="36"/>
        <v>0.21433817577065767</v>
      </c>
      <c r="L395" s="855">
        <f t="shared" si="36"/>
        <v>0.21903300594419298</v>
      </c>
      <c r="M395" s="855">
        <f t="shared" si="36"/>
        <v>0.21601408046535112</v>
      </c>
      <c r="N395" s="855">
        <f t="shared" si="36"/>
        <v>0.20492434954707234</v>
      </c>
      <c r="O395" s="855">
        <f t="shared" si="36"/>
        <v>0.1891164349911191</v>
      </c>
      <c r="P395" s="855">
        <f t="shared" si="36"/>
        <v>0.1697015945723041</v>
      </c>
      <c r="Q395" s="855">
        <f t="shared" si="36"/>
        <v>0.1495270308587078</v>
      </c>
      <c r="R395" s="855">
        <f t="shared" si="36"/>
        <v>0.13061069697610458</v>
      </c>
      <c r="S395" s="855">
        <f t="shared" si="36"/>
        <v>0.11234922640524223</v>
      </c>
      <c r="T395" s="855">
        <f t="shared" si="36"/>
        <v>9.6191085605810814E-2</v>
      </c>
      <c r="U395" s="855">
        <f t="shared" si="36"/>
        <v>8.1726169102893251E-2</v>
      </c>
      <c r="V395" s="855">
        <f t="shared" si="36"/>
        <v>6.9183984685873404E-2</v>
      </c>
      <c r="W395" s="855">
        <f t="shared" si="36"/>
        <v>5.84721814363608E-2</v>
      </c>
      <c r="X395" s="855">
        <f t="shared" si="36"/>
        <v>4.9325773707011328E-2</v>
      </c>
      <c r="Y395" s="855">
        <f t="shared" si="36"/>
        <v>4.1595345499834985E-2</v>
      </c>
      <c r="Z395" s="855">
        <f t="shared" si="36"/>
        <v>3.5069892014748694E-2</v>
      </c>
      <c r="AA395" s="855">
        <f t="shared" si="36"/>
        <v>2.9627260698320172E-2</v>
      </c>
      <c r="AB395" s="855">
        <f t="shared" si="36"/>
        <v>2.5027252254008661E-2</v>
      </c>
      <c r="AC395" s="855">
        <f t="shared" si="36"/>
        <v>2.1172511952031289E-2</v>
      </c>
      <c r="AD395" s="855">
        <f t="shared" si="36"/>
        <v>1.7937932601211262E-2</v>
      </c>
      <c r="AE395" s="855">
        <f t="shared" si="36"/>
        <v>1.5215735680890611E-2</v>
      </c>
      <c r="AF395" s="855">
        <f t="shared" si="36"/>
        <v>1.2918810919914462E-2</v>
      </c>
    </row>
    <row r="396" spans="1:32" x14ac:dyDescent="0.25">
      <c r="A396" s="1041"/>
      <c r="B396" s="1041" t="s">
        <v>52</v>
      </c>
      <c r="C396" s="1059"/>
      <c r="D396" s="1059"/>
      <c r="E396" s="1059"/>
      <c r="F396" s="1059"/>
      <c r="G396" s="1045"/>
      <c r="H396" s="855">
        <f t="shared" ref="H396:AF396" si="37">H359/SUM(H$356:H$361)</f>
        <v>0.14782053350485061</v>
      </c>
      <c r="I396" s="855">
        <f t="shared" si="37"/>
        <v>0.15840938242861149</v>
      </c>
      <c r="J396" s="855">
        <f t="shared" si="37"/>
        <v>0.16769780045008634</v>
      </c>
      <c r="K396" s="855">
        <f t="shared" si="37"/>
        <v>0.1825869326108836</v>
      </c>
      <c r="L396" s="855">
        <f t="shared" si="37"/>
        <v>0.19986722820219804</v>
      </c>
      <c r="M396" s="855">
        <f t="shared" si="37"/>
        <v>0.21360543717669239</v>
      </c>
      <c r="N396" s="855">
        <f t="shared" si="37"/>
        <v>0.22183044252035669</v>
      </c>
      <c r="O396" s="855">
        <f t="shared" si="37"/>
        <v>0.22637157336151439</v>
      </c>
      <c r="P396" s="855">
        <f t="shared" si="37"/>
        <v>0.2264694168804337</v>
      </c>
      <c r="Q396" s="855">
        <f t="shared" si="37"/>
        <v>0.22396393355966809</v>
      </c>
      <c r="R396" s="855">
        <f t="shared" si="37"/>
        <v>0.220717372472366</v>
      </c>
      <c r="S396" s="855">
        <f t="shared" si="37"/>
        <v>0.21492091820966808</v>
      </c>
      <c r="T396" s="855">
        <f t="shared" si="37"/>
        <v>0.2087302300726146</v>
      </c>
      <c r="U396" s="855">
        <f t="shared" si="37"/>
        <v>0.20110155925621767</v>
      </c>
      <c r="V396" s="855">
        <f t="shared" si="37"/>
        <v>0.19322960660306249</v>
      </c>
      <c r="W396" s="855">
        <f t="shared" si="37"/>
        <v>0.18506246502882978</v>
      </c>
      <c r="X396" s="855">
        <f t="shared" si="37"/>
        <v>0.17677940828321959</v>
      </c>
      <c r="Y396" s="855">
        <f t="shared" si="37"/>
        <v>0.1687310921659167</v>
      </c>
      <c r="Z396" s="855">
        <f t="shared" si="37"/>
        <v>0.16062708120802988</v>
      </c>
      <c r="AA396" s="855">
        <f t="shared" si="37"/>
        <v>0.15289695448538534</v>
      </c>
      <c r="AB396" s="855">
        <f t="shared" si="37"/>
        <v>0.14534661796598222</v>
      </c>
      <c r="AC396" s="855">
        <f t="shared" si="37"/>
        <v>0.13803523449124683</v>
      </c>
      <c r="AD396" s="855">
        <f t="shared" si="37"/>
        <v>0.13104891376829947</v>
      </c>
      <c r="AE396" s="855">
        <f t="shared" si="37"/>
        <v>0.1244334017399723</v>
      </c>
      <c r="AF396" s="855">
        <f t="shared" si="37"/>
        <v>0.11802906141198367</v>
      </c>
    </row>
    <row r="397" spans="1:32" x14ac:dyDescent="0.25">
      <c r="A397" s="1041"/>
      <c r="B397" s="1043" t="s">
        <v>29</v>
      </c>
      <c r="C397" s="1059"/>
      <c r="D397" s="1059"/>
      <c r="E397" s="1059"/>
      <c r="F397" s="1059"/>
      <c r="G397" s="1045"/>
      <c r="H397" s="1118">
        <f t="shared" ref="H397:AF397" si="38">H360/SUM(H$356:H$361)</f>
        <v>0.15005761697848941</v>
      </c>
      <c r="I397" s="855">
        <f t="shared" si="38"/>
        <v>0.19511177331195498</v>
      </c>
      <c r="J397" s="855">
        <f t="shared" si="38"/>
        <v>0.28598868388240223</v>
      </c>
      <c r="K397" s="855">
        <f t="shared" si="38"/>
        <v>0.35382371236346655</v>
      </c>
      <c r="L397" s="1118">
        <f t="shared" si="38"/>
        <v>0.39198733849953854</v>
      </c>
      <c r="M397" s="855">
        <f t="shared" si="38"/>
        <v>0.4245018403119466</v>
      </c>
      <c r="N397" s="855">
        <f t="shared" si="38"/>
        <v>0.46202136798144755</v>
      </c>
      <c r="O397" s="855">
        <f t="shared" si="38"/>
        <v>0.50277115724408283</v>
      </c>
      <c r="P397" s="855">
        <f t="shared" si="38"/>
        <v>0.54658200238944443</v>
      </c>
      <c r="Q397" s="1118">
        <f t="shared" si="38"/>
        <v>0.58826584395816872</v>
      </c>
      <c r="R397" s="855">
        <f t="shared" si="38"/>
        <v>0.62395103793132478</v>
      </c>
      <c r="S397" s="855">
        <f t="shared" si="38"/>
        <v>0.65731706520554722</v>
      </c>
      <c r="T397" s="855">
        <f t="shared" si="38"/>
        <v>0.68563728237415345</v>
      </c>
      <c r="U397" s="855">
        <f t="shared" si="38"/>
        <v>0.7114535416685065</v>
      </c>
      <c r="V397" s="1118">
        <f t="shared" si="38"/>
        <v>0.73409991230601512</v>
      </c>
      <c r="W397" s="855">
        <f t="shared" si="38"/>
        <v>0.75429074979355415</v>
      </c>
      <c r="X397" s="855">
        <f t="shared" si="38"/>
        <v>0.77248898349293904</v>
      </c>
      <c r="Y397" s="855">
        <f t="shared" si="38"/>
        <v>0.78871614602746432</v>
      </c>
      <c r="Z397" s="855">
        <f t="shared" si="38"/>
        <v>0.803608745726763</v>
      </c>
      <c r="AA397" s="1118">
        <f t="shared" si="38"/>
        <v>0.81693811345171796</v>
      </c>
      <c r="AB397" s="855">
        <f t="shared" si="38"/>
        <v>0.82918668154053765</v>
      </c>
      <c r="AC397" s="855">
        <f t="shared" si="38"/>
        <v>0.84041782073547233</v>
      </c>
      <c r="AD397" s="855">
        <f t="shared" si="38"/>
        <v>0.85068381924251035</v>
      </c>
      <c r="AE397" s="855">
        <f t="shared" si="38"/>
        <v>0.86005499197032764</v>
      </c>
      <c r="AF397" s="855">
        <f t="shared" si="38"/>
        <v>0.86878314022795566</v>
      </c>
    </row>
    <row r="398" spans="1:32" x14ac:dyDescent="0.25">
      <c r="A398" s="1041"/>
      <c r="B398" s="1043" t="s">
        <v>53</v>
      </c>
      <c r="C398" s="1059"/>
      <c r="D398" s="1059"/>
      <c r="E398" s="1059"/>
      <c r="F398" s="1059"/>
      <c r="G398" s="1045"/>
      <c r="H398" s="855">
        <f t="shared" ref="H398:AF398" si="39">H361/SUM(H$356:H$361)</f>
        <v>3.5178473404777651E-4</v>
      </c>
      <c r="I398" s="855">
        <f t="shared" si="39"/>
        <v>3.7918363402274577E-4</v>
      </c>
      <c r="J398" s="855">
        <f t="shared" si="39"/>
        <v>4.0100780495323026E-4</v>
      </c>
      <c r="K398" s="855">
        <f t="shared" si="39"/>
        <v>4.3058102753047402E-4</v>
      </c>
      <c r="L398" s="855">
        <f t="shared" si="39"/>
        <v>4.6418079982362234E-4</v>
      </c>
      <c r="M398" s="855">
        <f t="shared" si="39"/>
        <v>4.8688287928166392E-4</v>
      </c>
      <c r="N398" s="855">
        <f t="shared" si="39"/>
        <v>4.9351671829316035E-4</v>
      </c>
      <c r="O398" s="855">
        <f t="shared" si="39"/>
        <v>4.9015310385938811E-4</v>
      </c>
      <c r="P398" s="855">
        <f t="shared" si="39"/>
        <v>4.8021354032983459E-4</v>
      </c>
      <c r="Q398" s="855">
        <f t="shared" si="39"/>
        <v>4.6525199595196914E-4</v>
      </c>
      <c r="R398" s="855">
        <f t="shared" si="39"/>
        <v>4.5102641743885262E-4</v>
      </c>
      <c r="S398" s="855">
        <f t="shared" si="39"/>
        <v>4.344989467257925E-4</v>
      </c>
      <c r="T398" s="855">
        <f t="shared" si="39"/>
        <v>4.1872012721660349E-4</v>
      </c>
      <c r="U398" s="855">
        <f t="shared" si="39"/>
        <v>4.0170861486962334E-4</v>
      </c>
      <c r="V398" s="855">
        <f t="shared" si="39"/>
        <v>3.8553535181872411E-4</v>
      </c>
      <c r="W398" s="855">
        <f t="shared" si="39"/>
        <v>3.6983230960266876E-4</v>
      </c>
      <c r="X398" s="855">
        <f t="shared" si="39"/>
        <v>3.5312934467381351E-4</v>
      </c>
      <c r="Y398" s="855">
        <f t="shared" si="39"/>
        <v>3.3654577285769776E-4</v>
      </c>
      <c r="Z398" s="855">
        <f t="shared" si="39"/>
        <v>3.2094613164325328E-4</v>
      </c>
      <c r="AA398" s="855">
        <f t="shared" si="39"/>
        <v>3.0687952115272902E-4</v>
      </c>
      <c r="AB398" s="855">
        <f t="shared" si="39"/>
        <v>2.9321123139715191E-4</v>
      </c>
      <c r="AC398" s="855">
        <f t="shared" si="39"/>
        <v>2.7917188431914508E-4</v>
      </c>
      <c r="AD398" s="855">
        <f t="shared" si="39"/>
        <v>2.6559700273631363E-4</v>
      </c>
      <c r="AE398" s="855">
        <f t="shared" si="39"/>
        <v>2.5229693634205825E-4</v>
      </c>
      <c r="AF398" s="855">
        <f t="shared" si="39"/>
        <v>2.3904729253166259E-4</v>
      </c>
    </row>
    <row r="399" spans="1:32" x14ac:dyDescent="0.25">
      <c r="A399" s="1059"/>
      <c r="B399" s="1059"/>
      <c r="C399" s="1059"/>
      <c r="D399" s="1059"/>
      <c r="E399" s="1059"/>
      <c r="F399" s="1059"/>
      <c r="G399" s="1059"/>
      <c r="H399" s="1059"/>
      <c r="I399" s="1059"/>
      <c r="J399" s="1059"/>
      <c r="K399" s="1059"/>
      <c r="L399" s="1059"/>
      <c r="M399" s="1059"/>
      <c r="N399" s="1059"/>
      <c r="O399" s="1059"/>
      <c r="P399" s="1059"/>
      <c r="Q399" s="1059"/>
      <c r="R399" s="1059"/>
      <c r="S399" s="1059"/>
      <c r="T399" s="1059"/>
      <c r="U399" s="1059"/>
      <c r="V399" s="1059"/>
      <c r="W399" s="1059"/>
      <c r="X399" s="1059"/>
      <c r="Y399" s="1059"/>
      <c r="Z399" s="1059"/>
      <c r="AA399" s="1059"/>
      <c r="AB399" s="1059"/>
      <c r="AC399" s="1059"/>
      <c r="AD399" s="1059"/>
      <c r="AE399" s="1059"/>
      <c r="AF399" s="1059"/>
    </row>
    <row r="400" spans="1:32" ht="15.75" thickBot="1" x14ac:dyDescent="0.3">
      <c r="A400" s="1059" t="s">
        <v>741</v>
      </c>
      <c r="B400" s="1059"/>
      <c r="C400" s="1059"/>
      <c r="D400" s="1059"/>
      <c r="E400" s="1059"/>
      <c r="F400" s="1059"/>
      <c r="G400" s="208">
        <v>2010</v>
      </c>
      <c r="H400" s="208">
        <v>2011</v>
      </c>
      <c r="I400" s="208">
        <v>2012</v>
      </c>
      <c r="J400" s="208">
        <v>2013</v>
      </c>
      <c r="K400" s="208">
        <v>2014</v>
      </c>
      <c r="L400" s="208">
        <v>2015</v>
      </c>
      <c r="M400" s="208">
        <v>2016</v>
      </c>
      <c r="N400" s="208">
        <v>2017</v>
      </c>
      <c r="O400" s="208">
        <v>2018</v>
      </c>
      <c r="P400" s="208">
        <v>2019</v>
      </c>
      <c r="Q400" s="208">
        <v>2020</v>
      </c>
      <c r="R400" s="208">
        <v>2021</v>
      </c>
      <c r="S400" s="208">
        <v>2022</v>
      </c>
      <c r="T400" s="208">
        <v>2023</v>
      </c>
      <c r="U400" s="208">
        <v>2024</v>
      </c>
      <c r="V400" s="208">
        <v>2025</v>
      </c>
      <c r="W400" s="208">
        <v>2026</v>
      </c>
      <c r="X400" s="208">
        <v>2027</v>
      </c>
      <c r="Y400" s="208">
        <v>2028</v>
      </c>
      <c r="Z400" s="208">
        <v>2029</v>
      </c>
      <c r="AA400" s="208">
        <v>2030</v>
      </c>
      <c r="AB400" s="208">
        <v>2031</v>
      </c>
      <c r="AC400" s="208">
        <v>2032</v>
      </c>
      <c r="AD400" s="208">
        <v>2033</v>
      </c>
      <c r="AE400" s="208">
        <v>2034</v>
      </c>
      <c r="AF400" s="208">
        <v>2035</v>
      </c>
    </row>
    <row r="401" spans="1:32" x14ac:dyDescent="0.25">
      <c r="A401" s="1059"/>
      <c r="B401" s="1075" t="s">
        <v>400</v>
      </c>
      <c r="C401" s="1076"/>
      <c r="D401" s="1076"/>
      <c r="E401" s="1076"/>
      <c r="F401" s="1076"/>
      <c r="G401" s="1076"/>
      <c r="H401" s="1077">
        <f>SUM(H331:H332,H337:H338,H356:H357)/SUM(H331:H361)</f>
        <v>0.16242899834819297</v>
      </c>
      <c r="I401" s="1077">
        <f t="shared" ref="I401:AF401" si="40">SUM(I331:I332,I337:I338,I356:I357)/SUM(I331:I361)</f>
        <v>0.14754093353532416</v>
      </c>
      <c r="J401" s="1077">
        <f t="shared" si="40"/>
        <v>0.12498637058234775</v>
      </c>
      <c r="K401" s="1077">
        <f t="shared" si="40"/>
        <v>0.10716615981459271</v>
      </c>
      <c r="L401" s="1077">
        <f t="shared" si="40"/>
        <v>8.9596071249907414E-2</v>
      </c>
      <c r="M401" s="1077">
        <f t="shared" si="40"/>
        <v>7.1625200915087242E-2</v>
      </c>
      <c r="N401" s="1077">
        <f t="shared" si="40"/>
        <v>6.0777812181709356E-2</v>
      </c>
      <c r="O401" s="1077">
        <f t="shared" si="40"/>
        <v>5.117238416243846E-2</v>
      </c>
      <c r="P401" s="1077">
        <f t="shared" si="40"/>
        <v>4.3046423905342954E-2</v>
      </c>
      <c r="Q401" s="1077">
        <f>SUM(Q331:Q332,Q337:Q338,Q356:Q357)/SUM(Q331:Q361)</f>
        <v>3.5853497959005748E-2</v>
      </c>
      <c r="R401" s="1077">
        <f t="shared" si="40"/>
        <v>2.9670871623021306E-2</v>
      </c>
      <c r="S401" s="1077">
        <f t="shared" si="40"/>
        <v>2.452974502240178E-2</v>
      </c>
      <c r="T401" s="1077">
        <f t="shared" si="40"/>
        <v>2.0308924531784071E-2</v>
      </c>
      <c r="U401" s="1077">
        <f t="shared" si="40"/>
        <v>1.686249747423987E-2</v>
      </c>
      <c r="V401" s="1077">
        <f t="shared" si="40"/>
        <v>1.4187867403264394E-2</v>
      </c>
      <c r="W401" s="1077">
        <f t="shared" si="40"/>
        <v>1.2062121549361335E-2</v>
      </c>
      <c r="X401" s="1077">
        <f t="shared" si="40"/>
        <v>1.0342615627537367E-2</v>
      </c>
      <c r="Y401" s="1077">
        <f t="shared" si="40"/>
        <v>8.9902373472911037E-3</v>
      </c>
      <c r="Z401" s="1077">
        <f t="shared" si="40"/>
        <v>7.9488950783245423E-3</v>
      </c>
      <c r="AA401" s="1077">
        <f t="shared" si="40"/>
        <v>7.1460610526044317E-3</v>
      </c>
      <c r="AB401" s="1077">
        <f t="shared" si="40"/>
        <v>6.504864000738653E-3</v>
      </c>
      <c r="AC401" s="1077">
        <f t="shared" si="40"/>
        <v>5.9783878808706654E-3</v>
      </c>
      <c r="AD401" s="1077">
        <f t="shared" si="40"/>
        <v>5.5353099034710831E-3</v>
      </c>
      <c r="AE401" s="1077">
        <f t="shared" si="40"/>
        <v>5.1552363526255335E-3</v>
      </c>
      <c r="AF401" s="1077">
        <f t="shared" si="40"/>
        <v>4.7690732889510996E-3</v>
      </c>
    </row>
    <row r="402" spans="1:32" x14ac:dyDescent="0.25">
      <c r="A402" s="1059"/>
      <c r="B402" s="1078" t="s">
        <v>402</v>
      </c>
      <c r="C402" s="584"/>
      <c r="D402" s="584"/>
      <c r="E402" s="584"/>
      <c r="F402" s="584"/>
      <c r="G402" s="584"/>
      <c r="H402" s="1074">
        <f>SUM(H333,H339,H358)/SUM(H331:H361)</f>
        <v>6.5172738489295445E-2</v>
      </c>
      <c r="I402" s="1074">
        <f t="shared" ref="I402:AF402" si="41">SUM(I333,I339,I358)/SUM(I331:I361)</f>
        <v>6.3413576679139147E-2</v>
      </c>
      <c r="J402" s="1074">
        <f t="shared" si="41"/>
        <v>6.8006453493389032E-2</v>
      </c>
      <c r="K402" s="1074">
        <f t="shared" si="41"/>
        <v>6.6854081406914151E-2</v>
      </c>
      <c r="L402" s="1074">
        <f t="shared" si="41"/>
        <v>6.8135506687074132E-2</v>
      </c>
      <c r="M402" s="1074">
        <f t="shared" si="41"/>
        <v>6.9792548501052487E-2</v>
      </c>
      <c r="N402" s="1074">
        <f t="shared" si="41"/>
        <v>6.296191181776796E-2</v>
      </c>
      <c r="O402" s="1074">
        <f t="shared" si="41"/>
        <v>5.6524244816026602E-2</v>
      </c>
      <c r="P402" s="1074">
        <f t="shared" si="41"/>
        <v>5.0320270370807454E-2</v>
      </c>
      <c r="Q402" s="1074">
        <f t="shared" si="41"/>
        <v>4.4461901379114065E-2</v>
      </c>
      <c r="R402" s="1074">
        <f t="shared" si="41"/>
        <v>3.9113536959482047E-2</v>
      </c>
      <c r="S402" s="1074">
        <f t="shared" si="41"/>
        <v>3.4160550237958651E-2</v>
      </c>
      <c r="T402" s="1074">
        <f t="shared" si="41"/>
        <v>2.9773353676376634E-2</v>
      </c>
      <c r="U402" s="1074">
        <f t="shared" si="41"/>
        <v>2.5942306015189459E-2</v>
      </c>
      <c r="V402" s="1074">
        <f t="shared" si="41"/>
        <v>2.2750057651679843E-2</v>
      </c>
      <c r="W402" s="1074">
        <f t="shared" si="41"/>
        <v>2.0123184040877942E-2</v>
      </c>
      <c r="X402" s="1074">
        <f t="shared" si="41"/>
        <v>1.7928246647155126E-2</v>
      </c>
      <c r="Y402" s="1074">
        <f t="shared" si="41"/>
        <v>1.6176434425978083E-2</v>
      </c>
      <c r="Z402" s="1074">
        <f t="shared" si="41"/>
        <v>1.4787792630660308E-2</v>
      </c>
      <c r="AA402" s="1074">
        <f t="shared" si="41"/>
        <v>1.3689605504562089E-2</v>
      </c>
      <c r="AB402" s="1074">
        <f t="shared" si="41"/>
        <v>1.2850802039733581E-2</v>
      </c>
      <c r="AC402" s="1074">
        <f t="shared" si="41"/>
        <v>1.2160943172627866E-2</v>
      </c>
      <c r="AD402" s="1074">
        <f t="shared" si="41"/>
        <v>1.1589754831909577E-2</v>
      </c>
      <c r="AE402" s="1074">
        <f t="shared" si="41"/>
        <v>1.1128358467798184E-2</v>
      </c>
      <c r="AF402" s="1074">
        <f t="shared" si="41"/>
        <v>1.0723258504327742E-2</v>
      </c>
    </row>
    <row r="403" spans="1:32" x14ac:dyDescent="0.25">
      <c r="A403" s="1059"/>
      <c r="B403" s="1078" t="s">
        <v>716</v>
      </c>
      <c r="C403" s="584"/>
      <c r="D403" s="584"/>
      <c r="E403" s="584"/>
      <c r="F403" s="584"/>
      <c r="G403" s="584"/>
      <c r="H403" s="1074">
        <f>SUM(H343:H345,H359,H361)/SUM(H331:H361)</f>
        <v>0.48062207933094886</v>
      </c>
      <c r="I403" s="1074">
        <f t="shared" ref="I403:AF403" si="42">SUM(I343:I345,I359,I361)/SUM(I331:I361)</f>
        <v>0.48617341887367033</v>
      </c>
      <c r="J403" s="1074">
        <f t="shared" si="42"/>
        <v>0.48961608051552608</v>
      </c>
      <c r="K403" s="1074">
        <f t="shared" si="42"/>
        <v>0.49473455391369331</v>
      </c>
      <c r="L403" s="1074">
        <f t="shared" si="42"/>
        <v>0.49877535631855291</v>
      </c>
      <c r="M403" s="1074">
        <f t="shared" si="42"/>
        <v>0.5011795017705315</v>
      </c>
      <c r="N403" s="1074">
        <f t="shared" si="42"/>
        <v>0.5017979607153944</v>
      </c>
      <c r="O403" s="1074">
        <f t="shared" si="42"/>
        <v>0.49949017315554639</v>
      </c>
      <c r="P403" s="1074">
        <f t="shared" si="42"/>
        <v>0.49453271973255125</v>
      </c>
      <c r="Q403" s="1074">
        <f t="shared" si="42"/>
        <v>0.48759741021892211</v>
      </c>
      <c r="R403" s="1074">
        <f t="shared" si="42"/>
        <v>0.47949399367577139</v>
      </c>
      <c r="S403" s="1074">
        <f t="shared" si="42"/>
        <v>0.47015259671442572</v>
      </c>
      <c r="T403" s="1074">
        <f t="shared" si="42"/>
        <v>0.46005888050436061</v>
      </c>
      <c r="U403" s="1074">
        <f t="shared" si="42"/>
        <v>0.44933342399746024</v>
      </c>
      <c r="V403" s="1074">
        <f t="shared" si="42"/>
        <v>0.43815056648594791</v>
      </c>
      <c r="W403" s="1074">
        <f t="shared" si="42"/>
        <v>0.42764200244036138</v>
      </c>
      <c r="X403" s="1074">
        <f t="shared" si="42"/>
        <v>0.4170367950060237</v>
      </c>
      <c r="Y403" s="1074">
        <f t="shared" si="42"/>
        <v>0.40656054295162436</v>
      </c>
      <c r="Z403" s="1074">
        <f t="shared" si="42"/>
        <v>0.39670792621483708</v>
      </c>
      <c r="AA403" s="1074">
        <f t="shared" si="42"/>
        <v>0.38765913988359307</v>
      </c>
      <c r="AB403" s="1074">
        <f t="shared" si="42"/>
        <v>0.37876194754235659</v>
      </c>
      <c r="AC403" s="1074">
        <f t="shared" si="42"/>
        <v>0.37036919190215345</v>
      </c>
      <c r="AD403" s="1074">
        <f t="shared" si="42"/>
        <v>0.3625189490704166</v>
      </c>
      <c r="AE403" s="1074">
        <f t="shared" si="42"/>
        <v>0.3548642687068389</v>
      </c>
      <c r="AF403" s="1074">
        <f t="shared" si="42"/>
        <v>0.34734669811128011</v>
      </c>
    </row>
    <row r="404" spans="1:32" x14ac:dyDescent="0.25">
      <c r="A404" s="1059"/>
      <c r="B404" s="1078" t="s">
        <v>42</v>
      </c>
      <c r="C404" s="584"/>
      <c r="D404" s="584"/>
      <c r="E404" s="584"/>
      <c r="F404" s="584"/>
      <c r="G404" s="584"/>
      <c r="H404" s="1074">
        <f>SUM(H349:H352)/SUM(H331:H361)</f>
        <v>0.27435451801972777</v>
      </c>
      <c r="I404" s="1074">
        <f t="shared" ref="I404:AF404" si="43">SUM(I349:I352)/SUM(I331:I361)</f>
        <v>0.2796448662348815</v>
      </c>
      <c r="J404" s="1074">
        <f t="shared" si="43"/>
        <v>0.28266991690177123</v>
      </c>
      <c r="K404" s="1074">
        <f t="shared" si="43"/>
        <v>0.28557321492665011</v>
      </c>
      <c r="L404" s="1074">
        <f t="shared" si="43"/>
        <v>0.28659005884196603</v>
      </c>
      <c r="M404" s="1074">
        <f t="shared" si="43"/>
        <v>0.2854404343759625</v>
      </c>
      <c r="N404" s="1074">
        <f t="shared" si="43"/>
        <v>0.28297031168875997</v>
      </c>
      <c r="O404" s="1074">
        <f t="shared" si="43"/>
        <v>0.2783125506526859</v>
      </c>
      <c r="P404" s="1074">
        <f t="shared" si="43"/>
        <v>0.2726303146071693</v>
      </c>
      <c r="Q404" s="1074">
        <f t="shared" si="43"/>
        <v>0.26589928763329607</v>
      </c>
      <c r="R404" s="1074">
        <f t="shared" si="43"/>
        <v>0.25928768823421816</v>
      </c>
      <c r="S404" s="1074">
        <f t="shared" si="43"/>
        <v>0.25239760767652147</v>
      </c>
      <c r="T404" s="1074">
        <f t="shared" si="43"/>
        <v>0.24569809635242307</v>
      </c>
      <c r="U404" s="1074">
        <f t="shared" si="43"/>
        <v>0.23906755281738284</v>
      </c>
      <c r="V404" s="1074">
        <f t="shared" si="43"/>
        <v>0.23321983818934511</v>
      </c>
      <c r="W404" s="1074">
        <f t="shared" si="43"/>
        <v>0.22746124989157773</v>
      </c>
      <c r="X404" s="1074">
        <f t="shared" si="43"/>
        <v>0.22162279760055106</v>
      </c>
      <c r="Y404" s="1074">
        <f t="shared" si="43"/>
        <v>0.21621305579071101</v>
      </c>
      <c r="Z404" s="1074">
        <f t="shared" si="43"/>
        <v>0.21117811587423937</v>
      </c>
      <c r="AA404" s="1074">
        <f t="shared" si="43"/>
        <v>0.20631365748638492</v>
      </c>
      <c r="AB404" s="1074">
        <f t="shared" si="43"/>
        <v>0.20177459250301771</v>
      </c>
      <c r="AC404" s="1074">
        <f t="shared" si="43"/>
        <v>0.1974585923207412</v>
      </c>
      <c r="AD404" s="1074">
        <f t="shared" si="43"/>
        <v>0.19320341238589434</v>
      </c>
      <c r="AE404" s="1074">
        <f t="shared" si="43"/>
        <v>0.1892924156255002</v>
      </c>
      <c r="AF404" s="1074">
        <f t="shared" si="43"/>
        <v>0.18529964398996512</v>
      </c>
    </row>
    <row r="405" spans="1:32" ht="15.75" thickBot="1" x14ac:dyDescent="0.3">
      <c r="A405" s="1059"/>
      <c r="B405" s="1079" t="s">
        <v>29</v>
      </c>
      <c r="C405" s="1080"/>
      <c r="D405" s="1080"/>
      <c r="E405" s="1080"/>
      <c r="F405" s="1080"/>
      <c r="G405" s="1080"/>
      <c r="H405" s="1081">
        <f>SUM(H334,H340,H346,H353,H360)/SUM(H331:H361)</f>
        <v>1.7421665811835234E-2</v>
      </c>
      <c r="I405" s="1081">
        <f t="shared" ref="I405:AF405" si="44">SUM(I334,I340,I346,I353,I360)/SUM(I331:I361)</f>
        <v>2.3227204676984855E-2</v>
      </c>
      <c r="J405" s="1081">
        <f t="shared" si="44"/>
        <v>3.4721178506965863E-2</v>
      </c>
      <c r="K405" s="1081">
        <f t="shared" si="44"/>
        <v>4.567198993814986E-2</v>
      </c>
      <c r="L405" s="1081">
        <f t="shared" si="44"/>
        <v>5.6903006902499324E-2</v>
      </c>
      <c r="M405" s="1081">
        <f t="shared" si="44"/>
        <v>7.1962314437366129E-2</v>
      </c>
      <c r="N405" s="1081">
        <f t="shared" si="44"/>
        <v>9.1492003596368221E-2</v>
      </c>
      <c r="O405" s="1081">
        <f t="shared" si="44"/>
        <v>0.11450064721330247</v>
      </c>
      <c r="P405" s="1081">
        <f t="shared" si="44"/>
        <v>0.13947027138412893</v>
      </c>
      <c r="Q405" s="1081">
        <f t="shared" si="44"/>
        <v>0.16618790280966173</v>
      </c>
      <c r="R405" s="1081">
        <f t="shared" si="44"/>
        <v>0.19243390950750697</v>
      </c>
      <c r="S405" s="1081">
        <f t="shared" si="44"/>
        <v>0.21875950034869235</v>
      </c>
      <c r="T405" s="1081">
        <f t="shared" si="44"/>
        <v>0.24416074493505549</v>
      </c>
      <c r="U405" s="1081">
        <f t="shared" si="44"/>
        <v>0.2687942196957277</v>
      </c>
      <c r="V405" s="1081">
        <f t="shared" si="44"/>
        <v>0.29169167026976267</v>
      </c>
      <c r="W405" s="1081">
        <f t="shared" si="44"/>
        <v>0.31271144207782198</v>
      </c>
      <c r="X405" s="1081">
        <f t="shared" si="44"/>
        <v>0.33306954511873282</v>
      </c>
      <c r="Y405" s="1081">
        <f t="shared" si="44"/>
        <v>0.35205972948439562</v>
      </c>
      <c r="Z405" s="1081">
        <f t="shared" si="44"/>
        <v>0.36937727020193883</v>
      </c>
      <c r="AA405" s="1081">
        <f t="shared" si="44"/>
        <v>0.3851915360728555</v>
      </c>
      <c r="AB405" s="1081">
        <f t="shared" si="44"/>
        <v>0.40010779391415341</v>
      </c>
      <c r="AC405" s="1081">
        <f t="shared" si="44"/>
        <v>0.41403288472360661</v>
      </c>
      <c r="AD405" s="1081">
        <f t="shared" si="44"/>
        <v>0.42715257380830834</v>
      </c>
      <c r="AE405" s="1081">
        <f t="shared" si="44"/>
        <v>0.43955972084723716</v>
      </c>
      <c r="AF405" s="1081">
        <f t="shared" si="44"/>
        <v>0.45186132610547569</v>
      </c>
    </row>
    <row r="406" spans="1:32" x14ac:dyDescent="0.25">
      <c r="A406" s="1059"/>
      <c r="B406" s="1059"/>
      <c r="C406" s="1059"/>
      <c r="D406" s="1059"/>
      <c r="E406" s="1059"/>
      <c r="F406" s="1059"/>
      <c r="G406" s="1059"/>
      <c r="H406" s="1031">
        <v>1</v>
      </c>
      <c r="I406" s="1031">
        <v>1</v>
      </c>
      <c r="J406" s="1031">
        <v>1</v>
      </c>
      <c r="K406" s="1031">
        <v>1</v>
      </c>
      <c r="L406" s="1031">
        <v>1</v>
      </c>
      <c r="M406" s="1031">
        <v>1</v>
      </c>
      <c r="N406" s="1031">
        <v>1</v>
      </c>
      <c r="O406" s="1031">
        <v>1.0000000000000002</v>
      </c>
      <c r="P406" s="1031">
        <v>0.99999999999999989</v>
      </c>
      <c r="Q406" s="1031">
        <v>0.99999999999999989</v>
      </c>
      <c r="R406" s="1031">
        <v>1</v>
      </c>
      <c r="S406" s="1031">
        <v>1.0000000000000002</v>
      </c>
      <c r="T406" s="1031">
        <v>1</v>
      </c>
      <c r="U406" s="1031">
        <v>1</v>
      </c>
      <c r="V406" s="1031">
        <v>0.99999999999999978</v>
      </c>
      <c r="W406" s="1031">
        <v>1.0000000000000002</v>
      </c>
      <c r="X406" s="1031">
        <v>0.99999999999999989</v>
      </c>
      <c r="Y406" s="1031">
        <v>1</v>
      </c>
      <c r="Z406" s="1031">
        <v>1</v>
      </c>
      <c r="AA406" s="1031">
        <v>1</v>
      </c>
      <c r="AB406" s="1031">
        <v>1</v>
      </c>
      <c r="AC406" s="1031">
        <v>1</v>
      </c>
      <c r="AD406" s="1031">
        <v>1</v>
      </c>
      <c r="AE406" s="1031">
        <v>0.99999999999999978</v>
      </c>
      <c r="AF406" s="1031">
        <v>1</v>
      </c>
    </row>
    <row r="408" spans="1:32" x14ac:dyDescent="0.25">
      <c r="A408" s="1083" t="s">
        <v>747</v>
      </c>
      <c r="B408" s="1084"/>
      <c r="C408" s="1084"/>
      <c r="D408" s="1085"/>
      <c r="E408" s="1084"/>
      <c r="F408" s="1085"/>
      <c r="G408" s="1086"/>
      <c r="H408" s="1085"/>
      <c r="I408" s="1086"/>
      <c r="J408" s="1085"/>
      <c r="K408" s="1086"/>
      <c r="L408" s="1086"/>
      <c r="M408" s="1086"/>
      <c r="N408" s="1086"/>
      <c r="O408" s="1086"/>
      <c r="P408" s="1086"/>
      <c r="Q408" s="1086"/>
      <c r="R408" s="1086"/>
      <c r="S408" s="1086"/>
    </row>
    <row r="409" spans="1:32" x14ac:dyDescent="0.25">
      <c r="A409" s="1087"/>
      <c r="B409" s="1088"/>
      <c r="C409" s="1088"/>
      <c r="D409" s="1089"/>
      <c r="E409" s="1088"/>
      <c r="F409" s="1089" t="s">
        <v>750</v>
      </c>
      <c r="G409" s="1090"/>
      <c r="H409" s="1089"/>
      <c r="I409" s="1090"/>
      <c r="J409" s="1089"/>
      <c r="K409" s="1090"/>
      <c r="N409" t="s">
        <v>749</v>
      </c>
    </row>
    <row r="410" spans="1:32" x14ac:dyDescent="0.25">
      <c r="A410" s="1087"/>
      <c r="B410" s="1059"/>
      <c r="C410" s="1059"/>
      <c r="D410" s="1059"/>
      <c r="E410" s="1059"/>
      <c r="F410" s="1107"/>
      <c r="G410" s="1246" t="s">
        <v>748</v>
      </c>
      <c r="H410" s="1246"/>
      <c r="I410" s="1246"/>
      <c r="J410" s="1246"/>
      <c r="K410" s="1246"/>
      <c r="N410" s="1107"/>
      <c r="O410" s="1246" t="s">
        <v>758</v>
      </c>
      <c r="P410" s="1246"/>
      <c r="Q410" s="1246"/>
      <c r="R410" s="1246"/>
      <c r="S410" s="1246"/>
    </row>
    <row r="411" spans="1:32" x14ac:dyDescent="0.25">
      <c r="A411" s="1059"/>
      <c r="B411" s="1087"/>
      <c r="C411" s="1087"/>
      <c r="D411" s="1087"/>
      <c r="E411" s="1087"/>
      <c r="F411" s="1093"/>
      <c r="G411" s="1092">
        <v>2011</v>
      </c>
      <c r="H411" s="1093">
        <v>2015</v>
      </c>
      <c r="I411" s="1093">
        <v>2020</v>
      </c>
      <c r="J411" s="1093">
        <v>2025</v>
      </c>
      <c r="K411" s="1093">
        <v>2030</v>
      </c>
      <c r="N411" s="1093"/>
      <c r="O411" s="1092">
        <v>2011</v>
      </c>
      <c r="P411" s="1093">
        <v>2015</v>
      </c>
      <c r="Q411" s="1093">
        <v>2020</v>
      </c>
      <c r="R411" s="1093">
        <v>2025</v>
      </c>
      <c r="S411" s="1093">
        <v>2030</v>
      </c>
    </row>
    <row r="412" spans="1:32" x14ac:dyDescent="0.25">
      <c r="B412" s="1059"/>
      <c r="C412" s="1059"/>
      <c r="D412" s="1059"/>
      <c r="E412" s="1059"/>
      <c r="F412" s="1064" t="s">
        <v>54</v>
      </c>
      <c r="G412" s="1094">
        <v>2.7171916742231169E-3</v>
      </c>
      <c r="H412" s="1095">
        <v>8.0574478382755735E-2</v>
      </c>
      <c r="I412" s="1103">
        <v>0.37577362037468093</v>
      </c>
      <c r="J412" s="1095">
        <v>0.60727674103024321</v>
      </c>
      <c r="K412" s="1096">
        <v>0.72268335636896419</v>
      </c>
      <c r="N412" s="1064" t="s">
        <v>54</v>
      </c>
      <c r="O412" s="1094">
        <f>H80</f>
        <v>2.3436822117234253E-2</v>
      </c>
      <c r="P412" s="1095">
        <f>L80</f>
        <v>0.15518066873107061</v>
      </c>
      <c r="Q412" s="1103">
        <f>Q80</f>
        <v>0.34810308688818326</v>
      </c>
      <c r="R412" s="1095">
        <f>V80</f>
        <v>0.6035734825361927</v>
      </c>
      <c r="S412" s="1096">
        <f>AA80</f>
        <v>0.72910055979420285</v>
      </c>
    </row>
    <row r="413" spans="1:32" x14ac:dyDescent="0.25">
      <c r="B413" s="1087"/>
      <c r="C413" s="1087"/>
      <c r="D413" s="1087"/>
      <c r="E413" s="1087"/>
      <c r="F413" s="1065" t="s">
        <v>55</v>
      </c>
      <c r="G413" s="1097">
        <v>2.5399107526346502E-4</v>
      </c>
      <c r="H413" s="1098">
        <v>5.0282592720082446E-2</v>
      </c>
      <c r="I413" s="1104">
        <v>0.27758506793038906</v>
      </c>
      <c r="J413" s="1098">
        <v>0.52460108775235126</v>
      </c>
      <c r="K413" s="1099">
        <v>0.70419873178046044</v>
      </c>
      <c r="N413" s="1065" t="s">
        <v>55</v>
      </c>
      <c r="O413" s="1097">
        <f>H161</f>
        <v>3.429409174831876E-3</v>
      </c>
      <c r="P413" s="1098">
        <f>L161</f>
        <v>2.7996468659103869E-2</v>
      </c>
      <c r="Q413" s="1104">
        <f>Q161</f>
        <v>0.11888628970581951</v>
      </c>
      <c r="R413" s="1098">
        <f>V161</f>
        <v>0.23757952287235054</v>
      </c>
      <c r="S413" s="1099">
        <f>AA161</f>
        <v>0.34106353196731748</v>
      </c>
    </row>
    <row r="414" spans="1:32" x14ac:dyDescent="0.25">
      <c r="B414" s="1059"/>
      <c r="C414" s="1059"/>
      <c r="D414" s="1059"/>
      <c r="E414" s="1059"/>
      <c r="F414" s="1065" t="s">
        <v>56</v>
      </c>
      <c r="G414" s="1097">
        <v>1.5550629475956567E-5</v>
      </c>
      <c r="H414" s="1098">
        <v>7.9146219405106712E-3</v>
      </c>
      <c r="I414" s="1104">
        <v>0.18663163784113063</v>
      </c>
      <c r="J414" s="1098">
        <v>0.48346623459438265</v>
      </c>
      <c r="K414" s="1099">
        <v>0.6789467721333774</v>
      </c>
      <c r="N414" s="1065" t="s">
        <v>56</v>
      </c>
      <c r="O414" s="1097">
        <f>H242</f>
        <v>1.2969539723303796E-2</v>
      </c>
      <c r="P414" s="1098">
        <f>L242</f>
        <v>4.1680015128222066E-2</v>
      </c>
      <c r="Q414" s="1104">
        <f>Q242</f>
        <v>9.1365931894973398E-2</v>
      </c>
      <c r="R414" s="1098">
        <f>V242</f>
        <v>0.14138308266030464</v>
      </c>
      <c r="S414" s="1099">
        <f>AA242</f>
        <v>0.17924976237247892</v>
      </c>
    </row>
    <row r="415" spans="1:32" x14ac:dyDescent="0.25">
      <c r="B415" s="1087"/>
      <c r="C415" s="1087"/>
      <c r="D415" s="1087"/>
      <c r="E415" s="1087"/>
      <c r="F415" s="1066" t="s">
        <v>57</v>
      </c>
      <c r="G415" s="1108">
        <v>3.7940183405875072E-2</v>
      </c>
      <c r="H415" s="1109">
        <v>0.2900066951462818</v>
      </c>
      <c r="I415" s="1105">
        <v>0.64165954909559608</v>
      </c>
      <c r="J415" s="1109">
        <v>0.81637763372628258</v>
      </c>
      <c r="K415" s="1110">
        <v>0.87199436437071509</v>
      </c>
      <c r="N415" s="1066" t="s">
        <v>57</v>
      </c>
      <c r="O415" s="1108">
        <f>H323</f>
        <v>6.6237535065735473E-2</v>
      </c>
      <c r="P415" s="1109">
        <f>L323</f>
        <v>5.6497598979391349E-2</v>
      </c>
      <c r="Q415" s="1105">
        <f>Q323</f>
        <v>0.15344958995406011</v>
      </c>
      <c r="R415" s="1109">
        <f>V323</f>
        <v>0.25347634633203914</v>
      </c>
      <c r="S415" s="1110">
        <f>AA323</f>
        <v>0.33389114716723489</v>
      </c>
    </row>
    <row r="416" spans="1:32" x14ac:dyDescent="0.25">
      <c r="B416" s="1059"/>
      <c r="C416" s="1059"/>
      <c r="D416" s="1059"/>
      <c r="E416" s="1059"/>
      <c r="F416" s="1066" t="s">
        <v>620</v>
      </c>
      <c r="G416" s="1100">
        <v>6.2647055480234901E-3</v>
      </c>
      <c r="H416" s="1101">
        <v>8.9663126531753054E-2</v>
      </c>
      <c r="I416" s="1105">
        <v>0.34532182133924866</v>
      </c>
      <c r="J416" s="1101">
        <v>0.58154471980497635</v>
      </c>
      <c r="K416" s="1102">
        <v>0.73399000585473828</v>
      </c>
      <c r="N416" s="1066" t="s">
        <v>620</v>
      </c>
      <c r="O416" s="1100">
        <f>SUM(H405)</f>
        <v>1.7421665811835234E-2</v>
      </c>
      <c r="P416" s="1101">
        <f>L405</f>
        <v>5.6903006902499324E-2</v>
      </c>
      <c r="Q416" s="1105">
        <f>Q405</f>
        <v>0.16618790280966173</v>
      </c>
      <c r="R416" s="1101">
        <f>V405</f>
        <v>0.29169167026976267</v>
      </c>
      <c r="S416" s="1102">
        <f>AA405</f>
        <v>0.3851915360728555</v>
      </c>
    </row>
    <row r="417" spans="1:32" x14ac:dyDescent="0.25">
      <c r="A417" s="1087"/>
      <c r="B417" s="1087"/>
      <c r="C417" s="1087"/>
      <c r="D417" s="1087"/>
      <c r="E417" s="1087"/>
      <c r="F417" s="1087"/>
      <c r="G417" s="1091"/>
      <c r="H417" s="1091"/>
      <c r="I417" s="1091"/>
      <c r="J417" s="1091"/>
      <c r="K417" s="1091"/>
    </row>
    <row r="418" spans="1:32" x14ac:dyDescent="0.25">
      <c r="F418" s="1089" t="s">
        <v>750</v>
      </c>
      <c r="N418" s="1059" t="s">
        <v>749</v>
      </c>
      <c r="O418" s="1059"/>
      <c r="P418" s="1059"/>
      <c r="Q418" s="1059"/>
      <c r="R418" s="1059"/>
      <c r="S418" s="1059"/>
    </row>
    <row r="419" spans="1:32" x14ac:dyDescent="0.25">
      <c r="A419" s="1059"/>
      <c r="B419" s="1059"/>
      <c r="C419" s="1059"/>
      <c r="D419" s="1059"/>
      <c r="E419" s="1059"/>
      <c r="F419" s="1107"/>
      <c r="G419" s="1245" t="s">
        <v>759</v>
      </c>
      <c r="H419" s="1246"/>
      <c r="I419" s="1246"/>
      <c r="J419" s="1246"/>
      <c r="K419" s="1246"/>
      <c r="L419" s="1059"/>
      <c r="M419" s="1059"/>
      <c r="N419" s="1107"/>
      <c r="O419" s="1245" t="s">
        <v>759</v>
      </c>
      <c r="P419" s="1246"/>
      <c r="Q419" s="1246"/>
      <c r="R419" s="1246"/>
      <c r="S419" s="1246"/>
    </row>
    <row r="420" spans="1:32" x14ac:dyDescent="0.25">
      <c r="A420" s="1059"/>
      <c r="B420" s="1059"/>
      <c r="C420" s="1059"/>
      <c r="D420" s="1059"/>
      <c r="E420" s="1059"/>
      <c r="F420" s="1093"/>
      <c r="G420" s="1116">
        <v>2011</v>
      </c>
      <c r="H420" s="1093">
        <v>2015</v>
      </c>
      <c r="I420" s="1093">
        <v>2020</v>
      </c>
      <c r="J420" s="1093">
        <v>2025</v>
      </c>
      <c r="K420" s="1093">
        <v>2030</v>
      </c>
      <c r="L420" s="1059"/>
      <c r="M420" s="1059"/>
      <c r="N420" s="1093"/>
      <c r="O420" s="1116">
        <v>2011</v>
      </c>
      <c r="P420" s="1093">
        <v>2015</v>
      </c>
      <c r="Q420" s="1093">
        <v>2020</v>
      </c>
      <c r="R420" s="1093">
        <v>2025</v>
      </c>
      <c r="S420" s="1093">
        <v>2030</v>
      </c>
    </row>
    <row r="421" spans="1:32" x14ac:dyDescent="0.25">
      <c r="A421" s="1059"/>
      <c r="B421" s="1059"/>
      <c r="C421" s="1059"/>
      <c r="D421" s="1059"/>
      <c r="E421" s="1059"/>
      <c r="F421" s="1117" t="s">
        <v>760</v>
      </c>
      <c r="G421" s="1095">
        <f>[3]MP.All!$N$206</f>
        <v>2.5686298601521398E-3</v>
      </c>
      <c r="H421" s="1095">
        <f>[3]MP.All!$R$206</f>
        <v>3.4669137361903121E-2</v>
      </c>
      <c r="I421" s="1103">
        <f>[3]MP.All!$W$206</f>
        <v>0.24392089733842331</v>
      </c>
      <c r="J421" s="1095">
        <f>[3]MP.All!$AB$206</f>
        <v>0.53978195024030828</v>
      </c>
      <c r="K421" s="1096">
        <f>[3]MP.All!$AG$206</f>
        <v>0.68824263388166285</v>
      </c>
      <c r="L421" s="1059"/>
      <c r="M421" s="1059"/>
      <c r="N421" s="1117" t="s">
        <v>760</v>
      </c>
      <c r="O421" s="1095">
        <f>H371</f>
        <v>2.7020257738644515E-3</v>
      </c>
      <c r="P421" s="1095">
        <f>L371</f>
        <v>4.0381939345720957E-2</v>
      </c>
      <c r="Q421" s="1103">
        <f>Q371</f>
        <v>0.28102250097444376</v>
      </c>
      <c r="R421" s="1095">
        <f>V371</f>
        <v>0.58144661289405741</v>
      </c>
      <c r="S421" s="1096">
        <f>AA371</f>
        <v>0.73321592621398157</v>
      </c>
    </row>
    <row r="422" spans="1:32" x14ac:dyDescent="0.25">
      <c r="A422" s="1059"/>
      <c r="B422" s="1059"/>
      <c r="C422" s="1059"/>
      <c r="D422" s="1059"/>
      <c r="E422" s="1059"/>
      <c r="F422" s="465" t="s">
        <v>761</v>
      </c>
      <c r="G422" s="1098">
        <f>[3]MP.All!$N$213</f>
        <v>3.1709745068081783E-3</v>
      </c>
      <c r="H422" s="1098">
        <f>[3]MP.All!$R$213</f>
        <v>0.15316797537894974</v>
      </c>
      <c r="I422" s="1104">
        <f>[3]MP.All!$W$213</f>
        <v>0.49808759986443829</v>
      </c>
      <c r="J422" s="1098">
        <f>[3]MP.All!$AB$213</f>
        <v>0.74503084212673854</v>
      </c>
      <c r="K422" s="1099">
        <f>[3]MP.All!$AG$213</f>
        <v>0.84044116195180063</v>
      </c>
      <c r="L422" s="1059"/>
      <c r="M422" s="1059"/>
      <c r="N422" s="465" t="s">
        <v>761</v>
      </c>
      <c r="O422" s="1098">
        <f>H377</f>
        <v>5.4104823704839043E-3</v>
      </c>
      <c r="P422" s="1098">
        <f>L377</f>
        <v>0.1392481621114631</v>
      </c>
      <c r="Q422" s="1104">
        <f>Q377</f>
        <v>0.46957014074228864</v>
      </c>
      <c r="R422" s="1098">
        <f>V377</f>
        <v>0.72559462331681401</v>
      </c>
      <c r="S422" s="1099">
        <f>AA377</f>
        <v>0.83000095425994724</v>
      </c>
    </row>
    <row r="423" spans="1:32" x14ac:dyDescent="0.25">
      <c r="A423" s="1059"/>
      <c r="B423" s="1059"/>
      <c r="C423" s="1059"/>
      <c r="D423" s="1059"/>
      <c r="E423" s="1059"/>
      <c r="F423" s="465" t="s">
        <v>716</v>
      </c>
      <c r="G423" s="1098">
        <f>[3]MP.All!$N$220</f>
        <v>1.2178567907198452E-6</v>
      </c>
      <c r="H423" s="1098">
        <f>[3]MP.All!$R$220</f>
        <v>1.721512350811957E-2</v>
      </c>
      <c r="I423" s="1104">
        <f>[3]MP.All!$W$220</f>
        <v>0.2006305565415083</v>
      </c>
      <c r="J423" s="1098">
        <f>[3]MP.All!$AB$220</f>
        <v>0.45971033162857478</v>
      </c>
      <c r="K423" s="1099">
        <f>[3]MP.All!$AG$220</f>
        <v>0.66120354302857032</v>
      </c>
      <c r="L423" s="1059"/>
      <c r="M423" s="1059"/>
      <c r="N423" s="465" t="s">
        <v>716</v>
      </c>
      <c r="O423" s="1098">
        <f>H383</f>
        <v>1.118837507768213E-5</v>
      </c>
      <c r="P423" s="1098">
        <f>L383</f>
        <v>1.0659622537008358E-2</v>
      </c>
      <c r="Q423" s="1104">
        <f>Q383</f>
        <v>9.3023848249525962E-2</v>
      </c>
      <c r="R423" s="1098">
        <f>V383</f>
        <v>0.21286171518594757</v>
      </c>
      <c r="S423" s="1099">
        <f>AA383</f>
        <v>0.31267126126287925</v>
      </c>
    </row>
    <row r="424" spans="1:32" x14ac:dyDescent="0.25">
      <c r="A424" s="1059"/>
      <c r="B424" s="1059"/>
      <c r="C424" s="1059"/>
      <c r="D424" s="1059"/>
      <c r="E424" s="1059"/>
      <c r="F424" s="465" t="s">
        <v>42</v>
      </c>
      <c r="G424" s="1098">
        <f>[3]MP.All!$N$228</f>
        <v>8.0848662123136177E-3</v>
      </c>
      <c r="H424" s="1098">
        <f>[3]MP.All!$R$228</f>
        <v>0.17431949179747541</v>
      </c>
      <c r="I424" s="1104">
        <f>[3]MP.All!$W$228</f>
        <v>0.50950698021081897</v>
      </c>
      <c r="J424" s="1098">
        <f>[3]MP.All!$AB$228</f>
        <v>0.74081274862370505</v>
      </c>
      <c r="K424" s="1099">
        <f>[3]MP.All!$AG$228</f>
        <v>0.83271586846715073</v>
      </c>
      <c r="L424" s="1059"/>
      <c r="M424" s="1059"/>
      <c r="N424" s="465" t="s">
        <v>42</v>
      </c>
      <c r="O424" s="1098">
        <f>H390</f>
        <v>5.7474730107378996E-3</v>
      </c>
      <c r="P424" s="1098">
        <f>L390</f>
        <v>4.6233918780570121E-2</v>
      </c>
      <c r="Q424" s="1104">
        <f>Q390</f>
        <v>0.16030760598870086</v>
      </c>
      <c r="R424" s="1098">
        <f>V390</f>
        <v>0.26868425063021772</v>
      </c>
      <c r="S424" s="1099">
        <f>AA390</f>
        <v>0.35028175527869498</v>
      </c>
    </row>
    <row r="425" spans="1:32" x14ac:dyDescent="0.25">
      <c r="A425" s="1059"/>
      <c r="B425" s="1059"/>
      <c r="C425" s="1059"/>
      <c r="D425" s="1059"/>
      <c r="E425" s="1059"/>
      <c r="F425" s="465" t="s">
        <v>762</v>
      </c>
      <c r="G425" s="1098">
        <f>[3]MP.All!$N$236</f>
        <v>2.4505692229793648E-2</v>
      </c>
      <c r="H425" s="1098">
        <f>[3]MP.All!$R$236</f>
        <v>0.1885678696554022</v>
      </c>
      <c r="I425" s="1104">
        <f>[3]MP.All!$W$236</f>
        <v>0.71062010703104772</v>
      </c>
      <c r="J425" s="1098">
        <f>[3]MP.All!$AB$236</f>
        <v>0.87945805812996869</v>
      </c>
      <c r="K425" s="1099">
        <f>[3]MP.All!$AG$236</f>
        <v>0.92869232910075417</v>
      </c>
      <c r="L425" s="1059"/>
      <c r="M425" s="1059"/>
      <c r="N425" s="465" t="s">
        <v>762</v>
      </c>
      <c r="O425" s="1098">
        <f>H397</f>
        <v>0.15005761697848941</v>
      </c>
      <c r="P425" s="1098">
        <f>L397</f>
        <v>0.39198733849953854</v>
      </c>
      <c r="Q425" s="1104">
        <f>Q397</f>
        <v>0.58826584395816872</v>
      </c>
      <c r="R425" s="1098">
        <f>V397</f>
        <v>0.73409991230601512</v>
      </c>
      <c r="S425" s="1099">
        <f>AA397</f>
        <v>0.81693811345171796</v>
      </c>
    </row>
    <row r="426" spans="1:32" x14ac:dyDescent="0.25">
      <c r="A426" s="1059"/>
      <c r="B426" s="1059"/>
      <c r="C426" s="1059"/>
      <c r="D426" s="1059"/>
      <c r="E426" s="1059"/>
      <c r="F426" s="1062" t="s">
        <v>242</v>
      </c>
      <c r="G426" s="1119">
        <f>[3]MP.All!$N$240</f>
        <v>6.2647055480234875E-3</v>
      </c>
      <c r="H426" s="1119">
        <f>[3]MP.All!$R$240</f>
        <v>8.9663126531753026E-2</v>
      </c>
      <c r="I426" s="1115">
        <f>[3]MP.All!$W$240</f>
        <v>0.34532182133924871</v>
      </c>
      <c r="J426" s="1119">
        <f>[3]MP.All!$AB$240</f>
        <v>0.58154471980497624</v>
      </c>
      <c r="K426" s="1120">
        <f>[3]MP.All!$AG$240</f>
        <v>0.73399000585473806</v>
      </c>
      <c r="L426" s="1059"/>
      <c r="M426" s="1059"/>
      <c r="N426" s="1062" t="s">
        <v>242</v>
      </c>
      <c r="O426" s="1119">
        <f>H405</f>
        <v>1.7421665811835234E-2</v>
      </c>
      <c r="P426" s="1119">
        <f>L412</f>
        <v>0</v>
      </c>
      <c r="Q426" s="1115">
        <f>Q405</f>
        <v>0.16618790280966173</v>
      </c>
      <c r="R426" s="1119">
        <f>V405</f>
        <v>0.29169167026976267</v>
      </c>
      <c r="S426" s="1120">
        <f>AA405</f>
        <v>0.3851915360728555</v>
      </c>
    </row>
    <row r="427" spans="1:32" x14ac:dyDescent="0.25">
      <c r="A427" s="1059"/>
      <c r="B427" s="1059"/>
      <c r="C427" s="1059"/>
      <c r="D427" s="1059"/>
      <c r="E427" s="1059"/>
      <c r="F427" s="1059"/>
      <c r="G427" s="1059"/>
      <c r="H427" s="1059"/>
      <c r="I427" s="1059"/>
      <c r="J427" s="1059"/>
      <c r="K427" s="1059"/>
      <c r="L427" s="1059"/>
      <c r="M427" s="1059"/>
    </row>
    <row r="428" spans="1:32" x14ac:dyDescent="0.25">
      <c r="A428" s="1059"/>
      <c r="B428" s="1059"/>
      <c r="C428" s="1059"/>
      <c r="D428" s="1059"/>
      <c r="E428" s="1059"/>
      <c r="F428" s="1059"/>
      <c r="G428" s="1059"/>
      <c r="H428" s="1059"/>
      <c r="I428" s="1059"/>
      <c r="J428" s="1059"/>
      <c r="K428" s="1059"/>
      <c r="L428" s="1059"/>
      <c r="M428" s="1059"/>
    </row>
    <row r="429" spans="1:32" x14ac:dyDescent="0.25">
      <c r="B429" s="1059"/>
      <c r="C429" s="1059"/>
      <c r="D429" s="1059"/>
      <c r="E429" s="858" t="s">
        <v>763</v>
      </c>
      <c r="F429" s="1059"/>
      <c r="G429" s="1059"/>
      <c r="H429" s="1059"/>
      <c r="I429" s="1059"/>
      <c r="J429" s="1059"/>
      <c r="K429" s="1059"/>
      <c r="L429" s="1059"/>
      <c r="M429" s="1059"/>
    </row>
    <row r="430" spans="1:32" x14ac:dyDescent="0.25">
      <c r="A430" s="1059"/>
      <c r="B430" s="1059"/>
      <c r="C430" s="1059"/>
      <c r="D430" s="1059"/>
      <c r="E430" s="1059"/>
      <c r="F430" s="1059"/>
      <c r="G430" s="1121">
        <v>2010</v>
      </c>
      <c r="H430" s="1122">
        <v>2011</v>
      </c>
      <c r="I430" s="1122">
        <v>2012</v>
      </c>
      <c r="J430" s="1122">
        <v>2013</v>
      </c>
      <c r="K430" s="1122">
        <v>2014</v>
      </c>
      <c r="L430" s="1122">
        <v>2015</v>
      </c>
      <c r="M430" s="1122">
        <v>2016</v>
      </c>
      <c r="N430" s="1122">
        <v>2017</v>
      </c>
      <c r="O430" s="1122">
        <v>2018</v>
      </c>
      <c r="P430" s="1122">
        <v>2019</v>
      </c>
      <c r="Q430" s="1122">
        <v>2020</v>
      </c>
      <c r="R430" s="1122">
        <v>2021</v>
      </c>
      <c r="S430" s="1122">
        <v>2022</v>
      </c>
      <c r="T430" s="1122">
        <v>2023</v>
      </c>
      <c r="U430" s="1122">
        <v>2024</v>
      </c>
      <c r="V430" s="1122">
        <v>2025</v>
      </c>
      <c r="W430" s="1122">
        <v>2026</v>
      </c>
      <c r="X430" s="1122">
        <v>2027</v>
      </c>
      <c r="Y430" s="1122">
        <v>2028</v>
      </c>
      <c r="Z430" s="1122">
        <v>2029</v>
      </c>
      <c r="AA430" s="1122">
        <v>2030</v>
      </c>
      <c r="AB430" s="1122">
        <v>2031</v>
      </c>
      <c r="AC430" s="1122">
        <v>2032</v>
      </c>
      <c r="AD430" s="1122">
        <v>2033</v>
      </c>
      <c r="AE430" s="1122">
        <v>2034</v>
      </c>
      <c r="AF430" s="1123">
        <v>2035</v>
      </c>
    </row>
    <row r="431" spans="1:32" x14ac:dyDescent="0.25">
      <c r="B431" s="1059"/>
      <c r="C431" s="1059"/>
      <c r="D431" s="1059"/>
      <c r="E431" s="1059"/>
      <c r="F431" s="1059" t="s">
        <v>251</v>
      </c>
      <c r="G431" s="1065"/>
      <c r="H431" s="1124">
        <f t="shared" ref="H431:AF431" si="45">SUM(H6:H36)</f>
        <v>58.820846309524477</v>
      </c>
      <c r="I431" s="1124">
        <f t="shared" si="45"/>
        <v>57.277935544490376</v>
      </c>
      <c r="J431" s="1124">
        <f t="shared" si="45"/>
        <v>54.400276911113494</v>
      </c>
      <c r="K431" s="1124">
        <f t="shared" si="45"/>
        <v>49.607154256142309</v>
      </c>
      <c r="L431" s="1124">
        <f t="shared" si="45"/>
        <v>45.181085758912666</v>
      </c>
      <c r="M431" s="1124">
        <f t="shared" si="45"/>
        <v>41.454361922847774</v>
      </c>
      <c r="N431" s="1124">
        <f t="shared" si="45"/>
        <v>38.103863553999652</v>
      </c>
      <c r="O431" s="1124">
        <f t="shared" si="45"/>
        <v>35.9492832095616</v>
      </c>
      <c r="P431" s="1124">
        <f t="shared" si="45"/>
        <v>34.420595606664151</v>
      </c>
      <c r="Q431" s="1124">
        <f t="shared" si="45"/>
        <v>33.198281655414604</v>
      </c>
      <c r="R431" s="1124">
        <f t="shared" si="45"/>
        <v>32.059379865682196</v>
      </c>
      <c r="S431" s="1124">
        <f t="shared" si="45"/>
        <v>31.037632466262764</v>
      </c>
      <c r="T431" s="1124">
        <f t="shared" si="45"/>
        <v>30.066288956856781</v>
      </c>
      <c r="U431" s="1124">
        <f t="shared" si="45"/>
        <v>29.155464289687504</v>
      </c>
      <c r="V431" s="1124">
        <f t="shared" si="45"/>
        <v>28.354994180660977</v>
      </c>
      <c r="W431" s="1124">
        <f t="shared" si="45"/>
        <v>27.627393898256074</v>
      </c>
      <c r="X431" s="1124">
        <f t="shared" si="45"/>
        <v>26.957612383362644</v>
      </c>
      <c r="Y431" s="1124">
        <f t="shared" si="45"/>
        <v>26.366070629739092</v>
      </c>
      <c r="Z431" s="1124">
        <f t="shared" si="45"/>
        <v>25.891414499445229</v>
      </c>
      <c r="AA431" s="1124">
        <f t="shared" si="45"/>
        <v>25.542231820800669</v>
      </c>
      <c r="AB431" s="1124">
        <f t="shared" si="45"/>
        <v>25.332834693176995</v>
      </c>
      <c r="AC431" s="1124">
        <f t="shared" si="45"/>
        <v>25.110316482806326</v>
      </c>
      <c r="AD431" s="1124">
        <f t="shared" si="45"/>
        <v>24.930173487377335</v>
      </c>
      <c r="AE431" s="1124">
        <f t="shared" si="45"/>
        <v>24.788658072910387</v>
      </c>
      <c r="AF431" s="1125">
        <f t="shared" si="45"/>
        <v>24.677862421655192</v>
      </c>
    </row>
    <row r="432" spans="1:32" x14ac:dyDescent="0.25">
      <c r="B432" s="1059"/>
      <c r="C432" s="1059"/>
      <c r="D432" s="1059"/>
      <c r="E432" s="1059"/>
      <c r="F432" s="1059" t="s">
        <v>55</v>
      </c>
      <c r="G432" s="1065"/>
      <c r="H432" s="1124">
        <f t="shared" ref="H432:AF432" si="46">SUM(H87:H117)</f>
        <v>222.40864445766965</v>
      </c>
      <c r="I432" s="1124">
        <f t="shared" si="46"/>
        <v>223.58753731865585</v>
      </c>
      <c r="J432" s="1124">
        <f t="shared" si="46"/>
        <v>224.68768822857123</v>
      </c>
      <c r="K432" s="1124">
        <f t="shared" si="46"/>
        <v>224.8573579878574</v>
      </c>
      <c r="L432" s="1124">
        <f t="shared" si="46"/>
        <v>224.6961289756876</v>
      </c>
      <c r="M432" s="1124">
        <f t="shared" si="46"/>
        <v>223.18512020534155</v>
      </c>
      <c r="N432" s="1124">
        <f t="shared" si="46"/>
        <v>221.51811612320557</v>
      </c>
      <c r="O432" s="1124">
        <f t="shared" si="46"/>
        <v>220.54259978363814</v>
      </c>
      <c r="P432" s="1124">
        <f t="shared" si="46"/>
        <v>218.59147937154495</v>
      </c>
      <c r="Q432" s="1124">
        <f t="shared" si="46"/>
        <v>217.04245388260873</v>
      </c>
      <c r="R432" s="1124">
        <f t="shared" si="46"/>
        <v>214.49724245733103</v>
      </c>
      <c r="S432" s="1124">
        <f t="shared" si="46"/>
        <v>212.16947514972006</v>
      </c>
      <c r="T432" s="1124">
        <f t="shared" si="46"/>
        <v>209.68489744374511</v>
      </c>
      <c r="U432" s="1124">
        <f t="shared" si="46"/>
        <v>207.44590051578459</v>
      </c>
      <c r="V432" s="1124">
        <f t="shared" si="46"/>
        <v>204.72181100165301</v>
      </c>
      <c r="W432" s="1124">
        <f t="shared" si="46"/>
        <v>202.06503092126138</v>
      </c>
      <c r="X432" s="1124">
        <f t="shared" si="46"/>
        <v>200.2407772483507</v>
      </c>
      <c r="Y432" s="1124">
        <f t="shared" si="46"/>
        <v>198.368424142691</v>
      </c>
      <c r="Z432" s="1124">
        <f t="shared" si="46"/>
        <v>196.48814314799827</v>
      </c>
      <c r="AA432" s="1124">
        <f t="shared" si="46"/>
        <v>194.88238783671062</v>
      </c>
      <c r="AB432" s="1124">
        <f t="shared" si="46"/>
        <v>193.1709843673965</v>
      </c>
      <c r="AC432" s="1124">
        <f t="shared" si="46"/>
        <v>191.76644330469023</v>
      </c>
      <c r="AD432" s="1124">
        <f t="shared" si="46"/>
        <v>190.78803335854658</v>
      </c>
      <c r="AE432" s="1124">
        <f t="shared" si="46"/>
        <v>189.75905210926112</v>
      </c>
      <c r="AF432" s="1125">
        <f t="shared" si="46"/>
        <v>189.09384895031729</v>
      </c>
    </row>
    <row r="433" spans="2:32" x14ac:dyDescent="0.25">
      <c r="B433" s="1059"/>
      <c r="C433" s="1059"/>
      <c r="D433" s="1059"/>
      <c r="E433" s="1059"/>
      <c r="F433" s="1059" t="s">
        <v>764</v>
      </c>
      <c r="G433" s="1065"/>
      <c r="H433" s="1124">
        <f t="shared" ref="H433:AF433" si="47">SUM(H168:H198)</f>
        <v>41.589183441390517</v>
      </c>
      <c r="I433" s="1124">
        <f t="shared" si="47"/>
        <v>41.019974681592593</v>
      </c>
      <c r="J433" s="1124">
        <f t="shared" si="47"/>
        <v>40.406721964778335</v>
      </c>
      <c r="K433" s="1124">
        <f t="shared" si="47"/>
        <v>39.748100189521267</v>
      </c>
      <c r="L433" s="1124">
        <f t="shared" si="47"/>
        <v>38.995141211446537</v>
      </c>
      <c r="M433" s="1124">
        <f t="shared" si="47"/>
        <v>38.180011693133402</v>
      </c>
      <c r="N433" s="1124">
        <f t="shared" si="47"/>
        <v>37.346749050546734</v>
      </c>
      <c r="O433" s="1124">
        <f t="shared" si="47"/>
        <v>36.470163802177964</v>
      </c>
      <c r="P433" s="1124">
        <f t="shared" si="47"/>
        <v>35.601395450318854</v>
      </c>
      <c r="Q433" s="1124">
        <f t="shared" si="47"/>
        <v>34.699442611886035</v>
      </c>
      <c r="R433" s="1124">
        <f t="shared" si="47"/>
        <v>33.79860544302332</v>
      </c>
      <c r="S433" s="1124">
        <f t="shared" si="47"/>
        <v>32.921749935661119</v>
      </c>
      <c r="T433" s="1124">
        <f t="shared" si="47"/>
        <v>32.004970872727903</v>
      </c>
      <c r="U433" s="1124">
        <f t="shared" si="47"/>
        <v>31.133220813985773</v>
      </c>
      <c r="V433" s="1124">
        <f t="shared" si="47"/>
        <v>30.274004331372907</v>
      </c>
      <c r="W433" s="1124">
        <f t="shared" si="47"/>
        <v>29.449119282445917</v>
      </c>
      <c r="X433" s="1124">
        <f t="shared" si="47"/>
        <v>28.681393993073105</v>
      </c>
      <c r="Y433" s="1124">
        <f t="shared" si="47"/>
        <v>27.924625718450823</v>
      </c>
      <c r="Z433" s="1124">
        <f t="shared" si="47"/>
        <v>27.210071737755872</v>
      </c>
      <c r="AA433" s="1124">
        <f t="shared" si="47"/>
        <v>26.570990293880186</v>
      </c>
      <c r="AB433" s="1124">
        <f t="shared" si="47"/>
        <v>25.92964019703907</v>
      </c>
      <c r="AC433" s="1124">
        <f t="shared" si="47"/>
        <v>25.324847273166295</v>
      </c>
      <c r="AD433" s="1124">
        <f t="shared" si="47"/>
        <v>24.77127100556568</v>
      </c>
      <c r="AE433" s="1124">
        <f t="shared" si="47"/>
        <v>24.229167280354339</v>
      </c>
      <c r="AF433" s="1125">
        <f t="shared" si="47"/>
        <v>23.715893298987822</v>
      </c>
    </row>
    <row r="434" spans="2:32" x14ac:dyDescent="0.25">
      <c r="B434" s="1059"/>
      <c r="C434" s="1059"/>
      <c r="D434" s="1059"/>
      <c r="E434" s="1059"/>
      <c r="F434" s="1059" t="s">
        <v>57</v>
      </c>
      <c r="G434" s="1066"/>
      <c r="H434" s="1126">
        <f t="shared" ref="H434:AF434" si="48">SUM(H249:H279)</f>
        <v>59.231058175751407</v>
      </c>
      <c r="I434" s="1126">
        <f t="shared" si="48"/>
        <v>58.792712676063452</v>
      </c>
      <c r="J434" s="1126">
        <f t="shared" si="48"/>
        <v>59.948830902300969</v>
      </c>
      <c r="K434" s="1126">
        <f t="shared" si="48"/>
        <v>61.112915777397433</v>
      </c>
      <c r="L434" s="1126">
        <f t="shared" si="48"/>
        <v>62.163424621779903</v>
      </c>
      <c r="M434" s="1126">
        <f t="shared" si="48"/>
        <v>62.688426343636877</v>
      </c>
      <c r="N434" s="1126">
        <f t="shared" si="48"/>
        <v>63.093593577627757</v>
      </c>
      <c r="O434" s="1126">
        <f t="shared" si="48"/>
        <v>63.5475424905719</v>
      </c>
      <c r="P434" s="1126">
        <f t="shared" si="48"/>
        <v>63.594420120581098</v>
      </c>
      <c r="Q434" s="1126">
        <f t="shared" si="48"/>
        <v>63.566838126874856</v>
      </c>
      <c r="R434" s="1126">
        <f t="shared" si="48"/>
        <v>63.182142310556578</v>
      </c>
      <c r="S434" s="1126">
        <f t="shared" si="48"/>
        <v>62.692427250343549</v>
      </c>
      <c r="T434" s="1126">
        <f t="shared" si="48"/>
        <v>62.098297708921343</v>
      </c>
      <c r="U434" s="1126">
        <f t="shared" si="48"/>
        <v>61.526511071505681</v>
      </c>
      <c r="V434" s="1126">
        <f t="shared" si="48"/>
        <v>60.902942080964131</v>
      </c>
      <c r="W434" s="1126">
        <f t="shared" si="48"/>
        <v>60.159854733046181</v>
      </c>
      <c r="X434" s="1126">
        <f t="shared" si="48"/>
        <v>59.681980397330214</v>
      </c>
      <c r="Y434" s="1126">
        <f t="shared" si="48"/>
        <v>59.193497845955989</v>
      </c>
      <c r="Z434" s="1126">
        <f t="shared" si="48"/>
        <v>58.679302318232395</v>
      </c>
      <c r="AA434" s="1126">
        <f t="shared" si="48"/>
        <v>58.180228973516314</v>
      </c>
      <c r="AB434" s="1126">
        <f t="shared" si="48"/>
        <v>57.719439088800314</v>
      </c>
      <c r="AC434" s="1126">
        <f t="shared" si="48"/>
        <v>57.337369294913543</v>
      </c>
      <c r="AD434" s="1126">
        <f t="shared" si="48"/>
        <v>57.004131015713597</v>
      </c>
      <c r="AE434" s="1126">
        <f t="shared" si="48"/>
        <v>56.760207186836631</v>
      </c>
      <c r="AF434" s="1127">
        <f t="shared" si="48"/>
        <v>56.5161430528278</v>
      </c>
    </row>
    <row r="435" spans="2:32" x14ac:dyDescent="0.25">
      <c r="B435" s="1059"/>
      <c r="C435" s="1059"/>
      <c r="D435" s="1059"/>
      <c r="E435" s="1059"/>
      <c r="F435" s="1059" t="s">
        <v>765</v>
      </c>
      <c r="G435" s="1114"/>
      <c r="H435" s="1128">
        <f t="shared" ref="H435:AF435" si="49">SUM(H431:H434)</f>
        <v>382.04973238433604</v>
      </c>
      <c r="I435" s="1128">
        <f t="shared" si="49"/>
        <v>380.67816022080228</v>
      </c>
      <c r="J435" s="1128">
        <f t="shared" si="49"/>
        <v>379.44351800676407</v>
      </c>
      <c r="K435" s="1128">
        <f t="shared" si="49"/>
        <v>375.32552821091838</v>
      </c>
      <c r="L435" s="1128">
        <f t="shared" si="49"/>
        <v>371.03578056782669</v>
      </c>
      <c r="M435" s="1128">
        <f t="shared" si="49"/>
        <v>365.50792016495961</v>
      </c>
      <c r="N435" s="1128">
        <f t="shared" si="49"/>
        <v>360.06232230537972</v>
      </c>
      <c r="O435" s="1128">
        <f t="shared" si="49"/>
        <v>356.50958928594963</v>
      </c>
      <c r="P435" s="1128">
        <f t="shared" si="49"/>
        <v>352.20789054910909</v>
      </c>
      <c r="Q435" s="1128">
        <f t="shared" si="49"/>
        <v>348.50701627678421</v>
      </c>
      <c r="R435" s="1128">
        <f t="shared" si="49"/>
        <v>343.53737007659311</v>
      </c>
      <c r="S435" s="1128">
        <f t="shared" si="49"/>
        <v>338.82128480198747</v>
      </c>
      <c r="T435" s="1128">
        <f t="shared" si="49"/>
        <v>333.85445498225113</v>
      </c>
      <c r="U435" s="1128">
        <f t="shared" si="49"/>
        <v>329.26109669096354</v>
      </c>
      <c r="V435" s="1128">
        <f t="shared" si="49"/>
        <v>324.25375159465102</v>
      </c>
      <c r="W435" s="1128">
        <f t="shared" si="49"/>
        <v>319.30139883500954</v>
      </c>
      <c r="X435" s="1128">
        <f t="shared" si="49"/>
        <v>315.56176402211662</v>
      </c>
      <c r="Y435" s="1128">
        <f t="shared" si="49"/>
        <v>311.85261833683688</v>
      </c>
      <c r="Z435" s="1128">
        <f t="shared" si="49"/>
        <v>308.26893170343175</v>
      </c>
      <c r="AA435" s="1128">
        <f t="shared" si="49"/>
        <v>305.17583892490779</v>
      </c>
      <c r="AB435" s="1128">
        <f t="shared" si="49"/>
        <v>302.15289834641288</v>
      </c>
      <c r="AC435" s="1128">
        <f t="shared" si="49"/>
        <v>299.53897635557638</v>
      </c>
      <c r="AD435" s="1128">
        <f t="shared" si="49"/>
        <v>297.49360886720319</v>
      </c>
      <c r="AE435" s="1128">
        <f t="shared" si="49"/>
        <v>295.5370846493625</v>
      </c>
      <c r="AF435" s="1129">
        <f t="shared" si="49"/>
        <v>294.00374772378814</v>
      </c>
    </row>
    <row r="437" spans="2:32" x14ac:dyDescent="0.25">
      <c r="F437" s="1059"/>
      <c r="G437" s="1121">
        <v>2010</v>
      </c>
      <c r="H437" s="1122">
        <v>2011</v>
      </c>
      <c r="I437" s="1122">
        <v>2012</v>
      </c>
      <c r="J437" s="1122">
        <v>2013</v>
      </c>
      <c r="K437" s="1122">
        <v>2014</v>
      </c>
      <c r="L437" s="1122">
        <v>2015</v>
      </c>
      <c r="M437" s="1122">
        <v>2016</v>
      </c>
      <c r="N437" s="1122">
        <v>2017</v>
      </c>
      <c r="O437" s="1122">
        <v>2018</v>
      </c>
      <c r="P437" s="1122">
        <v>2019</v>
      </c>
      <c r="Q437" s="1122">
        <v>2020</v>
      </c>
      <c r="R437" s="1122">
        <v>2021</v>
      </c>
      <c r="S437" s="1122">
        <v>2022</v>
      </c>
      <c r="T437" s="1122">
        <v>2023</v>
      </c>
      <c r="U437" s="1122">
        <v>2024</v>
      </c>
      <c r="V437" s="1122">
        <v>2025</v>
      </c>
      <c r="W437" s="1122">
        <v>2026</v>
      </c>
      <c r="X437" s="1122">
        <v>2027</v>
      </c>
      <c r="Y437" s="1122">
        <v>2028</v>
      </c>
      <c r="Z437" s="1122">
        <v>2029</v>
      </c>
      <c r="AA437" s="1122">
        <v>2030</v>
      </c>
      <c r="AB437" s="1122">
        <v>2031</v>
      </c>
      <c r="AC437" s="1122">
        <v>2032</v>
      </c>
      <c r="AD437" s="1122">
        <v>2033</v>
      </c>
      <c r="AE437" s="1122">
        <v>2034</v>
      </c>
      <c r="AF437" s="1123">
        <v>2035</v>
      </c>
    </row>
    <row r="438" spans="2:32" x14ac:dyDescent="0.25">
      <c r="F438" s="1059" t="s">
        <v>251</v>
      </c>
      <c r="G438" s="1065"/>
      <c r="H438" s="1074">
        <f>H431/H$435</f>
        <v>0.15396122892804864</v>
      </c>
      <c r="I438" s="1074">
        <f t="shared" ref="I438:AF442" si="50">I431/I$435</f>
        <v>0.150462888418048</v>
      </c>
      <c r="J438" s="1074">
        <f t="shared" si="50"/>
        <v>0.14336857616353785</v>
      </c>
      <c r="K438" s="1074">
        <f t="shared" si="50"/>
        <v>0.13217101030299494</v>
      </c>
      <c r="L438" s="1074">
        <f t="shared" si="50"/>
        <v>0.12177015836523453</v>
      </c>
      <c r="M438" s="1074">
        <f t="shared" si="50"/>
        <v>0.11341576922365663</v>
      </c>
      <c r="N438" s="1074">
        <f t="shared" si="50"/>
        <v>0.1058257451377615</v>
      </c>
      <c r="O438" s="1074">
        <f t="shared" si="50"/>
        <v>0.10083679174398688</v>
      </c>
      <c r="P438" s="1074">
        <f t="shared" si="50"/>
        <v>9.7728064959024002E-2</v>
      </c>
      <c r="Q438" s="1074">
        <f t="shared" si="50"/>
        <v>9.5258574734255946E-2</v>
      </c>
      <c r="R438" s="1074">
        <f t="shared" si="50"/>
        <v>9.3321375367501999E-2</v>
      </c>
      <c r="S438" s="1074">
        <f t="shared" si="50"/>
        <v>9.1604730453701128E-2</v>
      </c>
      <c r="T438" s="1074">
        <f t="shared" si="50"/>
        <v>9.0058073235701502E-2</v>
      </c>
      <c r="U438" s="1074">
        <f t="shared" si="50"/>
        <v>8.8548160055034117E-2</v>
      </c>
      <c r="V438" s="1074">
        <f t="shared" si="50"/>
        <v>8.7446927109443282E-2</v>
      </c>
      <c r="W438" s="1074">
        <f t="shared" si="50"/>
        <v>8.65245000462143E-2</v>
      </c>
      <c r="X438" s="1074">
        <f t="shared" si="50"/>
        <v>8.5427372568095031E-2</v>
      </c>
      <c r="Y438" s="1074">
        <f t="shared" si="50"/>
        <v>8.4546574501615013E-2</v>
      </c>
      <c r="Z438" s="1074">
        <f t="shared" si="50"/>
        <v>8.3989698074257796E-2</v>
      </c>
      <c r="AA438" s="1074">
        <f t="shared" si="50"/>
        <v>8.3696769412619346E-2</v>
      </c>
      <c r="AB438" s="1074">
        <f t="shared" si="50"/>
        <v>8.3841111013051917E-2</v>
      </c>
      <c r="AC438" s="1074">
        <f t="shared" si="50"/>
        <v>8.3829880132188214E-2</v>
      </c>
      <c r="AD438" s="1074">
        <f t="shared" si="50"/>
        <v>8.3800702752259121E-2</v>
      </c>
      <c r="AE438" s="1074">
        <f t="shared" si="50"/>
        <v>8.3876641411417735E-2</v>
      </c>
      <c r="AF438" s="1074">
        <f t="shared" si="50"/>
        <v>8.3937237578480303E-2</v>
      </c>
    </row>
    <row r="439" spans="2:32" x14ac:dyDescent="0.25">
      <c r="F439" s="1059" t="s">
        <v>55</v>
      </c>
      <c r="G439" s="1065"/>
      <c r="H439" s="1074">
        <f>H432/H$435</f>
        <v>0.58214579308729897</v>
      </c>
      <c r="I439" s="1074">
        <f t="shared" ref="I439:W439" si="51">I432/I$435</f>
        <v>0.58734007012372291</v>
      </c>
      <c r="J439" s="1074">
        <f t="shared" si="51"/>
        <v>0.59215055091431523</v>
      </c>
      <c r="K439" s="1074">
        <f t="shared" si="51"/>
        <v>0.59909955781503965</v>
      </c>
      <c r="L439" s="1074">
        <f t="shared" si="51"/>
        <v>0.60559153791533682</v>
      </c>
      <c r="M439" s="1074">
        <f t="shared" si="51"/>
        <v>0.61061637215580589</v>
      </c>
      <c r="N439" s="1074">
        <f t="shared" si="51"/>
        <v>0.61522159470862203</v>
      </c>
      <c r="O439" s="1074">
        <f t="shared" si="51"/>
        <v>0.61861617867098961</v>
      </c>
      <c r="P439" s="1074">
        <f t="shared" si="51"/>
        <v>0.62063197684398919</v>
      </c>
      <c r="Q439" s="1074">
        <f t="shared" si="51"/>
        <v>0.62277786026044779</v>
      </c>
      <c r="R439" s="1074">
        <f t="shared" si="51"/>
        <v>0.62437819329381239</v>
      </c>
      <c r="S439" s="1074">
        <f t="shared" si="51"/>
        <v>0.62619877990757067</v>
      </c>
      <c r="T439" s="1074">
        <f t="shared" si="51"/>
        <v>0.6280727853546022</v>
      </c>
      <c r="U439" s="1074">
        <f t="shared" si="51"/>
        <v>0.63003465213653309</v>
      </c>
      <c r="V439" s="1074">
        <f t="shared" si="51"/>
        <v>0.63136296802997471</v>
      </c>
      <c r="W439" s="1074">
        <f t="shared" si="51"/>
        <v>0.63283478136490434</v>
      </c>
      <c r="X439" s="1074">
        <f t="shared" si="50"/>
        <v>0.63455335873428731</v>
      </c>
      <c r="Y439" s="1074">
        <f t="shared" si="50"/>
        <v>0.636096708761413</v>
      </c>
      <c r="Z439" s="1074">
        <f t="shared" si="50"/>
        <v>0.63739197480019982</v>
      </c>
      <c r="AA439" s="1074">
        <f t="shared" si="50"/>
        <v>0.6385904877766676</v>
      </c>
      <c r="AB439" s="1074">
        <f t="shared" si="50"/>
        <v>0.63931534472963891</v>
      </c>
      <c r="AC439" s="1074">
        <f t="shared" si="50"/>
        <v>0.64020531030008043</v>
      </c>
      <c r="AD439" s="1074">
        <f t="shared" si="50"/>
        <v>0.64131809111809046</v>
      </c>
      <c r="AE439" s="1074">
        <f t="shared" si="50"/>
        <v>0.64208203290087662</v>
      </c>
      <c r="AF439" s="1074">
        <f t="shared" si="50"/>
        <v>0.64316815827792773</v>
      </c>
    </row>
    <row r="440" spans="2:32" x14ac:dyDescent="0.25">
      <c r="F440" s="1059" t="s">
        <v>764</v>
      </c>
      <c r="G440" s="1065"/>
      <c r="H440" s="1074">
        <f>H433/H$435</f>
        <v>0.1088580357898339</v>
      </c>
      <c r="I440" s="1074">
        <f t="shared" si="50"/>
        <v>0.10775499875748071</v>
      </c>
      <c r="J440" s="1074">
        <f t="shared" si="50"/>
        <v>0.10648942476876896</v>
      </c>
      <c r="K440" s="1074">
        <f t="shared" si="50"/>
        <v>0.10590300206594094</v>
      </c>
      <c r="L440" s="1074">
        <f t="shared" si="50"/>
        <v>0.10509806130225245</v>
      </c>
      <c r="M440" s="1074">
        <f t="shared" si="50"/>
        <v>0.10445741278575345</v>
      </c>
      <c r="N440" s="1074">
        <f t="shared" si="50"/>
        <v>0.10372301331454456</v>
      </c>
      <c r="O440" s="1074">
        <f t="shared" si="50"/>
        <v>0.10229784807534568</v>
      </c>
      <c r="P440" s="1074">
        <f t="shared" si="50"/>
        <v>0.1010806299507219</v>
      </c>
      <c r="Q440" s="1074">
        <f t="shared" si="50"/>
        <v>9.9565979998312987E-2</v>
      </c>
      <c r="R440" s="1074">
        <f t="shared" si="50"/>
        <v>9.8384072264067743E-2</v>
      </c>
      <c r="S440" s="1074">
        <f t="shared" si="50"/>
        <v>9.7165530656968938E-2</v>
      </c>
      <c r="T440" s="1074">
        <f t="shared" si="50"/>
        <v>9.5865040574131019E-2</v>
      </c>
      <c r="U440" s="1074">
        <f t="shared" si="50"/>
        <v>9.4554811141890405E-2</v>
      </c>
      <c r="V440" s="1074">
        <f t="shared" si="50"/>
        <v>9.3365162877801888E-2</v>
      </c>
      <c r="W440" s="1074">
        <f t="shared" si="50"/>
        <v>9.2229847378974258E-2</v>
      </c>
      <c r="X440" s="1074">
        <f t="shared" si="50"/>
        <v>9.0889953293146516E-2</v>
      </c>
      <c r="Y440" s="1074">
        <f t="shared" si="50"/>
        <v>8.9544304188874879E-2</v>
      </c>
      <c r="Z440" s="1074">
        <f t="shared" si="50"/>
        <v>8.8267317719623969E-2</v>
      </c>
      <c r="AA440" s="1074">
        <f t="shared" si="50"/>
        <v>8.7067804540117283E-2</v>
      </c>
      <c r="AB440" s="1074">
        <f t="shared" si="50"/>
        <v>8.581628817378148E-2</v>
      </c>
      <c r="AC440" s="1074">
        <f t="shared" si="50"/>
        <v>8.4546083388839871E-2</v>
      </c>
      <c r="AD440" s="1074">
        <f t="shared" si="50"/>
        <v>8.3266565288208305E-2</v>
      </c>
      <c r="AE440" s="1074">
        <f t="shared" si="50"/>
        <v>8.1983509139304231E-2</v>
      </c>
      <c r="AF440" s="1074">
        <f t="shared" si="50"/>
        <v>8.0665275468762149E-2</v>
      </c>
    </row>
    <row r="441" spans="2:32" x14ac:dyDescent="0.25">
      <c r="F441" s="1059" t="s">
        <v>57</v>
      </c>
      <c r="G441" s="1065"/>
      <c r="H441" s="1074">
        <f>H434/H$435</f>
        <v>0.15503494219481848</v>
      </c>
      <c r="I441" s="1074">
        <f t="shared" si="50"/>
        <v>0.15444204270074829</v>
      </c>
      <c r="J441" s="1074">
        <f t="shared" si="50"/>
        <v>0.15799144815337787</v>
      </c>
      <c r="K441" s="1074">
        <f t="shared" si="50"/>
        <v>0.16282642981602452</v>
      </c>
      <c r="L441" s="1074">
        <f t="shared" si="50"/>
        <v>0.16754024241717627</v>
      </c>
      <c r="M441" s="1074">
        <f t="shared" si="50"/>
        <v>0.17151044583478406</v>
      </c>
      <c r="N441" s="1074">
        <f t="shared" si="50"/>
        <v>0.17522964683907186</v>
      </c>
      <c r="O441" s="1074">
        <f t="shared" si="50"/>
        <v>0.17824918150967775</v>
      </c>
      <c r="P441" s="1074">
        <f t="shared" si="50"/>
        <v>0.18055932824626481</v>
      </c>
      <c r="Q441" s="1074">
        <f t="shared" si="50"/>
        <v>0.18239758500698328</v>
      </c>
      <c r="R441" s="1074">
        <f t="shared" si="50"/>
        <v>0.18391635907461787</v>
      </c>
      <c r="S441" s="1074">
        <f t="shared" si="50"/>
        <v>0.18503095898175936</v>
      </c>
      <c r="T441" s="1074">
        <f t="shared" si="50"/>
        <v>0.18600410083556532</v>
      </c>
      <c r="U441" s="1074">
        <f t="shared" si="50"/>
        <v>0.18686237666654243</v>
      </c>
      <c r="V441" s="1074">
        <f t="shared" si="50"/>
        <v>0.18782494198278013</v>
      </c>
      <c r="W441" s="1074">
        <f t="shared" si="50"/>
        <v>0.18841087120990715</v>
      </c>
      <c r="X441" s="1074">
        <f t="shared" si="50"/>
        <v>0.18912931540447123</v>
      </c>
      <c r="Y441" s="1074">
        <f t="shared" si="50"/>
        <v>0.18981241254809722</v>
      </c>
      <c r="Z441" s="1074">
        <f t="shared" si="50"/>
        <v>0.19035100940591854</v>
      </c>
      <c r="AA441" s="1074">
        <f t="shared" si="50"/>
        <v>0.19064493827059573</v>
      </c>
      <c r="AB441" s="1074">
        <f t="shared" si="50"/>
        <v>0.19102725608352766</v>
      </c>
      <c r="AC441" s="1074">
        <f t="shared" si="50"/>
        <v>0.19141872617889155</v>
      </c>
      <c r="AD441" s="1074">
        <f t="shared" si="50"/>
        <v>0.19161464084144211</v>
      </c>
      <c r="AE441" s="1074">
        <f t="shared" si="50"/>
        <v>0.19205781654840137</v>
      </c>
      <c r="AF441" s="1074">
        <f t="shared" si="50"/>
        <v>0.19222932867482975</v>
      </c>
    </row>
    <row r="442" spans="2:32" x14ac:dyDescent="0.25">
      <c r="F442" s="1059" t="s">
        <v>765</v>
      </c>
      <c r="G442" s="1114"/>
      <c r="H442" s="1130">
        <f>H435/H$435</f>
        <v>1</v>
      </c>
      <c r="I442" s="1130">
        <f t="shared" si="50"/>
        <v>1</v>
      </c>
      <c r="J442" s="1130">
        <f t="shared" si="50"/>
        <v>1</v>
      </c>
      <c r="K442" s="1130">
        <f t="shared" si="50"/>
        <v>1</v>
      </c>
      <c r="L442" s="1130">
        <f t="shared" si="50"/>
        <v>1</v>
      </c>
      <c r="M442" s="1130">
        <f t="shared" si="50"/>
        <v>1</v>
      </c>
      <c r="N442" s="1130">
        <f t="shared" si="50"/>
        <v>1</v>
      </c>
      <c r="O442" s="1130">
        <f t="shared" si="50"/>
        <v>1</v>
      </c>
      <c r="P442" s="1130">
        <f t="shared" si="50"/>
        <v>1</v>
      </c>
      <c r="Q442" s="1130">
        <f t="shared" si="50"/>
        <v>1</v>
      </c>
      <c r="R442" s="1130">
        <f t="shared" si="50"/>
        <v>1</v>
      </c>
      <c r="S442" s="1130">
        <f t="shared" si="50"/>
        <v>1</v>
      </c>
      <c r="T442" s="1130">
        <f t="shared" si="50"/>
        <v>1</v>
      </c>
      <c r="U442" s="1130">
        <f t="shared" si="50"/>
        <v>1</v>
      </c>
      <c r="V442" s="1130">
        <f t="shared" si="50"/>
        <v>1</v>
      </c>
      <c r="W442" s="1130">
        <f t="shared" si="50"/>
        <v>1</v>
      </c>
      <c r="X442" s="1130">
        <f t="shared" si="50"/>
        <v>1</v>
      </c>
      <c r="Y442" s="1130">
        <f t="shared" si="50"/>
        <v>1</v>
      </c>
      <c r="Z442" s="1130">
        <f t="shared" si="50"/>
        <v>1</v>
      </c>
      <c r="AA442" s="1130">
        <f t="shared" si="50"/>
        <v>1</v>
      </c>
      <c r="AB442" s="1130">
        <f t="shared" si="50"/>
        <v>1</v>
      </c>
      <c r="AC442" s="1130">
        <f t="shared" si="50"/>
        <v>1</v>
      </c>
      <c r="AD442" s="1130">
        <f t="shared" si="50"/>
        <v>1</v>
      </c>
      <c r="AE442" s="1130">
        <f t="shared" si="50"/>
        <v>1</v>
      </c>
      <c r="AF442" s="1131">
        <f t="shared" si="50"/>
        <v>1</v>
      </c>
    </row>
    <row r="444" spans="2:32" x14ac:dyDescent="0.25">
      <c r="E444" s="858" t="s">
        <v>763</v>
      </c>
    </row>
    <row r="445" spans="2:32" x14ac:dyDescent="0.25">
      <c r="G445" s="1121">
        <v>2010</v>
      </c>
      <c r="H445" s="1122">
        <v>2011</v>
      </c>
      <c r="I445" s="1122">
        <v>2012</v>
      </c>
      <c r="J445" s="1122">
        <v>2013</v>
      </c>
      <c r="K445" s="1122">
        <v>2014</v>
      </c>
      <c r="L445" s="1122">
        <v>2015</v>
      </c>
      <c r="M445" s="1122">
        <v>2016</v>
      </c>
      <c r="N445" s="1122">
        <v>2017</v>
      </c>
      <c r="O445" s="1122">
        <v>2018</v>
      </c>
      <c r="P445" s="1122">
        <v>2019</v>
      </c>
      <c r="Q445" s="1122">
        <v>2020</v>
      </c>
      <c r="R445" s="1122">
        <v>2021</v>
      </c>
      <c r="S445" s="1122">
        <v>2022</v>
      </c>
      <c r="T445" s="1122">
        <v>2023</v>
      </c>
      <c r="U445" s="1122">
        <v>2024</v>
      </c>
      <c r="V445" s="1122">
        <v>2025</v>
      </c>
      <c r="W445" s="1122">
        <v>2026</v>
      </c>
      <c r="X445" s="1122">
        <v>2027</v>
      </c>
      <c r="Y445" s="1122">
        <v>2028</v>
      </c>
      <c r="Z445" s="1122">
        <v>2029</v>
      </c>
      <c r="AA445" s="1122">
        <v>2030</v>
      </c>
      <c r="AB445" s="1122">
        <v>2031</v>
      </c>
      <c r="AC445" s="1122">
        <v>2032</v>
      </c>
      <c r="AD445" s="1122">
        <v>2033</v>
      </c>
      <c r="AE445" s="1122">
        <v>2034</v>
      </c>
      <c r="AF445" s="1123">
        <v>2035</v>
      </c>
    </row>
    <row r="446" spans="2:32" x14ac:dyDescent="0.25">
      <c r="F446" s="1117" t="s">
        <v>760</v>
      </c>
      <c r="G446" s="1065"/>
      <c r="H446" s="1124">
        <f>SUM(H331:H334)</f>
        <v>44.234403443007686</v>
      </c>
      <c r="I446" s="1124">
        <f t="shared" ref="I446:AF446" si="52">SUM(I331:I334)</f>
        <v>41.449700004808989</v>
      </c>
      <c r="J446" s="1124">
        <f t="shared" si="52"/>
        <v>39.806026073688393</v>
      </c>
      <c r="K446" s="1124">
        <f t="shared" si="52"/>
        <v>37.46087912101553</v>
      </c>
      <c r="L446" s="1124">
        <f t="shared" si="52"/>
        <v>35.559692052485481</v>
      </c>
      <c r="M446" s="1124">
        <f t="shared" si="52"/>
        <v>33.360386388339442</v>
      </c>
      <c r="N446" s="1124">
        <f t="shared" si="52"/>
        <v>30.679163921212815</v>
      </c>
      <c r="O446" s="1124">
        <f t="shared" si="52"/>
        <v>28.878727717770495</v>
      </c>
      <c r="P446" s="1124">
        <f t="shared" si="52"/>
        <v>27.460588506375725</v>
      </c>
      <c r="Q446" s="1124">
        <f t="shared" si="52"/>
        <v>26.253153592401262</v>
      </c>
      <c r="R446" s="1124">
        <f t="shared" si="52"/>
        <v>25.091410676910147</v>
      </c>
      <c r="S446" s="1124">
        <f t="shared" si="52"/>
        <v>23.996103625505796</v>
      </c>
      <c r="T446" s="1124">
        <f t="shared" si="52"/>
        <v>22.964073028411764</v>
      </c>
      <c r="U446" s="1124">
        <f t="shared" si="52"/>
        <v>21.99566660597408</v>
      </c>
      <c r="V446" s="1124">
        <f t="shared" si="52"/>
        <v>21.133913164068506</v>
      </c>
      <c r="W446" s="1124">
        <f t="shared" si="52"/>
        <v>20.369322451697446</v>
      </c>
      <c r="X446" s="1124">
        <f t="shared" si="52"/>
        <v>19.691620429921681</v>
      </c>
      <c r="Y446" s="1124">
        <f t="shared" si="52"/>
        <v>19.112509536127533</v>
      </c>
      <c r="Z446" s="1124">
        <f t="shared" si="52"/>
        <v>18.633429398581406</v>
      </c>
      <c r="AA446" s="1124">
        <f t="shared" si="52"/>
        <v>18.25998169897866</v>
      </c>
      <c r="AB446" s="1124">
        <f t="shared" si="52"/>
        <v>18.000624046371723</v>
      </c>
      <c r="AC446" s="1124">
        <f t="shared" si="52"/>
        <v>17.767548456037588</v>
      </c>
      <c r="AD446" s="1124">
        <f t="shared" si="52"/>
        <v>17.574196640374694</v>
      </c>
      <c r="AE446" s="1124">
        <f t="shared" si="52"/>
        <v>17.420841628463911</v>
      </c>
      <c r="AF446" s="1125">
        <f t="shared" si="52"/>
        <v>17.298985413803962</v>
      </c>
    </row>
    <row r="447" spans="2:32" x14ac:dyDescent="0.25">
      <c r="F447" s="465" t="s">
        <v>761</v>
      </c>
      <c r="G447" s="1065"/>
      <c r="H447" s="1124">
        <f>SUM(H337:H340)</f>
        <v>15.59352304685968</v>
      </c>
      <c r="I447" s="1124">
        <f t="shared" ref="I447:AF447" si="53">SUM(I337:I340)</f>
        <v>16.141700721601826</v>
      </c>
      <c r="J447" s="1124">
        <f t="shared" si="53"/>
        <v>16.394261628332494</v>
      </c>
      <c r="K447" s="1124">
        <f t="shared" si="53"/>
        <v>16.279489598693171</v>
      </c>
      <c r="L447" s="1124">
        <f t="shared" si="53"/>
        <v>15.798705470181856</v>
      </c>
      <c r="M447" s="1124">
        <f t="shared" si="53"/>
        <v>15.046409162259962</v>
      </c>
      <c r="N447" s="1124">
        <f t="shared" si="53"/>
        <v>14.047800297504114</v>
      </c>
      <c r="O447" s="1124">
        <f t="shared" si="53"/>
        <v>12.912533854659284</v>
      </c>
      <c r="P447" s="1124">
        <f t="shared" si="53"/>
        <v>11.755637947035892</v>
      </c>
      <c r="Q447" s="1124">
        <f t="shared" si="53"/>
        <v>10.68621150503639</v>
      </c>
      <c r="R447" s="1124">
        <f t="shared" si="53"/>
        <v>9.7062246788844888</v>
      </c>
      <c r="S447" s="1124">
        <f t="shared" si="53"/>
        <v>8.8889663334546576</v>
      </c>
      <c r="T447" s="1124">
        <f t="shared" si="53"/>
        <v>8.2042778790521886</v>
      </c>
      <c r="U447" s="1124">
        <f t="shared" si="53"/>
        <v>7.6613511713304927</v>
      </c>
      <c r="V447" s="1124">
        <f t="shared" si="53"/>
        <v>7.218856025323495</v>
      </c>
      <c r="W447" s="1124">
        <f t="shared" si="53"/>
        <v>6.8680663248348495</v>
      </c>
      <c r="X447" s="1124">
        <f t="shared" si="53"/>
        <v>6.5881089113287317</v>
      </c>
      <c r="Y447" s="1124">
        <f t="shared" si="53"/>
        <v>6.3701422062751529</v>
      </c>
      <c r="Z447" s="1124">
        <f t="shared" si="53"/>
        <v>6.2067045785093065</v>
      </c>
      <c r="AA447" s="1124">
        <f t="shared" si="53"/>
        <v>6.0784829878589353</v>
      </c>
      <c r="AB447" s="1124">
        <f t="shared" si="53"/>
        <v>5.9923531851923313</v>
      </c>
      <c r="AC447" s="1124">
        <f t="shared" si="53"/>
        <v>5.9238467913270547</v>
      </c>
      <c r="AD447" s="1124">
        <f t="shared" si="53"/>
        <v>5.8792525678020553</v>
      </c>
      <c r="AE447" s="1124">
        <f t="shared" si="53"/>
        <v>5.8472458221403762</v>
      </c>
      <c r="AF447" s="1125">
        <f t="shared" si="53"/>
        <v>5.8275080579934766</v>
      </c>
    </row>
    <row r="448" spans="2:32" x14ac:dyDescent="0.25">
      <c r="F448" s="465" t="s">
        <v>716</v>
      </c>
      <c r="G448" s="1065"/>
      <c r="H448" s="1124">
        <f>SUM(H343:H346)</f>
        <v>177.85280541140264</v>
      </c>
      <c r="I448" s="1124">
        <f t="shared" ref="I448:AF448" si="54">SUM(I343:I346)</f>
        <v>179.38211282141421</v>
      </c>
      <c r="J448" s="1124">
        <f t="shared" si="54"/>
        <v>180.39785785930769</v>
      </c>
      <c r="K448" s="1124">
        <f t="shared" si="54"/>
        <v>181.02815307093951</v>
      </c>
      <c r="L448" s="1124">
        <f t="shared" si="54"/>
        <v>181.692468165793</v>
      </c>
      <c r="M448" s="1124">
        <f t="shared" si="54"/>
        <v>181.76096254332933</v>
      </c>
      <c r="N448" s="1124">
        <f t="shared" si="54"/>
        <v>181.9725787974111</v>
      </c>
      <c r="O448" s="1124">
        <f t="shared" si="54"/>
        <v>182.76799233888346</v>
      </c>
      <c r="P448" s="1124">
        <f t="shared" si="54"/>
        <v>182.70592521112678</v>
      </c>
      <c r="Q448" s="1124">
        <f t="shared" si="54"/>
        <v>182.80656471998117</v>
      </c>
      <c r="R448" s="1124">
        <f t="shared" si="54"/>
        <v>181.97391099432116</v>
      </c>
      <c r="S448" s="1124">
        <f t="shared" si="54"/>
        <v>181.05566852266722</v>
      </c>
      <c r="T448" s="1124">
        <f t="shared" si="54"/>
        <v>179.78716950909924</v>
      </c>
      <c r="U448" s="1124">
        <f t="shared" si="54"/>
        <v>178.5128576053763</v>
      </c>
      <c r="V448" s="1124">
        <f t="shared" si="54"/>
        <v>176.57612042935375</v>
      </c>
      <c r="W448" s="1124">
        <f t="shared" si="54"/>
        <v>174.62784172205613</v>
      </c>
      <c r="X448" s="1124">
        <f t="shared" si="54"/>
        <v>173.27154084202309</v>
      </c>
      <c r="Y448" s="1124">
        <f t="shared" si="54"/>
        <v>171.70930821223382</v>
      </c>
      <c r="Z448" s="1124">
        <f t="shared" si="54"/>
        <v>170.08190954929304</v>
      </c>
      <c r="AA448" s="1124">
        <f t="shared" si="54"/>
        <v>168.73448999395939</v>
      </c>
      <c r="AB448" s="1124">
        <f t="shared" si="54"/>
        <v>167.20843620101414</v>
      </c>
      <c r="AC448" s="1124">
        <f t="shared" si="54"/>
        <v>165.89171098385069</v>
      </c>
      <c r="AD448" s="1124">
        <f t="shared" si="54"/>
        <v>164.95272434005039</v>
      </c>
      <c r="AE448" s="1124">
        <f t="shared" si="54"/>
        <v>163.91397193149035</v>
      </c>
      <c r="AF448" s="1125">
        <f t="shared" si="54"/>
        <v>163.19785787300202</v>
      </c>
    </row>
    <row r="449" spans="5:32" x14ac:dyDescent="0.25">
      <c r="F449" s="465" t="s">
        <v>42</v>
      </c>
      <c r="G449" s="1065"/>
      <c r="H449" s="1124">
        <f>SUM(H349:H353)</f>
        <v>105.42298595435453</v>
      </c>
      <c r="I449" s="1124">
        <f t="shared" ref="I449:AF449" si="55">SUM(I349:I353)</f>
        <v>107.57915904023798</v>
      </c>
      <c r="J449" s="1124">
        <f t="shared" si="55"/>
        <v>109.27696927437599</v>
      </c>
      <c r="K449" s="1124">
        <f t="shared" si="55"/>
        <v>110.5456390917889</v>
      </c>
      <c r="L449" s="1124">
        <f t="shared" si="55"/>
        <v>111.48977540641235</v>
      </c>
      <c r="M449" s="1124">
        <f t="shared" si="55"/>
        <v>111.61632714009951</v>
      </c>
      <c r="N449" s="1124">
        <f t="shared" si="55"/>
        <v>111.60227898478817</v>
      </c>
      <c r="O449" s="1124">
        <f t="shared" si="55"/>
        <v>111.64360826392911</v>
      </c>
      <c r="P449" s="1124">
        <f t="shared" si="55"/>
        <v>111.06494228703129</v>
      </c>
      <c r="Q449" s="1124">
        <f t="shared" si="55"/>
        <v>110.35918393939329</v>
      </c>
      <c r="R449" s="1124">
        <f t="shared" si="55"/>
        <v>109.14978874477269</v>
      </c>
      <c r="S449" s="1124">
        <f t="shared" si="55"/>
        <v>107.81499181177298</v>
      </c>
      <c r="T449" s="1124">
        <f t="shared" si="55"/>
        <v>106.32731405734461</v>
      </c>
      <c r="U449" s="1124">
        <f t="shared" si="55"/>
        <v>104.88439106893949</v>
      </c>
      <c r="V449" s="1124">
        <f t="shared" si="55"/>
        <v>103.40596048199549</v>
      </c>
      <c r="W449" s="1124">
        <f t="shared" si="55"/>
        <v>101.77206997341597</v>
      </c>
      <c r="X449" s="1124">
        <f t="shared" si="55"/>
        <v>100.51228878412422</v>
      </c>
      <c r="Y449" s="1124">
        <f t="shared" si="55"/>
        <v>99.284213990368571</v>
      </c>
      <c r="Z449" s="1124">
        <f t="shared" si="55"/>
        <v>98.062074531272657</v>
      </c>
      <c r="AA449" s="1124">
        <f t="shared" si="55"/>
        <v>96.906534511865146</v>
      </c>
      <c r="AB449" s="1124">
        <f t="shared" si="55"/>
        <v>95.796244817639348</v>
      </c>
      <c r="AC449" s="1124">
        <f t="shared" si="55"/>
        <v>94.827430858266951</v>
      </c>
      <c r="AD449" s="1124">
        <f t="shared" si="55"/>
        <v>93.972979922164086</v>
      </c>
      <c r="AE449" s="1124">
        <f t="shared" si="55"/>
        <v>93.235968865396757</v>
      </c>
      <c r="AF449" s="1125">
        <f t="shared" si="55"/>
        <v>92.544141189454933</v>
      </c>
    </row>
    <row r="450" spans="5:32" x14ac:dyDescent="0.25">
      <c r="F450" s="465" t="s">
        <v>762</v>
      </c>
      <c r="G450" s="1066"/>
      <c r="H450" s="1126">
        <f>SUM(H356:H361)</f>
        <v>38.946014528711522</v>
      </c>
      <c r="I450" s="1126">
        <f t="shared" ref="I450:AF450" si="56">SUM(I356:I361)</f>
        <v>36.125487632739279</v>
      </c>
      <c r="J450" s="1126">
        <f t="shared" si="56"/>
        <v>33.568403171059444</v>
      </c>
      <c r="K450" s="1126">
        <f t="shared" si="56"/>
        <v>30.011367328481327</v>
      </c>
      <c r="L450" s="1126">
        <f t="shared" si="56"/>
        <v>26.495139472954008</v>
      </c>
      <c r="M450" s="1126">
        <f t="shared" si="56"/>
        <v>23.723834930931361</v>
      </c>
      <c r="N450" s="1126">
        <f t="shared" si="56"/>
        <v>21.760500304463434</v>
      </c>
      <c r="O450" s="1126">
        <f t="shared" si="56"/>
        <v>20.306727110707289</v>
      </c>
      <c r="P450" s="1126">
        <f t="shared" si="56"/>
        <v>19.220796597539344</v>
      </c>
      <c r="Q450" s="1126">
        <f t="shared" si="56"/>
        <v>18.401902519972058</v>
      </c>
      <c r="R450" s="1126">
        <f t="shared" si="56"/>
        <v>17.616034981704605</v>
      </c>
      <c r="S450" s="1126">
        <f t="shared" si="56"/>
        <v>17.065554508586853</v>
      </c>
      <c r="T450" s="1126">
        <f t="shared" si="56"/>
        <v>16.571620508343411</v>
      </c>
      <c r="U450" s="1126">
        <f t="shared" si="56"/>
        <v>16.206830239343198</v>
      </c>
      <c r="V450" s="1126">
        <f t="shared" si="56"/>
        <v>15.91890149390977</v>
      </c>
      <c r="W450" s="1126">
        <f t="shared" si="56"/>
        <v>15.664098363005166</v>
      </c>
      <c r="X450" s="1126">
        <f t="shared" si="56"/>
        <v>15.498205054719007</v>
      </c>
      <c r="Y450" s="1126">
        <f t="shared" si="56"/>
        <v>15.376444391831759</v>
      </c>
      <c r="Z450" s="1126">
        <f t="shared" si="56"/>
        <v>15.284813645775326</v>
      </c>
      <c r="AA450" s="1126">
        <f t="shared" si="56"/>
        <v>15.196349732245618</v>
      </c>
      <c r="AB450" s="1126">
        <f t="shared" si="56"/>
        <v>15.155240096195389</v>
      </c>
      <c r="AC450" s="1126">
        <f t="shared" si="56"/>
        <v>15.128439266094091</v>
      </c>
      <c r="AD450" s="1126">
        <f t="shared" si="56"/>
        <v>15.114455396811975</v>
      </c>
      <c r="AE450" s="1126">
        <f t="shared" si="56"/>
        <v>15.119056401871047</v>
      </c>
      <c r="AF450" s="1127">
        <f t="shared" si="56"/>
        <v>15.135255189533712</v>
      </c>
    </row>
    <row r="451" spans="5:32" x14ac:dyDescent="0.25">
      <c r="F451" s="1062" t="s">
        <v>242</v>
      </c>
      <c r="G451" s="1114"/>
      <c r="H451" s="1128">
        <f>SUM(H446:H450)</f>
        <v>382.0497323843361</v>
      </c>
      <c r="I451" s="1128">
        <f t="shared" ref="I451:AF451" si="57">SUM(I446:I450)</f>
        <v>380.67816022080228</v>
      </c>
      <c r="J451" s="1128">
        <f t="shared" si="57"/>
        <v>379.44351800676401</v>
      </c>
      <c r="K451" s="1128">
        <f t="shared" si="57"/>
        <v>375.32552821091849</v>
      </c>
      <c r="L451" s="1128">
        <f t="shared" si="57"/>
        <v>371.03578056782669</v>
      </c>
      <c r="M451" s="1128">
        <f t="shared" si="57"/>
        <v>365.50792016495961</v>
      </c>
      <c r="N451" s="1128">
        <f t="shared" si="57"/>
        <v>360.06232230537967</v>
      </c>
      <c r="O451" s="1128">
        <f t="shared" si="57"/>
        <v>356.50958928594963</v>
      </c>
      <c r="P451" s="1128">
        <f t="shared" si="57"/>
        <v>352.20789054910904</v>
      </c>
      <c r="Q451" s="1128">
        <f t="shared" si="57"/>
        <v>348.50701627678416</v>
      </c>
      <c r="R451" s="1128">
        <f t="shared" si="57"/>
        <v>343.53737007659311</v>
      </c>
      <c r="S451" s="1128">
        <f t="shared" si="57"/>
        <v>338.82128480198753</v>
      </c>
      <c r="T451" s="1128">
        <f t="shared" si="57"/>
        <v>333.85445498225118</v>
      </c>
      <c r="U451" s="1128">
        <f t="shared" si="57"/>
        <v>329.2610966909636</v>
      </c>
      <c r="V451" s="1128">
        <f t="shared" si="57"/>
        <v>324.25375159465102</v>
      </c>
      <c r="W451" s="1128">
        <f t="shared" si="57"/>
        <v>319.30139883500959</v>
      </c>
      <c r="X451" s="1128">
        <f t="shared" si="57"/>
        <v>315.56176402211673</v>
      </c>
      <c r="Y451" s="1128">
        <f t="shared" si="57"/>
        <v>311.85261833683683</v>
      </c>
      <c r="Z451" s="1128">
        <f t="shared" si="57"/>
        <v>308.26893170343175</v>
      </c>
      <c r="AA451" s="1128">
        <f t="shared" si="57"/>
        <v>305.17583892490774</v>
      </c>
      <c r="AB451" s="1128">
        <f t="shared" si="57"/>
        <v>302.15289834641294</v>
      </c>
      <c r="AC451" s="1128">
        <f t="shared" si="57"/>
        <v>299.53897635557644</v>
      </c>
      <c r="AD451" s="1128">
        <f t="shared" si="57"/>
        <v>297.49360886720319</v>
      </c>
      <c r="AE451" s="1128">
        <f t="shared" si="57"/>
        <v>295.53708464936244</v>
      </c>
      <c r="AF451" s="1129">
        <f t="shared" si="57"/>
        <v>294.00374772378814</v>
      </c>
    </row>
    <row r="452" spans="5:32" x14ac:dyDescent="0.25">
      <c r="E452" s="1059"/>
      <c r="F452" s="1059"/>
      <c r="G452" s="1059"/>
      <c r="H452" s="1059"/>
      <c r="I452" s="1059"/>
      <c r="J452" s="1059"/>
      <c r="K452" s="1059"/>
      <c r="L452" s="1059"/>
      <c r="M452" s="1059"/>
      <c r="N452" s="1059"/>
      <c r="O452" s="1059"/>
      <c r="P452" s="1059"/>
      <c r="Q452" s="1059"/>
      <c r="R452" s="1059"/>
      <c r="S452" s="1059"/>
      <c r="T452" s="1059"/>
      <c r="U452" s="1059"/>
      <c r="V452" s="1059"/>
      <c r="W452" s="1059"/>
      <c r="X452" s="1059"/>
      <c r="Y452" s="1059"/>
      <c r="Z452" s="1059"/>
      <c r="AA452" s="1059"/>
      <c r="AB452" s="1059"/>
      <c r="AC452" s="1059"/>
      <c r="AD452" s="1059"/>
      <c r="AE452" s="1059"/>
      <c r="AF452" s="1059"/>
    </row>
    <row r="453" spans="5:32" x14ac:dyDescent="0.25">
      <c r="E453" s="1059"/>
      <c r="F453" s="1059"/>
      <c r="G453" s="1121">
        <v>2010</v>
      </c>
      <c r="H453" s="1122">
        <v>2011</v>
      </c>
      <c r="I453" s="1122">
        <v>2012</v>
      </c>
      <c r="J453" s="1122">
        <v>2013</v>
      </c>
      <c r="K453" s="1122">
        <v>2014</v>
      </c>
      <c r="L453" s="1122">
        <v>2015</v>
      </c>
      <c r="M453" s="1122">
        <v>2016</v>
      </c>
      <c r="N453" s="1122">
        <v>2017</v>
      </c>
      <c r="O453" s="1122">
        <v>2018</v>
      </c>
      <c r="P453" s="1122">
        <v>2019</v>
      </c>
      <c r="Q453" s="1122">
        <v>2020</v>
      </c>
      <c r="R453" s="1122">
        <v>2021</v>
      </c>
      <c r="S453" s="1122">
        <v>2022</v>
      </c>
      <c r="T453" s="1122">
        <v>2023</v>
      </c>
      <c r="U453" s="1122">
        <v>2024</v>
      </c>
      <c r="V453" s="1122">
        <v>2025</v>
      </c>
      <c r="W453" s="1122">
        <v>2026</v>
      </c>
      <c r="X453" s="1122">
        <v>2027</v>
      </c>
      <c r="Y453" s="1122">
        <v>2028</v>
      </c>
      <c r="Z453" s="1122">
        <v>2029</v>
      </c>
      <c r="AA453" s="1122">
        <v>2030</v>
      </c>
      <c r="AB453" s="1122">
        <v>2031</v>
      </c>
      <c r="AC453" s="1122">
        <v>2032</v>
      </c>
      <c r="AD453" s="1122">
        <v>2033</v>
      </c>
      <c r="AE453" s="1122">
        <v>2034</v>
      </c>
      <c r="AF453" s="1123">
        <v>2035</v>
      </c>
    </row>
    <row r="454" spans="5:32" x14ac:dyDescent="0.25">
      <c r="E454" s="1059"/>
      <c r="F454" s="1117" t="s">
        <v>760</v>
      </c>
      <c r="G454" s="1064"/>
      <c r="H454" s="1132">
        <f t="shared" ref="H454:H459" si="58">H446/H$451</f>
        <v>0.11578179407938588</v>
      </c>
      <c r="I454" s="1132">
        <f t="shared" ref="I454:AF459" si="59">I446/I$451</f>
        <v>0.1088838403042801</v>
      </c>
      <c r="J454" s="1132">
        <f t="shared" si="59"/>
        <v>0.10490632777914211</v>
      </c>
      <c r="K454" s="1132">
        <f t="shared" si="59"/>
        <v>9.980903590433092E-2</v>
      </c>
      <c r="L454" s="1132">
        <f t="shared" si="59"/>
        <v>9.5838983501983416E-2</v>
      </c>
      <c r="M454" s="1132">
        <f t="shared" si="59"/>
        <v>9.1271309177878721E-2</v>
      </c>
      <c r="N454" s="1132">
        <f t="shared" si="59"/>
        <v>8.5205149277443409E-2</v>
      </c>
      <c r="O454" s="1132">
        <f t="shared" si="59"/>
        <v>8.1004069976382626E-2</v>
      </c>
      <c r="P454" s="1132">
        <f t="shared" si="59"/>
        <v>7.796698837031546E-2</v>
      </c>
      <c r="Q454" s="1132">
        <f t="shared" si="59"/>
        <v>7.5330344487386208E-2</v>
      </c>
      <c r="R454" s="1132">
        <f t="shared" si="59"/>
        <v>7.3038373296377954E-2</v>
      </c>
      <c r="S454" s="1132">
        <f t="shared" si="59"/>
        <v>7.0822302794611894E-2</v>
      </c>
      <c r="T454" s="1132">
        <f t="shared" si="59"/>
        <v>6.8784683522143245E-2</v>
      </c>
      <c r="U454" s="1132">
        <f t="shared" si="59"/>
        <v>6.6803114084925355E-2</v>
      </c>
      <c r="V454" s="1132">
        <f t="shared" si="59"/>
        <v>6.5177081406564474E-2</v>
      </c>
      <c r="W454" s="1132">
        <f t="shared" si="59"/>
        <v>6.3793401864245342E-2</v>
      </c>
      <c r="X454" s="1132">
        <f t="shared" si="59"/>
        <v>6.2401794751475524E-2</v>
      </c>
      <c r="Y454" s="1132">
        <f t="shared" si="59"/>
        <v>6.1286993959062473E-2</v>
      </c>
      <c r="Z454" s="1132">
        <f t="shared" si="59"/>
        <v>6.0445369228799166E-2</v>
      </c>
      <c r="AA454" s="1132">
        <f t="shared" si="59"/>
        <v>5.9834296723181128E-2</v>
      </c>
      <c r="AB454" s="1132">
        <f t="shared" si="59"/>
        <v>5.9574553627926234E-2</v>
      </c>
      <c r="AC454" s="1132">
        <f t="shared" si="59"/>
        <v>5.9316315600097744E-2</v>
      </c>
      <c r="AD454" s="1132">
        <f t="shared" si="59"/>
        <v>5.907419896277355E-2</v>
      </c>
      <c r="AE454" s="1132">
        <f t="shared" si="59"/>
        <v>5.8946381125511628E-2</v>
      </c>
      <c r="AF454" s="1133">
        <f t="shared" si="59"/>
        <v>5.8839336395317264E-2</v>
      </c>
    </row>
    <row r="455" spans="5:32" x14ac:dyDescent="0.25">
      <c r="E455" s="1059"/>
      <c r="F455" s="465" t="s">
        <v>761</v>
      </c>
      <c r="G455" s="1065"/>
      <c r="H455" s="1074">
        <f t="shared" si="58"/>
        <v>4.0815427220801816E-2</v>
      </c>
      <c r="I455" s="1074">
        <f t="shared" ref="I455:W455" si="60">I447/I$451</f>
        <v>4.2402486951810578E-2</v>
      </c>
      <c r="J455" s="1074">
        <f t="shared" si="60"/>
        <v>4.320606585784461E-2</v>
      </c>
      <c r="K455" s="1074">
        <f t="shared" si="60"/>
        <v>4.3374320090331625E-2</v>
      </c>
      <c r="L455" s="1074">
        <f t="shared" si="60"/>
        <v>4.2580005211367469E-2</v>
      </c>
      <c r="M455" s="1074">
        <f t="shared" si="60"/>
        <v>4.1165754097665722E-2</v>
      </c>
      <c r="N455" s="1074">
        <f t="shared" si="60"/>
        <v>3.9014913328225868E-2</v>
      </c>
      <c r="O455" s="1074">
        <f t="shared" si="60"/>
        <v>3.6219317075093828E-2</v>
      </c>
      <c r="P455" s="1074">
        <f t="shared" si="60"/>
        <v>3.3376986326763683E-2</v>
      </c>
      <c r="Q455" s="1074">
        <f t="shared" si="60"/>
        <v>3.0662830318886333E-2</v>
      </c>
      <c r="R455" s="1074">
        <f t="shared" si="60"/>
        <v>2.8253766618520845E-2</v>
      </c>
      <c r="S455" s="1074">
        <f t="shared" si="60"/>
        <v>2.6234970269502132E-2</v>
      </c>
      <c r="T455" s="1074">
        <f t="shared" si="60"/>
        <v>2.4574414858379995E-2</v>
      </c>
      <c r="U455" s="1074">
        <f t="shared" si="60"/>
        <v>2.3268315778347932E-2</v>
      </c>
      <c r="V455" s="1074">
        <f t="shared" si="60"/>
        <v>2.226298381999223E-2</v>
      </c>
      <c r="W455" s="1074">
        <f t="shared" si="60"/>
        <v>2.1509665632200182E-2</v>
      </c>
      <c r="X455" s="1074">
        <f t="shared" si="59"/>
        <v>2.087739917332631E-2</v>
      </c>
      <c r="Y455" s="1074">
        <f t="shared" si="59"/>
        <v>2.0426771595660177E-2</v>
      </c>
      <c r="Z455" s="1074">
        <f t="shared" si="59"/>
        <v>2.0134058090811528E-2</v>
      </c>
      <c r="AA455" s="1074">
        <f t="shared" si="59"/>
        <v>1.9917969290336318E-2</v>
      </c>
      <c r="AB455" s="1074">
        <f t="shared" si="59"/>
        <v>1.9832188332419055E-2</v>
      </c>
      <c r="AC455" s="1074">
        <f t="shared" si="59"/>
        <v>1.9776547491085036E-2</v>
      </c>
      <c r="AD455" s="1074">
        <f t="shared" si="59"/>
        <v>1.976261806157479E-2</v>
      </c>
      <c r="AE455" s="1074">
        <f t="shared" si="59"/>
        <v>1.9785150919647845E-2</v>
      </c>
      <c r="AF455" s="1106">
        <f t="shared" si="59"/>
        <v>1.9821203311558899E-2</v>
      </c>
    </row>
    <row r="456" spans="5:32" x14ac:dyDescent="0.25">
      <c r="E456" s="1059"/>
      <c r="F456" s="465" t="s">
        <v>716</v>
      </c>
      <c r="G456" s="1065"/>
      <c r="H456" s="1074">
        <f t="shared" si="58"/>
        <v>0.46552265408338378</v>
      </c>
      <c r="I456" s="1074">
        <f t="shared" si="59"/>
        <v>0.47121724219053795</v>
      </c>
      <c r="J456" s="1074">
        <f t="shared" si="59"/>
        <v>0.47542743332906767</v>
      </c>
      <c r="K456" s="1074">
        <f t="shared" si="59"/>
        <v>0.48232304883138316</v>
      </c>
      <c r="L456" s="1074">
        <f t="shared" si="59"/>
        <v>0.48968988351402126</v>
      </c>
      <c r="M456" s="1074">
        <f t="shared" si="59"/>
        <v>0.49728323933800855</v>
      </c>
      <c r="N456" s="1074">
        <f t="shared" si="59"/>
        <v>0.50539189335971313</v>
      </c>
      <c r="O456" s="1074">
        <f t="shared" si="59"/>
        <v>0.51265940056464709</v>
      </c>
      <c r="P456" s="1074">
        <f t="shared" si="59"/>
        <v>0.51874455432068678</v>
      </c>
      <c r="Q456" s="1074">
        <f t="shared" si="59"/>
        <v>0.52454199250552891</v>
      </c>
      <c r="R456" s="1074">
        <f t="shared" si="59"/>
        <v>0.52970630517940254</v>
      </c>
      <c r="S456" s="1074">
        <f t="shared" si="59"/>
        <v>0.53436922839271739</v>
      </c>
      <c r="T456" s="1074">
        <f t="shared" si="59"/>
        <v>0.53851960585236858</v>
      </c>
      <c r="U456" s="1074">
        <f t="shared" si="59"/>
        <v>0.54216200881127508</v>
      </c>
      <c r="V456" s="1074">
        <f t="shared" si="59"/>
        <v>0.54456153417182729</v>
      </c>
      <c r="W456" s="1074">
        <f t="shared" si="59"/>
        <v>0.54690597147145714</v>
      </c>
      <c r="X456" s="1074">
        <f t="shared" si="59"/>
        <v>0.54908915019843474</v>
      </c>
      <c r="Y456" s="1074">
        <f t="shared" si="59"/>
        <v>0.5506104426122469</v>
      </c>
      <c r="Z456" s="1074">
        <f t="shared" si="59"/>
        <v>0.55173224434085788</v>
      </c>
      <c r="AA456" s="1074">
        <f t="shared" si="59"/>
        <v>0.55290907231839737</v>
      </c>
      <c r="AB456" s="1074">
        <f t="shared" si="59"/>
        <v>0.55339014491038452</v>
      </c>
      <c r="AC456" s="1074">
        <f t="shared" si="59"/>
        <v>0.55382345563912228</v>
      </c>
      <c r="AD456" s="1074">
        <f t="shared" si="59"/>
        <v>0.55447485063009505</v>
      </c>
      <c r="AE456" s="1074">
        <f t="shared" si="59"/>
        <v>0.55463080758871508</v>
      </c>
      <c r="AF456" s="1106">
        <f t="shared" si="59"/>
        <v>0.55508767876770004</v>
      </c>
    </row>
    <row r="457" spans="5:32" x14ac:dyDescent="0.25">
      <c r="E457" s="1059"/>
      <c r="F457" s="465" t="s">
        <v>42</v>
      </c>
      <c r="G457" s="1065"/>
      <c r="H457" s="1074">
        <f t="shared" si="58"/>
        <v>0.27594047847231745</v>
      </c>
      <c r="I457" s="1074">
        <f t="shared" si="59"/>
        <v>0.28259871535009928</v>
      </c>
      <c r="J457" s="1074">
        <f t="shared" si="59"/>
        <v>0.28799271588143982</v>
      </c>
      <c r="K457" s="1074">
        <f t="shared" si="59"/>
        <v>0.29453269437528512</v>
      </c>
      <c r="L457" s="1074">
        <f t="shared" si="59"/>
        <v>0.30048254439447952</v>
      </c>
      <c r="M457" s="1074">
        <f t="shared" si="59"/>
        <v>0.3053732107630534</v>
      </c>
      <c r="N457" s="1074">
        <f t="shared" si="59"/>
        <v>0.3099526722769258</v>
      </c>
      <c r="O457" s="1074">
        <f t="shared" si="59"/>
        <v>0.31315737814385092</v>
      </c>
      <c r="P457" s="1074">
        <f t="shared" si="59"/>
        <v>0.31533916549647906</v>
      </c>
      <c r="Q457" s="1074">
        <f t="shared" si="59"/>
        <v>0.31666273212630547</v>
      </c>
      <c r="R457" s="1074">
        <f t="shared" si="59"/>
        <v>0.31772318895157547</v>
      </c>
      <c r="S457" s="1074">
        <f t="shared" si="59"/>
        <v>0.31820607691391573</v>
      </c>
      <c r="T457" s="1074">
        <f t="shared" si="59"/>
        <v>0.31848403539499665</v>
      </c>
      <c r="U457" s="1074">
        <f t="shared" si="59"/>
        <v>0.31854474191763205</v>
      </c>
      <c r="V457" s="1074">
        <f t="shared" si="59"/>
        <v>0.31890443818600156</v>
      </c>
      <c r="W457" s="1074">
        <f t="shared" si="59"/>
        <v>0.31873355501960687</v>
      </c>
      <c r="X457" s="1074">
        <f t="shared" si="59"/>
        <v>0.31851859205946015</v>
      </c>
      <c r="Y457" s="1074">
        <f t="shared" si="59"/>
        <v>0.31836902482931906</v>
      </c>
      <c r="Z457" s="1074">
        <f t="shared" si="59"/>
        <v>0.31810560340739324</v>
      </c>
      <c r="AA457" s="1074">
        <f t="shared" si="59"/>
        <v>0.31754327227625051</v>
      </c>
      <c r="AB457" s="1074">
        <f t="shared" si="59"/>
        <v>0.31704559294946977</v>
      </c>
      <c r="AC457" s="1074">
        <f t="shared" si="59"/>
        <v>0.31657793590674255</v>
      </c>
      <c r="AD457" s="1074">
        <f t="shared" si="59"/>
        <v>0.31588234880068383</v>
      </c>
      <c r="AE457" s="1074">
        <f t="shared" si="59"/>
        <v>0.31547976111362069</v>
      </c>
      <c r="AF457" s="1106">
        <f t="shared" si="59"/>
        <v>0.31477197792865785</v>
      </c>
    </row>
    <row r="458" spans="5:32" x14ac:dyDescent="0.25">
      <c r="E458" s="1059"/>
      <c r="F458" s="465" t="s">
        <v>762</v>
      </c>
      <c r="G458" s="1065"/>
      <c r="H458" s="1074">
        <f t="shared" si="58"/>
        <v>0.101939646144111</v>
      </c>
      <c r="I458" s="1074">
        <f t="shared" si="59"/>
        <v>9.4897715203272101E-2</v>
      </c>
      <c r="J458" s="1074">
        <f t="shared" si="59"/>
        <v>8.8467457152505757E-2</v>
      </c>
      <c r="K458" s="1074">
        <f t="shared" si="59"/>
        <v>7.9960900798669077E-2</v>
      </c>
      <c r="L458" s="1074">
        <f t="shared" si="59"/>
        <v>7.1408583378148358E-2</v>
      </c>
      <c r="M458" s="1074">
        <f t="shared" si="59"/>
        <v>6.4906486623393586E-2</v>
      </c>
      <c r="N458" s="1074">
        <f t="shared" si="59"/>
        <v>6.0435371757691717E-2</v>
      </c>
      <c r="O458" s="1074">
        <f t="shared" si="59"/>
        <v>5.6959834240025577E-2</v>
      </c>
      <c r="P458" s="1074">
        <f t="shared" si="59"/>
        <v>5.4572305485755014E-2</v>
      </c>
      <c r="Q458" s="1074">
        <f t="shared" si="59"/>
        <v>5.2802100561893058E-2</v>
      </c>
      <c r="R458" s="1074">
        <f t="shared" si="59"/>
        <v>5.1278365954123231E-2</v>
      </c>
      <c r="S458" s="1074">
        <f t="shared" si="59"/>
        <v>5.0367421629252812E-2</v>
      </c>
      <c r="T458" s="1074">
        <f t="shared" si="59"/>
        <v>4.9637260372111594E-2</v>
      </c>
      <c r="U458" s="1074">
        <f t="shared" si="59"/>
        <v>4.922181940781948E-2</v>
      </c>
      <c r="V458" s="1074">
        <f t="shared" si="59"/>
        <v>4.9093962415614416E-2</v>
      </c>
      <c r="W458" s="1074">
        <f t="shared" si="59"/>
        <v>4.9057406012490312E-2</v>
      </c>
      <c r="X458" s="1074">
        <f t="shared" si="59"/>
        <v>4.9113063817303244E-2</v>
      </c>
      <c r="Y458" s="1074">
        <f t="shared" si="59"/>
        <v>4.9306767003711428E-2</v>
      </c>
      <c r="Z458" s="1074">
        <f t="shared" si="59"/>
        <v>4.9582724932138111E-2</v>
      </c>
      <c r="AA458" s="1074">
        <f t="shared" si="59"/>
        <v>4.9795389391834741E-2</v>
      </c>
      <c r="AB458" s="1074">
        <f t="shared" si="59"/>
        <v>5.0157520179800408E-2</v>
      </c>
      <c r="AC458" s="1074">
        <f t="shared" si="59"/>
        <v>5.0505745362952159E-2</v>
      </c>
      <c r="AD458" s="1074">
        <f t="shared" si="59"/>
        <v>5.0805983544872882E-2</v>
      </c>
      <c r="AE458" s="1074">
        <f t="shared" si="59"/>
        <v>5.1157899252504732E-2</v>
      </c>
      <c r="AF458" s="1106">
        <f t="shared" si="59"/>
        <v>5.1479803596765863E-2</v>
      </c>
    </row>
    <row r="459" spans="5:32" x14ac:dyDescent="0.25">
      <c r="F459" s="1062" t="s">
        <v>242</v>
      </c>
      <c r="G459" s="1114"/>
      <c r="H459" s="1130">
        <f t="shared" si="58"/>
        <v>1</v>
      </c>
      <c r="I459" s="1130">
        <f t="shared" si="59"/>
        <v>1</v>
      </c>
      <c r="J459" s="1130">
        <f t="shared" si="59"/>
        <v>1</v>
      </c>
      <c r="K459" s="1130">
        <f t="shared" si="59"/>
        <v>1</v>
      </c>
      <c r="L459" s="1130">
        <f t="shared" si="59"/>
        <v>1</v>
      </c>
      <c r="M459" s="1130">
        <f t="shared" si="59"/>
        <v>1</v>
      </c>
      <c r="N459" s="1130">
        <f t="shared" si="59"/>
        <v>1</v>
      </c>
      <c r="O459" s="1130">
        <f t="shared" si="59"/>
        <v>1</v>
      </c>
      <c r="P459" s="1130">
        <f t="shared" si="59"/>
        <v>1</v>
      </c>
      <c r="Q459" s="1130">
        <f t="shared" si="59"/>
        <v>1</v>
      </c>
      <c r="R459" s="1130">
        <f t="shared" si="59"/>
        <v>1</v>
      </c>
      <c r="S459" s="1130">
        <f t="shared" si="59"/>
        <v>1</v>
      </c>
      <c r="T459" s="1130">
        <f t="shared" si="59"/>
        <v>1</v>
      </c>
      <c r="U459" s="1130">
        <f t="shared" si="59"/>
        <v>1</v>
      </c>
      <c r="V459" s="1130">
        <f t="shared" si="59"/>
        <v>1</v>
      </c>
      <c r="W459" s="1130">
        <f t="shared" si="59"/>
        <v>1</v>
      </c>
      <c r="X459" s="1130">
        <f t="shared" si="59"/>
        <v>1</v>
      </c>
      <c r="Y459" s="1130">
        <f t="shared" si="59"/>
        <v>1</v>
      </c>
      <c r="Z459" s="1130">
        <f t="shared" si="59"/>
        <v>1</v>
      </c>
      <c r="AA459" s="1130">
        <f t="shared" si="59"/>
        <v>1</v>
      </c>
      <c r="AB459" s="1130">
        <f t="shared" si="59"/>
        <v>1</v>
      </c>
      <c r="AC459" s="1130">
        <f t="shared" si="59"/>
        <v>1</v>
      </c>
      <c r="AD459" s="1130">
        <f t="shared" si="59"/>
        <v>1</v>
      </c>
      <c r="AE459" s="1130">
        <f t="shared" si="59"/>
        <v>1</v>
      </c>
      <c r="AF459" s="1131">
        <f t="shared" si="59"/>
        <v>1</v>
      </c>
    </row>
  </sheetData>
  <mergeCells count="4">
    <mergeCell ref="O419:S419"/>
    <mergeCell ref="G419:K419"/>
    <mergeCell ref="G410:K410"/>
    <mergeCell ref="O410:S410"/>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FF0000"/>
  </sheetPr>
  <dimension ref="A1:AF261"/>
  <sheetViews>
    <sheetView topLeftCell="A6" zoomScale="59" zoomScaleNormal="59" workbookViewId="0">
      <selection activeCell="V34" sqref="V34"/>
    </sheetView>
  </sheetViews>
  <sheetFormatPr defaultColWidth="9.140625" defaultRowHeight="15" x14ac:dyDescent="0.25"/>
  <cols>
    <col min="1" max="6" width="8.85546875" customWidth="1"/>
    <col min="7" max="7" width="10.5703125" bestFit="1" customWidth="1"/>
    <col min="8" max="21" width="9.42578125" bestFit="1" customWidth="1"/>
    <col min="22" max="32" width="9.140625" customWidth="1"/>
    <col min="33" max="16384" width="9.140625" style="221"/>
  </cols>
  <sheetData>
    <row r="1" spans="1:32" customFormat="1" ht="53.1" x14ac:dyDescent="0.4">
      <c r="A1" s="268" t="s">
        <v>288</v>
      </c>
      <c r="B1" s="499"/>
      <c r="C1" s="499"/>
      <c r="D1" s="499"/>
      <c r="E1" s="499"/>
      <c r="F1" s="499"/>
      <c r="G1" s="764" t="s">
        <v>411</v>
      </c>
      <c r="H1" s="748" t="s">
        <v>213</v>
      </c>
      <c r="I1" s="748" t="s">
        <v>214</v>
      </c>
      <c r="J1" s="748" t="s">
        <v>43</v>
      </c>
      <c r="K1" s="748" t="s">
        <v>44</v>
      </c>
      <c r="L1" s="748" t="s">
        <v>215</v>
      </c>
      <c r="M1" s="748" t="s">
        <v>257</v>
      </c>
      <c r="N1" s="748" t="s">
        <v>216</v>
      </c>
      <c r="O1" s="499"/>
      <c r="P1" s="499"/>
      <c r="Q1" s="499"/>
      <c r="R1" s="499"/>
      <c r="S1" s="499"/>
      <c r="T1" s="499"/>
      <c r="U1" s="499"/>
      <c r="V1" s="499"/>
      <c r="W1" s="499"/>
      <c r="X1" s="499"/>
      <c r="Y1" s="499"/>
      <c r="Z1" s="499"/>
      <c r="AA1" s="499"/>
      <c r="AB1" s="499"/>
      <c r="AC1" s="499"/>
      <c r="AD1" s="499"/>
      <c r="AE1" s="499"/>
      <c r="AF1" s="499"/>
    </row>
    <row r="2" spans="1:32" customFormat="1" ht="15.6" x14ac:dyDescent="0.35">
      <c r="A2" s="269" t="s">
        <v>162</v>
      </c>
      <c r="B2" s="499"/>
      <c r="C2" s="499"/>
      <c r="D2" s="499"/>
      <c r="E2" s="499"/>
      <c r="F2" s="499"/>
      <c r="G2" s="539" t="s">
        <v>255</v>
      </c>
      <c r="H2" s="539" t="s">
        <v>25</v>
      </c>
      <c r="I2" s="539" t="s">
        <v>25</v>
      </c>
      <c r="J2" s="539" t="s">
        <v>25</v>
      </c>
      <c r="K2" s="539" t="s">
        <v>25</v>
      </c>
      <c r="L2" s="539" t="s">
        <v>25</v>
      </c>
      <c r="M2" s="539" t="s">
        <v>25</v>
      </c>
      <c r="N2" s="539" t="s">
        <v>25</v>
      </c>
      <c r="O2" s="499"/>
      <c r="P2" s="499"/>
      <c r="Q2" s="499"/>
      <c r="R2" s="499"/>
      <c r="S2" s="499"/>
      <c r="T2" s="499"/>
      <c r="U2" s="499"/>
      <c r="V2" s="499"/>
      <c r="W2" s="499"/>
      <c r="X2" s="499"/>
      <c r="Y2" s="499"/>
      <c r="Z2" s="499"/>
      <c r="AA2" s="499"/>
      <c r="AB2" s="499"/>
      <c r="AC2" s="499"/>
      <c r="AD2" s="499"/>
      <c r="AE2" s="499"/>
      <c r="AF2" s="499"/>
    </row>
    <row r="3" spans="1:32" customFormat="1" ht="14.45" x14ac:dyDescent="0.35"/>
    <row r="4" spans="1:32" customFormat="1" ht="14.45" x14ac:dyDescent="0.35">
      <c r="A4" s="499"/>
      <c r="B4" s="499"/>
      <c r="C4" s="499"/>
      <c r="D4" s="208"/>
      <c r="E4" s="208"/>
      <c r="F4" s="208"/>
      <c r="G4" s="208">
        <v>2010</v>
      </c>
      <c r="H4" s="208">
        <v>2011</v>
      </c>
      <c r="I4" s="208">
        <v>2012</v>
      </c>
      <c r="J4" s="208">
        <v>2013</v>
      </c>
      <c r="K4" s="208">
        <v>2014</v>
      </c>
      <c r="L4" s="208">
        <v>2015</v>
      </c>
      <c r="M4" s="208">
        <v>2016</v>
      </c>
      <c r="N4" s="208">
        <v>2017</v>
      </c>
      <c r="O4" s="208">
        <v>2018</v>
      </c>
      <c r="P4" s="208">
        <v>2019</v>
      </c>
      <c r="Q4" s="208">
        <v>2020</v>
      </c>
      <c r="R4" s="208">
        <v>2021</v>
      </c>
      <c r="S4" s="208">
        <v>2022</v>
      </c>
      <c r="T4" s="208">
        <v>2023</v>
      </c>
      <c r="U4" s="208">
        <v>2024</v>
      </c>
      <c r="V4" s="208">
        <v>2025</v>
      </c>
      <c r="W4" s="208">
        <v>2026</v>
      </c>
      <c r="X4" s="208">
        <v>2027</v>
      </c>
      <c r="Y4" s="208">
        <v>2028</v>
      </c>
      <c r="Z4" s="208">
        <v>2029</v>
      </c>
      <c r="AA4" s="208">
        <v>2030</v>
      </c>
      <c r="AB4" s="208">
        <v>2031</v>
      </c>
      <c r="AC4" s="208">
        <v>2032</v>
      </c>
      <c r="AD4" s="208">
        <v>2033</v>
      </c>
      <c r="AE4" s="208">
        <v>2034</v>
      </c>
      <c r="AF4" s="208">
        <v>2035</v>
      </c>
    </row>
    <row r="5" spans="1:32" s="539" customFormat="1" ht="14.45" x14ac:dyDescent="0.35">
      <c r="A5" s="860" t="s">
        <v>526</v>
      </c>
      <c r="B5" s="555"/>
      <c r="C5" s="554"/>
      <c r="D5" s="553"/>
      <c r="E5" s="553"/>
      <c r="F5" s="553"/>
      <c r="G5" s="553"/>
      <c r="H5" s="560"/>
      <c r="I5" s="560"/>
      <c r="J5" s="560"/>
      <c r="K5" s="560"/>
      <c r="L5" s="560"/>
      <c r="M5" s="560"/>
      <c r="N5" s="560"/>
      <c r="O5" s="560"/>
      <c r="P5" s="560"/>
      <c r="Q5" s="560"/>
      <c r="R5" s="560"/>
      <c r="S5" s="560"/>
      <c r="T5" s="560"/>
      <c r="U5" s="560"/>
      <c r="V5" s="560"/>
      <c r="W5" s="560"/>
      <c r="X5" s="560"/>
      <c r="Y5" s="560"/>
      <c r="Z5" s="560"/>
      <c r="AA5" s="560"/>
      <c r="AB5" s="560"/>
      <c r="AC5" s="560"/>
      <c r="AD5" s="560"/>
      <c r="AE5" s="560"/>
      <c r="AF5" s="560"/>
    </row>
    <row r="6" spans="1:32" s="539" customFormat="1" ht="14.45" x14ac:dyDescent="0.35">
      <c r="A6" s="840" t="s">
        <v>12</v>
      </c>
      <c r="B6" s="550"/>
    </row>
    <row r="7" spans="1:32" s="539" customFormat="1" ht="14.45" x14ac:dyDescent="0.35">
      <c r="A7" s="839"/>
      <c r="B7" s="550" t="s">
        <v>20</v>
      </c>
    </row>
    <row r="8" spans="1:32" s="202" customFormat="1" ht="12.95" x14ac:dyDescent="0.3">
      <c r="A8" s="843" t="s">
        <v>21</v>
      </c>
      <c r="B8" s="556"/>
      <c r="C8" s="556"/>
      <c r="D8" s="556"/>
      <c r="E8" s="556"/>
      <c r="F8" s="556"/>
      <c r="G8" s="556"/>
      <c r="H8" s="556"/>
      <c r="I8" s="556"/>
      <c r="J8" s="556"/>
      <c r="K8" s="556"/>
      <c r="L8" s="556"/>
      <c r="M8" s="556"/>
      <c r="N8" s="556"/>
      <c r="O8" s="556"/>
      <c r="P8" s="556"/>
      <c r="Q8" s="556"/>
      <c r="R8" s="556"/>
      <c r="S8" s="556"/>
      <c r="T8" s="556"/>
      <c r="U8" s="556"/>
      <c r="V8" s="556"/>
      <c r="W8" s="556"/>
      <c r="X8" s="556"/>
      <c r="Y8" s="556"/>
      <c r="Z8" s="556"/>
      <c r="AA8" s="556"/>
      <c r="AB8" s="556"/>
      <c r="AC8" s="556"/>
      <c r="AD8" s="556"/>
      <c r="AE8" s="556"/>
      <c r="AF8" s="556"/>
    </row>
    <row r="9" spans="1:32" ht="14.45" x14ac:dyDescent="0.35">
      <c r="A9" s="839"/>
      <c r="B9" s="550" t="s">
        <v>22</v>
      </c>
      <c r="C9" s="539"/>
      <c r="D9" s="539"/>
      <c r="E9" s="539"/>
      <c r="F9" s="539"/>
      <c r="G9" s="549">
        <v>6.3388525759130712</v>
      </c>
      <c r="H9" s="549">
        <v>3.860042953346901</v>
      </c>
      <c r="I9" s="549">
        <v>2.770426448953923</v>
      </c>
      <c r="J9" s="549">
        <v>1.6269923630639282</v>
      </c>
      <c r="K9" s="549">
        <v>1.1315729850857155</v>
      </c>
      <c r="L9" s="549">
        <v>0.73285456280837202</v>
      </c>
      <c r="M9" s="549">
        <v>0.2764713729260645</v>
      </c>
      <c r="N9" s="549">
        <v>0.26787347634897896</v>
      </c>
      <c r="O9" s="549">
        <v>0.26986760145905458</v>
      </c>
      <c r="P9" s="549">
        <v>0.27316254178463661</v>
      </c>
      <c r="Q9" s="549">
        <v>0.27683269932937909</v>
      </c>
      <c r="R9" s="549">
        <v>0.28032639192885189</v>
      </c>
      <c r="S9" s="549">
        <v>0.28374904281781377</v>
      </c>
      <c r="T9" s="549">
        <v>0.28713514218464947</v>
      </c>
      <c r="U9" s="549">
        <v>0.29052088181341051</v>
      </c>
      <c r="V9" s="549">
        <v>0.29388995713295563</v>
      </c>
      <c r="W9" s="549">
        <v>0.29708502710058476</v>
      </c>
      <c r="X9" s="549">
        <v>0.30044225207357234</v>
      </c>
      <c r="Y9" s="549">
        <v>0.30397017856790426</v>
      </c>
      <c r="Z9" s="549">
        <v>0.30749590861976406</v>
      </c>
      <c r="AA9" s="549">
        <v>0.31090505129891882</v>
      </c>
      <c r="AB9" s="549">
        <v>0.31426032882346666</v>
      </c>
      <c r="AC9" s="549">
        <v>0.31761335522363482</v>
      </c>
      <c r="AD9" s="549">
        <v>0.32095641110372747</v>
      </c>
      <c r="AE9" s="549">
        <v>0.32428434255505845</v>
      </c>
      <c r="AF9" s="549">
        <v>0.32759537975078523</v>
      </c>
    </row>
    <row r="10" spans="1:32" ht="14.45" x14ac:dyDescent="0.35">
      <c r="A10" s="839"/>
      <c r="B10" s="550" t="s">
        <v>26</v>
      </c>
      <c r="C10" s="539"/>
      <c r="D10" s="539"/>
      <c r="E10" s="539"/>
      <c r="F10" s="539"/>
      <c r="G10" s="549">
        <v>0.13283253284457475</v>
      </c>
      <c r="H10" s="549">
        <v>7.7992829555601176E-2</v>
      </c>
      <c r="I10" s="549">
        <v>0.27595499921562416</v>
      </c>
      <c r="J10" s="549">
        <v>0.72755487039786426</v>
      </c>
      <c r="K10" s="549">
        <v>1.0081131924162479</v>
      </c>
      <c r="L10" s="549">
        <v>1.0719596117857273</v>
      </c>
      <c r="M10" s="549">
        <v>1.1313185332267002</v>
      </c>
      <c r="N10" s="549">
        <v>1.0991086788862643</v>
      </c>
      <c r="O10" s="549">
        <v>1.1086892756211031</v>
      </c>
      <c r="P10" s="549">
        <v>1.1220545586768391</v>
      </c>
      <c r="Q10" s="549">
        <v>1.1375029611931127</v>
      </c>
      <c r="R10" s="549">
        <v>1.1513151581296319</v>
      </c>
      <c r="S10" s="549">
        <v>1.1650802018462345</v>
      </c>
      <c r="T10" s="549">
        <v>1.1787378484320072</v>
      </c>
      <c r="U10" s="549">
        <v>1.1924916203140332</v>
      </c>
      <c r="V10" s="549">
        <v>1.2061545125799622</v>
      </c>
      <c r="W10" s="549">
        <v>1.2187548687321221</v>
      </c>
      <c r="X10" s="549">
        <v>1.2327514710205278</v>
      </c>
      <c r="Y10" s="549">
        <v>1.2475043865903017</v>
      </c>
      <c r="Z10" s="549">
        <v>1.26191307350323</v>
      </c>
      <c r="AA10" s="549">
        <v>1.2755660017978567</v>
      </c>
      <c r="AB10" s="549">
        <v>1.2890914924549428</v>
      </c>
      <c r="AC10" s="549">
        <v>1.3027085881996314</v>
      </c>
      <c r="AD10" s="549">
        <v>1.3162805673903741</v>
      </c>
      <c r="AE10" s="549">
        <v>1.3297873714082113</v>
      </c>
      <c r="AF10" s="549">
        <v>1.3432219089773161</v>
      </c>
    </row>
    <row r="11" spans="1:32" ht="14.45" x14ac:dyDescent="0.35">
      <c r="A11" s="839"/>
      <c r="B11" s="550" t="s">
        <v>27</v>
      </c>
      <c r="C11" s="539"/>
      <c r="D11" s="539"/>
      <c r="E11" s="539"/>
      <c r="F11" s="539"/>
      <c r="G11" s="549">
        <v>5.3080984144585814</v>
      </c>
      <c r="H11" s="549">
        <v>7.9953617987359822</v>
      </c>
      <c r="I11" s="549">
        <v>9.0590563945475697</v>
      </c>
      <c r="J11" s="549">
        <v>9.9265322899960644</v>
      </c>
      <c r="K11" s="549">
        <v>10.311752940601169</v>
      </c>
      <c r="L11" s="549">
        <v>10.814684735828834</v>
      </c>
      <c r="M11" s="549">
        <v>11.364775153222126</v>
      </c>
      <c r="N11" s="549">
        <v>11.558458238167242</v>
      </c>
      <c r="O11" s="549">
        <v>11.718171369052023</v>
      </c>
      <c r="P11" s="549">
        <v>11.871284099188207</v>
      </c>
      <c r="Q11" s="549">
        <v>12.030489521487805</v>
      </c>
      <c r="R11" s="549">
        <v>12.184580893087681</v>
      </c>
      <c r="S11" s="549">
        <v>12.33585443784261</v>
      </c>
      <c r="T11" s="549">
        <v>12.485056308152599</v>
      </c>
      <c r="U11" s="549">
        <v>12.6336151214736</v>
      </c>
      <c r="V11" s="549">
        <v>12.781354835341283</v>
      </c>
      <c r="W11" s="549">
        <v>12.923361572493445</v>
      </c>
      <c r="X11" s="549">
        <v>13.069328703983247</v>
      </c>
      <c r="Y11" s="549">
        <v>13.221046779061471</v>
      </c>
      <c r="Z11" s="549">
        <v>13.374098259273175</v>
      </c>
      <c r="AA11" s="549">
        <v>13.524162301118777</v>
      </c>
      <c r="AB11" s="549">
        <v>13.672057845548697</v>
      </c>
      <c r="AC11" s="549">
        <v>13.819238729048701</v>
      </c>
      <c r="AD11" s="549">
        <v>13.965789554372313</v>
      </c>
      <c r="AE11" s="549">
        <v>14.111675553385851</v>
      </c>
      <c r="AF11" s="549">
        <v>14.256845461866856</v>
      </c>
    </row>
    <row r="12" spans="1:32" ht="14.45" x14ac:dyDescent="0.35">
      <c r="A12" s="839"/>
      <c r="B12" s="550" t="s">
        <v>29</v>
      </c>
      <c r="C12" s="539"/>
      <c r="D12" s="539"/>
      <c r="E12" s="539"/>
      <c r="F12" s="539"/>
      <c r="G12" s="549">
        <v>0</v>
      </c>
      <c r="H12" s="549">
        <v>2.7147481459375844E-3</v>
      </c>
      <c r="I12" s="549">
        <v>4.9996321410671722E-3</v>
      </c>
      <c r="J12" s="549">
        <v>6.1888780020039145E-3</v>
      </c>
      <c r="K12" s="549">
        <v>7.1381985599027632E-3</v>
      </c>
      <c r="L12" s="549">
        <v>8.0003559800715801E-3</v>
      </c>
      <c r="M12" s="549">
        <v>8.7747195152668971E-3</v>
      </c>
      <c r="N12" s="549">
        <v>9.4109036423036599E-3</v>
      </c>
      <c r="O12" s="549">
        <v>9.9792708125062239E-3</v>
      </c>
      <c r="P12" s="549">
        <v>1.0453095795360006E-2</v>
      </c>
      <c r="Q12" s="549">
        <v>1.0874388519406693E-2</v>
      </c>
      <c r="R12" s="549">
        <v>1.1221393197062042E-2</v>
      </c>
      <c r="S12" s="549">
        <v>1.1517472398391987E-2</v>
      </c>
      <c r="T12" s="549">
        <v>1.1774482017448107E-2</v>
      </c>
      <c r="U12" s="549">
        <v>1.2003995586390689E-2</v>
      </c>
      <c r="V12" s="549">
        <v>1.2210887074234499E-2</v>
      </c>
      <c r="W12" s="549">
        <v>1.2386390444913267E-2</v>
      </c>
      <c r="X12" s="549">
        <v>1.256362705570325E-2</v>
      </c>
      <c r="Y12" s="549">
        <v>1.2745728079465845E-2</v>
      </c>
      <c r="Z12" s="549">
        <v>1.2920182948547642E-2</v>
      </c>
      <c r="AA12" s="549">
        <v>1.3078035097548981E-2</v>
      </c>
      <c r="AB12" s="549">
        <v>1.322548595060654E-2</v>
      </c>
      <c r="AC12" s="549">
        <v>1.3368156792958198E-2</v>
      </c>
      <c r="AD12" s="549">
        <v>1.3506819204067435E-2</v>
      </c>
      <c r="AE12" s="549">
        <v>1.3642071433034558E-2</v>
      </c>
      <c r="AF12" s="549">
        <v>1.3774374973172646E-2</v>
      </c>
    </row>
    <row r="13" spans="1:32" ht="14.45" x14ac:dyDescent="0.35">
      <c r="A13" s="839"/>
      <c r="B13" s="550"/>
      <c r="C13" s="539"/>
      <c r="D13" s="539"/>
      <c r="E13" s="539"/>
      <c r="F13" s="539"/>
      <c r="G13" s="549" t="s">
        <v>73</v>
      </c>
      <c r="H13" s="549" t="s">
        <v>73</v>
      </c>
      <c r="I13" s="549" t="s">
        <v>73</v>
      </c>
      <c r="J13" s="549" t="s">
        <v>73</v>
      </c>
      <c r="K13" s="549" t="s">
        <v>73</v>
      </c>
      <c r="L13" s="549" t="s">
        <v>73</v>
      </c>
      <c r="M13" s="549" t="s">
        <v>73</v>
      </c>
      <c r="N13" s="549" t="s">
        <v>73</v>
      </c>
      <c r="O13" s="549" t="s">
        <v>73</v>
      </c>
      <c r="P13" s="549" t="s">
        <v>73</v>
      </c>
      <c r="Q13" s="549" t="s">
        <v>73</v>
      </c>
      <c r="R13" s="549" t="s">
        <v>73</v>
      </c>
      <c r="S13" s="549" t="s">
        <v>73</v>
      </c>
      <c r="T13" s="549" t="s">
        <v>73</v>
      </c>
      <c r="U13" s="549" t="s">
        <v>73</v>
      </c>
      <c r="V13" s="549" t="s">
        <v>73</v>
      </c>
      <c r="W13" s="549" t="s">
        <v>73</v>
      </c>
      <c r="X13" s="549" t="s">
        <v>73</v>
      </c>
      <c r="Y13" s="549" t="s">
        <v>73</v>
      </c>
      <c r="Z13" s="549" t="s">
        <v>73</v>
      </c>
      <c r="AA13" s="549" t="s">
        <v>73</v>
      </c>
      <c r="AB13" s="549" t="s">
        <v>73</v>
      </c>
      <c r="AC13" s="549" t="s">
        <v>73</v>
      </c>
      <c r="AD13" s="549" t="s">
        <v>73</v>
      </c>
      <c r="AE13" s="549" t="s">
        <v>73</v>
      </c>
      <c r="AF13" s="549" t="s">
        <v>73</v>
      </c>
    </row>
    <row r="14" spans="1:32" s="202" customFormat="1" ht="12.95" x14ac:dyDescent="0.3">
      <c r="A14" s="843" t="s">
        <v>32</v>
      </c>
      <c r="B14" s="556"/>
      <c r="C14" s="556"/>
      <c r="D14" s="556"/>
      <c r="E14" s="556"/>
      <c r="F14" s="556"/>
      <c r="G14" s="632" t="s">
        <v>73</v>
      </c>
      <c r="H14" s="632" t="s">
        <v>73</v>
      </c>
      <c r="I14" s="632" t="s">
        <v>73</v>
      </c>
      <c r="J14" s="632" t="s">
        <v>73</v>
      </c>
      <c r="K14" s="632" t="s">
        <v>73</v>
      </c>
      <c r="L14" s="632" t="s">
        <v>73</v>
      </c>
      <c r="M14" s="632" t="s">
        <v>73</v>
      </c>
      <c r="N14" s="632" t="s">
        <v>73</v>
      </c>
      <c r="O14" s="632" t="s">
        <v>73</v>
      </c>
      <c r="P14" s="632" t="s">
        <v>73</v>
      </c>
      <c r="Q14" s="632" t="s">
        <v>73</v>
      </c>
      <c r="R14" s="632" t="s">
        <v>73</v>
      </c>
      <c r="S14" s="632" t="s">
        <v>73</v>
      </c>
      <c r="T14" s="632" t="s">
        <v>73</v>
      </c>
      <c r="U14" s="632" t="s">
        <v>73</v>
      </c>
      <c r="V14" s="632" t="s">
        <v>73</v>
      </c>
      <c r="W14" s="632" t="s">
        <v>73</v>
      </c>
      <c r="X14" s="632" t="s">
        <v>73</v>
      </c>
      <c r="Y14" s="632" t="s">
        <v>73</v>
      </c>
      <c r="Z14" s="632" t="s">
        <v>73</v>
      </c>
      <c r="AA14" s="632" t="s">
        <v>73</v>
      </c>
      <c r="AB14" s="632" t="s">
        <v>73</v>
      </c>
      <c r="AC14" s="632" t="s">
        <v>73</v>
      </c>
      <c r="AD14" s="632" t="s">
        <v>73</v>
      </c>
      <c r="AE14" s="632" t="s">
        <v>73</v>
      </c>
      <c r="AF14" s="632" t="s">
        <v>73</v>
      </c>
    </row>
    <row r="15" spans="1:32" ht="14.45" x14ac:dyDescent="0.35">
      <c r="A15" s="839"/>
      <c r="B15" s="550" t="s">
        <v>33</v>
      </c>
      <c r="C15" s="539"/>
      <c r="D15" s="539"/>
      <c r="E15" s="539"/>
      <c r="F15" s="539"/>
      <c r="G15" s="549">
        <v>3.322297830919386</v>
      </c>
      <c r="H15" s="549">
        <v>2.6292485209036585</v>
      </c>
      <c r="I15" s="549">
        <v>2.8727392087400365</v>
      </c>
      <c r="J15" s="549">
        <v>3.0992666593493752</v>
      </c>
      <c r="K15" s="549">
        <v>3.3240960288914474</v>
      </c>
      <c r="L15" s="549">
        <v>3.3660768384199566</v>
      </c>
      <c r="M15" s="549">
        <v>3.4059058899995787</v>
      </c>
      <c r="N15" s="549">
        <v>3.4456113351123503</v>
      </c>
      <c r="O15" s="549">
        <v>3.4900077088044754</v>
      </c>
      <c r="P15" s="549">
        <v>3.5353030277648605</v>
      </c>
      <c r="Q15" s="549">
        <v>3.5824620733314201</v>
      </c>
      <c r="R15" s="549">
        <v>3.6285066060768609</v>
      </c>
      <c r="S15" s="549">
        <v>3.6734480152878528</v>
      </c>
      <c r="T15" s="549">
        <v>3.717751716510477</v>
      </c>
      <c r="U15" s="549">
        <v>3.7618497201340078</v>
      </c>
      <c r="V15" s="549">
        <v>3.8057447704306124</v>
      </c>
      <c r="W15" s="549">
        <v>3.8480207539881883</v>
      </c>
      <c r="X15" s="549">
        <v>3.8912052135390565</v>
      </c>
      <c r="Y15" s="549">
        <v>3.9362798410150424</v>
      </c>
      <c r="Z15" s="549">
        <v>3.9819296297087776</v>
      </c>
      <c r="AA15" s="549">
        <v>4.0266925549561616</v>
      </c>
      <c r="AB15" s="549">
        <v>4.0706741891136833</v>
      </c>
      <c r="AC15" s="549">
        <v>4.1143987607846624</v>
      </c>
      <c r="AD15" s="549">
        <v>4.1579579491609389</v>
      </c>
      <c r="AE15" s="549">
        <v>4.2013275999516511</v>
      </c>
      <c r="AF15" s="549">
        <v>4.2444875119620002</v>
      </c>
    </row>
    <row r="16" spans="1:32" ht="14.45" x14ac:dyDescent="0.35">
      <c r="A16" s="842"/>
      <c r="B16" s="552" t="s">
        <v>34</v>
      </c>
      <c r="C16" s="539"/>
      <c r="D16" s="539"/>
      <c r="E16" s="539"/>
      <c r="F16" s="539"/>
      <c r="G16" s="549">
        <v>4.6055717040042952</v>
      </c>
      <c r="H16" s="549">
        <v>6.0637465764666416</v>
      </c>
      <c r="I16" s="549">
        <v>6.2494163761752661</v>
      </c>
      <c r="J16" s="549">
        <v>6.2562202317511053</v>
      </c>
      <c r="K16" s="549">
        <v>6.1446840651637675</v>
      </c>
      <c r="L16" s="549">
        <v>6.2215955185375167</v>
      </c>
      <c r="M16" s="549">
        <v>6.2920010050239013</v>
      </c>
      <c r="N16" s="549">
        <v>6.3650155271807698</v>
      </c>
      <c r="O16" s="549">
        <v>6.4502544922175176</v>
      </c>
      <c r="P16" s="549">
        <v>6.5332341034317212</v>
      </c>
      <c r="Q16" s="549">
        <v>6.6216062212082445</v>
      </c>
      <c r="R16" s="549">
        <v>6.7049068426384517</v>
      </c>
      <c r="S16" s="549">
        <v>6.786968529006705</v>
      </c>
      <c r="T16" s="549">
        <v>6.868000525643871</v>
      </c>
      <c r="U16" s="549">
        <v>6.948980157175936</v>
      </c>
      <c r="V16" s="549">
        <v>7.029511709766961</v>
      </c>
      <c r="W16" s="549">
        <v>7.1058890478037053</v>
      </c>
      <c r="X16" s="549">
        <v>7.1863757307397442</v>
      </c>
      <c r="Y16" s="549">
        <v>7.2705546790436602</v>
      </c>
      <c r="Z16" s="549">
        <v>7.3546768152896691</v>
      </c>
      <c r="AA16" s="549">
        <v>7.4362267495814161</v>
      </c>
      <c r="AB16" s="549">
        <v>7.5166404403226128</v>
      </c>
      <c r="AC16" s="549">
        <v>7.5969191393035693</v>
      </c>
      <c r="AD16" s="549">
        <v>7.6768813172913211</v>
      </c>
      <c r="AE16" s="549">
        <v>7.7564829950760439</v>
      </c>
      <c r="AF16" s="549">
        <v>7.8356872297384976</v>
      </c>
    </row>
    <row r="17" spans="1:32" ht="14.45" x14ac:dyDescent="0.35">
      <c r="A17" s="839"/>
      <c r="B17" s="552" t="s">
        <v>35</v>
      </c>
      <c r="C17" s="539"/>
      <c r="D17" s="539"/>
      <c r="E17" s="539"/>
      <c r="F17" s="539"/>
      <c r="G17" s="549">
        <v>4.2158276608085954</v>
      </c>
      <c r="H17" s="549">
        <v>3.6075459990984999</v>
      </c>
      <c r="I17" s="549">
        <v>3.3545622917545024</v>
      </c>
      <c r="J17" s="549">
        <v>3.3006274822082453</v>
      </c>
      <c r="K17" s="549">
        <v>3.3615410053763823</v>
      </c>
      <c r="L17" s="549">
        <v>3.4148584816001399</v>
      </c>
      <c r="M17" s="549">
        <v>3.4616996470178263</v>
      </c>
      <c r="N17" s="549">
        <v>3.5059906195575068</v>
      </c>
      <c r="O17" s="549">
        <v>3.5524230880946583</v>
      </c>
      <c r="P17" s="549">
        <v>3.5987404210741767</v>
      </c>
      <c r="Q17" s="549">
        <v>3.6466694168596647</v>
      </c>
      <c r="R17" s="549">
        <v>3.6937068791570882</v>
      </c>
      <c r="S17" s="549">
        <v>3.7401043086323527</v>
      </c>
      <c r="T17" s="549">
        <v>3.7859194313816649</v>
      </c>
      <c r="U17" s="549">
        <v>3.8314531999821209</v>
      </c>
      <c r="V17" s="549">
        <v>3.8767028064160844</v>
      </c>
      <c r="W17" s="549">
        <v>3.9205658010369997</v>
      </c>
      <c r="X17" s="549">
        <v>3.9651021855564994</v>
      </c>
      <c r="Y17" s="549">
        <v>4.0109392929579348</v>
      </c>
      <c r="Z17" s="549">
        <v>4.0572821376727424</v>
      </c>
      <c r="AA17" s="549">
        <v>4.1031173243803218</v>
      </c>
      <c r="AB17" s="549">
        <v>4.1484556428978303</v>
      </c>
      <c r="AC17" s="549">
        <v>4.1935454359588098</v>
      </c>
      <c r="AD17" s="549">
        <v>4.2384141761563701</v>
      </c>
      <c r="AE17" s="549">
        <v>4.2830676328910808</v>
      </c>
      <c r="AF17" s="549">
        <v>4.3275005619388809</v>
      </c>
    </row>
    <row r="18" spans="1:32" ht="14.45" x14ac:dyDescent="0.35">
      <c r="A18" s="839"/>
      <c r="B18" s="552" t="s">
        <v>29</v>
      </c>
      <c r="C18" s="539"/>
      <c r="D18" s="539"/>
      <c r="E18" s="539"/>
      <c r="F18" s="539"/>
      <c r="G18" s="549">
        <v>0</v>
      </c>
      <c r="H18" s="549">
        <v>4.3144088722899647E-3</v>
      </c>
      <c r="I18" s="549">
        <v>7.8482126470487551E-3</v>
      </c>
      <c r="J18" s="549">
        <v>1.0745465382778352E-2</v>
      </c>
      <c r="K18" s="549">
        <v>1.313987060619929E-2</v>
      </c>
      <c r="L18" s="549">
        <v>1.5070547265537242E-2</v>
      </c>
      <c r="M18" s="549">
        <v>1.6587899900368672E-2</v>
      </c>
      <c r="N18" s="549">
        <v>1.7830856556057033E-2</v>
      </c>
      <c r="O18" s="549">
        <v>1.8928369776365171E-2</v>
      </c>
      <c r="P18" s="549">
        <v>1.9842263520118662E-2</v>
      </c>
      <c r="Q18" s="549">
        <v>2.064930063438556E-2</v>
      </c>
      <c r="R18" s="549">
        <v>2.131658700350253E-2</v>
      </c>
      <c r="S18" s="549">
        <v>2.1886740049214704E-2</v>
      </c>
      <c r="T18" s="549">
        <v>2.2382248971637406E-2</v>
      </c>
      <c r="U18" s="549">
        <v>2.2824628754702057E-2</v>
      </c>
      <c r="V18" s="549">
        <v>2.3223610254779762E-2</v>
      </c>
      <c r="W18" s="549">
        <v>2.3565297915037666E-2</v>
      </c>
      <c r="X18" s="549">
        <v>2.3906847719881573E-2</v>
      </c>
      <c r="Y18" s="549">
        <v>2.4254515040879519E-2</v>
      </c>
      <c r="Z18" s="549">
        <v>2.4587682696644277E-2</v>
      </c>
      <c r="AA18" s="549">
        <v>2.4891431852802088E-2</v>
      </c>
      <c r="AB18" s="549">
        <v>2.5176467063010074E-2</v>
      </c>
      <c r="AC18" s="549">
        <v>2.5452528157243019E-2</v>
      </c>
      <c r="AD18" s="549">
        <v>2.5721101141744869E-2</v>
      </c>
      <c r="AE18" s="549">
        <v>2.598333321493701E-2</v>
      </c>
      <c r="AF18" s="549">
        <v>2.6240105700958579E-2</v>
      </c>
    </row>
    <row r="19" spans="1:32" ht="14.45" x14ac:dyDescent="0.35">
      <c r="A19" s="839"/>
      <c r="B19" s="550"/>
      <c r="C19" s="539"/>
      <c r="D19" s="539"/>
      <c r="E19" s="539"/>
      <c r="F19" s="539"/>
      <c r="G19" s="549" t="s">
        <v>73</v>
      </c>
      <c r="H19" s="549" t="s">
        <v>73</v>
      </c>
      <c r="I19" s="549" t="s">
        <v>73</v>
      </c>
      <c r="J19" s="549" t="s">
        <v>73</v>
      </c>
      <c r="K19" s="549" t="s">
        <v>73</v>
      </c>
      <c r="L19" s="549" t="s">
        <v>73</v>
      </c>
      <c r="M19" s="549" t="s">
        <v>73</v>
      </c>
      <c r="N19" s="549" t="s">
        <v>73</v>
      </c>
      <c r="O19" s="549" t="s">
        <v>73</v>
      </c>
      <c r="P19" s="549" t="s">
        <v>73</v>
      </c>
      <c r="Q19" s="549" t="s">
        <v>73</v>
      </c>
      <c r="R19" s="549" t="s">
        <v>73</v>
      </c>
      <c r="S19" s="549" t="s">
        <v>73</v>
      </c>
      <c r="T19" s="549" t="s">
        <v>73</v>
      </c>
      <c r="U19" s="549" t="s">
        <v>73</v>
      </c>
      <c r="V19" s="549" t="s">
        <v>73</v>
      </c>
      <c r="W19" s="549" t="s">
        <v>73</v>
      </c>
      <c r="X19" s="549" t="s">
        <v>73</v>
      </c>
      <c r="Y19" s="549" t="s">
        <v>73</v>
      </c>
      <c r="Z19" s="549" t="s">
        <v>73</v>
      </c>
      <c r="AA19" s="549" t="s">
        <v>73</v>
      </c>
      <c r="AB19" s="549" t="s">
        <v>73</v>
      </c>
      <c r="AC19" s="549" t="s">
        <v>73</v>
      </c>
      <c r="AD19" s="549" t="s">
        <v>73</v>
      </c>
      <c r="AE19" s="549" t="s">
        <v>73</v>
      </c>
      <c r="AF19" s="549" t="s">
        <v>73</v>
      </c>
    </row>
    <row r="20" spans="1:32" s="202" customFormat="1" ht="12.95" x14ac:dyDescent="0.3">
      <c r="A20" s="843" t="s">
        <v>36</v>
      </c>
      <c r="B20" s="556"/>
      <c r="C20" s="556"/>
      <c r="D20" s="556"/>
      <c r="E20" s="556"/>
      <c r="F20" s="556"/>
      <c r="G20" s="632" t="s">
        <v>73</v>
      </c>
      <c r="H20" s="632" t="s">
        <v>73</v>
      </c>
      <c r="I20" s="632" t="s">
        <v>73</v>
      </c>
      <c r="J20" s="632" t="s">
        <v>73</v>
      </c>
      <c r="K20" s="632" t="s">
        <v>73</v>
      </c>
      <c r="L20" s="632" t="s">
        <v>73</v>
      </c>
      <c r="M20" s="632" t="s">
        <v>73</v>
      </c>
      <c r="N20" s="632" t="s">
        <v>73</v>
      </c>
      <c r="O20" s="632" t="s">
        <v>73</v>
      </c>
      <c r="P20" s="632" t="s">
        <v>73</v>
      </c>
      <c r="Q20" s="632" t="s">
        <v>73</v>
      </c>
      <c r="R20" s="632" t="s">
        <v>73</v>
      </c>
      <c r="S20" s="632" t="s">
        <v>73</v>
      </c>
      <c r="T20" s="632" t="s">
        <v>73</v>
      </c>
      <c r="U20" s="632" t="s">
        <v>73</v>
      </c>
      <c r="V20" s="632" t="s">
        <v>73</v>
      </c>
      <c r="W20" s="632" t="s">
        <v>73</v>
      </c>
      <c r="X20" s="632" t="s">
        <v>73</v>
      </c>
      <c r="Y20" s="632" t="s">
        <v>73</v>
      </c>
      <c r="Z20" s="632" t="s">
        <v>73</v>
      </c>
      <c r="AA20" s="632" t="s">
        <v>73</v>
      </c>
      <c r="AB20" s="632" t="s">
        <v>73</v>
      </c>
      <c r="AC20" s="632" t="s">
        <v>73</v>
      </c>
      <c r="AD20" s="632" t="s">
        <v>73</v>
      </c>
      <c r="AE20" s="632" t="s">
        <v>73</v>
      </c>
      <c r="AF20" s="632" t="s">
        <v>73</v>
      </c>
    </row>
    <row r="21" spans="1:32" ht="14.45" x14ac:dyDescent="0.35">
      <c r="A21" s="839"/>
      <c r="B21" s="550" t="s">
        <v>37</v>
      </c>
      <c r="C21" s="539"/>
      <c r="D21" s="539"/>
      <c r="E21" s="539"/>
      <c r="F21" s="201"/>
      <c r="G21" s="549">
        <v>135.13236846915822</v>
      </c>
      <c r="H21" s="549">
        <v>117.58234016467476</v>
      </c>
      <c r="I21" s="549">
        <v>96.568720383461198</v>
      </c>
      <c r="J21" s="549">
        <v>74.438328310029689</v>
      </c>
      <c r="K21" s="549">
        <v>53.428436093391177</v>
      </c>
      <c r="L21" s="549">
        <v>38.481150259261931</v>
      </c>
      <c r="M21" s="549">
        <v>27.803489238117166</v>
      </c>
      <c r="N21" s="549">
        <v>20.164543455533614</v>
      </c>
      <c r="O21" s="549">
        <v>14.735256791435997</v>
      </c>
      <c r="P21" s="549">
        <v>10.869271182046687</v>
      </c>
      <c r="Q21" s="549">
        <v>8.1147336891260782</v>
      </c>
      <c r="R21" s="549">
        <v>6.1481277873807505</v>
      </c>
      <c r="S21" s="549">
        <v>4.7431076246649662</v>
      </c>
      <c r="T21" s="549">
        <v>3.7386246762968534</v>
      </c>
      <c r="U21" s="549">
        <v>3.0204003655528497</v>
      </c>
      <c r="V21" s="549">
        <v>2.5069473073774873</v>
      </c>
      <c r="W21" s="549">
        <v>2.1383148147977957</v>
      </c>
      <c r="X21" s="549">
        <v>1.8755094554494225</v>
      </c>
      <c r="Y21" s="549">
        <v>1.6884871629739322</v>
      </c>
      <c r="Z21" s="549">
        <v>1.555038157312397</v>
      </c>
      <c r="AA21" s="549">
        <v>1.4601465831350828</v>
      </c>
      <c r="AB21" s="549">
        <v>1.3924522425975885</v>
      </c>
      <c r="AC21" s="549">
        <v>1.3446379296440163</v>
      </c>
      <c r="AD21" s="549">
        <v>1.3120475269670213</v>
      </c>
      <c r="AE21" s="549">
        <v>1.289633151934884</v>
      </c>
      <c r="AF21" s="549">
        <v>1.2754399860283896</v>
      </c>
    </row>
    <row r="22" spans="1:32" ht="14.45" x14ac:dyDescent="0.35">
      <c r="A22" s="839"/>
      <c r="B22" s="550" t="s">
        <v>39</v>
      </c>
      <c r="C22" s="539"/>
      <c r="D22" s="539"/>
      <c r="E22" s="203"/>
      <c r="F22" s="539"/>
      <c r="G22" s="549">
        <v>332.45603488703387</v>
      </c>
      <c r="H22" s="549">
        <v>350.97676041149737</v>
      </c>
      <c r="I22" s="549">
        <v>373.47155327241614</v>
      </c>
      <c r="J22" s="549">
        <v>397.32416436326855</v>
      </c>
      <c r="K22" s="549">
        <v>420.06822960345221</v>
      </c>
      <c r="L22" s="549">
        <v>437.80159304598084</v>
      </c>
      <c r="M22" s="549">
        <v>451.54063036126161</v>
      </c>
      <c r="N22" s="549">
        <v>463.03625597150892</v>
      </c>
      <c r="O22" s="549">
        <v>473.41517158260615</v>
      </c>
      <c r="P22" s="549">
        <v>482.48239598085991</v>
      </c>
      <c r="Q22" s="549">
        <v>490.98120395204683</v>
      </c>
      <c r="R22" s="549">
        <v>498.60902804276702</v>
      </c>
      <c r="S22" s="549">
        <v>505.69714594960323</v>
      </c>
      <c r="T22" s="549">
        <v>512.40237425214718</v>
      </c>
      <c r="U22" s="549">
        <v>518.877576800047</v>
      </c>
      <c r="V22" s="549">
        <v>525.17200713598993</v>
      </c>
      <c r="W22" s="549">
        <v>531.11048627648904</v>
      </c>
      <c r="X22" s="549">
        <v>537.18299539884072</v>
      </c>
      <c r="Y22" s="549">
        <v>543.45314330815052</v>
      </c>
      <c r="Z22" s="549">
        <v>549.72838608574057</v>
      </c>
      <c r="AA22" s="549">
        <v>555.84312631610283</v>
      </c>
      <c r="AB22" s="549">
        <v>561.8588677868056</v>
      </c>
      <c r="AC22" s="549">
        <v>567.84374947087531</v>
      </c>
      <c r="AD22" s="549">
        <v>573.80005461452197</v>
      </c>
      <c r="AE22" s="549">
        <v>579.72689518520463</v>
      </c>
      <c r="AF22" s="549">
        <v>585.62460229000658</v>
      </c>
    </row>
    <row r="23" spans="1:32" ht="14.45" x14ac:dyDescent="0.35">
      <c r="A23" s="839"/>
      <c r="B23" s="550" t="s">
        <v>40</v>
      </c>
      <c r="C23" s="539"/>
      <c r="D23" s="539"/>
      <c r="E23" s="539"/>
      <c r="F23" s="539"/>
      <c r="G23" s="549">
        <v>44.70534089016067</v>
      </c>
      <c r="H23" s="549">
        <v>50.53325290029651</v>
      </c>
      <c r="I23" s="549">
        <v>56.633337682627825</v>
      </c>
      <c r="J23" s="549">
        <v>62.601353390607372</v>
      </c>
      <c r="K23" s="549">
        <v>68.317270353745869</v>
      </c>
      <c r="L23" s="549">
        <v>72.877475678939334</v>
      </c>
      <c r="M23" s="549">
        <v>76.506502404418356</v>
      </c>
      <c r="N23" s="549">
        <v>79.325918282226368</v>
      </c>
      <c r="O23" s="549">
        <v>81.850182045716451</v>
      </c>
      <c r="P23" s="549">
        <v>84.052842672504937</v>
      </c>
      <c r="Q23" s="549">
        <v>86.082064707624369</v>
      </c>
      <c r="R23" s="549">
        <v>87.889870578808882</v>
      </c>
      <c r="S23" s="549">
        <v>89.545896884586895</v>
      </c>
      <c r="T23" s="549">
        <v>91.086220746071461</v>
      </c>
      <c r="U23" s="549">
        <v>92.545314661850441</v>
      </c>
      <c r="V23" s="549">
        <v>93.939126722377864</v>
      </c>
      <c r="W23" s="549">
        <v>95.239605412373137</v>
      </c>
      <c r="X23" s="549">
        <v>96.540310499662155</v>
      </c>
      <c r="Y23" s="549">
        <v>97.858224523700557</v>
      </c>
      <c r="Z23" s="549">
        <v>99.160060858543204</v>
      </c>
      <c r="AA23" s="549">
        <v>100.41526121564702</v>
      </c>
      <c r="AB23" s="549">
        <v>101.63961975067045</v>
      </c>
      <c r="AC23" s="549">
        <v>102.84755603753946</v>
      </c>
      <c r="AD23" s="549">
        <v>104.03887417306952</v>
      </c>
      <c r="AE23" s="549">
        <v>105.21692758496776</v>
      </c>
      <c r="AF23" s="549">
        <v>106.38074524259136</v>
      </c>
    </row>
    <row r="24" spans="1:32" ht="14.45" x14ac:dyDescent="0.35">
      <c r="A24" s="839"/>
      <c r="B24" s="550" t="s">
        <v>29</v>
      </c>
      <c r="C24" s="539"/>
      <c r="D24" s="539"/>
      <c r="E24" s="539"/>
      <c r="F24" s="539"/>
      <c r="G24" s="549">
        <v>0</v>
      </c>
      <c r="H24" s="549">
        <v>1.5681211994643786E-6</v>
      </c>
      <c r="I24" s="549">
        <v>2.8356591962410838E-6</v>
      </c>
      <c r="J24" s="549">
        <v>3.8476588069351653E-6</v>
      </c>
      <c r="K24" s="549">
        <v>4.6641878011261938E-6</v>
      </c>
      <c r="L24" s="549">
        <v>5.3493712448244369E-6</v>
      </c>
      <c r="M24" s="549">
        <v>5.9131034836446033E-6</v>
      </c>
      <c r="N24" s="549">
        <v>6.3865289071933172E-6</v>
      </c>
      <c r="O24" s="549">
        <v>6.7948289302564141E-6</v>
      </c>
      <c r="P24" s="549">
        <v>7.1235856714836864E-6</v>
      </c>
      <c r="Q24" s="549">
        <v>7.4058773951244799E-6</v>
      </c>
      <c r="R24" s="549">
        <v>7.6292401307086263E-6</v>
      </c>
      <c r="S24" s="549">
        <v>7.8121965408947574E-6</v>
      </c>
      <c r="T24" s="549">
        <v>7.9646154263382615E-6</v>
      </c>
      <c r="U24" s="549">
        <v>8.0957075563860955E-6</v>
      </c>
      <c r="V24" s="549">
        <v>8.2097206532664543E-6</v>
      </c>
      <c r="W24" s="549">
        <v>8.3013628123413552E-6</v>
      </c>
      <c r="X24" s="549">
        <v>8.3937845325043474E-6</v>
      </c>
      <c r="Y24" s="549">
        <v>8.489329574914556E-6</v>
      </c>
      <c r="Z24" s="549">
        <v>8.5796714080945287E-6</v>
      </c>
      <c r="AA24" s="549">
        <v>8.6589627736140311E-6</v>
      </c>
      <c r="AB24" s="549">
        <v>8.7315968653739434E-6</v>
      </c>
      <c r="AC24" s="549">
        <v>8.8014752017979208E-6</v>
      </c>
      <c r="AD24" s="549">
        <v>8.8691712195275842E-6</v>
      </c>
      <c r="AE24" s="549">
        <v>8.9351186446571194E-6</v>
      </c>
      <c r="AF24" s="549">
        <v>8.9996427683280748E-6</v>
      </c>
    </row>
    <row r="25" spans="1:32" ht="14.45" x14ac:dyDescent="0.35">
      <c r="A25" s="839"/>
      <c r="B25" s="550"/>
      <c r="C25" s="539"/>
      <c r="D25" s="539"/>
      <c r="E25" s="539"/>
      <c r="F25" s="539"/>
      <c r="G25" s="549" t="s">
        <v>73</v>
      </c>
      <c r="H25" s="549" t="s">
        <v>73</v>
      </c>
      <c r="I25" s="549" t="s">
        <v>73</v>
      </c>
      <c r="J25" s="549" t="s">
        <v>73</v>
      </c>
      <c r="K25" s="549" t="s">
        <v>73</v>
      </c>
      <c r="L25" s="549" t="s">
        <v>73</v>
      </c>
      <c r="M25" s="549" t="s">
        <v>73</v>
      </c>
      <c r="N25" s="549" t="s">
        <v>73</v>
      </c>
      <c r="O25" s="549" t="s">
        <v>73</v>
      </c>
      <c r="P25" s="549" t="s">
        <v>73</v>
      </c>
      <c r="Q25" s="549" t="s">
        <v>73</v>
      </c>
      <c r="R25" s="549" t="s">
        <v>73</v>
      </c>
      <c r="S25" s="549" t="s">
        <v>73</v>
      </c>
      <c r="T25" s="549" t="s">
        <v>73</v>
      </c>
      <c r="U25" s="549" t="s">
        <v>73</v>
      </c>
      <c r="V25" s="549" t="s">
        <v>73</v>
      </c>
      <c r="W25" s="549" t="s">
        <v>73</v>
      </c>
      <c r="X25" s="549" t="s">
        <v>73</v>
      </c>
      <c r="Y25" s="549" t="s">
        <v>73</v>
      </c>
      <c r="Z25" s="549" t="s">
        <v>73</v>
      </c>
      <c r="AA25" s="549" t="s">
        <v>73</v>
      </c>
      <c r="AB25" s="549" t="s">
        <v>73</v>
      </c>
      <c r="AC25" s="549" t="s">
        <v>73</v>
      </c>
      <c r="AD25" s="549" t="s">
        <v>73</v>
      </c>
      <c r="AE25" s="549" t="s">
        <v>73</v>
      </c>
      <c r="AF25" s="549" t="s">
        <v>73</v>
      </c>
    </row>
    <row r="26" spans="1:32" s="202" customFormat="1" ht="12.95" x14ac:dyDescent="0.3">
      <c r="A26" s="843" t="s">
        <v>42</v>
      </c>
      <c r="B26" s="556"/>
      <c r="C26" s="556"/>
      <c r="D26" s="556"/>
      <c r="E26" s="556"/>
      <c r="F26" s="556"/>
      <c r="G26" s="632" t="s">
        <v>73</v>
      </c>
      <c r="H26" s="632" t="s">
        <v>73</v>
      </c>
      <c r="I26" s="632" t="s">
        <v>73</v>
      </c>
      <c r="J26" s="632" t="s">
        <v>73</v>
      </c>
      <c r="K26" s="632" t="s">
        <v>73</v>
      </c>
      <c r="L26" s="632" t="s">
        <v>73</v>
      </c>
      <c r="M26" s="632" t="s">
        <v>73</v>
      </c>
      <c r="N26" s="632" t="s">
        <v>73</v>
      </c>
      <c r="O26" s="632" t="s">
        <v>73</v>
      </c>
      <c r="P26" s="632" t="s">
        <v>73</v>
      </c>
      <c r="Q26" s="632" t="s">
        <v>73</v>
      </c>
      <c r="R26" s="632" t="s">
        <v>73</v>
      </c>
      <c r="S26" s="632" t="s">
        <v>73</v>
      </c>
      <c r="T26" s="632" t="s">
        <v>73</v>
      </c>
      <c r="U26" s="632" t="s">
        <v>73</v>
      </c>
      <c r="V26" s="632" t="s">
        <v>73</v>
      </c>
      <c r="W26" s="632" t="s">
        <v>73</v>
      </c>
      <c r="X26" s="632" t="s">
        <v>73</v>
      </c>
      <c r="Y26" s="632" t="s">
        <v>73</v>
      </c>
      <c r="Z26" s="632" t="s">
        <v>73</v>
      </c>
      <c r="AA26" s="632" t="s">
        <v>73</v>
      </c>
      <c r="AB26" s="632" t="s">
        <v>73</v>
      </c>
      <c r="AC26" s="632" t="s">
        <v>73</v>
      </c>
      <c r="AD26" s="632" t="s">
        <v>73</v>
      </c>
      <c r="AE26" s="632" t="s">
        <v>73</v>
      </c>
      <c r="AF26" s="632" t="s">
        <v>73</v>
      </c>
    </row>
    <row r="27" spans="1:32" ht="14.45" x14ac:dyDescent="0.35">
      <c r="A27" s="839"/>
      <c r="B27" s="552" t="s">
        <v>43</v>
      </c>
      <c r="C27" s="539"/>
      <c r="D27" s="539"/>
      <c r="E27" s="539"/>
      <c r="F27" s="539"/>
      <c r="G27" s="549">
        <v>1.443862332974337</v>
      </c>
      <c r="H27" s="549">
        <v>1.2773085884436994</v>
      </c>
      <c r="I27" s="549">
        <v>1.1319992536291723</v>
      </c>
      <c r="J27" s="549">
        <v>1.0051091439446094</v>
      </c>
      <c r="K27" s="549">
        <v>0.89422215184411469</v>
      </c>
      <c r="L27" s="549">
        <v>0.79730913431666162</v>
      </c>
      <c r="M27" s="549">
        <v>0.71249911880213979</v>
      </c>
      <c r="N27" s="549">
        <v>0.63834401674374952</v>
      </c>
      <c r="O27" s="549">
        <v>0.57362505313899825</v>
      </c>
      <c r="P27" s="549">
        <v>0.51702914577072512</v>
      </c>
      <c r="Q27" s="549">
        <v>0.46760384636879804</v>
      </c>
      <c r="R27" s="549">
        <v>0.42434947061855116</v>
      </c>
      <c r="S27" s="549">
        <v>0.38651651554835359</v>
      </c>
      <c r="T27" s="549">
        <v>0.35343189570021771</v>
      </c>
      <c r="U27" s="549">
        <v>0.32451549968608268</v>
      </c>
      <c r="V27" s="549">
        <v>0.29924792776449555</v>
      </c>
      <c r="W27" s="549">
        <v>0.2771352036481009</v>
      </c>
      <c r="X27" s="549">
        <v>0.25787067415660248</v>
      </c>
      <c r="Y27" s="549">
        <v>0.24111776426866724</v>
      </c>
      <c r="Z27" s="549">
        <v>0.22653475931394207</v>
      </c>
      <c r="AA27" s="549">
        <v>0.21382338570195941</v>
      </c>
      <c r="AB27" s="549">
        <v>0.20279102910746646</v>
      </c>
      <c r="AC27" s="549">
        <v>0.19323621836393762</v>
      </c>
      <c r="AD27" s="549">
        <v>0.18495256284835401</v>
      </c>
      <c r="AE27" s="549">
        <v>0.1778039397502042</v>
      </c>
      <c r="AF27" s="549">
        <v>0.17164834771980186</v>
      </c>
    </row>
    <row r="28" spans="1:32" ht="14.45" x14ac:dyDescent="0.35">
      <c r="A28" s="839"/>
      <c r="B28" s="552" t="s">
        <v>44</v>
      </c>
      <c r="C28" s="539"/>
      <c r="D28" s="539"/>
      <c r="E28" s="539"/>
      <c r="F28" s="539"/>
      <c r="G28" s="549">
        <v>81.619178290633045</v>
      </c>
      <c r="H28" s="549">
        <v>84.082588637446676</v>
      </c>
      <c r="I28" s="549">
        <v>86.529450686290375</v>
      </c>
      <c r="J28" s="549">
        <v>88.859286645654038</v>
      </c>
      <c r="K28" s="549">
        <v>91.027085475318913</v>
      </c>
      <c r="L28" s="549">
        <v>93.072480401177685</v>
      </c>
      <c r="M28" s="549">
        <v>94.909823743822329</v>
      </c>
      <c r="N28" s="549">
        <v>96.665521590363142</v>
      </c>
      <c r="O28" s="549">
        <v>98.495029326404051</v>
      </c>
      <c r="P28" s="549">
        <v>100.25163970628498</v>
      </c>
      <c r="Q28" s="549">
        <v>102.02167391438662</v>
      </c>
      <c r="R28" s="549">
        <v>103.69102080267614</v>
      </c>
      <c r="S28" s="549">
        <v>105.29671444063256</v>
      </c>
      <c r="T28" s="549">
        <v>106.84949008371231</v>
      </c>
      <c r="U28" s="549">
        <v>108.36682418562343</v>
      </c>
      <c r="V28" s="549">
        <v>109.84963410969939</v>
      </c>
      <c r="W28" s="549">
        <v>111.25413112925573</v>
      </c>
      <c r="X28" s="549">
        <v>112.68077692994923</v>
      </c>
      <c r="Y28" s="549">
        <v>114.14118439975431</v>
      </c>
      <c r="Z28" s="549">
        <v>115.59316507202729</v>
      </c>
      <c r="AA28" s="549">
        <v>117.00085457524689</v>
      </c>
      <c r="AB28" s="549">
        <v>118.3775670701326</v>
      </c>
      <c r="AC28" s="549">
        <v>119.7383654317959</v>
      </c>
      <c r="AD28" s="549">
        <v>121.08432245958977</v>
      </c>
      <c r="AE28" s="549">
        <v>122.41597838737567</v>
      </c>
      <c r="AF28" s="549">
        <v>123.73391944422778</v>
      </c>
    </row>
    <row r="29" spans="1:32" ht="14.45" x14ac:dyDescent="0.35">
      <c r="A29" s="839"/>
      <c r="B29" s="552" t="s">
        <v>45</v>
      </c>
      <c r="C29" s="539"/>
      <c r="D29" s="539"/>
      <c r="E29" s="539"/>
      <c r="F29" s="539"/>
      <c r="G29" s="549">
        <v>9.889910011685549</v>
      </c>
      <c r="H29" s="549">
        <v>8.8448235547915388</v>
      </c>
      <c r="I29" s="549">
        <v>7.9351839495761052</v>
      </c>
      <c r="J29" s="549">
        <v>7.1421506948589704</v>
      </c>
      <c r="K29" s="549">
        <v>6.4499448157908921</v>
      </c>
      <c r="L29" s="549">
        <v>5.8459367472410326</v>
      </c>
      <c r="M29" s="549">
        <v>5.317505307044069</v>
      </c>
      <c r="N29" s="549">
        <v>4.8564211457334041</v>
      </c>
      <c r="O29" s="549">
        <v>4.456143087907785</v>
      </c>
      <c r="P29" s="549">
        <v>4.1071247231379155</v>
      </c>
      <c r="Q29" s="549">
        <v>3.8039724648592457</v>
      </c>
      <c r="R29" s="549">
        <v>3.539404164962245</v>
      </c>
      <c r="S29" s="549">
        <v>3.3089313010514059</v>
      </c>
      <c r="T29" s="549">
        <v>3.1083445203474036</v>
      </c>
      <c r="U29" s="549">
        <v>2.9340803804302036</v>
      </c>
      <c r="V29" s="549">
        <v>2.7828323128889751</v>
      </c>
      <c r="W29" s="549">
        <v>2.6511059153581176</v>
      </c>
      <c r="X29" s="549">
        <v>2.537731726997861</v>
      </c>
      <c r="Y29" s="549">
        <v>2.4406519001885716</v>
      </c>
      <c r="Z29" s="549">
        <v>2.3573560269746228</v>
      </c>
      <c r="AA29" s="549">
        <v>2.2856617069088077</v>
      </c>
      <c r="AB29" s="549">
        <v>2.2244483520156311</v>
      </c>
      <c r="AC29" s="549">
        <v>2.1725472150469849</v>
      </c>
      <c r="AD29" s="549">
        <v>2.1286454561886785</v>
      </c>
      <c r="AE29" s="549">
        <v>2.0918828555349971</v>
      </c>
      <c r="AF29" s="549">
        <v>2.0613575875838657</v>
      </c>
    </row>
    <row r="30" spans="1:32" ht="14.45" x14ac:dyDescent="0.35">
      <c r="A30" s="839"/>
      <c r="B30" s="552" t="s">
        <v>46</v>
      </c>
      <c r="C30" s="539"/>
      <c r="D30" s="539"/>
      <c r="E30" s="539"/>
      <c r="F30" s="539"/>
      <c r="G30" s="549">
        <v>0.13334115524279877</v>
      </c>
      <c r="H30" s="549">
        <v>0.11691135802101552</v>
      </c>
      <c r="I30" s="549">
        <v>0.10254978925816692</v>
      </c>
      <c r="J30" s="549">
        <v>8.9990240938343388E-2</v>
      </c>
      <c r="K30" s="549">
        <v>7.9001566823699687E-2</v>
      </c>
      <c r="L30" s="549">
        <v>6.9382953762511218E-2</v>
      </c>
      <c r="M30" s="549">
        <v>6.0959846446065287E-2</v>
      </c>
      <c r="N30" s="549">
        <v>5.3580433043229916E-2</v>
      </c>
      <c r="O30" s="549">
        <v>4.7112612591505704E-2</v>
      </c>
      <c r="P30" s="549">
        <v>4.1441376468435424E-2</v>
      </c>
      <c r="Q30" s="549">
        <v>3.6466546014102111E-2</v>
      </c>
      <c r="R30" s="549">
        <v>3.2100816682622615E-2</v>
      </c>
      <c r="S30" s="549">
        <v>2.8268066186186221E-2</v>
      </c>
      <c r="T30" s="549">
        <v>2.4901890143528733E-2</v>
      </c>
      <c r="U30" s="549">
        <v>2.1944333911500555E-2</v>
      </c>
      <c r="V30" s="549">
        <v>1.9344793695331361E-2</v>
      </c>
      <c r="W30" s="549">
        <v>1.7059063811870754E-2</v>
      </c>
      <c r="X30" s="549">
        <v>1.5048510215032791E-2</v>
      </c>
      <c r="Y30" s="549">
        <v>1.3279353164074975E-2</v>
      </c>
      <c r="Z30" s="549">
        <v>1.1722044291261658E-2</v>
      </c>
      <c r="AA30" s="549">
        <v>1.0350725363717166E-2</v>
      </c>
      <c r="AB30" s="549">
        <v>9.1456434857492847E-3</v>
      </c>
      <c r="AC30" s="549">
        <v>8.0858592123891626E-3</v>
      </c>
      <c r="AD30" s="549">
        <v>7.1510453583648543E-3</v>
      </c>
      <c r="AE30" s="549">
        <v>6.3280580047736894E-3</v>
      </c>
      <c r="AF30" s="549">
        <v>5.6030184284262367E-3</v>
      </c>
    </row>
    <row r="31" spans="1:32" ht="14.45" x14ac:dyDescent="0.35">
      <c r="A31" s="839"/>
      <c r="B31" s="550" t="s">
        <v>29</v>
      </c>
      <c r="C31" s="539"/>
      <c r="D31" s="539"/>
      <c r="E31" s="539"/>
      <c r="F31" s="539"/>
      <c r="G31" s="549">
        <v>0</v>
      </c>
      <c r="H31" s="549">
        <v>2.8889477742511146E-6</v>
      </c>
      <c r="I31" s="549">
        <v>5.2249166162166082E-6</v>
      </c>
      <c r="J31" s="549">
        <v>7.0895653879856098E-6</v>
      </c>
      <c r="K31" s="549">
        <v>8.5641374163664968E-6</v>
      </c>
      <c r="L31" s="549">
        <v>9.7410192568842922E-6</v>
      </c>
      <c r="M31" s="549">
        <v>1.065010699436762E-5</v>
      </c>
      <c r="N31" s="549">
        <v>1.1386753376235593E-5</v>
      </c>
      <c r="O31" s="549">
        <v>1.2039008416568516E-5</v>
      </c>
      <c r="P31" s="549">
        <v>1.2574991723924328E-5</v>
      </c>
      <c r="Q31" s="549">
        <v>1.3046992398781272E-5</v>
      </c>
      <c r="R31" s="549">
        <v>1.3428907190387882E-5</v>
      </c>
      <c r="S31" s="549">
        <v>1.3749791334322475E-5</v>
      </c>
      <c r="T31" s="549">
        <v>1.402434077285539E-5</v>
      </c>
      <c r="U31" s="549">
        <v>1.4266734219946951E-5</v>
      </c>
      <c r="V31" s="549">
        <v>1.4482888432176869E-5</v>
      </c>
      <c r="W31" s="549">
        <v>1.4662184627490033E-5</v>
      </c>
      <c r="X31" s="549">
        <v>1.4844727649187905E-5</v>
      </c>
      <c r="Y31" s="549">
        <v>1.5034023822777507E-5</v>
      </c>
      <c r="Z31" s="549">
        <v>1.5214756908497273E-5</v>
      </c>
      <c r="AA31" s="549">
        <v>1.5376096699195346E-5</v>
      </c>
      <c r="AB31" s="549">
        <v>1.5525517665077235E-5</v>
      </c>
      <c r="AC31" s="549">
        <v>1.5669767040330403E-5</v>
      </c>
      <c r="AD31" s="549">
        <v>1.5809753664007644E-5</v>
      </c>
      <c r="AE31" s="549">
        <v>1.5946100534431992E-5</v>
      </c>
      <c r="AF31" s="549">
        <v>1.6079320262589929E-5</v>
      </c>
    </row>
    <row r="32" spans="1:32" ht="14.45" x14ac:dyDescent="0.35">
      <c r="A32" s="839"/>
      <c r="B32" s="550"/>
      <c r="C32" s="539"/>
      <c r="D32" s="539"/>
      <c r="E32" s="539"/>
      <c r="F32" s="539"/>
      <c r="G32" s="549" t="s">
        <v>73</v>
      </c>
      <c r="H32" s="549" t="s">
        <v>73</v>
      </c>
      <c r="I32" s="549" t="s">
        <v>73</v>
      </c>
      <c r="J32" s="549" t="s">
        <v>73</v>
      </c>
      <c r="K32" s="549" t="s">
        <v>73</v>
      </c>
      <c r="L32" s="549" t="s">
        <v>73</v>
      </c>
      <c r="M32" s="549" t="s">
        <v>73</v>
      </c>
      <c r="N32" s="549" t="s">
        <v>73</v>
      </c>
      <c r="O32" s="549" t="s">
        <v>73</v>
      </c>
      <c r="P32" s="549" t="s">
        <v>73</v>
      </c>
      <c r="Q32" s="549" t="s">
        <v>73</v>
      </c>
      <c r="R32" s="549" t="s">
        <v>73</v>
      </c>
      <c r="S32" s="549" t="s">
        <v>73</v>
      </c>
      <c r="T32" s="549" t="s">
        <v>73</v>
      </c>
      <c r="U32" s="549" t="s">
        <v>73</v>
      </c>
      <c r="V32" s="549" t="s">
        <v>73</v>
      </c>
      <c r="W32" s="549" t="s">
        <v>73</v>
      </c>
      <c r="X32" s="549" t="s">
        <v>73</v>
      </c>
      <c r="Y32" s="549" t="s">
        <v>73</v>
      </c>
      <c r="Z32" s="549" t="s">
        <v>73</v>
      </c>
      <c r="AA32" s="549" t="s">
        <v>73</v>
      </c>
      <c r="AB32" s="549" t="s">
        <v>73</v>
      </c>
      <c r="AC32" s="549" t="s">
        <v>73</v>
      </c>
      <c r="AD32" s="549" t="s">
        <v>73</v>
      </c>
      <c r="AE32" s="549" t="s">
        <v>73</v>
      </c>
      <c r="AF32" s="549" t="s">
        <v>73</v>
      </c>
    </row>
    <row r="33" spans="1:32" s="202" customFormat="1" ht="12.95" x14ac:dyDescent="0.3">
      <c r="A33" s="843" t="s">
        <v>47</v>
      </c>
      <c r="B33" s="556"/>
      <c r="C33" s="556"/>
      <c r="D33" s="556"/>
      <c r="E33" s="556"/>
      <c r="F33" s="556"/>
      <c r="G33" s="632" t="s">
        <v>73</v>
      </c>
      <c r="H33" s="632" t="s">
        <v>73</v>
      </c>
      <c r="I33" s="632" t="s">
        <v>73</v>
      </c>
      <c r="J33" s="632" t="s">
        <v>73</v>
      </c>
      <c r="K33" s="632" t="s">
        <v>73</v>
      </c>
      <c r="L33" s="632" t="s">
        <v>73</v>
      </c>
      <c r="M33" s="632" t="s">
        <v>73</v>
      </c>
      <c r="N33" s="632" t="s">
        <v>73</v>
      </c>
      <c r="O33" s="632" t="s">
        <v>73</v>
      </c>
      <c r="P33" s="632" t="s">
        <v>73</v>
      </c>
      <c r="Q33" s="632" t="s">
        <v>73</v>
      </c>
      <c r="R33" s="632" t="s">
        <v>73</v>
      </c>
      <c r="S33" s="632" t="s">
        <v>73</v>
      </c>
      <c r="T33" s="632" t="s">
        <v>73</v>
      </c>
      <c r="U33" s="632" t="s">
        <v>73</v>
      </c>
      <c r="V33" s="632" t="s">
        <v>73</v>
      </c>
      <c r="W33" s="632" t="s">
        <v>73</v>
      </c>
      <c r="X33" s="632" t="s">
        <v>73</v>
      </c>
      <c r="Y33" s="632" t="s">
        <v>73</v>
      </c>
      <c r="Z33" s="632" t="s">
        <v>73</v>
      </c>
      <c r="AA33" s="632" t="s">
        <v>73</v>
      </c>
      <c r="AB33" s="632" t="s">
        <v>73</v>
      </c>
      <c r="AC33" s="632" t="s">
        <v>73</v>
      </c>
      <c r="AD33" s="632" t="s">
        <v>73</v>
      </c>
      <c r="AE33" s="632" t="s">
        <v>73</v>
      </c>
      <c r="AF33" s="632" t="s">
        <v>73</v>
      </c>
    </row>
    <row r="34" spans="1:32" ht="14.45" x14ac:dyDescent="0.35">
      <c r="A34" s="839"/>
      <c r="B34" s="550" t="s">
        <v>48</v>
      </c>
      <c r="C34" s="539"/>
      <c r="D34" s="539"/>
      <c r="E34" s="539"/>
      <c r="F34" s="539"/>
      <c r="G34" s="549">
        <v>0.26532834769396196</v>
      </c>
      <c r="H34" s="549">
        <v>0.26021311363796873</v>
      </c>
      <c r="I34" s="549">
        <v>0.25553805194721607</v>
      </c>
      <c r="J34" s="549">
        <v>0.25095795207157784</v>
      </c>
      <c r="K34" s="549">
        <v>0.24631423121321183</v>
      </c>
      <c r="L34" s="549">
        <v>0.24166682256234137</v>
      </c>
      <c r="M34" s="549">
        <v>0.23679152811254692</v>
      </c>
      <c r="N34" s="549">
        <v>0.23197584206923949</v>
      </c>
      <c r="O34" s="549">
        <v>0.22753898877781301</v>
      </c>
      <c r="P34" s="549">
        <v>0.22312284947393643</v>
      </c>
      <c r="Q34" s="549">
        <v>0.21889270825954152</v>
      </c>
      <c r="R34" s="549">
        <v>0.21459750416420686</v>
      </c>
      <c r="S34" s="549">
        <v>0.21030916946263245</v>
      </c>
      <c r="T34" s="549">
        <v>0.20604366625616916</v>
      </c>
      <c r="U34" s="549">
        <v>0.20182847858332115</v>
      </c>
      <c r="V34" s="549">
        <v>0.19765991621989507</v>
      </c>
      <c r="W34" s="549">
        <v>0.19346027140842753</v>
      </c>
      <c r="X34" s="549">
        <v>0.18939781696164576</v>
      </c>
      <c r="Y34" s="549">
        <v>0.18548011964542496</v>
      </c>
      <c r="Z34" s="549">
        <v>0.18163152517574632</v>
      </c>
      <c r="AA34" s="549">
        <v>0.17779526343969279</v>
      </c>
      <c r="AB34" s="549">
        <v>0.17399281256744656</v>
      </c>
      <c r="AC34" s="549">
        <v>0.17024544925911389</v>
      </c>
      <c r="AD34" s="549">
        <v>0.16655312541252118</v>
      </c>
      <c r="AE34" s="549">
        <v>0.16291576905806079</v>
      </c>
      <c r="AF34" s="549">
        <v>0.15933328491254214</v>
      </c>
    </row>
    <row r="35" spans="1:32" ht="14.45" x14ac:dyDescent="0.35">
      <c r="A35" s="839"/>
      <c r="B35" s="552" t="s">
        <v>50</v>
      </c>
      <c r="C35" s="539"/>
      <c r="D35" s="539"/>
      <c r="E35" s="539"/>
      <c r="F35" s="539"/>
      <c r="G35" s="549">
        <v>6.3665651909543204</v>
      </c>
      <c r="H35" s="549">
        <v>6.3621212147228228</v>
      </c>
      <c r="I35" s="549">
        <v>6.3660188983698873</v>
      </c>
      <c r="J35" s="549">
        <v>6.3698981888034867</v>
      </c>
      <c r="K35" s="549">
        <v>6.3696518335185326</v>
      </c>
      <c r="L35" s="549">
        <v>6.3670065653249281</v>
      </c>
      <c r="M35" s="549">
        <v>6.3557559115180196</v>
      </c>
      <c r="N35" s="549">
        <v>6.34344863928969</v>
      </c>
      <c r="O35" s="549">
        <v>6.3391164494357524</v>
      </c>
      <c r="P35" s="549">
        <v>6.3329372805021142</v>
      </c>
      <c r="Q35" s="549">
        <v>6.3297107322541475</v>
      </c>
      <c r="R35" s="549">
        <v>6.3221376109322511</v>
      </c>
      <c r="S35" s="549">
        <v>6.3122127386386451</v>
      </c>
      <c r="T35" s="549">
        <v>6.300350335808143</v>
      </c>
      <c r="U35" s="549">
        <v>6.2873644630072381</v>
      </c>
      <c r="V35" s="549">
        <v>6.2731281031968802</v>
      </c>
      <c r="W35" s="549">
        <v>6.2550742744120003</v>
      </c>
      <c r="X35" s="549">
        <v>6.2386776442612932</v>
      </c>
      <c r="Y35" s="549">
        <v>6.2243511101184827</v>
      </c>
      <c r="Z35" s="549">
        <v>6.2096428839730722</v>
      </c>
      <c r="AA35" s="549">
        <v>6.1925797493156782</v>
      </c>
      <c r="AB35" s="549">
        <v>6.1738611749555057</v>
      </c>
      <c r="AC35" s="549">
        <v>6.1542355684325196</v>
      </c>
      <c r="AD35" s="549">
        <v>6.1337117977838753</v>
      </c>
      <c r="AE35" s="549">
        <v>6.1122991247961442</v>
      </c>
      <c r="AF35" s="549">
        <v>6.0900071980328105</v>
      </c>
    </row>
    <row r="36" spans="1:32" ht="14.45" x14ac:dyDescent="0.35">
      <c r="A36" s="839"/>
      <c r="B36" s="550" t="s">
        <v>51</v>
      </c>
      <c r="C36" s="539"/>
      <c r="D36" s="539"/>
      <c r="E36" s="539"/>
      <c r="F36" s="539"/>
      <c r="G36" s="549">
        <v>18.562248508605393</v>
      </c>
      <c r="H36" s="549">
        <v>18.593071930704237</v>
      </c>
      <c r="I36" s="549">
        <v>18.647874148257021</v>
      </c>
      <c r="J36" s="549">
        <v>18.70277812203528</v>
      </c>
      <c r="K36" s="549">
        <v>18.745943018701173</v>
      </c>
      <c r="L36" s="549">
        <v>18.782275402564302</v>
      </c>
      <c r="M36" s="549">
        <v>18.793749604633579</v>
      </c>
      <c r="N36" s="549">
        <v>18.802105320773784</v>
      </c>
      <c r="O36" s="549">
        <v>18.833605409126221</v>
      </c>
      <c r="P36" s="549">
        <v>18.85976166109085</v>
      </c>
      <c r="Q36" s="549">
        <v>18.894570344672779</v>
      </c>
      <c r="R36" s="549">
        <v>18.916698751000748</v>
      </c>
      <c r="S36" s="549">
        <v>18.931917186857067</v>
      </c>
      <c r="T36" s="549">
        <v>18.941396127385694</v>
      </c>
      <c r="U36" s="549">
        <v>18.947497599194573</v>
      </c>
      <c r="V36" s="549">
        <v>18.949821667998336</v>
      </c>
      <c r="W36" s="549">
        <v>18.940727562385302</v>
      </c>
      <c r="X36" s="549">
        <v>18.936410513638599</v>
      </c>
      <c r="Y36" s="549">
        <v>18.938135919831929</v>
      </c>
      <c r="Z36" s="549">
        <v>18.938622906916311</v>
      </c>
      <c r="AA36" s="549">
        <v>18.931953782579019</v>
      </c>
      <c r="AB36" s="549">
        <v>18.920176947965746</v>
      </c>
      <c r="AC36" s="549">
        <v>18.905507890296636</v>
      </c>
      <c r="AD36" s="549">
        <v>18.887952904827106</v>
      </c>
      <c r="AE36" s="549">
        <v>18.867519609716421</v>
      </c>
      <c r="AF36" s="549">
        <v>18.844216940534785</v>
      </c>
    </row>
    <row r="37" spans="1:32" ht="14.45" x14ac:dyDescent="0.35">
      <c r="A37" s="839"/>
      <c r="B37" s="550" t="s">
        <v>52</v>
      </c>
      <c r="C37" s="539"/>
      <c r="D37" s="539"/>
      <c r="E37" s="539"/>
      <c r="F37" s="539"/>
      <c r="G37" s="549">
        <v>3.3511604899974232</v>
      </c>
      <c r="H37" s="549">
        <v>3.3878482843791962</v>
      </c>
      <c r="I37" s="549">
        <v>3.4294516794925549</v>
      </c>
      <c r="J37" s="549">
        <v>3.4716197333086964</v>
      </c>
      <c r="K37" s="549">
        <v>3.512116138790228</v>
      </c>
      <c r="L37" s="549">
        <v>3.5518213039711908</v>
      </c>
      <c r="M37" s="549">
        <v>3.5872263235732995</v>
      </c>
      <c r="N37" s="549">
        <v>3.6224332121258209</v>
      </c>
      <c r="O37" s="549">
        <v>3.6625887291079535</v>
      </c>
      <c r="P37" s="549">
        <v>3.7021731442726318</v>
      </c>
      <c r="Q37" s="549">
        <v>3.7439632553965643</v>
      </c>
      <c r="R37" s="549">
        <v>3.7837006909353468</v>
      </c>
      <c r="S37" s="549">
        <v>3.8224949108345552</v>
      </c>
      <c r="T37" s="549">
        <v>3.8605511345404602</v>
      </c>
      <c r="U37" s="549">
        <v>3.8983306608311583</v>
      </c>
      <c r="V37" s="549">
        <v>3.9357772425970481</v>
      </c>
      <c r="W37" s="549">
        <v>3.9712500508205331</v>
      </c>
      <c r="X37" s="549">
        <v>4.0081046692808515</v>
      </c>
      <c r="Y37" s="549">
        <v>4.0466847237506016</v>
      </c>
      <c r="Z37" s="549">
        <v>4.0854046167807514</v>
      </c>
      <c r="AA37" s="549">
        <v>4.1229940167714458</v>
      </c>
      <c r="AB37" s="549">
        <v>4.159864203598489</v>
      </c>
      <c r="AC37" s="549">
        <v>4.1964479694655248</v>
      </c>
      <c r="AD37" s="549">
        <v>4.2327629904987276</v>
      </c>
      <c r="AE37" s="549">
        <v>4.2687931778216193</v>
      </c>
      <c r="AF37" s="549">
        <v>4.3044933180325939</v>
      </c>
    </row>
    <row r="38" spans="1:32" ht="14.45" x14ac:dyDescent="0.35">
      <c r="A38" s="839"/>
      <c r="B38" s="552" t="s">
        <v>29</v>
      </c>
      <c r="C38" s="539"/>
      <c r="D38" s="539"/>
      <c r="E38" s="539"/>
      <c r="F38" s="539"/>
      <c r="G38" s="549">
        <v>0</v>
      </c>
      <c r="H38" s="549">
        <v>0.32087118859549468</v>
      </c>
      <c r="I38" s="549">
        <v>0.64767563877029433</v>
      </c>
      <c r="J38" s="549">
        <v>0.9798091760893306</v>
      </c>
      <c r="K38" s="549">
        <v>1.3161614960796078</v>
      </c>
      <c r="L38" s="549">
        <v>1.6567559493455535</v>
      </c>
      <c r="M38" s="549">
        <v>1.9987959609789729</v>
      </c>
      <c r="N38" s="549">
        <v>2.3443523654439482</v>
      </c>
      <c r="O38" s="549">
        <v>2.6979155635038774</v>
      </c>
      <c r="P38" s="549">
        <v>3.0553198941533437</v>
      </c>
      <c r="Q38" s="549">
        <v>3.4193214192451604</v>
      </c>
      <c r="R38" s="549">
        <v>3.7855023718460714</v>
      </c>
      <c r="S38" s="549">
        <v>4.1546432870797254</v>
      </c>
      <c r="T38" s="549">
        <v>4.5267127201382387</v>
      </c>
      <c r="U38" s="549">
        <v>4.902116623124579</v>
      </c>
      <c r="V38" s="549">
        <v>5.2805344327550179</v>
      </c>
      <c r="W38" s="549">
        <v>5.659227829948966</v>
      </c>
      <c r="X38" s="549">
        <v>6.0433455657214772</v>
      </c>
      <c r="Y38" s="549">
        <v>6.4336746755942649</v>
      </c>
      <c r="Z38" s="549">
        <v>6.8277881215657716</v>
      </c>
      <c r="AA38" s="549">
        <v>7.2231373119621738</v>
      </c>
      <c r="AB38" s="549">
        <v>7.6202157081347277</v>
      </c>
      <c r="AC38" s="549">
        <v>8.0197978380343518</v>
      </c>
      <c r="AD38" s="549">
        <v>8.4217077772386233</v>
      </c>
      <c r="AE38" s="549">
        <v>8.825800908503723</v>
      </c>
      <c r="AF38" s="549">
        <v>9.2319593762877616</v>
      </c>
    </row>
    <row r="39" spans="1:32" ht="14.45" x14ac:dyDescent="0.35">
      <c r="A39" s="839"/>
      <c r="B39" s="552" t="s">
        <v>53</v>
      </c>
      <c r="C39" s="539"/>
      <c r="D39" s="539"/>
      <c r="E39" s="539"/>
      <c r="F39" s="539"/>
      <c r="G39" s="549">
        <v>0</v>
      </c>
      <c r="H39" s="549">
        <v>0</v>
      </c>
      <c r="I39" s="549">
        <v>0</v>
      </c>
      <c r="J39" s="549">
        <v>0</v>
      </c>
      <c r="K39" s="549">
        <v>0</v>
      </c>
      <c r="L39" s="549">
        <v>0</v>
      </c>
      <c r="M39" s="549">
        <v>0</v>
      </c>
      <c r="N39" s="549">
        <v>0</v>
      </c>
      <c r="O39" s="549">
        <v>0</v>
      </c>
      <c r="P39" s="549">
        <v>0</v>
      </c>
      <c r="Q39" s="549">
        <v>0</v>
      </c>
      <c r="R39" s="549">
        <v>0</v>
      </c>
      <c r="S39" s="549">
        <v>0</v>
      </c>
      <c r="T39" s="549">
        <v>0</v>
      </c>
      <c r="U39" s="549">
        <v>0</v>
      </c>
      <c r="V39" s="549">
        <v>0</v>
      </c>
      <c r="W39" s="549">
        <v>0</v>
      </c>
      <c r="X39" s="549">
        <v>0</v>
      </c>
      <c r="Y39" s="549">
        <v>0</v>
      </c>
      <c r="Z39" s="549">
        <v>0</v>
      </c>
      <c r="AA39" s="549">
        <v>0</v>
      </c>
      <c r="AB39" s="549">
        <v>0</v>
      </c>
      <c r="AC39" s="549">
        <v>0</v>
      </c>
      <c r="AD39" s="549">
        <v>0</v>
      </c>
      <c r="AE39" s="549">
        <v>0</v>
      </c>
      <c r="AF39" s="549">
        <v>0</v>
      </c>
    </row>
    <row r="40" spans="1:32" ht="14.45" x14ac:dyDescent="0.35">
      <c r="A40" s="838"/>
      <c r="B40" s="552"/>
      <c r="C40" s="552"/>
      <c r="D40" s="277"/>
      <c r="E40" s="277"/>
      <c r="F40" s="277"/>
      <c r="G40" s="277"/>
      <c r="H40" s="277"/>
      <c r="I40" s="277"/>
      <c r="J40" s="277"/>
      <c r="K40" s="277"/>
      <c r="L40" s="277"/>
      <c r="M40" s="277"/>
      <c r="N40" s="277"/>
      <c r="O40" s="277"/>
      <c r="P40" s="277"/>
      <c r="Q40" s="277"/>
      <c r="R40" s="277"/>
      <c r="S40" s="277"/>
      <c r="T40" s="277"/>
      <c r="U40" s="277"/>
      <c r="V40" s="277"/>
      <c r="W40" s="277"/>
      <c r="X40" s="277"/>
      <c r="Y40" s="277"/>
      <c r="Z40" s="277"/>
      <c r="AA40" s="277"/>
      <c r="AB40" s="277"/>
      <c r="AC40" s="277"/>
      <c r="AD40" s="277"/>
      <c r="AE40" s="277"/>
      <c r="AF40" s="277"/>
    </row>
    <row r="41" spans="1:32" ht="14.45" x14ac:dyDescent="0.35">
      <c r="A41" s="838"/>
      <c r="B41" s="552"/>
      <c r="C41" s="552"/>
      <c r="D41" s="277"/>
      <c r="E41" s="277"/>
      <c r="F41" s="277"/>
      <c r="G41" s="277"/>
      <c r="H41" s="277"/>
      <c r="I41" s="277"/>
      <c r="J41" s="277"/>
      <c r="K41" s="277"/>
      <c r="L41" s="277"/>
      <c r="M41" s="277"/>
      <c r="N41" s="277"/>
      <c r="O41" s="277"/>
      <c r="P41" s="277"/>
      <c r="Q41" s="277"/>
      <c r="R41" s="277"/>
      <c r="S41" s="277"/>
      <c r="T41" s="277"/>
      <c r="U41" s="277"/>
      <c r="V41" s="277"/>
      <c r="W41" s="277"/>
      <c r="X41" s="277"/>
      <c r="Y41" s="277"/>
      <c r="Z41" s="277"/>
      <c r="AA41" s="277"/>
      <c r="AB41" s="277"/>
      <c r="AC41" s="277"/>
      <c r="AD41" s="277"/>
      <c r="AE41" s="277"/>
      <c r="AF41" s="277"/>
    </row>
    <row r="42" spans="1:32" s="539" customFormat="1" ht="14.45" x14ac:dyDescent="0.35">
      <c r="A42" s="860" t="s">
        <v>527</v>
      </c>
      <c r="B42" s="555"/>
      <c r="C42" s="554"/>
      <c r="D42" s="553"/>
      <c r="E42" s="553"/>
      <c r="F42" s="553"/>
      <c r="G42" s="553" t="s">
        <v>701</v>
      </c>
      <c r="H42" s="560"/>
      <c r="I42" s="560"/>
      <c r="J42" s="560"/>
      <c r="K42" s="560"/>
      <c r="L42" s="560"/>
      <c r="M42" s="560"/>
      <c r="N42" s="560"/>
      <c r="O42" s="560"/>
      <c r="P42" s="560"/>
      <c r="Q42" s="560"/>
      <c r="R42" s="560"/>
      <c r="S42" s="560"/>
      <c r="T42" s="560"/>
      <c r="U42" s="560"/>
      <c r="V42" s="560"/>
      <c r="W42" s="560"/>
      <c r="X42" s="560"/>
      <c r="Y42" s="560"/>
      <c r="Z42" s="560"/>
      <c r="AA42" s="560"/>
      <c r="AB42" s="560"/>
      <c r="AC42" s="560"/>
      <c r="AD42" s="560"/>
      <c r="AE42" s="560"/>
      <c r="AF42" s="560"/>
    </row>
    <row r="43" spans="1:32" s="539" customFormat="1" x14ac:dyDescent="0.25">
      <c r="A43" s="840" t="s">
        <v>12</v>
      </c>
      <c r="B43" s="550"/>
    </row>
    <row r="44" spans="1:32" s="539" customFormat="1" x14ac:dyDescent="0.25">
      <c r="A44" s="839"/>
      <c r="B44" s="550" t="s">
        <v>20</v>
      </c>
    </row>
    <row r="45" spans="1:32" s="202" customFormat="1" ht="12.75" x14ac:dyDescent="0.2">
      <c r="A45" s="843" t="s">
        <v>21</v>
      </c>
      <c r="B45" s="556"/>
      <c r="C45" s="556"/>
      <c r="D45" s="556"/>
      <c r="E45" s="556"/>
      <c r="F45" s="556"/>
      <c r="G45" s="556"/>
      <c r="H45" s="556"/>
      <c r="I45" s="556"/>
      <c r="J45" s="556"/>
      <c r="K45" s="556"/>
      <c r="L45" s="556"/>
      <c r="M45" s="556"/>
      <c r="N45" s="556"/>
      <c r="O45" s="556"/>
      <c r="P45" s="556"/>
      <c r="Q45" s="556"/>
      <c r="R45" s="556"/>
      <c r="S45" s="556"/>
      <c r="T45" s="556"/>
      <c r="U45" s="556"/>
      <c r="V45" s="556"/>
      <c r="W45" s="556"/>
      <c r="X45" s="556"/>
      <c r="Y45" s="556"/>
      <c r="Z45" s="556"/>
      <c r="AA45" s="556"/>
      <c r="AB45" s="556"/>
      <c r="AC45" s="556"/>
      <c r="AD45" s="556"/>
      <c r="AE45" s="556"/>
      <c r="AF45" s="556"/>
    </row>
    <row r="46" spans="1:32" x14ac:dyDescent="0.25">
      <c r="A46" s="839"/>
      <c r="B46" s="550" t="s">
        <v>22</v>
      </c>
      <c r="C46" s="539"/>
      <c r="D46" s="539"/>
      <c r="E46" s="539"/>
      <c r="F46" s="539"/>
      <c r="G46" s="549">
        <v>0.51119778838008634</v>
      </c>
      <c r="H46" s="549">
        <v>0.31129378656023393</v>
      </c>
      <c r="I46" s="549">
        <v>0.22342148781886473</v>
      </c>
      <c r="J46" s="549">
        <v>0.13120906153741357</v>
      </c>
      <c r="K46" s="549">
        <v>9.1255885894009306E-2</v>
      </c>
      <c r="L46" s="549">
        <v>5.9101174420030003E-2</v>
      </c>
      <c r="M46" s="549">
        <v>2.2296078461779393E-2</v>
      </c>
      <c r="N46" s="549">
        <v>2.1602699705562819E-2</v>
      </c>
      <c r="O46" s="549">
        <v>2.176351624669795E-2</v>
      </c>
      <c r="P46" s="549">
        <v>2.2029237240696501E-2</v>
      </c>
      <c r="Q46" s="549">
        <v>2.2325217687853151E-2</v>
      </c>
      <c r="R46" s="549">
        <v>2.2606967091036441E-2</v>
      </c>
      <c r="S46" s="549">
        <v>2.2882987324017237E-2</v>
      </c>
      <c r="T46" s="549">
        <v>2.3156059853600763E-2</v>
      </c>
      <c r="U46" s="549">
        <v>2.3429103372049235E-2</v>
      </c>
      <c r="V46" s="549">
        <v>2.3700802994593196E-2</v>
      </c>
      <c r="W46" s="549">
        <v>2.3958469927466513E-2</v>
      </c>
      <c r="X46" s="549">
        <v>2.4229213876900996E-2</v>
      </c>
      <c r="Y46" s="549">
        <v>2.4513724078056794E-2</v>
      </c>
      <c r="Z46" s="549">
        <v>2.4798057146755165E-2</v>
      </c>
      <c r="AA46" s="549">
        <v>2.5072988007977325E-2</v>
      </c>
      <c r="AB46" s="549">
        <v>2.534357490511828E-2</v>
      </c>
      <c r="AC46" s="549">
        <v>2.561398025997055E-2</v>
      </c>
      <c r="AD46" s="549">
        <v>2.5883581540623181E-2</v>
      </c>
      <c r="AE46" s="549">
        <v>2.6151963109278909E-2</v>
      </c>
      <c r="AF46" s="549">
        <v>2.641898223796655E-2</v>
      </c>
    </row>
    <row r="47" spans="1:32" x14ac:dyDescent="0.25">
      <c r="A47" s="839"/>
      <c r="B47" s="550" t="s">
        <v>26</v>
      </c>
      <c r="C47" s="539"/>
      <c r="D47" s="539"/>
      <c r="E47" s="539"/>
      <c r="F47" s="539"/>
      <c r="G47" s="549">
        <v>9.0362267241207318E-3</v>
      </c>
      <c r="H47" s="549">
        <v>5.3056346636463384E-3</v>
      </c>
      <c r="I47" s="549">
        <v>1.8772448926232938E-2</v>
      </c>
      <c r="J47" s="549">
        <v>4.9493528598494173E-2</v>
      </c>
      <c r="K47" s="549">
        <v>6.8579128735799175E-2</v>
      </c>
      <c r="L47" s="549">
        <v>7.292242257045764E-2</v>
      </c>
      <c r="M47" s="549">
        <v>7.6960444437190495E-2</v>
      </c>
      <c r="N47" s="549">
        <v>7.476929788341935E-2</v>
      </c>
      <c r="O47" s="549">
        <v>7.5421039157898176E-2</v>
      </c>
      <c r="P47" s="549">
        <v>7.6330242086859817E-2</v>
      </c>
      <c r="Q47" s="549">
        <v>7.7381153822660725E-2</v>
      </c>
      <c r="R47" s="549">
        <v>7.8320759056437553E-2</v>
      </c>
      <c r="S47" s="549">
        <v>7.9257156588179223E-2</v>
      </c>
      <c r="T47" s="549">
        <v>8.0186248192653561E-2</v>
      </c>
      <c r="U47" s="549">
        <v>8.1121878932927438E-2</v>
      </c>
      <c r="V47" s="549">
        <v>8.2051327386391995E-2</v>
      </c>
      <c r="W47" s="549">
        <v>8.2908494471572933E-2</v>
      </c>
      <c r="X47" s="549">
        <v>8.3860644287110736E-2</v>
      </c>
      <c r="Y47" s="549">
        <v>8.4864243985734819E-2</v>
      </c>
      <c r="Z47" s="549">
        <v>8.5844426768927201E-2</v>
      </c>
      <c r="AA47" s="549">
        <v>8.6773197401214738E-2</v>
      </c>
      <c r="AB47" s="549">
        <v>8.7693298806458694E-2</v>
      </c>
      <c r="AC47" s="549">
        <v>8.8619631850315073E-2</v>
      </c>
      <c r="AD47" s="549">
        <v>8.9542895740841788E-2</v>
      </c>
      <c r="AE47" s="549">
        <v>9.0461725946136828E-2</v>
      </c>
      <c r="AF47" s="549">
        <v>9.137564006648409E-2</v>
      </c>
    </row>
    <row r="48" spans="1:32" x14ac:dyDescent="0.25">
      <c r="A48" s="839"/>
      <c r="B48" s="550" t="s">
        <v>27</v>
      </c>
      <c r="C48" s="539"/>
      <c r="D48" s="539"/>
      <c r="E48" s="539"/>
      <c r="F48" s="539"/>
      <c r="G48" s="549">
        <v>9.7575338501076872E-2</v>
      </c>
      <c r="H48" s="549">
        <v>0.14697356247676435</v>
      </c>
      <c r="I48" s="549">
        <v>0.16652677195859503</v>
      </c>
      <c r="J48" s="549">
        <v>0.18247302003669233</v>
      </c>
      <c r="K48" s="549">
        <v>0.189554281996345</v>
      </c>
      <c r="L48" s="549">
        <v>0.19879935176155947</v>
      </c>
      <c r="M48" s="549">
        <v>0.20891130796364205</v>
      </c>
      <c r="N48" s="549">
        <v>0.21247165878983901</v>
      </c>
      <c r="O48" s="549">
        <v>0.2154075619311033</v>
      </c>
      <c r="P48" s="549">
        <v>0.21822213417625377</v>
      </c>
      <c r="Q48" s="549">
        <v>0.22114870443911402</v>
      </c>
      <c r="R48" s="549">
        <v>0.22398126641705299</v>
      </c>
      <c r="S48" s="549">
        <v>0.22676203010740092</v>
      </c>
      <c r="T48" s="549">
        <v>0.22950471154692284</v>
      </c>
      <c r="U48" s="549">
        <v>0.23223557208591175</v>
      </c>
      <c r="V48" s="549">
        <v>0.23495137564965596</v>
      </c>
      <c r="W48" s="549">
        <v>0.2375617936120118</v>
      </c>
      <c r="X48" s="549">
        <v>0.24024501294086856</v>
      </c>
      <c r="Y48" s="549">
        <v>0.24303394814451235</v>
      </c>
      <c r="Z48" s="549">
        <v>0.24584739447193341</v>
      </c>
      <c r="AA48" s="549">
        <v>0.2486059246529187</v>
      </c>
      <c r="AB48" s="549">
        <v>0.25132459274905694</v>
      </c>
      <c r="AC48" s="549">
        <v>0.25403012369574823</v>
      </c>
      <c r="AD48" s="549">
        <v>0.25672407269066749</v>
      </c>
      <c r="AE48" s="549">
        <v>0.25940580061371049</v>
      </c>
      <c r="AF48" s="549">
        <v>0.26207436510784665</v>
      </c>
    </row>
    <row r="49" spans="1:32" x14ac:dyDescent="0.25">
      <c r="A49" s="839"/>
      <c r="B49" s="550" t="s">
        <v>29</v>
      </c>
      <c r="C49" s="539"/>
      <c r="D49" s="539"/>
      <c r="E49" s="539"/>
      <c r="F49" s="539"/>
      <c r="G49" s="549">
        <v>0</v>
      </c>
      <c r="H49" s="549">
        <v>7.3622748046943257E-5</v>
      </c>
      <c r="I49" s="549">
        <v>1.3558777376825981E-4</v>
      </c>
      <c r="J49" s="549">
        <v>1.6783958634123685E-4</v>
      </c>
      <c r="K49" s="549">
        <v>1.9358473266523673E-4</v>
      </c>
      <c r="L49" s="549">
        <v>2.1696605391850881E-4</v>
      </c>
      <c r="M49" s="549">
        <v>2.3796644451965442E-4</v>
      </c>
      <c r="N49" s="549">
        <v>2.5521947175401541E-4</v>
      </c>
      <c r="O49" s="549">
        <v>2.7063333363751827E-4</v>
      </c>
      <c r="P49" s="549">
        <v>2.8348325394529823E-4</v>
      </c>
      <c r="Q49" s="549">
        <v>2.9490852303440835E-4</v>
      </c>
      <c r="R49" s="549">
        <v>3.0431913373594257E-4</v>
      </c>
      <c r="S49" s="549">
        <v>3.1234866843663807E-4</v>
      </c>
      <c r="T49" s="549">
        <v>3.1931865364787196E-4</v>
      </c>
      <c r="U49" s="549">
        <v>3.2554295835359587E-4</v>
      </c>
      <c r="V49" s="549">
        <v>3.3115376240014274E-4</v>
      </c>
      <c r="W49" s="549">
        <v>3.3591333483422189E-4</v>
      </c>
      <c r="X49" s="549">
        <v>3.407199119601373E-4</v>
      </c>
      <c r="Y49" s="549">
        <v>3.4565840977682303E-4</v>
      </c>
      <c r="Z49" s="549">
        <v>3.5038954731943125E-4</v>
      </c>
      <c r="AA49" s="549">
        <v>3.546704265648908E-4</v>
      </c>
      <c r="AB49" s="549">
        <v>3.5866922734506941E-4</v>
      </c>
      <c r="AC49" s="549">
        <v>3.62538396385969E-4</v>
      </c>
      <c r="AD49" s="549">
        <v>3.6629885857541875E-4</v>
      </c>
      <c r="AE49" s="549">
        <v>3.6996683815979927E-4</v>
      </c>
      <c r="AF49" s="549">
        <v>3.7355485063008352E-4</v>
      </c>
    </row>
    <row r="50" spans="1:32" x14ac:dyDescent="0.25">
      <c r="A50" s="839"/>
      <c r="B50" s="550"/>
      <c r="C50" s="539"/>
      <c r="D50" s="539"/>
      <c r="E50" s="539"/>
      <c r="F50" s="539"/>
      <c r="G50" s="549" t="s">
        <v>73</v>
      </c>
      <c r="H50" s="549" t="s">
        <v>73</v>
      </c>
      <c r="I50" s="549" t="s">
        <v>73</v>
      </c>
      <c r="J50" s="549" t="s">
        <v>73</v>
      </c>
      <c r="K50" s="549" t="s">
        <v>73</v>
      </c>
      <c r="L50" s="549" t="s">
        <v>73</v>
      </c>
      <c r="M50" s="549" t="s">
        <v>73</v>
      </c>
      <c r="N50" s="549" t="s">
        <v>73</v>
      </c>
      <c r="O50" s="549" t="s">
        <v>73</v>
      </c>
      <c r="P50" s="549" t="s">
        <v>73</v>
      </c>
      <c r="Q50" s="549" t="s">
        <v>73</v>
      </c>
      <c r="R50" s="549" t="s">
        <v>73</v>
      </c>
      <c r="S50" s="549" t="s">
        <v>73</v>
      </c>
      <c r="T50" s="549" t="s">
        <v>73</v>
      </c>
      <c r="U50" s="549" t="s">
        <v>73</v>
      </c>
      <c r="V50" s="549" t="s">
        <v>73</v>
      </c>
      <c r="W50" s="549" t="s">
        <v>73</v>
      </c>
      <c r="X50" s="549" t="s">
        <v>73</v>
      </c>
      <c r="Y50" s="549" t="s">
        <v>73</v>
      </c>
      <c r="Z50" s="549" t="s">
        <v>73</v>
      </c>
      <c r="AA50" s="549" t="s">
        <v>73</v>
      </c>
      <c r="AB50" s="549" t="s">
        <v>73</v>
      </c>
      <c r="AC50" s="549" t="s">
        <v>73</v>
      </c>
      <c r="AD50" s="549" t="s">
        <v>73</v>
      </c>
      <c r="AE50" s="549" t="s">
        <v>73</v>
      </c>
      <c r="AF50" s="549" t="s">
        <v>73</v>
      </c>
    </row>
    <row r="51" spans="1:32" s="202" customFormat="1" ht="12.75" x14ac:dyDescent="0.2">
      <c r="A51" s="843" t="s">
        <v>32</v>
      </c>
      <c r="B51" s="556"/>
      <c r="C51" s="556"/>
      <c r="D51" s="556"/>
      <c r="E51" s="556"/>
      <c r="F51" s="556"/>
      <c r="G51" s="632" t="s">
        <v>73</v>
      </c>
      <c r="H51" s="632" t="s">
        <v>73</v>
      </c>
      <c r="I51" s="632" t="s">
        <v>73</v>
      </c>
      <c r="J51" s="632" t="s">
        <v>73</v>
      </c>
      <c r="K51" s="632" t="s">
        <v>73</v>
      </c>
      <c r="L51" s="632" t="s">
        <v>73</v>
      </c>
      <c r="M51" s="632" t="s">
        <v>73</v>
      </c>
      <c r="N51" s="632" t="s">
        <v>73</v>
      </c>
      <c r="O51" s="632" t="s">
        <v>73</v>
      </c>
      <c r="P51" s="632" t="s">
        <v>73</v>
      </c>
      <c r="Q51" s="632" t="s">
        <v>73</v>
      </c>
      <c r="R51" s="632" t="s">
        <v>73</v>
      </c>
      <c r="S51" s="632" t="s">
        <v>73</v>
      </c>
      <c r="T51" s="632" t="s">
        <v>73</v>
      </c>
      <c r="U51" s="632" t="s">
        <v>73</v>
      </c>
      <c r="V51" s="632" t="s">
        <v>73</v>
      </c>
      <c r="W51" s="632" t="s">
        <v>73</v>
      </c>
      <c r="X51" s="632" t="s">
        <v>73</v>
      </c>
      <c r="Y51" s="632" t="s">
        <v>73</v>
      </c>
      <c r="Z51" s="632" t="s">
        <v>73</v>
      </c>
      <c r="AA51" s="632" t="s">
        <v>73</v>
      </c>
      <c r="AB51" s="632" t="s">
        <v>73</v>
      </c>
      <c r="AC51" s="632" t="s">
        <v>73</v>
      </c>
      <c r="AD51" s="632" t="s">
        <v>73</v>
      </c>
      <c r="AE51" s="632" t="s">
        <v>73</v>
      </c>
      <c r="AF51" s="632" t="s">
        <v>73</v>
      </c>
    </row>
    <row r="52" spans="1:32" x14ac:dyDescent="0.25">
      <c r="A52" s="839"/>
      <c r="B52" s="550" t="s">
        <v>33</v>
      </c>
      <c r="C52" s="539"/>
      <c r="D52" s="539"/>
      <c r="E52" s="539"/>
      <c r="F52" s="539"/>
      <c r="G52" s="549">
        <v>0.31945171451147941</v>
      </c>
      <c r="H52" s="549">
        <v>0.25281235777919792</v>
      </c>
      <c r="I52" s="549">
        <v>0.27622492391731113</v>
      </c>
      <c r="J52" s="549">
        <v>0.29800640955282448</v>
      </c>
      <c r="K52" s="549">
        <v>0.31962461816263915</v>
      </c>
      <c r="L52" s="549">
        <v>0.32366123446345735</v>
      </c>
      <c r="M52" s="549">
        <v>0.32749095096149794</v>
      </c>
      <c r="N52" s="549">
        <v>0.33130878222234134</v>
      </c>
      <c r="O52" s="549">
        <v>0.33557766430812264</v>
      </c>
      <c r="P52" s="549">
        <v>0.33993298343892892</v>
      </c>
      <c r="Q52" s="549">
        <v>0.34446750705109802</v>
      </c>
      <c r="R52" s="549">
        <v>0.34889486596892888</v>
      </c>
      <c r="S52" s="549">
        <v>0.35321615531613965</v>
      </c>
      <c r="T52" s="549">
        <v>0.35747612658754591</v>
      </c>
      <c r="U52" s="549">
        <v>0.36171631924365466</v>
      </c>
      <c r="V52" s="549">
        <v>0.36593699715678957</v>
      </c>
      <c r="W52" s="549">
        <v>0.37000199557578733</v>
      </c>
      <c r="X52" s="549">
        <v>0.37415434745567855</v>
      </c>
      <c r="Y52" s="549">
        <v>0.37848844625144634</v>
      </c>
      <c r="Z52" s="549">
        <v>0.38287784901045935</v>
      </c>
      <c r="AA52" s="549">
        <v>0.38718197643809243</v>
      </c>
      <c r="AB52" s="549">
        <v>0.39141097972246952</v>
      </c>
      <c r="AC52" s="549">
        <v>0.39561526546006359</v>
      </c>
      <c r="AD52" s="549">
        <v>0.39980364895778259</v>
      </c>
      <c r="AE52" s="549">
        <v>0.40397380768765873</v>
      </c>
      <c r="AF52" s="549">
        <v>0.40812379922711539</v>
      </c>
    </row>
    <row r="53" spans="1:32" x14ac:dyDescent="0.25">
      <c r="A53" s="842"/>
      <c r="B53" s="552" t="s">
        <v>34</v>
      </c>
      <c r="C53" s="539"/>
      <c r="D53" s="539"/>
      <c r="E53" s="539"/>
      <c r="F53" s="539"/>
      <c r="G53" s="549">
        <v>0.31545011671262296</v>
      </c>
      <c r="H53" s="549">
        <v>0.41532510797716726</v>
      </c>
      <c r="I53" s="549">
        <v>0.41162341960437293</v>
      </c>
      <c r="J53" s="549">
        <v>0.38331278030213328</v>
      </c>
      <c r="K53" s="549">
        <v>0.35186064711880805</v>
      </c>
      <c r="L53" s="549">
        <v>0.34483431444269108</v>
      </c>
      <c r="M53" s="549">
        <v>0.34873656549600979</v>
      </c>
      <c r="N53" s="549">
        <v>0.35278342335060764</v>
      </c>
      <c r="O53" s="549">
        <v>0.35750782563369932</v>
      </c>
      <c r="P53" s="549">
        <v>0.36210700236585969</v>
      </c>
      <c r="Q53" s="549">
        <v>0.36700506083952916</v>
      </c>
      <c r="R53" s="549">
        <v>0.37162202968585617</v>
      </c>
      <c r="S53" s="549">
        <v>0.37617033008187084</v>
      </c>
      <c r="T53" s="549">
        <v>0.38066155953017611</v>
      </c>
      <c r="U53" s="549">
        <v>0.38514988662247562</v>
      </c>
      <c r="V53" s="549">
        <v>0.3896133787678569</v>
      </c>
      <c r="W53" s="549">
        <v>0.39384662198053194</v>
      </c>
      <c r="X53" s="549">
        <v>0.39830762720810087</v>
      </c>
      <c r="Y53" s="549">
        <v>0.40297327765779628</v>
      </c>
      <c r="Z53" s="549">
        <v>0.40763577927742362</v>
      </c>
      <c r="AA53" s="549">
        <v>0.41215571561860048</v>
      </c>
      <c r="AB53" s="549">
        <v>0.4166126752258148</v>
      </c>
      <c r="AC53" s="549">
        <v>0.42106215286301679</v>
      </c>
      <c r="AD53" s="549">
        <v>0.42549408720294524</v>
      </c>
      <c r="AE53" s="549">
        <v>0.42990604068105165</v>
      </c>
      <c r="AF53" s="549">
        <v>0.43429596572188833</v>
      </c>
    </row>
    <row r="54" spans="1:32" x14ac:dyDescent="0.25">
      <c r="A54" s="839"/>
      <c r="B54" s="552" t="s">
        <v>35</v>
      </c>
      <c r="C54" s="539"/>
      <c r="D54" s="539"/>
      <c r="E54" s="539"/>
      <c r="F54" s="539"/>
      <c r="G54" s="549">
        <v>9.3893711822017722E-2</v>
      </c>
      <c r="H54" s="549">
        <v>8.0346236060100218E-2</v>
      </c>
      <c r="I54" s="549">
        <v>7.4711855050211634E-2</v>
      </c>
      <c r="J54" s="549">
        <v>7.3510634347622394E-2</v>
      </c>
      <c r="K54" s="549">
        <v>7.4867282970520768E-2</v>
      </c>
      <c r="L54" s="549">
        <v>7.6054754601339439E-2</v>
      </c>
      <c r="M54" s="549">
        <v>7.7097987684138669E-2</v>
      </c>
      <c r="N54" s="549">
        <v>7.8084423598162728E-2</v>
      </c>
      <c r="O54" s="549">
        <v>7.9118554300549176E-2</v>
      </c>
      <c r="P54" s="549">
        <v>8.0150120736618619E-2</v>
      </c>
      <c r="Q54" s="549">
        <v>8.1217581667253097E-2</v>
      </c>
      <c r="R54" s="549">
        <v>8.2265186618197927E-2</v>
      </c>
      <c r="S54" s="549">
        <v>8.329853694058692E-2</v>
      </c>
      <c r="T54" s="549">
        <v>8.4318918293578279E-2</v>
      </c>
      <c r="U54" s="549">
        <v>8.5333033407174186E-2</v>
      </c>
      <c r="V54" s="549">
        <v>8.6340819742006331E-2</v>
      </c>
      <c r="W54" s="549">
        <v>8.7317723853830728E-2</v>
      </c>
      <c r="X54" s="549">
        <v>8.8309625513507767E-2</v>
      </c>
      <c r="Y54" s="549">
        <v>8.9330496502403892E-2</v>
      </c>
      <c r="Z54" s="549">
        <v>9.0362631128568863E-2</v>
      </c>
      <c r="AA54" s="549">
        <v>9.1383459340318954E-2</v>
      </c>
      <c r="AB54" s="549">
        <v>9.2393221445385948E-2</v>
      </c>
      <c r="AC54" s="549">
        <v>9.3397448462334318E-2</v>
      </c>
      <c r="AD54" s="549">
        <v>9.4396752252925833E-2</v>
      </c>
      <c r="AE54" s="549">
        <v>9.5391261311605371E-2</v>
      </c>
      <c r="AF54" s="549">
        <v>9.6380858840509606E-2</v>
      </c>
    </row>
    <row r="55" spans="1:32" x14ac:dyDescent="0.25">
      <c r="A55" s="839"/>
      <c r="B55" s="552" t="s">
        <v>29</v>
      </c>
      <c r="C55" s="539"/>
      <c r="D55" s="539"/>
      <c r="E55" s="539"/>
      <c r="F55" s="539"/>
      <c r="G55" s="549">
        <v>0</v>
      </c>
      <c r="H55" s="549">
        <v>1.1700482707812984E-4</v>
      </c>
      <c r="I55" s="549">
        <v>2.1283999519334737E-4</v>
      </c>
      <c r="J55" s="549">
        <v>2.9141218558608416E-4</v>
      </c>
      <c r="K55" s="549">
        <v>3.5634737773272896E-4</v>
      </c>
      <c r="L55" s="549">
        <v>4.0870645990514202E-4</v>
      </c>
      <c r="M55" s="549">
        <v>4.4985638053395921E-4</v>
      </c>
      <c r="N55" s="549">
        <v>4.8356480569006541E-4</v>
      </c>
      <c r="O55" s="549">
        <v>5.1332887033003923E-4</v>
      </c>
      <c r="P55" s="549">
        <v>5.3811325739692994E-4</v>
      </c>
      <c r="Q55" s="549">
        <v>5.5999974075897439E-4</v>
      </c>
      <c r="R55" s="549">
        <v>5.7809624680214963E-4</v>
      </c>
      <c r="S55" s="549">
        <v>5.9355854082580677E-4</v>
      </c>
      <c r="T55" s="549">
        <v>6.0699651981664974E-4</v>
      </c>
      <c r="U55" s="549">
        <v>6.1899366045688447E-4</v>
      </c>
      <c r="V55" s="549">
        <v>6.2981385919228753E-4</v>
      </c>
      <c r="W55" s="549">
        <v>6.3908027477472813E-4</v>
      </c>
      <c r="X55" s="549">
        <v>6.483429517803776E-4</v>
      </c>
      <c r="Y55" s="549">
        <v>6.5777153307116536E-4</v>
      </c>
      <c r="Z55" s="549">
        <v>6.6680688996586114E-4</v>
      </c>
      <c r="AA55" s="549">
        <v>6.7504443038991183E-4</v>
      </c>
      <c r="AB55" s="549">
        <v>6.8277445702131514E-4</v>
      </c>
      <c r="AC55" s="549">
        <v>6.9026110966594046E-4</v>
      </c>
      <c r="AD55" s="549">
        <v>6.975446881444026E-4</v>
      </c>
      <c r="AE55" s="549">
        <v>7.0465630396163517E-4</v>
      </c>
      <c r="AF55" s="549">
        <v>7.1161985823168475E-4</v>
      </c>
    </row>
    <row r="56" spans="1:32" x14ac:dyDescent="0.25">
      <c r="A56" s="839"/>
      <c r="B56" s="550"/>
      <c r="C56" s="539"/>
      <c r="D56" s="539"/>
      <c r="E56" s="539"/>
      <c r="F56" s="539"/>
      <c r="G56" s="549" t="s">
        <v>73</v>
      </c>
      <c r="H56" s="549" t="s">
        <v>73</v>
      </c>
      <c r="I56" s="549" t="s">
        <v>73</v>
      </c>
      <c r="J56" s="549" t="s">
        <v>73</v>
      </c>
      <c r="K56" s="549" t="s">
        <v>73</v>
      </c>
      <c r="L56" s="549" t="s">
        <v>73</v>
      </c>
      <c r="M56" s="549" t="s">
        <v>73</v>
      </c>
      <c r="N56" s="549" t="s">
        <v>73</v>
      </c>
      <c r="O56" s="549" t="s">
        <v>73</v>
      </c>
      <c r="P56" s="549" t="s">
        <v>73</v>
      </c>
      <c r="Q56" s="549" t="s">
        <v>73</v>
      </c>
      <c r="R56" s="549" t="s">
        <v>73</v>
      </c>
      <c r="S56" s="549" t="s">
        <v>73</v>
      </c>
      <c r="T56" s="549" t="s">
        <v>73</v>
      </c>
      <c r="U56" s="549" t="s">
        <v>73</v>
      </c>
      <c r="V56" s="549" t="s">
        <v>73</v>
      </c>
      <c r="W56" s="549" t="s">
        <v>73</v>
      </c>
      <c r="X56" s="549" t="s">
        <v>73</v>
      </c>
      <c r="Y56" s="549" t="s">
        <v>73</v>
      </c>
      <c r="Z56" s="549" t="s">
        <v>73</v>
      </c>
      <c r="AA56" s="549" t="s">
        <v>73</v>
      </c>
      <c r="AB56" s="549" t="s">
        <v>73</v>
      </c>
      <c r="AC56" s="549" t="s">
        <v>73</v>
      </c>
      <c r="AD56" s="549" t="s">
        <v>73</v>
      </c>
      <c r="AE56" s="549" t="s">
        <v>73</v>
      </c>
      <c r="AF56" s="549" t="s">
        <v>73</v>
      </c>
    </row>
    <row r="57" spans="1:32" s="202" customFormat="1" ht="12.75" x14ac:dyDescent="0.2">
      <c r="A57" s="843" t="s">
        <v>36</v>
      </c>
      <c r="B57" s="556"/>
      <c r="C57" s="556"/>
      <c r="D57" s="556"/>
      <c r="E57" s="556"/>
      <c r="F57" s="556"/>
      <c r="G57" s="632" t="s">
        <v>73</v>
      </c>
      <c r="H57" s="632" t="s">
        <v>73</v>
      </c>
      <c r="I57" s="632" t="s">
        <v>73</v>
      </c>
      <c r="J57" s="632" t="s">
        <v>73</v>
      </c>
      <c r="K57" s="632" t="s">
        <v>73</v>
      </c>
      <c r="L57" s="632" t="s">
        <v>73</v>
      </c>
      <c r="M57" s="632" t="s">
        <v>73</v>
      </c>
      <c r="N57" s="632" t="s">
        <v>73</v>
      </c>
      <c r="O57" s="632" t="s">
        <v>73</v>
      </c>
      <c r="P57" s="632" t="s">
        <v>73</v>
      </c>
      <c r="Q57" s="632" t="s">
        <v>73</v>
      </c>
      <c r="R57" s="632" t="s">
        <v>73</v>
      </c>
      <c r="S57" s="632" t="s">
        <v>73</v>
      </c>
      <c r="T57" s="632" t="s">
        <v>73</v>
      </c>
      <c r="U57" s="632" t="s">
        <v>73</v>
      </c>
      <c r="V57" s="632" t="s">
        <v>73</v>
      </c>
      <c r="W57" s="632" t="s">
        <v>73</v>
      </c>
      <c r="X57" s="632" t="s">
        <v>73</v>
      </c>
      <c r="Y57" s="632" t="s">
        <v>73</v>
      </c>
      <c r="Z57" s="632" t="s">
        <v>73</v>
      </c>
      <c r="AA57" s="632" t="s">
        <v>73</v>
      </c>
      <c r="AB57" s="632" t="s">
        <v>73</v>
      </c>
      <c r="AC57" s="632" t="s">
        <v>73</v>
      </c>
      <c r="AD57" s="632" t="s">
        <v>73</v>
      </c>
      <c r="AE57" s="632" t="s">
        <v>73</v>
      </c>
      <c r="AF57" s="632" t="s">
        <v>73</v>
      </c>
    </row>
    <row r="58" spans="1:32" x14ac:dyDescent="0.25">
      <c r="A58" s="839"/>
      <c r="B58" s="550" t="s">
        <v>37</v>
      </c>
      <c r="C58" s="539"/>
      <c r="D58" s="539"/>
      <c r="E58" s="539"/>
      <c r="F58" s="201"/>
      <c r="G58" s="549">
        <v>3.1698890093633176</v>
      </c>
      <c r="H58" s="549">
        <v>2.7582064312614305</v>
      </c>
      <c r="I58" s="549">
        <v>2.2652761056406572</v>
      </c>
      <c r="J58" s="549">
        <v>1.7461489164914312</v>
      </c>
      <c r="K58" s="549">
        <v>1.2533060308090826</v>
      </c>
      <c r="L58" s="549">
        <v>0.90267769784803986</v>
      </c>
      <c r="M58" s="549">
        <v>0.65220476749043332</v>
      </c>
      <c r="N58" s="549">
        <v>0.47301298277113818</v>
      </c>
      <c r="O58" s="549">
        <v>0.34565462799521479</v>
      </c>
      <c r="P58" s="549">
        <v>0.25496765615873068</v>
      </c>
      <c r="Q58" s="549">
        <v>0.19035265515191369</v>
      </c>
      <c r="R58" s="549">
        <v>0.14422068466762264</v>
      </c>
      <c r="S58" s="549">
        <v>0.11126220090698961</v>
      </c>
      <c r="T58" s="549">
        <v>8.7699382507549939E-2</v>
      </c>
      <c r="U58" s="549">
        <v>7.0851521594014796E-2</v>
      </c>
      <c r="V58" s="549">
        <v>5.8807114881010744E-2</v>
      </c>
      <c r="W58" s="549">
        <v>5.0159859601168082E-2</v>
      </c>
      <c r="X58" s="549">
        <v>4.3995061117743907E-2</v>
      </c>
      <c r="Y58" s="549">
        <v>3.9607955969362708E-2</v>
      </c>
      <c r="Z58" s="549">
        <v>3.6477554710588708E-2</v>
      </c>
      <c r="AA58" s="549">
        <v>3.4251620528620297E-2</v>
      </c>
      <c r="AB58" s="549">
        <v>3.2663669777095686E-2</v>
      </c>
      <c r="AC58" s="549">
        <v>3.1542057932066998E-2</v>
      </c>
      <c r="AD58" s="549">
        <v>3.0777563381820822E-2</v>
      </c>
      <c r="AE58" s="549">
        <v>3.0251774617285589E-2</v>
      </c>
      <c r="AF58" s="549">
        <v>2.9918836172376024E-2</v>
      </c>
    </row>
    <row r="59" spans="1:32" x14ac:dyDescent="0.25">
      <c r="A59" s="839"/>
      <c r="B59" s="550" t="s">
        <v>39</v>
      </c>
      <c r="C59" s="539"/>
      <c r="D59" s="539"/>
      <c r="E59" s="203"/>
      <c r="F59" s="539"/>
      <c r="G59" s="549">
        <v>5.4653301806186718</v>
      </c>
      <c r="H59" s="549">
        <v>5.7697971463340023</v>
      </c>
      <c r="I59" s="549">
        <v>6.1395948261123809</v>
      </c>
      <c r="J59" s="549">
        <v>6.5317140286580386</v>
      </c>
      <c r="K59" s="549">
        <v>6.8942428947277623</v>
      </c>
      <c r="L59" s="549">
        <v>7.1534918767360463</v>
      </c>
      <c r="M59" s="549">
        <v>7.3359653666588249</v>
      </c>
      <c r="N59" s="549">
        <v>7.4816726498640129</v>
      </c>
      <c r="O59" s="549">
        <v>7.6091276414151023</v>
      </c>
      <c r="P59" s="549">
        <v>7.7194762950738962</v>
      </c>
      <c r="Q59" s="549">
        <v>7.8232936337471424</v>
      </c>
      <c r="R59" s="549">
        <v>7.9211833036243062</v>
      </c>
      <c r="S59" s="549">
        <v>8.0181354850871127</v>
      </c>
      <c r="T59" s="549">
        <v>8.1165758059852351</v>
      </c>
      <c r="U59" s="549">
        <v>8.2122960597260537</v>
      </c>
      <c r="V59" s="549">
        <v>8.3059345821863744</v>
      </c>
      <c r="W59" s="549">
        <v>8.394589681171249</v>
      </c>
      <c r="X59" s="549">
        <v>8.4858391117234522</v>
      </c>
      <c r="Y59" s="549">
        <v>8.5806263410856687</v>
      </c>
      <c r="Z59" s="549">
        <v>8.6758502819701313</v>
      </c>
      <c r="AA59" s="549">
        <v>8.7688342437349469</v>
      </c>
      <c r="AB59" s="549">
        <v>8.8605235674226179</v>
      </c>
      <c r="AC59" s="549">
        <v>8.9519540120087893</v>
      </c>
      <c r="AD59" s="549">
        <v>9.0431196286966742</v>
      </c>
      <c r="AE59" s="549">
        <v>9.1339955144291984</v>
      </c>
      <c r="AF59" s="549">
        <v>9.2245560746037665</v>
      </c>
    </row>
    <row r="60" spans="1:32" x14ac:dyDescent="0.25">
      <c r="A60" s="839"/>
      <c r="B60" s="550" t="s">
        <v>40</v>
      </c>
      <c r="C60" s="539"/>
      <c r="D60" s="539"/>
      <c r="E60" s="539"/>
      <c r="F60" s="539"/>
      <c r="G60" s="549">
        <v>0.61628537207279677</v>
      </c>
      <c r="H60" s="549">
        <v>0.69662603943061108</v>
      </c>
      <c r="I60" s="549">
        <v>0.7807187439016795</v>
      </c>
      <c r="J60" s="549">
        <v>0.86299081045778026</v>
      </c>
      <c r="K60" s="549">
        <v>0.94178757035767702</v>
      </c>
      <c r="L60" s="549">
        <v>1.0041986658325481</v>
      </c>
      <c r="M60" s="549">
        <v>1.0535127193732798</v>
      </c>
      <c r="N60" s="549">
        <v>1.0915053496278528</v>
      </c>
      <c r="O60" s="549">
        <v>1.1255919599692386</v>
      </c>
      <c r="P60" s="549">
        <v>1.1553665565686075</v>
      </c>
      <c r="Q60" s="549">
        <v>1.1828341735809136</v>
      </c>
      <c r="R60" s="549">
        <v>1.2073193324964329</v>
      </c>
      <c r="S60" s="549">
        <v>1.2297650430416989</v>
      </c>
      <c r="T60" s="549">
        <v>1.2506574373312147</v>
      </c>
      <c r="U60" s="549">
        <v>1.2704628691708773</v>
      </c>
      <c r="V60" s="549">
        <v>1.289396353401252</v>
      </c>
      <c r="W60" s="549">
        <v>1.3070690979062887</v>
      </c>
      <c r="X60" s="549">
        <v>1.3247599568331223</v>
      </c>
      <c r="Y60" s="549">
        <v>1.3427001718842055</v>
      </c>
      <c r="Z60" s="549">
        <v>1.3604312040944582</v>
      </c>
      <c r="AA60" s="549">
        <v>1.3775318763462523</v>
      </c>
      <c r="AB60" s="549">
        <v>1.394218127316567</v>
      </c>
      <c r="AC60" s="549">
        <v>1.4106865392739643</v>
      </c>
      <c r="AD60" s="549">
        <v>1.4269330942024978</v>
      </c>
      <c r="AE60" s="549">
        <v>1.4430034637505553</v>
      </c>
      <c r="AF60" s="549">
        <v>1.4588833421277516</v>
      </c>
    </row>
    <row r="61" spans="1:32" x14ac:dyDescent="0.25">
      <c r="A61" s="839"/>
      <c r="B61" s="550" t="s">
        <v>29</v>
      </c>
      <c r="C61" s="539"/>
      <c r="D61" s="539"/>
      <c r="E61" s="539"/>
      <c r="F61" s="539"/>
      <c r="G61" s="549">
        <v>0</v>
      </c>
      <c r="H61" s="549">
        <v>2.2438044854184552E-8</v>
      </c>
      <c r="I61" s="549">
        <v>4.0575083264081395E-8</v>
      </c>
      <c r="J61" s="549">
        <v>5.5055655725525845E-8</v>
      </c>
      <c r="K61" s="549">
        <v>6.6739264239114269E-8</v>
      </c>
      <c r="L61" s="549">
        <v>7.6543466139003859E-8</v>
      </c>
      <c r="M61" s="549">
        <v>8.4609838345895336E-8</v>
      </c>
      <c r="N61" s="549">
        <v>9.1384021930892309E-8</v>
      </c>
      <c r="O61" s="549">
        <v>9.7226334524194168E-8</v>
      </c>
      <c r="P61" s="549">
        <v>1.0193047251320464E-7</v>
      </c>
      <c r="Q61" s="549">
        <v>1.0596974853292855E-7</v>
      </c>
      <c r="R61" s="549">
        <v>1.0916581723061742E-7</v>
      </c>
      <c r="S61" s="549">
        <v>1.1178371700744539E-7</v>
      </c>
      <c r="T61" s="549">
        <v>1.139646592645709E-7</v>
      </c>
      <c r="U61" s="549">
        <v>1.1584043971766892E-7</v>
      </c>
      <c r="V61" s="549">
        <v>1.1747183847858091E-7</v>
      </c>
      <c r="W61" s="549">
        <v>1.1878313436346484E-7</v>
      </c>
      <c r="X61" s="549">
        <v>1.2010558488784167E-7</v>
      </c>
      <c r="Y61" s="549">
        <v>1.2147272662913534E-7</v>
      </c>
      <c r="Z61" s="549">
        <v>1.2276541631778561E-7</v>
      </c>
      <c r="AA61" s="549">
        <v>1.2389998628385955E-7</v>
      </c>
      <c r="AB61" s="549">
        <v>1.2493929817468059E-7</v>
      </c>
      <c r="AC61" s="549">
        <v>1.2593917831631284E-7</v>
      </c>
      <c r="AD61" s="549">
        <v>1.2690783194001658E-7</v>
      </c>
      <c r="AE61" s="549">
        <v>1.2785146517677148E-7</v>
      </c>
      <c r="AF61" s="549">
        <v>1.2877473257574573E-7</v>
      </c>
    </row>
    <row r="62" spans="1:32" x14ac:dyDescent="0.25">
      <c r="A62" s="839"/>
      <c r="B62" s="550"/>
      <c r="C62" s="539"/>
      <c r="D62" s="539"/>
      <c r="E62" s="539"/>
      <c r="F62" s="539"/>
      <c r="G62" s="549" t="s">
        <v>73</v>
      </c>
      <c r="H62" s="549" t="s">
        <v>73</v>
      </c>
      <c r="I62" s="549" t="s">
        <v>73</v>
      </c>
      <c r="J62" s="549" t="s">
        <v>73</v>
      </c>
      <c r="K62" s="549" t="s">
        <v>73</v>
      </c>
      <c r="L62" s="549" t="s">
        <v>73</v>
      </c>
      <c r="M62" s="549" t="s">
        <v>73</v>
      </c>
      <c r="N62" s="549" t="s">
        <v>73</v>
      </c>
      <c r="O62" s="549" t="s">
        <v>73</v>
      </c>
      <c r="P62" s="549" t="s">
        <v>73</v>
      </c>
      <c r="Q62" s="549" t="s">
        <v>73</v>
      </c>
      <c r="R62" s="549" t="s">
        <v>73</v>
      </c>
      <c r="S62" s="549" t="s">
        <v>73</v>
      </c>
      <c r="T62" s="549" t="s">
        <v>73</v>
      </c>
      <c r="U62" s="549" t="s">
        <v>73</v>
      </c>
      <c r="V62" s="549" t="s">
        <v>73</v>
      </c>
      <c r="W62" s="549" t="s">
        <v>73</v>
      </c>
      <c r="X62" s="549" t="s">
        <v>73</v>
      </c>
      <c r="Y62" s="549" t="s">
        <v>73</v>
      </c>
      <c r="Z62" s="549" t="s">
        <v>73</v>
      </c>
      <c r="AA62" s="549" t="s">
        <v>73</v>
      </c>
      <c r="AB62" s="549" t="s">
        <v>73</v>
      </c>
      <c r="AC62" s="549" t="s">
        <v>73</v>
      </c>
      <c r="AD62" s="549" t="s">
        <v>73</v>
      </c>
      <c r="AE62" s="549" t="s">
        <v>73</v>
      </c>
      <c r="AF62" s="549" t="s">
        <v>73</v>
      </c>
    </row>
    <row r="63" spans="1:32" s="202" customFormat="1" ht="12.75" x14ac:dyDescent="0.2">
      <c r="A63" s="843" t="s">
        <v>42</v>
      </c>
      <c r="B63" s="556"/>
      <c r="C63" s="556"/>
      <c r="D63" s="556" t="s">
        <v>775</v>
      </c>
      <c r="E63" s="556"/>
      <c r="F63" s="556"/>
      <c r="G63" s="632" t="s">
        <v>73</v>
      </c>
      <c r="H63" s="632" t="s">
        <v>73</v>
      </c>
      <c r="I63" s="632" t="s">
        <v>73</v>
      </c>
      <c r="J63" s="632" t="s">
        <v>73</v>
      </c>
      <c r="K63" s="632" t="s">
        <v>73</v>
      </c>
      <c r="L63" s="632" t="s">
        <v>73</v>
      </c>
      <c r="M63" s="632" t="s">
        <v>73</v>
      </c>
      <c r="N63" s="632" t="s">
        <v>73</v>
      </c>
      <c r="O63" s="632" t="s">
        <v>73</v>
      </c>
      <c r="P63" s="632" t="s">
        <v>73</v>
      </c>
      <c r="Q63" s="632" t="s">
        <v>73</v>
      </c>
      <c r="R63" s="632" t="s">
        <v>73</v>
      </c>
      <c r="S63" s="632" t="s">
        <v>73</v>
      </c>
      <c r="T63" s="632" t="s">
        <v>73</v>
      </c>
      <c r="U63" s="632" t="s">
        <v>73</v>
      </c>
      <c r="V63" s="632" t="s">
        <v>73</v>
      </c>
      <c r="W63" s="632" t="s">
        <v>73</v>
      </c>
      <c r="X63" s="632" t="s">
        <v>73</v>
      </c>
      <c r="Y63" s="632" t="s">
        <v>73</v>
      </c>
      <c r="Z63" s="632" t="s">
        <v>73</v>
      </c>
      <c r="AA63" s="632" t="s">
        <v>73</v>
      </c>
      <c r="AB63" s="632" t="s">
        <v>73</v>
      </c>
      <c r="AC63" s="632" t="s">
        <v>73</v>
      </c>
      <c r="AD63" s="632" t="s">
        <v>73</v>
      </c>
      <c r="AE63" s="632" t="s">
        <v>73</v>
      </c>
      <c r="AF63" s="632" t="s">
        <v>73</v>
      </c>
    </row>
    <row r="64" spans="1:32" x14ac:dyDescent="0.25">
      <c r="A64" s="839"/>
      <c r="B64" s="552" t="s">
        <v>43</v>
      </c>
      <c r="C64" s="539"/>
      <c r="D64" s="539">
        <v>0.13453577995026955</v>
      </c>
      <c r="E64" s="539">
        <v>8.2686435990712043E-2</v>
      </c>
      <c r="F64" s="539"/>
      <c r="G64" s="549">
        <v>5.8610202272146819E-2</v>
      </c>
      <c r="H64" s="549">
        <v>5.1849343959557516E-2</v>
      </c>
      <c r="I64" s="549">
        <v>4.5950852593025039E-2</v>
      </c>
      <c r="J64" s="549">
        <v>4.0800046435746265E-2</v>
      </c>
      <c r="K64" s="549">
        <v>3.6298849273152606E-2</v>
      </c>
      <c r="L64" s="549">
        <v>3.2364892807658266E-2</v>
      </c>
      <c r="M64" s="549">
        <v>2.8922229299863586E-2</v>
      </c>
      <c r="N64" s="549">
        <v>2.591207699386034E-2</v>
      </c>
      <c r="O64" s="549">
        <v>2.3284962579216487E-2</v>
      </c>
      <c r="P64" s="549">
        <v>2.0987584565485086E-2</v>
      </c>
      <c r="Q64" s="549">
        <v>1.8981280550793501E-2</v>
      </c>
      <c r="R64" s="549">
        <v>1.7225470696917034E-2</v>
      </c>
      <c r="S64" s="549">
        <v>1.5689730690008265E-2</v>
      </c>
      <c r="T64" s="549">
        <v>1.4346738205813586E-2</v>
      </c>
      <c r="U64" s="549">
        <v>1.3172944984212811E-2</v>
      </c>
      <c r="V64" s="549">
        <v>1.2147267211873168E-2</v>
      </c>
      <c r="W64" s="549">
        <v>1.1249653080905248E-2</v>
      </c>
      <c r="X64" s="549">
        <v>1.0467654725252788E-2</v>
      </c>
      <c r="Y64" s="549">
        <v>9.7876096719572616E-3</v>
      </c>
      <c r="Z64" s="549">
        <v>9.1956468160723365E-3</v>
      </c>
      <c r="AA64" s="549">
        <v>8.6796584413216717E-3</v>
      </c>
      <c r="AB64" s="549">
        <v>8.2318258212894808E-3</v>
      </c>
      <c r="AC64" s="549">
        <v>7.8439707068779195E-3</v>
      </c>
      <c r="AD64" s="549">
        <v>7.5077151552000792E-3</v>
      </c>
      <c r="AE64" s="549">
        <v>7.2175335802802569E-3</v>
      </c>
      <c r="AF64" s="549">
        <v>6.9676617706434666E-3</v>
      </c>
    </row>
    <row r="65" spans="1:32" x14ac:dyDescent="0.25">
      <c r="A65" s="839"/>
      <c r="B65" s="552" t="s">
        <v>44</v>
      </c>
      <c r="C65" s="539"/>
      <c r="D65" s="539">
        <v>1.6326946226173267</v>
      </c>
      <c r="E65" s="539">
        <v>-0.132701581414437</v>
      </c>
      <c r="F65" s="539"/>
      <c r="G65" s="549">
        <v>1.7248347060573339</v>
      </c>
      <c r="H65" s="549">
        <v>1.7653962040317637</v>
      </c>
      <c r="I65" s="549">
        <v>1.8167704664423081</v>
      </c>
      <c r="J65" s="549">
        <v>1.8656876516209471</v>
      </c>
      <c r="K65" s="549">
        <v>1.9112027087452761</v>
      </c>
      <c r="L65" s="549">
        <v>1.9541477761649628</v>
      </c>
      <c r="M65" s="549">
        <v>1.9927245970641629</v>
      </c>
      <c r="N65" s="549">
        <v>2.029587190901212</v>
      </c>
      <c r="O65" s="549">
        <v>2.067999495574417</v>
      </c>
      <c r="P65" s="549">
        <v>2.1048812489416475</v>
      </c>
      <c r="Q65" s="549">
        <v>2.1420448487145189</v>
      </c>
      <c r="R65" s="549">
        <v>2.1770944197084128</v>
      </c>
      <c r="S65" s="549">
        <v>2.2108075284414102</v>
      </c>
      <c r="T65" s="549">
        <v>2.2434095721038139</v>
      </c>
      <c r="U65" s="549">
        <v>2.2752674859379378</v>
      </c>
      <c r="V65" s="549">
        <v>2.3064005308843987</v>
      </c>
      <c r="W65" s="549">
        <v>2.3358893197891959</v>
      </c>
      <c r="X65" s="549">
        <v>2.3658431440214875</v>
      </c>
      <c r="Y65" s="549">
        <v>2.3965058275248508</v>
      </c>
      <c r="Z65" s="549">
        <v>2.426991582170333</v>
      </c>
      <c r="AA65" s="549">
        <v>2.4565474003927572</v>
      </c>
      <c r="AB65" s="549">
        <v>2.4854528260212918</v>
      </c>
      <c r="AC65" s="549">
        <v>2.514024118854481</v>
      </c>
      <c r="AD65" s="549">
        <v>2.5422838033642279</v>
      </c>
      <c r="AE65" s="549">
        <v>2.5702432222889526</v>
      </c>
      <c r="AF65" s="549">
        <v>2.5979146840815561</v>
      </c>
    </row>
    <row r="66" spans="1:32" x14ac:dyDescent="0.25">
      <c r="A66" s="839"/>
      <c r="B66" s="552" t="s">
        <v>45</v>
      </c>
      <c r="C66" s="539"/>
      <c r="D66" s="539">
        <v>2.0335338052437715</v>
      </c>
      <c r="E66" s="539">
        <v>1.9069531461412093</v>
      </c>
      <c r="F66" s="539"/>
      <c r="G66" s="549">
        <v>0.14153717369138533</v>
      </c>
      <c r="H66" s="549">
        <v>0.12658065910256228</v>
      </c>
      <c r="I66" s="549">
        <v>0.11356256099572244</v>
      </c>
      <c r="J66" s="549">
        <v>0.10221324786918023</v>
      </c>
      <c r="K66" s="549">
        <v>9.2306902551569092E-2</v>
      </c>
      <c r="L66" s="549">
        <v>8.3662779924737474E-2</v>
      </c>
      <c r="M66" s="549">
        <v>7.6100254841417803E-2</v>
      </c>
      <c r="N66" s="549">
        <v>6.9501554858438702E-2</v>
      </c>
      <c r="O66" s="549">
        <v>6.3773067447696383E-2</v>
      </c>
      <c r="P66" s="549">
        <v>5.8778171350810954E-2</v>
      </c>
      <c r="Q66" s="549">
        <v>5.4439677493513354E-2</v>
      </c>
      <c r="R66" s="549">
        <v>5.06533690871162E-2</v>
      </c>
      <c r="S66" s="549">
        <v>4.7355009675154276E-2</v>
      </c>
      <c r="T66" s="549">
        <v>4.4484358072950314E-2</v>
      </c>
      <c r="U66" s="549">
        <v>4.19904168934555E-2</v>
      </c>
      <c r="V66" s="549">
        <v>3.9825864942954925E-2</v>
      </c>
      <c r="W66" s="549">
        <v>3.7940692885268232E-2</v>
      </c>
      <c r="X66" s="549">
        <v>3.6318164250416611E-2</v>
      </c>
      <c r="Y66" s="549">
        <v>3.4928828625238946E-2</v>
      </c>
      <c r="Z66" s="549">
        <v>3.373675888335774E-2</v>
      </c>
      <c r="AA66" s="549">
        <v>3.2710722102451621E-2</v>
      </c>
      <c r="AB66" s="549">
        <v>3.1834681245304197E-2</v>
      </c>
      <c r="AC66" s="549">
        <v>3.1091910054339676E-2</v>
      </c>
      <c r="AD66" s="549">
        <v>3.0463620124346027E-2</v>
      </c>
      <c r="AE66" s="549">
        <v>2.9937500615885466E-2</v>
      </c>
      <c r="AF66" s="549">
        <v>2.9500645260591995E-2</v>
      </c>
    </row>
    <row r="67" spans="1:32" x14ac:dyDescent="0.25">
      <c r="A67" s="839"/>
      <c r="B67" s="552" t="s">
        <v>46</v>
      </c>
      <c r="C67" s="539"/>
      <c r="D67" s="539">
        <v>2.2688294894514509E-2</v>
      </c>
      <c r="E67" s="539">
        <v>2.1434889823262668E-2</v>
      </c>
      <c r="F67" s="539"/>
      <c r="G67" s="549">
        <v>1.4295487026834495E-3</v>
      </c>
      <c r="H67" s="549">
        <v>1.2534050712518414E-3</v>
      </c>
      <c r="I67" s="549">
        <v>1.0994348888573242E-3</v>
      </c>
      <c r="J67" s="549">
        <v>9.6478414300019708E-4</v>
      </c>
      <c r="K67" s="549">
        <v>8.469747180241188E-4</v>
      </c>
      <c r="L67" s="549">
        <v>7.4385369887441672E-4</v>
      </c>
      <c r="M67" s="549">
        <v>6.5354968047242332E-4</v>
      </c>
      <c r="N67" s="549">
        <v>5.7443509025172784E-4</v>
      </c>
      <c r="O67" s="549">
        <v>5.0509367559909628E-4</v>
      </c>
      <c r="P67" s="549">
        <v>4.442924306452471E-4</v>
      </c>
      <c r="Q67" s="549">
        <v>3.9095734134657849E-4</v>
      </c>
      <c r="R67" s="549">
        <v>3.4415241686006553E-4</v>
      </c>
      <c r="S67" s="549">
        <v>3.0306155117862464E-4</v>
      </c>
      <c r="T67" s="549">
        <v>2.6697282383842113E-4</v>
      </c>
      <c r="U67" s="549">
        <v>2.3526490390244497E-4</v>
      </c>
      <c r="V67" s="549">
        <v>2.0739526877867982E-4</v>
      </c>
      <c r="W67" s="549">
        <v>1.8288998994232916E-4</v>
      </c>
      <c r="X67" s="549">
        <v>1.6133487231340435E-4</v>
      </c>
      <c r="Y67" s="549">
        <v>1.4236776375314901E-4</v>
      </c>
      <c r="Z67" s="549">
        <v>1.2567187661497353E-4</v>
      </c>
      <c r="AA67" s="549">
        <v>1.1096998513768067E-4</v>
      </c>
      <c r="AB67" s="549">
        <v>9.8050318796561616E-5</v>
      </c>
      <c r="AC67" s="549">
        <v>8.668838608833194E-5</v>
      </c>
      <c r="AD67" s="549">
        <v>7.6666259537548693E-5</v>
      </c>
      <c r="AE67" s="549">
        <v>6.784302336932394E-5</v>
      </c>
      <c r="AF67" s="549">
        <v>6.0069883982055602E-5</v>
      </c>
    </row>
    <row r="68" spans="1:32" x14ac:dyDescent="0.25">
      <c r="A68" s="839"/>
      <c r="B68" s="550" t="s">
        <v>29</v>
      </c>
      <c r="C68" s="539"/>
      <c r="D68" s="539">
        <v>1.1909887724441239E-3</v>
      </c>
      <c r="E68" s="539">
        <v>1.1909474348614408E-3</v>
      </c>
      <c r="F68" s="539"/>
      <c r="G68" s="549">
        <v>0</v>
      </c>
      <c r="H68" s="549">
        <v>4.1337582683139816E-8</v>
      </c>
      <c r="I68" s="549">
        <v>7.4762660841577105E-8</v>
      </c>
      <c r="J68" s="549">
        <v>1.0144368064575037E-7</v>
      </c>
      <c r="K68" s="549">
        <v>1.2254314242513169E-7</v>
      </c>
      <c r="L68" s="549">
        <v>1.393829935378093E-7</v>
      </c>
      <c r="M68" s="549">
        <v>1.5239101322213436E-7</v>
      </c>
      <c r="N68" s="549">
        <v>1.629315916950688E-7</v>
      </c>
      <c r="O68" s="549">
        <v>1.7226462530009695E-7</v>
      </c>
      <c r="P68" s="549">
        <v>1.7993394161037432E-7</v>
      </c>
      <c r="Q68" s="549">
        <v>1.8668773864931684E-7</v>
      </c>
      <c r="R68" s="549">
        <v>1.9215250835428138E-7</v>
      </c>
      <c r="S68" s="549">
        <v>1.967439983596842E-7</v>
      </c>
      <c r="T68" s="549">
        <v>2.0067249101611723E-7</v>
      </c>
      <c r="U68" s="549">
        <v>2.0414086772071034E-7</v>
      </c>
      <c r="V68" s="549">
        <v>2.072337905834919E-7</v>
      </c>
      <c r="W68" s="549">
        <v>2.0979931681577269E-7</v>
      </c>
      <c r="X68" s="549">
        <v>2.1241130146981232E-7</v>
      </c>
      <c r="Y68" s="549">
        <v>2.1511991610698433E-7</v>
      </c>
      <c r="Z68" s="549">
        <v>2.1770600261955773E-7</v>
      </c>
      <c r="AA68" s="549">
        <v>2.2001459296428664E-7</v>
      </c>
      <c r="AB68" s="549">
        <v>2.221526383754185E-7</v>
      </c>
      <c r="AC68" s="549">
        <v>2.2421668416041536E-7</v>
      </c>
      <c r="AD68" s="549">
        <v>2.2621973478056424E-7</v>
      </c>
      <c r="AE68" s="549">
        <v>2.281707046388598E-7</v>
      </c>
      <c r="AF68" s="549">
        <v>2.3007692862007445E-7</v>
      </c>
    </row>
    <row r="69" spans="1:32" x14ac:dyDescent="0.25">
      <c r="A69" s="839"/>
      <c r="B69" s="550"/>
      <c r="C69" s="539"/>
      <c r="D69" s="539"/>
      <c r="E69" s="539"/>
      <c r="F69" s="539"/>
      <c r="G69" s="549" t="s">
        <v>73</v>
      </c>
      <c r="H69" s="549" t="s">
        <v>73</v>
      </c>
      <c r="I69" s="549" t="s">
        <v>73</v>
      </c>
      <c r="J69" s="549" t="s">
        <v>73</v>
      </c>
      <c r="K69" s="549" t="s">
        <v>73</v>
      </c>
      <c r="L69" s="549" t="s">
        <v>73</v>
      </c>
      <c r="M69" s="549" t="s">
        <v>73</v>
      </c>
      <c r="N69" s="549" t="s">
        <v>73</v>
      </c>
      <c r="O69" s="549" t="s">
        <v>73</v>
      </c>
      <c r="P69" s="549" t="s">
        <v>73</v>
      </c>
      <c r="Q69" s="549" t="s">
        <v>73</v>
      </c>
      <c r="R69" s="549" t="s">
        <v>73</v>
      </c>
      <c r="S69" s="549" t="s">
        <v>73</v>
      </c>
      <c r="T69" s="549" t="s">
        <v>73</v>
      </c>
      <c r="U69" s="549" t="s">
        <v>73</v>
      </c>
      <c r="V69" s="549" t="s">
        <v>73</v>
      </c>
      <c r="W69" s="549" t="s">
        <v>73</v>
      </c>
      <c r="X69" s="549" t="s">
        <v>73</v>
      </c>
      <c r="Y69" s="549" t="s">
        <v>73</v>
      </c>
      <c r="Z69" s="549" t="s">
        <v>73</v>
      </c>
      <c r="AA69" s="549" t="s">
        <v>73</v>
      </c>
      <c r="AB69" s="549" t="s">
        <v>73</v>
      </c>
      <c r="AC69" s="549" t="s">
        <v>73</v>
      </c>
      <c r="AD69" s="549" t="s">
        <v>73</v>
      </c>
      <c r="AE69" s="549" t="s">
        <v>73</v>
      </c>
      <c r="AF69" s="549" t="s">
        <v>73</v>
      </c>
    </row>
    <row r="70" spans="1:32" s="202" customFormat="1" ht="12.75" x14ac:dyDescent="0.2">
      <c r="A70" s="843" t="s">
        <v>47</v>
      </c>
      <c r="B70" s="556"/>
      <c r="C70" s="556"/>
      <c r="D70" s="556"/>
      <c r="E70" s="556"/>
      <c r="F70" s="556"/>
      <c r="G70" s="632" t="s">
        <v>73</v>
      </c>
      <c r="H70" s="632" t="s">
        <v>73</v>
      </c>
      <c r="I70" s="632" t="s">
        <v>73</v>
      </c>
      <c r="J70" s="632" t="s">
        <v>73</v>
      </c>
      <c r="K70" s="632" t="s">
        <v>73</v>
      </c>
      <c r="L70" s="632" t="s">
        <v>73</v>
      </c>
      <c r="M70" s="632" t="s">
        <v>73</v>
      </c>
      <c r="N70" s="632" t="s">
        <v>73</v>
      </c>
      <c r="O70" s="632" t="s">
        <v>73</v>
      </c>
      <c r="P70" s="632" t="s">
        <v>73</v>
      </c>
      <c r="Q70" s="632" t="s">
        <v>73</v>
      </c>
      <c r="R70" s="632" t="s">
        <v>73</v>
      </c>
      <c r="S70" s="632" t="s">
        <v>73</v>
      </c>
      <c r="T70" s="632" t="s">
        <v>73</v>
      </c>
      <c r="U70" s="632" t="s">
        <v>73</v>
      </c>
      <c r="V70" s="632" t="s">
        <v>73</v>
      </c>
      <c r="W70" s="632" t="s">
        <v>73</v>
      </c>
      <c r="X70" s="632" t="s">
        <v>73</v>
      </c>
      <c r="Y70" s="632" t="s">
        <v>73</v>
      </c>
      <c r="Z70" s="632" t="s">
        <v>73</v>
      </c>
      <c r="AA70" s="632" t="s">
        <v>73</v>
      </c>
      <c r="AB70" s="632" t="s">
        <v>73</v>
      </c>
      <c r="AC70" s="632" t="s">
        <v>73</v>
      </c>
      <c r="AD70" s="632" t="s">
        <v>73</v>
      </c>
      <c r="AE70" s="632" t="s">
        <v>73</v>
      </c>
      <c r="AF70" s="632" t="s">
        <v>73</v>
      </c>
    </row>
    <row r="71" spans="1:32" x14ac:dyDescent="0.25">
      <c r="A71" s="839"/>
      <c r="B71" s="550" t="s">
        <v>48</v>
      </c>
      <c r="C71" s="539"/>
      <c r="D71" s="539"/>
      <c r="E71" s="539"/>
      <c r="F71" s="539"/>
      <c r="G71" s="549">
        <v>2.348038475167805E-2</v>
      </c>
      <c r="H71" s="549">
        <v>2.302770917150166E-2</v>
      </c>
      <c r="I71" s="549">
        <v>2.2464844409000349E-2</v>
      </c>
      <c r="J71" s="549">
        <v>2.1917648929941802E-2</v>
      </c>
      <c r="K71" s="549">
        <v>2.1372056922413698E-2</v>
      </c>
      <c r="L71" s="549">
        <v>2.0968813140116178E-2</v>
      </c>
      <c r="M71" s="549">
        <v>2.0545796288912229E-2</v>
      </c>
      <c r="N71" s="549">
        <v>2.0127951506939603E-2</v>
      </c>
      <c r="O71" s="549">
        <v>1.9742977075565053E-2</v>
      </c>
      <c r="P71" s="549">
        <v>1.9359799944000694E-2</v>
      </c>
      <c r="Q71" s="549">
        <v>1.8992761391747336E-2</v>
      </c>
      <c r="R71" s="549">
        <v>1.8620077499441431E-2</v>
      </c>
      <c r="S71" s="549">
        <v>1.8247989646892317E-2</v>
      </c>
      <c r="T71" s="549">
        <v>1.7877882824877796E-2</v>
      </c>
      <c r="U71" s="549">
        <v>1.751214175324323E-2</v>
      </c>
      <c r="V71" s="549">
        <v>1.7150446240657698E-2</v>
      </c>
      <c r="W71" s="549">
        <v>1.6786053783419162E-2</v>
      </c>
      <c r="X71" s="549">
        <v>1.6433564983833002E-2</v>
      </c>
      <c r="Y71" s="549">
        <v>1.6093636390853813E-2</v>
      </c>
      <c r="Z71" s="549">
        <v>1.5759703675427148E-2</v>
      </c>
      <c r="AA71" s="549">
        <v>1.5426841039807678E-2</v>
      </c>
      <c r="AB71" s="549">
        <v>1.5096912086510686E-2</v>
      </c>
      <c r="AC71" s="549">
        <v>1.4771762940478094E-2</v>
      </c>
      <c r="AD71" s="549">
        <v>1.4451389428007118E-2</v>
      </c>
      <c r="AE71" s="549">
        <v>1.4135785304478664E-2</v>
      </c>
      <c r="AF71" s="549">
        <v>1.3824942302413575E-2</v>
      </c>
    </row>
    <row r="72" spans="1:32" x14ac:dyDescent="0.25">
      <c r="A72" s="839"/>
      <c r="B72" s="552" t="s">
        <v>50</v>
      </c>
      <c r="C72" s="539"/>
      <c r="D72" s="539"/>
      <c r="E72" s="539"/>
      <c r="F72" s="539"/>
      <c r="G72" s="549">
        <v>0.35369806616412891</v>
      </c>
      <c r="H72" s="549">
        <v>0.3534511785957124</v>
      </c>
      <c r="I72" s="549">
        <v>0.35366771657610485</v>
      </c>
      <c r="J72" s="549">
        <v>0.35388323271130484</v>
      </c>
      <c r="K72" s="549">
        <v>0.35386954630658513</v>
      </c>
      <c r="L72" s="549">
        <v>0.35372258696249603</v>
      </c>
      <c r="M72" s="549">
        <v>0.35309755063989007</v>
      </c>
      <c r="N72" s="549">
        <v>0.35241381329387167</v>
      </c>
      <c r="O72" s="549">
        <v>0.35217313607976403</v>
      </c>
      <c r="P72" s="549">
        <v>0.35182984891678404</v>
      </c>
      <c r="Q72" s="549">
        <v>0.35165059623634148</v>
      </c>
      <c r="R72" s="549">
        <v>0.35122986727401395</v>
      </c>
      <c r="S72" s="549">
        <v>0.35067848547992481</v>
      </c>
      <c r="T72" s="549">
        <v>0.3500194631004524</v>
      </c>
      <c r="U72" s="549">
        <v>0.34929802572262425</v>
      </c>
      <c r="V72" s="549">
        <v>0.3485071168442711</v>
      </c>
      <c r="W72" s="549">
        <v>0.34750412635622224</v>
      </c>
      <c r="X72" s="549">
        <v>0.34659320245896069</v>
      </c>
      <c r="Y72" s="549">
        <v>0.34579728389547121</v>
      </c>
      <c r="Z72" s="549">
        <v>0.34498016022072625</v>
      </c>
      <c r="AA72" s="549">
        <v>0.34403220829531539</v>
      </c>
      <c r="AB72" s="549">
        <v>0.34299228749752808</v>
      </c>
      <c r="AC72" s="549">
        <v>0.34190197602402878</v>
      </c>
      <c r="AD72" s="549">
        <v>0.34076176654354862</v>
      </c>
      <c r="AE72" s="549">
        <v>0.33957217359978581</v>
      </c>
      <c r="AF72" s="549">
        <v>0.33833373322404503</v>
      </c>
    </row>
    <row r="73" spans="1:32" x14ac:dyDescent="0.25">
      <c r="A73" s="839"/>
      <c r="B73" s="550" t="s">
        <v>51</v>
      </c>
      <c r="C73" s="539"/>
      <c r="D73" s="539"/>
      <c r="E73" s="539"/>
      <c r="F73" s="539"/>
      <c r="G73" s="549">
        <v>0.31784672103776357</v>
      </c>
      <c r="H73" s="549">
        <v>0.31837451936137395</v>
      </c>
      <c r="I73" s="549">
        <v>0.3193129134975517</v>
      </c>
      <c r="J73" s="549">
        <v>0.32025305003485066</v>
      </c>
      <c r="K73" s="549">
        <v>0.32099217497775978</v>
      </c>
      <c r="L73" s="549">
        <v>0.32161430483842984</v>
      </c>
      <c r="M73" s="549">
        <v>0.32181078090125997</v>
      </c>
      <c r="N73" s="549">
        <v>0.32195385823242784</v>
      </c>
      <c r="O73" s="549">
        <v>0.32249324330695583</v>
      </c>
      <c r="P73" s="549">
        <v>0.32294112433374739</v>
      </c>
      <c r="Q73" s="549">
        <v>0.32353716343617778</v>
      </c>
      <c r="R73" s="549">
        <v>0.32391607450343751</v>
      </c>
      <c r="S73" s="549">
        <v>0.32417666415851148</v>
      </c>
      <c r="T73" s="549">
        <v>0.32433897478400164</v>
      </c>
      <c r="U73" s="549">
        <v>0.324443452041003</v>
      </c>
      <c r="V73" s="549">
        <v>0.32448324773969756</v>
      </c>
      <c r="W73" s="549">
        <v>0.32432752675317295</v>
      </c>
      <c r="X73" s="549">
        <v>0.32425360468559244</v>
      </c>
      <c r="Y73" s="549">
        <v>0.32428314931219054</v>
      </c>
      <c r="Z73" s="549">
        <v>0.3242914881321286</v>
      </c>
      <c r="AA73" s="549">
        <v>0.32417729079758595</v>
      </c>
      <c r="AB73" s="549">
        <v>0.32397563267064633</v>
      </c>
      <c r="AC73" s="549">
        <v>0.3237244501763123</v>
      </c>
      <c r="AD73" s="549">
        <v>0.32342385111005317</v>
      </c>
      <c r="AE73" s="549">
        <v>0.3230739659198017</v>
      </c>
      <c r="AF73" s="549">
        <v>0.32267494761189697</v>
      </c>
    </row>
    <row r="74" spans="1:32" x14ac:dyDescent="0.25">
      <c r="A74" s="839"/>
      <c r="B74" s="550" t="s">
        <v>52</v>
      </c>
      <c r="C74" s="539"/>
      <c r="D74" s="539"/>
      <c r="E74" s="539"/>
      <c r="F74" s="539"/>
      <c r="G74" s="549">
        <v>6.3916850848701565E-2</v>
      </c>
      <c r="H74" s="549">
        <v>6.4616598977287734E-2</v>
      </c>
      <c r="I74" s="549">
        <v>6.5410102603329273E-2</v>
      </c>
      <c r="J74" s="549">
        <v>6.6214375992918087E-2</v>
      </c>
      <c r="K74" s="549">
        <v>6.6986765950605126E-2</v>
      </c>
      <c r="L74" s="549">
        <v>6.7744064542650972E-2</v>
      </c>
      <c r="M74" s="549">
        <v>6.8419346244007237E-2</v>
      </c>
      <c r="N74" s="549">
        <v>6.9090848981991609E-2</v>
      </c>
      <c r="O74" s="549">
        <v>6.9856737156359983E-2</v>
      </c>
      <c r="P74" s="549">
        <v>7.0611732677334171E-2</v>
      </c>
      <c r="Q74" s="549">
        <v>7.1408797547140274E-2</v>
      </c>
      <c r="R74" s="549">
        <v>7.2166711633327232E-2</v>
      </c>
      <c r="S74" s="549">
        <v>7.2906635720666704E-2</v>
      </c>
      <c r="T74" s="549">
        <v>7.3632483969873361E-2</v>
      </c>
      <c r="U74" s="549">
        <v>7.4353054755505604E-2</v>
      </c>
      <c r="V74" s="549">
        <v>7.5067275273641959E-2</v>
      </c>
      <c r="W74" s="549">
        <v>7.5743849910748298E-2</v>
      </c>
      <c r="X74" s="549">
        <v>7.644677988328917E-2</v>
      </c>
      <c r="Y74" s="549">
        <v>7.7182619182731296E-2</v>
      </c>
      <c r="Z74" s="549">
        <v>7.7921125629997159E-2</v>
      </c>
      <c r="AA74" s="549">
        <v>7.8638070127244802E-2</v>
      </c>
      <c r="AB74" s="549">
        <v>7.9341297036019248E-2</v>
      </c>
      <c r="AC74" s="549">
        <v>8.0039061023565242E-2</v>
      </c>
      <c r="AD74" s="549">
        <v>8.0731699227517231E-2</v>
      </c>
      <c r="AE74" s="549">
        <v>8.1418904783933224E-2</v>
      </c>
      <c r="AF74" s="549">
        <v>8.2099815335353668E-2</v>
      </c>
    </row>
    <row r="75" spans="1:32" x14ac:dyDescent="0.25">
      <c r="A75" s="839"/>
      <c r="B75" s="552" t="s">
        <v>29</v>
      </c>
      <c r="C75" s="539"/>
      <c r="D75" s="539"/>
      <c r="E75" s="539"/>
      <c r="F75" s="539"/>
      <c r="G75" s="549">
        <v>0</v>
      </c>
      <c r="H75" s="549">
        <v>4.591304629119497E-3</v>
      </c>
      <c r="I75" s="549">
        <v>9.2675075361868513E-3</v>
      </c>
      <c r="J75" s="549">
        <v>1.4019963666802924E-2</v>
      </c>
      <c r="K75" s="549">
        <v>1.8832785816856584E-2</v>
      </c>
      <c r="L75" s="549">
        <v>2.3706308107147741E-2</v>
      </c>
      <c r="M75" s="549">
        <v>2.8600514706470494E-2</v>
      </c>
      <c r="N75" s="549">
        <v>3.354503691922054E-2</v>
      </c>
      <c r="O75" s="549">
        <v>3.8604127313233053E-2</v>
      </c>
      <c r="P75" s="549">
        <v>4.3718179980164487E-2</v>
      </c>
      <c r="Q75" s="549">
        <v>4.8926631055114272E-2</v>
      </c>
      <c r="R75" s="549">
        <v>5.4166267278394534E-2</v>
      </c>
      <c r="S75" s="549">
        <v>5.9448257226847885E-2</v>
      </c>
      <c r="T75" s="549">
        <v>6.4772150960756669E-2</v>
      </c>
      <c r="U75" s="549">
        <v>7.0143757196627091E-2</v>
      </c>
      <c r="V75" s="549">
        <v>7.5558489035601209E-2</v>
      </c>
      <c r="W75" s="549">
        <v>8.0977164221628706E-2</v>
      </c>
      <c r="X75" s="549">
        <v>8.6473455571745877E-2</v>
      </c>
      <c r="Y75" s="549">
        <v>9.2058624676156345E-2</v>
      </c>
      <c r="Z75" s="549">
        <v>9.769794335979283E-2</v>
      </c>
      <c r="AA75" s="549">
        <v>0.10335494415170231</v>
      </c>
      <c r="AB75" s="549">
        <v>0.10903668792698619</v>
      </c>
      <c r="AC75" s="549">
        <v>0.11475425730662395</v>
      </c>
      <c r="AD75" s="549">
        <v>0.12050513501064856</v>
      </c>
      <c r="AE75" s="549">
        <v>0.12628725172949096</v>
      </c>
      <c r="AF75" s="549">
        <v>0.13209892108333809</v>
      </c>
    </row>
    <row r="76" spans="1:32" x14ac:dyDescent="0.25">
      <c r="A76" s="839"/>
      <c r="B76" s="552" t="s">
        <v>53</v>
      </c>
      <c r="C76" s="539"/>
      <c r="D76" s="539"/>
      <c r="E76" s="539"/>
      <c r="F76" s="539"/>
      <c r="G76" s="549">
        <v>0</v>
      </c>
      <c r="H76" s="549">
        <v>0</v>
      </c>
      <c r="I76" s="549">
        <v>0</v>
      </c>
      <c r="J76" s="549">
        <v>0</v>
      </c>
      <c r="K76" s="549">
        <v>0</v>
      </c>
      <c r="L76" s="549">
        <v>0</v>
      </c>
      <c r="M76" s="549">
        <v>0</v>
      </c>
      <c r="N76" s="549">
        <v>0</v>
      </c>
      <c r="O76" s="549">
        <v>0</v>
      </c>
      <c r="P76" s="549">
        <v>0</v>
      </c>
      <c r="Q76" s="549">
        <v>0</v>
      </c>
      <c r="R76" s="549">
        <v>0</v>
      </c>
      <c r="S76" s="549">
        <v>0</v>
      </c>
      <c r="T76" s="549">
        <v>0</v>
      </c>
      <c r="U76" s="549">
        <v>0</v>
      </c>
      <c r="V76" s="549">
        <v>0</v>
      </c>
      <c r="W76" s="549">
        <v>0</v>
      </c>
      <c r="X76" s="549">
        <v>0</v>
      </c>
      <c r="Y76" s="549">
        <v>0</v>
      </c>
      <c r="Z76" s="549">
        <v>0</v>
      </c>
      <c r="AA76" s="549">
        <v>0</v>
      </c>
      <c r="AB76" s="549">
        <v>0</v>
      </c>
      <c r="AC76" s="549">
        <v>0</v>
      </c>
      <c r="AD76" s="549">
        <v>0</v>
      </c>
      <c r="AE76" s="549">
        <v>0</v>
      </c>
      <c r="AF76" s="549">
        <v>0</v>
      </c>
    </row>
    <row r="77" spans="1:32" x14ac:dyDescent="0.25">
      <c r="A77" s="838"/>
      <c r="B77" s="539"/>
      <c r="C77" s="539"/>
      <c r="D77" s="539"/>
      <c r="E77" s="539"/>
      <c r="F77" s="539"/>
      <c r="G77" s="539"/>
      <c r="H77" s="539"/>
      <c r="I77" s="539"/>
      <c r="J77" s="539"/>
      <c r="K77" s="539"/>
      <c r="L77" s="539"/>
      <c r="M77" s="539"/>
      <c r="N77" s="539"/>
      <c r="O77" s="539"/>
      <c r="P77" s="539"/>
      <c r="Q77" s="539"/>
      <c r="R77" s="539"/>
      <c r="S77" s="539"/>
      <c r="T77" s="539"/>
      <c r="U77" s="539"/>
      <c r="V77" s="539"/>
      <c r="W77" s="539"/>
      <c r="X77" s="539"/>
      <c r="Y77" s="539"/>
      <c r="Z77" s="539"/>
      <c r="AA77" s="539"/>
      <c r="AB77" s="539"/>
      <c r="AC77" s="539"/>
      <c r="AD77" s="539"/>
      <c r="AE77" s="539"/>
      <c r="AF77" s="539"/>
    </row>
    <row r="78" spans="1:32" x14ac:dyDescent="0.25">
      <c r="A78" s="838"/>
      <c r="B78" s="539"/>
      <c r="C78" s="539"/>
      <c r="D78" s="539"/>
      <c r="E78" s="539"/>
      <c r="F78" s="539"/>
      <c r="G78" s="539"/>
      <c r="H78" s="539"/>
      <c r="I78" s="539"/>
      <c r="J78" s="539"/>
      <c r="K78" s="539"/>
      <c r="L78" s="539"/>
      <c r="M78" s="539"/>
      <c r="N78" s="539"/>
      <c r="O78" s="539"/>
      <c r="P78" s="539"/>
      <c r="Q78" s="539"/>
      <c r="R78" s="539"/>
      <c r="S78" s="539"/>
      <c r="T78" s="539"/>
      <c r="U78" s="539"/>
      <c r="V78" s="539"/>
      <c r="W78" s="539"/>
      <c r="X78" s="539"/>
      <c r="Y78" s="539"/>
      <c r="Z78" s="539"/>
      <c r="AA78" s="539"/>
      <c r="AB78" s="539"/>
      <c r="AC78" s="539"/>
      <c r="AD78" s="539"/>
      <c r="AE78" s="539"/>
      <c r="AF78" s="539"/>
    </row>
    <row r="79" spans="1:32" s="539" customFormat="1" x14ac:dyDescent="0.25">
      <c r="A79" s="860" t="s">
        <v>528</v>
      </c>
      <c r="B79" s="555"/>
      <c r="C79" s="554"/>
      <c r="D79" s="553"/>
      <c r="E79" s="553"/>
      <c r="F79" s="553"/>
      <c r="G79" s="553" t="s">
        <v>702</v>
      </c>
      <c r="H79" s="560"/>
      <c r="I79" s="560"/>
      <c r="J79" s="560"/>
      <c r="K79" s="560"/>
      <c r="L79" s="560"/>
      <c r="M79" s="560"/>
      <c r="N79" s="560"/>
      <c r="O79" s="560"/>
      <c r="P79" s="560"/>
      <c r="Q79" s="560"/>
      <c r="R79" s="560"/>
      <c r="S79" s="560"/>
      <c r="T79" s="560"/>
      <c r="U79" s="560"/>
      <c r="V79" s="560"/>
      <c r="W79" s="560"/>
      <c r="X79" s="560"/>
      <c r="Y79" s="560"/>
      <c r="Z79" s="560"/>
      <c r="AA79" s="560"/>
      <c r="AB79" s="560"/>
      <c r="AC79" s="560"/>
      <c r="AD79" s="560"/>
      <c r="AE79" s="560"/>
      <c r="AF79" s="560"/>
    </row>
    <row r="80" spans="1:32" s="539" customFormat="1" x14ac:dyDescent="0.25">
      <c r="A80" s="840" t="s">
        <v>12</v>
      </c>
      <c r="B80" s="550"/>
    </row>
    <row r="81" spans="1:32" s="539" customFormat="1" x14ac:dyDescent="0.25">
      <c r="A81" s="839"/>
      <c r="B81" s="550" t="s">
        <v>20</v>
      </c>
    </row>
    <row r="82" spans="1:32" s="202" customFormat="1" ht="12.75" x14ac:dyDescent="0.2">
      <c r="A82" s="843" t="s">
        <v>21</v>
      </c>
      <c r="B82" s="556"/>
      <c r="C82" s="556"/>
      <c r="D82" s="556"/>
      <c r="E82" s="556"/>
      <c r="F82" s="556"/>
      <c r="G82" s="556"/>
      <c r="H82" s="556"/>
      <c r="I82" s="556"/>
      <c r="J82" s="556"/>
      <c r="K82" s="556"/>
      <c r="L82" s="556"/>
      <c r="M82" s="556"/>
      <c r="N82" s="556"/>
      <c r="O82" s="556"/>
      <c r="P82" s="556"/>
      <c r="Q82" s="556"/>
      <c r="R82" s="556"/>
      <c r="S82" s="556"/>
      <c r="T82" s="556"/>
      <c r="U82" s="556"/>
      <c r="V82" s="556"/>
      <c r="W82" s="556"/>
      <c r="X82" s="556"/>
      <c r="Y82" s="556"/>
      <c r="Z82" s="556"/>
      <c r="AA82" s="556"/>
      <c r="AB82" s="556"/>
      <c r="AC82" s="556"/>
      <c r="AD82" s="556"/>
      <c r="AE82" s="556"/>
      <c r="AF82" s="556"/>
    </row>
    <row r="83" spans="1:32" x14ac:dyDescent="0.25">
      <c r="A83" s="839"/>
      <c r="B83" s="550" t="s">
        <v>22</v>
      </c>
      <c r="C83" s="539"/>
      <c r="D83" s="539"/>
      <c r="E83" s="539"/>
      <c r="F83" s="539"/>
      <c r="G83" s="540">
        <v>63.640623298605817</v>
      </c>
      <c r="H83" s="540">
        <v>38.753944277526102</v>
      </c>
      <c r="I83" s="540">
        <v>27.814444949285516</v>
      </c>
      <c r="J83" s="540">
        <v>16.334629469205677</v>
      </c>
      <c r="K83" s="540">
        <v>11.360732753489817</v>
      </c>
      <c r="L83" s="540">
        <v>7.3576914127292143</v>
      </c>
      <c r="M83" s="540">
        <v>2.7757090556253576</v>
      </c>
      <c r="N83" s="540">
        <v>2.6893881496459575</v>
      </c>
      <c r="O83" s="540">
        <v>2.7094087075341227</v>
      </c>
      <c r="P83" s="540">
        <v>2.7424891512801342</v>
      </c>
      <c r="Q83" s="540">
        <v>2.7793366896878005</v>
      </c>
      <c r="R83" s="540">
        <v>2.8144125605936874</v>
      </c>
      <c r="S83" s="540">
        <v>2.8487751890502553</v>
      </c>
      <c r="T83" s="540">
        <v>2.882770848623613</v>
      </c>
      <c r="U83" s="540">
        <v>2.9167628965093622</v>
      </c>
      <c r="V83" s="540">
        <v>2.9505876385597665</v>
      </c>
      <c r="W83" s="540">
        <v>2.9826654068604888</v>
      </c>
      <c r="X83" s="540">
        <v>3.016371174154469</v>
      </c>
      <c r="Y83" s="540">
        <v>3.0517907454983582</v>
      </c>
      <c r="Z83" s="540">
        <v>3.0871882650645337</v>
      </c>
      <c r="AA83" s="540">
        <v>3.1214152741986014</v>
      </c>
      <c r="AB83" s="540">
        <v>3.1551014895577389</v>
      </c>
      <c r="AC83" s="540">
        <v>3.1887651041453751</v>
      </c>
      <c r="AD83" s="540">
        <v>3.2223286170025136</v>
      </c>
      <c r="AE83" s="540">
        <v>3.255740284070229</v>
      </c>
      <c r="AF83" s="540">
        <v>3.2889823366936985</v>
      </c>
    </row>
    <row r="84" spans="1:32" x14ac:dyDescent="0.25">
      <c r="A84" s="839"/>
      <c r="B84" s="550" t="s">
        <v>26</v>
      </c>
      <c r="C84" s="539"/>
      <c r="D84" s="539"/>
      <c r="E84" s="539"/>
      <c r="F84" s="539"/>
      <c r="G84" s="540">
        <v>1.1249483351891674</v>
      </c>
      <c r="H84" s="540">
        <v>0.66051517566051954</v>
      </c>
      <c r="I84" s="540">
        <v>2.3370413128986978</v>
      </c>
      <c r="J84" s="540">
        <v>6.161605313741302</v>
      </c>
      <c r="K84" s="540">
        <v>8.5376318075471627</v>
      </c>
      <c r="L84" s="540">
        <v>9.0783421413742342</v>
      </c>
      <c r="M84" s="540">
        <v>9.5810482060984548</v>
      </c>
      <c r="N84" s="540">
        <v>9.3082654680070558</v>
      </c>
      <c r="O84" s="540">
        <v>9.3894027926983377</v>
      </c>
      <c r="P84" s="540">
        <v>9.5025923299367392</v>
      </c>
      <c r="Q84" s="540">
        <v>9.6334236430183644</v>
      </c>
      <c r="R84" s="540">
        <v>9.7503980589712942</v>
      </c>
      <c r="S84" s="540">
        <v>9.8669731379914083</v>
      </c>
      <c r="T84" s="540">
        <v>9.9826386791073354</v>
      </c>
      <c r="U84" s="540">
        <v>10.099118297841708</v>
      </c>
      <c r="V84" s="540">
        <v>10.214828264212745</v>
      </c>
      <c r="W84" s="540">
        <v>10.321539695310339</v>
      </c>
      <c r="X84" s="540">
        <v>10.440075825770718</v>
      </c>
      <c r="Y84" s="540">
        <v>10.565017114278877</v>
      </c>
      <c r="Z84" s="540">
        <v>10.687043157205622</v>
      </c>
      <c r="AA84" s="540">
        <v>10.802668739482733</v>
      </c>
      <c r="AB84" s="540">
        <v>10.917215062371188</v>
      </c>
      <c r="AC84" s="540">
        <v>11.032537181584429</v>
      </c>
      <c r="AD84" s="540">
        <v>11.147477212229729</v>
      </c>
      <c r="AE84" s="540">
        <v>11.26186527943139</v>
      </c>
      <c r="AF84" s="540">
        <v>11.37564132772887</v>
      </c>
    </row>
    <row r="85" spans="1:32" x14ac:dyDescent="0.25">
      <c r="A85" s="839"/>
      <c r="B85" s="550" t="s">
        <v>27</v>
      </c>
      <c r="C85" s="539"/>
      <c r="D85" s="539"/>
      <c r="E85" s="539"/>
      <c r="F85" s="539"/>
      <c r="G85" s="540">
        <v>12.147461319147761</v>
      </c>
      <c r="H85" s="540">
        <v>18.297201860121017</v>
      </c>
      <c r="I85" s="540">
        <v>20.731442514516598</v>
      </c>
      <c r="J85" s="540">
        <v>22.716641179362462</v>
      </c>
      <c r="K85" s="540">
        <v>23.598209791544978</v>
      </c>
      <c r="L85" s="540">
        <v>24.749157654918527</v>
      </c>
      <c r="M85" s="540">
        <v>26.008026942103822</v>
      </c>
      <c r="N85" s="540">
        <v>26.45126623400078</v>
      </c>
      <c r="O85" s="540">
        <v>26.816766066162558</v>
      </c>
      <c r="P85" s="540">
        <v>27.167161032791704</v>
      </c>
      <c r="Q85" s="540">
        <v>27.531498985516002</v>
      </c>
      <c r="R85" s="540">
        <v>27.884133550659964</v>
      </c>
      <c r="S85" s="540">
        <v>28.230319583781636</v>
      </c>
      <c r="T85" s="540">
        <v>28.571764637512803</v>
      </c>
      <c r="U85" s="540">
        <v>28.911738070092685</v>
      </c>
      <c r="V85" s="540">
        <v>29.249837012384564</v>
      </c>
      <c r="W85" s="540">
        <v>29.57481616912278</v>
      </c>
      <c r="X85" s="540">
        <v>29.908858597350868</v>
      </c>
      <c r="Y85" s="540">
        <v>30.256061927908604</v>
      </c>
      <c r="Z85" s="540">
        <v>30.606316725492199</v>
      </c>
      <c r="AA85" s="540">
        <v>30.949734838982536</v>
      </c>
      <c r="AB85" s="540">
        <v>31.288190395937388</v>
      </c>
      <c r="AC85" s="540">
        <v>31.625010467766575</v>
      </c>
      <c r="AD85" s="540">
        <v>31.960388665928576</v>
      </c>
      <c r="AE85" s="540">
        <v>32.294245424347956</v>
      </c>
      <c r="AF85" s="540">
        <v>32.626463426028906</v>
      </c>
    </row>
    <row r="86" spans="1:32" x14ac:dyDescent="0.25">
      <c r="A86" s="839"/>
      <c r="B86" s="550" t="s">
        <v>29</v>
      </c>
      <c r="C86" s="539"/>
      <c r="D86" s="539"/>
      <c r="E86" s="539"/>
      <c r="F86" s="539"/>
      <c r="G86" s="540">
        <v>0</v>
      </c>
      <c r="H86" s="540">
        <v>9.1655278664468549E-3</v>
      </c>
      <c r="I86" s="540">
        <v>1.6879749150766371E-2</v>
      </c>
      <c r="J86" s="540">
        <v>2.0894878913276169E-2</v>
      </c>
      <c r="K86" s="540">
        <v>2.4099973293995498E-2</v>
      </c>
      <c r="L86" s="540">
        <v>2.7010787643991889E-2</v>
      </c>
      <c r="M86" s="540">
        <v>2.9625192435542732E-2</v>
      </c>
      <c r="N86" s="540">
        <v>3.1773076154801259E-2</v>
      </c>
      <c r="O86" s="540">
        <v>3.3691996384900905E-2</v>
      </c>
      <c r="P86" s="540">
        <v>3.5291723450066717E-2</v>
      </c>
      <c r="Q86" s="540">
        <v>3.6714091196393191E-2</v>
      </c>
      <c r="R86" s="540">
        <v>3.788564777249652E-2</v>
      </c>
      <c r="S86" s="540">
        <v>3.8885269845920098E-2</v>
      </c>
      <c r="T86" s="540">
        <v>3.9752985265093972E-2</v>
      </c>
      <c r="U86" s="540">
        <v>4.0527868568732583E-2</v>
      </c>
      <c r="V86" s="540">
        <v>4.1226375242362973E-2</v>
      </c>
      <c r="W86" s="540">
        <v>4.1818909410594636E-2</v>
      </c>
      <c r="X86" s="540">
        <v>4.2417295341009978E-2</v>
      </c>
      <c r="Y86" s="540">
        <v>4.3032104493859823E-2</v>
      </c>
      <c r="Z86" s="540">
        <v>4.3621098712862898E-2</v>
      </c>
      <c r="AA86" s="540">
        <v>4.4154038857831888E-2</v>
      </c>
      <c r="AB86" s="540">
        <v>4.4651862165917683E-2</v>
      </c>
      <c r="AC86" s="540">
        <v>4.5133547210351871E-2</v>
      </c>
      <c r="AD86" s="540">
        <v>4.5601698996348028E-2</v>
      </c>
      <c r="AE86" s="540">
        <v>4.6058337331455562E-2</v>
      </c>
      <c r="AF86" s="540">
        <v>4.6505020308578074E-2</v>
      </c>
    </row>
    <row r="87" spans="1:32" x14ac:dyDescent="0.25">
      <c r="A87" s="839"/>
      <c r="B87" s="550"/>
      <c r="C87" s="539"/>
      <c r="D87" s="539"/>
      <c r="E87" s="539"/>
      <c r="F87" s="539"/>
      <c r="G87" s="540" t="s">
        <v>73</v>
      </c>
      <c r="H87" s="540" t="s">
        <v>73</v>
      </c>
      <c r="I87" s="540" t="s">
        <v>73</v>
      </c>
      <c r="J87" s="540" t="s">
        <v>73</v>
      </c>
      <c r="K87" s="540" t="s">
        <v>73</v>
      </c>
      <c r="L87" s="540" t="s">
        <v>73</v>
      </c>
      <c r="M87" s="540" t="s">
        <v>73</v>
      </c>
      <c r="N87" s="540" t="s">
        <v>73</v>
      </c>
      <c r="O87" s="540" t="s">
        <v>73</v>
      </c>
      <c r="P87" s="540" t="s">
        <v>73</v>
      </c>
      <c r="Q87" s="540" t="s">
        <v>73</v>
      </c>
      <c r="R87" s="540" t="s">
        <v>73</v>
      </c>
      <c r="S87" s="540" t="s">
        <v>73</v>
      </c>
      <c r="T87" s="540" t="s">
        <v>73</v>
      </c>
      <c r="U87" s="540" t="s">
        <v>73</v>
      </c>
      <c r="V87" s="540" t="s">
        <v>73</v>
      </c>
      <c r="W87" s="540" t="s">
        <v>73</v>
      </c>
      <c r="X87" s="540" t="s">
        <v>73</v>
      </c>
      <c r="Y87" s="540" t="s">
        <v>73</v>
      </c>
      <c r="Z87" s="540" t="s">
        <v>73</v>
      </c>
      <c r="AA87" s="540" t="s">
        <v>73</v>
      </c>
      <c r="AB87" s="540" t="s">
        <v>73</v>
      </c>
      <c r="AC87" s="540" t="s">
        <v>73</v>
      </c>
      <c r="AD87" s="540" t="s">
        <v>73</v>
      </c>
      <c r="AE87" s="540" t="s">
        <v>73</v>
      </c>
      <c r="AF87" s="540" t="s">
        <v>73</v>
      </c>
    </row>
    <row r="88" spans="1:32" s="202" customFormat="1" ht="12.75" x14ac:dyDescent="0.2">
      <c r="A88" s="843" t="s">
        <v>32</v>
      </c>
      <c r="B88" s="556"/>
      <c r="C88" s="556"/>
      <c r="D88" s="556"/>
      <c r="E88" s="556"/>
      <c r="F88" s="556"/>
      <c r="G88" s="547" t="s">
        <v>73</v>
      </c>
      <c r="H88" s="547" t="s">
        <v>73</v>
      </c>
      <c r="I88" s="547" t="s">
        <v>73</v>
      </c>
      <c r="J88" s="547" t="s">
        <v>73</v>
      </c>
      <c r="K88" s="547" t="s">
        <v>73</v>
      </c>
      <c r="L88" s="547" t="s">
        <v>73</v>
      </c>
      <c r="M88" s="547" t="s">
        <v>73</v>
      </c>
      <c r="N88" s="547" t="s">
        <v>73</v>
      </c>
      <c r="O88" s="547" t="s">
        <v>73</v>
      </c>
      <c r="P88" s="547" t="s">
        <v>73</v>
      </c>
      <c r="Q88" s="547" t="s">
        <v>73</v>
      </c>
      <c r="R88" s="547" t="s">
        <v>73</v>
      </c>
      <c r="S88" s="547" t="s">
        <v>73</v>
      </c>
      <c r="T88" s="547" t="s">
        <v>73</v>
      </c>
      <c r="U88" s="547" t="s">
        <v>73</v>
      </c>
      <c r="V88" s="547" t="s">
        <v>73</v>
      </c>
      <c r="W88" s="547" t="s">
        <v>73</v>
      </c>
      <c r="X88" s="547" t="s">
        <v>73</v>
      </c>
      <c r="Y88" s="547" t="s">
        <v>73</v>
      </c>
      <c r="Z88" s="547" t="s">
        <v>73</v>
      </c>
      <c r="AA88" s="547" t="s">
        <v>73</v>
      </c>
      <c r="AB88" s="547" t="s">
        <v>73</v>
      </c>
      <c r="AC88" s="547" t="s">
        <v>73</v>
      </c>
      <c r="AD88" s="547" t="s">
        <v>73</v>
      </c>
      <c r="AE88" s="547" t="s">
        <v>73</v>
      </c>
      <c r="AF88" s="547" t="s">
        <v>73</v>
      </c>
    </row>
    <row r="89" spans="1:32" x14ac:dyDescent="0.25">
      <c r="A89" s="839"/>
      <c r="B89" s="550" t="s">
        <v>33</v>
      </c>
      <c r="C89" s="539"/>
      <c r="D89" s="539"/>
      <c r="E89" s="539"/>
      <c r="F89" s="539"/>
      <c r="G89" s="540">
        <v>39.769550431237327</v>
      </c>
      <c r="H89" s="540">
        <v>31.4734069520185</v>
      </c>
      <c r="I89" s="540">
        <v>34.388111076171555</v>
      </c>
      <c r="J89" s="540">
        <v>37.09975684953519</v>
      </c>
      <c r="K89" s="540">
        <v>39.791075751535132</v>
      </c>
      <c r="L89" s="540">
        <v>40.293606832930145</v>
      </c>
      <c r="M89" s="540">
        <v>40.770380306001279</v>
      </c>
      <c r="N89" s="540">
        <v>41.245674148447094</v>
      </c>
      <c r="O89" s="540">
        <v>41.77712072920847</v>
      </c>
      <c r="P89" s="540">
        <v>42.319328130040901</v>
      </c>
      <c r="Q89" s="540">
        <v>42.883845261375058</v>
      </c>
      <c r="R89" s="540">
        <v>43.435021122268843</v>
      </c>
      <c r="S89" s="540">
        <v>43.97299204812434</v>
      </c>
      <c r="T89" s="540">
        <v>44.503329293528999</v>
      </c>
      <c r="U89" s="540">
        <v>45.031204236799084</v>
      </c>
      <c r="V89" s="540">
        <v>45.556649728231555</v>
      </c>
      <c r="W89" s="540">
        <v>46.062714188941847</v>
      </c>
      <c r="X89" s="540">
        <v>46.579653557222009</v>
      </c>
      <c r="Y89" s="540">
        <v>47.1192191716869</v>
      </c>
      <c r="Z89" s="540">
        <v>47.665669750781561</v>
      </c>
      <c r="AA89" s="540">
        <v>48.201504135197041</v>
      </c>
      <c r="AB89" s="540">
        <v>48.727986078326069</v>
      </c>
      <c r="AC89" s="540">
        <v>49.251390856178872</v>
      </c>
      <c r="AD89" s="540">
        <v>49.772815914086685</v>
      </c>
      <c r="AE89" s="540">
        <v>50.291972113225235</v>
      </c>
      <c r="AF89" s="540">
        <v>50.808617635288009</v>
      </c>
    </row>
    <row r="90" spans="1:32" x14ac:dyDescent="0.25">
      <c r="A90" s="842"/>
      <c r="B90" s="552" t="s">
        <v>34</v>
      </c>
      <c r="C90" s="539"/>
      <c r="D90" s="539"/>
      <c r="E90" s="539"/>
      <c r="F90" s="539"/>
      <c r="G90" s="540">
        <v>39.271378913483801</v>
      </c>
      <c r="H90" s="540">
        <v>51.705131250636931</v>
      </c>
      <c r="I90" s="540">
        <v>51.244296402253987</v>
      </c>
      <c r="J90" s="540">
        <v>47.719815717613528</v>
      </c>
      <c r="K90" s="540">
        <v>43.804240561859281</v>
      </c>
      <c r="L90" s="540">
        <v>42.929510269248993</v>
      </c>
      <c r="M90" s="540">
        <v>43.415313797640223</v>
      </c>
      <c r="N90" s="540">
        <v>43.919119882333177</v>
      </c>
      <c r="O90" s="540">
        <v>44.50727560765835</v>
      </c>
      <c r="P90" s="540">
        <v>45.079841609601814</v>
      </c>
      <c r="Q90" s="540">
        <v>45.689616341227961</v>
      </c>
      <c r="R90" s="540">
        <v>46.264397339521381</v>
      </c>
      <c r="S90" s="540">
        <v>46.830629586082772</v>
      </c>
      <c r="T90" s="540">
        <v>47.38975689055124</v>
      </c>
      <c r="U90" s="540">
        <v>47.948522871576145</v>
      </c>
      <c r="V90" s="540">
        <v>48.504197071812101</v>
      </c>
      <c r="W90" s="540">
        <v>49.031206856973618</v>
      </c>
      <c r="X90" s="540">
        <v>49.586571452975626</v>
      </c>
      <c r="Y90" s="540">
        <v>50.167412977452777</v>
      </c>
      <c r="Z90" s="540">
        <v>50.747862494153779</v>
      </c>
      <c r="AA90" s="540">
        <v>51.310563610162205</v>
      </c>
      <c r="AB90" s="540">
        <v>51.865424554139793</v>
      </c>
      <c r="AC90" s="540">
        <v>52.419354044097219</v>
      </c>
      <c r="AD90" s="540">
        <v>52.971099513703649</v>
      </c>
      <c r="AE90" s="540">
        <v>53.520357502868464</v>
      </c>
      <c r="AF90" s="540">
        <v>54.06687310247289</v>
      </c>
    </row>
    <row r="91" spans="1:32" x14ac:dyDescent="0.25">
      <c r="A91" s="839"/>
      <c r="B91" s="552" t="s">
        <v>35</v>
      </c>
      <c r="C91" s="539"/>
      <c r="D91" s="539"/>
      <c r="E91" s="539"/>
      <c r="F91" s="539"/>
      <c r="G91" s="540">
        <v>11.689124014225987</v>
      </c>
      <c r="H91" s="540">
        <v>10.002556072797134</v>
      </c>
      <c r="I91" s="540">
        <v>9.3011142287167594</v>
      </c>
      <c r="J91" s="540">
        <v>9.1515704787834569</v>
      </c>
      <c r="K91" s="540">
        <v>9.3204639402204492</v>
      </c>
      <c r="L91" s="540">
        <v>9.468296024890039</v>
      </c>
      <c r="M91" s="540">
        <v>9.5981713982664694</v>
      </c>
      <c r="N91" s="540">
        <v>9.7209759131520936</v>
      </c>
      <c r="O91" s="540">
        <v>9.849718102512206</v>
      </c>
      <c r="P91" s="540">
        <v>9.9781410582793129</v>
      </c>
      <c r="Q91" s="540">
        <v>10.111032632767071</v>
      </c>
      <c r="R91" s="540">
        <v>10.241452273783326</v>
      </c>
      <c r="S91" s="540">
        <v>10.370097311178821</v>
      </c>
      <c r="T91" s="540">
        <v>10.497127800712867</v>
      </c>
      <c r="U91" s="540">
        <v>10.623378186361629</v>
      </c>
      <c r="V91" s="540">
        <v>10.748840682402104</v>
      </c>
      <c r="W91" s="540">
        <v>10.870458553200187</v>
      </c>
      <c r="X91" s="540">
        <v>10.993943515982993</v>
      </c>
      <c r="Y91" s="540">
        <v>11.121034961833516</v>
      </c>
      <c r="Z91" s="540">
        <v>11.249528653375805</v>
      </c>
      <c r="AA91" s="540">
        <v>11.376614773764638</v>
      </c>
      <c r="AB91" s="540">
        <v>11.502323239666676</v>
      </c>
      <c r="AC91" s="540">
        <v>11.62734262500951</v>
      </c>
      <c r="AD91" s="540">
        <v>11.751749102391642</v>
      </c>
      <c r="AE91" s="540">
        <v>11.875558668491363</v>
      </c>
      <c r="AF91" s="540">
        <v>11.998756782774676</v>
      </c>
    </row>
    <row r="92" spans="1:32" x14ac:dyDescent="0.25">
      <c r="A92" s="839"/>
      <c r="B92" s="552" t="s">
        <v>29</v>
      </c>
      <c r="C92" s="539"/>
      <c r="D92" s="539"/>
      <c r="E92" s="539"/>
      <c r="F92" s="539"/>
      <c r="G92" s="540">
        <v>0</v>
      </c>
      <c r="H92" s="540">
        <v>1.4566299568301973E-2</v>
      </c>
      <c r="I92" s="540">
        <v>2.6497121593385492E-2</v>
      </c>
      <c r="J92" s="540">
        <v>3.6278821131593593E-2</v>
      </c>
      <c r="K92" s="540">
        <v>4.436280779226083E-2</v>
      </c>
      <c r="L92" s="540">
        <v>5.0881154898875763E-2</v>
      </c>
      <c r="M92" s="540">
        <v>5.600403816839207E-2</v>
      </c>
      <c r="N92" s="540">
        <v>6.0200506220702936E-2</v>
      </c>
      <c r="O92" s="540">
        <v>6.3905928404923235E-2</v>
      </c>
      <c r="P92" s="540">
        <v>6.6991414838675337E-2</v>
      </c>
      <c r="Q92" s="540">
        <v>6.971613210982959E-2</v>
      </c>
      <c r="R92" s="540">
        <v>7.1969023163533374E-2</v>
      </c>
      <c r="S92" s="540">
        <v>7.3893972863355223E-2</v>
      </c>
      <c r="T92" s="540">
        <v>7.5566909206763191E-2</v>
      </c>
      <c r="U92" s="540">
        <v>7.7060471044276227E-2</v>
      </c>
      <c r="V92" s="540">
        <v>7.8407511675883695E-2</v>
      </c>
      <c r="W92" s="540">
        <v>7.9561116947297658E-2</v>
      </c>
      <c r="X92" s="540">
        <v>8.071425679150783E-2</v>
      </c>
      <c r="Y92" s="540">
        <v>8.1888050582886993E-2</v>
      </c>
      <c r="Z92" s="540">
        <v>8.3012890630270494E-2</v>
      </c>
      <c r="AA92" s="540">
        <v>8.4038407991555042E-2</v>
      </c>
      <c r="AB92" s="540">
        <v>8.5000743361776876E-2</v>
      </c>
      <c r="AC92" s="540">
        <v>8.5932780337589956E-2</v>
      </c>
      <c r="AD92" s="540">
        <v>8.6839535970634665E-2</v>
      </c>
      <c r="AE92" s="540">
        <v>8.7724883430182754E-2</v>
      </c>
      <c r="AF92" s="540">
        <v>8.8591798241226719E-2</v>
      </c>
    </row>
    <row r="93" spans="1:32" x14ac:dyDescent="0.25">
      <c r="A93" s="839"/>
      <c r="B93" s="550"/>
      <c r="C93" s="539"/>
      <c r="D93" s="539"/>
      <c r="E93" s="539"/>
      <c r="F93" s="539"/>
      <c r="G93" s="540" t="s">
        <v>73</v>
      </c>
      <c r="H93" s="540" t="s">
        <v>73</v>
      </c>
      <c r="I93" s="540" t="s">
        <v>73</v>
      </c>
      <c r="J93" s="540" t="s">
        <v>73</v>
      </c>
      <c r="K93" s="540" t="s">
        <v>73</v>
      </c>
      <c r="L93" s="540" t="s">
        <v>73</v>
      </c>
      <c r="M93" s="540" t="s">
        <v>73</v>
      </c>
      <c r="N93" s="540" t="s">
        <v>73</v>
      </c>
      <c r="O93" s="540" t="s">
        <v>73</v>
      </c>
      <c r="P93" s="540" t="s">
        <v>73</v>
      </c>
      <c r="Q93" s="540" t="s">
        <v>73</v>
      </c>
      <c r="R93" s="540" t="s">
        <v>73</v>
      </c>
      <c r="S93" s="540" t="s">
        <v>73</v>
      </c>
      <c r="T93" s="540" t="s">
        <v>73</v>
      </c>
      <c r="U93" s="540" t="s">
        <v>73</v>
      </c>
      <c r="V93" s="540" t="s">
        <v>73</v>
      </c>
      <c r="W93" s="540" t="s">
        <v>73</v>
      </c>
      <c r="X93" s="540" t="s">
        <v>73</v>
      </c>
      <c r="Y93" s="540" t="s">
        <v>73</v>
      </c>
      <c r="Z93" s="540" t="s">
        <v>73</v>
      </c>
      <c r="AA93" s="540" t="s">
        <v>73</v>
      </c>
      <c r="AB93" s="540" t="s">
        <v>73</v>
      </c>
      <c r="AC93" s="540" t="s">
        <v>73</v>
      </c>
      <c r="AD93" s="540" t="s">
        <v>73</v>
      </c>
      <c r="AE93" s="540" t="s">
        <v>73</v>
      </c>
      <c r="AF93" s="540" t="s">
        <v>73</v>
      </c>
    </row>
    <row r="94" spans="1:32" s="202" customFormat="1" ht="12.75" x14ac:dyDescent="0.2">
      <c r="A94" s="843" t="s">
        <v>36</v>
      </c>
      <c r="B94" s="556"/>
      <c r="C94" s="556"/>
      <c r="D94" s="556"/>
      <c r="E94" s="556"/>
      <c r="F94" s="556"/>
      <c r="G94" s="547" t="s">
        <v>73</v>
      </c>
      <c r="H94" s="547" t="s">
        <v>73</v>
      </c>
      <c r="I94" s="547" t="s">
        <v>73</v>
      </c>
      <c r="J94" s="547" t="s">
        <v>73</v>
      </c>
      <c r="K94" s="547" t="s">
        <v>73</v>
      </c>
      <c r="L94" s="547" t="s">
        <v>73</v>
      </c>
      <c r="M94" s="547" t="s">
        <v>73</v>
      </c>
      <c r="N94" s="547" t="s">
        <v>73</v>
      </c>
      <c r="O94" s="547" t="s">
        <v>73</v>
      </c>
      <c r="P94" s="547" t="s">
        <v>73</v>
      </c>
      <c r="Q94" s="547" t="s">
        <v>73</v>
      </c>
      <c r="R94" s="547" t="s">
        <v>73</v>
      </c>
      <c r="S94" s="547" t="s">
        <v>73</v>
      </c>
      <c r="T94" s="547" t="s">
        <v>73</v>
      </c>
      <c r="U94" s="547" t="s">
        <v>73</v>
      </c>
      <c r="V94" s="547" t="s">
        <v>73</v>
      </c>
      <c r="W94" s="547" t="s">
        <v>73</v>
      </c>
      <c r="X94" s="547" t="s">
        <v>73</v>
      </c>
      <c r="Y94" s="547" t="s">
        <v>73</v>
      </c>
      <c r="Z94" s="547" t="s">
        <v>73</v>
      </c>
      <c r="AA94" s="547" t="s">
        <v>73</v>
      </c>
      <c r="AB94" s="547" t="s">
        <v>73</v>
      </c>
      <c r="AC94" s="547" t="s">
        <v>73</v>
      </c>
      <c r="AD94" s="547" t="s">
        <v>73</v>
      </c>
      <c r="AE94" s="547" t="s">
        <v>73</v>
      </c>
      <c r="AF94" s="547" t="s">
        <v>73</v>
      </c>
    </row>
    <row r="95" spans="1:32" x14ac:dyDescent="0.25">
      <c r="A95" s="839"/>
      <c r="B95" s="550" t="s">
        <v>37</v>
      </c>
      <c r="C95" s="539"/>
      <c r="D95" s="539"/>
      <c r="E95" s="539"/>
      <c r="F95" s="201"/>
      <c r="G95" s="540">
        <v>394.62947009717578</v>
      </c>
      <c r="H95" s="540">
        <v>343.37780886717644</v>
      </c>
      <c r="I95" s="540">
        <v>282.01135956249715</v>
      </c>
      <c r="J95" s="540">
        <v>217.38358017909761</v>
      </c>
      <c r="K95" s="540">
        <v>156.02801654784852</v>
      </c>
      <c r="L95" s="540">
        <v>112.3771906581231</v>
      </c>
      <c r="M95" s="540">
        <v>81.195026396617237</v>
      </c>
      <c r="N95" s="540">
        <v>58.886876540056214</v>
      </c>
      <c r="O95" s="540">
        <v>43.031633687952215</v>
      </c>
      <c r="P95" s="540">
        <v>31.741726837952662</v>
      </c>
      <c r="Q95" s="540">
        <v>23.697601781103995</v>
      </c>
      <c r="R95" s="540">
        <v>17.954487428210339</v>
      </c>
      <c r="S95" s="540">
        <v>13.851381943050981</v>
      </c>
      <c r="T95" s="540">
        <v>10.917972441487859</v>
      </c>
      <c r="U95" s="540">
        <v>8.8205291540603614</v>
      </c>
      <c r="V95" s="540">
        <v>7.3210830142277477</v>
      </c>
      <c r="W95" s="540">
        <v>6.2445589596632258</v>
      </c>
      <c r="X95" s="540">
        <v>5.4770837731240629</v>
      </c>
      <c r="Y95" s="540">
        <v>4.9309192308160039</v>
      </c>
      <c r="Z95" s="540">
        <v>4.5412057152031533</v>
      </c>
      <c r="AA95" s="540">
        <v>4.2640921556726195</v>
      </c>
      <c r="AB95" s="540">
        <v>4.0664031634828159</v>
      </c>
      <c r="AC95" s="540">
        <v>3.9267701710496556</v>
      </c>
      <c r="AD95" s="540">
        <v>3.8315958358080495</v>
      </c>
      <c r="AE95" s="540">
        <v>3.766138735916321</v>
      </c>
      <c r="AF95" s="540">
        <v>3.7246901799253878</v>
      </c>
    </row>
    <row r="96" spans="1:32" x14ac:dyDescent="0.25">
      <c r="A96" s="839"/>
      <c r="B96" s="550" t="s">
        <v>39</v>
      </c>
      <c r="C96" s="539"/>
      <c r="D96" s="539"/>
      <c r="E96" s="203"/>
      <c r="F96" s="539"/>
      <c r="G96" s="540">
        <v>680.39617371866427</v>
      </c>
      <c r="H96" s="540">
        <v>718.30022556004678</v>
      </c>
      <c r="I96" s="540">
        <v>764.33750383163454</v>
      </c>
      <c r="J96" s="540">
        <v>813.15365880060631</v>
      </c>
      <c r="K96" s="540">
        <v>858.28601955186161</v>
      </c>
      <c r="L96" s="540">
        <v>890.56074213393401</v>
      </c>
      <c r="M96" s="540">
        <v>913.27744181089577</v>
      </c>
      <c r="N96" s="540">
        <v>931.41700057485139</v>
      </c>
      <c r="O96" s="540">
        <v>947.28427404356785</v>
      </c>
      <c r="P96" s="540">
        <v>961.02192561139134</v>
      </c>
      <c r="Q96" s="540">
        <v>973.94647319854846</v>
      </c>
      <c r="R96" s="540">
        <v>986.13306662106413</v>
      </c>
      <c r="S96" s="540">
        <v>998.20294915714624</v>
      </c>
      <c r="T96" s="540">
        <v>1010.4580948601892</v>
      </c>
      <c r="U96" s="540">
        <v>1022.3746108327449</v>
      </c>
      <c r="V96" s="540">
        <v>1034.0319655193121</v>
      </c>
      <c r="W96" s="540">
        <v>1045.0689181162236</v>
      </c>
      <c r="X96" s="540">
        <v>1056.4288472238732</v>
      </c>
      <c r="Y96" s="540">
        <v>1068.2292080518707</v>
      </c>
      <c r="Z96" s="540">
        <v>1080.083936473213</v>
      </c>
      <c r="AA96" s="540">
        <v>1091.659802836482</v>
      </c>
      <c r="AB96" s="540">
        <v>1103.0744956265307</v>
      </c>
      <c r="AC96" s="540">
        <v>1114.4569597415873</v>
      </c>
      <c r="AD96" s="540">
        <v>1125.8064545971968</v>
      </c>
      <c r="AE96" s="540">
        <v>1137.1198799333226</v>
      </c>
      <c r="AF96" s="540">
        <v>1148.394049397247</v>
      </c>
    </row>
    <row r="97" spans="1:32" x14ac:dyDescent="0.25">
      <c r="A97" s="839"/>
      <c r="B97" s="550" t="s">
        <v>40</v>
      </c>
      <c r="C97" s="539"/>
      <c r="D97" s="539"/>
      <c r="E97" s="539"/>
      <c r="F97" s="539"/>
      <c r="G97" s="540">
        <v>76.72330769037778</v>
      </c>
      <c r="H97" s="540">
        <v>86.72517049788209</v>
      </c>
      <c r="I97" s="540">
        <v>97.194136227102248</v>
      </c>
      <c r="J97" s="540">
        <v>107.43644500603159</v>
      </c>
      <c r="K97" s="540">
        <v>117.24610190973382</v>
      </c>
      <c r="L97" s="540">
        <v>125.0158558230986</v>
      </c>
      <c r="M97" s="540">
        <v>131.15511772142969</v>
      </c>
      <c r="N97" s="540">
        <v>135.88493996462915</v>
      </c>
      <c r="O97" s="540">
        <v>140.12848948219781</v>
      </c>
      <c r="P97" s="540">
        <v>143.8352228232261</v>
      </c>
      <c r="Q97" s="540">
        <v>147.2547530068951</v>
      </c>
      <c r="R97" s="540">
        <v>150.30298758530932</v>
      </c>
      <c r="S97" s="540">
        <v>153.09732481045148</v>
      </c>
      <c r="T97" s="540">
        <v>155.69828480090518</v>
      </c>
      <c r="U97" s="540">
        <v>158.16392541130043</v>
      </c>
      <c r="V97" s="540">
        <v>160.52101451658328</v>
      </c>
      <c r="W97" s="540">
        <v>162.72115016126509</v>
      </c>
      <c r="X97" s="540">
        <v>164.92354092738924</v>
      </c>
      <c r="Y97" s="540">
        <v>167.15697482306382</v>
      </c>
      <c r="Z97" s="540">
        <v>169.36436688781419</v>
      </c>
      <c r="AA97" s="540">
        <v>171.49328345527042</v>
      </c>
      <c r="AB97" s="540">
        <v>173.57060741168442</v>
      </c>
      <c r="AC97" s="540">
        <v>175.62081190303817</v>
      </c>
      <c r="AD97" s="540">
        <v>177.64339671386711</v>
      </c>
      <c r="AE97" s="540">
        <v>179.64404765157602</v>
      </c>
      <c r="AF97" s="540">
        <v>181.62098374324665</v>
      </c>
    </row>
    <row r="98" spans="1:32" x14ac:dyDescent="0.25">
      <c r="A98" s="839"/>
      <c r="B98" s="550" t="s">
        <v>29</v>
      </c>
      <c r="C98" s="539"/>
      <c r="D98" s="539"/>
      <c r="E98" s="539"/>
      <c r="F98" s="539"/>
      <c r="G98" s="540">
        <v>0</v>
      </c>
      <c r="H98" s="540">
        <v>2.7933828991072493E-6</v>
      </c>
      <c r="I98" s="540">
        <v>5.0513199548489273E-6</v>
      </c>
      <c r="J98" s="540">
        <v>6.8540520442956012E-6</v>
      </c>
      <c r="K98" s="540">
        <v>8.308581279521513E-6</v>
      </c>
      <c r="L98" s="540">
        <v>9.5291372639899589E-6</v>
      </c>
      <c r="M98" s="540">
        <v>1.0533345354623243E-5</v>
      </c>
      <c r="N98" s="540">
        <v>1.137668481243766E-5</v>
      </c>
      <c r="O98" s="540">
        <v>1.2104012714464062E-5</v>
      </c>
      <c r="P98" s="540">
        <v>1.2689645673972653E-5</v>
      </c>
      <c r="Q98" s="540">
        <v>1.3192507872154173E-5</v>
      </c>
      <c r="R98" s="540">
        <v>1.3590396534134947E-5</v>
      </c>
      <c r="S98" s="540">
        <v>1.3916307125529639E-5</v>
      </c>
      <c r="T98" s="540">
        <v>1.4187819498581098E-5</v>
      </c>
      <c r="U98" s="540">
        <v>1.442134131718048E-5</v>
      </c>
      <c r="V98" s="540">
        <v>1.4624439288949908E-5</v>
      </c>
      <c r="W98" s="540">
        <v>1.4787686645139294E-5</v>
      </c>
      <c r="X98" s="540">
        <v>1.4952322677543905E-5</v>
      </c>
      <c r="Y98" s="540">
        <v>1.5122522460350438E-5</v>
      </c>
      <c r="Z98" s="540">
        <v>1.5283453472548434E-5</v>
      </c>
      <c r="AA98" s="540">
        <v>1.5424699662297473E-5</v>
      </c>
      <c r="AB98" s="540">
        <v>1.55540868741301E-5</v>
      </c>
      <c r="AC98" s="540">
        <v>1.5678565103269193E-5</v>
      </c>
      <c r="AD98" s="540">
        <v>1.579915584480645E-5</v>
      </c>
      <c r="AE98" s="540">
        <v>1.5916631719541086E-5</v>
      </c>
      <c r="AF98" s="540">
        <v>1.6031572186964072E-5</v>
      </c>
    </row>
    <row r="99" spans="1:32" x14ac:dyDescent="0.25">
      <c r="A99" s="839"/>
      <c r="B99" s="550"/>
      <c r="C99" s="539"/>
      <c r="D99" s="539"/>
      <c r="E99" s="539"/>
      <c r="F99" s="539"/>
      <c r="G99" s="540" t="s">
        <v>73</v>
      </c>
      <c r="H99" s="540" t="s">
        <v>73</v>
      </c>
      <c r="I99" s="540" t="s">
        <v>73</v>
      </c>
      <c r="J99" s="540" t="s">
        <v>73</v>
      </c>
      <c r="K99" s="540" t="s">
        <v>73</v>
      </c>
      <c r="L99" s="540" t="s">
        <v>73</v>
      </c>
      <c r="M99" s="540" t="s">
        <v>73</v>
      </c>
      <c r="N99" s="540" t="s">
        <v>73</v>
      </c>
      <c r="O99" s="540" t="s">
        <v>73</v>
      </c>
      <c r="P99" s="540" t="s">
        <v>73</v>
      </c>
      <c r="Q99" s="540" t="s">
        <v>73</v>
      </c>
      <c r="R99" s="540" t="s">
        <v>73</v>
      </c>
      <c r="S99" s="540" t="s">
        <v>73</v>
      </c>
      <c r="T99" s="540" t="s">
        <v>73</v>
      </c>
      <c r="U99" s="540" t="s">
        <v>73</v>
      </c>
      <c r="V99" s="540" t="s">
        <v>73</v>
      </c>
      <c r="W99" s="540" t="s">
        <v>73</v>
      </c>
      <c r="X99" s="540" t="s">
        <v>73</v>
      </c>
      <c r="Y99" s="540" t="s">
        <v>73</v>
      </c>
      <c r="Z99" s="540" t="s">
        <v>73</v>
      </c>
      <c r="AA99" s="540" t="s">
        <v>73</v>
      </c>
      <c r="AB99" s="540" t="s">
        <v>73</v>
      </c>
      <c r="AC99" s="540" t="s">
        <v>73</v>
      </c>
      <c r="AD99" s="540" t="s">
        <v>73</v>
      </c>
      <c r="AE99" s="540" t="s">
        <v>73</v>
      </c>
      <c r="AF99" s="540" t="s">
        <v>73</v>
      </c>
    </row>
    <row r="100" spans="1:32" s="202" customFormat="1" ht="12.75" x14ac:dyDescent="0.2">
      <c r="A100" s="843" t="s">
        <v>42</v>
      </c>
      <c r="B100" s="556"/>
      <c r="C100" s="556"/>
      <c r="D100" s="556"/>
      <c r="E100" s="556"/>
      <c r="F100" s="556"/>
      <c r="G100" s="547" t="s">
        <v>73</v>
      </c>
      <c r="H100" s="547" t="s">
        <v>73</v>
      </c>
      <c r="I100" s="547" t="s">
        <v>73</v>
      </c>
      <c r="J100" s="547" t="s">
        <v>73</v>
      </c>
      <c r="K100" s="547" t="s">
        <v>73</v>
      </c>
      <c r="L100" s="547" t="s">
        <v>73</v>
      </c>
      <c r="M100" s="547" t="s">
        <v>73</v>
      </c>
      <c r="N100" s="547" t="s">
        <v>73</v>
      </c>
      <c r="O100" s="547" t="s">
        <v>73</v>
      </c>
      <c r="P100" s="547" t="s">
        <v>73</v>
      </c>
      <c r="Q100" s="547" t="s">
        <v>73</v>
      </c>
      <c r="R100" s="547" t="s">
        <v>73</v>
      </c>
      <c r="S100" s="547" t="s">
        <v>73</v>
      </c>
      <c r="T100" s="547" t="s">
        <v>73</v>
      </c>
      <c r="U100" s="547" t="s">
        <v>73</v>
      </c>
      <c r="V100" s="547" t="s">
        <v>73</v>
      </c>
      <c r="W100" s="547" t="s">
        <v>73</v>
      </c>
      <c r="X100" s="547" t="s">
        <v>73</v>
      </c>
      <c r="Y100" s="547" t="s">
        <v>73</v>
      </c>
      <c r="Z100" s="547" t="s">
        <v>73</v>
      </c>
      <c r="AA100" s="547" t="s">
        <v>73</v>
      </c>
      <c r="AB100" s="547" t="s">
        <v>73</v>
      </c>
      <c r="AC100" s="547" t="s">
        <v>73</v>
      </c>
      <c r="AD100" s="547" t="s">
        <v>73</v>
      </c>
      <c r="AE100" s="547" t="s">
        <v>73</v>
      </c>
      <c r="AF100" s="547" t="s">
        <v>73</v>
      </c>
    </row>
    <row r="101" spans="1:32" x14ac:dyDescent="0.25">
      <c r="A101" s="839"/>
      <c r="B101" s="552" t="s">
        <v>43</v>
      </c>
      <c r="C101" s="539"/>
      <c r="D101" s="539"/>
      <c r="E101" s="539"/>
      <c r="F101" s="539"/>
      <c r="G101" s="540">
        <v>7.2965687431406883</v>
      </c>
      <c r="H101" s="540">
        <v>6.4548881904720368</v>
      </c>
      <c r="I101" s="540">
        <v>5.7205664159645417</v>
      </c>
      <c r="J101" s="540">
        <v>5.0793263288775616</v>
      </c>
      <c r="K101" s="540">
        <v>4.5189581122522036</v>
      </c>
      <c r="L101" s="540">
        <v>4.029207477205456</v>
      </c>
      <c r="M101" s="540">
        <v>3.6006194503720583</v>
      </c>
      <c r="N101" s="540">
        <v>3.2258761057562024</v>
      </c>
      <c r="O101" s="540">
        <v>2.8988183550673896</v>
      </c>
      <c r="P101" s="540">
        <v>2.6128105278236773</v>
      </c>
      <c r="Q101" s="540">
        <v>2.3630394198028948</v>
      </c>
      <c r="R101" s="540">
        <v>2.1444531190901643</v>
      </c>
      <c r="S101" s="540">
        <v>1.9532640069971932</v>
      </c>
      <c r="T101" s="540">
        <v>1.7860706412936147</v>
      </c>
      <c r="U101" s="540">
        <v>1.6399414248839179</v>
      </c>
      <c r="V101" s="540">
        <v>1.512251567417854</v>
      </c>
      <c r="W101" s="540">
        <v>1.4005047561543409</v>
      </c>
      <c r="X101" s="540">
        <v>1.3031513170287308</v>
      </c>
      <c r="Y101" s="540">
        <v>1.2184903657362685</v>
      </c>
      <c r="Z101" s="540">
        <v>1.1447950447187039</v>
      </c>
      <c r="AA101" s="540">
        <v>1.0805580262291965</v>
      </c>
      <c r="AB101" s="540">
        <v>1.0248059323819014</v>
      </c>
      <c r="AC101" s="540">
        <v>0.97652062717954158</v>
      </c>
      <c r="AD101" s="540">
        <v>0.93465911411586744</v>
      </c>
      <c r="AE101" s="540">
        <v>0.89853349558338325</v>
      </c>
      <c r="AF101" s="540">
        <v>0.86742616673435369</v>
      </c>
    </row>
    <row r="102" spans="1:32" x14ac:dyDescent="0.25">
      <c r="A102" s="839"/>
      <c r="B102" s="552" t="s">
        <v>44</v>
      </c>
      <c r="C102" s="539"/>
      <c r="D102" s="539"/>
      <c r="E102" s="539"/>
      <c r="F102" s="539"/>
      <c r="G102" s="540">
        <v>214.73010696779519</v>
      </c>
      <c r="H102" s="540">
        <v>219.77973564713244</v>
      </c>
      <c r="I102" s="540">
        <v>226.17547943873558</v>
      </c>
      <c r="J102" s="540">
        <v>232.26533394426255</v>
      </c>
      <c r="K102" s="540">
        <v>237.93164680927489</v>
      </c>
      <c r="L102" s="540">
        <v>243.27801355872853</v>
      </c>
      <c r="M102" s="540">
        <v>248.08056353587824</v>
      </c>
      <c r="N102" s="540">
        <v>252.66970398507144</v>
      </c>
      <c r="O102" s="540">
        <v>257.45177281890824</v>
      </c>
      <c r="P102" s="540">
        <v>262.04329849837933</v>
      </c>
      <c r="Q102" s="540">
        <v>266.66991212489791</v>
      </c>
      <c r="R102" s="540">
        <v>271.03334364808291</v>
      </c>
      <c r="S102" s="540">
        <v>275.23039477363744</v>
      </c>
      <c r="T102" s="540">
        <v>279.28912590793783</v>
      </c>
      <c r="U102" s="540">
        <v>283.25521797539693</v>
      </c>
      <c r="V102" s="540">
        <v>287.13106883119747</v>
      </c>
      <c r="W102" s="540">
        <v>290.80222107183852</v>
      </c>
      <c r="X102" s="540">
        <v>294.5312670255791</v>
      </c>
      <c r="Y102" s="540">
        <v>298.34856110336767</v>
      </c>
      <c r="Z102" s="540">
        <v>302.14382875019157</v>
      </c>
      <c r="AA102" s="540">
        <v>305.8233256817723</v>
      </c>
      <c r="AB102" s="540">
        <v>309.42185319015755</v>
      </c>
      <c r="AC102" s="540">
        <v>312.978783454103</v>
      </c>
      <c r="AD102" s="540">
        <v>316.49692061608357</v>
      </c>
      <c r="AE102" s="540">
        <v>319.97767676934251</v>
      </c>
      <c r="AF102" s="540">
        <v>323.42258423196142</v>
      </c>
    </row>
    <row r="103" spans="1:32" x14ac:dyDescent="0.25">
      <c r="A103" s="839"/>
      <c r="B103" s="552" t="s">
        <v>45</v>
      </c>
      <c r="C103" s="539"/>
      <c r="D103" s="539"/>
      <c r="E103" s="539"/>
      <c r="F103" s="539"/>
      <c r="G103" s="540">
        <v>17.620408691880957</v>
      </c>
      <c r="H103" s="540">
        <v>15.758425067453231</v>
      </c>
      <c r="I103" s="540">
        <v>14.137761018207199</v>
      </c>
      <c r="J103" s="540">
        <v>12.72484926897411</v>
      </c>
      <c r="K103" s="540">
        <v>11.491577128611778</v>
      </c>
      <c r="L103" s="540">
        <v>10.415443067890605</v>
      </c>
      <c r="M103" s="540">
        <v>9.4739604931343155</v>
      </c>
      <c r="N103" s="540">
        <v>8.6524675418286421</v>
      </c>
      <c r="O103" s="540">
        <v>7.9393100954063662</v>
      </c>
      <c r="P103" s="540">
        <v>7.3174797429612326</v>
      </c>
      <c r="Q103" s="540">
        <v>6.7773669734390314</v>
      </c>
      <c r="R103" s="540">
        <v>6.3059975104618085</v>
      </c>
      <c r="S103" s="540">
        <v>5.8953743551753703</v>
      </c>
      <c r="T103" s="540">
        <v>5.5379978926982529</v>
      </c>
      <c r="U103" s="540">
        <v>5.2275192976400486</v>
      </c>
      <c r="V103" s="540">
        <v>4.9580474055010191</v>
      </c>
      <c r="W103" s="540">
        <v>4.7233563964564063</v>
      </c>
      <c r="X103" s="540">
        <v>4.5213626946272072</v>
      </c>
      <c r="Y103" s="540">
        <v>4.3483999252900212</v>
      </c>
      <c r="Z103" s="540">
        <v>4.199995407287056</v>
      </c>
      <c r="AA103" s="540">
        <v>4.0722608557134299</v>
      </c>
      <c r="AB103" s="540">
        <v>3.9631997692784187</v>
      </c>
      <c r="AC103" s="540">
        <v>3.8707298434772461</v>
      </c>
      <c r="AD103" s="540">
        <v>3.792512050548722</v>
      </c>
      <c r="AE103" s="540">
        <v>3.727013775303659</v>
      </c>
      <c r="AF103" s="540">
        <v>3.6726282757295894</v>
      </c>
    </row>
    <row r="104" spans="1:32" x14ac:dyDescent="0.25">
      <c r="A104" s="839"/>
      <c r="B104" s="552" t="s">
        <v>46</v>
      </c>
      <c r="C104" s="539"/>
      <c r="D104" s="539"/>
      <c r="E104" s="539"/>
      <c r="F104" s="539"/>
      <c r="G104" s="540">
        <v>0.17796902205461904</v>
      </c>
      <c r="H104" s="540">
        <v>0.15604034640461281</v>
      </c>
      <c r="I104" s="540">
        <v>0.13687211328678581</v>
      </c>
      <c r="J104" s="540">
        <v>0.12010901769295605</v>
      </c>
      <c r="K104" s="540">
        <v>0.105442551197304</v>
      </c>
      <c r="L104" s="540">
        <v>9.2604690621516425E-2</v>
      </c>
      <c r="M104" s="540">
        <v>8.1362458851142239E-2</v>
      </c>
      <c r="N104" s="540">
        <v>7.1513234249420576E-2</v>
      </c>
      <c r="O104" s="540">
        <v>6.2880703066364202E-2</v>
      </c>
      <c r="P104" s="540">
        <v>5.5311364516493232E-2</v>
      </c>
      <c r="Q104" s="540">
        <v>4.8671511207639802E-2</v>
      </c>
      <c r="R104" s="540">
        <v>4.2844618690743505E-2</v>
      </c>
      <c r="S104" s="540">
        <v>3.7729087357689602E-2</v>
      </c>
      <c r="T104" s="540">
        <v>3.3236287986898233E-2</v>
      </c>
      <c r="U104" s="540">
        <v>2.9288869132403014E-2</v>
      </c>
      <c r="V104" s="540">
        <v>2.5819290447406055E-2</v>
      </c>
      <c r="W104" s="540">
        <v>2.2768551076655992E-2</v>
      </c>
      <c r="X104" s="540">
        <v>2.0085086569646832E-2</v>
      </c>
      <c r="Y104" s="540">
        <v>1.7723811465597511E-2</v>
      </c>
      <c r="Z104" s="540">
        <v>1.5645287872286018E-2</v>
      </c>
      <c r="AA104" s="540">
        <v>1.381500308124989E-2</v>
      </c>
      <c r="AB104" s="540">
        <v>1.2206593112645917E-2</v>
      </c>
      <c r="AC104" s="540">
        <v>1.0792110311928229E-2</v>
      </c>
      <c r="AD104" s="540">
        <v>9.5444242010581173E-3</v>
      </c>
      <c r="AE104" s="540">
        <v>8.4459917312385748E-3</v>
      </c>
      <c r="AF104" s="540">
        <v>7.4782891182044011E-3</v>
      </c>
    </row>
    <row r="105" spans="1:32" x14ac:dyDescent="0.25">
      <c r="A105" s="839"/>
      <c r="B105" s="550" t="s">
        <v>29</v>
      </c>
      <c r="C105" s="539"/>
      <c r="D105" s="539"/>
      <c r="E105" s="539"/>
      <c r="F105" s="539"/>
      <c r="G105" s="540">
        <v>0</v>
      </c>
      <c r="H105" s="540">
        <v>5.1462459099229402E-6</v>
      </c>
      <c r="I105" s="540">
        <v>9.3074392017568869E-6</v>
      </c>
      <c r="J105" s="540">
        <v>1.2629043420665472E-5</v>
      </c>
      <c r="K105" s="540">
        <v>1.5255781895336941E-5</v>
      </c>
      <c r="L105" s="540">
        <v>1.7352228017419327E-5</v>
      </c>
      <c r="M105" s="540">
        <v>1.8971637372092562E-5</v>
      </c>
      <c r="N105" s="540">
        <v>2.0283867196229935E-5</v>
      </c>
      <c r="O105" s="540">
        <v>2.1445765955168234E-5</v>
      </c>
      <c r="P105" s="540">
        <v>2.2400543306233996E-5</v>
      </c>
      <c r="Q105" s="540">
        <v>2.3241344778698511E-5</v>
      </c>
      <c r="R105" s="540">
        <v>2.3921671177037112E-5</v>
      </c>
      <c r="S105" s="540">
        <v>2.4493280234148082E-5</v>
      </c>
      <c r="T105" s="540">
        <v>2.4982350662390044E-5</v>
      </c>
      <c r="U105" s="540">
        <v>2.5414139806107061E-5</v>
      </c>
      <c r="V105" s="540">
        <v>2.5799187518120197E-5</v>
      </c>
      <c r="W105" s="540">
        <v>2.6118577961941675E-5</v>
      </c>
      <c r="X105" s="540">
        <v>2.644375216106376E-5</v>
      </c>
      <c r="Y105" s="540">
        <v>2.6780956131236621E-5</v>
      </c>
      <c r="Z105" s="540">
        <v>2.7102906189130694E-5</v>
      </c>
      <c r="AA105" s="540">
        <v>2.7390309874786807E-5</v>
      </c>
      <c r="AB105" s="540">
        <v>2.7656481884326073E-5</v>
      </c>
      <c r="AC105" s="540">
        <v>2.7913441447258284E-5</v>
      </c>
      <c r="AD105" s="540">
        <v>2.8162807529942026E-5</v>
      </c>
      <c r="AE105" s="540">
        <v>2.840568991449257E-5</v>
      </c>
      <c r="AF105" s="540">
        <v>2.8643001743825157E-5</v>
      </c>
    </row>
    <row r="106" spans="1:32" x14ac:dyDescent="0.25">
      <c r="A106" s="839"/>
      <c r="B106" s="550"/>
      <c r="C106" s="539"/>
      <c r="D106" s="539"/>
      <c r="E106" s="539"/>
      <c r="F106" s="539"/>
      <c r="G106" s="540" t="s">
        <v>73</v>
      </c>
      <c r="H106" s="540" t="s">
        <v>73</v>
      </c>
      <c r="I106" s="540" t="s">
        <v>73</v>
      </c>
      <c r="J106" s="540" t="s">
        <v>73</v>
      </c>
      <c r="K106" s="540" t="s">
        <v>73</v>
      </c>
      <c r="L106" s="540" t="s">
        <v>73</v>
      </c>
      <c r="M106" s="540" t="s">
        <v>73</v>
      </c>
      <c r="N106" s="540" t="s">
        <v>73</v>
      </c>
      <c r="O106" s="540" t="s">
        <v>73</v>
      </c>
      <c r="P106" s="540" t="s">
        <v>73</v>
      </c>
      <c r="Q106" s="540" t="s">
        <v>73</v>
      </c>
      <c r="R106" s="540" t="s">
        <v>73</v>
      </c>
      <c r="S106" s="540" t="s">
        <v>73</v>
      </c>
      <c r="T106" s="540" t="s">
        <v>73</v>
      </c>
      <c r="U106" s="540" t="s">
        <v>73</v>
      </c>
      <c r="V106" s="540" t="s">
        <v>73</v>
      </c>
      <c r="W106" s="540" t="s">
        <v>73</v>
      </c>
      <c r="X106" s="540" t="s">
        <v>73</v>
      </c>
      <c r="Y106" s="540" t="s">
        <v>73</v>
      </c>
      <c r="Z106" s="540" t="s">
        <v>73</v>
      </c>
      <c r="AA106" s="540" t="s">
        <v>73</v>
      </c>
      <c r="AB106" s="540" t="s">
        <v>73</v>
      </c>
      <c r="AC106" s="540" t="s">
        <v>73</v>
      </c>
      <c r="AD106" s="540" t="s">
        <v>73</v>
      </c>
      <c r="AE106" s="540" t="s">
        <v>73</v>
      </c>
      <c r="AF106" s="540" t="s">
        <v>73</v>
      </c>
    </row>
    <row r="107" spans="1:32" s="202" customFormat="1" ht="12.75" x14ac:dyDescent="0.2">
      <c r="A107" s="843" t="s">
        <v>47</v>
      </c>
      <c r="B107" s="556"/>
      <c r="C107" s="556"/>
      <c r="D107" s="556"/>
      <c r="E107" s="556"/>
      <c r="F107" s="556"/>
      <c r="G107" s="547" t="s">
        <v>73</v>
      </c>
      <c r="H107" s="547" t="s">
        <v>73</v>
      </c>
      <c r="I107" s="547" t="s">
        <v>73</v>
      </c>
      <c r="J107" s="547" t="s">
        <v>73</v>
      </c>
      <c r="K107" s="547" t="s">
        <v>73</v>
      </c>
      <c r="L107" s="547" t="s">
        <v>73</v>
      </c>
      <c r="M107" s="547" t="s">
        <v>73</v>
      </c>
      <c r="N107" s="547" t="s">
        <v>73</v>
      </c>
      <c r="O107" s="547" t="s">
        <v>73</v>
      </c>
      <c r="P107" s="547" t="s">
        <v>73</v>
      </c>
      <c r="Q107" s="547" t="s">
        <v>73</v>
      </c>
      <c r="R107" s="547" t="s">
        <v>73</v>
      </c>
      <c r="S107" s="547" t="s">
        <v>73</v>
      </c>
      <c r="T107" s="547" t="s">
        <v>73</v>
      </c>
      <c r="U107" s="547" t="s">
        <v>73</v>
      </c>
      <c r="V107" s="547" t="s">
        <v>73</v>
      </c>
      <c r="W107" s="547" t="s">
        <v>73</v>
      </c>
      <c r="X107" s="547" t="s">
        <v>73</v>
      </c>
      <c r="Y107" s="547" t="s">
        <v>73</v>
      </c>
      <c r="Z107" s="547" t="s">
        <v>73</v>
      </c>
      <c r="AA107" s="547" t="s">
        <v>73</v>
      </c>
      <c r="AB107" s="547" t="s">
        <v>73</v>
      </c>
      <c r="AC107" s="547" t="s">
        <v>73</v>
      </c>
      <c r="AD107" s="547" t="s">
        <v>73</v>
      </c>
      <c r="AE107" s="547" t="s">
        <v>73</v>
      </c>
      <c r="AF107" s="547" t="s">
        <v>73</v>
      </c>
    </row>
    <row r="108" spans="1:32" x14ac:dyDescent="0.25">
      <c r="A108" s="839"/>
      <c r="B108" s="550" t="s">
        <v>48</v>
      </c>
      <c r="C108" s="539"/>
      <c r="D108" s="539"/>
      <c r="E108" s="539"/>
      <c r="F108" s="539"/>
      <c r="G108" s="540">
        <v>2.9231470770308232</v>
      </c>
      <c r="H108" s="540">
        <v>2.8667920678165357</v>
      </c>
      <c r="I108" s="540">
        <v>2.796719260123222</v>
      </c>
      <c r="J108" s="540">
        <v>2.7285971708946728</v>
      </c>
      <c r="K108" s="540">
        <v>2.6606747028889819</v>
      </c>
      <c r="L108" s="540">
        <v>2.6104736139366551</v>
      </c>
      <c r="M108" s="540">
        <v>2.5578109133374562</v>
      </c>
      <c r="N108" s="540">
        <v>2.5057920999324264</v>
      </c>
      <c r="O108" s="540">
        <v>2.4578654200374683</v>
      </c>
      <c r="P108" s="540">
        <v>2.4101624916586069</v>
      </c>
      <c r="Q108" s="540">
        <v>2.3644687058657503</v>
      </c>
      <c r="R108" s="540">
        <v>2.3180721139030647</v>
      </c>
      <c r="S108" s="540">
        <v>2.2717497248076355</v>
      </c>
      <c r="T108" s="540">
        <v>2.2256739604450608</v>
      </c>
      <c r="U108" s="540">
        <v>2.1801417021023903</v>
      </c>
      <c r="V108" s="540">
        <v>2.1351130881520155</v>
      </c>
      <c r="W108" s="540">
        <v>2.0897487230645662</v>
      </c>
      <c r="X108" s="540">
        <v>2.0458662818229358</v>
      </c>
      <c r="Y108" s="540">
        <v>2.0035475002750611</v>
      </c>
      <c r="Z108" s="540">
        <v>1.9619751644148207</v>
      </c>
      <c r="AA108" s="540">
        <v>1.9205360461612626</v>
      </c>
      <c r="AB108" s="540">
        <v>1.8794621512631386</v>
      </c>
      <c r="AC108" s="540">
        <v>1.8389833096310262</v>
      </c>
      <c r="AD108" s="540">
        <v>1.7990990016675161</v>
      </c>
      <c r="AE108" s="540">
        <v>1.7598084499603026</v>
      </c>
      <c r="AF108" s="540">
        <v>1.7211106252648569</v>
      </c>
    </row>
    <row r="109" spans="1:32" x14ac:dyDescent="0.25">
      <c r="A109" s="839"/>
      <c r="B109" s="552" t="s">
        <v>50</v>
      </c>
      <c r="C109" s="539"/>
      <c r="D109" s="539"/>
      <c r="E109" s="539"/>
      <c r="F109" s="539"/>
      <c r="G109" s="540">
        <v>44.032986647939772</v>
      </c>
      <c r="H109" s="540">
        <v>44.002250836682663</v>
      </c>
      <c r="I109" s="540">
        <v>44.029208332104666</v>
      </c>
      <c r="J109" s="540">
        <v>44.056038614799157</v>
      </c>
      <c r="K109" s="540">
        <v>44.054334751154052</v>
      </c>
      <c r="L109" s="540">
        <v>44.036039319385807</v>
      </c>
      <c r="M109" s="540">
        <v>43.95822657829207</v>
      </c>
      <c r="N109" s="540">
        <v>43.873105961845283</v>
      </c>
      <c r="O109" s="540">
        <v>43.843143297162953</v>
      </c>
      <c r="P109" s="540">
        <v>43.800406396653884</v>
      </c>
      <c r="Q109" s="540">
        <v>43.778090665696865</v>
      </c>
      <c r="R109" s="540">
        <v>43.725712791592308</v>
      </c>
      <c r="S109" s="540">
        <v>43.657069534815847</v>
      </c>
      <c r="T109" s="540">
        <v>43.575025762423437</v>
      </c>
      <c r="U109" s="540">
        <v>43.485211750235749</v>
      </c>
      <c r="V109" s="540">
        <v>43.386749012064868</v>
      </c>
      <c r="W109" s="540">
        <v>43.261883566100657</v>
      </c>
      <c r="X109" s="540">
        <v>43.148479780096366</v>
      </c>
      <c r="Y109" s="540">
        <v>43.049393370438928</v>
      </c>
      <c r="Z109" s="540">
        <v>42.947667069670693</v>
      </c>
      <c r="AA109" s="540">
        <v>42.829653547778442</v>
      </c>
      <c r="AB109" s="540">
        <v>42.700190531199112</v>
      </c>
      <c r="AC109" s="540">
        <v>42.564454220635255</v>
      </c>
      <c r="AD109" s="540">
        <v>42.422505949969448</v>
      </c>
      <c r="AE109" s="540">
        <v>42.274409776367861</v>
      </c>
      <c r="AF109" s="540">
        <v>42.120232432056454</v>
      </c>
    </row>
    <row r="110" spans="1:32" x14ac:dyDescent="0.25">
      <c r="A110" s="839"/>
      <c r="B110" s="550" t="s">
        <v>51</v>
      </c>
      <c r="C110" s="539"/>
      <c r="D110" s="539"/>
      <c r="E110" s="539"/>
      <c r="F110" s="539"/>
      <c r="G110" s="540">
        <v>39.569739736865692</v>
      </c>
      <c r="H110" s="540">
        <v>39.635447013098165</v>
      </c>
      <c r="I110" s="540">
        <v>39.752270655695199</v>
      </c>
      <c r="J110" s="540">
        <v>39.869311215297571</v>
      </c>
      <c r="K110" s="540">
        <v>39.961327208190141</v>
      </c>
      <c r="L110" s="540">
        <v>40.038778114680149</v>
      </c>
      <c r="M110" s="540">
        <v>40.063238038776035</v>
      </c>
      <c r="N110" s="540">
        <v>40.081050186524713</v>
      </c>
      <c r="O110" s="540">
        <v>40.148199933885131</v>
      </c>
      <c r="P110" s="540">
        <v>40.203958054042417</v>
      </c>
      <c r="Q110" s="540">
        <v>40.278160839835394</v>
      </c>
      <c r="R110" s="540">
        <v>40.325332672427948</v>
      </c>
      <c r="S110" s="540">
        <v>40.357774299624012</v>
      </c>
      <c r="T110" s="540">
        <v>40.377980860780916</v>
      </c>
      <c r="U110" s="540">
        <v>40.390987563679936</v>
      </c>
      <c r="V110" s="540">
        <v>40.395941855594124</v>
      </c>
      <c r="W110" s="540">
        <v>40.376555659353905</v>
      </c>
      <c r="X110" s="540">
        <v>40.367352868255672</v>
      </c>
      <c r="Y110" s="540">
        <v>40.371030971906677</v>
      </c>
      <c r="Z110" s="540">
        <v>40.372069097873762</v>
      </c>
      <c r="AA110" s="540">
        <v>40.357852311896735</v>
      </c>
      <c r="AB110" s="540">
        <v>40.332747256312793</v>
      </c>
      <c r="AC110" s="540">
        <v>40.301476756196251</v>
      </c>
      <c r="AD110" s="540">
        <v>40.264054231344701</v>
      </c>
      <c r="AE110" s="540">
        <v>40.220495921632292</v>
      </c>
      <c r="AF110" s="540">
        <v>40.170820875300265</v>
      </c>
    </row>
    <row r="111" spans="1:32" x14ac:dyDescent="0.25">
      <c r="A111" s="839"/>
      <c r="B111" s="550" t="s">
        <v>52</v>
      </c>
      <c r="C111" s="539"/>
      <c r="D111" s="539"/>
      <c r="E111" s="539"/>
      <c r="F111" s="539"/>
      <c r="G111" s="540">
        <v>7.9572101440136951</v>
      </c>
      <c r="H111" s="540">
        <v>8.0443239932272732</v>
      </c>
      <c r="I111" s="540">
        <v>8.1431097597131021</v>
      </c>
      <c r="J111" s="540">
        <v>8.243236287995062</v>
      </c>
      <c r="K111" s="540">
        <v>8.3393935473849226</v>
      </c>
      <c r="L111" s="540">
        <v>8.4336720351179721</v>
      </c>
      <c r="M111" s="540">
        <v>8.5177399817196946</v>
      </c>
      <c r="N111" s="540">
        <v>8.6013374732649286</v>
      </c>
      <c r="O111" s="540">
        <v>8.6966853051643778</v>
      </c>
      <c r="P111" s="540">
        <v>8.7906770763234654</v>
      </c>
      <c r="Q111" s="540">
        <v>8.8899061932659009</v>
      </c>
      <c r="R111" s="540">
        <v>8.9842613058038054</v>
      </c>
      <c r="S111" s="540">
        <v>9.076376786704369</v>
      </c>
      <c r="T111" s="540">
        <v>9.1667399221672472</v>
      </c>
      <c r="U111" s="540">
        <v>9.2564460495621237</v>
      </c>
      <c r="V111" s="540">
        <v>9.3453616121487411</v>
      </c>
      <c r="W111" s="540">
        <v>9.4295905203956227</v>
      </c>
      <c r="X111" s="540">
        <v>9.5171004873881078</v>
      </c>
      <c r="Y111" s="540">
        <v>9.608707440173454</v>
      </c>
      <c r="Z111" s="540">
        <v>9.7006464345947148</v>
      </c>
      <c r="AA111" s="540">
        <v>9.7899011139232979</v>
      </c>
      <c r="AB111" s="540">
        <v>9.8774480474430533</v>
      </c>
      <c r="AC111" s="540">
        <v>9.9643148846871359</v>
      </c>
      <c r="AD111" s="540">
        <v>10.050543596981871</v>
      </c>
      <c r="AE111" s="540">
        <v>10.136095981868289</v>
      </c>
      <c r="AF111" s="540">
        <v>10.220864681749234</v>
      </c>
    </row>
    <row r="112" spans="1:32" x14ac:dyDescent="0.25">
      <c r="A112" s="839"/>
      <c r="B112" s="552" t="s">
        <v>29</v>
      </c>
      <c r="C112" s="539"/>
      <c r="D112" s="539"/>
      <c r="E112" s="539"/>
      <c r="F112" s="539"/>
      <c r="G112" s="540">
        <v>0</v>
      </c>
      <c r="H112" s="540">
        <v>0.57158597903339714</v>
      </c>
      <c r="I112" s="540">
        <v>1.153741212176248</v>
      </c>
      <c r="J112" s="540">
        <v>1.7453894493685611</v>
      </c>
      <c r="K112" s="540">
        <v>2.3445528425149673</v>
      </c>
      <c r="L112" s="540">
        <v>2.9512729873665573</v>
      </c>
      <c r="M112" s="540">
        <v>3.5605681870192307</v>
      </c>
      <c r="N112" s="540">
        <v>4.1761273359161128</v>
      </c>
      <c r="O112" s="540">
        <v>4.8059494386666026</v>
      </c>
      <c r="P112" s="540">
        <v>5.4426139679415737</v>
      </c>
      <c r="Q112" s="540">
        <v>6.0910304524503909</v>
      </c>
      <c r="R112" s="540">
        <v>6.7433292743294446</v>
      </c>
      <c r="S112" s="540">
        <v>7.4009008448985414</v>
      </c>
      <c r="T112" s="540">
        <v>8.0636891497446115</v>
      </c>
      <c r="U112" s="540">
        <v>8.7324173342869447</v>
      </c>
      <c r="V112" s="540">
        <v>9.4065143610348461</v>
      </c>
      <c r="W112" s="540">
        <v>10.081102307481666</v>
      </c>
      <c r="X112" s="540">
        <v>10.765352934740088</v>
      </c>
      <c r="Y112" s="540">
        <v>11.460668233656286</v>
      </c>
      <c r="Z112" s="540">
        <v>12.162724784298591</v>
      </c>
      <c r="AA112" s="540">
        <v>12.866982636310556</v>
      </c>
      <c r="AB112" s="540">
        <v>13.574320820280144</v>
      </c>
      <c r="AC112" s="540">
        <v>14.286119046610937</v>
      </c>
      <c r="AD112" s="540">
        <v>15.002063931188687</v>
      </c>
      <c r="AE112" s="540">
        <v>15.721897859145395</v>
      </c>
      <c r="AF112" s="540">
        <v>16.445410887744885</v>
      </c>
    </row>
    <row r="113" spans="1:32" x14ac:dyDescent="0.25">
      <c r="A113" s="839"/>
      <c r="B113" s="552" t="s">
        <v>53</v>
      </c>
      <c r="C113" s="539"/>
      <c r="D113" s="539"/>
      <c r="E113" s="539"/>
      <c r="F113" s="539"/>
      <c r="G113" s="540">
        <v>0</v>
      </c>
      <c r="H113" s="540">
        <v>0</v>
      </c>
      <c r="I113" s="540">
        <v>0</v>
      </c>
      <c r="J113" s="540">
        <v>0</v>
      </c>
      <c r="K113" s="540">
        <v>0</v>
      </c>
      <c r="L113" s="540">
        <v>0</v>
      </c>
      <c r="M113" s="540">
        <v>0</v>
      </c>
      <c r="N113" s="540">
        <v>0</v>
      </c>
      <c r="O113" s="540">
        <v>0</v>
      </c>
      <c r="P113" s="540">
        <v>0</v>
      </c>
      <c r="Q113" s="540">
        <v>0</v>
      </c>
      <c r="R113" s="540">
        <v>0</v>
      </c>
      <c r="S113" s="540">
        <v>0</v>
      </c>
      <c r="T113" s="540">
        <v>0</v>
      </c>
      <c r="U113" s="540">
        <v>0</v>
      </c>
      <c r="V113" s="540">
        <v>0</v>
      </c>
      <c r="W113" s="540">
        <v>0</v>
      </c>
      <c r="X113" s="540">
        <v>0</v>
      </c>
      <c r="Y113" s="540">
        <v>0</v>
      </c>
      <c r="Z113" s="540">
        <v>0</v>
      </c>
      <c r="AA113" s="540">
        <v>0</v>
      </c>
      <c r="AB113" s="540">
        <v>0</v>
      </c>
      <c r="AC113" s="540">
        <v>0</v>
      </c>
      <c r="AD113" s="540">
        <v>0</v>
      </c>
      <c r="AE113" s="540">
        <v>0</v>
      </c>
      <c r="AF113" s="540">
        <v>0</v>
      </c>
    </row>
    <row r="114" spans="1:32" x14ac:dyDescent="0.25">
      <c r="A114" s="838"/>
      <c r="B114" s="539"/>
      <c r="C114" s="539"/>
      <c r="D114" s="539"/>
      <c r="E114" s="539"/>
      <c r="F114" s="539"/>
      <c r="G114" s="539"/>
      <c r="H114" s="539"/>
      <c r="I114" s="539"/>
      <c r="J114" s="539"/>
      <c r="K114" s="539"/>
      <c r="L114" s="539"/>
      <c r="M114" s="539"/>
      <c r="N114" s="539"/>
      <c r="O114" s="539"/>
      <c r="P114" s="539"/>
      <c r="Q114" s="539"/>
      <c r="R114" s="539"/>
      <c r="S114" s="539"/>
      <c r="T114" s="539"/>
      <c r="U114" s="539"/>
      <c r="V114" s="539"/>
      <c r="W114" s="539"/>
      <c r="X114" s="539"/>
      <c r="Y114" s="539"/>
      <c r="Z114" s="539"/>
      <c r="AA114" s="539"/>
      <c r="AB114" s="539"/>
      <c r="AC114" s="539"/>
      <c r="AD114" s="539"/>
      <c r="AE114" s="539"/>
      <c r="AF114" s="539"/>
    </row>
    <row r="115" spans="1:32" x14ac:dyDescent="0.25">
      <c r="A115" s="838"/>
      <c r="B115" s="539"/>
      <c r="C115" s="539"/>
      <c r="D115" s="539"/>
      <c r="E115" s="539"/>
      <c r="F115" s="539"/>
      <c r="G115" s="539"/>
      <c r="H115" s="539"/>
      <c r="I115" s="539"/>
      <c r="J115" s="539"/>
      <c r="K115" s="539"/>
      <c r="L115" s="539"/>
      <c r="M115" s="539"/>
      <c r="N115" s="539"/>
      <c r="O115" s="539"/>
      <c r="P115" s="539"/>
      <c r="Q115" s="539"/>
      <c r="R115" s="539"/>
      <c r="S115" s="539"/>
      <c r="T115" s="539"/>
      <c r="U115" s="539"/>
      <c r="V115" s="539"/>
      <c r="W115" s="539"/>
      <c r="X115" s="539"/>
      <c r="Y115" s="539"/>
      <c r="Z115" s="539"/>
      <c r="AA115" s="539"/>
      <c r="AB115" s="539"/>
      <c r="AC115" s="539"/>
      <c r="AD115" s="539"/>
      <c r="AE115" s="539"/>
      <c r="AF115" s="539"/>
    </row>
    <row r="116" spans="1:32" s="539" customFormat="1" x14ac:dyDescent="0.25">
      <c r="A116" s="860" t="s">
        <v>273</v>
      </c>
      <c r="B116" s="555"/>
      <c r="C116" s="554"/>
      <c r="D116" s="553"/>
      <c r="E116" s="553"/>
      <c r="F116" s="553"/>
      <c r="G116" s="553" t="s">
        <v>700</v>
      </c>
      <c r="H116" s="560"/>
      <c r="I116" s="560"/>
      <c r="J116" s="560"/>
      <c r="K116" s="560"/>
      <c r="L116" s="560"/>
      <c r="M116" s="560"/>
      <c r="N116" s="560"/>
      <c r="O116" s="560"/>
      <c r="P116" s="560"/>
      <c r="Q116" s="560"/>
      <c r="R116" s="560"/>
      <c r="S116" s="560"/>
      <c r="T116" s="560"/>
      <c r="U116" s="560"/>
      <c r="V116" s="560"/>
      <c r="W116" s="560"/>
      <c r="X116" s="560"/>
      <c r="Y116" s="560"/>
      <c r="Z116" s="560"/>
      <c r="AA116" s="560"/>
      <c r="AB116" s="560"/>
      <c r="AC116" s="560"/>
      <c r="AD116" s="560"/>
      <c r="AE116" s="560"/>
      <c r="AF116" s="560"/>
    </row>
    <row r="117" spans="1:32" s="539" customFormat="1" x14ac:dyDescent="0.25">
      <c r="A117" s="840" t="s">
        <v>12</v>
      </c>
      <c r="B117" s="550"/>
    </row>
    <row r="118" spans="1:32" s="539" customFormat="1" x14ac:dyDescent="0.25">
      <c r="A118" s="839"/>
      <c r="B118" s="550" t="s">
        <v>20</v>
      </c>
    </row>
    <row r="119" spans="1:32" s="202" customFormat="1" ht="12.75" x14ac:dyDescent="0.2">
      <c r="A119" s="843" t="s">
        <v>21</v>
      </c>
      <c r="B119" s="556"/>
      <c r="C119" s="556"/>
      <c r="D119" s="556"/>
      <c r="E119" s="556"/>
      <c r="F119" s="556"/>
      <c r="G119" s="556"/>
      <c r="H119" s="556"/>
      <c r="I119" s="556"/>
      <c r="J119" s="556"/>
      <c r="K119" s="556"/>
      <c r="L119" s="556"/>
      <c r="M119" s="556"/>
      <c r="N119" s="556"/>
      <c r="O119" s="556"/>
      <c r="P119" s="556"/>
      <c r="Q119" s="556"/>
      <c r="R119" s="556"/>
      <c r="S119" s="556"/>
      <c r="T119" s="556"/>
      <c r="U119" s="556"/>
      <c r="V119" s="556"/>
      <c r="W119" s="556"/>
      <c r="X119" s="556"/>
      <c r="Y119" s="556"/>
      <c r="Z119" s="556"/>
      <c r="AA119" s="556"/>
      <c r="AB119" s="556"/>
      <c r="AC119" s="556"/>
      <c r="AD119" s="556"/>
      <c r="AE119" s="556"/>
      <c r="AF119" s="556"/>
    </row>
    <row r="120" spans="1:32" x14ac:dyDescent="0.25">
      <c r="A120" s="839"/>
      <c r="B120" s="550" t="s">
        <v>22</v>
      </c>
      <c r="C120" s="539"/>
      <c r="D120" s="539"/>
      <c r="E120" s="539"/>
      <c r="F120" s="539"/>
      <c r="G120" s="540"/>
      <c r="H120" s="540">
        <v>1468.2007295451322</v>
      </c>
      <c r="I120" s="540">
        <v>1053.7556661068925</v>
      </c>
      <c r="J120" s="540">
        <v>618.84061998419475</v>
      </c>
      <c r="K120" s="540">
        <v>430.40357382445512</v>
      </c>
      <c r="L120" s="540">
        <v>278.74757270065874</v>
      </c>
      <c r="M120" s="540">
        <v>105.15827837522841</v>
      </c>
      <c r="N120" s="540">
        <v>101.88799403394012</v>
      </c>
      <c r="O120" s="540">
        <v>102.64647677022126</v>
      </c>
      <c r="P120" s="540">
        <v>103.89973582673841</v>
      </c>
      <c r="Q120" s="540">
        <v>105.29571199847098</v>
      </c>
      <c r="R120" s="540">
        <v>106.62456820171734</v>
      </c>
      <c r="S120" s="540">
        <v>107.92640307580727</v>
      </c>
      <c r="T120" s="540">
        <v>109.2143352622587</v>
      </c>
      <c r="U120" s="540">
        <v>110.50213061922142</v>
      </c>
      <c r="V120" s="540">
        <v>111.78358756201521</v>
      </c>
      <c r="W120" s="540">
        <v>112.99886006393218</v>
      </c>
      <c r="X120" s="540">
        <v>114.27580962489851</v>
      </c>
      <c r="Y120" s="540">
        <v>115.61768698620315</v>
      </c>
      <c r="Z120" s="540">
        <v>116.95872891161265</v>
      </c>
      <c r="AA120" s="540">
        <v>118.25542582124642</v>
      </c>
      <c r="AB120" s="540">
        <v>119.5316346533518</v>
      </c>
      <c r="AC120" s="540">
        <v>120.8069872508255</v>
      </c>
      <c r="AD120" s="540">
        <v>122.07854747473607</v>
      </c>
      <c r="AE120" s="540">
        <v>123.34435499132957</v>
      </c>
      <c r="AF120" s="540">
        <v>124.60373663165618</v>
      </c>
    </row>
    <row r="121" spans="1:32" x14ac:dyDescent="0.25">
      <c r="A121" s="839"/>
      <c r="B121" s="550" t="s">
        <v>26</v>
      </c>
      <c r="C121" s="539"/>
      <c r="D121" s="539"/>
      <c r="E121" s="539"/>
      <c r="F121" s="539"/>
      <c r="G121" s="540"/>
      <c r="H121" s="540">
        <v>31.95339889271261</v>
      </c>
      <c r="I121" s="540">
        <v>113.05783129831038</v>
      </c>
      <c r="J121" s="540">
        <v>298.07677350115068</v>
      </c>
      <c r="K121" s="540">
        <v>413.02057060665913</v>
      </c>
      <c r="L121" s="540">
        <v>439.17823301753492</v>
      </c>
      <c r="M121" s="540">
        <v>463.49738268106165</v>
      </c>
      <c r="N121" s="540">
        <v>450.30111412816359</v>
      </c>
      <c r="O121" s="540">
        <v>454.22625225743587</v>
      </c>
      <c r="P121" s="540">
        <v>459.70196359176424</v>
      </c>
      <c r="Q121" s="540">
        <v>466.03112193452915</v>
      </c>
      <c r="R121" s="540">
        <v>471.68993237661812</v>
      </c>
      <c r="S121" s="540">
        <v>477.32942430374027</v>
      </c>
      <c r="T121" s="540">
        <v>482.92491598903393</v>
      </c>
      <c r="U121" s="540">
        <v>488.55978988359431</v>
      </c>
      <c r="V121" s="540">
        <v>494.15743070633368</v>
      </c>
      <c r="W121" s="540">
        <v>499.31975407137048</v>
      </c>
      <c r="X121" s="540">
        <v>505.05411476340362</v>
      </c>
      <c r="Y121" s="540">
        <v>511.09833445279742</v>
      </c>
      <c r="Z121" s="540">
        <v>517.00152482391707</v>
      </c>
      <c r="AA121" s="540">
        <v>522.59508344126152</v>
      </c>
      <c r="AB121" s="540">
        <v>528.13643128885337</v>
      </c>
      <c r="AC121" s="540">
        <v>533.71530943149219</v>
      </c>
      <c r="AD121" s="540">
        <v>539.2757034743347</v>
      </c>
      <c r="AE121" s="540">
        <v>544.80939546892978</v>
      </c>
      <c r="AF121" s="540">
        <v>550.31348014351772</v>
      </c>
    </row>
    <row r="122" spans="1:32" x14ac:dyDescent="0.25">
      <c r="A122" s="839"/>
      <c r="B122" s="550" t="s">
        <v>27</v>
      </c>
      <c r="C122" s="539"/>
      <c r="D122" s="539"/>
      <c r="E122" s="539"/>
      <c r="F122" s="539"/>
      <c r="G122" s="540"/>
      <c r="H122" s="540">
        <v>1198.1200168957798</v>
      </c>
      <c r="I122" s="540">
        <v>1064.2244210099711</v>
      </c>
      <c r="J122" s="540">
        <v>1122.0031445033237</v>
      </c>
      <c r="K122" s="540">
        <v>1089.1647429360655</v>
      </c>
      <c r="L122" s="540">
        <v>1156.9314298589518</v>
      </c>
      <c r="M122" s="540">
        <v>1218.9732975761174</v>
      </c>
      <c r="N122" s="540">
        <v>1185.5946947632658</v>
      </c>
      <c r="O122" s="540">
        <v>1196.5517196349779</v>
      </c>
      <c r="P122" s="540">
        <v>1210.9000620686863</v>
      </c>
      <c r="Q122" s="540">
        <v>1227.7374104309904</v>
      </c>
      <c r="R122" s="540">
        <v>1242.4037571899141</v>
      </c>
      <c r="S122" s="540">
        <v>1257.1280075620771</v>
      </c>
      <c r="T122" s="540">
        <v>1271.7553632420079</v>
      </c>
      <c r="U122" s="540">
        <v>1286.5298554939129</v>
      </c>
      <c r="V122" s="540">
        <v>1301.1962991371099</v>
      </c>
      <c r="W122" s="540">
        <v>1314.5614288532465</v>
      </c>
      <c r="X122" s="540">
        <v>1329.7580376025073</v>
      </c>
      <c r="Y122" s="540">
        <v>1345.7953603103226</v>
      </c>
      <c r="Z122" s="540">
        <v>1361.312145635763</v>
      </c>
      <c r="AA122" s="540">
        <v>1375.8902228326829</v>
      </c>
      <c r="AB122" s="540">
        <v>1390.3724901403082</v>
      </c>
      <c r="AC122" s="540">
        <v>1404.9984605614072</v>
      </c>
      <c r="AD122" s="540">
        <v>1419.5738917368265</v>
      </c>
      <c r="AE122" s="540">
        <v>1434.0776311574502</v>
      </c>
      <c r="AF122" s="540">
        <v>1448.5021054432659</v>
      </c>
    </row>
    <row r="123" spans="1:32" x14ac:dyDescent="0.25">
      <c r="A123" s="839"/>
      <c r="B123" s="550" t="s">
        <v>29</v>
      </c>
      <c r="C123" s="539"/>
      <c r="D123" s="539"/>
      <c r="E123" s="539"/>
      <c r="F123" s="539"/>
      <c r="G123" s="540"/>
      <c r="H123" s="540">
        <v>0.87173321212561317</v>
      </c>
      <c r="I123" s="540">
        <v>0.91752874881148949</v>
      </c>
      <c r="J123" s="540">
        <v>0.72042922625758521</v>
      </c>
      <c r="K123" s="540">
        <v>0.72391660643603961</v>
      </c>
      <c r="L123" s="540">
        <v>0.76021091817107933</v>
      </c>
      <c r="M123" s="540">
        <v>0.79040043507981173</v>
      </c>
      <c r="N123" s="540">
        <v>0.79846568201174606</v>
      </c>
      <c r="O123" s="540">
        <v>0.81976820262177186</v>
      </c>
      <c r="P123" s="540">
        <v>0.82789675214102709</v>
      </c>
      <c r="Q123" s="540">
        <v>0.84311318841740002</v>
      </c>
      <c r="R123" s="540">
        <v>0.84778639617794871</v>
      </c>
      <c r="S123" s="540">
        <v>0.8549311444205826</v>
      </c>
      <c r="T123" s="540">
        <v>0.86243451996529508</v>
      </c>
      <c r="U123" s="540">
        <v>0.87100867589618824</v>
      </c>
      <c r="V123" s="540">
        <v>0.87928601662724071</v>
      </c>
      <c r="W123" s="540">
        <v>0.88321663895484637</v>
      </c>
      <c r="X123" s="540">
        <v>0.89565741797190057</v>
      </c>
      <c r="Y123" s="540">
        <v>0.90922101483403039</v>
      </c>
      <c r="Z123" s="540">
        <v>0.9190967352381213</v>
      </c>
      <c r="AA123" s="540">
        <v>0.92557865181103727</v>
      </c>
      <c r="AB123" s="540">
        <v>0.93292765480492412</v>
      </c>
      <c r="AC123" s="540">
        <v>0.94137738541704119</v>
      </c>
      <c r="AD123" s="540">
        <v>0.94975119941157737</v>
      </c>
      <c r="AE123" s="540">
        <v>0.95804568618313513</v>
      </c>
      <c r="AF123" s="540">
        <v>0.966257442521545</v>
      </c>
    </row>
    <row r="124" spans="1:32" x14ac:dyDescent="0.25">
      <c r="A124" s="839"/>
      <c r="B124" s="550"/>
      <c r="C124" s="539"/>
      <c r="D124" s="539"/>
      <c r="E124" s="539"/>
      <c r="F124" s="539"/>
      <c r="G124" s="540"/>
      <c r="H124" s="540" t="s">
        <v>73</v>
      </c>
      <c r="I124" s="540" t="s">
        <v>73</v>
      </c>
      <c r="J124" s="540" t="s">
        <v>73</v>
      </c>
      <c r="K124" s="540" t="s">
        <v>73</v>
      </c>
      <c r="L124" s="540" t="s">
        <v>73</v>
      </c>
      <c r="M124" s="540" t="s">
        <v>73</v>
      </c>
      <c r="N124" s="540" t="s">
        <v>73</v>
      </c>
      <c r="O124" s="540" t="s">
        <v>73</v>
      </c>
      <c r="P124" s="540" t="s">
        <v>73</v>
      </c>
      <c r="Q124" s="540" t="s">
        <v>73</v>
      </c>
      <c r="R124" s="540" t="s">
        <v>73</v>
      </c>
      <c r="S124" s="540" t="s">
        <v>73</v>
      </c>
      <c r="T124" s="540" t="s">
        <v>73</v>
      </c>
      <c r="U124" s="540" t="s">
        <v>73</v>
      </c>
      <c r="V124" s="540" t="s">
        <v>73</v>
      </c>
      <c r="W124" s="540" t="s">
        <v>73</v>
      </c>
      <c r="X124" s="540" t="s">
        <v>73</v>
      </c>
      <c r="Y124" s="540" t="s">
        <v>73</v>
      </c>
      <c r="Z124" s="540" t="s">
        <v>73</v>
      </c>
      <c r="AA124" s="540" t="s">
        <v>73</v>
      </c>
      <c r="AB124" s="540" t="s">
        <v>73</v>
      </c>
      <c r="AC124" s="540" t="s">
        <v>73</v>
      </c>
      <c r="AD124" s="540" t="s">
        <v>73</v>
      </c>
      <c r="AE124" s="540" t="s">
        <v>73</v>
      </c>
      <c r="AF124" s="540" t="s">
        <v>73</v>
      </c>
    </row>
    <row r="125" spans="1:32" s="202" customFormat="1" ht="12.75" x14ac:dyDescent="0.2">
      <c r="A125" s="843" t="s">
        <v>32</v>
      </c>
      <c r="B125" s="556"/>
      <c r="C125" s="556"/>
      <c r="D125" s="556"/>
      <c r="E125" s="556"/>
      <c r="F125" s="556"/>
      <c r="G125" s="547"/>
      <c r="H125" s="547" t="s">
        <v>73</v>
      </c>
      <c r="I125" s="547" t="s">
        <v>73</v>
      </c>
      <c r="J125" s="547" t="s">
        <v>73</v>
      </c>
      <c r="K125" s="547" t="s">
        <v>73</v>
      </c>
      <c r="L125" s="547" t="s">
        <v>73</v>
      </c>
      <c r="M125" s="547" t="s">
        <v>73</v>
      </c>
      <c r="N125" s="547" t="s">
        <v>73</v>
      </c>
      <c r="O125" s="547" t="s">
        <v>73</v>
      </c>
      <c r="P125" s="547" t="s">
        <v>73</v>
      </c>
      <c r="Q125" s="547" t="s">
        <v>73</v>
      </c>
      <c r="R125" s="547" t="s">
        <v>73</v>
      </c>
      <c r="S125" s="547" t="s">
        <v>73</v>
      </c>
      <c r="T125" s="547" t="s">
        <v>73</v>
      </c>
      <c r="U125" s="547" t="s">
        <v>73</v>
      </c>
      <c r="V125" s="547" t="s">
        <v>73</v>
      </c>
      <c r="W125" s="547" t="s">
        <v>73</v>
      </c>
      <c r="X125" s="547" t="s">
        <v>73</v>
      </c>
      <c r="Y125" s="547" t="s">
        <v>73</v>
      </c>
      <c r="Z125" s="547" t="s">
        <v>73</v>
      </c>
      <c r="AA125" s="547" t="s">
        <v>73</v>
      </c>
      <c r="AB125" s="547" t="s">
        <v>73</v>
      </c>
      <c r="AC125" s="547" t="s">
        <v>73</v>
      </c>
      <c r="AD125" s="547" t="s">
        <v>73</v>
      </c>
      <c r="AE125" s="547" t="s">
        <v>73</v>
      </c>
      <c r="AF125" s="547" t="s">
        <v>73</v>
      </c>
    </row>
    <row r="126" spans="1:32" x14ac:dyDescent="0.25">
      <c r="A126" s="839"/>
      <c r="B126" s="550" t="s">
        <v>33</v>
      </c>
      <c r="C126" s="539"/>
      <c r="D126" s="539"/>
      <c r="E126" s="539"/>
      <c r="F126" s="539"/>
      <c r="G126" s="540"/>
      <c r="H126" s="540">
        <v>863.19263258164494</v>
      </c>
      <c r="I126" s="540">
        <v>943.13158326340147</v>
      </c>
      <c r="J126" s="540">
        <v>1017.5014364320471</v>
      </c>
      <c r="K126" s="540">
        <v>1091.3138029062484</v>
      </c>
      <c r="L126" s="540">
        <v>1105.0962678222572</v>
      </c>
      <c r="M126" s="540">
        <v>1118.1723021388716</v>
      </c>
      <c r="N126" s="540">
        <v>1131.207755966165</v>
      </c>
      <c r="O126" s="540">
        <v>1145.7832600996476</v>
      </c>
      <c r="P126" s="540">
        <v>1160.6538915010497</v>
      </c>
      <c r="Q126" s="540">
        <v>1176.1363916789505</v>
      </c>
      <c r="R126" s="540">
        <v>1191.2529929133095</v>
      </c>
      <c r="S126" s="540">
        <v>1206.0074343517447</v>
      </c>
      <c r="T126" s="540">
        <v>1220.5525137489269</v>
      </c>
      <c r="U126" s="540">
        <v>1235.0300618151352</v>
      </c>
      <c r="V126" s="540">
        <v>1249.4409795057184</v>
      </c>
      <c r="W126" s="540">
        <v>1263.3203512166513</v>
      </c>
      <c r="X126" s="540">
        <v>1277.4979791700248</v>
      </c>
      <c r="Y126" s="540">
        <v>1292.296156688923</v>
      </c>
      <c r="Z126" s="540">
        <v>1307.2831618982282</v>
      </c>
      <c r="AA126" s="540">
        <v>1321.9790063492749</v>
      </c>
      <c r="AB126" s="540">
        <v>1336.4183498620082</v>
      </c>
      <c r="AC126" s="540">
        <v>1350.7732987491547</v>
      </c>
      <c r="AD126" s="540">
        <v>1365.073951650051</v>
      </c>
      <c r="AE126" s="540">
        <v>1379.3123786159865</v>
      </c>
      <c r="AF126" s="540">
        <v>1393.4819475152403</v>
      </c>
    </row>
    <row r="127" spans="1:32" x14ac:dyDescent="0.25">
      <c r="A127" s="842"/>
      <c r="B127" s="552" t="s">
        <v>34</v>
      </c>
      <c r="C127" s="539"/>
      <c r="D127" s="539"/>
      <c r="E127" s="539"/>
      <c r="F127" s="539"/>
      <c r="G127" s="540"/>
      <c r="H127" s="540">
        <v>1441.8261388439475</v>
      </c>
      <c r="I127" s="540">
        <v>1485.9743510157375</v>
      </c>
      <c r="J127" s="540">
        <v>1487.5921588661242</v>
      </c>
      <c r="K127" s="540">
        <v>1461.0713011119101</v>
      </c>
      <c r="L127" s="540">
        <v>1479.3591603508044</v>
      </c>
      <c r="M127" s="540">
        <v>1496.10004314562</v>
      </c>
      <c r="N127" s="540">
        <v>1513.46129748457</v>
      </c>
      <c r="O127" s="540">
        <v>1533.7292566230606</v>
      </c>
      <c r="P127" s="540">
        <v>1553.4599909027677</v>
      </c>
      <c r="Q127" s="540">
        <v>1574.4729451462206</v>
      </c>
      <c r="R127" s="540">
        <v>1594.280008625117</v>
      </c>
      <c r="S127" s="540">
        <v>1613.7924804791612</v>
      </c>
      <c r="T127" s="540">
        <v>1633.0601146655258</v>
      </c>
      <c r="U127" s="540">
        <v>1652.3152975767018</v>
      </c>
      <c r="V127" s="540">
        <v>1671.4639371287008</v>
      </c>
      <c r="W127" s="540">
        <v>1689.6247954376681</v>
      </c>
      <c r="X127" s="540">
        <v>1708.762765968364</v>
      </c>
      <c r="Y127" s="540">
        <v>1728.7786763423267</v>
      </c>
      <c r="Z127" s="540">
        <v>1748.7810780531124</v>
      </c>
      <c r="AA127" s="540">
        <v>1768.1718664708173</v>
      </c>
      <c r="AB127" s="540">
        <v>1787.2924810561208</v>
      </c>
      <c r="AC127" s="540">
        <v>1806.3809975571805</v>
      </c>
      <c r="AD127" s="540">
        <v>1825.3942522979175</v>
      </c>
      <c r="AE127" s="540">
        <v>1844.3217879853876</v>
      </c>
      <c r="AF127" s="540">
        <v>1863.1548204024514</v>
      </c>
    </row>
    <row r="128" spans="1:32" x14ac:dyDescent="0.25">
      <c r="A128" s="839"/>
      <c r="B128" s="552" t="s">
        <v>35</v>
      </c>
      <c r="C128" s="539"/>
      <c r="D128" s="539"/>
      <c r="E128" s="539"/>
      <c r="F128" s="539"/>
      <c r="G128" s="540"/>
      <c r="H128" s="540">
        <v>352.71831518159576</v>
      </c>
      <c r="I128" s="540">
        <v>383.30597339138887</v>
      </c>
      <c r="J128" s="540">
        <v>411.64548002248716</v>
      </c>
      <c r="K128" s="540">
        <v>439.74120853091046</v>
      </c>
      <c r="L128" s="540">
        <v>445.2008570149319</v>
      </c>
      <c r="M128" s="540">
        <v>450.03221015408769</v>
      </c>
      <c r="N128" s="540">
        <v>455.23286981409734</v>
      </c>
      <c r="O128" s="540">
        <v>461.53700629088314</v>
      </c>
      <c r="P128" s="540">
        <v>467.42713536588593</v>
      </c>
      <c r="Q128" s="540">
        <v>473.82848704090009</v>
      </c>
      <c r="R128" s="540">
        <v>479.67312596978928</v>
      </c>
      <c r="S128" s="540">
        <v>485.48059453656953</v>
      </c>
      <c r="T128" s="540">
        <v>491.22397033842566</v>
      </c>
      <c r="U128" s="540">
        <v>496.98469696454737</v>
      </c>
      <c r="V128" s="540">
        <v>502.70866509384877</v>
      </c>
      <c r="W128" s="540">
        <v>508.06060877409408</v>
      </c>
      <c r="X128" s="540">
        <v>513.86300405109955</v>
      </c>
      <c r="Y128" s="540">
        <v>519.94239082468539</v>
      </c>
      <c r="Z128" s="540">
        <v>525.94564001413994</v>
      </c>
      <c r="AA128" s="540">
        <v>531.70478538242571</v>
      </c>
      <c r="AB128" s="540">
        <v>537.40243524033258</v>
      </c>
      <c r="AC128" s="540">
        <v>543.1123157467415</v>
      </c>
      <c r="AD128" s="540">
        <v>548.79884927266733</v>
      </c>
      <c r="AE128" s="540">
        <v>554.45893162515995</v>
      </c>
      <c r="AF128" s="540">
        <v>560.08994471367851</v>
      </c>
    </row>
    <row r="129" spans="1:32" x14ac:dyDescent="0.25">
      <c r="A129" s="839"/>
      <c r="B129" s="552" t="s">
        <v>29</v>
      </c>
      <c r="C129" s="539"/>
      <c r="D129" s="539"/>
      <c r="E129" s="539"/>
      <c r="F129" s="539"/>
      <c r="G129" s="540"/>
      <c r="H129" s="540">
        <v>1.2327504903959507</v>
      </c>
      <c r="I129" s="540">
        <v>1.2725282651804386</v>
      </c>
      <c r="J129" s="540">
        <v>1.3059146221395701</v>
      </c>
      <c r="K129" s="540">
        <v>1.3387273987627273</v>
      </c>
      <c r="L129" s="540">
        <v>1.3520858277889625</v>
      </c>
      <c r="M129" s="540">
        <v>1.3515975195173777</v>
      </c>
      <c r="N129" s="540">
        <v>1.3656266537701263</v>
      </c>
      <c r="O129" s="540">
        <v>1.399785965701219</v>
      </c>
      <c r="P129" s="540">
        <v>1.4141773688537378</v>
      </c>
      <c r="Q129" s="540">
        <v>1.4393166495932166</v>
      </c>
      <c r="R129" s="540">
        <v>1.4485477958504553</v>
      </c>
      <c r="S129" s="540">
        <v>1.461442824692645</v>
      </c>
      <c r="T129" s="540">
        <v>1.474846633161861</v>
      </c>
      <c r="U129" s="540">
        <v>1.4898508250406475</v>
      </c>
      <c r="V129" s="540">
        <v>1.5043989561314068</v>
      </c>
      <c r="W129" s="540">
        <v>1.5123330523785496</v>
      </c>
      <c r="X129" s="540">
        <v>1.5331081092519792</v>
      </c>
      <c r="Y129" s="540">
        <v>1.5556621077056905</v>
      </c>
      <c r="Z129" s="540">
        <v>1.5726978436809855</v>
      </c>
      <c r="AA129" s="540">
        <v>1.5845875702048124</v>
      </c>
      <c r="AB129" s="540">
        <v>1.5977438204641119</v>
      </c>
      <c r="AC129" s="540">
        <v>1.6125430300790484</v>
      </c>
      <c r="AD129" s="540">
        <v>1.6272201618265829</v>
      </c>
      <c r="AE129" s="540">
        <v>1.6417689310127581</v>
      </c>
      <c r="AF129" s="540">
        <v>1.6561832531339131</v>
      </c>
    </row>
    <row r="130" spans="1:32" x14ac:dyDescent="0.25">
      <c r="A130" s="839"/>
      <c r="B130" s="550"/>
      <c r="C130" s="539"/>
      <c r="D130" s="539"/>
      <c r="E130" s="539"/>
      <c r="F130" s="539"/>
      <c r="G130" s="540"/>
      <c r="H130" s="540" t="s">
        <v>73</v>
      </c>
      <c r="I130" s="540" t="s">
        <v>73</v>
      </c>
      <c r="J130" s="540" t="s">
        <v>73</v>
      </c>
      <c r="K130" s="540" t="s">
        <v>73</v>
      </c>
      <c r="L130" s="540" t="s">
        <v>73</v>
      </c>
      <c r="M130" s="540" t="s">
        <v>73</v>
      </c>
      <c r="N130" s="540" t="s">
        <v>73</v>
      </c>
      <c r="O130" s="540" t="s">
        <v>73</v>
      </c>
      <c r="P130" s="540" t="s">
        <v>73</v>
      </c>
      <c r="Q130" s="540" t="s">
        <v>73</v>
      </c>
      <c r="R130" s="540" t="s">
        <v>73</v>
      </c>
      <c r="S130" s="540" t="s">
        <v>73</v>
      </c>
      <c r="T130" s="540" t="s">
        <v>73</v>
      </c>
      <c r="U130" s="540" t="s">
        <v>73</v>
      </c>
      <c r="V130" s="540" t="s">
        <v>73</v>
      </c>
      <c r="W130" s="540" t="s">
        <v>73</v>
      </c>
      <c r="X130" s="540" t="s">
        <v>73</v>
      </c>
      <c r="Y130" s="540" t="s">
        <v>73</v>
      </c>
      <c r="Z130" s="540" t="s">
        <v>73</v>
      </c>
      <c r="AA130" s="540" t="s">
        <v>73</v>
      </c>
      <c r="AB130" s="540" t="s">
        <v>73</v>
      </c>
      <c r="AC130" s="540" t="s">
        <v>73</v>
      </c>
      <c r="AD130" s="540" t="s">
        <v>73</v>
      </c>
      <c r="AE130" s="540" t="s">
        <v>73</v>
      </c>
      <c r="AF130" s="540" t="s">
        <v>73</v>
      </c>
    </row>
    <row r="131" spans="1:32" s="202" customFormat="1" ht="12.75" x14ac:dyDescent="0.2">
      <c r="A131" s="843" t="s">
        <v>36</v>
      </c>
      <c r="B131" s="556"/>
      <c r="C131" s="556"/>
      <c r="D131" s="556"/>
      <c r="E131" s="556"/>
      <c r="F131" s="556"/>
      <c r="G131" s="547"/>
      <c r="H131" s="547" t="s">
        <v>73</v>
      </c>
      <c r="I131" s="547" t="s">
        <v>73</v>
      </c>
      <c r="J131" s="547" t="s">
        <v>73</v>
      </c>
      <c r="K131" s="547" t="s">
        <v>73</v>
      </c>
      <c r="L131" s="547" t="s">
        <v>73</v>
      </c>
      <c r="M131" s="547" t="s">
        <v>73</v>
      </c>
      <c r="N131" s="547" t="s">
        <v>73</v>
      </c>
      <c r="O131" s="547" t="s">
        <v>73</v>
      </c>
      <c r="P131" s="547" t="s">
        <v>73</v>
      </c>
      <c r="Q131" s="547" t="s">
        <v>73</v>
      </c>
      <c r="R131" s="547" t="s">
        <v>73</v>
      </c>
      <c r="S131" s="547" t="s">
        <v>73</v>
      </c>
      <c r="T131" s="547" t="s">
        <v>73</v>
      </c>
      <c r="U131" s="547" t="s">
        <v>73</v>
      </c>
      <c r="V131" s="547" t="s">
        <v>73</v>
      </c>
      <c r="W131" s="547" t="s">
        <v>73</v>
      </c>
      <c r="X131" s="547" t="s">
        <v>73</v>
      </c>
      <c r="Y131" s="547" t="s">
        <v>73</v>
      </c>
      <c r="Z131" s="547" t="s">
        <v>73</v>
      </c>
      <c r="AA131" s="547" t="s">
        <v>73</v>
      </c>
      <c r="AB131" s="547" t="s">
        <v>73</v>
      </c>
      <c r="AC131" s="547" t="s">
        <v>73</v>
      </c>
      <c r="AD131" s="547" t="s">
        <v>73</v>
      </c>
      <c r="AE131" s="547" t="s">
        <v>73</v>
      </c>
      <c r="AF131" s="547" t="s">
        <v>73</v>
      </c>
    </row>
    <row r="132" spans="1:32" x14ac:dyDescent="0.25">
      <c r="A132" s="839"/>
      <c r="B132" s="550" t="s">
        <v>37</v>
      </c>
      <c r="C132" s="539"/>
      <c r="D132" s="539"/>
      <c r="E132" s="539"/>
      <c r="F132" s="201"/>
      <c r="G132" s="540"/>
      <c r="H132" s="540">
        <v>2989.4564986181958</v>
      </c>
      <c r="I132" s="540">
        <v>1877.5144390319429</v>
      </c>
      <c r="J132" s="540">
        <v>929.09837626760202</v>
      </c>
      <c r="K132" s="540">
        <v>220.17869676158577</v>
      </c>
      <c r="L132" s="540">
        <v>167.21949796161837</v>
      </c>
      <c r="M132" s="540">
        <v>126.32081596160675</v>
      </c>
      <c r="N132" s="540">
        <v>97.179142203913443</v>
      </c>
      <c r="O132" s="540">
        <v>81.722170741897116</v>
      </c>
      <c r="P132" s="540">
        <v>70.512822790591159</v>
      </c>
      <c r="Q132" s="540">
        <v>62.762753493445985</v>
      </c>
      <c r="R132" s="540">
        <v>57.045052489456474</v>
      </c>
      <c r="S132" s="540">
        <v>53.038518260919638</v>
      </c>
      <c r="T132" s="540">
        <v>50.216715621327275</v>
      </c>
      <c r="U132" s="540">
        <v>48.264915591832192</v>
      </c>
      <c r="V132" s="540">
        <v>46.657082748672963</v>
      </c>
      <c r="W132" s="540">
        <v>45.373798936870152</v>
      </c>
      <c r="X132" s="540">
        <v>44.874830809670343</v>
      </c>
      <c r="Y132" s="540">
        <v>44.416108334501075</v>
      </c>
      <c r="Z132" s="540">
        <v>44.035552352544194</v>
      </c>
      <c r="AA132" s="540">
        <v>43.890675224032726</v>
      </c>
      <c r="AB132" s="540">
        <v>43.650302049086108</v>
      </c>
      <c r="AC132" s="540">
        <v>43.510252285638963</v>
      </c>
      <c r="AD132" s="540">
        <v>43.60499537641298</v>
      </c>
      <c r="AE132" s="540">
        <v>43.550657337581747</v>
      </c>
      <c r="AF132" s="540">
        <v>43.69874114248217</v>
      </c>
    </row>
    <row r="133" spans="1:32" x14ac:dyDescent="0.25">
      <c r="A133" s="839"/>
      <c r="B133" s="550" t="s">
        <v>39</v>
      </c>
      <c r="C133" s="539"/>
      <c r="D133" s="539"/>
      <c r="E133" s="203"/>
      <c r="F133" s="539"/>
      <c r="G133" s="540"/>
      <c r="H133" s="540">
        <v>16325.94003185763</v>
      </c>
      <c r="I133" s="540">
        <v>17585.641762513595</v>
      </c>
      <c r="J133" s="540">
        <v>18638.033904939744</v>
      </c>
      <c r="K133" s="540">
        <v>19395.665119879701</v>
      </c>
      <c r="L133" s="540">
        <v>19556.914866907307</v>
      </c>
      <c r="M133" s="540">
        <v>19653.225008433816</v>
      </c>
      <c r="N133" s="540">
        <v>19830.861902603992</v>
      </c>
      <c r="O133" s="540">
        <v>20074.641106622159</v>
      </c>
      <c r="P133" s="540">
        <v>20245.63719242506</v>
      </c>
      <c r="Q133" s="540">
        <v>20467.898433666309</v>
      </c>
      <c r="R133" s="540">
        <v>20625.10177504328</v>
      </c>
      <c r="S133" s="540">
        <v>20794.185122179151</v>
      </c>
      <c r="T133" s="540">
        <v>20964.134283225805</v>
      </c>
      <c r="U133" s="540">
        <v>21140.753033688354</v>
      </c>
      <c r="V133" s="540">
        <v>21262.011294101638</v>
      </c>
      <c r="W133" s="540">
        <v>21356.029547158119</v>
      </c>
      <c r="X133" s="540">
        <v>21557.078996300635</v>
      </c>
      <c r="Y133" s="540">
        <v>21725.379936237394</v>
      </c>
      <c r="Z133" s="540">
        <v>21877.94971267039</v>
      </c>
      <c r="AA133" s="540">
        <v>22053.714446292273</v>
      </c>
      <c r="AB133" s="540">
        <v>22189.981180406783</v>
      </c>
      <c r="AC133" s="540">
        <v>22334.897051941345</v>
      </c>
      <c r="AD133" s="540">
        <v>22520.230376878462</v>
      </c>
      <c r="AE133" s="540">
        <v>22666.63510859738</v>
      </c>
      <c r="AF133" s="540">
        <v>22850.76605162445</v>
      </c>
    </row>
    <row r="134" spans="1:32" x14ac:dyDescent="0.25">
      <c r="A134" s="839"/>
      <c r="B134" s="550" t="s">
        <v>40</v>
      </c>
      <c r="C134" s="539"/>
      <c r="D134" s="539"/>
      <c r="E134" s="539"/>
      <c r="F134" s="539"/>
      <c r="G134" s="540"/>
      <c r="H134" s="540">
        <v>1893.5779285692765</v>
      </c>
      <c r="I134" s="540">
        <v>2085.5557023173183</v>
      </c>
      <c r="J134" s="540">
        <v>2244.048290410728</v>
      </c>
      <c r="K134" s="540">
        <v>2385.6046589527705</v>
      </c>
      <c r="L134" s="540">
        <v>2428.8436445991215</v>
      </c>
      <c r="M134" s="540">
        <v>2460.2190612679997</v>
      </c>
      <c r="N134" s="540">
        <v>2476.3293919482908</v>
      </c>
      <c r="O134" s="540">
        <v>2520.084105478189</v>
      </c>
      <c r="P134" s="540">
        <v>2552.5402046479967</v>
      </c>
      <c r="Q134" s="540">
        <v>2590.4276349366423</v>
      </c>
      <c r="R134" s="540">
        <v>2618.5070865496614</v>
      </c>
      <c r="S134" s="540">
        <v>2647.1851067167649</v>
      </c>
      <c r="T134" s="540">
        <v>2675.139500037887</v>
      </c>
      <c r="U134" s="540">
        <v>2703.2616066623705</v>
      </c>
      <c r="V134" s="540">
        <v>2723.8949614341623</v>
      </c>
      <c r="W134" s="540">
        <v>2740.3847179228474</v>
      </c>
      <c r="X134" s="540">
        <v>2770.2008998435454</v>
      </c>
      <c r="Y134" s="540">
        <v>2795.6932163226206</v>
      </c>
      <c r="Z134" s="540">
        <v>2818.7512070125349</v>
      </c>
      <c r="AA134" s="540">
        <v>2844.2063763710848</v>
      </c>
      <c r="AB134" s="540">
        <v>2864.5513961329671</v>
      </c>
      <c r="AC134" s="540">
        <v>2885.833066633621</v>
      </c>
      <c r="AD134" s="540">
        <v>2911.9385026374475</v>
      </c>
      <c r="AE134" s="540">
        <v>2933.051987991309</v>
      </c>
      <c r="AF134" s="540">
        <v>2958.6976486949516</v>
      </c>
    </row>
    <row r="135" spans="1:32" x14ac:dyDescent="0.25">
      <c r="A135" s="839"/>
      <c r="B135" s="550" t="s">
        <v>29</v>
      </c>
      <c r="C135" s="539"/>
      <c r="D135" s="539"/>
      <c r="E135" s="539"/>
      <c r="F135" s="539"/>
      <c r="G135" s="540"/>
      <c r="H135" s="540">
        <v>1.0347841751641487E-4</v>
      </c>
      <c r="I135" s="540">
        <v>1.0613433852606877E-4</v>
      </c>
      <c r="J135" s="540">
        <v>1.0745154720969447E-4</v>
      </c>
      <c r="K135" s="540">
        <v>1.0906745289223637E-4</v>
      </c>
      <c r="L135" s="540">
        <v>1.1211132374472261E-4</v>
      </c>
      <c r="M135" s="540">
        <v>1.1392426480522561E-4</v>
      </c>
      <c r="N135" s="540">
        <v>1.1605045204097537E-4</v>
      </c>
      <c r="O135" s="540">
        <v>1.1854308962080469E-4</v>
      </c>
      <c r="P135" s="540">
        <v>1.1915023666431511E-4</v>
      </c>
      <c r="Q135" s="540">
        <v>1.2079931536783458E-4</v>
      </c>
      <c r="R135" s="540">
        <v>1.2095947942894666E-4</v>
      </c>
      <c r="S135" s="540">
        <v>1.2149673261993769E-4</v>
      </c>
      <c r="T135" s="540">
        <v>1.2210568148218287E-4</v>
      </c>
      <c r="U135" s="540">
        <v>1.2288444826178075E-4</v>
      </c>
      <c r="V135" s="540">
        <v>1.2363763450402653E-4</v>
      </c>
      <c r="W135" s="540">
        <v>1.2379665546437526E-4</v>
      </c>
      <c r="X135" s="540">
        <v>1.251624908488958E-4</v>
      </c>
      <c r="Y135" s="540">
        <v>1.2669416917799087E-4</v>
      </c>
      <c r="Z135" s="540">
        <v>1.2772118656106655E-4</v>
      </c>
      <c r="AA135" s="540">
        <v>1.2828772254247088E-4</v>
      </c>
      <c r="AB135" s="540">
        <v>1.2898566687260122E-4</v>
      </c>
      <c r="AC135" s="540">
        <v>1.2984558460563676E-4</v>
      </c>
      <c r="AD135" s="540">
        <v>1.3070381784289903E-4</v>
      </c>
      <c r="AE135" s="540">
        <v>1.3155937186624256E-4</v>
      </c>
      <c r="AF135" s="540">
        <v>1.3241131197407432E-4</v>
      </c>
    </row>
    <row r="136" spans="1:32" x14ac:dyDescent="0.25">
      <c r="A136" s="839"/>
      <c r="B136" s="550"/>
      <c r="C136" s="539"/>
      <c r="D136" s="539"/>
      <c r="E136" s="539"/>
      <c r="F136" s="539"/>
      <c r="G136" s="540"/>
      <c r="H136" s="540" t="s">
        <v>73</v>
      </c>
      <c r="I136" s="540" t="s">
        <v>73</v>
      </c>
      <c r="J136" s="540" t="s">
        <v>73</v>
      </c>
      <c r="K136" s="540" t="s">
        <v>73</v>
      </c>
      <c r="L136" s="540" t="s">
        <v>73</v>
      </c>
      <c r="M136" s="540" t="s">
        <v>73</v>
      </c>
      <c r="N136" s="540" t="s">
        <v>73</v>
      </c>
      <c r="O136" s="540" t="s">
        <v>73</v>
      </c>
      <c r="P136" s="540" t="s">
        <v>73</v>
      </c>
      <c r="Q136" s="540" t="s">
        <v>73</v>
      </c>
      <c r="R136" s="540" t="s">
        <v>73</v>
      </c>
      <c r="S136" s="540" t="s">
        <v>73</v>
      </c>
      <c r="T136" s="540" t="s">
        <v>73</v>
      </c>
      <c r="U136" s="540" t="s">
        <v>73</v>
      </c>
      <c r="V136" s="540" t="s">
        <v>73</v>
      </c>
      <c r="W136" s="540" t="s">
        <v>73</v>
      </c>
      <c r="X136" s="540" t="s">
        <v>73</v>
      </c>
      <c r="Y136" s="540" t="s">
        <v>73</v>
      </c>
      <c r="Z136" s="540" t="s">
        <v>73</v>
      </c>
      <c r="AA136" s="540" t="s">
        <v>73</v>
      </c>
      <c r="AB136" s="540" t="s">
        <v>73</v>
      </c>
      <c r="AC136" s="540" t="s">
        <v>73</v>
      </c>
      <c r="AD136" s="540" t="s">
        <v>73</v>
      </c>
      <c r="AE136" s="540" t="s">
        <v>73</v>
      </c>
      <c r="AF136" s="540" t="s">
        <v>73</v>
      </c>
    </row>
    <row r="137" spans="1:32" s="202" customFormat="1" ht="12.75" x14ac:dyDescent="0.2">
      <c r="A137" s="843" t="s">
        <v>42</v>
      </c>
      <c r="B137" s="556"/>
      <c r="C137" s="556"/>
      <c r="D137" s="556"/>
      <c r="E137" s="556"/>
      <c r="F137" s="556"/>
      <c r="G137" s="547"/>
      <c r="H137" s="547" t="s">
        <v>73</v>
      </c>
      <c r="I137" s="547" t="s">
        <v>73</v>
      </c>
      <c r="J137" s="547" t="s">
        <v>73</v>
      </c>
      <c r="K137" s="547" t="s">
        <v>73</v>
      </c>
      <c r="L137" s="547" t="s">
        <v>73</v>
      </c>
      <c r="M137" s="547" t="s">
        <v>73</v>
      </c>
      <c r="N137" s="547" t="s">
        <v>73</v>
      </c>
      <c r="O137" s="547" t="s">
        <v>73</v>
      </c>
      <c r="P137" s="547" t="s">
        <v>73</v>
      </c>
      <c r="Q137" s="547" t="s">
        <v>73</v>
      </c>
      <c r="R137" s="547" t="s">
        <v>73</v>
      </c>
      <c r="S137" s="547" t="s">
        <v>73</v>
      </c>
      <c r="T137" s="547" t="s">
        <v>73</v>
      </c>
      <c r="U137" s="547" t="s">
        <v>73</v>
      </c>
      <c r="V137" s="547" t="s">
        <v>73</v>
      </c>
      <c r="W137" s="547" t="s">
        <v>73</v>
      </c>
      <c r="X137" s="547" t="s">
        <v>73</v>
      </c>
      <c r="Y137" s="547" t="s">
        <v>73</v>
      </c>
      <c r="Z137" s="547" t="s">
        <v>73</v>
      </c>
      <c r="AA137" s="547" t="s">
        <v>73</v>
      </c>
      <c r="AB137" s="547" t="s">
        <v>73</v>
      </c>
      <c r="AC137" s="547" t="s">
        <v>73</v>
      </c>
      <c r="AD137" s="547" t="s">
        <v>73</v>
      </c>
      <c r="AE137" s="547" t="s">
        <v>73</v>
      </c>
      <c r="AF137" s="547" t="s">
        <v>73</v>
      </c>
    </row>
    <row r="138" spans="1:32" x14ac:dyDescent="0.25">
      <c r="A138" s="839"/>
      <c r="B138" s="552" t="s">
        <v>43</v>
      </c>
      <c r="C138" s="539"/>
      <c r="D138" s="539"/>
      <c r="E138" s="539"/>
      <c r="F138" s="539"/>
      <c r="G138" s="540"/>
      <c r="H138" s="540">
        <v>7.4259453391138273</v>
      </c>
      <c r="I138" s="540">
        <v>6.6174457286049666</v>
      </c>
      <c r="J138" s="540">
        <v>5.9099870638110934</v>
      </c>
      <c r="K138" s="540">
        <v>5.290925744079054</v>
      </c>
      <c r="L138" s="540">
        <v>4.7505559273343065</v>
      </c>
      <c r="M138" s="540">
        <v>4.2758567956326727</v>
      </c>
      <c r="N138" s="540">
        <v>3.8629677400931439</v>
      </c>
      <c r="O138" s="540">
        <v>3.5060161784718988</v>
      </c>
      <c r="P138" s="540">
        <v>3.1916594923334403</v>
      </c>
      <c r="Q138" s="540">
        <v>2.9191094456534445</v>
      </c>
      <c r="R138" s="540">
        <v>2.6787399444879707</v>
      </c>
      <c r="S138" s="540">
        <v>2.4692593731099604</v>
      </c>
      <c r="T138" s="540">
        <v>2.2864362772472115</v>
      </c>
      <c r="U138" s="540">
        <v>2.1271927814265754</v>
      </c>
      <c r="V138" s="540">
        <v>1.9883123900074544</v>
      </c>
      <c r="W138" s="540">
        <v>1.8660764342602136</v>
      </c>
      <c r="X138" s="540">
        <v>1.7617314763007341</v>
      </c>
      <c r="Y138" s="540">
        <v>1.6717577353421711</v>
      </c>
      <c r="Z138" s="540">
        <v>1.5931200122602451</v>
      </c>
      <c r="AA138" s="540">
        <v>1.52417167731063</v>
      </c>
      <c r="AB138" s="540">
        <v>1.4640503297785494</v>
      </c>
      <c r="AC138" s="540">
        <v>1.4124548307045028</v>
      </c>
      <c r="AD138" s="540">
        <v>1.368689575533331</v>
      </c>
      <c r="AE138" s="540">
        <v>1.3305299812537796</v>
      </c>
      <c r="AF138" s="540">
        <v>1.297915118561298</v>
      </c>
    </row>
    <row r="139" spans="1:32" x14ac:dyDescent="0.25">
      <c r="A139" s="839"/>
      <c r="B139" s="552" t="s">
        <v>44</v>
      </c>
      <c r="C139" s="539"/>
      <c r="D139" s="539"/>
      <c r="E139" s="539"/>
      <c r="F139" s="539"/>
      <c r="G139" s="540"/>
      <c r="H139" s="540">
        <v>437.92496103204769</v>
      </c>
      <c r="I139" s="540">
        <v>449.31692476509897</v>
      </c>
      <c r="J139" s="540">
        <v>459.02629918394922</v>
      </c>
      <c r="K139" s="540">
        <v>467.43891766234304</v>
      </c>
      <c r="L139" s="540">
        <v>475.6728995814957</v>
      </c>
      <c r="M139" s="540">
        <v>481.94702163364076</v>
      </c>
      <c r="N139" s="540">
        <v>489.19229756202554</v>
      </c>
      <c r="O139" s="540">
        <v>498.4840538067574</v>
      </c>
      <c r="P139" s="540">
        <v>505.81085923402173</v>
      </c>
      <c r="Q139" s="540">
        <v>514.13699353548645</v>
      </c>
      <c r="R139" s="540">
        <v>520.71960134239771</v>
      </c>
      <c r="S139" s="540">
        <v>527.39082689574639</v>
      </c>
      <c r="T139" s="540">
        <v>533.91628609467216</v>
      </c>
      <c r="U139" s="540">
        <v>540.45512683715401</v>
      </c>
      <c r="V139" s="540">
        <v>546.83125761705378</v>
      </c>
      <c r="W139" s="540">
        <v>552.34430227007078</v>
      </c>
      <c r="X139" s="540">
        <v>559.05943603645449</v>
      </c>
      <c r="Y139" s="540">
        <v>566.05998655871349</v>
      </c>
      <c r="Z139" s="540">
        <v>572.55290129313858</v>
      </c>
      <c r="AA139" s="540">
        <v>578.43468388683755</v>
      </c>
      <c r="AB139" s="540">
        <v>583.90390661232357</v>
      </c>
      <c r="AC139" s="540">
        <v>589.46482825110252</v>
      </c>
      <c r="AD139" s="540">
        <v>595.36205701219876</v>
      </c>
      <c r="AE139" s="540">
        <v>600.80121225424398</v>
      </c>
      <c r="AF139" s="540">
        <v>606.18454421646834</v>
      </c>
    </row>
    <row r="140" spans="1:32" x14ac:dyDescent="0.25">
      <c r="A140" s="839"/>
      <c r="B140" s="552" t="s">
        <v>45</v>
      </c>
      <c r="C140" s="539"/>
      <c r="D140" s="539"/>
      <c r="E140" s="539"/>
      <c r="F140" s="539"/>
      <c r="G140" s="540"/>
      <c r="H140" s="540">
        <v>14.257587713699033</v>
      </c>
      <c r="I140" s="540">
        <v>12.983099875582711</v>
      </c>
      <c r="J140" s="540">
        <v>11.863015790821146</v>
      </c>
      <c r="K140" s="540">
        <v>10.880073220836685</v>
      </c>
      <c r="L140" s="540">
        <v>10.025985158408597</v>
      </c>
      <c r="M140" s="540">
        <v>9.2677619435340066</v>
      </c>
      <c r="N140" s="540">
        <v>8.6185674994512738</v>
      </c>
      <c r="O140" s="540">
        <v>8.0745102484451756</v>
      </c>
      <c r="P140" s="540">
        <v>7.5868933435687635</v>
      </c>
      <c r="Q140" s="540">
        <v>7.1745645008736085</v>
      </c>
      <c r="R140" s="540">
        <v>6.8036403487124018</v>
      </c>
      <c r="S140" s="540">
        <v>6.4846379920665314</v>
      </c>
      <c r="T140" s="540">
        <v>6.2088351929827104</v>
      </c>
      <c r="U140" s="540">
        <v>5.9721152891027325</v>
      </c>
      <c r="V140" s="540">
        <v>5.7679592715108363</v>
      </c>
      <c r="W140" s="540">
        <v>5.5858775519087995</v>
      </c>
      <c r="X140" s="540">
        <v>5.4412886297711998</v>
      </c>
      <c r="Y140" s="540">
        <v>5.3217846117373027</v>
      </c>
      <c r="Z140" s="540">
        <v>5.2173256518190669</v>
      </c>
      <c r="AA140" s="540">
        <v>5.1249503431778658</v>
      </c>
      <c r="AB140" s="540">
        <v>5.0444699740272601</v>
      </c>
      <c r="AC140" s="540">
        <v>4.9787943191659663</v>
      </c>
      <c r="AD140" s="540">
        <v>4.9285143888891918</v>
      </c>
      <c r="AE140" s="540">
        <v>4.8843431086357132</v>
      </c>
      <c r="AF140" s="540">
        <v>4.8490362011912813</v>
      </c>
    </row>
    <row r="141" spans="1:32" x14ac:dyDescent="0.25">
      <c r="A141" s="839"/>
      <c r="B141" s="552" t="s">
        <v>46</v>
      </c>
      <c r="C141" s="539"/>
      <c r="D141" s="539"/>
      <c r="E141" s="539"/>
      <c r="F141" s="539"/>
      <c r="G141" s="540"/>
      <c r="H141" s="540">
        <v>0.27129979897226009</v>
      </c>
      <c r="I141" s="540">
        <v>0.2379729196660875</v>
      </c>
      <c r="J141" s="540">
        <v>0.20882773658012924</v>
      </c>
      <c r="K141" s="540">
        <v>0.18332786104418153</v>
      </c>
      <c r="L141" s="540">
        <v>0.16100729412866163</v>
      </c>
      <c r="M141" s="540">
        <v>0.14146096979922582</v>
      </c>
      <c r="N141" s="540">
        <v>0.12433659962158609</v>
      </c>
      <c r="O141" s="540">
        <v>0.10932763541105978</v>
      </c>
      <c r="P141" s="540">
        <v>9.6167192780356542E-2</v>
      </c>
      <c r="Q141" s="540">
        <v>8.4622801157268071E-2</v>
      </c>
      <c r="R141" s="540">
        <v>7.4491865121226311E-2</v>
      </c>
      <c r="S141" s="540">
        <v>6.5597738350351681E-2</v>
      </c>
      <c r="T141" s="540">
        <v>5.7786325506151752E-2</v>
      </c>
      <c r="U141" s="540">
        <v>5.0923139372823598E-2</v>
      </c>
      <c r="V141" s="540">
        <v>4.489075081789607E-2</v>
      </c>
      <c r="W141" s="540">
        <v>3.9586577909595071E-2</v>
      </c>
      <c r="X141" s="540">
        <v>3.4920968033204401E-2</v>
      </c>
      <c r="Y141" s="540">
        <v>3.0815533279902385E-2</v>
      </c>
      <c r="Z141" s="540">
        <v>2.7201704895015919E-2</v>
      </c>
      <c r="AA141" s="540">
        <v>2.4019477302528285E-2</v>
      </c>
      <c r="AB141" s="540">
        <v>2.1223012726528486E-2</v>
      </c>
      <c r="AC141" s="540">
        <v>1.8763719932539384E-2</v>
      </c>
      <c r="AD141" s="540">
        <v>1.6594428471330889E-2</v>
      </c>
      <c r="AE141" s="540">
        <v>1.468463709292726E-2</v>
      </c>
      <c r="AF141" s="540">
        <v>1.3002139390055324E-2</v>
      </c>
    </row>
    <row r="142" spans="1:32" x14ac:dyDescent="0.25">
      <c r="A142" s="839"/>
      <c r="B142" s="550" t="s">
        <v>29</v>
      </c>
      <c r="C142" s="539"/>
      <c r="D142" s="539"/>
      <c r="E142" s="539"/>
      <c r="F142" s="539"/>
      <c r="G142" s="540"/>
      <c r="H142" s="540">
        <v>4.3925211310381699E-5</v>
      </c>
      <c r="I142" s="540">
        <v>4.5077671354684168E-5</v>
      </c>
      <c r="J142" s="540">
        <v>4.5641770570281783E-5</v>
      </c>
      <c r="K142" s="540">
        <v>4.5881420991819235E-5</v>
      </c>
      <c r="L142" s="540">
        <v>4.6234905588282549E-5</v>
      </c>
      <c r="M142" s="540">
        <v>4.6057814319275994E-5</v>
      </c>
      <c r="N142" s="540">
        <v>4.6444321447964564E-5</v>
      </c>
      <c r="O142" s="540">
        <v>4.7598938688373668E-5</v>
      </c>
      <c r="P142" s="540">
        <v>4.798955571223757E-5</v>
      </c>
      <c r="Q142" s="540">
        <v>4.8790433155407605E-5</v>
      </c>
      <c r="R142" s="540">
        <v>4.8982686967935519E-5</v>
      </c>
      <c r="S142" s="540">
        <v>4.9318595930639543E-5</v>
      </c>
      <c r="T142" s="540">
        <v>4.9675984359549433E-5</v>
      </c>
      <c r="U142" s="540">
        <v>5.0095620653653398E-5</v>
      </c>
      <c r="V142" s="540">
        <v>5.0498806288718188E-5</v>
      </c>
      <c r="W142" s="540">
        <v>5.0653705556470193E-5</v>
      </c>
      <c r="X142" s="540">
        <v>5.1296409148778901E-5</v>
      </c>
      <c r="Y142" s="540">
        <v>5.2003169495254261E-5</v>
      </c>
      <c r="Z142" s="540">
        <v>5.2499400895756086E-5</v>
      </c>
      <c r="AA142" s="540">
        <v>5.2802626194602187E-5</v>
      </c>
      <c r="AB142" s="540">
        <v>5.315532022999301E-5</v>
      </c>
      <c r="AC142" s="540">
        <v>5.3571160624866136E-5</v>
      </c>
      <c r="AD142" s="540">
        <v>5.3983705410824318E-5</v>
      </c>
      <c r="AE142" s="540">
        <v>5.4391616083208891E-5</v>
      </c>
      <c r="AF142" s="540">
        <v>5.4795275910802424E-5</v>
      </c>
    </row>
    <row r="143" spans="1:32" x14ac:dyDescent="0.25">
      <c r="A143" s="839"/>
      <c r="B143" s="550"/>
      <c r="C143" s="539"/>
      <c r="D143" s="539"/>
      <c r="E143" s="539"/>
      <c r="F143" s="539"/>
      <c r="G143" s="540"/>
      <c r="H143" s="540" t="s">
        <v>73</v>
      </c>
      <c r="I143" s="540" t="s">
        <v>73</v>
      </c>
      <c r="J143" s="540" t="s">
        <v>73</v>
      </c>
      <c r="K143" s="540" t="s">
        <v>73</v>
      </c>
      <c r="L143" s="540" t="s">
        <v>73</v>
      </c>
      <c r="M143" s="540" t="s">
        <v>73</v>
      </c>
      <c r="N143" s="540" t="s">
        <v>73</v>
      </c>
      <c r="O143" s="540" t="s">
        <v>73</v>
      </c>
      <c r="P143" s="540" t="s">
        <v>73</v>
      </c>
      <c r="Q143" s="540" t="s">
        <v>73</v>
      </c>
      <c r="R143" s="540" t="s">
        <v>73</v>
      </c>
      <c r="S143" s="540" t="s">
        <v>73</v>
      </c>
      <c r="T143" s="540" t="s">
        <v>73</v>
      </c>
      <c r="U143" s="540" t="s">
        <v>73</v>
      </c>
      <c r="V143" s="540" t="s">
        <v>73</v>
      </c>
      <c r="W143" s="540" t="s">
        <v>73</v>
      </c>
      <c r="X143" s="540" t="s">
        <v>73</v>
      </c>
      <c r="Y143" s="540" t="s">
        <v>73</v>
      </c>
      <c r="Z143" s="540" t="s">
        <v>73</v>
      </c>
      <c r="AA143" s="540" t="s">
        <v>73</v>
      </c>
      <c r="AB143" s="540" t="s">
        <v>73</v>
      </c>
      <c r="AC143" s="540" t="s">
        <v>73</v>
      </c>
      <c r="AD143" s="540" t="s">
        <v>73</v>
      </c>
      <c r="AE143" s="540" t="s">
        <v>73</v>
      </c>
      <c r="AF143" s="540" t="s">
        <v>73</v>
      </c>
    </row>
    <row r="144" spans="1:32" s="202" customFormat="1" ht="12.75" x14ac:dyDescent="0.2">
      <c r="A144" s="843" t="s">
        <v>47</v>
      </c>
      <c r="B144" s="556"/>
      <c r="C144" s="556"/>
      <c r="D144" s="556"/>
      <c r="E144" s="556"/>
      <c r="F144" s="556"/>
      <c r="G144" s="547"/>
      <c r="H144" s="547" t="s">
        <v>73</v>
      </c>
      <c r="I144" s="547" t="s">
        <v>73</v>
      </c>
      <c r="J144" s="547" t="s">
        <v>73</v>
      </c>
      <c r="K144" s="547" t="s">
        <v>73</v>
      </c>
      <c r="L144" s="547" t="s">
        <v>73</v>
      </c>
      <c r="M144" s="547" t="s">
        <v>73</v>
      </c>
      <c r="N144" s="547" t="s">
        <v>73</v>
      </c>
      <c r="O144" s="547" t="s">
        <v>73</v>
      </c>
      <c r="P144" s="547" t="s">
        <v>73</v>
      </c>
      <c r="Q144" s="547" t="s">
        <v>73</v>
      </c>
      <c r="R144" s="547" t="s">
        <v>73</v>
      </c>
      <c r="S144" s="547" t="s">
        <v>73</v>
      </c>
      <c r="T144" s="547" t="s">
        <v>73</v>
      </c>
      <c r="U144" s="547" t="s">
        <v>73</v>
      </c>
      <c r="V144" s="547" t="s">
        <v>73</v>
      </c>
      <c r="W144" s="547" t="s">
        <v>73</v>
      </c>
      <c r="X144" s="547" t="s">
        <v>73</v>
      </c>
      <c r="Y144" s="547" t="s">
        <v>73</v>
      </c>
      <c r="Z144" s="547" t="s">
        <v>73</v>
      </c>
      <c r="AA144" s="547" t="s">
        <v>73</v>
      </c>
      <c r="AB144" s="547" t="s">
        <v>73</v>
      </c>
      <c r="AC144" s="547" t="s">
        <v>73</v>
      </c>
      <c r="AD144" s="547" t="s">
        <v>73</v>
      </c>
      <c r="AE144" s="547" t="s">
        <v>73</v>
      </c>
      <c r="AF144" s="547" t="s">
        <v>73</v>
      </c>
    </row>
    <row r="145" spans="1:32" x14ac:dyDescent="0.25">
      <c r="A145" s="839"/>
      <c r="B145" s="550" t="s">
        <v>48</v>
      </c>
      <c r="C145" s="539"/>
      <c r="D145" s="539"/>
      <c r="E145" s="539"/>
      <c r="F145" s="539"/>
      <c r="G145" s="540"/>
      <c r="H145" s="540">
        <v>839.73934762664123</v>
      </c>
      <c r="I145" s="540">
        <v>824.6523552786349</v>
      </c>
      <c r="J145" s="540">
        <v>809.87181625098106</v>
      </c>
      <c r="K145" s="540">
        <v>794.88596457868664</v>
      </c>
      <c r="L145" s="540">
        <v>779.88821195171488</v>
      </c>
      <c r="M145" s="540">
        <v>764.15504415120927</v>
      </c>
      <c r="N145" s="540">
        <v>748.61423992407128</v>
      </c>
      <c r="O145" s="540">
        <v>734.29597503584864</v>
      </c>
      <c r="P145" s="540">
        <v>720.04455670331549</v>
      </c>
      <c r="Q145" s="540">
        <v>706.39337681433142</v>
      </c>
      <c r="R145" s="540">
        <v>692.53223109990847</v>
      </c>
      <c r="S145" s="540">
        <v>678.69325375415133</v>
      </c>
      <c r="T145" s="540">
        <v>664.92795641837483</v>
      </c>
      <c r="U145" s="540">
        <v>651.32503342562381</v>
      </c>
      <c r="V145" s="540">
        <v>637.8725759738652</v>
      </c>
      <c r="W145" s="540">
        <v>624.31981168408447</v>
      </c>
      <c r="X145" s="540">
        <v>611.20977737716737</v>
      </c>
      <c r="Y145" s="540">
        <v>598.56689192636338</v>
      </c>
      <c r="Z145" s="540">
        <v>586.14700976107076</v>
      </c>
      <c r="AA145" s="540">
        <v>573.76692682627834</v>
      </c>
      <c r="AB145" s="540">
        <v>561.49595565883408</v>
      </c>
      <c r="AC145" s="540">
        <v>549.40275875624673</v>
      </c>
      <c r="AD145" s="540">
        <v>537.48718088695512</v>
      </c>
      <c r="AE145" s="540">
        <v>525.74898979628711</v>
      </c>
      <c r="AF145" s="540">
        <v>514.1878779938047</v>
      </c>
    </row>
    <row r="146" spans="1:32" x14ac:dyDescent="0.25">
      <c r="A146" s="839"/>
      <c r="B146" s="552" t="s">
        <v>50</v>
      </c>
      <c r="C146" s="539"/>
      <c r="D146" s="539"/>
      <c r="E146" s="539"/>
      <c r="F146" s="539"/>
      <c r="G146" s="540"/>
      <c r="H146" s="540">
        <v>1436.8027207875821</v>
      </c>
      <c r="I146" s="540">
        <v>1437.795283224388</v>
      </c>
      <c r="J146" s="540">
        <v>1438.6711596420423</v>
      </c>
      <c r="K146" s="540">
        <v>1438.5599871878514</v>
      </c>
      <c r="L146" s="540">
        <v>1437.9302717441142</v>
      </c>
      <c r="M146" s="540">
        <v>1435.2735171162165</v>
      </c>
      <c r="N146" s="540">
        <v>1432.4797404800438</v>
      </c>
      <c r="O146" s="540">
        <v>1431.6086807579434</v>
      </c>
      <c r="P146" s="540">
        <v>1430.1882757534272</v>
      </c>
      <c r="Q146" s="540">
        <v>1429.4993155353654</v>
      </c>
      <c r="R146" s="540">
        <v>1427.7304450935912</v>
      </c>
      <c r="S146" s="540">
        <v>1425.4572916821232</v>
      </c>
      <c r="T146" s="540">
        <v>1422.7521295498495</v>
      </c>
      <c r="U146" s="540">
        <v>1419.8041935110475</v>
      </c>
      <c r="V146" s="540">
        <v>1416.5721296754</v>
      </c>
      <c r="W146" s="540">
        <v>1412.4433506786129</v>
      </c>
      <c r="X146" s="540">
        <v>1408.7625368571478</v>
      </c>
      <c r="Y146" s="540">
        <v>1405.5548047644509</v>
      </c>
      <c r="Z146" s="540">
        <v>1402.227866157775</v>
      </c>
      <c r="AA146" s="540">
        <v>1398.3425189747772</v>
      </c>
      <c r="AB146" s="540">
        <v>1394.0927119229289</v>
      </c>
      <c r="AC146" s="540">
        <v>1389.6481289425005</v>
      </c>
      <c r="AD146" s="540">
        <v>1385.0008181456574</v>
      </c>
      <c r="AE146" s="540">
        <v>1380.1528765742228</v>
      </c>
      <c r="AF146" s="540">
        <v>1375.1064885283604</v>
      </c>
    </row>
    <row r="147" spans="1:32" x14ac:dyDescent="0.25">
      <c r="A147" s="839"/>
      <c r="B147" s="550" t="s">
        <v>51</v>
      </c>
      <c r="C147" s="539"/>
      <c r="D147" s="539"/>
      <c r="E147" s="539"/>
      <c r="F147" s="539"/>
      <c r="G147" s="540"/>
      <c r="H147" s="540">
        <v>1625.4056429531684</v>
      </c>
      <c r="I147" s="540">
        <v>1633.8151423790243</v>
      </c>
      <c r="J147" s="540">
        <v>1638.6164721794887</v>
      </c>
      <c r="K147" s="540">
        <v>1640.6007986799095</v>
      </c>
      <c r="L147" s="540">
        <v>1642.7328193353562</v>
      </c>
      <c r="M147" s="540">
        <v>1639.9673430437281</v>
      </c>
      <c r="N147" s="540">
        <v>1640.2232937648726</v>
      </c>
      <c r="O147" s="540">
        <v>1646.4751703319191</v>
      </c>
      <c r="P147" s="540">
        <v>1647.9456632647364</v>
      </c>
      <c r="Q147" s="540">
        <v>1652.2906186172752</v>
      </c>
      <c r="R147" s="540">
        <v>1652.2986401309793</v>
      </c>
      <c r="S147" s="540">
        <v>1652.5784488855484</v>
      </c>
      <c r="T147" s="540">
        <v>1652.5352632655379</v>
      </c>
      <c r="U147" s="540">
        <v>1652.5554818527937</v>
      </c>
      <c r="V147" s="540">
        <v>1652.1858441544603</v>
      </c>
      <c r="W147" s="540">
        <v>1649.6634268772739</v>
      </c>
      <c r="X147" s="540">
        <v>1650.0107725127705</v>
      </c>
      <c r="Y147" s="540">
        <v>1651.0765220960848</v>
      </c>
      <c r="Z147" s="540">
        <v>1650.9313689070923</v>
      </c>
      <c r="AA147" s="540">
        <v>1649.2659777190195</v>
      </c>
      <c r="AB147" s="540">
        <v>1647.4656577077392</v>
      </c>
      <c r="AC147" s="540">
        <v>1645.7488415197956</v>
      </c>
      <c r="AD147" s="540">
        <v>1643.7814160262583</v>
      </c>
      <c r="AE147" s="540">
        <v>1641.5642456947021</v>
      </c>
      <c r="AF147" s="540">
        <v>1639.0983089977735</v>
      </c>
    </row>
    <row r="148" spans="1:32" x14ac:dyDescent="0.25">
      <c r="A148" s="839"/>
      <c r="B148" s="550" t="s">
        <v>52</v>
      </c>
      <c r="C148" s="539"/>
      <c r="D148" s="539"/>
      <c r="E148" s="539"/>
      <c r="F148" s="539"/>
      <c r="G148" s="540"/>
      <c r="H148" s="540">
        <v>175.05528930934031</v>
      </c>
      <c r="I148" s="540">
        <v>177.03805356941447</v>
      </c>
      <c r="J148" s="540">
        <v>178.56374627252728</v>
      </c>
      <c r="K148" s="540">
        <v>179.76044921312615</v>
      </c>
      <c r="L148" s="540">
        <v>181.02985115690532</v>
      </c>
      <c r="M148" s="540">
        <v>181.69218691297584</v>
      </c>
      <c r="N148" s="540">
        <v>182.82871964483698</v>
      </c>
      <c r="O148" s="540">
        <v>184.81489778661404</v>
      </c>
      <c r="P148" s="540">
        <v>186.14424175222464</v>
      </c>
      <c r="Q148" s="540">
        <v>187.91180280034351</v>
      </c>
      <c r="R148" s="540">
        <v>189.09301361865161</v>
      </c>
      <c r="S148" s="540">
        <v>190.36438375310115</v>
      </c>
      <c r="T148" s="540">
        <v>191.63108215611592</v>
      </c>
      <c r="U148" s="540">
        <v>192.94523335139232</v>
      </c>
      <c r="V148" s="540">
        <v>193.785477776167</v>
      </c>
      <c r="W148" s="540">
        <v>194.38149419062546</v>
      </c>
      <c r="X148" s="540">
        <v>195.8851734967559</v>
      </c>
      <c r="Y148" s="540">
        <v>197.11572282001768</v>
      </c>
      <c r="Z148" s="540">
        <v>198.5818606809151</v>
      </c>
      <c r="AA148" s="540">
        <v>199.47570123968231</v>
      </c>
      <c r="AB148" s="540">
        <v>200.41316157658324</v>
      </c>
      <c r="AC148" s="540">
        <v>201.75471127162339</v>
      </c>
      <c r="AD148" s="540">
        <v>202.75613901787938</v>
      </c>
      <c r="AE148" s="540">
        <v>203.76670028499404</v>
      </c>
      <c r="AF148" s="540">
        <v>205.08362113052539</v>
      </c>
    </row>
    <row r="149" spans="1:32" x14ac:dyDescent="0.25">
      <c r="A149" s="839"/>
      <c r="B149" s="552" t="s">
        <v>29</v>
      </c>
      <c r="C149" s="539"/>
      <c r="D149" s="539"/>
      <c r="E149" s="539"/>
      <c r="F149" s="539"/>
      <c r="G149" s="540"/>
      <c r="H149" s="540">
        <v>65.997597243107634</v>
      </c>
      <c r="I149" s="540">
        <v>81.396904676915483</v>
      </c>
      <c r="J149" s="540">
        <v>96.934128183247083</v>
      </c>
      <c r="K149" s="540">
        <v>112.47846786337641</v>
      </c>
      <c r="L149" s="540">
        <v>128.21403364584828</v>
      </c>
      <c r="M149" s="540">
        <v>143.56184795947433</v>
      </c>
      <c r="N149" s="540">
        <v>159.39947434939651</v>
      </c>
      <c r="O149" s="540">
        <v>176.31608318923756</v>
      </c>
      <c r="P149" s="540">
        <v>192.72969960248543</v>
      </c>
      <c r="Q149" s="540">
        <v>209.87992514100802</v>
      </c>
      <c r="R149" s="540">
        <v>226.41301585729505</v>
      </c>
      <c r="S149" s="540">
        <v>243.20295547675633</v>
      </c>
      <c r="T149" s="540">
        <v>260.11722488908822</v>
      </c>
      <c r="U149" s="540">
        <v>277.24439948575315</v>
      </c>
      <c r="V149" s="540">
        <v>294.45298631506637</v>
      </c>
      <c r="W149" s="540">
        <v>311.2315299193437</v>
      </c>
      <c r="X149" s="540">
        <v>329.08125955501976</v>
      </c>
      <c r="Y149" s="540">
        <v>347.33256410556515</v>
      </c>
      <c r="Z149" s="540">
        <v>365.35914302348078</v>
      </c>
      <c r="AA149" s="540">
        <v>383.02874674552754</v>
      </c>
      <c r="AB149" s="540">
        <v>400.85445301075629</v>
      </c>
      <c r="AC149" s="540">
        <v>418.9158778135108</v>
      </c>
      <c r="AD149" s="540">
        <v>437.05175523134483</v>
      </c>
      <c r="AE149" s="540">
        <v>455.26075070029901</v>
      </c>
      <c r="AF149" s="540">
        <v>473.54197816051283</v>
      </c>
    </row>
    <row r="150" spans="1:32" x14ac:dyDescent="0.25">
      <c r="A150" s="839"/>
      <c r="B150" s="552" t="s">
        <v>53</v>
      </c>
      <c r="C150" s="539"/>
      <c r="D150" s="539"/>
      <c r="E150" s="539"/>
      <c r="F150" s="539"/>
      <c r="G150" s="540"/>
      <c r="H150" s="540">
        <v>0</v>
      </c>
      <c r="I150" s="540">
        <v>0</v>
      </c>
      <c r="J150" s="540">
        <v>0</v>
      </c>
      <c r="K150" s="540">
        <v>0</v>
      </c>
      <c r="L150" s="540">
        <v>0</v>
      </c>
      <c r="M150" s="540">
        <v>0</v>
      </c>
      <c r="N150" s="540">
        <v>0</v>
      </c>
      <c r="O150" s="540">
        <v>0</v>
      </c>
      <c r="P150" s="540">
        <v>0</v>
      </c>
      <c r="Q150" s="540">
        <v>0</v>
      </c>
      <c r="R150" s="540">
        <v>0</v>
      </c>
      <c r="S150" s="540">
        <v>0</v>
      </c>
      <c r="T150" s="540">
        <v>0</v>
      </c>
      <c r="U150" s="540">
        <v>0</v>
      </c>
      <c r="V150" s="540">
        <v>0</v>
      </c>
      <c r="W150" s="540">
        <v>0</v>
      </c>
      <c r="X150" s="540">
        <v>0</v>
      </c>
      <c r="Y150" s="540">
        <v>0</v>
      </c>
      <c r="Z150" s="540">
        <v>0</v>
      </c>
      <c r="AA150" s="540">
        <v>0</v>
      </c>
      <c r="AB150" s="540">
        <v>0</v>
      </c>
      <c r="AC150" s="540">
        <v>0</v>
      </c>
      <c r="AD150" s="540">
        <v>0</v>
      </c>
      <c r="AE150" s="540">
        <v>0</v>
      </c>
      <c r="AF150" s="540">
        <v>0</v>
      </c>
    </row>
    <row r="151" spans="1:32" x14ac:dyDescent="0.25">
      <c r="A151" s="838"/>
    </row>
    <row r="152" spans="1:32" x14ac:dyDescent="0.25">
      <c r="A152" s="838"/>
    </row>
    <row r="153" spans="1:32" s="539" customFormat="1" x14ac:dyDescent="0.25">
      <c r="A153" s="860" t="s">
        <v>274</v>
      </c>
      <c r="B153" s="555"/>
      <c r="C153" s="554"/>
      <c r="D153" s="553"/>
      <c r="E153" s="553"/>
      <c r="F153" s="553"/>
      <c r="G153" s="553" t="s">
        <v>703</v>
      </c>
      <c r="H153" s="560"/>
      <c r="I153" s="560"/>
      <c r="J153" s="560"/>
      <c r="K153" s="560"/>
      <c r="L153" s="560"/>
      <c r="M153" s="560"/>
      <c r="N153" s="560"/>
      <c r="O153" s="560"/>
      <c r="P153" s="560"/>
      <c r="Q153" s="560"/>
      <c r="R153" s="560"/>
      <c r="S153" s="560"/>
      <c r="T153" s="560"/>
      <c r="U153" s="560"/>
      <c r="V153" s="560"/>
      <c r="W153" s="560"/>
      <c r="X153" s="560"/>
      <c r="Y153" s="560"/>
      <c r="Z153" s="560"/>
      <c r="AA153" s="560"/>
      <c r="AB153" s="560"/>
      <c r="AC153" s="560"/>
      <c r="AD153" s="560"/>
      <c r="AE153" s="560"/>
      <c r="AF153" s="560"/>
    </row>
    <row r="154" spans="1:32" s="539" customFormat="1" x14ac:dyDescent="0.25">
      <c r="A154" s="840" t="s">
        <v>12</v>
      </c>
      <c r="B154" s="550"/>
    </row>
    <row r="155" spans="1:32" s="539" customFormat="1" x14ac:dyDescent="0.25">
      <c r="A155" s="839"/>
      <c r="B155" s="550" t="s">
        <v>20</v>
      </c>
    </row>
    <row r="156" spans="1:32" s="202" customFormat="1" ht="12.75" x14ac:dyDescent="0.2">
      <c r="A156" s="843" t="s">
        <v>21</v>
      </c>
      <c r="B156" s="556"/>
      <c r="C156" s="556"/>
      <c r="D156" s="556"/>
      <c r="E156" s="556"/>
      <c r="F156" s="556"/>
      <c r="G156" s="556"/>
      <c r="H156" s="556"/>
      <c r="I156" s="556"/>
      <c r="J156" s="556"/>
      <c r="K156" s="556"/>
      <c r="L156" s="556"/>
      <c r="M156" s="556"/>
      <c r="N156" s="556"/>
      <c r="O156" s="556"/>
      <c r="P156" s="556"/>
      <c r="Q156" s="556"/>
      <c r="R156" s="556"/>
      <c r="S156" s="556"/>
      <c r="T156" s="556"/>
      <c r="U156" s="556"/>
      <c r="V156" s="556"/>
      <c r="W156" s="556"/>
      <c r="X156" s="556"/>
      <c r="Y156" s="556"/>
      <c r="Z156" s="556"/>
      <c r="AA156" s="556"/>
      <c r="AB156" s="556"/>
      <c r="AC156" s="556"/>
      <c r="AD156" s="556"/>
      <c r="AE156" s="556"/>
      <c r="AF156" s="556"/>
    </row>
    <row r="157" spans="1:32" x14ac:dyDescent="0.25">
      <c r="A157" s="839"/>
      <c r="B157" s="550" t="s">
        <v>22</v>
      </c>
      <c r="C157" s="539"/>
      <c r="D157" s="539"/>
      <c r="E157" s="539"/>
      <c r="F157" s="539"/>
      <c r="G157" s="723">
        <v>2411.037413033217</v>
      </c>
      <c r="H157" s="723">
        <v>1468.2007295451322</v>
      </c>
      <c r="I157" s="723">
        <v>1053.7556661068925</v>
      </c>
      <c r="J157" s="723">
        <v>618.84061998419475</v>
      </c>
      <c r="K157" s="723">
        <v>430.40357382445512</v>
      </c>
      <c r="L157" s="723">
        <v>278.74757270065874</v>
      </c>
      <c r="M157" s="723">
        <v>105.15827837522841</v>
      </c>
      <c r="N157" s="723">
        <v>101.88799403394012</v>
      </c>
      <c r="O157" s="723">
        <v>102.64647677022126</v>
      </c>
      <c r="P157" s="723">
        <v>103.89973582673841</v>
      </c>
      <c r="Q157" s="723">
        <v>105.29571199847098</v>
      </c>
      <c r="R157" s="723">
        <v>106.62456820171734</v>
      </c>
      <c r="S157" s="723">
        <v>107.92640307580727</v>
      </c>
      <c r="T157" s="723">
        <v>109.2143352622587</v>
      </c>
      <c r="U157" s="723">
        <v>110.50213061922142</v>
      </c>
      <c r="V157" s="723">
        <v>111.78358756201521</v>
      </c>
      <c r="W157" s="723">
        <v>112.99886006393218</v>
      </c>
      <c r="X157" s="723">
        <v>114.27580962489851</v>
      </c>
      <c r="Y157" s="723">
        <v>115.61768698620315</v>
      </c>
      <c r="Z157" s="723">
        <v>116.95872891161265</v>
      </c>
      <c r="AA157" s="723">
        <v>118.25542582124642</v>
      </c>
      <c r="AB157" s="723">
        <v>119.5316346533518</v>
      </c>
      <c r="AC157" s="723">
        <v>120.8069872508255</v>
      </c>
      <c r="AD157" s="723">
        <v>122.07854747473607</v>
      </c>
      <c r="AE157" s="723">
        <v>123.34435499132957</v>
      </c>
      <c r="AF157" s="723">
        <v>124.60373663165618</v>
      </c>
    </row>
    <row r="158" spans="1:32" x14ac:dyDescent="0.25">
      <c r="A158" s="839"/>
      <c r="B158" s="550" t="s">
        <v>26</v>
      </c>
      <c r="C158" s="539"/>
      <c r="D158" s="539"/>
      <c r="E158" s="539"/>
      <c r="F158" s="539"/>
      <c r="G158" s="723">
        <v>54.421040140442301</v>
      </c>
      <c r="H158" s="723">
        <v>31.95339889271261</v>
      </c>
      <c r="I158" s="723">
        <v>113.05783129831038</v>
      </c>
      <c r="J158" s="723">
        <v>298.07677350115068</v>
      </c>
      <c r="K158" s="723">
        <v>413.02057060665913</v>
      </c>
      <c r="L158" s="723">
        <v>439.17823301753492</v>
      </c>
      <c r="M158" s="723">
        <v>463.49738268106165</v>
      </c>
      <c r="N158" s="723">
        <v>450.30111412816359</v>
      </c>
      <c r="O158" s="723">
        <v>454.22625225743587</v>
      </c>
      <c r="P158" s="723">
        <v>459.70196359176424</v>
      </c>
      <c r="Q158" s="723">
        <v>466.03112193452915</v>
      </c>
      <c r="R158" s="723">
        <v>471.68993237661812</v>
      </c>
      <c r="S158" s="723">
        <v>477.32942430374027</v>
      </c>
      <c r="T158" s="723">
        <v>482.92491598903393</v>
      </c>
      <c r="U158" s="723">
        <v>488.55978988359431</v>
      </c>
      <c r="V158" s="723">
        <v>494.15743070633368</v>
      </c>
      <c r="W158" s="723">
        <v>499.31975407137048</v>
      </c>
      <c r="X158" s="723">
        <v>505.05411476340362</v>
      </c>
      <c r="Y158" s="723">
        <v>511.09833445279742</v>
      </c>
      <c r="Z158" s="723">
        <v>517.00152482391707</v>
      </c>
      <c r="AA158" s="723">
        <v>522.59508344126152</v>
      </c>
      <c r="AB158" s="723">
        <v>528.13643128885337</v>
      </c>
      <c r="AC158" s="723">
        <v>533.71530943149219</v>
      </c>
      <c r="AD158" s="723">
        <v>539.2757034743347</v>
      </c>
      <c r="AE158" s="723">
        <v>544.80939546892978</v>
      </c>
      <c r="AF158" s="723">
        <v>550.31348014351772</v>
      </c>
    </row>
    <row r="159" spans="1:32" x14ac:dyDescent="0.25">
      <c r="A159" s="839"/>
      <c r="B159" s="550" t="s">
        <v>27</v>
      </c>
      <c r="C159" s="539"/>
      <c r="D159" s="539"/>
      <c r="E159" s="539"/>
      <c r="F159" s="539"/>
      <c r="G159" s="723">
        <v>1317.1497214388473</v>
      </c>
      <c r="H159" s="723">
        <v>1983.9663366682428</v>
      </c>
      <c r="I159" s="723">
        <v>2247.9111491368608</v>
      </c>
      <c r="J159" s="723">
        <v>2463.1663205429927</v>
      </c>
      <c r="K159" s="723">
        <v>2558.7548407661538</v>
      </c>
      <c r="L159" s="723">
        <v>2683.552164075471</v>
      </c>
      <c r="M159" s="723">
        <v>2820.0514117273547</v>
      </c>
      <c r="N159" s="723">
        <v>2868.1118660489983</v>
      </c>
      <c r="O159" s="723">
        <v>2907.7430276118671</v>
      </c>
      <c r="P159" s="723">
        <v>2945.7363679949858</v>
      </c>
      <c r="Q159" s="723">
        <v>2985.2415469235225</v>
      </c>
      <c r="R159" s="723">
        <v>3023.4777270640534</v>
      </c>
      <c r="S159" s="723">
        <v>3061.01469261697</v>
      </c>
      <c r="T159" s="723">
        <v>3098.0375935830971</v>
      </c>
      <c r="U159" s="723">
        <v>3134.9009266083572</v>
      </c>
      <c r="V159" s="723">
        <v>3171.5610085759827</v>
      </c>
      <c r="W159" s="723">
        <v>3206.7985116661525</v>
      </c>
      <c r="X159" s="723">
        <v>3243.018745650008</v>
      </c>
      <c r="Y159" s="723">
        <v>3280.6660168050025</v>
      </c>
      <c r="Z159" s="723">
        <v>3318.6441586528517</v>
      </c>
      <c r="AA159" s="723">
        <v>3355.8809985683529</v>
      </c>
      <c r="AB159" s="723">
        <v>3392.5797482782873</v>
      </c>
      <c r="AC159" s="723">
        <v>3429.1011622699921</v>
      </c>
      <c r="AD159" s="723">
        <v>3465.4662338417329</v>
      </c>
      <c r="AE159" s="723">
        <v>3501.666335640733</v>
      </c>
      <c r="AF159" s="723">
        <v>3537.6887469803992</v>
      </c>
    </row>
    <row r="160" spans="1:32" x14ac:dyDescent="0.25">
      <c r="A160" s="839"/>
      <c r="B160" s="550" t="s">
        <v>29</v>
      </c>
      <c r="C160" s="539"/>
      <c r="D160" s="539"/>
      <c r="E160" s="539"/>
      <c r="F160" s="539"/>
      <c r="G160" s="723">
        <v>0</v>
      </c>
      <c r="H160" s="723">
        <v>0.87173321212561317</v>
      </c>
      <c r="I160" s="723">
        <v>1.6054326779082169</v>
      </c>
      <c r="J160" s="723">
        <v>1.9873116068662595</v>
      </c>
      <c r="K160" s="723">
        <v>2.2921480833226169</v>
      </c>
      <c r="L160" s="723">
        <v>2.5689955906563502</v>
      </c>
      <c r="M160" s="723">
        <v>2.8176515895190453</v>
      </c>
      <c r="N160" s="723">
        <v>3.0219367764874856</v>
      </c>
      <c r="O160" s="723">
        <v>3.2044452495805982</v>
      </c>
      <c r="P160" s="723">
        <v>3.3565952657456659</v>
      </c>
      <c r="Q160" s="723">
        <v>3.4918766398679533</v>
      </c>
      <c r="R160" s="723">
        <v>3.6033033675103576</v>
      </c>
      <c r="S160" s="723">
        <v>3.6983774072901321</v>
      </c>
      <c r="T160" s="723">
        <v>3.7809058072458464</v>
      </c>
      <c r="U160" s="723">
        <v>3.8546049461439167</v>
      </c>
      <c r="V160" s="723">
        <v>3.9210399049556268</v>
      </c>
      <c r="W160" s="723">
        <v>3.9773958204351589</v>
      </c>
      <c r="X160" s="723">
        <v>4.0343082969245199</v>
      </c>
      <c r="Y160" s="723">
        <v>4.0927827858429406</v>
      </c>
      <c r="Z160" s="723">
        <v>4.148802016806667</v>
      </c>
      <c r="AA160" s="723">
        <v>4.1994899456651087</v>
      </c>
      <c r="AB160" s="723">
        <v>4.246837912716444</v>
      </c>
      <c r="AC160" s="723">
        <v>4.2926509697641082</v>
      </c>
      <c r="AD160" s="723">
        <v>4.3371768788132474</v>
      </c>
      <c r="AE160" s="723">
        <v>4.3806077437283202</v>
      </c>
      <c r="AF160" s="723">
        <v>4.4230917547010336</v>
      </c>
    </row>
    <row r="161" spans="1:32" x14ac:dyDescent="0.25">
      <c r="A161" s="839"/>
      <c r="B161" s="550"/>
      <c r="C161" s="539"/>
      <c r="D161" s="539"/>
      <c r="E161" s="539"/>
      <c r="F161" s="539"/>
      <c r="G161" s="723"/>
      <c r="H161" s="723"/>
      <c r="I161" s="723"/>
      <c r="J161" s="723"/>
      <c r="K161" s="723"/>
      <c r="L161" s="723"/>
      <c r="M161" s="723"/>
      <c r="N161" s="723"/>
      <c r="O161" s="723"/>
      <c r="P161" s="723"/>
      <c r="Q161" s="723"/>
      <c r="R161" s="723"/>
      <c r="S161" s="723"/>
      <c r="T161" s="723"/>
      <c r="U161" s="723"/>
      <c r="V161" s="723"/>
      <c r="W161" s="723"/>
      <c r="X161" s="723"/>
      <c r="Y161" s="723"/>
      <c r="Z161" s="723"/>
      <c r="AA161" s="723"/>
      <c r="AB161" s="723"/>
      <c r="AC161" s="723"/>
      <c r="AD161" s="723"/>
      <c r="AE161" s="723"/>
      <c r="AF161" s="723"/>
    </row>
    <row r="162" spans="1:32" s="202" customFormat="1" ht="12.75" x14ac:dyDescent="0.2">
      <c r="A162" s="843" t="s">
        <v>32</v>
      </c>
      <c r="B162" s="556"/>
      <c r="C162" s="556"/>
      <c r="D162" s="556"/>
      <c r="E162" s="556"/>
      <c r="F162" s="556"/>
      <c r="G162" s="724"/>
      <c r="H162" s="724"/>
      <c r="I162" s="724"/>
      <c r="J162" s="724"/>
      <c r="K162" s="724"/>
      <c r="L162" s="724"/>
      <c r="M162" s="724"/>
      <c r="N162" s="724"/>
      <c r="O162" s="724"/>
      <c r="P162" s="724"/>
      <c r="Q162" s="724"/>
      <c r="R162" s="724"/>
      <c r="S162" s="724"/>
      <c r="T162" s="724"/>
      <c r="U162" s="724"/>
      <c r="V162" s="724"/>
      <c r="W162" s="724"/>
      <c r="X162" s="724"/>
      <c r="Y162" s="724"/>
      <c r="Z162" s="724"/>
      <c r="AA162" s="724"/>
      <c r="AB162" s="724"/>
      <c r="AC162" s="724"/>
      <c r="AD162" s="724"/>
      <c r="AE162" s="724"/>
      <c r="AF162" s="724"/>
    </row>
    <row r="163" spans="1:32" x14ac:dyDescent="0.25">
      <c r="A163" s="839"/>
      <c r="B163" s="550" t="s">
        <v>33</v>
      </c>
      <c r="C163" s="539"/>
      <c r="D163" s="539"/>
      <c r="E163" s="539"/>
      <c r="F163" s="539"/>
      <c r="G163" s="723">
        <v>1090.7234474381114</v>
      </c>
      <c r="H163" s="723">
        <v>863.19263258164494</v>
      </c>
      <c r="I163" s="723">
        <v>943.13158326340147</v>
      </c>
      <c r="J163" s="723">
        <v>1017.5014364320471</v>
      </c>
      <c r="K163" s="723">
        <v>1091.3138029062484</v>
      </c>
      <c r="L163" s="723">
        <v>1105.0962678222572</v>
      </c>
      <c r="M163" s="723">
        <v>1118.1723021388716</v>
      </c>
      <c r="N163" s="723">
        <v>1131.207755966165</v>
      </c>
      <c r="O163" s="723">
        <v>1145.7832600996476</v>
      </c>
      <c r="P163" s="723">
        <v>1160.6538915010497</v>
      </c>
      <c r="Q163" s="723">
        <v>1176.1363916789505</v>
      </c>
      <c r="R163" s="723">
        <v>1191.2529929133095</v>
      </c>
      <c r="S163" s="723">
        <v>1206.0074343517447</v>
      </c>
      <c r="T163" s="723">
        <v>1220.5525137489269</v>
      </c>
      <c r="U163" s="723">
        <v>1235.0300618151352</v>
      </c>
      <c r="V163" s="723">
        <v>1249.4409795057184</v>
      </c>
      <c r="W163" s="723">
        <v>1263.3203512166513</v>
      </c>
      <c r="X163" s="723">
        <v>1277.4979791700248</v>
      </c>
      <c r="Y163" s="723">
        <v>1292.296156688923</v>
      </c>
      <c r="Z163" s="723">
        <v>1307.2831618982282</v>
      </c>
      <c r="AA163" s="723">
        <v>1321.9790063492749</v>
      </c>
      <c r="AB163" s="723">
        <v>1336.4183498620082</v>
      </c>
      <c r="AC163" s="723">
        <v>1350.7732987491547</v>
      </c>
      <c r="AD163" s="723">
        <v>1365.073951650051</v>
      </c>
      <c r="AE163" s="723">
        <v>1379.3123786159865</v>
      </c>
      <c r="AF163" s="723">
        <v>1393.4819475152403</v>
      </c>
    </row>
    <row r="164" spans="1:32" x14ac:dyDescent="0.25">
      <c r="A164" s="842"/>
      <c r="B164" s="552" t="s">
        <v>34</v>
      </c>
      <c r="C164" s="539"/>
      <c r="D164" s="539"/>
      <c r="E164" s="539"/>
      <c r="F164" s="539"/>
      <c r="G164" s="723">
        <v>1095.1040884401286</v>
      </c>
      <c r="H164" s="723">
        <v>1441.8261388439475</v>
      </c>
      <c r="I164" s="723">
        <v>1485.9743510157375</v>
      </c>
      <c r="J164" s="723">
        <v>1487.5921588661242</v>
      </c>
      <c r="K164" s="723">
        <v>1461.0713011119101</v>
      </c>
      <c r="L164" s="723">
        <v>1479.3591603508044</v>
      </c>
      <c r="M164" s="723">
        <v>1496.10004314562</v>
      </c>
      <c r="N164" s="723">
        <v>1513.46129748457</v>
      </c>
      <c r="O164" s="723">
        <v>1533.7292566230606</v>
      </c>
      <c r="P164" s="723">
        <v>1553.4599909027677</v>
      </c>
      <c r="Q164" s="723">
        <v>1574.4729451462206</v>
      </c>
      <c r="R164" s="723">
        <v>1594.280008625117</v>
      </c>
      <c r="S164" s="723">
        <v>1613.7924804791612</v>
      </c>
      <c r="T164" s="723">
        <v>1633.0601146655258</v>
      </c>
      <c r="U164" s="723">
        <v>1652.3152975767018</v>
      </c>
      <c r="V164" s="723">
        <v>1671.4639371287008</v>
      </c>
      <c r="W164" s="723">
        <v>1689.6247954376681</v>
      </c>
      <c r="X164" s="723">
        <v>1708.762765968364</v>
      </c>
      <c r="Y164" s="723">
        <v>1728.7786763423267</v>
      </c>
      <c r="Z164" s="723">
        <v>1748.7810780531124</v>
      </c>
      <c r="AA164" s="723">
        <v>1768.1718664708173</v>
      </c>
      <c r="AB164" s="723">
        <v>1787.2924810561208</v>
      </c>
      <c r="AC164" s="723">
        <v>1806.3809975571805</v>
      </c>
      <c r="AD164" s="723">
        <v>1825.3942522979175</v>
      </c>
      <c r="AE164" s="723">
        <v>1844.3217879853876</v>
      </c>
      <c r="AF164" s="723">
        <v>1863.1548204024514</v>
      </c>
    </row>
    <row r="165" spans="1:32" x14ac:dyDescent="0.25">
      <c r="A165" s="839"/>
      <c r="B165" s="552" t="s">
        <v>35</v>
      </c>
      <c r="C165" s="539"/>
      <c r="D165" s="539"/>
      <c r="E165" s="539"/>
      <c r="F165" s="539"/>
      <c r="G165" s="723">
        <v>1283.9754235508619</v>
      </c>
      <c r="H165" s="723">
        <v>1098.7167348494736</v>
      </c>
      <c r="I165" s="723">
        <v>1021.6678398464517</v>
      </c>
      <c r="J165" s="723">
        <v>1005.2414164954536</v>
      </c>
      <c r="K165" s="723">
        <v>1023.7932817523895</v>
      </c>
      <c r="L165" s="723">
        <v>1040.0316896345398</v>
      </c>
      <c r="M165" s="723">
        <v>1054.2976677640288</v>
      </c>
      <c r="N165" s="723">
        <v>1067.7869573653993</v>
      </c>
      <c r="O165" s="723">
        <v>1081.9284624868553</v>
      </c>
      <c r="P165" s="723">
        <v>1096.0349018422814</v>
      </c>
      <c r="Q165" s="723">
        <v>1110.6321903500939</v>
      </c>
      <c r="R165" s="723">
        <v>1124.9579527946878</v>
      </c>
      <c r="S165" s="723">
        <v>1139.0887863949274</v>
      </c>
      <c r="T165" s="723">
        <v>1153.0422722510832</v>
      </c>
      <c r="U165" s="723">
        <v>1166.9100686907088</v>
      </c>
      <c r="V165" s="723">
        <v>1180.691320501988</v>
      </c>
      <c r="W165" s="723">
        <v>1194.050264848825</v>
      </c>
      <c r="X165" s="723">
        <v>1207.6142972945634</v>
      </c>
      <c r="Y165" s="723">
        <v>1221.5744788117595</v>
      </c>
      <c r="Z165" s="723">
        <v>1235.6886880391439</v>
      </c>
      <c r="AA165" s="723">
        <v>1249.6482845884748</v>
      </c>
      <c r="AB165" s="723">
        <v>1263.4565546140184</v>
      </c>
      <c r="AC165" s="723">
        <v>1277.1891335525486</v>
      </c>
      <c r="AD165" s="723">
        <v>1290.8543884762532</v>
      </c>
      <c r="AE165" s="723">
        <v>1304.4540765178094</v>
      </c>
      <c r="AF165" s="723">
        <v>1317.9866004926657</v>
      </c>
    </row>
    <row r="166" spans="1:32" x14ac:dyDescent="0.25">
      <c r="A166" s="839"/>
      <c r="B166" s="552" t="s">
        <v>29</v>
      </c>
      <c r="C166" s="539"/>
      <c r="D166" s="539"/>
      <c r="E166" s="539"/>
      <c r="F166" s="539"/>
      <c r="G166" s="723">
        <v>0</v>
      </c>
      <c r="H166" s="723">
        <v>1.2327504903959507</v>
      </c>
      <c r="I166" s="723">
        <v>2.2424596916438984</v>
      </c>
      <c r="J166" s="723">
        <v>3.0702879843471753</v>
      </c>
      <c r="K166" s="723">
        <v>3.7544383049940233</v>
      </c>
      <c r="L166" s="723">
        <v>4.3060880602782552</v>
      </c>
      <c r="M166" s="723">
        <v>4.7396392743752198</v>
      </c>
      <c r="N166" s="723">
        <v>5.0947876787561572</v>
      </c>
      <c r="O166" s="723">
        <v>5.4083787176677705</v>
      </c>
      <c r="P166" s="723">
        <v>5.6695044000336017</v>
      </c>
      <c r="Q166" s="723">
        <v>5.9000980752807504</v>
      </c>
      <c r="R166" s="723">
        <v>6.0907609501062572</v>
      </c>
      <c r="S166" s="723">
        <v>6.253670045536837</v>
      </c>
      <c r="T166" s="723">
        <v>6.3952511717567866</v>
      </c>
      <c r="U166" s="723">
        <v>6.5216517774149034</v>
      </c>
      <c r="V166" s="723">
        <v>6.6356522475693804</v>
      </c>
      <c r="W166" s="723">
        <v>6.7332822226629565</v>
      </c>
      <c r="X166" s="723">
        <v>6.8308728085066415</v>
      </c>
      <c r="Y166" s="723">
        <v>6.930211344362049</v>
      </c>
      <c r="Z166" s="723">
        <v>7.0254069095450218</v>
      </c>
      <c r="AA166" s="723">
        <v>7.1121967647244517</v>
      </c>
      <c r="AB166" s="723">
        <v>7.1936395082300084</v>
      </c>
      <c r="AC166" s="723">
        <v>7.2725180891361054</v>
      </c>
      <c r="AD166" s="723">
        <v>7.3492571020929445</v>
      </c>
      <c r="AE166" s="723">
        <v>7.4241843346279488</v>
      </c>
      <c r="AF166" s="723">
        <v>7.4975516063523067</v>
      </c>
    </row>
    <row r="167" spans="1:32" x14ac:dyDescent="0.25">
      <c r="A167" s="839"/>
      <c r="B167" s="550"/>
      <c r="C167" s="539"/>
      <c r="D167" s="539"/>
      <c r="E167" s="539"/>
      <c r="F167" s="539"/>
      <c r="G167" s="723"/>
      <c r="H167" s="723"/>
      <c r="I167" s="723"/>
      <c r="J167" s="723"/>
      <c r="K167" s="723"/>
      <c r="L167" s="723"/>
      <c r="M167" s="723"/>
      <c r="N167" s="723"/>
      <c r="O167" s="723"/>
      <c r="P167" s="723"/>
      <c r="Q167" s="723"/>
      <c r="R167" s="723"/>
      <c r="S167" s="723"/>
      <c r="T167" s="723"/>
      <c r="U167" s="723"/>
      <c r="V167" s="723"/>
      <c r="W167" s="723"/>
      <c r="X167" s="723"/>
      <c r="Y167" s="723"/>
      <c r="Z167" s="723"/>
      <c r="AA167" s="723"/>
      <c r="AB167" s="723"/>
      <c r="AC167" s="723"/>
      <c r="AD167" s="723"/>
      <c r="AE167" s="723"/>
      <c r="AF167" s="723"/>
    </row>
    <row r="168" spans="1:32" s="202" customFormat="1" ht="12.75" x14ac:dyDescent="0.2">
      <c r="A168" s="843" t="s">
        <v>36</v>
      </c>
      <c r="B168" s="556"/>
      <c r="C168" s="556"/>
      <c r="D168" s="556"/>
      <c r="E168" s="556"/>
      <c r="F168" s="556"/>
      <c r="G168" s="724"/>
      <c r="H168" s="724"/>
      <c r="I168" s="724"/>
      <c r="J168" s="724"/>
      <c r="K168" s="724"/>
      <c r="L168" s="724"/>
      <c r="M168" s="724"/>
      <c r="N168" s="724"/>
      <c r="O168" s="724"/>
      <c r="P168" s="724"/>
      <c r="Q168" s="724"/>
      <c r="R168" s="724"/>
      <c r="S168" s="724"/>
      <c r="T168" s="724"/>
      <c r="U168" s="724"/>
      <c r="V168" s="724"/>
      <c r="W168" s="724"/>
      <c r="X168" s="724"/>
      <c r="Y168" s="724"/>
      <c r="Z168" s="724"/>
      <c r="AA168" s="724"/>
      <c r="AB168" s="724"/>
      <c r="AC168" s="724"/>
      <c r="AD168" s="724"/>
      <c r="AE168" s="724"/>
      <c r="AF168" s="724"/>
    </row>
    <row r="169" spans="1:32" x14ac:dyDescent="0.25">
      <c r="A169" s="839"/>
      <c r="B169" s="550" t="s">
        <v>37</v>
      </c>
      <c r="C169" s="539"/>
      <c r="D169" s="539"/>
      <c r="E169" s="539"/>
      <c r="F169" s="201"/>
      <c r="G169" s="723">
        <v>16610.374183402804</v>
      </c>
      <c r="H169" s="723">
        <v>14453.137243288684</v>
      </c>
      <c r="I169" s="723">
        <v>11870.158113507681</v>
      </c>
      <c r="J169" s="723">
        <v>9149.906131474183</v>
      </c>
      <c r="K169" s="723">
        <v>6567.3851912674882</v>
      </c>
      <c r="L169" s="723">
        <v>4730.0754960124332</v>
      </c>
      <c r="M169" s="723">
        <v>3417.5850322252249</v>
      </c>
      <c r="N169" s="723">
        <v>2478.6112744730312</v>
      </c>
      <c r="O169" s="723">
        <v>1811.2472368168505</v>
      </c>
      <c r="P169" s="723">
        <v>1336.0430478644228</v>
      </c>
      <c r="Q169" s="723">
        <v>997.45726728538875</v>
      </c>
      <c r="R169" s="723">
        <v>755.72347493545544</v>
      </c>
      <c r="S169" s="723">
        <v>583.01940038753412</v>
      </c>
      <c r="T169" s="723">
        <v>459.54907405302549</v>
      </c>
      <c r="U169" s="723">
        <v>371.26545493036281</v>
      </c>
      <c r="V169" s="723">
        <v>308.1521718693042</v>
      </c>
      <c r="W169" s="723">
        <v>262.84012926045551</v>
      </c>
      <c r="X169" s="723">
        <v>230.53628225745993</v>
      </c>
      <c r="Y169" s="723">
        <v>207.54763568930107</v>
      </c>
      <c r="Z169" s="723">
        <v>191.14417925948908</v>
      </c>
      <c r="AA169" s="723">
        <v>179.48017475936035</v>
      </c>
      <c r="AB169" s="723">
        <v>171.15923478646923</v>
      </c>
      <c r="AC169" s="723">
        <v>165.28193360039236</v>
      </c>
      <c r="AD169" s="723">
        <v>161.27594458839476</v>
      </c>
      <c r="AE169" s="723">
        <v>158.52078562397614</v>
      </c>
      <c r="AF169" s="723">
        <v>156.77617181142543</v>
      </c>
    </row>
    <row r="170" spans="1:32" x14ac:dyDescent="0.25">
      <c r="A170" s="839"/>
      <c r="B170" s="550" t="s">
        <v>39</v>
      </c>
      <c r="C170" s="539"/>
      <c r="D170" s="539"/>
      <c r="E170" s="203"/>
      <c r="F170" s="539"/>
      <c r="G170" s="723">
        <v>46549.383592269805</v>
      </c>
      <c r="H170" s="723">
        <v>49142.593720455137</v>
      </c>
      <c r="I170" s="723">
        <v>52292.239483593003</v>
      </c>
      <c r="J170" s="723">
        <v>55632.00242013466</v>
      </c>
      <c r="K170" s="723">
        <v>58816.550469240363</v>
      </c>
      <c r="L170" s="723">
        <v>61299.516788524918</v>
      </c>
      <c r="M170" s="723">
        <v>63223.210904635118</v>
      </c>
      <c r="N170" s="723">
        <v>64832.790006865434</v>
      </c>
      <c r="O170" s="723">
        <v>66286.011104857913</v>
      </c>
      <c r="P170" s="723">
        <v>67555.573580314027</v>
      </c>
      <c r="Q170" s="723">
        <v>68745.548286179255</v>
      </c>
      <c r="R170" s="723">
        <v>69813.570738212467</v>
      </c>
      <c r="S170" s="723">
        <v>70806.025333012265</v>
      </c>
      <c r="T170" s="723">
        <v>71744.869004281209</v>
      </c>
      <c r="U170" s="723">
        <v>72651.505237677455</v>
      </c>
      <c r="V170" s="723">
        <v>73532.83034973983</v>
      </c>
      <c r="W170" s="723">
        <v>74364.316364303275</v>
      </c>
      <c r="X170" s="723">
        <v>75214.568809261764</v>
      </c>
      <c r="Y170" s="723">
        <v>76092.493977050966</v>
      </c>
      <c r="Z170" s="723">
        <v>76971.132511279764</v>
      </c>
      <c r="AA170" s="723">
        <v>77827.298014928791</v>
      </c>
      <c r="AB170" s="723">
        <v>78669.602042908969</v>
      </c>
      <c r="AC170" s="723">
        <v>79507.585186637356</v>
      </c>
      <c r="AD170" s="723">
        <v>80341.567138622166</v>
      </c>
      <c r="AE170" s="723">
        <v>81171.423559513059</v>
      </c>
      <c r="AF170" s="723">
        <v>81997.200809817965</v>
      </c>
    </row>
    <row r="171" spans="1:32" x14ac:dyDescent="0.25">
      <c r="A171" s="839"/>
      <c r="B171" s="550" t="s">
        <v>40</v>
      </c>
      <c r="C171" s="539"/>
      <c r="D171" s="539"/>
      <c r="E171" s="539"/>
      <c r="F171" s="539"/>
      <c r="G171" s="723">
        <v>4451.5288726790441</v>
      </c>
      <c r="H171" s="723">
        <v>5031.8425010728852</v>
      </c>
      <c r="I171" s="723">
        <v>5639.2577000992378</v>
      </c>
      <c r="J171" s="723">
        <v>6233.5221371370098</v>
      </c>
      <c r="K171" s="723">
        <v>6802.6838723704641</v>
      </c>
      <c r="L171" s="723">
        <v>7256.7657620560722</v>
      </c>
      <c r="M171" s="723">
        <v>7618.1256561207501</v>
      </c>
      <c r="N171" s="723">
        <v>7898.8686486636034</v>
      </c>
      <c r="O171" s="723">
        <v>8150.2219053816771</v>
      </c>
      <c r="P171" s="723">
        <v>8369.5515689436506</v>
      </c>
      <c r="Q171" s="723">
        <v>8571.6111058702299</v>
      </c>
      <c r="R171" s="723">
        <v>8751.6231552481531</v>
      </c>
      <c r="S171" s="723">
        <v>8916.5217728920543</v>
      </c>
      <c r="T171" s="723">
        <v>9069.8993337414831</v>
      </c>
      <c r="U171" s="723">
        <v>9215.1884326435338</v>
      </c>
      <c r="V171" s="723">
        <v>9353.9770987622087</v>
      </c>
      <c r="W171" s="723">
        <v>9483.4721058809646</v>
      </c>
      <c r="X171" s="723">
        <v>9612.9896564826631</v>
      </c>
      <c r="Y171" s="723">
        <v>9744.2207848646158</v>
      </c>
      <c r="Z171" s="723">
        <v>9873.8509793036465</v>
      </c>
      <c r="AA171" s="723">
        <v>9998.8374019410021</v>
      </c>
      <c r="AB171" s="723">
        <v>10120.752753902168</v>
      </c>
      <c r="AC171" s="723">
        <v>10241.032862504082</v>
      </c>
      <c r="AD171" s="723">
        <v>10359.658220711011</v>
      </c>
      <c r="AE171" s="723">
        <v>10476.962745678347</v>
      </c>
      <c r="AF171" s="723">
        <v>10592.84974714813</v>
      </c>
    </row>
    <row r="172" spans="1:32" x14ac:dyDescent="0.25">
      <c r="A172" s="839"/>
      <c r="B172" s="550" t="s">
        <v>29</v>
      </c>
      <c r="C172" s="539"/>
      <c r="D172" s="539"/>
      <c r="E172" s="539"/>
      <c r="F172" s="539"/>
      <c r="G172" s="723">
        <v>0</v>
      </c>
      <c r="H172" s="723">
        <v>1.0347841751641487E-4</v>
      </c>
      <c r="I172" s="723">
        <v>1.8712171377003426E-4</v>
      </c>
      <c r="J172" s="723">
        <v>2.5390234161794592E-4</v>
      </c>
      <c r="K172" s="723">
        <v>3.0778410037742048E-4</v>
      </c>
      <c r="L172" s="723">
        <v>3.5299852544007479E-4</v>
      </c>
      <c r="M172" s="723">
        <v>3.9019853268187568E-4</v>
      </c>
      <c r="N172" s="723">
        <v>4.2143930262847969E-4</v>
      </c>
      <c r="O172" s="723">
        <v>4.4838252632376315E-4</v>
      </c>
      <c r="P172" s="723">
        <v>4.7007678525073357E-4</v>
      </c>
      <c r="Q172" s="723">
        <v>4.8870487397902063E-4</v>
      </c>
      <c r="R172" s="723">
        <v>5.034443102026236E-4</v>
      </c>
      <c r="S172" s="723">
        <v>5.1551738198241418E-4</v>
      </c>
      <c r="T172" s="723">
        <v>5.2557531951345261E-4</v>
      </c>
      <c r="U172" s="723">
        <v>5.3422593030223546E-4</v>
      </c>
      <c r="V172" s="723">
        <v>5.4174951639070559E-4</v>
      </c>
      <c r="W172" s="723">
        <v>5.4779687140516333E-4</v>
      </c>
      <c r="X172" s="723">
        <v>5.5389566871105907E-4</v>
      </c>
      <c r="Y172" s="723">
        <v>5.6020057026683436E-4</v>
      </c>
      <c r="Z172" s="723">
        <v>5.6616211835137573E-4</v>
      </c>
      <c r="AA172" s="723">
        <v>5.7139445946727675E-4</v>
      </c>
      <c r="AB172" s="723">
        <v>5.7618749515586079E-4</v>
      </c>
      <c r="AC172" s="723">
        <v>5.8079868188957919E-4</v>
      </c>
      <c r="AD172" s="723">
        <v>5.8526586005745393E-4</v>
      </c>
      <c r="AE172" s="723">
        <v>5.8961765071879923E-4</v>
      </c>
      <c r="AF172" s="723">
        <v>5.938755194418191E-4</v>
      </c>
    </row>
    <row r="173" spans="1:32" x14ac:dyDescent="0.25">
      <c r="A173" s="839"/>
      <c r="B173" s="550"/>
      <c r="C173" s="539"/>
      <c r="D173" s="539"/>
      <c r="E173" s="539"/>
      <c r="F173" s="539"/>
      <c r="G173" s="723"/>
      <c r="H173" s="723"/>
      <c r="I173" s="723"/>
      <c r="J173" s="723"/>
      <c r="K173" s="723"/>
      <c r="L173" s="723"/>
      <c r="M173" s="723"/>
      <c r="N173" s="723"/>
      <c r="O173" s="723"/>
      <c r="P173" s="723"/>
      <c r="Q173" s="723"/>
      <c r="R173" s="723"/>
      <c r="S173" s="723"/>
      <c r="T173" s="723"/>
      <c r="U173" s="723"/>
      <c r="V173" s="723"/>
      <c r="W173" s="723"/>
      <c r="X173" s="723"/>
      <c r="Y173" s="723"/>
      <c r="Z173" s="723"/>
      <c r="AA173" s="723"/>
      <c r="AB173" s="723"/>
      <c r="AC173" s="723"/>
      <c r="AD173" s="723"/>
      <c r="AE173" s="723"/>
      <c r="AF173" s="723"/>
    </row>
    <row r="174" spans="1:32" s="202" customFormat="1" ht="12.75" x14ac:dyDescent="0.2">
      <c r="A174" s="843" t="s">
        <v>42</v>
      </c>
      <c r="B174" s="556"/>
      <c r="C174" s="556"/>
      <c r="D174" s="556"/>
      <c r="E174" s="556"/>
      <c r="F174" s="556"/>
      <c r="G174" s="724"/>
      <c r="H174" s="724"/>
      <c r="I174" s="724"/>
      <c r="J174" s="724"/>
      <c r="K174" s="724"/>
      <c r="L174" s="724"/>
      <c r="M174" s="724"/>
      <c r="N174" s="724"/>
      <c r="O174" s="724"/>
      <c r="P174" s="724"/>
      <c r="Q174" s="724"/>
      <c r="R174" s="724"/>
      <c r="S174" s="724"/>
      <c r="T174" s="724"/>
      <c r="U174" s="724"/>
      <c r="V174" s="724"/>
      <c r="W174" s="724"/>
      <c r="X174" s="724"/>
      <c r="Y174" s="724"/>
      <c r="Z174" s="724"/>
      <c r="AA174" s="724"/>
      <c r="AB174" s="724"/>
      <c r="AC174" s="724"/>
      <c r="AD174" s="724"/>
      <c r="AE174" s="724"/>
      <c r="AF174" s="724"/>
    </row>
    <row r="175" spans="1:32" x14ac:dyDescent="0.25">
      <c r="A175" s="839"/>
      <c r="B175" s="552" t="s">
        <v>43</v>
      </c>
      <c r="C175" s="539"/>
      <c r="D175" s="539"/>
      <c r="E175" s="539"/>
      <c r="F175" s="539"/>
      <c r="G175" s="723">
        <v>42.222503789314118</v>
      </c>
      <c r="H175" s="723">
        <v>37.352014443503137</v>
      </c>
      <c r="I175" s="723">
        <v>33.102770038608661</v>
      </c>
      <c r="J175" s="723">
        <v>29.392154410907978</v>
      </c>
      <c r="K175" s="723">
        <v>26.149513933886823</v>
      </c>
      <c r="L175" s="723">
        <v>23.315510887794836</v>
      </c>
      <c r="M175" s="723">
        <v>20.835432891676536</v>
      </c>
      <c r="N175" s="723">
        <v>18.66693385534008</v>
      </c>
      <c r="O175" s="723">
        <v>16.77437344730382</v>
      </c>
      <c r="P175" s="723">
        <v>15.119353533878975</v>
      </c>
      <c r="Q175" s="723">
        <v>13.674021909369491</v>
      </c>
      <c r="R175" s="723">
        <v>12.409145056285414</v>
      </c>
      <c r="S175" s="723">
        <v>11.302805447354872</v>
      </c>
      <c r="T175" s="723">
        <v>10.335320213476441</v>
      </c>
      <c r="U175" s="723">
        <v>9.4897253029387851</v>
      </c>
      <c r="V175" s="723">
        <v>8.7508320394735204</v>
      </c>
      <c r="W175" s="723">
        <v>8.1041951984990668</v>
      </c>
      <c r="X175" s="723">
        <v>7.540847398034904</v>
      </c>
      <c r="Y175" s="723">
        <v>7.0509462592135508</v>
      </c>
      <c r="Z175" s="723">
        <v>6.6244991057012959</v>
      </c>
      <c r="AA175" s="723">
        <v>6.2527835977596773</v>
      </c>
      <c r="AB175" s="723">
        <v>5.9301671630221131</v>
      </c>
      <c r="AC175" s="723">
        <v>5.6507582307357715</v>
      </c>
      <c r="AD175" s="723">
        <v>5.4085213717163878</v>
      </c>
      <c r="AE175" s="723">
        <v>5.1994759807834194</v>
      </c>
      <c r="AF175" s="723">
        <v>5.0194695481107594</v>
      </c>
    </row>
    <row r="176" spans="1:32" x14ac:dyDescent="0.25">
      <c r="A176" s="839"/>
      <c r="B176" s="552" t="s">
        <v>44</v>
      </c>
      <c r="C176" s="539"/>
      <c r="D176" s="539"/>
      <c r="E176" s="539"/>
      <c r="F176" s="539"/>
      <c r="G176" s="723">
        <v>1287.7142783724898</v>
      </c>
      <c r="H176" s="723">
        <v>1326.5797600340038</v>
      </c>
      <c r="I176" s="723">
        <v>1365.184157474567</v>
      </c>
      <c r="J176" s="723">
        <v>1401.942222110493</v>
      </c>
      <c r="K176" s="723">
        <v>1436.143810071334</v>
      </c>
      <c r="L176" s="723">
        <v>1468.414218890694</v>
      </c>
      <c r="M176" s="723">
        <v>1497.4021762084128</v>
      </c>
      <c r="N176" s="723">
        <v>1525.1020040288786</v>
      </c>
      <c r="O176" s="723">
        <v>1553.9663381649548</v>
      </c>
      <c r="P176" s="723">
        <v>1581.6805631189886</v>
      </c>
      <c r="Q176" s="723">
        <v>1609.6065772092554</v>
      </c>
      <c r="R176" s="723">
        <v>1635.9440369659876</v>
      </c>
      <c r="S176" s="723">
        <v>1661.2772327612906</v>
      </c>
      <c r="T176" s="723">
        <v>1685.7755358388199</v>
      </c>
      <c r="U176" s="723">
        <v>1709.7146740292944</v>
      </c>
      <c r="V176" s="723">
        <v>1733.1091206695908</v>
      </c>
      <c r="W176" s="723">
        <v>1755.2680164572228</v>
      </c>
      <c r="X176" s="723">
        <v>1777.776355872152</v>
      </c>
      <c r="Y176" s="723">
        <v>1800.817356657695</v>
      </c>
      <c r="Z176" s="723">
        <v>1823.7254069807325</v>
      </c>
      <c r="AA176" s="723">
        <v>1845.9346709156891</v>
      </c>
      <c r="AB176" s="723">
        <v>1867.655207363207</v>
      </c>
      <c r="AC176" s="723">
        <v>1889.1246648730582</v>
      </c>
      <c r="AD176" s="723">
        <v>1910.3599691123914</v>
      </c>
      <c r="AE176" s="723">
        <v>1931.3696434071162</v>
      </c>
      <c r="AF176" s="723">
        <v>1952.1629367544047</v>
      </c>
    </row>
    <row r="177" spans="1:32" x14ac:dyDescent="0.25">
      <c r="A177" s="839"/>
      <c r="B177" s="552" t="s">
        <v>45</v>
      </c>
      <c r="C177" s="539"/>
      <c r="D177" s="539"/>
      <c r="E177" s="539"/>
      <c r="F177" s="539"/>
      <c r="G177" s="723">
        <v>103.65109771693827</v>
      </c>
      <c r="H177" s="723">
        <v>92.698080112311146</v>
      </c>
      <c r="I177" s="723">
        <v>83.164611810175103</v>
      </c>
      <c r="J177" s="723">
        <v>74.853235136338398</v>
      </c>
      <c r="K177" s="723">
        <v>67.598578711077707</v>
      </c>
      <c r="L177" s="723">
        <v>61.268278510053889</v>
      </c>
      <c r="M177" s="723">
        <v>55.730058366509532</v>
      </c>
      <c r="N177" s="723">
        <v>50.897670670031488</v>
      </c>
      <c r="O177" s="723">
        <v>46.702560700718593</v>
      </c>
      <c r="P177" s="723">
        <v>43.044677404609388</v>
      </c>
      <c r="Q177" s="723">
        <v>39.867493354519361</v>
      </c>
      <c r="R177" s="723">
        <v>37.094688073882182</v>
      </c>
      <c r="S177" s="723">
        <v>34.679219651004836</v>
      </c>
      <c r="T177" s="723">
        <v>32.576972008416512</v>
      </c>
      <c r="U177" s="723">
        <v>30.750598525364218</v>
      </c>
      <c r="V177" s="723">
        <v>29.165444746443015</v>
      </c>
      <c r="W177" s="723">
        <v>27.784887624463281</v>
      </c>
      <c r="X177" s="723">
        <v>26.596670637410561</v>
      </c>
      <c r="Y177" s="723">
        <v>25.579226534980538</v>
      </c>
      <c r="Z177" s="723">
        <v>24.706245013033882</v>
      </c>
      <c r="AA177" s="723">
        <v>23.95485344666869</v>
      </c>
      <c r="AB177" s="723">
        <v>23.313307525409801</v>
      </c>
      <c r="AC177" s="723">
        <v>22.769358206032681</v>
      </c>
      <c r="AD177" s="723">
        <v>22.309246284691522</v>
      </c>
      <c r="AE177" s="723">
        <v>21.923956235724326</v>
      </c>
      <c r="AF177" s="723">
        <v>21.604036486454614</v>
      </c>
    </row>
    <row r="178" spans="1:32" x14ac:dyDescent="0.25">
      <c r="A178" s="839"/>
      <c r="B178" s="552" t="s">
        <v>46</v>
      </c>
      <c r="C178" s="539"/>
      <c r="D178" s="539"/>
      <c r="E178" s="539"/>
      <c r="F178" s="539"/>
      <c r="G178" s="723">
        <v>2.0184416445623348</v>
      </c>
      <c r="H178" s="723">
        <v>1.7697368327300338</v>
      </c>
      <c r="I178" s="723">
        <v>1.5523396726454717</v>
      </c>
      <c r="J178" s="723">
        <v>1.3622204606177672</v>
      </c>
      <c r="K178" s="723">
        <v>1.195880237967575</v>
      </c>
      <c r="L178" s="723">
        <v>1.0502792108107137</v>
      </c>
      <c r="M178" s="723">
        <v>0.92277506137407284</v>
      </c>
      <c r="N178" s="723">
        <v>0.81106974955490907</v>
      </c>
      <c r="O178" s="723">
        <v>0.71316360703243997</v>
      </c>
      <c r="P178" s="723">
        <v>0.62731569948950983</v>
      </c>
      <c r="Q178" s="723">
        <v>0.5520095800443986</v>
      </c>
      <c r="R178" s="723">
        <v>0.48592368274209979</v>
      </c>
      <c r="S178" s="723">
        <v>0.42790571221276474</v>
      </c>
      <c r="T178" s="723">
        <v>0.37695047716132063</v>
      </c>
      <c r="U178" s="723">
        <v>0.33218069356382229</v>
      </c>
      <c r="V178" s="723">
        <v>0.29283035030726157</v>
      </c>
      <c r="W178" s="723">
        <v>0.25823028720898822</v>
      </c>
      <c r="X178" s="723">
        <v>0.22779568432068378</v>
      </c>
      <c r="Y178" s="723">
        <v>0.20101520337373174</v>
      </c>
      <c r="Z178" s="723">
        <v>0.17744155818812365</v>
      </c>
      <c r="AA178" s="723">
        <v>0.15668332172097824</v>
      </c>
      <c r="AB178" s="723">
        <v>0.13844148600890074</v>
      </c>
      <c r="AC178" s="723">
        <v>0.12239908178863412</v>
      </c>
      <c r="AD178" s="723">
        <v>0.10824840783173977</v>
      </c>
      <c r="AE178" s="723">
        <v>9.5790499060724621E-2</v>
      </c>
      <c r="AF178" s="723">
        <v>8.4815267353823942E-2</v>
      </c>
    </row>
    <row r="179" spans="1:32" x14ac:dyDescent="0.25">
      <c r="A179" s="839"/>
      <c r="B179" s="550" t="s">
        <v>29</v>
      </c>
      <c r="C179" s="539"/>
      <c r="D179" s="539"/>
      <c r="E179" s="539"/>
      <c r="F179" s="539"/>
      <c r="G179" s="723">
        <v>0</v>
      </c>
      <c r="H179" s="723">
        <v>4.3925211310381699E-5</v>
      </c>
      <c r="I179" s="723">
        <v>7.9442615228976382E-5</v>
      </c>
      <c r="J179" s="723">
        <v>1.0779379971545567E-4</v>
      </c>
      <c r="K179" s="723">
        <v>1.3021403469384632E-4</v>
      </c>
      <c r="L179" s="723">
        <v>1.4810801809944651E-4</v>
      </c>
      <c r="M179" s="723">
        <v>1.619303070741869E-4</v>
      </c>
      <c r="N179" s="723">
        <v>1.7313069922837414E-4</v>
      </c>
      <c r="O179" s="723">
        <v>1.830479572453738E-4</v>
      </c>
      <c r="P179" s="723">
        <v>1.911973534526293E-4</v>
      </c>
      <c r="Q179" s="723">
        <v>1.9837392118657128E-4</v>
      </c>
      <c r="R179" s="723">
        <v>2.0418077171997334E-4</v>
      </c>
      <c r="S179" s="723">
        <v>2.0905967744270888E-4</v>
      </c>
      <c r="T179" s="723">
        <v>2.1323408385122598E-4</v>
      </c>
      <c r="U179" s="723">
        <v>2.1691957220745233E-4</v>
      </c>
      <c r="V179" s="723">
        <v>2.2020610425640554E-4</v>
      </c>
      <c r="W179" s="723">
        <v>2.2293222597327171E-4</v>
      </c>
      <c r="X179" s="723">
        <v>2.2570771429216081E-4</v>
      </c>
      <c r="Y179" s="723">
        <v>2.2858588138790394E-4</v>
      </c>
      <c r="Z179" s="723">
        <v>2.3133385040685788E-4</v>
      </c>
      <c r="AA179" s="723">
        <v>2.337869526963317E-4</v>
      </c>
      <c r="AB179" s="723">
        <v>2.3605883436863528E-4</v>
      </c>
      <c r="AC179" s="723">
        <v>2.3825208422446849E-4</v>
      </c>
      <c r="AD179" s="723">
        <v>2.4038052077166212E-4</v>
      </c>
      <c r="AE179" s="723">
        <v>2.4245361643240008E-4</v>
      </c>
      <c r="AF179" s="723">
        <v>2.4447916523677958E-4</v>
      </c>
    </row>
    <row r="180" spans="1:32" x14ac:dyDescent="0.25">
      <c r="A180" s="839"/>
      <c r="B180" s="550"/>
      <c r="C180" s="539"/>
      <c r="D180" s="539"/>
      <c r="E180" s="539"/>
      <c r="F180" s="539"/>
      <c r="G180" s="723"/>
      <c r="H180" s="723"/>
      <c r="I180" s="723"/>
      <c r="J180" s="723"/>
      <c r="K180" s="723"/>
      <c r="L180" s="723"/>
      <c r="M180" s="723"/>
      <c r="N180" s="723"/>
      <c r="O180" s="723"/>
      <c r="P180" s="723"/>
      <c r="Q180" s="723"/>
      <c r="R180" s="723"/>
      <c r="S180" s="723"/>
      <c r="T180" s="723"/>
      <c r="U180" s="723"/>
      <c r="V180" s="723"/>
      <c r="W180" s="723"/>
      <c r="X180" s="723"/>
      <c r="Y180" s="723"/>
      <c r="Z180" s="723"/>
      <c r="AA180" s="723"/>
      <c r="AB180" s="723"/>
      <c r="AC180" s="723"/>
      <c r="AD180" s="723"/>
      <c r="AE180" s="723"/>
      <c r="AF180" s="723"/>
    </row>
    <row r="181" spans="1:32" s="202" customFormat="1" ht="12.75" x14ac:dyDescent="0.2">
      <c r="A181" s="843" t="s">
        <v>47</v>
      </c>
      <c r="B181" s="556"/>
      <c r="C181" s="556"/>
      <c r="D181" s="556"/>
      <c r="E181" s="556"/>
      <c r="F181" s="556"/>
      <c r="G181" s="724"/>
      <c r="H181" s="724"/>
      <c r="I181" s="724"/>
      <c r="J181" s="724"/>
      <c r="K181" s="724"/>
      <c r="L181" s="724"/>
      <c r="M181" s="724"/>
      <c r="N181" s="724"/>
      <c r="O181" s="724"/>
      <c r="P181" s="724"/>
      <c r="Q181" s="724"/>
      <c r="R181" s="724"/>
      <c r="S181" s="724"/>
      <c r="T181" s="724"/>
      <c r="U181" s="724"/>
      <c r="V181" s="724"/>
      <c r="W181" s="724"/>
      <c r="X181" s="724"/>
      <c r="Y181" s="724"/>
      <c r="Z181" s="724"/>
      <c r="AA181" s="724"/>
      <c r="AB181" s="724"/>
      <c r="AC181" s="724"/>
      <c r="AD181" s="724"/>
      <c r="AE181" s="724"/>
      <c r="AF181" s="724"/>
    </row>
    <row r="182" spans="1:32" x14ac:dyDescent="0.25">
      <c r="A182" s="839"/>
      <c r="B182" s="550" t="s">
        <v>48</v>
      </c>
      <c r="C182" s="539"/>
      <c r="D182" s="539"/>
      <c r="E182" s="539"/>
      <c r="F182" s="539"/>
      <c r="G182" s="723">
        <v>856.2468297019434</v>
      </c>
      <c r="H182" s="723">
        <v>839.73934762664123</v>
      </c>
      <c r="I182" s="723">
        <v>824.6523552786349</v>
      </c>
      <c r="J182" s="723">
        <v>809.87181625098106</v>
      </c>
      <c r="K182" s="723">
        <v>794.88596457868664</v>
      </c>
      <c r="L182" s="723">
        <v>779.88821195171488</v>
      </c>
      <c r="M182" s="723">
        <v>764.15504415120927</v>
      </c>
      <c r="N182" s="723">
        <v>748.61423992407128</v>
      </c>
      <c r="O182" s="723">
        <v>734.29597503584864</v>
      </c>
      <c r="P182" s="723">
        <v>720.04455670331549</v>
      </c>
      <c r="Q182" s="723">
        <v>706.39337681433142</v>
      </c>
      <c r="R182" s="723">
        <v>692.53223109990847</v>
      </c>
      <c r="S182" s="723">
        <v>678.69325375415133</v>
      </c>
      <c r="T182" s="723">
        <v>664.92795641837483</v>
      </c>
      <c r="U182" s="723">
        <v>651.32503342562381</v>
      </c>
      <c r="V182" s="723">
        <v>637.8725759738652</v>
      </c>
      <c r="W182" s="723">
        <v>624.31981168408447</v>
      </c>
      <c r="X182" s="723">
        <v>611.20977737716737</v>
      </c>
      <c r="Y182" s="723">
        <v>598.56689192636338</v>
      </c>
      <c r="Z182" s="723">
        <v>586.14700976107076</v>
      </c>
      <c r="AA182" s="723">
        <v>573.76692682627834</v>
      </c>
      <c r="AB182" s="723">
        <v>561.49595565883408</v>
      </c>
      <c r="AC182" s="723">
        <v>549.40275875624673</v>
      </c>
      <c r="AD182" s="723">
        <v>537.48718088695512</v>
      </c>
      <c r="AE182" s="723">
        <v>525.74898979628711</v>
      </c>
      <c r="AF182" s="723">
        <v>514.1878779938047</v>
      </c>
    </row>
    <row r="183" spans="1:32" x14ac:dyDescent="0.25">
      <c r="A183" s="839"/>
      <c r="B183" s="552" t="s">
        <v>50</v>
      </c>
      <c r="C183" s="539"/>
      <c r="D183" s="539"/>
      <c r="E183" s="539"/>
      <c r="F183" s="539"/>
      <c r="G183" s="723">
        <v>1523.5644756758707</v>
      </c>
      <c r="H183" s="723">
        <v>1522.5010004558765</v>
      </c>
      <c r="I183" s="723">
        <v>1523.4337439626149</v>
      </c>
      <c r="J183" s="723">
        <v>1524.3620858421357</v>
      </c>
      <c r="K183" s="723">
        <v>1524.3031312646995</v>
      </c>
      <c r="L183" s="723">
        <v>1523.6700997119656</v>
      </c>
      <c r="M183" s="723">
        <v>1520.9777379824907</v>
      </c>
      <c r="N183" s="723">
        <v>1518.0325199257909</v>
      </c>
      <c r="O183" s="723">
        <v>1516.9957959835433</v>
      </c>
      <c r="P183" s="723">
        <v>1515.5170767693164</v>
      </c>
      <c r="Q183" s="723">
        <v>1514.7449407521372</v>
      </c>
      <c r="R183" s="723">
        <v>1512.9326387855417</v>
      </c>
      <c r="S183" s="723">
        <v>1510.5575460316588</v>
      </c>
      <c r="T183" s="723">
        <v>1507.718788396005</v>
      </c>
      <c r="U183" s="723">
        <v>1504.6111763804688</v>
      </c>
      <c r="V183" s="723">
        <v>1501.2043139013383</v>
      </c>
      <c r="W183" s="723">
        <v>1496.8839038589408</v>
      </c>
      <c r="X183" s="723">
        <v>1492.9600732738229</v>
      </c>
      <c r="Y183" s="723">
        <v>1489.5316314335421</v>
      </c>
      <c r="Z183" s="723">
        <v>1486.0118479736643</v>
      </c>
      <c r="AA183" s="723">
        <v>1481.9285181045825</v>
      </c>
      <c r="AB183" s="723">
        <v>1477.4490297030541</v>
      </c>
      <c r="AC183" s="723">
        <v>1472.752482033284</v>
      </c>
      <c r="AD183" s="723">
        <v>1467.8409972798379</v>
      </c>
      <c r="AE183" s="723">
        <v>1462.7167918543246</v>
      </c>
      <c r="AF183" s="723">
        <v>1457.3821747268289</v>
      </c>
    </row>
    <row r="184" spans="1:32" x14ac:dyDescent="0.25">
      <c r="A184" s="839"/>
      <c r="B184" s="550" t="s">
        <v>51</v>
      </c>
      <c r="C184" s="539"/>
      <c r="D184" s="539"/>
      <c r="E184" s="539"/>
      <c r="F184" s="539"/>
      <c r="G184" s="723">
        <v>4429.9721494399973</v>
      </c>
      <c r="H184" s="723">
        <v>4437.3283111347946</v>
      </c>
      <c r="I184" s="723">
        <v>4450.4071306201522</v>
      </c>
      <c r="J184" s="723">
        <v>4463.5102347305465</v>
      </c>
      <c r="K184" s="723">
        <v>4473.8117501948345</v>
      </c>
      <c r="L184" s="723">
        <v>4482.4826527830528</v>
      </c>
      <c r="M184" s="723">
        <v>4485.2210276938504</v>
      </c>
      <c r="N184" s="723">
        <v>4487.215160558334</v>
      </c>
      <c r="O184" s="723">
        <v>4494.7328119916465</v>
      </c>
      <c r="P184" s="723">
        <v>4500.9751305169757</v>
      </c>
      <c r="Q184" s="723">
        <v>4509.2823945187001</v>
      </c>
      <c r="R184" s="723">
        <v>4514.5634478188413</v>
      </c>
      <c r="S184" s="723">
        <v>4518.1954025882369</v>
      </c>
      <c r="T184" s="723">
        <v>4520.4575984923886</v>
      </c>
      <c r="U184" s="723">
        <v>4521.9137448300162</v>
      </c>
      <c r="V184" s="723">
        <v>4522.4683953115709</v>
      </c>
      <c r="W184" s="723">
        <v>4520.2980421579041</v>
      </c>
      <c r="X184" s="723">
        <v>4519.2677571842478</v>
      </c>
      <c r="Y184" s="723">
        <v>4519.6795338814181</v>
      </c>
      <c r="Z184" s="723">
        <v>4519.7957557507652</v>
      </c>
      <c r="AA184" s="723">
        <v>4518.2041363377584</v>
      </c>
      <c r="AB184" s="723">
        <v>4515.3935366778533</v>
      </c>
      <c r="AC184" s="723">
        <v>4511.8926937221868</v>
      </c>
      <c r="AD184" s="723">
        <v>4507.7031098645102</v>
      </c>
      <c r="AE184" s="723">
        <v>4502.8266032161009</v>
      </c>
      <c r="AF184" s="723">
        <v>4497.2653062948584</v>
      </c>
    </row>
    <row r="185" spans="1:32" x14ac:dyDescent="0.25">
      <c r="A185" s="839"/>
      <c r="B185" s="550" t="s">
        <v>52</v>
      </c>
      <c r="C185" s="539"/>
      <c r="D185" s="539"/>
      <c r="E185" s="539"/>
      <c r="F185" s="539"/>
      <c r="G185" s="723">
        <v>552.43512031072373</v>
      </c>
      <c r="H185" s="723">
        <v>558.48306285591809</v>
      </c>
      <c r="I185" s="723">
        <v>565.34133677427667</v>
      </c>
      <c r="J185" s="723">
        <v>572.29269405863261</v>
      </c>
      <c r="K185" s="723">
        <v>578.96848195393522</v>
      </c>
      <c r="L185" s="723">
        <v>585.51383475609828</v>
      </c>
      <c r="M185" s="723">
        <v>591.35031328998946</v>
      </c>
      <c r="N185" s="723">
        <v>597.15413013831164</v>
      </c>
      <c r="O185" s="723">
        <v>603.77372293948497</v>
      </c>
      <c r="P185" s="723">
        <v>610.29917023429527</v>
      </c>
      <c r="Q185" s="723">
        <v>617.18822408159872</v>
      </c>
      <c r="R185" s="723">
        <v>623.738896616749</v>
      </c>
      <c r="S185" s="723">
        <v>630.13408109130592</v>
      </c>
      <c r="T185" s="723">
        <v>636.40760770523411</v>
      </c>
      <c r="U185" s="723">
        <v>642.63552105464828</v>
      </c>
      <c r="V185" s="723">
        <v>648.80854886540533</v>
      </c>
      <c r="W185" s="723">
        <v>654.6562022789592</v>
      </c>
      <c r="X185" s="723">
        <v>660.73164558998587</v>
      </c>
      <c r="Y185" s="723">
        <v>667.09152512909054</v>
      </c>
      <c r="Z185" s="723">
        <v>673.47445690104678</v>
      </c>
      <c r="AA185" s="723">
        <v>679.6710281390549</v>
      </c>
      <c r="AB185" s="723">
        <v>685.74903787821017</v>
      </c>
      <c r="AC185" s="723">
        <v>691.77983143718734</v>
      </c>
      <c r="AD185" s="723">
        <v>697.76632270594166</v>
      </c>
      <c r="AE185" s="723">
        <v>703.70585945088419</v>
      </c>
      <c r="AF185" s="723">
        <v>709.59098829249774</v>
      </c>
    </row>
    <row r="186" spans="1:32" x14ac:dyDescent="0.25">
      <c r="A186" s="839"/>
      <c r="B186" s="552" t="s">
        <v>29</v>
      </c>
      <c r="C186" s="539"/>
      <c r="D186" s="539"/>
      <c r="E186" s="539"/>
      <c r="F186" s="539"/>
      <c r="G186" s="723">
        <v>0</v>
      </c>
      <c r="H186" s="723">
        <v>65.997597243107634</v>
      </c>
      <c r="I186" s="723">
        <v>133.21556272732468</v>
      </c>
      <c r="J186" s="723">
        <v>201.52962832747369</v>
      </c>
      <c r="K186" s="723">
        <v>270.71142381266316</v>
      </c>
      <c r="L186" s="723">
        <v>340.76575199424281</v>
      </c>
      <c r="M186" s="723">
        <v>411.11740627526302</v>
      </c>
      <c r="N186" s="723">
        <v>482.19232112343281</v>
      </c>
      <c r="O186" s="723">
        <v>554.91409351964717</v>
      </c>
      <c r="P186" s="723">
        <v>628.42591977738527</v>
      </c>
      <c r="Q186" s="723">
        <v>703.29467366594793</v>
      </c>
      <c r="R186" s="723">
        <v>778.61169771424454</v>
      </c>
      <c r="S186" s="723">
        <v>854.53753435972544</v>
      </c>
      <c r="T186" s="723">
        <v>931.06571595481159</v>
      </c>
      <c r="U186" s="723">
        <v>1008.2797397543015</v>
      </c>
      <c r="V186" s="723">
        <v>1086.1136714916036</v>
      </c>
      <c r="W186" s="723">
        <v>1164.0042867756624</v>
      </c>
      <c r="X186" s="723">
        <v>1243.0105937314643</v>
      </c>
      <c r="Y186" s="723">
        <v>1323.2944718147664</v>
      </c>
      <c r="Z186" s="723">
        <v>1404.3567217137777</v>
      </c>
      <c r="AA186" s="723">
        <v>1485.6731426501033</v>
      </c>
      <c r="AB186" s="723">
        <v>1567.3452310019566</v>
      </c>
      <c r="AC186" s="723">
        <v>1649.5322936363134</v>
      </c>
      <c r="AD186" s="723">
        <v>1732.1981459732278</v>
      </c>
      <c r="AE186" s="723">
        <v>1815.3130427723938</v>
      </c>
      <c r="AF186" s="723">
        <v>1898.852743208013</v>
      </c>
    </row>
    <row r="187" spans="1:32" x14ac:dyDescent="0.25">
      <c r="A187" s="839"/>
      <c r="B187" s="552" t="s">
        <v>53</v>
      </c>
      <c r="C187" s="539"/>
      <c r="D187" s="539"/>
      <c r="E187" s="539"/>
      <c r="F187" s="539"/>
      <c r="G187" s="723">
        <v>0</v>
      </c>
      <c r="H187" s="723">
        <v>0</v>
      </c>
      <c r="I187" s="723">
        <v>0</v>
      </c>
      <c r="J187" s="723">
        <v>0</v>
      </c>
      <c r="K187" s="723">
        <v>0</v>
      </c>
      <c r="L187" s="723">
        <v>0</v>
      </c>
      <c r="M187" s="723">
        <v>0</v>
      </c>
      <c r="N187" s="723">
        <v>0</v>
      </c>
      <c r="O187" s="723">
        <v>0</v>
      </c>
      <c r="P187" s="723">
        <v>0</v>
      </c>
      <c r="Q187" s="723">
        <v>0</v>
      </c>
      <c r="R187" s="723">
        <v>0</v>
      </c>
      <c r="S187" s="723">
        <v>0</v>
      </c>
      <c r="T187" s="723">
        <v>0</v>
      </c>
      <c r="U187" s="723">
        <v>0</v>
      </c>
      <c r="V187" s="723">
        <v>0</v>
      </c>
      <c r="W187" s="723">
        <v>0</v>
      </c>
      <c r="X187" s="723">
        <v>0</v>
      </c>
      <c r="Y187" s="723">
        <v>0</v>
      </c>
      <c r="Z187" s="723">
        <v>0</v>
      </c>
      <c r="AA187" s="723">
        <v>0</v>
      </c>
      <c r="AB187" s="723">
        <v>0</v>
      </c>
      <c r="AC187" s="723">
        <v>0</v>
      </c>
      <c r="AD187" s="723">
        <v>0</v>
      </c>
      <c r="AE187" s="723">
        <v>0</v>
      </c>
      <c r="AF187" s="723">
        <v>0</v>
      </c>
    </row>
    <row r="188" spans="1:32" x14ac:dyDescent="0.25">
      <c r="A188" s="838"/>
      <c r="B188" s="539"/>
      <c r="C188" s="539"/>
      <c r="D188" s="539"/>
      <c r="E188" s="539"/>
      <c r="F188" s="539"/>
      <c r="G188" s="539"/>
      <c r="H188" s="539"/>
      <c r="I188" s="539"/>
      <c r="J188" s="539"/>
      <c r="K188" s="539"/>
      <c r="L188" s="539"/>
      <c r="M188" s="539"/>
      <c r="N188" s="539"/>
      <c r="O188" s="539"/>
      <c r="P188" s="539"/>
      <c r="Q188" s="539"/>
      <c r="R188" s="539"/>
      <c r="S188" s="539"/>
      <c r="T188" s="539"/>
      <c r="U188" s="539"/>
      <c r="V188" s="539"/>
      <c r="W188" s="539"/>
      <c r="X188" s="539"/>
      <c r="Y188" s="539"/>
      <c r="Z188" s="539"/>
      <c r="AA188" s="539"/>
      <c r="AB188" s="539"/>
      <c r="AC188" s="539"/>
      <c r="AD188" s="539"/>
      <c r="AE188" s="539"/>
      <c r="AF188" s="539"/>
    </row>
    <row r="189" spans="1:32" x14ac:dyDescent="0.25">
      <c r="A189" s="838"/>
      <c r="B189" s="539"/>
      <c r="C189" s="539"/>
      <c r="D189" s="539"/>
      <c r="E189" s="539"/>
      <c r="F189" s="539"/>
      <c r="G189" s="539"/>
      <c r="H189" s="539"/>
      <c r="I189" s="539"/>
      <c r="J189" s="539"/>
      <c r="K189" s="539"/>
      <c r="L189" s="539"/>
      <c r="M189" s="539"/>
      <c r="N189" s="539"/>
      <c r="O189" s="539"/>
      <c r="P189" s="539"/>
      <c r="Q189" s="539"/>
      <c r="R189" s="539"/>
      <c r="S189" s="539"/>
      <c r="T189" s="539"/>
      <c r="U189" s="539"/>
      <c r="V189" s="539"/>
      <c r="W189" s="539"/>
      <c r="X189" s="539"/>
      <c r="Y189" s="539"/>
      <c r="Z189" s="539"/>
      <c r="AA189" s="539"/>
      <c r="AB189" s="539"/>
      <c r="AC189" s="539"/>
      <c r="AD189" s="539"/>
      <c r="AE189" s="539"/>
      <c r="AF189" s="539"/>
    </row>
    <row r="190" spans="1:32" s="539" customFormat="1" x14ac:dyDescent="0.25">
      <c r="A190" s="860" t="s">
        <v>303</v>
      </c>
      <c r="B190" s="555"/>
      <c r="C190" s="554"/>
      <c r="D190" s="553"/>
      <c r="E190" s="553"/>
      <c r="F190" s="553"/>
      <c r="G190" s="553" t="s">
        <v>704</v>
      </c>
      <c r="H190" s="560"/>
      <c r="I190" s="560"/>
      <c r="J190" s="560"/>
      <c r="K190" s="560"/>
      <c r="L190" s="560"/>
      <c r="M190" s="560"/>
      <c r="N190" s="560"/>
      <c r="O190" s="560"/>
      <c r="P190" s="560"/>
      <c r="Q190" s="560"/>
      <c r="R190" s="560"/>
      <c r="S190" s="560"/>
      <c r="T190" s="560"/>
      <c r="U190" s="560"/>
      <c r="V190" s="560"/>
      <c r="W190" s="560"/>
      <c r="X190" s="560"/>
      <c r="Y190" s="560"/>
      <c r="Z190" s="560"/>
      <c r="AA190" s="560"/>
      <c r="AB190" s="560"/>
      <c r="AC190" s="560"/>
      <c r="AD190" s="560"/>
      <c r="AE190" s="560"/>
      <c r="AF190" s="560"/>
    </row>
    <row r="191" spans="1:32" s="539" customFormat="1" x14ac:dyDescent="0.25">
      <c r="A191" s="840" t="s">
        <v>12</v>
      </c>
      <c r="B191" s="550"/>
    </row>
    <row r="192" spans="1:32" s="539" customFormat="1" x14ac:dyDescent="0.25">
      <c r="A192" s="839"/>
      <c r="B192" s="550" t="s">
        <v>20</v>
      </c>
    </row>
    <row r="193" spans="1:32" s="202" customFormat="1" ht="12.75" x14ac:dyDescent="0.2">
      <c r="A193" s="843" t="s">
        <v>21</v>
      </c>
      <c r="B193" s="556"/>
      <c r="C193" s="556"/>
      <c r="D193" s="556"/>
      <c r="E193" s="556"/>
      <c r="F193" s="556"/>
      <c r="G193" s="556"/>
      <c r="H193" s="556"/>
      <c r="I193" s="556"/>
      <c r="J193" s="556"/>
      <c r="K193" s="556"/>
      <c r="L193" s="556"/>
      <c r="M193" s="556"/>
      <c r="N193" s="556"/>
      <c r="O193" s="556"/>
      <c r="P193" s="556"/>
      <c r="Q193" s="556"/>
      <c r="R193" s="556"/>
      <c r="S193" s="556"/>
      <c r="T193" s="556"/>
      <c r="U193" s="556"/>
      <c r="V193" s="556"/>
      <c r="W193" s="556"/>
      <c r="X193" s="556"/>
      <c r="Y193" s="556"/>
      <c r="Z193" s="556"/>
      <c r="AA193" s="556"/>
      <c r="AB193" s="556"/>
      <c r="AC193" s="556"/>
      <c r="AD193" s="556"/>
      <c r="AE193" s="556"/>
      <c r="AF193" s="556"/>
    </row>
    <row r="194" spans="1:32" x14ac:dyDescent="0.25">
      <c r="A194" s="839"/>
      <c r="B194" s="550" t="s">
        <v>22</v>
      </c>
      <c r="C194" s="539"/>
      <c r="D194" s="539"/>
      <c r="E194" s="539"/>
      <c r="F194" s="539"/>
      <c r="G194" s="723">
        <v>0.17339964811364489</v>
      </c>
      <c r="H194" s="723">
        <v>0.10420873099709284</v>
      </c>
      <c r="I194" s="723">
        <v>7.3715982483022038E-2</v>
      </c>
      <c r="J194" s="723">
        <v>4.2668269889508906E-2</v>
      </c>
      <c r="K194" s="723">
        <v>2.9267726113993763E-2</v>
      </c>
      <c r="L194" s="723">
        <v>1.8701451144132436E-2</v>
      </c>
      <c r="M194" s="723">
        <v>6.9702547584293501E-3</v>
      </c>
      <c r="N194" s="723">
        <v>6.6733382132014192E-3</v>
      </c>
      <c r="O194" s="723">
        <v>6.6348636669229695E-3</v>
      </c>
      <c r="P194" s="723">
        <v>6.6297560314272155E-3</v>
      </c>
      <c r="Q194" s="723">
        <v>6.6295792643491528E-3</v>
      </c>
      <c r="R194" s="723">
        <v>6.6286402293414736E-3</v>
      </c>
      <c r="S194" s="723">
        <v>6.6275001898517573E-3</v>
      </c>
      <c r="T194" s="723">
        <v>6.6266141804439743E-3</v>
      </c>
      <c r="U194" s="723">
        <v>6.626010400048417E-3</v>
      </c>
      <c r="V194" s="723">
        <v>6.6254849614048395E-3</v>
      </c>
      <c r="W194" s="723">
        <v>6.6243009930460842E-3</v>
      </c>
      <c r="X194" s="723">
        <v>6.6242161115752348E-3</v>
      </c>
      <c r="Y194" s="723">
        <v>6.6248593966545654E-3</v>
      </c>
      <c r="Z194" s="723">
        <v>6.6250068879249212E-3</v>
      </c>
      <c r="AA194" s="723">
        <v>6.6243650527440974E-3</v>
      </c>
      <c r="AB194" s="723">
        <v>6.6236244994033874E-3</v>
      </c>
      <c r="AC194" s="723">
        <v>6.6231228565719362E-3</v>
      </c>
      <c r="AD194" s="723">
        <v>6.6227182884205683E-3</v>
      </c>
      <c r="AE194" s="723">
        <v>6.6223273946842912E-3</v>
      </c>
      <c r="AF194" s="723">
        <v>6.621938710228481E-3</v>
      </c>
    </row>
    <row r="195" spans="1:32" x14ac:dyDescent="0.25">
      <c r="A195" s="839"/>
      <c r="B195" s="550" t="s">
        <v>26</v>
      </c>
      <c r="C195" s="539"/>
      <c r="D195" s="539"/>
      <c r="E195" s="539"/>
      <c r="F195" s="539"/>
      <c r="G195" s="723">
        <v>3.0651121148291072E-3</v>
      </c>
      <c r="H195" s="723">
        <v>1.7761146521496343E-3</v>
      </c>
      <c r="I195" s="723">
        <v>6.1938067359551836E-3</v>
      </c>
      <c r="J195" s="723">
        <v>1.6094949626802319E-2</v>
      </c>
      <c r="K195" s="723">
        <v>2.1994802168782124E-2</v>
      </c>
      <c r="L195" s="723">
        <v>2.3074924253129622E-2</v>
      </c>
      <c r="M195" s="723">
        <v>2.4059562984079727E-2</v>
      </c>
      <c r="N195" s="723">
        <v>2.3097150797831856E-2</v>
      </c>
      <c r="O195" s="723">
        <v>2.2992990046185074E-2</v>
      </c>
      <c r="P195" s="723">
        <v>2.2971784148785104E-2</v>
      </c>
      <c r="Q195" s="723">
        <v>2.2978700589031325E-2</v>
      </c>
      <c r="R195" s="723">
        <v>2.2964607865506522E-2</v>
      </c>
      <c r="S195" s="723">
        <v>2.2954905882587927E-2</v>
      </c>
      <c r="T195" s="723">
        <v>2.2947052853960009E-2</v>
      </c>
      <c r="U195" s="723">
        <v>2.2942167480565941E-2</v>
      </c>
      <c r="V195" s="723">
        <v>2.2937190600076381E-2</v>
      </c>
      <c r="W195" s="723">
        <v>2.2923451452564133E-2</v>
      </c>
      <c r="X195" s="723">
        <v>2.2927323760320469E-2</v>
      </c>
      <c r="Y195" s="723">
        <v>2.2934650093093797E-2</v>
      </c>
      <c r="Z195" s="723">
        <v>2.2934051456870941E-2</v>
      </c>
      <c r="AA195" s="723">
        <v>2.2925761229438853E-2</v>
      </c>
      <c r="AB195" s="723">
        <v>2.2918924602489926E-2</v>
      </c>
      <c r="AC195" s="723">
        <v>2.2914779479473485E-2</v>
      </c>
      <c r="AD195" s="723">
        <v>2.2910947323510605E-2</v>
      </c>
      <c r="AE195" s="723">
        <v>2.2907158571624446E-2</v>
      </c>
      <c r="AF195" s="723">
        <v>2.290337616634578E-2</v>
      </c>
    </row>
    <row r="196" spans="1:32" x14ac:dyDescent="0.25">
      <c r="A196" s="839"/>
      <c r="B196" s="550" t="s">
        <v>27</v>
      </c>
      <c r="C196" s="539"/>
      <c r="D196" s="539"/>
      <c r="E196" s="539"/>
      <c r="F196" s="539"/>
      <c r="G196" s="723">
        <v>3.30978140853702E-2</v>
      </c>
      <c r="H196" s="723">
        <v>4.9200880637757259E-2</v>
      </c>
      <c r="I196" s="723">
        <v>5.4944064353408595E-2</v>
      </c>
      <c r="J196" s="723">
        <v>5.9338950947829719E-2</v>
      </c>
      <c r="K196" s="723">
        <v>6.0794136782008533E-2</v>
      </c>
      <c r="L196" s="723">
        <v>6.2906302640138231E-2</v>
      </c>
      <c r="M196" s="723">
        <v>6.5310365718324742E-2</v>
      </c>
      <c r="N196" s="723">
        <v>6.5635094647888373E-2</v>
      </c>
      <c r="O196" s="723">
        <v>6.5669526469739489E-2</v>
      </c>
      <c r="P196" s="723">
        <v>6.5674516754180415E-2</v>
      </c>
      <c r="Q196" s="723">
        <v>6.5671156527397606E-2</v>
      </c>
      <c r="R196" s="723">
        <v>6.5674056462868086E-2</v>
      </c>
      <c r="S196" s="723">
        <v>6.5676101476952312E-2</v>
      </c>
      <c r="T196" s="723">
        <v>6.5677804671033138E-2</v>
      </c>
      <c r="U196" s="723">
        <v>6.5678796643076728E-2</v>
      </c>
      <c r="V196" s="723">
        <v>6.5679918371681051E-2</v>
      </c>
      <c r="W196" s="723">
        <v>6.5683694747541321E-2</v>
      </c>
      <c r="X196" s="723">
        <v>6.5682481220148137E-2</v>
      </c>
      <c r="Y196" s="723">
        <v>6.5680176946776705E-2</v>
      </c>
      <c r="Z196" s="723">
        <v>6.5680172931131223E-2</v>
      </c>
      <c r="AA196" s="723">
        <v>6.5682494589474394E-2</v>
      </c>
      <c r="AB196" s="723">
        <v>6.5684487530567007E-2</v>
      </c>
      <c r="AC196" s="723">
        <v>6.5685719338843623E-2</v>
      </c>
      <c r="AD196" s="723">
        <v>6.5686860553586288E-2</v>
      </c>
      <c r="AE196" s="723">
        <v>6.5687999503741767E-2</v>
      </c>
      <c r="AF196" s="723">
        <v>6.5689146070593576E-2</v>
      </c>
    </row>
    <row r="197" spans="1:32" x14ac:dyDescent="0.25">
      <c r="A197" s="839"/>
      <c r="B197" s="550" t="s">
        <v>29</v>
      </c>
      <c r="C197" s="539"/>
      <c r="D197" s="539"/>
      <c r="E197" s="539"/>
      <c r="F197" s="539"/>
      <c r="G197" s="723">
        <v>0</v>
      </c>
      <c r="H197" s="723">
        <v>2.4645956577762048E-5</v>
      </c>
      <c r="I197" s="723">
        <v>4.4736010191268023E-5</v>
      </c>
      <c r="J197" s="723">
        <v>5.4580260572242449E-5</v>
      </c>
      <c r="K197" s="723">
        <v>6.2086789032736719E-5</v>
      </c>
      <c r="L197" s="723">
        <v>6.8654812651523911E-5</v>
      </c>
      <c r="M197" s="723">
        <v>7.4393653803425831E-5</v>
      </c>
      <c r="N197" s="723">
        <v>7.8840417022997186E-5</v>
      </c>
      <c r="O197" s="723">
        <v>8.2505751922428886E-5</v>
      </c>
      <c r="P197" s="723">
        <v>8.5315019858265049E-5</v>
      </c>
      <c r="Q197" s="723">
        <v>8.7574484447356686E-5</v>
      </c>
      <c r="R197" s="723">
        <v>8.9230105228942284E-5</v>
      </c>
      <c r="S197" s="723">
        <v>9.0464187653989671E-5</v>
      </c>
      <c r="T197" s="723">
        <v>9.138003320604773E-5</v>
      </c>
      <c r="U197" s="723">
        <v>9.2067160806793931E-5</v>
      </c>
      <c r="V197" s="723">
        <v>9.2572993125815235E-5</v>
      </c>
      <c r="W197" s="723">
        <v>9.2877009435763272E-5</v>
      </c>
      <c r="X197" s="723">
        <v>9.3152107278749068E-5</v>
      </c>
      <c r="Y197" s="723">
        <v>9.3414544307956655E-5</v>
      </c>
      <c r="Z197" s="723">
        <v>9.3609477174379129E-5</v>
      </c>
      <c r="AA197" s="723">
        <v>9.3705081270361085E-5</v>
      </c>
      <c r="AB197" s="723">
        <v>9.3739351702316499E-5</v>
      </c>
      <c r="AC197" s="723">
        <v>9.374319473656097E-5</v>
      </c>
      <c r="AD197" s="723">
        <v>9.3723279597441618E-5</v>
      </c>
      <c r="AE197" s="723">
        <v>9.368480359323676E-5</v>
      </c>
      <c r="AF197" s="723">
        <v>9.363181758857052E-5</v>
      </c>
    </row>
    <row r="198" spans="1:32" x14ac:dyDescent="0.25">
      <c r="A198" s="839"/>
      <c r="B198" s="550"/>
      <c r="C198" s="539"/>
      <c r="D198" s="539"/>
      <c r="E198" s="539"/>
      <c r="F198" s="539"/>
      <c r="G198" s="723" t="s">
        <v>73</v>
      </c>
      <c r="H198" s="723" t="s">
        <v>73</v>
      </c>
      <c r="I198" s="723" t="s">
        <v>73</v>
      </c>
      <c r="J198" s="723" t="s">
        <v>73</v>
      </c>
      <c r="K198" s="723" t="s">
        <v>73</v>
      </c>
      <c r="L198" s="723" t="s">
        <v>73</v>
      </c>
      <c r="M198" s="723" t="s">
        <v>73</v>
      </c>
      <c r="N198" s="723" t="s">
        <v>73</v>
      </c>
      <c r="O198" s="723" t="s">
        <v>73</v>
      </c>
      <c r="P198" s="723" t="s">
        <v>73</v>
      </c>
      <c r="Q198" s="723" t="s">
        <v>73</v>
      </c>
      <c r="R198" s="723" t="s">
        <v>73</v>
      </c>
      <c r="S198" s="723" t="s">
        <v>73</v>
      </c>
      <c r="T198" s="723" t="s">
        <v>73</v>
      </c>
      <c r="U198" s="723" t="s">
        <v>73</v>
      </c>
      <c r="V198" s="723" t="s">
        <v>73</v>
      </c>
      <c r="W198" s="723" t="s">
        <v>73</v>
      </c>
      <c r="X198" s="723" t="s">
        <v>73</v>
      </c>
      <c r="Y198" s="723" t="s">
        <v>73</v>
      </c>
      <c r="Z198" s="723" t="s">
        <v>73</v>
      </c>
      <c r="AA198" s="723" t="s">
        <v>73</v>
      </c>
      <c r="AB198" s="723" t="s">
        <v>73</v>
      </c>
      <c r="AC198" s="723" t="s">
        <v>73</v>
      </c>
      <c r="AD198" s="723" t="s">
        <v>73</v>
      </c>
      <c r="AE198" s="723" t="s">
        <v>73</v>
      </c>
      <c r="AF198" s="723" t="s">
        <v>73</v>
      </c>
    </row>
    <row r="199" spans="1:32" s="202" customFormat="1" ht="12.75" x14ac:dyDescent="0.2">
      <c r="A199" s="843" t="s">
        <v>32</v>
      </c>
      <c r="B199" s="556"/>
      <c r="C199" s="556"/>
      <c r="D199" s="556"/>
      <c r="E199" s="556"/>
      <c r="F199" s="556"/>
      <c r="G199" s="724" t="s">
        <v>73</v>
      </c>
      <c r="H199" s="724" t="s">
        <v>73</v>
      </c>
      <c r="I199" s="724" t="s">
        <v>73</v>
      </c>
      <c r="J199" s="724" t="s">
        <v>73</v>
      </c>
      <c r="K199" s="724" t="s">
        <v>73</v>
      </c>
      <c r="L199" s="724" t="s">
        <v>73</v>
      </c>
      <c r="M199" s="724" t="s">
        <v>73</v>
      </c>
      <c r="N199" s="724" t="s">
        <v>73</v>
      </c>
      <c r="O199" s="724" t="s">
        <v>73</v>
      </c>
      <c r="P199" s="724" t="s">
        <v>73</v>
      </c>
      <c r="Q199" s="724" t="s">
        <v>73</v>
      </c>
      <c r="R199" s="724" t="s">
        <v>73</v>
      </c>
      <c r="S199" s="724" t="s">
        <v>73</v>
      </c>
      <c r="T199" s="724" t="s">
        <v>73</v>
      </c>
      <c r="U199" s="724" t="s">
        <v>73</v>
      </c>
      <c r="V199" s="724" t="s">
        <v>73</v>
      </c>
      <c r="W199" s="724" t="s">
        <v>73</v>
      </c>
      <c r="X199" s="724" t="s">
        <v>73</v>
      </c>
      <c r="Y199" s="724" t="s">
        <v>73</v>
      </c>
      <c r="Z199" s="724" t="s">
        <v>73</v>
      </c>
      <c r="AA199" s="724" t="s">
        <v>73</v>
      </c>
      <c r="AB199" s="724" t="s">
        <v>73</v>
      </c>
      <c r="AC199" s="724" t="s">
        <v>73</v>
      </c>
      <c r="AD199" s="724" t="s">
        <v>73</v>
      </c>
      <c r="AE199" s="724" t="s">
        <v>73</v>
      </c>
      <c r="AF199" s="724" t="s">
        <v>73</v>
      </c>
    </row>
    <row r="200" spans="1:32" x14ac:dyDescent="0.25">
      <c r="A200" s="839"/>
      <c r="B200" s="550" t="s">
        <v>33</v>
      </c>
      <c r="C200" s="539"/>
      <c r="D200" s="539"/>
      <c r="E200" s="539"/>
      <c r="F200" s="539"/>
      <c r="G200" s="723">
        <v>0.10835887037211779</v>
      </c>
      <c r="H200" s="723">
        <v>8.463148357590343E-2</v>
      </c>
      <c r="I200" s="723">
        <v>9.1138018333182497E-2</v>
      </c>
      <c r="J200" s="723">
        <v>9.6909601841620577E-2</v>
      </c>
      <c r="K200" s="723">
        <v>0.10251049224966287</v>
      </c>
      <c r="L200" s="723">
        <v>0.10241648872406399</v>
      </c>
      <c r="M200" s="723">
        <v>0.10238102468086481</v>
      </c>
      <c r="N200" s="723">
        <v>0.10234533585652948</v>
      </c>
      <c r="O200" s="723">
        <v>0.10230479427636843</v>
      </c>
      <c r="P200" s="723">
        <v>0.10230371222621741</v>
      </c>
      <c r="Q200" s="723">
        <v>0.10229125977259884</v>
      </c>
      <c r="R200" s="723">
        <v>0.10230025704285285</v>
      </c>
      <c r="S200" s="723">
        <v>0.10230046030569832</v>
      </c>
      <c r="T200" s="723">
        <v>0.10229963061901744</v>
      </c>
      <c r="U200" s="723">
        <v>0.10229738864164044</v>
      </c>
      <c r="V200" s="723">
        <v>0.10229653704294543</v>
      </c>
      <c r="W200" s="723">
        <v>0.10230221688371827</v>
      </c>
      <c r="X200" s="723">
        <v>0.10229301161911369</v>
      </c>
      <c r="Y200" s="723">
        <v>0.10228689576866792</v>
      </c>
      <c r="Z200" s="723">
        <v>0.10228899675150889</v>
      </c>
      <c r="AA200" s="723">
        <v>0.10229473858292637</v>
      </c>
      <c r="AB200" s="723">
        <v>0.10229651358702554</v>
      </c>
      <c r="AC200" s="723">
        <v>0.10229603054595052</v>
      </c>
      <c r="AD200" s="723">
        <v>0.10229600310816317</v>
      </c>
      <c r="AE200" s="723">
        <v>0.10229621394791998</v>
      </c>
      <c r="AF200" s="723">
        <v>0.10229655178705958</v>
      </c>
    </row>
    <row r="201" spans="1:32" x14ac:dyDescent="0.25">
      <c r="A201" s="842"/>
      <c r="B201" s="552" t="s">
        <v>34</v>
      </c>
      <c r="C201" s="539"/>
      <c r="D201" s="539"/>
      <c r="E201" s="539"/>
      <c r="F201" s="539"/>
      <c r="G201" s="723">
        <v>0.10700151776616688</v>
      </c>
      <c r="H201" s="723">
        <v>0.13903426384373585</v>
      </c>
      <c r="I201" s="723">
        <v>0.13581157786290393</v>
      </c>
      <c r="J201" s="723">
        <v>0.12465063746657339</v>
      </c>
      <c r="K201" s="723">
        <v>0.11284928034260559</v>
      </c>
      <c r="L201" s="723">
        <v>0.10911631025363838</v>
      </c>
      <c r="M201" s="723">
        <v>0.10902288082874269</v>
      </c>
      <c r="N201" s="723">
        <v>0.10897911520861407</v>
      </c>
      <c r="O201" s="723">
        <v>0.10899046165380356</v>
      </c>
      <c r="P201" s="723">
        <v>0.10897704068128618</v>
      </c>
      <c r="Q201" s="723">
        <v>0.10898389324896719</v>
      </c>
      <c r="R201" s="723">
        <v>0.1089641403982007</v>
      </c>
      <c r="S201" s="723">
        <v>0.10894857820497734</v>
      </c>
      <c r="T201" s="723">
        <v>0.10893465055283727</v>
      </c>
      <c r="U201" s="723">
        <v>0.10892466151233596</v>
      </c>
      <c r="V201" s="723">
        <v>0.10891519508336686</v>
      </c>
      <c r="W201" s="723">
        <v>0.10889504116882341</v>
      </c>
      <c r="X201" s="723">
        <v>0.10889646750077205</v>
      </c>
      <c r="Y201" s="723">
        <v>0.10890394689078035</v>
      </c>
      <c r="Z201" s="723">
        <v>0.10890328341028714</v>
      </c>
      <c r="AA201" s="723">
        <v>0.10889288177236466</v>
      </c>
      <c r="AB201" s="723">
        <v>0.10888305745020997</v>
      </c>
      <c r="AC201" s="723">
        <v>0.10887594744588279</v>
      </c>
      <c r="AD201" s="723">
        <v>0.10886930267015577</v>
      </c>
      <c r="AE201" s="723">
        <v>0.10886290021311092</v>
      </c>
      <c r="AF201" s="723">
        <v>0.10885662593682066</v>
      </c>
    </row>
    <row r="202" spans="1:32" x14ac:dyDescent="0.25">
      <c r="A202" s="839"/>
      <c r="B202" s="552" t="s">
        <v>35</v>
      </c>
      <c r="C202" s="539"/>
      <c r="D202" s="539"/>
      <c r="E202" s="539"/>
      <c r="F202" s="539"/>
      <c r="G202" s="723">
        <v>3.1848996533444474E-2</v>
      </c>
      <c r="H202" s="723">
        <v>2.6896711921989516E-2</v>
      </c>
      <c r="I202" s="723">
        <v>2.4650528702147768E-2</v>
      </c>
      <c r="J202" s="723">
        <v>2.3905144578745267E-2</v>
      </c>
      <c r="K202" s="723">
        <v>2.4011548530963493E-2</v>
      </c>
      <c r="L202" s="723">
        <v>2.4066091603314865E-2</v>
      </c>
      <c r="M202" s="723">
        <v>2.4102562091441758E-2</v>
      </c>
      <c r="N202" s="723">
        <v>2.4121233686326893E-2</v>
      </c>
      <c r="O202" s="723">
        <v>2.4120220986249497E-2</v>
      </c>
      <c r="P202" s="723">
        <v>2.4121386526790894E-2</v>
      </c>
      <c r="Q202" s="723">
        <v>2.4117946030813492E-2</v>
      </c>
      <c r="R202" s="723">
        <v>2.4121162440577094E-2</v>
      </c>
      <c r="S202" s="723">
        <v>2.4125393313865456E-2</v>
      </c>
      <c r="T202" s="723">
        <v>2.4129707004408064E-2</v>
      </c>
      <c r="U202" s="723">
        <v>2.4133128692332056E-2</v>
      </c>
      <c r="V202" s="723">
        <v>2.4136304701850367E-2</v>
      </c>
      <c r="W202" s="723">
        <v>2.4142563635599395E-2</v>
      </c>
      <c r="X202" s="723">
        <v>2.414366586987984E-2</v>
      </c>
      <c r="Y202" s="723">
        <v>2.4141659475212646E-2</v>
      </c>
      <c r="Z202" s="723">
        <v>2.4141127270372532E-2</v>
      </c>
      <c r="AA202" s="723">
        <v>2.4143807441708465E-2</v>
      </c>
      <c r="AB202" s="723">
        <v>2.414726444219471E-2</v>
      </c>
      <c r="AC202" s="723">
        <v>2.4150201154917929E-2</v>
      </c>
      <c r="AD202" s="723">
        <v>2.4152882263677091E-2</v>
      </c>
      <c r="AE202" s="723">
        <v>2.4155439511659296E-2</v>
      </c>
      <c r="AF202" s="723">
        <v>2.4157938195054462E-2</v>
      </c>
    </row>
    <row r="203" spans="1:32" x14ac:dyDescent="0.25">
      <c r="A203" s="839"/>
      <c r="B203" s="552" t="s">
        <v>29</v>
      </c>
      <c r="C203" s="539"/>
      <c r="D203" s="539"/>
      <c r="E203" s="539"/>
      <c r="F203" s="539"/>
      <c r="G203" s="723">
        <v>0</v>
      </c>
      <c r="H203" s="723">
        <v>3.9168544560676353E-5</v>
      </c>
      <c r="I203" s="723">
        <v>7.0224710749753239E-5</v>
      </c>
      <c r="J203" s="723">
        <v>9.4765206289759124E-5</v>
      </c>
      <c r="K203" s="723">
        <v>1.1428827138925467E-4</v>
      </c>
      <c r="L203" s="723">
        <v>1.2932744513477734E-4</v>
      </c>
      <c r="M203" s="723">
        <v>1.4063520553185159E-4</v>
      </c>
      <c r="N203" s="723">
        <v>1.4937908411233729E-4</v>
      </c>
      <c r="O203" s="723">
        <v>1.5649433815420987E-4</v>
      </c>
      <c r="P203" s="723">
        <v>1.6194657921371797E-4</v>
      </c>
      <c r="Q203" s="723">
        <v>1.6629457868160244E-4</v>
      </c>
      <c r="R203" s="723">
        <v>1.6950491512430314E-4</v>
      </c>
      <c r="S203" s="723">
        <v>1.7190978110984522E-4</v>
      </c>
      <c r="T203" s="723">
        <v>1.7370536140982038E-4</v>
      </c>
      <c r="U203" s="723">
        <v>1.7505827545429535E-4</v>
      </c>
      <c r="V203" s="723">
        <v>1.7606248419156013E-4</v>
      </c>
      <c r="W203" s="723">
        <v>1.7669993583242414E-4</v>
      </c>
      <c r="X203" s="723">
        <v>1.772555993285548E-4</v>
      </c>
      <c r="Y203" s="723">
        <v>1.7776344009758554E-4</v>
      </c>
      <c r="Z203" s="723">
        <v>1.7814299776777753E-4</v>
      </c>
      <c r="AA203" s="723">
        <v>1.7834893600641975E-4</v>
      </c>
      <c r="AB203" s="723">
        <v>1.784452918747424E-4</v>
      </c>
      <c r="AC203" s="723">
        <v>1.7848394064610927E-4</v>
      </c>
      <c r="AD203" s="723">
        <v>1.7847769466965865E-4</v>
      </c>
      <c r="AE203" s="723">
        <v>1.7843649924339413E-4</v>
      </c>
      <c r="AF203" s="723">
        <v>1.7836807806394892E-4</v>
      </c>
    </row>
    <row r="204" spans="1:32" x14ac:dyDescent="0.25">
      <c r="A204" s="839"/>
      <c r="B204" s="550"/>
      <c r="C204" s="539"/>
      <c r="D204" s="539"/>
      <c r="E204" s="539"/>
      <c r="F204" s="539"/>
      <c r="G204" s="723" t="s">
        <v>73</v>
      </c>
      <c r="H204" s="723" t="s">
        <v>73</v>
      </c>
      <c r="I204" s="723" t="s">
        <v>73</v>
      </c>
      <c r="J204" s="723" t="s">
        <v>73</v>
      </c>
      <c r="K204" s="723" t="s">
        <v>73</v>
      </c>
      <c r="L204" s="723" t="s">
        <v>73</v>
      </c>
      <c r="M204" s="723" t="s">
        <v>73</v>
      </c>
      <c r="N204" s="723" t="s">
        <v>73</v>
      </c>
      <c r="O204" s="723" t="s">
        <v>73</v>
      </c>
      <c r="P204" s="723" t="s">
        <v>73</v>
      </c>
      <c r="Q204" s="723" t="s">
        <v>73</v>
      </c>
      <c r="R204" s="723" t="s">
        <v>73</v>
      </c>
      <c r="S204" s="723" t="s">
        <v>73</v>
      </c>
      <c r="T204" s="723" t="s">
        <v>73</v>
      </c>
      <c r="U204" s="723" t="s">
        <v>73</v>
      </c>
      <c r="V204" s="723" t="s">
        <v>73</v>
      </c>
      <c r="W204" s="723" t="s">
        <v>73</v>
      </c>
      <c r="X204" s="723" t="s">
        <v>73</v>
      </c>
      <c r="Y204" s="723" t="s">
        <v>73</v>
      </c>
      <c r="Z204" s="723" t="s">
        <v>73</v>
      </c>
      <c r="AA204" s="723" t="s">
        <v>73</v>
      </c>
      <c r="AB204" s="723" t="s">
        <v>73</v>
      </c>
      <c r="AC204" s="723" t="s">
        <v>73</v>
      </c>
      <c r="AD204" s="723" t="s">
        <v>73</v>
      </c>
      <c r="AE204" s="723" t="s">
        <v>73</v>
      </c>
      <c r="AF204" s="723" t="s">
        <v>73</v>
      </c>
    </row>
    <row r="205" spans="1:32" s="202" customFormat="1" ht="12.75" x14ac:dyDescent="0.2">
      <c r="A205" s="843" t="s">
        <v>36</v>
      </c>
      <c r="B205" s="556"/>
      <c r="C205" s="556"/>
      <c r="D205" s="556"/>
      <c r="E205" s="556"/>
      <c r="F205" s="556"/>
      <c r="G205" s="724" t="s">
        <v>73</v>
      </c>
      <c r="H205" s="724" t="s">
        <v>73</v>
      </c>
      <c r="I205" s="724" t="s">
        <v>73</v>
      </c>
      <c r="J205" s="724" t="s">
        <v>73</v>
      </c>
      <c r="K205" s="724" t="s">
        <v>73</v>
      </c>
      <c r="L205" s="724" t="s">
        <v>73</v>
      </c>
      <c r="M205" s="724" t="s">
        <v>73</v>
      </c>
      <c r="N205" s="724" t="s">
        <v>73</v>
      </c>
      <c r="O205" s="724" t="s">
        <v>73</v>
      </c>
      <c r="P205" s="724" t="s">
        <v>73</v>
      </c>
      <c r="Q205" s="724" t="s">
        <v>73</v>
      </c>
      <c r="R205" s="724" t="s">
        <v>73</v>
      </c>
      <c r="S205" s="724" t="s">
        <v>73</v>
      </c>
      <c r="T205" s="724" t="s">
        <v>73</v>
      </c>
      <c r="U205" s="724" t="s">
        <v>73</v>
      </c>
      <c r="V205" s="724" t="s">
        <v>73</v>
      </c>
      <c r="W205" s="724" t="s">
        <v>73</v>
      </c>
      <c r="X205" s="724" t="s">
        <v>73</v>
      </c>
      <c r="Y205" s="724" t="s">
        <v>73</v>
      </c>
      <c r="Z205" s="724" t="s">
        <v>73</v>
      </c>
      <c r="AA205" s="724" t="s">
        <v>73</v>
      </c>
      <c r="AB205" s="724" t="s">
        <v>73</v>
      </c>
      <c r="AC205" s="724" t="s">
        <v>73</v>
      </c>
      <c r="AD205" s="724" t="s">
        <v>73</v>
      </c>
      <c r="AE205" s="724" t="s">
        <v>73</v>
      </c>
      <c r="AF205" s="724" t="s">
        <v>73</v>
      </c>
    </row>
    <row r="206" spans="1:32" x14ac:dyDescent="0.25">
      <c r="A206" s="839"/>
      <c r="B206" s="550" t="s">
        <v>37</v>
      </c>
      <c r="C206" s="539"/>
      <c r="D206" s="539"/>
      <c r="E206" s="539"/>
      <c r="F206" s="201"/>
      <c r="G206" s="723">
        <v>1.0752347746352682</v>
      </c>
      <c r="H206" s="723">
        <v>0.92333738879223537</v>
      </c>
      <c r="I206" s="723">
        <v>0.74740820747732684</v>
      </c>
      <c r="J206" s="723">
        <v>0.5678354251080836</v>
      </c>
      <c r="K206" s="723">
        <v>0.40196221084677336</v>
      </c>
      <c r="L206" s="723">
        <v>0.28563531995536429</v>
      </c>
      <c r="M206" s="723">
        <v>0.20389385478094044</v>
      </c>
      <c r="N206" s="723">
        <v>0.14611949692816331</v>
      </c>
      <c r="O206" s="723">
        <v>0.10537687506894412</v>
      </c>
      <c r="P206" s="723">
        <v>7.6733176812605802E-2</v>
      </c>
      <c r="Q206" s="723">
        <v>5.652612364875377E-2</v>
      </c>
      <c r="R206" s="723">
        <v>4.2287274911370971E-2</v>
      </c>
      <c r="S206" s="723">
        <v>3.2224387803617638E-2</v>
      </c>
      <c r="T206" s="723">
        <v>2.5097100949596225E-2</v>
      </c>
      <c r="U206" s="723">
        <v>2.0037596466506831E-2</v>
      </c>
      <c r="V206" s="723">
        <v>1.6439344074402361E-2</v>
      </c>
      <c r="W206" s="723">
        <v>1.386874908009646E-2</v>
      </c>
      <c r="X206" s="723">
        <v>1.2028157172847231E-2</v>
      </c>
      <c r="Y206" s="723">
        <v>1.070409124498529E-2</v>
      </c>
      <c r="Z206" s="723">
        <v>9.7452816477572382E-3</v>
      </c>
      <c r="AA206" s="723">
        <v>9.0493896442440241E-3</v>
      </c>
      <c r="AB206" s="723">
        <v>8.53675474695164E-3</v>
      </c>
      <c r="AC206" s="723">
        <v>8.1559727427317555E-3</v>
      </c>
      <c r="AD206" s="723">
        <v>7.8749199202553816E-3</v>
      </c>
      <c r="AE206" s="723">
        <v>7.6605016208050603E-3</v>
      </c>
      <c r="AF206" s="723">
        <v>7.4991798559947151E-3</v>
      </c>
    </row>
    <row r="207" spans="1:32" x14ac:dyDescent="0.25">
      <c r="A207" s="839"/>
      <c r="B207" s="550" t="s">
        <v>39</v>
      </c>
      <c r="C207" s="539"/>
      <c r="D207" s="539"/>
      <c r="E207" s="203"/>
      <c r="F207" s="539"/>
      <c r="G207" s="723">
        <v>1.8538545191035454</v>
      </c>
      <c r="H207" s="723">
        <v>1.9314977191610996</v>
      </c>
      <c r="I207" s="723">
        <v>2.0257060727367455</v>
      </c>
      <c r="J207" s="723">
        <v>2.1240677568325093</v>
      </c>
      <c r="K207" s="723">
        <v>2.2111320363554317</v>
      </c>
      <c r="L207" s="723">
        <v>2.2635874862985426</v>
      </c>
      <c r="M207" s="723">
        <v>2.2933874937819785</v>
      </c>
      <c r="N207" s="723">
        <v>2.3111802077286088</v>
      </c>
      <c r="O207" s="723">
        <v>2.3197319749589731</v>
      </c>
      <c r="P207" s="723">
        <v>2.3231963942981926</v>
      </c>
      <c r="Q207" s="723">
        <v>2.3231641446176767</v>
      </c>
      <c r="R207" s="723">
        <v>2.3225881693440749</v>
      </c>
      <c r="S207" s="723">
        <v>2.3222577409680132</v>
      </c>
      <c r="T207" s="723">
        <v>2.3227361076382178</v>
      </c>
      <c r="U207" s="723">
        <v>2.3225284483117656</v>
      </c>
      <c r="V207" s="723">
        <v>2.321897898448515</v>
      </c>
      <c r="W207" s="723">
        <v>2.3210283849323186</v>
      </c>
      <c r="X207" s="723">
        <v>2.3200105645071591</v>
      </c>
      <c r="Y207" s="723">
        <v>2.3189231821291356</v>
      </c>
      <c r="Z207" s="723">
        <v>2.3178254464252839</v>
      </c>
      <c r="AA207" s="723">
        <v>2.3167545527091544</v>
      </c>
      <c r="AB207" s="723">
        <v>2.3157262224623651</v>
      </c>
      <c r="AC207" s="723">
        <v>2.3147472835596079</v>
      </c>
      <c r="AD207" s="723">
        <v>2.3138232881469523</v>
      </c>
      <c r="AE207" s="723">
        <v>2.3129548044011354</v>
      </c>
      <c r="AF207" s="723">
        <v>2.3121422469979902</v>
      </c>
    </row>
    <row r="208" spans="1:32" x14ac:dyDescent="0.25">
      <c r="A208" s="839"/>
      <c r="B208" s="550" t="s">
        <v>40</v>
      </c>
      <c r="C208" s="539"/>
      <c r="D208" s="539"/>
      <c r="E208" s="539"/>
      <c r="F208" s="539"/>
      <c r="G208" s="723">
        <v>0.20904563572867862</v>
      </c>
      <c r="H208" s="723">
        <v>0.2332025844484629</v>
      </c>
      <c r="I208" s="723">
        <v>0.25759137946607025</v>
      </c>
      <c r="J208" s="723">
        <v>0.28063858076051329</v>
      </c>
      <c r="K208" s="723">
        <v>0.3020515377912914</v>
      </c>
      <c r="L208" s="723">
        <v>0.31775971412347515</v>
      </c>
      <c r="M208" s="723">
        <v>0.3293517314206385</v>
      </c>
      <c r="N208" s="723">
        <v>0.33717935530574716</v>
      </c>
      <c r="O208" s="723">
        <v>0.34314993562281609</v>
      </c>
      <c r="P208" s="723">
        <v>0.3477105590732581</v>
      </c>
      <c r="Q208" s="723">
        <v>0.35124821714962046</v>
      </c>
      <c r="R208" s="723">
        <v>0.3540008469433592</v>
      </c>
      <c r="S208" s="723">
        <v>0.35617150596756475</v>
      </c>
      <c r="T208" s="723">
        <v>0.35790304401929696</v>
      </c>
      <c r="U208" s="723">
        <v>0.35930099630036727</v>
      </c>
      <c r="V208" s="723">
        <v>0.36044669670893009</v>
      </c>
      <c r="W208" s="723">
        <v>0.36139282472768752</v>
      </c>
      <c r="X208" s="723">
        <v>0.36218658577238577</v>
      </c>
      <c r="Y208" s="723">
        <v>0.36286611623238529</v>
      </c>
      <c r="Z208" s="723">
        <v>0.36345049309046845</v>
      </c>
      <c r="AA208" s="723">
        <v>0.36394840606176587</v>
      </c>
      <c r="AB208" s="723">
        <v>0.36438337449154845</v>
      </c>
      <c r="AC208" s="723">
        <v>0.36476760608444769</v>
      </c>
      <c r="AD208" s="723">
        <v>0.36510310153545722</v>
      </c>
      <c r="AE208" s="723">
        <v>0.36540436099151075</v>
      </c>
      <c r="AF208" s="723">
        <v>0.36567025897992478</v>
      </c>
    </row>
    <row r="209" spans="1:32" x14ac:dyDescent="0.25">
      <c r="A209" s="839"/>
      <c r="B209" s="550" t="s">
        <v>29</v>
      </c>
      <c r="C209" s="539"/>
      <c r="D209" s="539"/>
      <c r="E209" s="539"/>
      <c r="F209" s="539"/>
      <c r="G209" s="723">
        <v>0</v>
      </c>
      <c r="H209" s="723">
        <v>7.5113615538162446E-9</v>
      </c>
      <c r="I209" s="723">
        <v>1.3387396871903006E-8</v>
      </c>
      <c r="J209" s="723">
        <v>1.7903714498947022E-8</v>
      </c>
      <c r="K209" s="723">
        <v>2.1404718037240424E-8</v>
      </c>
      <c r="L209" s="723">
        <v>2.4220735145256182E-8</v>
      </c>
      <c r="M209" s="723">
        <v>2.6450935277761329E-8</v>
      </c>
      <c r="N209" s="723">
        <v>2.8229642310420291E-8</v>
      </c>
      <c r="O209" s="723">
        <v>2.9640590568656336E-8</v>
      </c>
      <c r="P209" s="723">
        <v>3.0676239832863062E-8</v>
      </c>
      <c r="Q209" s="723">
        <v>3.1468219362736018E-8</v>
      </c>
      <c r="R209" s="723">
        <v>3.2008757514877862E-8</v>
      </c>
      <c r="S209" s="723">
        <v>3.2375432245754515E-8</v>
      </c>
      <c r="T209" s="723">
        <v>3.2613485710723702E-8</v>
      </c>
      <c r="U209" s="723">
        <v>3.2760961703346694E-8</v>
      </c>
      <c r="V209" s="723">
        <v>3.2838883113199567E-8</v>
      </c>
      <c r="W209" s="723">
        <v>3.2842466038240553E-8</v>
      </c>
      <c r="X209" s="723">
        <v>3.2836614284985162E-8</v>
      </c>
      <c r="Y209" s="723">
        <v>3.2828130555921246E-8</v>
      </c>
      <c r="Z209" s="723">
        <v>3.2797800403920905E-8</v>
      </c>
      <c r="AA209" s="723">
        <v>3.2734779712459331E-8</v>
      </c>
      <c r="AB209" s="723">
        <v>3.2653285869348701E-8</v>
      </c>
      <c r="AC209" s="723">
        <v>3.256466359303813E-8</v>
      </c>
      <c r="AD209" s="723">
        <v>3.2471349384700192E-8</v>
      </c>
      <c r="AE209" s="723">
        <v>3.2375170336266348E-8</v>
      </c>
      <c r="AF209" s="723">
        <v>3.2277488165959187E-8</v>
      </c>
    </row>
    <row r="210" spans="1:32" x14ac:dyDescent="0.25">
      <c r="A210" s="839"/>
      <c r="B210" s="550"/>
      <c r="C210" s="539"/>
      <c r="D210" s="539"/>
      <c r="E210" s="539"/>
      <c r="F210" s="539"/>
      <c r="G210" s="723" t="s">
        <v>73</v>
      </c>
      <c r="H210" s="723" t="s">
        <v>73</v>
      </c>
      <c r="I210" s="723" t="s">
        <v>73</v>
      </c>
      <c r="J210" s="723" t="s">
        <v>73</v>
      </c>
      <c r="K210" s="723" t="s">
        <v>73</v>
      </c>
      <c r="L210" s="723" t="s">
        <v>73</v>
      </c>
      <c r="M210" s="723" t="s">
        <v>73</v>
      </c>
      <c r="N210" s="723" t="s">
        <v>73</v>
      </c>
      <c r="O210" s="723" t="s">
        <v>73</v>
      </c>
      <c r="P210" s="723" t="s">
        <v>73</v>
      </c>
      <c r="Q210" s="723" t="s">
        <v>73</v>
      </c>
      <c r="R210" s="723" t="s">
        <v>73</v>
      </c>
      <c r="S210" s="723" t="s">
        <v>73</v>
      </c>
      <c r="T210" s="723" t="s">
        <v>73</v>
      </c>
      <c r="U210" s="723" t="s">
        <v>73</v>
      </c>
      <c r="V210" s="723" t="s">
        <v>73</v>
      </c>
      <c r="W210" s="723" t="s">
        <v>73</v>
      </c>
      <c r="X210" s="723" t="s">
        <v>73</v>
      </c>
      <c r="Y210" s="723" t="s">
        <v>73</v>
      </c>
      <c r="Z210" s="723" t="s">
        <v>73</v>
      </c>
      <c r="AA210" s="723" t="s">
        <v>73</v>
      </c>
      <c r="AB210" s="723" t="s">
        <v>73</v>
      </c>
      <c r="AC210" s="723" t="s">
        <v>73</v>
      </c>
      <c r="AD210" s="723" t="s">
        <v>73</v>
      </c>
      <c r="AE210" s="723" t="s">
        <v>73</v>
      </c>
      <c r="AF210" s="723" t="s">
        <v>73</v>
      </c>
    </row>
    <row r="211" spans="1:32" s="202" customFormat="1" ht="12.75" x14ac:dyDescent="0.2">
      <c r="A211" s="843" t="s">
        <v>42</v>
      </c>
      <c r="B211" s="556"/>
      <c r="C211" s="556"/>
      <c r="D211" s="556"/>
      <c r="E211" s="556"/>
      <c r="F211" s="556"/>
      <c r="G211" s="724" t="s">
        <v>73</v>
      </c>
      <c r="H211" s="724" t="s">
        <v>73</v>
      </c>
      <c r="I211" s="724" t="s">
        <v>73</v>
      </c>
      <c r="J211" s="724" t="s">
        <v>73</v>
      </c>
      <c r="K211" s="724" t="s">
        <v>73</v>
      </c>
      <c r="L211" s="724" t="s">
        <v>73</v>
      </c>
      <c r="M211" s="724" t="s">
        <v>73</v>
      </c>
      <c r="N211" s="724" t="s">
        <v>73</v>
      </c>
      <c r="O211" s="724" t="s">
        <v>73</v>
      </c>
      <c r="P211" s="724" t="s">
        <v>73</v>
      </c>
      <c r="Q211" s="724" t="s">
        <v>73</v>
      </c>
      <c r="R211" s="724" t="s">
        <v>73</v>
      </c>
      <c r="S211" s="724" t="s">
        <v>73</v>
      </c>
      <c r="T211" s="724" t="s">
        <v>73</v>
      </c>
      <c r="U211" s="724" t="s">
        <v>73</v>
      </c>
      <c r="V211" s="724" t="s">
        <v>73</v>
      </c>
      <c r="W211" s="724" t="s">
        <v>73</v>
      </c>
      <c r="X211" s="724" t="s">
        <v>73</v>
      </c>
      <c r="Y211" s="724" t="s">
        <v>73</v>
      </c>
      <c r="Z211" s="724" t="s">
        <v>73</v>
      </c>
      <c r="AA211" s="724" t="s">
        <v>73</v>
      </c>
      <c r="AB211" s="724" t="s">
        <v>73</v>
      </c>
      <c r="AC211" s="724" t="s">
        <v>73</v>
      </c>
      <c r="AD211" s="724" t="s">
        <v>73</v>
      </c>
      <c r="AE211" s="724" t="s">
        <v>73</v>
      </c>
      <c r="AF211" s="724" t="s">
        <v>73</v>
      </c>
    </row>
    <row r="212" spans="1:32" x14ac:dyDescent="0.25">
      <c r="A212" s="839"/>
      <c r="B212" s="552" t="s">
        <v>43</v>
      </c>
      <c r="C212" s="539"/>
      <c r="D212" s="539"/>
      <c r="E212" s="539"/>
      <c r="F212" s="539"/>
      <c r="G212" s="723">
        <v>1.9880736342903368E-2</v>
      </c>
      <c r="H212" s="723">
        <v>1.7357090216163964E-2</v>
      </c>
      <c r="I212" s="723">
        <v>1.5161085345441659E-2</v>
      </c>
      <c r="J212" s="723">
        <v>1.3267889979752034E-2</v>
      </c>
      <c r="K212" s="723">
        <v>1.1641821986295733E-2</v>
      </c>
      <c r="L212" s="723">
        <v>1.0241259460021355E-2</v>
      </c>
      <c r="M212" s="723">
        <v>9.0417382925584728E-3</v>
      </c>
      <c r="N212" s="723">
        <v>8.0045575758301013E-3</v>
      </c>
      <c r="O212" s="723">
        <v>7.0986944596301005E-3</v>
      </c>
      <c r="P212" s="723">
        <v>6.3162679596124854E-3</v>
      </c>
      <c r="Q212" s="723">
        <v>5.636581273686804E-3</v>
      </c>
      <c r="R212" s="723">
        <v>5.0507194340190546E-3</v>
      </c>
      <c r="S212" s="723">
        <v>4.5441485263427476E-3</v>
      </c>
      <c r="T212" s="723">
        <v>4.1056336630162166E-3</v>
      </c>
      <c r="U212" s="723">
        <v>3.7254550069034664E-3</v>
      </c>
      <c r="V212" s="723">
        <v>3.3957303578613695E-3</v>
      </c>
      <c r="W212" s="723">
        <v>3.1104276817707785E-3</v>
      </c>
      <c r="X212" s="723">
        <v>2.8618347848062744E-3</v>
      </c>
      <c r="Y212" s="723">
        <v>2.6451116810968511E-3</v>
      </c>
      <c r="Z212" s="723">
        <v>2.4566934068613383E-3</v>
      </c>
      <c r="AA212" s="723">
        <v>2.2931940154142395E-3</v>
      </c>
      <c r="AB212" s="723">
        <v>2.1514140522339202E-3</v>
      </c>
      <c r="AC212" s="723">
        <v>2.0282510233754513E-3</v>
      </c>
      <c r="AD212" s="723">
        <v>1.9209660913641368E-3</v>
      </c>
      <c r="AE212" s="723">
        <v>1.827658984949587E-3</v>
      </c>
      <c r="AF212" s="723">
        <v>1.7464499117795845E-3</v>
      </c>
    </row>
    <row r="213" spans="1:32" x14ac:dyDescent="0.25">
      <c r="A213" s="839"/>
      <c r="B213" s="552" t="s">
        <v>44</v>
      </c>
      <c r="C213" s="539"/>
      <c r="D213" s="539"/>
      <c r="E213" s="539"/>
      <c r="F213" s="539"/>
      <c r="G213" s="723">
        <v>0.58506851532418458</v>
      </c>
      <c r="H213" s="723">
        <v>0.59098416374474472</v>
      </c>
      <c r="I213" s="723">
        <v>0.59942766108741741</v>
      </c>
      <c r="J213" s="723">
        <v>0.60670858640496794</v>
      </c>
      <c r="K213" s="723">
        <v>0.6129638310985025</v>
      </c>
      <c r="L213" s="723">
        <v>0.61835318033846864</v>
      </c>
      <c r="M213" s="723">
        <v>0.62297045324521982</v>
      </c>
      <c r="N213" s="723">
        <v>0.62696431199187075</v>
      </c>
      <c r="O213" s="723">
        <v>0.63045394691142875</v>
      </c>
      <c r="P213" s="723">
        <v>0.63346946619781042</v>
      </c>
      <c r="Q213" s="723">
        <v>0.63609037595499851</v>
      </c>
      <c r="R213" s="723">
        <v>0.63835080554772472</v>
      </c>
      <c r="S213" s="723">
        <v>0.64030657828896076</v>
      </c>
      <c r="T213" s="723">
        <v>0.64200083161968469</v>
      </c>
      <c r="U213" s="723">
        <v>0.64347089110982769</v>
      </c>
      <c r="V213" s="723">
        <v>0.64474701704565629</v>
      </c>
      <c r="W213" s="723">
        <v>0.64585234314091156</v>
      </c>
      <c r="X213" s="723">
        <v>0.64681653939370132</v>
      </c>
      <c r="Y213" s="723">
        <v>0.64765818934982344</v>
      </c>
      <c r="Z213" s="723">
        <v>0.64839095472921671</v>
      </c>
      <c r="AA213" s="723">
        <v>0.64902782007448168</v>
      </c>
      <c r="AB213" s="723">
        <v>0.64958105919071718</v>
      </c>
      <c r="AC213" s="723">
        <v>0.65006259997708682</v>
      </c>
      <c r="AD213" s="723">
        <v>0.6504829871581328</v>
      </c>
      <c r="AE213" s="723">
        <v>0.65084949955158744</v>
      </c>
      <c r="AF213" s="723">
        <v>0.65116936214401167</v>
      </c>
    </row>
    <row r="214" spans="1:32" x14ac:dyDescent="0.25">
      <c r="A214" s="839"/>
      <c r="B214" s="552" t="s">
        <v>45</v>
      </c>
      <c r="C214" s="539"/>
      <c r="D214" s="539"/>
      <c r="E214" s="539"/>
      <c r="F214" s="539"/>
      <c r="G214" s="723">
        <v>4.8009785392182071E-2</v>
      </c>
      <c r="H214" s="723">
        <v>4.237415079693941E-2</v>
      </c>
      <c r="I214" s="723">
        <v>3.7468982230906778E-2</v>
      </c>
      <c r="J214" s="723">
        <v>3.3239033914756431E-2</v>
      </c>
      <c r="K214" s="723">
        <v>2.9604809770279045E-2</v>
      </c>
      <c r="L214" s="723">
        <v>2.6473507619749054E-2</v>
      </c>
      <c r="M214" s="723">
        <v>2.3790648401931836E-2</v>
      </c>
      <c r="N214" s="723">
        <v>2.1469880535084262E-2</v>
      </c>
      <c r="O214" s="723">
        <v>1.9441968997135149E-2</v>
      </c>
      <c r="P214" s="723">
        <v>1.7689442978506893E-2</v>
      </c>
      <c r="Q214" s="723">
        <v>1.6166120398692412E-2</v>
      </c>
      <c r="R214" s="723">
        <v>1.4852189536546399E-2</v>
      </c>
      <c r="S214" s="723">
        <v>1.3715225690096632E-2</v>
      </c>
      <c r="T214" s="723">
        <v>1.2730174298989023E-2</v>
      </c>
      <c r="U214" s="723">
        <v>1.1875355817940952E-2</v>
      </c>
      <c r="V214" s="723">
        <v>1.1133195331596278E-2</v>
      </c>
      <c r="W214" s="723">
        <v>1.0490259616646387E-2</v>
      </c>
      <c r="X214" s="723">
        <v>9.9293097164742349E-3</v>
      </c>
      <c r="Y214" s="723">
        <v>9.439552219615021E-3</v>
      </c>
      <c r="Z214" s="723">
        <v>9.0130552831536315E-3</v>
      </c>
      <c r="AA214" s="723">
        <v>8.6422792639059276E-3</v>
      </c>
      <c r="AB214" s="723">
        <v>8.3200959381823369E-3</v>
      </c>
      <c r="AC214" s="723">
        <v>8.0395759677068107E-3</v>
      </c>
      <c r="AD214" s="723">
        <v>7.7945926382854769E-3</v>
      </c>
      <c r="AE214" s="723">
        <v>7.5809196284241272E-3</v>
      </c>
      <c r="AF214" s="723">
        <v>7.3943599745146197E-3</v>
      </c>
    </row>
    <row r="215" spans="1:32" x14ac:dyDescent="0.25">
      <c r="A215" s="839"/>
      <c r="B215" s="552" t="s">
        <v>46</v>
      </c>
      <c r="C215" s="539"/>
      <c r="D215" s="539"/>
      <c r="E215" s="539"/>
      <c r="F215" s="539"/>
      <c r="G215" s="723">
        <v>4.8490671838024712E-4</v>
      </c>
      <c r="H215" s="723">
        <v>4.1958997429330819E-4</v>
      </c>
      <c r="I215" s="723">
        <v>3.6274900771378105E-4</v>
      </c>
      <c r="J215" s="723">
        <v>3.1374106114548188E-4</v>
      </c>
      <c r="K215" s="723">
        <v>2.7164301600664578E-4</v>
      </c>
      <c r="L215" s="723">
        <v>2.3537846319289851E-4</v>
      </c>
      <c r="M215" s="723">
        <v>2.0431430477749291E-4</v>
      </c>
      <c r="N215" s="723">
        <v>1.7745002666465519E-4</v>
      </c>
      <c r="O215" s="723">
        <v>1.5398374227020795E-4</v>
      </c>
      <c r="P215" s="723">
        <v>1.3371095828711746E-4</v>
      </c>
      <c r="Q215" s="723">
        <v>1.1609663653342826E-4</v>
      </c>
      <c r="R215" s="723">
        <v>1.0090971275524338E-4</v>
      </c>
      <c r="S215" s="723">
        <v>8.7774400235978125E-5</v>
      </c>
      <c r="T215" s="723">
        <v>7.6400126421583502E-5</v>
      </c>
      <c r="U215" s="723">
        <v>6.653552529388345E-5</v>
      </c>
      <c r="V215" s="723">
        <v>5.797669533277528E-5</v>
      </c>
      <c r="W215" s="723">
        <v>5.0567433799445115E-5</v>
      </c>
      <c r="X215" s="723">
        <v>4.41086147477633E-5</v>
      </c>
      <c r="Y215" s="723">
        <v>3.8475036044197466E-5</v>
      </c>
      <c r="Z215" s="723">
        <v>3.3574285407338599E-5</v>
      </c>
      <c r="AA215" s="723">
        <v>2.9318631318122098E-5</v>
      </c>
      <c r="AB215" s="723">
        <v>2.5625764959625252E-5</v>
      </c>
      <c r="AC215" s="723">
        <v>2.2415408518067784E-5</v>
      </c>
      <c r="AD215" s="723">
        <v>1.9616258992104581E-5</v>
      </c>
      <c r="AE215" s="723">
        <v>1.7179540607315749E-5</v>
      </c>
      <c r="AF215" s="723">
        <v>1.5056563741810689E-5</v>
      </c>
    </row>
    <row r="216" spans="1:32" x14ac:dyDescent="0.25">
      <c r="A216" s="839"/>
      <c r="B216" s="550" t="s">
        <v>29</v>
      </c>
      <c r="C216" s="539"/>
      <c r="D216" s="539"/>
      <c r="E216" s="539"/>
      <c r="F216" s="539"/>
      <c r="G216" s="723">
        <v>0</v>
      </c>
      <c r="H216" s="723">
        <v>1.3838172234330391E-8</v>
      </c>
      <c r="I216" s="723">
        <v>2.4667291632441073E-8</v>
      </c>
      <c r="J216" s="723">
        <v>3.2988776031629494E-8</v>
      </c>
      <c r="K216" s="723">
        <v>3.9302222475956821E-8</v>
      </c>
      <c r="L216" s="723">
        <v>4.4105117530233755E-8</v>
      </c>
      <c r="M216" s="723">
        <v>4.7640852487773328E-8</v>
      </c>
      <c r="N216" s="723">
        <v>5.0331561879576005E-8</v>
      </c>
      <c r="O216" s="723">
        <v>5.2516895272983561E-8</v>
      </c>
      <c r="P216" s="723">
        <v>5.4151585986194363E-8</v>
      </c>
      <c r="Q216" s="723">
        <v>5.5437809313328206E-8</v>
      </c>
      <c r="R216" s="723">
        <v>5.6341473932214614E-8</v>
      </c>
      <c r="S216" s="723">
        <v>5.6982109373125768E-8</v>
      </c>
      <c r="T216" s="723">
        <v>5.7426832673592272E-8</v>
      </c>
      <c r="U216" s="723">
        <v>5.7733302513233385E-8</v>
      </c>
      <c r="V216" s="723">
        <v>5.7931554611000734E-8</v>
      </c>
      <c r="W216" s="723">
        <v>5.8007620141461792E-8</v>
      </c>
      <c r="X216" s="723">
        <v>5.8072803047828926E-8</v>
      </c>
      <c r="Y216" s="723">
        <v>5.8136380791876313E-8</v>
      </c>
      <c r="Z216" s="723">
        <v>5.8161966413804193E-8</v>
      </c>
      <c r="AA216" s="723">
        <v>5.8128571682905421E-8</v>
      </c>
      <c r="AB216" s="723">
        <v>5.8060303791370573E-8</v>
      </c>
      <c r="AC216" s="723">
        <v>5.7976723282183287E-8</v>
      </c>
      <c r="AD216" s="723">
        <v>5.7881849634354055E-8</v>
      </c>
      <c r="AE216" s="723">
        <v>5.7778496462402005E-8</v>
      </c>
      <c r="AF216" s="723">
        <v>5.766896340807007E-8</v>
      </c>
    </row>
    <row r="217" spans="1:32" x14ac:dyDescent="0.25">
      <c r="A217" s="839"/>
      <c r="B217" s="550"/>
      <c r="C217" s="539"/>
      <c r="D217" s="539"/>
      <c r="E217" s="539"/>
      <c r="F217" s="539"/>
      <c r="G217" s="723" t="s">
        <v>73</v>
      </c>
      <c r="H217" s="723" t="s">
        <v>73</v>
      </c>
      <c r="I217" s="723" t="s">
        <v>73</v>
      </c>
      <c r="J217" s="723" t="s">
        <v>73</v>
      </c>
      <c r="K217" s="723" t="s">
        <v>73</v>
      </c>
      <c r="L217" s="723" t="s">
        <v>73</v>
      </c>
      <c r="M217" s="723" t="s">
        <v>73</v>
      </c>
      <c r="N217" s="723" t="s">
        <v>73</v>
      </c>
      <c r="O217" s="723" t="s">
        <v>73</v>
      </c>
      <c r="P217" s="723" t="s">
        <v>73</v>
      </c>
      <c r="Q217" s="723" t="s">
        <v>73</v>
      </c>
      <c r="R217" s="723" t="s">
        <v>73</v>
      </c>
      <c r="S217" s="723" t="s">
        <v>73</v>
      </c>
      <c r="T217" s="723" t="s">
        <v>73</v>
      </c>
      <c r="U217" s="723" t="s">
        <v>73</v>
      </c>
      <c r="V217" s="723" t="s">
        <v>73</v>
      </c>
      <c r="W217" s="723" t="s">
        <v>73</v>
      </c>
      <c r="X217" s="723" t="s">
        <v>73</v>
      </c>
      <c r="Y217" s="723" t="s">
        <v>73</v>
      </c>
      <c r="Z217" s="723" t="s">
        <v>73</v>
      </c>
      <c r="AA217" s="723" t="s">
        <v>73</v>
      </c>
      <c r="AB217" s="723" t="s">
        <v>73</v>
      </c>
      <c r="AC217" s="723" t="s">
        <v>73</v>
      </c>
      <c r="AD217" s="723" t="s">
        <v>73</v>
      </c>
      <c r="AE217" s="723" t="s">
        <v>73</v>
      </c>
      <c r="AF217" s="723" t="s">
        <v>73</v>
      </c>
    </row>
    <row r="218" spans="1:32" s="202" customFormat="1" ht="12.75" x14ac:dyDescent="0.2">
      <c r="A218" s="843" t="s">
        <v>47</v>
      </c>
      <c r="B218" s="556"/>
      <c r="C218" s="556"/>
      <c r="D218" s="556"/>
      <c r="E218" s="556"/>
      <c r="F218" s="556"/>
      <c r="G218" s="724" t="s">
        <v>73</v>
      </c>
      <c r="H218" s="724" t="s">
        <v>73</v>
      </c>
      <c r="I218" s="724" t="s">
        <v>73</v>
      </c>
      <c r="J218" s="724" t="s">
        <v>73</v>
      </c>
      <c r="K218" s="724" t="s">
        <v>73</v>
      </c>
      <c r="L218" s="724" t="s">
        <v>73</v>
      </c>
      <c r="M218" s="724" t="s">
        <v>73</v>
      </c>
      <c r="N218" s="724" t="s">
        <v>73</v>
      </c>
      <c r="O218" s="724" t="s">
        <v>73</v>
      </c>
      <c r="P218" s="724" t="s">
        <v>73</v>
      </c>
      <c r="Q218" s="724" t="s">
        <v>73</v>
      </c>
      <c r="R218" s="724" t="s">
        <v>73</v>
      </c>
      <c r="S218" s="724" t="s">
        <v>73</v>
      </c>
      <c r="T218" s="724" t="s">
        <v>73</v>
      </c>
      <c r="U218" s="724" t="s">
        <v>73</v>
      </c>
      <c r="V218" s="724" t="s">
        <v>73</v>
      </c>
      <c r="W218" s="724" t="s">
        <v>73</v>
      </c>
      <c r="X218" s="724" t="s">
        <v>73</v>
      </c>
      <c r="Y218" s="724" t="s">
        <v>73</v>
      </c>
      <c r="Z218" s="724" t="s">
        <v>73</v>
      </c>
      <c r="AA218" s="724" t="s">
        <v>73</v>
      </c>
      <c r="AB218" s="724" t="s">
        <v>73</v>
      </c>
      <c r="AC218" s="724" t="s">
        <v>73</v>
      </c>
      <c r="AD218" s="724" t="s">
        <v>73</v>
      </c>
      <c r="AE218" s="724" t="s">
        <v>73</v>
      </c>
      <c r="AF218" s="724" t="s">
        <v>73</v>
      </c>
    </row>
    <row r="219" spans="1:32" x14ac:dyDescent="0.25">
      <c r="A219" s="839"/>
      <c r="B219" s="550" t="s">
        <v>48</v>
      </c>
      <c r="C219" s="539"/>
      <c r="D219" s="539"/>
      <c r="E219" s="539"/>
      <c r="F219" s="539"/>
      <c r="G219" s="723">
        <v>7.964608897107997E-3</v>
      </c>
      <c r="H219" s="723">
        <v>7.7087576242642905E-3</v>
      </c>
      <c r="I219" s="723">
        <v>7.4120806065004581E-3</v>
      </c>
      <c r="J219" s="723">
        <v>7.1274662658843803E-3</v>
      </c>
      <c r="K219" s="723">
        <v>6.8544785070017242E-3</v>
      </c>
      <c r="L219" s="723">
        <v>6.6351851437561659E-3</v>
      </c>
      <c r="M219" s="723">
        <v>6.423077250737365E-3</v>
      </c>
      <c r="N219" s="723">
        <v>6.2177704534834965E-3</v>
      </c>
      <c r="O219" s="723">
        <v>6.0188785576151694E-3</v>
      </c>
      <c r="P219" s="723">
        <v>5.8263819597371034E-3</v>
      </c>
      <c r="Q219" s="723">
        <v>5.6399905638531544E-3</v>
      </c>
      <c r="R219" s="723">
        <v>5.4596352659437991E-3</v>
      </c>
      <c r="S219" s="723">
        <v>5.2850859521413347E-3</v>
      </c>
      <c r="T219" s="723">
        <v>5.1161481095078854E-3</v>
      </c>
      <c r="U219" s="723">
        <v>4.9526280003758701E-3</v>
      </c>
      <c r="V219" s="723">
        <v>4.7943533252768639E-3</v>
      </c>
      <c r="W219" s="723">
        <v>4.6411925754637267E-3</v>
      </c>
      <c r="X219" s="723">
        <v>4.4929021011410842E-3</v>
      </c>
      <c r="Y219" s="723">
        <v>4.349321952502835E-3</v>
      </c>
      <c r="Z219" s="723">
        <v>4.2103357042639275E-3</v>
      </c>
      <c r="AA219" s="723">
        <v>4.0758216222903411E-3</v>
      </c>
      <c r="AB219" s="723">
        <v>3.9456263426102716E-3</v>
      </c>
      <c r="AC219" s="723">
        <v>3.8196016304361449E-3</v>
      </c>
      <c r="AD219" s="723">
        <v>3.6976135202827927E-3</v>
      </c>
      <c r="AE219" s="723">
        <v>3.579532361530845E-3</v>
      </c>
      <c r="AF219" s="723">
        <v>3.4652326790796956E-3</v>
      </c>
    </row>
    <row r="220" spans="1:32" x14ac:dyDescent="0.25">
      <c r="A220" s="839"/>
      <c r="B220" s="552" t="s">
        <v>50</v>
      </c>
      <c r="C220" s="539"/>
      <c r="D220" s="539"/>
      <c r="E220" s="539"/>
      <c r="F220" s="539"/>
      <c r="G220" s="723">
        <v>0.11997532384810643</v>
      </c>
      <c r="H220" s="723">
        <v>0.11832134267080545</v>
      </c>
      <c r="I220" s="723">
        <v>0.11668959621767068</v>
      </c>
      <c r="J220" s="723">
        <v>0.11508035425123649</v>
      </c>
      <c r="K220" s="723">
        <v>0.11349357753661643</v>
      </c>
      <c r="L220" s="723">
        <v>0.11192883633143715</v>
      </c>
      <c r="M220" s="723">
        <v>0.11038622270532779</v>
      </c>
      <c r="N220" s="723">
        <v>0.10886493814050602</v>
      </c>
      <c r="O220" s="723">
        <v>0.10736411885632069</v>
      </c>
      <c r="P220" s="723">
        <v>0.10588410471984305</v>
      </c>
      <c r="Q220" s="723">
        <v>0.10442431217021872</v>
      </c>
      <c r="R220" s="723">
        <v>0.10298490808534447</v>
      </c>
      <c r="S220" s="723">
        <v>0.10156548601745743</v>
      </c>
      <c r="T220" s="723">
        <v>0.10016574288877438</v>
      </c>
      <c r="U220" s="723">
        <v>9.8785357442044239E-2</v>
      </c>
      <c r="V220" s="723">
        <v>9.7424068801425429E-2</v>
      </c>
      <c r="W220" s="723">
        <v>9.6081758821756152E-2</v>
      </c>
      <c r="X220" s="723">
        <v>9.475785254757757E-2</v>
      </c>
      <c r="Y220" s="723">
        <v>9.3452075182782077E-2</v>
      </c>
      <c r="Z220" s="723">
        <v>9.2164314491823482E-2</v>
      </c>
      <c r="AA220" s="723">
        <v>9.0894429372549088E-2</v>
      </c>
      <c r="AB220" s="723">
        <v>8.9642133246017455E-2</v>
      </c>
      <c r="AC220" s="723">
        <v>8.8407142081340012E-2</v>
      </c>
      <c r="AD220" s="723">
        <v>8.7189216057312488E-2</v>
      </c>
      <c r="AE220" s="723">
        <v>8.5988118685609322E-2</v>
      </c>
      <c r="AF220" s="723">
        <v>8.4803616764339965E-2</v>
      </c>
    </row>
    <row r="221" spans="1:32" x14ac:dyDescent="0.25">
      <c r="A221" s="839"/>
      <c r="B221" s="550" t="s">
        <v>51</v>
      </c>
      <c r="C221" s="539"/>
      <c r="D221" s="539"/>
      <c r="E221" s="539"/>
      <c r="F221" s="539"/>
      <c r="G221" s="723">
        <v>0.10781445232123198</v>
      </c>
      <c r="H221" s="723">
        <v>0.10657907763295001</v>
      </c>
      <c r="I221" s="723">
        <v>0.10535452685317213</v>
      </c>
      <c r="J221" s="723">
        <v>0.10414405386116572</v>
      </c>
      <c r="K221" s="723">
        <v>0.102949097145316</v>
      </c>
      <c r="L221" s="723">
        <v>0.10176877647885764</v>
      </c>
      <c r="M221" s="723">
        <v>0.10060527597873624</v>
      </c>
      <c r="N221" s="723">
        <v>9.9455485393653828E-2</v>
      </c>
      <c r="O221" s="723">
        <v>9.8315854781513723E-2</v>
      </c>
      <c r="P221" s="723">
        <v>9.7189968197911841E-2</v>
      </c>
      <c r="Q221" s="723">
        <v>9.6075894979059773E-2</v>
      </c>
      <c r="R221" s="723">
        <v>9.4976168795113627E-2</v>
      </c>
      <c r="S221" s="723">
        <v>9.3889878661125192E-2</v>
      </c>
      <c r="T221" s="723">
        <v>9.2816708160309722E-2</v>
      </c>
      <c r="U221" s="723">
        <v>9.1756208221606628E-2</v>
      </c>
      <c r="V221" s="723">
        <v>9.0708271724701001E-2</v>
      </c>
      <c r="W221" s="723">
        <v>8.9673637926276833E-2</v>
      </c>
      <c r="X221" s="723">
        <v>8.8650253504195656E-2</v>
      </c>
      <c r="Y221" s="723">
        <v>8.7637857963028004E-2</v>
      </c>
      <c r="Z221" s="723">
        <v>8.6637163946204479E-2</v>
      </c>
      <c r="AA221" s="723">
        <v>8.5648695535192762E-2</v>
      </c>
      <c r="AB221" s="723">
        <v>8.4672069579798309E-2</v>
      </c>
      <c r="AC221" s="723">
        <v>8.3706896914598539E-2</v>
      </c>
      <c r="AD221" s="723">
        <v>8.2753039810053663E-2</v>
      </c>
      <c r="AE221" s="723">
        <v>8.1810362230929079E-2</v>
      </c>
      <c r="AF221" s="723">
        <v>8.0878729815014663E-2</v>
      </c>
    </row>
    <row r="222" spans="1:32" x14ac:dyDescent="0.25">
      <c r="A222" s="839"/>
      <c r="B222" s="550" t="s">
        <v>52</v>
      </c>
      <c r="C222" s="539"/>
      <c r="D222" s="539"/>
      <c r="E222" s="539"/>
      <c r="F222" s="539"/>
      <c r="G222" s="723">
        <v>2.1680765640278186E-2</v>
      </c>
      <c r="H222" s="723">
        <v>2.1631057449546229E-2</v>
      </c>
      <c r="I222" s="723">
        <v>2.1581496143418692E-2</v>
      </c>
      <c r="J222" s="723">
        <v>2.1532452349913671E-2</v>
      </c>
      <c r="K222" s="723">
        <v>2.1484097161487518E-2</v>
      </c>
      <c r="L222" s="723">
        <v>2.1436330593795645E-2</v>
      </c>
      <c r="M222" s="723">
        <v>2.1389423908936882E-2</v>
      </c>
      <c r="N222" s="723">
        <v>2.1343008465526447E-2</v>
      </c>
      <c r="O222" s="723">
        <v>2.1296647195916386E-2</v>
      </c>
      <c r="P222" s="723">
        <v>2.1250783923750651E-2</v>
      </c>
      <c r="Q222" s="723">
        <v>2.1205181070561473E-2</v>
      </c>
      <c r="R222" s="723">
        <v>2.1160165626181171E-2</v>
      </c>
      <c r="S222" s="723">
        <v>2.1115632117360495E-2</v>
      </c>
      <c r="T222" s="723">
        <v>2.1071549542579147E-2</v>
      </c>
      <c r="U222" s="723">
        <v>2.1027868897155258E-2</v>
      </c>
      <c r="V222" s="723">
        <v>2.0984820789937495E-2</v>
      </c>
      <c r="W222" s="723">
        <v>2.0942491807696213E-2</v>
      </c>
      <c r="X222" s="723">
        <v>2.0900388826222211E-2</v>
      </c>
      <c r="Y222" s="723">
        <v>2.0858683010503278E-2</v>
      </c>
      <c r="Z222" s="723">
        <v>2.0817275763119324E-2</v>
      </c>
      <c r="AA222" s="723">
        <v>2.0776434121071635E-2</v>
      </c>
      <c r="AB222" s="723">
        <v>2.0736102180915497E-2</v>
      </c>
      <c r="AC222" s="723">
        <v>2.0696062427758757E-2</v>
      </c>
      <c r="AD222" s="723">
        <v>2.0656465183931973E-2</v>
      </c>
      <c r="AE222" s="723">
        <v>2.0617291380490167E-2</v>
      </c>
      <c r="AF222" s="723">
        <v>2.0578383390201085E-2</v>
      </c>
    </row>
    <row r="223" spans="1:32" x14ac:dyDescent="0.25">
      <c r="A223" s="839"/>
      <c r="B223" s="552" t="s">
        <v>29</v>
      </c>
      <c r="C223" s="539"/>
      <c r="D223" s="539"/>
      <c r="E223" s="539"/>
      <c r="F223" s="539"/>
      <c r="G223" s="723">
        <v>0</v>
      </c>
      <c r="H223" s="723">
        <v>1.5369854769942287E-3</v>
      </c>
      <c r="I223" s="723">
        <v>3.0577337474034199E-3</v>
      </c>
      <c r="J223" s="723">
        <v>4.5591942093548199E-3</v>
      </c>
      <c r="K223" s="723">
        <v>6.040079627208453E-3</v>
      </c>
      <c r="L223" s="723">
        <v>7.5014137574112381E-3</v>
      </c>
      <c r="M223" s="723">
        <v>8.9411630869545636E-3</v>
      </c>
      <c r="N223" s="723">
        <v>1.0362472273715043E-2</v>
      </c>
      <c r="O223" s="723">
        <v>1.1768921841510798E-2</v>
      </c>
      <c r="P223" s="723">
        <v>1.3157099550912646E-2</v>
      </c>
      <c r="Q223" s="723">
        <v>1.4528995114521477E-2</v>
      </c>
      <c r="R223" s="723">
        <v>1.5882214403593744E-2</v>
      </c>
      <c r="S223" s="723">
        <v>1.7217740432157996E-2</v>
      </c>
      <c r="T223" s="723">
        <v>1.8535971005778185E-2</v>
      </c>
      <c r="U223" s="723">
        <v>1.9837432841659383E-2</v>
      </c>
      <c r="V223" s="723">
        <v>2.1122138052708659E-2</v>
      </c>
      <c r="W223" s="723">
        <v>2.238945604587339E-2</v>
      </c>
      <c r="X223" s="723">
        <v>2.3641660869899005E-2</v>
      </c>
      <c r="Y223" s="723">
        <v>2.4878938948115756E-2</v>
      </c>
      <c r="Z223" s="723">
        <v>2.6100816844815567E-2</v>
      </c>
      <c r="AA223" s="723">
        <v>2.7306712700098615E-2</v>
      </c>
      <c r="AB223" s="723">
        <v>2.8497087730947189E-2</v>
      </c>
      <c r="AC223" s="723">
        <v>2.9672527921957258E-2</v>
      </c>
      <c r="AD223" s="723">
        <v>3.0833119451845279E-2</v>
      </c>
      <c r="AE223" s="723">
        <v>3.1979072593248961E-2</v>
      </c>
      <c r="AF223" s="723">
        <v>3.3110698634108433E-2</v>
      </c>
    </row>
    <row r="224" spans="1:32" x14ac:dyDescent="0.25">
      <c r="A224" s="839"/>
      <c r="B224" s="552" t="s">
        <v>53</v>
      </c>
      <c r="C224" s="539"/>
      <c r="D224" s="539"/>
      <c r="E224" s="539"/>
      <c r="F224" s="539"/>
      <c r="G224" s="723">
        <v>0</v>
      </c>
      <c r="H224" s="723">
        <v>0</v>
      </c>
      <c r="I224" s="723">
        <v>0</v>
      </c>
      <c r="J224" s="723">
        <v>0</v>
      </c>
      <c r="K224" s="723">
        <v>0</v>
      </c>
      <c r="L224" s="723">
        <v>0</v>
      </c>
      <c r="M224" s="723">
        <v>0</v>
      </c>
      <c r="N224" s="723">
        <v>0</v>
      </c>
      <c r="O224" s="723">
        <v>0</v>
      </c>
      <c r="P224" s="723">
        <v>0</v>
      </c>
      <c r="Q224" s="723">
        <v>0</v>
      </c>
      <c r="R224" s="723">
        <v>0</v>
      </c>
      <c r="S224" s="723">
        <v>0</v>
      </c>
      <c r="T224" s="723">
        <v>0</v>
      </c>
      <c r="U224" s="723">
        <v>0</v>
      </c>
      <c r="V224" s="723">
        <v>0</v>
      </c>
      <c r="W224" s="723">
        <v>0</v>
      </c>
      <c r="X224" s="723">
        <v>0</v>
      </c>
      <c r="Y224" s="723">
        <v>0</v>
      </c>
      <c r="Z224" s="723">
        <v>0</v>
      </c>
      <c r="AA224" s="723">
        <v>0</v>
      </c>
      <c r="AB224" s="723">
        <v>0</v>
      </c>
      <c r="AC224" s="723">
        <v>0</v>
      </c>
      <c r="AD224" s="723">
        <v>0</v>
      </c>
      <c r="AE224" s="723">
        <v>0</v>
      </c>
      <c r="AF224" s="723">
        <v>0</v>
      </c>
    </row>
    <row r="225" spans="1:32" x14ac:dyDescent="0.25">
      <c r="A225" s="838"/>
    </row>
    <row r="226" spans="1:32" x14ac:dyDescent="0.25">
      <c r="A226" s="838"/>
    </row>
    <row r="227" spans="1:32" s="838" customFormat="1" x14ac:dyDescent="0.25">
      <c r="A227" s="860" t="s">
        <v>705</v>
      </c>
      <c r="B227" s="861"/>
      <c r="C227" s="860"/>
      <c r="D227" s="859"/>
      <c r="E227" s="859"/>
      <c r="F227" s="859"/>
      <c r="G227" s="859" t="s">
        <v>706</v>
      </c>
      <c r="H227" s="862"/>
      <c r="I227" s="862"/>
      <c r="J227" s="862"/>
      <c r="K227" s="862"/>
      <c r="L227" s="862"/>
      <c r="M227" s="862"/>
      <c r="N227" s="862"/>
      <c r="O227" s="862"/>
      <c r="P227" s="862"/>
      <c r="Q227" s="862"/>
      <c r="R227" s="862"/>
      <c r="S227" s="862"/>
      <c r="T227" s="862"/>
      <c r="U227" s="862"/>
      <c r="V227" s="862"/>
      <c r="W227" s="862"/>
      <c r="X227" s="862"/>
      <c r="Y227" s="862"/>
      <c r="Z227" s="862"/>
      <c r="AA227" s="862"/>
      <c r="AB227" s="862"/>
      <c r="AC227" s="862"/>
      <c r="AD227" s="862"/>
      <c r="AE227" s="862"/>
      <c r="AF227" s="862"/>
    </row>
    <row r="228" spans="1:32" s="838" customFormat="1" x14ac:dyDescent="0.25">
      <c r="A228" s="840" t="s">
        <v>12</v>
      </c>
      <c r="B228" s="839"/>
    </row>
    <row r="229" spans="1:32" s="838" customFormat="1" x14ac:dyDescent="0.25">
      <c r="A229" s="839"/>
      <c r="B229" s="839" t="s">
        <v>20</v>
      </c>
    </row>
    <row r="230" spans="1:32" s="856" customFormat="1" ht="12.75" x14ac:dyDescent="0.2">
      <c r="A230" s="843" t="s">
        <v>21</v>
      </c>
      <c r="B230" s="843"/>
      <c r="C230" s="843"/>
      <c r="D230" s="843"/>
      <c r="E230" s="843"/>
      <c r="F230" s="843"/>
      <c r="G230" s="843"/>
      <c r="H230" s="843"/>
      <c r="I230" s="843"/>
      <c r="J230" s="843"/>
      <c r="K230" s="843"/>
      <c r="L230" s="843"/>
      <c r="M230" s="843"/>
      <c r="N230" s="843"/>
      <c r="O230" s="843"/>
      <c r="P230" s="843"/>
      <c r="Q230" s="843"/>
      <c r="R230" s="843"/>
      <c r="S230" s="843"/>
      <c r="T230" s="843"/>
      <c r="U230" s="843"/>
      <c r="V230" s="843"/>
      <c r="W230" s="843"/>
      <c r="X230" s="843"/>
      <c r="Y230" s="843"/>
      <c r="Z230" s="843"/>
      <c r="AA230" s="843"/>
      <c r="AB230" s="843"/>
      <c r="AC230" s="843"/>
      <c r="AD230" s="843"/>
      <c r="AE230" s="843"/>
      <c r="AF230" s="843"/>
    </row>
    <row r="231" spans="1:32" s="864" customFormat="1" x14ac:dyDescent="0.25">
      <c r="A231" s="839"/>
      <c r="B231" s="839" t="s">
        <v>22</v>
      </c>
      <c r="C231" s="838"/>
      <c r="D231" s="838"/>
      <c r="E231" s="838"/>
      <c r="F231" s="838"/>
      <c r="G231" s="890">
        <v>4.754848541026882E-2</v>
      </c>
      <c r="H231" s="890">
        <v>2.8575417420630789E-2</v>
      </c>
      <c r="I231" s="890">
        <v>2.021390098381514E-2</v>
      </c>
      <c r="J231" s="890">
        <v>1.1700206029213267E-2</v>
      </c>
      <c r="K231" s="890">
        <v>8.0255990324208035E-3</v>
      </c>
      <c r="L231" s="890">
        <v>5.1281861673378032E-3</v>
      </c>
      <c r="M231" s="890">
        <v>1.9113363855837882E-3</v>
      </c>
      <c r="N231" s="890">
        <v>1.8299179272857364E-3</v>
      </c>
      <c r="O231" s="890">
        <v>1.8193676959427718E-3</v>
      </c>
      <c r="P231" s="890">
        <v>1.8179671144854688E-3</v>
      </c>
      <c r="Q231" s="890">
        <v>1.8179186426060636E-3</v>
      </c>
      <c r="R231" s="890">
        <v>1.8176611467411753E-3</v>
      </c>
      <c r="S231" s="890">
        <v>1.8173485327789578E-3</v>
      </c>
      <c r="T231" s="890">
        <v>1.8171055772374812E-3</v>
      </c>
      <c r="U231" s="890">
        <v>1.8169400126377747E-3</v>
      </c>
      <c r="V231" s="890">
        <v>1.8167959303864558E-3</v>
      </c>
      <c r="W231" s="890">
        <v>1.8164712705451877E-3</v>
      </c>
      <c r="X231" s="890">
        <v>1.8164479949190709E-3</v>
      </c>
      <c r="Y231" s="890">
        <v>1.8166243922274965E-3</v>
      </c>
      <c r="Z231" s="890">
        <v>1.8166648362917892E-3</v>
      </c>
      <c r="AA231" s="890">
        <v>1.8164888365647816E-3</v>
      </c>
      <c r="AB231" s="890">
        <v>1.8162857670078402E-3</v>
      </c>
      <c r="AC231" s="890">
        <v>1.816148209884098E-3</v>
      </c>
      <c r="AD231" s="890">
        <v>1.8160372719263106E-3</v>
      </c>
      <c r="AE231" s="890">
        <v>1.8159300836746702E-3</v>
      </c>
      <c r="AF231" s="890">
        <v>1.8158235012370625E-3</v>
      </c>
    </row>
    <row r="232" spans="1:32" s="864" customFormat="1" x14ac:dyDescent="0.25">
      <c r="A232" s="839"/>
      <c r="B232" s="839" t="s">
        <v>26</v>
      </c>
      <c r="C232" s="838"/>
      <c r="D232" s="838"/>
      <c r="E232" s="838"/>
      <c r="F232" s="838"/>
      <c r="G232" s="890">
        <v>8.4049443155312592E-4</v>
      </c>
      <c r="H232" s="890">
        <v>4.8703421571739654E-4</v>
      </c>
      <c r="I232" s="890">
        <v>1.6984240303969508E-3</v>
      </c>
      <c r="J232" s="890">
        <v>4.4134488497200169E-3</v>
      </c>
      <c r="K232" s="890">
        <v>6.0312667378578716E-3</v>
      </c>
      <c r="L232" s="890">
        <v>6.3274505521136327E-3</v>
      </c>
      <c r="M232" s="890">
        <v>6.5974515633168531E-3</v>
      </c>
      <c r="N232" s="890">
        <v>6.3335453657305685E-3</v>
      </c>
      <c r="O232" s="890">
        <v>6.3049831048847234E-3</v>
      </c>
      <c r="P232" s="890">
        <v>6.2991681663072622E-3</v>
      </c>
      <c r="Q232" s="890">
        <v>6.3010647460392064E-3</v>
      </c>
      <c r="R232" s="890">
        <v>6.2972003341664039E-3</v>
      </c>
      <c r="S232" s="890">
        <v>6.2945399216553406E-3</v>
      </c>
      <c r="T232" s="890">
        <v>6.2923865169558328E-3</v>
      </c>
      <c r="U232" s="890">
        <v>6.2910468827173634E-3</v>
      </c>
      <c r="V232" s="890">
        <v>6.289682156018544E-3</v>
      </c>
      <c r="W232" s="890">
        <v>6.2859146993821417E-3</v>
      </c>
      <c r="X232" s="890">
        <v>6.2869765375741984E-3</v>
      </c>
      <c r="Y232" s="890">
        <v>6.2889855152784384E-3</v>
      </c>
      <c r="Z232" s="890">
        <v>6.2888213612791758E-3</v>
      </c>
      <c r="AA232" s="890">
        <v>6.2865480708637067E-3</v>
      </c>
      <c r="AB232" s="890">
        <v>6.2846733769974109E-3</v>
      </c>
      <c r="AC232" s="890">
        <v>6.2835367292393843E-3</v>
      </c>
      <c r="AD232" s="890">
        <v>6.282485901202112E-3</v>
      </c>
      <c r="AE232" s="890">
        <v>6.2814469751388711E-3</v>
      </c>
      <c r="AF232" s="890">
        <v>6.2804097893996566E-3</v>
      </c>
    </row>
    <row r="233" spans="1:32" s="864" customFormat="1" x14ac:dyDescent="0.25">
      <c r="A233" s="839"/>
      <c r="B233" s="839" t="s">
        <v>27</v>
      </c>
      <c r="C233" s="838"/>
      <c r="D233" s="838"/>
      <c r="E233" s="838"/>
      <c r="F233" s="838"/>
      <c r="G233" s="890">
        <v>9.0758599989694891E-3</v>
      </c>
      <c r="H233" s="890">
        <v>1.3491534617437833E-2</v>
      </c>
      <c r="I233" s="890">
        <v>1.5066391833602231E-2</v>
      </c>
      <c r="J233" s="890">
        <v>1.6271528080347448E-2</v>
      </c>
      <c r="K233" s="890">
        <v>1.6670559353815388E-2</v>
      </c>
      <c r="L233" s="890">
        <v>1.7249743271325571E-2</v>
      </c>
      <c r="M233" s="890">
        <v>1.7908969281539847E-2</v>
      </c>
      <c r="N233" s="890">
        <v>1.7998014264834904E-2</v>
      </c>
      <c r="O233" s="890">
        <v>1.8007455927472327E-2</v>
      </c>
      <c r="P233" s="890">
        <v>1.8008824329712549E-2</v>
      </c>
      <c r="Q233" s="890">
        <v>1.8007902910921358E-2</v>
      </c>
      <c r="R233" s="890">
        <v>1.8008698111724297E-2</v>
      </c>
      <c r="S233" s="890">
        <v>1.8009258881733953E-2</v>
      </c>
      <c r="T233" s="890">
        <v>1.8009725920160986E-2</v>
      </c>
      <c r="U233" s="890">
        <v>1.8009997932063867E-2</v>
      </c>
      <c r="V233" s="890">
        <v>1.8010305524938229E-2</v>
      </c>
      <c r="W233" s="890">
        <v>1.801134105733088E-2</v>
      </c>
      <c r="X233" s="890">
        <v>1.8011008292009974E-2</v>
      </c>
      <c r="Y233" s="890">
        <v>1.8010376429662068E-2</v>
      </c>
      <c r="Z233" s="890">
        <v>1.801037532851877E-2</v>
      </c>
      <c r="AA233" s="890">
        <v>1.8011011958056711E-2</v>
      </c>
      <c r="AB233" s="890">
        <v>1.8011558448960796E-2</v>
      </c>
      <c r="AC233" s="890">
        <v>1.801189622714262E-2</v>
      </c>
      <c r="AD233" s="890">
        <v>1.8012209163374798E-2</v>
      </c>
      <c r="AE233" s="890">
        <v>1.801252147862711E-2</v>
      </c>
      <c r="AF233" s="890">
        <v>1.8012835882478661E-2</v>
      </c>
    </row>
    <row r="234" spans="1:32" s="864" customFormat="1" x14ac:dyDescent="0.25">
      <c r="A234" s="839"/>
      <c r="B234" s="839" t="s">
        <v>29</v>
      </c>
      <c r="C234" s="838"/>
      <c r="D234" s="838"/>
      <c r="E234" s="838"/>
      <c r="F234" s="838"/>
      <c r="G234" s="890">
        <v>0</v>
      </c>
      <c r="H234" s="890">
        <v>6.7582484711375955E-6</v>
      </c>
      <c r="I234" s="890">
        <v>1.2267207869412971E-5</v>
      </c>
      <c r="J234" s="890">
        <v>1.4966632007275235E-5</v>
      </c>
      <c r="K234" s="890">
        <v>1.7025021761051749E-5</v>
      </c>
      <c r="L234" s="890">
        <v>1.8826061028487432E-5</v>
      </c>
      <c r="M234" s="890">
        <v>2.0399727456023776E-5</v>
      </c>
      <c r="N234" s="890">
        <v>2.1619088962052518E-5</v>
      </c>
      <c r="O234" s="890">
        <v>2.2624172449160609E-5</v>
      </c>
      <c r="P234" s="890">
        <v>2.3394511010477043E-5</v>
      </c>
      <c r="Q234" s="890">
        <v>2.4014086195422237E-5</v>
      </c>
      <c r="R234" s="890">
        <v>2.4468079392262906E-5</v>
      </c>
      <c r="S234" s="890">
        <v>2.480648117577735E-5</v>
      </c>
      <c r="T234" s="890">
        <v>2.5057618184092109E-5</v>
      </c>
      <c r="U234" s="890">
        <v>2.5246037693903688E-5</v>
      </c>
      <c r="V234" s="890">
        <v>2.5384743630753481E-5</v>
      </c>
      <c r="W234" s="890">
        <v>2.5468108938787865E-5</v>
      </c>
      <c r="X234" s="890">
        <v>2.554354441928569E-5</v>
      </c>
      <c r="Y234" s="890">
        <v>2.5615508136571971E-5</v>
      </c>
      <c r="Z234" s="890">
        <v>2.5668961316298126E-5</v>
      </c>
      <c r="AA234" s="890">
        <v>2.5695177228570226E-5</v>
      </c>
      <c r="AB234" s="890">
        <v>2.5704574635955779E-5</v>
      </c>
      <c r="AC234" s="890">
        <v>2.5705628446962274E-5</v>
      </c>
      <c r="AD234" s="890">
        <v>2.5700167451440302E-5</v>
      </c>
      <c r="AE234" s="890">
        <v>2.5689616820314563E-5</v>
      </c>
      <c r="AF234" s="890">
        <v>2.567508735444062E-5</v>
      </c>
    </row>
    <row r="235" spans="1:32" s="864" customFormat="1" x14ac:dyDescent="0.25">
      <c r="A235" s="839"/>
      <c r="B235" s="839"/>
      <c r="C235" s="838"/>
      <c r="D235" s="838"/>
      <c r="E235" s="838"/>
      <c r="F235" s="838"/>
      <c r="G235" s="890" t="s">
        <v>73</v>
      </c>
      <c r="H235" s="890" t="s">
        <v>73</v>
      </c>
      <c r="I235" s="890" t="s">
        <v>73</v>
      </c>
      <c r="J235" s="890" t="s">
        <v>73</v>
      </c>
      <c r="K235" s="890" t="s">
        <v>73</v>
      </c>
      <c r="L235" s="890" t="s">
        <v>73</v>
      </c>
      <c r="M235" s="890" t="s">
        <v>73</v>
      </c>
      <c r="N235" s="890" t="s">
        <v>73</v>
      </c>
      <c r="O235" s="890" t="s">
        <v>73</v>
      </c>
      <c r="P235" s="890" t="s">
        <v>73</v>
      </c>
      <c r="Q235" s="890" t="s">
        <v>73</v>
      </c>
      <c r="R235" s="890" t="s">
        <v>73</v>
      </c>
      <c r="S235" s="890" t="s">
        <v>73</v>
      </c>
      <c r="T235" s="890" t="s">
        <v>73</v>
      </c>
      <c r="U235" s="890" t="s">
        <v>73</v>
      </c>
      <c r="V235" s="890" t="s">
        <v>73</v>
      </c>
      <c r="W235" s="890" t="s">
        <v>73</v>
      </c>
      <c r="X235" s="890" t="s">
        <v>73</v>
      </c>
      <c r="Y235" s="890" t="s">
        <v>73</v>
      </c>
      <c r="Z235" s="890" t="s">
        <v>73</v>
      </c>
      <c r="AA235" s="890" t="s">
        <v>73</v>
      </c>
      <c r="AB235" s="890" t="s">
        <v>73</v>
      </c>
      <c r="AC235" s="890" t="s">
        <v>73</v>
      </c>
      <c r="AD235" s="890" t="s">
        <v>73</v>
      </c>
      <c r="AE235" s="890" t="s">
        <v>73</v>
      </c>
      <c r="AF235" s="890" t="s">
        <v>73</v>
      </c>
    </row>
    <row r="236" spans="1:32" s="856" customFormat="1" ht="12.75" x14ac:dyDescent="0.2">
      <c r="A236" s="843" t="s">
        <v>32</v>
      </c>
      <c r="B236" s="843"/>
      <c r="C236" s="843"/>
      <c r="D236" s="843"/>
      <c r="E236" s="843"/>
      <c r="F236" s="843"/>
      <c r="G236" s="891" t="s">
        <v>73</v>
      </c>
      <c r="H236" s="891" t="s">
        <v>73</v>
      </c>
      <c r="I236" s="891" t="s">
        <v>73</v>
      </c>
      <c r="J236" s="891" t="s">
        <v>73</v>
      </c>
      <c r="K236" s="891" t="s">
        <v>73</v>
      </c>
      <c r="L236" s="891" t="s">
        <v>73</v>
      </c>
      <c r="M236" s="891" t="s">
        <v>73</v>
      </c>
      <c r="N236" s="891" t="s">
        <v>73</v>
      </c>
      <c r="O236" s="891" t="s">
        <v>73</v>
      </c>
      <c r="P236" s="891" t="s">
        <v>73</v>
      </c>
      <c r="Q236" s="891" t="s">
        <v>73</v>
      </c>
      <c r="R236" s="891" t="s">
        <v>73</v>
      </c>
      <c r="S236" s="891" t="s">
        <v>73</v>
      </c>
      <c r="T236" s="891" t="s">
        <v>73</v>
      </c>
      <c r="U236" s="891" t="s">
        <v>73</v>
      </c>
      <c r="V236" s="891" t="s">
        <v>73</v>
      </c>
      <c r="W236" s="891" t="s">
        <v>73</v>
      </c>
      <c r="X236" s="891" t="s">
        <v>73</v>
      </c>
      <c r="Y236" s="891" t="s">
        <v>73</v>
      </c>
      <c r="Z236" s="891" t="s">
        <v>73</v>
      </c>
      <c r="AA236" s="891" t="s">
        <v>73</v>
      </c>
      <c r="AB236" s="891" t="s">
        <v>73</v>
      </c>
      <c r="AC236" s="891" t="s">
        <v>73</v>
      </c>
      <c r="AD236" s="891" t="s">
        <v>73</v>
      </c>
      <c r="AE236" s="891" t="s">
        <v>73</v>
      </c>
      <c r="AF236" s="891" t="s">
        <v>73</v>
      </c>
    </row>
    <row r="237" spans="1:32" s="864" customFormat="1" x14ac:dyDescent="0.25">
      <c r="A237" s="839"/>
      <c r="B237" s="839" t="s">
        <v>33</v>
      </c>
      <c r="C237" s="838"/>
      <c r="D237" s="838"/>
      <c r="E237" s="838"/>
      <c r="F237" s="838"/>
      <c r="G237" s="890">
        <v>2.9211123324708786E-2</v>
      </c>
      <c r="H237" s="890">
        <v>2.2814751532560334E-2</v>
      </c>
      <c r="I237" s="890">
        <v>2.4568767503368099E-2</v>
      </c>
      <c r="J237" s="890">
        <v>2.6124657086425456E-2</v>
      </c>
      <c r="K237" s="890">
        <v>2.7634531634541826E-2</v>
      </c>
      <c r="L237" s="890">
        <v>2.7609190390490496E-2</v>
      </c>
      <c r="M237" s="890">
        <v>2.7599630079129495E-2</v>
      </c>
      <c r="N237" s="890">
        <v>2.7590009171811126E-2</v>
      </c>
      <c r="O237" s="890">
        <v>2.7579080070263683E-2</v>
      </c>
      <c r="P237" s="890">
        <v>2.757878837378977E-2</v>
      </c>
      <c r="Q237" s="890">
        <v>2.7575431471331315E-2</v>
      </c>
      <c r="R237" s="890">
        <v>2.7577856933779135E-2</v>
      </c>
      <c r="S237" s="890">
        <v>2.757791172888752E-2</v>
      </c>
      <c r="T237" s="890">
        <v>2.757768806395014E-2</v>
      </c>
      <c r="U237" s="890">
        <v>2.7577083677087985E-2</v>
      </c>
      <c r="V237" s="890">
        <v>2.7576854105162609E-2</v>
      </c>
      <c r="W237" s="890">
        <v>2.7578385262959939E-2</v>
      </c>
      <c r="X237" s="890">
        <v>2.757590372989599E-2</v>
      </c>
      <c r="Y237" s="890">
        <v>2.7574255033661031E-2</v>
      </c>
      <c r="Z237" s="890">
        <v>2.7574821411555702E-2</v>
      </c>
      <c r="AA237" s="890">
        <v>2.7576369280641728E-2</v>
      </c>
      <c r="AB237" s="890">
        <v>2.7576847781972214E-2</v>
      </c>
      <c r="AC237" s="890">
        <v>2.7576717564922467E-2</v>
      </c>
      <c r="AD237" s="890">
        <v>2.7576710168309832E-2</v>
      </c>
      <c r="AE237" s="890">
        <v>2.7576767005983726E-2</v>
      </c>
      <c r="AF237" s="890">
        <v>2.7576858079845397E-2</v>
      </c>
    </row>
    <row r="238" spans="1:32" s="864" customFormat="1" x14ac:dyDescent="0.25">
      <c r="A238" s="842"/>
      <c r="B238" s="842" t="s">
        <v>34</v>
      </c>
      <c r="C238" s="838"/>
      <c r="D238" s="838"/>
      <c r="E238" s="838"/>
      <c r="F238" s="838"/>
      <c r="G238" s="890">
        <v>2.8845211477977785E-2</v>
      </c>
      <c r="H238" s="890">
        <v>3.748052202419884E-2</v>
      </c>
      <c r="I238" s="890">
        <v>3.6611758098369702E-2</v>
      </c>
      <c r="J238" s="890">
        <v>3.3603018664142212E-2</v>
      </c>
      <c r="K238" s="890">
        <v>3.0421637230732049E-2</v>
      </c>
      <c r="L238" s="890">
        <v>2.9415312143899759E-2</v>
      </c>
      <c r="M238" s="890">
        <v>2.9390125664533445E-2</v>
      </c>
      <c r="N238" s="890">
        <v>2.937832743405569E-2</v>
      </c>
      <c r="O238" s="890">
        <v>2.9381386181425325E-2</v>
      </c>
      <c r="P238" s="890">
        <v>2.9377768187974523E-2</v>
      </c>
      <c r="Q238" s="890">
        <v>2.9379615486667589E-2</v>
      </c>
      <c r="R238" s="890">
        <v>2.9374290560726844E-2</v>
      </c>
      <c r="S238" s="890">
        <v>2.9370095342154619E-2</v>
      </c>
      <c r="T238" s="890">
        <v>2.9366340759231318E-2</v>
      </c>
      <c r="U238" s="890">
        <v>2.9363647937748618E-2</v>
      </c>
      <c r="V238" s="890">
        <v>2.9361096000624216E-2</v>
      </c>
      <c r="W238" s="890">
        <v>2.9355662956876319E-2</v>
      </c>
      <c r="X238" s="890">
        <v>2.935604746400813E-2</v>
      </c>
      <c r="Y238" s="890">
        <v>2.9358063739954678E-2</v>
      </c>
      <c r="Z238" s="890">
        <v>2.9357884880481116E-2</v>
      </c>
      <c r="AA238" s="890">
        <v>2.9355080831979231E-2</v>
      </c>
      <c r="AB238" s="890">
        <v>2.9352432414871739E-2</v>
      </c>
      <c r="AC238" s="890">
        <v>2.9350515717027553E-2</v>
      </c>
      <c r="AD238" s="890">
        <v>2.9348724434389035E-2</v>
      </c>
      <c r="AE238" s="890">
        <v>2.9346998475437303E-2</v>
      </c>
      <c r="AF238" s="890">
        <v>2.9345307071144709E-2</v>
      </c>
    </row>
    <row r="239" spans="1:32" s="864" customFormat="1" x14ac:dyDescent="0.25">
      <c r="A239" s="839"/>
      <c r="B239" s="842" t="s">
        <v>35</v>
      </c>
      <c r="C239" s="838"/>
      <c r="D239" s="838"/>
      <c r="E239" s="838"/>
      <c r="F239" s="838"/>
      <c r="G239" s="890">
        <v>8.585775786622259E-3</v>
      </c>
      <c r="H239" s="890">
        <v>7.2507508271751767E-3</v>
      </c>
      <c r="I239" s="890">
        <v>6.6452301640364435E-3</v>
      </c>
      <c r="J239" s="890">
        <v>6.4442913070862241E-3</v>
      </c>
      <c r="K239" s="890">
        <v>6.4729754282828473E-3</v>
      </c>
      <c r="L239" s="890">
        <v>6.4876790183765144E-3</v>
      </c>
      <c r="M239" s="890">
        <v>6.4975106447374056E-3</v>
      </c>
      <c r="N239" s="890">
        <v>6.5025440883215409E-3</v>
      </c>
      <c r="O239" s="890">
        <v>6.5022710870734652E-3</v>
      </c>
      <c r="P239" s="890">
        <v>6.5025852906857558E-3</v>
      </c>
      <c r="Q239" s="890">
        <v>6.5016578100655824E-3</v>
      </c>
      <c r="R239" s="890">
        <v>6.5025248820638855E-3</v>
      </c>
      <c r="S239" s="890">
        <v>6.503665430696158E-3</v>
      </c>
      <c r="T239" s="890">
        <v>6.5048283050043896E-3</v>
      </c>
      <c r="U239" s="890">
        <v>6.5057507153948183E-3</v>
      </c>
      <c r="V239" s="890">
        <v>6.5066068963922875E-3</v>
      </c>
      <c r="W239" s="890">
        <v>6.5082941646795647E-3</v>
      </c>
      <c r="X239" s="890">
        <v>6.5085913023424828E-3</v>
      </c>
      <c r="Y239" s="890">
        <v>6.5080504232999069E-3</v>
      </c>
      <c r="Z239" s="890">
        <v>6.507906952800767E-3</v>
      </c>
      <c r="AA239" s="890">
        <v>6.5086294669351097E-3</v>
      </c>
      <c r="AB239" s="890">
        <v>6.5095613968010309E-3</v>
      </c>
      <c r="AC239" s="890">
        <v>6.5103530687447547E-3</v>
      </c>
      <c r="AD239" s="890">
        <v>6.5110758355873943E-3</v>
      </c>
      <c r="AE239" s="890">
        <v>6.511765212340064E-3</v>
      </c>
      <c r="AF239" s="890">
        <v>6.5124388013923949E-3</v>
      </c>
    </row>
    <row r="240" spans="1:32" s="864" customFormat="1" x14ac:dyDescent="0.25">
      <c r="A240" s="839"/>
      <c r="B240" s="842" t="s">
        <v>29</v>
      </c>
      <c r="C240" s="838"/>
      <c r="D240" s="838"/>
      <c r="E240" s="838"/>
      <c r="F240" s="838"/>
      <c r="G240" s="890">
        <v>0</v>
      </c>
      <c r="H240" s="890">
        <v>1.0558961916842531E-5</v>
      </c>
      <c r="I240" s="890">
        <v>1.8931008408526956E-5</v>
      </c>
      <c r="J240" s="890">
        <v>2.5546576097695433E-5</v>
      </c>
      <c r="K240" s="890">
        <v>3.0809556971704491E-5</v>
      </c>
      <c r="L240" s="890">
        <v>3.4863781212632217E-5</v>
      </c>
      <c r="M240" s="890">
        <v>3.7912100029087761E-5</v>
      </c>
      <c r="N240" s="890">
        <v>4.0269253759776433E-5</v>
      </c>
      <c r="O240" s="890">
        <v>4.2187366809405029E-5</v>
      </c>
      <c r="P240" s="890">
        <v>4.365716882412143E-5</v>
      </c>
      <c r="Q240" s="890">
        <v>4.4829292049806357E-5</v>
      </c>
      <c r="R240" s="890">
        <v>4.5694726816886278E-5</v>
      </c>
      <c r="S240" s="890">
        <v>4.6343024797862114E-5</v>
      </c>
      <c r="T240" s="890">
        <v>4.6827073011006729E-5</v>
      </c>
      <c r="U240" s="890">
        <v>4.7191788321024001E-5</v>
      </c>
      <c r="V240" s="890">
        <v>4.7462500494076888E-5</v>
      </c>
      <c r="W240" s="890">
        <v>4.7634343172307755E-5</v>
      </c>
      <c r="X240" s="890">
        <v>4.7784137599443906E-5</v>
      </c>
      <c r="Y240" s="890">
        <v>4.7921040090975316E-5</v>
      </c>
      <c r="Z240" s="890">
        <v>4.8023360333653571E-5</v>
      </c>
      <c r="AA240" s="890">
        <v>4.8078876668085567E-5</v>
      </c>
      <c r="AB240" s="890">
        <v>4.8104852051023452E-5</v>
      </c>
      <c r="AC240" s="890">
        <v>4.8115270893734422E-5</v>
      </c>
      <c r="AD240" s="890">
        <v>4.811358711844445E-5</v>
      </c>
      <c r="AE240" s="890">
        <v>4.8102481754639031E-5</v>
      </c>
      <c r="AF240" s="890">
        <v>4.8084036937856313E-5</v>
      </c>
    </row>
    <row r="241" spans="1:32" s="864" customFormat="1" x14ac:dyDescent="0.25">
      <c r="A241" s="839"/>
      <c r="B241" s="839"/>
      <c r="C241" s="838"/>
      <c r="D241" s="838"/>
      <c r="E241" s="838"/>
      <c r="F241" s="838"/>
      <c r="G241" s="890" t="s">
        <v>73</v>
      </c>
      <c r="H241" s="890" t="s">
        <v>73</v>
      </c>
      <c r="I241" s="890" t="s">
        <v>73</v>
      </c>
      <c r="J241" s="890" t="s">
        <v>73</v>
      </c>
      <c r="K241" s="890" t="s">
        <v>73</v>
      </c>
      <c r="L241" s="890" t="s">
        <v>73</v>
      </c>
      <c r="M241" s="890" t="s">
        <v>73</v>
      </c>
      <c r="N241" s="890" t="s">
        <v>73</v>
      </c>
      <c r="O241" s="890" t="s">
        <v>73</v>
      </c>
      <c r="P241" s="890" t="s">
        <v>73</v>
      </c>
      <c r="Q241" s="890" t="s">
        <v>73</v>
      </c>
      <c r="R241" s="890" t="s">
        <v>73</v>
      </c>
      <c r="S241" s="890" t="s">
        <v>73</v>
      </c>
      <c r="T241" s="890" t="s">
        <v>73</v>
      </c>
      <c r="U241" s="890" t="s">
        <v>73</v>
      </c>
      <c r="V241" s="890" t="s">
        <v>73</v>
      </c>
      <c r="W241" s="890" t="s">
        <v>73</v>
      </c>
      <c r="X241" s="890" t="s">
        <v>73</v>
      </c>
      <c r="Y241" s="890" t="s">
        <v>73</v>
      </c>
      <c r="Z241" s="890" t="s">
        <v>73</v>
      </c>
      <c r="AA241" s="890" t="s">
        <v>73</v>
      </c>
      <c r="AB241" s="890" t="s">
        <v>73</v>
      </c>
      <c r="AC241" s="890" t="s">
        <v>73</v>
      </c>
      <c r="AD241" s="890" t="s">
        <v>73</v>
      </c>
      <c r="AE241" s="890" t="s">
        <v>73</v>
      </c>
      <c r="AF241" s="890" t="s">
        <v>73</v>
      </c>
    </row>
    <row r="242" spans="1:32" s="856" customFormat="1" ht="12.75" x14ac:dyDescent="0.2">
      <c r="A242" s="843" t="s">
        <v>36</v>
      </c>
      <c r="B242" s="843"/>
      <c r="C242" s="843"/>
      <c r="D242" s="843"/>
      <c r="E242" s="843"/>
      <c r="F242" s="843"/>
      <c r="G242" s="891" t="s">
        <v>73</v>
      </c>
      <c r="H242" s="891" t="s">
        <v>73</v>
      </c>
      <c r="I242" s="891" t="s">
        <v>73</v>
      </c>
      <c r="J242" s="891" t="s">
        <v>73</v>
      </c>
      <c r="K242" s="891" t="s">
        <v>73</v>
      </c>
      <c r="L242" s="891" t="s">
        <v>73</v>
      </c>
      <c r="M242" s="891" t="s">
        <v>73</v>
      </c>
      <c r="N242" s="891" t="s">
        <v>73</v>
      </c>
      <c r="O242" s="891" t="s">
        <v>73</v>
      </c>
      <c r="P242" s="891" t="s">
        <v>73</v>
      </c>
      <c r="Q242" s="891" t="s">
        <v>73</v>
      </c>
      <c r="R242" s="891" t="s">
        <v>73</v>
      </c>
      <c r="S242" s="891" t="s">
        <v>73</v>
      </c>
      <c r="T242" s="891" t="s">
        <v>73</v>
      </c>
      <c r="U242" s="891" t="s">
        <v>73</v>
      </c>
      <c r="V242" s="891" t="s">
        <v>73</v>
      </c>
      <c r="W242" s="891" t="s">
        <v>73</v>
      </c>
      <c r="X242" s="891" t="s">
        <v>73</v>
      </c>
      <c r="Y242" s="891" t="s">
        <v>73</v>
      </c>
      <c r="Z242" s="891" t="s">
        <v>73</v>
      </c>
      <c r="AA242" s="891" t="s">
        <v>73</v>
      </c>
      <c r="AB242" s="891" t="s">
        <v>73</v>
      </c>
      <c r="AC242" s="891" t="s">
        <v>73</v>
      </c>
      <c r="AD242" s="891" t="s">
        <v>73</v>
      </c>
      <c r="AE242" s="891" t="s">
        <v>73</v>
      </c>
      <c r="AF242" s="891" t="s">
        <v>73</v>
      </c>
    </row>
    <row r="243" spans="1:32" s="864" customFormat="1" x14ac:dyDescent="0.25">
      <c r="A243" s="839"/>
      <c r="B243" s="839" t="s">
        <v>37</v>
      </c>
      <c r="C243" s="838"/>
      <c r="D243" s="838"/>
      <c r="E243" s="838"/>
      <c r="F243" s="855"/>
      <c r="G243" s="890">
        <v>0.2813432935915629</v>
      </c>
      <c r="H243" s="890">
        <v>0.24159819621455181</v>
      </c>
      <c r="I243" s="890">
        <v>0.19556499818410922</v>
      </c>
      <c r="J243" s="890">
        <v>0.14857842443950417</v>
      </c>
      <c r="K243" s="890">
        <v>0.10517644608112556</v>
      </c>
      <c r="L243" s="890">
        <v>7.4738637159109389E-2</v>
      </c>
      <c r="M243" s="890">
        <v>5.3350365892516995E-2</v>
      </c>
      <c r="N243" s="890">
        <v>3.8233269136646569E-2</v>
      </c>
      <c r="O243" s="890">
        <v>2.7572654642182698E-2</v>
      </c>
      <c r="P243" s="890">
        <v>2.0077814819117322E-2</v>
      </c>
      <c r="Q243" s="890">
        <v>1.4790486855950953E-2</v>
      </c>
      <c r="R243" s="890">
        <v>1.1064784623072347E-2</v>
      </c>
      <c r="S243" s="890">
        <v>8.4317542666129865E-3</v>
      </c>
      <c r="T243" s="890">
        <v>6.5668458715488253E-3</v>
      </c>
      <c r="U243" s="890">
        <v>5.2429883394145057E-3</v>
      </c>
      <c r="V243" s="890">
        <v>4.3014784449714148E-3</v>
      </c>
      <c r="W243" s="890">
        <v>3.6288628644035978E-3</v>
      </c>
      <c r="X243" s="890">
        <v>3.147258100905197E-3</v>
      </c>
      <c r="Y243" s="890">
        <v>2.8008062581405231E-3</v>
      </c>
      <c r="Z243" s="890">
        <v>2.549926490879607E-3</v>
      </c>
      <c r="AA243" s="890">
        <v>2.3678410962560455E-3</v>
      </c>
      <c r="AB243" s="890">
        <v>2.2337063065184875E-3</v>
      </c>
      <c r="AC243" s="890">
        <v>2.1340718213485317E-3</v>
      </c>
      <c r="AD243" s="890">
        <v>2.0605322292389571E-3</v>
      </c>
      <c r="AE243" s="890">
        <v>2.0044280629706013E-3</v>
      </c>
      <c r="AF243" s="890">
        <v>1.9622170057109049E-3</v>
      </c>
    </row>
    <row r="244" spans="1:32" s="864" customFormat="1" x14ac:dyDescent="0.25">
      <c r="A244" s="839"/>
      <c r="B244" s="839" t="s">
        <v>39</v>
      </c>
      <c r="C244" s="838"/>
      <c r="D244" s="838"/>
      <c r="E244" s="857"/>
      <c r="F244" s="838"/>
      <c r="G244" s="890">
        <v>0.48507502598315488</v>
      </c>
      <c r="H244" s="890">
        <v>0.50539095525226796</v>
      </c>
      <c r="I244" s="890">
        <v>0.53004128195677924</v>
      </c>
      <c r="J244" s="890">
        <v>0.55577835893710847</v>
      </c>
      <c r="K244" s="890">
        <v>0.57855938474932189</v>
      </c>
      <c r="L244" s="890">
        <v>0.59228474910877371</v>
      </c>
      <c r="M244" s="890">
        <v>0.60008214596778719</v>
      </c>
      <c r="N244" s="890">
        <v>0.60473774385372392</v>
      </c>
      <c r="O244" s="890">
        <v>0.60697537828982662</v>
      </c>
      <c r="P244" s="890">
        <v>0.60788186975594294</v>
      </c>
      <c r="Q244" s="890">
        <v>0.60787343138364724</v>
      </c>
      <c r="R244" s="890">
        <v>0.60772272310641784</v>
      </c>
      <c r="S244" s="890">
        <v>0.6076362640280748</v>
      </c>
      <c r="T244" s="890">
        <v>0.60776143227757218</v>
      </c>
      <c r="U244" s="890">
        <v>0.60770709664759881</v>
      </c>
      <c r="V244" s="890">
        <v>0.60754210851711277</v>
      </c>
      <c r="W244" s="890">
        <v>0.60731459374337227</v>
      </c>
      <c r="X244" s="890">
        <v>0.60704827334762779</v>
      </c>
      <c r="Y244" s="890">
        <v>0.60676375154193163</v>
      </c>
      <c r="Z244" s="890">
        <v>0.60647652071039582</v>
      </c>
      <c r="AA244" s="890">
        <v>0.60619631328752432</v>
      </c>
      <c r="AB244" s="890">
        <v>0.60592724291763267</v>
      </c>
      <c r="AC244" s="890">
        <v>0.60567109616566384</v>
      </c>
      <c r="AD244" s="890">
        <v>0.60542932579253927</v>
      </c>
      <c r="AE244" s="890">
        <v>0.60520208046599033</v>
      </c>
      <c r="AF244" s="890">
        <v>0.6049894686890781</v>
      </c>
    </row>
    <row r="245" spans="1:32" s="864" customFormat="1" x14ac:dyDescent="0.25">
      <c r="A245" s="839"/>
      <c r="B245" s="839" t="s">
        <v>40</v>
      </c>
      <c r="C245" s="838"/>
      <c r="D245" s="838"/>
      <c r="E245" s="838"/>
      <c r="F245" s="838"/>
      <c r="G245" s="890">
        <v>5.4698368258038137E-2</v>
      </c>
      <c r="H245" s="890">
        <v>6.1019216203317815E-2</v>
      </c>
      <c r="I245" s="890">
        <v>6.7400728482169381E-2</v>
      </c>
      <c r="J245" s="890">
        <v>7.3431202638332929E-2</v>
      </c>
      <c r="K245" s="890">
        <v>7.9034064449249791E-2</v>
      </c>
      <c r="L245" s="890">
        <v>8.3144227336338986E-2</v>
      </c>
      <c r="M245" s="890">
        <v>8.6177366147219242E-2</v>
      </c>
      <c r="N245" s="890">
        <v>8.8225523011918383E-2</v>
      </c>
      <c r="O245" s="890">
        <v>8.9787770411912424E-2</v>
      </c>
      <c r="P245" s="890">
        <v>9.0981091956794116E-2</v>
      </c>
      <c r="Q245" s="890">
        <v>9.1906746891217334E-2</v>
      </c>
      <c r="R245" s="890">
        <v>9.2626993250875325E-2</v>
      </c>
      <c r="S245" s="890">
        <v>9.3194962566545372E-2</v>
      </c>
      <c r="T245" s="890">
        <v>9.3648032565717146E-2</v>
      </c>
      <c r="U245" s="890">
        <v>9.4013817330419885E-2</v>
      </c>
      <c r="V245" s="890">
        <v>9.4313598488933462E-2</v>
      </c>
      <c r="W245" s="890">
        <v>9.456116002547954E-2</v>
      </c>
      <c r="X245" s="890">
        <v>9.4768853593347857E-2</v>
      </c>
      <c r="Y245" s="890">
        <v>9.4946657866630327E-2</v>
      </c>
      <c r="Z245" s="890">
        <v>9.5099564481846116E-2</v>
      </c>
      <c r="AA245" s="890">
        <v>9.5229847168540563E-2</v>
      </c>
      <c r="AB245" s="890">
        <v>9.5343659940904518E-2</v>
      </c>
      <c r="AC245" s="890">
        <v>9.5444197036986519E-2</v>
      </c>
      <c r="AD245" s="890">
        <v>9.5531981953730888E-2</v>
      </c>
      <c r="AE245" s="890">
        <v>9.5610808764015592E-2</v>
      </c>
      <c r="AF245" s="890">
        <v>9.5680382979419068E-2</v>
      </c>
    </row>
    <row r="246" spans="1:32" s="864" customFormat="1" x14ac:dyDescent="0.25">
      <c r="A246" s="839"/>
      <c r="B246" s="839" t="s">
        <v>29</v>
      </c>
      <c r="C246" s="838"/>
      <c r="D246" s="838"/>
      <c r="E246" s="838"/>
      <c r="F246" s="838"/>
      <c r="G246" s="890">
        <v>0</v>
      </c>
      <c r="H246" s="890">
        <v>1.9654044388813108E-9</v>
      </c>
      <c r="I246" s="890">
        <v>3.5029134263595616E-9</v>
      </c>
      <c r="J246" s="890">
        <v>4.6846420181726463E-9</v>
      </c>
      <c r="K246" s="890">
        <v>5.6007060160779399E-9</v>
      </c>
      <c r="L246" s="890">
        <v>6.3375381449012358E-9</v>
      </c>
      <c r="M246" s="890">
        <v>6.9210868409152548E-9</v>
      </c>
      <c r="N246" s="890">
        <v>7.3864989599313068E-9</v>
      </c>
      <c r="O246" s="890">
        <v>7.7556842201402336E-9</v>
      </c>
      <c r="P246" s="890">
        <v>8.0266696661759018E-9</v>
      </c>
      <c r="Q246" s="890">
        <v>8.2338970872450699E-9</v>
      </c>
      <c r="R246" s="890">
        <v>8.3753329742001498E-9</v>
      </c>
      <c r="S246" s="890">
        <v>8.4712761848321055E-9</v>
      </c>
      <c r="T246" s="890">
        <v>8.5335646705333193E-9</v>
      </c>
      <c r="U246" s="890">
        <v>8.5721528770060049E-9</v>
      </c>
      <c r="V246" s="890">
        <v>8.5925416019677161E-9</v>
      </c>
      <c r="W246" s="890">
        <v>8.5934791013450636E-9</v>
      </c>
      <c r="X246" s="890">
        <v>8.591947945942546E-9</v>
      </c>
      <c r="Y246" s="890">
        <v>8.589728114206179E-9</v>
      </c>
      <c r="Z246" s="890">
        <v>8.5817920010333109E-9</v>
      </c>
      <c r="AA246" s="890">
        <v>8.5653021614945635E-9</v>
      </c>
      <c r="AB246" s="890">
        <v>8.5439786824097695E-9</v>
      </c>
      <c r="AC246" s="890">
        <v>8.520789994979849E-9</v>
      </c>
      <c r="AD246" s="890">
        <v>8.4963736281249089E-9</v>
      </c>
      <c r="AE246" s="890">
        <v>8.4712076542378938E-9</v>
      </c>
      <c r="AF246" s="890">
        <v>8.4456483771686508E-9</v>
      </c>
    </row>
    <row r="247" spans="1:32" s="864" customFormat="1" x14ac:dyDescent="0.25">
      <c r="A247" s="839"/>
      <c r="B247" s="839"/>
      <c r="C247" s="838"/>
      <c r="D247" s="838"/>
      <c r="E247" s="838"/>
      <c r="F247" s="838"/>
      <c r="G247" s="890" t="s">
        <v>73</v>
      </c>
      <c r="H247" s="890" t="s">
        <v>73</v>
      </c>
      <c r="I247" s="890" t="s">
        <v>73</v>
      </c>
      <c r="J247" s="890" t="s">
        <v>73</v>
      </c>
      <c r="K247" s="890" t="s">
        <v>73</v>
      </c>
      <c r="L247" s="890" t="s">
        <v>73</v>
      </c>
      <c r="M247" s="890" t="s">
        <v>73</v>
      </c>
      <c r="N247" s="890" t="s">
        <v>73</v>
      </c>
      <c r="O247" s="890" t="s">
        <v>73</v>
      </c>
      <c r="P247" s="890" t="s">
        <v>73</v>
      </c>
      <c r="Q247" s="890" t="s">
        <v>73</v>
      </c>
      <c r="R247" s="890" t="s">
        <v>73</v>
      </c>
      <c r="S247" s="890" t="s">
        <v>73</v>
      </c>
      <c r="T247" s="890" t="s">
        <v>73</v>
      </c>
      <c r="U247" s="890" t="s">
        <v>73</v>
      </c>
      <c r="V247" s="890" t="s">
        <v>73</v>
      </c>
      <c r="W247" s="890" t="s">
        <v>73</v>
      </c>
      <c r="X247" s="890" t="s">
        <v>73</v>
      </c>
      <c r="Y247" s="890" t="s">
        <v>73</v>
      </c>
      <c r="Z247" s="890" t="s">
        <v>73</v>
      </c>
      <c r="AA247" s="890" t="s">
        <v>73</v>
      </c>
      <c r="AB247" s="890" t="s">
        <v>73</v>
      </c>
      <c r="AC247" s="890" t="s">
        <v>73</v>
      </c>
      <c r="AD247" s="890" t="s">
        <v>73</v>
      </c>
      <c r="AE247" s="890" t="s">
        <v>73</v>
      </c>
      <c r="AF247" s="890" t="s">
        <v>73</v>
      </c>
    </row>
    <row r="248" spans="1:32" s="856" customFormat="1" ht="12.75" x14ac:dyDescent="0.2">
      <c r="A248" s="843" t="s">
        <v>42</v>
      </c>
      <c r="B248" s="843"/>
      <c r="C248" s="843"/>
      <c r="D248" s="843"/>
      <c r="E248" s="843"/>
      <c r="F248" s="843"/>
      <c r="G248" s="891" t="s">
        <v>73</v>
      </c>
      <c r="H248" s="891" t="s">
        <v>73</v>
      </c>
      <c r="I248" s="891" t="s">
        <v>73</v>
      </c>
      <c r="J248" s="891" t="s">
        <v>73</v>
      </c>
      <c r="K248" s="891" t="s">
        <v>73</v>
      </c>
      <c r="L248" s="891" t="s">
        <v>73</v>
      </c>
      <c r="M248" s="891" t="s">
        <v>73</v>
      </c>
      <c r="N248" s="891" t="s">
        <v>73</v>
      </c>
      <c r="O248" s="891" t="s">
        <v>73</v>
      </c>
      <c r="P248" s="891" t="s">
        <v>73</v>
      </c>
      <c r="Q248" s="891" t="s">
        <v>73</v>
      </c>
      <c r="R248" s="891" t="s">
        <v>73</v>
      </c>
      <c r="S248" s="891" t="s">
        <v>73</v>
      </c>
      <c r="T248" s="891" t="s">
        <v>73</v>
      </c>
      <c r="U248" s="891" t="s">
        <v>73</v>
      </c>
      <c r="V248" s="891" t="s">
        <v>73</v>
      </c>
      <c r="W248" s="891" t="s">
        <v>73</v>
      </c>
      <c r="X248" s="891" t="s">
        <v>73</v>
      </c>
      <c r="Y248" s="891" t="s">
        <v>73</v>
      </c>
      <c r="Z248" s="891" t="s">
        <v>73</v>
      </c>
      <c r="AA248" s="891" t="s">
        <v>73</v>
      </c>
      <c r="AB248" s="891" t="s">
        <v>73</v>
      </c>
      <c r="AC248" s="891" t="s">
        <v>73</v>
      </c>
      <c r="AD248" s="891" t="s">
        <v>73</v>
      </c>
      <c r="AE248" s="891" t="s">
        <v>73</v>
      </c>
      <c r="AF248" s="891" t="s">
        <v>73</v>
      </c>
    </row>
    <row r="249" spans="1:32" s="864" customFormat="1" x14ac:dyDescent="0.25">
      <c r="A249" s="839"/>
      <c r="B249" s="842" t="s">
        <v>43</v>
      </c>
      <c r="C249" s="838"/>
      <c r="D249" s="838"/>
      <c r="E249" s="838"/>
      <c r="F249" s="838"/>
      <c r="G249" s="890">
        <v>5.1909761682465642E-3</v>
      </c>
      <c r="H249" s="890">
        <v>4.5320374511367105E-3</v>
      </c>
      <c r="I249" s="890">
        <v>3.9586477761943129E-3</v>
      </c>
      <c r="J249" s="890">
        <v>3.4643234284627102E-3</v>
      </c>
      <c r="K249" s="890">
        <v>3.0397475950332191E-3</v>
      </c>
      <c r="L249" s="890">
        <v>2.6740525538319557E-3</v>
      </c>
      <c r="M249" s="890">
        <v>2.3608505835322089E-3</v>
      </c>
      <c r="N249" s="890">
        <v>2.0900366514001764E-3</v>
      </c>
      <c r="O249" s="890">
        <v>1.8535105103769185E-3</v>
      </c>
      <c r="P249" s="890">
        <v>1.6492143895018069E-3</v>
      </c>
      <c r="Q249" s="890">
        <v>1.4717442330820655E-3</v>
      </c>
      <c r="R249" s="890">
        <v>1.3187722910399911E-3</v>
      </c>
      <c r="S249" s="890">
        <v>1.1865036736246506E-3</v>
      </c>
      <c r="T249" s="890">
        <v>1.0720048861709113E-3</v>
      </c>
      <c r="U249" s="890">
        <v>9.7273802253375287E-4</v>
      </c>
      <c r="V249" s="890">
        <v>8.866449943008242E-4</v>
      </c>
      <c r="W249" s="890">
        <v>8.1215080219551605E-4</v>
      </c>
      <c r="X249" s="890">
        <v>7.4724174744620589E-4</v>
      </c>
      <c r="Y249" s="890">
        <v>6.906540815237801E-4</v>
      </c>
      <c r="Z249" s="890">
        <v>6.4145697160044332E-4</v>
      </c>
      <c r="AA249" s="890">
        <v>5.9876632725579032E-4</v>
      </c>
      <c r="AB249" s="890">
        <v>5.6174675226069071E-4</v>
      </c>
      <c r="AC249" s="890">
        <v>5.2958816735789393E-4</v>
      </c>
      <c r="AD249" s="890">
        <v>5.0157544611472522E-4</v>
      </c>
      <c r="AE249" s="890">
        <v>4.7721241662870362E-4</v>
      </c>
      <c r="AF249" s="890">
        <v>4.5600825415705796E-4</v>
      </c>
    </row>
    <row r="250" spans="1:32" s="864" customFormat="1" x14ac:dyDescent="0.25">
      <c r="A250" s="839"/>
      <c r="B250" s="842" t="s">
        <v>44</v>
      </c>
      <c r="C250" s="838"/>
      <c r="D250" s="838"/>
      <c r="E250" s="838"/>
      <c r="F250" s="838"/>
      <c r="G250" s="890">
        <v>0.15276480043071231</v>
      </c>
      <c r="H250" s="890">
        <v>0.15430941072286652</v>
      </c>
      <c r="I250" s="890">
        <v>0.15651405710650576</v>
      </c>
      <c r="J250" s="890">
        <v>0.15841514915633215</v>
      </c>
      <c r="K250" s="890">
        <v>0.16004843001528177</v>
      </c>
      <c r="L250" s="890">
        <v>0.16145562052294166</v>
      </c>
      <c r="M250" s="890">
        <v>0.16266121739862233</v>
      </c>
      <c r="N250" s="890">
        <v>0.16370403720245763</v>
      </c>
      <c r="O250" s="890">
        <v>0.16461520122530193</v>
      </c>
      <c r="P250" s="890">
        <v>0.16540257089212432</v>
      </c>
      <c r="Q250" s="890">
        <v>0.1660869057102129</v>
      </c>
      <c r="R250" s="890">
        <v>0.166677117055681</v>
      </c>
      <c r="S250" s="890">
        <v>0.16718778072100776</v>
      </c>
      <c r="T250" s="890">
        <v>0.16763016014353352</v>
      </c>
      <c r="U250" s="890">
        <v>0.16801400124718363</v>
      </c>
      <c r="V250" s="890">
        <v>0.16834720516912652</v>
      </c>
      <c r="W250" s="890">
        <v>0.16863581225689461</v>
      </c>
      <c r="X250" s="890">
        <v>0.16888756951997663</v>
      </c>
      <c r="Y250" s="890">
        <v>0.16910732923052657</v>
      </c>
      <c r="Z250" s="890">
        <v>0.16929865854327128</v>
      </c>
      <c r="AA250" s="890">
        <v>0.16946494779798654</v>
      </c>
      <c r="AB250" s="890">
        <v>0.16960940175674274</v>
      </c>
      <c r="AC250" s="890">
        <v>0.16973513486355374</v>
      </c>
      <c r="AD250" s="890">
        <v>0.1698449004074756</v>
      </c>
      <c r="AE250" s="890">
        <v>0.16994059893025537</v>
      </c>
      <c r="AF250" s="890">
        <v>0.1700241169180074</v>
      </c>
    </row>
    <row r="251" spans="1:32" s="864" customFormat="1" x14ac:dyDescent="0.25">
      <c r="A251" s="839"/>
      <c r="B251" s="842" t="s">
        <v>45</v>
      </c>
      <c r="C251" s="838"/>
      <c r="D251" s="838"/>
      <c r="E251" s="838"/>
      <c r="F251" s="838"/>
      <c r="G251" s="890">
        <v>1.2535634873625289E-2</v>
      </c>
      <c r="H251" s="890">
        <v>1.1064137823804335E-2</v>
      </c>
      <c r="I251" s="890">
        <v>9.7833697129895321E-3</v>
      </c>
      <c r="J251" s="890">
        <v>8.6789055461032241E-3</v>
      </c>
      <c r="K251" s="890">
        <v>7.7299884336451373E-3</v>
      </c>
      <c r="L251" s="890">
        <v>6.9123871859537956E-3</v>
      </c>
      <c r="M251" s="890">
        <v>6.2118770025157933E-3</v>
      </c>
      <c r="N251" s="890">
        <v>5.6059109818890731E-3</v>
      </c>
      <c r="O251" s="890">
        <v>5.0764114561552718E-3</v>
      </c>
      <c r="P251" s="890">
        <v>4.618816695074972E-3</v>
      </c>
      <c r="Q251" s="890">
        <v>4.2210682881759724E-3</v>
      </c>
      <c r="R251" s="890">
        <v>3.8779932795604943E-3</v>
      </c>
      <c r="S251" s="890">
        <v>3.581125390500367E-3</v>
      </c>
      <c r="T251" s="890">
        <v>3.3239227292134773E-3</v>
      </c>
      <c r="U251" s="890">
        <v>3.1007246400299639E-3</v>
      </c>
      <c r="V251" s="890">
        <v>2.9069422100846723E-3</v>
      </c>
      <c r="W251" s="890">
        <v>2.7390679464530444E-3</v>
      </c>
      <c r="X251" s="890">
        <v>2.5926006570554179E-3</v>
      </c>
      <c r="Y251" s="890">
        <v>2.4647221192303451E-3</v>
      </c>
      <c r="Z251" s="890">
        <v>2.3533612825482808E-3</v>
      </c>
      <c r="AA251" s="890">
        <v>2.2565495022160505E-3</v>
      </c>
      <c r="AB251" s="890">
        <v>2.1724255574691758E-3</v>
      </c>
      <c r="AC251" s="890">
        <v>2.0991801576841981E-3</v>
      </c>
      <c r="AD251" s="890">
        <v>2.0352135820649914E-3</v>
      </c>
      <c r="AE251" s="890">
        <v>1.9794223134290234E-3</v>
      </c>
      <c r="AF251" s="890">
        <v>1.9307105001089763E-3</v>
      </c>
    </row>
    <row r="252" spans="1:32" s="864" customFormat="1" x14ac:dyDescent="0.25">
      <c r="A252" s="839"/>
      <c r="B252" s="842" t="s">
        <v>46</v>
      </c>
      <c r="C252" s="838"/>
      <c r="D252" s="838"/>
      <c r="E252" s="838"/>
      <c r="F252" s="838"/>
      <c r="G252" s="890">
        <v>1.2661197128309735E-4</v>
      </c>
      <c r="H252" s="890">
        <v>1.0955738859085266E-4</v>
      </c>
      <c r="I252" s="890">
        <v>9.4715880821461142E-5</v>
      </c>
      <c r="J252" s="890">
        <v>8.1919620245250017E-5</v>
      </c>
      <c r="K252" s="890">
        <v>7.0927575218533863E-5</v>
      </c>
      <c r="L252" s="890">
        <v>6.1458689048456049E-5</v>
      </c>
      <c r="M252" s="890">
        <v>5.3347656175241193E-5</v>
      </c>
      <c r="N252" s="890">
        <v>4.6333236535263061E-5</v>
      </c>
      <c r="O252" s="890">
        <v>4.0206052866215801E-5</v>
      </c>
      <c r="P252" s="890">
        <v>3.4912710773391445E-5</v>
      </c>
      <c r="Q252" s="890">
        <v>3.0313508668089816E-5</v>
      </c>
      <c r="R252" s="890">
        <v>2.634811432646244E-5</v>
      </c>
      <c r="S252" s="890">
        <v>2.2918407645888907E-5</v>
      </c>
      <c r="T252" s="890">
        <v>1.9948518438404416E-5</v>
      </c>
      <c r="U252" s="890">
        <v>1.7372813571143399E-5</v>
      </c>
      <c r="V252" s="890">
        <v>1.5138053168415842E-5</v>
      </c>
      <c r="W252" s="890">
        <v>1.3203451784420723E-5</v>
      </c>
      <c r="X252" s="890">
        <v>1.1517016473675043E-5</v>
      </c>
      <c r="Y252" s="890">
        <v>1.0046056229157215E-5</v>
      </c>
      <c r="Z252" s="890">
        <v>8.7664416654071894E-6</v>
      </c>
      <c r="AA252" s="890">
        <v>7.6552655713029336E-6</v>
      </c>
      <c r="AB252" s="890">
        <v>6.6910366348672183E-6</v>
      </c>
      <c r="AC252" s="890">
        <v>5.8527938508845036E-6</v>
      </c>
      <c r="AD252" s="890">
        <v>5.1219195899912241E-6</v>
      </c>
      <c r="AE252" s="890">
        <v>4.4856782131127339E-6</v>
      </c>
      <c r="AF252" s="890">
        <v>3.9313565761020711E-6</v>
      </c>
    </row>
    <row r="253" spans="1:32" s="864" customFormat="1" x14ac:dyDescent="0.25">
      <c r="A253" s="839"/>
      <c r="B253" s="839" t="s">
        <v>29</v>
      </c>
      <c r="C253" s="838"/>
      <c r="D253" s="838"/>
      <c r="E253" s="838"/>
      <c r="F253" s="838"/>
      <c r="G253" s="890">
        <v>0</v>
      </c>
      <c r="H253" s="890">
        <v>3.6132274500054982E-9</v>
      </c>
      <c r="I253" s="890">
        <v>6.4407736610267611E-9</v>
      </c>
      <c r="J253" s="890">
        <v>8.6135617537596619E-9</v>
      </c>
      <c r="K253" s="890">
        <v>1.0262039429170452E-8</v>
      </c>
      <c r="L253" s="890">
        <v>1.1516103329788524E-8</v>
      </c>
      <c r="M253" s="890">
        <v>1.2439304341323281E-8</v>
      </c>
      <c r="N253" s="890">
        <v>1.3141864250957147E-8</v>
      </c>
      <c r="O253" s="890">
        <v>1.3712467540955576E-8</v>
      </c>
      <c r="P253" s="890">
        <v>1.4139294816785342E-8</v>
      </c>
      <c r="Q253" s="890">
        <v>1.447513522646805E-8</v>
      </c>
      <c r="R253" s="890">
        <v>1.4711087327025E-8</v>
      </c>
      <c r="S253" s="890">
        <v>1.4878360975694008E-8</v>
      </c>
      <c r="T253" s="890">
        <v>1.4994480822281562E-8</v>
      </c>
      <c r="U253" s="890">
        <v>1.5074501884199182E-8</v>
      </c>
      <c r="V253" s="890">
        <v>1.5126266662780059E-8</v>
      </c>
      <c r="W253" s="890">
        <v>1.51461278162624E-8</v>
      </c>
      <c r="X253" s="890">
        <v>1.5163147453145701E-8</v>
      </c>
      <c r="Y253" s="890">
        <v>1.5179747972788861E-8</v>
      </c>
      <c r="Z253" s="890">
        <v>1.5186428527844101E-8</v>
      </c>
      <c r="AA253" s="890">
        <v>1.5177708968907722E-8</v>
      </c>
      <c r="AB253" s="890">
        <v>1.5159883824410981E-8</v>
      </c>
      <c r="AC253" s="890">
        <v>1.5138060466169224E-8</v>
      </c>
      <c r="AD253" s="890">
        <v>1.5113288403586543E-8</v>
      </c>
      <c r="AE253" s="890">
        <v>1.5086302287817882E-8</v>
      </c>
      <c r="AF253" s="890">
        <v>1.5057702568729747E-8</v>
      </c>
    </row>
    <row r="254" spans="1:32" s="864" customFormat="1" x14ac:dyDescent="0.25">
      <c r="A254" s="839"/>
      <c r="B254" s="839"/>
      <c r="C254" s="838"/>
      <c r="D254" s="838"/>
      <c r="E254" s="838"/>
      <c r="F254" s="838"/>
      <c r="G254" s="890" t="s">
        <v>73</v>
      </c>
      <c r="H254" s="890" t="s">
        <v>73</v>
      </c>
      <c r="I254" s="890" t="s">
        <v>73</v>
      </c>
      <c r="J254" s="890" t="s">
        <v>73</v>
      </c>
      <c r="K254" s="890" t="s">
        <v>73</v>
      </c>
      <c r="L254" s="890" t="s">
        <v>73</v>
      </c>
      <c r="M254" s="890" t="s">
        <v>73</v>
      </c>
      <c r="N254" s="890" t="s">
        <v>73</v>
      </c>
      <c r="O254" s="890" t="s">
        <v>73</v>
      </c>
      <c r="P254" s="890" t="s">
        <v>73</v>
      </c>
      <c r="Q254" s="890" t="s">
        <v>73</v>
      </c>
      <c r="R254" s="890" t="s">
        <v>73</v>
      </c>
      <c r="S254" s="890" t="s">
        <v>73</v>
      </c>
      <c r="T254" s="890" t="s">
        <v>73</v>
      </c>
      <c r="U254" s="890" t="s">
        <v>73</v>
      </c>
      <c r="V254" s="890" t="s">
        <v>73</v>
      </c>
      <c r="W254" s="890" t="s">
        <v>73</v>
      </c>
      <c r="X254" s="890" t="s">
        <v>73</v>
      </c>
      <c r="Y254" s="890" t="s">
        <v>73</v>
      </c>
      <c r="Z254" s="890" t="s">
        <v>73</v>
      </c>
      <c r="AA254" s="890" t="s">
        <v>73</v>
      </c>
      <c r="AB254" s="890" t="s">
        <v>73</v>
      </c>
      <c r="AC254" s="890" t="s">
        <v>73</v>
      </c>
      <c r="AD254" s="890" t="s">
        <v>73</v>
      </c>
      <c r="AE254" s="890" t="s">
        <v>73</v>
      </c>
      <c r="AF254" s="890" t="s">
        <v>73</v>
      </c>
    </row>
    <row r="255" spans="1:32" s="856" customFormat="1" ht="12.75" x14ac:dyDescent="0.2">
      <c r="A255" s="843" t="s">
        <v>47</v>
      </c>
      <c r="B255" s="843"/>
      <c r="C255" s="843"/>
      <c r="D255" s="843"/>
      <c r="E255" s="843"/>
      <c r="F255" s="843"/>
      <c r="G255" s="891" t="s">
        <v>73</v>
      </c>
      <c r="H255" s="891" t="s">
        <v>73</v>
      </c>
      <c r="I255" s="891" t="s">
        <v>73</v>
      </c>
      <c r="J255" s="891" t="s">
        <v>73</v>
      </c>
      <c r="K255" s="891" t="s">
        <v>73</v>
      </c>
      <c r="L255" s="891" t="s">
        <v>73</v>
      </c>
      <c r="M255" s="891" t="s">
        <v>73</v>
      </c>
      <c r="N255" s="891" t="s">
        <v>73</v>
      </c>
      <c r="O255" s="891" t="s">
        <v>73</v>
      </c>
      <c r="P255" s="891" t="s">
        <v>73</v>
      </c>
      <c r="Q255" s="891" t="s">
        <v>73</v>
      </c>
      <c r="R255" s="891" t="s">
        <v>73</v>
      </c>
      <c r="S255" s="891" t="s">
        <v>73</v>
      </c>
      <c r="T255" s="891" t="s">
        <v>73</v>
      </c>
      <c r="U255" s="891" t="s">
        <v>73</v>
      </c>
      <c r="V255" s="891" t="s">
        <v>73</v>
      </c>
      <c r="W255" s="891" t="s">
        <v>73</v>
      </c>
      <c r="X255" s="891" t="s">
        <v>73</v>
      </c>
      <c r="Y255" s="891" t="s">
        <v>73</v>
      </c>
      <c r="Z255" s="891" t="s">
        <v>73</v>
      </c>
      <c r="AA255" s="891" t="s">
        <v>73</v>
      </c>
      <c r="AB255" s="891" t="s">
        <v>73</v>
      </c>
      <c r="AC255" s="891" t="s">
        <v>73</v>
      </c>
      <c r="AD255" s="891" t="s">
        <v>73</v>
      </c>
      <c r="AE255" s="891" t="s">
        <v>73</v>
      </c>
      <c r="AF255" s="891" t="s">
        <v>73</v>
      </c>
    </row>
    <row r="256" spans="1:32" s="864" customFormat="1" x14ac:dyDescent="0.25">
      <c r="A256" s="839"/>
      <c r="B256" s="839" t="s">
        <v>48</v>
      </c>
      <c r="C256" s="838"/>
      <c r="D256" s="838"/>
      <c r="E256" s="838"/>
      <c r="F256" s="838"/>
      <c r="G256" s="890">
        <v>2.1216729642035037E-3</v>
      </c>
      <c r="H256" s="890">
        <v>2.0535173603989463E-3</v>
      </c>
      <c r="I256" s="890">
        <v>1.9744862848217631E-3</v>
      </c>
      <c r="J256" s="890">
        <v>1.8986685567310589E-3</v>
      </c>
      <c r="K256" s="890">
        <v>1.8259480057206828E-3</v>
      </c>
      <c r="L256" s="890">
        <v>1.7675309753255931E-3</v>
      </c>
      <c r="M256" s="890">
        <v>1.7110280650225443E-3</v>
      </c>
      <c r="N256" s="890">
        <v>1.6563368822252434E-3</v>
      </c>
      <c r="O256" s="890">
        <v>1.6033545495439444E-3</v>
      </c>
      <c r="P256" s="890">
        <v>1.552075844877436E-3</v>
      </c>
      <c r="Q256" s="890">
        <v>1.5024234902526255E-3</v>
      </c>
      <c r="R256" s="890">
        <v>1.4543790772163379E-3</v>
      </c>
      <c r="S256" s="890">
        <v>1.4078813062900803E-3</v>
      </c>
      <c r="T256" s="890">
        <v>1.3628783616412344E-3</v>
      </c>
      <c r="U256" s="890">
        <v>1.3193186339595679E-3</v>
      </c>
      <c r="V256" s="890">
        <v>1.2771562248050407E-3</v>
      </c>
      <c r="W256" s="890">
        <v>1.236356101879524E-3</v>
      </c>
      <c r="X256" s="890">
        <v>1.1968533599013829E-3</v>
      </c>
      <c r="Y256" s="890">
        <v>1.1586053902273533E-3</v>
      </c>
      <c r="Z256" s="890">
        <v>1.1215811786064109E-3</v>
      </c>
      <c r="AA256" s="890">
        <v>1.0857482965760527E-3</v>
      </c>
      <c r="AB256" s="890">
        <v>1.0510658898775368E-3</v>
      </c>
      <c r="AC256" s="890">
        <v>1.0174944706031438E-3</v>
      </c>
      <c r="AD256" s="890">
        <v>9.8499835201022387E-4</v>
      </c>
      <c r="AE256" s="890">
        <v>9.535429967828257E-4</v>
      </c>
      <c r="AF256" s="890">
        <v>9.230949799113752E-4</v>
      </c>
    </row>
    <row r="257" spans="1:32" s="864" customFormat="1" x14ac:dyDescent="0.25">
      <c r="A257" s="839"/>
      <c r="B257" s="842" t="s">
        <v>50</v>
      </c>
      <c r="C257" s="838"/>
      <c r="D257" s="838"/>
      <c r="E257" s="838"/>
      <c r="F257" s="838"/>
      <c r="G257" s="890">
        <v>3.1959937301191968E-2</v>
      </c>
      <c r="H257" s="890">
        <v>3.1519337242543112E-2</v>
      </c>
      <c r="I257" s="890">
        <v>3.108466023846472E-2</v>
      </c>
      <c r="J257" s="890">
        <v>3.0655978150348023E-2</v>
      </c>
      <c r="K257" s="890">
        <v>3.0233280526506194E-2</v>
      </c>
      <c r="L257" s="890">
        <v>2.9816452888904353E-2</v>
      </c>
      <c r="M257" s="890">
        <v>2.9405519763749072E-2</v>
      </c>
      <c r="N257" s="890">
        <v>2.9000268435813253E-2</v>
      </c>
      <c r="O257" s="890">
        <v>2.8600468804651519E-2</v>
      </c>
      <c r="P257" s="890">
        <v>2.8206211406633673E-2</v>
      </c>
      <c r="Q257" s="890">
        <v>2.7817340788390474E-2</v>
      </c>
      <c r="R257" s="890">
        <v>2.7433901404122569E-2</v>
      </c>
      <c r="S257" s="890">
        <v>2.7055784981190205E-2</v>
      </c>
      <c r="T257" s="890">
        <v>2.6682910783433322E-2</v>
      </c>
      <c r="U257" s="890">
        <v>2.6315193231907251E-2</v>
      </c>
      <c r="V257" s="890">
        <v>2.5952562832525429E-2</v>
      </c>
      <c r="W257" s="890">
        <v>2.5594988112883018E-2</v>
      </c>
      <c r="X257" s="890">
        <v>2.5242315911981353E-2</v>
      </c>
      <c r="Y257" s="890">
        <v>2.4894473027547756E-2</v>
      </c>
      <c r="Z257" s="890">
        <v>2.4551429561425656E-2</v>
      </c>
      <c r="AA257" s="890">
        <v>2.4213147925752729E-2</v>
      </c>
      <c r="AB257" s="890">
        <v>2.3879551779455617E-2</v>
      </c>
      <c r="AC257" s="890">
        <v>2.3550565460230603E-2</v>
      </c>
      <c r="AD257" s="890">
        <v>2.3226125082685217E-2</v>
      </c>
      <c r="AE257" s="890">
        <v>2.2906167649264501E-2</v>
      </c>
      <c r="AF257" s="890">
        <v>2.2590631037878995E-2</v>
      </c>
    </row>
    <row r="258" spans="1:32" s="864" customFormat="1" x14ac:dyDescent="0.25">
      <c r="A258" s="839"/>
      <c r="B258" s="839" t="s">
        <v>51</v>
      </c>
      <c r="C258" s="838"/>
      <c r="D258" s="838"/>
      <c r="E258" s="838"/>
      <c r="F258" s="838"/>
      <c r="G258" s="890">
        <v>2.8720432050772151E-2</v>
      </c>
      <c r="H258" s="890">
        <v>2.8391343565618673E-2</v>
      </c>
      <c r="I258" s="890">
        <v>2.8065138435358929E-2</v>
      </c>
      <c r="J258" s="890">
        <v>2.7742683453046986E-2</v>
      </c>
      <c r="K258" s="890">
        <v>2.7424361814136083E-2</v>
      </c>
      <c r="L258" s="890">
        <v>2.7109939037140131E-2</v>
      </c>
      <c r="M258" s="890">
        <v>2.6799996943707122E-2</v>
      </c>
      <c r="N258" s="890">
        <v>2.649370700149152E-2</v>
      </c>
      <c r="O258" s="890">
        <v>2.6190123549975863E-2</v>
      </c>
      <c r="P258" s="890">
        <v>2.589020133709044E-2</v>
      </c>
      <c r="Q258" s="890">
        <v>2.5593426057962814E-2</v>
      </c>
      <c r="R258" s="890">
        <v>2.5300472650878071E-2</v>
      </c>
      <c r="S258" s="890">
        <v>2.501109844075193E-2</v>
      </c>
      <c r="T258" s="890">
        <v>2.472521913807987E-2</v>
      </c>
      <c r="U258" s="890">
        <v>2.4442715115904613E-2</v>
      </c>
      <c r="V258" s="890">
        <v>2.4163557838703706E-2</v>
      </c>
      <c r="W258" s="890">
        <v>2.3887944235283103E-2</v>
      </c>
      <c r="X258" s="890">
        <v>2.3615327326108184E-2</v>
      </c>
      <c r="Y258" s="890">
        <v>2.3345637718429454E-2</v>
      </c>
      <c r="Z258" s="890">
        <v>2.3079065251612456E-2</v>
      </c>
      <c r="AA258" s="890">
        <v>2.281574953445599E-2</v>
      </c>
      <c r="AB258" s="890">
        <v>2.2555588500503373E-2</v>
      </c>
      <c r="AC258" s="890">
        <v>2.2298478480915825E-2</v>
      </c>
      <c r="AD258" s="890">
        <v>2.2044382786253262E-2</v>
      </c>
      <c r="AE258" s="890">
        <v>2.1793265178417467E-2</v>
      </c>
      <c r="AF258" s="890">
        <v>2.1545089864983189E-2</v>
      </c>
    </row>
    <row r="259" spans="1:32" s="864" customFormat="1" x14ac:dyDescent="0.25">
      <c r="A259" s="839"/>
      <c r="B259" s="839" t="s">
        <v>52</v>
      </c>
      <c r="C259" s="838"/>
      <c r="D259" s="838"/>
      <c r="E259" s="838"/>
      <c r="F259" s="838"/>
      <c r="G259" s="890">
        <v>5.7754868941415592E-3</v>
      </c>
      <c r="H259" s="890">
        <v>5.7622452490416016E-3</v>
      </c>
      <c r="I259" s="890">
        <v>5.7490427321773285E-3</v>
      </c>
      <c r="J259" s="890">
        <v>5.7359780742530248E-3</v>
      </c>
      <c r="K259" s="890">
        <v>5.7230968521756933E-3</v>
      </c>
      <c r="L259" s="890">
        <v>5.7103724313568079E-3</v>
      </c>
      <c r="M259" s="890">
        <v>5.6978770726529562E-3</v>
      </c>
      <c r="N259" s="890">
        <v>5.6855125745743128E-3</v>
      </c>
      <c r="O259" s="890">
        <v>5.673162507723757E-3</v>
      </c>
      <c r="P259" s="890">
        <v>5.6609451012118971E-3</v>
      </c>
      <c r="Q259" s="890">
        <v>5.6487970670834218E-3</v>
      </c>
      <c r="R259" s="890">
        <v>5.6368055113715058E-3</v>
      </c>
      <c r="S259" s="890">
        <v>5.6249423373115406E-3</v>
      </c>
      <c r="T259" s="890">
        <v>5.6131992864832661E-3</v>
      </c>
      <c r="U259" s="890">
        <v>5.6015633046476131E-3</v>
      </c>
      <c r="V259" s="890">
        <v>5.5900958231398616E-3</v>
      </c>
      <c r="W259" s="890">
        <v>5.5788199076010347E-3</v>
      </c>
      <c r="X259" s="890">
        <v>5.567604195861795E-3</v>
      </c>
      <c r="Y259" s="890">
        <v>5.5564942841506192E-3</v>
      </c>
      <c r="Z259" s="890">
        <v>5.545463907338454E-3</v>
      </c>
      <c r="AA259" s="890">
        <v>5.5345842007683398E-3</v>
      </c>
      <c r="AB259" s="890">
        <v>5.5238402724564015E-3</v>
      </c>
      <c r="AC259" s="890">
        <v>5.5131741791348719E-3</v>
      </c>
      <c r="AD259" s="890">
        <v>5.5026259648070144E-3</v>
      </c>
      <c r="AE259" s="890">
        <v>5.4921905497425432E-3</v>
      </c>
      <c r="AF259" s="890">
        <v>5.4818259440030433E-3</v>
      </c>
    </row>
    <row r="260" spans="1:32" s="864" customFormat="1" x14ac:dyDescent="0.25">
      <c r="A260" s="839"/>
      <c r="B260" s="842" t="s">
        <v>29</v>
      </c>
      <c r="C260" s="838"/>
      <c r="D260" s="838"/>
      <c r="E260" s="838"/>
      <c r="F260" s="838"/>
      <c r="G260" s="890">
        <v>0</v>
      </c>
      <c r="H260" s="890">
        <v>4.0943385608000979E-4</v>
      </c>
      <c r="I260" s="890">
        <v>8.1454232184007935E-4</v>
      </c>
      <c r="J260" s="890">
        <v>1.2145127548012641E-3</v>
      </c>
      <c r="K260" s="890">
        <v>1.6090022513645073E-3</v>
      </c>
      <c r="L260" s="890">
        <v>1.9982835275417837E-3</v>
      </c>
      <c r="M260" s="890">
        <v>2.3818148807048206E-3</v>
      </c>
      <c r="N260" s="890">
        <v>2.7604340086846949E-3</v>
      </c>
      <c r="O260" s="890">
        <v>3.1350947185899204E-3</v>
      </c>
      <c r="P260" s="890">
        <v>3.5048880321846771E-3</v>
      </c>
      <c r="Q260" s="890">
        <v>3.8703439842122126E-3</v>
      </c>
      <c r="R260" s="890">
        <v>4.2308248084879443E-3</v>
      </c>
      <c r="S260" s="890">
        <v>4.5865923677492326E-3</v>
      </c>
      <c r="T260" s="890">
        <v>4.9377526324612874E-3</v>
      </c>
      <c r="U260" s="890">
        <v>5.2844459135506366E-3</v>
      </c>
      <c r="V260" s="890">
        <v>5.6266754377453949E-3</v>
      </c>
      <c r="W260" s="890">
        <v>5.964273222882413E-3</v>
      </c>
      <c r="X260" s="890">
        <v>6.2978450473250465E-3</v>
      </c>
      <c r="Y260" s="890">
        <v>6.6274405719348416E-3</v>
      </c>
      <c r="Z260" s="890">
        <v>6.9529336793148107E-3</v>
      </c>
      <c r="AA260" s="890">
        <v>7.2741693692089018E-3</v>
      </c>
      <c r="AB260" s="890">
        <v>7.5912705040971935E-3</v>
      </c>
      <c r="AC260" s="890">
        <v>7.9043931830036027E-3</v>
      </c>
      <c r="AD260" s="890">
        <v>8.2135603628686552E-3</v>
      </c>
      <c r="AE260" s="890">
        <v>8.51882805771342E-3</v>
      </c>
      <c r="AF260" s="890">
        <v>8.8202791907818628E-3</v>
      </c>
    </row>
    <row r="261" spans="1:32" s="864" customFormat="1" x14ac:dyDescent="0.25">
      <c r="A261" s="839"/>
      <c r="B261" s="842" t="s">
        <v>53</v>
      </c>
      <c r="C261" s="838"/>
      <c r="D261" s="838"/>
      <c r="E261" s="838"/>
      <c r="F261" s="838"/>
      <c r="G261" s="890">
        <v>0</v>
      </c>
      <c r="H261" s="890">
        <v>0</v>
      </c>
      <c r="I261" s="890">
        <v>0</v>
      </c>
      <c r="J261" s="890">
        <v>0</v>
      </c>
      <c r="K261" s="890">
        <v>0</v>
      </c>
      <c r="L261" s="890">
        <v>0</v>
      </c>
      <c r="M261" s="890">
        <v>0</v>
      </c>
      <c r="N261" s="890">
        <v>0</v>
      </c>
      <c r="O261" s="890">
        <v>0</v>
      </c>
      <c r="P261" s="890">
        <v>0</v>
      </c>
      <c r="Q261" s="890">
        <v>0</v>
      </c>
      <c r="R261" s="890">
        <v>0</v>
      </c>
      <c r="S261" s="890">
        <v>0</v>
      </c>
      <c r="T261" s="890">
        <v>0</v>
      </c>
      <c r="U261" s="890">
        <v>0</v>
      </c>
      <c r="V261" s="890">
        <v>0</v>
      </c>
      <c r="W261" s="890">
        <v>0</v>
      </c>
      <c r="X261" s="890">
        <v>0</v>
      </c>
      <c r="Y261" s="890">
        <v>0</v>
      </c>
      <c r="Z261" s="890">
        <v>0</v>
      </c>
      <c r="AA261" s="890">
        <v>0</v>
      </c>
      <c r="AB261" s="890">
        <v>0</v>
      </c>
      <c r="AC261" s="890">
        <v>0</v>
      </c>
      <c r="AD261" s="890">
        <v>0</v>
      </c>
      <c r="AE261" s="890">
        <v>0</v>
      </c>
      <c r="AF261" s="890">
        <v>0</v>
      </c>
    </row>
  </sheetData>
  <pageMargins left="0.7" right="0.7" top="0.75" bottom="0.75" header="0.3" footer="0.3"/>
  <pageSetup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0000"/>
  </sheetPr>
  <dimension ref="A1:AF261"/>
  <sheetViews>
    <sheetView zoomScale="59" zoomScaleNormal="59" workbookViewId="0">
      <selection sqref="A1:XFD1048576"/>
    </sheetView>
  </sheetViews>
  <sheetFormatPr defaultColWidth="9.140625" defaultRowHeight="15" x14ac:dyDescent="0.25"/>
  <cols>
    <col min="1" max="6" width="8.85546875" customWidth="1"/>
    <col min="7" max="7" width="10.5703125" bestFit="1" customWidth="1"/>
    <col min="8" max="21" width="9.42578125" bestFit="1" customWidth="1"/>
    <col min="22" max="32" width="12" bestFit="1" customWidth="1"/>
    <col min="33" max="16384" width="9.140625" style="221"/>
  </cols>
  <sheetData>
    <row r="1" spans="1:32" customFormat="1" ht="53.1" x14ac:dyDescent="0.4">
      <c r="A1" s="268" t="s">
        <v>288</v>
      </c>
      <c r="B1" s="499"/>
      <c r="C1" s="499"/>
      <c r="D1" s="499"/>
      <c r="E1" s="499"/>
      <c r="F1" s="499"/>
      <c r="G1" s="764" t="s">
        <v>411</v>
      </c>
      <c r="H1" s="748" t="s">
        <v>213</v>
      </c>
      <c r="I1" s="748" t="s">
        <v>214</v>
      </c>
      <c r="J1" s="748" t="s">
        <v>43</v>
      </c>
      <c r="K1" s="748" t="s">
        <v>44</v>
      </c>
      <c r="L1" s="748" t="s">
        <v>215</v>
      </c>
      <c r="M1" s="748" t="s">
        <v>257</v>
      </c>
      <c r="N1" s="748" t="s">
        <v>216</v>
      </c>
      <c r="O1" s="499"/>
      <c r="P1" s="499"/>
      <c r="Q1" s="499"/>
      <c r="R1" s="499"/>
      <c r="S1" s="499"/>
      <c r="T1" s="499"/>
      <c r="U1" s="499"/>
      <c r="V1" s="499"/>
      <c r="W1" s="499"/>
      <c r="X1" s="499"/>
      <c r="Y1" s="499"/>
      <c r="Z1" s="499"/>
      <c r="AA1" s="499"/>
      <c r="AB1" s="499"/>
      <c r="AC1" s="499"/>
      <c r="AD1" s="499"/>
      <c r="AE1" s="499"/>
      <c r="AF1" s="499"/>
    </row>
    <row r="2" spans="1:32" customFormat="1" ht="15.6" x14ac:dyDescent="0.35">
      <c r="A2" s="269" t="s">
        <v>275</v>
      </c>
      <c r="B2" s="499"/>
      <c r="C2" s="499"/>
      <c r="D2" s="499"/>
      <c r="E2" s="499"/>
      <c r="F2" s="499"/>
      <c r="G2" s="539" t="s">
        <v>255</v>
      </c>
      <c r="H2" s="539" t="s">
        <v>25</v>
      </c>
      <c r="I2" s="539" t="s">
        <v>25</v>
      </c>
      <c r="J2" s="539" t="s">
        <v>25</v>
      </c>
      <c r="K2" s="539" t="s">
        <v>25</v>
      </c>
      <c r="L2" s="539" t="s">
        <v>25</v>
      </c>
      <c r="M2" s="539" t="s">
        <v>25</v>
      </c>
      <c r="N2" s="539" t="s">
        <v>25</v>
      </c>
      <c r="O2" s="499"/>
      <c r="P2" s="499"/>
      <c r="Q2" s="499"/>
      <c r="R2" s="499"/>
      <c r="S2" s="499"/>
      <c r="T2" s="499"/>
      <c r="U2" s="499"/>
      <c r="V2" s="499"/>
      <c r="W2" s="499"/>
      <c r="X2" s="499"/>
      <c r="Y2" s="499"/>
      <c r="Z2" s="499"/>
      <c r="AA2" s="499"/>
      <c r="AB2" s="499"/>
      <c r="AC2" s="499"/>
      <c r="AD2" s="499"/>
      <c r="AE2" s="499"/>
      <c r="AF2" s="499"/>
    </row>
    <row r="3" spans="1:32" customFormat="1" ht="14.45" x14ac:dyDescent="0.35"/>
    <row r="4" spans="1:32" customFormat="1" ht="14.45" x14ac:dyDescent="0.35">
      <c r="A4" s="499"/>
      <c r="B4" s="499"/>
      <c r="C4" s="499"/>
      <c r="D4" s="208"/>
      <c r="E4" s="208"/>
      <c r="F4" s="208"/>
      <c r="G4" s="208">
        <v>2010</v>
      </c>
      <c r="H4" s="208">
        <v>2011</v>
      </c>
      <c r="I4" s="208">
        <v>2012</v>
      </c>
      <c r="J4" s="208">
        <v>2013</v>
      </c>
      <c r="K4" s="208">
        <v>2014</v>
      </c>
      <c r="L4" s="208">
        <v>2015</v>
      </c>
      <c r="M4" s="208">
        <v>2016</v>
      </c>
      <c r="N4" s="208">
        <v>2017</v>
      </c>
      <c r="O4" s="208">
        <v>2018</v>
      </c>
      <c r="P4" s="208">
        <v>2019</v>
      </c>
      <c r="Q4" s="208">
        <v>2020</v>
      </c>
      <c r="R4" s="208">
        <v>2021</v>
      </c>
      <c r="S4" s="208">
        <v>2022</v>
      </c>
      <c r="T4" s="208">
        <v>2023</v>
      </c>
      <c r="U4" s="208">
        <v>2024</v>
      </c>
      <c r="V4" s="208">
        <v>2025</v>
      </c>
      <c r="W4" s="208">
        <v>2026</v>
      </c>
      <c r="X4" s="208">
        <v>2027</v>
      </c>
      <c r="Y4" s="208">
        <v>2028</v>
      </c>
      <c r="Z4" s="208">
        <v>2029</v>
      </c>
      <c r="AA4" s="208">
        <v>2030</v>
      </c>
      <c r="AB4" s="208">
        <v>2031</v>
      </c>
      <c r="AC4" s="208">
        <v>2032</v>
      </c>
      <c r="AD4" s="208">
        <v>2033</v>
      </c>
      <c r="AE4" s="208">
        <v>2034</v>
      </c>
      <c r="AF4" s="208">
        <v>2035</v>
      </c>
    </row>
    <row r="5" spans="1:32" s="539" customFormat="1" ht="14.45" x14ac:dyDescent="0.35">
      <c r="A5" s="860" t="s">
        <v>526</v>
      </c>
      <c r="B5" s="555"/>
      <c r="C5" s="554"/>
      <c r="D5" s="553"/>
      <c r="E5" s="553"/>
      <c r="F5" s="553"/>
      <c r="G5" s="553"/>
      <c r="H5" s="560"/>
      <c r="I5" s="560"/>
      <c r="J5" s="560"/>
      <c r="K5" s="560"/>
      <c r="L5" s="560"/>
      <c r="M5" s="560"/>
      <c r="N5" s="560"/>
      <c r="O5" s="560"/>
      <c r="P5" s="560"/>
      <c r="Q5" s="560"/>
      <c r="R5" s="560"/>
      <c r="S5" s="560"/>
      <c r="T5" s="560"/>
      <c r="U5" s="560"/>
      <c r="V5" s="560"/>
      <c r="W5" s="560"/>
      <c r="X5" s="560"/>
      <c r="Y5" s="560"/>
      <c r="Z5" s="560"/>
      <c r="AA5" s="560"/>
      <c r="AB5" s="560"/>
      <c r="AC5" s="560"/>
      <c r="AD5" s="560"/>
      <c r="AE5" s="560"/>
      <c r="AF5" s="560"/>
    </row>
    <row r="6" spans="1:32" s="539" customFormat="1" ht="14.45" x14ac:dyDescent="0.35">
      <c r="A6" s="840" t="s">
        <v>12</v>
      </c>
      <c r="B6" s="550"/>
    </row>
    <row r="7" spans="1:32" s="539" customFormat="1" ht="14.45" x14ac:dyDescent="0.35">
      <c r="A7" s="839"/>
      <c r="B7" s="550" t="s">
        <v>20</v>
      </c>
    </row>
    <row r="8" spans="1:32" s="202" customFormat="1" ht="12.95" x14ac:dyDescent="0.3">
      <c r="A8" s="843" t="s">
        <v>21</v>
      </c>
      <c r="B8" s="556"/>
      <c r="C8" s="556"/>
      <c r="D8" s="556"/>
      <c r="E8" s="556"/>
      <c r="F8" s="556"/>
      <c r="G8" s="556"/>
      <c r="H8" s="556"/>
      <c r="I8" s="556"/>
      <c r="J8" s="556"/>
      <c r="K8" s="556"/>
      <c r="L8" s="556"/>
      <c r="M8" s="556"/>
      <c r="N8" s="556"/>
      <c r="O8" s="556"/>
      <c r="P8" s="556"/>
      <c r="Q8" s="556"/>
      <c r="R8" s="556"/>
      <c r="S8" s="556"/>
      <c r="T8" s="556"/>
      <c r="U8" s="556"/>
      <c r="V8" s="556"/>
      <c r="W8" s="556"/>
      <c r="X8" s="556"/>
      <c r="Y8" s="556"/>
      <c r="Z8" s="556"/>
      <c r="AA8" s="556"/>
      <c r="AB8" s="556"/>
      <c r="AC8" s="556"/>
      <c r="AD8" s="556"/>
      <c r="AE8" s="556"/>
      <c r="AF8" s="556"/>
    </row>
    <row r="9" spans="1:32" ht="14.45" x14ac:dyDescent="0.35">
      <c r="A9" s="839"/>
      <c r="B9" s="550" t="s">
        <v>22</v>
      </c>
      <c r="C9" s="539"/>
      <c r="D9" s="539"/>
      <c r="E9" s="539"/>
      <c r="F9" s="539"/>
      <c r="G9" s="549">
        <v>5.3761923868028888E-2</v>
      </c>
      <c r="H9" s="549">
        <v>2.7669250950399297E-2</v>
      </c>
      <c r="I9" s="549">
        <v>1.8235075824164001E-2</v>
      </c>
      <c r="J9" s="549">
        <v>1.0517502986982492E-2</v>
      </c>
      <c r="K9" s="549">
        <v>7.1868240097386999E-3</v>
      </c>
      <c r="L9" s="549">
        <v>4.5499580313834885E-3</v>
      </c>
      <c r="M9" s="549">
        <v>1.6947954591338017E-3</v>
      </c>
      <c r="N9" s="549">
        <v>1.6025437089570449E-3</v>
      </c>
      <c r="O9" s="549">
        <v>1.5787343007581606E-3</v>
      </c>
      <c r="P9" s="549">
        <v>1.5621261023555108E-3</v>
      </c>
      <c r="Q9" s="549">
        <v>1.5464055967894569E-3</v>
      </c>
      <c r="R9" s="549">
        <v>1.530919837939541E-3</v>
      </c>
      <c r="S9" s="549">
        <v>1.5155994170462938E-3</v>
      </c>
      <c r="T9" s="549">
        <v>1.5004352298784523E-3</v>
      </c>
      <c r="U9" s="549">
        <v>1.4854245233124647E-3</v>
      </c>
      <c r="V9" s="549">
        <v>1.4705653086275925E-3</v>
      </c>
      <c r="W9" s="549">
        <v>1.4558557647847245E-3</v>
      </c>
      <c r="X9" s="549">
        <v>1.4412941604540186E-3</v>
      </c>
      <c r="Y9" s="549">
        <v>1.4268788330472097E-3</v>
      </c>
      <c r="Z9" s="549">
        <v>1.4126081764023728E-3</v>
      </c>
      <c r="AA9" s="549">
        <v>1.3984806315359478E-3</v>
      </c>
      <c r="AB9" s="549">
        <v>1.3844946794147231E-3</v>
      </c>
      <c r="AC9" s="549">
        <v>1.3706488352704374E-3</v>
      </c>
      <c r="AD9" s="549">
        <v>1.3569416441185545E-3</v>
      </c>
      <c r="AE9" s="549">
        <v>1.3433716772198181E-3</v>
      </c>
      <c r="AF9" s="549">
        <v>1.3299375292803012E-3</v>
      </c>
    </row>
    <row r="10" spans="1:32" ht="14.45" x14ac:dyDescent="0.35">
      <c r="A10" s="839"/>
      <c r="B10" s="550" t="s">
        <v>26</v>
      </c>
      <c r="C10" s="539"/>
      <c r="D10" s="539"/>
      <c r="E10" s="539"/>
      <c r="F10" s="539"/>
      <c r="G10" s="549">
        <v>3.9255737227948944E-4</v>
      </c>
      <c r="H10" s="549">
        <v>3.5918648958871619E-4</v>
      </c>
      <c r="I10" s="549">
        <v>1.1617816508837741E-3</v>
      </c>
      <c r="J10" s="549">
        <v>3.0080190808778008E-3</v>
      </c>
      <c r="K10" s="549">
        <v>4.09169341304331E-3</v>
      </c>
      <c r="L10" s="549">
        <v>4.2555244228493685E-3</v>
      </c>
      <c r="M10" s="549">
        <v>4.4377620919965437E-3</v>
      </c>
      <c r="N10" s="549">
        <v>4.202208923111345E-3</v>
      </c>
      <c r="O10" s="549">
        <v>4.1404254800853479E-3</v>
      </c>
      <c r="P10" s="549">
        <v>4.0969372999837429E-3</v>
      </c>
      <c r="Q10" s="549">
        <v>4.0557159724236222E-3</v>
      </c>
      <c r="R10" s="549">
        <v>4.0151037150088099E-3</v>
      </c>
      <c r="S10" s="549">
        <v>3.9749241869302624E-3</v>
      </c>
      <c r="T10" s="549">
        <v>3.9351541452391069E-3</v>
      </c>
      <c r="U10" s="549">
        <v>3.8957864719937965E-3</v>
      </c>
      <c r="V10" s="549">
        <v>3.8568159911457024E-3</v>
      </c>
      <c r="W10" s="549">
        <v>3.8182379536159145E-3</v>
      </c>
      <c r="X10" s="549">
        <v>3.7800478393322252E-3</v>
      </c>
      <c r="Y10" s="549">
        <v>3.7422413039853502E-3</v>
      </c>
      <c r="Z10" s="549">
        <v>3.7048141477514724E-3</v>
      </c>
      <c r="AA10" s="549">
        <v>3.6677622918018377E-3</v>
      </c>
      <c r="AB10" s="549">
        <v>3.6310817599405983E-3</v>
      </c>
      <c r="AC10" s="549">
        <v>3.5947686641590567E-3</v>
      </c>
      <c r="AD10" s="549">
        <v>3.5588191932470854E-3</v>
      </c>
      <c r="AE10" s="549">
        <v>3.523229603798144E-3</v>
      </c>
      <c r="AF10" s="549">
        <v>3.4879962130892244E-3</v>
      </c>
    </row>
    <row r="11" spans="1:32" ht="14.45" x14ac:dyDescent="0.35">
      <c r="A11" s="839"/>
      <c r="B11" s="550" t="s">
        <v>27</v>
      </c>
      <c r="C11" s="539"/>
      <c r="D11" s="539"/>
      <c r="E11" s="539"/>
      <c r="F11" s="539"/>
      <c r="G11" s="549">
        <v>1.2171032639487586E-2</v>
      </c>
      <c r="H11" s="549">
        <v>3.7625189059247985E-2</v>
      </c>
      <c r="I11" s="549">
        <v>4.559319577379127E-2</v>
      </c>
      <c r="J11" s="549">
        <v>5.0810896841994919E-2</v>
      </c>
      <c r="K11" s="549">
        <v>5.2411537942311459E-2</v>
      </c>
      <c r="L11" s="549">
        <v>5.4245024533582063E-2</v>
      </c>
      <c r="M11" s="549">
        <v>5.6285047934477007E-2</v>
      </c>
      <c r="N11" s="549">
        <v>5.5986800469842779E-2</v>
      </c>
      <c r="O11" s="549">
        <v>5.545300856985564E-2</v>
      </c>
      <c r="P11" s="549">
        <v>5.4900232809502979E-2</v>
      </c>
      <c r="Q11" s="549">
        <v>5.4350680827639268E-2</v>
      </c>
      <c r="R11" s="549">
        <v>5.3806545414427601E-2</v>
      </c>
      <c r="S11" s="549">
        <v>5.3267967310380672E-2</v>
      </c>
      <c r="T11" s="549">
        <v>5.2734884104174241E-2</v>
      </c>
      <c r="U11" s="549">
        <v>5.2207219060222923E-2</v>
      </c>
      <c r="V11" s="549">
        <v>5.1684899243904993E-2</v>
      </c>
      <c r="W11" s="549">
        <v>5.1167856344192415E-2</v>
      </c>
      <c r="X11" s="549">
        <v>5.0656025939014609E-2</v>
      </c>
      <c r="Y11" s="549">
        <v>5.0149346776941113E-2</v>
      </c>
      <c r="Z11" s="549">
        <v>4.9647760198992509E-2</v>
      </c>
      <c r="AA11" s="549">
        <v>4.9151209683310174E-2</v>
      </c>
      <c r="AB11" s="549">
        <v>4.865964048739168E-2</v>
      </c>
      <c r="AC11" s="549">
        <v>4.8172999366873644E-2</v>
      </c>
      <c r="AD11" s="549">
        <v>4.7691234354278807E-2</v>
      </c>
      <c r="AE11" s="549">
        <v>4.7214294584729199E-2</v>
      </c>
      <c r="AF11" s="549">
        <v>4.6742130158445944E-2</v>
      </c>
    </row>
    <row r="12" spans="1:32" ht="14.45" x14ac:dyDescent="0.35">
      <c r="A12" s="839"/>
      <c r="B12" s="550" t="s">
        <v>29</v>
      </c>
      <c r="C12" s="539"/>
      <c r="D12" s="539"/>
      <c r="E12" s="539"/>
      <c r="F12" s="539"/>
      <c r="G12" s="549">
        <v>0</v>
      </c>
      <c r="H12" s="549">
        <v>8.6317020162974098E-6</v>
      </c>
      <c r="I12" s="549">
        <v>1.5582014688029324E-5</v>
      </c>
      <c r="J12" s="549">
        <v>1.9159795871033719E-5</v>
      </c>
      <c r="K12" s="549">
        <v>2.1967413381719004E-5</v>
      </c>
      <c r="L12" s="549">
        <v>2.4395474119211752E-5</v>
      </c>
      <c r="M12" s="549">
        <v>2.6547918646952709E-5</v>
      </c>
      <c r="N12" s="549">
        <v>2.8158737039673776E-5</v>
      </c>
      <c r="O12" s="549">
        <v>2.9346339065712261E-5</v>
      </c>
      <c r="P12" s="549">
        <v>3.020330055248368E-5</v>
      </c>
      <c r="Q12" s="549">
        <v>3.0802090252593804E-5</v>
      </c>
      <c r="R12" s="549">
        <v>3.1199444994190121E-5</v>
      </c>
      <c r="S12" s="549">
        <v>3.1439784324322166E-5</v>
      </c>
      <c r="T12" s="549">
        <v>3.1557883133845563E-5</v>
      </c>
      <c r="U12" s="549">
        <v>3.1580964295936062E-5</v>
      </c>
      <c r="V12" s="549">
        <v>3.1530337262165587E-5</v>
      </c>
      <c r="W12" s="549">
        <v>3.1422681138529489E-5</v>
      </c>
      <c r="X12" s="549">
        <v>3.1271049377993691E-5</v>
      </c>
      <c r="Y12" s="549">
        <v>3.1085656489170464E-5</v>
      </c>
      <c r="Z12" s="549">
        <v>3.0874494056022292E-5</v>
      </c>
      <c r="AA12" s="549">
        <v>3.0643813102142499E-5</v>
      </c>
      <c r="AB12" s="549">
        <v>3.0398501798174508E-5</v>
      </c>
      <c r="AC12" s="549">
        <v>3.0142381219257236E-5</v>
      </c>
      <c r="AD12" s="549">
        <v>2.9878436932782958E-5</v>
      </c>
      <c r="AE12" s="549">
        <v>2.9609000339053449E-5</v>
      </c>
      <c r="AF12" s="549">
        <v>2.9335890666705705E-5</v>
      </c>
    </row>
    <row r="13" spans="1:32" ht="14.45" x14ac:dyDescent="0.35">
      <c r="A13" s="839"/>
      <c r="B13" s="550"/>
      <c r="C13" s="539"/>
      <c r="D13" s="539"/>
      <c r="E13" s="539"/>
      <c r="F13" s="539"/>
      <c r="G13" s="549" t="s">
        <v>73</v>
      </c>
      <c r="H13" s="549" t="s">
        <v>73</v>
      </c>
      <c r="I13" s="549" t="s">
        <v>73</v>
      </c>
      <c r="J13" s="549" t="s">
        <v>73</v>
      </c>
      <c r="K13" s="549" t="s">
        <v>73</v>
      </c>
      <c r="L13" s="549" t="s">
        <v>73</v>
      </c>
      <c r="M13" s="549" t="s">
        <v>73</v>
      </c>
      <c r="N13" s="549" t="s">
        <v>73</v>
      </c>
      <c r="O13" s="549" t="s">
        <v>73</v>
      </c>
      <c r="P13" s="549" t="s">
        <v>73</v>
      </c>
      <c r="Q13" s="549" t="s">
        <v>73</v>
      </c>
      <c r="R13" s="549" t="s">
        <v>73</v>
      </c>
      <c r="S13" s="549" t="s">
        <v>73</v>
      </c>
      <c r="T13" s="549" t="s">
        <v>73</v>
      </c>
      <c r="U13" s="549" t="s">
        <v>73</v>
      </c>
      <c r="V13" s="549" t="s">
        <v>73</v>
      </c>
      <c r="W13" s="549" t="s">
        <v>73</v>
      </c>
      <c r="X13" s="549" t="s">
        <v>73</v>
      </c>
      <c r="Y13" s="549" t="s">
        <v>73</v>
      </c>
      <c r="Z13" s="549" t="s">
        <v>73</v>
      </c>
      <c r="AA13" s="549" t="s">
        <v>73</v>
      </c>
      <c r="AB13" s="549" t="s">
        <v>73</v>
      </c>
      <c r="AC13" s="549" t="s">
        <v>73</v>
      </c>
      <c r="AD13" s="549" t="s">
        <v>73</v>
      </c>
      <c r="AE13" s="549" t="s">
        <v>73</v>
      </c>
      <c r="AF13" s="549" t="s">
        <v>73</v>
      </c>
    </row>
    <row r="14" spans="1:32" s="202" customFormat="1" ht="12.95" x14ac:dyDescent="0.3">
      <c r="A14" s="843" t="s">
        <v>32</v>
      </c>
      <c r="B14" s="556"/>
      <c r="C14" s="556"/>
      <c r="D14" s="556"/>
      <c r="E14" s="556"/>
      <c r="F14" s="556"/>
      <c r="G14" s="632" t="s">
        <v>73</v>
      </c>
      <c r="H14" s="632" t="s">
        <v>73</v>
      </c>
      <c r="I14" s="632" t="s">
        <v>73</v>
      </c>
      <c r="J14" s="632" t="s">
        <v>73</v>
      </c>
      <c r="K14" s="632" t="s">
        <v>73</v>
      </c>
      <c r="L14" s="632" t="s">
        <v>73</v>
      </c>
      <c r="M14" s="632" t="s">
        <v>73</v>
      </c>
      <c r="N14" s="632" t="s">
        <v>73</v>
      </c>
      <c r="O14" s="632" t="s">
        <v>73</v>
      </c>
      <c r="P14" s="632" t="s">
        <v>73</v>
      </c>
      <c r="Q14" s="632" t="s">
        <v>73</v>
      </c>
      <c r="R14" s="632" t="s">
        <v>73</v>
      </c>
      <c r="S14" s="632" t="s">
        <v>73</v>
      </c>
      <c r="T14" s="632" t="s">
        <v>73</v>
      </c>
      <c r="U14" s="632" t="s">
        <v>73</v>
      </c>
      <c r="V14" s="632" t="s">
        <v>73</v>
      </c>
      <c r="W14" s="632" t="s">
        <v>73</v>
      </c>
      <c r="X14" s="632" t="s">
        <v>73</v>
      </c>
      <c r="Y14" s="632" t="s">
        <v>73</v>
      </c>
      <c r="Z14" s="632" t="s">
        <v>73</v>
      </c>
      <c r="AA14" s="632" t="s">
        <v>73</v>
      </c>
      <c r="AB14" s="632" t="s">
        <v>73</v>
      </c>
      <c r="AC14" s="632" t="s">
        <v>73</v>
      </c>
      <c r="AD14" s="632" t="s">
        <v>73</v>
      </c>
      <c r="AE14" s="632" t="s">
        <v>73</v>
      </c>
      <c r="AF14" s="632" t="s">
        <v>73</v>
      </c>
    </row>
    <row r="15" spans="1:32" ht="14.45" x14ac:dyDescent="0.35">
      <c r="A15" s="839"/>
      <c r="B15" s="550" t="s">
        <v>33</v>
      </c>
      <c r="C15" s="539"/>
      <c r="D15" s="539"/>
      <c r="E15" s="539"/>
      <c r="F15" s="539"/>
      <c r="G15" s="549">
        <v>2.4570930446210109E-3</v>
      </c>
      <c r="H15" s="549">
        <v>7.3331940895777475E-3</v>
      </c>
      <c r="I15" s="549">
        <v>8.3107187802495663E-3</v>
      </c>
      <c r="J15" s="549">
        <v>9.0800580379725108E-3</v>
      </c>
      <c r="K15" s="549">
        <v>9.7430455871466235E-3</v>
      </c>
      <c r="L15" s="549">
        <v>9.660348246178601E-3</v>
      </c>
      <c r="M15" s="549">
        <v>9.5702525979907433E-3</v>
      </c>
      <c r="N15" s="549">
        <v>9.4772225836456409E-3</v>
      </c>
      <c r="O15" s="549">
        <v>9.3833743213941022E-3</v>
      </c>
      <c r="P15" s="549">
        <v>9.2896997443805314E-3</v>
      </c>
      <c r="Q15" s="549">
        <v>9.1966543332664321E-3</v>
      </c>
      <c r="R15" s="549">
        <v>9.1044390325025204E-3</v>
      </c>
      <c r="S15" s="549">
        <v>9.0131351754824673E-3</v>
      </c>
      <c r="T15" s="549">
        <v>8.9227688217313368E-3</v>
      </c>
      <c r="U15" s="549">
        <v>8.8333412465415335E-3</v>
      </c>
      <c r="V15" s="549">
        <v>8.7448432400154298E-3</v>
      </c>
      <c r="W15" s="549">
        <v>8.6572616928493953E-3</v>
      </c>
      <c r="X15" s="549">
        <v>8.5705825323335993E-3</v>
      </c>
      <c r="Y15" s="549">
        <v>8.4847919511121372E-3</v>
      </c>
      <c r="Z15" s="549">
        <v>8.399876853209318E-3</v>
      </c>
      <c r="AA15" s="549">
        <v>8.3158249540428459E-3</v>
      </c>
      <c r="AB15" s="549">
        <v>8.2326247381134237E-3</v>
      </c>
      <c r="AC15" s="549">
        <v>8.1502653672774431E-3</v>
      </c>
      <c r="AD15" s="549">
        <v>8.0687365802753555E-3</v>
      </c>
      <c r="AE15" s="549">
        <v>7.9880285999042681E-3</v>
      </c>
      <c r="AF15" s="549">
        <v>7.9081320532108524E-3</v>
      </c>
    </row>
    <row r="16" spans="1:32" ht="14.45" x14ac:dyDescent="0.35">
      <c r="A16" s="842"/>
      <c r="B16" s="552" t="s">
        <v>34</v>
      </c>
      <c r="C16" s="539"/>
      <c r="D16" s="539"/>
      <c r="E16" s="539"/>
      <c r="F16" s="539"/>
      <c r="G16" s="549">
        <v>1.2830628573104812E-2</v>
      </c>
      <c r="H16" s="549">
        <v>1.071047889235935E-2</v>
      </c>
      <c r="I16" s="549">
        <v>1.085963876524175E-2</v>
      </c>
      <c r="J16" s="549">
        <v>1.0384064444236693E-2</v>
      </c>
      <c r="K16" s="549">
        <v>9.589645698513739E-3</v>
      </c>
      <c r="L16" s="549">
        <v>9.5079845922622485E-3</v>
      </c>
      <c r="M16" s="549">
        <v>9.4191927101159728E-3</v>
      </c>
      <c r="N16" s="549">
        <v>9.3275830017308641E-3</v>
      </c>
      <c r="O16" s="549">
        <v>9.2351999176312153E-3</v>
      </c>
      <c r="P16" s="549">
        <v>9.1430017059178081E-3</v>
      </c>
      <c r="Q16" s="549">
        <v>9.0514282881449058E-3</v>
      </c>
      <c r="R16" s="549">
        <v>8.9606736509463859E-3</v>
      </c>
      <c r="S16" s="549">
        <v>8.8708162126842349E-3</v>
      </c>
      <c r="T16" s="549">
        <v>8.781880986968223E-3</v>
      </c>
      <c r="U16" s="549">
        <v>8.6938690421733134E-3</v>
      </c>
      <c r="V16" s="549">
        <v>8.606771317368157E-3</v>
      </c>
      <c r="W16" s="549">
        <v>8.5205749855799678E-3</v>
      </c>
      <c r="X16" s="549">
        <v>8.4352662905844596E-3</v>
      </c>
      <c r="Y16" s="549">
        <v>8.3508317341358558E-3</v>
      </c>
      <c r="Z16" s="549">
        <v>8.2672585069081539E-3</v>
      </c>
      <c r="AA16" s="549">
        <v>8.1845345851135846E-3</v>
      </c>
      <c r="AB16" s="549">
        <v>8.1026486896061158E-3</v>
      </c>
      <c r="AC16" s="549">
        <v>8.0215901972377473E-3</v>
      </c>
      <c r="AD16" s="549">
        <v>7.9413490437660744E-3</v>
      </c>
      <c r="AE16" s="549">
        <v>7.8619156341479726E-3</v>
      </c>
      <c r="AF16" s="549">
        <v>7.7832807654138469E-3</v>
      </c>
    </row>
    <row r="17" spans="1:32" ht="14.45" x14ac:dyDescent="0.35">
      <c r="A17" s="839"/>
      <c r="B17" s="552" t="s">
        <v>35</v>
      </c>
      <c r="C17" s="539"/>
      <c r="D17" s="539"/>
      <c r="E17" s="539"/>
      <c r="F17" s="539"/>
      <c r="G17" s="549">
        <v>1.107157002459154E-2</v>
      </c>
      <c r="H17" s="549">
        <v>8.0415808365114482E-3</v>
      </c>
      <c r="I17" s="549">
        <v>6.6450502890325136E-3</v>
      </c>
      <c r="J17" s="549">
        <v>6.0853650949938701E-3</v>
      </c>
      <c r="K17" s="549">
        <v>5.9545352104001144E-3</v>
      </c>
      <c r="L17" s="549">
        <v>5.8606790428249039E-3</v>
      </c>
      <c r="M17" s="549">
        <v>5.7850616160942236E-3</v>
      </c>
      <c r="N17" s="549">
        <v>5.7186325547891621E-3</v>
      </c>
      <c r="O17" s="549">
        <v>5.657009275630849E-3</v>
      </c>
      <c r="P17" s="549">
        <v>5.5980609232909066E-3</v>
      </c>
      <c r="Q17" s="549">
        <v>5.5407443996728046E-3</v>
      </c>
      <c r="R17" s="549">
        <v>5.4845432835193457E-3</v>
      </c>
      <c r="S17" s="549">
        <v>5.4291971135727746E-3</v>
      </c>
      <c r="T17" s="549">
        <v>5.3745705702226291E-3</v>
      </c>
      <c r="U17" s="549">
        <v>5.3205901032745513E-3</v>
      </c>
      <c r="V17" s="549">
        <v>5.2672131093744676E-3</v>
      </c>
      <c r="W17" s="549">
        <v>5.214412844224533E-3</v>
      </c>
      <c r="X17" s="549">
        <v>5.1621709617685795E-3</v>
      </c>
      <c r="Y17" s="549">
        <v>5.1104737665105052E-3</v>
      </c>
      <c r="Z17" s="549">
        <v>5.0593102862101762E-3</v>
      </c>
      <c r="AA17" s="549">
        <v>5.0086712468944954E-3</v>
      </c>
      <c r="AB17" s="549">
        <v>4.9585485027579474E-3</v>
      </c>
      <c r="AC17" s="549">
        <v>4.9089347012313189E-3</v>
      </c>
      <c r="AD17" s="549">
        <v>4.8598230740227611E-3</v>
      </c>
      <c r="AE17" s="549">
        <v>4.8112072988632402E-3</v>
      </c>
      <c r="AF17" s="549">
        <v>4.763081403219775E-3</v>
      </c>
    </row>
    <row r="18" spans="1:32" ht="14.45" x14ac:dyDescent="0.35">
      <c r="A18" s="839"/>
      <c r="B18" s="552" t="s">
        <v>29</v>
      </c>
      <c r="C18" s="539"/>
      <c r="D18" s="539"/>
      <c r="E18" s="539"/>
      <c r="F18" s="539"/>
      <c r="G18" s="549">
        <v>0</v>
      </c>
      <c r="H18" s="549">
        <v>1.0444764396596649E-5</v>
      </c>
      <c r="I18" s="549">
        <v>1.9333600375186079E-5</v>
      </c>
      <c r="J18" s="549">
        <v>2.6906266221728561E-5</v>
      </c>
      <c r="K18" s="549">
        <v>3.3403218871913783E-5</v>
      </c>
      <c r="L18" s="549">
        <v>3.8411348072335469E-5</v>
      </c>
      <c r="M18" s="549">
        <v>4.2241886156291031E-5</v>
      </c>
      <c r="N18" s="549">
        <v>4.5142997215252922E-5</v>
      </c>
      <c r="O18" s="549">
        <v>4.7311628308909405E-5</v>
      </c>
      <c r="P18" s="549">
        <v>4.8903636731464635E-5</v>
      </c>
      <c r="Q18" s="549">
        <v>5.0042149733684429E-5</v>
      </c>
      <c r="R18" s="549">
        <v>5.0824334540569183E-5</v>
      </c>
      <c r="S18" s="549">
        <v>5.1326820934501662E-5</v>
      </c>
      <c r="T18" s="549">
        <v>5.1610016468076789E-5</v>
      </c>
      <c r="U18" s="549">
        <v>5.1721527134460825E-5</v>
      </c>
      <c r="V18" s="549">
        <v>5.1698862588398216E-5</v>
      </c>
      <c r="W18" s="549">
        <v>5.1571572521383022E-5</v>
      </c>
      <c r="X18" s="549">
        <v>5.1362932350032154E-5</v>
      </c>
      <c r="Y18" s="549">
        <v>5.1091272594468478E-5</v>
      </c>
      <c r="Z18" s="549">
        <v>5.0771026924898752E-5</v>
      </c>
      <c r="AA18" s="549">
        <v>5.0413558251806876E-5</v>
      </c>
      <c r="AB18" s="549">
        <v>5.0027809787928201E-5</v>
      </c>
      <c r="AC18" s="549">
        <v>4.9620818128547028E-5</v>
      </c>
      <c r="AD18" s="549">
        <v>4.9198117574797885E-5</v>
      </c>
      <c r="AE18" s="549">
        <v>4.8764058744175549E-5</v>
      </c>
      <c r="AF18" s="549">
        <v>4.832205963418749E-5</v>
      </c>
    </row>
    <row r="19" spans="1:32" ht="14.45" x14ac:dyDescent="0.35">
      <c r="A19" s="839"/>
      <c r="B19" s="550"/>
      <c r="C19" s="539"/>
      <c r="D19" s="539"/>
      <c r="E19" s="539"/>
      <c r="F19" s="539"/>
      <c r="G19" s="549" t="s">
        <v>73</v>
      </c>
      <c r="H19" s="549" t="s">
        <v>73</v>
      </c>
      <c r="I19" s="549" t="s">
        <v>73</v>
      </c>
      <c r="J19" s="549" t="s">
        <v>73</v>
      </c>
      <c r="K19" s="549" t="s">
        <v>73</v>
      </c>
      <c r="L19" s="549" t="s">
        <v>73</v>
      </c>
      <c r="M19" s="549" t="s">
        <v>73</v>
      </c>
      <c r="N19" s="549" t="s">
        <v>73</v>
      </c>
      <c r="O19" s="549" t="s">
        <v>73</v>
      </c>
      <c r="P19" s="549" t="s">
        <v>73</v>
      </c>
      <c r="Q19" s="549" t="s">
        <v>73</v>
      </c>
      <c r="R19" s="549" t="s">
        <v>73</v>
      </c>
      <c r="S19" s="549" t="s">
        <v>73</v>
      </c>
      <c r="T19" s="549" t="s">
        <v>73</v>
      </c>
      <c r="U19" s="549" t="s">
        <v>73</v>
      </c>
      <c r="V19" s="549" t="s">
        <v>73</v>
      </c>
      <c r="W19" s="549" t="s">
        <v>73</v>
      </c>
      <c r="X19" s="549" t="s">
        <v>73</v>
      </c>
      <c r="Y19" s="549" t="s">
        <v>73</v>
      </c>
      <c r="Z19" s="549" t="s">
        <v>73</v>
      </c>
      <c r="AA19" s="549" t="s">
        <v>73</v>
      </c>
      <c r="AB19" s="549" t="s">
        <v>73</v>
      </c>
      <c r="AC19" s="549" t="s">
        <v>73</v>
      </c>
      <c r="AD19" s="549" t="s">
        <v>73</v>
      </c>
      <c r="AE19" s="549" t="s">
        <v>73</v>
      </c>
      <c r="AF19" s="549" t="s">
        <v>73</v>
      </c>
    </row>
    <row r="20" spans="1:32" s="202" customFormat="1" ht="12.95" x14ac:dyDescent="0.3">
      <c r="A20" s="843" t="s">
        <v>36</v>
      </c>
      <c r="B20" s="556"/>
      <c r="C20" s="556"/>
      <c r="D20" s="556"/>
      <c r="E20" s="556"/>
      <c r="F20" s="556"/>
      <c r="G20" s="632" t="s">
        <v>73</v>
      </c>
      <c r="H20" s="632" t="s">
        <v>73</v>
      </c>
      <c r="I20" s="632" t="s">
        <v>73</v>
      </c>
      <c r="J20" s="632" t="s">
        <v>73</v>
      </c>
      <c r="K20" s="632" t="s">
        <v>73</v>
      </c>
      <c r="L20" s="632" t="s">
        <v>73</v>
      </c>
      <c r="M20" s="632" t="s">
        <v>73</v>
      </c>
      <c r="N20" s="632" t="s">
        <v>73</v>
      </c>
      <c r="O20" s="632" t="s">
        <v>73</v>
      </c>
      <c r="P20" s="632" t="s">
        <v>73</v>
      </c>
      <c r="Q20" s="632" t="s">
        <v>73</v>
      </c>
      <c r="R20" s="632" t="s">
        <v>73</v>
      </c>
      <c r="S20" s="632" t="s">
        <v>73</v>
      </c>
      <c r="T20" s="632" t="s">
        <v>73</v>
      </c>
      <c r="U20" s="632" t="s">
        <v>73</v>
      </c>
      <c r="V20" s="632" t="s">
        <v>73</v>
      </c>
      <c r="W20" s="632" t="s">
        <v>73</v>
      </c>
      <c r="X20" s="632" t="s">
        <v>73</v>
      </c>
      <c r="Y20" s="632" t="s">
        <v>73</v>
      </c>
      <c r="Z20" s="632" t="s">
        <v>73</v>
      </c>
      <c r="AA20" s="632" t="s">
        <v>73</v>
      </c>
      <c r="AB20" s="632" t="s">
        <v>73</v>
      </c>
      <c r="AC20" s="632" t="s">
        <v>73</v>
      </c>
      <c r="AD20" s="632" t="s">
        <v>73</v>
      </c>
      <c r="AE20" s="632" t="s">
        <v>73</v>
      </c>
      <c r="AF20" s="632" t="s">
        <v>73</v>
      </c>
    </row>
    <row r="21" spans="1:32" ht="14.45" x14ac:dyDescent="0.35">
      <c r="A21" s="839"/>
      <c r="B21" s="550" t="s">
        <v>37</v>
      </c>
      <c r="C21" s="539"/>
      <c r="D21" s="539"/>
      <c r="E21" s="539"/>
      <c r="F21" s="201"/>
      <c r="G21" s="549">
        <v>11.117175709889676</v>
      </c>
      <c r="H21" s="549">
        <v>9.8207023240917959</v>
      </c>
      <c r="I21" s="549">
        <v>8.1214646128208994</v>
      </c>
      <c r="J21" s="549">
        <v>6.2475315873503323</v>
      </c>
      <c r="K21" s="549">
        <v>4.4315765896188708</v>
      </c>
      <c r="L21" s="549">
        <v>3.1536221742266459</v>
      </c>
      <c r="M21" s="549">
        <v>2.250737585653964</v>
      </c>
      <c r="N21" s="549">
        <v>1.6114605869482534</v>
      </c>
      <c r="O21" s="549">
        <v>1.1608646213388276</v>
      </c>
      <c r="P21" s="549">
        <v>0.84262014549222486</v>
      </c>
      <c r="Q21" s="549">
        <v>0.61738872984244253</v>
      </c>
      <c r="R21" s="549">
        <v>0.45764284366204933</v>
      </c>
      <c r="S21" s="549">
        <v>0.34408273733591699</v>
      </c>
      <c r="T21" s="549">
        <v>0.26327153060947728</v>
      </c>
      <c r="U21" s="549">
        <v>0.20544474316570377</v>
      </c>
      <c r="V21" s="549">
        <v>0.16393223519320016</v>
      </c>
      <c r="W21" s="549">
        <v>0.13395775957872888</v>
      </c>
      <c r="X21" s="549">
        <v>0.11222128678088082</v>
      </c>
      <c r="Y21" s="549">
        <v>9.6313257243341832E-2</v>
      </c>
      <c r="Z21" s="549">
        <v>8.4565504698690411E-2</v>
      </c>
      <c r="AA21" s="549">
        <v>7.5867195269189378E-2</v>
      </c>
      <c r="AB21" s="549">
        <v>6.9293012007685992E-2</v>
      </c>
      <c r="AC21" s="549">
        <v>6.4251194139201523E-2</v>
      </c>
      <c r="AD21" s="549">
        <v>6.0387817060315596E-2</v>
      </c>
      <c r="AE21" s="549">
        <v>5.7312171559059537E-2</v>
      </c>
      <c r="AF21" s="549">
        <v>5.4813576295547319E-2</v>
      </c>
    </row>
    <row r="22" spans="1:32" ht="14.45" x14ac:dyDescent="0.35">
      <c r="A22" s="839"/>
      <c r="B22" s="550" t="s">
        <v>39</v>
      </c>
      <c r="C22" s="539"/>
      <c r="D22" s="539"/>
      <c r="E22" s="203"/>
      <c r="F22" s="539"/>
      <c r="G22" s="549">
        <v>32.69139768346389</v>
      </c>
      <c r="H22" s="549">
        <v>33.385469414714763</v>
      </c>
      <c r="I22" s="549">
        <v>34.418643522229857</v>
      </c>
      <c r="J22" s="549">
        <v>35.601506744459577</v>
      </c>
      <c r="K22" s="549">
        <v>36.716778105543995</v>
      </c>
      <c r="L22" s="549">
        <v>37.387489126840798</v>
      </c>
      <c r="M22" s="549">
        <v>37.748691528326646</v>
      </c>
      <c r="N22" s="549">
        <v>37.912240552549342</v>
      </c>
      <c r="O22" s="549">
        <v>37.918440342630234</v>
      </c>
      <c r="P22" s="549">
        <v>37.814814999816434</v>
      </c>
      <c r="Q22" s="549">
        <v>37.634623366899362</v>
      </c>
      <c r="R22" s="549">
        <v>37.401196262320887</v>
      </c>
      <c r="S22" s="549">
        <v>37.130938508154891</v>
      </c>
      <c r="T22" s="549">
        <v>36.834974126867252</v>
      </c>
      <c r="U22" s="549">
        <v>36.522060177551495</v>
      </c>
      <c r="V22" s="549">
        <v>36.197641776089178</v>
      </c>
      <c r="W22" s="549">
        <v>35.865914283144356</v>
      </c>
      <c r="X22" s="549">
        <v>35.530033084669249</v>
      </c>
      <c r="Y22" s="549">
        <v>35.191866049039348</v>
      </c>
      <c r="Z22" s="549">
        <v>34.852920762527233</v>
      </c>
      <c r="AA22" s="549">
        <v>34.514402704304814</v>
      </c>
      <c r="AB22" s="549">
        <v>34.176936796685979</v>
      </c>
      <c r="AC22" s="549">
        <v>33.841078490080449</v>
      </c>
      <c r="AD22" s="549">
        <v>33.507324607631944</v>
      </c>
      <c r="AE22" s="549">
        <v>33.175857514978063</v>
      </c>
      <c r="AF22" s="549">
        <v>32.846882692383566</v>
      </c>
    </row>
    <row r="23" spans="1:32" ht="14.45" x14ac:dyDescent="0.35">
      <c r="A23" s="839"/>
      <c r="B23" s="550" t="s">
        <v>40</v>
      </c>
      <c r="C23" s="539"/>
      <c r="D23" s="539"/>
      <c r="E23" s="539"/>
      <c r="F23" s="539"/>
      <c r="G23" s="549">
        <v>7.1309751921990614</v>
      </c>
      <c r="H23" s="549">
        <v>7.2239804176759526</v>
      </c>
      <c r="I23" s="549">
        <v>7.3857417565511199</v>
      </c>
      <c r="J23" s="549">
        <v>7.5775525649067417</v>
      </c>
      <c r="K23" s="549">
        <v>7.7839700679934447</v>
      </c>
      <c r="L23" s="549">
        <v>7.901890030280649</v>
      </c>
      <c r="M23" s="549">
        <v>7.95914205818125</v>
      </c>
      <c r="N23" s="549">
        <v>7.9552842032941005</v>
      </c>
      <c r="O23" s="549">
        <v>7.924890412423844</v>
      </c>
      <c r="P23" s="549">
        <v>7.8767181682833174</v>
      </c>
      <c r="Q23" s="549">
        <v>7.8167995780668367</v>
      </c>
      <c r="R23" s="549">
        <v>7.7492843494162651</v>
      </c>
      <c r="S23" s="549">
        <v>7.6770208753752724</v>
      </c>
      <c r="T23" s="549">
        <v>7.6022759456751947</v>
      </c>
      <c r="U23" s="549">
        <v>7.5260113721206672</v>
      </c>
      <c r="V23" s="549">
        <v>7.4494070273328701</v>
      </c>
      <c r="W23" s="549">
        <v>7.3729990969809212</v>
      </c>
      <c r="X23" s="549">
        <v>7.2968879701291449</v>
      </c>
      <c r="Y23" s="549">
        <v>7.2215715276242687</v>
      </c>
      <c r="Z23" s="549">
        <v>7.1471669764080694</v>
      </c>
      <c r="AA23" s="549">
        <v>7.0735367312246096</v>
      </c>
      <c r="AB23" s="549">
        <v>7.0009386775121616</v>
      </c>
      <c r="AC23" s="549">
        <v>6.9293670408431609</v>
      </c>
      <c r="AD23" s="549">
        <v>6.8586372581882369</v>
      </c>
      <c r="AE23" s="549">
        <v>6.7889164264282327</v>
      </c>
      <c r="AF23" s="549">
        <v>6.7201689118288446</v>
      </c>
    </row>
    <row r="24" spans="1:32" ht="14.45" x14ac:dyDescent="0.35">
      <c r="A24" s="839"/>
      <c r="B24" s="550" t="s">
        <v>29</v>
      </c>
      <c r="C24" s="539"/>
      <c r="D24" s="539"/>
      <c r="E24" s="539"/>
      <c r="F24" s="539"/>
      <c r="G24" s="549">
        <v>0</v>
      </c>
      <c r="H24" s="549">
        <v>1.6607245728850218E-10</v>
      </c>
      <c r="I24" s="549">
        <v>2.9401672381400185E-10</v>
      </c>
      <c r="J24" s="549">
        <v>3.9216479720729463E-10</v>
      </c>
      <c r="K24" s="549">
        <v>4.6902756380502148E-10</v>
      </c>
      <c r="L24" s="549">
        <v>5.328697015141218E-10</v>
      </c>
      <c r="M24" s="549">
        <v>5.8653249328533513E-10</v>
      </c>
      <c r="N24" s="549">
        <v>6.3007986274973805E-10</v>
      </c>
      <c r="O24" s="549">
        <v>6.6145239057115924E-10</v>
      </c>
      <c r="P24" s="549">
        <v>6.8338007728127489E-10</v>
      </c>
      <c r="Q24" s="549">
        <v>6.979965568653102E-10</v>
      </c>
      <c r="R24" s="549">
        <v>7.0696841196983937E-10</v>
      </c>
      <c r="S24" s="549">
        <v>7.1159653073707133E-10</v>
      </c>
      <c r="T24" s="549">
        <v>7.1289552729769506E-10</v>
      </c>
      <c r="U24" s="549">
        <v>7.1165604065062454E-10</v>
      </c>
      <c r="V24" s="549">
        <v>7.0849344035903373E-10</v>
      </c>
      <c r="W24" s="549">
        <v>7.0388608875442532E-10</v>
      </c>
      <c r="X24" s="549">
        <v>6.9820526234315348E-10</v>
      </c>
      <c r="Y24" s="549">
        <v>6.9173855208810805E-10</v>
      </c>
      <c r="Z24" s="549">
        <v>6.8470825555503301E-10</v>
      </c>
      <c r="AA24" s="549">
        <v>6.7728573360075593E-10</v>
      </c>
      <c r="AB24" s="549">
        <v>6.6960261772385159E-10</v>
      </c>
      <c r="AC24" s="549">
        <v>6.6175963516651758E-10</v>
      </c>
      <c r="AD24" s="549">
        <v>6.5383347690078161E-10</v>
      </c>
      <c r="AE24" s="549">
        <v>6.458821427587597E-10</v>
      </c>
      <c r="AF24" s="549">
        <v>6.3794916540868808E-10</v>
      </c>
    </row>
    <row r="25" spans="1:32" ht="14.45" x14ac:dyDescent="0.35">
      <c r="A25" s="839"/>
      <c r="B25" s="550"/>
      <c r="C25" s="539"/>
      <c r="D25" s="539"/>
      <c r="E25" s="539"/>
      <c r="F25" s="539"/>
      <c r="G25" s="549" t="s">
        <v>73</v>
      </c>
      <c r="H25" s="549" t="s">
        <v>73</v>
      </c>
      <c r="I25" s="549" t="s">
        <v>73</v>
      </c>
      <c r="J25" s="549" t="s">
        <v>73</v>
      </c>
      <c r="K25" s="549" t="s">
        <v>73</v>
      </c>
      <c r="L25" s="549" t="s">
        <v>73</v>
      </c>
      <c r="M25" s="549" t="s">
        <v>73</v>
      </c>
      <c r="N25" s="549" t="s">
        <v>73</v>
      </c>
      <c r="O25" s="549" t="s">
        <v>73</v>
      </c>
      <c r="P25" s="549" t="s">
        <v>73</v>
      </c>
      <c r="Q25" s="549" t="s">
        <v>73</v>
      </c>
      <c r="R25" s="549" t="s">
        <v>73</v>
      </c>
      <c r="S25" s="549" t="s">
        <v>73</v>
      </c>
      <c r="T25" s="549" t="s">
        <v>73</v>
      </c>
      <c r="U25" s="549" t="s">
        <v>73</v>
      </c>
      <c r="V25" s="549" t="s">
        <v>73</v>
      </c>
      <c r="W25" s="549" t="s">
        <v>73</v>
      </c>
      <c r="X25" s="549" t="s">
        <v>73</v>
      </c>
      <c r="Y25" s="549" t="s">
        <v>73</v>
      </c>
      <c r="Z25" s="549" t="s">
        <v>73</v>
      </c>
      <c r="AA25" s="549" t="s">
        <v>73</v>
      </c>
      <c r="AB25" s="549" t="s">
        <v>73</v>
      </c>
      <c r="AC25" s="549" t="s">
        <v>73</v>
      </c>
      <c r="AD25" s="549" t="s">
        <v>73</v>
      </c>
      <c r="AE25" s="549" t="s">
        <v>73</v>
      </c>
      <c r="AF25" s="549" t="s">
        <v>73</v>
      </c>
    </row>
    <row r="26" spans="1:32" s="202" customFormat="1" ht="12.95" x14ac:dyDescent="0.3">
      <c r="A26" s="843" t="s">
        <v>42</v>
      </c>
      <c r="B26" s="556"/>
      <c r="C26" s="556"/>
      <c r="D26" s="556"/>
      <c r="E26" s="556"/>
      <c r="F26" s="556"/>
      <c r="G26" s="632" t="s">
        <v>73</v>
      </c>
      <c r="H26" s="632" t="s">
        <v>73</v>
      </c>
      <c r="I26" s="632" t="s">
        <v>73</v>
      </c>
      <c r="J26" s="632" t="s">
        <v>73</v>
      </c>
      <c r="K26" s="632" t="s">
        <v>73</v>
      </c>
      <c r="L26" s="632" t="s">
        <v>73</v>
      </c>
      <c r="M26" s="632" t="s">
        <v>73</v>
      </c>
      <c r="N26" s="632" t="s">
        <v>73</v>
      </c>
      <c r="O26" s="632" t="s">
        <v>73</v>
      </c>
      <c r="P26" s="632" t="s">
        <v>73</v>
      </c>
      <c r="Q26" s="632" t="s">
        <v>73</v>
      </c>
      <c r="R26" s="632" t="s">
        <v>73</v>
      </c>
      <c r="S26" s="632" t="s">
        <v>73</v>
      </c>
      <c r="T26" s="632" t="s">
        <v>73</v>
      </c>
      <c r="U26" s="632" t="s">
        <v>73</v>
      </c>
      <c r="V26" s="632" t="s">
        <v>73</v>
      </c>
      <c r="W26" s="632" t="s">
        <v>73</v>
      </c>
      <c r="X26" s="632" t="s">
        <v>73</v>
      </c>
      <c r="Y26" s="632" t="s">
        <v>73</v>
      </c>
      <c r="Z26" s="632" t="s">
        <v>73</v>
      </c>
      <c r="AA26" s="632" t="s">
        <v>73</v>
      </c>
      <c r="AB26" s="632" t="s">
        <v>73</v>
      </c>
      <c r="AC26" s="632" t="s">
        <v>73</v>
      </c>
      <c r="AD26" s="632" t="s">
        <v>73</v>
      </c>
      <c r="AE26" s="632" t="s">
        <v>73</v>
      </c>
      <c r="AF26" s="632" t="s">
        <v>73</v>
      </c>
    </row>
    <row r="27" spans="1:32" ht="14.45" x14ac:dyDescent="0.35">
      <c r="A27" s="839"/>
      <c r="B27" s="552" t="s">
        <v>43</v>
      </c>
      <c r="C27" s="539"/>
      <c r="D27" s="539"/>
      <c r="E27" s="539"/>
      <c r="F27" s="539"/>
      <c r="G27" s="549">
        <v>3.9817295254515006</v>
      </c>
      <c r="H27" s="549">
        <v>3.5621505271821197</v>
      </c>
      <c r="I27" s="549">
        <v>3.1957033702318789</v>
      </c>
      <c r="J27" s="549">
        <v>2.8752894913952147</v>
      </c>
      <c r="K27" s="549">
        <v>2.5948044028794794</v>
      </c>
      <c r="L27" s="549">
        <v>2.3489907452617729</v>
      </c>
      <c r="M27" s="549">
        <v>2.1333145037550034</v>
      </c>
      <c r="N27" s="549">
        <v>1.9438604531286918</v>
      </c>
      <c r="O27" s="549">
        <v>1.7772436220295056</v>
      </c>
      <c r="P27" s="549">
        <v>1.6305341477008408</v>
      </c>
      <c r="Q27" s="549">
        <v>1.5011933584724813</v>
      </c>
      <c r="R27" s="549">
        <v>1.3870192979931215</v>
      </c>
      <c r="S27" s="549">
        <v>1.2861002106836552</v>
      </c>
      <c r="T27" s="549">
        <v>1.196774756819583</v>
      </c>
      <c r="U27" s="549">
        <v>1.1179097818247865</v>
      </c>
      <c r="V27" s="549">
        <v>1.0478588109931943</v>
      </c>
      <c r="W27" s="549">
        <v>0.98577622755520988</v>
      </c>
      <c r="X27" s="549">
        <v>0.93062940888536527</v>
      </c>
      <c r="Y27" s="549">
        <v>0.88152891391906352</v>
      </c>
      <c r="Z27" s="549">
        <v>0.83770735007874042</v>
      </c>
      <c r="AA27" s="549">
        <v>0.79836805167263658</v>
      </c>
      <c r="AB27" s="549">
        <v>0.76310375802070796</v>
      </c>
      <c r="AC27" s="549">
        <v>0.73141030438803445</v>
      </c>
      <c r="AD27" s="549">
        <v>0.70285042121313657</v>
      </c>
      <c r="AE27" s="549">
        <v>0.6770443044781177</v>
      </c>
      <c r="AF27" s="549">
        <v>0.65366159755226549</v>
      </c>
    </row>
    <row r="28" spans="1:32" ht="14.45" x14ac:dyDescent="0.35">
      <c r="A28" s="839"/>
      <c r="B28" s="552" t="s">
        <v>44</v>
      </c>
      <c r="C28" s="539"/>
      <c r="D28" s="539"/>
      <c r="E28" s="539"/>
      <c r="F28" s="539"/>
      <c r="G28" s="549">
        <v>53.702479773107257</v>
      </c>
      <c r="H28" s="549">
        <v>54.575609604749843</v>
      </c>
      <c r="I28" s="549">
        <v>55.304999461954324</v>
      </c>
      <c r="J28" s="549">
        <v>55.898560236526279</v>
      </c>
      <c r="K28" s="549">
        <v>56.366125205948073</v>
      </c>
      <c r="L28" s="549">
        <v>56.718416014309355</v>
      </c>
      <c r="M28" s="549">
        <v>56.966352497790943</v>
      </c>
      <c r="N28" s="549">
        <v>57.120605780642023</v>
      </c>
      <c r="O28" s="549">
        <v>57.19132201047406</v>
      </c>
      <c r="P28" s="549">
        <v>57.187964464729056</v>
      </c>
      <c r="Q28" s="549">
        <v>57.119236574956595</v>
      </c>
      <c r="R28" s="549">
        <v>56.993059172528291</v>
      </c>
      <c r="S28" s="549">
        <v>56.816583051637394</v>
      </c>
      <c r="T28" s="549">
        <v>56.596223573997285</v>
      </c>
      <c r="U28" s="549">
        <v>56.337455036321721</v>
      </c>
      <c r="V28" s="549">
        <v>56.045637374528127</v>
      </c>
      <c r="W28" s="549">
        <v>55.725333568416843</v>
      </c>
      <c r="X28" s="549">
        <v>55.380597776063233</v>
      </c>
      <c r="Y28" s="549">
        <v>55.014997643313293</v>
      </c>
      <c r="Z28" s="549">
        <v>54.631666140102716</v>
      </c>
      <c r="AA28" s="549">
        <v>54.233009798880886</v>
      </c>
      <c r="AB28" s="549">
        <v>53.821906505986952</v>
      </c>
      <c r="AC28" s="549">
        <v>53.400414583219785</v>
      </c>
      <c r="AD28" s="549">
        <v>52.970342083531769</v>
      </c>
      <c r="AE28" s="549">
        <v>52.533275027717558</v>
      </c>
      <c r="AF28" s="549">
        <v>52.090603140027106</v>
      </c>
    </row>
    <row r="29" spans="1:32" ht="14.45" x14ac:dyDescent="0.35">
      <c r="A29" s="839"/>
      <c r="B29" s="552" t="s">
        <v>45</v>
      </c>
      <c r="C29" s="539"/>
      <c r="D29" s="539"/>
      <c r="E29" s="539"/>
      <c r="F29" s="539"/>
      <c r="G29" s="549">
        <v>12.316311155693489</v>
      </c>
      <c r="H29" s="549">
        <v>10.836473575575814</v>
      </c>
      <c r="I29" s="549">
        <v>9.5449542885002732</v>
      </c>
      <c r="J29" s="549">
        <v>8.4169064333963561</v>
      </c>
      <c r="K29" s="549">
        <v>7.4308787698620193</v>
      </c>
      <c r="L29" s="549">
        <v>6.5683344817920322</v>
      </c>
      <c r="M29" s="549">
        <v>5.8132408284291452</v>
      </c>
      <c r="N29" s="549">
        <v>5.1517187744748876</v>
      </c>
      <c r="O29" s="549">
        <v>4.5717434747309191</v>
      </c>
      <c r="P29" s="549">
        <v>4.0628879385951269</v>
      </c>
      <c r="Q29" s="549">
        <v>3.6161034079158618</v>
      </c>
      <c r="R29" s="549">
        <v>3.2235309906655223</v>
      </c>
      <c r="S29" s="549">
        <v>2.8783399371963099</v>
      </c>
      <c r="T29" s="549">
        <v>2.574588653716507</v>
      </c>
      <c r="U29" s="549">
        <v>2.308195664937303</v>
      </c>
      <c r="V29" s="549">
        <v>2.0732983869875872</v>
      </c>
      <c r="W29" s="549">
        <v>1.8668380965350968</v>
      </c>
      <c r="X29" s="549">
        <v>1.6851196304998113</v>
      </c>
      <c r="Y29" s="549">
        <v>1.5249580880816731</v>
      </c>
      <c r="Z29" s="549">
        <v>1.3836040715557096</v>
      </c>
      <c r="AA29" s="549">
        <v>1.2582254843013438</v>
      </c>
      <c r="AB29" s="549">
        <v>1.14733094527861</v>
      </c>
      <c r="AC29" s="549">
        <v>1.0491141077338737</v>
      </c>
      <c r="AD29" s="549">
        <v>0.96200766256157455</v>
      </c>
      <c r="AE29" s="549">
        <v>0.88464983869244518</v>
      </c>
      <c r="AF29" s="549">
        <v>0.81585587004263738</v>
      </c>
    </row>
    <row r="30" spans="1:32" ht="14.45" x14ac:dyDescent="0.35">
      <c r="A30" s="839"/>
      <c r="B30" s="552" t="s">
        <v>46</v>
      </c>
      <c r="C30" s="539"/>
      <c r="D30" s="539"/>
      <c r="E30" s="539"/>
      <c r="F30" s="539"/>
      <c r="G30" s="549">
        <v>0</v>
      </c>
      <c r="H30" s="549">
        <v>0</v>
      </c>
      <c r="I30" s="549">
        <v>0</v>
      </c>
      <c r="J30" s="549">
        <v>0</v>
      </c>
      <c r="K30" s="549">
        <v>0</v>
      </c>
      <c r="L30" s="549">
        <v>0</v>
      </c>
      <c r="M30" s="549">
        <v>0</v>
      </c>
      <c r="N30" s="549">
        <v>0</v>
      </c>
      <c r="O30" s="549">
        <v>0</v>
      </c>
      <c r="P30" s="549">
        <v>0</v>
      </c>
      <c r="Q30" s="549">
        <v>0</v>
      </c>
      <c r="R30" s="549">
        <v>0</v>
      </c>
      <c r="S30" s="549">
        <v>0</v>
      </c>
      <c r="T30" s="549">
        <v>0</v>
      </c>
      <c r="U30" s="549">
        <v>0</v>
      </c>
      <c r="V30" s="549">
        <v>0</v>
      </c>
      <c r="W30" s="549">
        <v>0</v>
      </c>
      <c r="X30" s="549">
        <v>0</v>
      </c>
      <c r="Y30" s="549">
        <v>0</v>
      </c>
      <c r="Z30" s="549">
        <v>0</v>
      </c>
      <c r="AA30" s="549">
        <v>0</v>
      </c>
      <c r="AB30" s="549">
        <v>0</v>
      </c>
      <c r="AC30" s="549">
        <v>0</v>
      </c>
      <c r="AD30" s="549">
        <v>0</v>
      </c>
      <c r="AE30" s="549">
        <v>0</v>
      </c>
      <c r="AF30" s="549">
        <v>0</v>
      </c>
    </row>
    <row r="31" spans="1:32" ht="14.45" x14ac:dyDescent="0.35">
      <c r="A31" s="839"/>
      <c r="B31" s="550" t="s">
        <v>29</v>
      </c>
      <c r="C31" s="539"/>
      <c r="D31" s="539"/>
      <c r="E31" s="539"/>
      <c r="F31" s="539"/>
      <c r="G31" s="549">
        <v>0</v>
      </c>
      <c r="H31" s="549">
        <v>0.32628154081499217</v>
      </c>
      <c r="I31" s="549">
        <v>0.56185297377867471</v>
      </c>
      <c r="J31" s="549">
        <v>0.73067883084270235</v>
      </c>
      <c r="K31" s="549">
        <v>0.85041226220515331</v>
      </c>
      <c r="L31" s="549">
        <v>0.9340571917949877</v>
      </c>
      <c r="M31" s="549">
        <v>0.99119261754099441</v>
      </c>
      <c r="N31" s="549">
        <v>1.0288744335023021</v>
      </c>
      <c r="O31" s="549">
        <v>1.052299738820534</v>
      </c>
      <c r="P31" s="549">
        <v>1.0652962053116986</v>
      </c>
      <c r="Q31" s="549">
        <v>1.0706825861882669</v>
      </c>
      <c r="R31" s="549">
        <v>1.0705343058482584</v>
      </c>
      <c r="S31" s="549">
        <v>1.06637912864211</v>
      </c>
      <c r="T31" s="549">
        <v>1.0593413191562326</v>
      </c>
      <c r="U31" s="549">
        <v>1.0490985364025835</v>
      </c>
      <c r="V31" s="549">
        <v>1.0377378556328629</v>
      </c>
      <c r="W31" s="549">
        <v>1.0245392102244975</v>
      </c>
      <c r="X31" s="549">
        <v>1.010115415147768</v>
      </c>
      <c r="Y31" s="549">
        <v>0.99491296188806311</v>
      </c>
      <c r="Z31" s="549">
        <v>0.979256068324319</v>
      </c>
      <c r="AA31" s="549">
        <v>0.96430795785238532</v>
      </c>
      <c r="AB31" s="549">
        <v>0.94903096945899146</v>
      </c>
      <c r="AC31" s="549">
        <v>0.93361946059942769</v>
      </c>
      <c r="AD31" s="549">
        <v>0.91821270307633063</v>
      </c>
      <c r="AE31" s="549">
        <v>0.90290956980931836</v>
      </c>
      <c r="AF31" s="549">
        <v>0.88777934470384923</v>
      </c>
    </row>
    <row r="32" spans="1:32" ht="14.45" x14ac:dyDescent="0.35">
      <c r="A32" s="839"/>
      <c r="B32" s="550"/>
      <c r="C32" s="539"/>
      <c r="D32" s="539"/>
      <c r="E32" s="539"/>
      <c r="F32" s="539"/>
      <c r="G32" s="549" t="s">
        <v>73</v>
      </c>
      <c r="H32" s="549" t="s">
        <v>73</v>
      </c>
      <c r="I32" s="549" t="s">
        <v>73</v>
      </c>
      <c r="J32" s="549" t="s">
        <v>73</v>
      </c>
      <c r="K32" s="549" t="s">
        <v>73</v>
      </c>
      <c r="L32" s="549" t="s">
        <v>73</v>
      </c>
      <c r="M32" s="549" t="s">
        <v>73</v>
      </c>
      <c r="N32" s="549" t="s">
        <v>73</v>
      </c>
      <c r="O32" s="549" t="s">
        <v>73</v>
      </c>
      <c r="P32" s="549" t="s">
        <v>73</v>
      </c>
      <c r="Q32" s="549" t="s">
        <v>73</v>
      </c>
      <c r="R32" s="549" t="s">
        <v>73</v>
      </c>
      <c r="S32" s="549" t="s">
        <v>73</v>
      </c>
      <c r="T32" s="549" t="s">
        <v>73</v>
      </c>
      <c r="U32" s="549" t="s">
        <v>73</v>
      </c>
      <c r="V32" s="549" t="s">
        <v>73</v>
      </c>
      <c r="W32" s="549" t="s">
        <v>73</v>
      </c>
      <c r="X32" s="549" t="s">
        <v>73</v>
      </c>
      <c r="Y32" s="549" t="s">
        <v>73</v>
      </c>
      <c r="Z32" s="549" t="s">
        <v>73</v>
      </c>
      <c r="AA32" s="549" t="s">
        <v>73</v>
      </c>
      <c r="AB32" s="549" t="s">
        <v>73</v>
      </c>
      <c r="AC32" s="549" t="s">
        <v>73</v>
      </c>
      <c r="AD32" s="549" t="s">
        <v>73</v>
      </c>
      <c r="AE32" s="549" t="s">
        <v>73</v>
      </c>
      <c r="AF32" s="549" t="s">
        <v>73</v>
      </c>
    </row>
    <row r="33" spans="1:32" s="202" customFormat="1" ht="12.95" x14ac:dyDescent="0.3">
      <c r="A33" s="843" t="s">
        <v>47</v>
      </c>
      <c r="B33" s="556"/>
      <c r="C33" s="556"/>
      <c r="D33" s="556"/>
      <c r="E33" s="556"/>
      <c r="F33" s="556"/>
      <c r="G33" s="632" t="s">
        <v>73</v>
      </c>
      <c r="H33" s="632" t="s">
        <v>73</v>
      </c>
      <c r="I33" s="632" t="s">
        <v>73</v>
      </c>
      <c r="J33" s="632" t="s">
        <v>73</v>
      </c>
      <c r="K33" s="632" t="s">
        <v>73</v>
      </c>
      <c r="L33" s="632" t="s">
        <v>73</v>
      </c>
      <c r="M33" s="632" t="s">
        <v>73</v>
      </c>
      <c r="N33" s="632" t="s">
        <v>73</v>
      </c>
      <c r="O33" s="632" t="s">
        <v>73</v>
      </c>
      <c r="P33" s="632" t="s">
        <v>73</v>
      </c>
      <c r="Q33" s="632" t="s">
        <v>73</v>
      </c>
      <c r="R33" s="632" t="s">
        <v>73</v>
      </c>
      <c r="S33" s="632" t="s">
        <v>73</v>
      </c>
      <c r="T33" s="632" t="s">
        <v>73</v>
      </c>
      <c r="U33" s="632" t="s">
        <v>73</v>
      </c>
      <c r="V33" s="632" t="s">
        <v>73</v>
      </c>
      <c r="W33" s="632" t="s">
        <v>73</v>
      </c>
      <c r="X33" s="632" t="s">
        <v>73</v>
      </c>
      <c r="Y33" s="632" t="s">
        <v>73</v>
      </c>
      <c r="Z33" s="632" t="s">
        <v>73</v>
      </c>
      <c r="AA33" s="632" t="s">
        <v>73</v>
      </c>
      <c r="AB33" s="632" t="s">
        <v>73</v>
      </c>
      <c r="AC33" s="632" t="s">
        <v>73</v>
      </c>
      <c r="AD33" s="632" t="s">
        <v>73</v>
      </c>
      <c r="AE33" s="632" t="s">
        <v>73</v>
      </c>
      <c r="AF33" s="632" t="s">
        <v>73</v>
      </c>
    </row>
    <row r="34" spans="1:32" ht="14.45" x14ac:dyDescent="0.35">
      <c r="A34" s="839"/>
      <c r="B34" s="550" t="s">
        <v>48</v>
      </c>
      <c r="C34" s="539"/>
      <c r="D34" s="539"/>
      <c r="E34" s="539"/>
      <c r="F34" s="539"/>
      <c r="G34" s="549">
        <v>0</v>
      </c>
      <c r="H34" s="549">
        <v>0</v>
      </c>
      <c r="I34" s="549">
        <v>0</v>
      </c>
      <c r="J34" s="549">
        <v>0</v>
      </c>
      <c r="K34" s="549">
        <v>0</v>
      </c>
      <c r="L34" s="549">
        <v>0</v>
      </c>
      <c r="M34" s="549">
        <v>0</v>
      </c>
      <c r="N34" s="549">
        <v>0</v>
      </c>
      <c r="O34" s="549">
        <v>0</v>
      </c>
      <c r="P34" s="549">
        <v>0</v>
      </c>
      <c r="Q34" s="549">
        <v>0</v>
      </c>
      <c r="R34" s="549">
        <v>0</v>
      </c>
      <c r="S34" s="549">
        <v>0</v>
      </c>
      <c r="T34" s="549">
        <v>0</v>
      </c>
      <c r="U34" s="549">
        <v>0</v>
      </c>
      <c r="V34" s="549">
        <v>0</v>
      </c>
      <c r="W34" s="549">
        <v>0</v>
      </c>
      <c r="X34" s="549">
        <v>0</v>
      </c>
      <c r="Y34" s="549">
        <v>0</v>
      </c>
      <c r="Z34" s="549">
        <v>0</v>
      </c>
      <c r="AA34" s="549">
        <v>0</v>
      </c>
      <c r="AB34" s="549">
        <v>0</v>
      </c>
      <c r="AC34" s="549">
        <v>0</v>
      </c>
      <c r="AD34" s="549">
        <v>0</v>
      </c>
      <c r="AE34" s="549">
        <v>0</v>
      </c>
      <c r="AF34" s="549">
        <v>0</v>
      </c>
    </row>
    <row r="35" spans="1:32" ht="14.45" x14ac:dyDescent="0.35">
      <c r="A35" s="839"/>
      <c r="B35" s="552" t="s">
        <v>50</v>
      </c>
      <c r="C35" s="539"/>
      <c r="D35" s="539"/>
      <c r="E35" s="539"/>
      <c r="F35" s="539"/>
      <c r="G35" s="549">
        <v>2.3579745749949524E-3</v>
      </c>
      <c r="H35" s="549">
        <v>2.289236661571035E-3</v>
      </c>
      <c r="I35" s="549">
        <v>2.2225025444526326E-3</v>
      </c>
      <c r="J35" s="549">
        <v>2.1577138104666659E-3</v>
      </c>
      <c r="K35" s="549">
        <v>2.0948137492572414E-3</v>
      </c>
      <c r="L35" s="549">
        <v>2.0337473036463999E-3</v>
      </c>
      <c r="M35" s="549">
        <v>1.9744610214419058E-3</v>
      </c>
      <c r="N35" s="549">
        <v>1.9169030086499043E-3</v>
      </c>
      <c r="O35" s="549">
        <v>1.8610228840514845E-3</v>
      </c>
      <c r="P35" s="549">
        <v>1.8067717351033946E-3</v>
      </c>
      <c r="Q35" s="549">
        <v>1.7541020751243067E-3</v>
      </c>
      <c r="R35" s="549">
        <v>1.702967801729155E-3</v>
      </c>
      <c r="S35" s="549">
        <v>1.6533241564751647E-3</v>
      </c>
      <c r="T35" s="549">
        <v>1.6051276856842509E-3</v>
      </c>
      <c r="U35" s="549">
        <v>1.5583362024074927E-3</v>
      </c>
      <c r="V35" s="549">
        <v>1.5129087494983907E-3</v>
      </c>
      <c r="W35" s="549">
        <v>1.468805563762586E-3</v>
      </c>
      <c r="X35" s="549">
        <v>1.4259880411526583E-3</v>
      </c>
      <c r="Y35" s="549">
        <v>1.3844187029775413E-3</v>
      </c>
      <c r="Z35" s="549">
        <v>1.344061163096974E-3</v>
      </c>
      <c r="AA35" s="549">
        <v>1.3048800960722767E-3</v>
      </c>
      <c r="AB35" s="549">
        <v>1.2668412062455696E-3</v>
      </c>
      <c r="AC35" s="549">
        <v>1.2299111977203735E-3</v>
      </c>
      <c r="AD35" s="549">
        <v>1.1940577452173111E-3</v>
      </c>
      <c r="AE35" s="549">
        <v>1.1592494657794035E-3</v>
      </c>
      <c r="AF35" s="549">
        <v>1.1254558913021903E-3</v>
      </c>
    </row>
    <row r="36" spans="1:32" x14ac:dyDescent="0.25">
      <c r="A36" s="839"/>
      <c r="B36" s="550" t="s">
        <v>51</v>
      </c>
      <c r="C36" s="539"/>
      <c r="D36" s="539"/>
      <c r="E36" s="539"/>
      <c r="F36" s="539"/>
      <c r="G36" s="549">
        <v>8.995981838925915E-2</v>
      </c>
      <c r="H36" s="549">
        <v>8.7582112267443835E-2</v>
      </c>
      <c r="I36" s="549">
        <v>8.5267250718938523E-2</v>
      </c>
      <c r="J36" s="549">
        <v>8.3013572714081774E-2</v>
      </c>
      <c r="K36" s="549">
        <v>8.081946112548391E-2</v>
      </c>
      <c r="L36" s="549">
        <v>7.8683341567656731E-2</v>
      </c>
      <c r="M36" s="549">
        <v>7.6603681267312693E-2</v>
      </c>
      <c r="N36" s="549">
        <v>7.4578987963522914E-2</v>
      </c>
      <c r="O36" s="549">
        <v>7.2607808836944884E-2</v>
      </c>
      <c r="P36" s="549">
        <v>7.0688729467351455E-2</v>
      </c>
      <c r="Q36" s="549">
        <v>6.8820372818713144E-2</v>
      </c>
      <c r="R36" s="549">
        <v>6.7001398251105487E-2</v>
      </c>
      <c r="S36" s="549">
        <v>6.5230500558732418E-2</v>
      </c>
      <c r="T36" s="549">
        <v>6.3506409033375427E-2</v>
      </c>
      <c r="U36" s="549">
        <v>6.1827886552596467E-2</v>
      </c>
      <c r="V36" s="549">
        <v>6.019372869204033E-2</v>
      </c>
      <c r="W36" s="549">
        <v>5.8602762861199552E-2</v>
      </c>
      <c r="X36" s="549">
        <v>5.7053847462021717E-2</v>
      </c>
      <c r="Y36" s="549">
        <v>5.5545871069755427E-2</v>
      </c>
      <c r="Z36" s="549">
        <v>5.4077751635447063E-2</v>
      </c>
      <c r="AA36" s="549">
        <v>5.2648435709516266E-2</v>
      </c>
      <c r="AB36" s="549">
        <v>5.1256897685852773E-2</v>
      </c>
      <c r="AC36" s="549">
        <v>4.9902139065892456E-2</v>
      </c>
      <c r="AD36" s="549">
        <v>4.8583187742144367E-2</v>
      </c>
      <c r="AE36" s="549">
        <v>4.7299097300654645E-2</v>
      </c>
      <c r="AF36" s="549">
        <v>4.6048946341906906E-2</v>
      </c>
    </row>
    <row r="37" spans="1:32" x14ac:dyDescent="0.25">
      <c r="A37" s="839"/>
      <c r="B37" s="550" t="s">
        <v>52</v>
      </c>
      <c r="C37" s="539"/>
      <c r="D37" s="539"/>
      <c r="E37" s="539"/>
      <c r="F37" s="539"/>
      <c r="G37" s="549">
        <v>0.20573893881943853</v>
      </c>
      <c r="H37" s="549">
        <v>0.20318800379831478</v>
      </c>
      <c r="I37" s="549">
        <v>0.20067559587502404</v>
      </c>
      <c r="J37" s="549">
        <v>0.1982007787633229</v>
      </c>
      <c r="K37" s="549">
        <v>0.19576265997409753</v>
      </c>
      <c r="L37" s="549">
        <v>0.19335955967477314</v>
      </c>
      <c r="M37" s="549">
        <v>0.19099071947251633</v>
      </c>
      <c r="N37" s="549">
        <v>0.1886554119616245</v>
      </c>
      <c r="O37" s="549">
        <v>0.18635370313974683</v>
      </c>
      <c r="P37" s="549">
        <v>0.1840848720832047</v>
      </c>
      <c r="Q37" s="549">
        <v>0.18184822638211831</v>
      </c>
      <c r="R37" s="549">
        <v>0.17964310029157679</v>
      </c>
      <c r="S37" s="549">
        <v>0.17746885304291893</v>
      </c>
      <c r="T37" s="549">
        <v>0.17532866966368127</v>
      </c>
      <c r="U37" s="549">
        <v>0.17321793432237204</v>
      </c>
      <c r="V37" s="549">
        <v>0.17113943988483504</v>
      </c>
      <c r="W37" s="549">
        <v>0.16909220876470191</v>
      </c>
      <c r="X37" s="549">
        <v>0.16707244879988487</v>
      </c>
      <c r="Y37" s="549">
        <v>0.16508243354328217</v>
      </c>
      <c r="Z37" s="549">
        <v>0.16312134931279004</v>
      </c>
      <c r="AA37" s="549">
        <v>0.16118603551646532</v>
      </c>
      <c r="AB37" s="549">
        <v>0.15927836137429291</v>
      </c>
      <c r="AC37" s="549">
        <v>0.15739763639452531</v>
      </c>
      <c r="AD37" s="549">
        <v>0.15554119361314725</v>
      </c>
      <c r="AE37" s="549">
        <v>0.1537105827140765</v>
      </c>
      <c r="AF37" s="549">
        <v>0.15190520802092985</v>
      </c>
    </row>
    <row r="38" spans="1:32" x14ac:dyDescent="0.25">
      <c r="A38" s="839"/>
      <c r="B38" s="552" t="s">
        <v>29</v>
      </c>
      <c r="C38" s="539"/>
      <c r="D38" s="539"/>
      <c r="E38" s="539"/>
      <c r="F38" s="539"/>
      <c r="G38" s="549">
        <v>0</v>
      </c>
      <c r="H38" s="549">
        <v>2.0168117385260583E-3</v>
      </c>
      <c r="I38" s="549">
        <v>3.960053682781968E-3</v>
      </c>
      <c r="J38" s="549">
        <v>5.8320835051138397E-3</v>
      </c>
      <c r="K38" s="549">
        <v>7.6351724562166217E-3</v>
      </c>
      <c r="L38" s="549">
        <v>9.3723376859284752E-3</v>
      </c>
      <c r="M38" s="549">
        <v>1.1045634608413762E-2</v>
      </c>
      <c r="N38" s="549">
        <v>1.2657048472190529E-2</v>
      </c>
      <c r="O38" s="549">
        <v>1.4207733031184772E-2</v>
      </c>
      <c r="P38" s="549">
        <v>1.569959192734912E-2</v>
      </c>
      <c r="Q38" s="549">
        <v>1.7134464284922844E-2</v>
      </c>
      <c r="R38" s="549">
        <v>1.8514127560858379E-2</v>
      </c>
      <c r="S38" s="549">
        <v>1.9840300208090564E-2</v>
      </c>
      <c r="T38" s="549">
        <v>2.1110841803813916E-2</v>
      </c>
      <c r="U38" s="549">
        <v>2.2331380627313324E-2</v>
      </c>
      <c r="V38" s="549">
        <v>2.3500105001268666E-2</v>
      </c>
      <c r="W38" s="549">
        <v>2.4618943314701942E-2</v>
      </c>
      <c r="X38" s="549">
        <v>2.5692608996263064E-2</v>
      </c>
      <c r="Y38" s="549">
        <v>2.6719721050313908E-2</v>
      </c>
      <c r="Z38" s="549">
        <v>2.7701957811331675E-2</v>
      </c>
      <c r="AA38" s="549">
        <v>2.8643317401385222E-2</v>
      </c>
      <c r="AB38" s="549">
        <v>2.9542741769813412E-2</v>
      </c>
      <c r="AC38" s="549">
        <v>3.0401706957704434E-2</v>
      </c>
      <c r="AD38" s="549">
        <v>3.1223640579175191E-2</v>
      </c>
      <c r="AE38" s="549">
        <v>3.2007729402376735E-2</v>
      </c>
      <c r="AF38" s="549">
        <v>3.2755282039919446E-2</v>
      </c>
    </row>
    <row r="39" spans="1:32" x14ac:dyDescent="0.25">
      <c r="A39" s="839"/>
      <c r="B39" s="552" t="s">
        <v>53</v>
      </c>
      <c r="C39" s="539"/>
      <c r="D39" s="539"/>
      <c r="E39" s="539"/>
      <c r="F39" s="539"/>
      <c r="G39" s="549">
        <v>0</v>
      </c>
      <c r="H39" s="549">
        <v>0</v>
      </c>
      <c r="I39" s="549">
        <v>0</v>
      </c>
      <c r="J39" s="549">
        <v>0</v>
      </c>
      <c r="K39" s="549">
        <v>0</v>
      </c>
      <c r="L39" s="549">
        <v>0</v>
      </c>
      <c r="M39" s="549">
        <v>0</v>
      </c>
      <c r="N39" s="549">
        <v>0</v>
      </c>
      <c r="O39" s="549">
        <v>0</v>
      </c>
      <c r="P39" s="549">
        <v>0</v>
      </c>
      <c r="Q39" s="549">
        <v>0</v>
      </c>
      <c r="R39" s="549">
        <v>0</v>
      </c>
      <c r="S39" s="549">
        <v>0</v>
      </c>
      <c r="T39" s="549">
        <v>0</v>
      </c>
      <c r="U39" s="549">
        <v>0</v>
      </c>
      <c r="V39" s="549">
        <v>0</v>
      </c>
      <c r="W39" s="549">
        <v>0</v>
      </c>
      <c r="X39" s="549">
        <v>0</v>
      </c>
      <c r="Y39" s="549">
        <v>0</v>
      </c>
      <c r="Z39" s="549">
        <v>0</v>
      </c>
      <c r="AA39" s="549">
        <v>0</v>
      </c>
      <c r="AB39" s="549">
        <v>0</v>
      </c>
      <c r="AC39" s="549">
        <v>0</v>
      </c>
      <c r="AD39" s="549">
        <v>0</v>
      </c>
      <c r="AE39" s="549">
        <v>0</v>
      </c>
      <c r="AF39" s="549">
        <v>0</v>
      </c>
    </row>
    <row r="40" spans="1:32" x14ac:dyDescent="0.25">
      <c r="A40" s="838"/>
      <c r="B40" s="552"/>
      <c r="C40" s="552"/>
      <c r="D40" s="277"/>
      <c r="E40" s="277"/>
      <c r="F40" s="277"/>
      <c r="G40" s="277"/>
      <c r="H40" s="277"/>
      <c r="I40" s="277"/>
      <c r="J40" s="277"/>
      <c r="K40" s="277"/>
      <c r="L40" s="277"/>
      <c r="M40" s="277"/>
      <c r="N40" s="277"/>
      <c r="O40" s="277"/>
      <c r="P40" s="277"/>
      <c r="Q40" s="277"/>
      <c r="R40" s="277"/>
      <c r="S40" s="277"/>
      <c r="T40" s="277"/>
      <c r="U40" s="277"/>
      <c r="V40" s="277"/>
      <c r="W40" s="277"/>
      <c r="X40" s="277"/>
      <c r="Y40" s="277"/>
      <c r="Z40" s="277"/>
      <c r="AA40" s="277"/>
      <c r="AB40" s="277"/>
      <c r="AC40" s="277"/>
      <c r="AD40" s="277"/>
      <c r="AE40" s="277"/>
      <c r="AF40" s="277"/>
    </row>
    <row r="41" spans="1:32" x14ac:dyDescent="0.25">
      <c r="A41" s="838"/>
      <c r="B41" s="552"/>
      <c r="C41" s="552"/>
      <c r="D41" s="277"/>
      <c r="E41" s="277"/>
      <c r="F41" s="277"/>
      <c r="G41" s="277"/>
      <c r="H41" s="277"/>
      <c r="I41" s="277"/>
      <c r="J41" s="277"/>
      <c r="K41" s="277"/>
      <c r="L41" s="277"/>
      <c r="M41" s="277"/>
      <c r="N41" s="277"/>
      <c r="O41" s="277"/>
      <c r="P41" s="277"/>
      <c r="Q41" s="277"/>
      <c r="R41" s="277"/>
      <c r="S41" s="277"/>
      <c r="T41" s="277"/>
      <c r="U41" s="277"/>
      <c r="V41" s="277"/>
      <c r="W41" s="277"/>
      <c r="X41" s="277"/>
      <c r="Y41" s="277"/>
      <c r="Z41" s="277"/>
      <c r="AA41" s="277"/>
      <c r="AB41" s="277"/>
      <c r="AC41" s="277"/>
      <c r="AD41" s="277"/>
      <c r="AE41" s="277"/>
      <c r="AF41" s="277"/>
    </row>
    <row r="42" spans="1:32" s="539" customFormat="1" x14ac:dyDescent="0.25">
      <c r="A42" s="860" t="s">
        <v>527</v>
      </c>
      <c r="B42" s="555"/>
      <c r="C42" s="554"/>
      <c r="D42" s="553"/>
      <c r="E42" s="553"/>
      <c r="F42" s="553"/>
      <c r="G42" s="553" t="s">
        <v>701</v>
      </c>
      <c r="H42" s="560"/>
      <c r="I42" s="560"/>
      <c r="J42" s="560"/>
      <c r="K42" s="560"/>
      <c r="L42" s="560"/>
      <c r="M42" s="560"/>
      <c r="N42" s="560"/>
      <c r="O42" s="560"/>
      <c r="P42" s="560"/>
      <c r="Q42" s="560"/>
      <c r="R42" s="560"/>
      <c r="S42" s="560"/>
      <c r="T42" s="560"/>
      <c r="U42" s="560"/>
      <c r="V42" s="560"/>
      <c r="W42" s="560"/>
      <c r="X42" s="560"/>
      <c r="Y42" s="560"/>
      <c r="Z42" s="560"/>
      <c r="AA42" s="560"/>
      <c r="AB42" s="560"/>
      <c r="AC42" s="560"/>
      <c r="AD42" s="560"/>
      <c r="AE42" s="560"/>
      <c r="AF42" s="560"/>
    </row>
    <row r="43" spans="1:32" s="539" customFormat="1" x14ac:dyDescent="0.25">
      <c r="A43" s="840" t="s">
        <v>12</v>
      </c>
      <c r="B43" s="550"/>
    </row>
    <row r="44" spans="1:32" s="539" customFormat="1" x14ac:dyDescent="0.25">
      <c r="A44" s="839"/>
      <c r="B44" s="550" t="s">
        <v>20</v>
      </c>
    </row>
    <row r="45" spans="1:32" s="202" customFormat="1" ht="12.75" x14ac:dyDescent="0.2">
      <c r="A45" s="843" t="s">
        <v>21</v>
      </c>
      <c r="B45" s="556"/>
      <c r="C45" s="556"/>
      <c r="D45" s="556"/>
      <c r="E45" s="556"/>
      <c r="F45" s="556"/>
      <c r="G45" s="556"/>
      <c r="H45" s="556"/>
      <c r="I45" s="556"/>
      <c r="J45" s="556"/>
      <c r="K45" s="556"/>
      <c r="L45" s="556"/>
      <c r="M45" s="556"/>
      <c r="N45" s="556"/>
      <c r="O45" s="556"/>
      <c r="P45" s="556"/>
      <c r="Q45" s="556"/>
      <c r="R45" s="556"/>
      <c r="S45" s="556"/>
      <c r="T45" s="556"/>
      <c r="U45" s="556"/>
      <c r="V45" s="556"/>
      <c r="W45" s="556"/>
      <c r="X45" s="556"/>
      <c r="Y45" s="556"/>
      <c r="Z45" s="556"/>
      <c r="AA45" s="556"/>
      <c r="AB45" s="556"/>
      <c r="AC45" s="556"/>
      <c r="AD45" s="556"/>
      <c r="AE45" s="556"/>
      <c r="AF45" s="556"/>
    </row>
    <row r="46" spans="1:32" x14ac:dyDescent="0.25">
      <c r="A46" s="839"/>
      <c r="B46" s="550" t="s">
        <v>22</v>
      </c>
      <c r="C46" s="539"/>
      <c r="D46" s="539"/>
      <c r="E46" s="539"/>
      <c r="F46" s="539"/>
      <c r="G46" s="549">
        <v>4.5178087284057887E-3</v>
      </c>
      <c r="H46" s="549">
        <v>2.3251471386890165E-3</v>
      </c>
      <c r="I46" s="549">
        <v>1.532359312954958E-3</v>
      </c>
      <c r="J46" s="549">
        <v>8.8382378041869695E-4</v>
      </c>
      <c r="K46" s="549">
        <v>6.0393479073434452E-4</v>
      </c>
      <c r="L46" s="549">
        <v>3.8234941440197382E-4</v>
      </c>
      <c r="M46" s="549">
        <v>1.4241978648183205E-4</v>
      </c>
      <c r="N46" s="549">
        <v>1.3466753856781889E-4</v>
      </c>
      <c r="O46" s="549">
        <v>1.3266674796287063E-4</v>
      </c>
      <c r="P46" s="549">
        <v>1.3127110103827819E-4</v>
      </c>
      <c r="Q46" s="549">
        <v>1.2995005015037454E-4</v>
      </c>
      <c r="R46" s="549">
        <v>1.2864872587727236E-4</v>
      </c>
      <c r="S46" s="549">
        <v>1.2736129555010874E-4</v>
      </c>
      <c r="T46" s="549">
        <v>1.2608699410743295E-4</v>
      </c>
      <c r="U46" s="549">
        <v>1.2482559019432477E-4</v>
      </c>
      <c r="V46" s="549">
        <v>1.2357691669139431E-4</v>
      </c>
      <c r="W46" s="549">
        <v>1.2234082057014492E-4</v>
      </c>
      <c r="X46" s="549">
        <v>1.2111715634067383E-4</v>
      </c>
      <c r="Y46" s="549">
        <v>1.1990578428968148E-4</v>
      </c>
      <c r="Z46" s="549">
        <v>1.1870656944557755E-4</v>
      </c>
      <c r="AA46" s="549">
        <v>1.1751938080134015E-4</v>
      </c>
      <c r="AB46" s="549">
        <v>1.163440907071196E-4</v>
      </c>
      <c r="AC46" s="549">
        <v>1.1518057439247372E-4</v>
      </c>
      <c r="AD46" s="549">
        <v>1.1402870958979449E-4</v>
      </c>
      <c r="AE46" s="549">
        <v>1.1288837623695952E-4</v>
      </c>
      <c r="AF46" s="549">
        <v>1.1175945624204212E-4</v>
      </c>
    </row>
    <row r="47" spans="1:32" x14ac:dyDescent="0.25">
      <c r="A47" s="839"/>
      <c r="B47" s="550" t="s">
        <v>26</v>
      </c>
      <c r="C47" s="539"/>
      <c r="D47" s="539"/>
      <c r="E47" s="539"/>
      <c r="F47" s="539"/>
      <c r="G47" s="549">
        <v>2.745156449506919E-5</v>
      </c>
      <c r="H47" s="549">
        <v>2.5117936334875256E-5</v>
      </c>
      <c r="I47" s="549">
        <v>8.1243472089774399E-5</v>
      </c>
      <c r="J47" s="549">
        <v>2.1035098467676928E-4</v>
      </c>
      <c r="K47" s="549">
        <v>2.8613240650652514E-4</v>
      </c>
      <c r="L47" s="549">
        <v>2.975891204789768E-4</v>
      </c>
      <c r="M47" s="549">
        <v>3.1033301342633165E-4</v>
      </c>
      <c r="N47" s="549">
        <v>2.9386076385394018E-4</v>
      </c>
      <c r="O47" s="549">
        <v>2.8954024336261172E-4</v>
      </c>
      <c r="P47" s="549">
        <v>2.8649911188697501E-4</v>
      </c>
      <c r="Q47" s="549">
        <v>2.8361650156808545E-4</v>
      </c>
      <c r="R47" s="549">
        <v>2.8077648356704963E-4</v>
      </c>
      <c r="S47" s="549">
        <v>2.7796672635875959E-4</v>
      </c>
      <c r="T47" s="549">
        <v>2.7518560456217528E-4</v>
      </c>
      <c r="U47" s="549">
        <v>2.7243262041914658E-4</v>
      </c>
      <c r="V47" s="549">
        <v>2.697074119682309E-4</v>
      </c>
      <c r="W47" s="549">
        <v>2.6700964710600801E-4</v>
      </c>
      <c r="X47" s="549">
        <v>2.6433900974351225E-4</v>
      </c>
      <c r="Y47" s="549">
        <v>2.6169519608289162E-4</v>
      </c>
      <c r="Z47" s="549">
        <v>2.5907791243017289E-4</v>
      </c>
      <c r="AA47" s="549">
        <v>2.5648687355257603E-4</v>
      </c>
      <c r="AB47" s="549">
        <v>2.5392180139444744E-4</v>
      </c>
      <c r="AC47" s="549">
        <v>2.5138242406706686E-4</v>
      </c>
      <c r="AD47" s="549">
        <v>2.4886847505224371E-4</v>
      </c>
      <c r="AE47" s="549">
        <v>2.4637969257329675E-4</v>
      </c>
      <c r="AF47" s="549">
        <v>2.4391581909714855E-4</v>
      </c>
    </row>
    <row r="48" spans="1:32" x14ac:dyDescent="0.25">
      <c r="A48" s="839"/>
      <c r="B48" s="550" t="s">
        <v>27</v>
      </c>
      <c r="C48" s="539"/>
      <c r="D48" s="539"/>
      <c r="E48" s="539"/>
      <c r="F48" s="539"/>
      <c r="G48" s="549">
        <v>2.2834958047819113E-4</v>
      </c>
      <c r="H48" s="549">
        <v>7.059134907926452E-4</v>
      </c>
      <c r="I48" s="549">
        <v>8.5540705016493935E-4</v>
      </c>
      <c r="J48" s="549">
        <v>9.5330012836763458E-4</v>
      </c>
      <c r="K48" s="549">
        <v>9.8333091824224128E-4</v>
      </c>
      <c r="L48" s="549">
        <v>1.0177302914368116E-3</v>
      </c>
      <c r="M48" s="549">
        <v>1.0560046516787432E-3</v>
      </c>
      <c r="N48" s="549">
        <v>1.0504090144435793E-3</v>
      </c>
      <c r="O48" s="549">
        <v>1.0403941570329388E-3</v>
      </c>
      <c r="P48" s="549">
        <v>1.0300231296342024E-3</v>
      </c>
      <c r="Q48" s="549">
        <v>1.019712585884414E-3</v>
      </c>
      <c r="R48" s="549">
        <v>1.0095036663119623E-3</v>
      </c>
      <c r="S48" s="549">
        <v>9.9939901145179501E-4</v>
      </c>
      <c r="T48" s="549">
        <v>9.8939745035974184E-4</v>
      </c>
      <c r="U48" s="549">
        <v>9.7949754334376968E-4</v>
      </c>
      <c r="V48" s="549">
        <v>9.6969792202448394E-4</v>
      </c>
      <c r="W48" s="549">
        <v>9.5999730476908842E-4</v>
      </c>
      <c r="X48" s="549">
        <v>9.5039448290834181E-4</v>
      </c>
      <c r="Y48" s="549">
        <v>9.4088830725968327E-4</v>
      </c>
      <c r="Z48" s="549">
        <v>9.314776772794092E-4</v>
      </c>
      <c r="AA48" s="549">
        <v>9.2216153251989071E-4</v>
      </c>
      <c r="AB48" s="549">
        <v>9.1293884591729223E-4</v>
      </c>
      <c r="AC48" s="549">
        <v>9.0380861851545292E-4</v>
      </c>
      <c r="AD48" s="549">
        <v>8.9476987531479949E-4</v>
      </c>
      <c r="AE48" s="549">
        <v>8.8582166200242409E-4</v>
      </c>
      <c r="AF48" s="549">
        <v>8.7696304237234437E-4</v>
      </c>
    </row>
    <row r="49" spans="1:32" x14ac:dyDescent="0.25">
      <c r="A49" s="839"/>
      <c r="B49" s="550" t="s">
        <v>29</v>
      </c>
      <c r="C49" s="539"/>
      <c r="D49" s="539"/>
      <c r="E49" s="539"/>
      <c r="F49" s="539"/>
      <c r="G49" s="549">
        <v>0</v>
      </c>
      <c r="H49" s="549">
        <v>2.3408787430727914E-7</v>
      </c>
      <c r="I49" s="549">
        <v>4.2257722623634036E-7</v>
      </c>
      <c r="J49" s="549">
        <v>5.1960504187279052E-7</v>
      </c>
      <c r="K49" s="549">
        <v>5.9574636529930674E-7</v>
      </c>
      <c r="L49" s="549">
        <v>6.6159427984217346E-7</v>
      </c>
      <c r="M49" s="549">
        <v>7.1996760680734004E-7</v>
      </c>
      <c r="N49" s="549">
        <v>7.6365227672935485E-7</v>
      </c>
      <c r="O49" s="549">
        <v>7.9585950923963764E-7</v>
      </c>
      <c r="P49" s="549">
        <v>8.1909991911740781E-7</v>
      </c>
      <c r="Q49" s="549">
        <v>8.3533882632148182E-7</v>
      </c>
      <c r="R49" s="549">
        <v>8.4611490809893187E-7</v>
      </c>
      <c r="S49" s="549">
        <v>8.5263280257638483E-7</v>
      </c>
      <c r="T49" s="549">
        <v>8.5583558914470643E-7</v>
      </c>
      <c r="U49" s="549">
        <v>8.5646153987378712E-7</v>
      </c>
      <c r="V49" s="549">
        <v>8.5508855750073493E-7</v>
      </c>
      <c r="W49" s="549">
        <v>8.5216897187433659E-7</v>
      </c>
      <c r="X49" s="549">
        <v>8.4805678676480926E-7</v>
      </c>
      <c r="Y49" s="549">
        <v>8.4302901504905996E-7</v>
      </c>
      <c r="Z49" s="549">
        <v>8.373023848878381E-7</v>
      </c>
      <c r="AA49" s="549">
        <v>8.310464212279551E-7</v>
      </c>
      <c r="AB49" s="549">
        <v>8.2439368905752198E-7</v>
      </c>
      <c r="AC49" s="549">
        <v>8.1744781421477443E-7</v>
      </c>
      <c r="AD49" s="549">
        <v>8.1028976394384767E-7</v>
      </c>
      <c r="AE49" s="549">
        <v>8.029827647717669E-7</v>
      </c>
      <c r="AF49" s="549">
        <v>7.9557615336049124E-7</v>
      </c>
    </row>
    <row r="50" spans="1:32" x14ac:dyDescent="0.25">
      <c r="A50" s="839"/>
      <c r="B50" s="550"/>
      <c r="C50" s="539"/>
      <c r="D50" s="539"/>
      <c r="E50" s="539"/>
      <c r="F50" s="539"/>
      <c r="G50" s="549" t="s">
        <v>73</v>
      </c>
      <c r="H50" s="549" t="s">
        <v>73</v>
      </c>
      <c r="I50" s="549" t="s">
        <v>73</v>
      </c>
      <c r="J50" s="549" t="s">
        <v>73</v>
      </c>
      <c r="K50" s="549" t="s">
        <v>73</v>
      </c>
      <c r="L50" s="549" t="s">
        <v>73</v>
      </c>
      <c r="M50" s="549" t="s">
        <v>73</v>
      </c>
      <c r="N50" s="549" t="s">
        <v>73</v>
      </c>
      <c r="O50" s="549" t="s">
        <v>73</v>
      </c>
      <c r="P50" s="549" t="s">
        <v>73</v>
      </c>
      <c r="Q50" s="549" t="s">
        <v>73</v>
      </c>
      <c r="R50" s="549" t="s">
        <v>73</v>
      </c>
      <c r="S50" s="549" t="s">
        <v>73</v>
      </c>
      <c r="T50" s="549" t="s">
        <v>73</v>
      </c>
      <c r="U50" s="549" t="s">
        <v>73</v>
      </c>
      <c r="V50" s="549" t="s">
        <v>73</v>
      </c>
      <c r="W50" s="549" t="s">
        <v>73</v>
      </c>
      <c r="X50" s="549" t="s">
        <v>73</v>
      </c>
      <c r="Y50" s="549" t="s">
        <v>73</v>
      </c>
      <c r="Z50" s="549" t="s">
        <v>73</v>
      </c>
      <c r="AA50" s="549" t="s">
        <v>73</v>
      </c>
      <c r="AB50" s="549" t="s">
        <v>73</v>
      </c>
      <c r="AC50" s="549" t="s">
        <v>73</v>
      </c>
      <c r="AD50" s="549" t="s">
        <v>73</v>
      </c>
      <c r="AE50" s="549" t="s">
        <v>73</v>
      </c>
      <c r="AF50" s="549" t="s">
        <v>73</v>
      </c>
    </row>
    <row r="51" spans="1:32" s="202" customFormat="1" ht="12.75" x14ac:dyDescent="0.2">
      <c r="A51" s="843" t="s">
        <v>32</v>
      </c>
      <c r="B51" s="556"/>
      <c r="C51" s="556"/>
      <c r="D51" s="556"/>
      <c r="E51" s="556"/>
      <c r="F51" s="556"/>
      <c r="G51" s="632" t="s">
        <v>73</v>
      </c>
      <c r="H51" s="632" t="s">
        <v>73</v>
      </c>
      <c r="I51" s="632" t="s">
        <v>73</v>
      </c>
      <c r="J51" s="632" t="s">
        <v>73</v>
      </c>
      <c r="K51" s="632" t="s">
        <v>73</v>
      </c>
      <c r="L51" s="632" t="s">
        <v>73</v>
      </c>
      <c r="M51" s="632" t="s">
        <v>73</v>
      </c>
      <c r="N51" s="632" t="s">
        <v>73</v>
      </c>
      <c r="O51" s="632" t="s">
        <v>73</v>
      </c>
      <c r="P51" s="632" t="s">
        <v>73</v>
      </c>
      <c r="Q51" s="632" t="s">
        <v>73</v>
      </c>
      <c r="R51" s="632" t="s">
        <v>73</v>
      </c>
      <c r="S51" s="632" t="s">
        <v>73</v>
      </c>
      <c r="T51" s="632" t="s">
        <v>73</v>
      </c>
      <c r="U51" s="632" t="s">
        <v>73</v>
      </c>
      <c r="V51" s="632" t="s">
        <v>73</v>
      </c>
      <c r="W51" s="632" t="s">
        <v>73</v>
      </c>
      <c r="X51" s="632" t="s">
        <v>73</v>
      </c>
      <c r="Y51" s="632" t="s">
        <v>73</v>
      </c>
      <c r="Z51" s="632" t="s">
        <v>73</v>
      </c>
      <c r="AA51" s="632" t="s">
        <v>73</v>
      </c>
      <c r="AB51" s="632" t="s">
        <v>73</v>
      </c>
      <c r="AC51" s="632" t="s">
        <v>73</v>
      </c>
      <c r="AD51" s="632" t="s">
        <v>73</v>
      </c>
      <c r="AE51" s="632" t="s">
        <v>73</v>
      </c>
      <c r="AF51" s="632" t="s">
        <v>73</v>
      </c>
    </row>
    <row r="52" spans="1:32" x14ac:dyDescent="0.25">
      <c r="A52" s="839"/>
      <c r="B52" s="550" t="s">
        <v>33</v>
      </c>
      <c r="C52" s="539"/>
      <c r="D52" s="539"/>
      <c r="E52" s="539"/>
      <c r="F52" s="539"/>
      <c r="G52" s="549">
        <v>2.4089147496284422E-4</v>
      </c>
      <c r="H52" s="549">
        <v>7.1894059701742632E-4</v>
      </c>
      <c r="I52" s="549">
        <v>8.1477635100485953E-4</v>
      </c>
      <c r="J52" s="549">
        <v>8.9020176842867754E-4</v>
      </c>
      <c r="K52" s="549">
        <v>9.55200547759473E-4</v>
      </c>
      <c r="L52" s="549">
        <v>9.470929653116278E-4</v>
      </c>
      <c r="M52" s="549">
        <v>9.3826005862654373E-4</v>
      </c>
      <c r="N52" s="549">
        <v>9.2913946898486683E-4</v>
      </c>
      <c r="O52" s="549">
        <v>9.1993865896020631E-4</v>
      </c>
      <c r="P52" s="549">
        <v>9.1075487690005219E-4</v>
      </c>
      <c r="Q52" s="549">
        <v>9.0163277777121893E-4</v>
      </c>
      <c r="R52" s="549">
        <v>8.9259206201005106E-4</v>
      </c>
      <c r="S52" s="549">
        <v>8.8364070347867331E-4</v>
      </c>
      <c r="T52" s="549">
        <v>8.7478125703248409E-4</v>
      </c>
      <c r="U52" s="549">
        <v>8.6601384770015042E-4</v>
      </c>
      <c r="V52" s="549">
        <v>8.5733757255053238E-4</v>
      </c>
      <c r="W52" s="549">
        <v>8.4875114635778388E-4</v>
      </c>
      <c r="X52" s="549">
        <v>8.4025318944447075E-4</v>
      </c>
      <c r="Y52" s="549">
        <v>8.3184234814824879E-4</v>
      </c>
      <c r="Z52" s="549">
        <v>8.2351733854993305E-4</v>
      </c>
      <c r="AA52" s="549">
        <v>8.1527695627871049E-4</v>
      </c>
      <c r="AB52" s="549">
        <v>8.071200723640614E-4</v>
      </c>
      <c r="AC52" s="549">
        <v>7.9904562424288662E-4</v>
      </c>
      <c r="AD52" s="549">
        <v>7.9105260590934862E-4</v>
      </c>
      <c r="AE52" s="549">
        <v>7.8314005881414397E-4</v>
      </c>
      <c r="AF52" s="549">
        <v>7.7530706404027984E-4</v>
      </c>
    </row>
    <row r="53" spans="1:32" x14ac:dyDescent="0.25">
      <c r="A53" s="842"/>
      <c r="B53" s="552" t="s">
        <v>34</v>
      </c>
      <c r="C53" s="539"/>
      <c r="D53" s="539"/>
      <c r="E53" s="539"/>
      <c r="F53" s="539"/>
      <c r="G53" s="549">
        <v>9.9462237000812496E-4</v>
      </c>
      <c r="H53" s="549">
        <v>8.3026968157824405E-4</v>
      </c>
      <c r="I53" s="549">
        <v>8.0056240809602084E-4</v>
      </c>
      <c r="J53" s="549">
        <v>6.9848514953967144E-4</v>
      </c>
      <c r="K53" s="549">
        <v>5.9283327299526872E-4</v>
      </c>
      <c r="L53" s="549">
        <v>5.6384809670043503E-4</v>
      </c>
      <c r="M53" s="549">
        <v>5.5858250826107533E-4</v>
      </c>
      <c r="N53" s="549">
        <v>5.531498154321174E-4</v>
      </c>
      <c r="O53" s="549">
        <v>5.4767125942148853E-4</v>
      </c>
      <c r="P53" s="549">
        <v>5.4220366682188612E-4</v>
      </c>
      <c r="Q53" s="549">
        <v>5.3677312612016633E-4</v>
      </c>
      <c r="R53" s="549">
        <v>5.3139114122583157E-4</v>
      </c>
      <c r="S53" s="549">
        <v>5.2606236255072468E-4</v>
      </c>
      <c r="T53" s="549">
        <v>5.2078827346665026E-4</v>
      </c>
      <c r="U53" s="549">
        <v>5.1556893733100914E-4</v>
      </c>
      <c r="V53" s="549">
        <v>5.1040381680711911E-4</v>
      </c>
      <c r="W53" s="549">
        <v>5.0529215122229246E-4</v>
      </c>
      <c r="X53" s="549">
        <v>5.002331247968225E-4</v>
      </c>
      <c r="Y53" s="549">
        <v>4.9522593704979612E-4</v>
      </c>
      <c r="Z53" s="549">
        <v>4.9026982835502584E-4</v>
      </c>
      <c r="AA53" s="549">
        <v>4.8536408567077468E-4</v>
      </c>
      <c r="AB53" s="549">
        <v>4.8050804011448811E-4</v>
      </c>
      <c r="AC53" s="549">
        <v>4.7570106170599267E-4</v>
      </c>
      <c r="AD53" s="549">
        <v>4.7094255360966383E-4</v>
      </c>
      <c r="AE53" s="549">
        <v>4.6623194681460833E-4</v>
      </c>
      <c r="AF53" s="549">
        <v>4.6156869556090855E-4</v>
      </c>
    </row>
    <row r="54" spans="1:32" x14ac:dyDescent="0.25">
      <c r="A54" s="839"/>
      <c r="B54" s="552" t="s">
        <v>35</v>
      </c>
      <c r="C54" s="539"/>
      <c r="D54" s="539"/>
      <c r="E54" s="539"/>
      <c r="F54" s="539"/>
      <c r="G54" s="549">
        <v>2.6423794808094368E-4</v>
      </c>
      <c r="H54" s="549">
        <v>1.9192317032246895E-4</v>
      </c>
      <c r="I54" s="549">
        <v>1.5859308565710058E-4</v>
      </c>
      <c r="J54" s="549">
        <v>1.4523544379460313E-4</v>
      </c>
      <c r="K54" s="549">
        <v>1.4211301218138698E-4</v>
      </c>
      <c r="L54" s="549">
        <v>1.3987300818197861E-4</v>
      </c>
      <c r="M54" s="549">
        <v>1.3806829632683114E-4</v>
      </c>
      <c r="N54" s="549">
        <v>1.3648287720260531E-4</v>
      </c>
      <c r="O54" s="549">
        <v>1.3501215454966229E-4</v>
      </c>
      <c r="P54" s="549">
        <v>1.3360527263224124E-4</v>
      </c>
      <c r="Q54" s="549">
        <v>1.3223733650770416E-4</v>
      </c>
      <c r="R54" s="549">
        <v>1.3089602108638058E-4</v>
      </c>
      <c r="S54" s="549">
        <v>1.2957511010913542E-4</v>
      </c>
      <c r="T54" s="549">
        <v>1.2827137399099353E-4</v>
      </c>
      <c r="U54" s="549">
        <v>1.2698305735738783E-4</v>
      </c>
      <c r="V54" s="549">
        <v>1.2570914342182498E-4</v>
      </c>
      <c r="W54" s="549">
        <v>1.2444899389557357E-4</v>
      </c>
      <c r="X54" s="549">
        <v>1.2320217092526444E-4</v>
      </c>
      <c r="Y54" s="549">
        <v>1.2196834764941541E-4</v>
      </c>
      <c r="Z54" s="549">
        <v>1.207472622007202E-4</v>
      </c>
      <c r="AA54" s="549">
        <v>1.1953869324330538E-4</v>
      </c>
      <c r="AB54" s="549">
        <v>1.1834244636653813E-4</v>
      </c>
      <c r="AC54" s="549">
        <v>1.1715834609143957E-4</v>
      </c>
      <c r="AD54" s="549">
        <v>1.1598623088359813E-4</v>
      </c>
      <c r="AE54" s="549">
        <v>1.1482594985353793E-4</v>
      </c>
      <c r="AF54" s="549">
        <v>1.1367736045870587E-4</v>
      </c>
    </row>
    <row r="55" spans="1:32" x14ac:dyDescent="0.25">
      <c r="A55" s="839"/>
      <c r="B55" s="552" t="s">
        <v>29</v>
      </c>
      <c r="C55" s="539"/>
      <c r="D55" s="539"/>
      <c r="E55" s="539"/>
      <c r="F55" s="539"/>
      <c r="G55" s="549">
        <v>0</v>
      </c>
      <c r="H55" s="549">
        <v>2.8325731016007037E-7</v>
      </c>
      <c r="I55" s="549">
        <v>5.2431854181118506E-7</v>
      </c>
      <c r="J55" s="549">
        <v>7.2968583177433564E-7</v>
      </c>
      <c r="K55" s="549">
        <v>9.0588026393677467E-7</v>
      </c>
      <c r="L55" s="549">
        <v>1.041698474130945E-6</v>
      </c>
      <c r="M55" s="549">
        <v>1.1455809431773997E-6</v>
      </c>
      <c r="N55" s="549">
        <v>1.2242577695599022E-6</v>
      </c>
      <c r="O55" s="549">
        <v>1.2830700689085391E-6</v>
      </c>
      <c r="P55" s="549">
        <v>1.32624462090438E-6</v>
      </c>
      <c r="Q55" s="549">
        <v>1.3571205811793792E-6</v>
      </c>
      <c r="R55" s="549">
        <v>1.3783330811490717E-6</v>
      </c>
      <c r="S55" s="549">
        <v>1.3919602860273097E-6</v>
      </c>
      <c r="T55" s="549">
        <v>1.3996404214563071E-6</v>
      </c>
      <c r="U55" s="549">
        <v>1.4026645405474368E-6</v>
      </c>
      <c r="V55" s="549">
        <v>1.4020498882575507E-6</v>
      </c>
      <c r="W55" s="549">
        <v>1.3985978389222328E-6</v>
      </c>
      <c r="X55" s="549">
        <v>1.3929396113659041E-6</v>
      </c>
      <c r="Y55" s="549">
        <v>1.3855723210453317E-6</v>
      </c>
      <c r="Z55" s="549">
        <v>1.3768874026011886E-6</v>
      </c>
      <c r="AA55" s="549">
        <v>1.3671930130523456E-6</v>
      </c>
      <c r="AB55" s="549">
        <v>1.3567316883036268E-6</v>
      </c>
      <c r="AC55" s="549">
        <v>1.3456942576525867E-6</v>
      </c>
      <c r="AD55" s="549">
        <v>1.3342308088554866E-6</v>
      </c>
      <c r="AE55" s="549">
        <v>1.3224593287009537E-6</v>
      </c>
      <c r="AF55" s="549">
        <v>1.3104725117432487E-6</v>
      </c>
    </row>
    <row r="56" spans="1:32" x14ac:dyDescent="0.25">
      <c r="A56" s="839"/>
      <c r="B56" s="550"/>
      <c r="C56" s="539"/>
      <c r="D56" s="539"/>
      <c r="E56" s="539"/>
      <c r="F56" s="539"/>
      <c r="G56" s="549" t="s">
        <v>73</v>
      </c>
      <c r="H56" s="549" t="s">
        <v>73</v>
      </c>
      <c r="I56" s="549" t="s">
        <v>73</v>
      </c>
      <c r="J56" s="549" t="s">
        <v>73</v>
      </c>
      <c r="K56" s="549" t="s">
        <v>73</v>
      </c>
      <c r="L56" s="549" t="s">
        <v>73</v>
      </c>
      <c r="M56" s="549" t="s">
        <v>73</v>
      </c>
      <c r="N56" s="549" t="s">
        <v>73</v>
      </c>
      <c r="O56" s="549" t="s">
        <v>73</v>
      </c>
      <c r="P56" s="549" t="s">
        <v>73</v>
      </c>
      <c r="Q56" s="549" t="s">
        <v>73</v>
      </c>
      <c r="R56" s="549" t="s">
        <v>73</v>
      </c>
      <c r="S56" s="549" t="s">
        <v>73</v>
      </c>
      <c r="T56" s="549" t="s">
        <v>73</v>
      </c>
      <c r="U56" s="549" t="s">
        <v>73</v>
      </c>
      <c r="V56" s="549" t="s">
        <v>73</v>
      </c>
      <c r="W56" s="549" t="s">
        <v>73</v>
      </c>
      <c r="X56" s="549" t="s">
        <v>73</v>
      </c>
      <c r="Y56" s="549" t="s">
        <v>73</v>
      </c>
      <c r="Z56" s="549" t="s">
        <v>73</v>
      </c>
      <c r="AA56" s="549" t="s">
        <v>73</v>
      </c>
      <c r="AB56" s="549" t="s">
        <v>73</v>
      </c>
      <c r="AC56" s="549" t="s">
        <v>73</v>
      </c>
      <c r="AD56" s="549" t="s">
        <v>73</v>
      </c>
      <c r="AE56" s="549" t="s">
        <v>73</v>
      </c>
      <c r="AF56" s="549" t="s">
        <v>73</v>
      </c>
    </row>
    <row r="57" spans="1:32" s="202" customFormat="1" ht="12.75" x14ac:dyDescent="0.2">
      <c r="A57" s="843" t="s">
        <v>36</v>
      </c>
      <c r="B57" s="556"/>
      <c r="C57" s="556"/>
      <c r="D57" s="556"/>
      <c r="E57" s="556"/>
      <c r="F57" s="556"/>
      <c r="G57" s="632" t="s">
        <v>73</v>
      </c>
      <c r="H57" s="632" t="s">
        <v>73</v>
      </c>
      <c r="I57" s="632" t="s">
        <v>73</v>
      </c>
      <c r="J57" s="632" t="s">
        <v>73</v>
      </c>
      <c r="K57" s="632" t="s">
        <v>73</v>
      </c>
      <c r="L57" s="632" t="s">
        <v>73</v>
      </c>
      <c r="M57" s="632" t="s">
        <v>73</v>
      </c>
      <c r="N57" s="632" t="s">
        <v>73</v>
      </c>
      <c r="O57" s="632" t="s">
        <v>73</v>
      </c>
      <c r="P57" s="632" t="s">
        <v>73</v>
      </c>
      <c r="Q57" s="632" t="s">
        <v>73</v>
      </c>
      <c r="R57" s="632" t="s">
        <v>73</v>
      </c>
      <c r="S57" s="632" t="s">
        <v>73</v>
      </c>
      <c r="T57" s="632" t="s">
        <v>73</v>
      </c>
      <c r="U57" s="632" t="s">
        <v>73</v>
      </c>
      <c r="V57" s="632" t="s">
        <v>73</v>
      </c>
      <c r="W57" s="632" t="s">
        <v>73</v>
      </c>
      <c r="X57" s="632" t="s">
        <v>73</v>
      </c>
      <c r="Y57" s="632" t="s">
        <v>73</v>
      </c>
      <c r="Z57" s="632" t="s">
        <v>73</v>
      </c>
      <c r="AA57" s="632" t="s">
        <v>73</v>
      </c>
      <c r="AB57" s="632" t="s">
        <v>73</v>
      </c>
      <c r="AC57" s="632" t="s">
        <v>73</v>
      </c>
      <c r="AD57" s="632" t="s">
        <v>73</v>
      </c>
      <c r="AE57" s="632" t="s">
        <v>73</v>
      </c>
      <c r="AF57" s="632" t="s">
        <v>73</v>
      </c>
    </row>
    <row r="58" spans="1:32" x14ac:dyDescent="0.25">
      <c r="A58" s="839"/>
      <c r="B58" s="550" t="s">
        <v>37</v>
      </c>
      <c r="C58" s="539"/>
      <c r="D58" s="539"/>
      <c r="E58" s="539"/>
      <c r="F58" s="201"/>
      <c r="G58" s="549">
        <v>0.26078291601899312</v>
      </c>
      <c r="H58" s="549">
        <v>0.23037068552877779</v>
      </c>
      <c r="I58" s="549">
        <v>0.19051054686420121</v>
      </c>
      <c r="J58" s="549">
        <v>0.14655246510322145</v>
      </c>
      <c r="K58" s="549">
        <v>0.1039544121421269</v>
      </c>
      <c r="L58" s="549">
        <v>7.3976593343341432E-2</v>
      </c>
      <c r="M58" s="549">
        <v>5.2797034615387366E-2</v>
      </c>
      <c r="N58" s="549">
        <v>3.7801092820742517E-2</v>
      </c>
      <c r="O58" s="549">
        <v>2.7231166346207546E-2</v>
      </c>
      <c r="P58" s="549">
        <v>1.9765895976829102E-2</v>
      </c>
      <c r="Q58" s="549">
        <v>1.4482494249177634E-2</v>
      </c>
      <c r="R58" s="549">
        <v>1.0735229736383986E-2</v>
      </c>
      <c r="S58" s="549">
        <v>8.0713754946262518E-3</v>
      </c>
      <c r="T58" s="549">
        <v>6.1757337698681051E-3</v>
      </c>
      <c r="U58" s="549">
        <v>4.819252713246628E-3</v>
      </c>
      <c r="V58" s="549">
        <v>3.8454664600797595E-3</v>
      </c>
      <c r="W58" s="549">
        <v>3.1423354346406022E-3</v>
      </c>
      <c r="X58" s="549">
        <v>2.6324486695022483E-3</v>
      </c>
      <c r="Y58" s="549">
        <v>2.2592835384316634E-3</v>
      </c>
      <c r="Z58" s="549">
        <v>1.9837087660964214E-3</v>
      </c>
      <c r="AA58" s="549">
        <v>1.7796667902695137E-3</v>
      </c>
      <c r="AB58" s="549">
        <v>1.625451841606521E-3</v>
      </c>
      <c r="AC58" s="549">
        <v>1.5071825976824191E-3</v>
      </c>
      <c r="AD58" s="549">
        <v>1.4165568158647809E-3</v>
      </c>
      <c r="AE58" s="549">
        <v>1.3444093727201392E-3</v>
      </c>
      <c r="AF58" s="549">
        <v>1.2857981772354519E-3</v>
      </c>
    </row>
    <row r="59" spans="1:32" x14ac:dyDescent="0.25">
      <c r="A59" s="839"/>
      <c r="B59" s="550" t="s">
        <v>39</v>
      </c>
      <c r="C59" s="539"/>
      <c r="D59" s="539"/>
      <c r="E59" s="203"/>
      <c r="F59" s="539"/>
      <c r="G59" s="549">
        <v>0.53742228642879963</v>
      </c>
      <c r="H59" s="549">
        <v>0.54883230995750054</v>
      </c>
      <c r="I59" s="549">
        <v>0.56581692458046773</v>
      </c>
      <c r="J59" s="549">
        <v>0.5852623170221859</v>
      </c>
      <c r="K59" s="549">
        <v>0.60263153051852547</v>
      </c>
      <c r="L59" s="549">
        <v>0.61102578212434555</v>
      </c>
      <c r="M59" s="549">
        <v>0.61356809408441482</v>
      </c>
      <c r="N59" s="549">
        <v>0.61227213650504819</v>
      </c>
      <c r="O59" s="549">
        <v>0.60902928704606085</v>
      </c>
      <c r="P59" s="549">
        <v>0.60441943140759669</v>
      </c>
      <c r="Q59" s="549">
        <v>0.59943643149046089</v>
      </c>
      <c r="R59" s="549">
        <v>0.59437802513899052</v>
      </c>
      <c r="S59" s="549">
        <v>0.58946256660205254</v>
      </c>
      <c r="T59" s="549">
        <v>0.58424723755118757</v>
      </c>
      <c r="U59" s="549">
        <v>0.57884299586467736</v>
      </c>
      <c r="V59" s="549">
        <v>0.57332433239146385</v>
      </c>
      <c r="W59" s="549">
        <v>0.56774458971737829</v>
      </c>
      <c r="X59" s="549">
        <v>0.56214132993916111</v>
      </c>
      <c r="Y59" s="549">
        <v>0.55653953933651445</v>
      </c>
      <c r="Z59" s="549">
        <v>0.55095691682673076</v>
      </c>
      <c r="AA59" s="549">
        <v>0.54540607711358668</v>
      </c>
      <c r="AB59" s="549">
        <v>0.53989488169281707</v>
      </c>
      <c r="AC59" s="549">
        <v>0.53442884443889616</v>
      </c>
      <c r="AD59" s="549">
        <v>0.52901208991379867</v>
      </c>
      <c r="AE59" s="549">
        <v>0.52364652939750966</v>
      </c>
      <c r="AF59" s="549">
        <v>0.51833351578671671</v>
      </c>
    </row>
    <row r="60" spans="1:32" x14ac:dyDescent="0.25">
      <c r="A60" s="839"/>
      <c r="B60" s="550" t="s">
        <v>40</v>
      </c>
      <c r="C60" s="539"/>
      <c r="D60" s="539"/>
      <c r="E60" s="539"/>
      <c r="F60" s="539"/>
      <c r="G60" s="549">
        <v>9.8304041800373068E-2</v>
      </c>
      <c r="H60" s="549">
        <v>9.9586165118223782E-2</v>
      </c>
      <c r="I60" s="549">
        <v>0.10181612567619411</v>
      </c>
      <c r="J60" s="549">
        <v>0.10446033312526527</v>
      </c>
      <c r="K60" s="549">
        <v>0.10730590113032046</v>
      </c>
      <c r="L60" s="549">
        <v>0.10886093929295369</v>
      </c>
      <c r="M60" s="549">
        <v>0.10954761420457451</v>
      </c>
      <c r="N60" s="549">
        <v>0.10937838401962106</v>
      </c>
      <c r="O60" s="549">
        <v>0.10887444707181498</v>
      </c>
      <c r="P60" s="549">
        <v>0.10814628828008761</v>
      </c>
      <c r="Q60" s="549">
        <v>0.10727088439318652</v>
      </c>
      <c r="R60" s="549">
        <v>0.10630146884342015</v>
      </c>
      <c r="S60" s="549">
        <v>0.10527463116412777</v>
      </c>
      <c r="T60" s="549">
        <v>0.10422001082087604</v>
      </c>
      <c r="U60" s="549">
        <v>0.10314918140133966</v>
      </c>
      <c r="V60" s="549">
        <v>0.10207761518556444</v>
      </c>
      <c r="W60" s="549">
        <v>0.10101189665291965</v>
      </c>
      <c r="X60" s="549">
        <v>9.9952687248565708E-2</v>
      </c>
      <c r="Y60" s="549">
        <v>9.8906534291362369E-2</v>
      </c>
      <c r="Z60" s="549">
        <v>9.7874685650175514E-2</v>
      </c>
      <c r="AA60" s="549">
        <v>9.6854886969417034E-2</v>
      </c>
      <c r="AB60" s="549">
        <v>9.5850548146187181E-2</v>
      </c>
      <c r="AC60" s="549">
        <v>9.4861400698002196E-2</v>
      </c>
      <c r="AD60" s="549">
        <v>9.3884704757916743E-2</v>
      </c>
      <c r="AE60" s="549">
        <v>9.2922688861593952E-2</v>
      </c>
      <c r="AF60" s="549">
        <v>9.1974755654660442E-2</v>
      </c>
    </row>
    <row r="61" spans="1:32" x14ac:dyDescent="0.25">
      <c r="A61" s="839"/>
      <c r="B61" s="550" t="s">
        <v>29</v>
      </c>
      <c r="C61" s="539"/>
      <c r="D61" s="539"/>
      <c r="E61" s="539"/>
      <c r="F61" s="539"/>
      <c r="G61" s="549">
        <v>0</v>
      </c>
      <c r="H61" s="549">
        <v>2.3763094631695959E-12</v>
      </c>
      <c r="I61" s="549">
        <v>4.2070475413968952E-12</v>
      </c>
      <c r="J61" s="549">
        <v>5.6114357187282921E-12</v>
      </c>
      <c r="K61" s="549">
        <v>6.7112551747279944E-12</v>
      </c>
      <c r="L61" s="549">
        <v>7.6247641241594002E-12</v>
      </c>
      <c r="M61" s="549">
        <v>8.3926181198674683E-12</v>
      </c>
      <c r="N61" s="549">
        <v>9.0157318368797553E-12</v>
      </c>
      <c r="O61" s="549">
        <v>9.464637308399845E-12</v>
      </c>
      <c r="P61" s="549">
        <v>9.7783977614299655E-12</v>
      </c>
      <c r="Q61" s="549">
        <v>9.9875430906487032E-12</v>
      </c>
      <c r="R61" s="549">
        <v>1.0115920213111834E-11</v>
      </c>
      <c r="S61" s="549">
        <v>1.0182143370177188E-11</v>
      </c>
      <c r="T61" s="549">
        <v>1.0200730545137047E-11</v>
      </c>
      <c r="U61" s="549">
        <v>1.0182994889887547E-11</v>
      </c>
      <c r="V61" s="549">
        <v>1.013774164847814E-11</v>
      </c>
      <c r="W61" s="549">
        <v>1.00718156460757E-11</v>
      </c>
      <c r="X61" s="549">
        <v>9.9905294305277624E-12</v>
      </c>
      <c r="Y61" s="549">
        <v>9.8979981039878964E-12</v>
      </c>
      <c r="Z61" s="549">
        <v>9.7974024937753472E-12</v>
      </c>
      <c r="AA61" s="549">
        <v>9.6911945803831103E-12</v>
      </c>
      <c r="AB61" s="549">
        <v>9.5812578620192751E-12</v>
      </c>
      <c r="AC61" s="549">
        <v>9.4690336318563557E-12</v>
      </c>
      <c r="AD61" s="549">
        <v>9.3556192511639078E-12</v>
      </c>
      <c r="AE61" s="549">
        <v>9.241844632090944E-12</v>
      </c>
      <c r="AF61" s="549">
        <v>9.1283326779964921E-12</v>
      </c>
    </row>
    <row r="62" spans="1:32" x14ac:dyDescent="0.25">
      <c r="A62" s="839"/>
      <c r="B62" s="550"/>
      <c r="C62" s="539"/>
      <c r="D62" s="539"/>
      <c r="E62" s="539"/>
      <c r="F62" s="539"/>
      <c r="G62" s="549" t="s">
        <v>73</v>
      </c>
      <c r="H62" s="549" t="s">
        <v>73</v>
      </c>
      <c r="I62" s="549" t="s">
        <v>73</v>
      </c>
      <c r="J62" s="549" t="s">
        <v>73</v>
      </c>
      <c r="K62" s="549" t="s">
        <v>73</v>
      </c>
      <c r="L62" s="549" t="s">
        <v>73</v>
      </c>
      <c r="M62" s="549" t="s">
        <v>73</v>
      </c>
      <c r="N62" s="549" t="s">
        <v>73</v>
      </c>
      <c r="O62" s="549" t="s">
        <v>73</v>
      </c>
      <c r="P62" s="549" t="s">
        <v>73</v>
      </c>
      <c r="Q62" s="549" t="s">
        <v>73</v>
      </c>
      <c r="R62" s="549" t="s">
        <v>73</v>
      </c>
      <c r="S62" s="549" t="s">
        <v>73</v>
      </c>
      <c r="T62" s="549" t="s">
        <v>73</v>
      </c>
      <c r="U62" s="549" t="s">
        <v>73</v>
      </c>
      <c r="V62" s="549" t="s">
        <v>73</v>
      </c>
      <c r="W62" s="549" t="s">
        <v>73</v>
      </c>
      <c r="X62" s="549" t="s">
        <v>73</v>
      </c>
      <c r="Y62" s="549" t="s">
        <v>73</v>
      </c>
      <c r="Z62" s="549" t="s">
        <v>73</v>
      </c>
      <c r="AA62" s="549" t="s">
        <v>73</v>
      </c>
      <c r="AB62" s="549" t="s">
        <v>73</v>
      </c>
      <c r="AC62" s="549" t="s">
        <v>73</v>
      </c>
      <c r="AD62" s="549" t="s">
        <v>73</v>
      </c>
      <c r="AE62" s="549" t="s">
        <v>73</v>
      </c>
      <c r="AF62" s="549" t="s">
        <v>73</v>
      </c>
    </row>
    <row r="63" spans="1:32" s="202" customFormat="1" ht="12.75" x14ac:dyDescent="0.2">
      <c r="A63" s="843" t="s">
        <v>42</v>
      </c>
      <c r="B63" s="556"/>
      <c r="C63" s="556"/>
      <c r="D63" s="556" t="s">
        <v>775</v>
      </c>
      <c r="E63" s="556"/>
      <c r="F63" s="556"/>
      <c r="G63" s="632" t="s">
        <v>73</v>
      </c>
      <c r="H63" s="632" t="s">
        <v>73</v>
      </c>
      <c r="I63" s="632" t="s">
        <v>73</v>
      </c>
      <c r="J63" s="632" t="s">
        <v>73</v>
      </c>
      <c r="K63" s="632" t="s">
        <v>73</v>
      </c>
      <c r="L63" s="632" t="s">
        <v>73</v>
      </c>
      <c r="M63" s="632" t="s">
        <v>73</v>
      </c>
      <c r="N63" s="632" t="s">
        <v>73</v>
      </c>
      <c r="O63" s="632" t="s">
        <v>73</v>
      </c>
      <c r="P63" s="632" t="s">
        <v>73</v>
      </c>
      <c r="Q63" s="632" t="s">
        <v>73</v>
      </c>
      <c r="R63" s="632" t="s">
        <v>73</v>
      </c>
      <c r="S63" s="632" t="s">
        <v>73</v>
      </c>
      <c r="T63" s="632" t="s">
        <v>73</v>
      </c>
      <c r="U63" s="632" t="s">
        <v>73</v>
      </c>
      <c r="V63" s="632" t="s">
        <v>73</v>
      </c>
      <c r="W63" s="632" t="s">
        <v>73</v>
      </c>
      <c r="X63" s="632" t="s">
        <v>73</v>
      </c>
      <c r="Y63" s="632" t="s">
        <v>73</v>
      </c>
      <c r="Z63" s="632" t="s">
        <v>73</v>
      </c>
      <c r="AA63" s="632" t="s">
        <v>73</v>
      </c>
      <c r="AB63" s="632" t="s">
        <v>73</v>
      </c>
      <c r="AC63" s="632" t="s">
        <v>73</v>
      </c>
      <c r="AD63" s="632" t="s">
        <v>73</v>
      </c>
      <c r="AE63" s="632" t="s">
        <v>73</v>
      </c>
      <c r="AF63" s="632" t="s">
        <v>73</v>
      </c>
    </row>
    <row r="64" spans="1:32" x14ac:dyDescent="0.25">
      <c r="A64" s="839"/>
      <c r="B64" s="552" t="s">
        <v>43</v>
      </c>
      <c r="C64" s="539"/>
      <c r="D64" s="539">
        <v>0.13453577995026955</v>
      </c>
      <c r="E64" s="539">
        <v>-6.7073020157145946E-3</v>
      </c>
      <c r="F64" s="539"/>
      <c r="G64" s="549">
        <v>0.15787983843978989</v>
      </c>
      <c r="H64" s="549">
        <v>0.14124308196598415</v>
      </c>
      <c r="I64" s="549">
        <v>0.1267130598823108</v>
      </c>
      <c r="J64" s="549">
        <v>0.11400830655809734</v>
      </c>
      <c r="K64" s="549">
        <v>0.10288677251702932</v>
      </c>
      <c r="L64" s="549">
        <v>9.3139997829570678E-2</v>
      </c>
      <c r="M64" s="549">
        <v>8.4588203955392668E-2</v>
      </c>
      <c r="N64" s="549">
        <v>7.7076148022549237E-2</v>
      </c>
      <c r="O64" s="549">
        <v>7.0469612293001777E-2</v>
      </c>
      <c r="P64" s="549">
        <v>6.4652424571801786E-2</v>
      </c>
      <c r="Q64" s="549">
        <v>5.9523923809376732E-2</v>
      </c>
      <c r="R64" s="549">
        <v>5.4996800079029406E-2</v>
      </c>
      <c r="S64" s="549">
        <v>5.0995250225363019E-2</v>
      </c>
      <c r="T64" s="549">
        <v>4.745340034970591E-2</v>
      </c>
      <c r="U64" s="549">
        <v>4.4326319659983598E-2</v>
      </c>
      <c r="V64" s="549">
        <v>4.1548723671419284E-2</v>
      </c>
      <c r="W64" s="549">
        <v>3.9087082773798972E-2</v>
      </c>
      <c r="X64" s="549">
        <v>3.690045237451884E-2</v>
      </c>
      <c r="Y64" s="549">
        <v>3.4953565183150813E-2</v>
      </c>
      <c r="Z64" s="549">
        <v>3.3215993262440131E-2</v>
      </c>
      <c r="AA64" s="549">
        <v>3.1656147964815105E-2</v>
      </c>
      <c r="AB64" s="549">
        <v>3.0257880968307217E-2</v>
      </c>
      <c r="AC64" s="549">
        <v>2.900120160142881E-2</v>
      </c>
      <c r="AD64" s="549">
        <v>2.786877165793563E-2</v>
      </c>
      <c r="AE64" s="549">
        <v>2.684553150190792E-2</v>
      </c>
      <c r="AF64" s="549">
        <v>2.5918382139265086E-2</v>
      </c>
    </row>
    <row r="65" spans="1:32" x14ac:dyDescent="0.25">
      <c r="A65" s="839"/>
      <c r="B65" s="552" t="s">
        <v>44</v>
      </c>
      <c r="C65" s="539"/>
      <c r="D65" s="539">
        <v>1.6326946226173267</v>
      </c>
      <c r="E65" s="539">
        <v>0.5278043813447324</v>
      </c>
      <c r="F65" s="539"/>
      <c r="G65" s="549">
        <v>1.0942940351117116</v>
      </c>
      <c r="H65" s="549">
        <v>1.1048902412725943</v>
      </c>
      <c r="I65" s="549">
        <v>1.1196568328167833</v>
      </c>
      <c r="J65" s="549">
        <v>1.1316735470995256</v>
      </c>
      <c r="K65" s="549">
        <v>1.1411394600891642</v>
      </c>
      <c r="L65" s="549">
        <v>1.1482716328503557</v>
      </c>
      <c r="M65" s="549">
        <v>1.1532911388721521</v>
      </c>
      <c r="N65" s="549">
        <v>1.1564140164385361</v>
      </c>
      <c r="O65" s="549">
        <v>1.1578456756138871</v>
      </c>
      <c r="P65" s="549">
        <v>1.1577777016681052</v>
      </c>
      <c r="Q65" s="549">
        <v>1.1563862966931944</v>
      </c>
      <c r="R65" s="549">
        <v>1.1538318189398202</v>
      </c>
      <c r="S65" s="549">
        <v>1.1502590371568568</v>
      </c>
      <c r="T65" s="549">
        <v>1.1457978311679582</v>
      </c>
      <c r="U65" s="549">
        <v>1.1405590288147323</v>
      </c>
      <c r="V65" s="549">
        <v>1.134651142689743</v>
      </c>
      <c r="W65" s="549">
        <v>1.128166550906383</v>
      </c>
      <c r="X65" s="549">
        <v>1.1211873304167281</v>
      </c>
      <c r="Y65" s="549">
        <v>1.1137857086701484</v>
      </c>
      <c r="Z65" s="549">
        <v>1.1060251130462586</v>
      </c>
      <c r="AA65" s="549">
        <v>1.0979542641042597</v>
      </c>
      <c r="AB65" s="549">
        <v>1.0896314250235211</v>
      </c>
      <c r="AC65" s="549">
        <v>1.0810982667938025</v>
      </c>
      <c r="AD65" s="549">
        <v>1.0723913936798533</v>
      </c>
      <c r="AE65" s="549">
        <v>1.0635429148768087</v>
      </c>
      <c r="AF65" s="549">
        <v>1.054580965530991</v>
      </c>
    </row>
    <row r="66" spans="1:32" x14ac:dyDescent="0.25">
      <c r="A66" s="839"/>
      <c r="B66" s="552" t="s">
        <v>45</v>
      </c>
      <c r="C66" s="539"/>
      <c r="D66" s="539">
        <v>2.0335338052437715</v>
      </c>
      <c r="E66" s="539">
        <v>1.8743026895935502</v>
      </c>
      <c r="F66" s="539"/>
      <c r="G66" s="549">
        <v>0.18097584535586639</v>
      </c>
      <c r="H66" s="549">
        <v>0.15923111565022133</v>
      </c>
      <c r="I66" s="549">
        <v>0.14025353447212213</v>
      </c>
      <c r="J66" s="549">
        <v>0.12367800210706568</v>
      </c>
      <c r="K66" s="549">
        <v>0.10918931408216913</v>
      </c>
      <c r="L66" s="549">
        <v>9.6515090467886755E-2</v>
      </c>
      <c r="M66" s="549">
        <v>8.5419746211580994E-2</v>
      </c>
      <c r="N66" s="549">
        <v>7.5699342803245709E-2</v>
      </c>
      <c r="O66" s="549">
        <v>6.7177187197574303E-2</v>
      </c>
      <c r="P66" s="549">
        <v>5.9700065220705714E-2</v>
      </c>
      <c r="Q66" s="549">
        <v>5.3135014442963223E-2</v>
      </c>
      <c r="R66" s="549">
        <v>4.7366556324524606E-2</v>
      </c>
      <c r="S66" s="549">
        <v>4.2294319847128205E-2</v>
      </c>
      <c r="T66" s="549">
        <v>3.7830999246440483E-2</v>
      </c>
      <c r="U66" s="549">
        <v>3.3916621334763107E-2</v>
      </c>
      <c r="V66" s="549">
        <v>3.0465041319338585E-2</v>
      </c>
      <c r="W66" s="549">
        <v>2.7431314327163281E-2</v>
      </c>
      <c r="X66" s="549">
        <v>2.4761143641169811E-2</v>
      </c>
      <c r="Y66" s="549">
        <v>2.2407730336957948E-2</v>
      </c>
      <c r="Z66" s="549">
        <v>2.0330674771224889E-2</v>
      </c>
      <c r="AA66" s="549">
        <v>1.8488362123302387E-2</v>
      </c>
      <c r="AB66" s="549">
        <v>1.6858878043914626E-2</v>
      </c>
      <c r="AC66" s="549">
        <v>1.5415680078375925E-2</v>
      </c>
      <c r="AD66" s="549">
        <v>1.4135738190604282E-2</v>
      </c>
      <c r="AE66" s="549">
        <v>1.2999042519909562E-2</v>
      </c>
      <c r="AF66" s="549">
        <v>1.1988184116415215E-2</v>
      </c>
    </row>
    <row r="67" spans="1:32" x14ac:dyDescent="0.25">
      <c r="A67" s="839"/>
      <c r="B67" s="552" t="s">
        <v>46</v>
      </c>
      <c r="C67" s="539"/>
      <c r="D67" s="539">
        <v>2.2688294894514509E-2</v>
      </c>
      <c r="E67" s="539">
        <v>2.2688294894514509E-2</v>
      </c>
      <c r="F67" s="539"/>
      <c r="G67" s="549">
        <v>0</v>
      </c>
      <c r="H67" s="549">
        <v>0</v>
      </c>
      <c r="I67" s="549">
        <v>0</v>
      </c>
      <c r="J67" s="549">
        <v>0</v>
      </c>
      <c r="K67" s="549">
        <v>0</v>
      </c>
      <c r="L67" s="549">
        <v>0</v>
      </c>
      <c r="M67" s="549">
        <v>0</v>
      </c>
      <c r="N67" s="549">
        <v>0</v>
      </c>
      <c r="O67" s="549">
        <v>0</v>
      </c>
      <c r="P67" s="549">
        <v>0</v>
      </c>
      <c r="Q67" s="549">
        <v>0</v>
      </c>
      <c r="R67" s="549">
        <v>0</v>
      </c>
      <c r="S67" s="549">
        <v>0</v>
      </c>
      <c r="T67" s="549">
        <v>0</v>
      </c>
      <c r="U67" s="549">
        <v>0</v>
      </c>
      <c r="V67" s="549">
        <v>0</v>
      </c>
      <c r="W67" s="549">
        <v>0</v>
      </c>
      <c r="X67" s="549">
        <v>0</v>
      </c>
      <c r="Y67" s="549">
        <v>0</v>
      </c>
      <c r="Z67" s="549">
        <v>0</v>
      </c>
      <c r="AA67" s="549">
        <v>0</v>
      </c>
      <c r="AB67" s="549">
        <v>0</v>
      </c>
      <c r="AC67" s="549">
        <v>0</v>
      </c>
      <c r="AD67" s="549">
        <v>0</v>
      </c>
      <c r="AE67" s="549">
        <v>0</v>
      </c>
      <c r="AF67" s="549">
        <v>0</v>
      </c>
    </row>
    <row r="68" spans="1:32" x14ac:dyDescent="0.25">
      <c r="A68" s="839"/>
      <c r="B68" s="550" t="s">
        <v>29</v>
      </c>
      <c r="C68" s="539"/>
      <c r="D68" s="539">
        <v>1.1909887724441239E-3</v>
      </c>
      <c r="E68" s="539">
        <v>-3.4777318917493761E-3</v>
      </c>
      <c r="F68" s="539"/>
      <c r="G68" s="549">
        <v>0</v>
      </c>
      <c r="H68" s="549">
        <v>4.6687206641935E-3</v>
      </c>
      <c r="I68" s="549">
        <v>8.0394820447609507E-3</v>
      </c>
      <c r="J68" s="549">
        <v>1.0455189551707933E-2</v>
      </c>
      <c r="K68" s="549">
        <v>1.2168439844079313E-2</v>
      </c>
      <c r="L68" s="549">
        <v>1.3365304399320882E-2</v>
      </c>
      <c r="M68" s="549">
        <v>1.4182847868594636E-2</v>
      </c>
      <c r="N68" s="549">
        <v>1.4722032133826014E-2</v>
      </c>
      <c r="O68" s="549">
        <v>1.5057221819185146E-2</v>
      </c>
      <c r="P68" s="549">
        <v>1.5243186589111262E-2</v>
      </c>
      <c r="Q68" s="549">
        <v>1.5320259621317861E-2</v>
      </c>
      <c r="R68" s="549">
        <v>1.5318137896975862E-2</v>
      </c>
      <c r="S68" s="549">
        <v>1.5258681999969633E-2</v>
      </c>
      <c r="T68" s="549">
        <v>1.5157978887880298E-2</v>
      </c>
      <c r="U68" s="549">
        <v>1.5011416224907214E-2</v>
      </c>
      <c r="V68" s="549">
        <v>1.4848857702790347E-2</v>
      </c>
      <c r="W68" s="549">
        <v>1.4659999980703216E-2</v>
      </c>
      <c r="X68" s="549">
        <v>1.4453611749353642E-2</v>
      </c>
      <c r="Y68" s="549">
        <v>1.4236081798064531E-2</v>
      </c>
      <c r="Z68" s="549">
        <v>1.4012049318827291E-2</v>
      </c>
      <c r="AA68" s="549">
        <v>1.3798158725823946E-2</v>
      </c>
      <c r="AB68" s="549">
        <v>1.3579562260879202E-2</v>
      </c>
      <c r="AC68" s="549">
        <v>1.3359040959860072E-2</v>
      </c>
      <c r="AD68" s="549">
        <v>1.3138587645104251E-2</v>
      </c>
      <c r="AE68" s="549">
        <v>1.2919617076520607E-2</v>
      </c>
      <c r="AF68" s="549">
        <v>1.2703120628614421E-2</v>
      </c>
    </row>
    <row r="69" spans="1:32" x14ac:dyDescent="0.25">
      <c r="A69" s="839"/>
      <c r="B69" s="550"/>
      <c r="C69" s="539"/>
      <c r="D69" s="539"/>
      <c r="E69" s="539"/>
      <c r="F69" s="539"/>
      <c r="G69" s="549" t="s">
        <v>73</v>
      </c>
      <c r="H69" s="549" t="s">
        <v>73</v>
      </c>
      <c r="I69" s="549" t="s">
        <v>73</v>
      </c>
      <c r="J69" s="549" t="s">
        <v>73</v>
      </c>
      <c r="K69" s="549" t="s">
        <v>73</v>
      </c>
      <c r="L69" s="549" t="s">
        <v>73</v>
      </c>
      <c r="M69" s="549" t="s">
        <v>73</v>
      </c>
      <c r="N69" s="549" t="s">
        <v>73</v>
      </c>
      <c r="O69" s="549" t="s">
        <v>73</v>
      </c>
      <c r="P69" s="549" t="s">
        <v>73</v>
      </c>
      <c r="Q69" s="549" t="s">
        <v>73</v>
      </c>
      <c r="R69" s="549" t="s">
        <v>73</v>
      </c>
      <c r="S69" s="549" t="s">
        <v>73</v>
      </c>
      <c r="T69" s="549" t="s">
        <v>73</v>
      </c>
      <c r="U69" s="549" t="s">
        <v>73</v>
      </c>
      <c r="V69" s="549" t="s">
        <v>73</v>
      </c>
      <c r="W69" s="549" t="s">
        <v>73</v>
      </c>
      <c r="X69" s="549" t="s">
        <v>73</v>
      </c>
      <c r="Y69" s="549" t="s">
        <v>73</v>
      </c>
      <c r="Z69" s="549" t="s">
        <v>73</v>
      </c>
      <c r="AA69" s="549" t="s">
        <v>73</v>
      </c>
      <c r="AB69" s="549" t="s">
        <v>73</v>
      </c>
      <c r="AC69" s="549" t="s">
        <v>73</v>
      </c>
      <c r="AD69" s="549" t="s">
        <v>73</v>
      </c>
      <c r="AE69" s="549" t="s">
        <v>73</v>
      </c>
      <c r="AF69" s="549" t="s">
        <v>73</v>
      </c>
    </row>
    <row r="70" spans="1:32" s="202" customFormat="1" ht="12.75" x14ac:dyDescent="0.2">
      <c r="A70" s="843" t="s">
        <v>47</v>
      </c>
      <c r="B70" s="556"/>
      <c r="C70" s="556"/>
      <c r="D70" s="556"/>
      <c r="E70" s="556"/>
      <c r="F70" s="556"/>
      <c r="G70" s="632" t="s">
        <v>73</v>
      </c>
      <c r="H70" s="632" t="s">
        <v>73</v>
      </c>
      <c r="I70" s="632" t="s">
        <v>73</v>
      </c>
      <c r="J70" s="632" t="s">
        <v>73</v>
      </c>
      <c r="K70" s="632" t="s">
        <v>73</v>
      </c>
      <c r="L70" s="632" t="s">
        <v>73</v>
      </c>
      <c r="M70" s="632" t="s">
        <v>73</v>
      </c>
      <c r="N70" s="632" t="s">
        <v>73</v>
      </c>
      <c r="O70" s="632" t="s">
        <v>73</v>
      </c>
      <c r="P70" s="632" t="s">
        <v>73</v>
      </c>
      <c r="Q70" s="632" t="s">
        <v>73</v>
      </c>
      <c r="R70" s="632" t="s">
        <v>73</v>
      </c>
      <c r="S70" s="632" t="s">
        <v>73</v>
      </c>
      <c r="T70" s="632" t="s">
        <v>73</v>
      </c>
      <c r="U70" s="632" t="s">
        <v>73</v>
      </c>
      <c r="V70" s="632" t="s">
        <v>73</v>
      </c>
      <c r="W70" s="632" t="s">
        <v>73</v>
      </c>
      <c r="X70" s="632" t="s">
        <v>73</v>
      </c>
      <c r="Y70" s="632" t="s">
        <v>73</v>
      </c>
      <c r="Z70" s="632" t="s">
        <v>73</v>
      </c>
      <c r="AA70" s="632" t="s">
        <v>73</v>
      </c>
      <c r="AB70" s="632" t="s">
        <v>73</v>
      </c>
      <c r="AC70" s="632" t="s">
        <v>73</v>
      </c>
      <c r="AD70" s="632" t="s">
        <v>73</v>
      </c>
      <c r="AE70" s="632" t="s">
        <v>73</v>
      </c>
      <c r="AF70" s="632" t="s">
        <v>73</v>
      </c>
    </row>
    <row r="71" spans="1:32" x14ac:dyDescent="0.25">
      <c r="A71" s="839"/>
      <c r="B71" s="550" t="s">
        <v>48</v>
      </c>
      <c r="C71" s="539"/>
      <c r="D71" s="539"/>
      <c r="E71" s="539"/>
      <c r="F71" s="539"/>
      <c r="G71" s="549">
        <v>0</v>
      </c>
      <c r="H71" s="549">
        <v>0</v>
      </c>
      <c r="I71" s="549">
        <v>0</v>
      </c>
      <c r="J71" s="549">
        <v>0</v>
      </c>
      <c r="K71" s="549">
        <v>0</v>
      </c>
      <c r="L71" s="549">
        <v>0</v>
      </c>
      <c r="M71" s="549">
        <v>0</v>
      </c>
      <c r="N71" s="549">
        <v>0</v>
      </c>
      <c r="O71" s="549">
        <v>0</v>
      </c>
      <c r="P71" s="549">
        <v>0</v>
      </c>
      <c r="Q71" s="549">
        <v>0</v>
      </c>
      <c r="R71" s="549">
        <v>0</v>
      </c>
      <c r="S71" s="549">
        <v>0</v>
      </c>
      <c r="T71" s="549">
        <v>0</v>
      </c>
      <c r="U71" s="549">
        <v>0</v>
      </c>
      <c r="V71" s="549">
        <v>0</v>
      </c>
      <c r="W71" s="549">
        <v>0</v>
      </c>
      <c r="X71" s="549">
        <v>0</v>
      </c>
      <c r="Y71" s="549">
        <v>0</v>
      </c>
      <c r="Z71" s="549">
        <v>0</v>
      </c>
      <c r="AA71" s="549">
        <v>0</v>
      </c>
      <c r="AB71" s="549">
        <v>0</v>
      </c>
      <c r="AC71" s="549">
        <v>0</v>
      </c>
      <c r="AD71" s="549">
        <v>0</v>
      </c>
      <c r="AE71" s="549">
        <v>0</v>
      </c>
      <c r="AF71" s="549">
        <v>0</v>
      </c>
    </row>
    <row r="72" spans="1:32" x14ac:dyDescent="0.25">
      <c r="A72" s="839"/>
      <c r="B72" s="552" t="s">
        <v>50</v>
      </c>
      <c r="C72" s="539"/>
      <c r="D72" s="539"/>
      <c r="E72" s="539"/>
      <c r="F72" s="539"/>
      <c r="G72" s="549">
        <v>1.8138265961499634E-4</v>
      </c>
      <c r="H72" s="549">
        <v>1.7609512781315654E-4</v>
      </c>
      <c r="I72" s="549">
        <v>1.7096173418866401E-4</v>
      </c>
      <c r="J72" s="549">
        <v>1.6597798542051278E-4</v>
      </c>
      <c r="K72" s="549">
        <v>1.6113951917363396E-4</v>
      </c>
      <c r="L72" s="549">
        <v>1.5644210028049229E-4</v>
      </c>
      <c r="M72" s="549">
        <v>1.5188161703399275E-4</v>
      </c>
      <c r="N72" s="549">
        <v>1.4745407758845418E-4</v>
      </c>
      <c r="O72" s="549">
        <v>1.4315560646549881E-4</v>
      </c>
      <c r="P72" s="549">
        <v>1.3898244116179962E-4</v>
      </c>
      <c r="Q72" s="549">
        <v>1.349309288557159E-4</v>
      </c>
      <c r="R72" s="549">
        <v>1.3099752320993501E-4</v>
      </c>
      <c r="S72" s="549">
        <v>1.2717878126732035E-4</v>
      </c>
      <c r="T72" s="549">
        <v>1.2347136043725009E-4</v>
      </c>
      <c r="U72" s="549">
        <v>1.1987201556980712E-4</v>
      </c>
      <c r="V72" s="549">
        <v>1.1637759611526083E-4</v>
      </c>
      <c r="W72" s="549">
        <v>1.1298504336635276E-4</v>
      </c>
      <c r="X72" s="549">
        <v>1.0969138778097372E-4</v>
      </c>
      <c r="Y72" s="549">
        <v>1.0649374638288781E-4</v>
      </c>
      <c r="Z72" s="549">
        <v>1.0338932023822878E-4</v>
      </c>
      <c r="AA72" s="549">
        <v>1.0037539200555974E-4</v>
      </c>
      <c r="AB72" s="549">
        <v>9.7449323557351506E-5</v>
      </c>
      <c r="AC72" s="549">
        <v>9.4608553670797957E-5</v>
      </c>
      <c r="AD72" s="549">
        <v>9.1850595785947022E-5</v>
      </c>
      <c r="AE72" s="549">
        <v>8.9173035829184883E-5</v>
      </c>
      <c r="AF72" s="549">
        <v>8.6573530100168472E-5</v>
      </c>
    </row>
    <row r="73" spans="1:32" x14ac:dyDescent="0.25">
      <c r="A73" s="839"/>
      <c r="B73" s="550" t="s">
        <v>51</v>
      </c>
      <c r="C73" s="539"/>
      <c r="D73" s="539"/>
      <c r="E73" s="539"/>
      <c r="F73" s="539"/>
      <c r="G73" s="549">
        <v>1.3113676150037779E-3</v>
      </c>
      <c r="H73" s="549">
        <v>1.2767071759102601E-3</v>
      </c>
      <c r="I73" s="549">
        <v>1.2429628384684917E-3</v>
      </c>
      <c r="J73" s="549">
        <v>1.2101103894181018E-3</v>
      </c>
      <c r="K73" s="549">
        <v>1.1781262554735265E-3</v>
      </c>
      <c r="L73" s="549">
        <v>1.14698748640899E-3</v>
      </c>
      <c r="M73" s="549">
        <v>1.1166717385905642E-3</v>
      </c>
      <c r="N73" s="549">
        <v>1.0871572589434828E-3</v>
      </c>
      <c r="O73" s="549">
        <v>1.0584228693432201E-3</v>
      </c>
      <c r="P73" s="549">
        <v>1.0304479514191174E-3</v>
      </c>
      <c r="Q73" s="549">
        <v>1.0032124317596669E-3</v>
      </c>
      <c r="R73" s="549">
        <v>9.7669676750882666E-4</v>
      </c>
      <c r="S73" s="549">
        <v>9.5088193234303805E-4</v>
      </c>
      <c r="T73" s="549">
        <v>9.2574940281888384E-4</v>
      </c>
      <c r="U73" s="549">
        <v>9.0128114508158128E-4</v>
      </c>
      <c r="V73" s="549">
        <v>8.7745960192478619E-4</v>
      </c>
      <c r="W73" s="549">
        <v>8.5426768019241338E-4</v>
      </c>
      <c r="X73" s="549">
        <v>8.3168873851343619E-4</v>
      </c>
      <c r="Y73" s="549">
        <v>8.0970657536086636E-4</v>
      </c>
      <c r="Z73" s="549">
        <v>7.8830541742634197E-4</v>
      </c>
      <c r="AA73" s="549">
        <v>7.6746990830198647E-4</v>
      </c>
      <c r="AB73" s="549">
        <v>7.4718509746141094E-4</v>
      </c>
      <c r="AC73" s="549">
        <v>7.2743642953196005E-4</v>
      </c>
      <c r="AD73" s="549">
        <v>7.0820973385050099E-4</v>
      </c>
      <c r="AE73" s="549">
        <v>6.894912142952574E-4</v>
      </c>
      <c r="AF73" s="549">
        <v>6.7126743938639806E-4</v>
      </c>
    </row>
    <row r="74" spans="1:32" x14ac:dyDescent="0.25">
      <c r="A74" s="839"/>
      <c r="B74" s="550" t="s">
        <v>52</v>
      </c>
      <c r="C74" s="539"/>
      <c r="D74" s="539"/>
      <c r="E74" s="539"/>
      <c r="F74" s="539"/>
      <c r="G74" s="549">
        <v>3.6831174153139734E-3</v>
      </c>
      <c r="H74" s="549">
        <v>3.6374508377786398E-3</v>
      </c>
      <c r="I74" s="549">
        <v>3.5924739684035818E-3</v>
      </c>
      <c r="J74" s="549">
        <v>3.5481700458883437E-3</v>
      </c>
      <c r="K74" s="549">
        <v>3.5045230929842018E-3</v>
      </c>
      <c r="L74" s="549">
        <v>3.4571560895435356E-3</v>
      </c>
      <c r="M74" s="549">
        <v>3.4084271234872589E-3</v>
      </c>
      <c r="N74" s="549">
        <v>3.3593382218884455E-3</v>
      </c>
      <c r="O74" s="549">
        <v>3.3128807373281072E-3</v>
      </c>
      <c r="P74" s="549">
        <v>3.2683546944284091E-3</v>
      </c>
      <c r="Q74" s="549">
        <v>3.2253380623230685E-3</v>
      </c>
      <c r="R74" s="549">
        <v>3.1835595608407223E-3</v>
      </c>
      <c r="S74" s="549">
        <v>3.1428355354392711E-3</v>
      </c>
      <c r="T74" s="549">
        <v>3.1031215640809936E-3</v>
      </c>
      <c r="U74" s="549">
        <v>3.0642276807372384E-3</v>
      </c>
      <c r="V74" s="549">
        <v>3.0261552287733739E-3</v>
      </c>
      <c r="W74" s="549">
        <v>2.9888361991629022E-3</v>
      </c>
      <c r="X74" s="549">
        <v>2.9521571388900557E-3</v>
      </c>
      <c r="Y74" s="549">
        <v>2.9161397934660389E-3</v>
      </c>
      <c r="Z74" s="549">
        <v>2.8807466243626926E-3</v>
      </c>
      <c r="AA74" s="549">
        <v>2.8458983375071628E-3</v>
      </c>
      <c r="AB74" s="549">
        <v>2.8116198225534498E-3</v>
      </c>
      <c r="AC74" s="549">
        <v>2.7778868510665426E-3</v>
      </c>
      <c r="AD74" s="549">
        <v>2.7446390924678998E-3</v>
      </c>
      <c r="AE74" s="549">
        <v>2.7118999645742059E-3</v>
      </c>
      <c r="AF74" s="549">
        <v>2.6796520950456192E-3</v>
      </c>
    </row>
    <row r="75" spans="1:32" x14ac:dyDescent="0.25">
      <c r="A75" s="839"/>
      <c r="B75" s="552" t="s">
        <v>29</v>
      </c>
      <c r="C75" s="539"/>
      <c r="D75" s="539"/>
      <c r="E75" s="539"/>
      <c r="F75" s="539"/>
      <c r="G75" s="549">
        <v>0</v>
      </c>
      <c r="H75" s="549">
        <v>2.8858300153681197E-5</v>
      </c>
      <c r="I75" s="549">
        <v>5.6663899569491769E-5</v>
      </c>
      <c r="J75" s="549">
        <v>8.3450533878243665E-5</v>
      </c>
      <c r="K75" s="549">
        <v>1.0925070211444118E-4</v>
      </c>
      <c r="L75" s="549">
        <v>1.3410757628763532E-4</v>
      </c>
      <c r="M75" s="549">
        <v>1.5805056705513355E-4</v>
      </c>
      <c r="N75" s="549">
        <v>1.8110808108302116E-4</v>
      </c>
      <c r="O75" s="549">
        <v>2.0329662728805234E-4</v>
      </c>
      <c r="P75" s="549">
        <v>2.2464344463844828E-4</v>
      </c>
      <c r="Q75" s="549">
        <v>2.4517484892675574E-4</v>
      </c>
      <c r="R75" s="549">
        <v>2.6491627355623379E-4</v>
      </c>
      <c r="S75" s="549">
        <v>2.8389230764923134E-4</v>
      </c>
      <c r="T75" s="549">
        <v>3.0207232417071291E-4</v>
      </c>
      <c r="U75" s="549">
        <v>3.1953685744614326E-4</v>
      </c>
      <c r="V75" s="549">
        <v>3.3625998441741688E-4</v>
      </c>
      <c r="W75" s="549">
        <v>3.5226929815539263E-4</v>
      </c>
      <c r="X75" s="549">
        <v>3.6763224250529087E-4</v>
      </c>
      <c r="Y75" s="549">
        <v>3.8232905697788296E-4</v>
      </c>
      <c r="Z75" s="549">
        <v>3.9638375664565969E-4</v>
      </c>
      <c r="AA75" s="549">
        <v>4.0985355012383798E-4</v>
      </c>
      <c r="AB75" s="549">
        <v>4.2272329790138955E-4</v>
      </c>
      <c r="AC75" s="549">
        <v>4.3501412046068218E-4</v>
      </c>
      <c r="AD75" s="549">
        <v>4.4677506309191668E-4</v>
      </c>
      <c r="AE75" s="549">
        <v>4.5799448936500721E-4</v>
      </c>
      <c r="AF75" s="549">
        <v>4.6869112404973492E-4</v>
      </c>
    </row>
    <row r="76" spans="1:32" x14ac:dyDescent="0.25">
      <c r="A76" s="839"/>
      <c r="B76" s="552" t="s">
        <v>53</v>
      </c>
      <c r="C76" s="539"/>
      <c r="D76" s="539"/>
      <c r="E76" s="539"/>
      <c r="F76" s="539"/>
      <c r="G76" s="549">
        <v>0</v>
      </c>
      <c r="H76" s="549">
        <v>0</v>
      </c>
      <c r="I76" s="549">
        <v>0</v>
      </c>
      <c r="J76" s="549">
        <v>0</v>
      </c>
      <c r="K76" s="549">
        <v>0</v>
      </c>
      <c r="L76" s="549">
        <v>0</v>
      </c>
      <c r="M76" s="549">
        <v>0</v>
      </c>
      <c r="N76" s="549">
        <v>0</v>
      </c>
      <c r="O76" s="549">
        <v>0</v>
      </c>
      <c r="P76" s="549">
        <v>0</v>
      </c>
      <c r="Q76" s="549">
        <v>0</v>
      </c>
      <c r="R76" s="549">
        <v>0</v>
      </c>
      <c r="S76" s="549">
        <v>0</v>
      </c>
      <c r="T76" s="549">
        <v>0</v>
      </c>
      <c r="U76" s="549">
        <v>0</v>
      </c>
      <c r="V76" s="549">
        <v>0</v>
      </c>
      <c r="W76" s="549">
        <v>0</v>
      </c>
      <c r="X76" s="549">
        <v>0</v>
      </c>
      <c r="Y76" s="549">
        <v>0</v>
      </c>
      <c r="Z76" s="549">
        <v>0</v>
      </c>
      <c r="AA76" s="549">
        <v>0</v>
      </c>
      <c r="AB76" s="549">
        <v>0</v>
      </c>
      <c r="AC76" s="549">
        <v>0</v>
      </c>
      <c r="AD76" s="549">
        <v>0</v>
      </c>
      <c r="AE76" s="549">
        <v>0</v>
      </c>
      <c r="AF76" s="549">
        <v>0</v>
      </c>
    </row>
    <row r="77" spans="1:32" x14ac:dyDescent="0.25">
      <c r="A77" s="838"/>
      <c r="B77" s="539"/>
      <c r="C77" s="539"/>
      <c r="D77" s="539"/>
      <c r="E77" s="539"/>
      <c r="F77" s="539"/>
      <c r="G77" s="539"/>
      <c r="H77" s="539"/>
      <c r="I77" s="539"/>
      <c r="J77" s="539"/>
      <c r="K77" s="539"/>
      <c r="L77" s="539"/>
      <c r="M77" s="539"/>
      <c r="N77" s="539"/>
      <c r="O77" s="539"/>
      <c r="P77" s="539"/>
      <c r="Q77" s="539"/>
      <c r="R77" s="539"/>
      <c r="S77" s="539"/>
      <c r="T77" s="539"/>
      <c r="U77" s="539"/>
      <c r="V77" s="539"/>
      <c r="W77" s="539"/>
      <c r="X77" s="539"/>
      <c r="Y77" s="539"/>
      <c r="Z77" s="539"/>
      <c r="AA77" s="539"/>
      <c r="AB77" s="539"/>
      <c r="AC77" s="539"/>
      <c r="AD77" s="539"/>
      <c r="AE77" s="539"/>
      <c r="AF77" s="539"/>
    </row>
    <row r="78" spans="1:32" x14ac:dyDescent="0.25">
      <c r="A78" s="838"/>
      <c r="B78" s="539"/>
      <c r="C78" s="539"/>
      <c r="D78" s="539"/>
      <c r="E78" s="539"/>
      <c r="F78" s="539"/>
      <c r="G78" s="539"/>
      <c r="H78" s="539"/>
      <c r="I78" s="539"/>
      <c r="J78" s="539"/>
      <c r="K78" s="539"/>
      <c r="L78" s="539"/>
      <c r="M78" s="539"/>
      <c r="N78" s="539"/>
      <c r="O78" s="539"/>
      <c r="P78" s="539"/>
      <c r="Q78" s="539"/>
      <c r="R78" s="539"/>
      <c r="S78" s="539"/>
      <c r="T78" s="539"/>
      <c r="U78" s="539"/>
      <c r="V78" s="539"/>
      <c r="W78" s="539"/>
      <c r="X78" s="539"/>
      <c r="Y78" s="539"/>
      <c r="Z78" s="539"/>
      <c r="AA78" s="539"/>
      <c r="AB78" s="539"/>
      <c r="AC78" s="539"/>
      <c r="AD78" s="539"/>
      <c r="AE78" s="539"/>
      <c r="AF78" s="539"/>
    </row>
    <row r="79" spans="1:32" s="539" customFormat="1" x14ac:dyDescent="0.25">
      <c r="A79" s="860" t="s">
        <v>528</v>
      </c>
      <c r="B79" s="555"/>
      <c r="C79" s="554"/>
      <c r="D79" s="553"/>
      <c r="E79" s="553"/>
      <c r="F79" s="553"/>
      <c r="G79" s="553" t="s">
        <v>702</v>
      </c>
      <c r="H79" s="560"/>
      <c r="I79" s="560"/>
      <c r="J79" s="560"/>
      <c r="K79" s="560"/>
      <c r="L79" s="560"/>
      <c r="M79" s="560"/>
      <c r="N79" s="560"/>
      <c r="O79" s="560"/>
      <c r="P79" s="560"/>
      <c r="Q79" s="560"/>
      <c r="R79" s="560"/>
      <c r="S79" s="560"/>
      <c r="T79" s="560"/>
      <c r="U79" s="560"/>
      <c r="V79" s="560"/>
      <c r="W79" s="560"/>
      <c r="X79" s="560"/>
      <c r="Y79" s="560"/>
      <c r="Z79" s="560"/>
      <c r="AA79" s="560"/>
      <c r="AB79" s="560"/>
      <c r="AC79" s="560"/>
      <c r="AD79" s="560"/>
      <c r="AE79" s="560"/>
      <c r="AF79" s="560"/>
    </row>
    <row r="80" spans="1:32" s="539" customFormat="1" x14ac:dyDescent="0.25">
      <c r="A80" s="840" t="s">
        <v>12</v>
      </c>
      <c r="B80" s="550"/>
    </row>
    <row r="81" spans="1:32" s="539" customFormat="1" x14ac:dyDescent="0.25">
      <c r="A81" s="839"/>
      <c r="B81" s="550" t="s">
        <v>20</v>
      </c>
    </row>
    <row r="82" spans="1:32" s="202" customFormat="1" ht="12.75" x14ac:dyDescent="0.2">
      <c r="A82" s="843" t="s">
        <v>21</v>
      </c>
      <c r="B82" s="556"/>
      <c r="C82" s="556"/>
      <c r="D82" s="556"/>
      <c r="E82" s="556"/>
      <c r="F82" s="556"/>
      <c r="G82" s="556"/>
      <c r="H82" s="556"/>
      <c r="I82" s="556"/>
      <c r="J82" s="556"/>
      <c r="K82" s="556"/>
      <c r="L82" s="556"/>
      <c r="M82" s="556"/>
      <c r="N82" s="556"/>
      <c r="O82" s="556"/>
      <c r="P82" s="556"/>
      <c r="Q82" s="556"/>
      <c r="R82" s="556"/>
      <c r="S82" s="556"/>
      <c r="T82" s="556"/>
      <c r="U82" s="556"/>
      <c r="V82" s="556"/>
      <c r="W82" s="556"/>
      <c r="X82" s="556"/>
      <c r="Y82" s="556"/>
      <c r="Z82" s="556"/>
      <c r="AA82" s="556"/>
      <c r="AB82" s="556"/>
      <c r="AC82" s="556"/>
      <c r="AD82" s="556"/>
      <c r="AE82" s="556"/>
      <c r="AF82" s="556"/>
    </row>
    <row r="83" spans="1:32" x14ac:dyDescent="0.25">
      <c r="A83" s="839"/>
      <c r="B83" s="550" t="s">
        <v>22</v>
      </c>
      <c r="C83" s="539"/>
      <c r="D83" s="539"/>
      <c r="E83" s="539"/>
      <c r="F83" s="539"/>
      <c r="G83" s="540">
        <v>0.56243624279112048</v>
      </c>
      <c r="H83" s="540">
        <v>0.28946489310144907</v>
      </c>
      <c r="I83" s="540">
        <v>0.1907682388511597</v>
      </c>
      <c r="J83" s="540">
        <v>0.11003000707459065</v>
      </c>
      <c r="K83" s="540">
        <v>7.518574490676333E-2</v>
      </c>
      <c r="L83" s="540">
        <v>4.7599883261440247E-2</v>
      </c>
      <c r="M83" s="540">
        <v>1.7730287938998484E-2</v>
      </c>
      <c r="N83" s="540">
        <v>1.6765186171292301E-2</v>
      </c>
      <c r="O83" s="540">
        <v>1.6516101445021483E-2</v>
      </c>
      <c r="P83" s="540">
        <v>1.6342352962135237E-2</v>
      </c>
      <c r="Q83" s="540">
        <v>1.6177891174884981E-2</v>
      </c>
      <c r="R83" s="540">
        <v>1.6015885216063716E-2</v>
      </c>
      <c r="S83" s="540">
        <v>1.5855608958347783E-2</v>
      </c>
      <c r="T83" s="540">
        <v>1.5696967156826721E-2</v>
      </c>
      <c r="U83" s="540">
        <v>1.5539931009397582E-2</v>
      </c>
      <c r="V83" s="540">
        <v>1.5384479710840979E-2</v>
      </c>
      <c r="W83" s="540">
        <v>1.523059421015722E-2</v>
      </c>
      <c r="X83" s="540">
        <v>1.5078256394849913E-2</v>
      </c>
      <c r="Y83" s="540">
        <v>1.4927448871570208E-2</v>
      </c>
      <c r="Z83" s="540">
        <v>1.477815483727957E-2</v>
      </c>
      <c r="AA83" s="540">
        <v>1.4630357982501086E-2</v>
      </c>
      <c r="AB83" s="540">
        <v>1.448404241570278E-2</v>
      </c>
      <c r="AC83" s="540">
        <v>1.4339192603819193E-2</v>
      </c>
      <c r="AD83" s="540">
        <v>1.4195793325370579E-2</v>
      </c>
      <c r="AE83" s="540">
        <v>1.4053829633445043E-2</v>
      </c>
      <c r="AF83" s="540">
        <v>1.391328682640656E-2</v>
      </c>
    </row>
    <row r="84" spans="1:32" x14ac:dyDescent="0.25">
      <c r="A84" s="839"/>
      <c r="B84" s="550" t="s">
        <v>26</v>
      </c>
      <c r="C84" s="539"/>
      <c r="D84" s="539"/>
      <c r="E84" s="539"/>
      <c r="F84" s="539"/>
      <c r="G84" s="540">
        <v>3.4175317552217637E-3</v>
      </c>
      <c r="H84" s="540">
        <v>3.1270110330321415E-3</v>
      </c>
      <c r="I84" s="540">
        <v>1.0114255813039312E-2</v>
      </c>
      <c r="J84" s="540">
        <v>2.6187256832088755E-2</v>
      </c>
      <c r="K84" s="540">
        <v>3.5621524799058904E-2</v>
      </c>
      <c r="L84" s="540">
        <v>3.7047807217985486E-2</v>
      </c>
      <c r="M84" s="540">
        <v>3.8634334602993176E-2</v>
      </c>
      <c r="N84" s="540">
        <v>3.6583652354857644E-2</v>
      </c>
      <c r="O84" s="540">
        <v>3.604577714629336E-2</v>
      </c>
      <c r="P84" s="540">
        <v>3.5667177107244236E-2</v>
      </c>
      <c r="Q84" s="540">
        <v>3.5308311866448769E-2</v>
      </c>
      <c r="R84" s="540">
        <v>3.4954749077497904E-2</v>
      </c>
      <c r="S84" s="540">
        <v>3.4604953549978175E-2</v>
      </c>
      <c r="T84" s="540">
        <v>3.4258722935082857E-2</v>
      </c>
      <c r="U84" s="540">
        <v>3.391599526533156E-2</v>
      </c>
      <c r="V84" s="540">
        <v>3.3576725479003873E-2</v>
      </c>
      <c r="W84" s="540">
        <v>3.3240872231498637E-2</v>
      </c>
      <c r="X84" s="540">
        <v>3.2908396171904643E-2</v>
      </c>
      <c r="Y84" s="540">
        <v>3.2579259479470123E-2</v>
      </c>
      <c r="Z84" s="540">
        <v>3.2253425591306999E-2</v>
      </c>
      <c r="AA84" s="540">
        <v>3.1930858997887814E-2</v>
      </c>
      <c r="AB84" s="540">
        <v>3.1611525083188201E-2</v>
      </c>
      <c r="AC84" s="540">
        <v>3.1295389998924707E-2</v>
      </c>
      <c r="AD84" s="540">
        <v>3.0982420565408092E-2</v>
      </c>
      <c r="AE84" s="540">
        <v>3.0672584193234535E-2</v>
      </c>
      <c r="AF84" s="540">
        <v>3.0365848821299807E-2</v>
      </c>
    </row>
    <row r="85" spans="1:32" x14ac:dyDescent="0.25">
      <c r="A85" s="839"/>
      <c r="B85" s="550" t="s">
        <v>27</v>
      </c>
      <c r="C85" s="539"/>
      <c r="D85" s="539"/>
      <c r="E85" s="539"/>
      <c r="F85" s="539"/>
      <c r="G85" s="540">
        <v>2.842795873131234E-2</v>
      </c>
      <c r="H85" s="540">
        <v>8.7881394579774785E-2</v>
      </c>
      <c r="I85" s="540">
        <v>0.10649231879313656</v>
      </c>
      <c r="J85" s="540">
        <v>0.11867933652883647</v>
      </c>
      <c r="K85" s="540">
        <v>0.12241796417788341</v>
      </c>
      <c r="L85" s="540">
        <v>0.12670045052846224</v>
      </c>
      <c r="M85" s="540">
        <v>0.13146534622543038</v>
      </c>
      <c r="N85" s="540">
        <v>0.1307687277159349</v>
      </c>
      <c r="O85" s="540">
        <v>0.12952194656322394</v>
      </c>
      <c r="P85" s="540">
        <v>0.1282308246865155</v>
      </c>
      <c r="Q85" s="540">
        <v>0.12694723260982951</v>
      </c>
      <c r="R85" s="540">
        <v>0.12567629204716593</v>
      </c>
      <c r="S85" s="540">
        <v>0.12441833172703989</v>
      </c>
      <c r="T85" s="540">
        <v>0.12317320587492238</v>
      </c>
      <c r="U85" s="540">
        <v>0.12194073525901615</v>
      </c>
      <c r="V85" s="540">
        <v>0.12072074952545903</v>
      </c>
      <c r="W85" s="540">
        <v>0.11951308911974623</v>
      </c>
      <c r="X85" s="540">
        <v>0.11831760357083575</v>
      </c>
      <c r="Y85" s="540">
        <v>0.11713414981336989</v>
      </c>
      <c r="Z85" s="540">
        <v>0.1159625908371955</v>
      </c>
      <c r="AA85" s="540">
        <v>0.11480279462384611</v>
      </c>
      <c r="AB85" s="540">
        <v>0.11365463331090893</v>
      </c>
      <c r="AC85" s="540">
        <v>0.11251798253518407</v>
      </c>
      <c r="AD85" s="540">
        <v>0.11139272091590272</v>
      </c>
      <c r="AE85" s="540">
        <v>0.11027872964764425</v>
      </c>
      <c r="AF85" s="540">
        <v>0.10917589217917624</v>
      </c>
    </row>
    <row r="86" spans="1:32" x14ac:dyDescent="0.25">
      <c r="A86" s="839"/>
      <c r="B86" s="550" t="s">
        <v>29</v>
      </c>
      <c r="C86" s="539"/>
      <c r="D86" s="539"/>
      <c r="E86" s="539"/>
      <c r="F86" s="539"/>
      <c r="G86" s="540">
        <v>0</v>
      </c>
      <c r="H86" s="540">
        <v>2.914233700965141E-5</v>
      </c>
      <c r="I86" s="540">
        <v>5.2607970301861116E-5</v>
      </c>
      <c r="J86" s="540">
        <v>6.4687268774519458E-5</v>
      </c>
      <c r="K86" s="540">
        <v>7.416634202520683E-5</v>
      </c>
      <c r="L86" s="540">
        <v>8.2363956372680442E-5</v>
      </c>
      <c r="M86" s="540">
        <v>8.9631035762535711E-5</v>
      </c>
      <c r="N86" s="540">
        <v>9.5069477957758584E-5</v>
      </c>
      <c r="O86" s="540">
        <v>9.9079057807805842E-5</v>
      </c>
      <c r="P86" s="540">
        <v>1.0197232965669866E-4</v>
      </c>
      <c r="Q86" s="540">
        <v>1.0399396237821406E-4</v>
      </c>
      <c r="R86" s="540">
        <v>1.053355107507273E-4</v>
      </c>
      <c r="S86" s="540">
        <v>1.0614694397005732E-4</v>
      </c>
      <c r="T86" s="540">
        <v>1.0654566896091908E-4</v>
      </c>
      <c r="U86" s="540">
        <v>1.0662359553935585E-4</v>
      </c>
      <c r="V86" s="540">
        <v>1.0645266863789972E-4</v>
      </c>
      <c r="W86" s="540">
        <v>1.0608920022457494E-4</v>
      </c>
      <c r="X86" s="540">
        <v>1.0557726134409022E-4</v>
      </c>
      <c r="Y86" s="540">
        <v>1.0495133820227201E-4</v>
      </c>
      <c r="Z86" s="540">
        <v>1.0423841197069414E-4</v>
      </c>
      <c r="AA86" s="540">
        <v>1.0345958734410488E-4</v>
      </c>
      <c r="AB86" s="540">
        <v>1.0263136775554465E-4</v>
      </c>
      <c r="AC86" s="540">
        <v>1.017666539121078E-4</v>
      </c>
      <c r="AD86" s="540">
        <v>1.0087552568111901E-4</v>
      </c>
      <c r="AE86" s="540">
        <v>9.9965854332134492E-5</v>
      </c>
      <c r="AF86" s="540">
        <v>9.9043781941645813E-5</v>
      </c>
    </row>
    <row r="87" spans="1:32" x14ac:dyDescent="0.25">
      <c r="A87" s="839"/>
      <c r="B87" s="550"/>
      <c r="C87" s="539"/>
      <c r="D87" s="539"/>
      <c r="E87" s="539"/>
      <c r="F87" s="539"/>
      <c r="G87" s="540" t="s">
        <v>73</v>
      </c>
      <c r="H87" s="540" t="s">
        <v>73</v>
      </c>
      <c r="I87" s="540" t="s">
        <v>73</v>
      </c>
      <c r="J87" s="540" t="s">
        <v>73</v>
      </c>
      <c r="K87" s="540" t="s">
        <v>73</v>
      </c>
      <c r="L87" s="540" t="s">
        <v>73</v>
      </c>
      <c r="M87" s="540" t="s">
        <v>73</v>
      </c>
      <c r="N87" s="540" t="s">
        <v>73</v>
      </c>
      <c r="O87" s="540" t="s">
        <v>73</v>
      </c>
      <c r="P87" s="540" t="s">
        <v>73</v>
      </c>
      <c r="Q87" s="540" t="s">
        <v>73</v>
      </c>
      <c r="R87" s="540" t="s">
        <v>73</v>
      </c>
      <c r="S87" s="540" t="s">
        <v>73</v>
      </c>
      <c r="T87" s="540" t="s">
        <v>73</v>
      </c>
      <c r="U87" s="540" t="s">
        <v>73</v>
      </c>
      <c r="V87" s="540" t="s">
        <v>73</v>
      </c>
      <c r="W87" s="540" t="s">
        <v>73</v>
      </c>
      <c r="X87" s="540" t="s">
        <v>73</v>
      </c>
      <c r="Y87" s="540" t="s">
        <v>73</v>
      </c>
      <c r="Z87" s="540" t="s">
        <v>73</v>
      </c>
      <c r="AA87" s="540" t="s">
        <v>73</v>
      </c>
      <c r="AB87" s="540" t="s">
        <v>73</v>
      </c>
      <c r="AC87" s="540" t="s">
        <v>73</v>
      </c>
      <c r="AD87" s="540" t="s">
        <v>73</v>
      </c>
      <c r="AE87" s="540" t="s">
        <v>73</v>
      </c>
      <c r="AF87" s="540" t="s">
        <v>73</v>
      </c>
    </row>
    <row r="88" spans="1:32" s="202" customFormat="1" ht="12.75" x14ac:dyDescent="0.2">
      <c r="A88" s="843" t="s">
        <v>32</v>
      </c>
      <c r="B88" s="556"/>
      <c r="C88" s="556"/>
      <c r="D88" s="556"/>
      <c r="E88" s="556"/>
      <c r="F88" s="556"/>
      <c r="G88" s="547" t="s">
        <v>73</v>
      </c>
      <c r="H88" s="547" t="s">
        <v>73</v>
      </c>
      <c r="I88" s="547" t="s">
        <v>73</v>
      </c>
      <c r="J88" s="547" t="s">
        <v>73</v>
      </c>
      <c r="K88" s="547" t="s">
        <v>73</v>
      </c>
      <c r="L88" s="547" t="s">
        <v>73</v>
      </c>
      <c r="M88" s="547" t="s">
        <v>73</v>
      </c>
      <c r="N88" s="547" t="s">
        <v>73</v>
      </c>
      <c r="O88" s="547" t="s">
        <v>73</v>
      </c>
      <c r="P88" s="547" t="s">
        <v>73</v>
      </c>
      <c r="Q88" s="547" t="s">
        <v>73</v>
      </c>
      <c r="R88" s="547" t="s">
        <v>73</v>
      </c>
      <c r="S88" s="547" t="s">
        <v>73</v>
      </c>
      <c r="T88" s="547" t="s">
        <v>73</v>
      </c>
      <c r="U88" s="547" t="s">
        <v>73</v>
      </c>
      <c r="V88" s="547" t="s">
        <v>73</v>
      </c>
      <c r="W88" s="547" t="s">
        <v>73</v>
      </c>
      <c r="X88" s="547" t="s">
        <v>73</v>
      </c>
      <c r="Y88" s="547" t="s">
        <v>73</v>
      </c>
      <c r="Z88" s="547" t="s">
        <v>73</v>
      </c>
      <c r="AA88" s="547" t="s">
        <v>73</v>
      </c>
      <c r="AB88" s="547" t="s">
        <v>73</v>
      </c>
      <c r="AC88" s="547" t="s">
        <v>73</v>
      </c>
      <c r="AD88" s="547" t="s">
        <v>73</v>
      </c>
      <c r="AE88" s="547" t="s">
        <v>73</v>
      </c>
      <c r="AF88" s="547" t="s">
        <v>73</v>
      </c>
    </row>
    <row r="89" spans="1:32" x14ac:dyDescent="0.25">
      <c r="A89" s="839"/>
      <c r="B89" s="550" t="s">
        <v>33</v>
      </c>
      <c r="C89" s="539"/>
      <c r="D89" s="539"/>
      <c r="E89" s="539"/>
      <c r="F89" s="539"/>
      <c r="G89" s="540">
        <v>2.9989338691264772E-2</v>
      </c>
      <c r="H89" s="540">
        <v>8.9503180078005076E-2</v>
      </c>
      <c r="I89" s="540">
        <v>0.10143407504016662</v>
      </c>
      <c r="J89" s="540">
        <v>0.11082402289698384</v>
      </c>
      <c r="K89" s="540">
        <v>0.11891592572654919</v>
      </c>
      <c r="L89" s="540">
        <v>0.1179065872431791</v>
      </c>
      <c r="M89" s="540">
        <v>0.11680695086024696</v>
      </c>
      <c r="N89" s="540">
        <v>0.11567149991965027</v>
      </c>
      <c r="O89" s="540">
        <v>0.11452606209082677</v>
      </c>
      <c r="P89" s="540">
        <v>0.11338274412695444</v>
      </c>
      <c r="Q89" s="540">
        <v>0.11224710526554572</v>
      </c>
      <c r="R89" s="540">
        <v>0.11112159807599102</v>
      </c>
      <c r="S89" s="540">
        <v>0.11000721524950936</v>
      </c>
      <c r="T89" s="540">
        <v>0.10890427484809884</v>
      </c>
      <c r="U89" s="540">
        <v>0.10781279243697216</v>
      </c>
      <c r="V89" s="540">
        <v>0.10673265560738683</v>
      </c>
      <c r="W89" s="540">
        <v>0.10566370435752793</v>
      </c>
      <c r="X89" s="540">
        <v>0.1046057669270048</v>
      </c>
      <c r="Y89" s="540">
        <v>0.1035586747941272</v>
      </c>
      <c r="Z89" s="540">
        <v>0.10252226811975057</v>
      </c>
      <c r="AA89" s="540">
        <v>0.10149639696795781</v>
      </c>
      <c r="AB89" s="540">
        <v>0.1004809207896519</v>
      </c>
      <c r="AC89" s="540">
        <v>9.947570730300484E-2</v>
      </c>
      <c r="AD89" s="540">
        <v>9.8480631267180277E-2</v>
      </c>
      <c r="AE89" s="540">
        <v>9.7495573349355352E-2</v>
      </c>
      <c r="AF89" s="540">
        <v>9.6520419150658399E-2</v>
      </c>
    </row>
    <row r="90" spans="1:32" x14ac:dyDescent="0.25">
      <c r="A90" s="842"/>
      <c r="B90" s="552" t="s">
        <v>34</v>
      </c>
      <c r="C90" s="539"/>
      <c r="D90" s="539"/>
      <c r="E90" s="539"/>
      <c r="F90" s="539"/>
      <c r="G90" s="540">
        <v>0.12382367258402521</v>
      </c>
      <c r="H90" s="540">
        <v>0.10336288857785043</v>
      </c>
      <c r="I90" s="540">
        <v>9.966453650378955E-2</v>
      </c>
      <c r="J90" s="540">
        <v>8.695661697282922E-2</v>
      </c>
      <c r="K90" s="540">
        <v>7.380368198604112E-2</v>
      </c>
      <c r="L90" s="540">
        <v>7.0195226065939087E-2</v>
      </c>
      <c r="M90" s="540">
        <v>6.9539696370913048E-2</v>
      </c>
      <c r="N90" s="540">
        <v>6.8863363323932641E-2</v>
      </c>
      <c r="O90" s="540">
        <v>6.8181320624965583E-2</v>
      </c>
      <c r="P90" s="540">
        <v>6.7500642795579463E-2</v>
      </c>
      <c r="Q90" s="540">
        <v>6.6824577673699606E-2</v>
      </c>
      <c r="R90" s="540">
        <v>6.615455741726517E-2</v>
      </c>
      <c r="S90" s="540">
        <v>6.5491160970698431E-2</v>
      </c>
      <c r="T90" s="540">
        <v>6.4834573003629006E-2</v>
      </c>
      <c r="U90" s="540">
        <v>6.4184801403619332E-2</v>
      </c>
      <c r="V90" s="540">
        <v>6.3541779275932853E-2</v>
      </c>
      <c r="W90" s="540">
        <v>6.2905411922030044E-2</v>
      </c>
      <c r="X90" s="540">
        <v>6.227559778292497E-2</v>
      </c>
      <c r="Y90" s="540">
        <v>6.1652237204226669E-2</v>
      </c>
      <c r="Z90" s="540">
        <v>6.1035235617677736E-2</v>
      </c>
      <c r="AA90" s="540">
        <v>6.0424504254465758E-2</v>
      </c>
      <c r="AB90" s="540">
        <v>5.9819959843294079E-2</v>
      </c>
      <c r="AC90" s="540">
        <v>5.922152395594605E-2</v>
      </c>
      <c r="AD90" s="540">
        <v>5.862912229047431E-2</v>
      </c>
      <c r="AE90" s="540">
        <v>5.8042684008920001E-2</v>
      </c>
      <c r="AF90" s="540">
        <v>5.7462141167911471E-2</v>
      </c>
    </row>
    <row r="91" spans="1:32" x14ac:dyDescent="0.25">
      <c r="A91" s="839"/>
      <c r="B91" s="552" t="s">
        <v>35</v>
      </c>
      <c r="C91" s="539"/>
      <c r="D91" s="539"/>
      <c r="E91" s="539"/>
      <c r="F91" s="539"/>
      <c r="G91" s="540">
        <v>3.2895814687118032E-2</v>
      </c>
      <c r="H91" s="540">
        <v>2.3893120162884904E-2</v>
      </c>
      <c r="I91" s="540">
        <v>1.974375291029767E-2</v>
      </c>
      <c r="J91" s="540">
        <v>1.8080817989114428E-2</v>
      </c>
      <c r="K91" s="540">
        <v>1.7692096639786915E-2</v>
      </c>
      <c r="L91" s="540">
        <v>1.7413231484353722E-2</v>
      </c>
      <c r="M91" s="540">
        <v>1.7188557219427962E-2</v>
      </c>
      <c r="N91" s="540">
        <v>1.6991183397496949E-2</v>
      </c>
      <c r="O91" s="540">
        <v>1.6808088500648369E-2</v>
      </c>
      <c r="P91" s="540">
        <v>1.6632941338106961E-2</v>
      </c>
      <c r="Q91" s="540">
        <v>1.6462642660027609E-2</v>
      </c>
      <c r="R91" s="540">
        <v>1.6295658077164748E-2</v>
      </c>
      <c r="S91" s="540">
        <v>1.613121370783319E-2</v>
      </c>
      <c r="T91" s="540">
        <v>1.5968907490823962E-2</v>
      </c>
      <c r="U91" s="540">
        <v>1.5808520894026585E-2</v>
      </c>
      <c r="V91" s="540">
        <v>1.5649927334486922E-2</v>
      </c>
      <c r="W91" s="540">
        <v>1.5493047349629762E-2</v>
      </c>
      <c r="X91" s="540">
        <v>1.5337826429709633E-2</v>
      </c>
      <c r="Y91" s="540">
        <v>1.5184223882710783E-2</v>
      </c>
      <c r="Z91" s="540">
        <v>1.5032207107947195E-2</v>
      </c>
      <c r="AA91" s="540">
        <v>1.4881748550618619E-2</v>
      </c>
      <c r="AB91" s="540">
        <v>1.4732824007932854E-2</v>
      </c>
      <c r="AC91" s="540">
        <v>1.4585411633958942E-2</v>
      </c>
      <c r="AD91" s="540">
        <v>1.4439491318769036E-2</v>
      </c>
      <c r="AE91" s="540">
        <v>1.4295044277656885E-2</v>
      </c>
      <c r="AF91" s="540">
        <v>1.4152052765050943E-2</v>
      </c>
    </row>
    <row r="92" spans="1:32" x14ac:dyDescent="0.25">
      <c r="A92" s="839"/>
      <c r="B92" s="552" t="s">
        <v>29</v>
      </c>
      <c r="C92" s="539"/>
      <c r="D92" s="539"/>
      <c r="E92" s="539"/>
      <c r="F92" s="539"/>
      <c r="G92" s="540">
        <v>0</v>
      </c>
      <c r="H92" s="540">
        <v>3.5263594996366024E-5</v>
      </c>
      <c r="I92" s="540">
        <v>6.5274067232603422E-5</v>
      </c>
      <c r="J92" s="540">
        <v>9.0840888207741952E-5</v>
      </c>
      <c r="K92" s="540">
        <v>1.127758882007864E-4</v>
      </c>
      <c r="L92" s="540">
        <v>1.2968432510824696E-4</v>
      </c>
      <c r="M92" s="540">
        <v>1.4261698098076998E-4</v>
      </c>
      <c r="N92" s="540">
        <v>1.5241170698301906E-4</v>
      </c>
      <c r="O92" s="540">
        <v>1.5973343542795621E-4</v>
      </c>
      <c r="P92" s="540">
        <v>1.6510837143532886E-4</v>
      </c>
      <c r="Q92" s="540">
        <v>1.6895221701038627E-4</v>
      </c>
      <c r="R92" s="540">
        <v>1.7159302796551729E-4</v>
      </c>
      <c r="S92" s="540">
        <v>1.7328952163583823E-4</v>
      </c>
      <c r="T92" s="540">
        <v>1.7424564589308108E-4</v>
      </c>
      <c r="U92" s="540">
        <v>1.7462212800678224E-4</v>
      </c>
      <c r="V92" s="540">
        <v>1.7454560800663862E-4</v>
      </c>
      <c r="W92" s="540">
        <v>1.741158515085651E-4</v>
      </c>
      <c r="X92" s="540">
        <v>1.7341144093278543E-4</v>
      </c>
      <c r="Y92" s="540">
        <v>1.7249426374876678E-4</v>
      </c>
      <c r="Z92" s="540">
        <v>1.7141305088821373E-4</v>
      </c>
      <c r="AA92" s="540">
        <v>1.7020616578931118E-4</v>
      </c>
      <c r="AB92" s="540">
        <v>1.6890380251100495E-4</v>
      </c>
      <c r="AC92" s="540">
        <v>1.6752971799379051E-4</v>
      </c>
      <c r="AD92" s="540">
        <v>1.6610259713532413E-4</v>
      </c>
      <c r="AE92" s="540">
        <v>1.646371284826612E-4</v>
      </c>
      <c r="AF92" s="540">
        <v>1.6314485187291292E-4</v>
      </c>
    </row>
    <row r="93" spans="1:32" x14ac:dyDescent="0.25">
      <c r="A93" s="839"/>
      <c r="B93" s="550"/>
      <c r="C93" s="539"/>
      <c r="D93" s="539"/>
      <c r="E93" s="539"/>
      <c r="F93" s="539"/>
      <c r="G93" s="540" t="s">
        <v>73</v>
      </c>
      <c r="H93" s="540" t="s">
        <v>73</v>
      </c>
      <c r="I93" s="540" t="s">
        <v>73</v>
      </c>
      <c r="J93" s="540" t="s">
        <v>73</v>
      </c>
      <c r="K93" s="540" t="s">
        <v>73</v>
      </c>
      <c r="L93" s="540" t="s">
        <v>73</v>
      </c>
      <c r="M93" s="540" t="s">
        <v>73</v>
      </c>
      <c r="N93" s="540" t="s">
        <v>73</v>
      </c>
      <c r="O93" s="540" t="s">
        <v>73</v>
      </c>
      <c r="P93" s="540" t="s">
        <v>73</v>
      </c>
      <c r="Q93" s="540" t="s">
        <v>73</v>
      </c>
      <c r="R93" s="540" t="s">
        <v>73</v>
      </c>
      <c r="S93" s="540" t="s">
        <v>73</v>
      </c>
      <c r="T93" s="540" t="s">
        <v>73</v>
      </c>
      <c r="U93" s="540" t="s">
        <v>73</v>
      </c>
      <c r="V93" s="540" t="s">
        <v>73</v>
      </c>
      <c r="W93" s="540" t="s">
        <v>73</v>
      </c>
      <c r="X93" s="540" t="s">
        <v>73</v>
      </c>
      <c r="Y93" s="540" t="s">
        <v>73</v>
      </c>
      <c r="Z93" s="540" t="s">
        <v>73</v>
      </c>
      <c r="AA93" s="540" t="s">
        <v>73</v>
      </c>
      <c r="AB93" s="540" t="s">
        <v>73</v>
      </c>
      <c r="AC93" s="540" t="s">
        <v>73</v>
      </c>
      <c r="AD93" s="540" t="s">
        <v>73</v>
      </c>
      <c r="AE93" s="540" t="s">
        <v>73</v>
      </c>
      <c r="AF93" s="540" t="s">
        <v>73</v>
      </c>
    </row>
    <row r="94" spans="1:32" s="202" customFormat="1" ht="12.75" x14ac:dyDescent="0.2">
      <c r="A94" s="843" t="s">
        <v>36</v>
      </c>
      <c r="B94" s="556"/>
      <c r="C94" s="556"/>
      <c r="D94" s="556"/>
      <c r="E94" s="556"/>
      <c r="F94" s="556"/>
      <c r="G94" s="547" t="s">
        <v>73</v>
      </c>
      <c r="H94" s="547" t="s">
        <v>73</v>
      </c>
      <c r="I94" s="547" t="s">
        <v>73</v>
      </c>
      <c r="J94" s="547" t="s">
        <v>73</v>
      </c>
      <c r="K94" s="547" t="s">
        <v>73</v>
      </c>
      <c r="L94" s="547" t="s">
        <v>73</v>
      </c>
      <c r="M94" s="547" t="s">
        <v>73</v>
      </c>
      <c r="N94" s="547" t="s">
        <v>73</v>
      </c>
      <c r="O94" s="547" t="s">
        <v>73</v>
      </c>
      <c r="P94" s="547" t="s">
        <v>73</v>
      </c>
      <c r="Q94" s="547" t="s">
        <v>73</v>
      </c>
      <c r="R94" s="547" t="s">
        <v>73</v>
      </c>
      <c r="S94" s="547" t="s">
        <v>73</v>
      </c>
      <c r="T94" s="547" t="s">
        <v>73</v>
      </c>
      <c r="U94" s="547" t="s">
        <v>73</v>
      </c>
      <c r="V94" s="547" t="s">
        <v>73</v>
      </c>
      <c r="W94" s="547" t="s">
        <v>73</v>
      </c>
      <c r="X94" s="547" t="s">
        <v>73</v>
      </c>
      <c r="Y94" s="547" t="s">
        <v>73</v>
      </c>
      <c r="Z94" s="547" t="s">
        <v>73</v>
      </c>
      <c r="AA94" s="547" t="s">
        <v>73</v>
      </c>
      <c r="AB94" s="547" t="s">
        <v>73</v>
      </c>
      <c r="AC94" s="547" t="s">
        <v>73</v>
      </c>
      <c r="AD94" s="547" t="s">
        <v>73</v>
      </c>
      <c r="AE94" s="547" t="s">
        <v>73</v>
      </c>
      <c r="AF94" s="547" t="s">
        <v>73</v>
      </c>
    </row>
    <row r="95" spans="1:32" x14ac:dyDescent="0.25">
      <c r="A95" s="839"/>
      <c r="B95" s="550" t="s">
        <v>37</v>
      </c>
      <c r="C95" s="539"/>
      <c r="D95" s="539"/>
      <c r="E95" s="539"/>
      <c r="F95" s="201"/>
      <c r="G95" s="540">
        <v>32.465686860008347</v>
      </c>
      <c r="H95" s="540">
        <v>28.679572466925102</v>
      </c>
      <c r="I95" s="540">
        <v>23.717258217833706</v>
      </c>
      <c r="J95" s="540">
        <v>18.244778121343515</v>
      </c>
      <c r="K95" s="540">
        <v>12.941612295173279</v>
      </c>
      <c r="L95" s="540">
        <v>9.2095791822505042</v>
      </c>
      <c r="M95" s="540">
        <v>6.5728691860909647</v>
      </c>
      <c r="N95" s="540">
        <v>4.7059771445877807</v>
      </c>
      <c r="O95" s="540">
        <v>3.3900936952648517</v>
      </c>
      <c r="P95" s="540">
        <v>2.4607186662660667</v>
      </c>
      <c r="Q95" s="540">
        <v>1.8029713388565249</v>
      </c>
      <c r="R95" s="540">
        <v>1.3364625732090092</v>
      </c>
      <c r="S95" s="540">
        <v>1.0048309656871695</v>
      </c>
      <c r="T95" s="540">
        <v>0.76883655480221003</v>
      </c>
      <c r="U95" s="540">
        <v>0.59996395421897741</v>
      </c>
      <c r="V95" s="540">
        <v>0.47873423546855964</v>
      </c>
      <c r="W95" s="540">
        <v>0.39119923876731222</v>
      </c>
      <c r="X95" s="540">
        <v>0.32772182888269086</v>
      </c>
      <c r="Y95" s="540">
        <v>0.28126532598995824</v>
      </c>
      <c r="Z95" s="540">
        <v>0.24695815433266133</v>
      </c>
      <c r="AA95" s="540">
        <v>0.22155632588999097</v>
      </c>
      <c r="AB95" s="540">
        <v>0.20235762104822003</v>
      </c>
      <c r="AC95" s="540">
        <v>0.1876339102429839</v>
      </c>
      <c r="AD95" s="540">
        <v>0.17635162113122096</v>
      </c>
      <c r="AE95" s="540">
        <v>0.16736975862028253</v>
      </c>
      <c r="AF95" s="540">
        <v>0.16007306622898337</v>
      </c>
    </row>
    <row r="96" spans="1:32" x14ac:dyDescent="0.25">
      <c r="A96" s="839"/>
      <c r="B96" s="550" t="s">
        <v>39</v>
      </c>
      <c r="C96" s="539"/>
      <c r="D96" s="539"/>
      <c r="E96" s="203"/>
      <c r="F96" s="539"/>
      <c r="G96" s="540">
        <v>66.905393685820968</v>
      </c>
      <c r="H96" s="540">
        <v>68.325863464298152</v>
      </c>
      <c r="I96" s="540">
        <v>70.440331651880697</v>
      </c>
      <c r="J96" s="540">
        <v>72.861149823255133</v>
      </c>
      <c r="K96" s="540">
        <v>75.023497936333698</v>
      </c>
      <c r="L96" s="540">
        <v>76.068524766384272</v>
      </c>
      <c r="M96" s="540">
        <v>76.385025192317272</v>
      </c>
      <c r="N96" s="540">
        <v>76.223687350107909</v>
      </c>
      <c r="O96" s="540">
        <v>75.819974803761653</v>
      </c>
      <c r="P96" s="540">
        <v>75.246079351126554</v>
      </c>
      <c r="Q96" s="540">
        <v>74.625729991579576</v>
      </c>
      <c r="R96" s="540">
        <v>73.995993047440351</v>
      </c>
      <c r="S96" s="540">
        <v>73.384052127115794</v>
      </c>
      <c r="T96" s="540">
        <v>72.734779381714958</v>
      </c>
      <c r="U96" s="540">
        <v>72.061988307098474</v>
      </c>
      <c r="V96" s="540">
        <v>71.374952503748261</v>
      </c>
      <c r="W96" s="540">
        <v>70.680312758240191</v>
      </c>
      <c r="X96" s="540">
        <v>69.982745294343786</v>
      </c>
      <c r="Y96" s="540">
        <v>69.285360732743058</v>
      </c>
      <c r="Z96" s="540">
        <v>68.59036246741546</v>
      </c>
      <c r="AA96" s="540">
        <v>67.899320942579124</v>
      </c>
      <c r="AB96" s="540">
        <v>67.213214860607138</v>
      </c>
      <c r="AC96" s="540">
        <v>66.532730661105319</v>
      </c>
      <c r="AD96" s="540">
        <v>65.85838182378906</v>
      </c>
      <c r="AE96" s="540">
        <v>65.190406289925576</v>
      </c>
      <c r="AF96" s="540">
        <v>64.528972485886044</v>
      </c>
    </row>
    <row r="97" spans="1:32" x14ac:dyDescent="0.25">
      <c r="A97" s="839"/>
      <c r="B97" s="550" t="s">
        <v>40</v>
      </c>
      <c r="C97" s="539"/>
      <c r="D97" s="539"/>
      <c r="E97" s="539"/>
      <c r="F97" s="539"/>
      <c r="G97" s="540">
        <v>12.238179888791651</v>
      </c>
      <c r="H97" s="540">
        <v>12.397795460197502</v>
      </c>
      <c r="I97" s="540">
        <v>12.675410275962356</v>
      </c>
      <c r="J97" s="540">
        <v>13.004595992361791</v>
      </c>
      <c r="K97" s="540">
        <v>13.358849718799346</v>
      </c>
      <c r="L97" s="540">
        <v>13.552441319100865</v>
      </c>
      <c r="M97" s="540">
        <v>13.637927642344836</v>
      </c>
      <c r="N97" s="540">
        <v>13.616859643428988</v>
      </c>
      <c r="O97" s="540">
        <v>13.554122945050061</v>
      </c>
      <c r="P97" s="540">
        <v>13.463472162868989</v>
      </c>
      <c r="Q97" s="540">
        <v>13.354490374866838</v>
      </c>
      <c r="R97" s="540">
        <v>13.233804778753457</v>
      </c>
      <c r="S97" s="540">
        <v>13.105970520816344</v>
      </c>
      <c r="T97" s="540">
        <v>12.974677511508512</v>
      </c>
      <c r="U97" s="540">
        <v>12.841366583224314</v>
      </c>
      <c r="V97" s="540">
        <v>12.707963928854927</v>
      </c>
      <c r="W97" s="540">
        <v>12.575289270982655</v>
      </c>
      <c r="X97" s="540">
        <v>12.443424954999522</v>
      </c>
      <c r="Y97" s="540">
        <v>12.313186077258921</v>
      </c>
      <c r="Z97" s="540">
        <v>12.184727988887603</v>
      </c>
      <c r="AA97" s="540">
        <v>12.057770038055644</v>
      </c>
      <c r="AB97" s="540">
        <v>11.932736733596563</v>
      </c>
      <c r="AC97" s="540">
        <v>11.809594651280053</v>
      </c>
      <c r="AD97" s="540">
        <v>11.688002696437636</v>
      </c>
      <c r="AE97" s="540">
        <v>11.568238306495422</v>
      </c>
      <c r="AF97" s="540">
        <v>11.450227114925399</v>
      </c>
    </row>
    <row r="98" spans="1:32" x14ac:dyDescent="0.25">
      <c r="A98" s="839"/>
      <c r="B98" s="550" t="s">
        <v>29</v>
      </c>
      <c r="C98" s="539"/>
      <c r="D98" s="539"/>
      <c r="E98" s="539"/>
      <c r="F98" s="539"/>
      <c r="G98" s="540">
        <v>0</v>
      </c>
      <c r="H98" s="540">
        <v>2.9583425207240121E-10</v>
      </c>
      <c r="I98" s="540">
        <v>5.2374860350979428E-10</v>
      </c>
      <c r="J98" s="540">
        <v>6.9858531249044815E-10</v>
      </c>
      <c r="K98" s="540">
        <v>8.3550530175243847E-10</v>
      </c>
      <c r="L98" s="540">
        <v>9.4923090904603593E-10</v>
      </c>
      <c r="M98" s="540">
        <v>1.0448234722377472E-9</v>
      </c>
      <c r="N98" s="540">
        <v>1.1223968621036057E-9</v>
      </c>
      <c r="O98" s="540">
        <v>1.1782825186128463E-9</v>
      </c>
      <c r="P98" s="540">
        <v>1.2173435459708977E-9</v>
      </c>
      <c r="Q98" s="540">
        <v>1.2433807069563757E-9</v>
      </c>
      <c r="R98" s="540">
        <v>1.2593627794076759E-9</v>
      </c>
      <c r="S98" s="540">
        <v>1.267607108879045E-9</v>
      </c>
      <c r="T98" s="540">
        <v>1.2699210848521297E-9</v>
      </c>
      <c r="U98" s="540">
        <v>1.2677131172506578E-9</v>
      </c>
      <c r="V98" s="540">
        <v>1.262079398648895E-9</v>
      </c>
      <c r="W98" s="540">
        <v>1.2538720628977529E-9</v>
      </c>
      <c r="X98" s="540">
        <v>1.2437524858169358E-9</v>
      </c>
      <c r="Y98" s="540">
        <v>1.2322329694389314E-9</v>
      </c>
      <c r="Z98" s="540">
        <v>1.2197095049784979E-9</v>
      </c>
      <c r="AA98" s="540">
        <v>1.2064873472126261E-9</v>
      </c>
      <c r="AB98" s="540">
        <v>1.1928009787675504E-9</v>
      </c>
      <c r="AC98" s="540">
        <v>1.1788298307713776E-9</v>
      </c>
      <c r="AD98" s="540">
        <v>1.1647105171859945E-9</v>
      </c>
      <c r="AE98" s="540">
        <v>1.1505463563896232E-9</v>
      </c>
      <c r="AF98" s="540">
        <v>1.1364148955840017E-9</v>
      </c>
    </row>
    <row r="99" spans="1:32" x14ac:dyDescent="0.25">
      <c r="A99" s="839"/>
      <c r="B99" s="550"/>
      <c r="C99" s="539"/>
      <c r="D99" s="539"/>
      <c r="E99" s="539"/>
      <c r="F99" s="539"/>
      <c r="G99" s="540" t="s">
        <v>73</v>
      </c>
      <c r="H99" s="540" t="s">
        <v>73</v>
      </c>
      <c r="I99" s="540" t="s">
        <v>73</v>
      </c>
      <c r="J99" s="540" t="s">
        <v>73</v>
      </c>
      <c r="K99" s="540" t="s">
        <v>73</v>
      </c>
      <c r="L99" s="540" t="s">
        <v>73</v>
      </c>
      <c r="M99" s="540" t="s">
        <v>73</v>
      </c>
      <c r="N99" s="540" t="s">
        <v>73</v>
      </c>
      <c r="O99" s="540" t="s">
        <v>73</v>
      </c>
      <c r="P99" s="540" t="s">
        <v>73</v>
      </c>
      <c r="Q99" s="540" t="s">
        <v>73</v>
      </c>
      <c r="R99" s="540" t="s">
        <v>73</v>
      </c>
      <c r="S99" s="540" t="s">
        <v>73</v>
      </c>
      <c r="T99" s="540" t="s">
        <v>73</v>
      </c>
      <c r="U99" s="540" t="s">
        <v>73</v>
      </c>
      <c r="V99" s="540" t="s">
        <v>73</v>
      </c>
      <c r="W99" s="540" t="s">
        <v>73</v>
      </c>
      <c r="X99" s="540" t="s">
        <v>73</v>
      </c>
      <c r="Y99" s="540" t="s">
        <v>73</v>
      </c>
      <c r="Z99" s="540" t="s">
        <v>73</v>
      </c>
      <c r="AA99" s="540" t="s">
        <v>73</v>
      </c>
      <c r="AB99" s="540" t="s">
        <v>73</v>
      </c>
      <c r="AC99" s="540" t="s">
        <v>73</v>
      </c>
      <c r="AD99" s="540" t="s">
        <v>73</v>
      </c>
      <c r="AE99" s="540" t="s">
        <v>73</v>
      </c>
      <c r="AF99" s="540" t="s">
        <v>73</v>
      </c>
    </row>
    <row r="100" spans="1:32" s="202" customFormat="1" ht="12.75" x14ac:dyDescent="0.2">
      <c r="A100" s="843" t="s">
        <v>42</v>
      </c>
      <c r="B100" s="556"/>
      <c r="C100" s="556"/>
      <c r="D100" s="556"/>
      <c r="E100" s="556"/>
      <c r="F100" s="556"/>
      <c r="G100" s="547" t="s">
        <v>73</v>
      </c>
      <c r="H100" s="547" t="s">
        <v>73</v>
      </c>
      <c r="I100" s="547" t="s">
        <v>73</v>
      </c>
      <c r="J100" s="547" t="s">
        <v>73</v>
      </c>
      <c r="K100" s="547" t="s">
        <v>73</v>
      </c>
      <c r="L100" s="547" t="s">
        <v>73</v>
      </c>
      <c r="M100" s="547" t="s">
        <v>73</v>
      </c>
      <c r="N100" s="547" t="s">
        <v>73</v>
      </c>
      <c r="O100" s="547" t="s">
        <v>73</v>
      </c>
      <c r="P100" s="547" t="s">
        <v>73</v>
      </c>
      <c r="Q100" s="547" t="s">
        <v>73</v>
      </c>
      <c r="R100" s="547" t="s">
        <v>73</v>
      </c>
      <c r="S100" s="547" t="s">
        <v>73</v>
      </c>
      <c r="T100" s="547" t="s">
        <v>73</v>
      </c>
      <c r="U100" s="547" t="s">
        <v>73</v>
      </c>
      <c r="V100" s="547" t="s">
        <v>73</v>
      </c>
      <c r="W100" s="547" t="s">
        <v>73</v>
      </c>
      <c r="X100" s="547" t="s">
        <v>73</v>
      </c>
      <c r="Y100" s="547" t="s">
        <v>73</v>
      </c>
      <c r="Z100" s="547" t="s">
        <v>73</v>
      </c>
      <c r="AA100" s="547" t="s">
        <v>73</v>
      </c>
      <c r="AB100" s="547" t="s">
        <v>73</v>
      </c>
      <c r="AC100" s="547" t="s">
        <v>73</v>
      </c>
      <c r="AD100" s="547" t="s">
        <v>73</v>
      </c>
      <c r="AE100" s="547" t="s">
        <v>73</v>
      </c>
      <c r="AF100" s="547" t="s">
        <v>73</v>
      </c>
    </row>
    <row r="101" spans="1:32" x14ac:dyDescent="0.25">
      <c r="A101" s="839"/>
      <c r="B101" s="552" t="s">
        <v>43</v>
      </c>
      <c r="C101" s="539"/>
      <c r="D101" s="539"/>
      <c r="E101" s="539"/>
      <c r="F101" s="539"/>
      <c r="G101" s="540">
        <v>19.654958516997407</v>
      </c>
      <c r="H101" s="540">
        <v>17.583796286395394</v>
      </c>
      <c r="I101" s="540">
        <v>15.774908057677267</v>
      </c>
      <c r="J101" s="540">
        <v>14.193253287671075</v>
      </c>
      <c r="K101" s="540">
        <v>12.808698474448802</v>
      </c>
      <c r="L101" s="540">
        <v>11.595291784590936</v>
      </c>
      <c r="M101" s="540">
        <v>10.53065202118642</v>
      </c>
      <c r="N101" s="540">
        <v>9.5954525099853072</v>
      </c>
      <c r="O101" s="540">
        <v>8.7729840619013704</v>
      </c>
      <c r="P101" s="540">
        <v>8.0487840343634875</v>
      </c>
      <c r="Q101" s="540">
        <v>7.4103208161591194</v>
      </c>
      <c r="R101" s="540">
        <v>6.8467249194276611</v>
      </c>
      <c r="S101" s="540">
        <v>6.3485593705219054</v>
      </c>
      <c r="T101" s="540">
        <v>5.9076233202483186</v>
      </c>
      <c r="U101" s="540">
        <v>5.5183231927387801</v>
      </c>
      <c r="V101" s="540">
        <v>5.1725315167925814</v>
      </c>
      <c r="W101" s="540">
        <v>4.8660740855929463</v>
      </c>
      <c r="X101" s="540">
        <v>4.5938535778031131</v>
      </c>
      <c r="Y101" s="540">
        <v>4.3514794573215703</v>
      </c>
      <c r="Z101" s="540">
        <v>4.1351636543706292</v>
      </c>
      <c r="AA101" s="540">
        <v>3.9409735986882146</v>
      </c>
      <c r="AB101" s="540">
        <v>3.7668989347941912</v>
      </c>
      <c r="AC101" s="540">
        <v>3.6104509610107534</v>
      </c>
      <c r="AD101" s="540">
        <v>3.4694711894153292</v>
      </c>
      <c r="AE101" s="540">
        <v>3.3420847984840982</v>
      </c>
      <c r="AF101" s="540">
        <v>3.2266610531731654</v>
      </c>
    </row>
    <row r="102" spans="1:32" x14ac:dyDescent="0.25">
      <c r="A102" s="839"/>
      <c r="B102" s="552" t="s">
        <v>44</v>
      </c>
      <c r="C102" s="539"/>
      <c r="D102" s="539"/>
      <c r="E102" s="539"/>
      <c r="F102" s="539"/>
      <c r="G102" s="540">
        <v>136.23211220678405</v>
      </c>
      <c r="H102" s="540">
        <v>137.55126729705941</v>
      </c>
      <c r="I102" s="540">
        <v>139.38960680327298</v>
      </c>
      <c r="J102" s="540">
        <v>140.88560542521216</v>
      </c>
      <c r="K102" s="540">
        <v>142.06404675740171</v>
      </c>
      <c r="L102" s="540">
        <v>142.95195341567168</v>
      </c>
      <c r="M102" s="540">
        <v>143.57684753520707</v>
      </c>
      <c r="N102" s="540">
        <v>143.96562440264955</v>
      </c>
      <c r="O102" s="540">
        <v>144.14385616409598</v>
      </c>
      <c r="P102" s="540">
        <v>144.13539387342112</v>
      </c>
      <c r="Q102" s="540">
        <v>143.96217348421575</v>
      </c>
      <c r="R102" s="540">
        <v>143.64415850034365</v>
      </c>
      <c r="S102" s="540">
        <v>143.19937163947282</v>
      </c>
      <c r="T102" s="540">
        <v>142.64398205006032</v>
      </c>
      <c r="U102" s="540">
        <v>141.99178703929161</v>
      </c>
      <c r="V102" s="540">
        <v>141.2562956817039</v>
      </c>
      <c r="W102" s="540">
        <v>140.44900841968777</v>
      </c>
      <c r="X102" s="540">
        <v>139.58014327160581</v>
      </c>
      <c r="Y102" s="540">
        <v>138.65869206019599</v>
      </c>
      <c r="Z102" s="540">
        <v>137.6925510597863</v>
      </c>
      <c r="AA102" s="540">
        <v>136.68778564629469</v>
      </c>
      <c r="AB102" s="540">
        <v>135.65164918648983</v>
      </c>
      <c r="AC102" s="540">
        <v>134.58932943317916</v>
      </c>
      <c r="AD102" s="540">
        <v>133.50538336660969</v>
      </c>
      <c r="AE102" s="540">
        <v>132.40380836164982</v>
      </c>
      <c r="AF102" s="540">
        <v>131.28810705131022</v>
      </c>
    </row>
    <row r="103" spans="1:32" x14ac:dyDescent="0.25">
      <c r="A103" s="839"/>
      <c r="B103" s="552" t="s">
        <v>45</v>
      </c>
      <c r="C103" s="539"/>
      <c r="D103" s="539"/>
      <c r="E103" s="539"/>
      <c r="F103" s="539"/>
      <c r="G103" s="540">
        <v>22.530253186220733</v>
      </c>
      <c r="H103" s="540">
        <v>19.823183274372759</v>
      </c>
      <c r="I103" s="540">
        <v>17.460604401132137</v>
      </c>
      <c r="J103" s="540">
        <v>15.397064152726204</v>
      </c>
      <c r="K103" s="540">
        <v>13.593321731215795</v>
      </c>
      <c r="L103" s="540">
        <v>12.015467700988422</v>
      </c>
      <c r="M103" s="540">
        <v>10.63417333658696</v>
      </c>
      <c r="N103" s="540">
        <v>9.4240496903547548</v>
      </c>
      <c r="O103" s="540">
        <v>8.3630996883774689</v>
      </c>
      <c r="P103" s="540">
        <v>7.4322492154215549</v>
      </c>
      <c r="Q103" s="540">
        <v>6.6149453596938317</v>
      </c>
      <c r="R103" s="540">
        <v>5.8968118339353373</v>
      </c>
      <c r="S103" s="540">
        <v>5.2653531338452204</v>
      </c>
      <c r="T103" s="540">
        <v>4.7097002897486453</v>
      </c>
      <c r="U103" s="540">
        <v>4.2223870505524257</v>
      </c>
      <c r="V103" s="540">
        <v>3.792688979591083</v>
      </c>
      <c r="W103" s="540">
        <v>3.4150107480172585</v>
      </c>
      <c r="X103" s="540">
        <v>3.0825927864513871</v>
      </c>
      <c r="Y103" s="540">
        <v>2.7896089493462171</v>
      </c>
      <c r="Z103" s="540">
        <v>2.5310297578204355</v>
      </c>
      <c r="AA103" s="540">
        <v>2.3016744517338643</v>
      </c>
      <c r="AB103" s="540">
        <v>2.0988148446999464</v>
      </c>
      <c r="AC103" s="540">
        <v>1.9191465829079506</v>
      </c>
      <c r="AD103" s="540">
        <v>1.75980258460564</v>
      </c>
      <c r="AE103" s="540">
        <v>1.6182917591909329</v>
      </c>
      <c r="AF103" s="540">
        <v>1.4924468116435818</v>
      </c>
    </row>
    <row r="104" spans="1:32" x14ac:dyDescent="0.25">
      <c r="A104" s="839"/>
      <c r="B104" s="552" t="s">
        <v>46</v>
      </c>
      <c r="C104" s="539"/>
      <c r="D104" s="539"/>
      <c r="E104" s="539"/>
      <c r="F104" s="539"/>
      <c r="G104" s="540">
        <v>0</v>
      </c>
      <c r="H104" s="540">
        <v>0</v>
      </c>
      <c r="I104" s="540">
        <v>0</v>
      </c>
      <c r="J104" s="540">
        <v>0</v>
      </c>
      <c r="K104" s="540">
        <v>0</v>
      </c>
      <c r="L104" s="540">
        <v>0</v>
      </c>
      <c r="M104" s="540">
        <v>0</v>
      </c>
      <c r="N104" s="540">
        <v>0</v>
      </c>
      <c r="O104" s="540">
        <v>0</v>
      </c>
      <c r="P104" s="540">
        <v>0</v>
      </c>
      <c r="Q104" s="540">
        <v>0</v>
      </c>
      <c r="R104" s="540">
        <v>0</v>
      </c>
      <c r="S104" s="540">
        <v>0</v>
      </c>
      <c r="T104" s="540">
        <v>0</v>
      </c>
      <c r="U104" s="540">
        <v>0</v>
      </c>
      <c r="V104" s="540">
        <v>0</v>
      </c>
      <c r="W104" s="540">
        <v>0</v>
      </c>
      <c r="X104" s="540">
        <v>0</v>
      </c>
      <c r="Y104" s="540">
        <v>0</v>
      </c>
      <c r="Z104" s="540">
        <v>0</v>
      </c>
      <c r="AA104" s="540">
        <v>0</v>
      </c>
      <c r="AB104" s="540">
        <v>0</v>
      </c>
      <c r="AC104" s="540">
        <v>0</v>
      </c>
      <c r="AD104" s="540">
        <v>0</v>
      </c>
      <c r="AE104" s="540">
        <v>0</v>
      </c>
      <c r="AF104" s="540">
        <v>0</v>
      </c>
    </row>
    <row r="105" spans="1:32" x14ac:dyDescent="0.25">
      <c r="A105" s="839"/>
      <c r="B105" s="550" t="s">
        <v>29</v>
      </c>
      <c r="C105" s="539"/>
      <c r="D105" s="539"/>
      <c r="E105" s="539"/>
      <c r="F105" s="539"/>
      <c r="G105" s="540">
        <v>0</v>
      </c>
      <c r="H105" s="540">
        <v>0.58122374515329489</v>
      </c>
      <c r="I105" s="540">
        <v>1.0008604496272264</v>
      </c>
      <c r="J105" s="540">
        <v>1.3015994883002973</v>
      </c>
      <c r="K105" s="540">
        <v>1.5148874151094902</v>
      </c>
      <c r="L105" s="540">
        <v>1.6638888545346322</v>
      </c>
      <c r="M105" s="540">
        <v>1.7656674168464115</v>
      </c>
      <c r="N105" s="540">
        <v>1.8327921648248058</v>
      </c>
      <c r="O105" s="540">
        <v>1.8745209848322548</v>
      </c>
      <c r="P105" s="540">
        <v>1.8976723249567555</v>
      </c>
      <c r="Q105" s="540">
        <v>1.907267389568996</v>
      </c>
      <c r="R105" s="540">
        <v>1.9070032494207758</v>
      </c>
      <c r="S105" s="540">
        <v>1.8996013974756716</v>
      </c>
      <c r="T105" s="540">
        <v>1.8870645497678922</v>
      </c>
      <c r="U105" s="540">
        <v>1.8688185020815995</v>
      </c>
      <c r="V105" s="540">
        <v>1.8485810794925845</v>
      </c>
      <c r="W105" s="540">
        <v>1.8250695866387785</v>
      </c>
      <c r="X105" s="540">
        <v>1.7993756654537796</v>
      </c>
      <c r="Y105" s="540">
        <v>1.7722946764494583</v>
      </c>
      <c r="Z105" s="540">
        <v>1.744404167253458</v>
      </c>
      <c r="AA105" s="540">
        <v>1.717776253428603</v>
      </c>
      <c r="AB105" s="540">
        <v>1.6905624907790435</v>
      </c>
      <c r="AC105" s="540">
        <v>1.6631090992220319</v>
      </c>
      <c r="AD105" s="540">
        <v>1.6356641714891429</v>
      </c>
      <c r="AE105" s="540">
        <v>1.6084038354988941</v>
      </c>
      <c r="AF105" s="540">
        <v>1.5814515105869569</v>
      </c>
    </row>
    <row r="106" spans="1:32" x14ac:dyDescent="0.25">
      <c r="A106" s="839"/>
      <c r="B106" s="550"/>
      <c r="C106" s="539"/>
      <c r="D106" s="539"/>
      <c r="E106" s="539"/>
      <c r="F106" s="539"/>
      <c r="G106" s="540" t="s">
        <v>73</v>
      </c>
      <c r="H106" s="540" t="s">
        <v>73</v>
      </c>
      <c r="I106" s="540" t="s">
        <v>73</v>
      </c>
      <c r="J106" s="540" t="s">
        <v>73</v>
      </c>
      <c r="K106" s="540" t="s">
        <v>73</v>
      </c>
      <c r="L106" s="540" t="s">
        <v>73</v>
      </c>
      <c r="M106" s="540" t="s">
        <v>73</v>
      </c>
      <c r="N106" s="540" t="s">
        <v>73</v>
      </c>
      <c r="O106" s="540" t="s">
        <v>73</v>
      </c>
      <c r="P106" s="540" t="s">
        <v>73</v>
      </c>
      <c r="Q106" s="540" t="s">
        <v>73</v>
      </c>
      <c r="R106" s="540" t="s">
        <v>73</v>
      </c>
      <c r="S106" s="540" t="s">
        <v>73</v>
      </c>
      <c r="T106" s="540" t="s">
        <v>73</v>
      </c>
      <c r="U106" s="540" t="s">
        <v>73</v>
      </c>
      <c r="V106" s="540" t="s">
        <v>73</v>
      </c>
      <c r="W106" s="540" t="s">
        <v>73</v>
      </c>
      <c r="X106" s="540" t="s">
        <v>73</v>
      </c>
      <c r="Y106" s="540" t="s">
        <v>73</v>
      </c>
      <c r="Z106" s="540" t="s">
        <v>73</v>
      </c>
      <c r="AA106" s="540" t="s">
        <v>73</v>
      </c>
      <c r="AB106" s="540" t="s">
        <v>73</v>
      </c>
      <c r="AC106" s="540" t="s">
        <v>73</v>
      </c>
      <c r="AD106" s="540" t="s">
        <v>73</v>
      </c>
      <c r="AE106" s="540" t="s">
        <v>73</v>
      </c>
      <c r="AF106" s="540" t="s">
        <v>73</v>
      </c>
    </row>
    <row r="107" spans="1:32" s="202" customFormat="1" ht="12.75" x14ac:dyDescent="0.2">
      <c r="A107" s="843" t="s">
        <v>47</v>
      </c>
      <c r="B107" s="556"/>
      <c r="C107" s="556"/>
      <c r="D107" s="556"/>
      <c r="E107" s="556"/>
      <c r="F107" s="556"/>
      <c r="G107" s="547" t="s">
        <v>73</v>
      </c>
      <c r="H107" s="547" t="s">
        <v>73</v>
      </c>
      <c r="I107" s="547" t="s">
        <v>73</v>
      </c>
      <c r="J107" s="547" t="s">
        <v>73</v>
      </c>
      <c r="K107" s="547" t="s">
        <v>73</v>
      </c>
      <c r="L107" s="547" t="s">
        <v>73</v>
      </c>
      <c r="M107" s="547" t="s">
        <v>73</v>
      </c>
      <c r="N107" s="547" t="s">
        <v>73</v>
      </c>
      <c r="O107" s="547" t="s">
        <v>73</v>
      </c>
      <c r="P107" s="547" t="s">
        <v>73</v>
      </c>
      <c r="Q107" s="547" t="s">
        <v>73</v>
      </c>
      <c r="R107" s="547" t="s">
        <v>73</v>
      </c>
      <c r="S107" s="547" t="s">
        <v>73</v>
      </c>
      <c r="T107" s="547" t="s">
        <v>73</v>
      </c>
      <c r="U107" s="547" t="s">
        <v>73</v>
      </c>
      <c r="V107" s="547" t="s">
        <v>73</v>
      </c>
      <c r="W107" s="547" t="s">
        <v>73</v>
      </c>
      <c r="X107" s="547" t="s">
        <v>73</v>
      </c>
      <c r="Y107" s="547" t="s">
        <v>73</v>
      </c>
      <c r="Z107" s="547" t="s">
        <v>73</v>
      </c>
      <c r="AA107" s="547" t="s">
        <v>73</v>
      </c>
      <c r="AB107" s="547" t="s">
        <v>73</v>
      </c>
      <c r="AC107" s="547" t="s">
        <v>73</v>
      </c>
      <c r="AD107" s="547" t="s">
        <v>73</v>
      </c>
      <c r="AE107" s="547" t="s">
        <v>73</v>
      </c>
      <c r="AF107" s="547" t="s">
        <v>73</v>
      </c>
    </row>
    <row r="108" spans="1:32" x14ac:dyDescent="0.25">
      <c r="A108" s="839"/>
      <c r="B108" s="550" t="s">
        <v>48</v>
      </c>
      <c r="C108" s="539"/>
      <c r="D108" s="539"/>
      <c r="E108" s="539"/>
      <c r="F108" s="539"/>
      <c r="G108" s="540">
        <v>0</v>
      </c>
      <c r="H108" s="540">
        <v>0</v>
      </c>
      <c r="I108" s="540">
        <v>0</v>
      </c>
      <c r="J108" s="540">
        <v>0</v>
      </c>
      <c r="K108" s="540">
        <v>0</v>
      </c>
      <c r="L108" s="540">
        <v>0</v>
      </c>
      <c r="M108" s="540">
        <v>0</v>
      </c>
      <c r="N108" s="540">
        <v>0</v>
      </c>
      <c r="O108" s="540">
        <v>0</v>
      </c>
      <c r="P108" s="540">
        <v>0</v>
      </c>
      <c r="Q108" s="540">
        <v>0</v>
      </c>
      <c r="R108" s="540">
        <v>0</v>
      </c>
      <c r="S108" s="540">
        <v>0</v>
      </c>
      <c r="T108" s="540">
        <v>0</v>
      </c>
      <c r="U108" s="540">
        <v>0</v>
      </c>
      <c r="V108" s="540">
        <v>0</v>
      </c>
      <c r="W108" s="540">
        <v>0</v>
      </c>
      <c r="X108" s="540">
        <v>0</v>
      </c>
      <c r="Y108" s="540">
        <v>0</v>
      </c>
      <c r="Z108" s="540">
        <v>0</v>
      </c>
      <c r="AA108" s="540">
        <v>0</v>
      </c>
      <c r="AB108" s="540">
        <v>0</v>
      </c>
      <c r="AC108" s="540">
        <v>0</v>
      </c>
      <c r="AD108" s="540">
        <v>0</v>
      </c>
      <c r="AE108" s="540">
        <v>0</v>
      </c>
      <c r="AF108" s="540">
        <v>0</v>
      </c>
    </row>
    <row r="109" spans="1:32" x14ac:dyDescent="0.25">
      <c r="A109" s="839"/>
      <c r="B109" s="552" t="s">
        <v>50</v>
      </c>
      <c r="C109" s="539"/>
      <c r="D109" s="539"/>
      <c r="E109" s="539"/>
      <c r="F109" s="539"/>
      <c r="G109" s="540">
        <v>2.2580898775083381E-2</v>
      </c>
      <c r="H109" s="540">
        <v>2.1922637281725572E-2</v>
      </c>
      <c r="I109" s="540">
        <v>2.1283564935706555E-2</v>
      </c>
      <c r="J109" s="540">
        <v>2.0663122349337266E-2</v>
      </c>
      <c r="K109" s="540">
        <v>2.0060766441780623E-2</v>
      </c>
      <c r="L109" s="540">
        <v>1.9475969963686491E-2</v>
      </c>
      <c r="M109" s="540">
        <v>1.8908221035683917E-2</v>
      </c>
      <c r="N109" s="540">
        <v>1.8357022700327005E-2</v>
      </c>
      <c r="O109" s="540">
        <v>1.7821892487102097E-2</v>
      </c>
      <c r="P109" s="540">
        <v>1.7302361990115544E-2</v>
      </c>
      <c r="Q109" s="540">
        <v>1.6797976458092414E-2</v>
      </c>
      <c r="R109" s="540">
        <v>1.630829439632725E-2</v>
      </c>
      <c r="S109" s="540">
        <v>1.5832887180238456E-2</v>
      </c>
      <c r="T109" s="540">
        <v>1.5371338680188066E-2</v>
      </c>
      <c r="U109" s="540">
        <v>1.4923244897238452E-2</v>
      </c>
      <c r="V109" s="540">
        <v>1.4488213609527265E-2</v>
      </c>
      <c r="W109" s="540">
        <v>1.4065864028950874E-2</v>
      </c>
      <c r="X109" s="540">
        <v>1.3655826467856015E-2</v>
      </c>
      <c r="Y109" s="540">
        <v>1.3257742015447731E-2</v>
      </c>
      <c r="Z109" s="540">
        <v>1.2871262223630452E-2</v>
      </c>
      <c r="AA109" s="540">
        <v>1.2496048802007219E-2</v>
      </c>
      <c r="AB109" s="540">
        <v>1.2131773321770007E-2</v>
      </c>
      <c r="AC109" s="540">
        <v>1.1778116928222081E-2</v>
      </c>
      <c r="AD109" s="540">
        <v>1.1434770061680637E-2</v>
      </c>
      <c r="AE109" s="540">
        <v>1.1101432186515509E-2</v>
      </c>
      <c r="AF109" s="540">
        <v>1.0777811528086727E-2</v>
      </c>
    </row>
    <row r="110" spans="1:32" x14ac:dyDescent="0.25">
      <c r="A110" s="839"/>
      <c r="B110" s="550" t="s">
        <v>51</v>
      </c>
      <c r="C110" s="539"/>
      <c r="D110" s="539"/>
      <c r="E110" s="539"/>
      <c r="F110" s="539"/>
      <c r="G110" s="540">
        <v>0.16325628609800458</v>
      </c>
      <c r="H110" s="540">
        <v>0.15894129883112937</v>
      </c>
      <c r="I110" s="540">
        <v>0.15474035994522811</v>
      </c>
      <c r="J110" s="540">
        <v>0.15065045505522889</v>
      </c>
      <c r="K110" s="540">
        <v>0.14666864944853986</v>
      </c>
      <c r="L110" s="540">
        <v>0.14279208597924523</v>
      </c>
      <c r="M110" s="540">
        <v>0.13901798301795956</v>
      </c>
      <c r="N110" s="540">
        <v>0.13534363245586808</v>
      </c>
      <c r="O110" s="540">
        <v>0.13176639776152307</v>
      </c>
      <c r="P110" s="540">
        <v>0.12828371208899914</v>
      </c>
      <c r="Q110" s="540">
        <v>0.12489307643605278</v>
      </c>
      <c r="R110" s="540">
        <v>0.12159205785096186</v>
      </c>
      <c r="S110" s="540">
        <v>0.11837828768676069</v>
      </c>
      <c r="T110" s="540">
        <v>0.11524945990161667</v>
      </c>
      <c r="U110" s="540">
        <v>0.11220332940412892</v>
      </c>
      <c r="V110" s="540">
        <v>0.10923771044236241</v>
      </c>
      <c r="W110" s="540">
        <v>0.106350475035461</v>
      </c>
      <c r="X110" s="540">
        <v>0.10353955144671381</v>
      </c>
      <c r="Y110" s="540">
        <v>0.1008029226969802</v>
      </c>
      <c r="Z110" s="540">
        <v>9.8138625117405426E-2</v>
      </c>
      <c r="AA110" s="540">
        <v>9.5544746940389766E-2</v>
      </c>
      <c r="AB110" s="540">
        <v>9.301942692779866E-2</v>
      </c>
      <c r="AC110" s="540">
        <v>9.0560853035430849E-2</v>
      </c>
      <c r="AD110" s="540">
        <v>8.8167261112785653E-2</v>
      </c>
      <c r="AE110" s="540">
        <v>8.583693363719587E-2</v>
      </c>
      <c r="AF110" s="540">
        <v>8.3568198481418984E-2</v>
      </c>
    </row>
    <row r="111" spans="1:32" x14ac:dyDescent="0.25">
      <c r="A111" s="839"/>
      <c r="B111" s="550" t="s">
        <v>52</v>
      </c>
      <c r="C111" s="539"/>
      <c r="D111" s="539"/>
      <c r="E111" s="539"/>
      <c r="F111" s="539"/>
      <c r="G111" s="540">
        <v>0.45852289137497787</v>
      </c>
      <c r="H111" s="540">
        <v>0.45283771525660654</v>
      </c>
      <c r="I111" s="540">
        <v>0.44723840308016094</v>
      </c>
      <c r="J111" s="540">
        <v>0.4417228681785379</v>
      </c>
      <c r="K111" s="540">
        <v>0.43628912149370447</v>
      </c>
      <c r="L111" s="540">
        <v>0.43039225399687192</v>
      </c>
      <c r="M111" s="540">
        <v>0.42432583148290698</v>
      </c>
      <c r="N111" s="540">
        <v>0.41821459945920808</v>
      </c>
      <c r="O111" s="540">
        <v>0.41243096083339509</v>
      </c>
      <c r="P111" s="540">
        <v>0.40688777346527921</v>
      </c>
      <c r="Q111" s="540">
        <v>0.40153249740263081</v>
      </c>
      <c r="R111" s="540">
        <v>0.39633136012219838</v>
      </c>
      <c r="S111" s="540">
        <v>0.39126149789139858</v>
      </c>
      <c r="T111" s="540">
        <v>0.3863173804707955</v>
      </c>
      <c r="U111" s="540">
        <v>0.3814753583909592</v>
      </c>
      <c r="V111" s="540">
        <v>0.37673559889167701</v>
      </c>
      <c r="W111" s="540">
        <v>0.37208963531496514</v>
      </c>
      <c r="X111" s="540">
        <v>0.36752334353743593</v>
      </c>
      <c r="Y111" s="540">
        <v>0.36303943072629258</v>
      </c>
      <c r="Z111" s="540">
        <v>0.35863322359189248</v>
      </c>
      <c r="AA111" s="540">
        <v>0.35429485056527527</v>
      </c>
      <c r="AB111" s="540">
        <v>0.35002741023788703</v>
      </c>
      <c r="AC111" s="540">
        <v>0.34582788633551692</v>
      </c>
      <c r="AD111" s="540">
        <v>0.34168876811435994</v>
      </c>
      <c r="AE111" s="540">
        <v>0.33761297093219705</v>
      </c>
      <c r="AF111" s="540">
        <v>0.33359833205170664</v>
      </c>
    </row>
    <row r="112" spans="1:32" x14ac:dyDescent="0.25">
      <c r="A112" s="839"/>
      <c r="B112" s="552" t="s">
        <v>29</v>
      </c>
      <c r="C112" s="539"/>
      <c r="D112" s="539"/>
      <c r="E112" s="539"/>
      <c r="F112" s="539"/>
      <c r="G112" s="540">
        <v>0</v>
      </c>
      <c r="H112" s="540">
        <v>3.5926607095432147E-3</v>
      </c>
      <c r="I112" s="540">
        <v>7.0542673875005641E-3</v>
      </c>
      <c r="J112" s="540">
        <v>1.0389019888842169E-2</v>
      </c>
      <c r="K112" s="540">
        <v>1.3600964120767691E-2</v>
      </c>
      <c r="L112" s="540">
        <v>1.669547470276753E-2</v>
      </c>
      <c r="M112" s="540">
        <v>1.9676213060233611E-2</v>
      </c>
      <c r="N112" s="540">
        <v>2.2546715628527343E-2</v>
      </c>
      <c r="O112" s="540">
        <v>2.5309037654709859E-2</v>
      </c>
      <c r="P112" s="540">
        <v>2.7966570203756411E-2</v>
      </c>
      <c r="Q112" s="540">
        <v>3.0522589411593918E-2</v>
      </c>
      <c r="R112" s="540">
        <v>3.2980261562726744E-2</v>
      </c>
      <c r="S112" s="540">
        <v>3.5342647834468686E-2</v>
      </c>
      <c r="T112" s="540">
        <v>3.7605935370732042E-2</v>
      </c>
      <c r="U112" s="540">
        <v>3.978015014343219E-2</v>
      </c>
      <c r="V112" s="540">
        <v>4.1862064909390199E-2</v>
      </c>
      <c r="W112" s="540">
        <v>4.3855114816934354E-2</v>
      </c>
      <c r="X112" s="540">
        <v>4.5767696162850466E-2</v>
      </c>
      <c r="Y112" s="540">
        <v>4.7597348901575347E-2</v>
      </c>
      <c r="Z112" s="540">
        <v>4.934706274514733E-2</v>
      </c>
      <c r="AA112" s="540">
        <v>5.1023959774321094E-2</v>
      </c>
      <c r="AB112" s="540">
        <v>5.2626155223668883E-2</v>
      </c>
      <c r="AC112" s="540">
        <v>5.4156278448584651E-2</v>
      </c>
      <c r="AD112" s="540">
        <v>5.5620435251771759E-2</v>
      </c>
      <c r="AE112" s="540">
        <v>5.7017176977386105E-2</v>
      </c>
      <c r="AF112" s="540">
        <v>5.8348834731013578E-2</v>
      </c>
    </row>
    <row r="113" spans="1:32" x14ac:dyDescent="0.25">
      <c r="A113" s="839"/>
      <c r="B113" s="552" t="s">
        <v>53</v>
      </c>
      <c r="C113" s="539"/>
      <c r="D113" s="539"/>
      <c r="E113" s="539"/>
      <c r="F113" s="539"/>
      <c r="G113" s="540">
        <v>0</v>
      </c>
      <c r="H113" s="540">
        <v>0</v>
      </c>
      <c r="I113" s="540">
        <v>0</v>
      </c>
      <c r="J113" s="540">
        <v>0</v>
      </c>
      <c r="K113" s="540">
        <v>0</v>
      </c>
      <c r="L113" s="540">
        <v>0</v>
      </c>
      <c r="M113" s="540">
        <v>0</v>
      </c>
      <c r="N113" s="540">
        <v>0</v>
      </c>
      <c r="O113" s="540">
        <v>0</v>
      </c>
      <c r="P113" s="540">
        <v>0</v>
      </c>
      <c r="Q113" s="540">
        <v>0</v>
      </c>
      <c r="R113" s="540">
        <v>0</v>
      </c>
      <c r="S113" s="540">
        <v>0</v>
      </c>
      <c r="T113" s="540">
        <v>0</v>
      </c>
      <c r="U113" s="540">
        <v>0</v>
      </c>
      <c r="V113" s="540">
        <v>0</v>
      </c>
      <c r="W113" s="540">
        <v>0</v>
      </c>
      <c r="X113" s="540">
        <v>0</v>
      </c>
      <c r="Y113" s="540">
        <v>0</v>
      </c>
      <c r="Z113" s="540">
        <v>0</v>
      </c>
      <c r="AA113" s="540">
        <v>0</v>
      </c>
      <c r="AB113" s="540">
        <v>0</v>
      </c>
      <c r="AC113" s="540">
        <v>0</v>
      </c>
      <c r="AD113" s="540">
        <v>0</v>
      </c>
      <c r="AE113" s="540">
        <v>0</v>
      </c>
      <c r="AF113" s="540">
        <v>0</v>
      </c>
    </row>
    <row r="114" spans="1:32" x14ac:dyDescent="0.25">
      <c r="A114" s="838"/>
      <c r="B114" s="539"/>
      <c r="C114" s="539"/>
      <c r="D114" s="539"/>
      <c r="E114" s="539"/>
      <c r="F114" s="539"/>
      <c r="G114" s="539"/>
      <c r="H114" s="539"/>
      <c r="I114" s="539"/>
      <c r="J114" s="539"/>
      <c r="K114" s="539"/>
      <c r="L114" s="539"/>
      <c r="M114" s="539"/>
      <c r="N114" s="539"/>
      <c r="O114" s="539"/>
      <c r="P114" s="539"/>
      <c r="Q114" s="539"/>
      <c r="R114" s="539"/>
      <c r="S114" s="539"/>
      <c r="T114" s="539"/>
      <c r="U114" s="539"/>
      <c r="V114" s="539"/>
      <c r="W114" s="539"/>
      <c r="X114" s="539"/>
      <c r="Y114" s="539"/>
      <c r="Z114" s="539"/>
      <c r="AA114" s="539"/>
      <c r="AB114" s="539"/>
      <c r="AC114" s="539"/>
      <c r="AD114" s="539"/>
      <c r="AE114" s="539"/>
      <c r="AF114" s="539"/>
    </row>
    <row r="115" spans="1:32" x14ac:dyDescent="0.25">
      <c r="A115" s="838"/>
      <c r="B115" s="539"/>
      <c r="C115" s="539"/>
      <c r="D115" s="539"/>
      <c r="E115" s="539"/>
      <c r="F115" s="539"/>
      <c r="G115" s="539"/>
      <c r="H115" s="539"/>
      <c r="I115" s="539"/>
      <c r="J115" s="539"/>
      <c r="K115" s="539"/>
      <c r="L115" s="539"/>
      <c r="M115" s="539"/>
      <c r="N115" s="539"/>
      <c r="O115" s="539"/>
      <c r="P115" s="539"/>
      <c r="Q115" s="539"/>
      <c r="R115" s="539"/>
      <c r="S115" s="539"/>
      <c r="T115" s="539"/>
      <c r="U115" s="539"/>
      <c r="V115" s="539"/>
      <c r="W115" s="539"/>
      <c r="X115" s="539"/>
      <c r="Y115" s="539"/>
      <c r="Z115" s="539"/>
      <c r="AA115" s="539"/>
      <c r="AB115" s="539"/>
      <c r="AC115" s="539"/>
      <c r="AD115" s="539"/>
      <c r="AE115" s="539"/>
      <c r="AF115" s="539"/>
    </row>
    <row r="116" spans="1:32" s="539" customFormat="1" x14ac:dyDescent="0.25">
      <c r="A116" s="860" t="s">
        <v>273</v>
      </c>
      <c r="B116" s="555"/>
      <c r="C116" s="554"/>
      <c r="D116" s="553"/>
      <c r="E116" s="553"/>
      <c r="F116" s="553"/>
      <c r="G116" s="553" t="s">
        <v>700</v>
      </c>
      <c r="H116" s="560"/>
      <c r="I116" s="560"/>
      <c r="J116" s="560"/>
      <c r="K116" s="560"/>
      <c r="L116" s="560"/>
      <c r="M116" s="560"/>
      <c r="N116" s="560"/>
      <c r="O116" s="560"/>
      <c r="P116" s="560"/>
      <c r="Q116" s="560"/>
      <c r="R116" s="560"/>
      <c r="S116" s="560"/>
      <c r="T116" s="560"/>
      <c r="U116" s="560"/>
      <c r="V116" s="560"/>
      <c r="W116" s="560"/>
      <c r="X116" s="560"/>
      <c r="Y116" s="560"/>
      <c r="Z116" s="560"/>
      <c r="AA116" s="560"/>
      <c r="AB116" s="560"/>
      <c r="AC116" s="560"/>
      <c r="AD116" s="560"/>
      <c r="AE116" s="560"/>
      <c r="AF116" s="560"/>
    </row>
    <row r="117" spans="1:32" s="539" customFormat="1" x14ac:dyDescent="0.25">
      <c r="A117" s="840" t="s">
        <v>12</v>
      </c>
      <c r="B117" s="550"/>
    </row>
    <row r="118" spans="1:32" s="539" customFormat="1" x14ac:dyDescent="0.25">
      <c r="A118" s="839"/>
      <c r="B118" s="550" t="s">
        <v>20</v>
      </c>
    </row>
    <row r="119" spans="1:32" s="202" customFormat="1" ht="12.75" x14ac:dyDescent="0.2">
      <c r="A119" s="843" t="s">
        <v>21</v>
      </c>
      <c r="B119" s="556"/>
      <c r="C119" s="556"/>
      <c r="D119" s="556"/>
      <c r="E119" s="556"/>
      <c r="F119" s="556"/>
      <c r="G119" s="556"/>
      <c r="H119" s="556"/>
      <c r="I119" s="556"/>
      <c r="J119" s="556"/>
      <c r="K119" s="556"/>
      <c r="L119" s="556"/>
      <c r="M119" s="556"/>
      <c r="N119" s="556"/>
      <c r="O119" s="556"/>
      <c r="P119" s="556"/>
      <c r="Q119" s="556"/>
      <c r="R119" s="556"/>
      <c r="S119" s="556"/>
      <c r="T119" s="556"/>
      <c r="U119" s="556"/>
      <c r="V119" s="556"/>
      <c r="W119" s="556"/>
      <c r="X119" s="556"/>
      <c r="Y119" s="556"/>
      <c r="Z119" s="556"/>
      <c r="AA119" s="556"/>
      <c r="AB119" s="556"/>
      <c r="AC119" s="556"/>
      <c r="AD119" s="556"/>
      <c r="AE119" s="556"/>
      <c r="AF119" s="556"/>
    </row>
    <row r="120" spans="1:32" x14ac:dyDescent="0.25">
      <c r="A120" s="839"/>
      <c r="B120" s="550" t="s">
        <v>22</v>
      </c>
      <c r="C120" s="539"/>
      <c r="D120" s="539"/>
      <c r="E120" s="539"/>
      <c r="F120" s="539"/>
      <c r="G120" s="540"/>
      <c r="H120" s="540">
        <v>11.554285230945426</v>
      </c>
      <c r="I120" s="540">
        <v>7.6147080258154798</v>
      </c>
      <c r="J120" s="540">
        <v>4.3919594949194867</v>
      </c>
      <c r="K120" s="540">
        <v>3.0011153775714883</v>
      </c>
      <c r="L120" s="540">
        <v>1.8999976897703879</v>
      </c>
      <c r="M120" s="540">
        <v>0.70772245255379662</v>
      </c>
      <c r="N120" s="540">
        <v>0.66919943519756475</v>
      </c>
      <c r="O120" s="540">
        <v>0.65925696534165601</v>
      </c>
      <c r="P120" s="540">
        <v>0.65232161816292866</v>
      </c>
      <c r="Q120" s="540">
        <v>0.64575695887343565</v>
      </c>
      <c r="R120" s="540">
        <v>0.63929032647018369</v>
      </c>
      <c r="S120" s="540">
        <v>0.63289273684348801</v>
      </c>
      <c r="T120" s="540">
        <v>0.62656038819600302</v>
      </c>
      <c r="U120" s="540">
        <v>0.62029213086253354</v>
      </c>
      <c r="V120" s="540">
        <v>0.61408713438161544</v>
      </c>
      <c r="W120" s="540">
        <v>0.60794463831324463</v>
      </c>
      <c r="X120" s="540">
        <v>0.60186391967873032</v>
      </c>
      <c r="Y120" s="540">
        <v>0.59584428420488555</v>
      </c>
      <c r="Z120" s="540">
        <v>0.58988506118135986</v>
      </c>
      <c r="AA120" s="540">
        <v>0.58398559959881569</v>
      </c>
      <c r="AB120" s="540">
        <v>0.57814526513061271</v>
      </c>
      <c r="AC120" s="540">
        <v>0.57236343775866549</v>
      </c>
      <c r="AD120" s="540">
        <v>0.56663950990214873</v>
      </c>
      <c r="AE120" s="540">
        <v>0.56097288493989161</v>
      </c>
      <c r="AF120" s="540">
        <v>0.55536297604115958</v>
      </c>
    </row>
    <row r="121" spans="1:32" x14ac:dyDescent="0.25">
      <c r="A121" s="839"/>
      <c r="B121" s="550" t="s">
        <v>26</v>
      </c>
      <c r="C121" s="539"/>
      <c r="D121" s="539"/>
      <c r="E121" s="539"/>
      <c r="F121" s="539"/>
      <c r="G121" s="540"/>
      <c r="H121" s="540">
        <v>0.15923833511872043</v>
      </c>
      <c r="I121" s="540">
        <v>0.51505326959831854</v>
      </c>
      <c r="J121" s="540">
        <v>1.3335466793107693</v>
      </c>
      <c r="K121" s="540">
        <v>1.813972590270055</v>
      </c>
      <c r="L121" s="540">
        <v>1.8866038779117684</v>
      </c>
      <c r="M121" s="540">
        <v>1.9673953995086433</v>
      </c>
      <c r="N121" s="540">
        <v>1.8629674894049884</v>
      </c>
      <c r="O121" s="540">
        <v>1.8355770031519356</v>
      </c>
      <c r="P121" s="540">
        <v>1.8162973654220975</v>
      </c>
      <c r="Q121" s="540">
        <v>1.7980226926203084</v>
      </c>
      <c r="R121" s="540">
        <v>1.7800180392059979</v>
      </c>
      <c r="S121" s="540">
        <v>1.7622052279156573</v>
      </c>
      <c r="T121" s="540">
        <v>1.7445739544405519</v>
      </c>
      <c r="U121" s="540">
        <v>1.727121063179917</v>
      </c>
      <c r="V121" s="540">
        <v>1.7098442594333949</v>
      </c>
      <c r="W121" s="540">
        <v>1.6927414377893373</v>
      </c>
      <c r="X121" s="540">
        <v>1.6758105943617583</v>
      </c>
      <c r="Y121" s="540">
        <v>1.6590498031857404</v>
      </c>
      <c r="Z121" s="540">
        <v>1.6424572023511843</v>
      </c>
      <c r="AA121" s="540">
        <v>1.6260309835887961</v>
      </c>
      <c r="AB121" s="540">
        <v>1.6097693841295819</v>
      </c>
      <c r="AC121" s="540">
        <v>1.5936706803006031</v>
      </c>
      <c r="AD121" s="540">
        <v>1.5777331824760719</v>
      </c>
      <c r="AE121" s="540">
        <v>1.5619552310896003</v>
      </c>
      <c r="AF121" s="540">
        <v>1.5463351934776621</v>
      </c>
    </row>
    <row r="122" spans="1:32" x14ac:dyDescent="0.25">
      <c r="A122" s="839"/>
      <c r="B122" s="550" t="s">
        <v>27</v>
      </c>
      <c r="C122" s="539"/>
      <c r="D122" s="539"/>
      <c r="E122" s="539"/>
      <c r="F122" s="539"/>
      <c r="G122" s="540"/>
      <c r="H122" s="540">
        <v>7.7852888710420007</v>
      </c>
      <c r="I122" s="540">
        <v>6.3038345017596136</v>
      </c>
      <c r="J122" s="540">
        <v>6.5241600898679399</v>
      </c>
      <c r="K122" s="540">
        <v>6.2122780967204045</v>
      </c>
      <c r="L122" s="540">
        <v>6.4537973084459672</v>
      </c>
      <c r="M122" s="540">
        <v>6.7153342609243154</v>
      </c>
      <c r="N122" s="540">
        <v>6.3612884406105676</v>
      </c>
      <c r="O122" s="540">
        <v>6.2680201749695126</v>
      </c>
      <c r="P122" s="540">
        <v>6.202212677368518</v>
      </c>
      <c r="Q122" s="540">
        <v>6.1398124485102601</v>
      </c>
      <c r="R122" s="540">
        <v>6.0783316402393694</v>
      </c>
      <c r="S122" s="540">
        <v>6.0175055681698151</v>
      </c>
      <c r="T122" s="540">
        <v>5.9572992986771451</v>
      </c>
      <c r="U122" s="540">
        <v>5.8977020970767189</v>
      </c>
      <c r="V122" s="540">
        <v>5.8387061433648384</v>
      </c>
      <c r="W122" s="540">
        <v>5.7803042588051747</v>
      </c>
      <c r="X122" s="540">
        <v>5.7224896088452555</v>
      </c>
      <c r="Y122" s="540">
        <v>5.6652556232096503</v>
      </c>
      <c r="Z122" s="540">
        <v>5.6085959489574995</v>
      </c>
      <c r="AA122" s="540">
        <v>5.5525044152259637</v>
      </c>
      <c r="AB122" s="540">
        <v>5.4969750056695412</v>
      </c>
      <c r="AC122" s="540">
        <v>5.4420018367766856</v>
      </c>
      <c r="AD122" s="540">
        <v>5.3875791407743092</v>
      </c>
      <c r="AE122" s="540">
        <v>5.3337012521243432</v>
      </c>
      <c r="AF122" s="540">
        <v>5.28036259683401</v>
      </c>
    </row>
    <row r="123" spans="1:32" x14ac:dyDescent="0.25">
      <c r="A123" s="839"/>
      <c r="B123" s="550" t="s">
        <v>29</v>
      </c>
      <c r="C123" s="539"/>
      <c r="D123" s="539"/>
      <c r="E123" s="539"/>
      <c r="F123" s="539"/>
      <c r="G123" s="540"/>
      <c r="H123" s="540">
        <v>3.3422088180994477E-3</v>
      </c>
      <c r="I123" s="540">
        <v>3.4163145552473309E-3</v>
      </c>
      <c r="J123" s="540">
        <v>2.6943551776322772E-3</v>
      </c>
      <c r="K123" s="540">
        <v>2.6967131067525615E-3</v>
      </c>
      <c r="L123" s="540">
        <v>2.7856138177835671E-3</v>
      </c>
      <c r="M123" s="540">
        <v>2.8828742203423105E-3</v>
      </c>
      <c r="N123" s="540">
        <v>2.8539808574090972E-3</v>
      </c>
      <c r="O123" s="540">
        <v>2.8254343678745914E-3</v>
      </c>
      <c r="P123" s="540">
        <v>2.7971793184017159E-3</v>
      </c>
      <c r="Q123" s="540">
        <v>2.7692074386625361E-3</v>
      </c>
      <c r="R123" s="540">
        <v>2.741515344274319E-3</v>
      </c>
      <c r="S123" s="540">
        <v>2.7141001798371323E-3</v>
      </c>
      <c r="T123" s="540">
        <v>2.6869591696576391E-3</v>
      </c>
      <c r="U123" s="540">
        <v>2.6600895711712926E-3</v>
      </c>
      <c r="V123" s="540">
        <v>2.6334886698715166E-3</v>
      </c>
      <c r="W123" s="540">
        <v>2.6071537785236232E-3</v>
      </c>
      <c r="X123" s="540">
        <v>2.5810822368266271E-3</v>
      </c>
      <c r="Y123" s="540">
        <v>2.5552714111266878E-3</v>
      </c>
      <c r="Z123" s="540">
        <v>2.5297186941406584E-3</v>
      </c>
      <c r="AA123" s="540">
        <v>2.5044215046849242E-3</v>
      </c>
      <c r="AB123" s="540">
        <v>2.4793772874086122E-3</v>
      </c>
      <c r="AC123" s="540">
        <v>2.4545835125307307E-3</v>
      </c>
      <c r="AD123" s="540">
        <v>2.430037675580914E-3</v>
      </c>
      <c r="AE123" s="540">
        <v>2.4057372971435366E-3</v>
      </c>
      <c r="AF123" s="540">
        <v>2.3816799226049888E-3</v>
      </c>
    </row>
    <row r="124" spans="1:32" x14ac:dyDescent="0.25">
      <c r="A124" s="839"/>
      <c r="B124" s="550"/>
      <c r="C124" s="539"/>
      <c r="D124" s="539"/>
      <c r="E124" s="539"/>
      <c r="F124" s="539"/>
      <c r="G124" s="540"/>
      <c r="H124" s="540" t="s">
        <v>73</v>
      </c>
      <c r="I124" s="540" t="s">
        <v>73</v>
      </c>
      <c r="J124" s="540" t="s">
        <v>73</v>
      </c>
      <c r="K124" s="540" t="s">
        <v>73</v>
      </c>
      <c r="L124" s="540" t="s">
        <v>73</v>
      </c>
      <c r="M124" s="540" t="s">
        <v>73</v>
      </c>
      <c r="N124" s="540" t="s">
        <v>73</v>
      </c>
      <c r="O124" s="540" t="s">
        <v>73</v>
      </c>
      <c r="P124" s="540" t="s">
        <v>73</v>
      </c>
      <c r="Q124" s="540" t="s">
        <v>73</v>
      </c>
      <c r="R124" s="540" t="s">
        <v>73</v>
      </c>
      <c r="S124" s="540" t="s">
        <v>73</v>
      </c>
      <c r="T124" s="540" t="s">
        <v>73</v>
      </c>
      <c r="U124" s="540" t="s">
        <v>73</v>
      </c>
      <c r="V124" s="540" t="s">
        <v>73</v>
      </c>
      <c r="W124" s="540" t="s">
        <v>73</v>
      </c>
      <c r="X124" s="540" t="s">
        <v>73</v>
      </c>
      <c r="Y124" s="540" t="s">
        <v>73</v>
      </c>
      <c r="Z124" s="540" t="s">
        <v>73</v>
      </c>
      <c r="AA124" s="540" t="s">
        <v>73</v>
      </c>
      <c r="AB124" s="540" t="s">
        <v>73</v>
      </c>
      <c r="AC124" s="540" t="s">
        <v>73</v>
      </c>
      <c r="AD124" s="540" t="s">
        <v>73</v>
      </c>
      <c r="AE124" s="540" t="s">
        <v>73</v>
      </c>
      <c r="AF124" s="540" t="s">
        <v>73</v>
      </c>
    </row>
    <row r="125" spans="1:32" s="202" customFormat="1" ht="12.75" x14ac:dyDescent="0.2">
      <c r="A125" s="843" t="s">
        <v>32</v>
      </c>
      <c r="B125" s="556"/>
      <c r="C125" s="556"/>
      <c r="D125" s="556"/>
      <c r="E125" s="556"/>
      <c r="F125" s="556"/>
      <c r="G125" s="547"/>
      <c r="H125" s="547" t="s">
        <v>73</v>
      </c>
      <c r="I125" s="547" t="s">
        <v>73</v>
      </c>
      <c r="J125" s="547" t="s">
        <v>73</v>
      </c>
      <c r="K125" s="547" t="s">
        <v>73</v>
      </c>
      <c r="L125" s="547" t="s">
        <v>73</v>
      </c>
      <c r="M125" s="547" t="s">
        <v>73</v>
      </c>
      <c r="N125" s="547" t="s">
        <v>73</v>
      </c>
      <c r="O125" s="547" t="s">
        <v>73</v>
      </c>
      <c r="P125" s="547" t="s">
        <v>73</v>
      </c>
      <c r="Q125" s="547" t="s">
        <v>73</v>
      </c>
      <c r="R125" s="547" t="s">
        <v>73</v>
      </c>
      <c r="S125" s="547" t="s">
        <v>73</v>
      </c>
      <c r="T125" s="547" t="s">
        <v>73</v>
      </c>
      <c r="U125" s="547" t="s">
        <v>73</v>
      </c>
      <c r="V125" s="547" t="s">
        <v>73</v>
      </c>
      <c r="W125" s="547" t="s">
        <v>73</v>
      </c>
      <c r="X125" s="547" t="s">
        <v>73</v>
      </c>
      <c r="Y125" s="547" t="s">
        <v>73</v>
      </c>
      <c r="Z125" s="547" t="s">
        <v>73</v>
      </c>
      <c r="AA125" s="547" t="s">
        <v>73</v>
      </c>
      <c r="AB125" s="547" t="s">
        <v>73</v>
      </c>
      <c r="AC125" s="547" t="s">
        <v>73</v>
      </c>
      <c r="AD125" s="547" t="s">
        <v>73</v>
      </c>
      <c r="AE125" s="547" t="s">
        <v>73</v>
      </c>
      <c r="AF125" s="547" t="s">
        <v>73</v>
      </c>
    </row>
    <row r="126" spans="1:32" x14ac:dyDescent="0.25">
      <c r="A126" s="839"/>
      <c r="B126" s="550" t="s">
        <v>33</v>
      </c>
      <c r="C126" s="539"/>
      <c r="D126" s="539"/>
      <c r="E126" s="539"/>
      <c r="F126" s="539"/>
      <c r="G126" s="540"/>
      <c r="H126" s="540">
        <v>2.5970024233118769</v>
      </c>
      <c r="I126" s="540">
        <v>2.9431863589218623</v>
      </c>
      <c r="J126" s="540">
        <v>3.2156427936281324</v>
      </c>
      <c r="K126" s="540">
        <v>3.4504354707069846</v>
      </c>
      <c r="L126" s="540">
        <v>3.4211487516767822</v>
      </c>
      <c r="M126" s="540">
        <v>3.3892419708367303</v>
      </c>
      <c r="N126" s="540">
        <v>3.3562960035346592</v>
      </c>
      <c r="O126" s="540">
        <v>3.3230602591218332</v>
      </c>
      <c r="P126" s="540">
        <v>3.2898860241929211</v>
      </c>
      <c r="Q126" s="540">
        <v>3.2569346042264438</v>
      </c>
      <c r="R126" s="540">
        <v>3.2242771623771036</v>
      </c>
      <c r="S126" s="540">
        <v>3.191942502330972</v>
      </c>
      <c r="T126" s="540">
        <v>3.159939852897339</v>
      </c>
      <c r="U126" s="540">
        <v>3.128269665712617</v>
      </c>
      <c r="V126" s="540">
        <v>3.096928679152176</v>
      </c>
      <c r="W126" s="540">
        <v>3.0659122506424143</v>
      </c>
      <c r="X126" s="540">
        <v>3.0352153964257655</v>
      </c>
      <c r="Y126" s="540">
        <v>3.0048332267180085</v>
      </c>
      <c r="Z126" s="540">
        <v>2.9747611036655437</v>
      </c>
      <c r="AA126" s="540">
        <v>2.9449946767644031</v>
      </c>
      <c r="AB126" s="540">
        <v>2.9155298678762991</v>
      </c>
      <c r="AC126" s="540">
        <v>2.886362838744005</v>
      </c>
      <c r="AD126" s="540">
        <v>2.8574899554099851</v>
      </c>
      <c r="AE126" s="540">
        <v>2.8289077553421853</v>
      </c>
      <c r="AF126" s="540">
        <v>2.8006129191708711</v>
      </c>
    </row>
    <row r="127" spans="1:32" x14ac:dyDescent="0.25">
      <c r="A127" s="842"/>
      <c r="B127" s="552" t="s">
        <v>34</v>
      </c>
      <c r="C127" s="539"/>
      <c r="D127" s="539"/>
      <c r="E127" s="539"/>
      <c r="F127" s="539"/>
      <c r="G127" s="540"/>
      <c r="H127" s="540">
        <v>3.0507809422232444</v>
      </c>
      <c r="I127" s="540">
        <v>3.0932677537008053</v>
      </c>
      <c r="J127" s="540">
        <v>2.9578048029108071</v>
      </c>
      <c r="K127" s="540">
        <v>2.7315219640243567</v>
      </c>
      <c r="L127" s="540">
        <v>2.7082615524987208</v>
      </c>
      <c r="M127" s="540">
        <v>2.6829700053514465</v>
      </c>
      <c r="N127" s="540">
        <v>2.6568758264381866</v>
      </c>
      <c r="O127" s="540">
        <v>2.6305613585990244</v>
      </c>
      <c r="P127" s="540">
        <v>2.6042995499507682</v>
      </c>
      <c r="Q127" s="540">
        <v>2.5782157080830519</v>
      </c>
      <c r="R127" s="540">
        <v>2.5523650882959998</v>
      </c>
      <c r="S127" s="540">
        <v>2.5267700273353983</v>
      </c>
      <c r="T127" s="540">
        <v>2.501437650096852</v>
      </c>
      <c r="U127" s="540">
        <v>2.4763682608970976</v>
      </c>
      <c r="V127" s="540">
        <v>2.4515592788135669</v>
      </c>
      <c r="W127" s="540">
        <v>2.4270070502015901</v>
      </c>
      <c r="X127" s="540">
        <v>2.4027076567277939</v>
      </c>
      <c r="Y127" s="540">
        <v>2.3786572535415988</v>
      </c>
      <c r="Z127" s="540">
        <v>2.354852192024858</v>
      </c>
      <c r="AA127" s="540">
        <v>2.3312890473127315</v>
      </c>
      <c r="AB127" s="540">
        <v>2.3079646066446973</v>
      </c>
      <c r="AC127" s="540">
        <v>2.2848758441152106</v>
      </c>
      <c r="AD127" s="540">
        <v>2.262019893017821</v>
      </c>
      <c r="AE127" s="540">
        <v>2.2393940202931573</v>
      </c>
      <c r="AF127" s="540">
        <v>2.2169956045603709</v>
      </c>
    </row>
    <row r="128" spans="1:32" x14ac:dyDescent="0.25">
      <c r="A128" s="839"/>
      <c r="B128" s="552" t="s">
        <v>35</v>
      </c>
      <c r="C128" s="539"/>
      <c r="D128" s="539"/>
      <c r="E128" s="539"/>
      <c r="F128" s="539"/>
      <c r="G128" s="540"/>
      <c r="H128" s="540">
        <v>0.69292721970738491</v>
      </c>
      <c r="I128" s="540">
        <v>0.78148422658078653</v>
      </c>
      <c r="J128" s="540">
        <v>0.85134984372841382</v>
      </c>
      <c r="K128" s="540">
        <v>0.91168347331516042</v>
      </c>
      <c r="L128" s="540">
        <v>0.90389974104376758</v>
      </c>
      <c r="M128" s="540">
        <v>0.89544959454071682</v>
      </c>
      <c r="N128" s="540">
        <v>0.88673691637950947</v>
      </c>
      <c r="O128" s="540">
        <v>0.87795315038713728</v>
      </c>
      <c r="P128" s="540">
        <v>0.86918802057067901</v>
      </c>
      <c r="Q128" s="540">
        <v>0.86048271117462682</v>
      </c>
      <c r="R128" s="540">
        <v>0.85185537542758405</v>
      </c>
      <c r="S128" s="540">
        <v>0.84331334402927138</v>
      </c>
      <c r="T128" s="540">
        <v>0.83485894659674975</v>
      </c>
      <c r="U128" s="540">
        <v>0.82649227046822327</v>
      </c>
      <c r="V128" s="540">
        <v>0.81821245452654445</v>
      </c>
      <c r="W128" s="540">
        <v>0.81001828510069929</v>
      </c>
      <c r="X128" s="540">
        <v>0.80190846162234586</v>
      </c>
      <c r="Y128" s="540">
        <v>0.79388170780548739</v>
      </c>
      <c r="Z128" s="540">
        <v>0.78593681200173737</v>
      </c>
      <c r="AA128" s="540">
        <v>0.7780726362471585</v>
      </c>
      <c r="AB128" s="540">
        <v>0.77028811243120598</v>
      </c>
      <c r="AC128" s="540">
        <v>0.76258223399428449</v>
      </c>
      <c r="AD128" s="540">
        <v>0.75495404683411682</v>
      </c>
      <c r="AE128" s="540">
        <v>0.74740264090381314</v>
      </c>
      <c r="AF128" s="540">
        <v>0.73992714298808948</v>
      </c>
    </row>
    <row r="129" spans="1:32" x14ac:dyDescent="0.25">
      <c r="A129" s="839"/>
      <c r="B129" s="552" t="s">
        <v>29</v>
      </c>
      <c r="C129" s="539"/>
      <c r="D129" s="539"/>
      <c r="E129" s="539"/>
      <c r="F129" s="539"/>
      <c r="G129" s="540"/>
      <c r="H129" s="540">
        <v>3.3104852954920247E-3</v>
      </c>
      <c r="I129" s="540">
        <v>3.5186306202406674E-3</v>
      </c>
      <c r="J129" s="540">
        <v>3.6982970461127852E-3</v>
      </c>
      <c r="K129" s="540">
        <v>3.8658042530709379E-3</v>
      </c>
      <c r="L129" s="540">
        <v>3.8301481946715378E-3</v>
      </c>
      <c r="M129" s="540">
        <v>3.7931727257336455E-3</v>
      </c>
      <c r="N129" s="540">
        <v>3.7557855318408342E-3</v>
      </c>
      <c r="O129" s="540">
        <v>3.7184159284079643E-3</v>
      </c>
      <c r="P129" s="540">
        <v>3.6812641871391484E-3</v>
      </c>
      <c r="Q129" s="540">
        <v>3.6444212913894231E-3</v>
      </c>
      <c r="R129" s="540">
        <v>3.6079263788315794E-3</v>
      </c>
      <c r="S129" s="540">
        <v>3.5717942334275369E-3</v>
      </c>
      <c r="T129" s="540">
        <v>3.5360283944999914E-3</v>
      </c>
      <c r="U129" s="540">
        <v>3.500627369077614E-3</v>
      </c>
      <c r="V129" s="540">
        <v>3.4655875452702036E-3</v>
      </c>
      <c r="W129" s="540">
        <v>3.430904534003216E-3</v>
      </c>
      <c r="X129" s="540">
        <v>3.3965737670792933E-3</v>
      </c>
      <c r="Y129" s="540">
        <v>3.3625907473768535E-3</v>
      </c>
      <c r="Z129" s="540">
        <v>3.3289511395616818E-3</v>
      </c>
      <c r="AA129" s="540">
        <v>3.2956507902970958E-3</v>
      </c>
      <c r="AB129" s="540">
        <v>3.2626857194561461E-3</v>
      </c>
      <c r="AC129" s="540">
        <v>3.2300521012663657E-3</v>
      </c>
      <c r="AD129" s="540">
        <v>3.1977462436744443E-3</v>
      </c>
      <c r="AE129" s="540">
        <v>3.165764569270106E-3</v>
      </c>
      <c r="AF129" s="540">
        <v>3.1341035988646086E-3</v>
      </c>
    </row>
    <row r="130" spans="1:32" x14ac:dyDescent="0.25">
      <c r="A130" s="839"/>
      <c r="B130" s="550"/>
      <c r="C130" s="539"/>
      <c r="D130" s="539"/>
      <c r="E130" s="539"/>
      <c r="F130" s="539"/>
      <c r="G130" s="540"/>
      <c r="H130" s="540" t="s">
        <v>73</v>
      </c>
      <c r="I130" s="540" t="s">
        <v>73</v>
      </c>
      <c r="J130" s="540" t="s">
        <v>73</v>
      </c>
      <c r="K130" s="540" t="s">
        <v>73</v>
      </c>
      <c r="L130" s="540" t="s">
        <v>73</v>
      </c>
      <c r="M130" s="540" t="s">
        <v>73</v>
      </c>
      <c r="N130" s="540" t="s">
        <v>73</v>
      </c>
      <c r="O130" s="540" t="s">
        <v>73</v>
      </c>
      <c r="P130" s="540" t="s">
        <v>73</v>
      </c>
      <c r="Q130" s="540" t="s">
        <v>73</v>
      </c>
      <c r="R130" s="540" t="s">
        <v>73</v>
      </c>
      <c r="S130" s="540" t="s">
        <v>73</v>
      </c>
      <c r="T130" s="540" t="s">
        <v>73</v>
      </c>
      <c r="U130" s="540" t="s">
        <v>73</v>
      </c>
      <c r="V130" s="540" t="s">
        <v>73</v>
      </c>
      <c r="W130" s="540" t="s">
        <v>73</v>
      </c>
      <c r="X130" s="540" t="s">
        <v>73</v>
      </c>
      <c r="Y130" s="540" t="s">
        <v>73</v>
      </c>
      <c r="Z130" s="540" t="s">
        <v>73</v>
      </c>
      <c r="AA130" s="540" t="s">
        <v>73</v>
      </c>
      <c r="AB130" s="540" t="s">
        <v>73</v>
      </c>
      <c r="AC130" s="540" t="s">
        <v>73</v>
      </c>
      <c r="AD130" s="540" t="s">
        <v>73</v>
      </c>
      <c r="AE130" s="540" t="s">
        <v>73</v>
      </c>
      <c r="AF130" s="540" t="s">
        <v>73</v>
      </c>
    </row>
    <row r="131" spans="1:32" s="202" customFormat="1" ht="12.75" x14ac:dyDescent="0.2">
      <c r="A131" s="843" t="s">
        <v>36</v>
      </c>
      <c r="B131" s="556"/>
      <c r="C131" s="556"/>
      <c r="D131" s="556"/>
      <c r="E131" s="556"/>
      <c r="F131" s="556"/>
      <c r="G131" s="547"/>
      <c r="H131" s="547" t="s">
        <v>73</v>
      </c>
      <c r="I131" s="547" t="s">
        <v>73</v>
      </c>
      <c r="J131" s="547" t="s">
        <v>73</v>
      </c>
      <c r="K131" s="547" t="s">
        <v>73</v>
      </c>
      <c r="L131" s="547" t="s">
        <v>73</v>
      </c>
      <c r="M131" s="547" t="s">
        <v>73</v>
      </c>
      <c r="N131" s="547" t="s">
        <v>73</v>
      </c>
      <c r="O131" s="547" t="s">
        <v>73</v>
      </c>
      <c r="P131" s="547" t="s">
        <v>73</v>
      </c>
      <c r="Q131" s="547" t="s">
        <v>73</v>
      </c>
      <c r="R131" s="547" t="s">
        <v>73</v>
      </c>
      <c r="S131" s="547" t="s">
        <v>73</v>
      </c>
      <c r="T131" s="547" t="s">
        <v>73</v>
      </c>
      <c r="U131" s="547" t="s">
        <v>73</v>
      </c>
      <c r="V131" s="547" t="s">
        <v>73</v>
      </c>
      <c r="W131" s="547" t="s">
        <v>73</v>
      </c>
      <c r="X131" s="547" t="s">
        <v>73</v>
      </c>
      <c r="Y131" s="547" t="s">
        <v>73</v>
      </c>
      <c r="Z131" s="547" t="s">
        <v>73</v>
      </c>
      <c r="AA131" s="547" t="s">
        <v>73</v>
      </c>
      <c r="AB131" s="547" t="s">
        <v>73</v>
      </c>
      <c r="AC131" s="547" t="s">
        <v>73</v>
      </c>
      <c r="AD131" s="547" t="s">
        <v>73</v>
      </c>
      <c r="AE131" s="547" t="s">
        <v>73</v>
      </c>
      <c r="AF131" s="547" t="s">
        <v>73</v>
      </c>
    </row>
    <row r="132" spans="1:32" x14ac:dyDescent="0.25">
      <c r="A132" s="839"/>
      <c r="B132" s="550" t="s">
        <v>37</v>
      </c>
      <c r="C132" s="539"/>
      <c r="D132" s="539"/>
      <c r="E132" s="539"/>
      <c r="F132" s="201"/>
      <c r="G132" s="540"/>
      <c r="H132" s="540">
        <v>233.03890225062449</v>
      </c>
      <c r="I132" s="540">
        <v>147.41956936748372</v>
      </c>
      <c r="J132" s="540">
        <v>72.539195387576839</v>
      </c>
      <c r="K132" s="540">
        <v>16.429996849533019</v>
      </c>
      <c r="L132" s="540">
        <v>12.142578910519566</v>
      </c>
      <c r="M132" s="540">
        <v>8.9330198962901299</v>
      </c>
      <c r="N132" s="540">
        <v>6.6401516184546141</v>
      </c>
      <c r="O132" s="540">
        <v>5.3057964187923288</v>
      </c>
      <c r="P132" s="540">
        <v>4.3517253394810131</v>
      </c>
      <c r="Q132" s="540">
        <v>3.6653029193454625</v>
      </c>
      <c r="R132" s="540">
        <v>3.1676912268779081</v>
      </c>
      <c r="S132" s="540">
        <v>2.8035978817851177</v>
      </c>
      <c r="T132" s="540">
        <v>2.5155378776703903</v>
      </c>
      <c r="U132" s="540">
        <v>2.3142746292415404</v>
      </c>
      <c r="V132" s="540">
        <v>2.1440165765244354</v>
      </c>
      <c r="W132" s="540">
        <v>2.0097628844411064</v>
      </c>
      <c r="X132" s="540">
        <v>1.9163080564073756</v>
      </c>
      <c r="Y132" s="540">
        <v>1.826517796729727</v>
      </c>
      <c r="Z132" s="540">
        <v>1.7509954332816495</v>
      </c>
      <c r="AA132" s="540">
        <v>1.6984993930160219</v>
      </c>
      <c r="AB132" s="540">
        <v>1.6411583827803649</v>
      </c>
      <c r="AC132" s="540">
        <v>1.59010321233261</v>
      </c>
      <c r="AD132" s="540">
        <v>1.554428181498789</v>
      </c>
      <c r="AE132" s="540">
        <v>1.5117502187770817</v>
      </c>
      <c r="AF132" s="540">
        <v>1.4722756848101359</v>
      </c>
    </row>
    <row r="133" spans="1:32" x14ac:dyDescent="0.25">
      <c r="A133" s="839"/>
      <c r="B133" s="550" t="s">
        <v>39</v>
      </c>
      <c r="C133" s="539"/>
      <c r="D133" s="539"/>
      <c r="E133" s="203"/>
      <c r="F133" s="539"/>
      <c r="G133" s="540"/>
      <c r="H133" s="540">
        <v>1269.5973794687629</v>
      </c>
      <c r="I133" s="540">
        <v>1329.7031186377369</v>
      </c>
      <c r="J133" s="540">
        <v>1379.3318731096683</v>
      </c>
      <c r="K133" s="540">
        <v>1408.2055449438878</v>
      </c>
      <c r="L133" s="540">
        <v>1389.3956582945877</v>
      </c>
      <c r="M133" s="540">
        <v>1370.8603432171742</v>
      </c>
      <c r="N133" s="540">
        <v>1354.7902631889547</v>
      </c>
      <c r="O133" s="540">
        <v>1336.6823818224495</v>
      </c>
      <c r="P133" s="540">
        <v>1318.8866207432402</v>
      </c>
      <c r="Q133" s="540">
        <v>1301.4078749347748</v>
      </c>
      <c r="R133" s="540">
        <v>1284.2467051774922</v>
      </c>
      <c r="S133" s="540">
        <v>1267.400715774829</v>
      </c>
      <c r="T133" s="540">
        <v>1246.8363126475533</v>
      </c>
      <c r="U133" s="540">
        <v>1230.7736882555844</v>
      </c>
      <c r="V133" s="540">
        <v>1211.4315279516322</v>
      </c>
      <c r="W133" s="540">
        <v>1192.7726190536193</v>
      </c>
      <c r="X133" s="540">
        <v>1177.8259828702676</v>
      </c>
      <c r="Y133" s="540">
        <v>1160.177996700354</v>
      </c>
      <c r="Z133" s="540">
        <v>1143.0918606909647</v>
      </c>
      <c r="AA133" s="540">
        <v>1129.1058262612135</v>
      </c>
      <c r="AB133" s="540">
        <v>1112.8682853685102</v>
      </c>
      <c r="AC133" s="540">
        <v>1097.1001791927602</v>
      </c>
      <c r="AD133" s="540">
        <v>1083.9499766391018</v>
      </c>
      <c r="AE133" s="540">
        <v>1068.9047031731129</v>
      </c>
      <c r="AF133" s="540">
        <v>1054.2575278333118</v>
      </c>
    </row>
    <row r="134" spans="1:32" x14ac:dyDescent="0.25">
      <c r="A134" s="839"/>
      <c r="B134" s="550" t="s">
        <v>40</v>
      </c>
      <c r="C134" s="539"/>
      <c r="D134" s="539"/>
      <c r="E134" s="539"/>
      <c r="F134" s="539"/>
      <c r="G134" s="540"/>
      <c r="H134" s="540">
        <v>124.36554118300715</v>
      </c>
      <c r="I134" s="540">
        <v>129.14648473545734</v>
      </c>
      <c r="J134" s="540">
        <v>132.94096151268508</v>
      </c>
      <c r="K134" s="540">
        <v>136.37833977546086</v>
      </c>
      <c r="L134" s="540">
        <v>134.36314691884581</v>
      </c>
      <c r="M134" s="540">
        <v>132.42869073474611</v>
      </c>
      <c r="N134" s="540">
        <v>129.48627421140762</v>
      </c>
      <c r="O134" s="540">
        <v>127.47117625859804</v>
      </c>
      <c r="P134" s="540">
        <v>125.52868179384298</v>
      </c>
      <c r="Q134" s="540">
        <v>123.65310646147154</v>
      </c>
      <c r="R134" s="540">
        <v>121.83931331669551</v>
      </c>
      <c r="S134" s="540">
        <v>120.08267652624033</v>
      </c>
      <c r="T134" s="540">
        <v>118.0178021332691</v>
      </c>
      <c r="U134" s="540">
        <v>116.38229105124006</v>
      </c>
      <c r="V134" s="540">
        <v>114.47113703167099</v>
      </c>
      <c r="W134" s="540">
        <v>112.64066483481065</v>
      </c>
      <c r="X134" s="540">
        <v>111.15972158338774</v>
      </c>
      <c r="Y134" s="540">
        <v>109.44810540684611</v>
      </c>
      <c r="Z134" s="540">
        <v>107.79969554772332</v>
      </c>
      <c r="AA134" s="540">
        <v>106.44033821150587</v>
      </c>
      <c r="AB134" s="540">
        <v>104.8864944926905</v>
      </c>
      <c r="AC134" s="540">
        <v>103.38344758645697</v>
      </c>
      <c r="AD134" s="540">
        <v>102.122655204637</v>
      </c>
      <c r="AE134" s="540">
        <v>100.69676064566912</v>
      </c>
      <c r="AF134" s="540">
        <v>99.312609976128741</v>
      </c>
    </row>
    <row r="135" spans="1:32" x14ac:dyDescent="0.25">
      <c r="A135" s="839"/>
      <c r="B135" s="550" t="s">
        <v>29</v>
      </c>
      <c r="C135" s="539"/>
      <c r="D135" s="539"/>
      <c r="E135" s="539"/>
      <c r="F135" s="539"/>
      <c r="G135" s="540"/>
      <c r="H135" s="540">
        <v>8.8878634961853816E-9</v>
      </c>
      <c r="I135" s="540">
        <v>8.7545062497328375E-9</v>
      </c>
      <c r="J135" s="540">
        <v>8.6291941516607741E-9</v>
      </c>
      <c r="K135" s="540">
        <v>8.6171861601637511E-9</v>
      </c>
      <c r="L135" s="540">
        <v>8.8030452601192278E-9</v>
      </c>
      <c r="M135" s="540">
        <v>8.9914343653490604E-9</v>
      </c>
      <c r="N135" s="540">
        <v>9.0663442733324437E-9</v>
      </c>
      <c r="O135" s="540">
        <v>8.9148720472865884E-9</v>
      </c>
      <c r="P135" s="540">
        <v>8.769687290479753E-9</v>
      </c>
      <c r="Q135" s="540">
        <v>8.6302251673434645E-9</v>
      </c>
      <c r="R135" s="540">
        <v>8.4959928201831108E-9</v>
      </c>
      <c r="S135" s="540">
        <v>8.366558157462526E-9</v>
      </c>
      <c r="T135" s="540">
        <v>8.2415398533649906E-9</v>
      </c>
      <c r="U135" s="540">
        <v>8.1206031035685246E-9</v>
      </c>
      <c r="V135" s="540">
        <v>8.003447589754527E-9</v>
      </c>
      <c r="W135" s="540">
        <v>7.8898079042830451E-9</v>
      </c>
      <c r="X135" s="540">
        <v>7.779446573108009E-9</v>
      </c>
      <c r="Y135" s="540">
        <v>7.6721486776579462E-9</v>
      </c>
      <c r="Z135" s="540">
        <v>7.5677225598508281E-9</v>
      </c>
      <c r="AA135" s="540">
        <v>7.465995069090559E-9</v>
      </c>
      <c r="AB135" s="540">
        <v>7.3668078891901943E-9</v>
      </c>
      <c r="AC135" s="540">
        <v>7.2700187511472938E-9</v>
      </c>
      <c r="AD135" s="540">
        <v>7.1754980402900276E-9</v>
      </c>
      <c r="AE135" s="540">
        <v>7.083126168487151E-9</v>
      </c>
      <c r="AF135" s="540">
        <v>6.9927949560500612E-9</v>
      </c>
    </row>
    <row r="136" spans="1:32" x14ac:dyDescent="0.25">
      <c r="A136" s="839"/>
      <c r="B136" s="550"/>
      <c r="C136" s="539"/>
      <c r="D136" s="539"/>
      <c r="E136" s="539"/>
      <c r="F136" s="539"/>
      <c r="G136" s="540"/>
      <c r="H136" s="540" t="s">
        <v>73</v>
      </c>
      <c r="I136" s="540" t="s">
        <v>73</v>
      </c>
      <c r="J136" s="540" t="s">
        <v>73</v>
      </c>
      <c r="K136" s="540" t="s">
        <v>73</v>
      </c>
      <c r="L136" s="540" t="s">
        <v>73</v>
      </c>
      <c r="M136" s="540" t="s">
        <v>73</v>
      </c>
      <c r="N136" s="540" t="s">
        <v>73</v>
      </c>
      <c r="O136" s="540" t="s">
        <v>73</v>
      </c>
      <c r="P136" s="540" t="s">
        <v>73</v>
      </c>
      <c r="Q136" s="540" t="s">
        <v>73</v>
      </c>
      <c r="R136" s="540" t="s">
        <v>73</v>
      </c>
      <c r="S136" s="540" t="s">
        <v>73</v>
      </c>
      <c r="T136" s="540" t="s">
        <v>73</v>
      </c>
      <c r="U136" s="540" t="s">
        <v>73</v>
      </c>
      <c r="V136" s="540" t="s">
        <v>73</v>
      </c>
      <c r="W136" s="540" t="s">
        <v>73</v>
      </c>
      <c r="X136" s="540" t="s">
        <v>73</v>
      </c>
      <c r="Y136" s="540" t="s">
        <v>73</v>
      </c>
      <c r="Z136" s="540" t="s">
        <v>73</v>
      </c>
      <c r="AA136" s="540" t="s">
        <v>73</v>
      </c>
      <c r="AB136" s="540" t="s">
        <v>73</v>
      </c>
      <c r="AC136" s="540" t="s">
        <v>73</v>
      </c>
      <c r="AD136" s="540" t="s">
        <v>73</v>
      </c>
      <c r="AE136" s="540" t="s">
        <v>73</v>
      </c>
      <c r="AF136" s="540" t="s">
        <v>73</v>
      </c>
    </row>
    <row r="137" spans="1:32" s="202" customFormat="1" ht="12.75" x14ac:dyDescent="0.2">
      <c r="A137" s="843" t="s">
        <v>42</v>
      </c>
      <c r="B137" s="556"/>
      <c r="C137" s="556"/>
      <c r="D137" s="556"/>
      <c r="E137" s="556"/>
      <c r="F137" s="556"/>
      <c r="G137" s="547"/>
      <c r="H137" s="547" t="s">
        <v>73</v>
      </c>
      <c r="I137" s="547" t="s">
        <v>73</v>
      </c>
      <c r="J137" s="547" t="s">
        <v>73</v>
      </c>
      <c r="K137" s="547" t="s">
        <v>73</v>
      </c>
      <c r="L137" s="547" t="s">
        <v>73</v>
      </c>
      <c r="M137" s="547" t="s">
        <v>73</v>
      </c>
      <c r="N137" s="547" t="s">
        <v>73</v>
      </c>
      <c r="O137" s="547" t="s">
        <v>73</v>
      </c>
      <c r="P137" s="547" t="s">
        <v>73</v>
      </c>
      <c r="Q137" s="547" t="s">
        <v>73</v>
      </c>
      <c r="R137" s="547" t="s">
        <v>73</v>
      </c>
      <c r="S137" s="547" t="s">
        <v>73</v>
      </c>
      <c r="T137" s="547" t="s">
        <v>73</v>
      </c>
      <c r="U137" s="547" t="s">
        <v>73</v>
      </c>
      <c r="V137" s="547" t="s">
        <v>73</v>
      </c>
      <c r="W137" s="547" t="s">
        <v>73</v>
      </c>
      <c r="X137" s="547" t="s">
        <v>73</v>
      </c>
      <c r="Y137" s="547" t="s">
        <v>73</v>
      </c>
      <c r="Z137" s="547" t="s">
        <v>73</v>
      </c>
      <c r="AA137" s="547" t="s">
        <v>73</v>
      </c>
      <c r="AB137" s="547" t="s">
        <v>73</v>
      </c>
      <c r="AC137" s="547" t="s">
        <v>73</v>
      </c>
      <c r="AD137" s="547" t="s">
        <v>73</v>
      </c>
      <c r="AE137" s="547" t="s">
        <v>73</v>
      </c>
      <c r="AF137" s="547" t="s">
        <v>73</v>
      </c>
    </row>
    <row r="138" spans="1:32" x14ac:dyDescent="0.25">
      <c r="A138" s="839"/>
      <c r="B138" s="552" t="s">
        <v>43</v>
      </c>
      <c r="C138" s="539"/>
      <c r="D138" s="539"/>
      <c r="E138" s="539"/>
      <c r="F138" s="539"/>
      <c r="G138" s="540"/>
      <c r="H138" s="540">
        <v>16.438464447316033</v>
      </c>
      <c r="I138" s="540">
        <v>14.819554266177308</v>
      </c>
      <c r="J138" s="540">
        <v>13.402100721767461</v>
      </c>
      <c r="K138" s="540">
        <v>12.159571630995085</v>
      </c>
      <c r="L138" s="540">
        <v>11.069076786705194</v>
      </c>
      <c r="M138" s="540">
        <v>10.110845397874867</v>
      </c>
      <c r="N138" s="540">
        <v>9.267782418999893</v>
      </c>
      <c r="O138" s="540">
        <v>8.5250911281221846</v>
      </c>
      <c r="P138" s="540">
        <v>7.8699514828932218</v>
      </c>
      <c r="Q138" s="540">
        <v>7.2912455520706425</v>
      </c>
      <c r="R138" s="540">
        <v>6.7793227663685043</v>
      </c>
      <c r="S138" s="540">
        <v>6.3257989207783369</v>
      </c>
      <c r="T138" s="540">
        <v>5.9233838401458643</v>
      </c>
      <c r="U138" s="540">
        <v>5.5643003694065873</v>
      </c>
      <c r="V138" s="540">
        <v>5.246974467622266</v>
      </c>
      <c r="W138" s="540">
        <v>4.9622050820751911</v>
      </c>
      <c r="X138" s="540">
        <v>4.7082304018630241</v>
      </c>
      <c r="Y138" s="540">
        <v>4.4811342289085108</v>
      </c>
      <c r="Z138" s="540">
        <v>4.2775356045542212</v>
      </c>
      <c r="AA138" s="540">
        <v>4.0961911764832566</v>
      </c>
      <c r="AB138" s="540">
        <v>3.9307004147951239</v>
      </c>
      <c r="AC138" s="540">
        <v>3.7811721208982902</v>
      </c>
      <c r="AD138" s="540">
        <v>3.6456760092292293</v>
      </c>
      <c r="AE138" s="540">
        <v>3.5225342703123683</v>
      </c>
      <c r="AF138" s="540">
        <v>3.410286475264491</v>
      </c>
    </row>
    <row r="139" spans="1:32" x14ac:dyDescent="0.25">
      <c r="A139" s="839"/>
      <c r="B139" s="552" t="s">
        <v>44</v>
      </c>
      <c r="C139" s="539"/>
      <c r="D139" s="539"/>
      <c r="E139" s="539"/>
      <c r="F139" s="539"/>
      <c r="G139" s="540"/>
      <c r="H139" s="540">
        <v>183.43936599256276</v>
      </c>
      <c r="I139" s="540">
        <v>184.96607077743053</v>
      </c>
      <c r="J139" s="540">
        <v>186.08302791488705</v>
      </c>
      <c r="K139" s="540">
        <v>186.8331379051229</v>
      </c>
      <c r="L139" s="540">
        <v>187.25706260292066</v>
      </c>
      <c r="M139" s="540">
        <v>187.39261120841402</v>
      </c>
      <c r="N139" s="540">
        <v>187.27445270054585</v>
      </c>
      <c r="O139" s="540">
        <v>186.93404519772949</v>
      </c>
      <c r="P139" s="540">
        <v>186.39970512504576</v>
      </c>
      <c r="Q139" s="540">
        <v>185.69676235605897</v>
      </c>
      <c r="R139" s="540">
        <v>184.84776417946003</v>
      </c>
      <c r="S139" s="540">
        <v>183.87270283773142</v>
      </c>
      <c r="T139" s="540">
        <v>182.78924982319214</v>
      </c>
      <c r="U139" s="540">
        <v>181.46221649576066</v>
      </c>
      <c r="V139" s="540">
        <v>180.20893618668043</v>
      </c>
      <c r="W139" s="540">
        <v>178.74795843501482</v>
      </c>
      <c r="X139" s="540">
        <v>177.23864747353969</v>
      </c>
      <c r="Y139" s="540">
        <v>175.69010086581866</v>
      </c>
      <c r="Z139" s="540">
        <v>174.11019566562427</v>
      </c>
      <c r="AA139" s="540">
        <v>172.62619049155913</v>
      </c>
      <c r="AB139" s="540">
        <v>170.9989515184873</v>
      </c>
      <c r="AC139" s="540">
        <v>169.35833059339541</v>
      </c>
      <c r="AD139" s="540">
        <v>167.70867277383249</v>
      </c>
      <c r="AE139" s="540">
        <v>166.0537281486319</v>
      </c>
      <c r="AF139" s="540">
        <v>164.39672832520543</v>
      </c>
    </row>
    <row r="140" spans="1:32" x14ac:dyDescent="0.25">
      <c r="A140" s="839"/>
      <c r="B140" s="552" t="s">
        <v>45</v>
      </c>
      <c r="C140" s="539"/>
      <c r="D140" s="539"/>
      <c r="E140" s="539"/>
      <c r="F140" s="539"/>
      <c r="G140" s="540"/>
      <c r="H140" s="540">
        <v>19.530091439458758</v>
      </c>
      <c r="I140" s="540">
        <v>17.230988779384472</v>
      </c>
      <c r="J140" s="540">
        <v>15.222242350348296</v>
      </c>
      <c r="K140" s="540">
        <v>13.465813129123596</v>
      </c>
      <c r="L140" s="540">
        <v>11.928816343959175</v>
      </c>
      <c r="M140" s="540">
        <v>10.582799166078676</v>
      </c>
      <c r="N140" s="540">
        <v>9.4031231357983511</v>
      </c>
      <c r="O140" s="540">
        <v>8.3684355968509063</v>
      </c>
      <c r="P140" s="540">
        <v>7.4602168612438371</v>
      </c>
      <c r="Q140" s="540">
        <v>6.6623918794963162</v>
      </c>
      <c r="R140" s="540">
        <v>5.9609969142049604</v>
      </c>
      <c r="S140" s="540">
        <v>5.3438931636179303</v>
      </c>
      <c r="T140" s="540">
        <v>4.8005205016782408</v>
      </c>
      <c r="U140" s="540">
        <v>4.3226808449607272</v>
      </c>
      <c r="V140" s="540">
        <v>3.9018563679292866</v>
      </c>
      <c r="W140" s="540">
        <v>3.5307629075985831</v>
      </c>
      <c r="X140" s="540">
        <v>3.2037650105389508</v>
      </c>
      <c r="Y140" s="540">
        <v>2.9151976153937049</v>
      </c>
      <c r="Z140" s="540">
        <v>2.6601695783377077</v>
      </c>
      <c r="AA140" s="540">
        <v>2.4344053348913151</v>
      </c>
      <c r="AB140" s="540">
        <v>2.2337017314831962</v>
      </c>
      <c r="AC140" s="540">
        <v>2.0556293580162506</v>
      </c>
      <c r="AD140" s="540">
        <v>1.8973987161648183</v>
      </c>
      <c r="AE140" s="540">
        <v>1.7565857194554342</v>
      </c>
      <c r="AF140" s="540">
        <v>1.6310810111996408</v>
      </c>
    </row>
    <row r="141" spans="1:32" x14ac:dyDescent="0.25">
      <c r="A141" s="839"/>
      <c r="B141" s="552" t="s">
        <v>46</v>
      </c>
      <c r="C141" s="539"/>
      <c r="D141" s="539"/>
      <c r="E141" s="539"/>
      <c r="F141" s="539"/>
      <c r="G141" s="540"/>
      <c r="H141" s="540">
        <v>0</v>
      </c>
      <c r="I141" s="540">
        <v>0</v>
      </c>
      <c r="J141" s="540">
        <v>0</v>
      </c>
      <c r="K141" s="540">
        <v>0</v>
      </c>
      <c r="L141" s="540">
        <v>0</v>
      </c>
      <c r="M141" s="540">
        <v>0</v>
      </c>
      <c r="N141" s="540">
        <v>0</v>
      </c>
      <c r="O141" s="540">
        <v>0</v>
      </c>
      <c r="P141" s="540">
        <v>0</v>
      </c>
      <c r="Q141" s="540">
        <v>0</v>
      </c>
      <c r="R141" s="540">
        <v>0</v>
      </c>
      <c r="S141" s="540">
        <v>0</v>
      </c>
      <c r="T141" s="540">
        <v>0</v>
      </c>
      <c r="U141" s="540">
        <v>0</v>
      </c>
      <c r="V141" s="540">
        <v>0</v>
      </c>
      <c r="W141" s="540">
        <v>0</v>
      </c>
      <c r="X141" s="540">
        <v>0</v>
      </c>
      <c r="Y141" s="540">
        <v>0</v>
      </c>
      <c r="Z141" s="540">
        <v>0</v>
      </c>
      <c r="AA141" s="540">
        <v>0</v>
      </c>
      <c r="AB141" s="540">
        <v>0</v>
      </c>
      <c r="AC141" s="540">
        <v>0</v>
      </c>
      <c r="AD141" s="540">
        <v>0</v>
      </c>
      <c r="AE141" s="540">
        <v>0</v>
      </c>
      <c r="AF141" s="540">
        <v>0</v>
      </c>
    </row>
    <row r="142" spans="1:32" x14ac:dyDescent="0.25">
      <c r="A142" s="839"/>
      <c r="B142" s="550" t="s">
        <v>29</v>
      </c>
      <c r="C142" s="539"/>
      <c r="D142" s="539"/>
      <c r="E142" s="539"/>
      <c r="F142" s="539"/>
      <c r="G142" s="540"/>
      <c r="H142" s="540">
        <v>2.677158177305996</v>
      </c>
      <c r="I142" s="540">
        <v>2.6549009658812839</v>
      </c>
      <c r="J142" s="540">
        <v>2.6285428289613826</v>
      </c>
      <c r="K142" s="540">
        <v>2.5993293359430192</v>
      </c>
      <c r="L142" s="540">
        <v>2.5681777580737624</v>
      </c>
      <c r="M142" s="540">
        <v>2.5357626047701101</v>
      </c>
      <c r="N142" s="540">
        <v>2.5025789110370558</v>
      </c>
      <c r="O142" s="540">
        <v>2.4689890593429902</v>
      </c>
      <c r="P142" s="540">
        <v>2.4352574168530796</v>
      </c>
      <c r="Q142" s="540">
        <v>2.4015759565504977</v>
      </c>
      <c r="R142" s="540">
        <v>2.3680832072742062</v>
      </c>
      <c r="S142" s="540">
        <v>2.3348782681063733</v>
      </c>
      <c r="T142" s="540">
        <v>2.3020311713255226</v>
      </c>
      <c r="U142" s="540">
        <v>2.2601603085715052</v>
      </c>
      <c r="V142" s="540">
        <v>2.2283217697419908</v>
      </c>
      <c r="W142" s="540">
        <v>2.1881012619735118</v>
      </c>
      <c r="X142" s="540">
        <v>2.1488417265615118</v>
      </c>
      <c r="Y142" s="540">
        <v>2.1105345605092638</v>
      </c>
      <c r="Z142" s="540">
        <v>2.0731645374000158</v>
      </c>
      <c r="AA142" s="540">
        <v>2.0443332017465905</v>
      </c>
      <c r="AB142" s="540">
        <v>2.0085562568802571</v>
      </c>
      <c r="AC142" s="540">
        <v>1.9736462559742103</v>
      </c>
      <c r="AD142" s="540">
        <v>1.9395813093236551</v>
      </c>
      <c r="AE142" s="540">
        <v>1.9063381346459212</v>
      </c>
      <c r="AF142" s="540">
        <v>1.8738927470595468</v>
      </c>
    </row>
    <row r="143" spans="1:32" x14ac:dyDescent="0.25">
      <c r="A143" s="839"/>
      <c r="B143" s="550"/>
      <c r="C143" s="539"/>
      <c r="D143" s="539"/>
      <c r="E143" s="539"/>
      <c r="F143" s="539"/>
      <c r="G143" s="540"/>
      <c r="H143" s="540" t="s">
        <v>73</v>
      </c>
      <c r="I143" s="540" t="s">
        <v>73</v>
      </c>
      <c r="J143" s="540" t="s">
        <v>73</v>
      </c>
      <c r="K143" s="540" t="s">
        <v>73</v>
      </c>
      <c r="L143" s="540" t="s">
        <v>73</v>
      </c>
      <c r="M143" s="540" t="s">
        <v>73</v>
      </c>
      <c r="N143" s="540" t="s">
        <v>73</v>
      </c>
      <c r="O143" s="540" t="s">
        <v>73</v>
      </c>
      <c r="P143" s="540" t="s">
        <v>73</v>
      </c>
      <c r="Q143" s="540" t="s">
        <v>73</v>
      </c>
      <c r="R143" s="540" t="s">
        <v>73</v>
      </c>
      <c r="S143" s="540" t="s">
        <v>73</v>
      </c>
      <c r="T143" s="540" t="s">
        <v>73</v>
      </c>
      <c r="U143" s="540" t="s">
        <v>73</v>
      </c>
      <c r="V143" s="540" t="s">
        <v>73</v>
      </c>
      <c r="W143" s="540" t="s">
        <v>73</v>
      </c>
      <c r="X143" s="540" t="s">
        <v>73</v>
      </c>
      <c r="Y143" s="540" t="s">
        <v>73</v>
      </c>
      <c r="Z143" s="540" t="s">
        <v>73</v>
      </c>
      <c r="AA143" s="540" t="s">
        <v>73</v>
      </c>
      <c r="AB143" s="540" t="s">
        <v>73</v>
      </c>
      <c r="AC143" s="540" t="s">
        <v>73</v>
      </c>
      <c r="AD143" s="540" t="s">
        <v>73</v>
      </c>
      <c r="AE143" s="540" t="s">
        <v>73</v>
      </c>
      <c r="AF143" s="540" t="s">
        <v>73</v>
      </c>
    </row>
    <row r="144" spans="1:32" s="202" customFormat="1" ht="12.75" x14ac:dyDescent="0.2">
      <c r="A144" s="843" t="s">
        <v>47</v>
      </c>
      <c r="B144" s="556"/>
      <c r="C144" s="556"/>
      <c r="D144" s="556"/>
      <c r="E144" s="556"/>
      <c r="F144" s="556"/>
      <c r="G144" s="547"/>
      <c r="H144" s="547" t="s">
        <v>73</v>
      </c>
      <c r="I144" s="547" t="s">
        <v>73</v>
      </c>
      <c r="J144" s="547" t="s">
        <v>73</v>
      </c>
      <c r="K144" s="547" t="s">
        <v>73</v>
      </c>
      <c r="L144" s="547" t="s">
        <v>73</v>
      </c>
      <c r="M144" s="547" t="s">
        <v>73</v>
      </c>
      <c r="N144" s="547" t="s">
        <v>73</v>
      </c>
      <c r="O144" s="547" t="s">
        <v>73</v>
      </c>
      <c r="P144" s="547" t="s">
        <v>73</v>
      </c>
      <c r="Q144" s="547" t="s">
        <v>73</v>
      </c>
      <c r="R144" s="547" t="s">
        <v>73</v>
      </c>
      <c r="S144" s="547" t="s">
        <v>73</v>
      </c>
      <c r="T144" s="547" t="s">
        <v>73</v>
      </c>
      <c r="U144" s="547" t="s">
        <v>73</v>
      </c>
      <c r="V144" s="547" t="s">
        <v>73</v>
      </c>
      <c r="W144" s="547" t="s">
        <v>73</v>
      </c>
      <c r="X144" s="547" t="s">
        <v>73</v>
      </c>
      <c r="Y144" s="547" t="s">
        <v>73</v>
      </c>
      <c r="Z144" s="547" t="s">
        <v>73</v>
      </c>
      <c r="AA144" s="547" t="s">
        <v>73</v>
      </c>
      <c r="AB144" s="547" t="s">
        <v>73</v>
      </c>
      <c r="AC144" s="547" t="s">
        <v>73</v>
      </c>
      <c r="AD144" s="547" t="s">
        <v>73</v>
      </c>
      <c r="AE144" s="547" t="s">
        <v>73</v>
      </c>
      <c r="AF144" s="547" t="s">
        <v>73</v>
      </c>
    </row>
    <row r="145" spans="1:32" x14ac:dyDescent="0.25">
      <c r="A145" s="839"/>
      <c r="B145" s="550" t="s">
        <v>48</v>
      </c>
      <c r="C145" s="539"/>
      <c r="D145" s="539"/>
      <c r="E145" s="539"/>
      <c r="F145" s="539"/>
      <c r="G145" s="540"/>
      <c r="H145" s="540">
        <v>0</v>
      </c>
      <c r="I145" s="540">
        <v>0</v>
      </c>
      <c r="J145" s="540">
        <v>0</v>
      </c>
      <c r="K145" s="540">
        <v>0</v>
      </c>
      <c r="L145" s="540">
        <v>0</v>
      </c>
      <c r="M145" s="540">
        <v>0</v>
      </c>
      <c r="N145" s="540">
        <v>0</v>
      </c>
      <c r="O145" s="540">
        <v>0</v>
      </c>
      <c r="P145" s="540">
        <v>0</v>
      </c>
      <c r="Q145" s="540">
        <v>0</v>
      </c>
      <c r="R145" s="540">
        <v>0</v>
      </c>
      <c r="S145" s="540">
        <v>0</v>
      </c>
      <c r="T145" s="540">
        <v>0</v>
      </c>
      <c r="U145" s="540">
        <v>0</v>
      </c>
      <c r="V145" s="540">
        <v>0</v>
      </c>
      <c r="W145" s="540">
        <v>0</v>
      </c>
      <c r="X145" s="540">
        <v>0</v>
      </c>
      <c r="Y145" s="540">
        <v>0</v>
      </c>
      <c r="Z145" s="540">
        <v>0</v>
      </c>
      <c r="AA145" s="540">
        <v>0</v>
      </c>
      <c r="AB145" s="540">
        <v>0</v>
      </c>
      <c r="AC145" s="540">
        <v>0</v>
      </c>
      <c r="AD145" s="540">
        <v>0</v>
      </c>
      <c r="AE145" s="540">
        <v>0</v>
      </c>
      <c r="AF145" s="540">
        <v>0</v>
      </c>
    </row>
    <row r="146" spans="1:32" x14ac:dyDescent="0.25">
      <c r="A146" s="839"/>
      <c r="B146" s="552" t="s">
        <v>50</v>
      </c>
      <c r="C146" s="539"/>
      <c r="D146" s="539"/>
      <c r="E146" s="539"/>
      <c r="F146" s="539"/>
      <c r="G146" s="540"/>
      <c r="H146" s="540">
        <v>0.28159899298680324</v>
      </c>
      <c r="I146" s="540">
        <v>0.27339002949523095</v>
      </c>
      <c r="J146" s="540">
        <v>0.26542036757534127</v>
      </c>
      <c r="K146" s="540">
        <v>0.25768303128647252</v>
      </c>
      <c r="L146" s="540">
        <v>0.25017124804537455</v>
      </c>
      <c r="M146" s="540">
        <v>0.24287844269808481</v>
      </c>
      <c r="N146" s="540">
        <v>0.23579823176461762</v>
      </c>
      <c r="O146" s="540">
        <v>0.22892441785142739</v>
      </c>
      <c r="P146" s="540">
        <v>0.22225098422675577</v>
      </c>
      <c r="Q146" s="540">
        <v>0.21577208955411414</v>
      </c>
      <c r="R146" s="540">
        <v>0.20948206277929185</v>
      </c>
      <c r="S146" s="540">
        <v>0.20337539816641431</v>
      </c>
      <c r="T146" s="540">
        <v>0.19744675047870647</v>
      </c>
      <c r="U146" s="540">
        <v>0.19169093029974277</v>
      </c>
      <c r="V146" s="540">
        <v>0.18610289949108907</v>
      </c>
      <c r="W146" s="540">
        <v>0.18067776678235919</v>
      </c>
      <c r="X146" s="540">
        <v>0.17541078348982767</v>
      </c>
      <c r="Y146" s="540">
        <v>0.17029733935984967</v>
      </c>
      <c r="Z146" s="540">
        <v>0.16533295853345084</v>
      </c>
      <c r="AA146" s="540">
        <v>0.16051329562855426</v>
      </c>
      <c r="AB146" s="540">
        <v>0.15583413193641527</v>
      </c>
      <c r="AC146" s="540">
        <v>0.15129137172893525</v>
      </c>
      <c r="AD146" s="540">
        <v>0.14688103867362165</v>
      </c>
      <c r="AE146" s="540">
        <v>0.14259927235305642</v>
      </c>
      <c r="AF146" s="540">
        <v>0.13844232488582642</v>
      </c>
    </row>
    <row r="147" spans="1:32" x14ac:dyDescent="0.25">
      <c r="A147" s="839"/>
      <c r="B147" s="550" t="s">
        <v>51</v>
      </c>
      <c r="C147" s="539"/>
      <c r="D147" s="539"/>
      <c r="E147" s="539"/>
      <c r="F147" s="539"/>
      <c r="G147" s="540"/>
      <c r="H147" s="540">
        <v>2.4661867439485858</v>
      </c>
      <c r="I147" s="540">
        <v>2.4010035607939328</v>
      </c>
      <c r="J147" s="540">
        <v>2.3375432185298171</v>
      </c>
      <c r="K147" s="540">
        <v>2.2757601811668851</v>
      </c>
      <c r="L147" s="540">
        <v>2.2156101162664639</v>
      </c>
      <c r="M147" s="540">
        <v>2.157049863129807</v>
      </c>
      <c r="N147" s="540">
        <v>2.1000374018281183</v>
      </c>
      <c r="O147" s="540">
        <v>2.044531823051138</v>
      </c>
      <c r="P147" s="540">
        <v>1.9904932987526576</v>
      </c>
      <c r="Q147" s="540">
        <v>1.9378830535718867</v>
      </c>
      <c r="R147" s="540">
        <v>1.8866633370101853</v>
      </c>
      <c r="S147" s="540">
        <v>1.836797396343177</v>
      </c>
      <c r="T147" s="540">
        <v>1.7882494502488238</v>
      </c>
      <c r="U147" s="540">
        <v>1.7409846631325216</v>
      </c>
      <c r="V147" s="540">
        <v>1.6949691201308144</v>
      </c>
      <c r="W147" s="540">
        <v>1.6501698027757656</v>
      </c>
      <c r="X147" s="540">
        <v>1.6065545653025526</v>
      </c>
      <c r="Y147" s="540">
        <v>1.5640921115832565</v>
      </c>
      <c r="Z147" s="540">
        <v>1.5227519726703194</v>
      </c>
      <c r="AA147" s="540">
        <v>1.4825044849335405</v>
      </c>
      <c r="AB147" s="540">
        <v>1.4433207687749272</v>
      </c>
      <c r="AC147" s="540">
        <v>1.4051727079061307</v>
      </c>
      <c r="AD147" s="540">
        <v>1.3680329291735949</v>
      </c>
      <c r="AE147" s="540">
        <v>1.3318747829169395</v>
      </c>
      <c r="AF147" s="540">
        <v>1.2966723238464894</v>
      </c>
    </row>
    <row r="148" spans="1:32" x14ac:dyDescent="0.25">
      <c r="A148" s="839"/>
      <c r="B148" s="550" t="s">
        <v>52</v>
      </c>
      <c r="C148" s="539"/>
      <c r="D148" s="539"/>
      <c r="E148" s="539"/>
      <c r="F148" s="539"/>
      <c r="G148" s="540"/>
      <c r="H148" s="540">
        <v>6.2809797610477842</v>
      </c>
      <c r="I148" s="540">
        <v>6.1758104017217992</v>
      </c>
      <c r="J148" s="540">
        <v>6.0736281000917538</v>
      </c>
      <c r="K148" s="540">
        <v>5.9742776448595158</v>
      </c>
      <c r="L148" s="540">
        <v>5.8775335005473446</v>
      </c>
      <c r="M148" s="540">
        <v>5.7833254809212233</v>
      </c>
      <c r="N148" s="540">
        <v>5.6915326707252412</v>
      </c>
      <c r="O148" s="540">
        <v>5.6021189427155296</v>
      </c>
      <c r="P148" s="540">
        <v>5.5149226357425318</v>
      </c>
      <c r="Q148" s="540">
        <v>5.4298452896818237</v>
      </c>
      <c r="R148" s="540">
        <v>5.3467951208657238</v>
      </c>
      <c r="S148" s="540">
        <v>5.2656864380481405</v>
      </c>
      <c r="T148" s="540">
        <v>5.1714531776029959</v>
      </c>
      <c r="U148" s="540">
        <v>5.0947817530997392</v>
      </c>
      <c r="V148" s="540">
        <v>5.0065579338578763</v>
      </c>
      <c r="W148" s="540">
        <v>4.9215909490063687</v>
      </c>
      <c r="X148" s="540">
        <v>4.850992790583498</v>
      </c>
      <c r="Y148" s="540">
        <v>4.7709257147387465</v>
      </c>
      <c r="Z148" s="540">
        <v>4.6935163162348967</v>
      </c>
      <c r="AA148" s="540">
        <v>4.6280305628170169</v>
      </c>
      <c r="AB148" s="540">
        <v>4.5547010827493608</v>
      </c>
      <c r="AC148" s="540">
        <v>4.4835830912156176</v>
      </c>
      <c r="AD148" s="540">
        <v>4.422480372146631</v>
      </c>
      <c r="AE148" s="540">
        <v>4.354820965267348</v>
      </c>
      <c r="AF148" s="540">
        <v>4.2890330314239584</v>
      </c>
    </row>
    <row r="149" spans="1:32" x14ac:dyDescent="0.25">
      <c r="A149" s="839"/>
      <c r="B149" s="552" t="s">
        <v>29</v>
      </c>
      <c r="C149" s="539"/>
      <c r="D149" s="539"/>
      <c r="E149" s="539"/>
      <c r="F149" s="539"/>
      <c r="G149" s="540"/>
      <c r="H149" s="540">
        <v>0.11012288813803808</v>
      </c>
      <c r="I149" s="540">
        <v>0.12967157883076169</v>
      </c>
      <c r="J149" s="540">
        <v>0.14848936536145285</v>
      </c>
      <c r="K149" s="540">
        <v>0.16659907752199427</v>
      </c>
      <c r="L149" s="540">
        <v>0.18406798206096323</v>
      </c>
      <c r="M149" s="540">
        <v>0.2008788202466523</v>
      </c>
      <c r="N149" s="540">
        <v>0.21705177770128156</v>
      </c>
      <c r="O149" s="540">
        <v>0.2325646497490261</v>
      </c>
      <c r="P149" s="540">
        <v>0.24747186335866661</v>
      </c>
      <c r="Q149" s="540">
        <v>0.26179213913503607</v>
      </c>
      <c r="R149" s="540">
        <v>0.27554359945498785</v>
      </c>
      <c r="S149" s="540">
        <v>0.28874379155444635</v>
      </c>
      <c r="T149" s="540">
        <v>0.30120209087199062</v>
      </c>
      <c r="U149" s="540">
        <v>0.31331767753795881</v>
      </c>
      <c r="V149" s="540">
        <v>0.3247500761924062</v>
      </c>
      <c r="W149" s="540">
        <v>0.33568233481467713</v>
      </c>
      <c r="X149" s="540">
        <v>0.3462890560200011</v>
      </c>
      <c r="Y149" s="540">
        <v>0.35629254409771022</v>
      </c>
      <c r="Z149" s="540">
        <v>0.36584370952655604</v>
      </c>
      <c r="AA149" s="540">
        <v>0.37508882920950193</v>
      </c>
      <c r="AB149" s="540">
        <v>0.38379854040563754</v>
      </c>
      <c r="AC149" s="540">
        <v>0.39209884779128973</v>
      </c>
      <c r="AD149" s="540">
        <v>0.40011355911560931</v>
      </c>
      <c r="AE149" s="540">
        <v>0.40765116428907</v>
      </c>
      <c r="AF149" s="540">
        <v>0.41481801889803799</v>
      </c>
    </row>
    <row r="150" spans="1:32" x14ac:dyDescent="0.25">
      <c r="A150" s="839"/>
      <c r="B150" s="552" t="s">
        <v>53</v>
      </c>
      <c r="C150" s="539"/>
      <c r="D150" s="539"/>
      <c r="E150" s="539"/>
      <c r="F150" s="539"/>
      <c r="G150" s="540"/>
      <c r="H150" s="540">
        <v>0</v>
      </c>
      <c r="I150" s="540">
        <v>0</v>
      </c>
      <c r="J150" s="540">
        <v>0</v>
      </c>
      <c r="K150" s="540">
        <v>0</v>
      </c>
      <c r="L150" s="540">
        <v>0</v>
      </c>
      <c r="M150" s="540">
        <v>0</v>
      </c>
      <c r="N150" s="540">
        <v>0</v>
      </c>
      <c r="O150" s="540">
        <v>0</v>
      </c>
      <c r="P150" s="540">
        <v>0</v>
      </c>
      <c r="Q150" s="540">
        <v>0</v>
      </c>
      <c r="R150" s="540">
        <v>0</v>
      </c>
      <c r="S150" s="540">
        <v>0</v>
      </c>
      <c r="T150" s="540">
        <v>0</v>
      </c>
      <c r="U150" s="540">
        <v>0</v>
      </c>
      <c r="V150" s="540">
        <v>0</v>
      </c>
      <c r="W150" s="540">
        <v>0</v>
      </c>
      <c r="X150" s="540">
        <v>0</v>
      </c>
      <c r="Y150" s="540">
        <v>0</v>
      </c>
      <c r="Z150" s="540">
        <v>0</v>
      </c>
      <c r="AA150" s="540">
        <v>0</v>
      </c>
      <c r="AB150" s="540">
        <v>0</v>
      </c>
      <c r="AC150" s="540">
        <v>0</v>
      </c>
      <c r="AD150" s="540">
        <v>0</v>
      </c>
      <c r="AE150" s="540">
        <v>0</v>
      </c>
      <c r="AF150" s="540">
        <v>0</v>
      </c>
    </row>
    <row r="151" spans="1:32" x14ac:dyDescent="0.25">
      <c r="A151" s="838"/>
    </row>
    <row r="152" spans="1:32" x14ac:dyDescent="0.25">
      <c r="A152" s="838"/>
    </row>
    <row r="153" spans="1:32" s="539" customFormat="1" x14ac:dyDescent="0.25">
      <c r="A153" s="860" t="s">
        <v>274</v>
      </c>
      <c r="B153" s="555"/>
      <c r="C153" s="554"/>
      <c r="D153" s="553"/>
      <c r="E153" s="553"/>
      <c r="F153" s="553"/>
      <c r="G153" s="553" t="s">
        <v>703</v>
      </c>
      <c r="H153" s="560"/>
      <c r="I153" s="560"/>
      <c r="J153" s="560"/>
      <c r="K153" s="560"/>
      <c r="L153" s="560"/>
      <c r="M153" s="560"/>
      <c r="N153" s="560"/>
      <c r="O153" s="560"/>
      <c r="P153" s="560"/>
      <c r="Q153" s="560"/>
      <c r="R153" s="560"/>
      <c r="S153" s="560"/>
      <c r="T153" s="560"/>
      <c r="U153" s="560"/>
      <c r="V153" s="560"/>
      <c r="W153" s="560"/>
      <c r="X153" s="560"/>
      <c r="Y153" s="560"/>
      <c r="Z153" s="560"/>
      <c r="AA153" s="560"/>
      <c r="AB153" s="560"/>
      <c r="AC153" s="560"/>
      <c r="AD153" s="560"/>
      <c r="AE153" s="560"/>
      <c r="AF153" s="560"/>
    </row>
    <row r="154" spans="1:32" s="539" customFormat="1" x14ac:dyDescent="0.25">
      <c r="A154" s="840" t="s">
        <v>12</v>
      </c>
      <c r="B154" s="550"/>
    </row>
    <row r="155" spans="1:32" s="539" customFormat="1" x14ac:dyDescent="0.25">
      <c r="A155" s="839"/>
      <c r="B155" s="550" t="s">
        <v>20</v>
      </c>
    </row>
    <row r="156" spans="1:32" s="202" customFormat="1" ht="12.75" x14ac:dyDescent="0.2">
      <c r="A156" s="843" t="s">
        <v>21</v>
      </c>
      <c r="B156" s="556"/>
      <c r="C156" s="556"/>
      <c r="D156" s="556"/>
      <c r="E156" s="556"/>
      <c r="F156" s="556"/>
      <c r="G156" s="556"/>
      <c r="H156" s="556"/>
      <c r="I156" s="556"/>
      <c r="J156" s="556"/>
      <c r="K156" s="556"/>
      <c r="L156" s="556"/>
      <c r="M156" s="556"/>
      <c r="N156" s="556"/>
      <c r="O156" s="556"/>
      <c r="P156" s="556"/>
      <c r="Q156" s="556"/>
      <c r="R156" s="556"/>
      <c r="S156" s="556"/>
      <c r="T156" s="556"/>
      <c r="U156" s="556"/>
      <c r="V156" s="556"/>
      <c r="W156" s="556"/>
      <c r="X156" s="556"/>
      <c r="Y156" s="556"/>
      <c r="Z156" s="556"/>
      <c r="AA156" s="556"/>
      <c r="AB156" s="556"/>
      <c r="AC156" s="556"/>
      <c r="AD156" s="556"/>
      <c r="AE156" s="556"/>
      <c r="AF156" s="556"/>
    </row>
    <row r="157" spans="1:32" x14ac:dyDescent="0.25">
      <c r="A157" s="839"/>
      <c r="B157" s="550" t="s">
        <v>22</v>
      </c>
      <c r="C157" s="539"/>
      <c r="D157" s="539"/>
      <c r="E157" s="539"/>
      <c r="F157" s="539"/>
      <c r="G157" s="723">
        <v>22.450213923359364</v>
      </c>
      <c r="H157" s="723">
        <v>11.554285230945426</v>
      </c>
      <c r="I157" s="723">
        <v>7.6147080258154798</v>
      </c>
      <c r="J157" s="723">
        <v>4.3919594949194867</v>
      </c>
      <c r="K157" s="723">
        <v>3.0011153775714883</v>
      </c>
      <c r="L157" s="723">
        <v>1.8999976897703879</v>
      </c>
      <c r="M157" s="723">
        <v>0.70772245255379662</v>
      </c>
      <c r="N157" s="723">
        <v>0.66919943519756475</v>
      </c>
      <c r="O157" s="723">
        <v>0.65925696534165601</v>
      </c>
      <c r="P157" s="723">
        <v>0.65232161816292866</v>
      </c>
      <c r="Q157" s="723">
        <v>0.64575695887343565</v>
      </c>
      <c r="R157" s="723">
        <v>0.63929032647018369</v>
      </c>
      <c r="S157" s="723">
        <v>0.63289273684348801</v>
      </c>
      <c r="T157" s="723">
        <v>0.62656038819600302</v>
      </c>
      <c r="U157" s="723">
        <v>0.62029213086253354</v>
      </c>
      <c r="V157" s="723">
        <v>0.61408713438161544</v>
      </c>
      <c r="W157" s="723">
        <v>0.60794463831324463</v>
      </c>
      <c r="X157" s="723">
        <v>0.60186391967873032</v>
      </c>
      <c r="Y157" s="723">
        <v>0.59584428420488555</v>
      </c>
      <c r="Z157" s="723">
        <v>0.58988506118135986</v>
      </c>
      <c r="AA157" s="723">
        <v>0.58398559959881569</v>
      </c>
      <c r="AB157" s="723">
        <v>0.57814526513061271</v>
      </c>
      <c r="AC157" s="723">
        <v>0.57236343775866549</v>
      </c>
      <c r="AD157" s="723">
        <v>0.56663950990214873</v>
      </c>
      <c r="AE157" s="723">
        <v>0.56097288493989161</v>
      </c>
      <c r="AF157" s="723">
        <v>0.55536297604115958</v>
      </c>
    </row>
    <row r="158" spans="1:32" x14ac:dyDescent="0.25">
      <c r="A158" s="839"/>
      <c r="B158" s="550" t="s">
        <v>26</v>
      </c>
      <c r="C158" s="539"/>
      <c r="D158" s="539"/>
      <c r="E158" s="539"/>
      <c r="F158" s="539"/>
      <c r="G158" s="723">
        <v>0.17403266607255313</v>
      </c>
      <c r="H158" s="723">
        <v>0.15923833511872043</v>
      </c>
      <c r="I158" s="723">
        <v>0.51505326959831854</v>
      </c>
      <c r="J158" s="723">
        <v>1.3335466793107693</v>
      </c>
      <c r="K158" s="723">
        <v>1.813972590270055</v>
      </c>
      <c r="L158" s="723">
        <v>1.8866038779117684</v>
      </c>
      <c r="M158" s="723">
        <v>1.9673953995086433</v>
      </c>
      <c r="N158" s="723">
        <v>1.8629674894049884</v>
      </c>
      <c r="O158" s="723">
        <v>1.8355770031519356</v>
      </c>
      <c r="P158" s="723">
        <v>1.8162973654220975</v>
      </c>
      <c r="Q158" s="723">
        <v>1.7980226926203084</v>
      </c>
      <c r="R158" s="723">
        <v>1.7800180392059979</v>
      </c>
      <c r="S158" s="723">
        <v>1.7622052279156573</v>
      </c>
      <c r="T158" s="723">
        <v>1.7445739544405519</v>
      </c>
      <c r="U158" s="723">
        <v>1.727121063179917</v>
      </c>
      <c r="V158" s="723">
        <v>1.7098442594333949</v>
      </c>
      <c r="W158" s="723">
        <v>1.6927414377893373</v>
      </c>
      <c r="X158" s="723">
        <v>1.6758105943617583</v>
      </c>
      <c r="Y158" s="723">
        <v>1.6590498031857404</v>
      </c>
      <c r="Z158" s="723">
        <v>1.6424572023511843</v>
      </c>
      <c r="AA158" s="723">
        <v>1.6260309835887961</v>
      </c>
      <c r="AB158" s="723">
        <v>1.6097693841295819</v>
      </c>
      <c r="AC158" s="723">
        <v>1.5936706803006031</v>
      </c>
      <c r="AD158" s="723">
        <v>1.5777331824760719</v>
      </c>
      <c r="AE158" s="723">
        <v>1.5619552310896003</v>
      </c>
      <c r="AF158" s="723">
        <v>1.5463351934776621</v>
      </c>
    </row>
    <row r="159" spans="1:32" x14ac:dyDescent="0.25">
      <c r="A159" s="839"/>
      <c r="B159" s="550" t="s">
        <v>27</v>
      </c>
      <c r="C159" s="539"/>
      <c r="D159" s="539"/>
      <c r="E159" s="539"/>
      <c r="F159" s="539"/>
      <c r="G159" s="723">
        <v>3.0570984031885375</v>
      </c>
      <c r="H159" s="723">
        <v>9.4506282909398625</v>
      </c>
      <c r="I159" s="723">
        <v>11.452018092869716</v>
      </c>
      <c r="J159" s="723">
        <v>12.762590997930305</v>
      </c>
      <c r="K159" s="723">
        <v>13.164637192102836</v>
      </c>
      <c r="L159" s="723">
        <v>13.6251691039355</v>
      </c>
      <c r="M159" s="723">
        <v>14.137578565488447</v>
      </c>
      <c r="N159" s="723">
        <v>14.062665296015306</v>
      </c>
      <c r="O159" s="723">
        <v>13.928588392812262</v>
      </c>
      <c r="P159" s="723">
        <v>13.789743157214685</v>
      </c>
      <c r="Q159" s="723">
        <v>13.651707664583274</v>
      </c>
      <c r="R159" s="723">
        <v>13.515032696064107</v>
      </c>
      <c r="S159" s="723">
        <v>13.379753602609677</v>
      </c>
      <c r="T159" s="723">
        <v>13.245854707854193</v>
      </c>
      <c r="U159" s="723">
        <v>13.113316737489345</v>
      </c>
      <c r="V159" s="723">
        <v>12.982121371926141</v>
      </c>
      <c r="W159" s="723">
        <v>12.852251452921648</v>
      </c>
      <c r="X159" s="723">
        <v>12.723690799054378</v>
      </c>
      <c r="Y159" s="723">
        <v>12.596424025298605</v>
      </c>
      <c r="Z159" s="723">
        <v>12.470436397795863</v>
      </c>
      <c r="AA159" s="723">
        <v>12.345713719485897</v>
      </c>
      <c r="AB159" s="723">
        <v>12.222242240243986</v>
      </c>
      <c r="AC159" s="723">
        <v>12.100008586245321</v>
      </c>
      <c r="AD159" s="723">
        <v>11.978999704391088</v>
      </c>
      <c r="AE159" s="723">
        <v>11.859202818531402</v>
      </c>
      <c r="AF159" s="723">
        <v>11.740605394928259</v>
      </c>
    </row>
    <row r="160" spans="1:32" x14ac:dyDescent="0.25">
      <c r="A160" s="839"/>
      <c r="B160" s="550" t="s">
        <v>29</v>
      </c>
      <c r="C160" s="539"/>
      <c r="D160" s="539"/>
      <c r="E160" s="539"/>
      <c r="F160" s="539"/>
      <c r="G160" s="723">
        <v>0</v>
      </c>
      <c r="H160" s="723">
        <v>3.3422088180994477E-3</v>
      </c>
      <c r="I160" s="723">
        <v>6.0333809943575716E-3</v>
      </c>
      <c r="J160" s="723">
        <v>7.4187035873398586E-3</v>
      </c>
      <c r="K160" s="723">
        <v>8.5058175753280479E-3</v>
      </c>
      <c r="L160" s="723">
        <v>9.4459665740315862E-3</v>
      </c>
      <c r="M160" s="723">
        <v>1.0279396535759062E-2</v>
      </c>
      <c r="N160" s="723">
        <v>1.0903107992241716E-2</v>
      </c>
      <c r="O160" s="723">
        <v>1.1362949395052467E-2</v>
      </c>
      <c r="P160" s="723">
        <v>1.1694766252544918E-2</v>
      </c>
      <c r="Q160" s="723">
        <v>1.1926618581566075E-2</v>
      </c>
      <c r="R160" s="723">
        <v>1.2080474972665928E-2</v>
      </c>
      <c r="S160" s="723">
        <v>1.2173534745464711E-2</v>
      </c>
      <c r="T160" s="723">
        <v>1.2219262793287829E-2</v>
      </c>
      <c r="U160" s="723">
        <v>1.2228199856143474E-2</v>
      </c>
      <c r="V160" s="723">
        <v>1.2208596987742501E-2</v>
      </c>
      <c r="W160" s="723">
        <v>1.2166912364587111E-2</v>
      </c>
      <c r="X160" s="723">
        <v>1.2108200304531072E-2</v>
      </c>
      <c r="Y160" s="723">
        <v>1.2036415881636489E-2</v>
      </c>
      <c r="Z160" s="723">
        <v>1.1954653449987824E-2</v>
      </c>
      <c r="AA160" s="723">
        <v>1.1865333415912394E-2</v>
      </c>
      <c r="AB160" s="723">
        <v>1.1770348486896856E-2</v>
      </c>
      <c r="AC160" s="723">
        <v>1.1671178189342813E-2</v>
      </c>
      <c r="AD160" s="723">
        <v>1.1568978539716853E-2</v>
      </c>
      <c r="AE160" s="723">
        <v>1.1464652259942457E-2</v>
      </c>
      <c r="AF160" s="723">
        <v>1.1358903758255831E-2</v>
      </c>
    </row>
    <row r="161" spans="1:32" x14ac:dyDescent="0.25">
      <c r="A161" s="839"/>
      <c r="B161" s="550"/>
      <c r="C161" s="539"/>
      <c r="D161" s="539"/>
      <c r="E161" s="539"/>
      <c r="F161" s="539"/>
      <c r="G161" s="723"/>
      <c r="H161" s="723"/>
      <c r="I161" s="723"/>
      <c r="J161" s="723"/>
      <c r="K161" s="723"/>
      <c r="L161" s="723"/>
      <c r="M161" s="723"/>
      <c r="N161" s="723"/>
      <c r="O161" s="723"/>
      <c r="P161" s="723"/>
      <c r="Q161" s="723"/>
      <c r="R161" s="723"/>
      <c r="S161" s="723"/>
      <c r="T161" s="723"/>
      <c r="U161" s="723"/>
      <c r="V161" s="723"/>
      <c r="W161" s="723"/>
      <c r="X161" s="723"/>
      <c r="Y161" s="723"/>
      <c r="Z161" s="723"/>
      <c r="AA161" s="723"/>
      <c r="AB161" s="723"/>
      <c r="AC161" s="723"/>
      <c r="AD161" s="723"/>
      <c r="AE161" s="723"/>
      <c r="AF161" s="723"/>
    </row>
    <row r="162" spans="1:32" s="202" customFormat="1" ht="12.75" x14ac:dyDescent="0.2">
      <c r="A162" s="843" t="s">
        <v>32</v>
      </c>
      <c r="B162" s="556"/>
      <c r="C162" s="556"/>
      <c r="D162" s="556"/>
      <c r="E162" s="556"/>
      <c r="F162" s="556"/>
      <c r="G162" s="724"/>
      <c r="H162" s="724"/>
      <c r="I162" s="724"/>
      <c r="J162" s="724"/>
      <c r="K162" s="724"/>
      <c r="L162" s="724"/>
      <c r="M162" s="724"/>
      <c r="N162" s="724"/>
      <c r="O162" s="724"/>
      <c r="P162" s="724"/>
      <c r="Q162" s="724"/>
      <c r="R162" s="724"/>
      <c r="S162" s="724"/>
      <c r="T162" s="724"/>
      <c r="U162" s="724"/>
      <c r="V162" s="724"/>
      <c r="W162" s="724"/>
      <c r="X162" s="724"/>
      <c r="Y162" s="724"/>
      <c r="Z162" s="724"/>
      <c r="AA162" s="724"/>
      <c r="AB162" s="724"/>
      <c r="AC162" s="724"/>
      <c r="AD162" s="724"/>
      <c r="AE162" s="724"/>
      <c r="AF162" s="724"/>
    </row>
    <row r="163" spans="1:32" x14ac:dyDescent="0.25">
      <c r="A163" s="839"/>
      <c r="B163" s="550" t="s">
        <v>33</v>
      </c>
      <c r="C163" s="539"/>
      <c r="D163" s="539"/>
      <c r="E163" s="539"/>
      <c r="F163" s="539"/>
      <c r="G163" s="723">
        <v>0.87016333036276583</v>
      </c>
      <c r="H163" s="723">
        <v>2.5970024233118769</v>
      </c>
      <c r="I163" s="723">
        <v>2.9431863589218623</v>
      </c>
      <c r="J163" s="723">
        <v>3.2156427936281324</v>
      </c>
      <c r="K163" s="723">
        <v>3.4504354707069846</v>
      </c>
      <c r="L163" s="723">
        <v>3.4211487516767822</v>
      </c>
      <c r="M163" s="723">
        <v>3.3892419708367303</v>
      </c>
      <c r="N163" s="723">
        <v>3.3562960035346592</v>
      </c>
      <c r="O163" s="723">
        <v>3.3230602591218332</v>
      </c>
      <c r="P163" s="723">
        <v>3.2898860241929211</v>
      </c>
      <c r="Q163" s="723">
        <v>3.2569346042264438</v>
      </c>
      <c r="R163" s="723">
        <v>3.2242771623771036</v>
      </c>
      <c r="S163" s="723">
        <v>3.191942502330972</v>
      </c>
      <c r="T163" s="723">
        <v>3.159939852897339</v>
      </c>
      <c r="U163" s="723">
        <v>3.128269665712617</v>
      </c>
      <c r="V163" s="723">
        <v>3.096928679152176</v>
      </c>
      <c r="W163" s="723">
        <v>3.0659122506424143</v>
      </c>
      <c r="X163" s="723">
        <v>3.0352153964257655</v>
      </c>
      <c r="Y163" s="723">
        <v>3.0048332267180085</v>
      </c>
      <c r="Z163" s="723">
        <v>2.9747611036655437</v>
      </c>
      <c r="AA163" s="723">
        <v>2.9449946767644031</v>
      </c>
      <c r="AB163" s="723">
        <v>2.9155298678762991</v>
      </c>
      <c r="AC163" s="723">
        <v>2.886362838744005</v>
      </c>
      <c r="AD163" s="723">
        <v>2.8574899554099851</v>
      </c>
      <c r="AE163" s="723">
        <v>2.8289077553421853</v>
      </c>
      <c r="AF163" s="723">
        <v>2.8006129191708711</v>
      </c>
    </row>
    <row r="164" spans="1:32" x14ac:dyDescent="0.25">
      <c r="A164" s="842"/>
      <c r="B164" s="552" t="s">
        <v>34</v>
      </c>
      <c r="C164" s="539"/>
      <c r="D164" s="539"/>
      <c r="E164" s="539"/>
      <c r="F164" s="539"/>
      <c r="G164" s="723">
        <v>3.654685987523616</v>
      </c>
      <c r="H164" s="723">
        <v>3.0507809422232444</v>
      </c>
      <c r="I164" s="723">
        <v>3.0932677537008053</v>
      </c>
      <c r="J164" s="723">
        <v>2.9578048029108071</v>
      </c>
      <c r="K164" s="723">
        <v>2.7315219640243567</v>
      </c>
      <c r="L164" s="723">
        <v>2.7082615524987208</v>
      </c>
      <c r="M164" s="723">
        <v>2.6829700053514465</v>
      </c>
      <c r="N164" s="723">
        <v>2.6568758264381866</v>
      </c>
      <c r="O164" s="723">
        <v>2.6305613585990244</v>
      </c>
      <c r="P164" s="723">
        <v>2.6042995499507682</v>
      </c>
      <c r="Q164" s="723">
        <v>2.5782157080830519</v>
      </c>
      <c r="R164" s="723">
        <v>2.5523650882959998</v>
      </c>
      <c r="S164" s="723">
        <v>2.5267700273353983</v>
      </c>
      <c r="T164" s="723">
        <v>2.501437650096852</v>
      </c>
      <c r="U164" s="723">
        <v>2.4763682608970976</v>
      </c>
      <c r="V164" s="723">
        <v>2.4515592788135669</v>
      </c>
      <c r="W164" s="723">
        <v>2.4270070502015901</v>
      </c>
      <c r="X164" s="723">
        <v>2.4027076567277939</v>
      </c>
      <c r="Y164" s="723">
        <v>2.3786572535415988</v>
      </c>
      <c r="Z164" s="723">
        <v>2.354852192024858</v>
      </c>
      <c r="AA164" s="723">
        <v>2.3312890473127315</v>
      </c>
      <c r="AB164" s="723">
        <v>2.3079646066446973</v>
      </c>
      <c r="AC164" s="723">
        <v>2.2848758441152106</v>
      </c>
      <c r="AD164" s="723">
        <v>2.262019893017821</v>
      </c>
      <c r="AE164" s="723">
        <v>2.2393940202931573</v>
      </c>
      <c r="AF164" s="723">
        <v>2.2169956045603709</v>
      </c>
    </row>
    <row r="165" spans="1:32" x14ac:dyDescent="0.25">
      <c r="A165" s="839"/>
      <c r="B165" s="552" t="s">
        <v>35</v>
      </c>
      <c r="C165" s="539"/>
      <c r="D165" s="539"/>
      <c r="E165" s="539"/>
      <c r="F165" s="539"/>
      <c r="G165" s="723">
        <v>3.8297716259724539</v>
      </c>
      <c r="H165" s="723">
        <v>2.7816667416843233</v>
      </c>
      <c r="I165" s="723">
        <v>2.2985922496602424</v>
      </c>
      <c r="J165" s="723">
        <v>2.1049912995831406</v>
      </c>
      <c r="K165" s="723">
        <v>2.0597358770248659</v>
      </c>
      <c r="L165" s="723">
        <v>2.0272700490796267</v>
      </c>
      <c r="M165" s="723">
        <v>2.0011131919510561</v>
      </c>
      <c r="N165" s="723">
        <v>1.978134686322583</v>
      </c>
      <c r="O165" s="723">
        <v>1.9568185508968312</v>
      </c>
      <c r="P165" s="723">
        <v>1.9364277005758834</v>
      </c>
      <c r="Q165" s="723">
        <v>1.9166013168412888</v>
      </c>
      <c r="R165" s="723">
        <v>1.8971607641902712</v>
      </c>
      <c r="S165" s="723">
        <v>1.8780159463553276</v>
      </c>
      <c r="T165" s="723">
        <v>1.859120054870862</v>
      </c>
      <c r="U165" s="723">
        <v>1.840447647957</v>
      </c>
      <c r="V165" s="723">
        <v>1.821983988668914</v>
      </c>
      <c r="W165" s="723">
        <v>1.8037198258748477</v>
      </c>
      <c r="X165" s="723">
        <v>1.7856488134824946</v>
      </c>
      <c r="Y165" s="723">
        <v>1.7677662140768124</v>
      </c>
      <c r="Z165" s="723">
        <v>1.7500682322454209</v>
      </c>
      <c r="AA165" s="723">
        <v>1.7325516600242328</v>
      </c>
      <c r="AB165" s="723">
        <v>1.7152136796941027</v>
      </c>
      <c r="AC165" s="723">
        <v>1.6980517479245998</v>
      </c>
      <c r="AD165" s="723">
        <v>1.6810635234929334</v>
      </c>
      <c r="AE165" s="723">
        <v>1.6642468194602587</v>
      </c>
      <c r="AF165" s="723">
        <v>1.6475995698650818</v>
      </c>
    </row>
    <row r="166" spans="1:32" x14ac:dyDescent="0.25">
      <c r="A166" s="839"/>
      <c r="B166" s="552" t="s">
        <v>29</v>
      </c>
      <c r="C166" s="539"/>
      <c r="D166" s="539"/>
      <c r="E166" s="539"/>
      <c r="F166" s="539"/>
      <c r="G166" s="723">
        <v>0</v>
      </c>
      <c r="H166" s="723">
        <v>3.3104852954920247E-3</v>
      </c>
      <c r="I166" s="723">
        <v>6.1278165136810277E-3</v>
      </c>
      <c r="J166" s="723">
        <v>8.5279854385848942E-3</v>
      </c>
      <c r="K166" s="723">
        <v>1.0587205292405087E-2</v>
      </c>
      <c r="L166" s="723">
        <v>1.2174540099241179E-2</v>
      </c>
      <c r="M166" s="723">
        <v>1.3388635460251817E-2</v>
      </c>
      <c r="N166" s="723">
        <v>1.4308147393370392E-2</v>
      </c>
      <c r="O166" s="723">
        <v>1.49954985938662E-2</v>
      </c>
      <c r="P166" s="723">
        <v>1.5500088288094807E-2</v>
      </c>
      <c r="Q166" s="723">
        <v>1.5860941861182889E-2</v>
      </c>
      <c r="R166" s="723">
        <v>1.6108856625291212E-2</v>
      </c>
      <c r="S166" s="723">
        <v>1.6268120516283364E-2</v>
      </c>
      <c r="T166" s="723">
        <v>1.6357879807546549E-2</v>
      </c>
      <c r="U166" s="723">
        <v>1.6393223297101484E-2</v>
      </c>
      <c r="V166" s="723">
        <v>1.6386039731860539E-2</v>
      </c>
      <c r="W166" s="723">
        <v>1.6345694935260502E-2</v>
      </c>
      <c r="X166" s="723">
        <v>1.6279566088971634E-2</v>
      </c>
      <c r="Y166" s="723">
        <v>1.619346308156789E-2</v>
      </c>
      <c r="Z166" s="723">
        <v>1.6091960688617693E-2</v>
      </c>
      <c r="AA166" s="723">
        <v>1.597866040333263E-2</v>
      </c>
      <c r="AB166" s="723">
        <v>1.5856396791733587E-2</v>
      </c>
      <c r="AC166" s="723">
        <v>1.5727400114296967E-2</v>
      </c>
      <c r="AD166" s="723">
        <v>1.5593424476891602E-2</v>
      </c>
      <c r="AE166" s="723">
        <v>1.5455848814905209E-2</v>
      </c>
      <c r="AF166" s="723">
        <v>1.5315756468282933E-2</v>
      </c>
    </row>
    <row r="167" spans="1:32" x14ac:dyDescent="0.25">
      <c r="A167" s="839"/>
      <c r="B167" s="550"/>
      <c r="C167" s="539"/>
      <c r="D167" s="539"/>
      <c r="E167" s="539"/>
      <c r="F167" s="539"/>
      <c r="G167" s="723"/>
      <c r="H167" s="723"/>
      <c r="I167" s="723"/>
      <c r="J167" s="723"/>
      <c r="K167" s="723"/>
      <c r="L167" s="723"/>
      <c r="M167" s="723"/>
      <c r="N167" s="723"/>
      <c r="O167" s="723"/>
      <c r="P167" s="723"/>
      <c r="Q167" s="723"/>
      <c r="R167" s="723"/>
      <c r="S167" s="723"/>
      <c r="T167" s="723"/>
      <c r="U167" s="723"/>
      <c r="V167" s="723"/>
      <c r="W167" s="723"/>
      <c r="X167" s="723"/>
      <c r="Y167" s="723"/>
      <c r="Z167" s="723"/>
      <c r="AA167" s="723"/>
      <c r="AB167" s="723"/>
      <c r="AC167" s="723"/>
      <c r="AD167" s="723"/>
      <c r="AE167" s="723"/>
      <c r="AF167" s="723"/>
    </row>
    <row r="168" spans="1:32" s="202" customFormat="1" ht="12.75" x14ac:dyDescent="0.2">
      <c r="A168" s="843" t="s">
        <v>36</v>
      </c>
      <c r="B168" s="556"/>
      <c r="C168" s="556"/>
      <c r="D168" s="556"/>
      <c r="E168" s="556"/>
      <c r="F168" s="556"/>
      <c r="G168" s="724"/>
      <c r="H168" s="724"/>
      <c r="I168" s="724"/>
      <c r="J168" s="724"/>
      <c r="K168" s="724"/>
      <c r="L168" s="724"/>
      <c r="M168" s="724"/>
      <c r="N168" s="724"/>
      <c r="O168" s="724"/>
      <c r="P168" s="724"/>
      <c r="Q168" s="724"/>
      <c r="R168" s="724"/>
      <c r="S168" s="724"/>
      <c r="T168" s="724"/>
      <c r="U168" s="724"/>
      <c r="V168" s="724"/>
      <c r="W168" s="724"/>
      <c r="X168" s="724"/>
      <c r="Y168" s="724"/>
      <c r="Z168" s="724"/>
      <c r="AA168" s="724"/>
      <c r="AB168" s="724"/>
      <c r="AC168" s="724"/>
      <c r="AD168" s="724"/>
      <c r="AE168" s="724"/>
      <c r="AF168" s="724"/>
    </row>
    <row r="169" spans="1:32" x14ac:dyDescent="0.25">
      <c r="A169" s="839"/>
      <c r="B169" s="550" t="s">
        <v>37</v>
      </c>
      <c r="C169" s="539"/>
      <c r="D169" s="539"/>
      <c r="E169" s="539"/>
      <c r="F169" s="201"/>
      <c r="G169" s="723">
        <v>1144.6990512787272</v>
      </c>
      <c r="H169" s="723">
        <v>1011.2054470163835</v>
      </c>
      <c r="I169" s="723">
        <v>836.24052366283024</v>
      </c>
      <c r="J169" s="723">
        <v>643.28779786325572</v>
      </c>
      <c r="K169" s="723">
        <v>456.30487906141764</v>
      </c>
      <c r="L169" s="723">
        <v>324.71811232752594</v>
      </c>
      <c r="M169" s="723">
        <v>231.75105316393649</v>
      </c>
      <c r="N169" s="723">
        <v>165.92680130185983</v>
      </c>
      <c r="O169" s="723">
        <v>119.53041540285074</v>
      </c>
      <c r="P169" s="723">
        <v>86.761827491423603</v>
      </c>
      <c r="Q169" s="723">
        <v>63.570488743119427</v>
      </c>
      <c r="R169" s="723">
        <v>47.121979775710983</v>
      </c>
      <c r="S169" s="723">
        <v>35.42906879122453</v>
      </c>
      <c r="T169" s="723">
        <v>27.108204384075325</v>
      </c>
      <c r="U169" s="723">
        <v>21.153970102566337</v>
      </c>
      <c r="V169" s="723">
        <v>16.879563568715028</v>
      </c>
      <c r="W169" s="723">
        <v>13.793190312246717</v>
      </c>
      <c r="X169" s="723">
        <v>11.555057135336675</v>
      </c>
      <c r="Y169" s="723">
        <v>9.9170596083986418</v>
      </c>
      <c r="Z169" s="723">
        <v>8.7074321325499948</v>
      </c>
      <c r="AA169" s="723">
        <v>7.8117957936531397</v>
      </c>
      <c r="AB169" s="723">
        <v>7.1348737462952947</v>
      </c>
      <c r="AC169" s="723">
        <v>6.6157343280309799</v>
      </c>
      <c r="AD169" s="723">
        <v>6.217935085459092</v>
      </c>
      <c r="AE169" s="723">
        <v>5.9012459749122881</v>
      </c>
      <c r="AF169" s="723">
        <v>5.6439738311314152</v>
      </c>
    </row>
    <row r="170" spans="1:32" x14ac:dyDescent="0.25">
      <c r="A170" s="839"/>
      <c r="B170" s="550" t="s">
        <v>39</v>
      </c>
      <c r="C170" s="539"/>
      <c r="D170" s="539"/>
      <c r="E170" s="203"/>
      <c r="F170" s="539"/>
      <c r="G170" s="723">
        <v>3914.3020916311216</v>
      </c>
      <c r="H170" s="723">
        <v>3997.4067192057191</v>
      </c>
      <c r="I170" s="723">
        <v>4121.1137448038044</v>
      </c>
      <c r="J170" s="723">
        <v>4262.7437855172157</v>
      </c>
      <c r="K170" s="723">
        <v>4396.2807197192433</v>
      </c>
      <c r="L170" s="723">
        <v>4476.5882544096339</v>
      </c>
      <c r="M170" s="723">
        <v>4519.8367973238264</v>
      </c>
      <c r="N170" s="723">
        <v>4539.4193276823544</v>
      </c>
      <c r="O170" s="723">
        <v>4540.1616590906433</v>
      </c>
      <c r="P170" s="723">
        <v>4527.7540863080576</v>
      </c>
      <c r="Q170" s="723">
        <v>4506.1788544243955</v>
      </c>
      <c r="R170" s="723">
        <v>4478.229477265857</v>
      </c>
      <c r="S170" s="723">
        <v>4445.870184994099</v>
      </c>
      <c r="T170" s="723">
        <v>4410.4329116190138</v>
      </c>
      <c r="U170" s="723">
        <v>4372.9661829655988</v>
      </c>
      <c r="V170" s="723">
        <v>4334.1219695825203</v>
      </c>
      <c r="W170" s="723">
        <v>4294.4026026696065</v>
      </c>
      <c r="X170" s="723">
        <v>4254.1858921312341</v>
      </c>
      <c r="Y170" s="723">
        <v>4213.6954870496438</v>
      </c>
      <c r="Z170" s="723">
        <v>4173.1118981560439</v>
      </c>
      <c r="AA170" s="723">
        <v>4132.5794634102158</v>
      </c>
      <c r="AB170" s="723">
        <v>4092.1730078393439</v>
      </c>
      <c r="AC170" s="723">
        <v>4051.9590382572874</v>
      </c>
      <c r="AD170" s="723">
        <v>4011.9970417465356</v>
      </c>
      <c r="AE170" s="723">
        <v>3972.3088538432617</v>
      </c>
      <c r="AF170" s="723">
        <v>3932.9190777118183</v>
      </c>
    </row>
    <row r="171" spans="1:32" x14ac:dyDescent="0.25">
      <c r="A171" s="839"/>
      <c r="B171" s="550" t="s">
        <v>40</v>
      </c>
      <c r="C171" s="539"/>
      <c r="D171" s="539"/>
      <c r="E171" s="539"/>
      <c r="F171" s="539"/>
      <c r="G171" s="723">
        <v>393.36298510670019</v>
      </c>
      <c r="H171" s="723">
        <v>398.49339323995719</v>
      </c>
      <c r="I171" s="723">
        <v>407.41656593650521</v>
      </c>
      <c r="J171" s="723">
        <v>417.99734487863878</v>
      </c>
      <c r="K171" s="723">
        <v>429.38386677837593</v>
      </c>
      <c r="L171" s="723">
        <v>435.88863605869926</v>
      </c>
      <c r="M171" s="723">
        <v>439.04680559251409</v>
      </c>
      <c r="N171" s="723">
        <v>438.83399636605964</v>
      </c>
      <c r="O171" s="723">
        <v>437.15739646447651</v>
      </c>
      <c r="P171" s="723">
        <v>434.50009122309302</v>
      </c>
      <c r="Q171" s="723">
        <v>431.19482723385289</v>
      </c>
      <c r="R171" s="723">
        <v>427.47051307396026</v>
      </c>
      <c r="S171" s="723">
        <v>423.48427345079597</v>
      </c>
      <c r="T171" s="723">
        <v>419.36115033285597</v>
      </c>
      <c r="U171" s="723">
        <v>415.15419974016328</v>
      </c>
      <c r="V171" s="723">
        <v>410.92850648984381</v>
      </c>
      <c r="W171" s="723">
        <v>406.7136479664336</v>
      </c>
      <c r="X171" s="723">
        <v>402.51516188966224</v>
      </c>
      <c r="Y171" s="723">
        <v>398.36051265126002</v>
      </c>
      <c r="Z171" s="723">
        <v>394.25616568845663</v>
      </c>
      <c r="AA171" s="723">
        <v>390.19453144364974</v>
      </c>
      <c r="AB171" s="723">
        <v>386.18983554279941</v>
      </c>
      <c r="AC171" s="723">
        <v>382.24175945358667</v>
      </c>
      <c r="AD171" s="723">
        <v>378.34012220325303</v>
      </c>
      <c r="AE171" s="723">
        <v>374.49414128675232</v>
      </c>
      <c r="AF171" s="723">
        <v>370.70185105538746</v>
      </c>
    </row>
    <row r="172" spans="1:32" x14ac:dyDescent="0.25">
      <c r="A172" s="839"/>
      <c r="B172" s="550" t="s">
        <v>29</v>
      </c>
      <c r="C172" s="539"/>
      <c r="D172" s="539"/>
      <c r="E172" s="539"/>
      <c r="F172" s="539"/>
      <c r="G172" s="723">
        <v>0</v>
      </c>
      <c r="H172" s="723">
        <v>8.8878634961853816E-9</v>
      </c>
      <c r="I172" s="723">
        <v>1.5735183000964761E-8</v>
      </c>
      <c r="J172" s="723">
        <v>2.0987870249505675E-8</v>
      </c>
      <c r="K172" s="723">
        <v>2.5101410740286685E-8</v>
      </c>
      <c r="L172" s="723">
        <v>2.8518113392415367E-8</v>
      </c>
      <c r="M172" s="723">
        <v>3.1390037947961668E-8</v>
      </c>
      <c r="N172" s="723">
        <v>3.372060547093865E-8</v>
      </c>
      <c r="O172" s="723">
        <v>3.53995999854997E-8</v>
      </c>
      <c r="P172" s="723">
        <v>3.657312562273443E-8</v>
      </c>
      <c r="Q172" s="723">
        <v>3.7355370177061741E-8</v>
      </c>
      <c r="R172" s="723">
        <v>3.7835525795751018E-8</v>
      </c>
      <c r="S172" s="723">
        <v>3.808321339259215E-8</v>
      </c>
      <c r="T172" s="723">
        <v>3.8152733072744667E-8</v>
      </c>
      <c r="U172" s="723">
        <v>3.80863982433312E-8</v>
      </c>
      <c r="V172" s="723">
        <v>3.7917142244211345E-8</v>
      </c>
      <c r="W172" s="723">
        <v>3.7670566064095262E-8</v>
      </c>
      <c r="X172" s="723">
        <v>3.7366539673968468E-8</v>
      </c>
      <c r="Y172" s="723">
        <v>3.7020454363046748E-8</v>
      </c>
      <c r="Z172" s="723">
        <v>3.6644207049411062E-8</v>
      </c>
      <c r="AA172" s="723">
        <v>3.6246968621051747E-8</v>
      </c>
      <c r="AB172" s="723">
        <v>3.5835783730707932E-8</v>
      </c>
      <c r="AC172" s="723">
        <v>3.5416043097548928E-8</v>
      </c>
      <c r="AD172" s="723">
        <v>3.4991851067966071E-8</v>
      </c>
      <c r="AE172" s="723">
        <v>3.4566311676180707E-8</v>
      </c>
      <c r="AF172" s="723">
        <v>3.4141754702935706E-8</v>
      </c>
    </row>
    <row r="173" spans="1:32" x14ac:dyDescent="0.25">
      <c r="A173" s="839"/>
      <c r="B173" s="550"/>
      <c r="C173" s="539"/>
      <c r="D173" s="539"/>
      <c r="E173" s="539"/>
      <c r="F173" s="539"/>
      <c r="G173" s="723"/>
      <c r="H173" s="723"/>
      <c r="I173" s="723"/>
      <c r="J173" s="723"/>
      <c r="K173" s="723"/>
      <c r="L173" s="723"/>
      <c r="M173" s="723"/>
      <c r="N173" s="723"/>
      <c r="O173" s="723"/>
      <c r="P173" s="723"/>
      <c r="Q173" s="723"/>
      <c r="R173" s="723"/>
      <c r="S173" s="723"/>
      <c r="T173" s="723"/>
      <c r="U173" s="723"/>
      <c r="V173" s="723"/>
      <c r="W173" s="723"/>
      <c r="X173" s="723"/>
      <c r="Y173" s="723"/>
      <c r="Z173" s="723"/>
      <c r="AA173" s="723"/>
      <c r="AB173" s="723"/>
      <c r="AC173" s="723"/>
      <c r="AD173" s="723"/>
      <c r="AE173" s="723"/>
      <c r="AF173" s="723"/>
    </row>
    <row r="174" spans="1:32" s="202" customFormat="1" ht="12.75" x14ac:dyDescent="0.2">
      <c r="A174" s="843" t="s">
        <v>42</v>
      </c>
      <c r="B174" s="556"/>
      <c r="C174" s="556"/>
      <c r="D174" s="556"/>
      <c r="E174" s="556"/>
      <c r="F174" s="556"/>
      <c r="G174" s="724"/>
      <c r="H174" s="724"/>
      <c r="I174" s="724"/>
      <c r="J174" s="724"/>
      <c r="K174" s="724"/>
      <c r="L174" s="724"/>
      <c r="M174" s="724"/>
      <c r="N174" s="724"/>
      <c r="O174" s="724"/>
      <c r="P174" s="724"/>
      <c r="Q174" s="724"/>
      <c r="R174" s="724"/>
      <c r="S174" s="724"/>
      <c r="T174" s="724"/>
      <c r="U174" s="724"/>
      <c r="V174" s="724"/>
      <c r="W174" s="724"/>
      <c r="X174" s="724"/>
      <c r="Y174" s="724"/>
      <c r="Z174" s="724"/>
      <c r="AA174" s="724"/>
      <c r="AB174" s="724"/>
      <c r="AC174" s="724"/>
      <c r="AD174" s="724"/>
      <c r="AE174" s="724"/>
      <c r="AF174" s="724"/>
    </row>
    <row r="175" spans="1:32" x14ac:dyDescent="0.25">
      <c r="A175" s="839"/>
      <c r="B175" s="552" t="s">
        <v>43</v>
      </c>
      <c r="C175" s="539"/>
      <c r="D175" s="539"/>
      <c r="E175" s="539"/>
      <c r="F175" s="539"/>
      <c r="G175" s="723">
        <v>60.589387862838436</v>
      </c>
      <c r="H175" s="723">
        <v>54.204716452401016</v>
      </c>
      <c r="I175" s="723">
        <v>48.628544394060384</v>
      </c>
      <c r="J175" s="723">
        <v>43.752853903941073</v>
      </c>
      <c r="K175" s="723">
        <v>39.484753896345651</v>
      </c>
      <c r="L175" s="723">
        <v>35.744243912385016</v>
      </c>
      <c r="M175" s="723">
        <v>32.462330521251019</v>
      </c>
      <c r="N175" s="723">
        <v>29.579436321077594</v>
      </c>
      <c r="O175" s="723">
        <v>27.044052704632453</v>
      </c>
      <c r="P175" s="723">
        <v>24.811596384725927</v>
      </c>
      <c r="Q175" s="723">
        <v>22.843436770932449</v>
      </c>
      <c r="R175" s="723">
        <v>21.106067019913343</v>
      </c>
      <c r="S175" s="723">
        <v>19.5703962304557</v>
      </c>
      <c r="T175" s="723">
        <v>18.211144042279848</v>
      </c>
      <c r="U175" s="723">
        <v>17.01106741020099</v>
      </c>
      <c r="V175" s="723">
        <v>15.945112172721007</v>
      </c>
      <c r="W175" s="723">
        <v>15.000410704826969</v>
      </c>
      <c r="X175" s="723">
        <v>14.161249741122395</v>
      </c>
      <c r="Y175" s="723">
        <v>13.414094788794671</v>
      </c>
      <c r="Z175" s="723">
        <v>12.747268548763614</v>
      </c>
      <c r="AA175" s="723">
        <v>12.14864827731032</v>
      </c>
      <c r="AB175" s="723">
        <v>11.612036749046494</v>
      </c>
      <c r="AC175" s="723">
        <v>11.129762163947648</v>
      </c>
      <c r="AD175" s="723">
        <v>10.695170655925761</v>
      </c>
      <c r="AE175" s="723">
        <v>10.30248280354974</v>
      </c>
      <c r="AF175" s="723">
        <v>9.9466716189482725</v>
      </c>
    </row>
    <row r="176" spans="1:32" x14ac:dyDescent="0.25">
      <c r="A176" s="839"/>
      <c r="B176" s="552" t="s">
        <v>44</v>
      </c>
      <c r="C176" s="539"/>
      <c r="D176" s="539"/>
      <c r="E176" s="539"/>
      <c r="F176" s="539"/>
      <c r="G176" s="723">
        <v>435.61387144644647</v>
      </c>
      <c r="H176" s="723">
        <v>442.69636498946676</v>
      </c>
      <c r="I176" s="723">
        <v>448.6128951168098</v>
      </c>
      <c r="J176" s="723">
        <v>453.42763194167276</v>
      </c>
      <c r="K176" s="723">
        <v>457.22033923085394</v>
      </c>
      <c r="L176" s="723">
        <v>460.07798683956094</v>
      </c>
      <c r="M176" s="723">
        <v>462.08915228105548</v>
      </c>
      <c r="N176" s="723">
        <v>463.34039561302041</v>
      </c>
      <c r="O176" s="723">
        <v>463.91401848446657</v>
      </c>
      <c r="P176" s="723">
        <v>463.88678336410123</v>
      </c>
      <c r="Q176" s="723">
        <v>463.32928914285446</v>
      </c>
      <c r="R176" s="723">
        <v>462.3057865598625</v>
      </c>
      <c r="S176" s="723">
        <v>460.87428010869058</v>
      </c>
      <c r="T176" s="723">
        <v>459.08680873734437</v>
      </c>
      <c r="U176" s="723">
        <v>456.98777783632005</v>
      </c>
      <c r="V176" s="723">
        <v>454.62066514529647</v>
      </c>
      <c r="W176" s="723">
        <v>452.02248380229935</v>
      </c>
      <c r="X176" s="723">
        <v>449.22611957912403</v>
      </c>
      <c r="Y176" s="723">
        <v>446.26051184738776</v>
      </c>
      <c r="Z176" s="723">
        <v>443.15107405482303</v>
      </c>
      <c r="AA176" s="723">
        <v>439.91732706753243</v>
      </c>
      <c r="AB176" s="723">
        <v>436.58261519317335</v>
      </c>
      <c r="AC176" s="723">
        <v>433.16363474691178</v>
      </c>
      <c r="AD176" s="723">
        <v>429.67505195924008</v>
      </c>
      <c r="AE176" s="723">
        <v>426.12973202114165</v>
      </c>
      <c r="AF176" s="723">
        <v>422.5389478414898</v>
      </c>
    </row>
    <row r="177" spans="1:32" x14ac:dyDescent="0.25">
      <c r="A177" s="839"/>
      <c r="B177" s="552" t="s">
        <v>45</v>
      </c>
      <c r="C177" s="539"/>
      <c r="D177" s="539"/>
      <c r="E177" s="539"/>
      <c r="F177" s="539"/>
      <c r="G177" s="723">
        <v>106.07397748739899</v>
      </c>
      <c r="H177" s="723">
        <v>93.328906648079922</v>
      </c>
      <c r="I177" s="723">
        <v>82.205723249253325</v>
      </c>
      <c r="J177" s="723">
        <v>72.49043420902089</v>
      </c>
      <c r="K177" s="723">
        <v>63.998291158920694</v>
      </c>
      <c r="L177" s="723">
        <v>56.569646150035425</v>
      </c>
      <c r="M177" s="723">
        <v>50.066417531077818</v>
      </c>
      <c r="N177" s="723">
        <v>44.36907239489846</v>
      </c>
      <c r="O177" s="723">
        <v>39.374047008596001</v>
      </c>
      <c r="P177" s="723">
        <v>34.991539129241666</v>
      </c>
      <c r="Q177" s="723">
        <v>31.143616512648599</v>
      </c>
      <c r="R177" s="723">
        <v>27.762594612244879</v>
      </c>
      <c r="S177" s="723">
        <v>24.789643736639704</v>
      </c>
      <c r="T177" s="723">
        <v>22.173592031035405</v>
      </c>
      <c r="U177" s="723">
        <v>19.879287873129844</v>
      </c>
      <c r="V177" s="723">
        <v>17.856239879447806</v>
      </c>
      <c r="W177" s="723">
        <v>16.07810485795839</v>
      </c>
      <c r="X177" s="723">
        <v>14.513058292342764</v>
      </c>
      <c r="Y177" s="723">
        <v>13.133670289713814</v>
      </c>
      <c r="Z177" s="723">
        <v>11.916261718495868</v>
      </c>
      <c r="AA177" s="723">
        <v>10.836441204569217</v>
      </c>
      <c r="AB177" s="723">
        <v>9.8813642592831101</v>
      </c>
      <c r="AC177" s="723">
        <v>9.0354737582309479</v>
      </c>
      <c r="AD177" s="723">
        <v>8.2852712838526887</v>
      </c>
      <c r="AE177" s="723">
        <v>7.6190286107147198</v>
      </c>
      <c r="AF177" s="723">
        <v>7.0265419651938146</v>
      </c>
    </row>
    <row r="178" spans="1:32" x14ac:dyDescent="0.25">
      <c r="A178" s="839"/>
      <c r="B178" s="552" t="s">
        <v>46</v>
      </c>
      <c r="C178" s="539"/>
      <c r="D178" s="539"/>
      <c r="E178" s="539"/>
      <c r="F178" s="539"/>
      <c r="G178" s="723">
        <v>0</v>
      </c>
      <c r="H178" s="723">
        <v>0</v>
      </c>
      <c r="I178" s="723">
        <v>0</v>
      </c>
      <c r="J178" s="723">
        <v>0</v>
      </c>
      <c r="K178" s="723">
        <v>0</v>
      </c>
      <c r="L178" s="723">
        <v>0</v>
      </c>
      <c r="M178" s="723">
        <v>0</v>
      </c>
      <c r="N178" s="723">
        <v>0</v>
      </c>
      <c r="O178" s="723">
        <v>0</v>
      </c>
      <c r="P178" s="723">
        <v>0</v>
      </c>
      <c r="Q178" s="723">
        <v>0</v>
      </c>
      <c r="R178" s="723">
        <v>0</v>
      </c>
      <c r="S178" s="723">
        <v>0</v>
      </c>
      <c r="T178" s="723">
        <v>0</v>
      </c>
      <c r="U178" s="723">
        <v>0</v>
      </c>
      <c r="V178" s="723">
        <v>0</v>
      </c>
      <c r="W178" s="723">
        <v>0</v>
      </c>
      <c r="X178" s="723">
        <v>0</v>
      </c>
      <c r="Y178" s="723">
        <v>0</v>
      </c>
      <c r="Z178" s="723">
        <v>0</v>
      </c>
      <c r="AA178" s="723">
        <v>0</v>
      </c>
      <c r="AB178" s="723">
        <v>0</v>
      </c>
      <c r="AC178" s="723">
        <v>0</v>
      </c>
      <c r="AD178" s="723">
        <v>0</v>
      </c>
      <c r="AE178" s="723">
        <v>0</v>
      </c>
      <c r="AF178" s="723">
        <v>0</v>
      </c>
    </row>
    <row r="179" spans="1:32" x14ac:dyDescent="0.25">
      <c r="A179" s="839"/>
      <c r="B179" s="550" t="s">
        <v>29</v>
      </c>
      <c r="C179" s="539"/>
      <c r="D179" s="539"/>
      <c r="E179" s="539"/>
      <c r="F179" s="539"/>
      <c r="G179" s="723">
        <v>0</v>
      </c>
      <c r="H179" s="723">
        <v>2.677158177305996</v>
      </c>
      <c r="I179" s="723">
        <v>4.6100348779711169</v>
      </c>
      <c r="J179" s="723">
        <v>5.9952604186213989</v>
      </c>
      <c r="K179" s="723">
        <v>6.9776798778044951</v>
      </c>
      <c r="L179" s="723">
        <v>7.6639911741232236</v>
      </c>
      <c r="M179" s="723">
        <v>8.1327905179896085</v>
      </c>
      <c r="N179" s="723">
        <v>8.4419719123295227</v>
      </c>
      <c r="O179" s="723">
        <v>8.6341778444577937</v>
      </c>
      <c r="P179" s="723">
        <v>8.7408145743690113</v>
      </c>
      <c r="Q179" s="723">
        <v>8.785010128839458</v>
      </c>
      <c r="R179" s="723">
        <v>8.7837934804081765</v>
      </c>
      <c r="S179" s="723">
        <v>8.7497000204845499</v>
      </c>
      <c r="T179" s="723">
        <v>8.6919544024873563</v>
      </c>
      <c r="U179" s="723">
        <v>8.607911800693806</v>
      </c>
      <c r="V179" s="723">
        <v>8.5146967835449612</v>
      </c>
      <c r="W179" s="723">
        <v>8.4064011643808882</v>
      </c>
      <c r="X179" s="723">
        <v>8.2880531240933504</v>
      </c>
      <c r="Y179" s="723">
        <v>8.1633161501362235</v>
      </c>
      <c r="Z179" s="723">
        <v>8.034850468226395</v>
      </c>
      <c r="AA179" s="723">
        <v>7.9122003909794527</v>
      </c>
      <c r="AB179" s="723">
        <v>7.7868518521076995</v>
      </c>
      <c r="AC179" s="723">
        <v>7.6603995653342984</v>
      </c>
      <c r="AD179" s="723">
        <v>7.5339862635406867</v>
      </c>
      <c r="AE179" s="723">
        <v>7.4084232045277485</v>
      </c>
      <c r="AF179" s="723">
        <v>7.2842788665906086</v>
      </c>
    </row>
    <row r="180" spans="1:32" x14ac:dyDescent="0.25">
      <c r="A180" s="839"/>
      <c r="B180" s="550"/>
      <c r="C180" s="539"/>
      <c r="D180" s="539"/>
      <c r="E180" s="539"/>
      <c r="F180" s="539"/>
      <c r="G180" s="723"/>
      <c r="H180" s="723"/>
      <c r="I180" s="723"/>
      <c r="J180" s="723"/>
      <c r="K180" s="723"/>
      <c r="L180" s="723"/>
      <c r="M180" s="723"/>
      <c r="N180" s="723"/>
      <c r="O180" s="723"/>
      <c r="P180" s="723"/>
      <c r="Q180" s="723"/>
      <c r="R180" s="723"/>
      <c r="S180" s="723"/>
      <c r="T180" s="723"/>
      <c r="U180" s="723"/>
      <c r="V180" s="723"/>
      <c r="W180" s="723"/>
      <c r="X180" s="723"/>
      <c r="Y180" s="723"/>
      <c r="Z180" s="723"/>
      <c r="AA180" s="723"/>
      <c r="AB180" s="723"/>
      <c r="AC180" s="723"/>
      <c r="AD180" s="723"/>
      <c r="AE180" s="723"/>
      <c r="AF180" s="723"/>
    </row>
    <row r="181" spans="1:32" s="202" customFormat="1" ht="12.75" x14ac:dyDescent="0.2">
      <c r="A181" s="843" t="s">
        <v>47</v>
      </c>
      <c r="B181" s="556"/>
      <c r="C181" s="556"/>
      <c r="D181" s="556"/>
      <c r="E181" s="556"/>
      <c r="F181" s="556"/>
      <c r="G181" s="724"/>
      <c r="H181" s="724"/>
      <c r="I181" s="724"/>
      <c r="J181" s="724"/>
      <c r="K181" s="724"/>
      <c r="L181" s="724"/>
      <c r="M181" s="724"/>
      <c r="N181" s="724"/>
      <c r="O181" s="724"/>
      <c r="P181" s="724"/>
      <c r="Q181" s="724"/>
      <c r="R181" s="724"/>
      <c r="S181" s="724"/>
      <c r="T181" s="724"/>
      <c r="U181" s="724"/>
      <c r="V181" s="724"/>
      <c r="W181" s="724"/>
      <c r="X181" s="724"/>
      <c r="Y181" s="724"/>
      <c r="Z181" s="724"/>
      <c r="AA181" s="724"/>
      <c r="AB181" s="724"/>
      <c r="AC181" s="724"/>
      <c r="AD181" s="724"/>
      <c r="AE181" s="724"/>
      <c r="AF181" s="724"/>
    </row>
    <row r="182" spans="1:32" x14ac:dyDescent="0.25">
      <c r="A182" s="839"/>
      <c r="B182" s="550" t="s">
        <v>48</v>
      </c>
      <c r="C182" s="539"/>
      <c r="D182" s="539"/>
      <c r="E182" s="539"/>
      <c r="F182" s="539"/>
      <c r="G182" s="723">
        <v>0</v>
      </c>
      <c r="H182" s="723">
        <v>0</v>
      </c>
      <c r="I182" s="723">
        <v>0</v>
      </c>
      <c r="J182" s="723">
        <v>0</v>
      </c>
      <c r="K182" s="723">
        <v>0</v>
      </c>
      <c r="L182" s="723">
        <v>0</v>
      </c>
      <c r="M182" s="723">
        <v>0</v>
      </c>
      <c r="N182" s="723">
        <v>0</v>
      </c>
      <c r="O182" s="723">
        <v>0</v>
      </c>
      <c r="P182" s="723">
        <v>0</v>
      </c>
      <c r="Q182" s="723">
        <v>0</v>
      </c>
      <c r="R182" s="723">
        <v>0</v>
      </c>
      <c r="S182" s="723">
        <v>0</v>
      </c>
      <c r="T182" s="723">
        <v>0</v>
      </c>
      <c r="U182" s="723">
        <v>0</v>
      </c>
      <c r="V182" s="723">
        <v>0</v>
      </c>
      <c r="W182" s="723">
        <v>0</v>
      </c>
      <c r="X182" s="723">
        <v>0</v>
      </c>
      <c r="Y182" s="723">
        <v>0</v>
      </c>
      <c r="Z182" s="723">
        <v>0</v>
      </c>
      <c r="AA182" s="723">
        <v>0</v>
      </c>
      <c r="AB182" s="723">
        <v>0</v>
      </c>
      <c r="AC182" s="723">
        <v>0</v>
      </c>
      <c r="AD182" s="723">
        <v>0</v>
      </c>
      <c r="AE182" s="723">
        <v>0</v>
      </c>
      <c r="AF182" s="723">
        <v>0</v>
      </c>
    </row>
    <row r="183" spans="1:32" x14ac:dyDescent="0.25">
      <c r="A183" s="839"/>
      <c r="B183" s="552" t="s">
        <v>50</v>
      </c>
      <c r="C183" s="539"/>
      <c r="D183" s="539"/>
      <c r="E183" s="539"/>
      <c r="F183" s="539"/>
      <c r="G183" s="723">
        <v>0.2900544434542553</v>
      </c>
      <c r="H183" s="723">
        <v>0.28159899298680324</v>
      </c>
      <c r="I183" s="723">
        <v>0.27339002949523095</v>
      </c>
      <c r="J183" s="723">
        <v>0.26542036757534127</v>
      </c>
      <c r="K183" s="723">
        <v>0.25768303128647252</v>
      </c>
      <c r="L183" s="723">
        <v>0.25017124804537455</v>
      </c>
      <c r="M183" s="723">
        <v>0.24287844269808481</v>
      </c>
      <c r="N183" s="723">
        <v>0.23579823176461762</v>
      </c>
      <c r="O183" s="723">
        <v>0.22892441785142739</v>
      </c>
      <c r="P183" s="723">
        <v>0.22225098422675577</v>
      </c>
      <c r="Q183" s="723">
        <v>0.21577208955411414</v>
      </c>
      <c r="R183" s="723">
        <v>0.20948206277929185</v>
      </c>
      <c r="S183" s="723">
        <v>0.20337539816641431</v>
      </c>
      <c r="T183" s="723">
        <v>0.19744675047870647</v>
      </c>
      <c r="U183" s="723">
        <v>0.19169093029974277</v>
      </c>
      <c r="V183" s="723">
        <v>0.18610289949108907</v>
      </c>
      <c r="W183" s="723">
        <v>0.18067776678235919</v>
      </c>
      <c r="X183" s="723">
        <v>0.17541078348982767</v>
      </c>
      <c r="Y183" s="723">
        <v>0.17029733935984967</v>
      </c>
      <c r="Z183" s="723">
        <v>0.16533295853345084</v>
      </c>
      <c r="AA183" s="723">
        <v>0.16051329562855426</v>
      </c>
      <c r="AB183" s="723">
        <v>0.15583413193641527</v>
      </c>
      <c r="AC183" s="723">
        <v>0.15129137172893525</v>
      </c>
      <c r="AD183" s="723">
        <v>0.14688103867362165</v>
      </c>
      <c r="AE183" s="723">
        <v>0.14259927235305642</v>
      </c>
      <c r="AF183" s="723">
        <v>0.13844232488582642</v>
      </c>
    </row>
    <row r="184" spans="1:32" x14ac:dyDescent="0.25">
      <c r="A184" s="839"/>
      <c r="B184" s="550" t="s">
        <v>51</v>
      </c>
      <c r="C184" s="539"/>
      <c r="D184" s="539"/>
      <c r="E184" s="539"/>
      <c r="F184" s="539"/>
      <c r="G184" s="723">
        <v>6.7524920773724846</v>
      </c>
      <c r="H184" s="723">
        <v>6.5740185984643178</v>
      </c>
      <c r="I184" s="723">
        <v>6.4002623087521702</v>
      </c>
      <c r="J184" s="723">
        <v>6.2310985293535133</v>
      </c>
      <c r="K184" s="723">
        <v>6.0664058767430991</v>
      </c>
      <c r="L184" s="723">
        <v>5.9060661756541668</v>
      </c>
      <c r="M184" s="723">
        <v>5.7499643742817454</v>
      </c>
      <c r="N184" s="723">
        <v>5.5979884617271916</v>
      </c>
      <c r="O184" s="723">
        <v>5.4500293876247321</v>
      </c>
      <c r="P184" s="723">
        <v>5.3059809838923409</v>
      </c>
      <c r="Q184" s="723">
        <v>5.1657398885507932</v>
      </c>
      <c r="R184" s="723">
        <v>5.0292054715562475</v>
      </c>
      <c r="S184" s="723">
        <v>4.8962797625931209</v>
      </c>
      <c r="T184" s="723">
        <v>4.7668673807754613</v>
      </c>
      <c r="U184" s="723">
        <v>4.6408754662063592</v>
      </c>
      <c r="V184" s="723">
        <v>4.5182136133462958</v>
      </c>
      <c r="W184" s="723">
        <v>4.3987938061426242</v>
      </c>
      <c r="X184" s="723">
        <v>4.2825303548736144</v>
      </c>
      <c r="Y184" s="723">
        <v>4.1693398346617743</v>
      </c>
      <c r="Z184" s="723">
        <v>4.0591410256122957</v>
      </c>
      <c r="AA184" s="723">
        <v>3.9518548545336931</v>
      </c>
      <c r="AB184" s="723">
        <v>3.8474043381988112</v>
      </c>
      <c r="AC184" s="723">
        <v>3.7457145281054829</v>
      </c>
      <c r="AD184" s="723">
        <v>3.6467124566972076</v>
      </c>
      <c r="AE184" s="723">
        <v>3.5503270850052568</v>
      </c>
      <c r="AF184" s="723">
        <v>3.4564892516746419</v>
      </c>
    </row>
    <row r="185" spans="1:32" x14ac:dyDescent="0.25">
      <c r="A185" s="839"/>
      <c r="B185" s="550" t="s">
        <v>52</v>
      </c>
      <c r="C185" s="539"/>
      <c r="D185" s="539"/>
      <c r="E185" s="539"/>
      <c r="F185" s="539"/>
      <c r="G185" s="723">
        <v>20.465937894680675</v>
      </c>
      <c r="H185" s="723">
        <v>20.212182927267808</v>
      </c>
      <c r="I185" s="723">
        <v>19.962260453577503</v>
      </c>
      <c r="J185" s="723">
        <v>19.716077336276509</v>
      </c>
      <c r="K185" s="723">
        <v>19.473544794763146</v>
      </c>
      <c r="L185" s="723">
        <v>19.234495727227007</v>
      </c>
      <c r="M185" s="723">
        <v>18.998854692331037</v>
      </c>
      <c r="N185" s="723">
        <v>18.766549331191605</v>
      </c>
      <c r="O185" s="723">
        <v>18.537586208943129</v>
      </c>
      <c r="P185" s="723">
        <v>18.311893611503102</v>
      </c>
      <c r="Q185" s="723">
        <v>18.089402661207046</v>
      </c>
      <c r="R185" s="723">
        <v>17.870047132895657</v>
      </c>
      <c r="S185" s="723">
        <v>17.653763285928967</v>
      </c>
      <c r="T185" s="723">
        <v>17.440867951802907</v>
      </c>
      <c r="U185" s="723">
        <v>17.230901969402005</v>
      </c>
      <c r="V185" s="723">
        <v>17.02414315982924</v>
      </c>
      <c r="W185" s="723">
        <v>16.820494277409985</v>
      </c>
      <c r="X185" s="723">
        <v>16.619578095770756</v>
      </c>
      <c r="Y185" s="723">
        <v>16.421620777215512</v>
      </c>
      <c r="Z185" s="723">
        <v>16.226541380491721</v>
      </c>
      <c r="AA185" s="723">
        <v>16.034025504840869</v>
      </c>
      <c r="AB185" s="723">
        <v>15.844259091438429</v>
      </c>
      <c r="AC185" s="723">
        <v>15.657173453426664</v>
      </c>
      <c r="AD185" s="723">
        <v>15.472503293821845</v>
      </c>
      <c r="AE185" s="723">
        <v>15.290402767860703</v>
      </c>
      <c r="AF185" s="723">
        <v>15.110812620470108</v>
      </c>
    </row>
    <row r="186" spans="1:32" x14ac:dyDescent="0.25">
      <c r="A186" s="839"/>
      <c r="B186" s="552" t="s">
        <v>29</v>
      </c>
      <c r="C186" s="539"/>
      <c r="D186" s="539"/>
      <c r="E186" s="539"/>
      <c r="F186" s="539"/>
      <c r="G186" s="723">
        <v>0</v>
      </c>
      <c r="H186" s="723">
        <v>0.11012288813803808</v>
      </c>
      <c r="I186" s="723">
        <v>0.21622868431355566</v>
      </c>
      <c r="J186" s="723">
        <v>0.31844612324337196</v>
      </c>
      <c r="K186" s="723">
        <v>0.41689922080930453</v>
      </c>
      <c r="L186" s="723">
        <v>0.51175272082346857</v>
      </c>
      <c r="M186" s="723">
        <v>0.60311885396152687</v>
      </c>
      <c r="N186" s="723">
        <v>0.69110601968204199</v>
      </c>
      <c r="O186" s="723">
        <v>0.77577721579095915</v>
      </c>
      <c r="P186" s="723">
        <v>0.85723638582737982</v>
      </c>
      <c r="Q186" s="723">
        <v>0.93558395050435561</v>
      </c>
      <c r="R186" s="723">
        <v>1.0109169633491957</v>
      </c>
      <c r="S186" s="723">
        <v>1.083329256124528</v>
      </c>
      <c r="T186" s="723">
        <v>1.1527039564735162</v>
      </c>
      <c r="U186" s="723">
        <v>1.219348382307029</v>
      </c>
      <c r="V186" s="723">
        <v>1.2831636115813996</v>
      </c>
      <c r="W186" s="723">
        <v>1.3442549390866676</v>
      </c>
      <c r="X186" s="723">
        <v>1.4028797296358417</v>
      </c>
      <c r="Y186" s="723">
        <v>1.4589625774658204</v>
      </c>
      <c r="Z186" s="723">
        <v>1.5125951237726361</v>
      </c>
      <c r="AA186" s="723">
        <v>1.563995675868241</v>
      </c>
      <c r="AB186" s="723">
        <v>1.6131064615806592</v>
      </c>
      <c r="AC186" s="723">
        <v>1.6600080763886542</v>
      </c>
      <c r="AD186" s="723">
        <v>1.7048876764648946</v>
      </c>
      <c r="AE186" s="723">
        <v>1.7477008573475157</v>
      </c>
      <c r="AF186" s="723">
        <v>1.7885190725080318</v>
      </c>
    </row>
    <row r="187" spans="1:32" x14ac:dyDescent="0.25">
      <c r="A187" s="839"/>
      <c r="B187" s="552" t="s">
        <v>53</v>
      </c>
      <c r="C187" s="539"/>
      <c r="D187" s="539"/>
      <c r="E187" s="539"/>
      <c r="F187" s="539"/>
      <c r="G187" s="723">
        <v>0</v>
      </c>
      <c r="H187" s="723">
        <v>0</v>
      </c>
      <c r="I187" s="723">
        <v>0</v>
      </c>
      <c r="J187" s="723">
        <v>0</v>
      </c>
      <c r="K187" s="723">
        <v>0</v>
      </c>
      <c r="L187" s="723">
        <v>0</v>
      </c>
      <c r="M187" s="723">
        <v>0</v>
      </c>
      <c r="N187" s="723">
        <v>0</v>
      </c>
      <c r="O187" s="723">
        <v>0</v>
      </c>
      <c r="P187" s="723">
        <v>0</v>
      </c>
      <c r="Q187" s="723">
        <v>0</v>
      </c>
      <c r="R187" s="723">
        <v>0</v>
      </c>
      <c r="S187" s="723">
        <v>0</v>
      </c>
      <c r="T187" s="723">
        <v>0</v>
      </c>
      <c r="U187" s="723">
        <v>0</v>
      </c>
      <c r="V187" s="723">
        <v>0</v>
      </c>
      <c r="W187" s="723">
        <v>0</v>
      </c>
      <c r="X187" s="723">
        <v>0</v>
      </c>
      <c r="Y187" s="723">
        <v>0</v>
      </c>
      <c r="Z187" s="723">
        <v>0</v>
      </c>
      <c r="AA187" s="723">
        <v>0</v>
      </c>
      <c r="AB187" s="723">
        <v>0</v>
      </c>
      <c r="AC187" s="723">
        <v>0</v>
      </c>
      <c r="AD187" s="723">
        <v>0</v>
      </c>
      <c r="AE187" s="723">
        <v>0</v>
      </c>
      <c r="AF187" s="723">
        <v>0</v>
      </c>
    </row>
    <row r="188" spans="1:32" x14ac:dyDescent="0.25">
      <c r="A188" s="838"/>
      <c r="B188" s="539"/>
      <c r="C188" s="539"/>
      <c r="D188" s="539"/>
      <c r="E188" s="539"/>
      <c r="F188" s="539"/>
      <c r="G188" s="539"/>
      <c r="H188" s="539"/>
      <c r="I188" s="539"/>
      <c r="J188" s="539"/>
      <c r="K188" s="539"/>
      <c r="L188" s="539"/>
      <c r="M188" s="539"/>
      <c r="N188" s="539"/>
      <c r="O188" s="539"/>
      <c r="P188" s="539"/>
      <c r="Q188" s="539"/>
      <c r="R188" s="539"/>
      <c r="S188" s="539"/>
      <c r="T188" s="539"/>
      <c r="U188" s="539"/>
      <c r="V188" s="539"/>
      <c r="W188" s="539"/>
      <c r="X188" s="539"/>
      <c r="Y188" s="539"/>
      <c r="Z188" s="539"/>
      <c r="AA188" s="539"/>
      <c r="AB188" s="539"/>
      <c r="AC188" s="539"/>
      <c r="AD188" s="539"/>
      <c r="AE188" s="539"/>
      <c r="AF188" s="539"/>
    </row>
    <row r="189" spans="1:32" x14ac:dyDescent="0.25">
      <c r="A189" s="838"/>
      <c r="B189" s="539"/>
      <c r="C189" s="539"/>
      <c r="D189" s="539"/>
      <c r="E189" s="539"/>
      <c r="F189" s="539"/>
      <c r="G189" s="539"/>
      <c r="H189" s="539"/>
      <c r="I189" s="539"/>
      <c r="J189" s="539"/>
      <c r="K189" s="539"/>
      <c r="L189" s="539"/>
      <c r="M189" s="539"/>
      <c r="N189" s="539"/>
      <c r="O189" s="539"/>
      <c r="P189" s="539"/>
      <c r="Q189" s="539"/>
      <c r="R189" s="539"/>
      <c r="S189" s="539"/>
      <c r="T189" s="539"/>
      <c r="U189" s="539"/>
      <c r="V189" s="539"/>
      <c r="W189" s="539"/>
      <c r="X189" s="539"/>
      <c r="Y189" s="539"/>
      <c r="Z189" s="539"/>
      <c r="AA189" s="539"/>
      <c r="AB189" s="539"/>
      <c r="AC189" s="539"/>
      <c r="AD189" s="539"/>
      <c r="AE189" s="539"/>
      <c r="AF189" s="539"/>
    </row>
    <row r="190" spans="1:32" s="539" customFormat="1" x14ac:dyDescent="0.25">
      <c r="A190" s="860" t="s">
        <v>303</v>
      </c>
      <c r="B190" s="555"/>
      <c r="C190" s="554"/>
      <c r="D190" s="553"/>
      <c r="E190" s="553"/>
      <c r="F190" s="553"/>
      <c r="G190" s="553" t="s">
        <v>704</v>
      </c>
      <c r="H190" s="560"/>
      <c r="I190" s="560"/>
      <c r="J190" s="560"/>
      <c r="K190" s="560"/>
      <c r="L190" s="560"/>
      <c r="M190" s="560"/>
      <c r="N190" s="560"/>
      <c r="O190" s="560"/>
      <c r="P190" s="560"/>
      <c r="Q190" s="560"/>
      <c r="R190" s="560"/>
      <c r="S190" s="560"/>
      <c r="T190" s="560"/>
      <c r="U190" s="560"/>
      <c r="V190" s="560"/>
      <c r="W190" s="560"/>
      <c r="X190" s="560"/>
      <c r="Y190" s="560"/>
      <c r="Z190" s="560"/>
      <c r="AA190" s="560"/>
      <c r="AB190" s="560"/>
      <c r="AC190" s="560"/>
      <c r="AD190" s="560"/>
      <c r="AE190" s="560"/>
      <c r="AF190" s="560"/>
    </row>
    <row r="191" spans="1:32" s="539" customFormat="1" x14ac:dyDescent="0.25">
      <c r="A191" s="840" t="s">
        <v>12</v>
      </c>
      <c r="B191" s="550"/>
    </row>
    <row r="192" spans="1:32" s="539" customFormat="1" x14ac:dyDescent="0.25">
      <c r="A192" s="839"/>
      <c r="B192" s="550" t="s">
        <v>20</v>
      </c>
    </row>
    <row r="193" spans="1:32" s="202" customFormat="1" ht="12.75" x14ac:dyDescent="0.2">
      <c r="A193" s="843" t="s">
        <v>21</v>
      </c>
      <c r="B193" s="556"/>
      <c r="C193" s="556"/>
      <c r="D193" s="556"/>
      <c r="E193" s="556"/>
      <c r="F193" s="556"/>
      <c r="G193" s="556"/>
      <c r="H193" s="556"/>
      <c r="I193" s="556"/>
      <c r="J193" s="556"/>
      <c r="K193" s="556"/>
      <c r="L193" s="556"/>
      <c r="M193" s="556"/>
      <c r="N193" s="556"/>
      <c r="O193" s="556"/>
      <c r="P193" s="556"/>
      <c r="Q193" s="556"/>
      <c r="R193" s="556"/>
      <c r="S193" s="556"/>
      <c r="T193" s="556"/>
      <c r="U193" s="556"/>
      <c r="V193" s="556"/>
      <c r="W193" s="556"/>
      <c r="X193" s="556"/>
      <c r="Y193" s="556"/>
      <c r="Z193" s="556"/>
      <c r="AA193" s="556"/>
      <c r="AB193" s="556"/>
      <c r="AC193" s="556"/>
      <c r="AD193" s="556"/>
      <c r="AE193" s="556"/>
      <c r="AF193" s="556"/>
    </row>
    <row r="194" spans="1:32" x14ac:dyDescent="0.25">
      <c r="A194" s="839"/>
      <c r="B194" s="550" t="s">
        <v>22</v>
      </c>
      <c r="C194" s="539"/>
      <c r="D194" s="539"/>
      <c r="E194" s="539"/>
      <c r="F194" s="539"/>
      <c r="G194" s="723">
        <v>1.1219857400615959E-2</v>
      </c>
      <c r="H194" s="723">
        <v>5.7744408627823122E-3</v>
      </c>
      <c r="I194" s="723">
        <v>3.8055734563883052E-3</v>
      </c>
      <c r="J194" s="723">
        <v>2.1949527701829712E-3</v>
      </c>
      <c r="K194" s="723">
        <v>1.499855934295225E-3</v>
      </c>
      <c r="L194" s="723">
        <v>9.4955456609446918E-4</v>
      </c>
      <c r="M194" s="723">
        <v>3.5369573866758051E-4</v>
      </c>
      <c r="N194" s="723">
        <v>3.3444323787387318E-4</v>
      </c>
      <c r="O194" s="723">
        <v>3.294743278058427E-4</v>
      </c>
      <c r="P194" s="723">
        <v>3.2600827591721814E-4</v>
      </c>
      <c r="Q194" s="723">
        <v>3.2272748129480694E-4</v>
      </c>
      <c r="R194" s="723">
        <v>3.1949567719376904E-4</v>
      </c>
      <c r="S194" s="723">
        <v>3.1629837833665222E-4</v>
      </c>
      <c r="T194" s="723">
        <v>3.1313368471376252E-4</v>
      </c>
      <c r="U194" s="723">
        <v>3.1000102176133006E-4</v>
      </c>
      <c r="V194" s="723">
        <v>3.0689997444281037E-4</v>
      </c>
      <c r="W194" s="723">
        <v>3.0383016271601638E-4</v>
      </c>
      <c r="X194" s="723">
        <v>3.0079122526065731E-4</v>
      </c>
      <c r="Y194" s="723">
        <v>2.9778281510248276E-4</v>
      </c>
      <c r="Z194" s="723">
        <v>2.9480459704315023E-4</v>
      </c>
      <c r="AA194" s="723">
        <v>2.9185624573021754E-4</v>
      </c>
      <c r="AB194" s="723">
        <v>2.8893744414868968E-4</v>
      </c>
      <c r="AC194" s="723">
        <v>2.8604788243450361E-4</v>
      </c>
      <c r="AD194" s="723">
        <v>2.8318725693931803E-4</v>
      </c>
      <c r="AE194" s="723">
        <v>2.8035526949205631E-4</v>
      </c>
      <c r="AF194" s="723">
        <v>2.7755162681457026E-4</v>
      </c>
    </row>
    <row r="195" spans="1:32" x14ac:dyDescent="0.25">
      <c r="A195" s="839"/>
      <c r="B195" s="550" t="s">
        <v>26</v>
      </c>
      <c r="C195" s="539"/>
      <c r="D195" s="539"/>
      <c r="E195" s="539"/>
      <c r="F195" s="539"/>
      <c r="G195" s="723">
        <v>6.8175227765159073E-5</v>
      </c>
      <c r="H195" s="723">
        <v>6.2379724511820391E-5</v>
      </c>
      <c r="I195" s="723">
        <v>2.0176599461745008E-4</v>
      </c>
      <c r="J195" s="723">
        <v>5.2240105636019735E-4</v>
      </c>
      <c r="K195" s="723">
        <v>7.1060219493425522E-4</v>
      </c>
      <c r="L195" s="723">
        <v>7.3905463831512217E-4</v>
      </c>
      <c r="M195" s="723">
        <v>7.7070375632647548E-4</v>
      </c>
      <c r="N195" s="723">
        <v>7.2979536414343458E-4</v>
      </c>
      <c r="O195" s="723">
        <v>7.1906546681414893E-4</v>
      </c>
      <c r="P195" s="723">
        <v>7.1151289795955532E-4</v>
      </c>
      <c r="Q195" s="723">
        <v>7.0435401216695172E-4</v>
      </c>
      <c r="R195" s="723">
        <v>6.9730090325898593E-4</v>
      </c>
      <c r="S195" s="723">
        <v>6.9032294622217011E-4</v>
      </c>
      <c r="T195" s="723">
        <v>6.8341610446607127E-4</v>
      </c>
      <c r="U195" s="723">
        <v>6.7657914182160835E-4</v>
      </c>
      <c r="V195" s="723">
        <v>6.698111593671991E-4</v>
      </c>
      <c r="W195" s="723">
        <v>6.6311133233286281E-4</v>
      </c>
      <c r="X195" s="723">
        <v>6.564788757200896E-4</v>
      </c>
      <c r="Y195" s="723">
        <v>6.4991303505502205E-4</v>
      </c>
      <c r="Z195" s="723">
        <v>6.4341308095651603E-4</v>
      </c>
      <c r="AA195" s="723">
        <v>6.3697830505657501E-4</v>
      </c>
      <c r="AB195" s="723">
        <v>6.3060801681140432E-4</v>
      </c>
      <c r="AC195" s="723">
        <v>6.243015409926237E-4</v>
      </c>
      <c r="AD195" s="723">
        <v>6.1805821570941983E-4</v>
      </c>
      <c r="AE195" s="723">
        <v>6.1187739084639164E-4</v>
      </c>
      <c r="AF195" s="723">
        <v>6.0575842682701457E-4</v>
      </c>
    </row>
    <row r="196" spans="1:32" x14ac:dyDescent="0.25">
      <c r="A196" s="839"/>
      <c r="B196" s="550" t="s">
        <v>27</v>
      </c>
      <c r="C196" s="539"/>
      <c r="D196" s="539"/>
      <c r="E196" s="539"/>
      <c r="F196" s="539"/>
      <c r="G196" s="723">
        <v>5.6710008866618384E-4</v>
      </c>
      <c r="H196" s="723">
        <v>1.7531173141673365E-3</v>
      </c>
      <c r="I196" s="723">
        <v>2.1243805790155425E-3</v>
      </c>
      <c r="J196" s="723">
        <v>2.367495426050947E-3</v>
      </c>
      <c r="K196" s="723">
        <v>2.4420760912089085E-3</v>
      </c>
      <c r="L196" s="723">
        <v>2.5275060164483159E-3</v>
      </c>
      <c r="M196" s="723">
        <v>2.6225593685998169E-3</v>
      </c>
      <c r="N196" s="723">
        <v>2.6086627528689706E-3</v>
      </c>
      <c r="O196" s="723">
        <v>2.5837911217774664E-3</v>
      </c>
      <c r="P196" s="723">
        <v>2.558034952026392E-3</v>
      </c>
      <c r="Q196" s="723">
        <v>2.5324289918032244E-3</v>
      </c>
      <c r="R196" s="723">
        <v>2.507075412512212E-3</v>
      </c>
      <c r="S196" s="723">
        <v>2.481980771851423E-3</v>
      </c>
      <c r="T196" s="723">
        <v>2.4571421618122626E-3</v>
      </c>
      <c r="U196" s="723">
        <v>2.4325560069579913E-3</v>
      </c>
      <c r="V196" s="723">
        <v>2.4082189089549024E-3</v>
      </c>
      <c r="W196" s="723">
        <v>2.3841276849021526E-3</v>
      </c>
      <c r="X196" s="723">
        <v>2.3602793331019395E-3</v>
      </c>
      <c r="Y196" s="723">
        <v>2.3366709995900439E-3</v>
      </c>
      <c r="Z196" s="723">
        <v>2.3132999511955507E-3</v>
      </c>
      <c r="AA196" s="723">
        <v>2.2901635543250754E-3</v>
      </c>
      <c r="AB196" s="723">
        <v>2.2672592582929944E-3</v>
      </c>
      <c r="AC196" s="723">
        <v>2.244584582218343E-3</v>
      </c>
      <c r="AD196" s="723">
        <v>2.222137104715703E-3</v>
      </c>
      <c r="AE196" s="723">
        <v>2.199914455774438E-3</v>
      </c>
      <c r="AF196" s="723">
        <v>2.1779143103519767E-3</v>
      </c>
    </row>
    <row r="197" spans="1:32" x14ac:dyDescent="0.25">
      <c r="A197" s="839"/>
      <c r="B197" s="550" t="s">
        <v>29</v>
      </c>
      <c r="C197" s="539"/>
      <c r="D197" s="539"/>
      <c r="E197" s="539"/>
      <c r="F197" s="539"/>
      <c r="G197" s="723">
        <v>0</v>
      </c>
      <c r="H197" s="723">
        <v>5.8135098824065989E-7</v>
      </c>
      <c r="I197" s="723">
        <v>1.0494592631398602E-6</v>
      </c>
      <c r="J197" s="723">
        <v>1.2904252536850989E-6</v>
      </c>
      <c r="K197" s="723">
        <v>1.479520198269251E-6</v>
      </c>
      <c r="L197" s="723">
        <v>1.6430517366129768E-6</v>
      </c>
      <c r="M197" s="723">
        <v>1.7880203361977161E-6</v>
      </c>
      <c r="N197" s="723">
        <v>1.8965100480432506E-6</v>
      </c>
      <c r="O197" s="723">
        <v>1.9764958503995552E-6</v>
      </c>
      <c r="P197" s="723">
        <v>2.0342127880647008E-6</v>
      </c>
      <c r="Q197" s="723">
        <v>2.0745416807037304E-6</v>
      </c>
      <c r="R197" s="723">
        <v>2.1013037921937913E-6</v>
      </c>
      <c r="S197" s="723">
        <v>2.1174908091716191E-6</v>
      </c>
      <c r="T197" s="723">
        <v>2.1254448441344623E-6</v>
      </c>
      <c r="U197" s="723">
        <v>2.1269993760640543E-6</v>
      </c>
      <c r="V197" s="723">
        <v>2.1235896109842829E-6</v>
      </c>
      <c r="W197" s="723">
        <v>2.1163388980023198E-6</v>
      </c>
      <c r="X197" s="723">
        <v>2.1061263960334473E-6</v>
      </c>
      <c r="Y197" s="723">
        <v>2.0936400591642315E-6</v>
      </c>
      <c r="Z197" s="723">
        <v>2.0794181259976078E-6</v>
      </c>
      <c r="AA197" s="723">
        <v>2.06388160721451E-6</v>
      </c>
      <c r="AB197" s="723">
        <v>2.0473597244248659E-6</v>
      </c>
      <c r="AC197" s="723">
        <v>2.0301098296322519E-6</v>
      </c>
      <c r="AD197" s="723">
        <v>2.0123330028265325E-6</v>
      </c>
      <c r="AE197" s="723">
        <v>1.9941862654001129E-6</v>
      </c>
      <c r="AF197" s="723">
        <v>1.9757921436362168E-6</v>
      </c>
    </row>
    <row r="198" spans="1:32" x14ac:dyDescent="0.25">
      <c r="A198" s="839"/>
      <c r="B198" s="550"/>
      <c r="C198" s="539"/>
      <c r="D198" s="539"/>
      <c r="E198" s="539"/>
      <c r="F198" s="539"/>
      <c r="G198" s="723" t="s">
        <v>73</v>
      </c>
      <c r="H198" s="723" t="s">
        <v>73</v>
      </c>
      <c r="I198" s="723" t="s">
        <v>73</v>
      </c>
      <c r="J198" s="723" t="s">
        <v>73</v>
      </c>
      <c r="K198" s="723" t="s">
        <v>73</v>
      </c>
      <c r="L198" s="723" t="s">
        <v>73</v>
      </c>
      <c r="M198" s="723" t="s">
        <v>73</v>
      </c>
      <c r="N198" s="723" t="s">
        <v>73</v>
      </c>
      <c r="O198" s="723" t="s">
        <v>73</v>
      </c>
      <c r="P198" s="723" t="s">
        <v>73</v>
      </c>
      <c r="Q198" s="723" t="s">
        <v>73</v>
      </c>
      <c r="R198" s="723" t="s">
        <v>73</v>
      </c>
      <c r="S198" s="723" t="s">
        <v>73</v>
      </c>
      <c r="T198" s="723" t="s">
        <v>73</v>
      </c>
      <c r="U198" s="723" t="s">
        <v>73</v>
      </c>
      <c r="V198" s="723" t="s">
        <v>73</v>
      </c>
      <c r="W198" s="723" t="s">
        <v>73</v>
      </c>
      <c r="X198" s="723" t="s">
        <v>73</v>
      </c>
      <c r="Y198" s="723" t="s">
        <v>73</v>
      </c>
      <c r="Z198" s="723" t="s">
        <v>73</v>
      </c>
      <c r="AA198" s="723" t="s">
        <v>73</v>
      </c>
      <c r="AB198" s="723" t="s">
        <v>73</v>
      </c>
      <c r="AC198" s="723" t="s">
        <v>73</v>
      </c>
      <c r="AD198" s="723" t="s">
        <v>73</v>
      </c>
      <c r="AE198" s="723" t="s">
        <v>73</v>
      </c>
      <c r="AF198" s="723" t="s">
        <v>73</v>
      </c>
    </row>
    <row r="199" spans="1:32" s="202" customFormat="1" ht="12.75" x14ac:dyDescent="0.2">
      <c r="A199" s="843" t="s">
        <v>32</v>
      </c>
      <c r="B199" s="556"/>
      <c r="C199" s="556"/>
      <c r="D199" s="556"/>
      <c r="E199" s="556"/>
      <c r="F199" s="556"/>
      <c r="G199" s="724" t="s">
        <v>73</v>
      </c>
      <c r="H199" s="724" t="s">
        <v>73</v>
      </c>
      <c r="I199" s="724" t="s">
        <v>73</v>
      </c>
      <c r="J199" s="724" t="s">
        <v>73</v>
      </c>
      <c r="K199" s="724" t="s">
        <v>73</v>
      </c>
      <c r="L199" s="724" t="s">
        <v>73</v>
      </c>
      <c r="M199" s="724" t="s">
        <v>73</v>
      </c>
      <c r="N199" s="724" t="s">
        <v>73</v>
      </c>
      <c r="O199" s="724" t="s">
        <v>73</v>
      </c>
      <c r="P199" s="724" t="s">
        <v>73</v>
      </c>
      <c r="Q199" s="724" t="s">
        <v>73</v>
      </c>
      <c r="R199" s="724" t="s">
        <v>73</v>
      </c>
      <c r="S199" s="724" t="s">
        <v>73</v>
      </c>
      <c r="T199" s="724" t="s">
        <v>73</v>
      </c>
      <c r="U199" s="724" t="s">
        <v>73</v>
      </c>
      <c r="V199" s="724" t="s">
        <v>73</v>
      </c>
      <c r="W199" s="724" t="s">
        <v>73</v>
      </c>
      <c r="X199" s="724" t="s">
        <v>73</v>
      </c>
      <c r="Y199" s="724" t="s">
        <v>73</v>
      </c>
      <c r="Z199" s="724" t="s">
        <v>73</v>
      </c>
      <c r="AA199" s="724" t="s">
        <v>73</v>
      </c>
      <c r="AB199" s="724" t="s">
        <v>73</v>
      </c>
      <c r="AC199" s="724" t="s">
        <v>73</v>
      </c>
      <c r="AD199" s="724" t="s">
        <v>73</v>
      </c>
      <c r="AE199" s="724" t="s">
        <v>73</v>
      </c>
      <c r="AF199" s="724" t="s">
        <v>73</v>
      </c>
    </row>
    <row r="200" spans="1:32" x14ac:dyDescent="0.25">
      <c r="A200" s="839"/>
      <c r="B200" s="550" t="s">
        <v>33</v>
      </c>
      <c r="C200" s="539"/>
      <c r="D200" s="539"/>
      <c r="E200" s="539"/>
      <c r="F200" s="539"/>
      <c r="G200" s="723">
        <v>5.9824754888658039E-4</v>
      </c>
      <c r="H200" s="723">
        <v>1.7854697847944623E-3</v>
      </c>
      <c r="I200" s="723">
        <v>2.0234753220494542E-3</v>
      </c>
      <c r="J200" s="723">
        <v>2.210792333182813E-3</v>
      </c>
      <c r="K200" s="723">
        <v>2.3722150668900391E-3</v>
      </c>
      <c r="L200" s="723">
        <v>2.3520801022651294E-3</v>
      </c>
      <c r="M200" s="723">
        <v>2.3301438142553088E-3</v>
      </c>
      <c r="N200" s="723">
        <v>2.3074930733007972E-3</v>
      </c>
      <c r="O200" s="723">
        <v>2.2846431071661582E-3</v>
      </c>
      <c r="P200" s="723">
        <v>2.2618354295269095E-3</v>
      </c>
      <c r="Q200" s="723">
        <v>2.2391809398013321E-3</v>
      </c>
      <c r="R200" s="723">
        <v>2.2167285634973003E-3</v>
      </c>
      <c r="S200" s="723">
        <v>2.1944981034885862E-3</v>
      </c>
      <c r="T200" s="723">
        <v>2.1724959046903842E-3</v>
      </c>
      <c r="U200" s="723">
        <v>2.1507222776080519E-3</v>
      </c>
      <c r="V200" s="723">
        <v>2.1291749798362019E-3</v>
      </c>
      <c r="W200" s="723">
        <v>2.1078508195507468E-3</v>
      </c>
      <c r="X200" s="723">
        <v>2.0867463703596019E-3</v>
      </c>
      <c r="Y200" s="723">
        <v>2.0658582704784628E-3</v>
      </c>
      <c r="Z200" s="723">
        <v>2.0451833313283006E-3</v>
      </c>
      <c r="AA200" s="723">
        <v>2.0247185618863447E-3</v>
      </c>
      <c r="AB200" s="723">
        <v>2.0044611583844405E-3</v>
      </c>
      <c r="AC200" s="723">
        <v>1.9844084819754899E-3</v>
      </c>
      <c r="AD200" s="723">
        <v>1.9645580342708456E-3</v>
      </c>
      <c r="AE200" s="723">
        <v>1.9449074347388947E-3</v>
      </c>
      <c r="AF200" s="723">
        <v>1.9254544012738111E-3</v>
      </c>
    </row>
    <row r="201" spans="1:32" x14ac:dyDescent="0.25">
      <c r="A201" s="842"/>
      <c r="B201" s="552" t="s">
        <v>34</v>
      </c>
      <c r="C201" s="539"/>
      <c r="D201" s="539"/>
      <c r="E201" s="539"/>
      <c r="F201" s="539"/>
      <c r="G201" s="723">
        <v>2.4701181103104681E-3</v>
      </c>
      <c r="H201" s="723">
        <v>2.061952595024957E-3</v>
      </c>
      <c r="I201" s="723">
        <v>1.9881753741931092E-3</v>
      </c>
      <c r="J201" s="723">
        <v>1.7346692269215337E-3</v>
      </c>
      <c r="K201" s="723">
        <v>1.4722856112800687E-3</v>
      </c>
      <c r="L201" s="723">
        <v>1.4003016995409578E-3</v>
      </c>
      <c r="M201" s="723">
        <v>1.3872247511857768E-3</v>
      </c>
      <c r="N201" s="723">
        <v>1.3737328035388994E-3</v>
      </c>
      <c r="O201" s="723">
        <v>1.3601269559043905E-3</v>
      </c>
      <c r="P201" s="723">
        <v>1.3465483356085621E-3</v>
      </c>
      <c r="Q201" s="723">
        <v>1.3330617327122422E-3</v>
      </c>
      <c r="R201" s="723">
        <v>1.3196957168676508E-3</v>
      </c>
      <c r="S201" s="723">
        <v>1.3064618372484839E-3</v>
      </c>
      <c r="T201" s="723">
        <v>1.2933637777690289E-3</v>
      </c>
      <c r="U201" s="723">
        <v>1.2804016957756994E-3</v>
      </c>
      <c r="V201" s="723">
        <v>1.2675742568071862E-3</v>
      </c>
      <c r="W201" s="723">
        <v>1.2548795717531715E-3</v>
      </c>
      <c r="X201" s="723">
        <v>1.2423156146465254E-3</v>
      </c>
      <c r="Y201" s="723">
        <v>1.229880397514265E-3</v>
      </c>
      <c r="Z201" s="723">
        <v>1.2175720338450274E-3</v>
      </c>
      <c r="AA201" s="723">
        <v>1.2053887528186886E-3</v>
      </c>
      <c r="AB201" s="723">
        <v>1.1933288932832772E-3</v>
      </c>
      <c r="AC201" s="723">
        <v>1.1813908906998455E-3</v>
      </c>
      <c r="AD201" s="723">
        <v>1.1695732628430491E-3</v>
      </c>
      <c r="AE201" s="723">
        <v>1.157874596589521E-3</v>
      </c>
      <c r="AF201" s="723">
        <v>1.1462935365590717E-3</v>
      </c>
    </row>
    <row r="202" spans="1:32" x14ac:dyDescent="0.25">
      <c r="A202" s="839"/>
      <c r="B202" s="552" t="s">
        <v>35</v>
      </c>
      <c r="C202" s="539"/>
      <c r="D202" s="539"/>
      <c r="E202" s="539"/>
      <c r="F202" s="539"/>
      <c r="G202" s="723">
        <v>6.5622789177834833E-4</v>
      </c>
      <c r="H202" s="723">
        <v>4.7663607123360642E-4</v>
      </c>
      <c r="I202" s="723">
        <v>3.938616955180923E-4</v>
      </c>
      <c r="J202" s="723">
        <v>3.6068834845640632E-4</v>
      </c>
      <c r="K202" s="723">
        <v>3.5293387287996405E-4</v>
      </c>
      <c r="L202" s="723">
        <v>3.4737088273118898E-4</v>
      </c>
      <c r="M202" s="723">
        <v>3.4288892900511775E-4</v>
      </c>
      <c r="N202" s="723">
        <v>3.3895158292355831E-4</v>
      </c>
      <c r="O202" s="723">
        <v>3.3529908246728089E-4</v>
      </c>
      <c r="P202" s="723">
        <v>3.3180512877381866E-4</v>
      </c>
      <c r="Q202" s="723">
        <v>3.2840789591755446E-4</v>
      </c>
      <c r="R202" s="723">
        <v>3.2507677486723764E-4</v>
      </c>
      <c r="S202" s="723">
        <v>3.2179632770921275E-4</v>
      </c>
      <c r="T202" s="723">
        <v>3.1855853385538875E-4</v>
      </c>
      <c r="U202" s="723">
        <v>3.1535903387987777E-4</v>
      </c>
      <c r="V202" s="723">
        <v>3.1219530262056075E-4</v>
      </c>
      <c r="W202" s="723">
        <v>3.0906575490440865E-4</v>
      </c>
      <c r="X202" s="723">
        <v>3.0596930333426494E-4</v>
      </c>
      <c r="Y202" s="723">
        <v>3.0290513615836243E-4</v>
      </c>
      <c r="Z202" s="723">
        <v>2.9987260303623484E-4</v>
      </c>
      <c r="AA202" s="723">
        <v>2.9687115428614791E-4</v>
      </c>
      <c r="AB202" s="723">
        <v>2.9390030709448367E-4</v>
      </c>
      <c r="AC202" s="723">
        <v>2.9095962566388136E-4</v>
      </c>
      <c r="AD202" s="723">
        <v>2.8804870882794106E-4</v>
      </c>
      <c r="AE202" s="723">
        <v>2.8516718185667665E-4</v>
      </c>
      <c r="AF202" s="723">
        <v>2.8231469074946168E-4</v>
      </c>
    </row>
    <row r="203" spans="1:32" x14ac:dyDescent="0.25">
      <c r="A203" s="839"/>
      <c r="B203" s="552" t="s">
        <v>29</v>
      </c>
      <c r="C203" s="539"/>
      <c r="D203" s="539"/>
      <c r="E203" s="539"/>
      <c r="F203" s="539"/>
      <c r="G203" s="723">
        <v>0</v>
      </c>
      <c r="H203" s="723">
        <v>7.0346196989165202E-7</v>
      </c>
      <c r="I203" s="723">
        <v>1.3021311049828938E-6</v>
      </c>
      <c r="J203" s="723">
        <v>1.8121552885322901E-6</v>
      </c>
      <c r="K203" s="723">
        <v>2.2497294583317838E-6</v>
      </c>
      <c r="L203" s="723">
        <v>2.5870303584792777E-6</v>
      </c>
      <c r="M203" s="723">
        <v>2.8450196978235333E-6</v>
      </c>
      <c r="N203" s="723">
        <v>3.0404114963285119E-6</v>
      </c>
      <c r="O203" s="723">
        <v>3.1864702721118093E-6</v>
      </c>
      <c r="P203" s="723">
        <v>3.2936931197022937E-6</v>
      </c>
      <c r="Q203" s="723">
        <v>3.3703727429927683E-6</v>
      </c>
      <c r="R203" s="723">
        <v>3.4230534205243523E-6</v>
      </c>
      <c r="S203" s="723">
        <v>3.4568962201412281E-6</v>
      </c>
      <c r="T203" s="723">
        <v>3.475969631503018E-6</v>
      </c>
      <c r="U203" s="723">
        <v>3.4834799505547343E-6</v>
      </c>
      <c r="V203" s="723">
        <v>3.4819534779973364E-6</v>
      </c>
      <c r="W203" s="723">
        <v>3.4733804056052639E-6</v>
      </c>
      <c r="X203" s="723">
        <v>3.4593283484822866E-6</v>
      </c>
      <c r="Y203" s="723">
        <v>3.4410318795977066E-6</v>
      </c>
      <c r="Z203" s="723">
        <v>3.4194631164345856E-6</v>
      </c>
      <c r="AA203" s="723">
        <v>3.395387358724847E-6</v>
      </c>
      <c r="AB203" s="723">
        <v>3.3694069379150492E-6</v>
      </c>
      <c r="AC203" s="723">
        <v>3.3419957734726018E-6</v>
      </c>
      <c r="AD203" s="723">
        <v>3.3135266043344671E-6</v>
      </c>
      <c r="AE203" s="723">
        <v>3.2842924475412365E-6</v>
      </c>
      <c r="AF203" s="723">
        <v>3.2545235075444797E-6</v>
      </c>
    </row>
    <row r="204" spans="1:32" x14ac:dyDescent="0.25">
      <c r="A204" s="839"/>
      <c r="B204" s="550"/>
      <c r="C204" s="539"/>
      <c r="D204" s="539"/>
      <c r="E204" s="539"/>
      <c r="F204" s="539"/>
      <c r="G204" s="723" t="s">
        <v>73</v>
      </c>
      <c r="H204" s="723" t="s">
        <v>73</v>
      </c>
      <c r="I204" s="723" t="s">
        <v>73</v>
      </c>
      <c r="J204" s="723" t="s">
        <v>73</v>
      </c>
      <c r="K204" s="723" t="s">
        <v>73</v>
      </c>
      <c r="L204" s="723" t="s">
        <v>73</v>
      </c>
      <c r="M204" s="723" t="s">
        <v>73</v>
      </c>
      <c r="N204" s="723" t="s">
        <v>73</v>
      </c>
      <c r="O204" s="723" t="s">
        <v>73</v>
      </c>
      <c r="P204" s="723" t="s">
        <v>73</v>
      </c>
      <c r="Q204" s="723" t="s">
        <v>73</v>
      </c>
      <c r="R204" s="723" t="s">
        <v>73</v>
      </c>
      <c r="S204" s="723" t="s">
        <v>73</v>
      </c>
      <c r="T204" s="723" t="s">
        <v>73</v>
      </c>
      <c r="U204" s="723" t="s">
        <v>73</v>
      </c>
      <c r="V204" s="723" t="s">
        <v>73</v>
      </c>
      <c r="W204" s="723" t="s">
        <v>73</v>
      </c>
      <c r="X204" s="723" t="s">
        <v>73</v>
      </c>
      <c r="Y204" s="723" t="s">
        <v>73</v>
      </c>
      <c r="Z204" s="723" t="s">
        <v>73</v>
      </c>
      <c r="AA204" s="723" t="s">
        <v>73</v>
      </c>
      <c r="AB204" s="723" t="s">
        <v>73</v>
      </c>
      <c r="AC204" s="723" t="s">
        <v>73</v>
      </c>
      <c r="AD204" s="723" t="s">
        <v>73</v>
      </c>
      <c r="AE204" s="723" t="s">
        <v>73</v>
      </c>
      <c r="AF204" s="723" t="s">
        <v>73</v>
      </c>
    </row>
    <row r="205" spans="1:32" s="202" customFormat="1" ht="12.75" x14ac:dyDescent="0.2">
      <c r="A205" s="843" t="s">
        <v>36</v>
      </c>
      <c r="B205" s="556"/>
      <c r="C205" s="556"/>
      <c r="D205" s="556"/>
      <c r="E205" s="556"/>
      <c r="F205" s="556"/>
      <c r="G205" s="724" t="s">
        <v>73</v>
      </c>
      <c r="H205" s="724" t="s">
        <v>73</v>
      </c>
      <c r="I205" s="724" t="s">
        <v>73</v>
      </c>
      <c r="J205" s="724" t="s">
        <v>73</v>
      </c>
      <c r="K205" s="724" t="s">
        <v>73</v>
      </c>
      <c r="L205" s="724" t="s">
        <v>73</v>
      </c>
      <c r="M205" s="724" t="s">
        <v>73</v>
      </c>
      <c r="N205" s="724" t="s">
        <v>73</v>
      </c>
      <c r="O205" s="724" t="s">
        <v>73</v>
      </c>
      <c r="P205" s="724" t="s">
        <v>73</v>
      </c>
      <c r="Q205" s="724" t="s">
        <v>73</v>
      </c>
      <c r="R205" s="724" t="s">
        <v>73</v>
      </c>
      <c r="S205" s="724" t="s">
        <v>73</v>
      </c>
      <c r="T205" s="724" t="s">
        <v>73</v>
      </c>
      <c r="U205" s="724" t="s">
        <v>73</v>
      </c>
      <c r="V205" s="724" t="s">
        <v>73</v>
      </c>
      <c r="W205" s="724" t="s">
        <v>73</v>
      </c>
      <c r="X205" s="724" t="s">
        <v>73</v>
      </c>
      <c r="Y205" s="724" t="s">
        <v>73</v>
      </c>
      <c r="Z205" s="724" t="s">
        <v>73</v>
      </c>
      <c r="AA205" s="724" t="s">
        <v>73</v>
      </c>
      <c r="AB205" s="724" t="s">
        <v>73</v>
      </c>
      <c r="AC205" s="724" t="s">
        <v>73</v>
      </c>
      <c r="AD205" s="724" t="s">
        <v>73</v>
      </c>
      <c r="AE205" s="724" t="s">
        <v>73</v>
      </c>
      <c r="AF205" s="724" t="s">
        <v>73</v>
      </c>
    </row>
    <row r="206" spans="1:32" x14ac:dyDescent="0.25">
      <c r="A206" s="839"/>
      <c r="B206" s="550" t="s">
        <v>37</v>
      </c>
      <c r="C206" s="539"/>
      <c r="D206" s="539"/>
      <c r="E206" s="539"/>
      <c r="F206" s="201"/>
      <c r="G206" s="723">
        <v>0.64764741186429042</v>
      </c>
      <c r="H206" s="723">
        <v>0.57211944911778256</v>
      </c>
      <c r="I206" s="723">
        <v>0.47312785857668821</v>
      </c>
      <c r="J206" s="723">
        <v>0.36395913572620842</v>
      </c>
      <c r="K206" s="723">
        <v>0.25816800810225943</v>
      </c>
      <c r="L206" s="723">
        <v>0.18371889519734791</v>
      </c>
      <c r="M206" s="723">
        <v>0.13112002636044842</v>
      </c>
      <c r="N206" s="723">
        <v>9.3878005142072521E-2</v>
      </c>
      <c r="O206" s="723">
        <v>6.7627874844695804E-2</v>
      </c>
      <c r="P206" s="723">
        <v>4.9088075123908129E-2</v>
      </c>
      <c r="Q206" s="723">
        <v>3.5966887942675822E-2</v>
      </c>
      <c r="R206" s="723">
        <v>2.6660656536378665E-2</v>
      </c>
      <c r="S206" s="723">
        <v>2.0045045622922749E-2</v>
      </c>
      <c r="T206" s="723">
        <v>1.5337269992512365E-2</v>
      </c>
      <c r="U206" s="723">
        <v>1.1968485491690795E-2</v>
      </c>
      <c r="V206" s="723">
        <v>9.5501133214577778E-3</v>
      </c>
      <c r="W206" s="723">
        <v>7.803906185734252E-3</v>
      </c>
      <c r="X206" s="723">
        <v>6.5376160129467847E-3</v>
      </c>
      <c r="Y206" s="723">
        <v>5.610870369385298E-3</v>
      </c>
      <c r="Z206" s="723">
        <v>4.9264877771413636E-3</v>
      </c>
      <c r="AA206" s="723">
        <v>4.4197549758778478E-3</v>
      </c>
      <c r="AB206" s="723">
        <v>4.0367662667359586E-3</v>
      </c>
      <c r="AC206" s="723">
        <v>3.743047755953556E-3</v>
      </c>
      <c r="AD206" s="723">
        <v>3.5179810455326305E-3</v>
      </c>
      <c r="AE206" s="723">
        <v>3.3388047960353278E-3</v>
      </c>
      <c r="AF206" s="723">
        <v>3.1932454563308624E-3</v>
      </c>
    </row>
    <row r="207" spans="1:32" x14ac:dyDescent="0.25">
      <c r="A207" s="839"/>
      <c r="B207" s="550" t="s">
        <v>39</v>
      </c>
      <c r="C207" s="539"/>
      <c r="D207" s="539"/>
      <c r="E207" s="203"/>
      <c r="F207" s="539"/>
      <c r="G207" s="723">
        <v>1.3346739050132097</v>
      </c>
      <c r="H207" s="723">
        <v>1.3630103939231488</v>
      </c>
      <c r="I207" s="723">
        <v>1.4051912310347177</v>
      </c>
      <c r="J207" s="723">
        <v>1.4534833441831378</v>
      </c>
      <c r="K207" s="723">
        <v>1.4966193223321183</v>
      </c>
      <c r="L207" s="723">
        <v>1.5174662221599087</v>
      </c>
      <c r="M207" s="723">
        <v>1.5237799860606489</v>
      </c>
      <c r="N207" s="723">
        <v>1.520561510000271</v>
      </c>
      <c r="O207" s="723">
        <v>1.5125079799177032</v>
      </c>
      <c r="P207" s="723">
        <v>1.5010595264726092</v>
      </c>
      <c r="Q207" s="723">
        <v>1.4886843791703297</v>
      </c>
      <c r="R207" s="723">
        <v>1.4761219620009127</v>
      </c>
      <c r="S207" s="723">
        <v>1.463914551913734</v>
      </c>
      <c r="T207" s="723">
        <v>1.4509624214085006</v>
      </c>
      <c r="U207" s="723">
        <v>1.4375411314145556</v>
      </c>
      <c r="V207" s="723">
        <v>1.4238356779671513</v>
      </c>
      <c r="W207" s="723">
        <v>1.4099785359545318</v>
      </c>
      <c r="X207" s="723">
        <v>1.3960629898414521</v>
      </c>
      <c r="Y207" s="723">
        <v>1.3821510923866911</v>
      </c>
      <c r="Z207" s="723">
        <v>1.3682867983789753</v>
      </c>
      <c r="AA207" s="723">
        <v>1.3545014360984591</v>
      </c>
      <c r="AB207" s="723">
        <v>1.3408145293599829</v>
      </c>
      <c r="AC207" s="723">
        <v>1.3272397717236437</v>
      </c>
      <c r="AD207" s="723">
        <v>1.3137874064290243</v>
      </c>
      <c r="AE207" s="723">
        <v>1.3004621800889571</v>
      </c>
      <c r="AF207" s="723">
        <v>1.2872674525862584</v>
      </c>
    </row>
    <row r="208" spans="1:32" x14ac:dyDescent="0.25">
      <c r="A208" s="839"/>
      <c r="B208" s="550" t="s">
        <v>40</v>
      </c>
      <c r="C208" s="539"/>
      <c r="D208" s="539"/>
      <c r="E208" s="539"/>
      <c r="F208" s="539"/>
      <c r="G208" s="723">
        <v>0.24413546416197657</v>
      </c>
      <c r="H208" s="723">
        <v>0.24731958320310421</v>
      </c>
      <c r="I208" s="723">
        <v>0.25285763073311862</v>
      </c>
      <c r="J208" s="723">
        <v>0.25942444936129322</v>
      </c>
      <c r="K208" s="723">
        <v>0.26649134155611626</v>
      </c>
      <c r="L208" s="723">
        <v>0.27035323733040184</v>
      </c>
      <c r="M208" s="723">
        <v>0.27205857614665685</v>
      </c>
      <c r="N208" s="723">
        <v>0.2716382974989312</v>
      </c>
      <c r="O208" s="723">
        <v>0.270386783538693</v>
      </c>
      <c r="P208" s="723">
        <v>0.26857842061336196</v>
      </c>
      <c r="Q208" s="723">
        <v>0.26640437842401038</v>
      </c>
      <c r="R208" s="723">
        <v>0.26399686077902218</v>
      </c>
      <c r="S208" s="723">
        <v>0.26144673680790287</v>
      </c>
      <c r="T208" s="723">
        <v>0.25882761533233556</v>
      </c>
      <c r="U208" s="723">
        <v>0.2561682390484214</v>
      </c>
      <c r="V208" s="723">
        <v>0.25350703295071259</v>
      </c>
      <c r="W208" s="723">
        <v>0.25086034941798863</v>
      </c>
      <c r="X208" s="723">
        <v>0.24822983113165198</v>
      </c>
      <c r="Y208" s="723">
        <v>0.24563173818334871</v>
      </c>
      <c r="Z208" s="723">
        <v>0.24306916962210259</v>
      </c>
      <c r="AA208" s="723">
        <v>0.24053652681597745</v>
      </c>
      <c r="AB208" s="723">
        <v>0.2380422781534145</v>
      </c>
      <c r="AC208" s="723">
        <v>0.2355857568653309</v>
      </c>
      <c r="AD208" s="723">
        <v>0.23316015856529257</v>
      </c>
      <c r="AE208" s="723">
        <v>0.23077101776214126</v>
      </c>
      <c r="AF208" s="723">
        <v>0.22841685094223349</v>
      </c>
    </row>
    <row r="209" spans="1:32" x14ac:dyDescent="0.25">
      <c r="A209" s="839"/>
      <c r="B209" s="550" t="s">
        <v>29</v>
      </c>
      <c r="C209" s="539"/>
      <c r="D209" s="539"/>
      <c r="E209" s="539"/>
      <c r="F209" s="539"/>
      <c r="G209" s="723">
        <v>0</v>
      </c>
      <c r="H209" s="723">
        <v>5.9015011301519548E-12</v>
      </c>
      <c r="I209" s="723">
        <v>1.044809028662477E-11</v>
      </c>
      <c r="J209" s="723">
        <v>1.3935850843130107E-11</v>
      </c>
      <c r="K209" s="723">
        <v>1.6667223108882061E-11</v>
      </c>
      <c r="L209" s="723">
        <v>1.8935898204036789E-11</v>
      </c>
      <c r="M209" s="723">
        <v>2.0842843109023454E-11</v>
      </c>
      <c r="N209" s="723">
        <v>2.2390329394861114E-11</v>
      </c>
      <c r="O209" s="723">
        <v>2.3505174152485231E-11</v>
      </c>
      <c r="P209" s="723">
        <v>2.4284389863592337E-11</v>
      </c>
      <c r="Q209" s="723">
        <v>2.4803796706800409E-11</v>
      </c>
      <c r="R209" s="723">
        <v>2.5122617864164014E-11</v>
      </c>
      <c r="S209" s="723">
        <v>2.5287081307297442E-11</v>
      </c>
      <c r="T209" s="723">
        <v>2.5333242060234742E-11</v>
      </c>
      <c r="U209" s="723">
        <v>2.5289196033771799E-11</v>
      </c>
      <c r="V209" s="723">
        <v>2.5176810816501133E-11</v>
      </c>
      <c r="W209" s="723">
        <v>2.5013085349042253E-11</v>
      </c>
      <c r="X209" s="723">
        <v>2.4811213202187242E-11</v>
      </c>
      <c r="Y209" s="723">
        <v>2.4581414122305991E-11</v>
      </c>
      <c r="Z209" s="723">
        <v>2.4331587609152343E-11</v>
      </c>
      <c r="AA209" s="723">
        <v>2.4067823090839418E-11</v>
      </c>
      <c r="AB209" s="723">
        <v>2.3794798184898089E-11</v>
      </c>
      <c r="AC209" s="723">
        <v>2.351609230445543E-11</v>
      </c>
      <c r="AD209" s="723">
        <v>2.3234430716936771E-11</v>
      </c>
      <c r="AE209" s="723">
        <v>2.2951874487014549E-11</v>
      </c>
      <c r="AF209" s="723">
        <v>2.266997057855616E-11</v>
      </c>
    </row>
    <row r="210" spans="1:32" x14ac:dyDescent="0.25">
      <c r="A210" s="839"/>
      <c r="B210" s="550"/>
      <c r="C210" s="539"/>
      <c r="D210" s="539"/>
      <c r="E210" s="539"/>
      <c r="F210" s="539"/>
      <c r="G210" s="723" t="s">
        <v>73</v>
      </c>
      <c r="H210" s="723" t="s">
        <v>73</v>
      </c>
      <c r="I210" s="723" t="s">
        <v>73</v>
      </c>
      <c r="J210" s="723" t="s">
        <v>73</v>
      </c>
      <c r="K210" s="723" t="s">
        <v>73</v>
      </c>
      <c r="L210" s="723" t="s">
        <v>73</v>
      </c>
      <c r="M210" s="723" t="s">
        <v>73</v>
      </c>
      <c r="N210" s="723" t="s">
        <v>73</v>
      </c>
      <c r="O210" s="723" t="s">
        <v>73</v>
      </c>
      <c r="P210" s="723" t="s">
        <v>73</v>
      </c>
      <c r="Q210" s="723" t="s">
        <v>73</v>
      </c>
      <c r="R210" s="723" t="s">
        <v>73</v>
      </c>
      <c r="S210" s="723" t="s">
        <v>73</v>
      </c>
      <c r="T210" s="723" t="s">
        <v>73</v>
      </c>
      <c r="U210" s="723" t="s">
        <v>73</v>
      </c>
      <c r="V210" s="723" t="s">
        <v>73</v>
      </c>
      <c r="W210" s="723" t="s">
        <v>73</v>
      </c>
      <c r="X210" s="723" t="s">
        <v>73</v>
      </c>
      <c r="Y210" s="723" t="s">
        <v>73</v>
      </c>
      <c r="Z210" s="723" t="s">
        <v>73</v>
      </c>
      <c r="AA210" s="723" t="s">
        <v>73</v>
      </c>
      <c r="AB210" s="723" t="s">
        <v>73</v>
      </c>
      <c r="AC210" s="723" t="s">
        <v>73</v>
      </c>
      <c r="AD210" s="723" t="s">
        <v>73</v>
      </c>
      <c r="AE210" s="723" t="s">
        <v>73</v>
      </c>
      <c r="AF210" s="723" t="s">
        <v>73</v>
      </c>
    </row>
    <row r="211" spans="1:32" s="202" customFormat="1" ht="12.75" x14ac:dyDescent="0.2">
      <c r="A211" s="843" t="s">
        <v>42</v>
      </c>
      <c r="B211" s="556"/>
      <c r="C211" s="556"/>
      <c r="D211" s="556"/>
      <c r="E211" s="556"/>
      <c r="F211" s="556"/>
      <c r="G211" s="724" t="s">
        <v>73</v>
      </c>
      <c r="H211" s="724" t="s">
        <v>73</v>
      </c>
      <c r="I211" s="724" t="s">
        <v>73</v>
      </c>
      <c r="J211" s="724" t="s">
        <v>73</v>
      </c>
      <c r="K211" s="724" t="s">
        <v>73</v>
      </c>
      <c r="L211" s="724" t="s">
        <v>73</v>
      </c>
      <c r="M211" s="724" t="s">
        <v>73</v>
      </c>
      <c r="N211" s="724" t="s">
        <v>73</v>
      </c>
      <c r="O211" s="724" t="s">
        <v>73</v>
      </c>
      <c r="P211" s="724" t="s">
        <v>73</v>
      </c>
      <c r="Q211" s="724" t="s">
        <v>73</v>
      </c>
      <c r="R211" s="724" t="s">
        <v>73</v>
      </c>
      <c r="S211" s="724" t="s">
        <v>73</v>
      </c>
      <c r="T211" s="724" t="s">
        <v>73</v>
      </c>
      <c r="U211" s="724" t="s">
        <v>73</v>
      </c>
      <c r="V211" s="724" t="s">
        <v>73</v>
      </c>
      <c r="W211" s="724" t="s">
        <v>73</v>
      </c>
      <c r="X211" s="724" t="s">
        <v>73</v>
      </c>
      <c r="Y211" s="724" t="s">
        <v>73</v>
      </c>
      <c r="Z211" s="724" t="s">
        <v>73</v>
      </c>
      <c r="AA211" s="724" t="s">
        <v>73</v>
      </c>
      <c r="AB211" s="724" t="s">
        <v>73</v>
      </c>
      <c r="AC211" s="724" t="s">
        <v>73</v>
      </c>
      <c r="AD211" s="724" t="s">
        <v>73</v>
      </c>
      <c r="AE211" s="724" t="s">
        <v>73</v>
      </c>
      <c r="AF211" s="724" t="s">
        <v>73</v>
      </c>
    </row>
    <row r="212" spans="1:32" x14ac:dyDescent="0.25">
      <c r="A212" s="839"/>
      <c r="B212" s="552" t="s">
        <v>43</v>
      </c>
      <c r="C212" s="539"/>
      <c r="D212" s="539"/>
      <c r="E212" s="539"/>
      <c r="F212" s="539"/>
      <c r="G212" s="723">
        <v>0.39209036508984824</v>
      </c>
      <c r="H212" s="723">
        <v>0.35077342440769083</v>
      </c>
      <c r="I212" s="723">
        <v>0.3146885023565214</v>
      </c>
      <c r="J212" s="723">
        <v>0.2831365865546373</v>
      </c>
      <c r="K212" s="723">
        <v>0.25551655358770126</v>
      </c>
      <c r="L212" s="723">
        <v>0.23131069878432439</v>
      </c>
      <c r="M212" s="723">
        <v>0.21007254693773292</v>
      </c>
      <c r="N212" s="723">
        <v>0.1914165565187459</v>
      </c>
      <c r="O212" s="723">
        <v>0.17500940135709889</v>
      </c>
      <c r="P212" s="723">
        <v>0.16056257090717208</v>
      </c>
      <c r="Q212" s="723">
        <v>0.14782607613890772</v>
      </c>
      <c r="R212" s="723">
        <v>0.13658308517957926</v>
      </c>
      <c r="S212" s="723">
        <v>0.12664534291587889</v>
      </c>
      <c r="T212" s="723">
        <v>0.1178492532785726</v>
      </c>
      <c r="U212" s="723">
        <v>0.11008323184470707</v>
      </c>
      <c r="V212" s="723">
        <v>0.10318514633872516</v>
      </c>
      <c r="W212" s="723">
        <v>9.7071726868536504E-2</v>
      </c>
      <c r="X212" s="723">
        <v>9.164128863118505E-2</v>
      </c>
      <c r="Y212" s="723">
        <v>8.6806246252145877E-2</v>
      </c>
      <c r="Z212" s="723">
        <v>8.2491032761341995E-2</v>
      </c>
      <c r="AA212" s="723">
        <v>7.8617198595602567E-2</v>
      </c>
      <c r="AB212" s="723">
        <v>7.5144639828303425E-2</v>
      </c>
      <c r="AC212" s="723">
        <v>7.2023710160338594E-2</v>
      </c>
      <c r="AD212" s="723">
        <v>6.9211350619242107E-2</v>
      </c>
      <c r="AE212" s="723">
        <v>6.6670161001135778E-2</v>
      </c>
      <c r="AF212" s="723">
        <v>6.436761030382121E-2</v>
      </c>
    </row>
    <row r="213" spans="1:32" x14ac:dyDescent="0.25">
      <c r="A213" s="839"/>
      <c r="B213" s="552" t="s">
        <v>44</v>
      </c>
      <c r="C213" s="539"/>
      <c r="D213" s="539"/>
      <c r="E213" s="539"/>
      <c r="F213" s="539"/>
      <c r="G213" s="723">
        <v>2.7176500304453013</v>
      </c>
      <c r="H213" s="723">
        <v>2.7439654256423403</v>
      </c>
      <c r="I213" s="723">
        <v>2.7806378616348675</v>
      </c>
      <c r="J213" s="723">
        <v>2.8104810508404205</v>
      </c>
      <c r="K213" s="723">
        <v>2.8339893931132156</v>
      </c>
      <c r="L213" s="723">
        <v>2.8517019538141559</v>
      </c>
      <c r="M213" s="723">
        <v>2.8641677630530435</v>
      </c>
      <c r="N213" s="723">
        <v>2.8719233461422764</v>
      </c>
      <c r="O213" s="723">
        <v>2.8754788334945243</v>
      </c>
      <c r="P213" s="723">
        <v>2.8753100220143404</v>
      </c>
      <c r="Q213" s="723">
        <v>2.8718545048945359</v>
      </c>
      <c r="R213" s="723">
        <v>2.8655105275708173</v>
      </c>
      <c r="S213" s="723">
        <v>2.8566376193672616</v>
      </c>
      <c r="T213" s="723">
        <v>2.8455583333595338</v>
      </c>
      <c r="U213" s="723">
        <v>2.8325479075343689</v>
      </c>
      <c r="V213" s="723">
        <v>2.8178758300192928</v>
      </c>
      <c r="W213" s="723">
        <v>2.8017715193934247</v>
      </c>
      <c r="X213" s="723">
        <v>2.7844388115766825</v>
      </c>
      <c r="Y213" s="723">
        <v>2.7660570815118888</v>
      </c>
      <c r="Z213" s="723">
        <v>2.7467838494034962</v>
      </c>
      <c r="AA213" s="723">
        <v>2.7267401114599701</v>
      </c>
      <c r="AB213" s="723">
        <v>2.7060705627322816</v>
      </c>
      <c r="AC213" s="723">
        <v>2.6848786920113361</v>
      </c>
      <c r="AD213" s="723">
        <v>2.6632554050117028</v>
      </c>
      <c r="AE213" s="723">
        <v>2.6412804440625335</v>
      </c>
      <c r="AF213" s="723">
        <v>2.6190236820488169</v>
      </c>
    </row>
    <row r="214" spans="1:32" x14ac:dyDescent="0.25">
      <c r="A214" s="839"/>
      <c r="B214" s="552" t="s">
        <v>45</v>
      </c>
      <c r="C214" s="539"/>
      <c r="D214" s="539"/>
      <c r="E214" s="539"/>
      <c r="F214" s="539"/>
      <c r="G214" s="723">
        <v>0.44944868185361686</v>
      </c>
      <c r="H214" s="723">
        <v>0.39544622597754292</v>
      </c>
      <c r="I214" s="723">
        <v>0.34831590961684522</v>
      </c>
      <c r="J214" s="723">
        <v>0.30715101737474854</v>
      </c>
      <c r="K214" s="723">
        <v>0.27116874735538127</v>
      </c>
      <c r="L214" s="723">
        <v>0.23969265127329964</v>
      </c>
      <c r="M214" s="723">
        <v>0.21213765993783812</v>
      </c>
      <c r="N214" s="723">
        <v>0.18799729750233765</v>
      </c>
      <c r="O214" s="723">
        <v>0.16683275150456275</v>
      </c>
      <c r="P214" s="723">
        <v>0.14826351863288242</v>
      </c>
      <c r="Q214" s="723">
        <v>0.13195939024184583</v>
      </c>
      <c r="R214" s="723">
        <v>0.11763357845982621</v>
      </c>
      <c r="S214" s="723">
        <v>0.10503681454178578</v>
      </c>
      <c r="T214" s="723">
        <v>9.3952276952116956E-2</v>
      </c>
      <c r="U214" s="723">
        <v>8.4231023879803121E-2</v>
      </c>
      <c r="V214" s="723">
        <v>7.5659117031160503E-2</v>
      </c>
      <c r="W214" s="723">
        <v>6.8124937013624098E-2</v>
      </c>
      <c r="X214" s="723">
        <v>6.1493639379489123E-2</v>
      </c>
      <c r="Y214" s="723">
        <v>5.5649000249030162E-2</v>
      </c>
      <c r="Z214" s="723">
        <v>5.049068818633598E-2</v>
      </c>
      <c r="AA214" s="723">
        <v>4.5915353894940315E-2</v>
      </c>
      <c r="AB214" s="723">
        <v>4.1868573673291561E-2</v>
      </c>
      <c r="AC214" s="723">
        <v>3.8284430043572827E-2</v>
      </c>
      <c r="AD214" s="723">
        <v>3.5105728525826066E-2</v>
      </c>
      <c r="AE214" s="723">
        <v>3.2282775165073087E-2</v>
      </c>
      <c r="AF214" s="723">
        <v>2.977233529892518E-2</v>
      </c>
    </row>
    <row r="215" spans="1:32" x14ac:dyDescent="0.25">
      <c r="A215" s="839"/>
      <c r="B215" s="552" t="s">
        <v>46</v>
      </c>
      <c r="C215" s="539"/>
      <c r="D215" s="539"/>
      <c r="E215" s="539"/>
      <c r="F215" s="539"/>
      <c r="G215" s="723">
        <v>0</v>
      </c>
      <c r="H215" s="723">
        <v>0</v>
      </c>
      <c r="I215" s="723">
        <v>0</v>
      </c>
      <c r="J215" s="723">
        <v>0</v>
      </c>
      <c r="K215" s="723">
        <v>0</v>
      </c>
      <c r="L215" s="723">
        <v>0</v>
      </c>
      <c r="M215" s="723">
        <v>0</v>
      </c>
      <c r="N215" s="723">
        <v>0</v>
      </c>
      <c r="O215" s="723">
        <v>0</v>
      </c>
      <c r="P215" s="723">
        <v>0</v>
      </c>
      <c r="Q215" s="723">
        <v>0</v>
      </c>
      <c r="R215" s="723">
        <v>0</v>
      </c>
      <c r="S215" s="723">
        <v>0</v>
      </c>
      <c r="T215" s="723">
        <v>0</v>
      </c>
      <c r="U215" s="723">
        <v>0</v>
      </c>
      <c r="V215" s="723">
        <v>0</v>
      </c>
      <c r="W215" s="723">
        <v>0</v>
      </c>
      <c r="X215" s="723">
        <v>0</v>
      </c>
      <c r="Y215" s="723">
        <v>0</v>
      </c>
      <c r="Z215" s="723">
        <v>0</v>
      </c>
      <c r="AA215" s="723">
        <v>0</v>
      </c>
      <c r="AB215" s="723">
        <v>0</v>
      </c>
      <c r="AC215" s="723">
        <v>0</v>
      </c>
      <c r="AD215" s="723">
        <v>0</v>
      </c>
      <c r="AE215" s="723">
        <v>0</v>
      </c>
      <c r="AF215" s="723">
        <v>0</v>
      </c>
    </row>
    <row r="216" spans="1:32" x14ac:dyDescent="0.25">
      <c r="A216" s="839"/>
      <c r="B216" s="550" t="s">
        <v>29</v>
      </c>
      <c r="C216" s="539"/>
      <c r="D216" s="539"/>
      <c r="E216" s="539"/>
      <c r="F216" s="539"/>
      <c r="G216" s="723">
        <v>0</v>
      </c>
      <c r="H216" s="723">
        <v>1.1594643165436623E-2</v>
      </c>
      <c r="I216" s="723">
        <v>1.9965839091390672E-2</v>
      </c>
      <c r="J216" s="723">
        <v>2.5965184211764296E-2</v>
      </c>
      <c r="K216" s="723">
        <v>3.0219995587710602E-2</v>
      </c>
      <c r="L216" s="723">
        <v>3.3192376767380564E-2</v>
      </c>
      <c r="M216" s="723">
        <v>3.5222724153798839E-2</v>
      </c>
      <c r="N216" s="723">
        <v>3.6561773886142582E-2</v>
      </c>
      <c r="O216" s="723">
        <v>3.7394208523811236E-2</v>
      </c>
      <c r="P216" s="723">
        <v>3.7856047066685022E-2</v>
      </c>
      <c r="Q216" s="723">
        <v>3.804745588515801E-2</v>
      </c>
      <c r="R216" s="723">
        <v>3.804218663938163E-2</v>
      </c>
      <c r="S216" s="723">
        <v>3.7894529505992765E-2</v>
      </c>
      <c r="T216" s="723">
        <v>3.7644436014797243E-2</v>
      </c>
      <c r="U216" s="723">
        <v>3.7280451552933407E-2</v>
      </c>
      <c r="V216" s="723">
        <v>3.6876741801801526E-2</v>
      </c>
      <c r="W216" s="723">
        <v>3.6407718689446242E-2</v>
      </c>
      <c r="X216" s="723">
        <v>3.5895159025211704E-2</v>
      </c>
      <c r="Y216" s="723">
        <v>3.5354929196870118E-2</v>
      </c>
      <c r="Z216" s="723">
        <v>3.4798550513916164E-2</v>
      </c>
      <c r="AA216" s="723">
        <v>3.4267358934745973E-2</v>
      </c>
      <c r="AB216" s="723">
        <v>3.3724480448204953E-2</v>
      </c>
      <c r="AC216" s="723">
        <v>3.3176821682645387E-2</v>
      </c>
      <c r="AD216" s="723">
        <v>3.2629331759156256E-2</v>
      </c>
      <c r="AE216" s="723">
        <v>3.2085524196212523E-2</v>
      </c>
      <c r="AF216" s="723">
        <v>3.1547861045939124E-2</v>
      </c>
    </row>
    <row r="217" spans="1:32" x14ac:dyDescent="0.25">
      <c r="A217" s="839"/>
      <c r="B217" s="550"/>
      <c r="C217" s="539"/>
      <c r="D217" s="539"/>
      <c r="E217" s="539"/>
      <c r="F217" s="539"/>
      <c r="G217" s="723" t="s">
        <v>73</v>
      </c>
      <c r="H217" s="723" t="s">
        <v>73</v>
      </c>
      <c r="I217" s="723" t="s">
        <v>73</v>
      </c>
      <c r="J217" s="723" t="s">
        <v>73</v>
      </c>
      <c r="K217" s="723" t="s">
        <v>73</v>
      </c>
      <c r="L217" s="723" t="s">
        <v>73</v>
      </c>
      <c r="M217" s="723" t="s">
        <v>73</v>
      </c>
      <c r="N217" s="723" t="s">
        <v>73</v>
      </c>
      <c r="O217" s="723" t="s">
        <v>73</v>
      </c>
      <c r="P217" s="723" t="s">
        <v>73</v>
      </c>
      <c r="Q217" s="723" t="s">
        <v>73</v>
      </c>
      <c r="R217" s="723" t="s">
        <v>73</v>
      </c>
      <c r="S217" s="723" t="s">
        <v>73</v>
      </c>
      <c r="T217" s="723" t="s">
        <v>73</v>
      </c>
      <c r="U217" s="723" t="s">
        <v>73</v>
      </c>
      <c r="V217" s="723" t="s">
        <v>73</v>
      </c>
      <c r="W217" s="723" t="s">
        <v>73</v>
      </c>
      <c r="X217" s="723" t="s">
        <v>73</v>
      </c>
      <c r="Y217" s="723" t="s">
        <v>73</v>
      </c>
      <c r="Z217" s="723" t="s">
        <v>73</v>
      </c>
      <c r="AA217" s="723" t="s">
        <v>73</v>
      </c>
      <c r="AB217" s="723" t="s">
        <v>73</v>
      </c>
      <c r="AC217" s="723" t="s">
        <v>73</v>
      </c>
      <c r="AD217" s="723" t="s">
        <v>73</v>
      </c>
      <c r="AE217" s="723" t="s">
        <v>73</v>
      </c>
      <c r="AF217" s="723" t="s">
        <v>73</v>
      </c>
    </row>
    <row r="218" spans="1:32" s="202" customFormat="1" ht="12.75" x14ac:dyDescent="0.2">
      <c r="A218" s="843" t="s">
        <v>47</v>
      </c>
      <c r="B218" s="556"/>
      <c r="C218" s="556"/>
      <c r="D218" s="556"/>
      <c r="E218" s="556"/>
      <c r="F218" s="556"/>
      <c r="G218" s="724" t="s">
        <v>73</v>
      </c>
      <c r="H218" s="724" t="s">
        <v>73</v>
      </c>
      <c r="I218" s="724" t="s">
        <v>73</v>
      </c>
      <c r="J218" s="724" t="s">
        <v>73</v>
      </c>
      <c r="K218" s="724" t="s">
        <v>73</v>
      </c>
      <c r="L218" s="724" t="s">
        <v>73</v>
      </c>
      <c r="M218" s="724" t="s">
        <v>73</v>
      </c>
      <c r="N218" s="724" t="s">
        <v>73</v>
      </c>
      <c r="O218" s="724" t="s">
        <v>73</v>
      </c>
      <c r="P218" s="724" t="s">
        <v>73</v>
      </c>
      <c r="Q218" s="724" t="s">
        <v>73</v>
      </c>
      <c r="R218" s="724" t="s">
        <v>73</v>
      </c>
      <c r="S218" s="724" t="s">
        <v>73</v>
      </c>
      <c r="T218" s="724" t="s">
        <v>73</v>
      </c>
      <c r="U218" s="724" t="s">
        <v>73</v>
      </c>
      <c r="V218" s="724" t="s">
        <v>73</v>
      </c>
      <c r="W218" s="724" t="s">
        <v>73</v>
      </c>
      <c r="X218" s="724" t="s">
        <v>73</v>
      </c>
      <c r="Y218" s="724" t="s">
        <v>73</v>
      </c>
      <c r="Z218" s="724" t="s">
        <v>73</v>
      </c>
      <c r="AA218" s="724" t="s">
        <v>73</v>
      </c>
      <c r="AB218" s="724" t="s">
        <v>73</v>
      </c>
      <c r="AC218" s="724" t="s">
        <v>73</v>
      </c>
      <c r="AD218" s="724" t="s">
        <v>73</v>
      </c>
      <c r="AE218" s="724" t="s">
        <v>73</v>
      </c>
      <c r="AF218" s="724" t="s">
        <v>73</v>
      </c>
    </row>
    <row r="219" spans="1:32" x14ac:dyDescent="0.25">
      <c r="A219" s="839"/>
      <c r="B219" s="550" t="s">
        <v>48</v>
      </c>
      <c r="C219" s="539"/>
      <c r="D219" s="539"/>
      <c r="E219" s="539"/>
      <c r="F219" s="539"/>
      <c r="G219" s="723">
        <v>0</v>
      </c>
      <c r="H219" s="723">
        <v>0</v>
      </c>
      <c r="I219" s="723">
        <v>0</v>
      </c>
      <c r="J219" s="723">
        <v>0</v>
      </c>
      <c r="K219" s="723">
        <v>0</v>
      </c>
      <c r="L219" s="723">
        <v>0</v>
      </c>
      <c r="M219" s="723">
        <v>0</v>
      </c>
      <c r="N219" s="723">
        <v>0</v>
      </c>
      <c r="O219" s="723">
        <v>0</v>
      </c>
      <c r="P219" s="723">
        <v>0</v>
      </c>
      <c r="Q219" s="723">
        <v>0</v>
      </c>
      <c r="R219" s="723">
        <v>0</v>
      </c>
      <c r="S219" s="723">
        <v>0</v>
      </c>
      <c r="T219" s="723">
        <v>0</v>
      </c>
      <c r="U219" s="723">
        <v>0</v>
      </c>
      <c r="V219" s="723">
        <v>0</v>
      </c>
      <c r="W219" s="723">
        <v>0</v>
      </c>
      <c r="X219" s="723">
        <v>0</v>
      </c>
      <c r="Y219" s="723">
        <v>0</v>
      </c>
      <c r="Z219" s="723">
        <v>0</v>
      </c>
      <c r="AA219" s="723">
        <v>0</v>
      </c>
      <c r="AB219" s="723">
        <v>0</v>
      </c>
      <c r="AC219" s="723">
        <v>0</v>
      </c>
      <c r="AD219" s="723">
        <v>0</v>
      </c>
      <c r="AE219" s="723">
        <v>0</v>
      </c>
      <c r="AF219" s="723">
        <v>0</v>
      </c>
    </row>
    <row r="220" spans="1:32" x14ac:dyDescent="0.25">
      <c r="A220" s="839"/>
      <c r="B220" s="552" t="s">
        <v>50</v>
      </c>
      <c r="C220" s="539"/>
      <c r="D220" s="539"/>
      <c r="E220" s="539"/>
      <c r="F220" s="539"/>
      <c r="G220" s="723">
        <v>4.5045899420864791E-4</v>
      </c>
      <c r="H220" s="723">
        <v>4.3732755009839695E-4</v>
      </c>
      <c r="I220" s="723">
        <v>4.2457890403777427E-4</v>
      </c>
      <c r="J220" s="723">
        <v>4.1220189698398427E-4</v>
      </c>
      <c r="K220" s="723">
        <v>4.0018569519431043E-4</v>
      </c>
      <c r="L220" s="723">
        <v>3.8851978074321177E-4</v>
      </c>
      <c r="M220" s="723">
        <v>3.7719394231585567E-4</v>
      </c>
      <c r="N220" s="723">
        <v>3.6619826627003194E-4</v>
      </c>
      <c r="O220" s="723">
        <v>3.5552312795862243E-4</v>
      </c>
      <c r="P220" s="723">
        <v>3.451591833050325E-4</v>
      </c>
      <c r="Q220" s="723">
        <v>3.3509736062420809E-4</v>
      </c>
      <c r="R220" s="723">
        <v>3.2532885268208179E-4</v>
      </c>
      <c r="S220" s="723">
        <v>3.1584510898649451E-4</v>
      </c>
      <c r="T220" s="723">
        <v>3.0663782830284771E-4</v>
      </c>
      <c r="U220" s="723">
        <v>2.9769895138793246E-4</v>
      </c>
      <c r="V220" s="723">
        <v>2.8902065393557823E-4</v>
      </c>
      <c r="W220" s="723">
        <v>2.805953397279429E-4</v>
      </c>
      <c r="X220" s="723">
        <v>2.7241563398645277E-4</v>
      </c>
      <c r="Y220" s="723">
        <v>2.6447437691657011E-4</v>
      </c>
      <c r="Z220" s="723">
        <v>2.5676461744073914E-4</v>
      </c>
      <c r="AA220" s="723">
        <v>2.4927960711402489E-4</v>
      </c>
      <c r="AB220" s="723">
        <v>2.4201279421711796E-4</v>
      </c>
      <c r="AC220" s="723">
        <v>2.3495781802153608E-4</v>
      </c>
      <c r="AD220" s="723">
        <v>2.2810850322200246E-4</v>
      </c>
      <c r="AE220" s="723">
        <v>2.2145885453112672E-4</v>
      </c>
      <c r="AF220" s="723">
        <v>2.150030514316581E-4</v>
      </c>
    </row>
    <row r="221" spans="1:32" x14ac:dyDescent="0.25">
      <c r="A221" s="839"/>
      <c r="B221" s="550" t="s">
        <v>51</v>
      </c>
      <c r="C221" s="539"/>
      <c r="D221" s="539"/>
      <c r="E221" s="539"/>
      <c r="F221" s="539"/>
      <c r="G221" s="723">
        <v>3.2567464726024776E-3</v>
      </c>
      <c r="H221" s="723">
        <v>3.1706681971706554E-3</v>
      </c>
      <c r="I221" s="723">
        <v>3.0868650357409977E-3</v>
      </c>
      <c r="J221" s="723">
        <v>3.0052768553276042E-3</v>
      </c>
      <c r="K221" s="723">
        <v>2.9258451123049269E-3</v>
      </c>
      <c r="L221" s="723">
        <v>2.8485128103997743E-3</v>
      </c>
      <c r="M221" s="723">
        <v>2.7732244597936172E-3</v>
      </c>
      <c r="N221" s="723">
        <v>2.6999260373058442E-3</v>
      </c>
      <c r="O221" s="723">
        <v>2.6285649476294219E-3</v>
      </c>
      <c r="P221" s="723">
        <v>2.5590899855911049E-3</v>
      </c>
      <c r="Q221" s="723">
        <v>2.4914512994091568E-3</v>
      </c>
      <c r="R221" s="723">
        <v>2.425600354922178E-3</v>
      </c>
      <c r="S221" s="723">
        <v>2.3614899007634066E-3</v>
      </c>
      <c r="T221" s="723">
        <v>2.2990739344554917E-3</v>
      </c>
      <c r="U221" s="723">
        <v>2.2383076694013873E-3</v>
      </c>
      <c r="V221" s="723">
        <v>2.1791475027477239E-3</v>
      </c>
      <c r="W221" s="723">
        <v>2.1215509840975667E-3</v>
      </c>
      <c r="X221" s="723">
        <v>2.0654767850501131E-3</v>
      </c>
      <c r="Y221" s="723">
        <v>2.0108846695454934E-3</v>
      </c>
      <c r="Z221" s="723">
        <v>1.9577354649933662E-3</v>
      </c>
      <c r="AA221" s="723">
        <v>1.9059910341646198E-3</v>
      </c>
      <c r="AB221" s="723">
        <v>1.8556142478259828E-3</v>
      </c>
      <c r="AC221" s="723">
        <v>1.8065689580979369E-3</v>
      </c>
      <c r="AD221" s="723">
        <v>1.7588199725167941E-3</v>
      </c>
      <c r="AE221" s="723">
        <v>1.7123330287823293E-3</v>
      </c>
      <c r="AF221" s="723">
        <v>1.667074770172856E-3</v>
      </c>
    </row>
    <row r="222" spans="1:32" x14ac:dyDescent="0.25">
      <c r="A222" s="839"/>
      <c r="B222" s="550" t="s">
        <v>52</v>
      </c>
      <c r="C222" s="539"/>
      <c r="D222" s="539"/>
      <c r="E222" s="539"/>
      <c r="F222" s="539"/>
      <c r="G222" s="723">
        <v>9.1469238017365413E-3</v>
      </c>
      <c r="H222" s="723">
        <v>9.0335120752287178E-3</v>
      </c>
      <c r="I222" s="723">
        <v>8.9218132205292292E-3</v>
      </c>
      <c r="J222" s="723">
        <v>8.8117856113957369E-3</v>
      </c>
      <c r="K222" s="723">
        <v>8.7033895687574549E-3</v>
      </c>
      <c r="L222" s="723">
        <v>8.5857548798966253E-3</v>
      </c>
      <c r="M222" s="723">
        <v>8.464737793229522E-3</v>
      </c>
      <c r="N222" s="723">
        <v>8.3428268162488942E-3</v>
      </c>
      <c r="O222" s="723">
        <v>8.2274508932530903E-3</v>
      </c>
      <c r="P222" s="723">
        <v>8.1168716540729931E-3</v>
      </c>
      <c r="Q222" s="723">
        <v>8.010040996315821E-3</v>
      </c>
      <c r="R222" s="723">
        <v>7.9062852029162297E-3</v>
      </c>
      <c r="S222" s="723">
        <v>7.8051481727204912E-3</v>
      </c>
      <c r="T222" s="723">
        <v>7.7065195847835118E-3</v>
      </c>
      <c r="U222" s="723">
        <v>7.6099276635431647E-3</v>
      </c>
      <c r="V222" s="723">
        <v>7.5153757452114884E-3</v>
      </c>
      <c r="W222" s="723">
        <v>7.4226949311862753E-3</v>
      </c>
      <c r="X222" s="723">
        <v>7.3316034639308312E-3</v>
      </c>
      <c r="Y222" s="723">
        <v>7.2421553478418631E-3</v>
      </c>
      <c r="Z222" s="723">
        <v>7.1542573569865582E-3</v>
      </c>
      <c r="AA222" s="723">
        <v>7.0677125666512722E-3</v>
      </c>
      <c r="AB222" s="723">
        <v>6.9825827896274322E-3</v>
      </c>
      <c r="AC222" s="723">
        <v>6.8988078552433248E-3</v>
      </c>
      <c r="AD222" s="723">
        <v>6.8162379341173123E-3</v>
      </c>
      <c r="AE222" s="723">
        <v>6.7349311837721307E-3</v>
      </c>
      <c r="AF222" s="723">
        <v>6.654844460465434E-3</v>
      </c>
    </row>
    <row r="223" spans="1:32" x14ac:dyDescent="0.25">
      <c r="A223" s="839"/>
      <c r="B223" s="552" t="s">
        <v>29</v>
      </c>
      <c r="C223" s="539"/>
      <c r="D223" s="539"/>
      <c r="E223" s="539"/>
      <c r="F223" s="539"/>
      <c r="G223" s="723">
        <v>0</v>
      </c>
      <c r="H223" s="723">
        <v>7.1668818228772584E-5</v>
      </c>
      <c r="I223" s="723">
        <v>1.4072328227070921E-4</v>
      </c>
      <c r="J223" s="723">
        <v>2.0724717366455681E-4</v>
      </c>
      <c r="K223" s="723">
        <v>2.7132120289513585E-4</v>
      </c>
      <c r="L223" s="723">
        <v>3.3305258649594287E-4</v>
      </c>
      <c r="M223" s="723">
        <v>3.9251436504945616E-4</v>
      </c>
      <c r="N223" s="723">
        <v>4.4977708575274941E-4</v>
      </c>
      <c r="O223" s="723">
        <v>5.0488174805997301E-4</v>
      </c>
      <c r="P223" s="723">
        <v>5.5789599922172E-4</v>
      </c>
      <c r="Q223" s="723">
        <v>6.0888519380643453E-4</v>
      </c>
      <c r="R223" s="723">
        <v>6.5791249499231534E-4</v>
      </c>
      <c r="S223" s="723">
        <v>7.0503896920845336E-4</v>
      </c>
      <c r="T223" s="723">
        <v>7.5018855503074721E-4</v>
      </c>
      <c r="U223" s="723">
        <v>7.9356125730709753E-4</v>
      </c>
      <c r="V223" s="723">
        <v>8.3509269681456303E-4</v>
      </c>
      <c r="W223" s="723">
        <v>8.7485140020818674E-4</v>
      </c>
      <c r="X223" s="723">
        <v>9.1300486247755587E-4</v>
      </c>
      <c r="Y223" s="723">
        <v>9.4950400897506147E-4</v>
      </c>
      <c r="Z223" s="723">
        <v>9.8440848049229286E-4</v>
      </c>
      <c r="AA223" s="723">
        <v>1.0178603530982932E-3</v>
      </c>
      <c r="AB223" s="723">
        <v>1.0498220282214843E-3</v>
      </c>
      <c r="AC223" s="723">
        <v>1.080345958016139E-3</v>
      </c>
      <c r="AD223" s="723">
        <v>1.1095539451514954E-3</v>
      </c>
      <c r="AE223" s="723">
        <v>1.1374170908640009E-3</v>
      </c>
      <c r="AF223" s="723">
        <v>1.1639818976196595E-3</v>
      </c>
    </row>
    <row r="224" spans="1:32" x14ac:dyDescent="0.25">
      <c r="A224" s="839"/>
      <c r="B224" s="552" t="s">
        <v>53</v>
      </c>
      <c r="C224" s="539"/>
      <c r="D224" s="539"/>
      <c r="E224" s="539"/>
      <c r="F224" s="539"/>
      <c r="G224" s="723">
        <v>0</v>
      </c>
      <c r="H224" s="723">
        <v>0</v>
      </c>
      <c r="I224" s="723">
        <v>0</v>
      </c>
      <c r="J224" s="723">
        <v>0</v>
      </c>
      <c r="K224" s="723">
        <v>0</v>
      </c>
      <c r="L224" s="723">
        <v>0</v>
      </c>
      <c r="M224" s="723">
        <v>0</v>
      </c>
      <c r="N224" s="723">
        <v>0</v>
      </c>
      <c r="O224" s="723">
        <v>0</v>
      </c>
      <c r="P224" s="723">
        <v>0</v>
      </c>
      <c r="Q224" s="723">
        <v>0</v>
      </c>
      <c r="R224" s="723">
        <v>0</v>
      </c>
      <c r="S224" s="723">
        <v>0</v>
      </c>
      <c r="T224" s="723">
        <v>0</v>
      </c>
      <c r="U224" s="723">
        <v>0</v>
      </c>
      <c r="V224" s="723">
        <v>0</v>
      </c>
      <c r="W224" s="723">
        <v>0</v>
      </c>
      <c r="X224" s="723">
        <v>0</v>
      </c>
      <c r="Y224" s="723">
        <v>0</v>
      </c>
      <c r="Z224" s="723">
        <v>0</v>
      </c>
      <c r="AA224" s="723">
        <v>0</v>
      </c>
      <c r="AB224" s="723">
        <v>0</v>
      </c>
      <c r="AC224" s="723">
        <v>0</v>
      </c>
      <c r="AD224" s="723">
        <v>0</v>
      </c>
      <c r="AE224" s="723">
        <v>0</v>
      </c>
      <c r="AF224" s="723">
        <v>0</v>
      </c>
    </row>
    <row r="225" spans="1:32" x14ac:dyDescent="0.25">
      <c r="A225" s="838"/>
    </row>
    <row r="226" spans="1:32" x14ac:dyDescent="0.25">
      <c r="A226" s="838"/>
    </row>
    <row r="227" spans="1:32" s="838" customFormat="1" x14ac:dyDescent="0.25">
      <c r="A227" s="860" t="s">
        <v>705</v>
      </c>
      <c r="B227" s="861"/>
      <c r="C227" s="860"/>
      <c r="D227" s="859"/>
      <c r="E227" s="859"/>
      <c r="F227" s="859"/>
      <c r="G227" s="859" t="s">
        <v>706</v>
      </c>
      <c r="H227" s="862"/>
      <c r="I227" s="862"/>
      <c r="J227" s="862"/>
      <c r="K227" s="862"/>
      <c r="L227" s="862"/>
      <c r="M227" s="862"/>
      <c r="N227" s="862"/>
      <c r="O227" s="862"/>
      <c r="P227" s="862"/>
      <c r="Q227" s="862"/>
      <c r="R227" s="862"/>
      <c r="S227" s="862"/>
      <c r="T227" s="862"/>
      <c r="U227" s="862"/>
      <c r="V227" s="862"/>
      <c r="W227" s="862"/>
      <c r="X227" s="862"/>
      <c r="Y227" s="862"/>
      <c r="Z227" s="862"/>
      <c r="AA227" s="862"/>
      <c r="AB227" s="862"/>
      <c r="AC227" s="862"/>
      <c r="AD227" s="862"/>
      <c r="AE227" s="862"/>
      <c r="AF227" s="862"/>
    </row>
    <row r="228" spans="1:32" s="838" customFormat="1" x14ac:dyDescent="0.25">
      <c r="A228" s="840" t="s">
        <v>12</v>
      </c>
      <c r="B228" s="839"/>
    </row>
    <row r="229" spans="1:32" s="838" customFormat="1" x14ac:dyDescent="0.25">
      <c r="A229" s="839"/>
      <c r="B229" s="839" t="s">
        <v>20</v>
      </c>
    </row>
    <row r="230" spans="1:32" s="856" customFormat="1" ht="12.75" x14ac:dyDescent="0.2">
      <c r="A230" s="843" t="s">
        <v>21</v>
      </c>
      <c r="B230" s="843"/>
      <c r="C230" s="843"/>
      <c r="D230" s="843"/>
      <c r="E230" s="843"/>
      <c r="F230" s="843"/>
      <c r="G230" s="843"/>
      <c r="H230" s="843"/>
      <c r="I230" s="843"/>
      <c r="J230" s="843"/>
      <c r="K230" s="843"/>
      <c r="L230" s="843"/>
      <c r="M230" s="843"/>
      <c r="N230" s="843"/>
      <c r="O230" s="843"/>
      <c r="P230" s="843"/>
      <c r="Q230" s="843"/>
      <c r="R230" s="843"/>
      <c r="S230" s="843"/>
      <c r="T230" s="843"/>
      <c r="U230" s="843"/>
      <c r="V230" s="843"/>
      <c r="W230" s="843"/>
      <c r="X230" s="843"/>
      <c r="Y230" s="843"/>
      <c r="Z230" s="843"/>
      <c r="AA230" s="843"/>
      <c r="AB230" s="843"/>
      <c r="AC230" s="843"/>
      <c r="AD230" s="843"/>
      <c r="AE230" s="843"/>
      <c r="AF230" s="843"/>
    </row>
    <row r="231" spans="1:32" s="864" customFormat="1" x14ac:dyDescent="0.25">
      <c r="A231" s="839"/>
      <c r="B231" s="839" t="s">
        <v>22</v>
      </c>
      <c r="C231" s="838"/>
      <c r="D231" s="838"/>
      <c r="E231" s="838"/>
      <c r="F231" s="838"/>
      <c r="G231" s="890">
        <v>2.5553054365221599E-3</v>
      </c>
      <c r="H231" s="890">
        <v>1.3151201127327423E-3</v>
      </c>
      <c r="I231" s="890">
        <v>8.6671355927033465E-4</v>
      </c>
      <c r="J231" s="890">
        <v>4.99897150765036E-4</v>
      </c>
      <c r="K231" s="890">
        <v>3.4158990493891715E-4</v>
      </c>
      <c r="L231" s="890">
        <v>2.1625960637275396E-4</v>
      </c>
      <c r="M231" s="890">
        <v>8.0553665846267513E-5</v>
      </c>
      <c r="N231" s="890">
        <v>7.6168938109700496E-5</v>
      </c>
      <c r="O231" s="890">
        <v>7.5037276408747785E-5</v>
      </c>
      <c r="P231" s="890">
        <v>7.4247888369485894E-5</v>
      </c>
      <c r="Q231" s="890">
        <v>7.3500692390479977E-5</v>
      </c>
      <c r="R231" s="890">
        <v>7.2764653928110266E-5</v>
      </c>
      <c r="S231" s="890">
        <v>7.2036473982496331E-5</v>
      </c>
      <c r="T231" s="890">
        <v>7.1315719829323837E-5</v>
      </c>
      <c r="U231" s="890">
        <v>7.0602260612569203E-5</v>
      </c>
      <c r="V231" s="890">
        <v>6.9896001808291441E-5</v>
      </c>
      <c r="W231" s="890">
        <v>6.9196856862461254E-5</v>
      </c>
      <c r="X231" s="890">
        <v>6.850474348493263E-5</v>
      </c>
      <c r="Y231" s="890">
        <v>6.781958265284845E-5</v>
      </c>
      <c r="Z231" s="890">
        <v>6.7141298025296661E-5</v>
      </c>
      <c r="AA231" s="890">
        <v>6.6469815503754061E-5</v>
      </c>
      <c r="AB231" s="890">
        <v>6.5805062888538274E-5</v>
      </c>
      <c r="AC231" s="890">
        <v>6.5146969608580833E-5</v>
      </c>
      <c r="AD231" s="890">
        <v>6.449546650843446E-5</v>
      </c>
      <c r="AE231" s="890">
        <v>6.3850485680090499E-5</v>
      </c>
      <c r="AF231" s="890">
        <v>6.3211960329897338E-5</v>
      </c>
    </row>
    <row r="232" spans="1:32" s="864" customFormat="1" x14ac:dyDescent="0.25">
      <c r="A232" s="839"/>
      <c r="B232" s="839" t="s">
        <v>26</v>
      </c>
      <c r="C232" s="838"/>
      <c r="D232" s="838"/>
      <c r="E232" s="838"/>
      <c r="F232" s="838"/>
      <c r="G232" s="890">
        <v>1.5526804300996159E-5</v>
      </c>
      <c r="H232" s="890">
        <v>1.4206887260889647E-5</v>
      </c>
      <c r="I232" s="890">
        <v>4.595189800923553E-5</v>
      </c>
      <c r="J232" s="890">
        <v>1.1897604503323252E-4</v>
      </c>
      <c r="K232" s="890">
        <v>1.6183856773619923E-4</v>
      </c>
      <c r="L232" s="890">
        <v>1.6831856838660648E-4</v>
      </c>
      <c r="M232" s="890">
        <v>1.7552660681596324E-4</v>
      </c>
      <c r="N232" s="890">
        <v>1.6620978279474475E-4</v>
      </c>
      <c r="O232" s="890">
        <v>1.6376606501831888E-4</v>
      </c>
      <c r="P232" s="890">
        <v>1.620459789633222E-4</v>
      </c>
      <c r="Q232" s="890">
        <v>1.6041555362616267E-4</v>
      </c>
      <c r="R232" s="890">
        <v>1.5880921881339415E-4</v>
      </c>
      <c r="S232" s="890">
        <v>1.5721999972483292E-4</v>
      </c>
      <c r="T232" s="890">
        <v>1.5564697703315518E-4</v>
      </c>
      <c r="U232" s="890">
        <v>1.5408986920273517E-4</v>
      </c>
      <c r="V232" s="890">
        <v>1.525484715055515E-4</v>
      </c>
      <c r="W232" s="890">
        <v>1.5102259610149711E-4</v>
      </c>
      <c r="X232" s="890">
        <v>1.4951206420835679E-4</v>
      </c>
      <c r="Y232" s="890">
        <v>1.4801670399585852E-4</v>
      </c>
      <c r="Z232" s="890">
        <v>1.4653634934855744E-4</v>
      </c>
      <c r="AA232" s="890">
        <v>1.4507083893672116E-4</v>
      </c>
      <c r="AB232" s="890">
        <v>1.4362001549005204E-4</v>
      </c>
      <c r="AC232" s="890">
        <v>1.4218372522631476E-4</v>
      </c>
      <c r="AD232" s="890">
        <v>1.4076181740088452E-4</v>
      </c>
      <c r="AE232" s="890">
        <v>1.3935414395096883E-4</v>
      </c>
      <c r="AF232" s="890">
        <v>1.3796055921398817E-4</v>
      </c>
    </row>
    <row r="233" spans="1:32" s="864" customFormat="1" x14ac:dyDescent="0.25">
      <c r="A233" s="839"/>
      <c r="B233" s="839" t="s">
        <v>27</v>
      </c>
      <c r="C233" s="838"/>
      <c r="D233" s="838"/>
      <c r="E233" s="838"/>
      <c r="F233" s="838"/>
      <c r="G233" s="890">
        <v>1.2915618156977141E-4</v>
      </c>
      <c r="H233" s="890">
        <v>3.9926979851873952E-4</v>
      </c>
      <c r="I233" s="890">
        <v>4.8382444169945457E-4</v>
      </c>
      <c r="J233" s="890">
        <v>5.3919347787764315E-4</v>
      </c>
      <c r="K233" s="890">
        <v>5.5617911079015371E-4</v>
      </c>
      <c r="L233" s="890">
        <v>5.7563564616411984E-4</v>
      </c>
      <c r="M233" s="890">
        <v>5.9728390236201518E-4</v>
      </c>
      <c r="N233" s="890">
        <v>5.9411896929215796E-4</v>
      </c>
      <c r="O233" s="890">
        <v>5.8845449318751467E-4</v>
      </c>
      <c r="P233" s="890">
        <v>5.8258856475019831E-4</v>
      </c>
      <c r="Q233" s="890">
        <v>5.7675684630411196E-4</v>
      </c>
      <c r="R233" s="890">
        <v>5.7098260723097876E-4</v>
      </c>
      <c r="S233" s="890">
        <v>5.6526734103654703E-4</v>
      </c>
      <c r="T233" s="890">
        <v>5.596103854262881E-4</v>
      </c>
      <c r="U233" s="890">
        <v>5.5401092609992913E-4</v>
      </c>
      <c r="V233" s="890">
        <v>5.4846818909214405E-4</v>
      </c>
      <c r="W233" s="890">
        <v>5.4298144950211283E-4</v>
      </c>
      <c r="X233" s="890">
        <v>5.3755002369773217E-4</v>
      </c>
      <c r="Y233" s="890">
        <v>5.3217326169299728E-4</v>
      </c>
      <c r="Z233" s="890">
        <v>5.2685054101239465E-4</v>
      </c>
      <c r="AA233" s="890">
        <v>5.2158126185904152E-4</v>
      </c>
      <c r="AB233" s="890">
        <v>5.1636484331817176E-4</v>
      </c>
      <c r="AC233" s="890">
        <v>5.1120072037292338E-4</v>
      </c>
      <c r="AD233" s="890">
        <v>5.0608834155645502E-4</v>
      </c>
      <c r="AE233" s="890">
        <v>5.0102716710245343E-4</v>
      </c>
      <c r="AF233" s="890">
        <v>4.9601666748601378E-4</v>
      </c>
    </row>
    <row r="234" spans="1:32" s="864" customFormat="1" x14ac:dyDescent="0.25">
      <c r="A234" s="839"/>
      <c r="B234" s="839" t="s">
        <v>29</v>
      </c>
      <c r="C234" s="838"/>
      <c r="D234" s="838"/>
      <c r="E234" s="838"/>
      <c r="F234" s="838"/>
      <c r="G234" s="890">
        <v>0</v>
      </c>
      <c r="H234" s="890">
        <v>1.3240180224548438E-7</v>
      </c>
      <c r="I234" s="890">
        <v>2.3901274898222887E-7</v>
      </c>
      <c r="J234" s="890">
        <v>2.9389238636722734E-7</v>
      </c>
      <c r="K234" s="890">
        <v>3.3695847202783597E-7</v>
      </c>
      <c r="L234" s="890">
        <v>3.7420253084712307E-7</v>
      </c>
      <c r="M234" s="890">
        <v>4.0721890863313232E-7</v>
      </c>
      <c r="N234" s="890">
        <v>4.3192727528941426E-7</v>
      </c>
      <c r="O234" s="890">
        <v>4.5014391996748575E-7</v>
      </c>
      <c r="P234" s="890">
        <v>4.6328886462489826E-7</v>
      </c>
      <c r="Q234" s="890">
        <v>4.7247370850747501E-7</v>
      </c>
      <c r="R234" s="890">
        <v>4.7856873864391959E-7</v>
      </c>
      <c r="S234" s="890">
        <v>4.8225530710977632E-7</v>
      </c>
      <c r="T234" s="890">
        <v>4.8406682645954311E-7</v>
      </c>
      <c r="U234" s="890">
        <v>4.8442086873914611E-7</v>
      </c>
      <c r="V234" s="890">
        <v>4.8364429993488264E-7</v>
      </c>
      <c r="W234" s="890">
        <v>4.8199296109518806E-7</v>
      </c>
      <c r="X234" s="890">
        <v>4.7966707932416644E-7</v>
      </c>
      <c r="Y234" s="890">
        <v>4.768233351173638E-7</v>
      </c>
      <c r="Z234" s="890">
        <v>4.7358431149692692E-7</v>
      </c>
      <c r="AA234" s="890">
        <v>4.7004589300429089E-7</v>
      </c>
      <c r="AB234" s="890">
        <v>4.6628305935975262E-7</v>
      </c>
      <c r="AC234" s="890">
        <v>4.6235442209021103E-7</v>
      </c>
      <c r="AD234" s="890">
        <v>4.5830577685713758E-7</v>
      </c>
      <c r="AE234" s="890">
        <v>4.5417288504352821E-7</v>
      </c>
      <c r="AF234" s="890">
        <v>4.4998365182379462E-7</v>
      </c>
    </row>
    <row r="235" spans="1:32" s="864" customFormat="1" x14ac:dyDescent="0.25">
      <c r="A235" s="839"/>
      <c r="B235" s="839"/>
      <c r="C235" s="838"/>
      <c r="D235" s="838"/>
      <c r="E235" s="838"/>
      <c r="F235" s="838"/>
      <c r="G235" s="890" t="s">
        <v>73</v>
      </c>
      <c r="H235" s="890" t="s">
        <v>73</v>
      </c>
      <c r="I235" s="890" t="s">
        <v>73</v>
      </c>
      <c r="J235" s="890" t="s">
        <v>73</v>
      </c>
      <c r="K235" s="890" t="s">
        <v>73</v>
      </c>
      <c r="L235" s="890" t="s">
        <v>73</v>
      </c>
      <c r="M235" s="890" t="s">
        <v>73</v>
      </c>
      <c r="N235" s="890" t="s">
        <v>73</v>
      </c>
      <c r="O235" s="890" t="s">
        <v>73</v>
      </c>
      <c r="P235" s="890" t="s">
        <v>73</v>
      </c>
      <c r="Q235" s="890" t="s">
        <v>73</v>
      </c>
      <c r="R235" s="890" t="s">
        <v>73</v>
      </c>
      <c r="S235" s="890" t="s">
        <v>73</v>
      </c>
      <c r="T235" s="890" t="s">
        <v>73</v>
      </c>
      <c r="U235" s="890" t="s">
        <v>73</v>
      </c>
      <c r="V235" s="890" t="s">
        <v>73</v>
      </c>
      <c r="W235" s="890" t="s">
        <v>73</v>
      </c>
      <c r="X235" s="890" t="s">
        <v>73</v>
      </c>
      <c r="Y235" s="890" t="s">
        <v>73</v>
      </c>
      <c r="Z235" s="890" t="s">
        <v>73</v>
      </c>
      <c r="AA235" s="890" t="s">
        <v>73</v>
      </c>
      <c r="AB235" s="890" t="s">
        <v>73</v>
      </c>
      <c r="AC235" s="890" t="s">
        <v>73</v>
      </c>
      <c r="AD235" s="890" t="s">
        <v>73</v>
      </c>
      <c r="AE235" s="890" t="s">
        <v>73</v>
      </c>
      <c r="AF235" s="890" t="s">
        <v>73</v>
      </c>
    </row>
    <row r="236" spans="1:32" s="856" customFormat="1" ht="12.75" x14ac:dyDescent="0.2">
      <c r="A236" s="843" t="s">
        <v>32</v>
      </c>
      <c r="B236" s="843"/>
      <c r="C236" s="843"/>
      <c r="D236" s="843"/>
      <c r="E236" s="843"/>
      <c r="F236" s="843"/>
      <c r="G236" s="891" t="s">
        <v>73</v>
      </c>
      <c r="H236" s="891" t="s">
        <v>73</v>
      </c>
      <c r="I236" s="891" t="s">
        <v>73</v>
      </c>
      <c r="J236" s="891" t="s">
        <v>73</v>
      </c>
      <c r="K236" s="891" t="s">
        <v>73</v>
      </c>
      <c r="L236" s="891" t="s">
        <v>73</v>
      </c>
      <c r="M236" s="891" t="s">
        <v>73</v>
      </c>
      <c r="N236" s="891" t="s">
        <v>73</v>
      </c>
      <c r="O236" s="891" t="s">
        <v>73</v>
      </c>
      <c r="P236" s="891" t="s">
        <v>73</v>
      </c>
      <c r="Q236" s="891" t="s">
        <v>73</v>
      </c>
      <c r="R236" s="891" t="s">
        <v>73</v>
      </c>
      <c r="S236" s="891" t="s">
        <v>73</v>
      </c>
      <c r="T236" s="891" t="s">
        <v>73</v>
      </c>
      <c r="U236" s="891" t="s">
        <v>73</v>
      </c>
      <c r="V236" s="891" t="s">
        <v>73</v>
      </c>
      <c r="W236" s="891" t="s">
        <v>73</v>
      </c>
      <c r="X236" s="891" t="s">
        <v>73</v>
      </c>
      <c r="Y236" s="891" t="s">
        <v>73</v>
      </c>
      <c r="Z236" s="891" t="s">
        <v>73</v>
      </c>
      <c r="AA236" s="891" t="s">
        <v>73</v>
      </c>
      <c r="AB236" s="891" t="s">
        <v>73</v>
      </c>
      <c r="AC236" s="891" t="s">
        <v>73</v>
      </c>
      <c r="AD236" s="891" t="s">
        <v>73</v>
      </c>
      <c r="AE236" s="891" t="s">
        <v>73</v>
      </c>
      <c r="AF236" s="891" t="s">
        <v>73</v>
      </c>
    </row>
    <row r="237" spans="1:32" s="864" customFormat="1" x14ac:dyDescent="0.25">
      <c r="A237" s="839"/>
      <c r="B237" s="839" t="s">
        <v>33</v>
      </c>
      <c r="C237" s="838"/>
      <c r="D237" s="838"/>
      <c r="E237" s="838"/>
      <c r="F237" s="838"/>
      <c r="G237" s="890">
        <v>1.4056299158283432E-4</v>
      </c>
      <c r="H237" s="890">
        <v>4.1951024253849423E-4</v>
      </c>
      <c r="I237" s="890">
        <v>4.7543152527856604E-4</v>
      </c>
      <c r="J237" s="890">
        <v>5.1944313804365525E-4</v>
      </c>
      <c r="K237" s="890">
        <v>5.5737068559750028E-4</v>
      </c>
      <c r="L237" s="890">
        <v>5.5263981646421368E-4</v>
      </c>
      <c r="M237" s="890">
        <v>5.4748571215969678E-4</v>
      </c>
      <c r="N237" s="890">
        <v>5.4216374148708876E-4</v>
      </c>
      <c r="O237" s="890">
        <v>5.3679496128325997E-4</v>
      </c>
      <c r="P237" s="890">
        <v>5.3143611709577214E-4</v>
      </c>
      <c r="Q237" s="890">
        <v>5.261132656197632E-4</v>
      </c>
      <c r="R237" s="890">
        <v>5.2083790229013151E-4</v>
      </c>
      <c r="S237" s="890">
        <v>5.1561467994863924E-4</v>
      </c>
      <c r="T237" s="890">
        <v>5.1044508938327638E-4</v>
      </c>
      <c r="U237" s="890">
        <v>5.0532920354973165E-4</v>
      </c>
      <c r="V237" s="890">
        <v>5.002664955771303E-4</v>
      </c>
      <c r="W237" s="890">
        <v>4.9525621552116679E-4</v>
      </c>
      <c r="X237" s="890">
        <v>4.9029755832393081E-4</v>
      </c>
      <c r="Y237" s="890">
        <v>4.8538973410762037E-4</v>
      </c>
      <c r="Z237" s="890">
        <v>4.8053199369038234E-4</v>
      </c>
      <c r="AA237" s="890">
        <v>4.7572363430776896E-4</v>
      </c>
      <c r="AB237" s="890">
        <v>4.7096399719228434E-4</v>
      </c>
      <c r="AC237" s="890">
        <v>4.6625246232593926E-4</v>
      </c>
      <c r="AD237" s="890">
        <v>4.6158844269256769E-4</v>
      </c>
      <c r="AE237" s="890">
        <v>4.5697137896744588E-4</v>
      </c>
      <c r="AF237" s="890">
        <v>4.5240073495176686E-4</v>
      </c>
    </row>
    <row r="238" spans="1:32" s="864" customFormat="1" x14ac:dyDescent="0.25">
      <c r="A238" s="842"/>
      <c r="B238" s="842" t="s">
        <v>34</v>
      </c>
      <c r="C238" s="838"/>
      <c r="D238" s="838"/>
      <c r="E238" s="838"/>
      <c r="F238" s="838"/>
      <c r="G238" s="890">
        <v>5.8037377970770879E-4</v>
      </c>
      <c r="H238" s="890">
        <v>4.8447206478006831E-4</v>
      </c>
      <c r="I238" s="890">
        <v>4.6713752343494693E-4</v>
      </c>
      <c r="J238" s="890">
        <v>4.0757424981777932E-4</v>
      </c>
      <c r="K238" s="890">
        <v>3.4592514481847559E-4</v>
      </c>
      <c r="L238" s="890">
        <v>3.290119556232744E-4</v>
      </c>
      <c r="M238" s="890">
        <v>3.2593942321591308E-4</v>
      </c>
      <c r="N238" s="890">
        <v>3.2276938344382599E-4</v>
      </c>
      <c r="O238" s="890">
        <v>3.1957258196910844E-4</v>
      </c>
      <c r="P238" s="890">
        <v>3.1638217777288353E-4</v>
      </c>
      <c r="Q238" s="890">
        <v>3.1321339379219754E-4</v>
      </c>
      <c r="R238" s="890">
        <v>3.1007294269272211E-4</v>
      </c>
      <c r="S238" s="890">
        <v>3.0696353804412926E-4</v>
      </c>
      <c r="T238" s="890">
        <v>3.038860454112073E-4</v>
      </c>
      <c r="U238" s="890">
        <v>3.0084050176374001E-4</v>
      </c>
      <c r="V238" s="890">
        <v>2.9782659355949214E-4</v>
      </c>
      <c r="W238" s="890">
        <v>2.9484387693705843E-4</v>
      </c>
      <c r="X238" s="890">
        <v>2.918918758794438E-4</v>
      </c>
      <c r="Y238" s="890">
        <v>2.8897012329667804E-4</v>
      </c>
      <c r="Z238" s="890">
        <v>2.8607817593800109E-4</v>
      </c>
      <c r="AA238" s="890">
        <v>2.8321561773522399E-4</v>
      </c>
      <c r="AB238" s="890">
        <v>2.803820583875574E-4</v>
      </c>
      <c r="AC238" s="890">
        <v>2.775771302942057E-4</v>
      </c>
      <c r="AD238" s="890">
        <v>2.7480048519460521E-4</v>
      </c>
      <c r="AE238" s="890">
        <v>2.7205179106424811E-4</v>
      </c>
      <c r="AF238" s="890">
        <v>2.6933072944584278E-4</v>
      </c>
    </row>
    <row r="239" spans="1:32" s="864" customFormat="1" x14ac:dyDescent="0.25">
      <c r="A239" s="839"/>
      <c r="B239" s="842" t="s">
        <v>35</v>
      </c>
      <c r="C239" s="838"/>
      <c r="D239" s="838"/>
      <c r="E239" s="838"/>
      <c r="F239" s="838"/>
      <c r="G239" s="890">
        <v>1.5418593155982791E-4</v>
      </c>
      <c r="H239" s="890">
        <v>1.1198941340181978E-4</v>
      </c>
      <c r="I239" s="890">
        <v>9.2540919381863478E-5</v>
      </c>
      <c r="J239" s="890">
        <v>8.4746579208661642E-5</v>
      </c>
      <c r="K239" s="890">
        <v>8.2924603862152699E-5</v>
      </c>
      <c r="L239" s="890">
        <v>8.161753534358881E-5</v>
      </c>
      <c r="M239" s="890">
        <v>8.0564464879622979E-5</v>
      </c>
      <c r="N239" s="890">
        <v>7.9639354287609735E-5</v>
      </c>
      <c r="O239" s="890">
        <v>7.8781170427353982E-5</v>
      </c>
      <c r="P239" s="890">
        <v>7.7960238382552486E-5</v>
      </c>
      <c r="Q239" s="890">
        <v>7.716203166316229E-5</v>
      </c>
      <c r="R239" s="890">
        <v>7.6379358435284405E-5</v>
      </c>
      <c r="S239" s="890">
        <v>7.5608591439047516E-5</v>
      </c>
      <c r="T239" s="890">
        <v>7.4847846173865836E-5</v>
      </c>
      <c r="U239" s="890">
        <v>7.4096098358159714E-5</v>
      </c>
      <c r="V239" s="890">
        <v>7.3352754685124383E-5</v>
      </c>
      <c r="W239" s="890">
        <v>7.2617442705823727E-5</v>
      </c>
      <c r="X239" s="890">
        <v>7.1889906927698403E-5</v>
      </c>
      <c r="Y239" s="890">
        <v>7.1169956623252708E-5</v>
      </c>
      <c r="Z239" s="890">
        <v>7.0457438989852261E-5</v>
      </c>
      <c r="AA239" s="890">
        <v>6.9752224875427597E-5</v>
      </c>
      <c r="AB239" s="890">
        <v>6.9054200839101866E-5</v>
      </c>
      <c r="AC239" s="890">
        <v>6.8363264486839584E-5</v>
      </c>
      <c r="AD239" s="890">
        <v>6.7679321561423295E-5</v>
      </c>
      <c r="AE239" s="890">
        <v>6.700228401708003E-5</v>
      </c>
      <c r="AF239" s="890">
        <v>6.6332068678563719E-5</v>
      </c>
    </row>
    <row r="240" spans="1:32" s="864" customFormat="1" x14ac:dyDescent="0.25">
      <c r="A240" s="839"/>
      <c r="B240" s="842" t="s">
        <v>29</v>
      </c>
      <c r="C240" s="838"/>
      <c r="D240" s="838"/>
      <c r="E240" s="838"/>
      <c r="F240" s="838"/>
      <c r="G240" s="890">
        <v>0</v>
      </c>
      <c r="H240" s="890">
        <v>1.6528395166307782E-7</v>
      </c>
      <c r="I240" s="890">
        <v>3.0594599825791772E-7</v>
      </c>
      <c r="J240" s="890">
        <v>4.2578021262740659E-7</v>
      </c>
      <c r="K240" s="890">
        <v>5.2859172344907945E-7</v>
      </c>
      <c r="L240" s="890">
        <v>6.0784323676752901E-7</v>
      </c>
      <c r="M240" s="890">
        <v>6.6845987180798902E-7</v>
      </c>
      <c r="N240" s="890">
        <v>7.1436871970837071E-7</v>
      </c>
      <c r="O240" s="890">
        <v>7.4868638387471237E-7</v>
      </c>
      <c r="P240" s="890">
        <v>7.7387923966058055E-7</v>
      </c>
      <c r="Q240" s="890">
        <v>7.9189572341085051E-7</v>
      </c>
      <c r="R240" s="890">
        <v>8.0427346511030535E-7</v>
      </c>
      <c r="S240" s="890">
        <v>8.1222509845429471E-7</v>
      </c>
      <c r="T240" s="890">
        <v>8.1670654725536877E-7</v>
      </c>
      <c r="U240" s="890">
        <v>8.1847115609599917E-7</v>
      </c>
      <c r="V240" s="890">
        <v>8.1811249929976779E-7</v>
      </c>
      <c r="W240" s="890">
        <v>8.1609818815928973E-7</v>
      </c>
      <c r="X240" s="890">
        <v>8.1279654623735509E-7</v>
      </c>
      <c r="Y240" s="890">
        <v>8.0849764621410346E-7</v>
      </c>
      <c r="Z240" s="890">
        <v>8.0342989477810937E-7</v>
      </c>
      <c r="AA240" s="890">
        <v>7.9777310515213809E-7</v>
      </c>
      <c r="AB240" s="890">
        <v>7.9166879987181933E-7</v>
      </c>
      <c r="AC240" s="890">
        <v>7.852283300630079E-7</v>
      </c>
      <c r="AD240" s="890">
        <v>7.7853927368595861E-7</v>
      </c>
      <c r="AE240" s="890">
        <v>7.7167047741106203E-7</v>
      </c>
      <c r="AF240" s="890">
        <v>7.6467602959429826E-7</v>
      </c>
    </row>
    <row r="241" spans="1:32" s="864" customFormat="1" x14ac:dyDescent="0.25">
      <c r="A241" s="839"/>
      <c r="B241" s="839"/>
      <c r="C241" s="838"/>
      <c r="D241" s="838"/>
      <c r="E241" s="838"/>
      <c r="F241" s="838"/>
      <c r="G241" s="890" t="s">
        <v>73</v>
      </c>
      <c r="H241" s="890" t="s">
        <v>73</v>
      </c>
      <c r="I241" s="890" t="s">
        <v>73</v>
      </c>
      <c r="J241" s="890" t="s">
        <v>73</v>
      </c>
      <c r="K241" s="890" t="s">
        <v>73</v>
      </c>
      <c r="L241" s="890" t="s">
        <v>73</v>
      </c>
      <c r="M241" s="890" t="s">
        <v>73</v>
      </c>
      <c r="N241" s="890" t="s">
        <v>73</v>
      </c>
      <c r="O241" s="890" t="s">
        <v>73</v>
      </c>
      <c r="P241" s="890" t="s">
        <v>73</v>
      </c>
      <c r="Q241" s="890" t="s">
        <v>73</v>
      </c>
      <c r="R241" s="890" t="s">
        <v>73</v>
      </c>
      <c r="S241" s="890" t="s">
        <v>73</v>
      </c>
      <c r="T241" s="890" t="s">
        <v>73</v>
      </c>
      <c r="U241" s="890" t="s">
        <v>73</v>
      </c>
      <c r="V241" s="890" t="s">
        <v>73</v>
      </c>
      <c r="W241" s="890" t="s">
        <v>73</v>
      </c>
      <c r="X241" s="890" t="s">
        <v>73</v>
      </c>
      <c r="Y241" s="890" t="s">
        <v>73</v>
      </c>
      <c r="Z241" s="890" t="s">
        <v>73</v>
      </c>
      <c r="AA241" s="890" t="s">
        <v>73</v>
      </c>
      <c r="AB241" s="890" t="s">
        <v>73</v>
      </c>
      <c r="AC241" s="890" t="s">
        <v>73</v>
      </c>
      <c r="AD241" s="890" t="s">
        <v>73</v>
      </c>
      <c r="AE241" s="890" t="s">
        <v>73</v>
      </c>
      <c r="AF241" s="890" t="s">
        <v>73</v>
      </c>
    </row>
    <row r="242" spans="1:32" s="856" customFormat="1" ht="12.75" x14ac:dyDescent="0.2">
      <c r="A242" s="843" t="s">
        <v>36</v>
      </c>
      <c r="B242" s="843"/>
      <c r="C242" s="843"/>
      <c r="D242" s="843"/>
      <c r="E242" s="843"/>
      <c r="F242" s="843"/>
      <c r="G242" s="891" t="s">
        <v>73</v>
      </c>
      <c r="H242" s="891" t="s">
        <v>73</v>
      </c>
      <c r="I242" s="891" t="s">
        <v>73</v>
      </c>
      <c r="J242" s="891" t="s">
        <v>73</v>
      </c>
      <c r="K242" s="891" t="s">
        <v>73</v>
      </c>
      <c r="L242" s="891" t="s">
        <v>73</v>
      </c>
      <c r="M242" s="891" t="s">
        <v>73</v>
      </c>
      <c r="N242" s="891" t="s">
        <v>73</v>
      </c>
      <c r="O242" s="891" t="s">
        <v>73</v>
      </c>
      <c r="P242" s="891" t="s">
        <v>73</v>
      </c>
      <c r="Q242" s="891" t="s">
        <v>73</v>
      </c>
      <c r="R242" s="891" t="s">
        <v>73</v>
      </c>
      <c r="S242" s="891" t="s">
        <v>73</v>
      </c>
      <c r="T242" s="891" t="s">
        <v>73</v>
      </c>
      <c r="U242" s="891" t="s">
        <v>73</v>
      </c>
      <c r="V242" s="891" t="s">
        <v>73</v>
      </c>
      <c r="W242" s="891" t="s">
        <v>73</v>
      </c>
      <c r="X242" s="891" t="s">
        <v>73</v>
      </c>
      <c r="Y242" s="891" t="s">
        <v>73</v>
      </c>
      <c r="Z242" s="891" t="s">
        <v>73</v>
      </c>
      <c r="AA242" s="891" t="s">
        <v>73</v>
      </c>
      <c r="AB242" s="891" t="s">
        <v>73</v>
      </c>
      <c r="AC242" s="891" t="s">
        <v>73</v>
      </c>
      <c r="AD242" s="891" t="s">
        <v>73</v>
      </c>
      <c r="AE242" s="891" t="s">
        <v>73</v>
      </c>
      <c r="AF242" s="891" t="s">
        <v>73</v>
      </c>
    </row>
    <row r="243" spans="1:32" s="864" customFormat="1" x14ac:dyDescent="0.25">
      <c r="A243" s="839"/>
      <c r="B243" s="839" t="s">
        <v>37</v>
      </c>
      <c r="C243" s="838"/>
      <c r="D243" s="838"/>
      <c r="E243" s="838"/>
      <c r="F243" s="855"/>
      <c r="G243" s="890">
        <v>0.14963525370214639</v>
      </c>
      <c r="H243" s="890">
        <v>0.13218494716166701</v>
      </c>
      <c r="I243" s="890">
        <v>0.10931350277133643</v>
      </c>
      <c r="J243" s="890">
        <v>8.4090689801161494E-2</v>
      </c>
      <c r="K243" s="890">
        <v>5.964825101200931E-2</v>
      </c>
      <c r="L243" s="890">
        <v>4.2447206595945898E-2</v>
      </c>
      <c r="M243" s="890">
        <v>3.0294536889138499E-2</v>
      </c>
      <c r="N243" s="890">
        <v>2.1689979546199379E-2</v>
      </c>
      <c r="O243" s="890">
        <v>1.562503612975686E-2</v>
      </c>
      <c r="P243" s="890">
        <v>1.1341520772502009E-2</v>
      </c>
      <c r="Q243" s="890">
        <v>8.309945046621612E-3</v>
      </c>
      <c r="R243" s="890">
        <v>6.1597931707982369E-3</v>
      </c>
      <c r="S243" s="890">
        <v>4.6312938680987976E-3</v>
      </c>
      <c r="T243" s="890">
        <v>3.5435890646449511E-3</v>
      </c>
      <c r="U243" s="890">
        <v>2.7652505517228583E-3</v>
      </c>
      <c r="V243" s="890">
        <v>2.2064994062541326E-3</v>
      </c>
      <c r="W243" s="890">
        <v>1.8030481718574135E-3</v>
      </c>
      <c r="X243" s="890">
        <v>1.5104790242093848E-3</v>
      </c>
      <c r="Y243" s="890">
        <v>1.2963597102874755E-3</v>
      </c>
      <c r="Z243" s="890">
        <v>1.1382370019376233E-3</v>
      </c>
      <c r="AA243" s="890">
        <v>1.0211592681472596E-3</v>
      </c>
      <c r="AB243" s="890">
        <v>9.3267190356019524E-4</v>
      </c>
      <c r="AC243" s="890">
        <v>8.6480991095000794E-4</v>
      </c>
      <c r="AD243" s="890">
        <v>8.1280952664089913E-4</v>
      </c>
      <c r="AE243" s="890">
        <v>7.7141187251648794E-4</v>
      </c>
      <c r="AF243" s="890">
        <v>7.3778121434293442E-4</v>
      </c>
    </row>
    <row r="244" spans="1:32" s="864" customFormat="1" x14ac:dyDescent="0.25">
      <c r="A244" s="839"/>
      <c r="B244" s="839" t="s">
        <v>39</v>
      </c>
      <c r="C244" s="838"/>
      <c r="D244" s="838"/>
      <c r="E244" s="857"/>
      <c r="F244" s="838"/>
      <c r="G244" s="890">
        <v>0.30836882032987212</v>
      </c>
      <c r="H244" s="890">
        <v>0.3149158050462339</v>
      </c>
      <c r="I244" s="890">
        <v>0.32466144773225936</v>
      </c>
      <c r="J244" s="890">
        <v>0.33581906601405803</v>
      </c>
      <c r="K244" s="890">
        <v>0.34578538860837338</v>
      </c>
      <c r="L244" s="890">
        <v>0.35060194633328606</v>
      </c>
      <c r="M244" s="890">
        <v>0.35206070559920077</v>
      </c>
      <c r="N244" s="890">
        <v>0.35131709499718722</v>
      </c>
      <c r="O244" s="890">
        <v>0.34945637264266721</v>
      </c>
      <c r="P244" s="890">
        <v>0.34681127253978467</v>
      </c>
      <c r="Q244" s="890">
        <v>0.34395206508792808</v>
      </c>
      <c r="R244" s="890">
        <v>0.34104958999759016</v>
      </c>
      <c r="S244" s="890">
        <v>0.3382291372759727</v>
      </c>
      <c r="T244" s="890">
        <v>0.33523662113427305</v>
      </c>
      <c r="U244" s="890">
        <v>0.33213570835910577</v>
      </c>
      <c r="V244" s="890">
        <v>0.3289691412330179</v>
      </c>
      <c r="W244" s="890">
        <v>0.32576752732603687</v>
      </c>
      <c r="X244" s="890">
        <v>0.3225524194835756</v>
      </c>
      <c r="Y244" s="890">
        <v>0.31933815464288234</v>
      </c>
      <c r="Z244" s="890">
        <v>0.31613488830808162</v>
      </c>
      <c r="AA244" s="890">
        <v>0.31294985870025344</v>
      </c>
      <c r="AB244" s="890">
        <v>0.30978757668585605</v>
      </c>
      <c r="AC244" s="890">
        <v>0.30665120608412433</v>
      </c>
      <c r="AD244" s="890">
        <v>0.30354311353734814</v>
      </c>
      <c r="AE244" s="890">
        <v>0.30046439572344558</v>
      </c>
      <c r="AF244" s="890">
        <v>0.29741582892424595</v>
      </c>
    </row>
    <row r="245" spans="1:32" s="864" customFormat="1" x14ac:dyDescent="0.25">
      <c r="A245" s="839"/>
      <c r="B245" s="839" t="s">
        <v>40</v>
      </c>
      <c r="C245" s="838"/>
      <c r="D245" s="838"/>
      <c r="E245" s="838"/>
      <c r="F245" s="838"/>
      <c r="G245" s="890">
        <v>5.6406111486512783E-2</v>
      </c>
      <c r="H245" s="890">
        <v>5.7141784094491659E-2</v>
      </c>
      <c r="I245" s="890">
        <v>5.8421318501620426E-2</v>
      </c>
      <c r="J245" s="890">
        <v>5.9938544624109406E-2</v>
      </c>
      <c r="K245" s="890">
        <v>6.1571309902077737E-2</v>
      </c>
      <c r="L245" s="890">
        <v>6.246357897220807E-2</v>
      </c>
      <c r="M245" s="890">
        <v>6.2857587813660687E-2</v>
      </c>
      <c r="N245" s="890">
        <v>6.2760484820695739E-2</v>
      </c>
      <c r="O245" s="890">
        <v>6.2471329632978793E-2</v>
      </c>
      <c r="P245" s="890">
        <v>6.2053517656646573E-2</v>
      </c>
      <c r="Q245" s="890">
        <v>6.155121756464689E-2</v>
      </c>
      <c r="R245" s="890">
        <v>6.0994974295545873E-2</v>
      </c>
      <c r="S245" s="890">
        <v>6.0405782645274401E-2</v>
      </c>
      <c r="T245" s="890">
        <v>5.9800649513737432E-2</v>
      </c>
      <c r="U245" s="890">
        <v>5.9186215737514217E-2</v>
      </c>
      <c r="V245" s="890">
        <v>5.8571359193213234E-2</v>
      </c>
      <c r="W245" s="890">
        <v>5.7959858005015123E-2</v>
      </c>
      <c r="X245" s="890">
        <v>5.7352091705121996E-2</v>
      </c>
      <c r="Y245" s="890">
        <v>5.6751817095296822E-2</v>
      </c>
      <c r="Z245" s="890">
        <v>5.6159750193203566E-2</v>
      </c>
      <c r="AA245" s="890">
        <v>5.5574597466752369E-2</v>
      </c>
      <c r="AB245" s="890">
        <v>5.4998315488963737E-2</v>
      </c>
      <c r="AC245" s="890">
        <v>5.4430750206630546E-2</v>
      </c>
      <c r="AD245" s="890">
        <v>5.3870329504938946E-2</v>
      </c>
      <c r="AE245" s="890">
        <v>5.3318332100702262E-2</v>
      </c>
      <c r="AF245" s="890">
        <v>5.2774415236524493E-2</v>
      </c>
    </row>
    <row r="246" spans="1:32" s="864" customFormat="1" x14ac:dyDescent="0.25">
      <c r="A246" s="839"/>
      <c r="B246" s="839" t="s">
        <v>29</v>
      </c>
      <c r="C246" s="838"/>
      <c r="D246" s="838"/>
      <c r="E246" s="838"/>
      <c r="F246" s="838"/>
      <c r="G246" s="890">
        <v>0</v>
      </c>
      <c r="H246" s="890">
        <v>1.3635082958052992E-12</v>
      </c>
      <c r="I246" s="890">
        <v>2.4139718805355588E-12</v>
      </c>
      <c r="J246" s="890">
        <v>3.21979913494042E-12</v>
      </c>
      <c r="K246" s="890">
        <v>3.8508671735886494E-12</v>
      </c>
      <c r="L246" s="890">
        <v>4.375031660641912E-12</v>
      </c>
      <c r="M246" s="890">
        <v>4.8156204430973372E-12</v>
      </c>
      <c r="N246" s="890">
        <v>5.1731583545287379E-12</v>
      </c>
      <c r="O246" s="890">
        <v>5.4307368997210848E-12</v>
      </c>
      <c r="P246" s="890">
        <v>5.6107702612141482E-12</v>
      </c>
      <c r="Q246" s="890">
        <v>5.7307762603647417E-12</v>
      </c>
      <c r="R246" s="890">
        <v>5.804438076800306E-12</v>
      </c>
      <c r="S246" s="890">
        <v>5.8424364206324204E-12</v>
      </c>
      <c r="T246" s="890">
        <v>5.8531016002507132E-12</v>
      </c>
      <c r="U246" s="890">
        <v>5.8429250161655838E-12</v>
      </c>
      <c r="V246" s="890">
        <v>5.8169590504400994E-12</v>
      </c>
      <c r="W246" s="890">
        <v>5.7791312116934106E-12</v>
      </c>
      <c r="X246" s="890">
        <v>5.7324897994733059E-12</v>
      </c>
      <c r="Y246" s="890">
        <v>5.6793960280961172E-12</v>
      </c>
      <c r="Z246" s="890">
        <v>5.6216750320843204E-12</v>
      </c>
      <c r="AA246" s="890">
        <v>5.5607337391950825E-12</v>
      </c>
      <c r="AB246" s="890">
        <v>5.4976528863743564E-12</v>
      </c>
      <c r="AC246" s="890">
        <v>5.4332594766820834E-12</v>
      </c>
      <c r="AD246" s="890">
        <v>5.3681831676682286E-12</v>
      </c>
      <c r="AE246" s="890">
        <v>5.3029001566115997E-12</v>
      </c>
      <c r="AF246" s="890">
        <v>5.2377678607218159E-12</v>
      </c>
    </row>
    <row r="247" spans="1:32" s="864" customFormat="1" x14ac:dyDescent="0.25">
      <c r="A247" s="839"/>
      <c r="B247" s="839"/>
      <c r="C247" s="838"/>
      <c r="D247" s="838"/>
      <c r="E247" s="838"/>
      <c r="F247" s="838"/>
      <c r="G247" s="890" t="s">
        <v>73</v>
      </c>
      <c r="H247" s="890" t="s">
        <v>73</v>
      </c>
      <c r="I247" s="890" t="s">
        <v>73</v>
      </c>
      <c r="J247" s="890" t="s">
        <v>73</v>
      </c>
      <c r="K247" s="890" t="s">
        <v>73</v>
      </c>
      <c r="L247" s="890" t="s">
        <v>73</v>
      </c>
      <c r="M247" s="890" t="s">
        <v>73</v>
      </c>
      <c r="N247" s="890" t="s">
        <v>73</v>
      </c>
      <c r="O247" s="890" t="s">
        <v>73</v>
      </c>
      <c r="P247" s="890" t="s">
        <v>73</v>
      </c>
      <c r="Q247" s="890" t="s">
        <v>73</v>
      </c>
      <c r="R247" s="890" t="s">
        <v>73</v>
      </c>
      <c r="S247" s="890" t="s">
        <v>73</v>
      </c>
      <c r="T247" s="890" t="s">
        <v>73</v>
      </c>
      <c r="U247" s="890" t="s">
        <v>73</v>
      </c>
      <c r="V247" s="890" t="s">
        <v>73</v>
      </c>
      <c r="W247" s="890" t="s">
        <v>73</v>
      </c>
      <c r="X247" s="890" t="s">
        <v>73</v>
      </c>
      <c r="Y247" s="890" t="s">
        <v>73</v>
      </c>
      <c r="Z247" s="890" t="s">
        <v>73</v>
      </c>
      <c r="AA247" s="890" t="s">
        <v>73</v>
      </c>
      <c r="AB247" s="890" t="s">
        <v>73</v>
      </c>
      <c r="AC247" s="890" t="s">
        <v>73</v>
      </c>
      <c r="AD247" s="890" t="s">
        <v>73</v>
      </c>
      <c r="AE247" s="890" t="s">
        <v>73</v>
      </c>
      <c r="AF247" s="890" t="s">
        <v>73</v>
      </c>
    </row>
    <row r="248" spans="1:32" s="856" customFormat="1" ht="12.75" x14ac:dyDescent="0.2">
      <c r="A248" s="843" t="s">
        <v>42</v>
      </c>
      <c r="B248" s="843"/>
      <c r="C248" s="843"/>
      <c r="D248" s="843"/>
      <c r="E248" s="843"/>
      <c r="F248" s="843"/>
      <c r="G248" s="891" t="s">
        <v>73</v>
      </c>
      <c r="H248" s="891" t="s">
        <v>73</v>
      </c>
      <c r="I248" s="891" t="s">
        <v>73</v>
      </c>
      <c r="J248" s="891" t="s">
        <v>73</v>
      </c>
      <c r="K248" s="891" t="s">
        <v>73</v>
      </c>
      <c r="L248" s="891" t="s">
        <v>73</v>
      </c>
      <c r="M248" s="891" t="s">
        <v>73</v>
      </c>
      <c r="N248" s="891" t="s">
        <v>73</v>
      </c>
      <c r="O248" s="891" t="s">
        <v>73</v>
      </c>
      <c r="P248" s="891" t="s">
        <v>73</v>
      </c>
      <c r="Q248" s="891" t="s">
        <v>73</v>
      </c>
      <c r="R248" s="891" t="s">
        <v>73</v>
      </c>
      <c r="S248" s="891" t="s">
        <v>73</v>
      </c>
      <c r="T248" s="891" t="s">
        <v>73</v>
      </c>
      <c r="U248" s="891" t="s">
        <v>73</v>
      </c>
      <c r="V248" s="891" t="s">
        <v>73</v>
      </c>
      <c r="W248" s="891" t="s">
        <v>73</v>
      </c>
      <c r="X248" s="891" t="s">
        <v>73</v>
      </c>
      <c r="Y248" s="891" t="s">
        <v>73</v>
      </c>
      <c r="Z248" s="891" t="s">
        <v>73</v>
      </c>
      <c r="AA248" s="891" t="s">
        <v>73</v>
      </c>
      <c r="AB248" s="891" t="s">
        <v>73</v>
      </c>
      <c r="AC248" s="891" t="s">
        <v>73</v>
      </c>
      <c r="AD248" s="891" t="s">
        <v>73</v>
      </c>
      <c r="AE248" s="891" t="s">
        <v>73</v>
      </c>
      <c r="AF248" s="891" t="s">
        <v>73</v>
      </c>
    </row>
    <row r="249" spans="1:32" s="864" customFormat="1" x14ac:dyDescent="0.25">
      <c r="A249" s="839"/>
      <c r="B249" s="842" t="s">
        <v>43</v>
      </c>
      <c r="C249" s="838"/>
      <c r="D249" s="838"/>
      <c r="E249" s="838"/>
      <c r="F249" s="838"/>
      <c r="G249" s="890">
        <v>6.7864238484781528E-2</v>
      </c>
      <c r="H249" s="890">
        <v>6.0712971925928505E-2</v>
      </c>
      <c r="I249" s="890">
        <v>5.4467279672755824E-2</v>
      </c>
      <c r="J249" s="890">
        <v>4.9006174454982523E-2</v>
      </c>
      <c r="K249" s="890">
        <v>4.4225611933901059E-2</v>
      </c>
      <c r="L249" s="890">
        <v>4.0035986150242918E-2</v>
      </c>
      <c r="M249" s="890">
        <v>3.6360019765394859E-2</v>
      </c>
      <c r="N249" s="890">
        <v>3.3130982034070312E-2</v>
      </c>
      <c r="O249" s="890">
        <v>3.029117981018329E-2</v>
      </c>
      <c r="P249" s="890">
        <v>2.7790676777474564E-2</v>
      </c>
      <c r="Q249" s="890">
        <v>2.5586204045236944E-2</v>
      </c>
      <c r="R249" s="890">
        <v>2.3640231668253724E-2</v>
      </c>
      <c r="S249" s="890">
        <v>2.192017585706461E-2</v>
      </c>
      <c r="T249" s="890">
        <v>2.0397720887422907E-2</v>
      </c>
      <c r="U249" s="890">
        <v>1.9053553375056202E-2</v>
      </c>
      <c r="V249" s="890">
        <v>1.7859610953749581E-2</v>
      </c>
      <c r="W249" s="890">
        <v>1.6801481007640551E-2</v>
      </c>
      <c r="X249" s="890">
        <v>1.5861563609945648E-2</v>
      </c>
      <c r="Y249" s="890">
        <v>1.5024699207475699E-2</v>
      </c>
      <c r="Z249" s="890">
        <v>1.427780843043364E-2</v>
      </c>
      <c r="AA249" s="890">
        <v>1.360731298070742E-2</v>
      </c>
      <c r="AB249" s="890">
        <v>1.3006271544041652E-2</v>
      </c>
      <c r="AC249" s="890">
        <v>1.2466091182220057E-2</v>
      </c>
      <c r="AD249" s="890">
        <v>1.1979319112321868E-2</v>
      </c>
      <c r="AE249" s="890">
        <v>1.153948198896205E-2</v>
      </c>
      <c r="AF249" s="890">
        <v>1.1140949243557689E-2</v>
      </c>
    </row>
    <row r="250" spans="1:32" s="864" customFormat="1" x14ac:dyDescent="0.25">
      <c r="A250" s="839"/>
      <c r="B250" s="842" t="s">
        <v>44</v>
      </c>
      <c r="C250" s="838"/>
      <c r="D250" s="838"/>
      <c r="E250" s="838"/>
      <c r="F250" s="838"/>
      <c r="G250" s="890">
        <v>0.47037944873256682</v>
      </c>
      <c r="H250" s="890">
        <v>0.47493420042880885</v>
      </c>
      <c r="I250" s="890">
        <v>0.48128158145013145</v>
      </c>
      <c r="J250" s="890">
        <v>0.48644693487300372</v>
      </c>
      <c r="K250" s="890">
        <v>0.49051583298534895</v>
      </c>
      <c r="L250" s="890">
        <v>0.49358157892202698</v>
      </c>
      <c r="M250" s="890">
        <v>0.49573920054810233</v>
      </c>
      <c r="N250" s="890">
        <v>0.49708156135881915</v>
      </c>
      <c r="O250" s="890">
        <v>0.49769695633682953</v>
      </c>
      <c r="P250" s="890">
        <v>0.49766773791278712</v>
      </c>
      <c r="Q250" s="890">
        <v>0.49706964609828169</v>
      </c>
      <c r="R250" s="890">
        <v>0.49597161047085636</v>
      </c>
      <c r="S250" s="890">
        <v>0.49443585950119989</v>
      </c>
      <c r="T250" s="890">
        <v>0.4925182216941672</v>
      </c>
      <c r="U250" s="890">
        <v>0.49026633610961523</v>
      </c>
      <c r="V250" s="890">
        <v>0.48772684660361282</v>
      </c>
      <c r="W250" s="890">
        <v>0.4849394616682639</v>
      </c>
      <c r="X250" s="890">
        <v>0.48193946186823589</v>
      </c>
      <c r="Y250" s="890">
        <v>0.47875789398504098</v>
      </c>
      <c r="Z250" s="890">
        <v>0.47542202211306372</v>
      </c>
      <c r="AA250" s="890">
        <v>0.4719527886581325</v>
      </c>
      <c r="AB250" s="890">
        <v>0.46837523789656954</v>
      </c>
      <c r="AC250" s="890">
        <v>0.46470728199508921</v>
      </c>
      <c r="AD250" s="890">
        <v>0.46096465520181995</v>
      </c>
      <c r="AE250" s="890">
        <v>0.45716115957089198</v>
      </c>
      <c r="AF250" s="890">
        <v>0.45330888892187521</v>
      </c>
    </row>
    <row r="251" spans="1:32" s="864" customFormat="1" x14ac:dyDescent="0.25">
      <c r="A251" s="839"/>
      <c r="B251" s="842" t="s">
        <v>45</v>
      </c>
      <c r="C251" s="838"/>
      <c r="D251" s="838"/>
      <c r="E251" s="838"/>
      <c r="F251" s="838"/>
      <c r="G251" s="890">
        <v>7.7791997069336496E-2</v>
      </c>
      <c r="H251" s="890">
        <v>6.8445081483951037E-2</v>
      </c>
      <c r="I251" s="890">
        <v>6.0287617505889117E-2</v>
      </c>
      <c r="J251" s="890">
        <v>5.3162667971161787E-2</v>
      </c>
      <c r="K251" s="890">
        <v>4.6934743055795466E-2</v>
      </c>
      <c r="L251" s="890">
        <v>4.148676095453982E-2</v>
      </c>
      <c r="M251" s="890">
        <v>3.6717456044414482E-2</v>
      </c>
      <c r="N251" s="890">
        <v>3.2539165886592183E-2</v>
      </c>
      <c r="O251" s="890">
        <v>2.8875939434480843E-2</v>
      </c>
      <c r="P251" s="890">
        <v>2.5661917973396522E-2</v>
      </c>
      <c r="Q251" s="890">
        <v>2.2839947948292093E-2</v>
      </c>
      <c r="R251" s="890">
        <v>2.0360391208762704E-2</v>
      </c>
      <c r="S251" s="890">
        <v>1.8180103533306836E-2</v>
      </c>
      <c r="T251" s="890">
        <v>1.6261556765888995E-2</v>
      </c>
      <c r="U251" s="890">
        <v>1.4578971587548169E-2</v>
      </c>
      <c r="V251" s="890">
        <v>1.3095318882865383E-2</v>
      </c>
      <c r="W251" s="890">
        <v>1.1791279214917409E-2</v>
      </c>
      <c r="X251" s="890">
        <v>1.0643513280900185E-2</v>
      </c>
      <c r="Y251" s="890">
        <v>9.6319046847132793E-3</v>
      </c>
      <c r="Z251" s="890">
        <v>8.7390877446148277E-3</v>
      </c>
      <c r="AA251" s="890">
        <v>7.9471744380286719E-3</v>
      </c>
      <c r="AB251" s="890">
        <v>7.24674493883775E-3</v>
      </c>
      <c r="AC251" s="890">
        <v>6.6263900418353592E-3</v>
      </c>
      <c r="AD251" s="890">
        <v>6.076210345828623E-3</v>
      </c>
      <c r="AE251" s="890">
        <v>5.5876046641724171E-3</v>
      </c>
      <c r="AF251" s="890">
        <v>5.1530898049793735E-3</v>
      </c>
    </row>
    <row r="252" spans="1:32" s="864" customFormat="1" x14ac:dyDescent="0.25">
      <c r="A252" s="839"/>
      <c r="B252" s="842" t="s">
        <v>46</v>
      </c>
      <c r="C252" s="838"/>
      <c r="D252" s="838"/>
      <c r="E252" s="838"/>
      <c r="F252" s="838"/>
      <c r="G252" s="890">
        <v>0</v>
      </c>
      <c r="H252" s="890">
        <v>0</v>
      </c>
      <c r="I252" s="890">
        <v>0</v>
      </c>
      <c r="J252" s="890">
        <v>0</v>
      </c>
      <c r="K252" s="890">
        <v>0</v>
      </c>
      <c r="L252" s="890">
        <v>0</v>
      </c>
      <c r="M252" s="890">
        <v>0</v>
      </c>
      <c r="N252" s="890">
        <v>0</v>
      </c>
      <c r="O252" s="890">
        <v>0</v>
      </c>
      <c r="P252" s="890">
        <v>0</v>
      </c>
      <c r="Q252" s="890">
        <v>0</v>
      </c>
      <c r="R252" s="890">
        <v>0</v>
      </c>
      <c r="S252" s="890">
        <v>0</v>
      </c>
      <c r="T252" s="890">
        <v>0</v>
      </c>
      <c r="U252" s="890">
        <v>0</v>
      </c>
      <c r="V252" s="890">
        <v>0</v>
      </c>
      <c r="W252" s="890">
        <v>0</v>
      </c>
      <c r="X252" s="890">
        <v>0</v>
      </c>
      <c r="Y252" s="890">
        <v>0</v>
      </c>
      <c r="Z252" s="890">
        <v>0</v>
      </c>
      <c r="AA252" s="890">
        <v>0</v>
      </c>
      <c r="AB252" s="890">
        <v>0</v>
      </c>
      <c r="AC252" s="890">
        <v>0</v>
      </c>
      <c r="AD252" s="890">
        <v>0</v>
      </c>
      <c r="AE252" s="890">
        <v>0</v>
      </c>
      <c r="AF252" s="890">
        <v>0</v>
      </c>
    </row>
    <row r="253" spans="1:32" s="864" customFormat="1" x14ac:dyDescent="0.25">
      <c r="A253" s="839"/>
      <c r="B253" s="839" t="s">
        <v>29</v>
      </c>
      <c r="C253" s="838"/>
      <c r="D253" s="838"/>
      <c r="E253" s="838"/>
      <c r="F253" s="838"/>
      <c r="G253" s="890">
        <v>0</v>
      </c>
      <c r="H253" s="890">
        <v>2.0068374512207726E-3</v>
      </c>
      <c r="I253" s="890">
        <v>3.4557504756242024E-3</v>
      </c>
      <c r="J253" s="890">
        <v>4.4941360730572045E-3</v>
      </c>
      <c r="K253" s="890">
        <v>5.2305722613292978E-3</v>
      </c>
      <c r="L253" s="890">
        <v>5.745041381728557E-3</v>
      </c>
      <c r="M253" s="890">
        <v>6.0964603185526441E-3</v>
      </c>
      <c r="N253" s="890">
        <v>6.3282272745142755E-3</v>
      </c>
      <c r="O253" s="890">
        <v>6.472307690162318E-3</v>
      </c>
      <c r="P253" s="890">
        <v>6.5522441635002147E-3</v>
      </c>
      <c r="Q253" s="890">
        <v>6.5853738062088907E-3</v>
      </c>
      <c r="R253" s="890">
        <v>6.5844617885113341E-3</v>
      </c>
      <c r="S253" s="890">
        <v>6.5589048256107412E-3</v>
      </c>
      <c r="T253" s="890">
        <v>6.5156178544399619E-3</v>
      </c>
      <c r="U253" s="890">
        <v>6.4526182744349247E-3</v>
      </c>
      <c r="V253" s="890">
        <v>6.3827429159237113E-3</v>
      </c>
      <c r="W253" s="890">
        <v>6.3015629146134025E-3</v>
      </c>
      <c r="X253" s="890">
        <v>6.2128474694294299E-3</v>
      </c>
      <c r="Y253" s="890">
        <v>6.1193427848683472E-3</v>
      </c>
      <c r="Z253" s="890">
        <v>6.0230430055580771E-3</v>
      </c>
      <c r="AA253" s="890">
        <v>5.9311026897034573E-3</v>
      </c>
      <c r="AB253" s="890">
        <v>5.8371395670176081E-3</v>
      </c>
      <c r="AC253" s="890">
        <v>5.7423490585446473E-3</v>
      </c>
      <c r="AD253" s="890">
        <v>5.6475877737903867E-3</v>
      </c>
      <c r="AE253" s="890">
        <v>5.5534638436270309E-3</v>
      </c>
      <c r="AF253" s="890">
        <v>5.4604034078107331E-3</v>
      </c>
    </row>
    <row r="254" spans="1:32" s="864" customFormat="1" x14ac:dyDescent="0.25">
      <c r="A254" s="839"/>
      <c r="B254" s="839"/>
      <c r="C254" s="838"/>
      <c r="D254" s="838"/>
      <c r="E254" s="838"/>
      <c r="F254" s="838"/>
      <c r="G254" s="890" t="s">
        <v>73</v>
      </c>
      <c r="H254" s="890" t="s">
        <v>73</v>
      </c>
      <c r="I254" s="890" t="s">
        <v>73</v>
      </c>
      <c r="J254" s="890" t="s">
        <v>73</v>
      </c>
      <c r="K254" s="890" t="s">
        <v>73</v>
      </c>
      <c r="L254" s="890" t="s">
        <v>73</v>
      </c>
      <c r="M254" s="890" t="s">
        <v>73</v>
      </c>
      <c r="N254" s="890" t="s">
        <v>73</v>
      </c>
      <c r="O254" s="890" t="s">
        <v>73</v>
      </c>
      <c r="P254" s="890" t="s">
        <v>73</v>
      </c>
      <c r="Q254" s="890" t="s">
        <v>73</v>
      </c>
      <c r="R254" s="890" t="s">
        <v>73</v>
      </c>
      <c r="S254" s="890" t="s">
        <v>73</v>
      </c>
      <c r="T254" s="890" t="s">
        <v>73</v>
      </c>
      <c r="U254" s="890" t="s">
        <v>73</v>
      </c>
      <c r="V254" s="890" t="s">
        <v>73</v>
      </c>
      <c r="W254" s="890" t="s">
        <v>73</v>
      </c>
      <c r="X254" s="890" t="s">
        <v>73</v>
      </c>
      <c r="Y254" s="890" t="s">
        <v>73</v>
      </c>
      <c r="Z254" s="890" t="s">
        <v>73</v>
      </c>
      <c r="AA254" s="890" t="s">
        <v>73</v>
      </c>
      <c r="AB254" s="890" t="s">
        <v>73</v>
      </c>
      <c r="AC254" s="890" t="s">
        <v>73</v>
      </c>
      <c r="AD254" s="890" t="s">
        <v>73</v>
      </c>
      <c r="AE254" s="890" t="s">
        <v>73</v>
      </c>
      <c r="AF254" s="890" t="s">
        <v>73</v>
      </c>
    </row>
    <row r="255" spans="1:32" s="856" customFormat="1" ht="12.75" x14ac:dyDescent="0.2">
      <c r="A255" s="843" t="s">
        <v>47</v>
      </c>
      <c r="B255" s="843"/>
      <c r="C255" s="843"/>
      <c r="D255" s="843"/>
      <c r="E255" s="843"/>
      <c r="F255" s="843"/>
      <c r="G255" s="891" t="s">
        <v>73</v>
      </c>
      <c r="H255" s="891" t="s">
        <v>73</v>
      </c>
      <c r="I255" s="891" t="s">
        <v>73</v>
      </c>
      <c r="J255" s="891" t="s">
        <v>73</v>
      </c>
      <c r="K255" s="891" t="s">
        <v>73</v>
      </c>
      <c r="L255" s="891" t="s">
        <v>73</v>
      </c>
      <c r="M255" s="891" t="s">
        <v>73</v>
      </c>
      <c r="N255" s="891" t="s">
        <v>73</v>
      </c>
      <c r="O255" s="891" t="s">
        <v>73</v>
      </c>
      <c r="P255" s="891" t="s">
        <v>73</v>
      </c>
      <c r="Q255" s="891" t="s">
        <v>73</v>
      </c>
      <c r="R255" s="891" t="s">
        <v>73</v>
      </c>
      <c r="S255" s="891" t="s">
        <v>73</v>
      </c>
      <c r="T255" s="891" t="s">
        <v>73</v>
      </c>
      <c r="U255" s="891" t="s">
        <v>73</v>
      </c>
      <c r="V255" s="891" t="s">
        <v>73</v>
      </c>
      <c r="W255" s="891" t="s">
        <v>73</v>
      </c>
      <c r="X255" s="891" t="s">
        <v>73</v>
      </c>
      <c r="Y255" s="891" t="s">
        <v>73</v>
      </c>
      <c r="Z255" s="891" t="s">
        <v>73</v>
      </c>
      <c r="AA255" s="891" t="s">
        <v>73</v>
      </c>
      <c r="AB255" s="891" t="s">
        <v>73</v>
      </c>
      <c r="AC255" s="891" t="s">
        <v>73</v>
      </c>
      <c r="AD255" s="891" t="s">
        <v>73</v>
      </c>
      <c r="AE255" s="891" t="s">
        <v>73</v>
      </c>
      <c r="AF255" s="891" t="s">
        <v>73</v>
      </c>
    </row>
    <row r="256" spans="1:32" s="864" customFormat="1" x14ac:dyDescent="0.25">
      <c r="A256" s="839"/>
      <c r="B256" s="839" t="s">
        <v>48</v>
      </c>
      <c r="C256" s="838"/>
      <c r="D256" s="838"/>
      <c r="E256" s="838"/>
      <c r="F256" s="838"/>
      <c r="G256" s="890">
        <v>0</v>
      </c>
      <c r="H256" s="890">
        <v>0</v>
      </c>
      <c r="I256" s="890">
        <v>0</v>
      </c>
      <c r="J256" s="890">
        <v>0</v>
      </c>
      <c r="K256" s="890">
        <v>0</v>
      </c>
      <c r="L256" s="890">
        <v>0</v>
      </c>
      <c r="M256" s="890">
        <v>0</v>
      </c>
      <c r="N256" s="890">
        <v>0</v>
      </c>
      <c r="O256" s="890">
        <v>0</v>
      </c>
      <c r="P256" s="890">
        <v>0</v>
      </c>
      <c r="Q256" s="890">
        <v>0</v>
      </c>
      <c r="R256" s="890">
        <v>0</v>
      </c>
      <c r="S256" s="890">
        <v>0</v>
      </c>
      <c r="T256" s="890">
        <v>0</v>
      </c>
      <c r="U256" s="890">
        <v>0</v>
      </c>
      <c r="V256" s="890">
        <v>0</v>
      </c>
      <c r="W256" s="890">
        <v>0</v>
      </c>
      <c r="X256" s="890">
        <v>0</v>
      </c>
      <c r="Y256" s="890">
        <v>0</v>
      </c>
      <c r="Z256" s="890">
        <v>0</v>
      </c>
      <c r="AA256" s="890">
        <v>0</v>
      </c>
      <c r="AB256" s="890">
        <v>0</v>
      </c>
      <c r="AC256" s="890">
        <v>0</v>
      </c>
      <c r="AD256" s="890">
        <v>0</v>
      </c>
      <c r="AE256" s="890">
        <v>0</v>
      </c>
      <c r="AF256" s="890">
        <v>0</v>
      </c>
    </row>
    <row r="257" spans="1:32" s="864" customFormat="1" x14ac:dyDescent="0.25">
      <c r="A257" s="839"/>
      <c r="B257" s="842" t="s">
        <v>50</v>
      </c>
      <c r="C257" s="838"/>
      <c r="D257" s="838"/>
      <c r="E257" s="838"/>
      <c r="F257" s="838"/>
      <c r="G257" s="890">
        <v>1.0444911528385998E-4</v>
      </c>
      <c r="H257" s="890">
        <v>1.0140429269767832E-4</v>
      </c>
      <c r="I257" s="890">
        <v>9.8448230505073203E-5</v>
      </c>
      <c r="J257" s="890">
        <v>9.5578341229354436E-5</v>
      </c>
      <c r="K257" s="890">
        <v>9.2792112822019266E-5</v>
      </c>
      <c r="L257" s="890">
        <v>9.0087106463926521E-5</v>
      </c>
      <c r="M257" s="890">
        <v>8.7460954430568872E-5</v>
      </c>
      <c r="N257" s="890">
        <v>8.4911358019575114E-5</v>
      </c>
      <c r="O257" s="890">
        <v>8.2436085538628489E-5</v>
      </c>
      <c r="P257" s="890">
        <v>8.0032970352039601E-5</v>
      </c>
      <c r="Q257" s="890">
        <v>7.7699908984264136E-5</v>
      </c>
      <c r="R257" s="890">
        <v>7.5434859278705694E-5</v>
      </c>
      <c r="S257" s="890">
        <v>7.3235838610191407E-5</v>
      </c>
      <c r="T257" s="890">
        <v>7.110092214955651E-5</v>
      </c>
      <c r="U257" s="890">
        <v>6.9028241178818118E-5</v>
      </c>
      <c r="V257" s="890">
        <v>6.7015981455464203E-5</v>
      </c>
      <c r="W257" s="890">
        <v>6.5062381624425144E-5</v>
      </c>
      <c r="X257" s="890">
        <v>6.3165731676338572E-5</v>
      </c>
      <c r="Y257" s="890">
        <v>6.1324371450757764E-5</v>
      </c>
      <c r="Z257" s="890">
        <v>5.9536689182993112E-5</v>
      </c>
      <c r="AA257" s="890">
        <v>5.7801120093315363E-5</v>
      </c>
      <c r="AB257" s="890">
        <v>5.6116145017285014E-5</v>
      </c>
      <c r="AC257" s="890">
        <v>5.4480289076009475E-5</v>
      </c>
      <c r="AD257" s="890">
        <v>5.2892120385163963E-5</v>
      </c>
      <c r="AE257" s="890">
        <v>5.1350248801645879E-5</v>
      </c>
      <c r="AF257" s="890">
        <v>4.9853324706765956E-5</v>
      </c>
    </row>
    <row r="258" spans="1:32" s="864" customFormat="1" x14ac:dyDescent="0.25">
      <c r="A258" s="839"/>
      <c r="B258" s="839" t="s">
        <v>51</v>
      </c>
      <c r="C258" s="838"/>
      <c r="D258" s="838"/>
      <c r="E258" s="838"/>
      <c r="F258" s="838"/>
      <c r="G258" s="890">
        <v>7.5515039579740289E-4</v>
      </c>
      <c r="H258" s="890">
        <v>7.3519119900123514E-4</v>
      </c>
      <c r="I258" s="890">
        <v>7.1575953889042843E-4</v>
      </c>
      <c r="J258" s="890">
        <v>6.9684147227091348E-4</v>
      </c>
      <c r="K258" s="890">
        <v>6.7842342447779812E-4</v>
      </c>
      <c r="L258" s="890">
        <v>6.6049217963486302E-4</v>
      </c>
      <c r="M258" s="890">
        <v>6.4303487117150539E-4</v>
      </c>
      <c r="N258" s="890">
        <v>6.2603897259032554E-4</v>
      </c>
      <c r="O258" s="890">
        <v>6.0949228847873677E-4</v>
      </c>
      <c r="P258" s="890">
        <v>5.9338294575814101E-4</v>
      </c>
      <c r="Q258" s="890">
        <v>5.7769938516439971E-4</v>
      </c>
      <c r="R258" s="890">
        <v>5.6243035295347737E-4</v>
      </c>
      <c r="S258" s="890">
        <v>5.4756489282631533E-4</v>
      </c>
      <c r="T258" s="890">
        <v>5.3309233806713731E-4</v>
      </c>
      <c r="U258" s="890">
        <v>5.1900230388954045E-4</v>
      </c>
      <c r="V258" s="890">
        <v>5.0528467998489114E-4</v>
      </c>
      <c r="W258" s="890">
        <v>4.9192962326766914E-4</v>
      </c>
      <c r="X258" s="890">
        <v>4.7892755081255738E-4</v>
      </c>
      <c r="Y258" s="890">
        <v>4.6626913297821248E-4</v>
      </c>
      <c r="Z258" s="890">
        <v>4.5394528671277584E-4</v>
      </c>
      <c r="AA258" s="890">
        <v>4.4194716903632854E-4</v>
      </c>
      <c r="AB258" s="890">
        <v>4.302661706956062E-4</v>
      </c>
      <c r="AC258" s="890">
        <v>4.1889390998642789E-4</v>
      </c>
      <c r="AD258" s="890">
        <v>4.0782222673940174E-4</v>
      </c>
      <c r="AE258" s="890">
        <v>3.9704317646459161E-4</v>
      </c>
      <c r="AF258" s="890">
        <v>3.8654902465094608E-4</v>
      </c>
    </row>
    <row r="259" spans="1:32" s="864" customFormat="1" x14ac:dyDescent="0.25">
      <c r="A259" s="839"/>
      <c r="B259" s="839" t="s">
        <v>52</v>
      </c>
      <c r="C259" s="838"/>
      <c r="D259" s="838"/>
      <c r="E259" s="838"/>
      <c r="F259" s="838"/>
      <c r="G259" s="890">
        <v>2.1209213512068028E-3</v>
      </c>
      <c r="H259" s="890">
        <v>2.0946242750048555E-3</v>
      </c>
      <c r="I259" s="890">
        <v>2.0687243669076094E-3</v>
      </c>
      <c r="J259" s="890">
        <v>2.0432119749284436E-3</v>
      </c>
      <c r="K259" s="890">
        <v>2.018077898576544E-3</v>
      </c>
      <c r="L259" s="890">
        <v>1.9908016329537631E-3</v>
      </c>
      <c r="M259" s="890">
        <v>1.9627410818289824E-3</v>
      </c>
      <c r="N259" s="890">
        <v>1.9344732619991497E-3</v>
      </c>
      <c r="O259" s="890">
        <v>1.9077207423760457E-3</v>
      </c>
      <c r="P259" s="890">
        <v>1.8820804424827915E-3</v>
      </c>
      <c r="Q259" s="890">
        <v>1.8573093360527107E-3</v>
      </c>
      <c r="R259" s="890">
        <v>1.8332512065326184E-3</v>
      </c>
      <c r="S259" s="890">
        <v>1.8098002965448183E-3</v>
      </c>
      <c r="T259" s="890">
        <v>1.7869310256807488E-3</v>
      </c>
      <c r="U259" s="890">
        <v>1.7645340020962905E-3</v>
      </c>
      <c r="V259" s="890">
        <v>1.7426099993677292E-3</v>
      </c>
      <c r="W259" s="890">
        <v>1.7211198545306217E-3</v>
      </c>
      <c r="X259" s="890">
        <v>1.699998235721668E-3</v>
      </c>
      <c r="Y259" s="890">
        <v>1.6792576650827937E-3</v>
      </c>
      <c r="Z259" s="890">
        <v>1.6588765260710308E-3</v>
      </c>
      <c r="AA259" s="890">
        <v>1.6388091572335449E-3</v>
      </c>
      <c r="AB259" s="890">
        <v>1.6190698912653451E-3</v>
      </c>
      <c r="AC259" s="890">
        <v>1.5996447762340522E-3</v>
      </c>
      <c r="AD259" s="890">
        <v>1.5804990708057011E-3</v>
      </c>
      <c r="AE259" s="890">
        <v>1.5616462601185062E-3</v>
      </c>
      <c r="AF259" s="890">
        <v>1.5430763403191177E-3</v>
      </c>
    </row>
    <row r="260" spans="1:32" s="864" customFormat="1" x14ac:dyDescent="0.25">
      <c r="A260" s="839"/>
      <c r="B260" s="842" t="s">
        <v>29</v>
      </c>
      <c r="C260" s="838"/>
      <c r="D260" s="838"/>
      <c r="E260" s="838"/>
      <c r="F260" s="838"/>
      <c r="G260" s="890">
        <v>0</v>
      </c>
      <c r="H260" s="890">
        <v>1.6618037942800526E-5</v>
      </c>
      <c r="I260" s="890">
        <v>3.2629878683715031E-5</v>
      </c>
      <c r="J260" s="890">
        <v>4.8054948869145851E-5</v>
      </c>
      <c r="K260" s="890">
        <v>6.2911963052120033E-5</v>
      </c>
      <c r="L260" s="890">
        <v>7.7225781813093262E-5</v>
      </c>
      <c r="M260" s="890">
        <v>9.1013341264603549E-5</v>
      </c>
      <c r="N260" s="890">
        <v>1.0429099937133767E-4</v>
      </c>
      <c r="O260" s="890">
        <v>1.1706826278488475E-4</v>
      </c>
      <c r="P260" s="890">
        <v>1.2936081705169111E-4</v>
      </c>
      <c r="Q260" s="890">
        <v>1.4118381610794521E-4</v>
      </c>
      <c r="R260" s="890">
        <v>1.5255190576639847E-4</v>
      </c>
      <c r="S260" s="890">
        <v>1.6347924566105556E-4</v>
      </c>
      <c r="T260" s="890">
        <v>1.7394819922886238E-4</v>
      </c>
      <c r="U260" s="890">
        <v>1.8400514212150819E-4</v>
      </c>
      <c r="V260" s="890">
        <v>1.9363514655873926E-4</v>
      </c>
      <c r="W260" s="890">
        <v>2.0285410199683156E-4</v>
      </c>
      <c r="X260" s="890">
        <v>2.1170084594086718E-4</v>
      </c>
      <c r="Y260" s="890">
        <v>2.201639993228477E-4</v>
      </c>
      <c r="Z260" s="890">
        <v>2.2825739121044942E-4</v>
      </c>
      <c r="AA260" s="890">
        <v>2.3601396515659365E-4</v>
      </c>
      <c r="AB260" s="890">
        <v>2.4342500308130466E-4</v>
      </c>
      <c r="AC260" s="890">
        <v>2.5050266720396086E-4</v>
      </c>
      <c r="AD260" s="890">
        <v>2.5727520023079007E-4</v>
      </c>
      <c r="AE260" s="890">
        <v>2.6373590132925339E-4</v>
      </c>
      <c r="AF260" s="890">
        <v>2.6989555314881509E-4</v>
      </c>
    </row>
    <row r="261" spans="1:32" s="864" customFormat="1" x14ac:dyDescent="0.25">
      <c r="A261" s="839"/>
      <c r="B261" s="842" t="s">
        <v>53</v>
      </c>
      <c r="C261" s="838"/>
      <c r="D261" s="838"/>
      <c r="E261" s="838"/>
      <c r="F261" s="838"/>
      <c r="G261" s="890">
        <v>0</v>
      </c>
      <c r="H261" s="890">
        <v>0</v>
      </c>
      <c r="I261" s="890">
        <v>0</v>
      </c>
      <c r="J261" s="890">
        <v>0</v>
      </c>
      <c r="K261" s="890">
        <v>0</v>
      </c>
      <c r="L261" s="890">
        <v>0</v>
      </c>
      <c r="M261" s="890">
        <v>0</v>
      </c>
      <c r="N261" s="890">
        <v>0</v>
      </c>
      <c r="O261" s="890">
        <v>0</v>
      </c>
      <c r="P261" s="890">
        <v>0</v>
      </c>
      <c r="Q261" s="890">
        <v>0</v>
      </c>
      <c r="R261" s="890">
        <v>0</v>
      </c>
      <c r="S261" s="890">
        <v>0</v>
      </c>
      <c r="T261" s="890">
        <v>0</v>
      </c>
      <c r="U261" s="890">
        <v>0</v>
      </c>
      <c r="V261" s="890">
        <v>0</v>
      </c>
      <c r="W261" s="890">
        <v>0</v>
      </c>
      <c r="X261" s="890">
        <v>0</v>
      </c>
      <c r="Y261" s="890">
        <v>0</v>
      </c>
      <c r="Z261" s="890">
        <v>0</v>
      </c>
      <c r="AA261" s="890">
        <v>0</v>
      </c>
      <c r="AB261" s="890">
        <v>0</v>
      </c>
      <c r="AC261" s="890">
        <v>0</v>
      </c>
      <c r="AD261" s="890">
        <v>0</v>
      </c>
      <c r="AE261" s="890">
        <v>0</v>
      </c>
      <c r="AF261" s="890">
        <v>0</v>
      </c>
    </row>
  </sheetData>
  <pageMargins left="0.7" right="0.7" top="0.75" bottom="0.75" header="0.3" footer="0.3"/>
  <pageSetup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0000"/>
  </sheetPr>
  <dimension ref="A1:AF262"/>
  <sheetViews>
    <sheetView zoomScale="59" zoomScaleNormal="59" workbookViewId="0">
      <selection activeCell="H2" sqref="H2:N2"/>
    </sheetView>
  </sheetViews>
  <sheetFormatPr defaultColWidth="9.140625" defaultRowHeight="15" x14ac:dyDescent="0.25"/>
  <cols>
    <col min="1" max="6" width="8.85546875" customWidth="1"/>
    <col min="7" max="7" width="10.5703125" bestFit="1" customWidth="1"/>
    <col min="8" max="21" width="9.42578125" bestFit="1" customWidth="1"/>
    <col min="22" max="32" width="12" bestFit="1" customWidth="1"/>
    <col min="33" max="16384" width="9.140625" style="221"/>
  </cols>
  <sheetData>
    <row r="1" spans="1:32" customFormat="1" ht="53.1" x14ac:dyDescent="0.4">
      <c r="A1" s="268" t="s">
        <v>288</v>
      </c>
      <c r="B1" s="499"/>
      <c r="C1" s="499"/>
      <c r="D1" s="499"/>
      <c r="E1" s="499"/>
      <c r="F1" s="499"/>
      <c r="G1" s="764" t="s">
        <v>411</v>
      </c>
      <c r="H1" s="748" t="s">
        <v>213</v>
      </c>
      <c r="I1" s="748" t="s">
        <v>214</v>
      </c>
      <c r="J1" s="748" t="s">
        <v>43</v>
      </c>
      <c r="K1" s="748" t="s">
        <v>44</v>
      </c>
      <c r="L1" s="748" t="s">
        <v>215</v>
      </c>
      <c r="M1" s="748" t="s">
        <v>257</v>
      </c>
      <c r="N1" s="748" t="s">
        <v>216</v>
      </c>
      <c r="O1" s="499"/>
      <c r="P1" s="499"/>
      <c r="Q1" s="499"/>
      <c r="R1" s="499"/>
      <c r="S1" s="499"/>
      <c r="T1" s="499"/>
      <c r="U1" s="499"/>
      <c r="V1" s="499"/>
      <c r="W1" s="499"/>
      <c r="X1" s="499"/>
      <c r="Y1" s="499"/>
      <c r="Z1" s="499"/>
      <c r="AA1" s="499"/>
      <c r="AB1" s="499"/>
      <c r="AC1" s="499"/>
      <c r="AD1" s="499"/>
      <c r="AE1" s="499"/>
      <c r="AF1" s="499"/>
    </row>
    <row r="2" spans="1:32" customFormat="1" ht="15.6" x14ac:dyDescent="0.35">
      <c r="A2" s="269" t="s">
        <v>276</v>
      </c>
      <c r="B2" s="499"/>
      <c r="C2" s="499"/>
      <c r="D2" s="499"/>
      <c r="E2" s="499"/>
      <c r="F2" s="499"/>
      <c r="G2" s="539" t="s">
        <v>255</v>
      </c>
      <c r="H2" s="539" t="s">
        <v>25</v>
      </c>
      <c r="I2" s="539" t="s">
        <v>25</v>
      </c>
      <c r="J2" s="539" t="s">
        <v>25</v>
      </c>
      <c r="K2" s="539" t="s">
        <v>25</v>
      </c>
      <c r="L2" s="539" t="s">
        <v>25</v>
      </c>
      <c r="M2" s="539" t="s">
        <v>25</v>
      </c>
      <c r="N2" s="539" t="s">
        <v>25</v>
      </c>
      <c r="O2" s="499"/>
      <c r="P2" s="499"/>
      <c r="Q2" s="499"/>
      <c r="R2" s="499"/>
      <c r="S2" s="499"/>
      <c r="T2" s="499"/>
      <c r="U2" s="499"/>
      <c r="V2" s="499"/>
      <c r="W2" s="499"/>
      <c r="X2" s="499"/>
      <c r="Y2" s="499"/>
      <c r="Z2" s="499"/>
      <c r="AA2" s="499"/>
      <c r="AB2" s="499"/>
      <c r="AC2" s="499"/>
      <c r="AD2" s="499"/>
      <c r="AE2" s="499"/>
      <c r="AF2" s="499"/>
    </row>
    <row r="3" spans="1:32" customFormat="1" ht="14.45" x14ac:dyDescent="0.35"/>
    <row r="4" spans="1:32" customFormat="1" ht="14.45" x14ac:dyDescent="0.35">
      <c r="A4" s="499"/>
      <c r="B4" s="499"/>
      <c r="C4" s="499"/>
      <c r="D4" s="208"/>
      <c r="E4" s="208"/>
      <c r="F4" s="208"/>
      <c r="G4" s="208">
        <v>2010</v>
      </c>
      <c r="H4" s="208">
        <v>2011</v>
      </c>
      <c r="I4" s="208">
        <v>2012</v>
      </c>
      <c r="J4" s="208">
        <v>2013</v>
      </c>
      <c r="K4" s="208">
        <v>2014</v>
      </c>
      <c r="L4" s="208">
        <v>2015</v>
      </c>
      <c r="M4" s="208">
        <v>2016</v>
      </c>
      <c r="N4" s="208">
        <v>2017</v>
      </c>
      <c r="O4" s="208">
        <v>2018</v>
      </c>
      <c r="P4" s="208">
        <v>2019</v>
      </c>
      <c r="Q4" s="208">
        <v>2020</v>
      </c>
      <c r="R4" s="208">
        <v>2021</v>
      </c>
      <c r="S4" s="208">
        <v>2022</v>
      </c>
      <c r="T4" s="208">
        <v>2023</v>
      </c>
      <c r="U4" s="208">
        <v>2024</v>
      </c>
      <c r="V4" s="208">
        <v>2025</v>
      </c>
      <c r="W4" s="208">
        <v>2026</v>
      </c>
      <c r="X4" s="208">
        <v>2027</v>
      </c>
      <c r="Y4" s="208">
        <v>2028</v>
      </c>
      <c r="Z4" s="208">
        <v>2029</v>
      </c>
      <c r="AA4" s="208">
        <v>2030</v>
      </c>
      <c r="AB4" s="208">
        <v>2031</v>
      </c>
      <c r="AC4" s="208">
        <v>2032</v>
      </c>
      <c r="AD4" s="208">
        <v>2033</v>
      </c>
      <c r="AE4" s="208">
        <v>2034</v>
      </c>
      <c r="AF4" s="208">
        <v>2035</v>
      </c>
    </row>
    <row r="5" spans="1:32" s="539" customFormat="1" ht="14.45" x14ac:dyDescent="0.35">
      <c r="A5" s="860" t="s">
        <v>526</v>
      </c>
      <c r="B5" s="555"/>
      <c r="C5" s="554"/>
      <c r="D5" s="553"/>
      <c r="E5" s="553"/>
      <c r="F5" s="553"/>
      <c r="G5" s="553"/>
      <c r="H5" s="560"/>
      <c r="I5" s="560"/>
      <c r="J5" s="560"/>
      <c r="K5" s="560"/>
      <c r="L5" s="560"/>
      <c r="M5" s="560"/>
      <c r="N5" s="560"/>
      <c r="O5" s="560"/>
      <c r="P5" s="560"/>
      <c r="Q5" s="560"/>
      <c r="R5" s="560"/>
      <c r="S5" s="560"/>
      <c r="T5" s="560"/>
      <c r="U5" s="560"/>
      <c r="V5" s="560"/>
      <c r="W5" s="560"/>
      <c r="X5" s="560"/>
      <c r="Y5" s="560"/>
      <c r="Z5" s="560"/>
      <c r="AA5" s="560"/>
      <c r="AB5" s="560"/>
      <c r="AC5" s="560"/>
      <c r="AD5" s="560"/>
      <c r="AE5" s="560"/>
      <c r="AF5" s="560"/>
    </row>
    <row r="6" spans="1:32" s="539" customFormat="1" ht="14.45" x14ac:dyDescent="0.35">
      <c r="A6" s="840" t="s">
        <v>12</v>
      </c>
      <c r="B6" s="550"/>
    </row>
    <row r="7" spans="1:32" s="539" customFormat="1" ht="14.45" x14ac:dyDescent="0.35">
      <c r="A7" s="839"/>
      <c r="B7" s="550" t="s">
        <v>20</v>
      </c>
    </row>
    <row r="8" spans="1:32" s="202" customFormat="1" ht="12.95" x14ac:dyDescent="0.3">
      <c r="A8" s="843" t="s">
        <v>21</v>
      </c>
      <c r="B8" s="556"/>
      <c r="C8" s="556"/>
      <c r="D8" s="556"/>
      <c r="E8" s="556"/>
      <c r="F8" s="556"/>
      <c r="G8" s="556"/>
      <c r="H8" s="556"/>
      <c r="I8" s="556"/>
      <c r="J8" s="556"/>
      <c r="K8" s="556"/>
      <c r="L8" s="556"/>
      <c r="M8" s="556"/>
      <c r="N8" s="556"/>
      <c r="O8" s="556"/>
      <c r="P8" s="556"/>
      <c r="Q8" s="556"/>
      <c r="R8" s="556"/>
      <c r="S8" s="556"/>
      <c r="T8" s="556"/>
      <c r="U8" s="556"/>
      <c r="V8" s="556"/>
      <c r="W8" s="556"/>
      <c r="X8" s="556"/>
      <c r="Y8" s="556"/>
      <c r="Z8" s="556"/>
      <c r="AA8" s="556"/>
      <c r="AB8" s="556"/>
      <c r="AC8" s="556"/>
      <c r="AD8" s="556"/>
      <c r="AE8" s="556"/>
      <c r="AF8" s="556"/>
    </row>
    <row r="9" spans="1:32" ht="14.45" x14ac:dyDescent="0.35">
      <c r="A9" s="839"/>
      <c r="B9" s="550" t="s">
        <v>22</v>
      </c>
      <c r="C9" s="539"/>
      <c r="D9" s="539"/>
      <c r="E9" s="539"/>
      <c r="F9" s="539"/>
      <c r="G9" s="549">
        <v>0</v>
      </c>
      <c r="H9" s="549">
        <v>0</v>
      </c>
      <c r="I9" s="549">
        <v>0</v>
      </c>
      <c r="J9" s="549">
        <v>0</v>
      </c>
      <c r="K9" s="549">
        <v>0</v>
      </c>
      <c r="L9" s="549">
        <v>0</v>
      </c>
      <c r="M9" s="549">
        <v>0</v>
      </c>
      <c r="N9" s="549">
        <v>0</v>
      </c>
      <c r="O9" s="549">
        <v>0</v>
      </c>
      <c r="P9" s="549">
        <v>0</v>
      </c>
      <c r="Q9" s="549">
        <v>0</v>
      </c>
      <c r="R9" s="549">
        <v>0</v>
      </c>
      <c r="S9" s="549">
        <v>0</v>
      </c>
      <c r="T9" s="549">
        <v>0</v>
      </c>
      <c r="U9" s="549">
        <v>0</v>
      </c>
      <c r="V9" s="549">
        <v>0</v>
      </c>
      <c r="W9" s="549">
        <v>0</v>
      </c>
      <c r="X9" s="549">
        <v>0</v>
      </c>
      <c r="Y9" s="549">
        <v>0</v>
      </c>
      <c r="Z9" s="549">
        <v>0</v>
      </c>
      <c r="AA9" s="549">
        <v>0</v>
      </c>
      <c r="AB9" s="549">
        <v>0</v>
      </c>
      <c r="AC9" s="549">
        <v>0</v>
      </c>
      <c r="AD9" s="549">
        <v>0</v>
      </c>
      <c r="AE9" s="549">
        <v>0</v>
      </c>
      <c r="AF9" s="549">
        <v>0</v>
      </c>
    </row>
    <row r="10" spans="1:32" ht="14.45" x14ac:dyDescent="0.35">
      <c r="A10" s="839"/>
      <c r="B10" s="550" t="s">
        <v>26</v>
      </c>
      <c r="C10" s="539"/>
      <c r="D10" s="539"/>
      <c r="E10" s="539"/>
      <c r="F10" s="539"/>
      <c r="G10" s="549">
        <v>0</v>
      </c>
      <c r="H10" s="549">
        <v>0</v>
      </c>
      <c r="I10" s="549">
        <v>0</v>
      </c>
      <c r="J10" s="549">
        <v>0</v>
      </c>
      <c r="K10" s="549">
        <v>0</v>
      </c>
      <c r="L10" s="549">
        <v>0</v>
      </c>
      <c r="M10" s="549">
        <v>0</v>
      </c>
      <c r="N10" s="549">
        <v>0</v>
      </c>
      <c r="O10" s="549">
        <v>0</v>
      </c>
      <c r="P10" s="549">
        <v>0</v>
      </c>
      <c r="Q10" s="549">
        <v>0</v>
      </c>
      <c r="R10" s="549">
        <v>0</v>
      </c>
      <c r="S10" s="549">
        <v>0</v>
      </c>
      <c r="T10" s="549">
        <v>0</v>
      </c>
      <c r="U10" s="549">
        <v>0</v>
      </c>
      <c r="V10" s="549">
        <v>0</v>
      </c>
      <c r="W10" s="549">
        <v>0</v>
      </c>
      <c r="X10" s="549">
        <v>0</v>
      </c>
      <c r="Y10" s="549">
        <v>0</v>
      </c>
      <c r="Z10" s="549">
        <v>0</v>
      </c>
      <c r="AA10" s="549">
        <v>0</v>
      </c>
      <c r="AB10" s="549">
        <v>0</v>
      </c>
      <c r="AC10" s="549">
        <v>0</v>
      </c>
      <c r="AD10" s="549">
        <v>0</v>
      </c>
      <c r="AE10" s="549">
        <v>0</v>
      </c>
      <c r="AF10" s="549">
        <v>0</v>
      </c>
    </row>
    <row r="11" spans="1:32" ht="14.45" x14ac:dyDescent="0.35">
      <c r="A11" s="839"/>
      <c r="B11" s="550" t="s">
        <v>27</v>
      </c>
      <c r="C11" s="539"/>
      <c r="D11" s="539"/>
      <c r="E11" s="539"/>
      <c r="F11" s="539"/>
      <c r="G11" s="549">
        <v>0</v>
      </c>
      <c r="H11" s="549">
        <v>0</v>
      </c>
      <c r="I11" s="549">
        <v>0</v>
      </c>
      <c r="J11" s="549">
        <v>0</v>
      </c>
      <c r="K11" s="549">
        <v>0</v>
      </c>
      <c r="L11" s="549">
        <v>0</v>
      </c>
      <c r="M11" s="549">
        <v>0</v>
      </c>
      <c r="N11" s="549">
        <v>0</v>
      </c>
      <c r="O11" s="549">
        <v>0</v>
      </c>
      <c r="P11" s="549">
        <v>0</v>
      </c>
      <c r="Q11" s="549">
        <v>0</v>
      </c>
      <c r="R11" s="549">
        <v>0</v>
      </c>
      <c r="S11" s="549">
        <v>0</v>
      </c>
      <c r="T11" s="549">
        <v>0</v>
      </c>
      <c r="U11" s="549">
        <v>0</v>
      </c>
      <c r="V11" s="549">
        <v>0</v>
      </c>
      <c r="W11" s="549">
        <v>0</v>
      </c>
      <c r="X11" s="549">
        <v>0</v>
      </c>
      <c r="Y11" s="549">
        <v>0</v>
      </c>
      <c r="Z11" s="549">
        <v>0</v>
      </c>
      <c r="AA11" s="549">
        <v>0</v>
      </c>
      <c r="AB11" s="549">
        <v>0</v>
      </c>
      <c r="AC11" s="549">
        <v>0</v>
      </c>
      <c r="AD11" s="549">
        <v>0</v>
      </c>
      <c r="AE11" s="549">
        <v>0</v>
      </c>
      <c r="AF11" s="549">
        <v>0</v>
      </c>
    </row>
    <row r="12" spans="1:32" ht="14.45" x14ac:dyDescent="0.35">
      <c r="A12" s="839"/>
      <c r="B12" s="550" t="s">
        <v>29</v>
      </c>
      <c r="C12" s="539"/>
      <c r="D12" s="539"/>
      <c r="E12" s="539"/>
      <c r="F12" s="539"/>
      <c r="G12" s="549">
        <v>0</v>
      </c>
      <c r="H12" s="549">
        <v>0</v>
      </c>
      <c r="I12" s="549">
        <v>0</v>
      </c>
      <c r="J12" s="549">
        <v>0</v>
      </c>
      <c r="K12" s="549">
        <v>0</v>
      </c>
      <c r="L12" s="549">
        <v>0</v>
      </c>
      <c r="M12" s="549">
        <v>0</v>
      </c>
      <c r="N12" s="549">
        <v>0</v>
      </c>
      <c r="O12" s="549">
        <v>0</v>
      </c>
      <c r="P12" s="549">
        <v>0</v>
      </c>
      <c r="Q12" s="549">
        <v>0</v>
      </c>
      <c r="R12" s="549">
        <v>0</v>
      </c>
      <c r="S12" s="549">
        <v>0</v>
      </c>
      <c r="T12" s="549">
        <v>0</v>
      </c>
      <c r="U12" s="549">
        <v>0</v>
      </c>
      <c r="V12" s="549">
        <v>0</v>
      </c>
      <c r="W12" s="549">
        <v>0</v>
      </c>
      <c r="X12" s="549">
        <v>0</v>
      </c>
      <c r="Y12" s="549">
        <v>0</v>
      </c>
      <c r="Z12" s="549">
        <v>0</v>
      </c>
      <c r="AA12" s="549">
        <v>0</v>
      </c>
      <c r="AB12" s="549">
        <v>0</v>
      </c>
      <c r="AC12" s="549">
        <v>0</v>
      </c>
      <c r="AD12" s="549">
        <v>0</v>
      </c>
      <c r="AE12" s="549">
        <v>0</v>
      </c>
      <c r="AF12" s="549">
        <v>0</v>
      </c>
    </row>
    <row r="13" spans="1:32" ht="14.45" x14ac:dyDescent="0.35">
      <c r="A13" s="839"/>
      <c r="B13" s="550"/>
      <c r="C13" s="539"/>
      <c r="D13" s="539"/>
      <c r="E13" s="539"/>
      <c r="F13" s="539"/>
      <c r="G13" s="549" t="s">
        <v>73</v>
      </c>
      <c r="H13" s="549" t="s">
        <v>73</v>
      </c>
      <c r="I13" s="549" t="s">
        <v>73</v>
      </c>
      <c r="J13" s="549" t="s">
        <v>73</v>
      </c>
      <c r="K13" s="549" t="s">
        <v>73</v>
      </c>
      <c r="L13" s="549" t="s">
        <v>73</v>
      </c>
      <c r="M13" s="549" t="s">
        <v>73</v>
      </c>
      <c r="N13" s="549" t="s">
        <v>73</v>
      </c>
      <c r="O13" s="549" t="s">
        <v>73</v>
      </c>
      <c r="P13" s="549" t="s">
        <v>73</v>
      </c>
      <c r="Q13" s="549" t="s">
        <v>73</v>
      </c>
      <c r="R13" s="549" t="s">
        <v>73</v>
      </c>
      <c r="S13" s="549" t="s">
        <v>73</v>
      </c>
      <c r="T13" s="549" t="s">
        <v>73</v>
      </c>
      <c r="U13" s="549" t="s">
        <v>73</v>
      </c>
      <c r="V13" s="549" t="s">
        <v>73</v>
      </c>
      <c r="W13" s="549" t="s">
        <v>73</v>
      </c>
      <c r="X13" s="549" t="s">
        <v>73</v>
      </c>
      <c r="Y13" s="549" t="s">
        <v>73</v>
      </c>
      <c r="Z13" s="549" t="s">
        <v>73</v>
      </c>
      <c r="AA13" s="549" t="s">
        <v>73</v>
      </c>
      <c r="AB13" s="549" t="s">
        <v>73</v>
      </c>
      <c r="AC13" s="549" t="s">
        <v>73</v>
      </c>
      <c r="AD13" s="549" t="s">
        <v>73</v>
      </c>
      <c r="AE13" s="549" t="s">
        <v>73</v>
      </c>
      <c r="AF13" s="549" t="s">
        <v>73</v>
      </c>
    </row>
    <row r="14" spans="1:32" s="202" customFormat="1" ht="12.95" x14ac:dyDescent="0.3">
      <c r="A14" s="843" t="s">
        <v>32</v>
      </c>
      <c r="B14" s="556"/>
      <c r="C14" s="556"/>
      <c r="D14" s="556"/>
      <c r="E14" s="556"/>
      <c r="F14" s="556"/>
      <c r="G14" s="632" t="s">
        <v>73</v>
      </c>
      <c r="H14" s="632" t="s">
        <v>73</v>
      </c>
      <c r="I14" s="632" t="s">
        <v>73</v>
      </c>
      <c r="J14" s="632" t="s">
        <v>73</v>
      </c>
      <c r="K14" s="632" t="s">
        <v>73</v>
      </c>
      <c r="L14" s="632" t="s">
        <v>73</v>
      </c>
      <c r="M14" s="632" t="s">
        <v>73</v>
      </c>
      <c r="N14" s="632" t="s">
        <v>73</v>
      </c>
      <c r="O14" s="632" t="s">
        <v>73</v>
      </c>
      <c r="P14" s="632" t="s">
        <v>73</v>
      </c>
      <c r="Q14" s="632" t="s">
        <v>73</v>
      </c>
      <c r="R14" s="632" t="s">
        <v>73</v>
      </c>
      <c r="S14" s="632" t="s">
        <v>73</v>
      </c>
      <c r="T14" s="632" t="s">
        <v>73</v>
      </c>
      <c r="U14" s="632" t="s">
        <v>73</v>
      </c>
      <c r="V14" s="632" t="s">
        <v>73</v>
      </c>
      <c r="W14" s="632" t="s">
        <v>73</v>
      </c>
      <c r="X14" s="632" t="s">
        <v>73</v>
      </c>
      <c r="Y14" s="632" t="s">
        <v>73</v>
      </c>
      <c r="Z14" s="632" t="s">
        <v>73</v>
      </c>
      <c r="AA14" s="632" t="s">
        <v>73</v>
      </c>
      <c r="AB14" s="632" t="s">
        <v>73</v>
      </c>
      <c r="AC14" s="632" t="s">
        <v>73</v>
      </c>
      <c r="AD14" s="632" t="s">
        <v>73</v>
      </c>
      <c r="AE14" s="632" t="s">
        <v>73</v>
      </c>
      <c r="AF14" s="632" t="s">
        <v>73</v>
      </c>
    </row>
    <row r="15" spans="1:32" ht="14.45" x14ac:dyDescent="0.35">
      <c r="A15" s="839"/>
      <c r="B15" s="550" t="s">
        <v>33</v>
      </c>
      <c r="C15" s="539"/>
      <c r="D15" s="539"/>
      <c r="E15" s="539"/>
      <c r="F15" s="539"/>
      <c r="G15" s="549">
        <v>0</v>
      </c>
      <c r="H15" s="549">
        <v>0</v>
      </c>
      <c r="I15" s="549">
        <v>0</v>
      </c>
      <c r="J15" s="549">
        <v>0</v>
      </c>
      <c r="K15" s="549">
        <v>0</v>
      </c>
      <c r="L15" s="549">
        <v>0</v>
      </c>
      <c r="M15" s="549">
        <v>0</v>
      </c>
      <c r="N15" s="549">
        <v>0</v>
      </c>
      <c r="O15" s="549">
        <v>0</v>
      </c>
      <c r="P15" s="549">
        <v>0</v>
      </c>
      <c r="Q15" s="549">
        <v>0</v>
      </c>
      <c r="R15" s="549">
        <v>0</v>
      </c>
      <c r="S15" s="549">
        <v>0</v>
      </c>
      <c r="T15" s="549">
        <v>0</v>
      </c>
      <c r="U15" s="549">
        <v>0</v>
      </c>
      <c r="V15" s="549">
        <v>0</v>
      </c>
      <c r="W15" s="549">
        <v>0</v>
      </c>
      <c r="X15" s="549">
        <v>0</v>
      </c>
      <c r="Y15" s="549">
        <v>0</v>
      </c>
      <c r="Z15" s="549">
        <v>0</v>
      </c>
      <c r="AA15" s="549">
        <v>0</v>
      </c>
      <c r="AB15" s="549">
        <v>0</v>
      </c>
      <c r="AC15" s="549">
        <v>0</v>
      </c>
      <c r="AD15" s="549">
        <v>0</v>
      </c>
      <c r="AE15" s="549">
        <v>0</v>
      </c>
      <c r="AF15" s="549">
        <v>0</v>
      </c>
    </row>
    <row r="16" spans="1:32" ht="14.45" x14ac:dyDescent="0.35">
      <c r="A16" s="842"/>
      <c r="B16" s="552" t="s">
        <v>34</v>
      </c>
      <c r="C16" s="539"/>
      <c r="D16" s="539"/>
      <c r="E16" s="539"/>
      <c r="F16" s="539"/>
      <c r="G16" s="549">
        <v>0</v>
      </c>
      <c r="H16" s="549">
        <v>0</v>
      </c>
      <c r="I16" s="549">
        <v>0</v>
      </c>
      <c r="J16" s="549">
        <v>0</v>
      </c>
      <c r="K16" s="549">
        <v>0</v>
      </c>
      <c r="L16" s="549">
        <v>0</v>
      </c>
      <c r="M16" s="549">
        <v>0</v>
      </c>
      <c r="N16" s="549">
        <v>0</v>
      </c>
      <c r="O16" s="549">
        <v>0</v>
      </c>
      <c r="P16" s="549">
        <v>0</v>
      </c>
      <c r="Q16" s="549">
        <v>0</v>
      </c>
      <c r="R16" s="549">
        <v>0</v>
      </c>
      <c r="S16" s="549">
        <v>0</v>
      </c>
      <c r="T16" s="549">
        <v>0</v>
      </c>
      <c r="U16" s="549">
        <v>0</v>
      </c>
      <c r="V16" s="549">
        <v>0</v>
      </c>
      <c r="W16" s="549">
        <v>0</v>
      </c>
      <c r="X16" s="549">
        <v>0</v>
      </c>
      <c r="Y16" s="549">
        <v>0</v>
      </c>
      <c r="Z16" s="549">
        <v>0</v>
      </c>
      <c r="AA16" s="549">
        <v>0</v>
      </c>
      <c r="AB16" s="549">
        <v>0</v>
      </c>
      <c r="AC16" s="549">
        <v>0</v>
      </c>
      <c r="AD16" s="549">
        <v>0</v>
      </c>
      <c r="AE16" s="549">
        <v>0</v>
      </c>
      <c r="AF16" s="549">
        <v>0</v>
      </c>
    </row>
    <row r="17" spans="1:32" ht="14.45" x14ac:dyDescent="0.35">
      <c r="A17" s="839"/>
      <c r="B17" s="552" t="s">
        <v>35</v>
      </c>
      <c r="C17" s="539"/>
      <c r="D17" s="539"/>
      <c r="E17" s="539"/>
      <c r="F17" s="539"/>
      <c r="G17" s="549">
        <v>0</v>
      </c>
      <c r="H17" s="549">
        <v>0</v>
      </c>
      <c r="I17" s="549">
        <v>0</v>
      </c>
      <c r="J17" s="549">
        <v>0</v>
      </c>
      <c r="K17" s="549">
        <v>0</v>
      </c>
      <c r="L17" s="549">
        <v>0</v>
      </c>
      <c r="M17" s="549">
        <v>0</v>
      </c>
      <c r="N17" s="549">
        <v>0</v>
      </c>
      <c r="O17" s="549">
        <v>0</v>
      </c>
      <c r="P17" s="549">
        <v>0</v>
      </c>
      <c r="Q17" s="549">
        <v>0</v>
      </c>
      <c r="R17" s="549">
        <v>0</v>
      </c>
      <c r="S17" s="549">
        <v>0</v>
      </c>
      <c r="T17" s="549">
        <v>0</v>
      </c>
      <c r="U17" s="549">
        <v>0</v>
      </c>
      <c r="V17" s="549">
        <v>0</v>
      </c>
      <c r="W17" s="549">
        <v>0</v>
      </c>
      <c r="X17" s="549">
        <v>0</v>
      </c>
      <c r="Y17" s="549">
        <v>0</v>
      </c>
      <c r="Z17" s="549">
        <v>0</v>
      </c>
      <c r="AA17" s="549">
        <v>0</v>
      </c>
      <c r="AB17" s="549">
        <v>0</v>
      </c>
      <c r="AC17" s="549">
        <v>0</v>
      </c>
      <c r="AD17" s="549">
        <v>0</v>
      </c>
      <c r="AE17" s="549">
        <v>0</v>
      </c>
      <c r="AF17" s="549">
        <v>0</v>
      </c>
    </row>
    <row r="18" spans="1:32" ht="14.45" x14ac:dyDescent="0.35">
      <c r="A18" s="839"/>
      <c r="B18" s="552" t="s">
        <v>29</v>
      </c>
      <c r="C18" s="539"/>
      <c r="D18" s="539"/>
      <c r="E18" s="539"/>
      <c r="F18" s="539"/>
      <c r="G18" s="549">
        <v>0</v>
      </c>
      <c r="H18" s="549">
        <v>0</v>
      </c>
      <c r="I18" s="549">
        <v>0</v>
      </c>
      <c r="J18" s="549">
        <v>0</v>
      </c>
      <c r="K18" s="549">
        <v>0</v>
      </c>
      <c r="L18" s="549">
        <v>0</v>
      </c>
      <c r="M18" s="549">
        <v>0</v>
      </c>
      <c r="N18" s="549">
        <v>0</v>
      </c>
      <c r="O18" s="549">
        <v>0</v>
      </c>
      <c r="P18" s="549">
        <v>0</v>
      </c>
      <c r="Q18" s="549">
        <v>0</v>
      </c>
      <c r="R18" s="549">
        <v>0</v>
      </c>
      <c r="S18" s="549">
        <v>0</v>
      </c>
      <c r="T18" s="549">
        <v>0</v>
      </c>
      <c r="U18" s="549">
        <v>0</v>
      </c>
      <c r="V18" s="549">
        <v>0</v>
      </c>
      <c r="W18" s="549">
        <v>0</v>
      </c>
      <c r="X18" s="549">
        <v>0</v>
      </c>
      <c r="Y18" s="549">
        <v>0</v>
      </c>
      <c r="Z18" s="549">
        <v>0</v>
      </c>
      <c r="AA18" s="549">
        <v>0</v>
      </c>
      <c r="AB18" s="549">
        <v>0</v>
      </c>
      <c r="AC18" s="549">
        <v>0</v>
      </c>
      <c r="AD18" s="549">
        <v>0</v>
      </c>
      <c r="AE18" s="549">
        <v>0</v>
      </c>
      <c r="AF18" s="549">
        <v>0</v>
      </c>
    </row>
    <row r="19" spans="1:32" ht="14.45" x14ac:dyDescent="0.35">
      <c r="A19" s="839"/>
      <c r="B19" s="550"/>
      <c r="C19" s="539"/>
      <c r="D19" s="539"/>
      <c r="E19" s="539"/>
      <c r="F19" s="539"/>
      <c r="G19" s="549" t="s">
        <v>73</v>
      </c>
      <c r="H19" s="549" t="s">
        <v>73</v>
      </c>
      <c r="I19" s="549" t="s">
        <v>73</v>
      </c>
      <c r="J19" s="549" t="s">
        <v>73</v>
      </c>
      <c r="K19" s="549" t="s">
        <v>73</v>
      </c>
      <c r="L19" s="549" t="s">
        <v>73</v>
      </c>
      <c r="M19" s="549" t="s">
        <v>73</v>
      </c>
      <c r="N19" s="549" t="s">
        <v>73</v>
      </c>
      <c r="O19" s="549" t="s">
        <v>73</v>
      </c>
      <c r="P19" s="549" t="s">
        <v>73</v>
      </c>
      <c r="Q19" s="549" t="s">
        <v>73</v>
      </c>
      <c r="R19" s="549" t="s">
        <v>73</v>
      </c>
      <c r="S19" s="549" t="s">
        <v>73</v>
      </c>
      <c r="T19" s="549" t="s">
        <v>73</v>
      </c>
      <c r="U19" s="549" t="s">
        <v>73</v>
      </c>
      <c r="V19" s="549" t="s">
        <v>73</v>
      </c>
      <c r="W19" s="549" t="s">
        <v>73</v>
      </c>
      <c r="X19" s="549" t="s">
        <v>73</v>
      </c>
      <c r="Y19" s="549" t="s">
        <v>73</v>
      </c>
      <c r="Z19" s="549" t="s">
        <v>73</v>
      </c>
      <c r="AA19" s="549" t="s">
        <v>73</v>
      </c>
      <c r="AB19" s="549" t="s">
        <v>73</v>
      </c>
      <c r="AC19" s="549" t="s">
        <v>73</v>
      </c>
      <c r="AD19" s="549" t="s">
        <v>73</v>
      </c>
      <c r="AE19" s="549" t="s">
        <v>73</v>
      </c>
      <c r="AF19" s="549" t="s">
        <v>73</v>
      </c>
    </row>
    <row r="20" spans="1:32" s="202" customFormat="1" ht="12.95" x14ac:dyDescent="0.3">
      <c r="A20" s="843" t="s">
        <v>36</v>
      </c>
      <c r="B20" s="556"/>
      <c r="C20" s="556"/>
      <c r="D20" s="556"/>
      <c r="E20" s="556"/>
      <c r="F20" s="556"/>
      <c r="G20" s="632" t="s">
        <v>73</v>
      </c>
      <c r="H20" s="632" t="s">
        <v>73</v>
      </c>
      <c r="I20" s="632" t="s">
        <v>73</v>
      </c>
      <c r="J20" s="632" t="s">
        <v>73</v>
      </c>
      <c r="K20" s="632" t="s">
        <v>73</v>
      </c>
      <c r="L20" s="632" t="s">
        <v>73</v>
      </c>
      <c r="M20" s="632" t="s">
        <v>73</v>
      </c>
      <c r="N20" s="632" t="s">
        <v>73</v>
      </c>
      <c r="O20" s="632" t="s">
        <v>73</v>
      </c>
      <c r="P20" s="632" t="s">
        <v>73</v>
      </c>
      <c r="Q20" s="632" t="s">
        <v>73</v>
      </c>
      <c r="R20" s="632" t="s">
        <v>73</v>
      </c>
      <c r="S20" s="632" t="s">
        <v>73</v>
      </c>
      <c r="T20" s="632" t="s">
        <v>73</v>
      </c>
      <c r="U20" s="632" t="s">
        <v>73</v>
      </c>
      <c r="V20" s="632" t="s">
        <v>73</v>
      </c>
      <c r="W20" s="632" t="s">
        <v>73</v>
      </c>
      <c r="X20" s="632" t="s">
        <v>73</v>
      </c>
      <c r="Y20" s="632" t="s">
        <v>73</v>
      </c>
      <c r="Z20" s="632" t="s">
        <v>73</v>
      </c>
      <c r="AA20" s="632" t="s">
        <v>73</v>
      </c>
      <c r="AB20" s="632" t="s">
        <v>73</v>
      </c>
      <c r="AC20" s="632" t="s">
        <v>73</v>
      </c>
      <c r="AD20" s="632" t="s">
        <v>73</v>
      </c>
      <c r="AE20" s="632" t="s">
        <v>73</v>
      </c>
      <c r="AF20" s="632" t="s">
        <v>73</v>
      </c>
    </row>
    <row r="21" spans="1:32" ht="14.45" x14ac:dyDescent="0.35">
      <c r="A21" s="839"/>
      <c r="B21" s="550" t="s">
        <v>37</v>
      </c>
      <c r="C21" s="539"/>
      <c r="D21" s="539"/>
      <c r="E21" s="539"/>
      <c r="F21" s="201"/>
      <c r="G21" s="549">
        <v>0</v>
      </c>
      <c r="H21" s="549">
        <v>0</v>
      </c>
      <c r="I21" s="549">
        <v>0</v>
      </c>
      <c r="J21" s="549">
        <v>0</v>
      </c>
      <c r="K21" s="549">
        <v>0</v>
      </c>
      <c r="L21" s="549">
        <v>0</v>
      </c>
      <c r="M21" s="549">
        <v>0</v>
      </c>
      <c r="N21" s="549">
        <v>0</v>
      </c>
      <c r="O21" s="549">
        <v>0</v>
      </c>
      <c r="P21" s="549">
        <v>0</v>
      </c>
      <c r="Q21" s="549">
        <v>0</v>
      </c>
      <c r="R21" s="549">
        <v>0</v>
      </c>
      <c r="S21" s="549">
        <v>0</v>
      </c>
      <c r="T21" s="549">
        <v>0</v>
      </c>
      <c r="U21" s="549">
        <v>0</v>
      </c>
      <c r="V21" s="549">
        <v>0</v>
      </c>
      <c r="W21" s="549">
        <v>0</v>
      </c>
      <c r="X21" s="549">
        <v>0</v>
      </c>
      <c r="Y21" s="549">
        <v>0</v>
      </c>
      <c r="Z21" s="549">
        <v>0</v>
      </c>
      <c r="AA21" s="549">
        <v>0</v>
      </c>
      <c r="AB21" s="549">
        <v>0</v>
      </c>
      <c r="AC21" s="549">
        <v>0</v>
      </c>
      <c r="AD21" s="549">
        <v>0</v>
      </c>
      <c r="AE21" s="549">
        <v>0</v>
      </c>
      <c r="AF21" s="549">
        <v>0</v>
      </c>
    </row>
    <row r="22" spans="1:32" ht="14.45" x14ac:dyDescent="0.35">
      <c r="A22" s="839"/>
      <c r="B22" s="550" t="s">
        <v>39</v>
      </c>
      <c r="C22" s="539"/>
      <c r="D22" s="539"/>
      <c r="E22" s="203"/>
      <c r="F22" s="539"/>
      <c r="G22" s="549">
        <v>0</v>
      </c>
      <c r="H22" s="549">
        <v>0</v>
      </c>
      <c r="I22" s="549">
        <v>0</v>
      </c>
      <c r="J22" s="549">
        <v>0</v>
      </c>
      <c r="K22" s="549">
        <v>0</v>
      </c>
      <c r="L22" s="549">
        <v>0</v>
      </c>
      <c r="M22" s="549">
        <v>0</v>
      </c>
      <c r="N22" s="549">
        <v>0</v>
      </c>
      <c r="O22" s="549">
        <v>0</v>
      </c>
      <c r="P22" s="549">
        <v>0</v>
      </c>
      <c r="Q22" s="549">
        <v>0</v>
      </c>
      <c r="R22" s="549">
        <v>0</v>
      </c>
      <c r="S22" s="549">
        <v>0</v>
      </c>
      <c r="T22" s="549">
        <v>0</v>
      </c>
      <c r="U22" s="549">
        <v>0</v>
      </c>
      <c r="V22" s="549">
        <v>0</v>
      </c>
      <c r="W22" s="549">
        <v>0</v>
      </c>
      <c r="X22" s="549">
        <v>0</v>
      </c>
      <c r="Y22" s="549">
        <v>0</v>
      </c>
      <c r="Z22" s="549">
        <v>0</v>
      </c>
      <c r="AA22" s="549">
        <v>0</v>
      </c>
      <c r="AB22" s="549">
        <v>0</v>
      </c>
      <c r="AC22" s="549">
        <v>0</v>
      </c>
      <c r="AD22" s="549">
        <v>0</v>
      </c>
      <c r="AE22" s="549">
        <v>0</v>
      </c>
      <c r="AF22" s="549">
        <v>0</v>
      </c>
    </row>
    <row r="23" spans="1:32" ht="14.45" x14ac:dyDescent="0.35">
      <c r="A23" s="839"/>
      <c r="B23" s="550" t="s">
        <v>40</v>
      </c>
      <c r="C23" s="539"/>
      <c r="D23" s="539"/>
      <c r="E23" s="539"/>
      <c r="F23" s="539"/>
      <c r="G23" s="549">
        <v>0</v>
      </c>
      <c r="H23" s="549">
        <v>0</v>
      </c>
      <c r="I23" s="549">
        <v>0</v>
      </c>
      <c r="J23" s="549">
        <v>0</v>
      </c>
      <c r="K23" s="549">
        <v>0</v>
      </c>
      <c r="L23" s="549">
        <v>0</v>
      </c>
      <c r="M23" s="549">
        <v>0</v>
      </c>
      <c r="N23" s="549">
        <v>0</v>
      </c>
      <c r="O23" s="549">
        <v>0</v>
      </c>
      <c r="P23" s="549">
        <v>0</v>
      </c>
      <c r="Q23" s="549">
        <v>0</v>
      </c>
      <c r="R23" s="549">
        <v>0</v>
      </c>
      <c r="S23" s="549">
        <v>0</v>
      </c>
      <c r="T23" s="549">
        <v>0</v>
      </c>
      <c r="U23" s="549">
        <v>0</v>
      </c>
      <c r="V23" s="549">
        <v>0</v>
      </c>
      <c r="W23" s="549">
        <v>0</v>
      </c>
      <c r="X23" s="549">
        <v>0</v>
      </c>
      <c r="Y23" s="549">
        <v>0</v>
      </c>
      <c r="Z23" s="549">
        <v>0</v>
      </c>
      <c r="AA23" s="549">
        <v>0</v>
      </c>
      <c r="AB23" s="549">
        <v>0</v>
      </c>
      <c r="AC23" s="549">
        <v>0</v>
      </c>
      <c r="AD23" s="549">
        <v>0</v>
      </c>
      <c r="AE23" s="549">
        <v>0</v>
      </c>
      <c r="AF23" s="549">
        <v>0</v>
      </c>
    </row>
    <row r="24" spans="1:32" ht="14.45" x14ac:dyDescent="0.35">
      <c r="A24" s="839"/>
      <c r="B24" s="550" t="s">
        <v>29</v>
      </c>
      <c r="C24" s="539"/>
      <c r="D24" s="539"/>
      <c r="E24" s="539"/>
      <c r="F24" s="539"/>
      <c r="G24" s="549">
        <v>0</v>
      </c>
      <c r="H24" s="549">
        <v>0</v>
      </c>
      <c r="I24" s="549">
        <v>0</v>
      </c>
      <c r="J24" s="549">
        <v>0</v>
      </c>
      <c r="K24" s="549">
        <v>0</v>
      </c>
      <c r="L24" s="549">
        <v>0</v>
      </c>
      <c r="M24" s="549">
        <v>0</v>
      </c>
      <c r="N24" s="549">
        <v>0</v>
      </c>
      <c r="O24" s="549">
        <v>0</v>
      </c>
      <c r="P24" s="549">
        <v>0</v>
      </c>
      <c r="Q24" s="549">
        <v>0</v>
      </c>
      <c r="R24" s="549">
        <v>0</v>
      </c>
      <c r="S24" s="549">
        <v>0</v>
      </c>
      <c r="T24" s="549">
        <v>0</v>
      </c>
      <c r="U24" s="549">
        <v>0</v>
      </c>
      <c r="V24" s="549">
        <v>0</v>
      </c>
      <c r="W24" s="549">
        <v>0</v>
      </c>
      <c r="X24" s="549">
        <v>0</v>
      </c>
      <c r="Y24" s="549">
        <v>0</v>
      </c>
      <c r="Z24" s="549">
        <v>0</v>
      </c>
      <c r="AA24" s="549">
        <v>0</v>
      </c>
      <c r="AB24" s="549">
        <v>0</v>
      </c>
      <c r="AC24" s="549">
        <v>0</v>
      </c>
      <c r="AD24" s="549">
        <v>0</v>
      </c>
      <c r="AE24" s="549">
        <v>0</v>
      </c>
      <c r="AF24" s="549">
        <v>0</v>
      </c>
    </row>
    <row r="25" spans="1:32" ht="14.45" x14ac:dyDescent="0.35">
      <c r="A25" s="839"/>
      <c r="B25" s="550"/>
      <c r="C25" s="539"/>
      <c r="D25" s="539"/>
      <c r="E25" s="539"/>
      <c r="F25" s="539"/>
      <c r="G25" s="549" t="s">
        <v>73</v>
      </c>
      <c r="H25" s="549" t="s">
        <v>73</v>
      </c>
      <c r="I25" s="549" t="s">
        <v>73</v>
      </c>
      <c r="J25" s="549" t="s">
        <v>73</v>
      </c>
      <c r="K25" s="549" t="s">
        <v>73</v>
      </c>
      <c r="L25" s="549" t="s">
        <v>73</v>
      </c>
      <c r="M25" s="549" t="s">
        <v>73</v>
      </c>
      <c r="N25" s="549" t="s">
        <v>73</v>
      </c>
      <c r="O25" s="549" t="s">
        <v>73</v>
      </c>
      <c r="P25" s="549" t="s">
        <v>73</v>
      </c>
      <c r="Q25" s="549" t="s">
        <v>73</v>
      </c>
      <c r="R25" s="549" t="s">
        <v>73</v>
      </c>
      <c r="S25" s="549" t="s">
        <v>73</v>
      </c>
      <c r="T25" s="549" t="s">
        <v>73</v>
      </c>
      <c r="U25" s="549" t="s">
        <v>73</v>
      </c>
      <c r="V25" s="549" t="s">
        <v>73</v>
      </c>
      <c r="W25" s="549" t="s">
        <v>73</v>
      </c>
      <c r="X25" s="549" t="s">
        <v>73</v>
      </c>
      <c r="Y25" s="549" t="s">
        <v>73</v>
      </c>
      <c r="Z25" s="549" t="s">
        <v>73</v>
      </c>
      <c r="AA25" s="549" t="s">
        <v>73</v>
      </c>
      <c r="AB25" s="549" t="s">
        <v>73</v>
      </c>
      <c r="AC25" s="549" t="s">
        <v>73</v>
      </c>
      <c r="AD25" s="549" t="s">
        <v>73</v>
      </c>
      <c r="AE25" s="549" t="s">
        <v>73</v>
      </c>
      <c r="AF25" s="549" t="s">
        <v>73</v>
      </c>
    </row>
    <row r="26" spans="1:32" s="202" customFormat="1" ht="12.95" x14ac:dyDescent="0.3">
      <c r="A26" s="843" t="s">
        <v>42</v>
      </c>
      <c r="B26" s="556"/>
      <c r="C26" s="556"/>
      <c r="D26" s="556"/>
      <c r="E26" s="556"/>
      <c r="F26" s="556"/>
      <c r="G26" s="632" t="s">
        <v>73</v>
      </c>
      <c r="H26" s="632" t="s">
        <v>73</v>
      </c>
      <c r="I26" s="632" t="s">
        <v>73</v>
      </c>
      <c r="J26" s="632" t="s">
        <v>73</v>
      </c>
      <c r="K26" s="632" t="s">
        <v>73</v>
      </c>
      <c r="L26" s="632" t="s">
        <v>73</v>
      </c>
      <c r="M26" s="632" t="s">
        <v>73</v>
      </c>
      <c r="N26" s="632" t="s">
        <v>73</v>
      </c>
      <c r="O26" s="632" t="s">
        <v>73</v>
      </c>
      <c r="P26" s="632" t="s">
        <v>73</v>
      </c>
      <c r="Q26" s="632" t="s">
        <v>73</v>
      </c>
      <c r="R26" s="632" t="s">
        <v>73</v>
      </c>
      <c r="S26" s="632" t="s">
        <v>73</v>
      </c>
      <c r="T26" s="632" t="s">
        <v>73</v>
      </c>
      <c r="U26" s="632" t="s">
        <v>73</v>
      </c>
      <c r="V26" s="632" t="s">
        <v>73</v>
      </c>
      <c r="W26" s="632" t="s">
        <v>73</v>
      </c>
      <c r="X26" s="632" t="s">
        <v>73</v>
      </c>
      <c r="Y26" s="632" t="s">
        <v>73</v>
      </c>
      <c r="Z26" s="632" t="s">
        <v>73</v>
      </c>
      <c r="AA26" s="632" t="s">
        <v>73</v>
      </c>
      <c r="AB26" s="632" t="s">
        <v>73</v>
      </c>
      <c r="AC26" s="632" t="s">
        <v>73</v>
      </c>
      <c r="AD26" s="632" t="s">
        <v>73</v>
      </c>
      <c r="AE26" s="632" t="s">
        <v>73</v>
      </c>
      <c r="AF26" s="632" t="s">
        <v>73</v>
      </c>
    </row>
    <row r="27" spans="1:32" ht="14.45" x14ac:dyDescent="0.35">
      <c r="A27" s="839"/>
      <c r="B27" s="552" t="s">
        <v>43</v>
      </c>
      <c r="C27" s="539"/>
      <c r="D27" s="539"/>
      <c r="E27" s="539"/>
      <c r="F27" s="539"/>
      <c r="G27" s="549">
        <v>2.9507316991656913</v>
      </c>
      <c r="H27" s="549">
        <v>2.6667148700472447</v>
      </c>
      <c r="I27" s="549">
        <v>2.4149267181969498</v>
      </c>
      <c r="J27" s="549">
        <v>2.1913882820986741</v>
      </c>
      <c r="K27" s="549">
        <v>1.9927110865624631</v>
      </c>
      <c r="L27" s="549">
        <v>1.8161247821275557</v>
      </c>
      <c r="M27" s="549">
        <v>1.6588538392875909</v>
      </c>
      <c r="N27" s="549">
        <v>1.5190030561345533</v>
      </c>
      <c r="O27" s="549">
        <v>1.3950217905487496</v>
      </c>
      <c r="P27" s="549">
        <v>1.284757599943338</v>
      </c>
      <c r="Q27" s="549">
        <v>1.1869012761050997</v>
      </c>
      <c r="R27" s="549">
        <v>1.0997684757642647</v>
      </c>
      <c r="S27" s="549">
        <v>1.0222479643758882</v>
      </c>
      <c r="T27" s="549">
        <v>0.95329460780934305</v>
      </c>
      <c r="U27" s="549">
        <v>0.89200412014332797</v>
      </c>
      <c r="V27" s="549">
        <v>0.83753413840553426</v>
      </c>
      <c r="W27" s="549">
        <v>0.78901295977375197</v>
      </c>
      <c r="X27" s="549">
        <v>0.74605350726412589</v>
      </c>
      <c r="Y27" s="549">
        <v>0.70823948220598387</v>
      </c>
      <c r="Z27" s="549">
        <v>0.67487946242771379</v>
      </c>
      <c r="AA27" s="549">
        <v>0.64526041206929896</v>
      </c>
      <c r="AB27" s="549">
        <v>0.61910748632817858</v>
      </c>
      <c r="AC27" s="549">
        <v>0.59606648210414548</v>
      </c>
      <c r="AD27" s="549">
        <v>0.57579089422854324</v>
      </c>
      <c r="AE27" s="549">
        <v>0.55791127011725083</v>
      </c>
      <c r="AF27" s="549">
        <v>0.54223472302298426</v>
      </c>
    </row>
    <row r="28" spans="1:32" ht="14.45" x14ac:dyDescent="0.35">
      <c r="A28" s="839"/>
      <c r="B28" s="552" t="s">
        <v>44</v>
      </c>
      <c r="C28" s="539"/>
      <c r="D28" s="539"/>
      <c r="E28" s="539"/>
      <c r="F28" s="539"/>
      <c r="G28" s="549">
        <v>46.226443918491654</v>
      </c>
      <c r="H28" s="549">
        <v>61.920137398371665</v>
      </c>
      <c r="I28" s="549">
        <v>76.401188505978752</v>
      </c>
      <c r="J28" s="549">
        <v>89.611772383570241</v>
      </c>
      <c r="K28" s="549">
        <v>101.58277871848944</v>
      </c>
      <c r="L28" s="549">
        <v>112.49012917390542</v>
      </c>
      <c r="M28" s="549">
        <v>122.26456440394918</v>
      </c>
      <c r="N28" s="549">
        <v>131.22238970200948</v>
      </c>
      <c r="O28" s="549">
        <v>139.72550084524343</v>
      </c>
      <c r="P28" s="549">
        <v>147.56408535401943</v>
      </c>
      <c r="Q28" s="549">
        <v>154.95589116523348</v>
      </c>
      <c r="R28" s="549">
        <v>161.73844190966656</v>
      </c>
      <c r="S28" s="549">
        <v>168.02558838501028</v>
      </c>
      <c r="T28" s="549">
        <v>173.87727766543063</v>
      </c>
      <c r="U28" s="549">
        <v>179.36170461611096</v>
      </c>
      <c r="V28" s="549">
        <v>184.51231406761124</v>
      </c>
      <c r="W28" s="549">
        <v>189.27564576105436</v>
      </c>
      <c r="X28" s="549">
        <v>193.86436478244019</v>
      </c>
      <c r="Y28" s="549">
        <v>198.31593636216712</v>
      </c>
      <c r="Z28" s="549">
        <v>202.57413161640937</v>
      </c>
      <c r="AA28" s="549">
        <v>206.59696677750614</v>
      </c>
      <c r="AB28" s="549">
        <v>210.420562827455</v>
      </c>
      <c r="AC28" s="549">
        <v>214.08836979896512</v>
      </c>
      <c r="AD28" s="549">
        <v>217.61569089488154</v>
      </c>
      <c r="AE28" s="549">
        <v>221.01908937424594</v>
      </c>
      <c r="AF28" s="549">
        <v>224.30646462877911</v>
      </c>
    </row>
    <row r="29" spans="1:32" ht="14.45" x14ac:dyDescent="0.35">
      <c r="A29" s="839"/>
      <c r="B29" s="552" t="s">
        <v>45</v>
      </c>
      <c r="C29" s="539"/>
      <c r="D29" s="539"/>
      <c r="E29" s="539"/>
      <c r="F29" s="539"/>
      <c r="G29" s="549">
        <v>123.5228074434654</v>
      </c>
      <c r="H29" s="549">
        <v>110.49971737433135</v>
      </c>
      <c r="I29" s="549">
        <v>98.921110717391315</v>
      </c>
      <c r="J29" s="549">
        <v>88.619898668846147</v>
      </c>
      <c r="K29" s="549">
        <v>79.449498832186435</v>
      </c>
      <c r="L29" s="549">
        <v>71.281866408136523</v>
      </c>
      <c r="M29" s="549">
        <v>64.002159651719197</v>
      </c>
      <c r="N29" s="549">
        <v>57.51207710641534</v>
      </c>
      <c r="O29" s="549">
        <v>51.725440758799913</v>
      </c>
      <c r="P29" s="549">
        <v>46.561702599660158</v>
      </c>
      <c r="Q29" s="549">
        <v>41.95292158222221</v>
      </c>
      <c r="R29" s="549">
        <v>37.836037955124581</v>
      </c>
      <c r="S29" s="549">
        <v>34.157317543329462</v>
      </c>
      <c r="T29" s="549">
        <v>30.868804210554007</v>
      </c>
      <c r="U29" s="549">
        <v>27.92809805770888</v>
      </c>
      <c r="V29" s="549">
        <v>25.29735921015363</v>
      </c>
      <c r="W29" s="549">
        <v>22.942314458897084</v>
      </c>
      <c r="X29" s="549">
        <v>20.834658135217708</v>
      </c>
      <c r="Y29" s="549">
        <v>18.954713413224233</v>
      </c>
      <c r="Z29" s="549">
        <v>17.276014408975431</v>
      </c>
      <c r="AA29" s="549">
        <v>15.770205830639238</v>
      </c>
      <c r="AB29" s="549">
        <v>14.4237682805106</v>
      </c>
      <c r="AC29" s="549">
        <v>13.219142078825405</v>
      </c>
      <c r="AD29" s="549">
        <v>12.140659222400588</v>
      </c>
      <c r="AE29" s="549">
        <v>11.171404282527062</v>
      </c>
      <c r="AF29" s="549">
        <v>10.302908215868763</v>
      </c>
    </row>
    <row r="30" spans="1:32" ht="14.45" x14ac:dyDescent="0.35">
      <c r="A30" s="839"/>
      <c r="B30" s="552" t="s">
        <v>46</v>
      </c>
      <c r="C30" s="539"/>
      <c r="D30" s="539"/>
      <c r="E30" s="539"/>
      <c r="F30" s="539"/>
      <c r="G30" s="549">
        <v>1.4727896483807588</v>
      </c>
      <c r="H30" s="549">
        <v>1.3154673379839512</v>
      </c>
      <c r="I30" s="549">
        <v>1.1755432869090745</v>
      </c>
      <c r="J30" s="549">
        <v>1.0510244811672225</v>
      </c>
      <c r="K30" s="549">
        <v>0.94015446764288735</v>
      </c>
      <c r="L30" s="549">
        <v>0.84138425634006841</v>
      </c>
      <c r="M30" s="549">
        <v>0.75334693145977971</v>
      </c>
      <c r="N30" s="549">
        <v>0.67483548155213613</v>
      </c>
      <c r="O30" s="549">
        <v>0.6047834259638919</v>
      </c>
      <c r="P30" s="549">
        <v>0.54224787229860716</v>
      </c>
      <c r="Q30" s="549">
        <v>0.48639468901004856</v>
      </c>
      <c r="R30" s="549">
        <v>0.43648551973825495</v>
      </c>
      <c r="S30" s="549">
        <v>0.39186640257288097</v>
      </c>
      <c r="T30" s="549">
        <v>0.35195778894115315</v>
      </c>
      <c r="U30" s="549">
        <v>0.31624578399259728</v>
      </c>
      <c r="V30" s="549">
        <v>0.28427445380702304</v>
      </c>
      <c r="W30" s="549">
        <v>0.25563906501267936</v>
      </c>
      <c r="X30" s="549">
        <v>0.22998013991760866</v>
      </c>
      <c r="Y30" s="549">
        <v>0.20705866532588948</v>
      </c>
      <c r="Z30" s="549">
        <v>0.18656355831022642</v>
      </c>
      <c r="AA30" s="549">
        <v>0.16815969152864954</v>
      </c>
      <c r="AB30" s="549">
        <v>0.15168185021347241</v>
      </c>
      <c r="AC30" s="549">
        <v>0.13691571477227393</v>
      </c>
      <c r="AD30" s="549">
        <v>0.12367235458684295</v>
      </c>
      <c r="AE30" s="549">
        <v>0.11174774624347297</v>
      </c>
      <c r="AF30" s="549">
        <v>0.10103985489212766</v>
      </c>
    </row>
    <row r="31" spans="1:32" ht="14.45" x14ac:dyDescent="0.35">
      <c r="A31" s="839"/>
      <c r="B31" s="550" t="s">
        <v>29</v>
      </c>
      <c r="C31" s="539"/>
      <c r="D31" s="539"/>
      <c r="E31" s="539"/>
      <c r="F31" s="539"/>
      <c r="G31" s="549">
        <v>0</v>
      </c>
      <c r="H31" s="549">
        <v>8.2173349706768345E-2</v>
      </c>
      <c r="I31" s="549">
        <v>0.14896754016756902</v>
      </c>
      <c r="J31" s="549">
        <v>0.20222889812027928</v>
      </c>
      <c r="K31" s="549">
        <v>0.2440984125185949</v>
      </c>
      <c r="L31" s="549">
        <v>0.27737254755838447</v>
      </c>
      <c r="M31" s="549">
        <v>0.30259770581390988</v>
      </c>
      <c r="N31" s="549">
        <v>0.32299812522470783</v>
      </c>
      <c r="O31" s="549">
        <v>0.34157751828151089</v>
      </c>
      <c r="P31" s="549">
        <v>0.35675500585331471</v>
      </c>
      <c r="Q31" s="549">
        <v>0.37032034577973244</v>
      </c>
      <c r="R31" s="549">
        <v>0.38106074796283396</v>
      </c>
      <c r="S31" s="549">
        <v>0.38997564967180076</v>
      </c>
      <c r="T31" s="549">
        <v>0.39752571887787264</v>
      </c>
      <c r="U31" s="549">
        <v>0.40417280598025002</v>
      </c>
      <c r="V31" s="549">
        <v>0.41007331919015344</v>
      </c>
      <c r="W31" s="549">
        <v>0.41475919514705478</v>
      </c>
      <c r="X31" s="549">
        <v>0.41975621115454087</v>
      </c>
      <c r="Y31" s="549">
        <v>0.42511664887611178</v>
      </c>
      <c r="Z31" s="549">
        <v>0.4302074962864687</v>
      </c>
      <c r="AA31" s="549">
        <v>0.43462056493485646</v>
      </c>
      <c r="AB31" s="549">
        <v>0.43861225059097975</v>
      </c>
      <c r="AC31" s="549">
        <v>0.44244174068795</v>
      </c>
      <c r="AD31" s="549">
        <v>0.44613592660778695</v>
      </c>
      <c r="AE31" s="549">
        <v>0.44974244129316832</v>
      </c>
      <c r="AF31" s="549">
        <v>0.45324368424091438</v>
      </c>
    </row>
    <row r="32" spans="1:32" ht="14.45" x14ac:dyDescent="0.35">
      <c r="A32" s="839"/>
      <c r="B32" s="550"/>
      <c r="C32" s="539"/>
      <c r="D32" s="539"/>
      <c r="E32" s="539"/>
      <c r="F32" s="539"/>
      <c r="G32" s="549" t="s">
        <v>73</v>
      </c>
      <c r="H32" s="549" t="s">
        <v>73</v>
      </c>
      <c r="I32" s="549" t="s">
        <v>73</v>
      </c>
      <c r="J32" s="549" t="s">
        <v>73</v>
      </c>
      <c r="K32" s="549" t="s">
        <v>73</v>
      </c>
      <c r="L32" s="549" t="s">
        <v>73</v>
      </c>
      <c r="M32" s="549" t="s">
        <v>73</v>
      </c>
      <c r="N32" s="549" t="s">
        <v>73</v>
      </c>
      <c r="O32" s="549" t="s">
        <v>73</v>
      </c>
      <c r="P32" s="549" t="s">
        <v>73</v>
      </c>
      <c r="Q32" s="549" t="s">
        <v>73</v>
      </c>
      <c r="R32" s="549" t="s">
        <v>73</v>
      </c>
      <c r="S32" s="549" t="s">
        <v>73</v>
      </c>
      <c r="T32" s="549" t="s">
        <v>73</v>
      </c>
      <c r="U32" s="549" t="s">
        <v>73</v>
      </c>
      <c r="V32" s="549" t="s">
        <v>73</v>
      </c>
      <c r="W32" s="549" t="s">
        <v>73</v>
      </c>
      <c r="X32" s="549" t="s">
        <v>73</v>
      </c>
      <c r="Y32" s="549" t="s">
        <v>73</v>
      </c>
      <c r="Z32" s="549" t="s">
        <v>73</v>
      </c>
      <c r="AA32" s="549" t="s">
        <v>73</v>
      </c>
      <c r="AB32" s="549" t="s">
        <v>73</v>
      </c>
      <c r="AC32" s="549" t="s">
        <v>73</v>
      </c>
      <c r="AD32" s="549" t="s">
        <v>73</v>
      </c>
      <c r="AE32" s="549" t="s">
        <v>73</v>
      </c>
      <c r="AF32" s="549" t="s">
        <v>73</v>
      </c>
    </row>
    <row r="33" spans="1:32" s="202" customFormat="1" ht="12.95" x14ac:dyDescent="0.3">
      <c r="A33" s="843" t="s">
        <v>47</v>
      </c>
      <c r="B33" s="556"/>
      <c r="C33" s="556"/>
      <c r="D33" s="556"/>
      <c r="E33" s="556"/>
      <c r="F33" s="556"/>
      <c r="G33" s="632" t="s">
        <v>73</v>
      </c>
      <c r="H33" s="632" t="s">
        <v>73</v>
      </c>
      <c r="I33" s="632" t="s">
        <v>73</v>
      </c>
      <c r="J33" s="632" t="s">
        <v>73</v>
      </c>
      <c r="K33" s="632" t="s">
        <v>73</v>
      </c>
      <c r="L33" s="632" t="s">
        <v>73</v>
      </c>
      <c r="M33" s="632" t="s">
        <v>73</v>
      </c>
      <c r="N33" s="632" t="s">
        <v>73</v>
      </c>
      <c r="O33" s="632" t="s">
        <v>73</v>
      </c>
      <c r="P33" s="632" t="s">
        <v>73</v>
      </c>
      <c r="Q33" s="632" t="s">
        <v>73</v>
      </c>
      <c r="R33" s="632" t="s">
        <v>73</v>
      </c>
      <c r="S33" s="632" t="s">
        <v>73</v>
      </c>
      <c r="T33" s="632" t="s">
        <v>73</v>
      </c>
      <c r="U33" s="632" t="s">
        <v>73</v>
      </c>
      <c r="V33" s="632" t="s">
        <v>73</v>
      </c>
      <c r="W33" s="632" t="s">
        <v>73</v>
      </c>
      <c r="X33" s="632" t="s">
        <v>73</v>
      </c>
      <c r="Y33" s="632" t="s">
        <v>73</v>
      </c>
      <c r="Z33" s="632" t="s">
        <v>73</v>
      </c>
      <c r="AA33" s="632" t="s">
        <v>73</v>
      </c>
      <c r="AB33" s="632" t="s">
        <v>73</v>
      </c>
      <c r="AC33" s="632" t="s">
        <v>73</v>
      </c>
      <c r="AD33" s="632" t="s">
        <v>73</v>
      </c>
      <c r="AE33" s="632" t="s">
        <v>73</v>
      </c>
      <c r="AF33" s="632" t="s">
        <v>73</v>
      </c>
    </row>
    <row r="34" spans="1:32" ht="14.45" x14ac:dyDescent="0.35">
      <c r="A34" s="839"/>
      <c r="B34" s="550" t="s">
        <v>48</v>
      </c>
      <c r="C34" s="539"/>
      <c r="D34" s="539"/>
      <c r="E34" s="539"/>
      <c r="F34" s="539"/>
      <c r="G34" s="549">
        <v>2.1357468487874955</v>
      </c>
      <c r="H34" s="549">
        <v>0.22593968613848647</v>
      </c>
      <c r="I34" s="549">
        <v>2.3935945098728706E-2</v>
      </c>
      <c r="J34" s="549">
        <v>2.5352980813767812E-3</v>
      </c>
      <c r="K34" s="549">
        <v>2.6827824561767496E-4</v>
      </c>
      <c r="L34" s="549">
        <v>2.8375501296823139E-5</v>
      </c>
      <c r="M34" s="549">
        <v>2.9963255283438626E-6</v>
      </c>
      <c r="N34" s="549">
        <v>3.163334149001881E-7</v>
      </c>
      <c r="O34" s="549">
        <v>3.3447383068265788E-8</v>
      </c>
      <c r="P34" s="549">
        <v>3.5352930154997883E-9</v>
      </c>
      <c r="Q34" s="549">
        <v>3.7388141605526238E-10</v>
      </c>
      <c r="R34" s="549">
        <v>3.9507566987816527E-11</v>
      </c>
      <c r="S34" s="549">
        <v>4.1728209925886275E-12</v>
      </c>
      <c r="T34" s="549">
        <v>4.4057106735162015E-13</v>
      </c>
      <c r="U34" s="549">
        <v>4.6505703086674122E-14</v>
      </c>
      <c r="V34" s="549">
        <v>4.9078266857745822E-15</v>
      </c>
      <c r="W34" s="549">
        <v>5.1754498592938436E-16</v>
      </c>
      <c r="X34" s="549">
        <v>5.4593704098052015E-17</v>
      </c>
      <c r="Y34" s="549">
        <v>5.7611423223773077E-18</v>
      </c>
      <c r="Z34" s="549">
        <v>6.0791026674759874E-19</v>
      </c>
      <c r="AA34" s="549">
        <v>6.4116101487186037E-20</v>
      </c>
      <c r="AB34" s="549">
        <v>6.7600435646717736E-21</v>
      </c>
      <c r="AC34" s="549">
        <v>7.12605869861038E-22</v>
      </c>
      <c r="AD34" s="549">
        <v>7.5104644359767124E-23</v>
      </c>
      <c r="AE34" s="549">
        <v>7.9141025730847614E-24</v>
      </c>
      <c r="AF34" s="549">
        <v>8.3378489314059047E-25</v>
      </c>
    </row>
    <row r="35" spans="1:32" ht="14.45" x14ac:dyDescent="0.35">
      <c r="A35" s="839"/>
      <c r="B35" s="552" t="s">
        <v>50</v>
      </c>
      <c r="C35" s="539"/>
      <c r="D35" s="539"/>
      <c r="E35" s="539"/>
      <c r="F35" s="539"/>
      <c r="G35" s="549">
        <v>0.86420992186090051</v>
      </c>
      <c r="H35" s="549">
        <v>0.4879777260556652</v>
      </c>
      <c r="I35" s="549">
        <v>0.27589009889963828</v>
      </c>
      <c r="J35" s="549">
        <v>0.15598069406934778</v>
      </c>
      <c r="K35" s="549">
        <v>8.8131481705025119E-2</v>
      </c>
      <c r="L35" s="549">
        <v>4.9777339648266278E-2</v>
      </c>
      <c r="M35" s="549">
        <v>2.8077532331037453E-2</v>
      </c>
      <c r="N35" s="549">
        <v>1.5834862416123127E-2</v>
      </c>
      <c r="O35" s="549">
        <v>8.9413158897037031E-3</v>
      </c>
      <c r="P35" s="549">
        <v>5.0473663834072176E-3</v>
      </c>
      <c r="Q35" s="549">
        <v>2.8505293157554392E-3</v>
      </c>
      <c r="R35" s="549">
        <v>1.6087734091341922E-3</v>
      </c>
      <c r="S35" s="549">
        <v>9.0762366373615174E-4</v>
      </c>
      <c r="T35" s="549">
        <v>5.1190033784285821E-4</v>
      </c>
      <c r="U35" s="549">
        <v>2.8866080503267175E-4</v>
      </c>
      <c r="V35" s="549">
        <v>1.6274361670985218E-4</v>
      </c>
      <c r="W35" s="549">
        <v>9.1697908341945578E-5</v>
      </c>
      <c r="X35" s="549">
        <v>5.1680169031753797E-5</v>
      </c>
      <c r="Y35" s="549">
        <v>2.9135765181006374E-5</v>
      </c>
      <c r="Z35" s="549">
        <v>1.6424820958744067E-5</v>
      </c>
      <c r="AA35" s="549">
        <v>9.2557452888769511E-6</v>
      </c>
      <c r="AB35" s="549">
        <v>5.2144119529111294E-6</v>
      </c>
      <c r="AC35" s="549">
        <v>2.9371961419181345E-6</v>
      </c>
      <c r="AD35" s="549">
        <v>1.6542236129911451E-6</v>
      </c>
      <c r="AE35" s="549">
        <v>9.3151344723351922E-7</v>
      </c>
      <c r="AF35" s="549">
        <v>5.2446640885916175E-7</v>
      </c>
    </row>
    <row r="36" spans="1:32" x14ac:dyDescent="0.25">
      <c r="A36" s="839"/>
      <c r="B36" s="550" t="s">
        <v>51</v>
      </c>
      <c r="C36" s="539"/>
      <c r="D36" s="539"/>
      <c r="E36" s="539"/>
      <c r="F36" s="539"/>
      <c r="G36" s="549">
        <v>2.0668371278080659</v>
      </c>
      <c r="H36" s="549">
        <v>2.0595221154489232</v>
      </c>
      <c r="I36" s="549">
        <v>2.0548492720730027</v>
      </c>
      <c r="J36" s="549">
        <v>2.0501805294659454</v>
      </c>
      <c r="K36" s="549">
        <v>2.0442346521643691</v>
      </c>
      <c r="L36" s="549">
        <v>2.0375598108969291</v>
      </c>
      <c r="M36" s="549">
        <v>2.028237266914199</v>
      </c>
      <c r="N36" s="549">
        <v>2.0186244155687252</v>
      </c>
      <c r="O36" s="549">
        <v>2.0115095407600148</v>
      </c>
      <c r="P36" s="549">
        <v>2.003850786555891</v>
      </c>
      <c r="Q36" s="549">
        <v>1.9971248623758568</v>
      </c>
      <c r="R36" s="549">
        <v>1.9890917906231915</v>
      </c>
      <c r="S36" s="549">
        <v>1.9803711159694564</v>
      </c>
      <c r="T36" s="549">
        <v>1.9710947649940016</v>
      </c>
      <c r="U36" s="549">
        <v>1.9615144367442079</v>
      </c>
      <c r="V36" s="549">
        <v>1.9515944585170573</v>
      </c>
      <c r="W36" s="549">
        <v>1.9405638378722889</v>
      </c>
      <c r="X36" s="549">
        <v>1.9300782489225707</v>
      </c>
      <c r="Y36" s="549">
        <v>1.9202571577137379</v>
      </c>
      <c r="Z36" s="549">
        <v>1.9103620711847691</v>
      </c>
      <c r="AA36" s="549">
        <v>1.8998054252443934</v>
      </c>
      <c r="AB36" s="549">
        <v>1.8888009305037976</v>
      </c>
      <c r="AC36" s="549">
        <v>1.8775744452213228</v>
      </c>
      <c r="AD36" s="549">
        <v>1.8661306518944594</v>
      </c>
      <c r="AE36" s="549">
        <v>1.8544743045191867</v>
      </c>
      <c r="AF36" s="549">
        <v>1.8426102252991314</v>
      </c>
    </row>
    <row r="37" spans="1:32" x14ac:dyDescent="0.25">
      <c r="A37" s="839"/>
      <c r="B37" s="550" t="s">
        <v>52</v>
      </c>
      <c r="C37" s="539"/>
      <c r="D37" s="539"/>
      <c r="E37" s="539"/>
      <c r="F37" s="539"/>
      <c r="G37" s="549">
        <v>13.678104487940976</v>
      </c>
      <c r="H37" s="549">
        <v>13.820974318386318</v>
      </c>
      <c r="I37" s="549">
        <v>13.983819595717495</v>
      </c>
      <c r="J37" s="549">
        <v>14.148964561733299</v>
      </c>
      <c r="K37" s="549">
        <v>14.30734041377255</v>
      </c>
      <c r="L37" s="549">
        <v>14.462517580441499</v>
      </c>
      <c r="M37" s="549">
        <v>14.600289537637826</v>
      </c>
      <c r="N37" s="549">
        <v>14.737283333535286</v>
      </c>
      <c r="O37" s="549">
        <v>14.894329379047569</v>
      </c>
      <c r="P37" s="549">
        <v>15.049076772149581</v>
      </c>
      <c r="Q37" s="549">
        <v>15.212754029546758</v>
      </c>
      <c r="R37" s="549">
        <v>15.368141069129861</v>
      </c>
      <c r="S37" s="549">
        <v>15.519729269566014</v>
      </c>
      <c r="T37" s="549">
        <v>15.668351334874842</v>
      </c>
      <c r="U37" s="549">
        <v>15.816175187561946</v>
      </c>
      <c r="V37" s="549">
        <v>15.96248927817626</v>
      </c>
      <c r="W37" s="549">
        <v>16.10096808618469</v>
      </c>
      <c r="X37" s="549">
        <v>16.245301657026342</v>
      </c>
      <c r="Y37" s="549">
        <v>16.396445697297874</v>
      </c>
      <c r="Z37" s="549">
        <v>16.548407405503358</v>
      </c>
      <c r="AA37" s="549">
        <v>16.69590915901086</v>
      </c>
      <c r="AB37" s="549">
        <v>16.840383514350133</v>
      </c>
      <c r="AC37" s="549">
        <v>16.983933494148136</v>
      </c>
      <c r="AD37" s="549">
        <v>17.126489995583228</v>
      </c>
      <c r="AE37" s="549">
        <v>17.267785496242102</v>
      </c>
      <c r="AF37" s="549">
        <v>17.407959406572299</v>
      </c>
    </row>
    <row r="38" spans="1:32" x14ac:dyDescent="0.25">
      <c r="A38" s="839"/>
      <c r="B38" s="552" t="s">
        <v>29</v>
      </c>
      <c r="C38" s="539"/>
      <c r="D38" s="539"/>
      <c r="E38" s="539"/>
      <c r="F38" s="539"/>
      <c r="G38" s="549">
        <v>3.9469599694708011</v>
      </c>
      <c r="H38" s="549">
        <v>6.3985869575968604</v>
      </c>
      <c r="I38" s="549">
        <v>6.990315352458766</v>
      </c>
      <c r="J38" s="549">
        <v>7.311785585198642</v>
      </c>
      <c r="K38" s="549">
        <v>7.5594709622569027</v>
      </c>
      <c r="L38" s="549">
        <v>7.7749636817274883</v>
      </c>
      <c r="M38" s="549">
        <v>7.9645884745799371</v>
      </c>
      <c r="N38" s="549">
        <v>8.1451681446316222</v>
      </c>
      <c r="O38" s="549">
        <v>8.3331841862772027</v>
      </c>
      <c r="P38" s="549">
        <v>8.5179425799352888</v>
      </c>
      <c r="Q38" s="549">
        <v>8.7075121274610261</v>
      </c>
      <c r="R38" s="549">
        <v>8.8922376380547821</v>
      </c>
      <c r="S38" s="549">
        <v>9.0751551109154214</v>
      </c>
      <c r="T38" s="549">
        <v>9.2569456661339267</v>
      </c>
      <c r="U38" s="549">
        <v>9.4385586920503339</v>
      </c>
      <c r="V38" s="549">
        <v>9.6200952006574347</v>
      </c>
      <c r="W38" s="549">
        <v>9.797036642788914</v>
      </c>
      <c r="X38" s="549">
        <v>9.9781816735748734</v>
      </c>
      <c r="Y38" s="549">
        <v>10.164707647685285</v>
      </c>
      <c r="Z38" s="549">
        <v>10.352366645234415</v>
      </c>
      <c r="AA38" s="549">
        <v>10.537674378875755</v>
      </c>
      <c r="AB38" s="549">
        <v>10.721907683303153</v>
      </c>
      <c r="AC38" s="549">
        <v>10.906071828700089</v>
      </c>
      <c r="AD38" s="549">
        <v>11.090118222755223</v>
      </c>
      <c r="AE38" s="549">
        <v>11.274195677196087</v>
      </c>
      <c r="AF38" s="549">
        <v>11.45804527119023</v>
      </c>
    </row>
    <row r="39" spans="1:32" x14ac:dyDescent="0.25">
      <c r="A39" s="839"/>
      <c r="B39" s="552" t="s">
        <v>53</v>
      </c>
      <c r="C39" s="539"/>
      <c r="D39" s="539"/>
      <c r="E39" s="539"/>
      <c r="F39" s="539"/>
      <c r="G39" s="549">
        <v>0</v>
      </c>
      <c r="H39" s="549">
        <v>0</v>
      </c>
      <c r="I39" s="549">
        <v>0</v>
      </c>
      <c r="J39" s="549">
        <v>0</v>
      </c>
      <c r="K39" s="549">
        <v>0</v>
      </c>
      <c r="L39" s="549">
        <v>0</v>
      </c>
      <c r="M39" s="549">
        <v>0</v>
      </c>
      <c r="N39" s="549">
        <v>0</v>
      </c>
      <c r="O39" s="549">
        <v>0</v>
      </c>
      <c r="P39" s="549">
        <v>0</v>
      </c>
      <c r="Q39" s="549">
        <v>0</v>
      </c>
      <c r="R39" s="549">
        <v>0</v>
      </c>
      <c r="S39" s="549">
        <v>0</v>
      </c>
      <c r="T39" s="549">
        <v>0</v>
      </c>
      <c r="U39" s="549">
        <v>0</v>
      </c>
      <c r="V39" s="549">
        <v>0</v>
      </c>
      <c r="W39" s="549">
        <v>0</v>
      </c>
      <c r="X39" s="549">
        <v>0</v>
      </c>
      <c r="Y39" s="549">
        <v>0</v>
      </c>
      <c r="Z39" s="549">
        <v>0</v>
      </c>
      <c r="AA39" s="549">
        <v>0</v>
      </c>
      <c r="AB39" s="549">
        <v>0</v>
      </c>
      <c r="AC39" s="549">
        <v>0</v>
      </c>
      <c r="AD39" s="549">
        <v>0</v>
      </c>
      <c r="AE39" s="549">
        <v>0</v>
      </c>
      <c r="AF39" s="549">
        <v>0</v>
      </c>
    </row>
    <row r="40" spans="1:32" x14ac:dyDescent="0.25">
      <c r="A40" s="838"/>
      <c r="B40" s="552"/>
      <c r="C40" s="552"/>
      <c r="D40" s="277"/>
      <c r="E40" s="277"/>
      <c r="F40" s="277"/>
      <c r="G40" s="277"/>
      <c r="H40" s="277"/>
      <c r="I40" s="277"/>
      <c r="J40" s="277"/>
      <c r="K40" s="277"/>
      <c r="L40" s="277"/>
      <c r="M40" s="277"/>
      <c r="N40" s="277"/>
      <c r="O40" s="277"/>
      <c r="P40" s="277"/>
      <c r="Q40" s="277"/>
      <c r="R40" s="277"/>
      <c r="S40" s="277"/>
      <c r="T40" s="277"/>
      <c r="U40" s="277"/>
      <c r="V40" s="277"/>
      <c r="W40" s="277"/>
      <c r="X40" s="277"/>
      <c r="Y40" s="277"/>
      <c r="Z40" s="277"/>
      <c r="AA40" s="277"/>
      <c r="AB40" s="277"/>
      <c r="AC40" s="277"/>
      <c r="AD40" s="277"/>
      <c r="AE40" s="277"/>
      <c r="AF40" s="277"/>
    </row>
    <row r="41" spans="1:32" x14ac:dyDescent="0.25">
      <c r="A41" s="838"/>
      <c r="B41" s="552"/>
      <c r="C41" s="552"/>
      <c r="D41" s="277"/>
      <c r="E41" s="277"/>
      <c r="F41" s="277"/>
      <c r="G41" s="277"/>
      <c r="H41" s="277"/>
      <c r="I41" s="277"/>
      <c r="J41" s="277"/>
      <c r="K41" s="277"/>
      <c r="L41" s="277"/>
      <c r="M41" s="277"/>
      <c r="N41" s="277"/>
      <c r="O41" s="277"/>
      <c r="P41" s="277"/>
      <c r="Q41" s="277"/>
      <c r="R41" s="277"/>
      <c r="S41" s="277"/>
      <c r="T41" s="277"/>
      <c r="U41" s="277"/>
      <c r="V41" s="277"/>
      <c r="W41" s="277"/>
      <c r="X41" s="277"/>
      <c r="Y41" s="277"/>
      <c r="Z41" s="277"/>
      <c r="AA41" s="277"/>
      <c r="AB41" s="277"/>
      <c r="AC41" s="277"/>
      <c r="AD41" s="277"/>
      <c r="AE41" s="277"/>
      <c r="AF41" s="277"/>
    </row>
    <row r="42" spans="1:32" s="539" customFormat="1" x14ac:dyDescent="0.25">
      <c r="A42" s="860" t="s">
        <v>527</v>
      </c>
      <c r="B42" s="555"/>
      <c r="C42" s="554"/>
      <c r="D42" s="553"/>
      <c r="E42" s="553"/>
      <c r="F42" s="553"/>
      <c r="G42" s="553" t="s">
        <v>701</v>
      </c>
      <c r="H42" s="560"/>
      <c r="I42" s="560"/>
      <c r="J42" s="560"/>
      <c r="K42" s="560"/>
      <c r="L42" s="560"/>
      <c r="M42" s="560"/>
      <c r="N42" s="560"/>
      <c r="O42" s="560"/>
      <c r="P42" s="560"/>
      <c r="Q42" s="560"/>
      <c r="R42" s="560"/>
      <c r="S42" s="560"/>
      <c r="T42" s="560"/>
      <c r="U42" s="560"/>
      <c r="V42" s="560"/>
      <c r="W42" s="560"/>
      <c r="X42" s="560"/>
      <c r="Y42" s="560"/>
      <c r="Z42" s="560"/>
      <c r="AA42" s="560"/>
      <c r="AB42" s="560"/>
      <c r="AC42" s="560"/>
      <c r="AD42" s="560"/>
      <c r="AE42" s="560"/>
      <c r="AF42" s="560"/>
    </row>
    <row r="43" spans="1:32" s="539" customFormat="1" x14ac:dyDescent="0.25">
      <c r="A43" s="840" t="s">
        <v>12</v>
      </c>
      <c r="B43" s="550"/>
    </row>
    <row r="44" spans="1:32" s="539" customFormat="1" x14ac:dyDescent="0.25">
      <c r="A44" s="839"/>
      <c r="B44" s="550" t="s">
        <v>20</v>
      </c>
    </row>
    <row r="45" spans="1:32" s="202" customFormat="1" ht="12.75" x14ac:dyDescent="0.2">
      <c r="A45" s="843" t="s">
        <v>21</v>
      </c>
      <c r="B45" s="556"/>
      <c r="C45" s="556"/>
      <c r="D45" s="556"/>
      <c r="E45" s="556"/>
      <c r="F45" s="556"/>
      <c r="G45" s="556"/>
      <c r="H45" s="556"/>
      <c r="I45" s="556"/>
      <c r="J45" s="556"/>
      <c r="K45" s="556"/>
      <c r="L45" s="556"/>
      <c r="M45" s="556"/>
      <c r="N45" s="556"/>
      <c r="O45" s="556"/>
      <c r="P45" s="556"/>
      <c r="Q45" s="556"/>
      <c r="R45" s="556"/>
      <c r="S45" s="556"/>
      <c r="T45" s="556"/>
      <c r="U45" s="556"/>
      <c r="V45" s="556"/>
      <c r="W45" s="556"/>
      <c r="X45" s="556"/>
      <c r="Y45" s="556"/>
      <c r="Z45" s="556"/>
      <c r="AA45" s="556"/>
      <c r="AB45" s="556"/>
      <c r="AC45" s="556"/>
      <c r="AD45" s="556"/>
      <c r="AE45" s="556"/>
      <c r="AF45" s="556"/>
    </row>
    <row r="46" spans="1:32" x14ac:dyDescent="0.25">
      <c r="A46" s="839"/>
      <c r="B46" s="550" t="s">
        <v>22</v>
      </c>
      <c r="C46" s="539"/>
      <c r="D46" s="539"/>
      <c r="E46" s="539"/>
      <c r="F46" s="539"/>
      <c r="G46" s="549">
        <v>0</v>
      </c>
      <c r="H46" s="549">
        <v>0</v>
      </c>
      <c r="I46" s="549">
        <v>0</v>
      </c>
      <c r="J46" s="549">
        <v>0</v>
      </c>
      <c r="K46" s="549">
        <v>0</v>
      </c>
      <c r="L46" s="549">
        <v>0</v>
      </c>
      <c r="M46" s="549">
        <v>0</v>
      </c>
      <c r="N46" s="549">
        <v>0</v>
      </c>
      <c r="O46" s="549">
        <v>0</v>
      </c>
      <c r="P46" s="549">
        <v>0</v>
      </c>
      <c r="Q46" s="549">
        <v>0</v>
      </c>
      <c r="R46" s="549">
        <v>0</v>
      </c>
      <c r="S46" s="549">
        <v>0</v>
      </c>
      <c r="T46" s="549">
        <v>0</v>
      </c>
      <c r="U46" s="549">
        <v>0</v>
      </c>
      <c r="V46" s="549">
        <v>0</v>
      </c>
      <c r="W46" s="549">
        <v>0</v>
      </c>
      <c r="X46" s="549">
        <v>0</v>
      </c>
      <c r="Y46" s="549">
        <v>0</v>
      </c>
      <c r="Z46" s="549">
        <v>0</v>
      </c>
      <c r="AA46" s="549">
        <v>0</v>
      </c>
      <c r="AB46" s="549">
        <v>0</v>
      </c>
      <c r="AC46" s="549">
        <v>0</v>
      </c>
      <c r="AD46" s="549">
        <v>0</v>
      </c>
      <c r="AE46" s="549">
        <v>0</v>
      </c>
      <c r="AF46" s="549">
        <v>0</v>
      </c>
    </row>
    <row r="47" spans="1:32" x14ac:dyDescent="0.25">
      <c r="A47" s="839"/>
      <c r="B47" s="550" t="s">
        <v>26</v>
      </c>
      <c r="C47" s="539"/>
      <c r="D47" s="539"/>
      <c r="E47" s="539"/>
      <c r="F47" s="539"/>
      <c r="G47" s="549">
        <v>0</v>
      </c>
      <c r="H47" s="549">
        <v>0</v>
      </c>
      <c r="I47" s="549">
        <v>0</v>
      </c>
      <c r="J47" s="549">
        <v>0</v>
      </c>
      <c r="K47" s="549">
        <v>0</v>
      </c>
      <c r="L47" s="549">
        <v>0</v>
      </c>
      <c r="M47" s="549">
        <v>0</v>
      </c>
      <c r="N47" s="549">
        <v>0</v>
      </c>
      <c r="O47" s="549">
        <v>0</v>
      </c>
      <c r="P47" s="549">
        <v>0</v>
      </c>
      <c r="Q47" s="549">
        <v>0</v>
      </c>
      <c r="R47" s="549">
        <v>0</v>
      </c>
      <c r="S47" s="549">
        <v>0</v>
      </c>
      <c r="T47" s="549">
        <v>0</v>
      </c>
      <c r="U47" s="549">
        <v>0</v>
      </c>
      <c r="V47" s="549">
        <v>0</v>
      </c>
      <c r="W47" s="549">
        <v>0</v>
      </c>
      <c r="X47" s="549">
        <v>0</v>
      </c>
      <c r="Y47" s="549">
        <v>0</v>
      </c>
      <c r="Z47" s="549">
        <v>0</v>
      </c>
      <c r="AA47" s="549">
        <v>0</v>
      </c>
      <c r="AB47" s="549">
        <v>0</v>
      </c>
      <c r="AC47" s="549">
        <v>0</v>
      </c>
      <c r="AD47" s="549">
        <v>0</v>
      </c>
      <c r="AE47" s="549">
        <v>0</v>
      </c>
      <c r="AF47" s="549">
        <v>0</v>
      </c>
    </row>
    <row r="48" spans="1:32" x14ac:dyDescent="0.25">
      <c r="A48" s="839"/>
      <c r="B48" s="550" t="s">
        <v>27</v>
      </c>
      <c r="C48" s="539"/>
      <c r="D48" s="539"/>
      <c r="E48" s="539"/>
      <c r="F48" s="539"/>
      <c r="G48" s="549">
        <v>0</v>
      </c>
      <c r="H48" s="549">
        <v>0</v>
      </c>
      <c r="I48" s="549">
        <v>0</v>
      </c>
      <c r="J48" s="549">
        <v>0</v>
      </c>
      <c r="K48" s="549">
        <v>0</v>
      </c>
      <c r="L48" s="549">
        <v>0</v>
      </c>
      <c r="M48" s="549">
        <v>0</v>
      </c>
      <c r="N48" s="549">
        <v>0</v>
      </c>
      <c r="O48" s="549">
        <v>0</v>
      </c>
      <c r="P48" s="549">
        <v>0</v>
      </c>
      <c r="Q48" s="549">
        <v>0</v>
      </c>
      <c r="R48" s="549">
        <v>0</v>
      </c>
      <c r="S48" s="549">
        <v>0</v>
      </c>
      <c r="T48" s="549">
        <v>0</v>
      </c>
      <c r="U48" s="549">
        <v>0</v>
      </c>
      <c r="V48" s="549">
        <v>0</v>
      </c>
      <c r="W48" s="549">
        <v>0</v>
      </c>
      <c r="X48" s="549">
        <v>0</v>
      </c>
      <c r="Y48" s="549">
        <v>0</v>
      </c>
      <c r="Z48" s="549">
        <v>0</v>
      </c>
      <c r="AA48" s="549">
        <v>0</v>
      </c>
      <c r="AB48" s="549">
        <v>0</v>
      </c>
      <c r="AC48" s="549">
        <v>0</v>
      </c>
      <c r="AD48" s="549">
        <v>0</v>
      </c>
      <c r="AE48" s="549">
        <v>0</v>
      </c>
      <c r="AF48" s="549">
        <v>0</v>
      </c>
    </row>
    <row r="49" spans="1:32" x14ac:dyDescent="0.25">
      <c r="A49" s="839"/>
      <c r="B49" s="550" t="s">
        <v>29</v>
      </c>
      <c r="C49" s="539"/>
      <c r="D49" s="539"/>
      <c r="E49" s="539"/>
      <c r="F49" s="539"/>
      <c r="G49" s="549">
        <v>0</v>
      </c>
      <c r="H49" s="549">
        <v>0</v>
      </c>
      <c r="I49" s="549">
        <v>0</v>
      </c>
      <c r="J49" s="549">
        <v>0</v>
      </c>
      <c r="K49" s="549">
        <v>0</v>
      </c>
      <c r="L49" s="549">
        <v>0</v>
      </c>
      <c r="M49" s="549">
        <v>0</v>
      </c>
      <c r="N49" s="549">
        <v>0</v>
      </c>
      <c r="O49" s="549">
        <v>0</v>
      </c>
      <c r="P49" s="549">
        <v>0</v>
      </c>
      <c r="Q49" s="549">
        <v>0</v>
      </c>
      <c r="R49" s="549">
        <v>0</v>
      </c>
      <c r="S49" s="549">
        <v>0</v>
      </c>
      <c r="T49" s="549">
        <v>0</v>
      </c>
      <c r="U49" s="549">
        <v>0</v>
      </c>
      <c r="V49" s="549">
        <v>0</v>
      </c>
      <c r="W49" s="549">
        <v>0</v>
      </c>
      <c r="X49" s="549">
        <v>0</v>
      </c>
      <c r="Y49" s="549">
        <v>0</v>
      </c>
      <c r="Z49" s="549">
        <v>0</v>
      </c>
      <c r="AA49" s="549">
        <v>0</v>
      </c>
      <c r="AB49" s="549">
        <v>0</v>
      </c>
      <c r="AC49" s="549">
        <v>0</v>
      </c>
      <c r="AD49" s="549">
        <v>0</v>
      </c>
      <c r="AE49" s="549">
        <v>0</v>
      </c>
      <c r="AF49" s="549">
        <v>0</v>
      </c>
    </row>
    <row r="50" spans="1:32" x14ac:dyDescent="0.25">
      <c r="A50" s="839"/>
      <c r="B50" s="550"/>
      <c r="C50" s="539"/>
      <c r="D50" s="539"/>
      <c r="E50" s="539"/>
      <c r="F50" s="539"/>
      <c r="G50" s="549" t="s">
        <v>73</v>
      </c>
      <c r="H50" s="549" t="s">
        <v>73</v>
      </c>
      <c r="I50" s="549" t="s">
        <v>73</v>
      </c>
      <c r="J50" s="549" t="s">
        <v>73</v>
      </c>
      <c r="K50" s="549" t="s">
        <v>73</v>
      </c>
      <c r="L50" s="549" t="s">
        <v>73</v>
      </c>
      <c r="M50" s="549" t="s">
        <v>73</v>
      </c>
      <c r="N50" s="549" t="s">
        <v>73</v>
      </c>
      <c r="O50" s="549" t="s">
        <v>73</v>
      </c>
      <c r="P50" s="549" t="s">
        <v>73</v>
      </c>
      <c r="Q50" s="549" t="s">
        <v>73</v>
      </c>
      <c r="R50" s="549" t="s">
        <v>73</v>
      </c>
      <c r="S50" s="549" t="s">
        <v>73</v>
      </c>
      <c r="T50" s="549" t="s">
        <v>73</v>
      </c>
      <c r="U50" s="549" t="s">
        <v>73</v>
      </c>
      <c r="V50" s="549" t="s">
        <v>73</v>
      </c>
      <c r="W50" s="549" t="s">
        <v>73</v>
      </c>
      <c r="X50" s="549" t="s">
        <v>73</v>
      </c>
      <c r="Y50" s="549" t="s">
        <v>73</v>
      </c>
      <c r="Z50" s="549" t="s">
        <v>73</v>
      </c>
      <c r="AA50" s="549" t="s">
        <v>73</v>
      </c>
      <c r="AB50" s="549" t="s">
        <v>73</v>
      </c>
      <c r="AC50" s="549" t="s">
        <v>73</v>
      </c>
      <c r="AD50" s="549" t="s">
        <v>73</v>
      </c>
      <c r="AE50" s="549" t="s">
        <v>73</v>
      </c>
      <c r="AF50" s="549" t="s">
        <v>73</v>
      </c>
    </row>
    <row r="51" spans="1:32" s="202" customFormat="1" ht="12.75" x14ac:dyDescent="0.2">
      <c r="A51" s="843" t="s">
        <v>32</v>
      </c>
      <c r="B51" s="556"/>
      <c r="C51" s="556"/>
      <c r="D51" s="556"/>
      <c r="E51" s="556"/>
      <c r="F51" s="556"/>
      <c r="G51" s="632" t="s">
        <v>73</v>
      </c>
      <c r="H51" s="632" t="s">
        <v>73</v>
      </c>
      <c r="I51" s="632" t="s">
        <v>73</v>
      </c>
      <c r="J51" s="632" t="s">
        <v>73</v>
      </c>
      <c r="K51" s="632" t="s">
        <v>73</v>
      </c>
      <c r="L51" s="632" t="s">
        <v>73</v>
      </c>
      <c r="M51" s="632" t="s">
        <v>73</v>
      </c>
      <c r="N51" s="632" t="s">
        <v>73</v>
      </c>
      <c r="O51" s="632" t="s">
        <v>73</v>
      </c>
      <c r="P51" s="632" t="s">
        <v>73</v>
      </c>
      <c r="Q51" s="632" t="s">
        <v>73</v>
      </c>
      <c r="R51" s="632" t="s">
        <v>73</v>
      </c>
      <c r="S51" s="632" t="s">
        <v>73</v>
      </c>
      <c r="T51" s="632" t="s">
        <v>73</v>
      </c>
      <c r="U51" s="632" t="s">
        <v>73</v>
      </c>
      <c r="V51" s="632" t="s">
        <v>73</v>
      </c>
      <c r="W51" s="632" t="s">
        <v>73</v>
      </c>
      <c r="X51" s="632" t="s">
        <v>73</v>
      </c>
      <c r="Y51" s="632" t="s">
        <v>73</v>
      </c>
      <c r="Z51" s="632" t="s">
        <v>73</v>
      </c>
      <c r="AA51" s="632" t="s">
        <v>73</v>
      </c>
      <c r="AB51" s="632" t="s">
        <v>73</v>
      </c>
      <c r="AC51" s="632" t="s">
        <v>73</v>
      </c>
      <c r="AD51" s="632" t="s">
        <v>73</v>
      </c>
      <c r="AE51" s="632" t="s">
        <v>73</v>
      </c>
      <c r="AF51" s="632" t="s">
        <v>73</v>
      </c>
    </row>
    <row r="52" spans="1:32" x14ac:dyDescent="0.25">
      <c r="A52" s="839"/>
      <c r="B52" s="550" t="s">
        <v>33</v>
      </c>
      <c r="C52" s="539"/>
      <c r="D52" s="539"/>
      <c r="E52" s="539"/>
      <c r="F52" s="539"/>
      <c r="G52" s="549">
        <v>0</v>
      </c>
      <c r="H52" s="549">
        <v>0</v>
      </c>
      <c r="I52" s="549">
        <v>0</v>
      </c>
      <c r="J52" s="549">
        <v>0</v>
      </c>
      <c r="K52" s="549">
        <v>0</v>
      </c>
      <c r="L52" s="549">
        <v>0</v>
      </c>
      <c r="M52" s="549">
        <v>0</v>
      </c>
      <c r="N52" s="549">
        <v>0</v>
      </c>
      <c r="O52" s="549">
        <v>0</v>
      </c>
      <c r="P52" s="549">
        <v>0</v>
      </c>
      <c r="Q52" s="549">
        <v>0</v>
      </c>
      <c r="R52" s="549">
        <v>0</v>
      </c>
      <c r="S52" s="549">
        <v>0</v>
      </c>
      <c r="T52" s="549">
        <v>0</v>
      </c>
      <c r="U52" s="549">
        <v>0</v>
      </c>
      <c r="V52" s="549">
        <v>0</v>
      </c>
      <c r="W52" s="549">
        <v>0</v>
      </c>
      <c r="X52" s="549">
        <v>0</v>
      </c>
      <c r="Y52" s="549">
        <v>0</v>
      </c>
      <c r="Z52" s="549">
        <v>0</v>
      </c>
      <c r="AA52" s="549">
        <v>0</v>
      </c>
      <c r="AB52" s="549">
        <v>0</v>
      </c>
      <c r="AC52" s="549">
        <v>0</v>
      </c>
      <c r="AD52" s="549">
        <v>0</v>
      </c>
      <c r="AE52" s="549">
        <v>0</v>
      </c>
      <c r="AF52" s="549">
        <v>0</v>
      </c>
    </row>
    <row r="53" spans="1:32" x14ac:dyDescent="0.25">
      <c r="A53" s="842"/>
      <c r="B53" s="552" t="s">
        <v>34</v>
      </c>
      <c r="C53" s="539"/>
      <c r="D53" s="539"/>
      <c r="E53" s="539"/>
      <c r="F53" s="539"/>
      <c r="G53" s="549">
        <v>0</v>
      </c>
      <c r="H53" s="549">
        <v>0</v>
      </c>
      <c r="I53" s="549">
        <v>0</v>
      </c>
      <c r="J53" s="549">
        <v>0</v>
      </c>
      <c r="K53" s="549">
        <v>0</v>
      </c>
      <c r="L53" s="549">
        <v>0</v>
      </c>
      <c r="M53" s="549">
        <v>0</v>
      </c>
      <c r="N53" s="549">
        <v>0</v>
      </c>
      <c r="O53" s="549">
        <v>0</v>
      </c>
      <c r="P53" s="549">
        <v>0</v>
      </c>
      <c r="Q53" s="549">
        <v>0</v>
      </c>
      <c r="R53" s="549">
        <v>0</v>
      </c>
      <c r="S53" s="549">
        <v>0</v>
      </c>
      <c r="T53" s="549">
        <v>0</v>
      </c>
      <c r="U53" s="549">
        <v>0</v>
      </c>
      <c r="V53" s="549">
        <v>0</v>
      </c>
      <c r="W53" s="549">
        <v>0</v>
      </c>
      <c r="X53" s="549">
        <v>0</v>
      </c>
      <c r="Y53" s="549">
        <v>0</v>
      </c>
      <c r="Z53" s="549">
        <v>0</v>
      </c>
      <c r="AA53" s="549">
        <v>0</v>
      </c>
      <c r="AB53" s="549">
        <v>0</v>
      </c>
      <c r="AC53" s="549">
        <v>0</v>
      </c>
      <c r="AD53" s="549">
        <v>0</v>
      </c>
      <c r="AE53" s="549">
        <v>0</v>
      </c>
      <c r="AF53" s="549">
        <v>0</v>
      </c>
    </row>
    <row r="54" spans="1:32" x14ac:dyDescent="0.25">
      <c r="A54" s="839"/>
      <c r="B54" s="552" t="s">
        <v>35</v>
      </c>
      <c r="C54" s="539"/>
      <c r="D54" s="539"/>
      <c r="E54" s="539"/>
      <c r="F54" s="539"/>
      <c r="G54" s="549">
        <v>0</v>
      </c>
      <c r="H54" s="549">
        <v>0</v>
      </c>
      <c r="I54" s="549">
        <v>0</v>
      </c>
      <c r="J54" s="549">
        <v>0</v>
      </c>
      <c r="K54" s="549">
        <v>0</v>
      </c>
      <c r="L54" s="549">
        <v>0</v>
      </c>
      <c r="M54" s="549">
        <v>0</v>
      </c>
      <c r="N54" s="549">
        <v>0</v>
      </c>
      <c r="O54" s="549">
        <v>0</v>
      </c>
      <c r="P54" s="549">
        <v>0</v>
      </c>
      <c r="Q54" s="549">
        <v>0</v>
      </c>
      <c r="R54" s="549">
        <v>0</v>
      </c>
      <c r="S54" s="549">
        <v>0</v>
      </c>
      <c r="T54" s="549">
        <v>0</v>
      </c>
      <c r="U54" s="549">
        <v>0</v>
      </c>
      <c r="V54" s="549">
        <v>0</v>
      </c>
      <c r="W54" s="549">
        <v>0</v>
      </c>
      <c r="X54" s="549">
        <v>0</v>
      </c>
      <c r="Y54" s="549">
        <v>0</v>
      </c>
      <c r="Z54" s="549">
        <v>0</v>
      </c>
      <c r="AA54" s="549">
        <v>0</v>
      </c>
      <c r="AB54" s="549">
        <v>0</v>
      </c>
      <c r="AC54" s="549">
        <v>0</v>
      </c>
      <c r="AD54" s="549">
        <v>0</v>
      </c>
      <c r="AE54" s="549">
        <v>0</v>
      </c>
      <c r="AF54" s="549">
        <v>0</v>
      </c>
    </row>
    <row r="55" spans="1:32" x14ac:dyDescent="0.25">
      <c r="A55" s="839"/>
      <c r="B55" s="552" t="s">
        <v>29</v>
      </c>
      <c r="C55" s="539"/>
      <c r="D55" s="539"/>
      <c r="E55" s="539"/>
      <c r="F55" s="539"/>
      <c r="G55" s="549">
        <v>0</v>
      </c>
      <c r="H55" s="549">
        <v>0</v>
      </c>
      <c r="I55" s="549">
        <v>0</v>
      </c>
      <c r="J55" s="549">
        <v>0</v>
      </c>
      <c r="K55" s="549">
        <v>0</v>
      </c>
      <c r="L55" s="549">
        <v>0</v>
      </c>
      <c r="M55" s="549">
        <v>0</v>
      </c>
      <c r="N55" s="549">
        <v>0</v>
      </c>
      <c r="O55" s="549">
        <v>0</v>
      </c>
      <c r="P55" s="549">
        <v>0</v>
      </c>
      <c r="Q55" s="549">
        <v>0</v>
      </c>
      <c r="R55" s="549">
        <v>0</v>
      </c>
      <c r="S55" s="549">
        <v>0</v>
      </c>
      <c r="T55" s="549">
        <v>0</v>
      </c>
      <c r="U55" s="549">
        <v>0</v>
      </c>
      <c r="V55" s="549">
        <v>0</v>
      </c>
      <c r="W55" s="549">
        <v>0</v>
      </c>
      <c r="X55" s="549">
        <v>0</v>
      </c>
      <c r="Y55" s="549">
        <v>0</v>
      </c>
      <c r="Z55" s="549">
        <v>0</v>
      </c>
      <c r="AA55" s="549">
        <v>0</v>
      </c>
      <c r="AB55" s="549">
        <v>0</v>
      </c>
      <c r="AC55" s="549">
        <v>0</v>
      </c>
      <c r="AD55" s="549">
        <v>0</v>
      </c>
      <c r="AE55" s="549">
        <v>0</v>
      </c>
      <c r="AF55" s="549">
        <v>0</v>
      </c>
    </row>
    <row r="56" spans="1:32" x14ac:dyDescent="0.25">
      <c r="A56" s="839"/>
      <c r="B56" s="550"/>
      <c r="C56" s="539"/>
      <c r="D56" s="539"/>
      <c r="E56" s="539"/>
      <c r="F56" s="539"/>
      <c r="G56" s="549" t="s">
        <v>73</v>
      </c>
      <c r="H56" s="549" t="s">
        <v>73</v>
      </c>
      <c r="I56" s="549" t="s">
        <v>73</v>
      </c>
      <c r="J56" s="549" t="s">
        <v>73</v>
      </c>
      <c r="K56" s="549" t="s">
        <v>73</v>
      </c>
      <c r="L56" s="549" t="s">
        <v>73</v>
      </c>
      <c r="M56" s="549" t="s">
        <v>73</v>
      </c>
      <c r="N56" s="549" t="s">
        <v>73</v>
      </c>
      <c r="O56" s="549" t="s">
        <v>73</v>
      </c>
      <c r="P56" s="549" t="s">
        <v>73</v>
      </c>
      <c r="Q56" s="549" t="s">
        <v>73</v>
      </c>
      <c r="R56" s="549" t="s">
        <v>73</v>
      </c>
      <c r="S56" s="549" t="s">
        <v>73</v>
      </c>
      <c r="T56" s="549" t="s">
        <v>73</v>
      </c>
      <c r="U56" s="549" t="s">
        <v>73</v>
      </c>
      <c r="V56" s="549" t="s">
        <v>73</v>
      </c>
      <c r="W56" s="549" t="s">
        <v>73</v>
      </c>
      <c r="X56" s="549" t="s">
        <v>73</v>
      </c>
      <c r="Y56" s="549" t="s">
        <v>73</v>
      </c>
      <c r="Z56" s="549" t="s">
        <v>73</v>
      </c>
      <c r="AA56" s="549" t="s">
        <v>73</v>
      </c>
      <c r="AB56" s="549" t="s">
        <v>73</v>
      </c>
      <c r="AC56" s="549" t="s">
        <v>73</v>
      </c>
      <c r="AD56" s="549" t="s">
        <v>73</v>
      </c>
      <c r="AE56" s="549" t="s">
        <v>73</v>
      </c>
      <c r="AF56" s="549" t="s">
        <v>73</v>
      </c>
    </row>
    <row r="57" spans="1:32" s="202" customFormat="1" ht="12.75" x14ac:dyDescent="0.2">
      <c r="A57" s="843" t="s">
        <v>36</v>
      </c>
      <c r="B57" s="556"/>
      <c r="C57" s="556"/>
      <c r="D57" s="556"/>
      <c r="E57" s="556"/>
      <c r="F57" s="556"/>
      <c r="G57" s="632" t="s">
        <v>73</v>
      </c>
      <c r="H57" s="632" t="s">
        <v>73</v>
      </c>
      <c r="I57" s="632" t="s">
        <v>73</v>
      </c>
      <c r="J57" s="632" t="s">
        <v>73</v>
      </c>
      <c r="K57" s="632" t="s">
        <v>73</v>
      </c>
      <c r="L57" s="632" t="s">
        <v>73</v>
      </c>
      <c r="M57" s="632" t="s">
        <v>73</v>
      </c>
      <c r="N57" s="632" t="s">
        <v>73</v>
      </c>
      <c r="O57" s="632" t="s">
        <v>73</v>
      </c>
      <c r="P57" s="632" t="s">
        <v>73</v>
      </c>
      <c r="Q57" s="632" t="s">
        <v>73</v>
      </c>
      <c r="R57" s="632" t="s">
        <v>73</v>
      </c>
      <c r="S57" s="632" t="s">
        <v>73</v>
      </c>
      <c r="T57" s="632" t="s">
        <v>73</v>
      </c>
      <c r="U57" s="632" t="s">
        <v>73</v>
      </c>
      <c r="V57" s="632" t="s">
        <v>73</v>
      </c>
      <c r="W57" s="632" t="s">
        <v>73</v>
      </c>
      <c r="X57" s="632" t="s">
        <v>73</v>
      </c>
      <c r="Y57" s="632" t="s">
        <v>73</v>
      </c>
      <c r="Z57" s="632" t="s">
        <v>73</v>
      </c>
      <c r="AA57" s="632" t="s">
        <v>73</v>
      </c>
      <c r="AB57" s="632" t="s">
        <v>73</v>
      </c>
      <c r="AC57" s="632" t="s">
        <v>73</v>
      </c>
      <c r="AD57" s="632" t="s">
        <v>73</v>
      </c>
      <c r="AE57" s="632" t="s">
        <v>73</v>
      </c>
      <c r="AF57" s="632" t="s">
        <v>73</v>
      </c>
    </row>
    <row r="58" spans="1:32" x14ac:dyDescent="0.25">
      <c r="A58" s="839"/>
      <c r="B58" s="550" t="s">
        <v>37</v>
      </c>
      <c r="C58" s="539"/>
      <c r="D58" s="539"/>
      <c r="E58" s="539"/>
      <c r="F58" s="201"/>
      <c r="G58" s="549">
        <v>0</v>
      </c>
      <c r="H58" s="549">
        <v>0</v>
      </c>
      <c r="I58" s="549">
        <v>0</v>
      </c>
      <c r="J58" s="549">
        <v>0</v>
      </c>
      <c r="K58" s="549">
        <v>0</v>
      </c>
      <c r="L58" s="549">
        <v>0</v>
      </c>
      <c r="M58" s="549">
        <v>0</v>
      </c>
      <c r="N58" s="549">
        <v>0</v>
      </c>
      <c r="O58" s="549">
        <v>0</v>
      </c>
      <c r="P58" s="549">
        <v>0</v>
      </c>
      <c r="Q58" s="549">
        <v>0</v>
      </c>
      <c r="R58" s="549">
        <v>0</v>
      </c>
      <c r="S58" s="549">
        <v>0</v>
      </c>
      <c r="T58" s="549">
        <v>0</v>
      </c>
      <c r="U58" s="549">
        <v>0</v>
      </c>
      <c r="V58" s="549">
        <v>0</v>
      </c>
      <c r="W58" s="549">
        <v>0</v>
      </c>
      <c r="X58" s="549">
        <v>0</v>
      </c>
      <c r="Y58" s="549">
        <v>0</v>
      </c>
      <c r="Z58" s="549">
        <v>0</v>
      </c>
      <c r="AA58" s="549">
        <v>0</v>
      </c>
      <c r="AB58" s="549">
        <v>0</v>
      </c>
      <c r="AC58" s="549">
        <v>0</v>
      </c>
      <c r="AD58" s="549">
        <v>0</v>
      </c>
      <c r="AE58" s="549">
        <v>0</v>
      </c>
      <c r="AF58" s="549">
        <v>0</v>
      </c>
    </row>
    <row r="59" spans="1:32" x14ac:dyDescent="0.25">
      <c r="A59" s="839"/>
      <c r="B59" s="550" t="s">
        <v>39</v>
      </c>
      <c r="C59" s="539"/>
      <c r="D59" s="539"/>
      <c r="E59" s="203"/>
      <c r="F59" s="539"/>
      <c r="G59" s="549">
        <v>0</v>
      </c>
      <c r="H59" s="549">
        <v>0</v>
      </c>
      <c r="I59" s="549">
        <v>0</v>
      </c>
      <c r="J59" s="549">
        <v>0</v>
      </c>
      <c r="K59" s="549">
        <v>0</v>
      </c>
      <c r="L59" s="549">
        <v>0</v>
      </c>
      <c r="M59" s="549">
        <v>0</v>
      </c>
      <c r="N59" s="549">
        <v>0</v>
      </c>
      <c r="O59" s="549">
        <v>0</v>
      </c>
      <c r="P59" s="549">
        <v>0</v>
      </c>
      <c r="Q59" s="549">
        <v>0</v>
      </c>
      <c r="R59" s="549">
        <v>0</v>
      </c>
      <c r="S59" s="549">
        <v>0</v>
      </c>
      <c r="T59" s="549">
        <v>0</v>
      </c>
      <c r="U59" s="549">
        <v>0</v>
      </c>
      <c r="V59" s="549">
        <v>0</v>
      </c>
      <c r="W59" s="549">
        <v>0</v>
      </c>
      <c r="X59" s="549">
        <v>0</v>
      </c>
      <c r="Y59" s="549">
        <v>0</v>
      </c>
      <c r="Z59" s="549">
        <v>0</v>
      </c>
      <c r="AA59" s="549">
        <v>0</v>
      </c>
      <c r="AB59" s="549">
        <v>0</v>
      </c>
      <c r="AC59" s="549">
        <v>0</v>
      </c>
      <c r="AD59" s="549">
        <v>0</v>
      </c>
      <c r="AE59" s="549">
        <v>0</v>
      </c>
      <c r="AF59" s="549">
        <v>0</v>
      </c>
    </row>
    <row r="60" spans="1:32" x14ac:dyDescent="0.25">
      <c r="A60" s="839"/>
      <c r="B60" s="550" t="s">
        <v>40</v>
      </c>
      <c r="C60" s="539"/>
      <c r="D60" s="539"/>
      <c r="E60" s="539"/>
      <c r="F60" s="539"/>
      <c r="G60" s="549">
        <v>0</v>
      </c>
      <c r="H60" s="549">
        <v>0</v>
      </c>
      <c r="I60" s="549">
        <v>0</v>
      </c>
      <c r="J60" s="549">
        <v>0</v>
      </c>
      <c r="K60" s="549">
        <v>0</v>
      </c>
      <c r="L60" s="549">
        <v>0</v>
      </c>
      <c r="M60" s="549">
        <v>0</v>
      </c>
      <c r="N60" s="549">
        <v>0</v>
      </c>
      <c r="O60" s="549">
        <v>0</v>
      </c>
      <c r="P60" s="549">
        <v>0</v>
      </c>
      <c r="Q60" s="549">
        <v>0</v>
      </c>
      <c r="R60" s="549">
        <v>0</v>
      </c>
      <c r="S60" s="549">
        <v>0</v>
      </c>
      <c r="T60" s="549">
        <v>0</v>
      </c>
      <c r="U60" s="549">
        <v>0</v>
      </c>
      <c r="V60" s="549">
        <v>0</v>
      </c>
      <c r="W60" s="549">
        <v>0</v>
      </c>
      <c r="X60" s="549">
        <v>0</v>
      </c>
      <c r="Y60" s="549">
        <v>0</v>
      </c>
      <c r="Z60" s="549">
        <v>0</v>
      </c>
      <c r="AA60" s="549">
        <v>0</v>
      </c>
      <c r="AB60" s="549">
        <v>0</v>
      </c>
      <c r="AC60" s="549">
        <v>0</v>
      </c>
      <c r="AD60" s="549">
        <v>0</v>
      </c>
      <c r="AE60" s="549">
        <v>0</v>
      </c>
      <c r="AF60" s="549">
        <v>0</v>
      </c>
    </row>
    <row r="61" spans="1:32" x14ac:dyDescent="0.25">
      <c r="A61" s="839"/>
      <c r="B61" s="550" t="s">
        <v>29</v>
      </c>
      <c r="C61" s="539"/>
      <c r="D61" s="539"/>
      <c r="E61" s="539"/>
      <c r="F61" s="539"/>
      <c r="G61" s="549">
        <v>0</v>
      </c>
      <c r="H61" s="549">
        <v>0</v>
      </c>
      <c r="I61" s="549">
        <v>0</v>
      </c>
      <c r="J61" s="549">
        <v>0</v>
      </c>
      <c r="K61" s="549">
        <v>0</v>
      </c>
      <c r="L61" s="549">
        <v>0</v>
      </c>
      <c r="M61" s="549">
        <v>0</v>
      </c>
      <c r="N61" s="549">
        <v>0</v>
      </c>
      <c r="O61" s="549">
        <v>0</v>
      </c>
      <c r="P61" s="549">
        <v>0</v>
      </c>
      <c r="Q61" s="549">
        <v>0</v>
      </c>
      <c r="R61" s="549">
        <v>0</v>
      </c>
      <c r="S61" s="549">
        <v>0</v>
      </c>
      <c r="T61" s="549">
        <v>0</v>
      </c>
      <c r="U61" s="549">
        <v>0</v>
      </c>
      <c r="V61" s="549">
        <v>0</v>
      </c>
      <c r="W61" s="549">
        <v>0</v>
      </c>
      <c r="X61" s="549">
        <v>0</v>
      </c>
      <c r="Y61" s="549">
        <v>0</v>
      </c>
      <c r="Z61" s="549">
        <v>0</v>
      </c>
      <c r="AA61" s="549">
        <v>0</v>
      </c>
      <c r="AB61" s="549">
        <v>0</v>
      </c>
      <c r="AC61" s="549">
        <v>0</v>
      </c>
      <c r="AD61" s="549">
        <v>0</v>
      </c>
      <c r="AE61" s="549">
        <v>0</v>
      </c>
      <c r="AF61" s="549">
        <v>0</v>
      </c>
    </row>
    <row r="62" spans="1:32" x14ac:dyDescent="0.25">
      <c r="A62" s="839"/>
      <c r="B62" s="550"/>
      <c r="C62" s="539"/>
      <c r="D62" s="539"/>
      <c r="E62" s="539"/>
      <c r="F62" s="539"/>
      <c r="G62" s="549" t="s">
        <v>73</v>
      </c>
      <c r="H62" s="549" t="s">
        <v>73</v>
      </c>
      <c r="I62" s="549" t="s">
        <v>73</v>
      </c>
      <c r="J62" s="549" t="s">
        <v>73</v>
      </c>
      <c r="K62" s="549" t="s">
        <v>73</v>
      </c>
      <c r="L62" s="549" t="s">
        <v>73</v>
      </c>
      <c r="M62" s="549" t="s">
        <v>73</v>
      </c>
      <c r="N62" s="549" t="s">
        <v>73</v>
      </c>
      <c r="O62" s="549" t="s">
        <v>73</v>
      </c>
      <c r="P62" s="549" t="s">
        <v>73</v>
      </c>
      <c r="Q62" s="549" t="s">
        <v>73</v>
      </c>
      <c r="R62" s="549" t="s">
        <v>73</v>
      </c>
      <c r="S62" s="549" t="s">
        <v>73</v>
      </c>
      <c r="T62" s="549" t="s">
        <v>73</v>
      </c>
      <c r="U62" s="549" t="s">
        <v>73</v>
      </c>
      <c r="V62" s="549" t="s">
        <v>73</v>
      </c>
      <c r="W62" s="549" t="s">
        <v>73</v>
      </c>
      <c r="X62" s="549" t="s">
        <v>73</v>
      </c>
      <c r="Y62" s="549" t="s">
        <v>73</v>
      </c>
      <c r="Z62" s="549" t="s">
        <v>73</v>
      </c>
      <c r="AA62" s="549" t="s">
        <v>73</v>
      </c>
      <c r="AB62" s="549" t="s">
        <v>73</v>
      </c>
      <c r="AC62" s="549" t="s">
        <v>73</v>
      </c>
      <c r="AD62" s="549" t="s">
        <v>73</v>
      </c>
      <c r="AE62" s="549" t="s">
        <v>73</v>
      </c>
      <c r="AF62" s="549" t="s">
        <v>73</v>
      </c>
    </row>
    <row r="63" spans="1:32" s="202" customFormat="1" ht="12.75" x14ac:dyDescent="0.2">
      <c r="A63" s="843" t="s">
        <v>42</v>
      </c>
      <c r="B63" s="556"/>
      <c r="C63" s="556"/>
      <c r="D63" s="556" t="s">
        <v>775</v>
      </c>
      <c r="E63" s="556"/>
      <c r="F63" s="556"/>
      <c r="G63" s="632" t="s">
        <v>73</v>
      </c>
      <c r="H63" s="632" t="s">
        <v>73</v>
      </c>
      <c r="I63" s="632" t="s">
        <v>73</v>
      </c>
      <c r="J63" s="632" t="s">
        <v>73</v>
      </c>
      <c r="K63" s="632" t="s">
        <v>73</v>
      </c>
      <c r="L63" s="632" t="s">
        <v>73</v>
      </c>
      <c r="M63" s="632" t="s">
        <v>73</v>
      </c>
      <c r="N63" s="632" t="s">
        <v>73</v>
      </c>
      <c r="O63" s="632" t="s">
        <v>73</v>
      </c>
      <c r="P63" s="632" t="s">
        <v>73</v>
      </c>
      <c r="Q63" s="632" t="s">
        <v>73</v>
      </c>
      <c r="R63" s="632" t="s">
        <v>73</v>
      </c>
      <c r="S63" s="632" t="s">
        <v>73</v>
      </c>
      <c r="T63" s="632" t="s">
        <v>73</v>
      </c>
      <c r="U63" s="632" t="s">
        <v>73</v>
      </c>
      <c r="V63" s="632" t="s">
        <v>73</v>
      </c>
      <c r="W63" s="632" t="s">
        <v>73</v>
      </c>
      <c r="X63" s="632" t="s">
        <v>73</v>
      </c>
      <c r="Y63" s="632" t="s">
        <v>73</v>
      </c>
      <c r="Z63" s="632" t="s">
        <v>73</v>
      </c>
      <c r="AA63" s="632" t="s">
        <v>73</v>
      </c>
      <c r="AB63" s="632" t="s">
        <v>73</v>
      </c>
      <c r="AC63" s="632" t="s">
        <v>73</v>
      </c>
      <c r="AD63" s="632" t="s">
        <v>73</v>
      </c>
      <c r="AE63" s="632" t="s">
        <v>73</v>
      </c>
      <c r="AF63" s="632" t="s">
        <v>73</v>
      </c>
    </row>
    <row r="64" spans="1:32" x14ac:dyDescent="0.25">
      <c r="A64" s="839"/>
      <c r="B64" s="552" t="s">
        <v>43</v>
      </c>
      <c r="C64" s="539"/>
      <c r="D64" s="539">
        <v>0.13453577995026955</v>
      </c>
      <c r="E64" s="539">
        <v>2.3050061379509268E-5</v>
      </c>
      <c r="F64" s="539"/>
      <c r="G64" s="549">
        <v>0.1488389255569075</v>
      </c>
      <c r="H64" s="549">
        <v>0.13451272988889004</v>
      </c>
      <c r="I64" s="549">
        <v>0.12181219259505421</v>
      </c>
      <c r="J64" s="549">
        <v>0.11053660943751192</v>
      </c>
      <c r="K64" s="549">
        <v>0.10051506111286067</v>
      </c>
      <c r="L64" s="549">
        <v>9.1607807421314275E-2</v>
      </c>
      <c r="M64" s="549">
        <v>8.3674846874531694E-2</v>
      </c>
      <c r="N64" s="549">
        <v>7.6620582907165363E-2</v>
      </c>
      <c r="O64" s="549">
        <v>7.0366799018852441E-2</v>
      </c>
      <c r="P64" s="549">
        <v>6.4804923074064991E-2</v>
      </c>
      <c r="Q64" s="549">
        <v>5.9868916827495601E-2</v>
      </c>
      <c r="R64" s="549">
        <v>5.5473819710681715E-2</v>
      </c>
      <c r="S64" s="549">
        <v>5.1563579539767403E-2</v>
      </c>
      <c r="T64" s="549">
        <v>4.8085478325818061E-2</v>
      </c>
      <c r="U64" s="549">
        <v>4.4993902655401166E-2</v>
      </c>
      <c r="V64" s="549">
        <v>4.2246362592965159E-2</v>
      </c>
      <c r="W64" s="549">
        <v>3.979888826097111E-2</v>
      </c>
      <c r="X64" s="549">
        <v>3.7631954969186678E-2</v>
      </c>
      <c r="Y64" s="549">
        <v>3.572456404569907E-2</v>
      </c>
      <c r="Z64" s="549">
        <v>3.4041839214512683E-2</v>
      </c>
      <c r="AA64" s="549">
        <v>3.25478139757528E-2</v>
      </c>
      <c r="AB64" s="549">
        <v>3.122862478326249E-2</v>
      </c>
      <c r="AC64" s="549">
        <v>3.0066405150272167E-2</v>
      </c>
      <c r="AD64" s="549">
        <v>2.9043676884163601E-2</v>
      </c>
      <c r="AE64" s="549">
        <v>2.8141804293430061E-2</v>
      </c>
      <c r="AF64" s="549">
        <v>2.7351057907842848E-2</v>
      </c>
    </row>
    <row r="65" spans="1:32" x14ac:dyDescent="0.25">
      <c r="A65" s="839"/>
      <c r="B65" s="552" t="s">
        <v>44</v>
      </c>
      <c r="C65" s="539"/>
      <c r="D65" s="539">
        <v>1.6326946226173267</v>
      </c>
      <c r="E65" s="539">
        <v>5.5271673241103825E-2</v>
      </c>
      <c r="F65" s="539"/>
      <c r="G65" s="549">
        <v>1.1852934338074781</v>
      </c>
      <c r="H65" s="549">
        <v>1.5774229493762228</v>
      </c>
      <c r="I65" s="549">
        <v>1.9463294684504213</v>
      </c>
      <c r="J65" s="549">
        <v>2.2828706819994786</v>
      </c>
      <c r="K65" s="549">
        <v>2.5878335085245734</v>
      </c>
      <c r="L65" s="549">
        <v>2.86569957355877</v>
      </c>
      <c r="M65" s="549">
        <v>3.1147044869339782</v>
      </c>
      <c r="N65" s="549">
        <v>3.34290616405162</v>
      </c>
      <c r="O65" s="549">
        <v>3.5595239433717714</v>
      </c>
      <c r="P65" s="549">
        <v>3.7592128267348333</v>
      </c>
      <c r="Q65" s="549">
        <v>3.9475199690288716</v>
      </c>
      <c r="R65" s="549">
        <v>4.1203062652017035</v>
      </c>
      <c r="S65" s="549">
        <v>4.2804720780210701</v>
      </c>
      <c r="T65" s="549">
        <v>4.4295445664131359</v>
      </c>
      <c r="U65" s="549">
        <v>4.5692610027724667</v>
      </c>
      <c r="V65" s="549">
        <v>4.7004733981810771</v>
      </c>
      <c r="W65" s="549">
        <v>4.8218198461126649</v>
      </c>
      <c r="X65" s="549">
        <v>4.938718015217237</v>
      </c>
      <c r="Y65" s="549">
        <v>5.0521223367463577</v>
      </c>
      <c r="Z65" s="549">
        <v>5.1606003731200829</v>
      </c>
      <c r="AA65" s="549">
        <v>5.2630825828064989</v>
      </c>
      <c r="AB65" s="549">
        <v>5.3604891521674425</v>
      </c>
      <c r="AC65" s="549">
        <v>5.4539269760133298</v>
      </c>
      <c r="AD65" s="549">
        <v>5.5437859052776508</v>
      </c>
      <c r="AE65" s="549">
        <v>5.6304878909771015</v>
      </c>
      <c r="AF65" s="549">
        <v>5.7142341710660807</v>
      </c>
    </row>
    <row r="66" spans="1:32" x14ac:dyDescent="0.25">
      <c r="A66" s="839"/>
      <c r="B66" s="552" t="s">
        <v>45</v>
      </c>
      <c r="C66" s="539"/>
      <c r="D66" s="539">
        <v>2.0335338052437715</v>
      </c>
      <c r="E66" s="539">
        <v>4.6183338519689698E-5</v>
      </c>
      <c r="F66" s="539"/>
      <c r="G66" s="549">
        <v>2.2731469901263419</v>
      </c>
      <c r="H66" s="549">
        <v>2.0334876219052518</v>
      </c>
      <c r="I66" s="549">
        <v>1.8204105763229914</v>
      </c>
      <c r="J66" s="549">
        <v>1.630840976607401</v>
      </c>
      <c r="K66" s="549">
        <v>1.4620813182220549</v>
      </c>
      <c r="L66" s="549">
        <v>1.3117752375439187</v>
      </c>
      <c r="M66" s="549">
        <v>1.1778093421369014</v>
      </c>
      <c r="N66" s="549">
        <v>1.058374624704</v>
      </c>
      <c r="O66" s="549">
        <v>0.95188518142804424</v>
      </c>
      <c r="P66" s="549">
        <v>0.85685871548877746</v>
      </c>
      <c r="Q66" s="549">
        <v>0.77204493158303689</v>
      </c>
      <c r="R66" s="549">
        <v>0.69628336317859019</v>
      </c>
      <c r="S66" s="549">
        <v>0.62858515906016676</v>
      </c>
      <c r="T66" s="549">
        <v>0.56806779923728401</v>
      </c>
      <c r="U66" s="549">
        <v>0.51395101320774539</v>
      </c>
      <c r="V66" s="549">
        <v>0.46553844700319535</v>
      </c>
      <c r="W66" s="549">
        <v>0.42219938275482305</v>
      </c>
      <c r="X66" s="549">
        <v>0.38341292114865133</v>
      </c>
      <c r="Y66" s="549">
        <v>0.34881695644505412</v>
      </c>
      <c r="Z66" s="549">
        <v>0.31792444624540739</v>
      </c>
      <c r="AA66" s="549">
        <v>0.29021357803899961</v>
      </c>
      <c r="AB66" s="549">
        <v>0.26543555908190292</v>
      </c>
      <c r="AC66" s="549">
        <v>0.2432672447336291</v>
      </c>
      <c r="AD66" s="549">
        <v>0.2234203022156899</v>
      </c>
      <c r="AE66" s="549">
        <v>0.20558344281426313</v>
      </c>
      <c r="AF66" s="549">
        <v>0.18960081368915643</v>
      </c>
    </row>
    <row r="67" spans="1:32" x14ac:dyDescent="0.25">
      <c r="A67" s="839"/>
      <c r="B67" s="552" t="s">
        <v>46</v>
      </c>
      <c r="C67" s="539"/>
      <c r="D67" s="539">
        <v>2.2688294894514509E-2</v>
      </c>
      <c r="E67" s="539">
        <v>0</v>
      </c>
      <c r="F67" s="539"/>
      <c r="G67" s="549">
        <v>2.5401684173521191E-2</v>
      </c>
      <c r="H67" s="549">
        <v>2.2688294894514509E-2</v>
      </c>
      <c r="I67" s="549">
        <v>2.0274979077424534E-2</v>
      </c>
      <c r="J67" s="549">
        <v>1.8127362558937953E-2</v>
      </c>
      <c r="K67" s="549">
        <v>1.6215151218400954E-2</v>
      </c>
      <c r="L67" s="549">
        <v>1.4511629119352679E-2</v>
      </c>
      <c r="M67" s="549">
        <v>1.2993220618485332E-2</v>
      </c>
      <c r="N67" s="549">
        <v>1.1639107995035118E-2</v>
      </c>
      <c r="O67" s="549">
        <v>1.0430897308794273E-2</v>
      </c>
      <c r="P67" s="549">
        <v>9.3523261865920485E-3</v>
      </c>
      <c r="Q67" s="549">
        <v>8.3890080891695154E-3</v>
      </c>
      <c r="R67" s="549">
        <v>7.5282083431917014E-3</v>
      </c>
      <c r="S67" s="549">
        <v>6.7586478539648307E-3</v>
      </c>
      <c r="T67" s="549">
        <v>6.0703309579364113E-3</v>
      </c>
      <c r="U67" s="549">
        <v>5.4543943427491776E-3</v>
      </c>
      <c r="V67" s="549">
        <v>4.9029743671442395E-3</v>
      </c>
      <c r="W67" s="549">
        <v>4.4090904624470391E-3</v>
      </c>
      <c r="X67" s="549">
        <v>3.9665425994758292E-3</v>
      </c>
      <c r="Y67" s="549">
        <v>3.5712084395634609E-3</v>
      </c>
      <c r="Z67" s="549">
        <v>3.2177226338431599E-3</v>
      </c>
      <c r="AA67" s="549">
        <v>2.9003051315738093E-3</v>
      </c>
      <c r="AB67" s="549">
        <v>2.6161064196873474E-3</v>
      </c>
      <c r="AC67" s="549">
        <v>2.3614300581627102E-3</v>
      </c>
      <c r="AD67" s="549">
        <v>2.1330174989107097E-3</v>
      </c>
      <c r="AE67" s="549">
        <v>1.9273498834679712E-3</v>
      </c>
      <c r="AF67" s="549">
        <v>1.7426673834447682E-3</v>
      </c>
    </row>
    <row r="68" spans="1:32" x14ac:dyDescent="0.25">
      <c r="A68" s="839"/>
      <c r="B68" s="550" t="s">
        <v>29</v>
      </c>
      <c r="C68" s="539"/>
      <c r="D68" s="539">
        <v>1.1909887724441239E-3</v>
      </c>
      <c r="E68" s="539">
        <v>1.5180864758895839E-5</v>
      </c>
      <c r="F68" s="539"/>
      <c r="G68" s="549">
        <v>0</v>
      </c>
      <c r="H68" s="549">
        <v>1.175807907685228E-3</v>
      </c>
      <c r="I68" s="549">
        <v>2.1315574008177176E-3</v>
      </c>
      <c r="J68" s="549">
        <v>2.8936673315717275E-3</v>
      </c>
      <c r="K68" s="549">
        <v>3.4927728359251059E-3</v>
      </c>
      <c r="L68" s="549">
        <v>3.9688881609152987E-3</v>
      </c>
      <c r="M68" s="549">
        <v>4.3298317108046262E-3</v>
      </c>
      <c r="N68" s="549">
        <v>4.6217386921910209E-3</v>
      </c>
      <c r="O68" s="549">
        <v>4.8875888413468819E-3</v>
      </c>
      <c r="P68" s="549">
        <v>5.1047615618140798E-3</v>
      </c>
      <c r="Q68" s="549">
        <v>5.298866268666577E-3</v>
      </c>
      <c r="R68" s="549">
        <v>5.4525493041479734E-3</v>
      </c>
      <c r="S68" s="549">
        <v>5.5801114877883518E-3</v>
      </c>
      <c r="T68" s="549">
        <v>5.6881444584260176E-3</v>
      </c>
      <c r="U68" s="549">
        <v>5.783256774109115E-3</v>
      </c>
      <c r="V68" s="549">
        <v>5.8676864598449802E-3</v>
      </c>
      <c r="W68" s="549">
        <v>5.9347360571197364E-3</v>
      </c>
      <c r="X68" s="549">
        <v>6.0062377174195563E-3</v>
      </c>
      <c r="Y68" s="549">
        <v>6.0829395323530946E-3</v>
      </c>
      <c r="Z68" s="549">
        <v>6.1557838141461175E-3</v>
      </c>
      <c r="AA68" s="549">
        <v>6.2189298466791536E-3</v>
      </c>
      <c r="AB68" s="549">
        <v>6.2760463640927902E-3</v>
      </c>
      <c r="AC68" s="549">
        <v>6.3308420460807804E-3</v>
      </c>
      <c r="AD68" s="549">
        <v>6.3837016779748658E-3</v>
      </c>
      <c r="AE68" s="549">
        <v>6.4353068334344699E-3</v>
      </c>
      <c r="AF68" s="549">
        <v>6.4854056691199769E-3</v>
      </c>
    </row>
    <row r="69" spans="1:32" x14ac:dyDescent="0.25">
      <c r="A69" s="839"/>
      <c r="B69" s="550"/>
      <c r="C69" s="539"/>
      <c r="D69" s="539"/>
      <c r="E69" s="539"/>
      <c r="F69" s="539"/>
      <c r="G69" s="549" t="s">
        <v>73</v>
      </c>
      <c r="H69" s="549" t="s">
        <v>73</v>
      </c>
      <c r="I69" s="549" t="s">
        <v>73</v>
      </c>
      <c r="J69" s="549" t="s">
        <v>73</v>
      </c>
      <c r="K69" s="549" t="s">
        <v>73</v>
      </c>
      <c r="L69" s="549" t="s">
        <v>73</v>
      </c>
      <c r="M69" s="549" t="s">
        <v>73</v>
      </c>
      <c r="N69" s="549" t="s">
        <v>73</v>
      </c>
      <c r="O69" s="549" t="s">
        <v>73</v>
      </c>
      <c r="P69" s="549" t="s">
        <v>73</v>
      </c>
      <c r="Q69" s="549" t="s">
        <v>73</v>
      </c>
      <c r="R69" s="549" t="s">
        <v>73</v>
      </c>
      <c r="S69" s="549" t="s">
        <v>73</v>
      </c>
      <c r="T69" s="549" t="s">
        <v>73</v>
      </c>
      <c r="U69" s="549" t="s">
        <v>73</v>
      </c>
      <c r="V69" s="549" t="s">
        <v>73</v>
      </c>
      <c r="W69" s="549" t="s">
        <v>73</v>
      </c>
      <c r="X69" s="549" t="s">
        <v>73</v>
      </c>
      <c r="Y69" s="549" t="s">
        <v>73</v>
      </c>
      <c r="Z69" s="549" t="s">
        <v>73</v>
      </c>
      <c r="AA69" s="549" t="s">
        <v>73</v>
      </c>
      <c r="AB69" s="549" t="s">
        <v>73</v>
      </c>
      <c r="AC69" s="549" t="s">
        <v>73</v>
      </c>
      <c r="AD69" s="549" t="s">
        <v>73</v>
      </c>
      <c r="AE69" s="549" t="s">
        <v>73</v>
      </c>
      <c r="AF69" s="549" t="s">
        <v>73</v>
      </c>
    </row>
    <row r="70" spans="1:32" s="202" customFormat="1" ht="12.75" x14ac:dyDescent="0.2">
      <c r="A70" s="843" t="s">
        <v>47</v>
      </c>
      <c r="B70" s="556"/>
      <c r="C70" s="556"/>
      <c r="D70" s="556"/>
      <c r="E70" s="556"/>
      <c r="F70" s="556"/>
      <c r="G70" s="632" t="s">
        <v>73</v>
      </c>
      <c r="H70" s="632" t="s">
        <v>73</v>
      </c>
      <c r="I70" s="632" t="s">
        <v>73</v>
      </c>
      <c r="J70" s="632" t="s">
        <v>73</v>
      </c>
      <c r="K70" s="632" t="s">
        <v>73</v>
      </c>
      <c r="L70" s="632" t="s">
        <v>73</v>
      </c>
      <c r="M70" s="632" t="s">
        <v>73</v>
      </c>
      <c r="N70" s="632" t="s">
        <v>73</v>
      </c>
      <c r="O70" s="632" t="s">
        <v>73</v>
      </c>
      <c r="P70" s="632" t="s">
        <v>73</v>
      </c>
      <c r="Q70" s="632" t="s">
        <v>73</v>
      </c>
      <c r="R70" s="632" t="s">
        <v>73</v>
      </c>
      <c r="S70" s="632" t="s">
        <v>73</v>
      </c>
      <c r="T70" s="632" t="s">
        <v>73</v>
      </c>
      <c r="U70" s="632" t="s">
        <v>73</v>
      </c>
      <c r="V70" s="632" t="s">
        <v>73</v>
      </c>
      <c r="W70" s="632" t="s">
        <v>73</v>
      </c>
      <c r="X70" s="632" t="s">
        <v>73</v>
      </c>
      <c r="Y70" s="632" t="s">
        <v>73</v>
      </c>
      <c r="Z70" s="632" t="s">
        <v>73</v>
      </c>
      <c r="AA70" s="632" t="s">
        <v>73</v>
      </c>
      <c r="AB70" s="632" t="s">
        <v>73</v>
      </c>
      <c r="AC70" s="632" t="s">
        <v>73</v>
      </c>
      <c r="AD70" s="632" t="s">
        <v>73</v>
      </c>
      <c r="AE70" s="632" t="s">
        <v>73</v>
      </c>
      <c r="AF70" s="632" t="s">
        <v>73</v>
      </c>
    </row>
    <row r="71" spans="1:32" x14ac:dyDescent="0.25">
      <c r="A71" s="839"/>
      <c r="B71" s="550" t="s">
        <v>48</v>
      </c>
      <c r="C71" s="539"/>
      <c r="D71" s="539"/>
      <c r="E71" s="539"/>
      <c r="F71" s="539"/>
      <c r="G71" s="549">
        <v>0.17506121711372916</v>
      </c>
      <c r="H71" s="549">
        <v>1.8519646404793973E-2</v>
      </c>
      <c r="I71" s="549">
        <v>1.9988229933102573E-3</v>
      </c>
      <c r="J71" s="549">
        <v>2.1576931903550582E-4</v>
      </c>
      <c r="K71" s="549">
        <v>2.3277818371051109E-5</v>
      </c>
      <c r="L71" s="549">
        <v>2.4620697956862486E-6</v>
      </c>
      <c r="M71" s="549">
        <v>2.5998351550550388E-7</v>
      </c>
      <c r="N71" s="549">
        <v>2.7447442709293607E-8</v>
      </c>
      <c r="O71" s="549">
        <v>2.9021440268385513E-9</v>
      </c>
      <c r="P71" s="549">
        <v>3.0674834820758155E-10</v>
      </c>
      <c r="Q71" s="549">
        <v>3.2440735830845919E-11</v>
      </c>
      <c r="R71" s="549">
        <v>3.4279707119269258E-12</v>
      </c>
      <c r="S71" s="549">
        <v>3.6206502296430624E-13</v>
      </c>
      <c r="T71" s="549">
        <v>3.8227226593565715E-14</v>
      </c>
      <c r="U71" s="549">
        <v>4.0351811127182546E-15</v>
      </c>
      <c r="V71" s="549">
        <v>4.2583959025461788E-16</v>
      </c>
      <c r="W71" s="549">
        <v>4.4906056969230076E-17</v>
      </c>
      <c r="X71" s="549">
        <v>4.7369563091910938E-18</v>
      </c>
      <c r="Y71" s="549">
        <v>4.9987960925162391E-19</v>
      </c>
      <c r="Z71" s="549">
        <v>5.2746821654016132E-20</v>
      </c>
      <c r="AA71" s="549">
        <v>5.5631904168836088E-21</v>
      </c>
      <c r="AB71" s="549">
        <v>5.8655171952732928E-22</v>
      </c>
      <c r="AC71" s="549">
        <v>6.1830991814407725E-23</v>
      </c>
      <c r="AD71" s="549">
        <v>6.5166382246308591E-24</v>
      </c>
      <c r="AE71" s="549">
        <v>6.8668647300114204E-25</v>
      </c>
      <c r="AF71" s="549">
        <v>7.2345386255106109E-26</v>
      </c>
    </row>
    <row r="72" spans="1:32" x14ac:dyDescent="0.25">
      <c r="A72" s="839"/>
      <c r="B72" s="552" t="s">
        <v>50</v>
      </c>
      <c r="C72" s="539"/>
      <c r="D72" s="539"/>
      <c r="E72" s="539"/>
      <c r="F72" s="539"/>
      <c r="G72" s="549">
        <v>5.2376358900660634E-2</v>
      </c>
      <c r="H72" s="549">
        <v>2.9574407639737284E-2</v>
      </c>
      <c r="I72" s="549">
        <v>1.6720612054523534E-2</v>
      </c>
      <c r="J72" s="549">
        <v>9.4533753981422899E-3</v>
      </c>
      <c r="K72" s="549">
        <v>5.3413019215166743E-3</v>
      </c>
      <c r="L72" s="549">
        <v>3.0168084635312895E-3</v>
      </c>
      <c r="M72" s="549">
        <v>1.701668626123482E-3</v>
      </c>
      <c r="N72" s="549">
        <v>9.5968863128018957E-4</v>
      </c>
      <c r="O72" s="549">
        <v>5.4189793270931533E-4</v>
      </c>
      <c r="P72" s="549">
        <v>3.0590099293377075E-4</v>
      </c>
      <c r="Q72" s="549">
        <v>1.7275935247002661E-4</v>
      </c>
      <c r="R72" s="549">
        <v>9.7501418735405589E-5</v>
      </c>
      <c r="S72" s="549">
        <v>5.5007494771887987E-5</v>
      </c>
      <c r="T72" s="549">
        <v>3.1024262899567167E-5</v>
      </c>
      <c r="U72" s="549">
        <v>1.7494594244404347E-5</v>
      </c>
      <c r="V72" s="549">
        <v>9.863249497566799E-6</v>
      </c>
      <c r="W72" s="549">
        <v>5.5574489904209444E-6</v>
      </c>
      <c r="X72" s="549">
        <v>3.1321314564699269E-6</v>
      </c>
      <c r="Y72" s="549">
        <v>1.7658039503640226E-6</v>
      </c>
      <c r="Z72" s="549">
        <v>9.9544369446933771E-7</v>
      </c>
      <c r="AA72" s="549">
        <v>5.6095425993193645E-7</v>
      </c>
      <c r="AB72" s="549">
        <v>3.1602496684309875E-7</v>
      </c>
      <c r="AC72" s="549">
        <v>1.7801188738897784E-7</v>
      </c>
      <c r="AD72" s="549">
        <v>1.0025597654491788E-7</v>
      </c>
      <c r="AE72" s="549">
        <v>5.6455360438395104E-8</v>
      </c>
      <c r="AF72" s="549">
        <v>3.1785842961161326E-8</v>
      </c>
    </row>
    <row r="73" spans="1:32" x14ac:dyDescent="0.25">
      <c r="A73" s="839"/>
      <c r="B73" s="550" t="s">
        <v>51</v>
      </c>
      <c r="C73" s="539"/>
      <c r="D73" s="539"/>
      <c r="E73" s="539"/>
      <c r="F73" s="539"/>
      <c r="G73" s="549">
        <v>3.7854159849964576E-2</v>
      </c>
      <c r="H73" s="549">
        <v>3.7720185264632292E-2</v>
      </c>
      <c r="I73" s="549">
        <v>3.76346020526191E-2</v>
      </c>
      <c r="J73" s="549">
        <v>3.7549093946262734E-2</v>
      </c>
      <c r="K73" s="549">
        <v>3.7440195094585509E-2</v>
      </c>
      <c r="L73" s="549">
        <v>3.7317945254522505E-2</v>
      </c>
      <c r="M73" s="549">
        <v>3.7147202690736243E-2</v>
      </c>
      <c r="N73" s="549">
        <v>3.6971143142284335E-2</v>
      </c>
      <c r="O73" s="549">
        <v>3.6840834079853751E-2</v>
      </c>
      <c r="P73" s="549">
        <v>3.6700563856335001E-2</v>
      </c>
      <c r="Q73" s="549">
        <v>3.6577378431792248E-2</v>
      </c>
      <c r="R73" s="549">
        <v>3.6430252575516325E-2</v>
      </c>
      <c r="S73" s="549">
        <v>3.6270533259513849E-2</v>
      </c>
      <c r="T73" s="549">
        <v>3.6100636721501857E-2</v>
      </c>
      <c r="U73" s="549">
        <v>3.5925172834143003E-2</v>
      </c>
      <c r="V73" s="549">
        <v>3.5743488251228153E-2</v>
      </c>
      <c r="W73" s="549">
        <v>3.5541462232093209E-2</v>
      </c>
      <c r="X73" s="549">
        <v>3.5349418478435361E-2</v>
      </c>
      <c r="Y73" s="549">
        <v>3.516954501307213E-2</v>
      </c>
      <c r="Z73" s="549">
        <v>3.4988316322065373E-2</v>
      </c>
      <c r="AA73" s="549">
        <v>3.4794971158322224E-2</v>
      </c>
      <c r="AB73" s="549">
        <v>3.4593423635600681E-2</v>
      </c>
      <c r="AC73" s="549">
        <v>3.4387810352038875E-2</v>
      </c>
      <c r="AD73" s="549">
        <v>3.4178217067664086E-2</v>
      </c>
      <c r="AE73" s="549">
        <v>3.3964730851999754E-2</v>
      </c>
      <c r="AF73" s="549">
        <v>3.3747440023793616E-2</v>
      </c>
    </row>
    <row r="74" spans="1:32" x14ac:dyDescent="0.25">
      <c r="A74" s="839"/>
      <c r="B74" s="550" t="s">
        <v>52</v>
      </c>
      <c r="C74" s="539"/>
      <c r="D74" s="539"/>
      <c r="E74" s="539"/>
      <c r="F74" s="539"/>
      <c r="G74" s="549">
        <v>0.26513092630240309</v>
      </c>
      <c r="H74" s="549">
        <v>0.26790025815829266</v>
      </c>
      <c r="I74" s="549">
        <v>0.27105678611586542</v>
      </c>
      <c r="J74" s="549">
        <v>0.27425789032241327</v>
      </c>
      <c r="K74" s="549">
        <v>0.27732778472131325</v>
      </c>
      <c r="L74" s="549">
        <v>0.27976016445121521</v>
      </c>
      <c r="M74" s="549">
        <v>0.28156480574063486</v>
      </c>
      <c r="N74" s="549">
        <v>0.28317880285656621</v>
      </c>
      <c r="O74" s="549">
        <v>0.28541343235609379</v>
      </c>
      <c r="P74" s="549">
        <v>0.28776691417902966</v>
      </c>
      <c r="Q74" s="549">
        <v>0.29040142548627945</v>
      </c>
      <c r="R74" s="549">
        <v>0.29296111682959497</v>
      </c>
      <c r="S74" s="549">
        <v>0.29551001920742975</v>
      </c>
      <c r="T74" s="549">
        <v>0.29804963296098841</v>
      </c>
      <c r="U74" s="549">
        <v>0.30061274133687776</v>
      </c>
      <c r="V74" s="549">
        <v>0.30317605902534694</v>
      </c>
      <c r="W74" s="549">
        <v>0.30561617147468334</v>
      </c>
      <c r="X74" s="549">
        <v>0.30818700132146626</v>
      </c>
      <c r="Y74" s="549">
        <v>0.31090194964819695</v>
      </c>
      <c r="Z74" s="549">
        <v>0.31364628670132438</v>
      </c>
      <c r="AA74" s="549">
        <v>0.3163181378212695</v>
      </c>
      <c r="AB74" s="549">
        <v>0.31894213275322875</v>
      </c>
      <c r="AC74" s="549">
        <v>0.32155738740848022</v>
      </c>
      <c r="AD74" s="549">
        <v>0.32416140112352232</v>
      </c>
      <c r="AE74" s="549">
        <v>0.32674765501714492</v>
      </c>
      <c r="AF74" s="549">
        <v>0.32931853748071521</v>
      </c>
    </row>
    <row r="75" spans="1:32" x14ac:dyDescent="0.25">
      <c r="A75" s="839"/>
      <c r="B75" s="552" t="s">
        <v>29</v>
      </c>
      <c r="C75" s="539"/>
      <c r="D75" s="539"/>
      <c r="E75" s="539"/>
      <c r="F75" s="539"/>
      <c r="G75" s="549">
        <v>5.647654330730735E-2</v>
      </c>
      <c r="H75" s="549">
        <v>9.1556559025538498E-2</v>
      </c>
      <c r="I75" s="549">
        <v>0.10002352463377157</v>
      </c>
      <c r="J75" s="549">
        <v>0.10462340090861963</v>
      </c>
      <c r="K75" s="549">
        <v>0.10816749915948005</v>
      </c>
      <c r="L75" s="549">
        <v>0.1112509568073218</v>
      </c>
      <c r="M75" s="549">
        <v>0.11396427361532237</v>
      </c>
      <c r="N75" s="549">
        <v>0.11654816492280391</v>
      </c>
      <c r="O75" s="549">
        <v>0.11923846231639235</v>
      </c>
      <c r="P75" s="549">
        <v>0.12188214644329735</v>
      </c>
      <c r="Q75" s="549">
        <v>0.124594672753013</v>
      </c>
      <c r="R75" s="549">
        <v>0.12723788636037356</v>
      </c>
      <c r="S75" s="549">
        <v>0.12985522898801166</v>
      </c>
      <c r="T75" s="549">
        <v>0.13245644669583498</v>
      </c>
      <c r="U75" s="549">
        <v>0.13505512415967416</v>
      </c>
      <c r="V75" s="549">
        <v>0.13765270674716137</v>
      </c>
      <c r="W75" s="549">
        <v>0.14018453911857906</v>
      </c>
      <c r="X75" s="549">
        <v>0.14277652010019981</v>
      </c>
      <c r="Y75" s="549">
        <v>0.14544549630879225</v>
      </c>
      <c r="Z75" s="549">
        <v>0.14813068480425867</v>
      </c>
      <c r="AA75" s="549">
        <v>0.15078222936643401</v>
      </c>
      <c r="AB75" s="549">
        <v>0.15341840005897264</v>
      </c>
      <c r="AC75" s="549">
        <v>0.15605358116382631</v>
      </c>
      <c r="AD75" s="549">
        <v>0.15868707737985258</v>
      </c>
      <c r="AE75" s="549">
        <v>0.1613210180349493</v>
      </c>
      <c r="AF75" s="549">
        <v>0.16395169826417724</v>
      </c>
    </row>
    <row r="76" spans="1:32" x14ac:dyDescent="0.25">
      <c r="A76" s="839"/>
      <c r="B76" s="552" t="s">
        <v>53</v>
      </c>
      <c r="C76" s="539"/>
      <c r="D76" s="539"/>
      <c r="E76" s="539"/>
      <c r="F76" s="539"/>
      <c r="G76" s="549">
        <v>0</v>
      </c>
      <c r="H76" s="549">
        <v>0</v>
      </c>
      <c r="I76" s="549">
        <v>0</v>
      </c>
      <c r="J76" s="549">
        <v>0</v>
      </c>
      <c r="K76" s="549">
        <v>0</v>
      </c>
      <c r="L76" s="549">
        <v>0</v>
      </c>
      <c r="M76" s="549">
        <v>0</v>
      </c>
      <c r="N76" s="549">
        <v>0</v>
      </c>
      <c r="O76" s="549">
        <v>0</v>
      </c>
      <c r="P76" s="549">
        <v>0</v>
      </c>
      <c r="Q76" s="549">
        <v>0</v>
      </c>
      <c r="R76" s="549">
        <v>0</v>
      </c>
      <c r="S76" s="549">
        <v>0</v>
      </c>
      <c r="T76" s="549">
        <v>0</v>
      </c>
      <c r="U76" s="549">
        <v>0</v>
      </c>
      <c r="V76" s="549">
        <v>0</v>
      </c>
      <c r="W76" s="549">
        <v>0</v>
      </c>
      <c r="X76" s="549">
        <v>0</v>
      </c>
      <c r="Y76" s="549">
        <v>0</v>
      </c>
      <c r="Z76" s="549">
        <v>0</v>
      </c>
      <c r="AA76" s="549">
        <v>0</v>
      </c>
      <c r="AB76" s="549">
        <v>0</v>
      </c>
      <c r="AC76" s="549">
        <v>0</v>
      </c>
      <c r="AD76" s="549">
        <v>0</v>
      </c>
      <c r="AE76" s="549">
        <v>0</v>
      </c>
      <c r="AF76" s="549">
        <v>0</v>
      </c>
    </row>
    <row r="77" spans="1:32" x14ac:dyDescent="0.25">
      <c r="A77" s="838"/>
      <c r="B77" s="539"/>
      <c r="C77" s="539"/>
      <c r="D77" s="539"/>
      <c r="E77" s="539"/>
      <c r="F77" s="539"/>
      <c r="G77" s="539"/>
      <c r="H77" s="539"/>
      <c r="I77" s="539"/>
      <c r="J77" s="539"/>
      <c r="K77" s="539"/>
      <c r="L77" s="539"/>
      <c r="M77" s="539"/>
      <c r="N77" s="539"/>
      <c r="O77" s="539"/>
      <c r="P77" s="539"/>
      <c r="Q77" s="539"/>
      <c r="R77" s="539"/>
      <c r="S77" s="539"/>
      <c r="T77" s="539"/>
      <c r="U77" s="539"/>
      <c r="V77" s="539"/>
      <c r="W77" s="539"/>
      <c r="X77" s="539"/>
      <c r="Y77" s="539"/>
      <c r="Z77" s="539"/>
      <c r="AA77" s="539"/>
      <c r="AB77" s="539"/>
      <c r="AC77" s="539"/>
      <c r="AD77" s="539"/>
      <c r="AE77" s="539"/>
      <c r="AF77" s="539"/>
    </row>
    <row r="78" spans="1:32" x14ac:dyDescent="0.25">
      <c r="A78" s="838"/>
      <c r="B78" s="539"/>
      <c r="C78" s="539"/>
      <c r="D78" s="539"/>
      <c r="E78" s="539"/>
      <c r="F78" s="539"/>
      <c r="G78" s="539"/>
      <c r="H78" s="539"/>
      <c r="I78" s="539"/>
      <c r="J78" s="539"/>
      <c r="K78" s="539"/>
      <c r="L78" s="539"/>
      <c r="M78" s="539"/>
      <c r="N78" s="539"/>
      <c r="O78" s="539"/>
      <c r="P78" s="539"/>
      <c r="Q78" s="539"/>
      <c r="R78" s="539"/>
      <c r="S78" s="539"/>
      <c r="T78" s="539"/>
      <c r="U78" s="539"/>
      <c r="V78" s="539"/>
      <c r="W78" s="539"/>
      <c r="X78" s="539"/>
      <c r="Y78" s="539"/>
      <c r="Z78" s="539"/>
      <c r="AA78" s="539"/>
      <c r="AB78" s="539"/>
      <c r="AC78" s="539"/>
      <c r="AD78" s="539"/>
      <c r="AE78" s="539"/>
      <c r="AF78" s="539"/>
    </row>
    <row r="79" spans="1:32" s="539" customFormat="1" x14ac:dyDescent="0.25">
      <c r="A79" s="860" t="s">
        <v>528</v>
      </c>
      <c r="B79" s="555"/>
      <c r="C79" s="554"/>
      <c r="D79" s="553"/>
      <c r="E79" s="553"/>
      <c r="F79" s="553"/>
      <c r="G79" s="553" t="s">
        <v>702</v>
      </c>
      <c r="H79" s="560"/>
      <c r="I79" s="560"/>
      <c r="J79" s="560"/>
      <c r="K79" s="560"/>
      <c r="L79" s="560"/>
      <c r="M79" s="560"/>
      <c r="N79" s="560"/>
      <c r="O79" s="560"/>
      <c r="P79" s="560"/>
      <c r="Q79" s="560"/>
      <c r="R79" s="560"/>
      <c r="S79" s="560"/>
      <c r="T79" s="560"/>
      <c r="U79" s="560"/>
      <c r="V79" s="560"/>
      <c r="W79" s="560"/>
      <c r="X79" s="560"/>
      <c r="Y79" s="560"/>
      <c r="Z79" s="560"/>
      <c r="AA79" s="560"/>
      <c r="AB79" s="560"/>
      <c r="AC79" s="560"/>
      <c r="AD79" s="560"/>
      <c r="AE79" s="560"/>
      <c r="AF79" s="560"/>
    </row>
    <row r="80" spans="1:32" s="539" customFormat="1" x14ac:dyDescent="0.25">
      <c r="A80" s="840" t="s">
        <v>12</v>
      </c>
      <c r="B80" s="550"/>
    </row>
    <row r="81" spans="1:32" s="539" customFormat="1" x14ac:dyDescent="0.25">
      <c r="A81" s="839"/>
      <c r="B81" s="550" t="s">
        <v>20</v>
      </c>
    </row>
    <row r="82" spans="1:32" s="202" customFormat="1" ht="12.75" x14ac:dyDescent="0.2">
      <c r="A82" s="843" t="s">
        <v>21</v>
      </c>
      <c r="B82" s="556"/>
      <c r="C82" s="556"/>
      <c r="D82" s="556"/>
      <c r="E82" s="556"/>
      <c r="F82" s="556"/>
      <c r="G82" s="556"/>
      <c r="H82" s="556"/>
      <c r="I82" s="556"/>
      <c r="J82" s="556"/>
      <c r="K82" s="556"/>
      <c r="L82" s="556"/>
      <c r="M82" s="556"/>
      <c r="N82" s="556"/>
      <c r="O82" s="556"/>
      <c r="P82" s="556"/>
      <c r="Q82" s="556"/>
      <c r="R82" s="556"/>
      <c r="S82" s="556"/>
      <c r="T82" s="556"/>
      <c r="U82" s="556"/>
      <c r="V82" s="556"/>
      <c r="W82" s="556"/>
      <c r="X82" s="556"/>
      <c r="Y82" s="556"/>
      <c r="Z82" s="556"/>
      <c r="AA82" s="556"/>
      <c r="AB82" s="556"/>
      <c r="AC82" s="556"/>
      <c r="AD82" s="556"/>
      <c r="AE82" s="556"/>
      <c r="AF82" s="556"/>
    </row>
    <row r="83" spans="1:32" x14ac:dyDescent="0.25">
      <c r="A83" s="839"/>
      <c r="B83" s="550" t="s">
        <v>22</v>
      </c>
      <c r="C83" s="539"/>
      <c r="D83" s="539"/>
      <c r="E83" s="539"/>
      <c r="F83" s="539"/>
      <c r="G83" s="540">
        <v>0</v>
      </c>
      <c r="H83" s="540">
        <v>0</v>
      </c>
      <c r="I83" s="540">
        <v>0</v>
      </c>
      <c r="J83" s="540">
        <v>0</v>
      </c>
      <c r="K83" s="540">
        <v>0</v>
      </c>
      <c r="L83" s="540">
        <v>0</v>
      </c>
      <c r="M83" s="540">
        <v>0</v>
      </c>
      <c r="N83" s="540">
        <v>0</v>
      </c>
      <c r="O83" s="540">
        <v>0</v>
      </c>
      <c r="P83" s="540">
        <v>0</v>
      </c>
      <c r="Q83" s="540">
        <v>0</v>
      </c>
      <c r="R83" s="540">
        <v>0</v>
      </c>
      <c r="S83" s="540">
        <v>0</v>
      </c>
      <c r="T83" s="540">
        <v>0</v>
      </c>
      <c r="U83" s="540">
        <v>0</v>
      </c>
      <c r="V83" s="540">
        <v>0</v>
      </c>
      <c r="W83" s="540">
        <v>0</v>
      </c>
      <c r="X83" s="540">
        <v>0</v>
      </c>
      <c r="Y83" s="540">
        <v>0</v>
      </c>
      <c r="Z83" s="540">
        <v>0</v>
      </c>
      <c r="AA83" s="540">
        <v>0</v>
      </c>
      <c r="AB83" s="540">
        <v>0</v>
      </c>
      <c r="AC83" s="540">
        <v>0</v>
      </c>
      <c r="AD83" s="540">
        <v>0</v>
      </c>
      <c r="AE83" s="540">
        <v>0</v>
      </c>
      <c r="AF83" s="540">
        <v>0</v>
      </c>
    </row>
    <row r="84" spans="1:32" x14ac:dyDescent="0.25">
      <c r="A84" s="839"/>
      <c r="B84" s="550" t="s">
        <v>26</v>
      </c>
      <c r="C84" s="539"/>
      <c r="D84" s="539"/>
      <c r="E84" s="539"/>
      <c r="F84" s="539"/>
      <c r="G84" s="540">
        <v>0</v>
      </c>
      <c r="H84" s="540">
        <v>0</v>
      </c>
      <c r="I84" s="540">
        <v>0</v>
      </c>
      <c r="J84" s="540">
        <v>0</v>
      </c>
      <c r="K84" s="540">
        <v>0</v>
      </c>
      <c r="L84" s="540">
        <v>0</v>
      </c>
      <c r="M84" s="540">
        <v>0</v>
      </c>
      <c r="N84" s="540">
        <v>0</v>
      </c>
      <c r="O84" s="540">
        <v>0</v>
      </c>
      <c r="P84" s="540">
        <v>0</v>
      </c>
      <c r="Q84" s="540">
        <v>0</v>
      </c>
      <c r="R84" s="540">
        <v>0</v>
      </c>
      <c r="S84" s="540">
        <v>0</v>
      </c>
      <c r="T84" s="540">
        <v>0</v>
      </c>
      <c r="U84" s="540">
        <v>0</v>
      </c>
      <c r="V84" s="540">
        <v>0</v>
      </c>
      <c r="W84" s="540">
        <v>0</v>
      </c>
      <c r="X84" s="540">
        <v>0</v>
      </c>
      <c r="Y84" s="540">
        <v>0</v>
      </c>
      <c r="Z84" s="540">
        <v>0</v>
      </c>
      <c r="AA84" s="540">
        <v>0</v>
      </c>
      <c r="AB84" s="540">
        <v>0</v>
      </c>
      <c r="AC84" s="540">
        <v>0</v>
      </c>
      <c r="AD84" s="540">
        <v>0</v>
      </c>
      <c r="AE84" s="540">
        <v>0</v>
      </c>
      <c r="AF84" s="540">
        <v>0</v>
      </c>
    </row>
    <row r="85" spans="1:32" x14ac:dyDescent="0.25">
      <c r="A85" s="839"/>
      <c r="B85" s="550" t="s">
        <v>27</v>
      </c>
      <c r="C85" s="539"/>
      <c r="D85" s="539"/>
      <c r="E85" s="539"/>
      <c r="F85" s="539"/>
      <c r="G85" s="540">
        <v>0</v>
      </c>
      <c r="H85" s="540">
        <v>0</v>
      </c>
      <c r="I85" s="540">
        <v>0</v>
      </c>
      <c r="J85" s="540">
        <v>0</v>
      </c>
      <c r="K85" s="540">
        <v>0</v>
      </c>
      <c r="L85" s="540">
        <v>0</v>
      </c>
      <c r="M85" s="540">
        <v>0</v>
      </c>
      <c r="N85" s="540">
        <v>0</v>
      </c>
      <c r="O85" s="540">
        <v>0</v>
      </c>
      <c r="P85" s="540">
        <v>0</v>
      </c>
      <c r="Q85" s="540">
        <v>0</v>
      </c>
      <c r="R85" s="540">
        <v>0</v>
      </c>
      <c r="S85" s="540">
        <v>0</v>
      </c>
      <c r="T85" s="540">
        <v>0</v>
      </c>
      <c r="U85" s="540">
        <v>0</v>
      </c>
      <c r="V85" s="540">
        <v>0</v>
      </c>
      <c r="W85" s="540">
        <v>0</v>
      </c>
      <c r="X85" s="540">
        <v>0</v>
      </c>
      <c r="Y85" s="540">
        <v>0</v>
      </c>
      <c r="Z85" s="540">
        <v>0</v>
      </c>
      <c r="AA85" s="540">
        <v>0</v>
      </c>
      <c r="AB85" s="540">
        <v>0</v>
      </c>
      <c r="AC85" s="540">
        <v>0</v>
      </c>
      <c r="AD85" s="540">
        <v>0</v>
      </c>
      <c r="AE85" s="540">
        <v>0</v>
      </c>
      <c r="AF85" s="540">
        <v>0</v>
      </c>
    </row>
    <row r="86" spans="1:32" x14ac:dyDescent="0.25">
      <c r="A86" s="839"/>
      <c r="B86" s="550" t="s">
        <v>29</v>
      </c>
      <c r="C86" s="539"/>
      <c r="D86" s="539"/>
      <c r="E86" s="539"/>
      <c r="F86" s="539"/>
      <c r="G86" s="540">
        <v>0</v>
      </c>
      <c r="H86" s="540">
        <v>0</v>
      </c>
      <c r="I86" s="540">
        <v>0</v>
      </c>
      <c r="J86" s="540">
        <v>0</v>
      </c>
      <c r="K86" s="540">
        <v>0</v>
      </c>
      <c r="L86" s="540">
        <v>0</v>
      </c>
      <c r="M86" s="540">
        <v>0</v>
      </c>
      <c r="N86" s="540">
        <v>0</v>
      </c>
      <c r="O86" s="540">
        <v>0</v>
      </c>
      <c r="P86" s="540">
        <v>0</v>
      </c>
      <c r="Q86" s="540">
        <v>0</v>
      </c>
      <c r="R86" s="540">
        <v>0</v>
      </c>
      <c r="S86" s="540">
        <v>0</v>
      </c>
      <c r="T86" s="540">
        <v>0</v>
      </c>
      <c r="U86" s="540">
        <v>0</v>
      </c>
      <c r="V86" s="540">
        <v>0</v>
      </c>
      <c r="W86" s="540">
        <v>0</v>
      </c>
      <c r="X86" s="540">
        <v>0</v>
      </c>
      <c r="Y86" s="540">
        <v>0</v>
      </c>
      <c r="Z86" s="540">
        <v>0</v>
      </c>
      <c r="AA86" s="540">
        <v>0</v>
      </c>
      <c r="AB86" s="540">
        <v>0</v>
      </c>
      <c r="AC86" s="540">
        <v>0</v>
      </c>
      <c r="AD86" s="540">
        <v>0</v>
      </c>
      <c r="AE86" s="540">
        <v>0</v>
      </c>
      <c r="AF86" s="540">
        <v>0</v>
      </c>
    </row>
    <row r="87" spans="1:32" x14ac:dyDescent="0.25">
      <c r="A87" s="839"/>
      <c r="B87" s="550"/>
      <c r="C87" s="539"/>
      <c r="D87" s="539"/>
      <c r="E87" s="539"/>
      <c r="F87" s="539"/>
      <c r="G87" s="540" t="s">
        <v>73</v>
      </c>
      <c r="H87" s="540" t="s">
        <v>73</v>
      </c>
      <c r="I87" s="540" t="s">
        <v>73</v>
      </c>
      <c r="J87" s="540" t="s">
        <v>73</v>
      </c>
      <c r="K87" s="540" t="s">
        <v>73</v>
      </c>
      <c r="L87" s="540" t="s">
        <v>73</v>
      </c>
      <c r="M87" s="540" t="s">
        <v>73</v>
      </c>
      <c r="N87" s="540" t="s">
        <v>73</v>
      </c>
      <c r="O87" s="540" t="s">
        <v>73</v>
      </c>
      <c r="P87" s="540" t="s">
        <v>73</v>
      </c>
      <c r="Q87" s="540" t="s">
        <v>73</v>
      </c>
      <c r="R87" s="540" t="s">
        <v>73</v>
      </c>
      <c r="S87" s="540" t="s">
        <v>73</v>
      </c>
      <c r="T87" s="540" t="s">
        <v>73</v>
      </c>
      <c r="U87" s="540" t="s">
        <v>73</v>
      </c>
      <c r="V87" s="540" t="s">
        <v>73</v>
      </c>
      <c r="W87" s="540" t="s">
        <v>73</v>
      </c>
      <c r="X87" s="540" t="s">
        <v>73</v>
      </c>
      <c r="Y87" s="540" t="s">
        <v>73</v>
      </c>
      <c r="Z87" s="540" t="s">
        <v>73</v>
      </c>
      <c r="AA87" s="540" t="s">
        <v>73</v>
      </c>
      <c r="AB87" s="540" t="s">
        <v>73</v>
      </c>
      <c r="AC87" s="540" t="s">
        <v>73</v>
      </c>
      <c r="AD87" s="540" t="s">
        <v>73</v>
      </c>
      <c r="AE87" s="540" t="s">
        <v>73</v>
      </c>
      <c r="AF87" s="540" t="s">
        <v>73</v>
      </c>
    </row>
    <row r="88" spans="1:32" s="202" customFormat="1" ht="12.75" x14ac:dyDescent="0.2">
      <c r="A88" s="843" t="s">
        <v>32</v>
      </c>
      <c r="B88" s="556"/>
      <c r="C88" s="556"/>
      <c r="D88" s="556"/>
      <c r="E88" s="556"/>
      <c r="F88" s="556"/>
      <c r="G88" s="547" t="s">
        <v>73</v>
      </c>
      <c r="H88" s="547" t="s">
        <v>73</v>
      </c>
      <c r="I88" s="547" t="s">
        <v>73</v>
      </c>
      <c r="J88" s="547" t="s">
        <v>73</v>
      </c>
      <c r="K88" s="547" t="s">
        <v>73</v>
      </c>
      <c r="L88" s="547" t="s">
        <v>73</v>
      </c>
      <c r="M88" s="547" t="s">
        <v>73</v>
      </c>
      <c r="N88" s="547" t="s">
        <v>73</v>
      </c>
      <c r="O88" s="547" t="s">
        <v>73</v>
      </c>
      <c r="P88" s="547" t="s">
        <v>73</v>
      </c>
      <c r="Q88" s="547" t="s">
        <v>73</v>
      </c>
      <c r="R88" s="547" t="s">
        <v>73</v>
      </c>
      <c r="S88" s="547" t="s">
        <v>73</v>
      </c>
      <c r="T88" s="547" t="s">
        <v>73</v>
      </c>
      <c r="U88" s="547" t="s">
        <v>73</v>
      </c>
      <c r="V88" s="547" t="s">
        <v>73</v>
      </c>
      <c r="W88" s="547" t="s">
        <v>73</v>
      </c>
      <c r="X88" s="547" t="s">
        <v>73</v>
      </c>
      <c r="Y88" s="547" t="s">
        <v>73</v>
      </c>
      <c r="Z88" s="547" t="s">
        <v>73</v>
      </c>
      <c r="AA88" s="547" t="s">
        <v>73</v>
      </c>
      <c r="AB88" s="547" t="s">
        <v>73</v>
      </c>
      <c r="AC88" s="547" t="s">
        <v>73</v>
      </c>
      <c r="AD88" s="547" t="s">
        <v>73</v>
      </c>
      <c r="AE88" s="547" t="s">
        <v>73</v>
      </c>
      <c r="AF88" s="547" t="s">
        <v>73</v>
      </c>
    </row>
    <row r="89" spans="1:32" x14ac:dyDescent="0.25">
      <c r="A89" s="839"/>
      <c r="B89" s="550" t="s">
        <v>33</v>
      </c>
      <c r="C89" s="539"/>
      <c r="D89" s="539"/>
      <c r="E89" s="539"/>
      <c r="F89" s="539"/>
      <c r="G89" s="540">
        <v>0</v>
      </c>
      <c r="H89" s="540">
        <v>0</v>
      </c>
      <c r="I89" s="540">
        <v>0</v>
      </c>
      <c r="J89" s="540">
        <v>0</v>
      </c>
      <c r="K89" s="540">
        <v>0</v>
      </c>
      <c r="L89" s="540">
        <v>0</v>
      </c>
      <c r="M89" s="540">
        <v>0</v>
      </c>
      <c r="N89" s="540">
        <v>0</v>
      </c>
      <c r="O89" s="540">
        <v>0</v>
      </c>
      <c r="P89" s="540">
        <v>0</v>
      </c>
      <c r="Q89" s="540">
        <v>0</v>
      </c>
      <c r="R89" s="540">
        <v>0</v>
      </c>
      <c r="S89" s="540">
        <v>0</v>
      </c>
      <c r="T89" s="540">
        <v>0</v>
      </c>
      <c r="U89" s="540">
        <v>0</v>
      </c>
      <c r="V89" s="540">
        <v>0</v>
      </c>
      <c r="W89" s="540">
        <v>0</v>
      </c>
      <c r="X89" s="540">
        <v>0</v>
      </c>
      <c r="Y89" s="540">
        <v>0</v>
      </c>
      <c r="Z89" s="540">
        <v>0</v>
      </c>
      <c r="AA89" s="540">
        <v>0</v>
      </c>
      <c r="AB89" s="540">
        <v>0</v>
      </c>
      <c r="AC89" s="540">
        <v>0</v>
      </c>
      <c r="AD89" s="540">
        <v>0</v>
      </c>
      <c r="AE89" s="540">
        <v>0</v>
      </c>
      <c r="AF89" s="540">
        <v>0</v>
      </c>
    </row>
    <row r="90" spans="1:32" x14ac:dyDescent="0.25">
      <c r="A90" s="842"/>
      <c r="B90" s="552" t="s">
        <v>34</v>
      </c>
      <c r="C90" s="539"/>
      <c r="D90" s="539"/>
      <c r="E90" s="539"/>
      <c r="F90" s="539"/>
      <c r="G90" s="540">
        <v>0</v>
      </c>
      <c r="H90" s="540">
        <v>0</v>
      </c>
      <c r="I90" s="540">
        <v>0</v>
      </c>
      <c r="J90" s="540">
        <v>0</v>
      </c>
      <c r="K90" s="540">
        <v>0</v>
      </c>
      <c r="L90" s="540">
        <v>0</v>
      </c>
      <c r="M90" s="540">
        <v>0</v>
      </c>
      <c r="N90" s="540">
        <v>0</v>
      </c>
      <c r="O90" s="540">
        <v>0</v>
      </c>
      <c r="P90" s="540">
        <v>0</v>
      </c>
      <c r="Q90" s="540">
        <v>0</v>
      </c>
      <c r="R90" s="540">
        <v>0</v>
      </c>
      <c r="S90" s="540">
        <v>0</v>
      </c>
      <c r="T90" s="540">
        <v>0</v>
      </c>
      <c r="U90" s="540">
        <v>0</v>
      </c>
      <c r="V90" s="540">
        <v>0</v>
      </c>
      <c r="W90" s="540">
        <v>0</v>
      </c>
      <c r="X90" s="540">
        <v>0</v>
      </c>
      <c r="Y90" s="540">
        <v>0</v>
      </c>
      <c r="Z90" s="540">
        <v>0</v>
      </c>
      <c r="AA90" s="540">
        <v>0</v>
      </c>
      <c r="AB90" s="540">
        <v>0</v>
      </c>
      <c r="AC90" s="540">
        <v>0</v>
      </c>
      <c r="AD90" s="540">
        <v>0</v>
      </c>
      <c r="AE90" s="540">
        <v>0</v>
      </c>
      <c r="AF90" s="540">
        <v>0</v>
      </c>
    </row>
    <row r="91" spans="1:32" x14ac:dyDescent="0.25">
      <c r="A91" s="839"/>
      <c r="B91" s="552" t="s">
        <v>35</v>
      </c>
      <c r="C91" s="539"/>
      <c r="D91" s="539"/>
      <c r="E91" s="539"/>
      <c r="F91" s="539"/>
      <c r="G91" s="540">
        <v>0</v>
      </c>
      <c r="H91" s="540">
        <v>0</v>
      </c>
      <c r="I91" s="540">
        <v>0</v>
      </c>
      <c r="J91" s="540">
        <v>0</v>
      </c>
      <c r="K91" s="540">
        <v>0</v>
      </c>
      <c r="L91" s="540">
        <v>0</v>
      </c>
      <c r="M91" s="540">
        <v>0</v>
      </c>
      <c r="N91" s="540">
        <v>0</v>
      </c>
      <c r="O91" s="540">
        <v>0</v>
      </c>
      <c r="P91" s="540">
        <v>0</v>
      </c>
      <c r="Q91" s="540">
        <v>0</v>
      </c>
      <c r="R91" s="540">
        <v>0</v>
      </c>
      <c r="S91" s="540">
        <v>0</v>
      </c>
      <c r="T91" s="540">
        <v>0</v>
      </c>
      <c r="U91" s="540">
        <v>0</v>
      </c>
      <c r="V91" s="540">
        <v>0</v>
      </c>
      <c r="W91" s="540">
        <v>0</v>
      </c>
      <c r="X91" s="540">
        <v>0</v>
      </c>
      <c r="Y91" s="540">
        <v>0</v>
      </c>
      <c r="Z91" s="540">
        <v>0</v>
      </c>
      <c r="AA91" s="540">
        <v>0</v>
      </c>
      <c r="AB91" s="540">
        <v>0</v>
      </c>
      <c r="AC91" s="540">
        <v>0</v>
      </c>
      <c r="AD91" s="540">
        <v>0</v>
      </c>
      <c r="AE91" s="540">
        <v>0</v>
      </c>
      <c r="AF91" s="540">
        <v>0</v>
      </c>
    </row>
    <row r="92" spans="1:32" x14ac:dyDescent="0.25">
      <c r="A92" s="839"/>
      <c r="B92" s="552" t="s">
        <v>29</v>
      </c>
      <c r="C92" s="539"/>
      <c r="D92" s="539"/>
      <c r="E92" s="539"/>
      <c r="F92" s="539"/>
      <c r="G92" s="540">
        <v>0</v>
      </c>
      <c r="H92" s="540">
        <v>0</v>
      </c>
      <c r="I92" s="540">
        <v>0</v>
      </c>
      <c r="J92" s="540">
        <v>0</v>
      </c>
      <c r="K92" s="540">
        <v>0</v>
      </c>
      <c r="L92" s="540">
        <v>0</v>
      </c>
      <c r="M92" s="540">
        <v>0</v>
      </c>
      <c r="N92" s="540">
        <v>0</v>
      </c>
      <c r="O92" s="540">
        <v>0</v>
      </c>
      <c r="P92" s="540">
        <v>0</v>
      </c>
      <c r="Q92" s="540">
        <v>0</v>
      </c>
      <c r="R92" s="540">
        <v>0</v>
      </c>
      <c r="S92" s="540">
        <v>0</v>
      </c>
      <c r="T92" s="540">
        <v>0</v>
      </c>
      <c r="U92" s="540">
        <v>0</v>
      </c>
      <c r="V92" s="540">
        <v>0</v>
      </c>
      <c r="W92" s="540">
        <v>0</v>
      </c>
      <c r="X92" s="540">
        <v>0</v>
      </c>
      <c r="Y92" s="540">
        <v>0</v>
      </c>
      <c r="Z92" s="540">
        <v>0</v>
      </c>
      <c r="AA92" s="540">
        <v>0</v>
      </c>
      <c r="AB92" s="540">
        <v>0</v>
      </c>
      <c r="AC92" s="540">
        <v>0</v>
      </c>
      <c r="AD92" s="540">
        <v>0</v>
      </c>
      <c r="AE92" s="540">
        <v>0</v>
      </c>
      <c r="AF92" s="540">
        <v>0</v>
      </c>
    </row>
    <row r="93" spans="1:32" x14ac:dyDescent="0.25">
      <c r="A93" s="839"/>
      <c r="B93" s="550"/>
      <c r="C93" s="539"/>
      <c r="D93" s="539"/>
      <c r="E93" s="539"/>
      <c r="F93" s="539"/>
      <c r="G93" s="540" t="s">
        <v>73</v>
      </c>
      <c r="H93" s="540" t="s">
        <v>73</v>
      </c>
      <c r="I93" s="540" t="s">
        <v>73</v>
      </c>
      <c r="J93" s="540" t="s">
        <v>73</v>
      </c>
      <c r="K93" s="540" t="s">
        <v>73</v>
      </c>
      <c r="L93" s="540" t="s">
        <v>73</v>
      </c>
      <c r="M93" s="540" t="s">
        <v>73</v>
      </c>
      <c r="N93" s="540" t="s">
        <v>73</v>
      </c>
      <c r="O93" s="540" t="s">
        <v>73</v>
      </c>
      <c r="P93" s="540" t="s">
        <v>73</v>
      </c>
      <c r="Q93" s="540" t="s">
        <v>73</v>
      </c>
      <c r="R93" s="540" t="s">
        <v>73</v>
      </c>
      <c r="S93" s="540" t="s">
        <v>73</v>
      </c>
      <c r="T93" s="540" t="s">
        <v>73</v>
      </c>
      <c r="U93" s="540" t="s">
        <v>73</v>
      </c>
      <c r="V93" s="540" t="s">
        <v>73</v>
      </c>
      <c r="W93" s="540" t="s">
        <v>73</v>
      </c>
      <c r="X93" s="540" t="s">
        <v>73</v>
      </c>
      <c r="Y93" s="540" t="s">
        <v>73</v>
      </c>
      <c r="Z93" s="540" t="s">
        <v>73</v>
      </c>
      <c r="AA93" s="540" t="s">
        <v>73</v>
      </c>
      <c r="AB93" s="540" t="s">
        <v>73</v>
      </c>
      <c r="AC93" s="540" t="s">
        <v>73</v>
      </c>
      <c r="AD93" s="540" t="s">
        <v>73</v>
      </c>
      <c r="AE93" s="540" t="s">
        <v>73</v>
      </c>
      <c r="AF93" s="540" t="s">
        <v>73</v>
      </c>
    </row>
    <row r="94" spans="1:32" s="202" customFormat="1" ht="12.75" x14ac:dyDescent="0.2">
      <c r="A94" s="843" t="s">
        <v>36</v>
      </c>
      <c r="B94" s="556"/>
      <c r="C94" s="556"/>
      <c r="D94" s="556"/>
      <c r="E94" s="556"/>
      <c r="F94" s="556"/>
      <c r="G94" s="547" t="s">
        <v>73</v>
      </c>
      <c r="H94" s="547" t="s">
        <v>73</v>
      </c>
      <c r="I94" s="547" t="s">
        <v>73</v>
      </c>
      <c r="J94" s="547" t="s">
        <v>73</v>
      </c>
      <c r="K94" s="547" t="s">
        <v>73</v>
      </c>
      <c r="L94" s="547" t="s">
        <v>73</v>
      </c>
      <c r="M94" s="547" t="s">
        <v>73</v>
      </c>
      <c r="N94" s="547" t="s">
        <v>73</v>
      </c>
      <c r="O94" s="547" t="s">
        <v>73</v>
      </c>
      <c r="P94" s="547" t="s">
        <v>73</v>
      </c>
      <c r="Q94" s="547" t="s">
        <v>73</v>
      </c>
      <c r="R94" s="547" t="s">
        <v>73</v>
      </c>
      <c r="S94" s="547" t="s">
        <v>73</v>
      </c>
      <c r="T94" s="547" t="s">
        <v>73</v>
      </c>
      <c r="U94" s="547" t="s">
        <v>73</v>
      </c>
      <c r="V94" s="547" t="s">
        <v>73</v>
      </c>
      <c r="W94" s="547" t="s">
        <v>73</v>
      </c>
      <c r="X94" s="547" t="s">
        <v>73</v>
      </c>
      <c r="Y94" s="547" t="s">
        <v>73</v>
      </c>
      <c r="Z94" s="547" t="s">
        <v>73</v>
      </c>
      <c r="AA94" s="547" t="s">
        <v>73</v>
      </c>
      <c r="AB94" s="547" t="s">
        <v>73</v>
      </c>
      <c r="AC94" s="547" t="s">
        <v>73</v>
      </c>
      <c r="AD94" s="547" t="s">
        <v>73</v>
      </c>
      <c r="AE94" s="547" t="s">
        <v>73</v>
      </c>
      <c r="AF94" s="547" t="s">
        <v>73</v>
      </c>
    </row>
    <row r="95" spans="1:32" x14ac:dyDescent="0.25">
      <c r="A95" s="839"/>
      <c r="B95" s="550" t="s">
        <v>37</v>
      </c>
      <c r="C95" s="539"/>
      <c r="D95" s="539"/>
      <c r="E95" s="539"/>
      <c r="F95" s="201"/>
      <c r="G95" s="540">
        <v>0</v>
      </c>
      <c r="H95" s="540">
        <v>0</v>
      </c>
      <c r="I95" s="540">
        <v>0</v>
      </c>
      <c r="J95" s="540">
        <v>0</v>
      </c>
      <c r="K95" s="540">
        <v>0</v>
      </c>
      <c r="L95" s="540">
        <v>0</v>
      </c>
      <c r="M95" s="540">
        <v>0</v>
      </c>
      <c r="N95" s="540">
        <v>0</v>
      </c>
      <c r="O95" s="540">
        <v>0</v>
      </c>
      <c r="P95" s="540">
        <v>0</v>
      </c>
      <c r="Q95" s="540">
        <v>0</v>
      </c>
      <c r="R95" s="540">
        <v>0</v>
      </c>
      <c r="S95" s="540">
        <v>0</v>
      </c>
      <c r="T95" s="540">
        <v>0</v>
      </c>
      <c r="U95" s="540">
        <v>0</v>
      </c>
      <c r="V95" s="540">
        <v>0</v>
      </c>
      <c r="W95" s="540">
        <v>0</v>
      </c>
      <c r="X95" s="540">
        <v>0</v>
      </c>
      <c r="Y95" s="540">
        <v>0</v>
      </c>
      <c r="Z95" s="540">
        <v>0</v>
      </c>
      <c r="AA95" s="540">
        <v>0</v>
      </c>
      <c r="AB95" s="540">
        <v>0</v>
      </c>
      <c r="AC95" s="540">
        <v>0</v>
      </c>
      <c r="AD95" s="540">
        <v>0</v>
      </c>
      <c r="AE95" s="540">
        <v>0</v>
      </c>
      <c r="AF95" s="540">
        <v>0</v>
      </c>
    </row>
    <row r="96" spans="1:32" x14ac:dyDescent="0.25">
      <c r="A96" s="839"/>
      <c r="B96" s="550" t="s">
        <v>39</v>
      </c>
      <c r="C96" s="539"/>
      <c r="D96" s="539"/>
      <c r="E96" s="203"/>
      <c r="F96" s="539"/>
      <c r="G96" s="540">
        <v>0</v>
      </c>
      <c r="H96" s="540">
        <v>0</v>
      </c>
      <c r="I96" s="540">
        <v>0</v>
      </c>
      <c r="J96" s="540">
        <v>0</v>
      </c>
      <c r="K96" s="540">
        <v>0</v>
      </c>
      <c r="L96" s="540">
        <v>0</v>
      </c>
      <c r="M96" s="540">
        <v>0</v>
      </c>
      <c r="N96" s="540">
        <v>0</v>
      </c>
      <c r="O96" s="540">
        <v>0</v>
      </c>
      <c r="P96" s="540">
        <v>0</v>
      </c>
      <c r="Q96" s="540">
        <v>0</v>
      </c>
      <c r="R96" s="540">
        <v>0</v>
      </c>
      <c r="S96" s="540">
        <v>0</v>
      </c>
      <c r="T96" s="540">
        <v>0</v>
      </c>
      <c r="U96" s="540">
        <v>0</v>
      </c>
      <c r="V96" s="540">
        <v>0</v>
      </c>
      <c r="W96" s="540">
        <v>0</v>
      </c>
      <c r="X96" s="540">
        <v>0</v>
      </c>
      <c r="Y96" s="540">
        <v>0</v>
      </c>
      <c r="Z96" s="540">
        <v>0</v>
      </c>
      <c r="AA96" s="540">
        <v>0</v>
      </c>
      <c r="AB96" s="540">
        <v>0</v>
      </c>
      <c r="AC96" s="540">
        <v>0</v>
      </c>
      <c r="AD96" s="540">
        <v>0</v>
      </c>
      <c r="AE96" s="540">
        <v>0</v>
      </c>
      <c r="AF96" s="540">
        <v>0</v>
      </c>
    </row>
    <row r="97" spans="1:32" x14ac:dyDescent="0.25">
      <c r="A97" s="839"/>
      <c r="B97" s="550" t="s">
        <v>40</v>
      </c>
      <c r="C97" s="539"/>
      <c r="D97" s="539"/>
      <c r="E97" s="539"/>
      <c r="F97" s="539"/>
      <c r="G97" s="540">
        <v>0</v>
      </c>
      <c r="H97" s="540">
        <v>0</v>
      </c>
      <c r="I97" s="540">
        <v>0</v>
      </c>
      <c r="J97" s="540">
        <v>0</v>
      </c>
      <c r="K97" s="540">
        <v>0</v>
      </c>
      <c r="L97" s="540">
        <v>0</v>
      </c>
      <c r="M97" s="540">
        <v>0</v>
      </c>
      <c r="N97" s="540">
        <v>0</v>
      </c>
      <c r="O97" s="540">
        <v>0</v>
      </c>
      <c r="P97" s="540">
        <v>0</v>
      </c>
      <c r="Q97" s="540">
        <v>0</v>
      </c>
      <c r="R97" s="540">
        <v>0</v>
      </c>
      <c r="S97" s="540">
        <v>0</v>
      </c>
      <c r="T97" s="540">
        <v>0</v>
      </c>
      <c r="U97" s="540">
        <v>0</v>
      </c>
      <c r="V97" s="540">
        <v>0</v>
      </c>
      <c r="W97" s="540">
        <v>0</v>
      </c>
      <c r="X97" s="540">
        <v>0</v>
      </c>
      <c r="Y97" s="540">
        <v>0</v>
      </c>
      <c r="Z97" s="540">
        <v>0</v>
      </c>
      <c r="AA97" s="540">
        <v>0</v>
      </c>
      <c r="AB97" s="540">
        <v>0</v>
      </c>
      <c r="AC97" s="540">
        <v>0</v>
      </c>
      <c r="AD97" s="540">
        <v>0</v>
      </c>
      <c r="AE97" s="540">
        <v>0</v>
      </c>
      <c r="AF97" s="540">
        <v>0</v>
      </c>
    </row>
    <row r="98" spans="1:32" x14ac:dyDescent="0.25">
      <c r="A98" s="839"/>
      <c r="B98" s="550" t="s">
        <v>29</v>
      </c>
      <c r="C98" s="539"/>
      <c r="D98" s="539"/>
      <c r="E98" s="539"/>
      <c r="F98" s="539"/>
      <c r="G98" s="540">
        <v>0</v>
      </c>
      <c r="H98" s="540">
        <v>0</v>
      </c>
      <c r="I98" s="540">
        <v>0</v>
      </c>
      <c r="J98" s="540">
        <v>0</v>
      </c>
      <c r="K98" s="540">
        <v>0</v>
      </c>
      <c r="L98" s="540">
        <v>0</v>
      </c>
      <c r="M98" s="540">
        <v>0</v>
      </c>
      <c r="N98" s="540">
        <v>0</v>
      </c>
      <c r="O98" s="540">
        <v>0</v>
      </c>
      <c r="P98" s="540">
        <v>0</v>
      </c>
      <c r="Q98" s="540">
        <v>0</v>
      </c>
      <c r="R98" s="540">
        <v>0</v>
      </c>
      <c r="S98" s="540">
        <v>0</v>
      </c>
      <c r="T98" s="540">
        <v>0</v>
      </c>
      <c r="U98" s="540">
        <v>0</v>
      </c>
      <c r="V98" s="540">
        <v>0</v>
      </c>
      <c r="W98" s="540">
        <v>0</v>
      </c>
      <c r="X98" s="540">
        <v>0</v>
      </c>
      <c r="Y98" s="540">
        <v>0</v>
      </c>
      <c r="Z98" s="540">
        <v>0</v>
      </c>
      <c r="AA98" s="540">
        <v>0</v>
      </c>
      <c r="AB98" s="540">
        <v>0</v>
      </c>
      <c r="AC98" s="540">
        <v>0</v>
      </c>
      <c r="AD98" s="540">
        <v>0</v>
      </c>
      <c r="AE98" s="540">
        <v>0</v>
      </c>
      <c r="AF98" s="540">
        <v>0</v>
      </c>
    </row>
    <row r="99" spans="1:32" x14ac:dyDescent="0.25">
      <c r="A99" s="839"/>
      <c r="B99" s="550"/>
      <c r="C99" s="539"/>
      <c r="D99" s="539"/>
      <c r="E99" s="539"/>
      <c r="F99" s="539"/>
      <c r="G99" s="540" t="s">
        <v>73</v>
      </c>
      <c r="H99" s="540" t="s">
        <v>73</v>
      </c>
      <c r="I99" s="540" t="s">
        <v>73</v>
      </c>
      <c r="J99" s="540" t="s">
        <v>73</v>
      </c>
      <c r="K99" s="540" t="s">
        <v>73</v>
      </c>
      <c r="L99" s="540" t="s">
        <v>73</v>
      </c>
      <c r="M99" s="540" t="s">
        <v>73</v>
      </c>
      <c r="N99" s="540" t="s">
        <v>73</v>
      </c>
      <c r="O99" s="540" t="s">
        <v>73</v>
      </c>
      <c r="P99" s="540" t="s">
        <v>73</v>
      </c>
      <c r="Q99" s="540" t="s">
        <v>73</v>
      </c>
      <c r="R99" s="540" t="s">
        <v>73</v>
      </c>
      <c r="S99" s="540" t="s">
        <v>73</v>
      </c>
      <c r="T99" s="540" t="s">
        <v>73</v>
      </c>
      <c r="U99" s="540" t="s">
        <v>73</v>
      </c>
      <c r="V99" s="540" t="s">
        <v>73</v>
      </c>
      <c r="W99" s="540" t="s">
        <v>73</v>
      </c>
      <c r="X99" s="540" t="s">
        <v>73</v>
      </c>
      <c r="Y99" s="540" t="s">
        <v>73</v>
      </c>
      <c r="Z99" s="540" t="s">
        <v>73</v>
      </c>
      <c r="AA99" s="540" t="s">
        <v>73</v>
      </c>
      <c r="AB99" s="540" t="s">
        <v>73</v>
      </c>
      <c r="AC99" s="540" t="s">
        <v>73</v>
      </c>
      <c r="AD99" s="540" t="s">
        <v>73</v>
      </c>
      <c r="AE99" s="540" t="s">
        <v>73</v>
      </c>
      <c r="AF99" s="540" t="s">
        <v>73</v>
      </c>
    </row>
    <row r="100" spans="1:32" s="202" customFormat="1" ht="12.75" x14ac:dyDescent="0.2">
      <c r="A100" s="843" t="s">
        <v>42</v>
      </c>
      <c r="B100" s="556"/>
      <c r="C100" s="556"/>
      <c r="D100" s="556"/>
      <c r="E100" s="556"/>
      <c r="F100" s="556"/>
      <c r="G100" s="547" t="s">
        <v>73</v>
      </c>
      <c r="H100" s="547" t="s">
        <v>73</v>
      </c>
      <c r="I100" s="547" t="s">
        <v>73</v>
      </c>
      <c r="J100" s="547" t="s">
        <v>73</v>
      </c>
      <c r="K100" s="547" t="s">
        <v>73</v>
      </c>
      <c r="L100" s="547" t="s">
        <v>73</v>
      </c>
      <c r="M100" s="547" t="s">
        <v>73</v>
      </c>
      <c r="N100" s="547" t="s">
        <v>73</v>
      </c>
      <c r="O100" s="547" t="s">
        <v>73</v>
      </c>
      <c r="P100" s="547" t="s">
        <v>73</v>
      </c>
      <c r="Q100" s="547" t="s">
        <v>73</v>
      </c>
      <c r="R100" s="547" t="s">
        <v>73</v>
      </c>
      <c r="S100" s="547" t="s">
        <v>73</v>
      </c>
      <c r="T100" s="547" t="s">
        <v>73</v>
      </c>
      <c r="U100" s="547" t="s">
        <v>73</v>
      </c>
      <c r="V100" s="547" t="s">
        <v>73</v>
      </c>
      <c r="W100" s="547" t="s">
        <v>73</v>
      </c>
      <c r="X100" s="547" t="s">
        <v>73</v>
      </c>
      <c r="Y100" s="547" t="s">
        <v>73</v>
      </c>
      <c r="Z100" s="547" t="s">
        <v>73</v>
      </c>
      <c r="AA100" s="547" t="s">
        <v>73</v>
      </c>
      <c r="AB100" s="547" t="s">
        <v>73</v>
      </c>
      <c r="AC100" s="547" t="s">
        <v>73</v>
      </c>
      <c r="AD100" s="547" t="s">
        <v>73</v>
      </c>
      <c r="AE100" s="547" t="s">
        <v>73</v>
      </c>
      <c r="AF100" s="547" t="s">
        <v>73</v>
      </c>
    </row>
    <row r="101" spans="1:32" x14ac:dyDescent="0.25">
      <c r="A101" s="839"/>
      <c r="B101" s="552" t="s">
        <v>43</v>
      </c>
      <c r="C101" s="539"/>
      <c r="D101" s="539"/>
      <c r="E101" s="539"/>
      <c r="F101" s="539"/>
      <c r="G101" s="540">
        <v>18.529426787139389</v>
      </c>
      <c r="H101" s="540">
        <v>16.745913551099079</v>
      </c>
      <c r="I101" s="540">
        <v>15.164783647997982</v>
      </c>
      <c r="J101" s="540">
        <v>13.761050774905595</v>
      </c>
      <c r="K101" s="540">
        <v>12.513436649228462</v>
      </c>
      <c r="L101" s="540">
        <v>11.404544573217864</v>
      </c>
      <c r="M101" s="540">
        <v>10.416945320489644</v>
      </c>
      <c r="N101" s="540">
        <v>9.5387377734290233</v>
      </c>
      <c r="O101" s="540">
        <v>8.7601845134702874</v>
      </c>
      <c r="P101" s="540">
        <v>8.0677690533849677</v>
      </c>
      <c r="Q101" s="540">
        <v>7.4532700839490413</v>
      </c>
      <c r="R101" s="540">
        <v>6.9061105963106231</v>
      </c>
      <c r="S101" s="540">
        <v>6.419312477498714</v>
      </c>
      <c r="T101" s="540">
        <v>5.9863126989730757</v>
      </c>
      <c r="U101" s="540">
        <v>5.601432703181997</v>
      </c>
      <c r="V101" s="540">
        <v>5.2593827841762657</v>
      </c>
      <c r="W101" s="540">
        <v>4.9546889933658278</v>
      </c>
      <c r="X101" s="540">
        <v>4.6849206405475137</v>
      </c>
      <c r="Y101" s="540">
        <v>4.4474635348947009</v>
      </c>
      <c r="Z101" s="540">
        <v>4.2379758189245385</v>
      </c>
      <c r="AA101" s="540">
        <v>4.0519799097485132</v>
      </c>
      <c r="AB101" s="540">
        <v>3.8877498908258836</v>
      </c>
      <c r="AC101" s="540">
        <v>3.7430615069270337</v>
      </c>
      <c r="AD101" s="540">
        <v>3.6157388427846406</v>
      </c>
      <c r="AE101" s="540">
        <v>3.5034618824478412</v>
      </c>
      <c r="AF101" s="540">
        <v>3.4050193735133671</v>
      </c>
    </row>
    <row r="102" spans="1:32" x14ac:dyDescent="0.25">
      <c r="A102" s="839"/>
      <c r="B102" s="552" t="s">
        <v>44</v>
      </c>
      <c r="C102" s="539"/>
      <c r="D102" s="539"/>
      <c r="E102" s="539"/>
      <c r="F102" s="539"/>
      <c r="G102" s="540">
        <v>147.56091406085426</v>
      </c>
      <c r="H102" s="540">
        <v>196.37835293056318</v>
      </c>
      <c r="I102" s="540">
        <v>242.30468779832094</v>
      </c>
      <c r="J102" s="540">
        <v>284.20176380837341</v>
      </c>
      <c r="K102" s="540">
        <v>322.16754692426468</v>
      </c>
      <c r="L102" s="540">
        <v>356.75996882879593</v>
      </c>
      <c r="M102" s="540">
        <v>387.75937503090398</v>
      </c>
      <c r="N102" s="540">
        <v>416.16892080686461</v>
      </c>
      <c r="O102" s="540">
        <v>443.1363506488035</v>
      </c>
      <c r="P102" s="540">
        <v>467.9962488954269</v>
      </c>
      <c r="Q102" s="540">
        <v>491.43919833608743</v>
      </c>
      <c r="R102" s="540">
        <v>512.94990874182304</v>
      </c>
      <c r="S102" s="540">
        <v>532.88945541171893</v>
      </c>
      <c r="T102" s="540">
        <v>551.44795917209012</v>
      </c>
      <c r="U102" s="540">
        <v>568.8416985369339</v>
      </c>
      <c r="V102" s="540">
        <v>585.1767430502689</v>
      </c>
      <c r="W102" s="540">
        <v>600.28354467769725</v>
      </c>
      <c r="X102" s="540">
        <v>614.83656605882527</v>
      </c>
      <c r="Y102" s="540">
        <v>628.95462734727244</v>
      </c>
      <c r="Z102" s="540">
        <v>642.45939987555221</v>
      </c>
      <c r="AA102" s="540">
        <v>655.21773304856788</v>
      </c>
      <c r="AB102" s="540">
        <v>667.34418376572216</v>
      </c>
      <c r="AC102" s="540">
        <v>678.97655284944028</v>
      </c>
      <c r="AD102" s="540">
        <v>690.16337407073001</v>
      </c>
      <c r="AE102" s="540">
        <v>700.95717744109447</v>
      </c>
      <c r="AF102" s="540">
        <v>711.38301570751423</v>
      </c>
    </row>
    <row r="103" spans="1:32" x14ac:dyDescent="0.25">
      <c r="A103" s="839"/>
      <c r="B103" s="552" t="s">
        <v>45</v>
      </c>
      <c r="C103" s="539"/>
      <c r="D103" s="539"/>
      <c r="E103" s="539"/>
      <c r="F103" s="539"/>
      <c r="G103" s="540">
        <v>282.99123077079719</v>
      </c>
      <c r="H103" s="540">
        <v>253.15528092979355</v>
      </c>
      <c r="I103" s="540">
        <v>226.62864818662115</v>
      </c>
      <c r="J103" s="540">
        <v>203.02853144394604</v>
      </c>
      <c r="K103" s="540">
        <v>182.01910986304156</v>
      </c>
      <c r="L103" s="540">
        <v>163.30703231231689</v>
      </c>
      <c r="M103" s="540">
        <v>146.6291959087693</v>
      </c>
      <c r="N103" s="540">
        <v>131.76039163438293</v>
      </c>
      <c r="O103" s="540">
        <v>118.50318532627487</v>
      </c>
      <c r="P103" s="540">
        <v>106.67304118304122</v>
      </c>
      <c r="Q103" s="540">
        <v>96.114306003104645</v>
      </c>
      <c r="R103" s="540">
        <v>86.682509651603112</v>
      </c>
      <c r="S103" s="540">
        <v>78.25454692518899</v>
      </c>
      <c r="T103" s="540">
        <v>70.72055012970462</v>
      </c>
      <c r="U103" s="540">
        <v>63.983380931945064</v>
      </c>
      <c r="V103" s="540">
        <v>57.956348032397798</v>
      </c>
      <c r="W103" s="540">
        <v>52.560931376381262</v>
      </c>
      <c r="X103" s="540">
        <v>47.732282567108811</v>
      </c>
      <c r="Y103" s="540">
        <v>43.425321920173303</v>
      </c>
      <c r="Z103" s="540">
        <v>39.579415992852908</v>
      </c>
      <c r="AA103" s="540">
        <v>36.129602701622311</v>
      </c>
      <c r="AB103" s="540">
        <v>33.044909053922382</v>
      </c>
      <c r="AC103" s="540">
        <v>30.285105755331799</v>
      </c>
      <c r="AD103" s="540">
        <v>27.814297349810818</v>
      </c>
      <c r="AE103" s="540">
        <v>25.59373052460306</v>
      </c>
      <c r="AF103" s="540">
        <v>23.604002668589779</v>
      </c>
    </row>
    <row r="104" spans="1:32" x14ac:dyDescent="0.25">
      <c r="A104" s="839"/>
      <c r="B104" s="552" t="s">
        <v>46</v>
      </c>
      <c r="C104" s="539"/>
      <c r="D104" s="539"/>
      <c r="E104" s="539"/>
      <c r="F104" s="539"/>
      <c r="G104" s="540">
        <v>3.1623356954652135</v>
      </c>
      <c r="H104" s="540">
        <v>2.8245373150869564</v>
      </c>
      <c r="I104" s="540">
        <v>2.5240960254196461</v>
      </c>
      <c r="J104" s="540">
        <v>2.2567324785702478</v>
      </c>
      <c r="K104" s="540">
        <v>2.0186752640113403</v>
      </c>
      <c r="L104" s="540">
        <v>1.8065984306394129</v>
      </c>
      <c r="M104" s="540">
        <v>1.6175669723396535</v>
      </c>
      <c r="N104" s="540">
        <v>1.4489892254640979</v>
      </c>
      <c r="O104" s="540">
        <v>1.298575270442772</v>
      </c>
      <c r="P104" s="540">
        <v>1.1643005532020347</v>
      </c>
      <c r="Q104" s="540">
        <v>1.0443740481420898</v>
      </c>
      <c r="R104" s="540">
        <v>0.9372103756565231</v>
      </c>
      <c r="S104" s="540">
        <v>0.84140536571003255</v>
      </c>
      <c r="T104" s="540">
        <v>0.75571462665378231</v>
      </c>
      <c r="U104" s="540">
        <v>0.67903473680691129</v>
      </c>
      <c r="V104" s="540">
        <v>0.61038672669324445</v>
      </c>
      <c r="W104" s="540">
        <v>0.54890156332491358</v>
      </c>
      <c r="X104" s="540">
        <v>0.49380738553474435</v>
      </c>
      <c r="Y104" s="540">
        <v>0.44459099039387306</v>
      </c>
      <c r="Z104" s="540">
        <v>0.40058442871735123</v>
      </c>
      <c r="AA104" s="540">
        <v>0.36106812377729836</v>
      </c>
      <c r="AB104" s="540">
        <v>0.32568733071395356</v>
      </c>
      <c r="AC104" s="540">
        <v>0.29398186806277687</v>
      </c>
      <c r="AD104" s="540">
        <v>0.26554606890548665</v>
      </c>
      <c r="AE104" s="540">
        <v>0.23994185946516333</v>
      </c>
      <c r="AF104" s="540">
        <v>0.21695015316090482</v>
      </c>
    </row>
    <row r="105" spans="1:32" x14ac:dyDescent="0.25">
      <c r="A105" s="839"/>
      <c r="B105" s="550" t="s">
        <v>29</v>
      </c>
      <c r="C105" s="539"/>
      <c r="D105" s="539"/>
      <c r="E105" s="539"/>
      <c r="F105" s="539"/>
      <c r="G105" s="540">
        <v>0</v>
      </c>
      <c r="H105" s="540">
        <v>0.14638003102799113</v>
      </c>
      <c r="I105" s="540">
        <v>0.26536429669358108</v>
      </c>
      <c r="J105" s="540">
        <v>0.36024176314142276</v>
      </c>
      <c r="K105" s="540">
        <v>0.43482629497105979</v>
      </c>
      <c r="L105" s="540">
        <v>0.49409939186846896</v>
      </c>
      <c r="M105" s="540">
        <v>0.53903439161359501</v>
      </c>
      <c r="N105" s="540">
        <v>0.57537481143331504</v>
      </c>
      <c r="O105" s="540">
        <v>0.60847133411178711</v>
      </c>
      <c r="P105" s="540">
        <v>0.63550785032556656</v>
      </c>
      <c r="Q105" s="540">
        <v>0.65967255684440884</v>
      </c>
      <c r="R105" s="540">
        <v>0.67880504213831205</v>
      </c>
      <c r="S105" s="540">
        <v>0.69468566028795264</v>
      </c>
      <c r="T105" s="540">
        <v>0.70813502518048832</v>
      </c>
      <c r="U105" s="540">
        <v>0.71997585702881706</v>
      </c>
      <c r="V105" s="540">
        <v>0.73048677461741351</v>
      </c>
      <c r="W105" s="540">
        <v>0.73883399023430352</v>
      </c>
      <c r="X105" s="540">
        <v>0.74773545720423185</v>
      </c>
      <c r="Y105" s="540">
        <v>0.7572843078085606</v>
      </c>
      <c r="Z105" s="540">
        <v>0.76635292195835492</v>
      </c>
      <c r="AA105" s="540">
        <v>0.77421417050164587</v>
      </c>
      <c r="AB105" s="540">
        <v>0.78132478571062025</v>
      </c>
      <c r="AC105" s="540">
        <v>0.78814647280523464</v>
      </c>
      <c r="AD105" s="540">
        <v>0.794727134923775</v>
      </c>
      <c r="AE105" s="540">
        <v>0.80115162331852685</v>
      </c>
      <c r="AF105" s="540">
        <v>0.8073885852186623</v>
      </c>
    </row>
    <row r="106" spans="1:32" x14ac:dyDescent="0.25">
      <c r="A106" s="839"/>
      <c r="B106" s="550"/>
      <c r="C106" s="539"/>
      <c r="D106" s="539"/>
      <c r="E106" s="539"/>
      <c r="F106" s="539"/>
      <c r="G106" s="540" t="s">
        <v>73</v>
      </c>
      <c r="H106" s="540" t="s">
        <v>73</v>
      </c>
      <c r="I106" s="540" t="s">
        <v>73</v>
      </c>
      <c r="J106" s="540" t="s">
        <v>73</v>
      </c>
      <c r="K106" s="540" t="s">
        <v>73</v>
      </c>
      <c r="L106" s="540" t="s">
        <v>73</v>
      </c>
      <c r="M106" s="540" t="s">
        <v>73</v>
      </c>
      <c r="N106" s="540" t="s">
        <v>73</v>
      </c>
      <c r="O106" s="540" t="s">
        <v>73</v>
      </c>
      <c r="P106" s="540" t="s">
        <v>73</v>
      </c>
      <c r="Q106" s="540" t="s">
        <v>73</v>
      </c>
      <c r="R106" s="540" t="s">
        <v>73</v>
      </c>
      <c r="S106" s="540" t="s">
        <v>73</v>
      </c>
      <c r="T106" s="540" t="s">
        <v>73</v>
      </c>
      <c r="U106" s="540" t="s">
        <v>73</v>
      </c>
      <c r="V106" s="540" t="s">
        <v>73</v>
      </c>
      <c r="W106" s="540" t="s">
        <v>73</v>
      </c>
      <c r="X106" s="540" t="s">
        <v>73</v>
      </c>
      <c r="Y106" s="540" t="s">
        <v>73</v>
      </c>
      <c r="Z106" s="540" t="s">
        <v>73</v>
      </c>
      <c r="AA106" s="540" t="s">
        <v>73</v>
      </c>
      <c r="AB106" s="540" t="s">
        <v>73</v>
      </c>
      <c r="AC106" s="540" t="s">
        <v>73</v>
      </c>
      <c r="AD106" s="540" t="s">
        <v>73</v>
      </c>
      <c r="AE106" s="540" t="s">
        <v>73</v>
      </c>
      <c r="AF106" s="540" t="s">
        <v>73</v>
      </c>
    </row>
    <row r="107" spans="1:32" s="202" customFormat="1" ht="12.75" x14ac:dyDescent="0.2">
      <c r="A107" s="843" t="s">
        <v>47</v>
      </c>
      <c r="B107" s="556"/>
      <c r="C107" s="556"/>
      <c r="D107" s="556"/>
      <c r="E107" s="556"/>
      <c r="F107" s="556"/>
      <c r="G107" s="547" t="s">
        <v>73</v>
      </c>
      <c r="H107" s="547" t="s">
        <v>73</v>
      </c>
      <c r="I107" s="547" t="s">
        <v>73</v>
      </c>
      <c r="J107" s="547" t="s">
        <v>73</v>
      </c>
      <c r="K107" s="547" t="s">
        <v>73</v>
      </c>
      <c r="L107" s="547" t="s">
        <v>73</v>
      </c>
      <c r="M107" s="547" t="s">
        <v>73</v>
      </c>
      <c r="N107" s="547" t="s">
        <v>73</v>
      </c>
      <c r="O107" s="547" t="s">
        <v>73</v>
      </c>
      <c r="P107" s="547" t="s">
        <v>73</v>
      </c>
      <c r="Q107" s="547" t="s">
        <v>73</v>
      </c>
      <c r="R107" s="547" t="s">
        <v>73</v>
      </c>
      <c r="S107" s="547" t="s">
        <v>73</v>
      </c>
      <c r="T107" s="547" t="s">
        <v>73</v>
      </c>
      <c r="U107" s="547" t="s">
        <v>73</v>
      </c>
      <c r="V107" s="547" t="s">
        <v>73</v>
      </c>
      <c r="W107" s="547" t="s">
        <v>73</v>
      </c>
      <c r="X107" s="547" t="s">
        <v>73</v>
      </c>
      <c r="Y107" s="547" t="s">
        <v>73</v>
      </c>
      <c r="Z107" s="547" t="s">
        <v>73</v>
      </c>
      <c r="AA107" s="547" t="s">
        <v>73</v>
      </c>
      <c r="AB107" s="547" t="s">
        <v>73</v>
      </c>
      <c r="AC107" s="547" t="s">
        <v>73</v>
      </c>
      <c r="AD107" s="547" t="s">
        <v>73</v>
      </c>
      <c r="AE107" s="547" t="s">
        <v>73</v>
      </c>
      <c r="AF107" s="547" t="s">
        <v>73</v>
      </c>
    </row>
    <row r="108" spans="1:32" x14ac:dyDescent="0.25">
      <c r="A108" s="839"/>
      <c r="B108" s="550" t="s">
        <v>48</v>
      </c>
      <c r="C108" s="539"/>
      <c r="D108" s="539"/>
      <c r="E108" s="539"/>
      <c r="F108" s="539"/>
      <c r="G108" s="540">
        <v>21.793922481226993</v>
      </c>
      <c r="H108" s="540">
        <v>2.3055691305036663</v>
      </c>
      <c r="I108" s="540">
        <v>0.24883977209867969</v>
      </c>
      <c r="J108" s="540">
        <v>2.6861802347872284E-2</v>
      </c>
      <c r="K108" s="540">
        <v>2.8979289500837323E-3</v>
      </c>
      <c r="L108" s="540">
        <v>3.0651082607118668E-4</v>
      </c>
      <c r="M108" s="540">
        <v>3.2366166971424922E-5</v>
      </c>
      <c r="N108" s="540">
        <v>3.4170186211241134E-6</v>
      </c>
      <c r="O108" s="540">
        <v>3.6129705364258571E-7</v>
      </c>
      <c r="P108" s="540">
        <v>3.8188068335760286E-8</v>
      </c>
      <c r="Q108" s="540">
        <v>4.0386494141195575E-9</v>
      </c>
      <c r="R108" s="540">
        <v>4.2675887438345068E-10</v>
      </c>
      <c r="S108" s="540">
        <v>4.507461546163856E-11</v>
      </c>
      <c r="T108" s="540">
        <v>4.7590278805797971E-12</v>
      </c>
      <c r="U108" s="540">
        <v>5.0235241030662322E-13</v>
      </c>
      <c r="V108" s="540">
        <v>5.301411227717763E-14</v>
      </c>
      <c r="W108" s="540">
        <v>5.5904965169364794E-15</v>
      </c>
      <c r="X108" s="540">
        <v>5.8971861558806395E-16</v>
      </c>
      <c r="Y108" s="540">
        <v>6.2231587518887093E-17</v>
      </c>
      <c r="Z108" s="540">
        <v>6.5666180163246389E-18</v>
      </c>
      <c r="AA108" s="540">
        <v>6.9257910285805804E-19</v>
      </c>
      <c r="AB108" s="540">
        <v>7.3021671603621477E-20</v>
      </c>
      <c r="AC108" s="540">
        <v>7.6975349809498262E-21</v>
      </c>
      <c r="AD108" s="540">
        <v>8.1127682445815414E-22</v>
      </c>
      <c r="AE108" s="540">
        <v>8.5487762556635331E-23</v>
      </c>
      <c r="AF108" s="540">
        <v>9.0065050724164959E-24</v>
      </c>
    </row>
    <row r="109" spans="1:32" x14ac:dyDescent="0.25">
      <c r="A109" s="839"/>
      <c r="B109" s="552" t="s">
        <v>50</v>
      </c>
      <c r="C109" s="539"/>
      <c r="D109" s="539"/>
      <c r="E109" s="539"/>
      <c r="F109" s="539"/>
      <c r="G109" s="540">
        <v>6.5204979409479975</v>
      </c>
      <c r="H109" s="540">
        <v>3.6818111867114034</v>
      </c>
      <c r="I109" s="540">
        <v>2.0816016760480807</v>
      </c>
      <c r="J109" s="540">
        <v>1.1768804879221526</v>
      </c>
      <c r="K109" s="540">
        <v>0.66495550496908951</v>
      </c>
      <c r="L109" s="540">
        <v>0.37557199063797747</v>
      </c>
      <c r="M109" s="540">
        <v>0.21184608868781102</v>
      </c>
      <c r="N109" s="540">
        <v>0.11947466138458031</v>
      </c>
      <c r="O109" s="540">
        <v>6.7462580992633664E-2</v>
      </c>
      <c r="P109" s="540">
        <v>3.8082578407974084E-2</v>
      </c>
      <c r="Q109" s="540">
        <v>2.1507356099282216E-2</v>
      </c>
      <c r="R109" s="540">
        <v>1.2138258814621453E-2</v>
      </c>
      <c r="S109" s="540">
        <v>6.8480563354372326E-3</v>
      </c>
      <c r="T109" s="540">
        <v>3.862308236044745E-3</v>
      </c>
      <c r="U109" s="540">
        <v>2.1779571574403658E-3</v>
      </c>
      <c r="V109" s="540">
        <v>1.2279070059436582E-3</v>
      </c>
      <c r="W109" s="540">
        <v>6.9186433458829505E-4</v>
      </c>
      <c r="X109" s="540">
        <v>3.8992891337532459E-4</v>
      </c>
      <c r="Y109" s="540">
        <v>2.1983049727271556E-4</v>
      </c>
      <c r="Z109" s="540">
        <v>1.2392592185393617E-4</v>
      </c>
      <c r="AA109" s="540">
        <v>6.9834963209060806E-5</v>
      </c>
      <c r="AB109" s="540">
        <v>3.9342943817398378E-5</v>
      </c>
      <c r="AC109" s="540">
        <v>2.2161260720425074E-5</v>
      </c>
      <c r="AD109" s="540">
        <v>1.2481182395071421E-5</v>
      </c>
      <c r="AE109" s="540">
        <v>7.0283056940292419E-6</v>
      </c>
      <c r="AF109" s="540">
        <v>3.9571197374114265E-6</v>
      </c>
    </row>
    <row r="110" spans="1:32" x14ac:dyDescent="0.25">
      <c r="A110" s="839"/>
      <c r="B110" s="550" t="s">
        <v>51</v>
      </c>
      <c r="C110" s="539"/>
      <c r="D110" s="539"/>
      <c r="E110" s="539"/>
      <c r="F110" s="539"/>
      <c r="G110" s="540">
        <v>4.7125836262531235</v>
      </c>
      <c r="H110" s="540">
        <v>4.6959047080134013</v>
      </c>
      <c r="I110" s="540">
        <v>4.6852501843041425</v>
      </c>
      <c r="J110" s="540">
        <v>4.6746050107347354</v>
      </c>
      <c r="K110" s="540">
        <v>4.6610478495834666</v>
      </c>
      <c r="L110" s="540">
        <v>4.6458285818232952</v>
      </c>
      <c r="M110" s="540">
        <v>4.6245723021015204</v>
      </c>
      <c r="N110" s="540">
        <v>4.6026540942065761</v>
      </c>
      <c r="O110" s="540">
        <v>4.5864315084617937</v>
      </c>
      <c r="P110" s="540">
        <v>4.5689688263886641</v>
      </c>
      <c r="Q110" s="540">
        <v>4.5536330847688751</v>
      </c>
      <c r="R110" s="540">
        <v>4.535316923373867</v>
      </c>
      <c r="S110" s="540">
        <v>4.5154329624994771</v>
      </c>
      <c r="T110" s="540">
        <v>4.4942820071919014</v>
      </c>
      <c r="U110" s="540">
        <v>4.4724379550231737</v>
      </c>
      <c r="V110" s="540">
        <v>4.4498194688652255</v>
      </c>
      <c r="W110" s="540">
        <v>4.4246686132227824</v>
      </c>
      <c r="X110" s="540">
        <v>4.4007604812605567</v>
      </c>
      <c r="Y110" s="540">
        <v>4.37836746683287</v>
      </c>
      <c r="Z110" s="540">
        <v>4.3558057360949336</v>
      </c>
      <c r="AA110" s="540">
        <v>4.3317355874908543</v>
      </c>
      <c r="AB110" s="540">
        <v>4.3066443013745062</v>
      </c>
      <c r="AC110" s="540">
        <v>4.2810468558812236</v>
      </c>
      <c r="AD110" s="540">
        <v>4.2549539275470032</v>
      </c>
      <c r="AE110" s="540">
        <v>4.2283763559311476</v>
      </c>
      <c r="AF110" s="540">
        <v>4.2013251361128265</v>
      </c>
    </row>
    <row r="111" spans="1:32" x14ac:dyDescent="0.25">
      <c r="A111" s="839"/>
      <c r="B111" s="550" t="s">
        <v>52</v>
      </c>
      <c r="C111" s="539"/>
      <c r="D111" s="539"/>
      <c r="E111" s="539"/>
      <c r="F111" s="539"/>
      <c r="G111" s="540">
        <v>33.006984359400541</v>
      </c>
      <c r="H111" s="540">
        <v>33.351747207432382</v>
      </c>
      <c r="I111" s="540">
        <v>33.744713318095684</v>
      </c>
      <c r="J111" s="540">
        <v>34.143228866439614</v>
      </c>
      <c r="K111" s="540">
        <v>34.525409692428703</v>
      </c>
      <c r="L111" s="540">
        <v>34.82822430866635</v>
      </c>
      <c r="M111" s="540">
        <v>35.052889788642325</v>
      </c>
      <c r="N111" s="540">
        <v>35.253821374801007</v>
      </c>
      <c r="O111" s="540">
        <v>35.532017441810687</v>
      </c>
      <c r="P111" s="540">
        <v>35.825009809027684</v>
      </c>
      <c r="Q111" s="540">
        <v>36.152988422182297</v>
      </c>
      <c r="R111" s="540">
        <v>36.471652462292582</v>
      </c>
      <c r="S111" s="540">
        <v>36.788973350097557</v>
      </c>
      <c r="T111" s="540">
        <v>37.105137867800856</v>
      </c>
      <c r="U111" s="540">
        <v>37.424227305062253</v>
      </c>
      <c r="V111" s="540">
        <v>37.743342800306209</v>
      </c>
      <c r="W111" s="540">
        <v>38.047120087149615</v>
      </c>
      <c r="X111" s="540">
        <v>38.367170794650477</v>
      </c>
      <c r="Y111" s="540">
        <v>38.705163265791967</v>
      </c>
      <c r="Z111" s="540">
        <v>39.046814432077205</v>
      </c>
      <c r="AA111" s="540">
        <v>39.379441596160234</v>
      </c>
      <c r="AB111" s="540">
        <v>39.706110992621134</v>
      </c>
      <c r="AC111" s="540">
        <v>40.031692284496827</v>
      </c>
      <c r="AD111" s="540">
        <v>40.355874156309184</v>
      </c>
      <c r="AE111" s="540">
        <v>40.677845051997437</v>
      </c>
      <c r="AF111" s="540">
        <v>40.997902309927937</v>
      </c>
    </row>
    <row r="112" spans="1:32" x14ac:dyDescent="0.25">
      <c r="A112" s="839"/>
      <c r="B112" s="552" t="s">
        <v>29</v>
      </c>
      <c r="C112" s="539"/>
      <c r="D112" s="539"/>
      <c r="E112" s="539"/>
      <c r="F112" s="539"/>
      <c r="G112" s="540">
        <v>7.0309428161206737</v>
      </c>
      <c r="H112" s="540">
        <v>11.39816449896019</v>
      </c>
      <c r="I112" s="540">
        <v>12.452243724270081</v>
      </c>
      <c r="J112" s="540">
        <v>13.024896814486784</v>
      </c>
      <c r="K112" s="540">
        <v>13.466112772073352</v>
      </c>
      <c r="L112" s="540">
        <v>13.84998212965672</v>
      </c>
      <c r="M112" s="540">
        <v>14.187771487891091</v>
      </c>
      <c r="N112" s="540">
        <v>14.509448257786875</v>
      </c>
      <c r="O112" s="540">
        <v>14.84437185659416</v>
      </c>
      <c r="P112" s="540">
        <v>15.173492422968305</v>
      </c>
      <c r="Q112" s="540">
        <v>15.511183369580577</v>
      </c>
      <c r="R112" s="540">
        <v>15.840245359494176</v>
      </c>
      <c r="S112" s="540">
        <v>16.166086589630822</v>
      </c>
      <c r="T112" s="540">
        <v>16.489920377695181</v>
      </c>
      <c r="U112" s="540">
        <v>16.813437922782448</v>
      </c>
      <c r="V112" s="540">
        <v>17.136819163263048</v>
      </c>
      <c r="W112" s="540">
        <v>17.452014952186936</v>
      </c>
      <c r="X112" s="540">
        <v>17.774698831104327</v>
      </c>
      <c r="Y112" s="540">
        <v>18.106968088415123</v>
      </c>
      <c r="Z112" s="540">
        <v>18.441255664398668</v>
      </c>
      <c r="AA112" s="540">
        <v>18.771354801125373</v>
      </c>
      <c r="AB112" s="540">
        <v>19.099539996382788</v>
      </c>
      <c r="AC112" s="540">
        <v>19.42760199475142</v>
      </c>
      <c r="AD112" s="540">
        <v>19.755454236001373</v>
      </c>
      <c r="AE112" s="540">
        <v>20.083361806871498</v>
      </c>
      <c r="AF112" s="540">
        <v>20.41086347705264</v>
      </c>
    </row>
    <row r="113" spans="1:32" x14ac:dyDescent="0.25">
      <c r="A113" s="839"/>
      <c r="B113" s="552" t="s">
        <v>53</v>
      </c>
      <c r="C113" s="539"/>
      <c r="D113" s="539"/>
      <c r="E113" s="539"/>
      <c r="F113" s="539"/>
      <c r="G113" s="540">
        <v>0</v>
      </c>
      <c r="H113" s="540">
        <v>0</v>
      </c>
      <c r="I113" s="540">
        <v>0</v>
      </c>
      <c r="J113" s="540">
        <v>0</v>
      </c>
      <c r="K113" s="540">
        <v>0</v>
      </c>
      <c r="L113" s="540">
        <v>0</v>
      </c>
      <c r="M113" s="540">
        <v>0</v>
      </c>
      <c r="N113" s="540">
        <v>0</v>
      </c>
      <c r="O113" s="540">
        <v>0</v>
      </c>
      <c r="P113" s="540">
        <v>0</v>
      </c>
      <c r="Q113" s="540">
        <v>0</v>
      </c>
      <c r="R113" s="540">
        <v>0</v>
      </c>
      <c r="S113" s="540">
        <v>0</v>
      </c>
      <c r="T113" s="540">
        <v>0</v>
      </c>
      <c r="U113" s="540">
        <v>0</v>
      </c>
      <c r="V113" s="540">
        <v>0</v>
      </c>
      <c r="W113" s="540">
        <v>0</v>
      </c>
      <c r="X113" s="540">
        <v>0</v>
      </c>
      <c r="Y113" s="540">
        <v>0</v>
      </c>
      <c r="Z113" s="540">
        <v>0</v>
      </c>
      <c r="AA113" s="540">
        <v>0</v>
      </c>
      <c r="AB113" s="540">
        <v>0</v>
      </c>
      <c r="AC113" s="540">
        <v>0</v>
      </c>
      <c r="AD113" s="540">
        <v>0</v>
      </c>
      <c r="AE113" s="540">
        <v>0</v>
      </c>
      <c r="AF113" s="540">
        <v>0</v>
      </c>
    </row>
    <row r="114" spans="1:32" x14ac:dyDescent="0.25">
      <c r="A114" s="838"/>
      <c r="B114" s="539"/>
      <c r="C114" s="539"/>
      <c r="D114" s="539"/>
      <c r="E114" s="539"/>
      <c r="F114" s="539"/>
      <c r="G114" s="539"/>
      <c r="H114" s="539"/>
      <c r="I114" s="539"/>
      <c r="J114" s="539"/>
      <c r="K114" s="539"/>
      <c r="L114" s="539"/>
      <c r="M114" s="539"/>
      <c r="N114" s="539"/>
      <c r="O114" s="539"/>
      <c r="P114" s="539"/>
      <c r="Q114" s="539"/>
      <c r="R114" s="539"/>
      <c r="S114" s="539"/>
      <c r="T114" s="539"/>
      <c r="U114" s="539"/>
      <c r="V114" s="539"/>
      <c r="W114" s="539"/>
      <c r="X114" s="539"/>
      <c r="Y114" s="539"/>
      <c r="Z114" s="539"/>
      <c r="AA114" s="539"/>
      <c r="AB114" s="539"/>
      <c r="AC114" s="539"/>
      <c r="AD114" s="539"/>
      <c r="AE114" s="539"/>
      <c r="AF114" s="539"/>
    </row>
    <row r="115" spans="1:32" x14ac:dyDescent="0.25">
      <c r="A115" s="838"/>
      <c r="B115" s="539"/>
      <c r="C115" s="539"/>
      <c r="D115" s="539"/>
      <c r="E115" s="539"/>
      <c r="F115" s="539"/>
      <c r="G115" s="539"/>
      <c r="H115" s="539"/>
      <c r="I115" s="539"/>
      <c r="J115" s="539"/>
      <c r="K115" s="539"/>
      <c r="L115" s="539"/>
      <c r="M115" s="539"/>
      <c r="N115" s="539"/>
      <c r="O115" s="539"/>
      <c r="P115" s="539"/>
      <c r="Q115" s="539"/>
      <c r="R115" s="539"/>
      <c r="S115" s="539"/>
      <c r="T115" s="539"/>
      <c r="U115" s="539"/>
      <c r="V115" s="539"/>
      <c r="W115" s="539"/>
      <c r="X115" s="539"/>
      <c r="Y115" s="539"/>
      <c r="Z115" s="539"/>
      <c r="AA115" s="539"/>
      <c r="AB115" s="539"/>
      <c r="AC115" s="539"/>
      <c r="AD115" s="539"/>
      <c r="AE115" s="539"/>
      <c r="AF115" s="539"/>
    </row>
    <row r="116" spans="1:32" s="539" customFormat="1" x14ac:dyDescent="0.25">
      <c r="A116" s="860" t="s">
        <v>273</v>
      </c>
      <c r="B116" s="555"/>
      <c r="C116" s="554"/>
      <c r="D116" s="553"/>
      <c r="E116" s="553"/>
      <c r="F116" s="553"/>
      <c r="G116" s="553" t="s">
        <v>700</v>
      </c>
      <c r="H116" s="560"/>
      <c r="I116" s="560"/>
      <c r="J116" s="560"/>
      <c r="K116" s="560"/>
      <c r="L116" s="560"/>
      <c r="M116" s="560"/>
      <c r="N116" s="560"/>
      <c r="O116" s="560"/>
      <c r="P116" s="560"/>
      <c r="Q116" s="560"/>
      <c r="R116" s="560"/>
      <c r="S116" s="560"/>
      <c r="T116" s="560"/>
      <c r="U116" s="560"/>
      <c r="V116" s="560"/>
      <c r="W116" s="560"/>
      <c r="X116" s="560"/>
      <c r="Y116" s="560"/>
      <c r="Z116" s="560"/>
      <c r="AA116" s="560"/>
      <c r="AB116" s="560"/>
      <c r="AC116" s="560"/>
      <c r="AD116" s="560"/>
      <c r="AE116" s="560"/>
      <c r="AF116" s="560"/>
    </row>
    <row r="117" spans="1:32" s="539" customFormat="1" x14ac:dyDescent="0.25">
      <c r="A117" s="840" t="s">
        <v>12</v>
      </c>
      <c r="B117" s="550"/>
    </row>
    <row r="118" spans="1:32" s="539" customFormat="1" x14ac:dyDescent="0.25">
      <c r="A118" s="839"/>
      <c r="B118" s="550" t="s">
        <v>20</v>
      </c>
    </row>
    <row r="119" spans="1:32" s="202" customFormat="1" ht="12.75" x14ac:dyDescent="0.2">
      <c r="A119" s="843" t="s">
        <v>21</v>
      </c>
      <c r="B119" s="556"/>
      <c r="C119" s="556"/>
      <c r="D119" s="556"/>
      <c r="E119" s="556"/>
      <c r="F119" s="556"/>
      <c r="G119" s="556"/>
      <c r="H119" s="556"/>
      <c r="I119" s="556"/>
      <c r="J119" s="556"/>
      <c r="K119" s="556"/>
      <c r="L119" s="556"/>
      <c r="M119" s="556"/>
      <c r="N119" s="556"/>
      <c r="O119" s="556"/>
      <c r="P119" s="556"/>
      <c r="Q119" s="556"/>
      <c r="R119" s="556"/>
      <c r="S119" s="556"/>
      <c r="T119" s="556"/>
      <c r="U119" s="556"/>
      <c r="V119" s="556"/>
      <c r="W119" s="556"/>
      <c r="X119" s="556"/>
      <c r="Y119" s="556"/>
      <c r="Z119" s="556"/>
      <c r="AA119" s="556"/>
      <c r="AB119" s="556"/>
      <c r="AC119" s="556"/>
      <c r="AD119" s="556"/>
      <c r="AE119" s="556"/>
      <c r="AF119" s="556"/>
    </row>
    <row r="120" spans="1:32" x14ac:dyDescent="0.25">
      <c r="A120" s="839"/>
      <c r="B120" s="550" t="s">
        <v>22</v>
      </c>
      <c r="C120" s="539"/>
      <c r="D120" s="539"/>
      <c r="E120" s="539"/>
      <c r="F120" s="539"/>
      <c r="G120" s="540"/>
      <c r="H120" s="540">
        <v>0</v>
      </c>
      <c r="I120" s="540">
        <v>0</v>
      </c>
      <c r="J120" s="540">
        <v>0</v>
      </c>
      <c r="K120" s="540">
        <v>0</v>
      </c>
      <c r="L120" s="540">
        <v>0</v>
      </c>
      <c r="M120" s="540">
        <v>0</v>
      </c>
      <c r="N120" s="540">
        <v>0</v>
      </c>
      <c r="O120" s="540">
        <v>0</v>
      </c>
      <c r="P120" s="540">
        <v>0</v>
      </c>
      <c r="Q120" s="540">
        <v>0</v>
      </c>
      <c r="R120" s="540">
        <v>0</v>
      </c>
      <c r="S120" s="540">
        <v>0</v>
      </c>
      <c r="T120" s="540">
        <v>0</v>
      </c>
      <c r="U120" s="540">
        <v>0</v>
      </c>
      <c r="V120" s="540">
        <v>0</v>
      </c>
      <c r="W120" s="540">
        <v>0</v>
      </c>
      <c r="X120" s="540">
        <v>0</v>
      </c>
      <c r="Y120" s="540">
        <v>0</v>
      </c>
      <c r="Z120" s="540">
        <v>0</v>
      </c>
      <c r="AA120" s="540">
        <v>0</v>
      </c>
      <c r="AB120" s="540">
        <v>0</v>
      </c>
      <c r="AC120" s="540">
        <v>0</v>
      </c>
      <c r="AD120" s="540">
        <v>0</v>
      </c>
      <c r="AE120" s="540">
        <v>0</v>
      </c>
      <c r="AF120" s="540">
        <v>0</v>
      </c>
    </row>
    <row r="121" spans="1:32" x14ac:dyDescent="0.25">
      <c r="A121" s="839"/>
      <c r="B121" s="550" t="s">
        <v>26</v>
      </c>
      <c r="C121" s="539"/>
      <c r="D121" s="539"/>
      <c r="E121" s="539"/>
      <c r="F121" s="539"/>
      <c r="G121" s="540"/>
      <c r="H121" s="540">
        <v>0</v>
      </c>
      <c r="I121" s="540">
        <v>0</v>
      </c>
      <c r="J121" s="540">
        <v>0</v>
      </c>
      <c r="K121" s="540">
        <v>0</v>
      </c>
      <c r="L121" s="540">
        <v>0</v>
      </c>
      <c r="M121" s="540">
        <v>0</v>
      </c>
      <c r="N121" s="540">
        <v>0</v>
      </c>
      <c r="O121" s="540">
        <v>0</v>
      </c>
      <c r="P121" s="540">
        <v>0</v>
      </c>
      <c r="Q121" s="540">
        <v>0</v>
      </c>
      <c r="R121" s="540">
        <v>0</v>
      </c>
      <c r="S121" s="540">
        <v>0</v>
      </c>
      <c r="T121" s="540">
        <v>0</v>
      </c>
      <c r="U121" s="540">
        <v>0</v>
      </c>
      <c r="V121" s="540">
        <v>0</v>
      </c>
      <c r="W121" s="540">
        <v>0</v>
      </c>
      <c r="X121" s="540">
        <v>0</v>
      </c>
      <c r="Y121" s="540">
        <v>0</v>
      </c>
      <c r="Z121" s="540">
        <v>0</v>
      </c>
      <c r="AA121" s="540">
        <v>0</v>
      </c>
      <c r="AB121" s="540">
        <v>0</v>
      </c>
      <c r="AC121" s="540">
        <v>0</v>
      </c>
      <c r="AD121" s="540">
        <v>0</v>
      </c>
      <c r="AE121" s="540">
        <v>0</v>
      </c>
      <c r="AF121" s="540">
        <v>0</v>
      </c>
    </row>
    <row r="122" spans="1:32" x14ac:dyDescent="0.25">
      <c r="A122" s="839"/>
      <c r="B122" s="550" t="s">
        <v>27</v>
      </c>
      <c r="C122" s="539"/>
      <c r="D122" s="539"/>
      <c r="E122" s="539"/>
      <c r="F122" s="539"/>
      <c r="G122" s="540"/>
      <c r="H122" s="540">
        <v>0</v>
      </c>
      <c r="I122" s="540">
        <v>0</v>
      </c>
      <c r="J122" s="540">
        <v>0</v>
      </c>
      <c r="K122" s="540">
        <v>0</v>
      </c>
      <c r="L122" s="540">
        <v>0</v>
      </c>
      <c r="M122" s="540">
        <v>0</v>
      </c>
      <c r="N122" s="540">
        <v>0</v>
      </c>
      <c r="O122" s="540">
        <v>0</v>
      </c>
      <c r="P122" s="540">
        <v>0</v>
      </c>
      <c r="Q122" s="540">
        <v>0</v>
      </c>
      <c r="R122" s="540">
        <v>0</v>
      </c>
      <c r="S122" s="540">
        <v>0</v>
      </c>
      <c r="T122" s="540">
        <v>0</v>
      </c>
      <c r="U122" s="540">
        <v>0</v>
      </c>
      <c r="V122" s="540">
        <v>0</v>
      </c>
      <c r="W122" s="540">
        <v>0</v>
      </c>
      <c r="X122" s="540">
        <v>0</v>
      </c>
      <c r="Y122" s="540">
        <v>0</v>
      </c>
      <c r="Z122" s="540">
        <v>0</v>
      </c>
      <c r="AA122" s="540">
        <v>0</v>
      </c>
      <c r="AB122" s="540">
        <v>0</v>
      </c>
      <c r="AC122" s="540">
        <v>0</v>
      </c>
      <c r="AD122" s="540">
        <v>0</v>
      </c>
      <c r="AE122" s="540">
        <v>0</v>
      </c>
      <c r="AF122" s="540">
        <v>0</v>
      </c>
    </row>
    <row r="123" spans="1:32" x14ac:dyDescent="0.25">
      <c r="A123" s="839"/>
      <c r="B123" s="550" t="s">
        <v>29</v>
      </c>
      <c r="C123" s="539"/>
      <c r="D123" s="539"/>
      <c r="E123" s="539"/>
      <c r="F123" s="539"/>
      <c r="G123" s="540"/>
      <c r="H123" s="540">
        <v>0</v>
      </c>
      <c r="I123" s="540">
        <v>0</v>
      </c>
      <c r="J123" s="540">
        <v>0</v>
      </c>
      <c r="K123" s="540">
        <v>0</v>
      </c>
      <c r="L123" s="540">
        <v>0</v>
      </c>
      <c r="M123" s="540">
        <v>0</v>
      </c>
      <c r="N123" s="540">
        <v>0</v>
      </c>
      <c r="O123" s="540">
        <v>0</v>
      </c>
      <c r="P123" s="540">
        <v>0</v>
      </c>
      <c r="Q123" s="540">
        <v>0</v>
      </c>
      <c r="R123" s="540">
        <v>0</v>
      </c>
      <c r="S123" s="540">
        <v>0</v>
      </c>
      <c r="T123" s="540">
        <v>0</v>
      </c>
      <c r="U123" s="540">
        <v>0</v>
      </c>
      <c r="V123" s="540">
        <v>0</v>
      </c>
      <c r="W123" s="540">
        <v>0</v>
      </c>
      <c r="X123" s="540">
        <v>0</v>
      </c>
      <c r="Y123" s="540">
        <v>0</v>
      </c>
      <c r="Z123" s="540">
        <v>0</v>
      </c>
      <c r="AA123" s="540">
        <v>0</v>
      </c>
      <c r="AB123" s="540">
        <v>0</v>
      </c>
      <c r="AC123" s="540">
        <v>0</v>
      </c>
      <c r="AD123" s="540">
        <v>0</v>
      </c>
      <c r="AE123" s="540">
        <v>0</v>
      </c>
      <c r="AF123" s="540">
        <v>0</v>
      </c>
    </row>
    <row r="124" spans="1:32" x14ac:dyDescent="0.25">
      <c r="A124" s="839"/>
      <c r="B124" s="550"/>
      <c r="C124" s="539"/>
      <c r="D124" s="539"/>
      <c r="E124" s="539"/>
      <c r="F124" s="539"/>
      <c r="G124" s="540"/>
      <c r="H124" s="540" t="s">
        <v>73</v>
      </c>
      <c r="I124" s="540" t="s">
        <v>73</v>
      </c>
      <c r="J124" s="540" t="s">
        <v>73</v>
      </c>
      <c r="K124" s="540" t="s">
        <v>73</v>
      </c>
      <c r="L124" s="540" t="s">
        <v>73</v>
      </c>
      <c r="M124" s="540" t="s">
        <v>73</v>
      </c>
      <c r="N124" s="540" t="s">
        <v>73</v>
      </c>
      <c r="O124" s="540" t="s">
        <v>73</v>
      </c>
      <c r="P124" s="540" t="s">
        <v>73</v>
      </c>
      <c r="Q124" s="540" t="s">
        <v>73</v>
      </c>
      <c r="R124" s="540" t="s">
        <v>73</v>
      </c>
      <c r="S124" s="540" t="s">
        <v>73</v>
      </c>
      <c r="T124" s="540" t="s">
        <v>73</v>
      </c>
      <c r="U124" s="540" t="s">
        <v>73</v>
      </c>
      <c r="V124" s="540" t="s">
        <v>73</v>
      </c>
      <c r="W124" s="540" t="s">
        <v>73</v>
      </c>
      <c r="X124" s="540" t="s">
        <v>73</v>
      </c>
      <c r="Y124" s="540" t="s">
        <v>73</v>
      </c>
      <c r="Z124" s="540" t="s">
        <v>73</v>
      </c>
      <c r="AA124" s="540" t="s">
        <v>73</v>
      </c>
      <c r="AB124" s="540" t="s">
        <v>73</v>
      </c>
      <c r="AC124" s="540" t="s">
        <v>73</v>
      </c>
      <c r="AD124" s="540" t="s">
        <v>73</v>
      </c>
      <c r="AE124" s="540" t="s">
        <v>73</v>
      </c>
      <c r="AF124" s="540" t="s">
        <v>73</v>
      </c>
    </row>
    <row r="125" spans="1:32" s="202" customFormat="1" ht="12.75" x14ac:dyDescent="0.2">
      <c r="A125" s="843" t="s">
        <v>32</v>
      </c>
      <c r="B125" s="556"/>
      <c r="C125" s="556"/>
      <c r="D125" s="556"/>
      <c r="E125" s="556"/>
      <c r="F125" s="556"/>
      <c r="G125" s="547"/>
      <c r="H125" s="547" t="s">
        <v>73</v>
      </c>
      <c r="I125" s="547" t="s">
        <v>73</v>
      </c>
      <c r="J125" s="547" t="s">
        <v>73</v>
      </c>
      <c r="K125" s="547" t="s">
        <v>73</v>
      </c>
      <c r="L125" s="547" t="s">
        <v>73</v>
      </c>
      <c r="M125" s="547" t="s">
        <v>73</v>
      </c>
      <c r="N125" s="547" t="s">
        <v>73</v>
      </c>
      <c r="O125" s="547" t="s">
        <v>73</v>
      </c>
      <c r="P125" s="547" t="s">
        <v>73</v>
      </c>
      <c r="Q125" s="547" t="s">
        <v>73</v>
      </c>
      <c r="R125" s="547" t="s">
        <v>73</v>
      </c>
      <c r="S125" s="547" t="s">
        <v>73</v>
      </c>
      <c r="T125" s="547" t="s">
        <v>73</v>
      </c>
      <c r="U125" s="547" t="s">
        <v>73</v>
      </c>
      <c r="V125" s="547" t="s">
        <v>73</v>
      </c>
      <c r="W125" s="547" t="s">
        <v>73</v>
      </c>
      <c r="X125" s="547" t="s">
        <v>73</v>
      </c>
      <c r="Y125" s="547" t="s">
        <v>73</v>
      </c>
      <c r="Z125" s="547" t="s">
        <v>73</v>
      </c>
      <c r="AA125" s="547" t="s">
        <v>73</v>
      </c>
      <c r="AB125" s="547" t="s">
        <v>73</v>
      </c>
      <c r="AC125" s="547" t="s">
        <v>73</v>
      </c>
      <c r="AD125" s="547" t="s">
        <v>73</v>
      </c>
      <c r="AE125" s="547" t="s">
        <v>73</v>
      </c>
      <c r="AF125" s="547" t="s">
        <v>73</v>
      </c>
    </row>
    <row r="126" spans="1:32" x14ac:dyDescent="0.25">
      <c r="A126" s="839"/>
      <c r="B126" s="550" t="s">
        <v>33</v>
      </c>
      <c r="C126" s="539"/>
      <c r="D126" s="539"/>
      <c r="E126" s="539"/>
      <c r="F126" s="539"/>
      <c r="G126" s="540"/>
      <c r="H126" s="540">
        <v>0</v>
      </c>
      <c r="I126" s="540">
        <v>0</v>
      </c>
      <c r="J126" s="540">
        <v>0</v>
      </c>
      <c r="K126" s="540">
        <v>0</v>
      </c>
      <c r="L126" s="540">
        <v>0</v>
      </c>
      <c r="M126" s="540">
        <v>0</v>
      </c>
      <c r="N126" s="540">
        <v>0</v>
      </c>
      <c r="O126" s="540">
        <v>0</v>
      </c>
      <c r="P126" s="540">
        <v>0</v>
      </c>
      <c r="Q126" s="540">
        <v>0</v>
      </c>
      <c r="R126" s="540">
        <v>0</v>
      </c>
      <c r="S126" s="540">
        <v>0</v>
      </c>
      <c r="T126" s="540">
        <v>0</v>
      </c>
      <c r="U126" s="540">
        <v>0</v>
      </c>
      <c r="V126" s="540">
        <v>0</v>
      </c>
      <c r="W126" s="540">
        <v>0</v>
      </c>
      <c r="X126" s="540">
        <v>0</v>
      </c>
      <c r="Y126" s="540">
        <v>0</v>
      </c>
      <c r="Z126" s="540">
        <v>0</v>
      </c>
      <c r="AA126" s="540">
        <v>0</v>
      </c>
      <c r="AB126" s="540">
        <v>0</v>
      </c>
      <c r="AC126" s="540">
        <v>0</v>
      </c>
      <c r="AD126" s="540">
        <v>0</v>
      </c>
      <c r="AE126" s="540">
        <v>0</v>
      </c>
      <c r="AF126" s="540">
        <v>0</v>
      </c>
    </row>
    <row r="127" spans="1:32" x14ac:dyDescent="0.25">
      <c r="A127" s="842"/>
      <c r="B127" s="552" t="s">
        <v>34</v>
      </c>
      <c r="C127" s="539"/>
      <c r="D127" s="539"/>
      <c r="E127" s="539"/>
      <c r="F127" s="539"/>
      <c r="G127" s="540"/>
      <c r="H127" s="540">
        <v>0</v>
      </c>
      <c r="I127" s="540">
        <v>0</v>
      </c>
      <c r="J127" s="540">
        <v>0</v>
      </c>
      <c r="K127" s="540">
        <v>0</v>
      </c>
      <c r="L127" s="540">
        <v>0</v>
      </c>
      <c r="M127" s="540">
        <v>0</v>
      </c>
      <c r="N127" s="540">
        <v>0</v>
      </c>
      <c r="O127" s="540">
        <v>0</v>
      </c>
      <c r="P127" s="540">
        <v>0</v>
      </c>
      <c r="Q127" s="540">
        <v>0</v>
      </c>
      <c r="R127" s="540">
        <v>0</v>
      </c>
      <c r="S127" s="540">
        <v>0</v>
      </c>
      <c r="T127" s="540">
        <v>0</v>
      </c>
      <c r="U127" s="540">
        <v>0</v>
      </c>
      <c r="V127" s="540">
        <v>0</v>
      </c>
      <c r="W127" s="540">
        <v>0</v>
      </c>
      <c r="X127" s="540">
        <v>0</v>
      </c>
      <c r="Y127" s="540">
        <v>0</v>
      </c>
      <c r="Z127" s="540">
        <v>0</v>
      </c>
      <c r="AA127" s="540">
        <v>0</v>
      </c>
      <c r="AB127" s="540">
        <v>0</v>
      </c>
      <c r="AC127" s="540">
        <v>0</v>
      </c>
      <c r="AD127" s="540">
        <v>0</v>
      </c>
      <c r="AE127" s="540">
        <v>0</v>
      </c>
      <c r="AF127" s="540">
        <v>0</v>
      </c>
    </row>
    <row r="128" spans="1:32" x14ac:dyDescent="0.25">
      <c r="A128" s="839"/>
      <c r="B128" s="552" t="s">
        <v>35</v>
      </c>
      <c r="C128" s="539"/>
      <c r="D128" s="539"/>
      <c r="E128" s="539"/>
      <c r="F128" s="539"/>
      <c r="G128" s="540"/>
      <c r="H128" s="540">
        <v>0</v>
      </c>
      <c r="I128" s="540">
        <v>0</v>
      </c>
      <c r="J128" s="540">
        <v>0</v>
      </c>
      <c r="K128" s="540">
        <v>0</v>
      </c>
      <c r="L128" s="540">
        <v>0</v>
      </c>
      <c r="M128" s="540">
        <v>0</v>
      </c>
      <c r="N128" s="540">
        <v>0</v>
      </c>
      <c r="O128" s="540">
        <v>0</v>
      </c>
      <c r="P128" s="540">
        <v>0</v>
      </c>
      <c r="Q128" s="540">
        <v>0</v>
      </c>
      <c r="R128" s="540">
        <v>0</v>
      </c>
      <c r="S128" s="540">
        <v>0</v>
      </c>
      <c r="T128" s="540">
        <v>0</v>
      </c>
      <c r="U128" s="540">
        <v>0</v>
      </c>
      <c r="V128" s="540">
        <v>0</v>
      </c>
      <c r="W128" s="540">
        <v>0</v>
      </c>
      <c r="X128" s="540">
        <v>0</v>
      </c>
      <c r="Y128" s="540">
        <v>0</v>
      </c>
      <c r="Z128" s="540">
        <v>0</v>
      </c>
      <c r="AA128" s="540">
        <v>0</v>
      </c>
      <c r="AB128" s="540">
        <v>0</v>
      </c>
      <c r="AC128" s="540">
        <v>0</v>
      </c>
      <c r="AD128" s="540">
        <v>0</v>
      </c>
      <c r="AE128" s="540">
        <v>0</v>
      </c>
      <c r="AF128" s="540">
        <v>0</v>
      </c>
    </row>
    <row r="129" spans="1:32" x14ac:dyDescent="0.25">
      <c r="A129" s="839"/>
      <c r="B129" s="552" t="s">
        <v>29</v>
      </c>
      <c r="C129" s="539"/>
      <c r="D129" s="539"/>
      <c r="E129" s="539"/>
      <c r="F129" s="539"/>
      <c r="G129" s="540"/>
      <c r="H129" s="540">
        <v>0</v>
      </c>
      <c r="I129" s="540">
        <v>0</v>
      </c>
      <c r="J129" s="540">
        <v>0</v>
      </c>
      <c r="K129" s="540">
        <v>0</v>
      </c>
      <c r="L129" s="540">
        <v>0</v>
      </c>
      <c r="M129" s="540">
        <v>0</v>
      </c>
      <c r="N129" s="540">
        <v>0</v>
      </c>
      <c r="O129" s="540">
        <v>0</v>
      </c>
      <c r="P129" s="540">
        <v>0</v>
      </c>
      <c r="Q129" s="540">
        <v>0</v>
      </c>
      <c r="R129" s="540">
        <v>0</v>
      </c>
      <c r="S129" s="540">
        <v>0</v>
      </c>
      <c r="T129" s="540">
        <v>0</v>
      </c>
      <c r="U129" s="540">
        <v>0</v>
      </c>
      <c r="V129" s="540">
        <v>0</v>
      </c>
      <c r="W129" s="540">
        <v>0</v>
      </c>
      <c r="X129" s="540">
        <v>0</v>
      </c>
      <c r="Y129" s="540">
        <v>0</v>
      </c>
      <c r="Z129" s="540">
        <v>0</v>
      </c>
      <c r="AA129" s="540">
        <v>0</v>
      </c>
      <c r="AB129" s="540">
        <v>0</v>
      </c>
      <c r="AC129" s="540">
        <v>0</v>
      </c>
      <c r="AD129" s="540">
        <v>0</v>
      </c>
      <c r="AE129" s="540">
        <v>0</v>
      </c>
      <c r="AF129" s="540">
        <v>0</v>
      </c>
    </row>
    <row r="130" spans="1:32" x14ac:dyDescent="0.25">
      <c r="A130" s="839"/>
      <c r="B130" s="550"/>
      <c r="C130" s="539"/>
      <c r="D130" s="539"/>
      <c r="E130" s="539"/>
      <c r="F130" s="539"/>
      <c r="G130" s="540"/>
      <c r="H130" s="540" t="s">
        <v>73</v>
      </c>
      <c r="I130" s="540" t="s">
        <v>73</v>
      </c>
      <c r="J130" s="540" t="s">
        <v>73</v>
      </c>
      <c r="K130" s="540" t="s">
        <v>73</v>
      </c>
      <c r="L130" s="540" t="s">
        <v>73</v>
      </c>
      <c r="M130" s="540" t="s">
        <v>73</v>
      </c>
      <c r="N130" s="540" t="s">
        <v>73</v>
      </c>
      <c r="O130" s="540" t="s">
        <v>73</v>
      </c>
      <c r="P130" s="540" t="s">
        <v>73</v>
      </c>
      <c r="Q130" s="540" t="s">
        <v>73</v>
      </c>
      <c r="R130" s="540" t="s">
        <v>73</v>
      </c>
      <c r="S130" s="540" t="s">
        <v>73</v>
      </c>
      <c r="T130" s="540" t="s">
        <v>73</v>
      </c>
      <c r="U130" s="540" t="s">
        <v>73</v>
      </c>
      <c r="V130" s="540" t="s">
        <v>73</v>
      </c>
      <c r="W130" s="540" t="s">
        <v>73</v>
      </c>
      <c r="X130" s="540" t="s">
        <v>73</v>
      </c>
      <c r="Y130" s="540" t="s">
        <v>73</v>
      </c>
      <c r="Z130" s="540" t="s">
        <v>73</v>
      </c>
      <c r="AA130" s="540" t="s">
        <v>73</v>
      </c>
      <c r="AB130" s="540" t="s">
        <v>73</v>
      </c>
      <c r="AC130" s="540" t="s">
        <v>73</v>
      </c>
      <c r="AD130" s="540" t="s">
        <v>73</v>
      </c>
      <c r="AE130" s="540" t="s">
        <v>73</v>
      </c>
      <c r="AF130" s="540" t="s">
        <v>73</v>
      </c>
    </row>
    <row r="131" spans="1:32" s="202" customFormat="1" ht="12.75" x14ac:dyDescent="0.2">
      <c r="A131" s="843" t="s">
        <v>36</v>
      </c>
      <c r="B131" s="556"/>
      <c r="C131" s="556"/>
      <c r="D131" s="556"/>
      <c r="E131" s="556"/>
      <c r="F131" s="556"/>
      <c r="G131" s="547"/>
      <c r="H131" s="547" t="s">
        <v>73</v>
      </c>
      <c r="I131" s="547" t="s">
        <v>73</v>
      </c>
      <c r="J131" s="547" t="s">
        <v>73</v>
      </c>
      <c r="K131" s="547" t="s">
        <v>73</v>
      </c>
      <c r="L131" s="547" t="s">
        <v>73</v>
      </c>
      <c r="M131" s="547" t="s">
        <v>73</v>
      </c>
      <c r="N131" s="547" t="s">
        <v>73</v>
      </c>
      <c r="O131" s="547" t="s">
        <v>73</v>
      </c>
      <c r="P131" s="547" t="s">
        <v>73</v>
      </c>
      <c r="Q131" s="547" t="s">
        <v>73</v>
      </c>
      <c r="R131" s="547" t="s">
        <v>73</v>
      </c>
      <c r="S131" s="547" t="s">
        <v>73</v>
      </c>
      <c r="T131" s="547" t="s">
        <v>73</v>
      </c>
      <c r="U131" s="547" t="s">
        <v>73</v>
      </c>
      <c r="V131" s="547" t="s">
        <v>73</v>
      </c>
      <c r="W131" s="547" t="s">
        <v>73</v>
      </c>
      <c r="X131" s="547" t="s">
        <v>73</v>
      </c>
      <c r="Y131" s="547" t="s">
        <v>73</v>
      </c>
      <c r="Z131" s="547" t="s">
        <v>73</v>
      </c>
      <c r="AA131" s="547" t="s">
        <v>73</v>
      </c>
      <c r="AB131" s="547" t="s">
        <v>73</v>
      </c>
      <c r="AC131" s="547" t="s">
        <v>73</v>
      </c>
      <c r="AD131" s="547" t="s">
        <v>73</v>
      </c>
      <c r="AE131" s="547" t="s">
        <v>73</v>
      </c>
      <c r="AF131" s="547" t="s">
        <v>73</v>
      </c>
    </row>
    <row r="132" spans="1:32" x14ac:dyDescent="0.25">
      <c r="A132" s="839"/>
      <c r="B132" s="550" t="s">
        <v>37</v>
      </c>
      <c r="C132" s="539"/>
      <c r="D132" s="539"/>
      <c r="E132" s="539"/>
      <c r="F132" s="201"/>
      <c r="G132" s="540"/>
      <c r="H132" s="540">
        <v>0</v>
      </c>
      <c r="I132" s="540">
        <v>0</v>
      </c>
      <c r="J132" s="540">
        <v>0</v>
      </c>
      <c r="K132" s="540">
        <v>0</v>
      </c>
      <c r="L132" s="540">
        <v>0</v>
      </c>
      <c r="M132" s="540">
        <v>0</v>
      </c>
      <c r="N132" s="540">
        <v>0</v>
      </c>
      <c r="O132" s="540">
        <v>0</v>
      </c>
      <c r="P132" s="540">
        <v>0</v>
      </c>
      <c r="Q132" s="540">
        <v>0</v>
      </c>
      <c r="R132" s="540">
        <v>0</v>
      </c>
      <c r="S132" s="540">
        <v>0</v>
      </c>
      <c r="T132" s="540">
        <v>0</v>
      </c>
      <c r="U132" s="540">
        <v>0</v>
      </c>
      <c r="V132" s="540">
        <v>0</v>
      </c>
      <c r="W132" s="540">
        <v>0</v>
      </c>
      <c r="X132" s="540">
        <v>0</v>
      </c>
      <c r="Y132" s="540">
        <v>0</v>
      </c>
      <c r="Z132" s="540">
        <v>0</v>
      </c>
      <c r="AA132" s="540">
        <v>0</v>
      </c>
      <c r="AB132" s="540">
        <v>0</v>
      </c>
      <c r="AC132" s="540">
        <v>0</v>
      </c>
      <c r="AD132" s="540">
        <v>0</v>
      </c>
      <c r="AE132" s="540">
        <v>0</v>
      </c>
      <c r="AF132" s="540">
        <v>0</v>
      </c>
    </row>
    <row r="133" spans="1:32" x14ac:dyDescent="0.25">
      <c r="A133" s="839"/>
      <c r="B133" s="550" t="s">
        <v>39</v>
      </c>
      <c r="C133" s="539"/>
      <c r="D133" s="539"/>
      <c r="E133" s="203"/>
      <c r="F133" s="539"/>
      <c r="G133" s="540"/>
      <c r="H133" s="540">
        <v>0</v>
      </c>
      <c r="I133" s="540">
        <v>0</v>
      </c>
      <c r="J133" s="540">
        <v>0</v>
      </c>
      <c r="K133" s="540">
        <v>0</v>
      </c>
      <c r="L133" s="540">
        <v>0</v>
      </c>
      <c r="M133" s="540">
        <v>0</v>
      </c>
      <c r="N133" s="540">
        <v>0</v>
      </c>
      <c r="O133" s="540">
        <v>0</v>
      </c>
      <c r="P133" s="540">
        <v>0</v>
      </c>
      <c r="Q133" s="540">
        <v>0</v>
      </c>
      <c r="R133" s="540">
        <v>0</v>
      </c>
      <c r="S133" s="540">
        <v>0</v>
      </c>
      <c r="T133" s="540">
        <v>0</v>
      </c>
      <c r="U133" s="540">
        <v>0</v>
      </c>
      <c r="V133" s="540">
        <v>0</v>
      </c>
      <c r="W133" s="540">
        <v>0</v>
      </c>
      <c r="X133" s="540">
        <v>0</v>
      </c>
      <c r="Y133" s="540">
        <v>0</v>
      </c>
      <c r="Z133" s="540">
        <v>0</v>
      </c>
      <c r="AA133" s="540">
        <v>0</v>
      </c>
      <c r="AB133" s="540">
        <v>0</v>
      </c>
      <c r="AC133" s="540">
        <v>0</v>
      </c>
      <c r="AD133" s="540">
        <v>0</v>
      </c>
      <c r="AE133" s="540">
        <v>0</v>
      </c>
      <c r="AF133" s="540">
        <v>0</v>
      </c>
    </row>
    <row r="134" spans="1:32" x14ac:dyDescent="0.25">
      <c r="A134" s="839"/>
      <c r="B134" s="550" t="s">
        <v>40</v>
      </c>
      <c r="C134" s="539"/>
      <c r="D134" s="539"/>
      <c r="E134" s="539"/>
      <c r="F134" s="539"/>
      <c r="G134" s="540"/>
      <c r="H134" s="540">
        <v>0</v>
      </c>
      <c r="I134" s="540">
        <v>0</v>
      </c>
      <c r="J134" s="540">
        <v>0</v>
      </c>
      <c r="K134" s="540">
        <v>0</v>
      </c>
      <c r="L134" s="540">
        <v>0</v>
      </c>
      <c r="M134" s="540">
        <v>0</v>
      </c>
      <c r="N134" s="540">
        <v>0</v>
      </c>
      <c r="O134" s="540">
        <v>0</v>
      </c>
      <c r="P134" s="540">
        <v>0</v>
      </c>
      <c r="Q134" s="540">
        <v>0</v>
      </c>
      <c r="R134" s="540">
        <v>0</v>
      </c>
      <c r="S134" s="540">
        <v>0</v>
      </c>
      <c r="T134" s="540">
        <v>0</v>
      </c>
      <c r="U134" s="540">
        <v>0</v>
      </c>
      <c r="V134" s="540">
        <v>0</v>
      </c>
      <c r="W134" s="540">
        <v>0</v>
      </c>
      <c r="X134" s="540">
        <v>0</v>
      </c>
      <c r="Y134" s="540">
        <v>0</v>
      </c>
      <c r="Z134" s="540">
        <v>0</v>
      </c>
      <c r="AA134" s="540">
        <v>0</v>
      </c>
      <c r="AB134" s="540">
        <v>0</v>
      </c>
      <c r="AC134" s="540">
        <v>0</v>
      </c>
      <c r="AD134" s="540">
        <v>0</v>
      </c>
      <c r="AE134" s="540">
        <v>0</v>
      </c>
      <c r="AF134" s="540">
        <v>0</v>
      </c>
    </row>
    <row r="135" spans="1:32" x14ac:dyDescent="0.25">
      <c r="A135" s="839"/>
      <c r="B135" s="550" t="s">
        <v>29</v>
      </c>
      <c r="C135" s="539"/>
      <c r="D135" s="539"/>
      <c r="E135" s="539"/>
      <c r="F135" s="539"/>
      <c r="G135" s="540"/>
      <c r="H135" s="540">
        <v>0</v>
      </c>
      <c r="I135" s="540">
        <v>0</v>
      </c>
      <c r="J135" s="540">
        <v>0</v>
      </c>
      <c r="K135" s="540">
        <v>0</v>
      </c>
      <c r="L135" s="540">
        <v>0</v>
      </c>
      <c r="M135" s="540">
        <v>0</v>
      </c>
      <c r="N135" s="540">
        <v>0</v>
      </c>
      <c r="O135" s="540">
        <v>0</v>
      </c>
      <c r="P135" s="540">
        <v>0</v>
      </c>
      <c r="Q135" s="540">
        <v>0</v>
      </c>
      <c r="R135" s="540">
        <v>0</v>
      </c>
      <c r="S135" s="540">
        <v>0</v>
      </c>
      <c r="T135" s="540">
        <v>0</v>
      </c>
      <c r="U135" s="540">
        <v>0</v>
      </c>
      <c r="V135" s="540">
        <v>0</v>
      </c>
      <c r="W135" s="540">
        <v>0</v>
      </c>
      <c r="X135" s="540">
        <v>0</v>
      </c>
      <c r="Y135" s="540">
        <v>0</v>
      </c>
      <c r="Z135" s="540">
        <v>0</v>
      </c>
      <c r="AA135" s="540">
        <v>0</v>
      </c>
      <c r="AB135" s="540">
        <v>0</v>
      </c>
      <c r="AC135" s="540">
        <v>0</v>
      </c>
      <c r="AD135" s="540">
        <v>0</v>
      </c>
      <c r="AE135" s="540">
        <v>0</v>
      </c>
      <c r="AF135" s="540">
        <v>0</v>
      </c>
    </row>
    <row r="136" spans="1:32" x14ac:dyDescent="0.25">
      <c r="A136" s="839"/>
      <c r="B136" s="550"/>
      <c r="C136" s="539"/>
      <c r="D136" s="539"/>
      <c r="E136" s="539"/>
      <c r="F136" s="539"/>
      <c r="G136" s="540"/>
      <c r="H136" s="540" t="s">
        <v>73</v>
      </c>
      <c r="I136" s="540" t="s">
        <v>73</v>
      </c>
      <c r="J136" s="540" t="s">
        <v>73</v>
      </c>
      <c r="K136" s="540" t="s">
        <v>73</v>
      </c>
      <c r="L136" s="540" t="s">
        <v>73</v>
      </c>
      <c r="M136" s="540" t="s">
        <v>73</v>
      </c>
      <c r="N136" s="540" t="s">
        <v>73</v>
      </c>
      <c r="O136" s="540" t="s">
        <v>73</v>
      </c>
      <c r="P136" s="540" t="s">
        <v>73</v>
      </c>
      <c r="Q136" s="540" t="s">
        <v>73</v>
      </c>
      <c r="R136" s="540" t="s">
        <v>73</v>
      </c>
      <c r="S136" s="540" t="s">
        <v>73</v>
      </c>
      <c r="T136" s="540" t="s">
        <v>73</v>
      </c>
      <c r="U136" s="540" t="s">
        <v>73</v>
      </c>
      <c r="V136" s="540" t="s">
        <v>73</v>
      </c>
      <c r="W136" s="540" t="s">
        <v>73</v>
      </c>
      <c r="X136" s="540" t="s">
        <v>73</v>
      </c>
      <c r="Y136" s="540" t="s">
        <v>73</v>
      </c>
      <c r="Z136" s="540" t="s">
        <v>73</v>
      </c>
      <c r="AA136" s="540" t="s">
        <v>73</v>
      </c>
      <c r="AB136" s="540" t="s">
        <v>73</v>
      </c>
      <c r="AC136" s="540" t="s">
        <v>73</v>
      </c>
      <c r="AD136" s="540" t="s">
        <v>73</v>
      </c>
      <c r="AE136" s="540" t="s">
        <v>73</v>
      </c>
      <c r="AF136" s="540" t="s">
        <v>73</v>
      </c>
    </row>
    <row r="137" spans="1:32" s="202" customFormat="1" ht="12.75" x14ac:dyDescent="0.2">
      <c r="A137" s="843" t="s">
        <v>42</v>
      </c>
      <c r="B137" s="556"/>
      <c r="C137" s="556"/>
      <c r="D137" s="556"/>
      <c r="E137" s="556"/>
      <c r="F137" s="556"/>
      <c r="G137" s="547"/>
      <c r="H137" s="547" t="s">
        <v>73</v>
      </c>
      <c r="I137" s="547" t="s">
        <v>73</v>
      </c>
      <c r="J137" s="547" t="s">
        <v>73</v>
      </c>
      <c r="K137" s="547" t="s">
        <v>73</v>
      </c>
      <c r="L137" s="547" t="s">
        <v>73</v>
      </c>
      <c r="M137" s="547" t="s">
        <v>73</v>
      </c>
      <c r="N137" s="547" t="s">
        <v>73</v>
      </c>
      <c r="O137" s="547" t="s">
        <v>73</v>
      </c>
      <c r="P137" s="547" t="s">
        <v>73</v>
      </c>
      <c r="Q137" s="547" t="s">
        <v>73</v>
      </c>
      <c r="R137" s="547" t="s">
        <v>73</v>
      </c>
      <c r="S137" s="547" t="s">
        <v>73</v>
      </c>
      <c r="T137" s="547" t="s">
        <v>73</v>
      </c>
      <c r="U137" s="547" t="s">
        <v>73</v>
      </c>
      <c r="V137" s="547" t="s">
        <v>73</v>
      </c>
      <c r="W137" s="547" t="s">
        <v>73</v>
      </c>
      <c r="X137" s="547" t="s">
        <v>73</v>
      </c>
      <c r="Y137" s="547" t="s">
        <v>73</v>
      </c>
      <c r="Z137" s="547" t="s">
        <v>73</v>
      </c>
      <c r="AA137" s="547" t="s">
        <v>73</v>
      </c>
      <c r="AB137" s="547" t="s">
        <v>73</v>
      </c>
      <c r="AC137" s="547" t="s">
        <v>73</v>
      </c>
      <c r="AD137" s="547" t="s">
        <v>73</v>
      </c>
      <c r="AE137" s="547" t="s">
        <v>73</v>
      </c>
      <c r="AF137" s="547" t="s">
        <v>73</v>
      </c>
    </row>
    <row r="138" spans="1:32" x14ac:dyDescent="0.25">
      <c r="A138" s="839"/>
      <c r="B138" s="552" t="s">
        <v>43</v>
      </c>
      <c r="C138" s="539"/>
      <c r="D138" s="539"/>
      <c r="E138" s="539"/>
      <c r="F138" s="539"/>
      <c r="G138" s="540"/>
      <c r="H138" s="540">
        <v>31.9817035287731</v>
      </c>
      <c r="I138" s="540">
        <v>29.106801598498883</v>
      </c>
      <c r="J138" s="540">
        <v>26.545884762906788</v>
      </c>
      <c r="K138" s="540">
        <v>24.264762855984095</v>
      </c>
      <c r="L138" s="540">
        <v>22.240278790248333</v>
      </c>
      <c r="M138" s="540">
        <v>20.427225588865802</v>
      </c>
      <c r="N138" s="540">
        <v>18.826052729033595</v>
      </c>
      <c r="O138" s="540">
        <v>17.42368557846261</v>
      </c>
      <c r="P138" s="540">
        <v>16.163960169705394</v>
      </c>
      <c r="Q138" s="540">
        <v>15.055697014745194</v>
      </c>
      <c r="R138" s="540">
        <v>14.058430320108002</v>
      </c>
      <c r="S138" s="540">
        <v>13.174677257448637</v>
      </c>
      <c r="T138" s="540">
        <v>12.389952764981802</v>
      </c>
      <c r="U138" s="540">
        <v>11.694725469929134</v>
      </c>
      <c r="V138" s="540">
        <v>11.077674934587208</v>
      </c>
      <c r="W138" s="540">
        <v>10.523817924374027</v>
      </c>
      <c r="X138" s="540">
        <v>10.044189173096232</v>
      </c>
      <c r="Y138" s="540">
        <v>9.6205894295172438</v>
      </c>
      <c r="Z138" s="540">
        <v>9.2440277034659193</v>
      </c>
      <c r="AA138" s="540">
        <v>8.9110861043656318</v>
      </c>
      <c r="AB138" s="540">
        <v>8.6144147799476887</v>
      </c>
      <c r="AC138" s="540">
        <v>8.354927881668905</v>
      </c>
      <c r="AD138" s="540">
        <v>8.1272358044646218</v>
      </c>
      <c r="AE138" s="540">
        <v>7.9314633258257441</v>
      </c>
      <c r="AF138" s="540">
        <v>7.7565403815135392</v>
      </c>
    </row>
    <row r="139" spans="1:32" x14ac:dyDescent="0.25">
      <c r="A139" s="839"/>
      <c r="B139" s="552" t="s">
        <v>44</v>
      </c>
      <c r="C139" s="539"/>
      <c r="D139" s="539"/>
      <c r="E139" s="539"/>
      <c r="F139" s="539"/>
      <c r="G139" s="540"/>
      <c r="H139" s="540">
        <v>716.74110083770131</v>
      </c>
      <c r="I139" s="540">
        <v>807.97659075706235</v>
      </c>
      <c r="J139" s="540">
        <v>888.39465602080077</v>
      </c>
      <c r="K139" s="540">
        <v>959.64470361119356</v>
      </c>
      <c r="L139" s="540">
        <v>1025.3569324785469</v>
      </c>
      <c r="M139" s="540">
        <v>1081.2164403269953</v>
      </c>
      <c r="N139" s="540">
        <v>1135.6617927617369</v>
      </c>
      <c r="O139" s="540">
        <v>1192.175982443192</v>
      </c>
      <c r="P139" s="540">
        <v>1240.2688204085293</v>
      </c>
      <c r="Q139" s="540">
        <v>1288.2749455607529</v>
      </c>
      <c r="R139" s="540">
        <v>1329.0434627899911</v>
      </c>
      <c r="S139" s="540">
        <v>1367.7630368179027</v>
      </c>
      <c r="T139" s="540">
        <v>1404.0576261360472</v>
      </c>
      <c r="U139" s="540">
        <v>1438.5819000630192</v>
      </c>
      <c r="V139" s="540">
        <v>1471.0541319709114</v>
      </c>
      <c r="W139" s="540">
        <v>1499.7199845997873</v>
      </c>
      <c r="X139" s="540">
        <v>1530.3533930338406</v>
      </c>
      <c r="Y139" s="540">
        <v>1559.3200302234791</v>
      </c>
      <c r="Z139" s="540">
        <v>1585.9094035532373</v>
      </c>
      <c r="AA139" s="540">
        <v>1611.2039896796325</v>
      </c>
      <c r="AB139" s="540">
        <v>1634.3665205108009</v>
      </c>
      <c r="AC139" s="540">
        <v>1657.019954846231</v>
      </c>
      <c r="AD139" s="540">
        <v>1678.8435670991717</v>
      </c>
      <c r="AE139" s="540">
        <v>1701.1279684214442</v>
      </c>
      <c r="AF139" s="540">
        <v>1721.5056114835793</v>
      </c>
    </row>
    <row r="140" spans="1:32" x14ac:dyDescent="0.25">
      <c r="A140" s="839"/>
      <c r="B140" s="552" t="s">
        <v>45</v>
      </c>
      <c r="C140" s="539"/>
      <c r="D140" s="539"/>
      <c r="E140" s="539"/>
      <c r="F140" s="539"/>
      <c r="G140" s="540"/>
      <c r="H140" s="540">
        <v>303.92489162361159</v>
      </c>
      <c r="I140" s="540">
        <v>272.38604313384644</v>
      </c>
      <c r="J140" s="540">
        <v>244.30873156161047</v>
      </c>
      <c r="K140" s="540">
        <v>219.30299297913857</v>
      </c>
      <c r="L140" s="540">
        <v>197.0371726917478</v>
      </c>
      <c r="M140" s="540">
        <v>177.17147334218342</v>
      </c>
      <c r="N140" s="540">
        <v>159.48240850524377</v>
      </c>
      <c r="O140" s="540">
        <v>143.74428040205871</v>
      </c>
      <c r="P140" s="540">
        <v>129.6746304241947</v>
      </c>
      <c r="Q140" s="540">
        <v>117.13590578539525</v>
      </c>
      <c r="R140" s="540">
        <v>105.91410162056887</v>
      </c>
      <c r="S140" s="540">
        <v>95.893210579324446</v>
      </c>
      <c r="T140" s="540">
        <v>86.937520911456318</v>
      </c>
      <c r="U140" s="540">
        <v>78.933115093028817</v>
      </c>
      <c r="V140" s="540">
        <v>71.773551752231697</v>
      </c>
      <c r="W140" s="540">
        <v>65.35557155858487</v>
      </c>
      <c r="X140" s="540">
        <v>59.632608433364005</v>
      </c>
      <c r="Y140" s="540">
        <v>54.524864801853951</v>
      </c>
      <c r="Z140" s="540">
        <v>49.957692532799662</v>
      </c>
      <c r="AA140" s="540">
        <v>45.862803954872319</v>
      </c>
      <c r="AB140" s="540">
        <v>42.195966503296482</v>
      </c>
      <c r="AC140" s="540">
        <v>38.918670724076563</v>
      </c>
      <c r="AD140" s="540">
        <v>35.985414320282644</v>
      </c>
      <c r="AE140" s="540">
        <v>33.358232579649176</v>
      </c>
      <c r="AF140" s="540">
        <v>30.997487844750435</v>
      </c>
    </row>
    <row r="141" spans="1:32" x14ac:dyDescent="0.25">
      <c r="A141" s="839"/>
      <c r="B141" s="552" t="s">
        <v>46</v>
      </c>
      <c r="C141" s="539"/>
      <c r="D141" s="539"/>
      <c r="E141" s="539"/>
      <c r="F141" s="539"/>
      <c r="G141" s="540"/>
      <c r="H141" s="540">
        <v>8.4657816770576524</v>
      </c>
      <c r="I141" s="540">
        <v>7.5652907005315413</v>
      </c>
      <c r="J141" s="540">
        <v>6.7639412533350551</v>
      </c>
      <c r="K141" s="540">
        <v>6.050429559104832</v>
      </c>
      <c r="L141" s="540">
        <v>5.4147869848330883</v>
      </c>
      <c r="M141" s="540">
        <v>4.848216648688557</v>
      </c>
      <c r="N141" s="540">
        <v>4.3429507444160889</v>
      </c>
      <c r="O141" s="540">
        <v>3.8921258614903995</v>
      </c>
      <c r="P141" s="540">
        <v>3.4896739502209138</v>
      </c>
      <c r="Q141" s="540">
        <v>3.1302268989438491</v>
      </c>
      <c r="R141" s="540">
        <v>2.8090329638775002</v>
      </c>
      <c r="S141" s="540">
        <v>2.5218835275988174</v>
      </c>
      <c r="T141" s="540">
        <v>2.2650488649016456</v>
      </c>
      <c r="U141" s="540">
        <v>2.0352217696825288</v>
      </c>
      <c r="V141" s="540">
        <v>1.8294680474418803</v>
      </c>
      <c r="W141" s="540">
        <v>1.6451830083757608</v>
      </c>
      <c r="X141" s="540">
        <v>1.4800532087596381</v>
      </c>
      <c r="Y141" s="540">
        <v>1.3325404625236792</v>
      </c>
      <c r="Z141" s="540">
        <v>1.2006427738220742</v>
      </c>
      <c r="AA141" s="540">
        <v>1.0822034073036604</v>
      </c>
      <c r="AB141" s="540">
        <v>0.97615911182363679</v>
      </c>
      <c r="AC141" s="540">
        <v>0.88113061871742893</v>
      </c>
      <c r="AD141" s="540">
        <v>0.7959020518323543</v>
      </c>
      <c r="AE141" s="540">
        <v>0.71916040427909356</v>
      </c>
      <c r="AF141" s="540">
        <v>0.65024902367342086</v>
      </c>
    </row>
    <row r="142" spans="1:32" x14ac:dyDescent="0.25">
      <c r="A142" s="839"/>
      <c r="B142" s="550" t="s">
        <v>29</v>
      </c>
      <c r="C142" s="539"/>
      <c r="D142" s="539"/>
      <c r="E142" s="539"/>
      <c r="F142" s="539"/>
      <c r="G142" s="540"/>
      <c r="H142" s="540">
        <v>1.5491496791989596</v>
      </c>
      <c r="I142" s="540">
        <v>1.6007405890080757</v>
      </c>
      <c r="J142" s="540">
        <v>1.6232212487149802</v>
      </c>
      <c r="K142" s="540">
        <v>1.6298202454788115</v>
      </c>
      <c r="L142" s="540">
        <v>1.641792942222257</v>
      </c>
      <c r="M142" s="540">
        <v>1.6283431277955844</v>
      </c>
      <c r="N142" s="540">
        <v>1.6422248445246985</v>
      </c>
      <c r="O142" s="540">
        <v>1.692681012233503</v>
      </c>
      <c r="P142" s="540">
        <v>1.7057657059761135</v>
      </c>
      <c r="Q142" s="540">
        <v>1.7384525794869707</v>
      </c>
      <c r="R142" s="540">
        <v>1.7415753972692132</v>
      </c>
      <c r="S142" s="540">
        <v>1.7517990472504494</v>
      </c>
      <c r="T142" s="540">
        <v>1.7631203137765619</v>
      </c>
      <c r="U142" s="540">
        <v>1.7774760786417869</v>
      </c>
      <c r="V142" s="540">
        <v>1.7910275846796109</v>
      </c>
      <c r="W142" s="540">
        <v>1.7926522103498803</v>
      </c>
      <c r="X142" s="540">
        <v>1.817992942574862</v>
      </c>
      <c r="Y142" s="540">
        <v>1.8456124347135601</v>
      </c>
      <c r="Z142" s="540">
        <v>1.8628086713709027</v>
      </c>
      <c r="AA142" s="540">
        <v>1.8711892023566323</v>
      </c>
      <c r="AB142" s="540">
        <v>1.881586433136009</v>
      </c>
      <c r="AC142" s="540">
        <v>1.8951186038001686</v>
      </c>
      <c r="AD142" s="540">
        <v>1.9084836327184209</v>
      </c>
      <c r="AE142" s="540">
        <v>1.9221843080121477</v>
      </c>
      <c r="AF142" s="540">
        <v>1.935188802842762</v>
      </c>
    </row>
    <row r="143" spans="1:32" x14ac:dyDescent="0.25">
      <c r="A143" s="839"/>
      <c r="B143" s="550"/>
      <c r="C143" s="539"/>
      <c r="D143" s="539"/>
      <c r="E143" s="539"/>
      <c r="F143" s="539"/>
      <c r="G143" s="540"/>
      <c r="H143" s="540" t="s">
        <v>73</v>
      </c>
      <c r="I143" s="540" t="s">
        <v>73</v>
      </c>
      <c r="J143" s="540" t="s">
        <v>73</v>
      </c>
      <c r="K143" s="540" t="s">
        <v>73</v>
      </c>
      <c r="L143" s="540" t="s">
        <v>73</v>
      </c>
      <c r="M143" s="540" t="s">
        <v>73</v>
      </c>
      <c r="N143" s="540" t="s">
        <v>73</v>
      </c>
      <c r="O143" s="540" t="s">
        <v>73</v>
      </c>
      <c r="P143" s="540" t="s">
        <v>73</v>
      </c>
      <c r="Q143" s="540" t="s">
        <v>73</v>
      </c>
      <c r="R143" s="540" t="s">
        <v>73</v>
      </c>
      <c r="S143" s="540" t="s">
        <v>73</v>
      </c>
      <c r="T143" s="540" t="s">
        <v>73</v>
      </c>
      <c r="U143" s="540" t="s">
        <v>73</v>
      </c>
      <c r="V143" s="540" t="s">
        <v>73</v>
      </c>
      <c r="W143" s="540" t="s">
        <v>73</v>
      </c>
      <c r="X143" s="540" t="s">
        <v>73</v>
      </c>
      <c r="Y143" s="540" t="s">
        <v>73</v>
      </c>
      <c r="Z143" s="540" t="s">
        <v>73</v>
      </c>
      <c r="AA143" s="540" t="s">
        <v>73</v>
      </c>
      <c r="AB143" s="540" t="s">
        <v>73</v>
      </c>
      <c r="AC143" s="540" t="s">
        <v>73</v>
      </c>
      <c r="AD143" s="540" t="s">
        <v>73</v>
      </c>
      <c r="AE143" s="540" t="s">
        <v>73</v>
      </c>
      <c r="AF143" s="540" t="s">
        <v>73</v>
      </c>
    </row>
    <row r="144" spans="1:32" s="202" customFormat="1" ht="12.75" x14ac:dyDescent="0.2">
      <c r="A144" s="843" t="s">
        <v>47</v>
      </c>
      <c r="B144" s="556"/>
      <c r="C144" s="556"/>
      <c r="D144" s="556"/>
      <c r="E144" s="556"/>
      <c r="F144" s="556"/>
      <c r="G144" s="547"/>
      <c r="H144" s="547" t="s">
        <v>73</v>
      </c>
      <c r="I144" s="547" t="s">
        <v>73</v>
      </c>
      <c r="J144" s="547" t="s">
        <v>73</v>
      </c>
      <c r="K144" s="547" t="s">
        <v>73</v>
      </c>
      <c r="L144" s="547" t="s">
        <v>73</v>
      </c>
      <c r="M144" s="547" t="s">
        <v>73</v>
      </c>
      <c r="N144" s="547" t="s">
        <v>73</v>
      </c>
      <c r="O144" s="547" t="s">
        <v>73</v>
      </c>
      <c r="P144" s="547" t="s">
        <v>73</v>
      </c>
      <c r="Q144" s="547" t="s">
        <v>73</v>
      </c>
      <c r="R144" s="547" t="s">
        <v>73</v>
      </c>
      <c r="S144" s="547" t="s">
        <v>73</v>
      </c>
      <c r="T144" s="547" t="s">
        <v>73</v>
      </c>
      <c r="U144" s="547" t="s">
        <v>73</v>
      </c>
      <c r="V144" s="547" t="s">
        <v>73</v>
      </c>
      <c r="W144" s="547" t="s">
        <v>73</v>
      </c>
      <c r="X144" s="547" t="s">
        <v>73</v>
      </c>
      <c r="Y144" s="547" t="s">
        <v>73</v>
      </c>
      <c r="Z144" s="547" t="s">
        <v>73</v>
      </c>
      <c r="AA144" s="547" t="s">
        <v>73</v>
      </c>
      <c r="AB144" s="547" t="s">
        <v>73</v>
      </c>
      <c r="AC144" s="547" t="s">
        <v>73</v>
      </c>
      <c r="AD144" s="547" t="s">
        <v>73</v>
      </c>
      <c r="AE144" s="547" t="s">
        <v>73</v>
      </c>
      <c r="AF144" s="547" t="s">
        <v>73</v>
      </c>
    </row>
    <row r="145" spans="1:32" x14ac:dyDescent="0.25">
      <c r="A145" s="839"/>
      <c r="B145" s="550" t="s">
        <v>48</v>
      </c>
      <c r="C145" s="539"/>
      <c r="D145" s="539"/>
      <c r="E145" s="539"/>
      <c r="F145" s="539"/>
      <c r="G145" s="540"/>
      <c r="H145" s="540">
        <v>68.418830246387898</v>
      </c>
      <c r="I145" s="540">
        <v>7.2482590043654129</v>
      </c>
      <c r="J145" s="540">
        <v>0.76773643452522911</v>
      </c>
      <c r="K145" s="540">
        <v>8.1239750569821786E-2</v>
      </c>
      <c r="L145" s="540">
        <v>8.592640981157855E-3</v>
      </c>
      <c r="M145" s="540">
        <v>9.0734430586498366E-4</v>
      </c>
      <c r="N145" s="540">
        <v>9.5791768968158604E-5</v>
      </c>
      <c r="O145" s="540">
        <v>1.0128503156948378E-5</v>
      </c>
      <c r="P145" s="540">
        <v>1.0705539023828843E-6</v>
      </c>
      <c r="Q145" s="540">
        <v>1.1321839723936285E-7</v>
      </c>
      <c r="R145" s="540">
        <v>1.1963642002806072E-8</v>
      </c>
      <c r="S145" s="540">
        <v>1.26360948808919E-9</v>
      </c>
      <c r="T145" s="540">
        <v>1.3341329088208297E-10</v>
      </c>
      <c r="U145" s="540">
        <v>1.4082810591432777E-11</v>
      </c>
      <c r="V145" s="540">
        <v>1.4861831784916591E-12</v>
      </c>
      <c r="W145" s="540">
        <v>1.567224560782466E-13</v>
      </c>
      <c r="X145" s="540">
        <v>1.6532010985076311E-14</v>
      </c>
      <c r="Y145" s="540">
        <v>1.7445833678746141E-15</v>
      </c>
      <c r="Z145" s="540">
        <v>1.8408678022216432E-16</v>
      </c>
      <c r="AA145" s="540">
        <v>1.9415573858163041E-17</v>
      </c>
      <c r="AB145" s="540">
        <v>2.0470696450643625E-18</v>
      </c>
      <c r="AC145" s="540">
        <v>2.1579059826044842E-19</v>
      </c>
      <c r="AD145" s="540">
        <v>2.2743113443189557E-20</v>
      </c>
      <c r="AE145" s="540">
        <v>2.396540642127384E-21</v>
      </c>
      <c r="AF145" s="540">
        <v>2.5248590914135755E-22</v>
      </c>
    </row>
    <row r="146" spans="1:32" x14ac:dyDescent="0.25">
      <c r="A146" s="839"/>
      <c r="B146" s="552" t="s">
        <v>50</v>
      </c>
      <c r="C146" s="539"/>
      <c r="D146" s="539"/>
      <c r="E146" s="539"/>
      <c r="F146" s="539"/>
      <c r="G146" s="540"/>
      <c r="H146" s="540">
        <v>81.960692181572455</v>
      </c>
      <c r="I146" s="540">
        <v>46.338813835813632</v>
      </c>
      <c r="J146" s="540">
        <v>26.198693761291956</v>
      </c>
      <c r="K146" s="540">
        <v>14.802609782786316</v>
      </c>
      <c r="L146" s="540">
        <v>8.3606104205803558</v>
      </c>
      <c r="M146" s="540">
        <v>4.7158714209480754</v>
      </c>
      <c r="N146" s="540">
        <v>2.6596035345375642</v>
      </c>
      <c r="O146" s="540">
        <v>1.501782688023487</v>
      </c>
      <c r="P146" s="540">
        <v>0.84775386240770689</v>
      </c>
      <c r="Q146" s="540">
        <v>0.47877513586104364</v>
      </c>
      <c r="R146" s="540">
        <v>0.27020867432419754</v>
      </c>
      <c r="S146" s="540">
        <v>0.15244363980660022</v>
      </c>
      <c r="T146" s="540">
        <v>8.597816311999236E-2</v>
      </c>
      <c r="U146" s="540">
        <v>4.8483071102705215E-2</v>
      </c>
      <c r="V146" s="540">
        <v>2.7334162494504318E-2</v>
      </c>
      <c r="W146" s="540">
        <v>1.5401383745623354E-2</v>
      </c>
      <c r="X146" s="540">
        <v>8.6801027050498244E-3</v>
      </c>
      <c r="Y146" s="540">
        <v>4.8935965197075687E-3</v>
      </c>
      <c r="Z146" s="540">
        <v>2.7586856272571081E-3</v>
      </c>
      <c r="AA146" s="540">
        <v>1.5545762361074344E-3</v>
      </c>
      <c r="AB146" s="540">
        <v>8.7580072036647603E-4</v>
      </c>
      <c r="AC146" s="540">
        <v>4.9332432193601513E-4</v>
      </c>
      <c r="AD146" s="540">
        <v>2.7783913190342622E-4</v>
      </c>
      <c r="AE146" s="540">
        <v>1.5645445899080231E-4</v>
      </c>
      <c r="AF146" s="540">
        <v>8.8087870843273983E-5</v>
      </c>
    </row>
    <row r="147" spans="1:32" x14ac:dyDescent="0.25">
      <c r="A147" s="839"/>
      <c r="B147" s="550" t="s">
        <v>51</v>
      </c>
      <c r="C147" s="539"/>
      <c r="D147" s="539"/>
      <c r="E147" s="539"/>
      <c r="F147" s="539"/>
      <c r="G147" s="540"/>
      <c r="H147" s="540">
        <v>158.43154522687041</v>
      </c>
      <c r="I147" s="540">
        <v>158.4247362530254</v>
      </c>
      <c r="J147" s="540">
        <v>158.06391037941785</v>
      </c>
      <c r="K147" s="540">
        <v>157.43213970473269</v>
      </c>
      <c r="L147" s="540">
        <v>156.81757272647312</v>
      </c>
      <c r="M147" s="540">
        <v>155.74034750615246</v>
      </c>
      <c r="N147" s="540">
        <v>154.95728700726372</v>
      </c>
      <c r="O147" s="540">
        <v>154.74208910705048</v>
      </c>
      <c r="P147" s="540">
        <v>154.07622368394894</v>
      </c>
      <c r="Q147" s="540">
        <v>153.68090794695996</v>
      </c>
      <c r="R147" s="540">
        <v>152.88355006700004</v>
      </c>
      <c r="S147" s="540">
        <v>152.11618402172587</v>
      </c>
      <c r="T147" s="540">
        <v>151.32352655311806</v>
      </c>
      <c r="U147" s="540">
        <v>150.54114736777325</v>
      </c>
      <c r="V147" s="540">
        <v>149.72768670202302</v>
      </c>
      <c r="W147" s="540">
        <v>148.72470202130037</v>
      </c>
      <c r="X147" s="540">
        <v>147.98628789824684</v>
      </c>
      <c r="Y147" s="540">
        <v>147.31535435746503</v>
      </c>
      <c r="Z147" s="540">
        <v>146.53950201935038</v>
      </c>
      <c r="AA147" s="540">
        <v>145.63352355974351</v>
      </c>
      <c r="AB147" s="540">
        <v>144.72158478621188</v>
      </c>
      <c r="AC147" s="540">
        <v>143.82279952295769</v>
      </c>
      <c r="AD147" s="540">
        <v>142.90782280614494</v>
      </c>
      <c r="AE147" s="540">
        <v>141.97703221472725</v>
      </c>
      <c r="AF147" s="540">
        <v>141.03081016515125</v>
      </c>
    </row>
    <row r="148" spans="1:32" x14ac:dyDescent="0.25">
      <c r="A148" s="839"/>
      <c r="B148" s="550" t="s">
        <v>52</v>
      </c>
      <c r="C148" s="539"/>
      <c r="D148" s="539"/>
      <c r="E148" s="539"/>
      <c r="F148" s="539"/>
      <c r="G148" s="540"/>
      <c r="H148" s="540">
        <v>328.25434937784678</v>
      </c>
      <c r="I148" s="540">
        <v>331.71703984832021</v>
      </c>
      <c r="J148" s="540">
        <v>334.30320131269184</v>
      </c>
      <c r="K148" s="540">
        <v>336.26594263931662</v>
      </c>
      <c r="L148" s="540">
        <v>338.37331045982512</v>
      </c>
      <c r="M148" s="540">
        <v>339.33260014905397</v>
      </c>
      <c r="N148" s="540">
        <v>341.20509892786845</v>
      </c>
      <c r="O148" s="540">
        <v>344.69379984003041</v>
      </c>
      <c r="P148" s="540">
        <v>346.92797921823166</v>
      </c>
      <c r="Q148" s="540">
        <v>349.99677164967886</v>
      </c>
      <c r="R148" s="540">
        <v>351.95142822943666</v>
      </c>
      <c r="S148" s="540">
        <v>354.0839356231163</v>
      </c>
      <c r="T148" s="540">
        <v>356.21206231374663</v>
      </c>
      <c r="U148" s="540">
        <v>357.49667940446818</v>
      </c>
      <c r="V148" s="540">
        <v>359.70728926521991</v>
      </c>
      <c r="W148" s="540">
        <v>360.52277386779269</v>
      </c>
      <c r="X148" s="540">
        <v>362.30547271359046</v>
      </c>
      <c r="Y148" s="540">
        <v>365.15917894258155</v>
      </c>
      <c r="Z148" s="540">
        <v>366.92836427688445</v>
      </c>
      <c r="AA148" s="540">
        <v>368.37002321495288</v>
      </c>
      <c r="AB148" s="540">
        <v>370.59071044546687</v>
      </c>
      <c r="AC148" s="540">
        <v>372.22345463832107</v>
      </c>
      <c r="AD148" s="540">
        <v>373.88316669209956</v>
      </c>
      <c r="AE148" s="540">
        <v>376.18179200005471</v>
      </c>
      <c r="AF148" s="540">
        <v>377.84928594474184</v>
      </c>
    </row>
    <row r="149" spans="1:32" x14ac:dyDescent="0.25">
      <c r="A149" s="839"/>
      <c r="B149" s="552" t="s">
        <v>29</v>
      </c>
      <c r="C149" s="539"/>
      <c r="D149" s="539"/>
      <c r="E149" s="539"/>
      <c r="F149" s="539"/>
      <c r="G149" s="540"/>
      <c r="H149" s="540">
        <v>175.91271597074797</v>
      </c>
      <c r="I149" s="540">
        <v>101.90795664490702</v>
      </c>
      <c r="J149" s="540">
        <v>93.725116672699144</v>
      </c>
      <c r="K149" s="540">
        <v>93.236786064003695</v>
      </c>
      <c r="L149" s="540">
        <v>94.196422251762797</v>
      </c>
      <c r="M149" s="540">
        <v>95.147302005685617</v>
      </c>
      <c r="N149" s="540">
        <v>96.727242582569076</v>
      </c>
      <c r="O149" s="540">
        <v>99.10139450888316</v>
      </c>
      <c r="P149" s="540">
        <v>100.97733293879314</v>
      </c>
      <c r="Q149" s="540">
        <v>103.25486936214335</v>
      </c>
      <c r="R149" s="540">
        <v>105.06181736839186</v>
      </c>
      <c r="S149" s="540">
        <v>106.98037385251305</v>
      </c>
      <c r="T149" s="540">
        <v>108.91609568765126</v>
      </c>
      <c r="U149" s="540">
        <v>110.89095266390763</v>
      </c>
      <c r="V149" s="540">
        <v>112.86934440749489</v>
      </c>
      <c r="W149" s="540">
        <v>114.60209053055016</v>
      </c>
      <c r="X149" s="540">
        <v>116.76137771990321</v>
      </c>
      <c r="Y149" s="540">
        <v>119.0303402931717</v>
      </c>
      <c r="Z149" s="540">
        <v>121.12789479160386</v>
      </c>
      <c r="AA149" s="540">
        <v>123.04904258593605</v>
      </c>
      <c r="AB149" s="540">
        <v>125.01370092925561</v>
      </c>
      <c r="AC149" s="540">
        <v>127.02109501238733</v>
      </c>
      <c r="AD149" s="540">
        <v>129.02510145531571</v>
      </c>
      <c r="AE149" s="540">
        <v>131.03588495847197</v>
      </c>
      <c r="AF149" s="540">
        <v>133.03297946143843</v>
      </c>
    </row>
    <row r="150" spans="1:32" x14ac:dyDescent="0.25">
      <c r="A150" s="839"/>
      <c r="B150" s="552" t="s">
        <v>53</v>
      </c>
      <c r="C150" s="539"/>
      <c r="D150" s="539"/>
      <c r="E150" s="539"/>
      <c r="F150" s="539"/>
      <c r="G150" s="540"/>
      <c r="H150" s="540">
        <v>0</v>
      </c>
      <c r="I150" s="540">
        <v>0</v>
      </c>
      <c r="J150" s="540">
        <v>0</v>
      </c>
      <c r="K150" s="540">
        <v>0</v>
      </c>
      <c r="L150" s="540">
        <v>0</v>
      </c>
      <c r="M150" s="540">
        <v>0</v>
      </c>
      <c r="N150" s="540">
        <v>0</v>
      </c>
      <c r="O150" s="540">
        <v>0</v>
      </c>
      <c r="P150" s="540">
        <v>0</v>
      </c>
      <c r="Q150" s="540">
        <v>0</v>
      </c>
      <c r="R150" s="540">
        <v>0</v>
      </c>
      <c r="S150" s="540">
        <v>0</v>
      </c>
      <c r="T150" s="540">
        <v>0</v>
      </c>
      <c r="U150" s="540">
        <v>0</v>
      </c>
      <c r="V150" s="540">
        <v>0</v>
      </c>
      <c r="W150" s="540">
        <v>0</v>
      </c>
      <c r="X150" s="540">
        <v>0</v>
      </c>
      <c r="Y150" s="540">
        <v>0</v>
      </c>
      <c r="Z150" s="540">
        <v>0</v>
      </c>
      <c r="AA150" s="540">
        <v>0</v>
      </c>
      <c r="AB150" s="540">
        <v>0</v>
      </c>
      <c r="AC150" s="540">
        <v>0</v>
      </c>
      <c r="AD150" s="540">
        <v>0</v>
      </c>
      <c r="AE150" s="540">
        <v>0</v>
      </c>
      <c r="AF150" s="540">
        <v>0</v>
      </c>
    </row>
    <row r="151" spans="1:32" x14ac:dyDescent="0.25">
      <c r="A151" s="838"/>
    </row>
    <row r="152" spans="1:32" x14ac:dyDescent="0.25">
      <c r="A152" s="838"/>
    </row>
    <row r="153" spans="1:32" s="539" customFormat="1" x14ac:dyDescent="0.25">
      <c r="A153" s="860" t="s">
        <v>274</v>
      </c>
      <c r="B153" s="555"/>
      <c r="C153" s="554"/>
      <c r="D153" s="553"/>
      <c r="E153" s="553"/>
      <c r="F153" s="553"/>
      <c r="G153" s="553" t="s">
        <v>703</v>
      </c>
      <c r="H153" s="560"/>
      <c r="I153" s="560"/>
      <c r="J153" s="560"/>
      <c r="K153" s="560"/>
      <c r="L153" s="560"/>
      <c r="M153" s="560"/>
      <c r="N153" s="560"/>
      <c r="O153" s="560"/>
      <c r="P153" s="560"/>
      <c r="Q153" s="560"/>
      <c r="R153" s="560"/>
      <c r="S153" s="560"/>
      <c r="T153" s="560"/>
      <c r="U153" s="560"/>
      <c r="V153" s="560"/>
      <c r="W153" s="560"/>
      <c r="X153" s="560"/>
      <c r="Y153" s="560"/>
      <c r="Z153" s="560"/>
      <c r="AA153" s="560"/>
      <c r="AB153" s="560"/>
      <c r="AC153" s="560"/>
      <c r="AD153" s="560"/>
      <c r="AE153" s="560"/>
      <c r="AF153" s="560"/>
    </row>
    <row r="154" spans="1:32" s="539" customFormat="1" x14ac:dyDescent="0.25">
      <c r="A154" s="840" t="s">
        <v>12</v>
      </c>
      <c r="B154" s="550"/>
    </row>
    <row r="155" spans="1:32" s="539" customFormat="1" x14ac:dyDescent="0.25">
      <c r="A155" s="839"/>
      <c r="B155" s="550" t="s">
        <v>20</v>
      </c>
    </row>
    <row r="156" spans="1:32" s="202" customFormat="1" ht="12.75" x14ac:dyDescent="0.2">
      <c r="A156" s="843" t="s">
        <v>21</v>
      </c>
      <c r="B156" s="556"/>
      <c r="C156" s="556"/>
      <c r="D156" s="556"/>
      <c r="E156" s="556"/>
      <c r="F156" s="556"/>
      <c r="G156" s="556"/>
      <c r="H156" s="556"/>
      <c r="I156" s="556"/>
      <c r="J156" s="556"/>
      <c r="K156" s="556"/>
      <c r="L156" s="556"/>
      <c r="M156" s="556"/>
      <c r="N156" s="556"/>
      <c r="O156" s="556"/>
      <c r="P156" s="556"/>
      <c r="Q156" s="556"/>
      <c r="R156" s="556"/>
      <c r="S156" s="556"/>
      <c r="T156" s="556"/>
      <c r="U156" s="556"/>
      <c r="V156" s="556"/>
      <c r="W156" s="556"/>
      <c r="X156" s="556"/>
      <c r="Y156" s="556"/>
      <c r="Z156" s="556"/>
      <c r="AA156" s="556"/>
      <c r="AB156" s="556"/>
      <c r="AC156" s="556"/>
      <c r="AD156" s="556"/>
      <c r="AE156" s="556"/>
      <c r="AF156" s="556"/>
    </row>
    <row r="157" spans="1:32" x14ac:dyDescent="0.25">
      <c r="A157" s="839"/>
      <c r="B157" s="550" t="s">
        <v>22</v>
      </c>
      <c r="C157" s="539"/>
      <c r="D157" s="539"/>
      <c r="E157" s="539"/>
      <c r="F157" s="539"/>
      <c r="G157" s="723">
        <v>0</v>
      </c>
      <c r="H157" s="723">
        <v>0</v>
      </c>
      <c r="I157" s="723">
        <v>0</v>
      </c>
      <c r="J157" s="723">
        <v>0</v>
      </c>
      <c r="K157" s="723">
        <v>0</v>
      </c>
      <c r="L157" s="723">
        <v>0</v>
      </c>
      <c r="M157" s="723">
        <v>0</v>
      </c>
      <c r="N157" s="723">
        <v>0</v>
      </c>
      <c r="O157" s="723">
        <v>0</v>
      </c>
      <c r="P157" s="723">
        <v>0</v>
      </c>
      <c r="Q157" s="723">
        <v>0</v>
      </c>
      <c r="R157" s="723">
        <v>0</v>
      </c>
      <c r="S157" s="723">
        <v>0</v>
      </c>
      <c r="T157" s="723">
        <v>0</v>
      </c>
      <c r="U157" s="723">
        <v>0</v>
      </c>
      <c r="V157" s="723">
        <v>0</v>
      </c>
      <c r="W157" s="723">
        <v>0</v>
      </c>
      <c r="X157" s="723">
        <v>0</v>
      </c>
      <c r="Y157" s="723">
        <v>0</v>
      </c>
      <c r="Z157" s="723">
        <v>0</v>
      </c>
      <c r="AA157" s="723">
        <v>0</v>
      </c>
      <c r="AB157" s="723">
        <v>0</v>
      </c>
      <c r="AC157" s="723">
        <v>0</v>
      </c>
      <c r="AD157" s="723">
        <v>0</v>
      </c>
      <c r="AE157" s="723">
        <v>0</v>
      </c>
      <c r="AF157" s="723">
        <v>0</v>
      </c>
    </row>
    <row r="158" spans="1:32" x14ac:dyDescent="0.25">
      <c r="A158" s="839"/>
      <c r="B158" s="550" t="s">
        <v>26</v>
      </c>
      <c r="C158" s="539"/>
      <c r="D158" s="539"/>
      <c r="E158" s="539"/>
      <c r="F158" s="539"/>
      <c r="G158" s="723">
        <v>0</v>
      </c>
      <c r="H158" s="723">
        <v>0</v>
      </c>
      <c r="I158" s="723">
        <v>0</v>
      </c>
      <c r="J158" s="723">
        <v>0</v>
      </c>
      <c r="K158" s="723">
        <v>0</v>
      </c>
      <c r="L158" s="723">
        <v>0</v>
      </c>
      <c r="M158" s="723">
        <v>0</v>
      </c>
      <c r="N158" s="723">
        <v>0</v>
      </c>
      <c r="O158" s="723">
        <v>0</v>
      </c>
      <c r="P158" s="723">
        <v>0</v>
      </c>
      <c r="Q158" s="723">
        <v>0</v>
      </c>
      <c r="R158" s="723">
        <v>0</v>
      </c>
      <c r="S158" s="723">
        <v>0</v>
      </c>
      <c r="T158" s="723">
        <v>0</v>
      </c>
      <c r="U158" s="723">
        <v>0</v>
      </c>
      <c r="V158" s="723">
        <v>0</v>
      </c>
      <c r="W158" s="723">
        <v>0</v>
      </c>
      <c r="X158" s="723">
        <v>0</v>
      </c>
      <c r="Y158" s="723">
        <v>0</v>
      </c>
      <c r="Z158" s="723">
        <v>0</v>
      </c>
      <c r="AA158" s="723">
        <v>0</v>
      </c>
      <c r="AB158" s="723">
        <v>0</v>
      </c>
      <c r="AC158" s="723">
        <v>0</v>
      </c>
      <c r="AD158" s="723">
        <v>0</v>
      </c>
      <c r="AE158" s="723">
        <v>0</v>
      </c>
      <c r="AF158" s="723">
        <v>0</v>
      </c>
    </row>
    <row r="159" spans="1:32" x14ac:dyDescent="0.25">
      <c r="A159" s="839"/>
      <c r="B159" s="550" t="s">
        <v>27</v>
      </c>
      <c r="C159" s="539"/>
      <c r="D159" s="539"/>
      <c r="E159" s="539"/>
      <c r="F159" s="539"/>
      <c r="G159" s="723">
        <v>0</v>
      </c>
      <c r="H159" s="723">
        <v>0</v>
      </c>
      <c r="I159" s="723">
        <v>0</v>
      </c>
      <c r="J159" s="723">
        <v>0</v>
      </c>
      <c r="K159" s="723">
        <v>0</v>
      </c>
      <c r="L159" s="723">
        <v>0</v>
      </c>
      <c r="M159" s="723">
        <v>0</v>
      </c>
      <c r="N159" s="723">
        <v>0</v>
      </c>
      <c r="O159" s="723">
        <v>0</v>
      </c>
      <c r="P159" s="723">
        <v>0</v>
      </c>
      <c r="Q159" s="723">
        <v>0</v>
      </c>
      <c r="R159" s="723">
        <v>0</v>
      </c>
      <c r="S159" s="723">
        <v>0</v>
      </c>
      <c r="T159" s="723">
        <v>0</v>
      </c>
      <c r="U159" s="723">
        <v>0</v>
      </c>
      <c r="V159" s="723">
        <v>0</v>
      </c>
      <c r="W159" s="723">
        <v>0</v>
      </c>
      <c r="X159" s="723">
        <v>0</v>
      </c>
      <c r="Y159" s="723">
        <v>0</v>
      </c>
      <c r="Z159" s="723">
        <v>0</v>
      </c>
      <c r="AA159" s="723">
        <v>0</v>
      </c>
      <c r="AB159" s="723">
        <v>0</v>
      </c>
      <c r="AC159" s="723">
        <v>0</v>
      </c>
      <c r="AD159" s="723">
        <v>0</v>
      </c>
      <c r="AE159" s="723">
        <v>0</v>
      </c>
      <c r="AF159" s="723">
        <v>0</v>
      </c>
    </row>
    <row r="160" spans="1:32" x14ac:dyDescent="0.25">
      <c r="A160" s="839"/>
      <c r="B160" s="550" t="s">
        <v>29</v>
      </c>
      <c r="C160" s="539"/>
      <c r="D160" s="539"/>
      <c r="E160" s="539"/>
      <c r="F160" s="539"/>
      <c r="G160" s="723">
        <v>0</v>
      </c>
      <c r="H160" s="723">
        <v>0</v>
      </c>
      <c r="I160" s="723">
        <v>0</v>
      </c>
      <c r="J160" s="723">
        <v>0</v>
      </c>
      <c r="K160" s="723">
        <v>0</v>
      </c>
      <c r="L160" s="723">
        <v>0</v>
      </c>
      <c r="M160" s="723">
        <v>0</v>
      </c>
      <c r="N160" s="723">
        <v>0</v>
      </c>
      <c r="O160" s="723">
        <v>0</v>
      </c>
      <c r="P160" s="723">
        <v>0</v>
      </c>
      <c r="Q160" s="723">
        <v>0</v>
      </c>
      <c r="R160" s="723">
        <v>0</v>
      </c>
      <c r="S160" s="723">
        <v>0</v>
      </c>
      <c r="T160" s="723">
        <v>0</v>
      </c>
      <c r="U160" s="723">
        <v>0</v>
      </c>
      <c r="V160" s="723">
        <v>0</v>
      </c>
      <c r="W160" s="723">
        <v>0</v>
      </c>
      <c r="X160" s="723">
        <v>0</v>
      </c>
      <c r="Y160" s="723">
        <v>0</v>
      </c>
      <c r="Z160" s="723">
        <v>0</v>
      </c>
      <c r="AA160" s="723">
        <v>0</v>
      </c>
      <c r="AB160" s="723">
        <v>0</v>
      </c>
      <c r="AC160" s="723">
        <v>0</v>
      </c>
      <c r="AD160" s="723">
        <v>0</v>
      </c>
      <c r="AE160" s="723">
        <v>0</v>
      </c>
      <c r="AF160" s="723">
        <v>0</v>
      </c>
    </row>
    <row r="161" spans="1:32" x14ac:dyDescent="0.25">
      <c r="A161" s="839"/>
      <c r="B161" s="550"/>
      <c r="C161" s="539"/>
      <c r="D161" s="539"/>
      <c r="E161" s="539"/>
      <c r="F161" s="539"/>
      <c r="G161" s="723"/>
      <c r="H161" s="723"/>
      <c r="I161" s="723"/>
      <c r="J161" s="723"/>
      <c r="K161" s="723"/>
      <c r="L161" s="723"/>
      <c r="M161" s="723"/>
      <c r="N161" s="723"/>
      <c r="O161" s="723"/>
      <c r="P161" s="723"/>
      <c r="Q161" s="723"/>
      <c r="R161" s="723"/>
      <c r="S161" s="723"/>
      <c r="T161" s="723"/>
      <c r="U161" s="723"/>
      <c r="V161" s="723"/>
      <c r="W161" s="723"/>
      <c r="X161" s="723"/>
      <c r="Y161" s="723"/>
      <c r="Z161" s="723"/>
      <c r="AA161" s="723"/>
      <c r="AB161" s="723"/>
      <c r="AC161" s="723"/>
      <c r="AD161" s="723"/>
      <c r="AE161" s="723"/>
      <c r="AF161" s="723"/>
    </row>
    <row r="162" spans="1:32" s="202" customFormat="1" ht="12.75" x14ac:dyDescent="0.2">
      <c r="A162" s="843" t="s">
        <v>32</v>
      </c>
      <c r="B162" s="556"/>
      <c r="C162" s="556"/>
      <c r="D162" s="556"/>
      <c r="E162" s="556"/>
      <c r="F162" s="556"/>
      <c r="G162" s="724"/>
      <c r="H162" s="724"/>
      <c r="I162" s="724"/>
      <c r="J162" s="724"/>
      <c r="K162" s="724"/>
      <c r="L162" s="724"/>
      <c r="M162" s="724"/>
      <c r="N162" s="724"/>
      <c r="O162" s="724"/>
      <c r="P162" s="724"/>
      <c r="Q162" s="724"/>
      <c r="R162" s="724"/>
      <c r="S162" s="724"/>
      <c r="T162" s="724"/>
      <c r="U162" s="724"/>
      <c r="V162" s="724"/>
      <c r="W162" s="724"/>
      <c r="X162" s="724"/>
      <c r="Y162" s="724"/>
      <c r="Z162" s="724"/>
      <c r="AA162" s="724"/>
      <c r="AB162" s="724"/>
      <c r="AC162" s="724"/>
      <c r="AD162" s="724"/>
      <c r="AE162" s="724"/>
      <c r="AF162" s="724"/>
    </row>
    <row r="163" spans="1:32" x14ac:dyDescent="0.25">
      <c r="A163" s="839"/>
      <c r="B163" s="550" t="s">
        <v>33</v>
      </c>
      <c r="C163" s="539"/>
      <c r="D163" s="539"/>
      <c r="E163" s="539"/>
      <c r="F163" s="539"/>
      <c r="G163" s="723">
        <v>0</v>
      </c>
      <c r="H163" s="723">
        <v>0</v>
      </c>
      <c r="I163" s="723">
        <v>0</v>
      </c>
      <c r="J163" s="723">
        <v>0</v>
      </c>
      <c r="K163" s="723">
        <v>0</v>
      </c>
      <c r="L163" s="723">
        <v>0</v>
      </c>
      <c r="M163" s="723">
        <v>0</v>
      </c>
      <c r="N163" s="723">
        <v>0</v>
      </c>
      <c r="O163" s="723">
        <v>0</v>
      </c>
      <c r="P163" s="723">
        <v>0</v>
      </c>
      <c r="Q163" s="723">
        <v>0</v>
      </c>
      <c r="R163" s="723">
        <v>0</v>
      </c>
      <c r="S163" s="723">
        <v>0</v>
      </c>
      <c r="T163" s="723">
        <v>0</v>
      </c>
      <c r="U163" s="723">
        <v>0</v>
      </c>
      <c r="V163" s="723">
        <v>0</v>
      </c>
      <c r="W163" s="723">
        <v>0</v>
      </c>
      <c r="X163" s="723">
        <v>0</v>
      </c>
      <c r="Y163" s="723">
        <v>0</v>
      </c>
      <c r="Z163" s="723">
        <v>0</v>
      </c>
      <c r="AA163" s="723">
        <v>0</v>
      </c>
      <c r="AB163" s="723">
        <v>0</v>
      </c>
      <c r="AC163" s="723">
        <v>0</v>
      </c>
      <c r="AD163" s="723">
        <v>0</v>
      </c>
      <c r="AE163" s="723">
        <v>0</v>
      </c>
      <c r="AF163" s="723">
        <v>0</v>
      </c>
    </row>
    <row r="164" spans="1:32" x14ac:dyDescent="0.25">
      <c r="A164" s="842"/>
      <c r="B164" s="552" t="s">
        <v>34</v>
      </c>
      <c r="C164" s="539"/>
      <c r="D164" s="539"/>
      <c r="E164" s="539"/>
      <c r="F164" s="539"/>
      <c r="G164" s="723">
        <v>0</v>
      </c>
      <c r="H164" s="723">
        <v>0</v>
      </c>
      <c r="I164" s="723">
        <v>0</v>
      </c>
      <c r="J164" s="723">
        <v>0</v>
      </c>
      <c r="K164" s="723">
        <v>0</v>
      </c>
      <c r="L164" s="723">
        <v>0</v>
      </c>
      <c r="M164" s="723">
        <v>0</v>
      </c>
      <c r="N164" s="723">
        <v>0</v>
      </c>
      <c r="O164" s="723">
        <v>0</v>
      </c>
      <c r="P164" s="723">
        <v>0</v>
      </c>
      <c r="Q164" s="723">
        <v>0</v>
      </c>
      <c r="R164" s="723">
        <v>0</v>
      </c>
      <c r="S164" s="723">
        <v>0</v>
      </c>
      <c r="T164" s="723">
        <v>0</v>
      </c>
      <c r="U164" s="723">
        <v>0</v>
      </c>
      <c r="V164" s="723">
        <v>0</v>
      </c>
      <c r="W164" s="723">
        <v>0</v>
      </c>
      <c r="X164" s="723">
        <v>0</v>
      </c>
      <c r="Y164" s="723">
        <v>0</v>
      </c>
      <c r="Z164" s="723">
        <v>0</v>
      </c>
      <c r="AA164" s="723">
        <v>0</v>
      </c>
      <c r="AB164" s="723">
        <v>0</v>
      </c>
      <c r="AC164" s="723">
        <v>0</v>
      </c>
      <c r="AD164" s="723">
        <v>0</v>
      </c>
      <c r="AE164" s="723">
        <v>0</v>
      </c>
      <c r="AF164" s="723">
        <v>0</v>
      </c>
    </row>
    <row r="165" spans="1:32" x14ac:dyDescent="0.25">
      <c r="A165" s="839"/>
      <c r="B165" s="552" t="s">
        <v>35</v>
      </c>
      <c r="C165" s="539"/>
      <c r="D165" s="539"/>
      <c r="E165" s="539"/>
      <c r="F165" s="539"/>
      <c r="G165" s="723">
        <v>0</v>
      </c>
      <c r="H165" s="723">
        <v>0</v>
      </c>
      <c r="I165" s="723">
        <v>0</v>
      </c>
      <c r="J165" s="723">
        <v>0</v>
      </c>
      <c r="K165" s="723">
        <v>0</v>
      </c>
      <c r="L165" s="723">
        <v>0</v>
      </c>
      <c r="M165" s="723">
        <v>0</v>
      </c>
      <c r="N165" s="723">
        <v>0</v>
      </c>
      <c r="O165" s="723">
        <v>0</v>
      </c>
      <c r="P165" s="723">
        <v>0</v>
      </c>
      <c r="Q165" s="723">
        <v>0</v>
      </c>
      <c r="R165" s="723">
        <v>0</v>
      </c>
      <c r="S165" s="723">
        <v>0</v>
      </c>
      <c r="T165" s="723">
        <v>0</v>
      </c>
      <c r="U165" s="723">
        <v>0</v>
      </c>
      <c r="V165" s="723">
        <v>0</v>
      </c>
      <c r="W165" s="723">
        <v>0</v>
      </c>
      <c r="X165" s="723">
        <v>0</v>
      </c>
      <c r="Y165" s="723">
        <v>0</v>
      </c>
      <c r="Z165" s="723">
        <v>0</v>
      </c>
      <c r="AA165" s="723">
        <v>0</v>
      </c>
      <c r="AB165" s="723">
        <v>0</v>
      </c>
      <c r="AC165" s="723">
        <v>0</v>
      </c>
      <c r="AD165" s="723">
        <v>0</v>
      </c>
      <c r="AE165" s="723">
        <v>0</v>
      </c>
      <c r="AF165" s="723">
        <v>0</v>
      </c>
    </row>
    <row r="166" spans="1:32" x14ac:dyDescent="0.25">
      <c r="A166" s="839"/>
      <c r="B166" s="552" t="s">
        <v>29</v>
      </c>
      <c r="C166" s="539"/>
      <c r="D166" s="539"/>
      <c r="E166" s="539"/>
      <c r="F166" s="539"/>
      <c r="G166" s="723">
        <v>0</v>
      </c>
      <c r="H166" s="723">
        <v>0</v>
      </c>
      <c r="I166" s="723">
        <v>0</v>
      </c>
      <c r="J166" s="723">
        <v>0</v>
      </c>
      <c r="K166" s="723">
        <v>0</v>
      </c>
      <c r="L166" s="723">
        <v>0</v>
      </c>
      <c r="M166" s="723">
        <v>0</v>
      </c>
      <c r="N166" s="723">
        <v>0</v>
      </c>
      <c r="O166" s="723">
        <v>0</v>
      </c>
      <c r="P166" s="723">
        <v>0</v>
      </c>
      <c r="Q166" s="723">
        <v>0</v>
      </c>
      <c r="R166" s="723">
        <v>0</v>
      </c>
      <c r="S166" s="723">
        <v>0</v>
      </c>
      <c r="T166" s="723">
        <v>0</v>
      </c>
      <c r="U166" s="723">
        <v>0</v>
      </c>
      <c r="V166" s="723">
        <v>0</v>
      </c>
      <c r="W166" s="723">
        <v>0</v>
      </c>
      <c r="X166" s="723">
        <v>0</v>
      </c>
      <c r="Y166" s="723">
        <v>0</v>
      </c>
      <c r="Z166" s="723">
        <v>0</v>
      </c>
      <c r="AA166" s="723">
        <v>0</v>
      </c>
      <c r="AB166" s="723">
        <v>0</v>
      </c>
      <c r="AC166" s="723">
        <v>0</v>
      </c>
      <c r="AD166" s="723">
        <v>0</v>
      </c>
      <c r="AE166" s="723">
        <v>0</v>
      </c>
      <c r="AF166" s="723">
        <v>0</v>
      </c>
    </row>
    <row r="167" spans="1:32" x14ac:dyDescent="0.25">
      <c r="A167" s="839"/>
      <c r="B167" s="550"/>
      <c r="C167" s="539"/>
      <c r="D167" s="539"/>
      <c r="E167" s="539"/>
      <c r="F167" s="539"/>
      <c r="G167" s="723"/>
      <c r="H167" s="723"/>
      <c r="I167" s="723"/>
      <c r="J167" s="723"/>
      <c r="K167" s="723"/>
      <c r="L167" s="723"/>
      <c r="M167" s="723"/>
      <c r="N167" s="723"/>
      <c r="O167" s="723"/>
      <c r="P167" s="723"/>
      <c r="Q167" s="723"/>
      <c r="R167" s="723"/>
      <c r="S167" s="723"/>
      <c r="T167" s="723"/>
      <c r="U167" s="723"/>
      <c r="V167" s="723"/>
      <c r="W167" s="723"/>
      <c r="X167" s="723"/>
      <c r="Y167" s="723"/>
      <c r="Z167" s="723"/>
      <c r="AA167" s="723"/>
      <c r="AB167" s="723"/>
      <c r="AC167" s="723"/>
      <c r="AD167" s="723"/>
      <c r="AE167" s="723"/>
      <c r="AF167" s="723"/>
    </row>
    <row r="168" spans="1:32" s="202" customFormat="1" ht="12.75" x14ac:dyDescent="0.2">
      <c r="A168" s="843" t="s">
        <v>36</v>
      </c>
      <c r="B168" s="556"/>
      <c r="C168" s="556"/>
      <c r="D168" s="556"/>
      <c r="E168" s="556"/>
      <c r="F168" s="556"/>
      <c r="G168" s="724"/>
      <c r="H168" s="724"/>
      <c r="I168" s="724"/>
      <c r="J168" s="724"/>
      <c r="K168" s="724"/>
      <c r="L168" s="724"/>
      <c r="M168" s="724"/>
      <c r="N168" s="724"/>
      <c r="O168" s="724"/>
      <c r="P168" s="724"/>
      <c r="Q168" s="724"/>
      <c r="R168" s="724"/>
      <c r="S168" s="724"/>
      <c r="T168" s="724"/>
      <c r="U168" s="724"/>
      <c r="V168" s="724"/>
      <c r="W168" s="724"/>
      <c r="X168" s="724"/>
      <c r="Y168" s="724"/>
      <c r="Z168" s="724"/>
      <c r="AA168" s="724"/>
      <c r="AB168" s="724"/>
      <c r="AC168" s="724"/>
      <c r="AD168" s="724"/>
      <c r="AE168" s="724"/>
      <c r="AF168" s="724"/>
    </row>
    <row r="169" spans="1:32" x14ac:dyDescent="0.25">
      <c r="A169" s="839"/>
      <c r="B169" s="550" t="s">
        <v>37</v>
      </c>
      <c r="C169" s="539"/>
      <c r="D169" s="539"/>
      <c r="E169" s="539"/>
      <c r="F169" s="201"/>
      <c r="G169" s="723">
        <v>0</v>
      </c>
      <c r="H169" s="723">
        <v>0</v>
      </c>
      <c r="I169" s="723">
        <v>0</v>
      </c>
      <c r="J169" s="723">
        <v>0</v>
      </c>
      <c r="K169" s="723">
        <v>0</v>
      </c>
      <c r="L169" s="723">
        <v>0</v>
      </c>
      <c r="M169" s="723">
        <v>0</v>
      </c>
      <c r="N169" s="723">
        <v>0</v>
      </c>
      <c r="O169" s="723">
        <v>0</v>
      </c>
      <c r="P169" s="723">
        <v>0</v>
      </c>
      <c r="Q169" s="723">
        <v>0</v>
      </c>
      <c r="R169" s="723">
        <v>0</v>
      </c>
      <c r="S169" s="723">
        <v>0</v>
      </c>
      <c r="T169" s="723">
        <v>0</v>
      </c>
      <c r="U169" s="723">
        <v>0</v>
      </c>
      <c r="V169" s="723">
        <v>0</v>
      </c>
      <c r="W169" s="723">
        <v>0</v>
      </c>
      <c r="X169" s="723">
        <v>0</v>
      </c>
      <c r="Y169" s="723">
        <v>0</v>
      </c>
      <c r="Z169" s="723">
        <v>0</v>
      </c>
      <c r="AA169" s="723">
        <v>0</v>
      </c>
      <c r="AB169" s="723">
        <v>0</v>
      </c>
      <c r="AC169" s="723">
        <v>0</v>
      </c>
      <c r="AD169" s="723">
        <v>0</v>
      </c>
      <c r="AE169" s="723">
        <v>0</v>
      </c>
      <c r="AF169" s="723">
        <v>0</v>
      </c>
    </row>
    <row r="170" spans="1:32" x14ac:dyDescent="0.25">
      <c r="A170" s="839"/>
      <c r="B170" s="550" t="s">
        <v>39</v>
      </c>
      <c r="C170" s="539"/>
      <c r="D170" s="539"/>
      <c r="E170" s="203"/>
      <c r="F170" s="539"/>
      <c r="G170" s="723">
        <v>0</v>
      </c>
      <c r="H170" s="723">
        <v>0</v>
      </c>
      <c r="I170" s="723">
        <v>0</v>
      </c>
      <c r="J170" s="723">
        <v>0</v>
      </c>
      <c r="K170" s="723">
        <v>0</v>
      </c>
      <c r="L170" s="723">
        <v>0</v>
      </c>
      <c r="M170" s="723">
        <v>0</v>
      </c>
      <c r="N170" s="723">
        <v>0</v>
      </c>
      <c r="O170" s="723">
        <v>0</v>
      </c>
      <c r="P170" s="723">
        <v>0</v>
      </c>
      <c r="Q170" s="723">
        <v>0</v>
      </c>
      <c r="R170" s="723">
        <v>0</v>
      </c>
      <c r="S170" s="723">
        <v>0</v>
      </c>
      <c r="T170" s="723">
        <v>0</v>
      </c>
      <c r="U170" s="723">
        <v>0</v>
      </c>
      <c r="V170" s="723">
        <v>0</v>
      </c>
      <c r="W170" s="723">
        <v>0</v>
      </c>
      <c r="X170" s="723">
        <v>0</v>
      </c>
      <c r="Y170" s="723">
        <v>0</v>
      </c>
      <c r="Z170" s="723">
        <v>0</v>
      </c>
      <c r="AA170" s="723">
        <v>0</v>
      </c>
      <c r="AB170" s="723">
        <v>0</v>
      </c>
      <c r="AC170" s="723">
        <v>0</v>
      </c>
      <c r="AD170" s="723">
        <v>0</v>
      </c>
      <c r="AE170" s="723">
        <v>0</v>
      </c>
      <c r="AF170" s="723">
        <v>0</v>
      </c>
    </row>
    <row r="171" spans="1:32" x14ac:dyDescent="0.25">
      <c r="A171" s="839"/>
      <c r="B171" s="550" t="s">
        <v>40</v>
      </c>
      <c r="C171" s="539"/>
      <c r="D171" s="539"/>
      <c r="E171" s="539"/>
      <c r="F171" s="539"/>
      <c r="G171" s="723">
        <v>0</v>
      </c>
      <c r="H171" s="723">
        <v>0</v>
      </c>
      <c r="I171" s="723">
        <v>0</v>
      </c>
      <c r="J171" s="723">
        <v>0</v>
      </c>
      <c r="K171" s="723">
        <v>0</v>
      </c>
      <c r="L171" s="723">
        <v>0</v>
      </c>
      <c r="M171" s="723">
        <v>0</v>
      </c>
      <c r="N171" s="723">
        <v>0</v>
      </c>
      <c r="O171" s="723">
        <v>0</v>
      </c>
      <c r="P171" s="723">
        <v>0</v>
      </c>
      <c r="Q171" s="723">
        <v>0</v>
      </c>
      <c r="R171" s="723">
        <v>0</v>
      </c>
      <c r="S171" s="723">
        <v>0</v>
      </c>
      <c r="T171" s="723">
        <v>0</v>
      </c>
      <c r="U171" s="723">
        <v>0</v>
      </c>
      <c r="V171" s="723">
        <v>0</v>
      </c>
      <c r="W171" s="723">
        <v>0</v>
      </c>
      <c r="X171" s="723">
        <v>0</v>
      </c>
      <c r="Y171" s="723">
        <v>0</v>
      </c>
      <c r="Z171" s="723">
        <v>0</v>
      </c>
      <c r="AA171" s="723">
        <v>0</v>
      </c>
      <c r="AB171" s="723">
        <v>0</v>
      </c>
      <c r="AC171" s="723">
        <v>0</v>
      </c>
      <c r="AD171" s="723">
        <v>0</v>
      </c>
      <c r="AE171" s="723">
        <v>0</v>
      </c>
      <c r="AF171" s="723">
        <v>0</v>
      </c>
    </row>
    <row r="172" spans="1:32" x14ac:dyDescent="0.25">
      <c r="A172" s="839"/>
      <c r="B172" s="550" t="s">
        <v>29</v>
      </c>
      <c r="C172" s="539"/>
      <c r="D172" s="539"/>
      <c r="E172" s="539"/>
      <c r="F172" s="539"/>
      <c r="G172" s="723">
        <v>0</v>
      </c>
      <c r="H172" s="723">
        <v>0</v>
      </c>
      <c r="I172" s="723">
        <v>0</v>
      </c>
      <c r="J172" s="723">
        <v>0</v>
      </c>
      <c r="K172" s="723">
        <v>0</v>
      </c>
      <c r="L172" s="723">
        <v>0</v>
      </c>
      <c r="M172" s="723">
        <v>0</v>
      </c>
      <c r="N172" s="723">
        <v>0</v>
      </c>
      <c r="O172" s="723">
        <v>0</v>
      </c>
      <c r="P172" s="723">
        <v>0</v>
      </c>
      <c r="Q172" s="723">
        <v>0</v>
      </c>
      <c r="R172" s="723">
        <v>0</v>
      </c>
      <c r="S172" s="723">
        <v>0</v>
      </c>
      <c r="T172" s="723">
        <v>0</v>
      </c>
      <c r="U172" s="723">
        <v>0</v>
      </c>
      <c r="V172" s="723">
        <v>0</v>
      </c>
      <c r="W172" s="723">
        <v>0</v>
      </c>
      <c r="X172" s="723">
        <v>0</v>
      </c>
      <c r="Y172" s="723">
        <v>0</v>
      </c>
      <c r="Z172" s="723">
        <v>0</v>
      </c>
      <c r="AA172" s="723">
        <v>0</v>
      </c>
      <c r="AB172" s="723">
        <v>0</v>
      </c>
      <c r="AC172" s="723">
        <v>0</v>
      </c>
      <c r="AD172" s="723">
        <v>0</v>
      </c>
      <c r="AE172" s="723">
        <v>0</v>
      </c>
      <c r="AF172" s="723">
        <v>0</v>
      </c>
    </row>
    <row r="173" spans="1:32" x14ac:dyDescent="0.25">
      <c r="A173" s="839"/>
      <c r="B173" s="550"/>
      <c r="C173" s="539"/>
      <c r="D173" s="539"/>
      <c r="E173" s="539"/>
      <c r="F173" s="539"/>
      <c r="G173" s="723"/>
      <c r="H173" s="723"/>
      <c r="I173" s="723"/>
      <c r="J173" s="723"/>
      <c r="K173" s="723"/>
      <c r="L173" s="723"/>
      <c r="M173" s="723"/>
      <c r="N173" s="723"/>
      <c r="O173" s="723"/>
      <c r="P173" s="723"/>
      <c r="Q173" s="723"/>
      <c r="R173" s="723"/>
      <c r="S173" s="723"/>
      <c r="T173" s="723"/>
      <c r="U173" s="723"/>
      <c r="V173" s="723"/>
      <c r="W173" s="723"/>
      <c r="X173" s="723"/>
      <c r="Y173" s="723"/>
      <c r="Z173" s="723"/>
      <c r="AA173" s="723"/>
      <c r="AB173" s="723"/>
      <c r="AC173" s="723"/>
      <c r="AD173" s="723"/>
      <c r="AE173" s="723"/>
      <c r="AF173" s="723"/>
    </row>
    <row r="174" spans="1:32" s="202" customFormat="1" ht="12.75" x14ac:dyDescent="0.2">
      <c r="A174" s="843" t="s">
        <v>42</v>
      </c>
      <c r="B174" s="556"/>
      <c r="C174" s="556"/>
      <c r="D174" s="556"/>
      <c r="E174" s="556"/>
      <c r="F174" s="556"/>
      <c r="G174" s="724"/>
      <c r="H174" s="724"/>
      <c r="I174" s="724"/>
      <c r="J174" s="724"/>
      <c r="K174" s="724"/>
      <c r="L174" s="724"/>
      <c r="M174" s="724"/>
      <c r="N174" s="724"/>
      <c r="O174" s="724"/>
      <c r="P174" s="724"/>
      <c r="Q174" s="724"/>
      <c r="R174" s="724"/>
      <c r="S174" s="724"/>
      <c r="T174" s="724"/>
      <c r="U174" s="724"/>
      <c r="V174" s="724"/>
      <c r="W174" s="724"/>
      <c r="X174" s="724"/>
      <c r="Y174" s="724"/>
      <c r="Z174" s="724"/>
      <c r="AA174" s="724"/>
      <c r="AB174" s="724"/>
      <c r="AC174" s="724"/>
      <c r="AD174" s="724"/>
      <c r="AE174" s="724"/>
      <c r="AF174" s="724"/>
    </row>
    <row r="175" spans="1:32" x14ac:dyDescent="0.25">
      <c r="A175" s="839"/>
      <c r="B175" s="552" t="s">
        <v>43</v>
      </c>
      <c r="C175" s="539"/>
      <c r="D175" s="539"/>
      <c r="E175" s="539"/>
      <c r="F175" s="539"/>
      <c r="G175" s="723">
        <v>151.6477339901478</v>
      </c>
      <c r="H175" s="723">
        <v>137.0511820355741</v>
      </c>
      <c r="I175" s="723">
        <v>124.11096700875191</v>
      </c>
      <c r="J175" s="723">
        <v>112.62259708898259</v>
      </c>
      <c r="K175" s="723">
        <v>102.41192747537362</v>
      </c>
      <c r="L175" s="723">
        <v>93.336580865981873</v>
      </c>
      <c r="M175" s="723">
        <v>85.253913739411814</v>
      </c>
      <c r="N175" s="723">
        <v>78.066525483169428</v>
      </c>
      <c r="O175" s="723">
        <v>71.694723537016927</v>
      </c>
      <c r="P175" s="723">
        <v>66.02788685027366</v>
      </c>
      <c r="Q175" s="723">
        <v>60.998730939259872</v>
      </c>
      <c r="R175" s="723">
        <v>56.520691905199378</v>
      </c>
      <c r="S175" s="723">
        <v>52.536659777463512</v>
      </c>
      <c r="T175" s="723">
        <v>48.992921701484661</v>
      </c>
      <c r="U175" s="723">
        <v>45.84300347193831</v>
      </c>
      <c r="V175" s="723">
        <v>43.043613305981609</v>
      </c>
      <c r="W175" s="723">
        <v>40.549951550112226</v>
      </c>
      <c r="X175" s="723">
        <v>38.342125054608019</v>
      </c>
      <c r="Y175" s="723">
        <v>36.398738871873988</v>
      </c>
      <c r="Z175" s="723">
        <v>34.684258559525844</v>
      </c>
      <c r="AA175" s="723">
        <v>33.16203887717937</v>
      </c>
      <c r="AB175" s="723">
        <v>31.817954653264703</v>
      </c>
      <c r="AC175" s="723">
        <v>30.633802234249448</v>
      </c>
      <c r="AD175" s="723">
        <v>29.591773588431678</v>
      </c>
      <c r="AE175" s="723">
        <v>28.672881341522299</v>
      </c>
      <c r="AF175" s="723">
        <v>27.86721241394493</v>
      </c>
    </row>
    <row r="176" spans="1:32" x14ac:dyDescent="0.25">
      <c r="A176" s="839"/>
      <c r="B176" s="552" t="s">
        <v>44</v>
      </c>
      <c r="C176" s="539"/>
      <c r="D176" s="539"/>
      <c r="E176" s="539"/>
      <c r="F176" s="539"/>
      <c r="G176" s="723">
        <v>1071.5181280788174</v>
      </c>
      <c r="H176" s="723">
        <v>1435.2942621430029</v>
      </c>
      <c r="I176" s="723">
        <v>1770.9616304310878</v>
      </c>
      <c r="J176" s="723">
        <v>2077.1798663028408</v>
      </c>
      <c r="K176" s="723">
        <v>2354.6649854660113</v>
      </c>
      <c r="L176" s="723">
        <v>2607.4948108121857</v>
      </c>
      <c r="M176" s="723">
        <v>2834.0639269482099</v>
      </c>
      <c r="N176" s="723">
        <v>3041.7042163885799</v>
      </c>
      <c r="O176" s="723">
        <v>3238.8043383687495</v>
      </c>
      <c r="P176" s="723">
        <v>3420.5008888202842</v>
      </c>
      <c r="Q176" s="723">
        <v>3591.8412138498256</v>
      </c>
      <c r="R176" s="723">
        <v>3749.059149326089</v>
      </c>
      <c r="S176" s="723">
        <v>3894.7937300369963</v>
      </c>
      <c r="T176" s="723">
        <v>4030.4345151017246</v>
      </c>
      <c r="U176" s="723">
        <v>4157.5622455008006</v>
      </c>
      <c r="V176" s="723">
        <v>4276.9521645624518</v>
      </c>
      <c r="W176" s="723">
        <v>4387.3650760244764</v>
      </c>
      <c r="X176" s="723">
        <v>4493.7305067018751</v>
      </c>
      <c r="Y176" s="723">
        <v>4596.9168918481882</v>
      </c>
      <c r="Z176" s="723">
        <v>4695.6208591242548</v>
      </c>
      <c r="AA176" s="723">
        <v>4788.8692346425742</v>
      </c>
      <c r="AB176" s="723">
        <v>4877.4992942940344</v>
      </c>
      <c r="AC176" s="723">
        <v>4962.5181996460597</v>
      </c>
      <c r="AD176" s="723">
        <v>5044.2806753513851</v>
      </c>
      <c r="AE176" s="723">
        <v>5123.1706538698509</v>
      </c>
      <c r="AF176" s="723">
        <v>5199.3712412488194</v>
      </c>
    </row>
    <row r="177" spans="1:32" x14ac:dyDescent="0.25">
      <c r="A177" s="839"/>
      <c r="B177" s="552" t="s">
        <v>45</v>
      </c>
      <c r="C177" s="539"/>
      <c r="D177" s="539"/>
      <c r="E177" s="539"/>
      <c r="F177" s="539"/>
      <c r="G177" s="723">
        <v>2103.5722660098531</v>
      </c>
      <c r="H177" s="723">
        <v>1881.7912714375186</v>
      </c>
      <c r="I177" s="723">
        <v>1684.6095821067956</v>
      </c>
      <c r="J177" s="723">
        <v>1509.1817042914058</v>
      </c>
      <c r="K177" s="723">
        <v>1353.0113648709091</v>
      </c>
      <c r="L177" s="723">
        <v>1213.917982832472</v>
      </c>
      <c r="M177" s="723">
        <v>1089.9458229178526</v>
      </c>
      <c r="N177" s="723">
        <v>979.4208281498677</v>
      </c>
      <c r="O177" s="723">
        <v>880.87540171192336</v>
      </c>
      <c r="P177" s="723">
        <v>792.9378247954121</v>
      </c>
      <c r="Q177" s="723">
        <v>714.45107300398797</v>
      </c>
      <c r="R177" s="723">
        <v>644.34124956659366</v>
      </c>
      <c r="S177" s="723">
        <v>581.6932706806025</v>
      </c>
      <c r="T177" s="723">
        <v>525.69045155429524</v>
      </c>
      <c r="U177" s="723">
        <v>475.61072916423558</v>
      </c>
      <c r="V177" s="723">
        <v>430.80969692276267</v>
      </c>
      <c r="W177" s="723">
        <v>390.70368794767745</v>
      </c>
      <c r="X177" s="723">
        <v>354.81066154604378</v>
      </c>
      <c r="Y177" s="723">
        <v>322.79552474123108</v>
      </c>
      <c r="Z177" s="723">
        <v>294.20756806017567</v>
      </c>
      <c r="AA177" s="723">
        <v>268.56390573686349</v>
      </c>
      <c r="AB177" s="723">
        <v>245.63430474264086</v>
      </c>
      <c r="AC177" s="723">
        <v>225.11972673700774</v>
      </c>
      <c r="AD177" s="723">
        <v>206.75334830782035</v>
      </c>
      <c r="AE177" s="723">
        <v>190.2471025997622</v>
      </c>
      <c r="AF177" s="723">
        <v>175.45676325455898</v>
      </c>
    </row>
    <row r="178" spans="1:32" x14ac:dyDescent="0.25">
      <c r="A178" s="839"/>
      <c r="B178" s="552" t="s">
        <v>46</v>
      </c>
      <c r="C178" s="539"/>
      <c r="D178" s="539"/>
      <c r="E178" s="539"/>
      <c r="F178" s="539"/>
      <c r="G178" s="723">
        <v>52.824384236453191</v>
      </c>
      <c r="H178" s="723">
        <v>47.181722242933382</v>
      </c>
      <c r="I178" s="723">
        <v>42.163081701816878</v>
      </c>
      <c r="J178" s="723">
        <v>37.696979399696843</v>
      </c>
      <c r="K178" s="723">
        <v>33.72041682597883</v>
      </c>
      <c r="L178" s="723">
        <v>30.177836526944226</v>
      </c>
      <c r="M178" s="723">
        <v>27.020211484061296</v>
      </c>
      <c r="N178" s="723">
        <v>24.204249950489864</v>
      </c>
      <c r="O178" s="723">
        <v>21.691700582007257</v>
      </c>
      <c r="P178" s="723">
        <v>19.448744760796654</v>
      </c>
      <c r="Q178" s="723">
        <v>17.445464782486336</v>
      </c>
      <c r="R178" s="723">
        <v>15.655378100770459</v>
      </c>
      <c r="S178" s="723">
        <v>14.055029135779844</v>
      </c>
      <c r="T178" s="723">
        <v>12.623631282634744</v>
      </c>
      <c r="U178" s="723">
        <v>11.34275273128786</v>
      </c>
      <c r="V178" s="723">
        <v>10.196040549999722</v>
      </c>
      <c r="W178" s="723">
        <v>9.1689782114670617</v>
      </c>
      <c r="X178" s="723">
        <v>8.2486723688733257</v>
      </c>
      <c r="Y178" s="723">
        <v>7.4265503622240496</v>
      </c>
      <c r="Z178" s="723">
        <v>6.6914546144009224</v>
      </c>
      <c r="AA178" s="723">
        <v>6.0313651499106218</v>
      </c>
      <c r="AB178" s="723">
        <v>5.4403562288625906</v>
      </c>
      <c r="AC178" s="723">
        <v>4.910740874021557</v>
      </c>
      <c r="AD178" s="723">
        <v>4.4357427316961484</v>
      </c>
      <c r="AE178" s="723">
        <v>4.0080441165599421</v>
      </c>
      <c r="AF178" s="723">
        <v>3.6239853558757242</v>
      </c>
    </row>
    <row r="179" spans="1:32" x14ac:dyDescent="0.25">
      <c r="A179" s="839"/>
      <c r="B179" s="550" t="s">
        <v>29</v>
      </c>
      <c r="C179" s="539"/>
      <c r="D179" s="539"/>
      <c r="E179" s="539"/>
      <c r="F179" s="539"/>
      <c r="G179" s="723">
        <v>0</v>
      </c>
      <c r="H179" s="723">
        <v>1.5491496791989596</v>
      </c>
      <c r="I179" s="723">
        <v>2.8083681374210756</v>
      </c>
      <c r="J179" s="723">
        <v>3.8124627238116071</v>
      </c>
      <c r="K179" s="723">
        <v>4.6017958230441973</v>
      </c>
      <c r="L179" s="723">
        <v>5.229086980170619</v>
      </c>
      <c r="M179" s="723">
        <v>5.7046370941520559</v>
      </c>
      <c r="N179" s="723">
        <v>6.0892301927483379</v>
      </c>
      <c r="O179" s="723">
        <v>6.4394929104830529</v>
      </c>
      <c r="P179" s="723">
        <v>6.7256221736420718</v>
      </c>
      <c r="Q179" s="723">
        <v>6.981358882322259</v>
      </c>
      <c r="R179" s="723">
        <v>7.1838392565043163</v>
      </c>
      <c r="S179" s="723">
        <v>7.3519049027487293</v>
      </c>
      <c r="T179" s="723">
        <v>7.4942404328233021</v>
      </c>
      <c r="U179" s="723">
        <v>7.6195527498823123</v>
      </c>
      <c r="V179" s="723">
        <v>7.7307904951957207</v>
      </c>
      <c r="W179" s="723">
        <v>7.8191296375247576</v>
      </c>
      <c r="X179" s="723">
        <v>7.9133344590705859</v>
      </c>
      <c r="Y179" s="723">
        <v>8.0143905850088668</v>
      </c>
      <c r="Z179" s="723">
        <v>8.1103643363619256</v>
      </c>
      <c r="AA179" s="723">
        <v>8.1935604565800819</v>
      </c>
      <c r="AB179" s="723">
        <v>8.2688125739114646</v>
      </c>
      <c r="AC179" s="723">
        <v>8.3410069456437448</v>
      </c>
      <c r="AD179" s="723">
        <v>8.4106505339000144</v>
      </c>
      <c r="AE179" s="723">
        <v>8.4786413251701997</v>
      </c>
      <c r="AF179" s="723">
        <v>8.5446475109792672</v>
      </c>
    </row>
    <row r="180" spans="1:32" x14ac:dyDescent="0.25">
      <c r="A180" s="839"/>
      <c r="B180" s="550"/>
      <c r="C180" s="539"/>
      <c r="D180" s="539"/>
      <c r="E180" s="539"/>
      <c r="F180" s="539"/>
      <c r="G180" s="723"/>
      <c r="H180" s="723"/>
      <c r="I180" s="723"/>
      <c r="J180" s="723"/>
      <c r="K180" s="723"/>
      <c r="L180" s="723"/>
      <c r="M180" s="723"/>
      <c r="N180" s="723"/>
      <c r="O180" s="723"/>
      <c r="P180" s="723"/>
      <c r="Q180" s="723"/>
      <c r="R180" s="723"/>
      <c r="S180" s="723"/>
      <c r="T180" s="723"/>
      <c r="U180" s="723"/>
      <c r="V180" s="723"/>
      <c r="W180" s="723"/>
      <c r="X180" s="723"/>
      <c r="Y180" s="723"/>
      <c r="Z180" s="723"/>
      <c r="AA180" s="723"/>
      <c r="AB180" s="723"/>
      <c r="AC180" s="723"/>
      <c r="AD180" s="723"/>
      <c r="AE180" s="723"/>
      <c r="AF180" s="723"/>
    </row>
    <row r="181" spans="1:32" s="202" customFormat="1" ht="12.75" x14ac:dyDescent="0.2">
      <c r="A181" s="843" t="s">
        <v>47</v>
      </c>
      <c r="B181" s="556"/>
      <c r="C181" s="556"/>
      <c r="D181" s="556"/>
      <c r="E181" s="556"/>
      <c r="F181" s="556"/>
      <c r="G181" s="724"/>
      <c r="H181" s="724"/>
      <c r="I181" s="724"/>
      <c r="J181" s="724"/>
      <c r="K181" s="724"/>
      <c r="L181" s="724"/>
      <c r="M181" s="724"/>
      <c r="N181" s="724"/>
      <c r="O181" s="724"/>
      <c r="P181" s="724"/>
      <c r="Q181" s="724"/>
      <c r="R181" s="724"/>
      <c r="S181" s="724"/>
      <c r="T181" s="724"/>
      <c r="U181" s="724"/>
      <c r="V181" s="724"/>
      <c r="W181" s="724"/>
      <c r="X181" s="724"/>
      <c r="Y181" s="724"/>
      <c r="Z181" s="724"/>
      <c r="AA181" s="724"/>
      <c r="AB181" s="724"/>
      <c r="AC181" s="724"/>
      <c r="AD181" s="724"/>
      <c r="AE181" s="724"/>
      <c r="AF181" s="724"/>
    </row>
    <row r="182" spans="1:32" x14ac:dyDescent="0.25">
      <c r="A182" s="839"/>
      <c r="B182" s="550" t="s">
        <v>48</v>
      </c>
      <c r="C182" s="539"/>
      <c r="D182" s="539"/>
      <c r="E182" s="539"/>
      <c r="F182" s="539"/>
      <c r="G182" s="723">
        <v>646.74472906403946</v>
      </c>
      <c r="H182" s="723">
        <v>68.418830246387898</v>
      </c>
      <c r="I182" s="723">
        <v>7.2482590043654129</v>
      </c>
      <c r="J182" s="723">
        <v>0.76773643452522911</v>
      </c>
      <c r="K182" s="723">
        <v>8.1239750569821786E-2</v>
      </c>
      <c r="L182" s="723">
        <v>8.592640981157855E-3</v>
      </c>
      <c r="M182" s="723">
        <v>9.0734430586498366E-4</v>
      </c>
      <c r="N182" s="723">
        <v>9.5791768968158604E-5</v>
      </c>
      <c r="O182" s="723">
        <v>1.0128503156948378E-5</v>
      </c>
      <c r="P182" s="723">
        <v>1.0705539023828843E-6</v>
      </c>
      <c r="Q182" s="723">
        <v>1.1321839723936285E-7</v>
      </c>
      <c r="R182" s="723">
        <v>1.1963642002806072E-8</v>
      </c>
      <c r="S182" s="723">
        <v>1.26360948808919E-9</v>
      </c>
      <c r="T182" s="723">
        <v>1.3341329088208297E-10</v>
      </c>
      <c r="U182" s="723">
        <v>1.4082810591432777E-11</v>
      </c>
      <c r="V182" s="723">
        <v>1.4861831784916591E-12</v>
      </c>
      <c r="W182" s="723">
        <v>1.567224560782466E-13</v>
      </c>
      <c r="X182" s="723">
        <v>1.6532010985076311E-14</v>
      </c>
      <c r="Y182" s="723">
        <v>1.7445833678746141E-15</v>
      </c>
      <c r="Z182" s="723">
        <v>1.8408678022216432E-16</v>
      </c>
      <c r="AA182" s="723">
        <v>1.9415573858163041E-17</v>
      </c>
      <c r="AB182" s="723">
        <v>2.0470696450643625E-18</v>
      </c>
      <c r="AC182" s="723">
        <v>2.1579059826044842E-19</v>
      </c>
      <c r="AD182" s="723">
        <v>2.2743113443189557E-20</v>
      </c>
      <c r="AE182" s="723">
        <v>2.396540642127384E-21</v>
      </c>
      <c r="AF182" s="723">
        <v>2.5248590914135755E-22</v>
      </c>
    </row>
    <row r="183" spans="1:32" x14ac:dyDescent="0.25">
      <c r="A183" s="839"/>
      <c r="B183" s="552" t="s">
        <v>50</v>
      </c>
      <c r="C183" s="539"/>
      <c r="D183" s="539"/>
      <c r="E183" s="539"/>
      <c r="F183" s="539"/>
      <c r="G183" s="723">
        <v>145.98408866995072</v>
      </c>
      <c r="H183" s="723">
        <v>82.430184874615634</v>
      </c>
      <c r="I183" s="723">
        <v>46.603913750725084</v>
      </c>
      <c r="J183" s="723">
        <v>26.348574458377019</v>
      </c>
      <c r="K183" s="723">
        <v>14.887348217591223</v>
      </c>
      <c r="L183" s="723">
        <v>8.4084889344007951</v>
      </c>
      <c r="M183" s="723">
        <v>4.7429135743101511</v>
      </c>
      <c r="N183" s="723">
        <v>2.6748570000841299</v>
      </c>
      <c r="O183" s="723">
        <v>1.5103851722251327</v>
      </c>
      <c r="P183" s="723">
        <v>0.8526113424831121</v>
      </c>
      <c r="Q183" s="723">
        <v>0.48151717986699399</v>
      </c>
      <c r="R183" s="723">
        <v>0.27175725951304935</v>
      </c>
      <c r="S183" s="723">
        <v>0.15331762579223238</v>
      </c>
      <c r="T183" s="723">
        <v>8.6471240863464249E-2</v>
      </c>
      <c r="U183" s="723">
        <v>4.8761167271360678E-2</v>
      </c>
      <c r="V183" s="723">
        <v>2.7490981035118822E-2</v>
      </c>
      <c r="W183" s="723">
        <v>1.5489796221518293E-2</v>
      </c>
      <c r="X183" s="723">
        <v>8.7299187241036032E-3</v>
      </c>
      <c r="Y183" s="723">
        <v>4.9216724085881297E-3</v>
      </c>
      <c r="Z183" s="723">
        <v>2.7745139908441048E-3</v>
      </c>
      <c r="AA183" s="723">
        <v>1.5634992225596936E-3</v>
      </c>
      <c r="AB183" s="723">
        <v>8.8082901808890848E-4</v>
      </c>
      <c r="AC183" s="723">
        <v>4.9615711550674534E-4</v>
      </c>
      <c r="AD183" s="723">
        <v>2.7943479991392043E-4</v>
      </c>
      <c r="AE183" s="723">
        <v>1.573531363599379E-4</v>
      </c>
      <c r="AF183" s="723">
        <v>8.8593927006116777E-5</v>
      </c>
    </row>
    <row r="184" spans="1:32" x14ac:dyDescent="0.25">
      <c r="A184" s="839"/>
      <c r="B184" s="550" t="s">
        <v>51</v>
      </c>
      <c r="C184" s="539"/>
      <c r="D184" s="539"/>
      <c r="E184" s="539"/>
      <c r="F184" s="539"/>
      <c r="G184" s="723">
        <v>437.58921182266016</v>
      </c>
      <c r="H184" s="723">
        <v>436.04048287365731</v>
      </c>
      <c r="I184" s="723">
        <v>435.05115196686819</v>
      </c>
      <c r="J184" s="723">
        <v>434.06268927179758</v>
      </c>
      <c r="K184" s="723">
        <v>432.80383257380981</v>
      </c>
      <c r="L184" s="723">
        <v>431.39064016984031</v>
      </c>
      <c r="M184" s="723">
        <v>429.41687812603999</v>
      </c>
      <c r="N184" s="723">
        <v>427.38165242439248</v>
      </c>
      <c r="O184" s="723">
        <v>425.8752964479724</v>
      </c>
      <c r="P184" s="723">
        <v>424.25379073248325</v>
      </c>
      <c r="Q184" s="723">
        <v>422.8297830924418</v>
      </c>
      <c r="R184" s="723">
        <v>421.12902714536256</v>
      </c>
      <c r="S184" s="723">
        <v>419.28269242602408</v>
      </c>
      <c r="T184" s="723">
        <v>417.3187103311966</v>
      </c>
      <c r="U184" s="723">
        <v>415.29037039505681</v>
      </c>
      <c r="V184" s="723">
        <v>413.19012001958561</v>
      </c>
      <c r="W184" s="723">
        <v>410.85472526161647</v>
      </c>
      <c r="X184" s="723">
        <v>408.63472420673429</v>
      </c>
      <c r="Y184" s="723">
        <v>406.55541011686722</v>
      </c>
      <c r="Z184" s="723">
        <v>404.46042979312949</v>
      </c>
      <c r="AA184" s="723">
        <v>402.22538460529751</v>
      </c>
      <c r="AB184" s="723">
        <v>399.89552120423173</v>
      </c>
      <c r="AC184" s="723">
        <v>397.51865813156826</v>
      </c>
      <c r="AD184" s="723">
        <v>395.09578676217581</v>
      </c>
      <c r="AE184" s="723">
        <v>392.62791360852964</v>
      </c>
      <c r="AF184" s="723">
        <v>390.11605962397721</v>
      </c>
    </row>
    <row r="185" spans="1:32" x14ac:dyDescent="0.25">
      <c r="A185" s="839"/>
      <c r="B185" s="550" t="s">
        <v>52</v>
      </c>
      <c r="C185" s="539"/>
      <c r="D185" s="539"/>
      <c r="E185" s="539"/>
      <c r="F185" s="539"/>
      <c r="G185" s="723">
        <v>1057.359014778325</v>
      </c>
      <c r="H185" s="723">
        <v>1068.4032865408647</v>
      </c>
      <c r="I185" s="723">
        <v>1080.9917210093981</v>
      </c>
      <c r="J185" s="723">
        <v>1093.7579283969801</v>
      </c>
      <c r="K185" s="723">
        <v>1106.0008627176339</v>
      </c>
      <c r="L185" s="723">
        <v>1117.9965289453505</v>
      </c>
      <c r="M185" s="723">
        <v>1128.6467196244478</v>
      </c>
      <c r="N185" s="723">
        <v>1139.2367560720115</v>
      </c>
      <c r="O185" s="723">
        <v>1151.3768923097555</v>
      </c>
      <c r="P185" s="723">
        <v>1163.3393357356053</v>
      </c>
      <c r="Q185" s="723">
        <v>1175.9920847898093</v>
      </c>
      <c r="R185" s="723">
        <v>1188.0039748311349</v>
      </c>
      <c r="S185" s="723">
        <v>1199.7222030700332</v>
      </c>
      <c r="T185" s="723">
        <v>1211.2111400559882</v>
      </c>
      <c r="U185" s="723">
        <v>1222.6383727822606</v>
      </c>
      <c r="V185" s="723">
        <v>1233.9488963154397</v>
      </c>
      <c r="W185" s="723">
        <v>1244.653728708887</v>
      </c>
      <c r="X185" s="723">
        <v>1255.8111520491689</v>
      </c>
      <c r="Y185" s="723">
        <v>1267.4950453585102</v>
      </c>
      <c r="Z185" s="723">
        <v>1279.2421468822513</v>
      </c>
      <c r="AA185" s="723">
        <v>1290.6444803637849</v>
      </c>
      <c r="AB185" s="723">
        <v>1301.8127867732694</v>
      </c>
      <c r="AC185" s="723">
        <v>1312.9096361462568</v>
      </c>
      <c r="AD185" s="723">
        <v>1323.9296866247821</v>
      </c>
      <c r="AE185" s="723">
        <v>1334.8522579138807</v>
      </c>
      <c r="AF185" s="723">
        <v>1345.6881268645118</v>
      </c>
    </row>
    <row r="186" spans="1:32" x14ac:dyDescent="0.25">
      <c r="A186" s="839"/>
      <c r="B186" s="552" t="s">
        <v>29</v>
      </c>
      <c r="C186" s="539"/>
      <c r="D186" s="539"/>
      <c r="E186" s="539"/>
      <c r="F186" s="539"/>
      <c r="G186" s="723">
        <v>213.84222312914571</v>
      </c>
      <c r="H186" s="723">
        <v>346.66884652522236</v>
      </c>
      <c r="I186" s="723">
        <v>378.72808108160342</v>
      </c>
      <c r="J186" s="723">
        <v>396.14500696143591</v>
      </c>
      <c r="K186" s="723">
        <v>409.56434540834209</v>
      </c>
      <c r="L186" s="723">
        <v>421.23951884718338</v>
      </c>
      <c r="M186" s="723">
        <v>431.51319468317325</v>
      </c>
      <c r="N186" s="723">
        <v>441.29681508836251</v>
      </c>
      <c r="O186" s="723">
        <v>451.48333044205731</v>
      </c>
      <c r="P186" s="723">
        <v>461.49334978535268</v>
      </c>
      <c r="Q186" s="723">
        <v>471.76403248648103</v>
      </c>
      <c r="R186" s="723">
        <v>481.77227025924259</v>
      </c>
      <c r="S186" s="723">
        <v>491.6825504111157</v>
      </c>
      <c r="T186" s="723">
        <v>501.53177532661925</v>
      </c>
      <c r="U186" s="723">
        <v>511.37138188750941</v>
      </c>
      <c r="V186" s="723">
        <v>521.20684281944546</v>
      </c>
      <c r="W186" s="723">
        <v>530.79334778573366</v>
      </c>
      <c r="X186" s="723">
        <v>540.60759885280515</v>
      </c>
      <c r="Y186" s="723">
        <v>550.71338388321362</v>
      </c>
      <c r="Z186" s="723">
        <v>560.8805549557577</v>
      </c>
      <c r="AA186" s="723">
        <v>570.92033697315696</v>
      </c>
      <c r="AB186" s="723">
        <v>580.90190752312776</v>
      </c>
      <c r="AC186" s="723">
        <v>590.87973110810844</v>
      </c>
      <c r="AD186" s="723">
        <v>600.85117504675304</v>
      </c>
      <c r="AE186" s="723">
        <v>610.82430180508356</v>
      </c>
      <c r="AF186" s="723">
        <v>620.78508331925968</v>
      </c>
    </row>
    <row r="187" spans="1:32" x14ac:dyDescent="0.25">
      <c r="A187" s="839"/>
      <c r="B187" s="552" t="s">
        <v>53</v>
      </c>
      <c r="C187" s="539"/>
      <c r="D187" s="539"/>
      <c r="E187" s="539"/>
      <c r="F187" s="539"/>
      <c r="G187" s="723">
        <v>0</v>
      </c>
      <c r="H187" s="723">
        <v>0</v>
      </c>
      <c r="I187" s="723">
        <v>0</v>
      </c>
      <c r="J187" s="723">
        <v>0</v>
      </c>
      <c r="K187" s="723">
        <v>0</v>
      </c>
      <c r="L187" s="723">
        <v>0</v>
      </c>
      <c r="M187" s="723">
        <v>0</v>
      </c>
      <c r="N187" s="723">
        <v>0</v>
      </c>
      <c r="O187" s="723">
        <v>0</v>
      </c>
      <c r="P187" s="723">
        <v>0</v>
      </c>
      <c r="Q187" s="723">
        <v>0</v>
      </c>
      <c r="R187" s="723">
        <v>0</v>
      </c>
      <c r="S187" s="723">
        <v>0</v>
      </c>
      <c r="T187" s="723">
        <v>0</v>
      </c>
      <c r="U187" s="723">
        <v>0</v>
      </c>
      <c r="V187" s="723">
        <v>0</v>
      </c>
      <c r="W187" s="723">
        <v>0</v>
      </c>
      <c r="X187" s="723">
        <v>0</v>
      </c>
      <c r="Y187" s="723">
        <v>0</v>
      </c>
      <c r="Z187" s="723">
        <v>0</v>
      </c>
      <c r="AA187" s="723">
        <v>0</v>
      </c>
      <c r="AB187" s="723">
        <v>0</v>
      </c>
      <c r="AC187" s="723">
        <v>0</v>
      </c>
      <c r="AD187" s="723">
        <v>0</v>
      </c>
      <c r="AE187" s="723">
        <v>0</v>
      </c>
      <c r="AF187" s="723">
        <v>0</v>
      </c>
    </row>
    <row r="188" spans="1:32" x14ac:dyDescent="0.25">
      <c r="A188" s="838"/>
      <c r="B188" s="539"/>
      <c r="C188" s="539"/>
      <c r="D188" s="539"/>
      <c r="E188" s="539"/>
      <c r="F188" s="539"/>
      <c r="G188" s="539"/>
      <c r="H188" s="539"/>
      <c r="I188" s="539"/>
      <c r="J188" s="539"/>
      <c r="K188" s="539"/>
      <c r="L188" s="539"/>
      <c r="M188" s="539"/>
      <c r="N188" s="539"/>
      <c r="O188" s="539"/>
      <c r="P188" s="539"/>
      <c r="Q188" s="539"/>
      <c r="R188" s="539"/>
      <c r="S188" s="539"/>
      <c r="T188" s="539"/>
      <c r="U188" s="539"/>
      <c r="V188" s="539"/>
      <c r="W188" s="539"/>
      <c r="X188" s="539"/>
      <c r="Y188" s="539"/>
      <c r="Z188" s="539"/>
      <c r="AA188" s="539"/>
      <c r="AB188" s="539"/>
      <c r="AC188" s="539"/>
      <c r="AD188" s="539"/>
      <c r="AE188" s="539"/>
      <c r="AF188" s="539"/>
    </row>
    <row r="189" spans="1:32" x14ac:dyDescent="0.25">
      <c r="A189" s="838"/>
      <c r="B189" s="539"/>
      <c r="C189" s="539"/>
      <c r="D189" s="539"/>
      <c r="E189" s="539"/>
      <c r="F189" s="539"/>
      <c r="G189" s="539"/>
      <c r="H189" s="539"/>
      <c r="I189" s="539"/>
      <c r="J189" s="539"/>
      <c r="K189" s="539"/>
      <c r="L189" s="539"/>
      <c r="M189" s="539"/>
      <c r="N189" s="539"/>
      <c r="O189" s="539"/>
      <c r="P189" s="539"/>
      <c r="Q189" s="539"/>
      <c r="R189" s="539"/>
      <c r="S189" s="539"/>
      <c r="T189" s="539"/>
      <c r="U189" s="539"/>
      <c r="V189" s="539"/>
      <c r="W189" s="539"/>
      <c r="X189" s="539"/>
      <c r="Y189" s="539"/>
      <c r="Z189" s="539"/>
      <c r="AA189" s="539"/>
      <c r="AB189" s="539"/>
      <c r="AC189" s="539"/>
      <c r="AD189" s="539"/>
      <c r="AE189" s="539"/>
      <c r="AF189" s="539"/>
    </row>
    <row r="190" spans="1:32" s="539" customFormat="1" x14ac:dyDescent="0.25">
      <c r="A190" s="860" t="s">
        <v>303</v>
      </c>
      <c r="B190" s="555"/>
      <c r="C190" s="554"/>
      <c r="D190" s="553"/>
      <c r="E190" s="553"/>
      <c r="F190" s="553"/>
      <c r="G190" s="553" t="s">
        <v>704</v>
      </c>
      <c r="H190" s="560"/>
      <c r="I190" s="560"/>
      <c r="J190" s="560"/>
      <c r="K190" s="560"/>
      <c r="L190" s="560"/>
      <c r="M190" s="560"/>
      <c r="N190" s="560"/>
      <c r="O190" s="560"/>
      <c r="P190" s="560"/>
      <c r="Q190" s="560"/>
      <c r="R190" s="560"/>
      <c r="S190" s="560"/>
      <c r="T190" s="560"/>
      <c r="U190" s="560"/>
      <c r="V190" s="560"/>
      <c r="W190" s="560"/>
      <c r="X190" s="560"/>
      <c r="Y190" s="560"/>
      <c r="Z190" s="560"/>
      <c r="AA190" s="560"/>
      <c r="AB190" s="560"/>
      <c r="AC190" s="560"/>
      <c r="AD190" s="560"/>
      <c r="AE190" s="560"/>
      <c r="AF190" s="560"/>
    </row>
    <row r="191" spans="1:32" s="539" customFormat="1" x14ac:dyDescent="0.25">
      <c r="A191" s="840" t="s">
        <v>12</v>
      </c>
      <c r="B191" s="550"/>
    </row>
    <row r="192" spans="1:32" s="539" customFormat="1" x14ac:dyDescent="0.25">
      <c r="A192" s="839"/>
      <c r="B192" s="550" t="s">
        <v>20</v>
      </c>
    </row>
    <row r="193" spans="1:32" s="202" customFormat="1" ht="12.75" x14ac:dyDescent="0.2">
      <c r="A193" s="843" t="s">
        <v>21</v>
      </c>
      <c r="B193" s="556"/>
      <c r="C193" s="556"/>
      <c r="D193" s="556"/>
      <c r="E193" s="556"/>
      <c r="F193" s="556"/>
      <c r="G193" s="556"/>
      <c r="H193" s="556"/>
      <c r="I193" s="556"/>
      <c r="J193" s="556"/>
      <c r="K193" s="556"/>
      <c r="L193" s="556"/>
      <c r="M193" s="556"/>
      <c r="N193" s="556"/>
      <c r="O193" s="556"/>
      <c r="P193" s="556"/>
      <c r="Q193" s="556"/>
      <c r="R193" s="556"/>
      <c r="S193" s="556"/>
      <c r="T193" s="556"/>
      <c r="U193" s="556"/>
      <c r="V193" s="556"/>
      <c r="W193" s="556"/>
      <c r="X193" s="556"/>
      <c r="Y193" s="556"/>
      <c r="Z193" s="556"/>
      <c r="AA193" s="556"/>
      <c r="AB193" s="556"/>
      <c r="AC193" s="556"/>
      <c r="AD193" s="556"/>
      <c r="AE193" s="556"/>
      <c r="AF193" s="556"/>
    </row>
    <row r="194" spans="1:32" x14ac:dyDescent="0.25">
      <c r="A194" s="839"/>
      <c r="B194" s="550" t="s">
        <v>22</v>
      </c>
      <c r="C194" s="539"/>
      <c r="D194" s="539"/>
      <c r="E194" s="539"/>
      <c r="F194" s="539"/>
      <c r="G194" s="723" t="s">
        <v>73</v>
      </c>
      <c r="H194" s="723" t="s">
        <v>73</v>
      </c>
      <c r="I194" s="723" t="s">
        <v>73</v>
      </c>
      <c r="J194" s="723" t="s">
        <v>73</v>
      </c>
      <c r="K194" s="723" t="s">
        <v>73</v>
      </c>
      <c r="L194" s="723" t="s">
        <v>73</v>
      </c>
      <c r="M194" s="723" t="s">
        <v>73</v>
      </c>
      <c r="N194" s="723" t="s">
        <v>73</v>
      </c>
      <c r="O194" s="723" t="s">
        <v>73</v>
      </c>
      <c r="P194" s="723" t="s">
        <v>73</v>
      </c>
      <c r="Q194" s="723" t="s">
        <v>73</v>
      </c>
      <c r="R194" s="723" t="s">
        <v>73</v>
      </c>
      <c r="S194" s="723" t="s">
        <v>73</v>
      </c>
      <c r="T194" s="723" t="s">
        <v>73</v>
      </c>
      <c r="U194" s="723" t="s">
        <v>73</v>
      </c>
      <c r="V194" s="723" t="s">
        <v>73</v>
      </c>
      <c r="W194" s="723" t="s">
        <v>73</v>
      </c>
      <c r="X194" s="723" t="s">
        <v>73</v>
      </c>
      <c r="Y194" s="723" t="s">
        <v>73</v>
      </c>
      <c r="Z194" s="723" t="s">
        <v>73</v>
      </c>
      <c r="AA194" s="723" t="s">
        <v>73</v>
      </c>
      <c r="AB194" s="723" t="s">
        <v>73</v>
      </c>
      <c r="AC194" s="723" t="s">
        <v>73</v>
      </c>
      <c r="AD194" s="723" t="s">
        <v>73</v>
      </c>
      <c r="AE194" s="723" t="s">
        <v>73</v>
      </c>
      <c r="AF194" s="723" t="s">
        <v>73</v>
      </c>
    </row>
    <row r="195" spans="1:32" x14ac:dyDescent="0.25">
      <c r="A195" s="839"/>
      <c r="B195" s="550" t="s">
        <v>26</v>
      </c>
      <c r="C195" s="539"/>
      <c r="D195" s="539"/>
      <c r="E195" s="539"/>
      <c r="F195" s="539"/>
      <c r="G195" s="723" t="s">
        <v>73</v>
      </c>
      <c r="H195" s="723" t="s">
        <v>73</v>
      </c>
      <c r="I195" s="723" t="s">
        <v>73</v>
      </c>
      <c r="J195" s="723" t="s">
        <v>73</v>
      </c>
      <c r="K195" s="723" t="s">
        <v>73</v>
      </c>
      <c r="L195" s="723" t="s">
        <v>73</v>
      </c>
      <c r="M195" s="723" t="s">
        <v>73</v>
      </c>
      <c r="N195" s="723" t="s">
        <v>73</v>
      </c>
      <c r="O195" s="723" t="s">
        <v>73</v>
      </c>
      <c r="P195" s="723" t="s">
        <v>73</v>
      </c>
      <c r="Q195" s="723" t="s">
        <v>73</v>
      </c>
      <c r="R195" s="723" t="s">
        <v>73</v>
      </c>
      <c r="S195" s="723" t="s">
        <v>73</v>
      </c>
      <c r="T195" s="723" t="s">
        <v>73</v>
      </c>
      <c r="U195" s="723" t="s">
        <v>73</v>
      </c>
      <c r="V195" s="723" t="s">
        <v>73</v>
      </c>
      <c r="W195" s="723" t="s">
        <v>73</v>
      </c>
      <c r="X195" s="723" t="s">
        <v>73</v>
      </c>
      <c r="Y195" s="723" t="s">
        <v>73</v>
      </c>
      <c r="Z195" s="723" t="s">
        <v>73</v>
      </c>
      <c r="AA195" s="723" t="s">
        <v>73</v>
      </c>
      <c r="AB195" s="723" t="s">
        <v>73</v>
      </c>
      <c r="AC195" s="723" t="s">
        <v>73</v>
      </c>
      <c r="AD195" s="723" t="s">
        <v>73</v>
      </c>
      <c r="AE195" s="723" t="s">
        <v>73</v>
      </c>
      <c r="AF195" s="723" t="s">
        <v>73</v>
      </c>
    </row>
    <row r="196" spans="1:32" x14ac:dyDescent="0.25">
      <c r="A196" s="839"/>
      <c r="B196" s="550" t="s">
        <v>27</v>
      </c>
      <c r="C196" s="539"/>
      <c r="D196" s="539"/>
      <c r="E196" s="539"/>
      <c r="F196" s="539"/>
      <c r="G196" s="723" t="s">
        <v>73</v>
      </c>
      <c r="H196" s="723" t="s">
        <v>73</v>
      </c>
      <c r="I196" s="723" t="s">
        <v>73</v>
      </c>
      <c r="J196" s="723" t="s">
        <v>73</v>
      </c>
      <c r="K196" s="723" t="s">
        <v>73</v>
      </c>
      <c r="L196" s="723" t="s">
        <v>73</v>
      </c>
      <c r="M196" s="723" t="s">
        <v>73</v>
      </c>
      <c r="N196" s="723" t="s">
        <v>73</v>
      </c>
      <c r="O196" s="723" t="s">
        <v>73</v>
      </c>
      <c r="P196" s="723" t="s">
        <v>73</v>
      </c>
      <c r="Q196" s="723" t="s">
        <v>73</v>
      </c>
      <c r="R196" s="723" t="s">
        <v>73</v>
      </c>
      <c r="S196" s="723" t="s">
        <v>73</v>
      </c>
      <c r="T196" s="723" t="s">
        <v>73</v>
      </c>
      <c r="U196" s="723" t="s">
        <v>73</v>
      </c>
      <c r="V196" s="723" t="s">
        <v>73</v>
      </c>
      <c r="W196" s="723" t="s">
        <v>73</v>
      </c>
      <c r="X196" s="723" t="s">
        <v>73</v>
      </c>
      <c r="Y196" s="723" t="s">
        <v>73</v>
      </c>
      <c r="Z196" s="723" t="s">
        <v>73</v>
      </c>
      <c r="AA196" s="723" t="s">
        <v>73</v>
      </c>
      <c r="AB196" s="723" t="s">
        <v>73</v>
      </c>
      <c r="AC196" s="723" t="s">
        <v>73</v>
      </c>
      <c r="AD196" s="723" t="s">
        <v>73</v>
      </c>
      <c r="AE196" s="723" t="s">
        <v>73</v>
      </c>
      <c r="AF196" s="723" t="s">
        <v>73</v>
      </c>
    </row>
    <row r="197" spans="1:32" x14ac:dyDescent="0.25">
      <c r="A197" s="839"/>
      <c r="B197" s="550" t="s">
        <v>29</v>
      </c>
      <c r="C197" s="539"/>
      <c r="D197" s="539"/>
      <c r="E197" s="539"/>
      <c r="F197" s="539"/>
      <c r="G197" s="723" t="s">
        <v>73</v>
      </c>
      <c r="H197" s="723" t="s">
        <v>73</v>
      </c>
      <c r="I197" s="723" t="s">
        <v>73</v>
      </c>
      <c r="J197" s="723" t="s">
        <v>73</v>
      </c>
      <c r="K197" s="723" t="s">
        <v>73</v>
      </c>
      <c r="L197" s="723" t="s">
        <v>73</v>
      </c>
      <c r="M197" s="723" t="s">
        <v>73</v>
      </c>
      <c r="N197" s="723" t="s">
        <v>73</v>
      </c>
      <c r="O197" s="723" t="s">
        <v>73</v>
      </c>
      <c r="P197" s="723" t="s">
        <v>73</v>
      </c>
      <c r="Q197" s="723" t="s">
        <v>73</v>
      </c>
      <c r="R197" s="723" t="s">
        <v>73</v>
      </c>
      <c r="S197" s="723" t="s">
        <v>73</v>
      </c>
      <c r="T197" s="723" t="s">
        <v>73</v>
      </c>
      <c r="U197" s="723" t="s">
        <v>73</v>
      </c>
      <c r="V197" s="723" t="s">
        <v>73</v>
      </c>
      <c r="W197" s="723" t="s">
        <v>73</v>
      </c>
      <c r="X197" s="723" t="s">
        <v>73</v>
      </c>
      <c r="Y197" s="723" t="s">
        <v>73</v>
      </c>
      <c r="Z197" s="723" t="s">
        <v>73</v>
      </c>
      <c r="AA197" s="723" t="s">
        <v>73</v>
      </c>
      <c r="AB197" s="723" t="s">
        <v>73</v>
      </c>
      <c r="AC197" s="723" t="s">
        <v>73</v>
      </c>
      <c r="AD197" s="723" t="s">
        <v>73</v>
      </c>
      <c r="AE197" s="723" t="s">
        <v>73</v>
      </c>
      <c r="AF197" s="723" t="s">
        <v>73</v>
      </c>
    </row>
    <row r="198" spans="1:32" x14ac:dyDescent="0.25">
      <c r="A198" s="839"/>
      <c r="B198" s="550"/>
      <c r="C198" s="539"/>
      <c r="D198" s="539"/>
      <c r="E198" s="539"/>
      <c r="F198" s="539"/>
      <c r="G198" s="723" t="s">
        <v>73</v>
      </c>
      <c r="H198" s="723" t="s">
        <v>73</v>
      </c>
      <c r="I198" s="723" t="s">
        <v>73</v>
      </c>
      <c r="J198" s="723" t="s">
        <v>73</v>
      </c>
      <c r="K198" s="723" t="s">
        <v>73</v>
      </c>
      <c r="L198" s="723" t="s">
        <v>73</v>
      </c>
      <c r="M198" s="723" t="s">
        <v>73</v>
      </c>
      <c r="N198" s="723" t="s">
        <v>73</v>
      </c>
      <c r="O198" s="723" t="s">
        <v>73</v>
      </c>
      <c r="P198" s="723" t="s">
        <v>73</v>
      </c>
      <c r="Q198" s="723" t="s">
        <v>73</v>
      </c>
      <c r="R198" s="723" t="s">
        <v>73</v>
      </c>
      <c r="S198" s="723" t="s">
        <v>73</v>
      </c>
      <c r="T198" s="723" t="s">
        <v>73</v>
      </c>
      <c r="U198" s="723" t="s">
        <v>73</v>
      </c>
      <c r="V198" s="723" t="s">
        <v>73</v>
      </c>
      <c r="W198" s="723" t="s">
        <v>73</v>
      </c>
      <c r="X198" s="723" t="s">
        <v>73</v>
      </c>
      <c r="Y198" s="723" t="s">
        <v>73</v>
      </c>
      <c r="Z198" s="723" t="s">
        <v>73</v>
      </c>
      <c r="AA198" s="723" t="s">
        <v>73</v>
      </c>
      <c r="AB198" s="723" t="s">
        <v>73</v>
      </c>
      <c r="AC198" s="723" t="s">
        <v>73</v>
      </c>
      <c r="AD198" s="723" t="s">
        <v>73</v>
      </c>
      <c r="AE198" s="723" t="s">
        <v>73</v>
      </c>
      <c r="AF198" s="723" t="s">
        <v>73</v>
      </c>
    </row>
    <row r="199" spans="1:32" s="202" customFormat="1" ht="12.75" x14ac:dyDescent="0.2">
      <c r="A199" s="843" t="s">
        <v>32</v>
      </c>
      <c r="B199" s="556"/>
      <c r="C199" s="556"/>
      <c r="D199" s="556"/>
      <c r="E199" s="556"/>
      <c r="F199" s="556"/>
      <c r="G199" s="724" t="s">
        <v>73</v>
      </c>
      <c r="H199" s="724" t="s">
        <v>73</v>
      </c>
      <c r="I199" s="724" t="s">
        <v>73</v>
      </c>
      <c r="J199" s="724" t="s">
        <v>73</v>
      </c>
      <c r="K199" s="724" t="s">
        <v>73</v>
      </c>
      <c r="L199" s="724" t="s">
        <v>73</v>
      </c>
      <c r="M199" s="724" t="s">
        <v>73</v>
      </c>
      <c r="N199" s="724" t="s">
        <v>73</v>
      </c>
      <c r="O199" s="724" t="s">
        <v>73</v>
      </c>
      <c r="P199" s="724" t="s">
        <v>73</v>
      </c>
      <c r="Q199" s="724" t="s">
        <v>73</v>
      </c>
      <c r="R199" s="724" t="s">
        <v>73</v>
      </c>
      <c r="S199" s="724" t="s">
        <v>73</v>
      </c>
      <c r="T199" s="724" t="s">
        <v>73</v>
      </c>
      <c r="U199" s="724" t="s">
        <v>73</v>
      </c>
      <c r="V199" s="724" t="s">
        <v>73</v>
      </c>
      <c r="W199" s="724" t="s">
        <v>73</v>
      </c>
      <c r="X199" s="724" t="s">
        <v>73</v>
      </c>
      <c r="Y199" s="724" t="s">
        <v>73</v>
      </c>
      <c r="Z199" s="724" t="s">
        <v>73</v>
      </c>
      <c r="AA199" s="724" t="s">
        <v>73</v>
      </c>
      <c r="AB199" s="724" t="s">
        <v>73</v>
      </c>
      <c r="AC199" s="724" t="s">
        <v>73</v>
      </c>
      <c r="AD199" s="724" t="s">
        <v>73</v>
      </c>
      <c r="AE199" s="724" t="s">
        <v>73</v>
      </c>
      <c r="AF199" s="724" t="s">
        <v>73</v>
      </c>
    </row>
    <row r="200" spans="1:32" x14ac:dyDescent="0.25">
      <c r="A200" s="839"/>
      <c r="B200" s="550" t="s">
        <v>33</v>
      </c>
      <c r="C200" s="539"/>
      <c r="D200" s="539"/>
      <c r="E200" s="539"/>
      <c r="F200" s="539"/>
      <c r="G200" s="723" t="s">
        <v>73</v>
      </c>
      <c r="H200" s="723" t="s">
        <v>73</v>
      </c>
      <c r="I200" s="723" t="s">
        <v>73</v>
      </c>
      <c r="J200" s="723" t="s">
        <v>73</v>
      </c>
      <c r="K200" s="723" t="s">
        <v>73</v>
      </c>
      <c r="L200" s="723" t="s">
        <v>73</v>
      </c>
      <c r="M200" s="723" t="s">
        <v>73</v>
      </c>
      <c r="N200" s="723" t="s">
        <v>73</v>
      </c>
      <c r="O200" s="723" t="s">
        <v>73</v>
      </c>
      <c r="P200" s="723" t="s">
        <v>73</v>
      </c>
      <c r="Q200" s="723" t="s">
        <v>73</v>
      </c>
      <c r="R200" s="723" t="s">
        <v>73</v>
      </c>
      <c r="S200" s="723" t="s">
        <v>73</v>
      </c>
      <c r="T200" s="723" t="s">
        <v>73</v>
      </c>
      <c r="U200" s="723" t="s">
        <v>73</v>
      </c>
      <c r="V200" s="723" t="s">
        <v>73</v>
      </c>
      <c r="W200" s="723" t="s">
        <v>73</v>
      </c>
      <c r="X200" s="723" t="s">
        <v>73</v>
      </c>
      <c r="Y200" s="723" t="s">
        <v>73</v>
      </c>
      <c r="Z200" s="723" t="s">
        <v>73</v>
      </c>
      <c r="AA200" s="723" t="s">
        <v>73</v>
      </c>
      <c r="AB200" s="723" t="s">
        <v>73</v>
      </c>
      <c r="AC200" s="723" t="s">
        <v>73</v>
      </c>
      <c r="AD200" s="723" t="s">
        <v>73</v>
      </c>
      <c r="AE200" s="723" t="s">
        <v>73</v>
      </c>
      <c r="AF200" s="723" t="s">
        <v>73</v>
      </c>
    </row>
    <row r="201" spans="1:32" x14ac:dyDescent="0.25">
      <c r="A201" s="842"/>
      <c r="B201" s="552" t="s">
        <v>34</v>
      </c>
      <c r="C201" s="539"/>
      <c r="D201" s="539"/>
      <c r="E201" s="539"/>
      <c r="F201" s="539"/>
      <c r="G201" s="723" t="s">
        <v>73</v>
      </c>
      <c r="H201" s="723" t="s">
        <v>73</v>
      </c>
      <c r="I201" s="723" t="s">
        <v>73</v>
      </c>
      <c r="J201" s="723" t="s">
        <v>73</v>
      </c>
      <c r="K201" s="723" t="s">
        <v>73</v>
      </c>
      <c r="L201" s="723" t="s">
        <v>73</v>
      </c>
      <c r="M201" s="723" t="s">
        <v>73</v>
      </c>
      <c r="N201" s="723" t="s">
        <v>73</v>
      </c>
      <c r="O201" s="723" t="s">
        <v>73</v>
      </c>
      <c r="P201" s="723" t="s">
        <v>73</v>
      </c>
      <c r="Q201" s="723" t="s">
        <v>73</v>
      </c>
      <c r="R201" s="723" t="s">
        <v>73</v>
      </c>
      <c r="S201" s="723" t="s">
        <v>73</v>
      </c>
      <c r="T201" s="723" t="s">
        <v>73</v>
      </c>
      <c r="U201" s="723" t="s">
        <v>73</v>
      </c>
      <c r="V201" s="723" t="s">
        <v>73</v>
      </c>
      <c r="W201" s="723" t="s">
        <v>73</v>
      </c>
      <c r="X201" s="723" t="s">
        <v>73</v>
      </c>
      <c r="Y201" s="723" t="s">
        <v>73</v>
      </c>
      <c r="Z201" s="723" t="s">
        <v>73</v>
      </c>
      <c r="AA201" s="723" t="s">
        <v>73</v>
      </c>
      <c r="AB201" s="723" t="s">
        <v>73</v>
      </c>
      <c r="AC201" s="723" t="s">
        <v>73</v>
      </c>
      <c r="AD201" s="723" t="s">
        <v>73</v>
      </c>
      <c r="AE201" s="723" t="s">
        <v>73</v>
      </c>
      <c r="AF201" s="723" t="s">
        <v>73</v>
      </c>
    </row>
    <row r="202" spans="1:32" x14ac:dyDescent="0.25">
      <c r="A202" s="839"/>
      <c r="B202" s="552" t="s">
        <v>35</v>
      </c>
      <c r="C202" s="539"/>
      <c r="D202" s="539"/>
      <c r="E202" s="539"/>
      <c r="F202" s="539"/>
      <c r="G202" s="723" t="s">
        <v>73</v>
      </c>
      <c r="H202" s="723" t="s">
        <v>73</v>
      </c>
      <c r="I202" s="723" t="s">
        <v>73</v>
      </c>
      <c r="J202" s="723" t="s">
        <v>73</v>
      </c>
      <c r="K202" s="723" t="s">
        <v>73</v>
      </c>
      <c r="L202" s="723" t="s">
        <v>73</v>
      </c>
      <c r="M202" s="723" t="s">
        <v>73</v>
      </c>
      <c r="N202" s="723" t="s">
        <v>73</v>
      </c>
      <c r="O202" s="723" t="s">
        <v>73</v>
      </c>
      <c r="P202" s="723" t="s">
        <v>73</v>
      </c>
      <c r="Q202" s="723" t="s">
        <v>73</v>
      </c>
      <c r="R202" s="723" t="s">
        <v>73</v>
      </c>
      <c r="S202" s="723" t="s">
        <v>73</v>
      </c>
      <c r="T202" s="723" t="s">
        <v>73</v>
      </c>
      <c r="U202" s="723" t="s">
        <v>73</v>
      </c>
      <c r="V202" s="723" t="s">
        <v>73</v>
      </c>
      <c r="W202" s="723" t="s">
        <v>73</v>
      </c>
      <c r="X202" s="723" t="s">
        <v>73</v>
      </c>
      <c r="Y202" s="723" t="s">
        <v>73</v>
      </c>
      <c r="Z202" s="723" t="s">
        <v>73</v>
      </c>
      <c r="AA202" s="723" t="s">
        <v>73</v>
      </c>
      <c r="AB202" s="723" t="s">
        <v>73</v>
      </c>
      <c r="AC202" s="723" t="s">
        <v>73</v>
      </c>
      <c r="AD202" s="723" t="s">
        <v>73</v>
      </c>
      <c r="AE202" s="723" t="s">
        <v>73</v>
      </c>
      <c r="AF202" s="723" t="s">
        <v>73</v>
      </c>
    </row>
    <row r="203" spans="1:32" x14ac:dyDescent="0.25">
      <c r="A203" s="839"/>
      <c r="B203" s="552" t="s">
        <v>29</v>
      </c>
      <c r="C203" s="539"/>
      <c r="D203" s="539"/>
      <c r="E203" s="539"/>
      <c r="F203" s="539"/>
      <c r="G203" s="723" t="s">
        <v>73</v>
      </c>
      <c r="H203" s="723" t="s">
        <v>73</v>
      </c>
      <c r="I203" s="723" t="s">
        <v>73</v>
      </c>
      <c r="J203" s="723" t="s">
        <v>73</v>
      </c>
      <c r="K203" s="723" t="s">
        <v>73</v>
      </c>
      <c r="L203" s="723" t="s">
        <v>73</v>
      </c>
      <c r="M203" s="723" t="s">
        <v>73</v>
      </c>
      <c r="N203" s="723" t="s">
        <v>73</v>
      </c>
      <c r="O203" s="723" t="s">
        <v>73</v>
      </c>
      <c r="P203" s="723" t="s">
        <v>73</v>
      </c>
      <c r="Q203" s="723" t="s">
        <v>73</v>
      </c>
      <c r="R203" s="723" t="s">
        <v>73</v>
      </c>
      <c r="S203" s="723" t="s">
        <v>73</v>
      </c>
      <c r="T203" s="723" t="s">
        <v>73</v>
      </c>
      <c r="U203" s="723" t="s">
        <v>73</v>
      </c>
      <c r="V203" s="723" t="s">
        <v>73</v>
      </c>
      <c r="W203" s="723" t="s">
        <v>73</v>
      </c>
      <c r="X203" s="723" t="s">
        <v>73</v>
      </c>
      <c r="Y203" s="723" t="s">
        <v>73</v>
      </c>
      <c r="Z203" s="723" t="s">
        <v>73</v>
      </c>
      <c r="AA203" s="723" t="s">
        <v>73</v>
      </c>
      <c r="AB203" s="723" t="s">
        <v>73</v>
      </c>
      <c r="AC203" s="723" t="s">
        <v>73</v>
      </c>
      <c r="AD203" s="723" t="s">
        <v>73</v>
      </c>
      <c r="AE203" s="723" t="s">
        <v>73</v>
      </c>
      <c r="AF203" s="723" t="s">
        <v>73</v>
      </c>
    </row>
    <row r="204" spans="1:32" x14ac:dyDescent="0.25">
      <c r="A204" s="839"/>
      <c r="B204" s="550"/>
      <c r="C204" s="539"/>
      <c r="D204" s="539"/>
      <c r="E204" s="539"/>
      <c r="F204" s="539"/>
      <c r="G204" s="723" t="s">
        <v>73</v>
      </c>
      <c r="H204" s="723" t="s">
        <v>73</v>
      </c>
      <c r="I204" s="723" t="s">
        <v>73</v>
      </c>
      <c r="J204" s="723" t="s">
        <v>73</v>
      </c>
      <c r="K204" s="723" t="s">
        <v>73</v>
      </c>
      <c r="L204" s="723" t="s">
        <v>73</v>
      </c>
      <c r="M204" s="723" t="s">
        <v>73</v>
      </c>
      <c r="N204" s="723" t="s">
        <v>73</v>
      </c>
      <c r="O204" s="723" t="s">
        <v>73</v>
      </c>
      <c r="P204" s="723" t="s">
        <v>73</v>
      </c>
      <c r="Q204" s="723" t="s">
        <v>73</v>
      </c>
      <c r="R204" s="723" t="s">
        <v>73</v>
      </c>
      <c r="S204" s="723" t="s">
        <v>73</v>
      </c>
      <c r="T204" s="723" t="s">
        <v>73</v>
      </c>
      <c r="U204" s="723" t="s">
        <v>73</v>
      </c>
      <c r="V204" s="723" t="s">
        <v>73</v>
      </c>
      <c r="W204" s="723" t="s">
        <v>73</v>
      </c>
      <c r="X204" s="723" t="s">
        <v>73</v>
      </c>
      <c r="Y204" s="723" t="s">
        <v>73</v>
      </c>
      <c r="Z204" s="723" t="s">
        <v>73</v>
      </c>
      <c r="AA204" s="723" t="s">
        <v>73</v>
      </c>
      <c r="AB204" s="723" t="s">
        <v>73</v>
      </c>
      <c r="AC204" s="723" t="s">
        <v>73</v>
      </c>
      <c r="AD204" s="723" t="s">
        <v>73</v>
      </c>
      <c r="AE204" s="723" t="s">
        <v>73</v>
      </c>
      <c r="AF204" s="723" t="s">
        <v>73</v>
      </c>
    </row>
    <row r="205" spans="1:32" s="202" customFormat="1" ht="12.75" x14ac:dyDescent="0.2">
      <c r="A205" s="843" t="s">
        <v>36</v>
      </c>
      <c r="B205" s="556"/>
      <c r="C205" s="556"/>
      <c r="D205" s="556"/>
      <c r="E205" s="556"/>
      <c r="F205" s="556"/>
      <c r="G205" s="724" t="s">
        <v>73</v>
      </c>
      <c r="H205" s="724" t="s">
        <v>73</v>
      </c>
      <c r="I205" s="724" t="s">
        <v>73</v>
      </c>
      <c r="J205" s="724" t="s">
        <v>73</v>
      </c>
      <c r="K205" s="724" t="s">
        <v>73</v>
      </c>
      <c r="L205" s="724" t="s">
        <v>73</v>
      </c>
      <c r="M205" s="724" t="s">
        <v>73</v>
      </c>
      <c r="N205" s="724" t="s">
        <v>73</v>
      </c>
      <c r="O205" s="724" t="s">
        <v>73</v>
      </c>
      <c r="P205" s="724" t="s">
        <v>73</v>
      </c>
      <c r="Q205" s="724" t="s">
        <v>73</v>
      </c>
      <c r="R205" s="724" t="s">
        <v>73</v>
      </c>
      <c r="S205" s="724" t="s">
        <v>73</v>
      </c>
      <c r="T205" s="724" t="s">
        <v>73</v>
      </c>
      <c r="U205" s="724" t="s">
        <v>73</v>
      </c>
      <c r="V205" s="724" t="s">
        <v>73</v>
      </c>
      <c r="W205" s="724" t="s">
        <v>73</v>
      </c>
      <c r="X205" s="724" t="s">
        <v>73</v>
      </c>
      <c r="Y205" s="724" t="s">
        <v>73</v>
      </c>
      <c r="Z205" s="724" t="s">
        <v>73</v>
      </c>
      <c r="AA205" s="724" t="s">
        <v>73</v>
      </c>
      <c r="AB205" s="724" t="s">
        <v>73</v>
      </c>
      <c r="AC205" s="724" t="s">
        <v>73</v>
      </c>
      <c r="AD205" s="724" t="s">
        <v>73</v>
      </c>
      <c r="AE205" s="724" t="s">
        <v>73</v>
      </c>
      <c r="AF205" s="724" t="s">
        <v>73</v>
      </c>
    </row>
    <row r="206" spans="1:32" x14ac:dyDescent="0.25">
      <c r="A206" s="839"/>
      <c r="B206" s="550" t="s">
        <v>37</v>
      </c>
      <c r="C206" s="539"/>
      <c r="D206" s="539"/>
      <c r="E206" s="539"/>
      <c r="F206" s="201"/>
      <c r="G206" s="723" t="s">
        <v>73</v>
      </c>
      <c r="H206" s="723" t="s">
        <v>73</v>
      </c>
      <c r="I206" s="723" t="s">
        <v>73</v>
      </c>
      <c r="J206" s="723" t="s">
        <v>73</v>
      </c>
      <c r="K206" s="723" t="s">
        <v>73</v>
      </c>
      <c r="L206" s="723" t="s">
        <v>73</v>
      </c>
      <c r="M206" s="723" t="s">
        <v>73</v>
      </c>
      <c r="N206" s="723" t="s">
        <v>73</v>
      </c>
      <c r="O206" s="723" t="s">
        <v>73</v>
      </c>
      <c r="P206" s="723" t="s">
        <v>73</v>
      </c>
      <c r="Q206" s="723" t="s">
        <v>73</v>
      </c>
      <c r="R206" s="723" t="s">
        <v>73</v>
      </c>
      <c r="S206" s="723" t="s">
        <v>73</v>
      </c>
      <c r="T206" s="723" t="s">
        <v>73</v>
      </c>
      <c r="U206" s="723" t="s">
        <v>73</v>
      </c>
      <c r="V206" s="723" t="s">
        <v>73</v>
      </c>
      <c r="W206" s="723" t="s">
        <v>73</v>
      </c>
      <c r="X206" s="723" t="s">
        <v>73</v>
      </c>
      <c r="Y206" s="723" t="s">
        <v>73</v>
      </c>
      <c r="Z206" s="723" t="s">
        <v>73</v>
      </c>
      <c r="AA206" s="723" t="s">
        <v>73</v>
      </c>
      <c r="AB206" s="723" t="s">
        <v>73</v>
      </c>
      <c r="AC206" s="723" t="s">
        <v>73</v>
      </c>
      <c r="AD206" s="723" t="s">
        <v>73</v>
      </c>
      <c r="AE206" s="723" t="s">
        <v>73</v>
      </c>
      <c r="AF206" s="723" t="s">
        <v>73</v>
      </c>
    </row>
    <row r="207" spans="1:32" x14ac:dyDescent="0.25">
      <c r="A207" s="839"/>
      <c r="B207" s="550" t="s">
        <v>39</v>
      </c>
      <c r="C207" s="539"/>
      <c r="D207" s="539"/>
      <c r="E207" s="203"/>
      <c r="F207" s="539"/>
      <c r="G207" s="723" t="s">
        <v>73</v>
      </c>
      <c r="H207" s="723" t="s">
        <v>73</v>
      </c>
      <c r="I207" s="723" t="s">
        <v>73</v>
      </c>
      <c r="J207" s="723" t="s">
        <v>73</v>
      </c>
      <c r="K207" s="723" t="s">
        <v>73</v>
      </c>
      <c r="L207" s="723" t="s">
        <v>73</v>
      </c>
      <c r="M207" s="723" t="s">
        <v>73</v>
      </c>
      <c r="N207" s="723" t="s">
        <v>73</v>
      </c>
      <c r="O207" s="723" t="s">
        <v>73</v>
      </c>
      <c r="P207" s="723" t="s">
        <v>73</v>
      </c>
      <c r="Q207" s="723" t="s">
        <v>73</v>
      </c>
      <c r="R207" s="723" t="s">
        <v>73</v>
      </c>
      <c r="S207" s="723" t="s">
        <v>73</v>
      </c>
      <c r="T207" s="723" t="s">
        <v>73</v>
      </c>
      <c r="U207" s="723" t="s">
        <v>73</v>
      </c>
      <c r="V207" s="723" t="s">
        <v>73</v>
      </c>
      <c r="W207" s="723" t="s">
        <v>73</v>
      </c>
      <c r="X207" s="723" t="s">
        <v>73</v>
      </c>
      <c r="Y207" s="723" t="s">
        <v>73</v>
      </c>
      <c r="Z207" s="723" t="s">
        <v>73</v>
      </c>
      <c r="AA207" s="723" t="s">
        <v>73</v>
      </c>
      <c r="AB207" s="723" t="s">
        <v>73</v>
      </c>
      <c r="AC207" s="723" t="s">
        <v>73</v>
      </c>
      <c r="AD207" s="723" t="s">
        <v>73</v>
      </c>
      <c r="AE207" s="723" t="s">
        <v>73</v>
      </c>
      <c r="AF207" s="723" t="s">
        <v>73</v>
      </c>
    </row>
    <row r="208" spans="1:32" x14ac:dyDescent="0.25">
      <c r="A208" s="839"/>
      <c r="B208" s="550" t="s">
        <v>40</v>
      </c>
      <c r="C208" s="539"/>
      <c r="D208" s="539"/>
      <c r="E208" s="539"/>
      <c r="F208" s="539"/>
      <c r="G208" s="723" t="s">
        <v>73</v>
      </c>
      <c r="H208" s="723" t="s">
        <v>73</v>
      </c>
      <c r="I208" s="723" t="s">
        <v>73</v>
      </c>
      <c r="J208" s="723" t="s">
        <v>73</v>
      </c>
      <c r="K208" s="723" t="s">
        <v>73</v>
      </c>
      <c r="L208" s="723" t="s">
        <v>73</v>
      </c>
      <c r="M208" s="723" t="s">
        <v>73</v>
      </c>
      <c r="N208" s="723" t="s">
        <v>73</v>
      </c>
      <c r="O208" s="723" t="s">
        <v>73</v>
      </c>
      <c r="P208" s="723" t="s">
        <v>73</v>
      </c>
      <c r="Q208" s="723" t="s">
        <v>73</v>
      </c>
      <c r="R208" s="723" t="s">
        <v>73</v>
      </c>
      <c r="S208" s="723" t="s">
        <v>73</v>
      </c>
      <c r="T208" s="723" t="s">
        <v>73</v>
      </c>
      <c r="U208" s="723" t="s">
        <v>73</v>
      </c>
      <c r="V208" s="723" t="s">
        <v>73</v>
      </c>
      <c r="W208" s="723" t="s">
        <v>73</v>
      </c>
      <c r="X208" s="723" t="s">
        <v>73</v>
      </c>
      <c r="Y208" s="723" t="s">
        <v>73</v>
      </c>
      <c r="Z208" s="723" t="s">
        <v>73</v>
      </c>
      <c r="AA208" s="723" t="s">
        <v>73</v>
      </c>
      <c r="AB208" s="723" t="s">
        <v>73</v>
      </c>
      <c r="AC208" s="723" t="s">
        <v>73</v>
      </c>
      <c r="AD208" s="723" t="s">
        <v>73</v>
      </c>
      <c r="AE208" s="723" t="s">
        <v>73</v>
      </c>
      <c r="AF208" s="723" t="s">
        <v>73</v>
      </c>
    </row>
    <row r="209" spans="1:32" x14ac:dyDescent="0.25">
      <c r="A209" s="839"/>
      <c r="B209" s="550" t="s">
        <v>29</v>
      </c>
      <c r="C209" s="539"/>
      <c r="D209" s="539"/>
      <c r="E209" s="539"/>
      <c r="F209" s="539"/>
      <c r="G209" s="723" t="s">
        <v>73</v>
      </c>
      <c r="H209" s="723" t="s">
        <v>73</v>
      </c>
      <c r="I209" s="723" t="s">
        <v>73</v>
      </c>
      <c r="J209" s="723" t="s">
        <v>73</v>
      </c>
      <c r="K209" s="723" t="s">
        <v>73</v>
      </c>
      <c r="L209" s="723" t="s">
        <v>73</v>
      </c>
      <c r="M209" s="723" t="s">
        <v>73</v>
      </c>
      <c r="N209" s="723" t="s">
        <v>73</v>
      </c>
      <c r="O209" s="723" t="s">
        <v>73</v>
      </c>
      <c r="P209" s="723" t="s">
        <v>73</v>
      </c>
      <c r="Q209" s="723" t="s">
        <v>73</v>
      </c>
      <c r="R209" s="723" t="s">
        <v>73</v>
      </c>
      <c r="S209" s="723" t="s">
        <v>73</v>
      </c>
      <c r="T209" s="723" t="s">
        <v>73</v>
      </c>
      <c r="U209" s="723" t="s">
        <v>73</v>
      </c>
      <c r="V209" s="723" t="s">
        <v>73</v>
      </c>
      <c r="W209" s="723" t="s">
        <v>73</v>
      </c>
      <c r="X209" s="723" t="s">
        <v>73</v>
      </c>
      <c r="Y209" s="723" t="s">
        <v>73</v>
      </c>
      <c r="Z209" s="723" t="s">
        <v>73</v>
      </c>
      <c r="AA209" s="723" t="s">
        <v>73</v>
      </c>
      <c r="AB209" s="723" t="s">
        <v>73</v>
      </c>
      <c r="AC209" s="723" t="s">
        <v>73</v>
      </c>
      <c r="AD209" s="723" t="s">
        <v>73</v>
      </c>
      <c r="AE209" s="723" t="s">
        <v>73</v>
      </c>
      <c r="AF209" s="723" t="s">
        <v>73</v>
      </c>
    </row>
    <row r="210" spans="1:32" x14ac:dyDescent="0.25">
      <c r="A210" s="839"/>
      <c r="B210" s="550"/>
      <c r="C210" s="539"/>
      <c r="D210" s="539"/>
      <c r="E210" s="539"/>
      <c r="F210" s="539"/>
      <c r="G210" s="723" t="s">
        <v>73</v>
      </c>
      <c r="H210" s="723" t="s">
        <v>73</v>
      </c>
      <c r="I210" s="723" t="s">
        <v>73</v>
      </c>
      <c r="J210" s="723" t="s">
        <v>73</v>
      </c>
      <c r="K210" s="723" t="s">
        <v>73</v>
      </c>
      <c r="L210" s="723" t="s">
        <v>73</v>
      </c>
      <c r="M210" s="723" t="s">
        <v>73</v>
      </c>
      <c r="N210" s="723" t="s">
        <v>73</v>
      </c>
      <c r="O210" s="723" t="s">
        <v>73</v>
      </c>
      <c r="P210" s="723" t="s">
        <v>73</v>
      </c>
      <c r="Q210" s="723" t="s">
        <v>73</v>
      </c>
      <c r="R210" s="723" t="s">
        <v>73</v>
      </c>
      <c r="S210" s="723" t="s">
        <v>73</v>
      </c>
      <c r="T210" s="723" t="s">
        <v>73</v>
      </c>
      <c r="U210" s="723" t="s">
        <v>73</v>
      </c>
      <c r="V210" s="723" t="s">
        <v>73</v>
      </c>
      <c r="W210" s="723" t="s">
        <v>73</v>
      </c>
      <c r="X210" s="723" t="s">
        <v>73</v>
      </c>
      <c r="Y210" s="723" t="s">
        <v>73</v>
      </c>
      <c r="Z210" s="723" t="s">
        <v>73</v>
      </c>
      <c r="AA210" s="723" t="s">
        <v>73</v>
      </c>
      <c r="AB210" s="723" t="s">
        <v>73</v>
      </c>
      <c r="AC210" s="723" t="s">
        <v>73</v>
      </c>
      <c r="AD210" s="723" t="s">
        <v>73</v>
      </c>
      <c r="AE210" s="723" t="s">
        <v>73</v>
      </c>
      <c r="AF210" s="723" t="s">
        <v>73</v>
      </c>
    </row>
    <row r="211" spans="1:32" s="202" customFormat="1" ht="12.75" x14ac:dyDescent="0.2">
      <c r="A211" s="843" t="s">
        <v>42</v>
      </c>
      <c r="B211" s="556"/>
      <c r="C211" s="556"/>
      <c r="D211" s="556"/>
      <c r="E211" s="556"/>
      <c r="F211" s="556"/>
      <c r="G211" s="724" t="s">
        <v>73</v>
      </c>
      <c r="H211" s="724" t="s">
        <v>73</v>
      </c>
      <c r="I211" s="724" t="s">
        <v>73</v>
      </c>
      <c r="J211" s="724" t="s">
        <v>73</v>
      </c>
      <c r="K211" s="724" t="s">
        <v>73</v>
      </c>
      <c r="L211" s="724" t="s">
        <v>73</v>
      </c>
      <c r="M211" s="724" t="s">
        <v>73</v>
      </c>
      <c r="N211" s="724" t="s">
        <v>73</v>
      </c>
      <c r="O211" s="724" t="s">
        <v>73</v>
      </c>
      <c r="P211" s="724" t="s">
        <v>73</v>
      </c>
      <c r="Q211" s="724" t="s">
        <v>73</v>
      </c>
      <c r="R211" s="724" t="s">
        <v>73</v>
      </c>
      <c r="S211" s="724" t="s">
        <v>73</v>
      </c>
      <c r="T211" s="724" t="s">
        <v>73</v>
      </c>
      <c r="U211" s="724" t="s">
        <v>73</v>
      </c>
      <c r="V211" s="724" t="s">
        <v>73</v>
      </c>
      <c r="W211" s="724" t="s">
        <v>73</v>
      </c>
      <c r="X211" s="724" t="s">
        <v>73</v>
      </c>
      <c r="Y211" s="724" t="s">
        <v>73</v>
      </c>
      <c r="Z211" s="724" t="s">
        <v>73</v>
      </c>
      <c r="AA211" s="724" t="s">
        <v>73</v>
      </c>
      <c r="AB211" s="724" t="s">
        <v>73</v>
      </c>
      <c r="AC211" s="724" t="s">
        <v>73</v>
      </c>
      <c r="AD211" s="724" t="s">
        <v>73</v>
      </c>
      <c r="AE211" s="724" t="s">
        <v>73</v>
      </c>
      <c r="AF211" s="724" t="s">
        <v>73</v>
      </c>
    </row>
    <row r="212" spans="1:32" x14ac:dyDescent="0.25">
      <c r="A212" s="839"/>
      <c r="B212" s="552" t="s">
        <v>43</v>
      </c>
      <c r="C212" s="539"/>
      <c r="D212" s="539"/>
      <c r="E212" s="539"/>
      <c r="F212" s="539"/>
      <c r="G212" s="723" t="s">
        <v>73</v>
      </c>
      <c r="H212" s="723" t="s">
        <v>73</v>
      </c>
      <c r="I212" s="723" t="s">
        <v>73</v>
      </c>
      <c r="J212" s="723" t="s">
        <v>73</v>
      </c>
      <c r="K212" s="723" t="s">
        <v>73</v>
      </c>
      <c r="L212" s="723" t="s">
        <v>73</v>
      </c>
      <c r="M212" s="723" t="s">
        <v>73</v>
      </c>
      <c r="N212" s="723" t="s">
        <v>73</v>
      </c>
      <c r="O212" s="723" t="s">
        <v>73</v>
      </c>
      <c r="P212" s="723" t="s">
        <v>73</v>
      </c>
      <c r="Q212" s="723" t="s">
        <v>73</v>
      </c>
      <c r="R212" s="723" t="s">
        <v>73</v>
      </c>
      <c r="S212" s="723" t="s">
        <v>73</v>
      </c>
      <c r="T212" s="723" t="s">
        <v>73</v>
      </c>
      <c r="U212" s="723" t="s">
        <v>73</v>
      </c>
      <c r="V212" s="723" t="s">
        <v>73</v>
      </c>
      <c r="W212" s="723" t="s">
        <v>73</v>
      </c>
      <c r="X212" s="723" t="s">
        <v>73</v>
      </c>
      <c r="Y212" s="723" t="s">
        <v>73</v>
      </c>
      <c r="Z212" s="723" t="s">
        <v>73</v>
      </c>
      <c r="AA212" s="723" t="s">
        <v>73</v>
      </c>
      <c r="AB212" s="723" t="s">
        <v>73</v>
      </c>
      <c r="AC212" s="723" t="s">
        <v>73</v>
      </c>
      <c r="AD212" s="723" t="s">
        <v>73</v>
      </c>
      <c r="AE212" s="723" t="s">
        <v>73</v>
      </c>
      <c r="AF212" s="723" t="s">
        <v>73</v>
      </c>
    </row>
    <row r="213" spans="1:32" x14ac:dyDescent="0.25">
      <c r="A213" s="839"/>
      <c r="B213" s="552" t="s">
        <v>44</v>
      </c>
      <c r="C213" s="539"/>
      <c r="D213" s="539"/>
      <c r="E213" s="539"/>
      <c r="F213" s="539"/>
      <c r="G213" s="723" t="s">
        <v>73</v>
      </c>
      <c r="H213" s="723" t="s">
        <v>73</v>
      </c>
      <c r="I213" s="723" t="s">
        <v>73</v>
      </c>
      <c r="J213" s="723" t="s">
        <v>73</v>
      </c>
      <c r="K213" s="723" t="s">
        <v>73</v>
      </c>
      <c r="L213" s="723" t="s">
        <v>73</v>
      </c>
      <c r="M213" s="723" t="s">
        <v>73</v>
      </c>
      <c r="N213" s="723" t="s">
        <v>73</v>
      </c>
      <c r="O213" s="723" t="s">
        <v>73</v>
      </c>
      <c r="P213" s="723" t="s">
        <v>73</v>
      </c>
      <c r="Q213" s="723" t="s">
        <v>73</v>
      </c>
      <c r="R213" s="723" t="s">
        <v>73</v>
      </c>
      <c r="S213" s="723" t="s">
        <v>73</v>
      </c>
      <c r="T213" s="723" t="s">
        <v>73</v>
      </c>
      <c r="U213" s="723" t="s">
        <v>73</v>
      </c>
      <c r="V213" s="723" t="s">
        <v>73</v>
      </c>
      <c r="W213" s="723" t="s">
        <v>73</v>
      </c>
      <c r="X213" s="723" t="s">
        <v>73</v>
      </c>
      <c r="Y213" s="723" t="s">
        <v>73</v>
      </c>
      <c r="Z213" s="723" t="s">
        <v>73</v>
      </c>
      <c r="AA213" s="723" t="s">
        <v>73</v>
      </c>
      <c r="AB213" s="723" t="s">
        <v>73</v>
      </c>
      <c r="AC213" s="723" t="s">
        <v>73</v>
      </c>
      <c r="AD213" s="723" t="s">
        <v>73</v>
      </c>
      <c r="AE213" s="723" t="s">
        <v>73</v>
      </c>
      <c r="AF213" s="723" t="s">
        <v>73</v>
      </c>
    </row>
    <row r="214" spans="1:32" x14ac:dyDescent="0.25">
      <c r="A214" s="839"/>
      <c r="B214" s="552" t="s">
        <v>45</v>
      </c>
      <c r="C214" s="539"/>
      <c r="D214" s="539"/>
      <c r="E214" s="539"/>
      <c r="F214" s="539"/>
      <c r="G214" s="723" t="s">
        <v>73</v>
      </c>
      <c r="H214" s="723" t="s">
        <v>73</v>
      </c>
      <c r="I214" s="723" t="s">
        <v>73</v>
      </c>
      <c r="J214" s="723" t="s">
        <v>73</v>
      </c>
      <c r="K214" s="723" t="s">
        <v>73</v>
      </c>
      <c r="L214" s="723" t="s">
        <v>73</v>
      </c>
      <c r="M214" s="723" t="s">
        <v>73</v>
      </c>
      <c r="N214" s="723" t="s">
        <v>73</v>
      </c>
      <c r="O214" s="723" t="s">
        <v>73</v>
      </c>
      <c r="P214" s="723" t="s">
        <v>73</v>
      </c>
      <c r="Q214" s="723" t="s">
        <v>73</v>
      </c>
      <c r="R214" s="723" t="s">
        <v>73</v>
      </c>
      <c r="S214" s="723" t="s">
        <v>73</v>
      </c>
      <c r="T214" s="723" t="s">
        <v>73</v>
      </c>
      <c r="U214" s="723" t="s">
        <v>73</v>
      </c>
      <c r="V214" s="723" t="s">
        <v>73</v>
      </c>
      <c r="W214" s="723" t="s">
        <v>73</v>
      </c>
      <c r="X214" s="723" t="s">
        <v>73</v>
      </c>
      <c r="Y214" s="723" t="s">
        <v>73</v>
      </c>
      <c r="Z214" s="723" t="s">
        <v>73</v>
      </c>
      <c r="AA214" s="723" t="s">
        <v>73</v>
      </c>
      <c r="AB214" s="723" t="s">
        <v>73</v>
      </c>
      <c r="AC214" s="723" t="s">
        <v>73</v>
      </c>
      <c r="AD214" s="723" t="s">
        <v>73</v>
      </c>
      <c r="AE214" s="723" t="s">
        <v>73</v>
      </c>
      <c r="AF214" s="723" t="s">
        <v>73</v>
      </c>
    </row>
    <row r="215" spans="1:32" x14ac:dyDescent="0.25">
      <c r="A215" s="839"/>
      <c r="B215" s="552" t="s">
        <v>46</v>
      </c>
      <c r="C215" s="539"/>
      <c r="D215" s="539"/>
      <c r="E215" s="539"/>
      <c r="F215" s="539"/>
      <c r="G215" s="723" t="s">
        <v>73</v>
      </c>
      <c r="H215" s="723" t="s">
        <v>73</v>
      </c>
      <c r="I215" s="723" t="s">
        <v>73</v>
      </c>
      <c r="J215" s="723" t="s">
        <v>73</v>
      </c>
      <c r="K215" s="723" t="s">
        <v>73</v>
      </c>
      <c r="L215" s="723" t="s">
        <v>73</v>
      </c>
      <c r="M215" s="723" t="s">
        <v>73</v>
      </c>
      <c r="N215" s="723" t="s">
        <v>73</v>
      </c>
      <c r="O215" s="723" t="s">
        <v>73</v>
      </c>
      <c r="P215" s="723" t="s">
        <v>73</v>
      </c>
      <c r="Q215" s="723" t="s">
        <v>73</v>
      </c>
      <c r="R215" s="723" t="s">
        <v>73</v>
      </c>
      <c r="S215" s="723" t="s">
        <v>73</v>
      </c>
      <c r="T215" s="723" t="s">
        <v>73</v>
      </c>
      <c r="U215" s="723" t="s">
        <v>73</v>
      </c>
      <c r="V215" s="723" t="s">
        <v>73</v>
      </c>
      <c r="W215" s="723" t="s">
        <v>73</v>
      </c>
      <c r="X215" s="723" t="s">
        <v>73</v>
      </c>
      <c r="Y215" s="723" t="s">
        <v>73</v>
      </c>
      <c r="Z215" s="723" t="s">
        <v>73</v>
      </c>
      <c r="AA215" s="723" t="s">
        <v>73</v>
      </c>
      <c r="AB215" s="723" t="s">
        <v>73</v>
      </c>
      <c r="AC215" s="723" t="s">
        <v>73</v>
      </c>
      <c r="AD215" s="723" t="s">
        <v>73</v>
      </c>
      <c r="AE215" s="723" t="s">
        <v>73</v>
      </c>
      <c r="AF215" s="723" t="s">
        <v>73</v>
      </c>
    </row>
    <row r="216" spans="1:32" x14ac:dyDescent="0.25">
      <c r="A216" s="839"/>
      <c r="B216" s="550" t="s">
        <v>29</v>
      </c>
      <c r="C216" s="539"/>
      <c r="D216" s="539"/>
      <c r="E216" s="539"/>
      <c r="F216" s="539"/>
      <c r="G216" s="723" t="s">
        <v>73</v>
      </c>
      <c r="H216" s="723" t="s">
        <v>73</v>
      </c>
      <c r="I216" s="723" t="s">
        <v>73</v>
      </c>
      <c r="J216" s="723" t="s">
        <v>73</v>
      </c>
      <c r="K216" s="723" t="s">
        <v>73</v>
      </c>
      <c r="L216" s="723" t="s">
        <v>73</v>
      </c>
      <c r="M216" s="723" t="s">
        <v>73</v>
      </c>
      <c r="N216" s="723" t="s">
        <v>73</v>
      </c>
      <c r="O216" s="723" t="s">
        <v>73</v>
      </c>
      <c r="P216" s="723" t="s">
        <v>73</v>
      </c>
      <c r="Q216" s="723" t="s">
        <v>73</v>
      </c>
      <c r="R216" s="723" t="s">
        <v>73</v>
      </c>
      <c r="S216" s="723" t="s">
        <v>73</v>
      </c>
      <c r="T216" s="723" t="s">
        <v>73</v>
      </c>
      <c r="U216" s="723" t="s">
        <v>73</v>
      </c>
      <c r="V216" s="723" t="s">
        <v>73</v>
      </c>
      <c r="W216" s="723" t="s">
        <v>73</v>
      </c>
      <c r="X216" s="723" t="s">
        <v>73</v>
      </c>
      <c r="Y216" s="723" t="s">
        <v>73</v>
      </c>
      <c r="Z216" s="723" t="s">
        <v>73</v>
      </c>
      <c r="AA216" s="723" t="s">
        <v>73</v>
      </c>
      <c r="AB216" s="723" t="s">
        <v>73</v>
      </c>
      <c r="AC216" s="723" t="s">
        <v>73</v>
      </c>
      <c r="AD216" s="723" t="s">
        <v>73</v>
      </c>
      <c r="AE216" s="723" t="s">
        <v>73</v>
      </c>
      <c r="AF216" s="723" t="s">
        <v>73</v>
      </c>
    </row>
    <row r="217" spans="1:32" x14ac:dyDescent="0.25">
      <c r="A217" s="839"/>
      <c r="B217" s="550"/>
      <c r="C217" s="539"/>
      <c r="D217" s="539"/>
      <c r="E217" s="539"/>
      <c r="F217" s="539"/>
      <c r="G217" s="723" t="s">
        <v>73</v>
      </c>
      <c r="H217" s="723" t="s">
        <v>73</v>
      </c>
      <c r="I217" s="723" t="s">
        <v>73</v>
      </c>
      <c r="J217" s="723" t="s">
        <v>73</v>
      </c>
      <c r="K217" s="723" t="s">
        <v>73</v>
      </c>
      <c r="L217" s="723" t="s">
        <v>73</v>
      </c>
      <c r="M217" s="723" t="s">
        <v>73</v>
      </c>
      <c r="N217" s="723" t="s">
        <v>73</v>
      </c>
      <c r="O217" s="723" t="s">
        <v>73</v>
      </c>
      <c r="P217" s="723" t="s">
        <v>73</v>
      </c>
      <c r="Q217" s="723" t="s">
        <v>73</v>
      </c>
      <c r="R217" s="723" t="s">
        <v>73</v>
      </c>
      <c r="S217" s="723" t="s">
        <v>73</v>
      </c>
      <c r="T217" s="723" t="s">
        <v>73</v>
      </c>
      <c r="U217" s="723" t="s">
        <v>73</v>
      </c>
      <c r="V217" s="723" t="s">
        <v>73</v>
      </c>
      <c r="W217" s="723" t="s">
        <v>73</v>
      </c>
      <c r="X217" s="723" t="s">
        <v>73</v>
      </c>
      <c r="Y217" s="723" t="s">
        <v>73</v>
      </c>
      <c r="Z217" s="723" t="s">
        <v>73</v>
      </c>
      <c r="AA217" s="723" t="s">
        <v>73</v>
      </c>
      <c r="AB217" s="723" t="s">
        <v>73</v>
      </c>
      <c r="AC217" s="723" t="s">
        <v>73</v>
      </c>
      <c r="AD217" s="723" t="s">
        <v>73</v>
      </c>
      <c r="AE217" s="723" t="s">
        <v>73</v>
      </c>
      <c r="AF217" s="723" t="s">
        <v>73</v>
      </c>
    </row>
    <row r="218" spans="1:32" s="202" customFormat="1" ht="12.75" x14ac:dyDescent="0.2">
      <c r="A218" s="843" t="s">
        <v>47</v>
      </c>
      <c r="B218" s="556"/>
      <c r="C218" s="556"/>
      <c r="D218" s="556"/>
      <c r="E218" s="556"/>
      <c r="F218" s="556"/>
      <c r="G218" s="724" t="s">
        <v>73</v>
      </c>
      <c r="H218" s="724" t="s">
        <v>73</v>
      </c>
      <c r="I218" s="724" t="s">
        <v>73</v>
      </c>
      <c r="J218" s="724" t="s">
        <v>73</v>
      </c>
      <c r="K218" s="724" t="s">
        <v>73</v>
      </c>
      <c r="L218" s="724" t="s">
        <v>73</v>
      </c>
      <c r="M218" s="724" t="s">
        <v>73</v>
      </c>
      <c r="N218" s="724" t="s">
        <v>73</v>
      </c>
      <c r="O218" s="724" t="s">
        <v>73</v>
      </c>
      <c r="P218" s="724" t="s">
        <v>73</v>
      </c>
      <c r="Q218" s="724" t="s">
        <v>73</v>
      </c>
      <c r="R218" s="724" t="s">
        <v>73</v>
      </c>
      <c r="S218" s="724" t="s">
        <v>73</v>
      </c>
      <c r="T218" s="724" t="s">
        <v>73</v>
      </c>
      <c r="U218" s="724" t="s">
        <v>73</v>
      </c>
      <c r="V218" s="724" t="s">
        <v>73</v>
      </c>
      <c r="W218" s="724" t="s">
        <v>73</v>
      </c>
      <c r="X218" s="724" t="s">
        <v>73</v>
      </c>
      <c r="Y218" s="724" t="s">
        <v>73</v>
      </c>
      <c r="Z218" s="724" t="s">
        <v>73</v>
      </c>
      <c r="AA218" s="724" t="s">
        <v>73</v>
      </c>
      <c r="AB218" s="724" t="s">
        <v>73</v>
      </c>
      <c r="AC218" s="724" t="s">
        <v>73</v>
      </c>
      <c r="AD218" s="724" t="s">
        <v>73</v>
      </c>
      <c r="AE218" s="724" t="s">
        <v>73</v>
      </c>
      <c r="AF218" s="724" t="s">
        <v>73</v>
      </c>
    </row>
    <row r="219" spans="1:32" x14ac:dyDescent="0.25">
      <c r="A219" s="839"/>
      <c r="B219" s="550" t="s">
        <v>48</v>
      </c>
      <c r="C219" s="539"/>
      <c r="D219" s="539"/>
      <c r="E219" s="539"/>
      <c r="F219" s="539"/>
      <c r="G219" s="723" t="s">
        <v>73</v>
      </c>
      <c r="H219" s="723" t="s">
        <v>73</v>
      </c>
      <c r="I219" s="723" t="s">
        <v>73</v>
      </c>
      <c r="J219" s="723" t="s">
        <v>73</v>
      </c>
      <c r="K219" s="723" t="s">
        <v>73</v>
      </c>
      <c r="L219" s="723" t="s">
        <v>73</v>
      </c>
      <c r="M219" s="723" t="s">
        <v>73</v>
      </c>
      <c r="N219" s="723" t="s">
        <v>73</v>
      </c>
      <c r="O219" s="723" t="s">
        <v>73</v>
      </c>
      <c r="P219" s="723" t="s">
        <v>73</v>
      </c>
      <c r="Q219" s="723" t="s">
        <v>73</v>
      </c>
      <c r="R219" s="723" t="s">
        <v>73</v>
      </c>
      <c r="S219" s="723" t="s">
        <v>73</v>
      </c>
      <c r="T219" s="723" t="s">
        <v>73</v>
      </c>
      <c r="U219" s="723" t="s">
        <v>73</v>
      </c>
      <c r="V219" s="723" t="s">
        <v>73</v>
      </c>
      <c r="W219" s="723" t="s">
        <v>73</v>
      </c>
      <c r="X219" s="723" t="s">
        <v>73</v>
      </c>
      <c r="Y219" s="723" t="s">
        <v>73</v>
      </c>
      <c r="Z219" s="723" t="s">
        <v>73</v>
      </c>
      <c r="AA219" s="723" t="s">
        <v>73</v>
      </c>
      <c r="AB219" s="723" t="s">
        <v>73</v>
      </c>
      <c r="AC219" s="723" t="s">
        <v>73</v>
      </c>
      <c r="AD219" s="723" t="s">
        <v>73</v>
      </c>
      <c r="AE219" s="723" t="s">
        <v>73</v>
      </c>
      <c r="AF219" s="723" t="s">
        <v>73</v>
      </c>
    </row>
    <row r="220" spans="1:32" x14ac:dyDescent="0.25">
      <c r="A220" s="839"/>
      <c r="B220" s="552" t="s">
        <v>50</v>
      </c>
      <c r="C220" s="539"/>
      <c r="D220" s="539"/>
      <c r="E220" s="539"/>
      <c r="F220" s="539"/>
      <c r="G220" s="723" t="s">
        <v>73</v>
      </c>
      <c r="H220" s="723" t="s">
        <v>73</v>
      </c>
      <c r="I220" s="723" t="s">
        <v>73</v>
      </c>
      <c r="J220" s="723" t="s">
        <v>73</v>
      </c>
      <c r="K220" s="723" t="s">
        <v>73</v>
      </c>
      <c r="L220" s="723" t="s">
        <v>73</v>
      </c>
      <c r="M220" s="723" t="s">
        <v>73</v>
      </c>
      <c r="N220" s="723" t="s">
        <v>73</v>
      </c>
      <c r="O220" s="723" t="s">
        <v>73</v>
      </c>
      <c r="P220" s="723" t="s">
        <v>73</v>
      </c>
      <c r="Q220" s="723" t="s">
        <v>73</v>
      </c>
      <c r="R220" s="723" t="s">
        <v>73</v>
      </c>
      <c r="S220" s="723" t="s">
        <v>73</v>
      </c>
      <c r="T220" s="723" t="s">
        <v>73</v>
      </c>
      <c r="U220" s="723" t="s">
        <v>73</v>
      </c>
      <c r="V220" s="723" t="s">
        <v>73</v>
      </c>
      <c r="W220" s="723" t="s">
        <v>73</v>
      </c>
      <c r="X220" s="723" t="s">
        <v>73</v>
      </c>
      <c r="Y220" s="723" t="s">
        <v>73</v>
      </c>
      <c r="Z220" s="723" t="s">
        <v>73</v>
      </c>
      <c r="AA220" s="723" t="s">
        <v>73</v>
      </c>
      <c r="AB220" s="723" t="s">
        <v>73</v>
      </c>
      <c r="AC220" s="723" t="s">
        <v>73</v>
      </c>
      <c r="AD220" s="723" t="s">
        <v>73</v>
      </c>
      <c r="AE220" s="723" t="s">
        <v>73</v>
      </c>
      <c r="AF220" s="723" t="s">
        <v>73</v>
      </c>
    </row>
    <row r="221" spans="1:32" x14ac:dyDescent="0.25">
      <c r="A221" s="839"/>
      <c r="B221" s="550" t="s">
        <v>51</v>
      </c>
      <c r="C221" s="539"/>
      <c r="D221" s="539"/>
      <c r="E221" s="539"/>
      <c r="F221" s="539"/>
      <c r="G221" s="723" t="s">
        <v>73</v>
      </c>
      <c r="H221" s="723" t="s">
        <v>73</v>
      </c>
      <c r="I221" s="723" t="s">
        <v>73</v>
      </c>
      <c r="J221" s="723" t="s">
        <v>73</v>
      </c>
      <c r="K221" s="723" t="s">
        <v>73</v>
      </c>
      <c r="L221" s="723" t="s">
        <v>73</v>
      </c>
      <c r="M221" s="723" t="s">
        <v>73</v>
      </c>
      <c r="N221" s="723" t="s">
        <v>73</v>
      </c>
      <c r="O221" s="723" t="s">
        <v>73</v>
      </c>
      <c r="P221" s="723" t="s">
        <v>73</v>
      </c>
      <c r="Q221" s="723" t="s">
        <v>73</v>
      </c>
      <c r="R221" s="723" t="s">
        <v>73</v>
      </c>
      <c r="S221" s="723" t="s">
        <v>73</v>
      </c>
      <c r="T221" s="723" t="s">
        <v>73</v>
      </c>
      <c r="U221" s="723" t="s">
        <v>73</v>
      </c>
      <c r="V221" s="723" t="s">
        <v>73</v>
      </c>
      <c r="W221" s="723" t="s">
        <v>73</v>
      </c>
      <c r="X221" s="723" t="s">
        <v>73</v>
      </c>
      <c r="Y221" s="723" t="s">
        <v>73</v>
      </c>
      <c r="Z221" s="723" t="s">
        <v>73</v>
      </c>
      <c r="AA221" s="723" t="s">
        <v>73</v>
      </c>
      <c r="AB221" s="723" t="s">
        <v>73</v>
      </c>
      <c r="AC221" s="723" t="s">
        <v>73</v>
      </c>
      <c r="AD221" s="723" t="s">
        <v>73</v>
      </c>
      <c r="AE221" s="723" t="s">
        <v>73</v>
      </c>
      <c r="AF221" s="723" t="s">
        <v>73</v>
      </c>
    </row>
    <row r="222" spans="1:32" x14ac:dyDescent="0.25">
      <c r="A222" s="839"/>
      <c r="B222" s="550" t="s">
        <v>52</v>
      </c>
      <c r="C222" s="539"/>
      <c r="D222" s="539"/>
      <c r="E222" s="539"/>
      <c r="F222" s="539"/>
      <c r="G222" s="723" t="s">
        <v>73</v>
      </c>
      <c r="H222" s="723" t="s">
        <v>73</v>
      </c>
      <c r="I222" s="723" t="s">
        <v>73</v>
      </c>
      <c r="J222" s="723" t="s">
        <v>73</v>
      </c>
      <c r="K222" s="723" t="s">
        <v>73</v>
      </c>
      <c r="L222" s="723" t="s">
        <v>73</v>
      </c>
      <c r="M222" s="723" t="s">
        <v>73</v>
      </c>
      <c r="N222" s="723" t="s">
        <v>73</v>
      </c>
      <c r="O222" s="723" t="s">
        <v>73</v>
      </c>
      <c r="P222" s="723" t="s">
        <v>73</v>
      </c>
      <c r="Q222" s="723" t="s">
        <v>73</v>
      </c>
      <c r="R222" s="723" t="s">
        <v>73</v>
      </c>
      <c r="S222" s="723" t="s">
        <v>73</v>
      </c>
      <c r="T222" s="723" t="s">
        <v>73</v>
      </c>
      <c r="U222" s="723" t="s">
        <v>73</v>
      </c>
      <c r="V222" s="723" t="s">
        <v>73</v>
      </c>
      <c r="W222" s="723" t="s">
        <v>73</v>
      </c>
      <c r="X222" s="723" t="s">
        <v>73</v>
      </c>
      <c r="Y222" s="723" t="s">
        <v>73</v>
      </c>
      <c r="Z222" s="723" t="s">
        <v>73</v>
      </c>
      <c r="AA222" s="723" t="s">
        <v>73</v>
      </c>
      <c r="AB222" s="723" t="s">
        <v>73</v>
      </c>
      <c r="AC222" s="723" t="s">
        <v>73</v>
      </c>
      <c r="AD222" s="723" t="s">
        <v>73</v>
      </c>
      <c r="AE222" s="723" t="s">
        <v>73</v>
      </c>
      <c r="AF222" s="723" t="s">
        <v>73</v>
      </c>
    </row>
    <row r="223" spans="1:32" x14ac:dyDescent="0.25">
      <c r="A223" s="839"/>
      <c r="B223" s="552" t="s">
        <v>29</v>
      </c>
      <c r="C223" s="539"/>
      <c r="D223" s="539"/>
      <c r="E223" s="539"/>
      <c r="F223" s="539"/>
      <c r="G223" s="723" t="s">
        <v>73</v>
      </c>
      <c r="H223" s="723" t="s">
        <v>73</v>
      </c>
      <c r="I223" s="723" t="s">
        <v>73</v>
      </c>
      <c r="J223" s="723" t="s">
        <v>73</v>
      </c>
      <c r="K223" s="723" t="s">
        <v>73</v>
      </c>
      <c r="L223" s="723" t="s">
        <v>73</v>
      </c>
      <c r="M223" s="723" t="s">
        <v>73</v>
      </c>
      <c r="N223" s="723" t="s">
        <v>73</v>
      </c>
      <c r="O223" s="723" t="s">
        <v>73</v>
      </c>
      <c r="P223" s="723" t="s">
        <v>73</v>
      </c>
      <c r="Q223" s="723" t="s">
        <v>73</v>
      </c>
      <c r="R223" s="723" t="s">
        <v>73</v>
      </c>
      <c r="S223" s="723" t="s">
        <v>73</v>
      </c>
      <c r="T223" s="723" t="s">
        <v>73</v>
      </c>
      <c r="U223" s="723" t="s">
        <v>73</v>
      </c>
      <c r="V223" s="723" t="s">
        <v>73</v>
      </c>
      <c r="W223" s="723" t="s">
        <v>73</v>
      </c>
      <c r="X223" s="723" t="s">
        <v>73</v>
      </c>
      <c r="Y223" s="723" t="s">
        <v>73</v>
      </c>
      <c r="Z223" s="723" t="s">
        <v>73</v>
      </c>
      <c r="AA223" s="723" t="s">
        <v>73</v>
      </c>
      <c r="AB223" s="723" t="s">
        <v>73</v>
      </c>
      <c r="AC223" s="723" t="s">
        <v>73</v>
      </c>
      <c r="AD223" s="723" t="s">
        <v>73</v>
      </c>
      <c r="AE223" s="723" t="s">
        <v>73</v>
      </c>
      <c r="AF223" s="723" t="s">
        <v>73</v>
      </c>
    </row>
    <row r="224" spans="1:32" x14ac:dyDescent="0.25">
      <c r="A224" s="839"/>
      <c r="B224" s="552" t="s">
        <v>53</v>
      </c>
      <c r="C224" s="539"/>
      <c r="D224" s="539"/>
      <c r="E224" s="539"/>
      <c r="F224" s="539"/>
      <c r="G224" s="723" t="s">
        <v>73</v>
      </c>
      <c r="H224" s="723" t="s">
        <v>73</v>
      </c>
      <c r="I224" s="723" t="s">
        <v>73</v>
      </c>
      <c r="J224" s="723" t="s">
        <v>73</v>
      </c>
      <c r="K224" s="723" t="s">
        <v>73</v>
      </c>
      <c r="L224" s="723" t="s">
        <v>73</v>
      </c>
      <c r="M224" s="723" t="s">
        <v>73</v>
      </c>
      <c r="N224" s="723" t="s">
        <v>73</v>
      </c>
      <c r="O224" s="723" t="s">
        <v>73</v>
      </c>
      <c r="P224" s="723" t="s">
        <v>73</v>
      </c>
      <c r="Q224" s="723" t="s">
        <v>73</v>
      </c>
      <c r="R224" s="723" t="s">
        <v>73</v>
      </c>
      <c r="S224" s="723" t="s">
        <v>73</v>
      </c>
      <c r="T224" s="723" t="s">
        <v>73</v>
      </c>
      <c r="U224" s="723" t="s">
        <v>73</v>
      </c>
      <c r="V224" s="723" t="s">
        <v>73</v>
      </c>
      <c r="W224" s="723" t="s">
        <v>73</v>
      </c>
      <c r="X224" s="723" t="s">
        <v>73</v>
      </c>
      <c r="Y224" s="723" t="s">
        <v>73</v>
      </c>
      <c r="Z224" s="723" t="s">
        <v>73</v>
      </c>
      <c r="AA224" s="723" t="s">
        <v>73</v>
      </c>
      <c r="AB224" s="723" t="s">
        <v>73</v>
      </c>
      <c r="AC224" s="723" t="s">
        <v>73</v>
      </c>
      <c r="AD224" s="723" t="s">
        <v>73</v>
      </c>
      <c r="AE224" s="723" t="s">
        <v>73</v>
      </c>
      <c r="AF224" s="723" t="s">
        <v>73</v>
      </c>
    </row>
    <row r="225" spans="1:32" x14ac:dyDescent="0.25">
      <c r="A225" s="838"/>
    </row>
    <row r="226" spans="1:32" x14ac:dyDescent="0.25">
      <c r="A226" s="838"/>
    </row>
    <row r="227" spans="1:32" s="838" customFormat="1" x14ac:dyDescent="0.25">
      <c r="A227" s="860" t="s">
        <v>705</v>
      </c>
      <c r="B227" s="861"/>
      <c r="C227" s="860"/>
      <c r="D227" s="859"/>
      <c r="E227" s="859"/>
      <c r="F227" s="859"/>
      <c r="G227" s="859" t="s">
        <v>706</v>
      </c>
      <c r="H227" s="862"/>
      <c r="I227" s="862"/>
      <c r="J227" s="862"/>
      <c r="K227" s="862"/>
      <c r="L227" s="862"/>
      <c r="M227" s="862"/>
      <c r="N227" s="862"/>
      <c r="O227" s="862"/>
      <c r="P227" s="862"/>
      <c r="Q227" s="862"/>
      <c r="R227" s="862"/>
      <c r="S227" s="862"/>
      <c r="T227" s="862"/>
      <c r="U227" s="862"/>
      <c r="V227" s="862"/>
      <c r="W227" s="862"/>
      <c r="X227" s="862"/>
      <c r="Y227" s="862"/>
      <c r="Z227" s="862"/>
      <c r="AA227" s="862"/>
      <c r="AB227" s="862"/>
      <c r="AC227" s="862"/>
      <c r="AD227" s="862"/>
      <c r="AE227" s="862"/>
      <c r="AF227" s="862"/>
    </row>
    <row r="228" spans="1:32" s="838" customFormat="1" x14ac:dyDescent="0.25">
      <c r="A228" s="840" t="s">
        <v>12</v>
      </c>
      <c r="B228" s="839"/>
    </row>
    <row r="229" spans="1:32" s="838" customFormat="1" x14ac:dyDescent="0.25">
      <c r="A229" s="839"/>
      <c r="B229" s="839" t="s">
        <v>20</v>
      </c>
    </row>
    <row r="230" spans="1:32" s="856" customFormat="1" ht="12.75" x14ac:dyDescent="0.2">
      <c r="A230" s="843" t="s">
        <v>21</v>
      </c>
      <c r="B230" s="843"/>
      <c r="C230" s="843"/>
      <c r="D230" s="843"/>
      <c r="E230" s="843"/>
      <c r="F230" s="843"/>
      <c r="G230" s="843"/>
      <c r="H230" s="843"/>
      <c r="I230" s="843"/>
      <c r="J230" s="843"/>
      <c r="K230" s="843"/>
      <c r="L230" s="843"/>
      <c r="M230" s="843"/>
      <c r="N230" s="843"/>
      <c r="O230" s="843"/>
      <c r="P230" s="843"/>
      <c r="Q230" s="843"/>
      <c r="R230" s="843"/>
      <c r="S230" s="843"/>
      <c r="T230" s="843"/>
      <c r="U230" s="843"/>
      <c r="V230" s="843"/>
      <c r="W230" s="843"/>
      <c r="X230" s="843"/>
      <c r="Y230" s="843"/>
      <c r="Z230" s="843"/>
      <c r="AA230" s="843"/>
      <c r="AB230" s="843"/>
      <c r="AC230" s="843"/>
      <c r="AD230" s="843"/>
      <c r="AE230" s="843"/>
      <c r="AF230" s="843"/>
    </row>
    <row r="231" spans="1:32" s="864" customFormat="1" x14ac:dyDescent="0.25">
      <c r="A231" s="839"/>
      <c r="B231" s="839" t="s">
        <v>22</v>
      </c>
      <c r="C231" s="838"/>
      <c r="D231" s="838"/>
      <c r="E231" s="838"/>
      <c r="F231" s="838"/>
      <c r="G231" s="890" t="s">
        <v>73</v>
      </c>
      <c r="H231" s="890" t="s">
        <v>73</v>
      </c>
      <c r="I231" s="890" t="s">
        <v>73</v>
      </c>
      <c r="J231" s="890" t="s">
        <v>73</v>
      </c>
      <c r="K231" s="890" t="s">
        <v>73</v>
      </c>
      <c r="L231" s="890" t="s">
        <v>73</v>
      </c>
      <c r="M231" s="890" t="s">
        <v>73</v>
      </c>
      <c r="N231" s="890" t="s">
        <v>73</v>
      </c>
      <c r="O231" s="890" t="s">
        <v>73</v>
      </c>
      <c r="P231" s="890" t="s">
        <v>73</v>
      </c>
      <c r="Q231" s="890" t="s">
        <v>73</v>
      </c>
      <c r="R231" s="890" t="s">
        <v>73</v>
      </c>
      <c r="S231" s="890" t="s">
        <v>73</v>
      </c>
      <c r="T231" s="890" t="s">
        <v>73</v>
      </c>
      <c r="U231" s="890" t="s">
        <v>73</v>
      </c>
      <c r="V231" s="890" t="s">
        <v>73</v>
      </c>
      <c r="W231" s="890" t="s">
        <v>73</v>
      </c>
      <c r="X231" s="890" t="s">
        <v>73</v>
      </c>
      <c r="Y231" s="890" t="s">
        <v>73</v>
      </c>
      <c r="Z231" s="890" t="s">
        <v>73</v>
      </c>
      <c r="AA231" s="890" t="s">
        <v>73</v>
      </c>
      <c r="AB231" s="890" t="s">
        <v>73</v>
      </c>
      <c r="AC231" s="890" t="s">
        <v>73</v>
      </c>
      <c r="AD231" s="890" t="s">
        <v>73</v>
      </c>
      <c r="AE231" s="890" t="s">
        <v>73</v>
      </c>
      <c r="AF231" s="890" t="s">
        <v>73</v>
      </c>
    </row>
    <row r="232" spans="1:32" s="864" customFormat="1" x14ac:dyDescent="0.25">
      <c r="A232" s="839"/>
      <c r="B232" s="839" t="s">
        <v>26</v>
      </c>
      <c r="C232" s="838"/>
      <c r="D232" s="838"/>
      <c r="E232" s="838"/>
      <c r="F232" s="838"/>
      <c r="G232" s="890" t="s">
        <v>73</v>
      </c>
      <c r="H232" s="890" t="s">
        <v>73</v>
      </c>
      <c r="I232" s="890" t="s">
        <v>73</v>
      </c>
      <c r="J232" s="890" t="s">
        <v>73</v>
      </c>
      <c r="K232" s="890" t="s">
        <v>73</v>
      </c>
      <c r="L232" s="890" t="s">
        <v>73</v>
      </c>
      <c r="M232" s="890" t="s">
        <v>73</v>
      </c>
      <c r="N232" s="890" t="s">
        <v>73</v>
      </c>
      <c r="O232" s="890" t="s">
        <v>73</v>
      </c>
      <c r="P232" s="890" t="s">
        <v>73</v>
      </c>
      <c r="Q232" s="890" t="s">
        <v>73</v>
      </c>
      <c r="R232" s="890" t="s">
        <v>73</v>
      </c>
      <c r="S232" s="890" t="s">
        <v>73</v>
      </c>
      <c r="T232" s="890" t="s">
        <v>73</v>
      </c>
      <c r="U232" s="890" t="s">
        <v>73</v>
      </c>
      <c r="V232" s="890" t="s">
        <v>73</v>
      </c>
      <c r="W232" s="890" t="s">
        <v>73</v>
      </c>
      <c r="X232" s="890" t="s">
        <v>73</v>
      </c>
      <c r="Y232" s="890" t="s">
        <v>73</v>
      </c>
      <c r="Z232" s="890" t="s">
        <v>73</v>
      </c>
      <c r="AA232" s="890" t="s">
        <v>73</v>
      </c>
      <c r="AB232" s="890" t="s">
        <v>73</v>
      </c>
      <c r="AC232" s="890" t="s">
        <v>73</v>
      </c>
      <c r="AD232" s="890" t="s">
        <v>73</v>
      </c>
      <c r="AE232" s="890" t="s">
        <v>73</v>
      </c>
      <c r="AF232" s="890" t="s">
        <v>73</v>
      </c>
    </row>
    <row r="233" spans="1:32" s="864" customFormat="1" x14ac:dyDescent="0.25">
      <c r="A233" s="839"/>
      <c r="B233" s="839" t="s">
        <v>27</v>
      </c>
      <c r="C233" s="838"/>
      <c r="D233" s="838"/>
      <c r="E233" s="838"/>
      <c r="F233" s="838"/>
      <c r="G233" s="890" t="s">
        <v>73</v>
      </c>
      <c r="H233" s="890" t="s">
        <v>73</v>
      </c>
      <c r="I233" s="890" t="s">
        <v>73</v>
      </c>
      <c r="J233" s="890" t="s">
        <v>73</v>
      </c>
      <c r="K233" s="890" t="s">
        <v>73</v>
      </c>
      <c r="L233" s="890" t="s">
        <v>73</v>
      </c>
      <c r="M233" s="890" t="s">
        <v>73</v>
      </c>
      <c r="N233" s="890" t="s">
        <v>73</v>
      </c>
      <c r="O233" s="890" t="s">
        <v>73</v>
      </c>
      <c r="P233" s="890" t="s">
        <v>73</v>
      </c>
      <c r="Q233" s="890" t="s">
        <v>73</v>
      </c>
      <c r="R233" s="890" t="s">
        <v>73</v>
      </c>
      <c r="S233" s="890" t="s">
        <v>73</v>
      </c>
      <c r="T233" s="890" t="s">
        <v>73</v>
      </c>
      <c r="U233" s="890" t="s">
        <v>73</v>
      </c>
      <c r="V233" s="890" t="s">
        <v>73</v>
      </c>
      <c r="W233" s="890" t="s">
        <v>73</v>
      </c>
      <c r="X233" s="890" t="s">
        <v>73</v>
      </c>
      <c r="Y233" s="890" t="s">
        <v>73</v>
      </c>
      <c r="Z233" s="890" t="s">
        <v>73</v>
      </c>
      <c r="AA233" s="890" t="s">
        <v>73</v>
      </c>
      <c r="AB233" s="890" t="s">
        <v>73</v>
      </c>
      <c r="AC233" s="890" t="s">
        <v>73</v>
      </c>
      <c r="AD233" s="890" t="s">
        <v>73</v>
      </c>
      <c r="AE233" s="890" t="s">
        <v>73</v>
      </c>
      <c r="AF233" s="890" t="s">
        <v>73</v>
      </c>
    </row>
    <row r="234" spans="1:32" s="864" customFormat="1" x14ac:dyDescent="0.25">
      <c r="A234" s="839"/>
      <c r="B234" s="839" t="s">
        <v>29</v>
      </c>
      <c r="C234" s="838"/>
      <c r="D234" s="838"/>
      <c r="E234" s="838"/>
      <c r="F234" s="838"/>
      <c r="G234" s="890" t="s">
        <v>73</v>
      </c>
      <c r="H234" s="890" t="s">
        <v>73</v>
      </c>
      <c r="I234" s="890" t="s">
        <v>73</v>
      </c>
      <c r="J234" s="890" t="s">
        <v>73</v>
      </c>
      <c r="K234" s="890" t="s">
        <v>73</v>
      </c>
      <c r="L234" s="890" t="s">
        <v>73</v>
      </c>
      <c r="M234" s="890" t="s">
        <v>73</v>
      </c>
      <c r="N234" s="890" t="s">
        <v>73</v>
      </c>
      <c r="O234" s="890" t="s">
        <v>73</v>
      </c>
      <c r="P234" s="890" t="s">
        <v>73</v>
      </c>
      <c r="Q234" s="890" t="s">
        <v>73</v>
      </c>
      <c r="R234" s="890" t="s">
        <v>73</v>
      </c>
      <c r="S234" s="890" t="s">
        <v>73</v>
      </c>
      <c r="T234" s="890" t="s">
        <v>73</v>
      </c>
      <c r="U234" s="890" t="s">
        <v>73</v>
      </c>
      <c r="V234" s="890" t="s">
        <v>73</v>
      </c>
      <c r="W234" s="890" t="s">
        <v>73</v>
      </c>
      <c r="X234" s="890" t="s">
        <v>73</v>
      </c>
      <c r="Y234" s="890" t="s">
        <v>73</v>
      </c>
      <c r="Z234" s="890" t="s">
        <v>73</v>
      </c>
      <c r="AA234" s="890" t="s">
        <v>73</v>
      </c>
      <c r="AB234" s="890" t="s">
        <v>73</v>
      </c>
      <c r="AC234" s="890" t="s">
        <v>73</v>
      </c>
      <c r="AD234" s="890" t="s">
        <v>73</v>
      </c>
      <c r="AE234" s="890" t="s">
        <v>73</v>
      </c>
      <c r="AF234" s="890" t="s">
        <v>73</v>
      </c>
    </row>
    <row r="235" spans="1:32" s="864" customFormat="1" x14ac:dyDescent="0.25">
      <c r="A235" s="839"/>
      <c r="B235" s="839"/>
      <c r="C235" s="838"/>
      <c r="D235" s="838"/>
      <c r="E235" s="838"/>
      <c r="F235" s="838"/>
      <c r="G235" s="890" t="s">
        <v>73</v>
      </c>
      <c r="H235" s="890" t="s">
        <v>73</v>
      </c>
      <c r="I235" s="890" t="s">
        <v>73</v>
      </c>
      <c r="J235" s="890" t="s">
        <v>73</v>
      </c>
      <c r="K235" s="890" t="s">
        <v>73</v>
      </c>
      <c r="L235" s="890" t="s">
        <v>73</v>
      </c>
      <c r="M235" s="890" t="s">
        <v>73</v>
      </c>
      <c r="N235" s="890" t="s">
        <v>73</v>
      </c>
      <c r="O235" s="890" t="s">
        <v>73</v>
      </c>
      <c r="P235" s="890" t="s">
        <v>73</v>
      </c>
      <c r="Q235" s="890" t="s">
        <v>73</v>
      </c>
      <c r="R235" s="890" t="s">
        <v>73</v>
      </c>
      <c r="S235" s="890" t="s">
        <v>73</v>
      </c>
      <c r="T235" s="890" t="s">
        <v>73</v>
      </c>
      <c r="U235" s="890" t="s">
        <v>73</v>
      </c>
      <c r="V235" s="890" t="s">
        <v>73</v>
      </c>
      <c r="W235" s="890" t="s">
        <v>73</v>
      </c>
      <c r="X235" s="890" t="s">
        <v>73</v>
      </c>
      <c r="Y235" s="890" t="s">
        <v>73</v>
      </c>
      <c r="Z235" s="890" t="s">
        <v>73</v>
      </c>
      <c r="AA235" s="890" t="s">
        <v>73</v>
      </c>
      <c r="AB235" s="890" t="s">
        <v>73</v>
      </c>
      <c r="AC235" s="890" t="s">
        <v>73</v>
      </c>
      <c r="AD235" s="890" t="s">
        <v>73</v>
      </c>
      <c r="AE235" s="890" t="s">
        <v>73</v>
      </c>
      <c r="AF235" s="890" t="s">
        <v>73</v>
      </c>
    </row>
    <row r="236" spans="1:32" s="856" customFormat="1" ht="12.75" x14ac:dyDescent="0.2">
      <c r="A236" s="843" t="s">
        <v>32</v>
      </c>
      <c r="B236" s="843"/>
      <c r="C236" s="843"/>
      <c r="D236" s="843"/>
      <c r="E236" s="843"/>
      <c r="F236" s="843"/>
      <c r="G236" s="891" t="s">
        <v>73</v>
      </c>
      <c r="H236" s="891" t="s">
        <v>73</v>
      </c>
      <c r="I236" s="891" t="s">
        <v>73</v>
      </c>
      <c r="J236" s="891" t="s">
        <v>73</v>
      </c>
      <c r="K236" s="891" t="s">
        <v>73</v>
      </c>
      <c r="L236" s="891" t="s">
        <v>73</v>
      </c>
      <c r="M236" s="891" t="s">
        <v>73</v>
      </c>
      <c r="N236" s="891" t="s">
        <v>73</v>
      </c>
      <c r="O236" s="891" t="s">
        <v>73</v>
      </c>
      <c r="P236" s="891" t="s">
        <v>73</v>
      </c>
      <c r="Q236" s="891" t="s">
        <v>73</v>
      </c>
      <c r="R236" s="891" t="s">
        <v>73</v>
      </c>
      <c r="S236" s="891" t="s">
        <v>73</v>
      </c>
      <c r="T236" s="891" t="s">
        <v>73</v>
      </c>
      <c r="U236" s="891" t="s">
        <v>73</v>
      </c>
      <c r="V236" s="891" t="s">
        <v>73</v>
      </c>
      <c r="W236" s="891" t="s">
        <v>73</v>
      </c>
      <c r="X236" s="891" t="s">
        <v>73</v>
      </c>
      <c r="Y236" s="891" t="s">
        <v>73</v>
      </c>
      <c r="Z236" s="891" t="s">
        <v>73</v>
      </c>
      <c r="AA236" s="891" t="s">
        <v>73</v>
      </c>
      <c r="AB236" s="891" t="s">
        <v>73</v>
      </c>
      <c r="AC236" s="891" t="s">
        <v>73</v>
      </c>
      <c r="AD236" s="891" t="s">
        <v>73</v>
      </c>
      <c r="AE236" s="891" t="s">
        <v>73</v>
      </c>
      <c r="AF236" s="891" t="s">
        <v>73</v>
      </c>
    </row>
    <row r="237" spans="1:32" s="864" customFormat="1" x14ac:dyDescent="0.25">
      <c r="A237" s="839"/>
      <c r="B237" s="839" t="s">
        <v>33</v>
      </c>
      <c r="C237" s="838"/>
      <c r="D237" s="838"/>
      <c r="E237" s="838"/>
      <c r="F237" s="838"/>
      <c r="G237" s="890" t="s">
        <v>73</v>
      </c>
      <c r="H237" s="890" t="s">
        <v>73</v>
      </c>
      <c r="I237" s="890" t="s">
        <v>73</v>
      </c>
      <c r="J237" s="890" t="s">
        <v>73</v>
      </c>
      <c r="K237" s="890" t="s">
        <v>73</v>
      </c>
      <c r="L237" s="890" t="s">
        <v>73</v>
      </c>
      <c r="M237" s="890" t="s">
        <v>73</v>
      </c>
      <c r="N237" s="890" t="s">
        <v>73</v>
      </c>
      <c r="O237" s="890" t="s">
        <v>73</v>
      </c>
      <c r="P237" s="890" t="s">
        <v>73</v>
      </c>
      <c r="Q237" s="890" t="s">
        <v>73</v>
      </c>
      <c r="R237" s="890" t="s">
        <v>73</v>
      </c>
      <c r="S237" s="890" t="s">
        <v>73</v>
      </c>
      <c r="T237" s="890" t="s">
        <v>73</v>
      </c>
      <c r="U237" s="890" t="s">
        <v>73</v>
      </c>
      <c r="V237" s="890" t="s">
        <v>73</v>
      </c>
      <c r="W237" s="890" t="s">
        <v>73</v>
      </c>
      <c r="X237" s="890" t="s">
        <v>73</v>
      </c>
      <c r="Y237" s="890" t="s">
        <v>73</v>
      </c>
      <c r="Z237" s="890" t="s">
        <v>73</v>
      </c>
      <c r="AA237" s="890" t="s">
        <v>73</v>
      </c>
      <c r="AB237" s="890" t="s">
        <v>73</v>
      </c>
      <c r="AC237" s="890" t="s">
        <v>73</v>
      </c>
      <c r="AD237" s="890" t="s">
        <v>73</v>
      </c>
      <c r="AE237" s="890" t="s">
        <v>73</v>
      </c>
      <c r="AF237" s="890" t="s">
        <v>73</v>
      </c>
    </row>
    <row r="238" spans="1:32" s="864" customFormat="1" x14ac:dyDescent="0.25">
      <c r="A238" s="842"/>
      <c r="B238" s="842" t="s">
        <v>34</v>
      </c>
      <c r="C238" s="838"/>
      <c r="D238" s="838"/>
      <c r="E238" s="838"/>
      <c r="F238" s="838"/>
      <c r="G238" s="890" t="s">
        <v>73</v>
      </c>
      <c r="H238" s="890" t="s">
        <v>73</v>
      </c>
      <c r="I238" s="890" t="s">
        <v>73</v>
      </c>
      <c r="J238" s="890" t="s">
        <v>73</v>
      </c>
      <c r="K238" s="890" t="s">
        <v>73</v>
      </c>
      <c r="L238" s="890" t="s">
        <v>73</v>
      </c>
      <c r="M238" s="890" t="s">
        <v>73</v>
      </c>
      <c r="N238" s="890" t="s">
        <v>73</v>
      </c>
      <c r="O238" s="890" t="s">
        <v>73</v>
      </c>
      <c r="P238" s="890" t="s">
        <v>73</v>
      </c>
      <c r="Q238" s="890" t="s">
        <v>73</v>
      </c>
      <c r="R238" s="890" t="s">
        <v>73</v>
      </c>
      <c r="S238" s="890" t="s">
        <v>73</v>
      </c>
      <c r="T238" s="890" t="s">
        <v>73</v>
      </c>
      <c r="U238" s="890" t="s">
        <v>73</v>
      </c>
      <c r="V238" s="890" t="s">
        <v>73</v>
      </c>
      <c r="W238" s="890" t="s">
        <v>73</v>
      </c>
      <c r="X238" s="890" t="s">
        <v>73</v>
      </c>
      <c r="Y238" s="890" t="s">
        <v>73</v>
      </c>
      <c r="Z238" s="890" t="s">
        <v>73</v>
      </c>
      <c r="AA238" s="890" t="s">
        <v>73</v>
      </c>
      <c r="AB238" s="890" t="s">
        <v>73</v>
      </c>
      <c r="AC238" s="890" t="s">
        <v>73</v>
      </c>
      <c r="AD238" s="890" t="s">
        <v>73</v>
      </c>
      <c r="AE238" s="890" t="s">
        <v>73</v>
      </c>
      <c r="AF238" s="890" t="s">
        <v>73</v>
      </c>
    </row>
    <row r="239" spans="1:32" s="864" customFormat="1" x14ac:dyDescent="0.25">
      <c r="A239" s="839"/>
      <c r="B239" s="842" t="s">
        <v>35</v>
      </c>
      <c r="C239" s="838"/>
      <c r="D239" s="838"/>
      <c r="E239" s="838"/>
      <c r="F239" s="838"/>
      <c r="G239" s="890" t="s">
        <v>73</v>
      </c>
      <c r="H239" s="890" t="s">
        <v>73</v>
      </c>
      <c r="I239" s="890" t="s">
        <v>73</v>
      </c>
      <c r="J239" s="890" t="s">
        <v>73</v>
      </c>
      <c r="K239" s="890" t="s">
        <v>73</v>
      </c>
      <c r="L239" s="890" t="s">
        <v>73</v>
      </c>
      <c r="M239" s="890" t="s">
        <v>73</v>
      </c>
      <c r="N239" s="890" t="s">
        <v>73</v>
      </c>
      <c r="O239" s="890" t="s">
        <v>73</v>
      </c>
      <c r="P239" s="890" t="s">
        <v>73</v>
      </c>
      <c r="Q239" s="890" t="s">
        <v>73</v>
      </c>
      <c r="R239" s="890" t="s">
        <v>73</v>
      </c>
      <c r="S239" s="890" t="s">
        <v>73</v>
      </c>
      <c r="T239" s="890" t="s">
        <v>73</v>
      </c>
      <c r="U239" s="890" t="s">
        <v>73</v>
      </c>
      <c r="V239" s="890" t="s">
        <v>73</v>
      </c>
      <c r="W239" s="890" t="s">
        <v>73</v>
      </c>
      <c r="X239" s="890" t="s">
        <v>73</v>
      </c>
      <c r="Y239" s="890" t="s">
        <v>73</v>
      </c>
      <c r="Z239" s="890" t="s">
        <v>73</v>
      </c>
      <c r="AA239" s="890" t="s">
        <v>73</v>
      </c>
      <c r="AB239" s="890" t="s">
        <v>73</v>
      </c>
      <c r="AC239" s="890" t="s">
        <v>73</v>
      </c>
      <c r="AD239" s="890" t="s">
        <v>73</v>
      </c>
      <c r="AE239" s="890" t="s">
        <v>73</v>
      </c>
      <c r="AF239" s="890" t="s">
        <v>73</v>
      </c>
    </row>
    <row r="240" spans="1:32" s="864" customFormat="1" x14ac:dyDescent="0.25">
      <c r="A240" s="839"/>
      <c r="B240" s="842" t="s">
        <v>29</v>
      </c>
      <c r="C240" s="838"/>
      <c r="D240" s="838"/>
      <c r="E240" s="838"/>
      <c r="F240" s="838"/>
      <c r="G240" s="890" t="s">
        <v>73</v>
      </c>
      <c r="H240" s="890" t="s">
        <v>73</v>
      </c>
      <c r="I240" s="890" t="s">
        <v>73</v>
      </c>
      <c r="J240" s="890" t="s">
        <v>73</v>
      </c>
      <c r="K240" s="890" t="s">
        <v>73</v>
      </c>
      <c r="L240" s="890" t="s">
        <v>73</v>
      </c>
      <c r="M240" s="890" t="s">
        <v>73</v>
      </c>
      <c r="N240" s="890" t="s">
        <v>73</v>
      </c>
      <c r="O240" s="890" t="s">
        <v>73</v>
      </c>
      <c r="P240" s="890" t="s">
        <v>73</v>
      </c>
      <c r="Q240" s="890" t="s">
        <v>73</v>
      </c>
      <c r="R240" s="890" t="s">
        <v>73</v>
      </c>
      <c r="S240" s="890" t="s">
        <v>73</v>
      </c>
      <c r="T240" s="890" t="s">
        <v>73</v>
      </c>
      <c r="U240" s="890" t="s">
        <v>73</v>
      </c>
      <c r="V240" s="890" t="s">
        <v>73</v>
      </c>
      <c r="W240" s="890" t="s">
        <v>73</v>
      </c>
      <c r="X240" s="890" t="s">
        <v>73</v>
      </c>
      <c r="Y240" s="890" t="s">
        <v>73</v>
      </c>
      <c r="Z240" s="890" t="s">
        <v>73</v>
      </c>
      <c r="AA240" s="890" t="s">
        <v>73</v>
      </c>
      <c r="AB240" s="890" t="s">
        <v>73</v>
      </c>
      <c r="AC240" s="890" t="s">
        <v>73</v>
      </c>
      <c r="AD240" s="890" t="s">
        <v>73</v>
      </c>
      <c r="AE240" s="890" t="s">
        <v>73</v>
      </c>
      <c r="AF240" s="890" t="s">
        <v>73</v>
      </c>
    </row>
    <row r="241" spans="1:32" s="864" customFormat="1" x14ac:dyDescent="0.25">
      <c r="A241" s="839"/>
      <c r="B241" s="839"/>
      <c r="C241" s="838"/>
      <c r="D241" s="838"/>
      <c r="E241" s="838"/>
      <c r="F241" s="838"/>
      <c r="G241" s="890" t="s">
        <v>73</v>
      </c>
      <c r="H241" s="890" t="s">
        <v>73</v>
      </c>
      <c r="I241" s="890" t="s">
        <v>73</v>
      </c>
      <c r="J241" s="890" t="s">
        <v>73</v>
      </c>
      <c r="K241" s="890" t="s">
        <v>73</v>
      </c>
      <c r="L241" s="890" t="s">
        <v>73</v>
      </c>
      <c r="M241" s="890" t="s">
        <v>73</v>
      </c>
      <c r="N241" s="890" t="s">
        <v>73</v>
      </c>
      <c r="O241" s="890" t="s">
        <v>73</v>
      </c>
      <c r="P241" s="890" t="s">
        <v>73</v>
      </c>
      <c r="Q241" s="890" t="s">
        <v>73</v>
      </c>
      <c r="R241" s="890" t="s">
        <v>73</v>
      </c>
      <c r="S241" s="890" t="s">
        <v>73</v>
      </c>
      <c r="T241" s="890" t="s">
        <v>73</v>
      </c>
      <c r="U241" s="890" t="s">
        <v>73</v>
      </c>
      <c r="V241" s="890" t="s">
        <v>73</v>
      </c>
      <c r="W241" s="890" t="s">
        <v>73</v>
      </c>
      <c r="X241" s="890" t="s">
        <v>73</v>
      </c>
      <c r="Y241" s="890" t="s">
        <v>73</v>
      </c>
      <c r="Z241" s="890" t="s">
        <v>73</v>
      </c>
      <c r="AA241" s="890" t="s">
        <v>73</v>
      </c>
      <c r="AB241" s="890" t="s">
        <v>73</v>
      </c>
      <c r="AC241" s="890" t="s">
        <v>73</v>
      </c>
      <c r="AD241" s="890" t="s">
        <v>73</v>
      </c>
      <c r="AE241" s="890" t="s">
        <v>73</v>
      </c>
      <c r="AF241" s="890" t="s">
        <v>73</v>
      </c>
    </row>
    <row r="242" spans="1:32" s="856" customFormat="1" ht="12.75" x14ac:dyDescent="0.2">
      <c r="A242" s="843" t="s">
        <v>36</v>
      </c>
      <c r="B242" s="843"/>
      <c r="C242" s="843"/>
      <c r="D242" s="843"/>
      <c r="E242" s="843"/>
      <c r="F242" s="843"/>
      <c r="G242" s="891" t="s">
        <v>73</v>
      </c>
      <c r="H242" s="891" t="s">
        <v>73</v>
      </c>
      <c r="I242" s="891" t="s">
        <v>73</v>
      </c>
      <c r="J242" s="891" t="s">
        <v>73</v>
      </c>
      <c r="K242" s="891" t="s">
        <v>73</v>
      </c>
      <c r="L242" s="891" t="s">
        <v>73</v>
      </c>
      <c r="M242" s="891" t="s">
        <v>73</v>
      </c>
      <c r="N242" s="891" t="s">
        <v>73</v>
      </c>
      <c r="O242" s="891" t="s">
        <v>73</v>
      </c>
      <c r="P242" s="891" t="s">
        <v>73</v>
      </c>
      <c r="Q242" s="891" t="s">
        <v>73</v>
      </c>
      <c r="R242" s="891" t="s">
        <v>73</v>
      </c>
      <c r="S242" s="891" t="s">
        <v>73</v>
      </c>
      <c r="T242" s="891" t="s">
        <v>73</v>
      </c>
      <c r="U242" s="891" t="s">
        <v>73</v>
      </c>
      <c r="V242" s="891" t="s">
        <v>73</v>
      </c>
      <c r="W242" s="891" t="s">
        <v>73</v>
      </c>
      <c r="X242" s="891" t="s">
        <v>73</v>
      </c>
      <c r="Y242" s="891" t="s">
        <v>73</v>
      </c>
      <c r="Z242" s="891" t="s">
        <v>73</v>
      </c>
      <c r="AA242" s="891" t="s">
        <v>73</v>
      </c>
      <c r="AB242" s="891" t="s">
        <v>73</v>
      </c>
      <c r="AC242" s="891" t="s">
        <v>73</v>
      </c>
      <c r="AD242" s="891" t="s">
        <v>73</v>
      </c>
      <c r="AE242" s="891" t="s">
        <v>73</v>
      </c>
      <c r="AF242" s="891" t="s">
        <v>73</v>
      </c>
    </row>
    <row r="243" spans="1:32" s="864" customFormat="1" x14ac:dyDescent="0.25">
      <c r="A243" s="839"/>
      <c r="B243" s="839" t="s">
        <v>37</v>
      </c>
      <c r="C243" s="838"/>
      <c r="D243" s="838"/>
      <c r="E243" s="838"/>
      <c r="F243" s="855"/>
      <c r="G243" s="890" t="s">
        <v>73</v>
      </c>
      <c r="H243" s="890" t="s">
        <v>73</v>
      </c>
      <c r="I243" s="890" t="s">
        <v>73</v>
      </c>
      <c r="J243" s="890" t="s">
        <v>73</v>
      </c>
      <c r="K243" s="890" t="s">
        <v>73</v>
      </c>
      <c r="L243" s="890" t="s">
        <v>73</v>
      </c>
      <c r="M243" s="890" t="s">
        <v>73</v>
      </c>
      <c r="N243" s="890" t="s">
        <v>73</v>
      </c>
      <c r="O243" s="890" t="s">
        <v>73</v>
      </c>
      <c r="P243" s="890" t="s">
        <v>73</v>
      </c>
      <c r="Q243" s="890" t="s">
        <v>73</v>
      </c>
      <c r="R243" s="890" t="s">
        <v>73</v>
      </c>
      <c r="S243" s="890" t="s">
        <v>73</v>
      </c>
      <c r="T243" s="890" t="s">
        <v>73</v>
      </c>
      <c r="U243" s="890" t="s">
        <v>73</v>
      </c>
      <c r="V243" s="890" t="s">
        <v>73</v>
      </c>
      <c r="W243" s="890" t="s">
        <v>73</v>
      </c>
      <c r="X243" s="890" t="s">
        <v>73</v>
      </c>
      <c r="Y243" s="890" t="s">
        <v>73</v>
      </c>
      <c r="Z243" s="890" t="s">
        <v>73</v>
      </c>
      <c r="AA243" s="890" t="s">
        <v>73</v>
      </c>
      <c r="AB243" s="890" t="s">
        <v>73</v>
      </c>
      <c r="AC243" s="890" t="s">
        <v>73</v>
      </c>
      <c r="AD243" s="890" t="s">
        <v>73</v>
      </c>
      <c r="AE243" s="890" t="s">
        <v>73</v>
      </c>
      <c r="AF243" s="890" t="s">
        <v>73</v>
      </c>
    </row>
    <row r="244" spans="1:32" s="864" customFormat="1" x14ac:dyDescent="0.25">
      <c r="A244" s="839"/>
      <c r="B244" s="839" t="s">
        <v>39</v>
      </c>
      <c r="C244" s="838"/>
      <c r="D244" s="838"/>
      <c r="E244" s="857"/>
      <c r="F244" s="838"/>
      <c r="G244" s="890" t="s">
        <v>73</v>
      </c>
      <c r="H244" s="890" t="s">
        <v>73</v>
      </c>
      <c r="I244" s="890" t="s">
        <v>73</v>
      </c>
      <c r="J244" s="890" t="s">
        <v>73</v>
      </c>
      <c r="K244" s="890" t="s">
        <v>73</v>
      </c>
      <c r="L244" s="890" t="s">
        <v>73</v>
      </c>
      <c r="M244" s="890" t="s">
        <v>73</v>
      </c>
      <c r="N244" s="890" t="s">
        <v>73</v>
      </c>
      <c r="O244" s="890" t="s">
        <v>73</v>
      </c>
      <c r="P244" s="890" t="s">
        <v>73</v>
      </c>
      <c r="Q244" s="890" t="s">
        <v>73</v>
      </c>
      <c r="R244" s="890" t="s">
        <v>73</v>
      </c>
      <c r="S244" s="890" t="s">
        <v>73</v>
      </c>
      <c r="T244" s="890" t="s">
        <v>73</v>
      </c>
      <c r="U244" s="890" t="s">
        <v>73</v>
      </c>
      <c r="V244" s="890" t="s">
        <v>73</v>
      </c>
      <c r="W244" s="890" t="s">
        <v>73</v>
      </c>
      <c r="X244" s="890" t="s">
        <v>73</v>
      </c>
      <c r="Y244" s="890" t="s">
        <v>73</v>
      </c>
      <c r="Z244" s="890" t="s">
        <v>73</v>
      </c>
      <c r="AA244" s="890" t="s">
        <v>73</v>
      </c>
      <c r="AB244" s="890" t="s">
        <v>73</v>
      </c>
      <c r="AC244" s="890" t="s">
        <v>73</v>
      </c>
      <c r="AD244" s="890" t="s">
        <v>73</v>
      </c>
      <c r="AE244" s="890" t="s">
        <v>73</v>
      </c>
      <c r="AF244" s="890" t="s">
        <v>73</v>
      </c>
    </row>
    <row r="245" spans="1:32" s="864" customFormat="1" x14ac:dyDescent="0.25">
      <c r="A245" s="839"/>
      <c r="B245" s="839" t="s">
        <v>40</v>
      </c>
      <c r="C245" s="838"/>
      <c r="D245" s="838"/>
      <c r="E245" s="838"/>
      <c r="F245" s="838"/>
      <c r="G245" s="890" t="s">
        <v>73</v>
      </c>
      <c r="H245" s="890" t="s">
        <v>73</v>
      </c>
      <c r="I245" s="890" t="s">
        <v>73</v>
      </c>
      <c r="J245" s="890" t="s">
        <v>73</v>
      </c>
      <c r="K245" s="890" t="s">
        <v>73</v>
      </c>
      <c r="L245" s="890" t="s">
        <v>73</v>
      </c>
      <c r="M245" s="890" t="s">
        <v>73</v>
      </c>
      <c r="N245" s="890" t="s">
        <v>73</v>
      </c>
      <c r="O245" s="890" t="s">
        <v>73</v>
      </c>
      <c r="P245" s="890" t="s">
        <v>73</v>
      </c>
      <c r="Q245" s="890" t="s">
        <v>73</v>
      </c>
      <c r="R245" s="890" t="s">
        <v>73</v>
      </c>
      <c r="S245" s="890" t="s">
        <v>73</v>
      </c>
      <c r="T245" s="890" t="s">
        <v>73</v>
      </c>
      <c r="U245" s="890" t="s">
        <v>73</v>
      </c>
      <c r="V245" s="890" t="s">
        <v>73</v>
      </c>
      <c r="W245" s="890" t="s">
        <v>73</v>
      </c>
      <c r="X245" s="890" t="s">
        <v>73</v>
      </c>
      <c r="Y245" s="890" t="s">
        <v>73</v>
      </c>
      <c r="Z245" s="890" t="s">
        <v>73</v>
      </c>
      <c r="AA245" s="890" t="s">
        <v>73</v>
      </c>
      <c r="AB245" s="890" t="s">
        <v>73</v>
      </c>
      <c r="AC245" s="890" t="s">
        <v>73</v>
      </c>
      <c r="AD245" s="890" t="s">
        <v>73</v>
      </c>
      <c r="AE245" s="890" t="s">
        <v>73</v>
      </c>
      <c r="AF245" s="890" t="s">
        <v>73</v>
      </c>
    </row>
    <row r="246" spans="1:32" s="864" customFormat="1" x14ac:dyDescent="0.25">
      <c r="A246" s="839"/>
      <c r="B246" s="839" t="s">
        <v>29</v>
      </c>
      <c r="C246" s="838"/>
      <c r="D246" s="838"/>
      <c r="E246" s="838"/>
      <c r="F246" s="838"/>
      <c r="G246" s="890" t="s">
        <v>73</v>
      </c>
      <c r="H246" s="890" t="s">
        <v>73</v>
      </c>
      <c r="I246" s="890" t="s">
        <v>73</v>
      </c>
      <c r="J246" s="890" t="s">
        <v>73</v>
      </c>
      <c r="K246" s="890" t="s">
        <v>73</v>
      </c>
      <c r="L246" s="890" t="s">
        <v>73</v>
      </c>
      <c r="M246" s="890" t="s">
        <v>73</v>
      </c>
      <c r="N246" s="890" t="s">
        <v>73</v>
      </c>
      <c r="O246" s="890" t="s">
        <v>73</v>
      </c>
      <c r="P246" s="890" t="s">
        <v>73</v>
      </c>
      <c r="Q246" s="890" t="s">
        <v>73</v>
      </c>
      <c r="R246" s="890" t="s">
        <v>73</v>
      </c>
      <c r="S246" s="890" t="s">
        <v>73</v>
      </c>
      <c r="T246" s="890" t="s">
        <v>73</v>
      </c>
      <c r="U246" s="890" t="s">
        <v>73</v>
      </c>
      <c r="V246" s="890" t="s">
        <v>73</v>
      </c>
      <c r="W246" s="890" t="s">
        <v>73</v>
      </c>
      <c r="X246" s="890" t="s">
        <v>73</v>
      </c>
      <c r="Y246" s="890" t="s">
        <v>73</v>
      </c>
      <c r="Z246" s="890" t="s">
        <v>73</v>
      </c>
      <c r="AA246" s="890" t="s">
        <v>73</v>
      </c>
      <c r="AB246" s="890" t="s">
        <v>73</v>
      </c>
      <c r="AC246" s="890" t="s">
        <v>73</v>
      </c>
      <c r="AD246" s="890" t="s">
        <v>73</v>
      </c>
      <c r="AE246" s="890" t="s">
        <v>73</v>
      </c>
      <c r="AF246" s="890" t="s">
        <v>73</v>
      </c>
    </row>
    <row r="247" spans="1:32" s="864" customFormat="1" x14ac:dyDescent="0.25">
      <c r="A247" s="839"/>
      <c r="B247" s="839"/>
      <c r="C247" s="838"/>
      <c r="D247" s="838"/>
      <c r="E247" s="838"/>
      <c r="F247" s="838"/>
      <c r="G247" s="890" t="s">
        <v>73</v>
      </c>
      <c r="H247" s="890" t="s">
        <v>73</v>
      </c>
      <c r="I247" s="890" t="s">
        <v>73</v>
      </c>
      <c r="J247" s="890" t="s">
        <v>73</v>
      </c>
      <c r="K247" s="890" t="s">
        <v>73</v>
      </c>
      <c r="L247" s="890" t="s">
        <v>73</v>
      </c>
      <c r="M247" s="890" t="s">
        <v>73</v>
      </c>
      <c r="N247" s="890" t="s">
        <v>73</v>
      </c>
      <c r="O247" s="890" t="s">
        <v>73</v>
      </c>
      <c r="P247" s="890" t="s">
        <v>73</v>
      </c>
      <c r="Q247" s="890" t="s">
        <v>73</v>
      </c>
      <c r="R247" s="890" t="s">
        <v>73</v>
      </c>
      <c r="S247" s="890" t="s">
        <v>73</v>
      </c>
      <c r="T247" s="890" t="s">
        <v>73</v>
      </c>
      <c r="U247" s="890" t="s">
        <v>73</v>
      </c>
      <c r="V247" s="890" t="s">
        <v>73</v>
      </c>
      <c r="W247" s="890" t="s">
        <v>73</v>
      </c>
      <c r="X247" s="890" t="s">
        <v>73</v>
      </c>
      <c r="Y247" s="890" t="s">
        <v>73</v>
      </c>
      <c r="Z247" s="890" t="s">
        <v>73</v>
      </c>
      <c r="AA247" s="890" t="s">
        <v>73</v>
      </c>
      <c r="AB247" s="890" t="s">
        <v>73</v>
      </c>
      <c r="AC247" s="890" t="s">
        <v>73</v>
      </c>
      <c r="AD247" s="890" t="s">
        <v>73</v>
      </c>
      <c r="AE247" s="890" t="s">
        <v>73</v>
      </c>
      <c r="AF247" s="890" t="s">
        <v>73</v>
      </c>
    </row>
    <row r="248" spans="1:32" s="856" customFormat="1" ht="12.75" x14ac:dyDescent="0.2">
      <c r="A248" s="843" t="s">
        <v>42</v>
      </c>
      <c r="B248" s="843"/>
      <c r="C248" s="843"/>
      <c r="D248" s="843"/>
      <c r="E248" s="843"/>
      <c r="F248" s="843"/>
      <c r="G248" s="891" t="s">
        <v>73</v>
      </c>
      <c r="H248" s="891" t="s">
        <v>73</v>
      </c>
      <c r="I248" s="891" t="s">
        <v>73</v>
      </c>
      <c r="J248" s="891" t="s">
        <v>73</v>
      </c>
      <c r="K248" s="891" t="s">
        <v>73</v>
      </c>
      <c r="L248" s="891" t="s">
        <v>73</v>
      </c>
      <c r="M248" s="891" t="s">
        <v>73</v>
      </c>
      <c r="N248" s="891" t="s">
        <v>73</v>
      </c>
      <c r="O248" s="891" t="s">
        <v>73</v>
      </c>
      <c r="P248" s="891" t="s">
        <v>73</v>
      </c>
      <c r="Q248" s="891" t="s">
        <v>73</v>
      </c>
      <c r="R248" s="891" t="s">
        <v>73</v>
      </c>
      <c r="S248" s="891" t="s">
        <v>73</v>
      </c>
      <c r="T248" s="891" t="s">
        <v>73</v>
      </c>
      <c r="U248" s="891" t="s">
        <v>73</v>
      </c>
      <c r="V248" s="891" t="s">
        <v>73</v>
      </c>
      <c r="W248" s="891" t="s">
        <v>73</v>
      </c>
      <c r="X248" s="891" t="s">
        <v>73</v>
      </c>
      <c r="Y248" s="891" t="s">
        <v>73</v>
      </c>
      <c r="Z248" s="891" t="s">
        <v>73</v>
      </c>
      <c r="AA248" s="891" t="s">
        <v>73</v>
      </c>
      <c r="AB248" s="891" t="s">
        <v>73</v>
      </c>
      <c r="AC248" s="891" t="s">
        <v>73</v>
      </c>
      <c r="AD248" s="891" t="s">
        <v>73</v>
      </c>
      <c r="AE248" s="891" t="s">
        <v>73</v>
      </c>
      <c r="AF248" s="891" t="s">
        <v>73</v>
      </c>
    </row>
    <row r="249" spans="1:32" s="864" customFormat="1" x14ac:dyDescent="0.25">
      <c r="A249" s="839"/>
      <c r="B249" s="842" t="s">
        <v>43</v>
      </c>
      <c r="C249" s="838"/>
      <c r="D249" s="838"/>
      <c r="E249" s="838"/>
      <c r="F249" s="838"/>
      <c r="G249" s="890" t="s">
        <v>73</v>
      </c>
      <c r="H249" s="890" t="s">
        <v>73</v>
      </c>
      <c r="I249" s="890" t="s">
        <v>73</v>
      </c>
      <c r="J249" s="890" t="s">
        <v>73</v>
      </c>
      <c r="K249" s="890" t="s">
        <v>73</v>
      </c>
      <c r="L249" s="890" t="s">
        <v>73</v>
      </c>
      <c r="M249" s="890" t="s">
        <v>73</v>
      </c>
      <c r="N249" s="890" t="s">
        <v>73</v>
      </c>
      <c r="O249" s="890" t="s">
        <v>73</v>
      </c>
      <c r="P249" s="890" t="s">
        <v>73</v>
      </c>
      <c r="Q249" s="890" t="s">
        <v>73</v>
      </c>
      <c r="R249" s="890" t="s">
        <v>73</v>
      </c>
      <c r="S249" s="890" t="s">
        <v>73</v>
      </c>
      <c r="T249" s="890" t="s">
        <v>73</v>
      </c>
      <c r="U249" s="890" t="s">
        <v>73</v>
      </c>
      <c r="V249" s="890" t="s">
        <v>73</v>
      </c>
      <c r="W249" s="890" t="s">
        <v>73</v>
      </c>
      <c r="X249" s="890" t="s">
        <v>73</v>
      </c>
      <c r="Y249" s="890" t="s">
        <v>73</v>
      </c>
      <c r="Z249" s="890" t="s">
        <v>73</v>
      </c>
      <c r="AA249" s="890" t="s">
        <v>73</v>
      </c>
      <c r="AB249" s="890" t="s">
        <v>73</v>
      </c>
      <c r="AC249" s="890" t="s">
        <v>73</v>
      </c>
      <c r="AD249" s="890" t="s">
        <v>73</v>
      </c>
      <c r="AE249" s="890" t="s">
        <v>73</v>
      </c>
      <c r="AF249" s="890" t="s">
        <v>73</v>
      </c>
    </row>
    <row r="250" spans="1:32" s="864" customFormat="1" x14ac:dyDescent="0.25">
      <c r="A250" s="839"/>
      <c r="B250" s="842" t="s">
        <v>44</v>
      </c>
      <c r="C250" s="838"/>
      <c r="D250" s="838"/>
      <c r="E250" s="838"/>
      <c r="F250" s="838"/>
      <c r="G250" s="890" t="s">
        <v>73</v>
      </c>
      <c r="H250" s="890" t="s">
        <v>73</v>
      </c>
      <c r="I250" s="890" t="s">
        <v>73</v>
      </c>
      <c r="J250" s="890" t="s">
        <v>73</v>
      </c>
      <c r="K250" s="890" t="s">
        <v>73</v>
      </c>
      <c r="L250" s="890" t="s">
        <v>73</v>
      </c>
      <c r="M250" s="890" t="s">
        <v>73</v>
      </c>
      <c r="N250" s="890" t="s">
        <v>73</v>
      </c>
      <c r="O250" s="890" t="s">
        <v>73</v>
      </c>
      <c r="P250" s="890" t="s">
        <v>73</v>
      </c>
      <c r="Q250" s="890" t="s">
        <v>73</v>
      </c>
      <c r="R250" s="890" t="s">
        <v>73</v>
      </c>
      <c r="S250" s="890" t="s">
        <v>73</v>
      </c>
      <c r="T250" s="890" t="s">
        <v>73</v>
      </c>
      <c r="U250" s="890" t="s">
        <v>73</v>
      </c>
      <c r="V250" s="890" t="s">
        <v>73</v>
      </c>
      <c r="W250" s="890" t="s">
        <v>73</v>
      </c>
      <c r="X250" s="890" t="s">
        <v>73</v>
      </c>
      <c r="Y250" s="890" t="s">
        <v>73</v>
      </c>
      <c r="Z250" s="890" t="s">
        <v>73</v>
      </c>
      <c r="AA250" s="890" t="s">
        <v>73</v>
      </c>
      <c r="AB250" s="890" t="s">
        <v>73</v>
      </c>
      <c r="AC250" s="890" t="s">
        <v>73</v>
      </c>
      <c r="AD250" s="890" t="s">
        <v>73</v>
      </c>
      <c r="AE250" s="890" t="s">
        <v>73</v>
      </c>
      <c r="AF250" s="890" t="s">
        <v>73</v>
      </c>
    </row>
    <row r="251" spans="1:32" s="864" customFormat="1" x14ac:dyDescent="0.25">
      <c r="A251" s="839"/>
      <c r="B251" s="842" t="s">
        <v>45</v>
      </c>
      <c r="C251" s="838"/>
      <c r="D251" s="838"/>
      <c r="E251" s="838"/>
      <c r="F251" s="838"/>
      <c r="G251" s="890" t="s">
        <v>73</v>
      </c>
      <c r="H251" s="890" t="s">
        <v>73</v>
      </c>
      <c r="I251" s="890" t="s">
        <v>73</v>
      </c>
      <c r="J251" s="890" t="s">
        <v>73</v>
      </c>
      <c r="K251" s="890" t="s">
        <v>73</v>
      </c>
      <c r="L251" s="890" t="s">
        <v>73</v>
      </c>
      <c r="M251" s="890" t="s">
        <v>73</v>
      </c>
      <c r="N251" s="890" t="s">
        <v>73</v>
      </c>
      <c r="O251" s="890" t="s">
        <v>73</v>
      </c>
      <c r="P251" s="890" t="s">
        <v>73</v>
      </c>
      <c r="Q251" s="890" t="s">
        <v>73</v>
      </c>
      <c r="R251" s="890" t="s">
        <v>73</v>
      </c>
      <c r="S251" s="890" t="s">
        <v>73</v>
      </c>
      <c r="T251" s="890" t="s">
        <v>73</v>
      </c>
      <c r="U251" s="890" t="s">
        <v>73</v>
      </c>
      <c r="V251" s="890" t="s">
        <v>73</v>
      </c>
      <c r="W251" s="890" t="s">
        <v>73</v>
      </c>
      <c r="X251" s="890" t="s">
        <v>73</v>
      </c>
      <c r="Y251" s="890" t="s">
        <v>73</v>
      </c>
      <c r="Z251" s="890" t="s">
        <v>73</v>
      </c>
      <c r="AA251" s="890" t="s">
        <v>73</v>
      </c>
      <c r="AB251" s="890" t="s">
        <v>73</v>
      </c>
      <c r="AC251" s="890" t="s">
        <v>73</v>
      </c>
      <c r="AD251" s="890" t="s">
        <v>73</v>
      </c>
      <c r="AE251" s="890" t="s">
        <v>73</v>
      </c>
      <c r="AF251" s="890" t="s">
        <v>73</v>
      </c>
    </row>
    <row r="252" spans="1:32" s="864" customFormat="1" x14ac:dyDescent="0.25">
      <c r="A252" s="839"/>
      <c r="B252" s="842" t="s">
        <v>46</v>
      </c>
      <c r="C252" s="838"/>
      <c r="D252" s="838"/>
      <c r="E252" s="838"/>
      <c r="F252" s="838"/>
      <c r="G252" s="890" t="s">
        <v>73</v>
      </c>
      <c r="H252" s="890" t="s">
        <v>73</v>
      </c>
      <c r="I252" s="890" t="s">
        <v>73</v>
      </c>
      <c r="J252" s="890" t="s">
        <v>73</v>
      </c>
      <c r="K252" s="890" t="s">
        <v>73</v>
      </c>
      <c r="L252" s="890" t="s">
        <v>73</v>
      </c>
      <c r="M252" s="890" t="s">
        <v>73</v>
      </c>
      <c r="N252" s="890" t="s">
        <v>73</v>
      </c>
      <c r="O252" s="890" t="s">
        <v>73</v>
      </c>
      <c r="P252" s="890" t="s">
        <v>73</v>
      </c>
      <c r="Q252" s="890" t="s">
        <v>73</v>
      </c>
      <c r="R252" s="890" t="s">
        <v>73</v>
      </c>
      <c r="S252" s="890" t="s">
        <v>73</v>
      </c>
      <c r="T252" s="890" t="s">
        <v>73</v>
      </c>
      <c r="U252" s="890" t="s">
        <v>73</v>
      </c>
      <c r="V252" s="890" t="s">
        <v>73</v>
      </c>
      <c r="W252" s="890" t="s">
        <v>73</v>
      </c>
      <c r="X252" s="890" t="s">
        <v>73</v>
      </c>
      <c r="Y252" s="890" t="s">
        <v>73</v>
      </c>
      <c r="Z252" s="890" t="s">
        <v>73</v>
      </c>
      <c r="AA252" s="890" t="s">
        <v>73</v>
      </c>
      <c r="AB252" s="890" t="s">
        <v>73</v>
      </c>
      <c r="AC252" s="890" t="s">
        <v>73</v>
      </c>
      <c r="AD252" s="890" t="s">
        <v>73</v>
      </c>
      <c r="AE252" s="890" t="s">
        <v>73</v>
      </c>
      <c r="AF252" s="890" t="s">
        <v>73</v>
      </c>
    </row>
    <row r="253" spans="1:32" s="864" customFormat="1" x14ac:dyDescent="0.25">
      <c r="A253" s="839"/>
      <c r="B253" s="839" t="s">
        <v>29</v>
      </c>
      <c r="C253" s="838"/>
      <c r="D253" s="838"/>
      <c r="E253" s="838"/>
      <c r="F253" s="838"/>
      <c r="G253" s="890" t="s">
        <v>73</v>
      </c>
      <c r="H253" s="890" t="s">
        <v>73</v>
      </c>
      <c r="I253" s="890" t="s">
        <v>73</v>
      </c>
      <c r="J253" s="890" t="s">
        <v>73</v>
      </c>
      <c r="K253" s="890" t="s">
        <v>73</v>
      </c>
      <c r="L253" s="890" t="s">
        <v>73</v>
      </c>
      <c r="M253" s="890" t="s">
        <v>73</v>
      </c>
      <c r="N253" s="890" t="s">
        <v>73</v>
      </c>
      <c r="O253" s="890" t="s">
        <v>73</v>
      </c>
      <c r="P253" s="890" t="s">
        <v>73</v>
      </c>
      <c r="Q253" s="890" t="s">
        <v>73</v>
      </c>
      <c r="R253" s="890" t="s">
        <v>73</v>
      </c>
      <c r="S253" s="890" t="s">
        <v>73</v>
      </c>
      <c r="T253" s="890" t="s">
        <v>73</v>
      </c>
      <c r="U253" s="890" t="s">
        <v>73</v>
      </c>
      <c r="V253" s="890" t="s">
        <v>73</v>
      </c>
      <c r="W253" s="890" t="s">
        <v>73</v>
      </c>
      <c r="X253" s="890" t="s">
        <v>73</v>
      </c>
      <c r="Y253" s="890" t="s">
        <v>73</v>
      </c>
      <c r="Z253" s="890" t="s">
        <v>73</v>
      </c>
      <c r="AA253" s="890" t="s">
        <v>73</v>
      </c>
      <c r="AB253" s="890" t="s">
        <v>73</v>
      </c>
      <c r="AC253" s="890" t="s">
        <v>73</v>
      </c>
      <c r="AD253" s="890" t="s">
        <v>73</v>
      </c>
      <c r="AE253" s="890" t="s">
        <v>73</v>
      </c>
      <c r="AF253" s="890" t="s">
        <v>73</v>
      </c>
    </row>
    <row r="254" spans="1:32" s="864" customFormat="1" x14ac:dyDescent="0.25">
      <c r="A254" s="839"/>
      <c r="B254" s="839"/>
      <c r="C254" s="838"/>
      <c r="D254" s="838"/>
      <c r="E254" s="838"/>
      <c r="F254" s="838"/>
      <c r="G254" s="890" t="s">
        <v>73</v>
      </c>
      <c r="H254" s="890" t="s">
        <v>73</v>
      </c>
      <c r="I254" s="890" t="s">
        <v>73</v>
      </c>
      <c r="J254" s="890" t="s">
        <v>73</v>
      </c>
      <c r="K254" s="890" t="s">
        <v>73</v>
      </c>
      <c r="L254" s="890" t="s">
        <v>73</v>
      </c>
      <c r="M254" s="890" t="s">
        <v>73</v>
      </c>
      <c r="N254" s="890" t="s">
        <v>73</v>
      </c>
      <c r="O254" s="890" t="s">
        <v>73</v>
      </c>
      <c r="P254" s="890" t="s">
        <v>73</v>
      </c>
      <c r="Q254" s="890" t="s">
        <v>73</v>
      </c>
      <c r="R254" s="890" t="s">
        <v>73</v>
      </c>
      <c r="S254" s="890" t="s">
        <v>73</v>
      </c>
      <c r="T254" s="890" t="s">
        <v>73</v>
      </c>
      <c r="U254" s="890" t="s">
        <v>73</v>
      </c>
      <c r="V254" s="890" t="s">
        <v>73</v>
      </c>
      <c r="W254" s="890" t="s">
        <v>73</v>
      </c>
      <c r="X254" s="890" t="s">
        <v>73</v>
      </c>
      <c r="Y254" s="890" t="s">
        <v>73</v>
      </c>
      <c r="Z254" s="890" t="s">
        <v>73</v>
      </c>
      <c r="AA254" s="890" t="s">
        <v>73</v>
      </c>
      <c r="AB254" s="890" t="s">
        <v>73</v>
      </c>
      <c r="AC254" s="890" t="s">
        <v>73</v>
      </c>
      <c r="AD254" s="890" t="s">
        <v>73</v>
      </c>
      <c r="AE254" s="890" t="s">
        <v>73</v>
      </c>
      <c r="AF254" s="890" t="s">
        <v>73</v>
      </c>
    </row>
    <row r="255" spans="1:32" s="856" customFormat="1" ht="12.75" x14ac:dyDescent="0.2">
      <c r="A255" s="843" t="s">
        <v>47</v>
      </c>
      <c r="B255" s="843"/>
      <c r="C255" s="843"/>
      <c r="D255" s="843"/>
      <c r="E255" s="843"/>
      <c r="F255" s="843"/>
      <c r="G255" s="891" t="s">
        <v>73</v>
      </c>
      <c r="H255" s="891" t="s">
        <v>73</v>
      </c>
      <c r="I255" s="891" t="s">
        <v>73</v>
      </c>
      <c r="J255" s="891" t="s">
        <v>73</v>
      </c>
      <c r="K255" s="891" t="s">
        <v>73</v>
      </c>
      <c r="L255" s="891" t="s">
        <v>73</v>
      </c>
      <c r="M255" s="891" t="s">
        <v>73</v>
      </c>
      <c r="N255" s="891" t="s">
        <v>73</v>
      </c>
      <c r="O255" s="891" t="s">
        <v>73</v>
      </c>
      <c r="P255" s="891" t="s">
        <v>73</v>
      </c>
      <c r="Q255" s="891" t="s">
        <v>73</v>
      </c>
      <c r="R255" s="891" t="s">
        <v>73</v>
      </c>
      <c r="S255" s="891" t="s">
        <v>73</v>
      </c>
      <c r="T255" s="891" t="s">
        <v>73</v>
      </c>
      <c r="U255" s="891" t="s">
        <v>73</v>
      </c>
      <c r="V255" s="891" t="s">
        <v>73</v>
      </c>
      <c r="W255" s="891" t="s">
        <v>73</v>
      </c>
      <c r="X255" s="891" t="s">
        <v>73</v>
      </c>
      <c r="Y255" s="891" t="s">
        <v>73</v>
      </c>
      <c r="Z255" s="891" t="s">
        <v>73</v>
      </c>
      <c r="AA255" s="891" t="s">
        <v>73</v>
      </c>
      <c r="AB255" s="891" t="s">
        <v>73</v>
      </c>
      <c r="AC255" s="891" t="s">
        <v>73</v>
      </c>
      <c r="AD255" s="891" t="s">
        <v>73</v>
      </c>
      <c r="AE255" s="891" t="s">
        <v>73</v>
      </c>
      <c r="AF255" s="891" t="s">
        <v>73</v>
      </c>
    </row>
    <row r="256" spans="1:32" s="864" customFormat="1" x14ac:dyDescent="0.25">
      <c r="A256" s="839"/>
      <c r="B256" s="839" t="s">
        <v>48</v>
      </c>
      <c r="C256" s="838"/>
      <c r="D256" s="838"/>
      <c r="E256" s="838"/>
      <c r="F256" s="838"/>
      <c r="G256" s="890" t="s">
        <v>73</v>
      </c>
      <c r="H256" s="890" t="s">
        <v>73</v>
      </c>
      <c r="I256" s="890" t="s">
        <v>73</v>
      </c>
      <c r="J256" s="890" t="s">
        <v>73</v>
      </c>
      <c r="K256" s="890" t="s">
        <v>73</v>
      </c>
      <c r="L256" s="890" t="s">
        <v>73</v>
      </c>
      <c r="M256" s="890" t="s">
        <v>73</v>
      </c>
      <c r="N256" s="890" t="s">
        <v>73</v>
      </c>
      <c r="O256" s="890" t="s">
        <v>73</v>
      </c>
      <c r="P256" s="890" t="s">
        <v>73</v>
      </c>
      <c r="Q256" s="890" t="s">
        <v>73</v>
      </c>
      <c r="R256" s="890" t="s">
        <v>73</v>
      </c>
      <c r="S256" s="890" t="s">
        <v>73</v>
      </c>
      <c r="T256" s="890" t="s">
        <v>73</v>
      </c>
      <c r="U256" s="890" t="s">
        <v>73</v>
      </c>
      <c r="V256" s="890" t="s">
        <v>73</v>
      </c>
      <c r="W256" s="890" t="s">
        <v>73</v>
      </c>
      <c r="X256" s="890" t="s">
        <v>73</v>
      </c>
      <c r="Y256" s="890" t="s">
        <v>73</v>
      </c>
      <c r="Z256" s="890" t="s">
        <v>73</v>
      </c>
      <c r="AA256" s="890" t="s">
        <v>73</v>
      </c>
      <c r="AB256" s="890" t="s">
        <v>73</v>
      </c>
      <c r="AC256" s="890" t="s">
        <v>73</v>
      </c>
      <c r="AD256" s="890" t="s">
        <v>73</v>
      </c>
      <c r="AE256" s="890" t="s">
        <v>73</v>
      </c>
      <c r="AF256" s="890" t="s">
        <v>73</v>
      </c>
    </row>
    <row r="257" spans="1:32" s="864" customFormat="1" x14ac:dyDescent="0.25">
      <c r="A257" s="839"/>
      <c r="B257" s="842" t="s">
        <v>50</v>
      </c>
      <c r="C257" s="838"/>
      <c r="D257" s="838"/>
      <c r="E257" s="838"/>
      <c r="F257" s="838"/>
      <c r="G257" s="890" t="s">
        <v>73</v>
      </c>
      <c r="H257" s="890" t="s">
        <v>73</v>
      </c>
      <c r="I257" s="890" t="s">
        <v>73</v>
      </c>
      <c r="J257" s="890" t="s">
        <v>73</v>
      </c>
      <c r="K257" s="890" t="s">
        <v>73</v>
      </c>
      <c r="L257" s="890" t="s">
        <v>73</v>
      </c>
      <c r="M257" s="890" t="s">
        <v>73</v>
      </c>
      <c r="N257" s="890" t="s">
        <v>73</v>
      </c>
      <c r="O257" s="890" t="s">
        <v>73</v>
      </c>
      <c r="P257" s="890" t="s">
        <v>73</v>
      </c>
      <c r="Q257" s="890" t="s">
        <v>73</v>
      </c>
      <c r="R257" s="890" t="s">
        <v>73</v>
      </c>
      <c r="S257" s="890" t="s">
        <v>73</v>
      </c>
      <c r="T257" s="890" t="s">
        <v>73</v>
      </c>
      <c r="U257" s="890" t="s">
        <v>73</v>
      </c>
      <c r="V257" s="890" t="s">
        <v>73</v>
      </c>
      <c r="W257" s="890" t="s">
        <v>73</v>
      </c>
      <c r="X257" s="890" t="s">
        <v>73</v>
      </c>
      <c r="Y257" s="890" t="s">
        <v>73</v>
      </c>
      <c r="Z257" s="890" t="s">
        <v>73</v>
      </c>
      <c r="AA257" s="890" t="s">
        <v>73</v>
      </c>
      <c r="AB257" s="890" t="s">
        <v>73</v>
      </c>
      <c r="AC257" s="890" t="s">
        <v>73</v>
      </c>
      <c r="AD257" s="890" t="s">
        <v>73</v>
      </c>
      <c r="AE257" s="890" t="s">
        <v>73</v>
      </c>
      <c r="AF257" s="890" t="s">
        <v>73</v>
      </c>
    </row>
    <row r="258" spans="1:32" s="864" customFormat="1" x14ac:dyDescent="0.25">
      <c r="A258" s="839"/>
      <c r="B258" s="839" t="s">
        <v>51</v>
      </c>
      <c r="C258" s="838"/>
      <c r="D258" s="838"/>
      <c r="E258" s="838"/>
      <c r="F258" s="838"/>
      <c r="G258" s="890" t="s">
        <v>73</v>
      </c>
      <c r="H258" s="890" t="s">
        <v>73</v>
      </c>
      <c r="I258" s="890" t="s">
        <v>73</v>
      </c>
      <c r="J258" s="890" t="s">
        <v>73</v>
      </c>
      <c r="K258" s="890" t="s">
        <v>73</v>
      </c>
      <c r="L258" s="890" t="s">
        <v>73</v>
      </c>
      <c r="M258" s="890" t="s">
        <v>73</v>
      </c>
      <c r="N258" s="890" t="s">
        <v>73</v>
      </c>
      <c r="O258" s="890" t="s">
        <v>73</v>
      </c>
      <c r="P258" s="890" t="s">
        <v>73</v>
      </c>
      <c r="Q258" s="890" t="s">
        <v>73</v>
      </c>
      <c r="R258" s="890" t="s">
        <v>73</v>
      </c>
      <c r="S258" s="890" t="s">
        <v>73</v>
      </c>
      <c r="T258" s="890" t="s">
        <v>73</v>
      </c>
      <c r="U258" s="890" t="s">
        <v>73</v>
      </c>
      <c r="V258" s="890" t="s">
        <v>73</v>
      </c>
      <c r="W258" s="890" t="s">
        <v>73</v>
      </c>
      <c r="X258" s="890" t="s">
        <v>73</v>
      </c>
      <c r="Y258" s="890" t="s">
        <v>73</v>
      </c>
      <c r="Z258" s="890" t="s">
        <v>73</v>
      </c>
      <c r="AA258" s="890" t="s">
        <v>73</v>
      </c>
      <c r="AB258" s="890" t="s">
        <v>73</v>
      </c>
      <c r="AC258" s="890" t="s">
        <v>73</v>
      </c>
      <c r="AD258" s="890" t="s">
        <v>73</v>
      </c>
      <c r="AE258" s="890" t="s">
        <v>73</v>
      </c>
      <c r="AF258" s="890" t="s">
        <v>73</v>
      </c>
    </row>
    <row r="259" spans="1:32" s="864" customFormat="1" x14ac:dyDescent="0.25">
      <c r="A259" s="839"/>
      <c r="B259" s="839" t="s">
        <v>52</v>
      </c>
      <c r="C259" s="838"/>
      <c r="D259" s="838"/>
      <c r="E259" s="838"/>
      <c r="F259" s="838"/>
      <c r="G259" s="890" t="s">
        <v>73</v>
      </c>
      <c r="H259" s="890" t="s">
        <v>73</v>
      </c>
      <c r="I259" s="890" t="s">
        <v>73</v>
      </c>
      <c r="J259" s="890" t="s">
        <v>73</v>
      </c>
      <c r="K259" s="890" t="s">
        <v>73</v>
      </c>
      <c r="L259" s="890" t="s">
        <v>73</v>
      </c>
      <c r="M259" s="890" t="s">
        <v>73</v>
      </c>
      <c r="N259" s="890" t="s">
        <v>73</v>
      </c>
      <c r="O259" s="890" t="s">
        <v>73</v>
      </c>
      <c r="P259" s="890" t="s">
        <v>73</v>
      </c>
      <c r="Q259" s="890" t="s">
        <v>73</v>
      </c>
      <c r="R259" s="890" t="s">
        <v>73</v>
      </c>
      <c r="S259" s="890" t="s">
        <v>73</v>
      </c>
      <c r="T259" s="890" t="s">
        <v>73</v>
      </c>
      <c r="U259" s="890" t="s">
        <v>73</v>
      </c>
      <c r="V259" s="890" t="s">
        <v>73</v>
      </c>
      <c r="W259" s="890" t="s">
        <v>73</v>
      </c>
      <c r="X259" s="890" t="s">
        <v>73</v>
      </c>
      <c r="Y259" s="890" t="s">
        <v>73</v>
      </c>
      <c r="Z259" s="890" t="s">
        <v>73</v>
      </c>
      <c r="AA259" s="890" t="s">
        <v>73</v>
      </c>
      <c r="AB259" s="890" t="s">
        <v>73</v>
      </c>
      <c r="AC259" s="890" t="s">
        <v>73</v>
      </c>
      <c r="AD259" s="890" t="s">
        <v>73</v>
      </c>
      <c r="AE259" s="890" t="s">
        <v>73</v>
      </c>
      <c r="AF259" s="890" t="s">
        <v>73</v>
      </c>
    </row>
    <row r="260" spans="1:32" s="864" customFormat="1" x14ac:dyDescent="0.25">
      <c r="A260" s="839"/>
      <c r="B260" s="842" t="s">
        <v>29</v>
      </c>
      <c r="C260" s="838"/>
      <c r="D260" s="838"/>
      <c r="E260" s="838"/>
      <c r="F260" s="838"/>
      <c r="G260" s="890" t="s">
        <v>73</v>
      </c>
      <c r="H260" s="890" t="s">
        <v>73</v>
      </c>
      <c r="I260" s="890" t="s">
        <v>73</v>
      </c>
      <c r="J260" s="890" t="s">
        <v>73</v>
      </c>
      <c r="K260" s="890" t="s">
        <v>73</v>
      </c>
      <c r="L260" s="890" t="s">
        <v>73</v>
      </c>
      <c r="M260" s="890" t="s">
        <v>73</v>
      </c>
      <c r="N260" s="890" t="s">
        <v>73</v>
      </c>
      <c r="O260" s="890" t="s">
        <v>73</v>
      </c>
      <c r="P260" s="890" t="s">
        <v>73</v>
      </c>
      <c r="Q260" s="890" t="s">
        <v>73</v>
      </c>
      <c r="R260" s="890" t="s">
        <v>73</v>
      </c>
      <c r="S260" s="890" t="s">
        <v>73</v>
      </c>
      <c r="T260" s="890" t="s">
        <v>73</v>
      </c>
      <c r="U260" s="890" t="s">
        <v>73</v>
      </c>
      <c r="V260" s="890" t="s">
        <v>73</v>
      </c>
      <c r="W260" s="890" t="s">
        <v>73</v>
      </c>
      <c r="X260" s="890" t="s">
        <v>73</v>
      </c>
      <c r="Y260" s="890" t="s">
        <v>73</v>
      </c>
      <c r="Z260" s="890" t="s">
        <v>73</v>
      </c>
      <c r="AA260" s="890" t="s">
        <v>73</v>
      </c>
      <c r="AB260" s="890" t="s">
        <v>73</v>
      </c>
      <c r="AC260" s="890" t="s">
        <v>73</v>
      </c>
      <c r="AD260" s="890" t="s">
        <v>73</v>
      </c>
      <c r="AE260" s="890" t="s">
        <v>73</v>
      </c>
      <c r="AF260" s="890" t="s">
        <v>73</v>
      </c>
    </row>
    <row r="261" spans="1:32" s="864" customFormat="1" x14ac:dyDescent="0.25">
      <c r="A261" s="839"/>
      <c r="B261" s="842" t="s">
        <v>53</v>
      </c>
      <c r="C261" s="838"/>
      <c r="D261" s="838"/>
      <c r="E261" s="838"/>
      <c r="F261" s="838"/>
      <c r="G261" s="890" t="s">
        <v>73</v>
      </c>
      <c r="H261" s="890" t="s">
        <v>73</v>
      </c>
      <c r="I261" s="890" t="s">
        <v>73</v>
      </c>
      <c r="J261" s="890" t="s">
        <v>73</v>
      </c>
      <c r="K261" s="890" t="s">
        <v>73</v>
      </c>
      <c r="L261" s="890" t="s">
        <v>73</v>
      </c>
      <c r="M261" s="890" t="s">
        <v>73</v>
      </c>
      <c r="N261" s="890" t="s">
        <v>73</v>
      </c>
      <c r="O261" s="890" t="s">
        <v>73</v>
      </c>
      <c r="P261" s="890" t="s">
        <v>73</v>
      </c>
      <c r="Q261" s="890" t="s">
        <v>73</v>
      </c>
      <c r="R261" s="890" t="s">
        <v>73</v>
      </c>
      <c r="S261" s="890" t="s">
        <v>73</v>
      </c>
      <c r="T261" s="890" t="s">
        <v>73</v>
      </c>
      <c r="U261" s="890" t="s">
        <v>73</v>
      </c>
      <c r="V261" s="890" t="s">
        <v>73</v>
      </c>
      <c r="W261" s="890" t="s">
        <v>73</v>
      </c>
      <c r="X261" s="890" t="s">
        <v>73</v>
      </c>
      <c r="Y261" s="890" t="s">
        <v>73</v>
      </c>
      <c r="Z261" s="890" t="s">
        <v>73</v>
      </c>
      <c r="AA261" s="890" t="s">
        <v>73</v>
      </c>
      <c r="AB261" s="890" t="s">
        <v>73</v>
      </c>
      <c r="AC261" s="890" t="s">
        <v>73</v>
      </c>
      <c r="AD261" s="890" t="s">
        <v>73</v>
      </c>
      <c r="AE261" s="890" t="s">
        <v>73</v>
      </c>
      <c r="AF261" s="890" t="s">
        <v>73</v>
      </c>
    </row>
    <row r="262" spans="1:32" x14ac:dyDescent="0.25">
      <c r="G262">
        <v>0</v>
      </c>
      <c r="H262">
        <v>0</v>
      </c>
      <c r="I262">
        <v>0</v>
      </c>
      <c r="J262">
        <v>0</v>
      </c>
      <c r="K262">
        <v>0</v>
      </c>
      <c r="L262">
        <v>0</v>
      </c>
      <c r="M262">
        <v>0</v>
      </c>
      <c r="N262">
        <v>0</v>
      </c>
      <c r="O262">
        <v>0</v>
      </c>
      <c r="P262">
        <v>0</v>
      </c>
      <c r="Q262">
        <v>0</v>
      </c>
      <c r="R262">
        <v>0</v>
      </c>
      <c r="S262">
        <v>0</v>
      </c>
      <c r="T262">
        <v>0</v>
      </c>
      <c r="U262">
        <v>0</v>
      </c>
      <c r="V262">
        <v>0</v>
      </c>
      <c r="W262">
        <v>0</v>
      </c>
      <c r="X262">
        <v>0</v>
      </c>
      <c r="Y262">
        <v>0</v>
      </c>
      <c r="Z262">
        <v>0</v>
      </c>
      <c r="AA262">
        <v>0</v>
      </c>
      <c r="AB262">
        <v>0</v>
      </c>
      <c r="AC262">
        <v>0</v>
      </c>
      <c r="AD262">
        <v>0</v>
      </c>
      <c r="AE262">
        <v>0</v>
      </c>
      <c r="AF262">
        <v>0</v>
      </c>
    </row>
  </sheetData>
  <pageMargins left="0.7" right="0.7" top="0.75" bottom="0.75" header="0.3" footer="0.3"/>
  <pageSetup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A1:AF261"/>
  <sheetViews>
    <sheetView zoomScale="59" zoomScaleNormal="59" workbookViewId="0">
      <selection sqref="A1:XFD1048576"/>
    </sheetView>
  </sheetViews>
  <sheetFormatPr defaultColWidth="9.140625" defaultRowHeight="15" x14ac:dyDescent="0.25"/>
  <cols>
    <col min="1" max="6" width="8.85546875" customWidth="1"/>
    <col min="7" max="7" width="10.5703125" bestFit="1" customWidth="1"/>
    <col min="8" max="21" width="9.42578125" bestFit="1" customWidth="1"/>
    <col min="22" max="32" width="12" bestFit="1" customWidth="1"/>
    <col min="33" max="16384" width="9.140625" style="221"/>
  </cols>
  <sheetData>
    <row r="1" spans="1:32" customFormat="1" ht="53.1" x14ac:dyDescent="0.4">
      <c r="A1" s="268" t="s">
        <v>288</v>
      </c>
      <c r="B1" s="499"/>
      <c r="C1" s="499"/>
      <c r="D1" s="499"/>
      <c r="E1" s="499"/>
      <c r="F1" s="499"/>
      <c r="G1" s="764" t="s">
        <v>411</v>
      </c>
      <c r="H1" s="748" t="s">
        <v>213</v>
      </c>
      <c r="I1" s="748" t="s">
        <v>214</v>
      </c>
      <c r="J1" s="748" t="s">
        <v>43</v>
      </c>
      <c r="K1" s="748" t="s">
        <v>44</v>
      </c>
      <c r="L1" s="748" t="s">
        <v>215</v>
      </c>
      <c r="M1" s="748" t="s">
        <v>257</v>
      </c>
      <c r="N1" s="748" t="s">
        <v>216</v>
      </c>
      <c r="O1" s="499"/>
      <c r="P1" s="499"/>
      <c r="Q1" s="499"/>
      <c r="R1" s="499"/>
      <c r="S1" s="499"/>
      <c r="T1" s="499"/>
      <c r="U1" s="499"/>
      <c r="V1" s="499"/>
      <c r="W1" s="499"/>
      <c r="X1" s="499"/>
      <c r="Y1" s="499"/>
      <c r="Z1" s="499"/>
      <c r="AA1" s="499"/>
      <c r="AB1" s="499"/>
      <c r="AC1" s="499"/>
      <c r="AD1" s="499"/>
      <c r="AE1" s="499"/>
      <c r="AF1" s="499"/>
    </row>
    <row r="2" spans="1:32" customFormat="1" ht="15.6" x14ac:dyDescent="0.35">
      <c r="A2" s="269" t="s">
        <v>165</v>
      </c>
      <c r="B2" s="499"/>
      <c r="C2" s="499"/>
      <c r="D2" s="499"/>
      <c r="E2" s="499"/>
      <c r="F2" s="499"/>
      <c r="G2" s="539" t="s">
        <v>255</v>
      </c>
      <c r="H2" s="539" t="s">
        <v>25</v>
      </c>
      <c r="I2" s="539" t="s">
        <v>25</v>
      </c>
      <c r="J2" s="539" t="s">
        <v>25</v>
      </c>
      <c r="K2" s="539" t="s">
        <v>25</v>
      </c>
      <c r="L2" s="539" t="s">
        <v>25</v>
      </c>
      <c r="M2" s="539" t="s">
        <v>25</v>
      </c>
      <c r="N2" s="539" t="s">
        <v>25</v>
      </c>
      <c r="O2" s="499"/>
      <c r="P2" s="499"/>
      <c r="Q2" s="499"/>
      <c r="R2" s="499"/>
      <c r="S2" s="499"/>
      <c r="T2" s="499"/>
      <c r="U2" s="499"/>
      <c r="V2" s="499"/>
      <c r="W2" s="499"/>
      <c r="X2" s="499"/>
      <c r="Y2" s="499"/>
      <c r="Z2" s="499"/>
      <c r="AA2" s="499"/>
      <c r="AB2" s="499"/>
      <c r="AC2" s="499"/>
      <c r="AD2" s="499"/>
      <c r="AE2" s="499"/>
      <c r="AF2" s="499"/>
    </row>
    <row r="3" spans="1:32" customFormat="1" ht="14.45" x14ac:dyDescent="0.35"/>
    <row r="4" spans="1:32" customFormat="1" ht="14.45" x14ac:dyDescent="0.35">
      <c r="A4" s="499"/>
      <c r="B4" s="499"/>
      <c r="C4" s="499"/>
      <c r="D4" s="208"/>
      <c r="E4" s="208"/>
      <c r="F4" s="208"/>
      <c r="G4" s="208">
        <v>2010</v>
      </c>
      <c r="H4" s="208">
        <v>2011</v>
      </c>
      <c r="I4" s="208">
        <v>2012</v>
      </c>
      <c r="J4" s="208">
        <v>2013</v>
      </c>
      <c r="K4" s="208">
        <v>2014</v>
      </c>
      <c r="L4" s="208">
        <v>2015</v>
      </c>
      <c r="M4" s="208">
        <v>2016</v>
      </c>
      <c r="N4" s="208">
        <v>2017</v>
      </c>
      <c r="O4" s="208">
        <v>2018</v>
      </c>
      <c r="P4" s="208">
        <v>2019</v>
      </c>
      <c r="Q4" s="208">
        <v>2020</v>
      </c>
      <c r="R4" s="208">
        <v>2021</v>
      </c>
      <c r="S4" s="208">
        <v>2022</v>
      </c>
      <c r="T4" s="208">
        <v>2023</v>
      </c>
      <c r="U4" s="208">
        <v>2024</v>
      </c>
      <c r="V4" s="208">
        <v>2025</v>
      </c>
      <c r="W4" s="208">
        <v>2026</v>
      </c>
      <c r="X4" s="208">
        <v>2027</v>
      </c>
      <c r="Y4" s="208">
        <v>2028</v>
      </c>
      <c r="Z4" s="208">
        <v>2029</v>
      </c>
      <c r="AA4" s="208">
        <v>2030</v>
      </c>
      <c r="AB4" s="208">
        <v>2031</v>
      </c>
      <c r="AC4" s="208">
        <v>2032</v>
      </c>
      <c r="AD4" s="208">
        <v>2033</v>
      </c>
      <c r="AE4" s="208">
        <v>2034</v>
      </c>
      <c r="AF4" s="208">
        <v>2035</v>
      </c>
    </row>
    <row r="5" spans="1:32" s="539" customFormat="1" ht="14.45" x14ac:dyDescent="0.35">
      <c r="A5" s="860" t="s">
        <v>526</v>
      </c>
      <c r="B5" s="555"/>
      <c r="C5" s="554"/>
      <c r="D5" s="553"/>
      <c r="E5" s="553"/>
      <c r="F5" s="553"/>
      <c r="G5" s="553"/>
      <c r="H5" s="560"/>
      <c r="I5" s="560"/>
      <c r="J5" s="560"/>
      <c r="K5" s="560"/>
      <c r="L5" s="560"/>
      <c r="M5" s="560"/>
      <c r="N5" s="560"/>
      <c r="O5" s="560"/>
      <c r="P5" s="560"/>
      <c r="Q5" s="560"/>
      <c r="R5" s="560"/>
      <c r="S5" s="560"/>
      <c r="T5" s="560"/>
      <c r="U5" s="560"/>
      <c r="V5" s="560"/>
      <c r="W5" s="560"/>
      <c r="X5" s="560"/>
      <c r="Y5" s="560"/>
      <c r="Z5" s="560"/>
      <c r="AA5" s="560"/>
      <c r="AB5" s="560"/>
      <c r="AC5" s="560"/>
      <c r="AD5" s="560"/>
      <c r="AE5" s="560"/>
      <c r="AF5" s="560"/>
    </row>
    <row r="6" spans="1:32" s="539" customFormat="1" ht="14.45" x14ac:dyDescent="0.35">
      <c r="A6" s="840" t="s">
        <v>12</v>
      </c>
      <c r="B6" s="550"/>
    </row>
    <row r="7" spans="1:32" s="539" customFormat="1" ht="14.45" x14ac:dyDescent="0.35">
      <c r="A7" s="839"/>
      <c r="B7" s="550" t="s">
        <v>20</v>
      </c>
    </row>
    <row r="8" spans="1:32" s="202" customFormat="1" ht="12.95" x14ac:dyDescent="0.3">
      <c r="A8" s="843" t="s">
        <v>21</v>
      </c>
      <c r="B8" s="556"/>
      <c r="C8" s="556"/>
      <c r="D8" s="556"/>
      <c r="E8" s="556"/>
      <c r="F8" s="556"/>
      <c r="G8" s="556"/>
      <c r="H8" s="556"/>
      <c r="I8" s="556"/>
      <c r="J8" s="556"/>
      <c r="K8" s="556"/>
      <c r="L8" s="556"/>
      <c r="M8" s="556"/>
      <c r="N8" s="556"/>
      <c r="O8" s="556"/>
      <c r="P8" s="556"/>
      <c r="Q8" s="556"/>
      <c r="R8" s="556"/>
      <c r="S8" s="556"/>
      <c r="T8" s="556"/>
      <c r="U8" s="556"/>
      <c r="V8" s="556"/>
      <c r="W8" s="556"/>
      <c r="X8" s="556"/>
      <c r="Y8" s="556"/>
      <c r="Z8" s="556"/>
      <c r="AA8" s="556"/>
      <c r="AB8" s="556"/>
      <c r="AC8" s="556"/>
      <c r="AD8" s="556"/>
      <c r="AE8" s="556"/>
      <c r="AF8" s="556"/>
    </row>
    <row r="9" spans="1:32" ht="14.45" x14ac:dyDescent="0.35">
      <c r="A9" s="839"/>
      <c r="B9" s="550" t="s">
        <v>22</v>
      </c>
      <c r="C9" s="539"/>
      <c r="D9" s="539"/>
      <c r="E9" s="539"/>
      <c r="F9" s="539"/>
      <c r="G9" s="549">
        <v>55.283949334175901</v>
      </c>
      <c r="H9" s="549">
        <v>51.430973424463289</v>
      </c>
      <c r="I9" s="549">
        <v>46.362609785098698</v>
      </c>
      <c r="J9" s="549">
        <v>37.096624262005975</v>
      </c>
      <c r="K9" s="549">
        <v>28.438964857942857</v>
      </c>
      <c r="L9" s="549">
        <v>20.757578537884633</v>
      </c>
      <c r="M9" s="549">
        <v>12.862050797788322</v>
      </c>
      <c r="N9" s="549">
        <v>8.7603067964545929</v>
      </c>
      <c r="O9" s="549">
        <v>6.6098827241453719</v>
      </c>
      <c r="P9" s="549">
        <v>5.4749012338459178</v>
      </c>
      <c r="Q9" s="549">
        <v>4.8760499731651308</v>
      </c>
      <c r="R9" s="549">
        <v>4.5644771707762324</v>
      </c>
      <c r="S9" s="549">
        <v>4.4115063657153319</v>
      </c>
      <c r="T9" s="549">
        <v>4.3479095023986476</v>
      </c>
      <c r="U9" s="549">
        <v>4.3359051885555093</v>
      </c>
      <c r="V9" s="549">
        <v>4.3550916890565059</v>
      </c>
      <c r="W9" s="549">
        <v>4.3928844357581704</v>
      </c>
      <c r="X9" s="549">
        <v>4.4414257053535904</v>
      </c>
      <c r="Y9" s="549">
        <v>4.4959155564189501</v>
      </c>
      <c r="Z9" s="549">
        <v>4.5541941822456691</v>
      </c>
      <c r="AA9" s="549">
        <v>4.61547691270545</v>
      </c>
      <c r="AB9" s="549">
        <v>4.6800398459810948</v>
      </c>
      <c r="AC9" s="549">
        <v>4.7454336645633184</v>
      </c>
      <c r="AD9" s="549">
        <v>4.8108543572441</v>
      </c>
      <c r="AE9" s="549">
        <v>4.8757968413839219</v>
      </c>
      <c r="AF9" s="549">
        <v>4.9399249730347963</v>
      </c>
    </row>
    <row r="10" spans="1:32" ht="14.45" x14ac:dyDescent="0.35">
      <c r="A10" s="839"/>
      <c r="B10" s="550" t="s">
        <v>26</v>
      </c>
      <c r="C10" s="539"/>
      <c r="D10" s="539"/>
      <c r="E10" s="539"/>
      <c r="F10" s="539"/>
      <c r="G10" s="549">
        <v>0.95509769373585018</v>
      </c>
      <c r="H10" s="549">
        <v>0.9245585445218053</v>
      </c>
      <c r="I10" s="549">
        <v>2.255635790136691</v>
      </c>
      <c r="J10" s="549">
        <v>6.5008981587493908</v>
      </c>
      <c r="K10" s="549">
        <v>10.998021863264889</v>
      </c>
      <c r="L10" s="549">
        <v>14.093032590639794</v>
      </c>
      <c r="M10" s="549">
        <v>16.666729969016412</v>
      </c>
      <c r="N10" s="549">
        <v>17.315365933468584</v>
      </c>
      <c r="O10" s="549">
        <v>17.238057019517349</v>
      </c>
      <c r="P10" s="549">
        <v>16.962485099124571</v>
      </c>
      <c r="Q10" s="549">
        <v>16.700468042239045</v>
      </c>
      <c r="R10" s="549">
        <v>16.516475883104686</v>
      </c>
      <c r="S10" s="549">
        <v>16.433188314965975</v>
      </c>
      <c r="T10" s="549">
        <v>16.437587523043991</v>
      </c>
      <c r="U10" s="549">
        <v>16.511028218601435</v>
      </c>
      <c r="V10" s="549">
        <v>16.641063251172525</v>
      </c>
      <c r="W10" s="549">
        <v>16.808214892620008</v>
      </c>
      <c r="X10" s="549">
        <v>16.996685165824598</v>
      </c>
      <c r="Y10" s="549">
        <v>17.196431991067161</v>
      </c>
      <c r="Z10" s="549">
        <v>17.406757574889774</v>
      </c>
      <c r="AA10" s="549">
        <v>17.629334025318212</v>
      </c>
      <c r="AB10" s="549">
        <v>17.868929729489999</v>
      </c>
      <c r="AC10" s="549">
        <v>18.107297453067147</v>
      </c>
      <c r="AD10" s="549">
        <v>18.343299351604056</v>
      </c>
      <c r="AE10" s="549">
        <v>18.575984146856726</v>
      </c>
      <c r="AF10" s="549">
        <v>18.804567838108095</v>
      </c>
    </row>
    <row r="11" spans="1:32" ht="14.45" x14ac:dyDescent="0.35">
      <c r="A11" s="839"/>
      <c r="B11" s="550" t="s">
        <v>27</v>
      </c>
      <c r="C11" s="539"/>
      <c r="D11" s="539"/>
      <c r="E11" s="539"/>
      <c r="F11" s="539"/>
      <c r="G11" s="549">
        <v>38.399176300204253</v>
      </c>
      <c r="H11" s="549">
        <v>44.605078469782306</v>
      </c>
      <c r="I11" s="549">
        <v>50.760785501047167</v>
      </c>
      <c r="J11" s="549">
        <v>58.273186885994399</v>
      </c>
      <c r="K11" s="549">
        <v>64.902514762507437</v>
      </c>
      <c r="L11" s="549">
        <v>71.9854146503761</v>
      </c>
      <c r="M11" s="549">
        <v>79.816350758549447</v>
      </c>
      <c r="N11" s="549">
        <v>85.756370819028547</v>
      </c>
      <c r="O11" s="549">
        <v>90.454619968826378</v>
      </c>
      <c r="P11" s="549">
        <v>94.325865236251715</v>
      </c>
      <c r="Q11" s="549">
        <v>97.63467787730562</v>
      </c>
      <c r="R11" s="549">
        <v>100.53793411262687</v>
      </c>
      <c r="S11" s="549">
        <v>103.17726992652339</v>
      </c>
      <c r="T11" s="549">
        <v>105.62990992325061</v>
      </c>
      <c r="U11" s="549">
        <v>107.947410642706</v>
      </c>
      <c r="V11" s="549">
        <v>110.17825442472785</v>
      </c>
      <c r="W11" s="549">
        <v>112.33664796577565</v>
      </c>
      <c r="X11" s="549">
        <v>114.42643668743105</v>
      </c>
      <c r="Y11" s="549">
        <v>116.45094314665997</v>
      </c>
      <c r="Z11" s="549">
        <v>118.4279566272448</v>
      </c>
      <c r="AA11" s="549">
        <v>120.37876170618981</v>
      </c>
      <c r="AB11" s="549">
        <v>122.33180699389152</v>
      </c>
      <c r="AC11" s="549">
        <v>124.25610097073096</v>
      </c>
      <c r="AD11" s="549">
        <v>126.15110787398692</v>
      </c>
      <c r="AE11" s="549">
        <v>128.01581093285938</v>
      </c>
      <c r="AF11" s="549">
        <v>129.84886607426478</v>
      </c>
    </row>
    <row r="12" spans="1:32" ht="14.45" x14ac:dyDescent="0.35">
      <c r="A12" s="839"/>
      <c r="B12" s="550" t="s">
        <v>29</v>
      </c>
      <c r="C12" s="539"/>
      <c r="D12" s="539"/>
      <c r="E12" s="539"/>
      <c r="F12" s="539"/>
      <c r="G12" s="549">
        <v>0</v>
      </c>
      <c r="H12" s="549">
        <v>1.288922285877175E-2</v>
      </c>
      <c r="I12" s="549">
        <v>2.5576022074648128E-2</v>
      </c>
      <c r="J12" s="549">
        <v>3.4521109032054076E-2</v>
      </c>
      <c r="K12" s="549">
        <v>4.2817827431287529E-2</v>
      </c>
      <c r="L12" s="549">
        <v>5.1354820322440778E-2</v>
      </c>
      <c r="M12" s="549">
        <v>6.0198247414366475E-2</v>
      </c>
      <c r="N12" s="549">
        <v>6.8544942891888297E-2</v>
      </c>
      <c r="O12" s="549">
        <v>7.6439771548081237E-2</v>
      </c>
      <c r="P12" s="549">
        <v>8.3925951057453346E-2</v>
      </c>
      <c r="Q12" s="549">
        <v>9.1028630191302806E-2</v>
      </c>
      <c r="R12" s="549">
        <v>9.7731074972936816E-2</v>
      </c>
      <c r="S12" s="549">
        <v>0.10411771183360242</v>
      </c>
      <c r="T12" s="549">
        <v>0.11020374938110376</v>
      </c>
      <c r="U12" s="549">
        <v>0.11600309310158072</v>
      </c>
      <c r="V12" s="549">
        <v>0.12156137298394239</v>
      </c>
      <c r="W12" s="549">
        <v>0.12686789411955121</v>
      </c>
      <c r="X12" s="549">
        <v>0.13190815889537039</v>
      </c>
      <c r="Y12" s="549">
        <v>0.13668056514945517</v>
      </c>
      <c r="Z12" s="549">
        <v>0.14122548085672018</v>
      </c>
      <c r="AA12" s="549">
        <v>0.14559316201474362</v>
      </c>
      <c r="AB12" s="549">
        <v>0.14985019612042408</v>
      </c>
      <c r="AC12" s="549">
        <v>0.15392311150960844</v>
      </c>
      <c r="AD12" s="549">
        <v>0.157819362795452</v>
      </c>
      <c r="AE12" s="549">
        <v>0.16154565197894688</v>
      </c>
      <c r="AF12" s="549">
        <v>0.16510799245966135</v>
      </c>
    </row>
    <row r="13" spans="1:32" ht="14.45" x14ac:dyDescent="0.35">
      <c r="A13" s="839"/>
      <c r="B13" s="550"/>
      <c r="C13" s="539"/>
      <c r="D13" s="539"/>
      <c r="E13" s="539"/>
      <c r="F13" s="539"/>
      <c r="G13" s="549" t="s">
        <v>73</v>
      </c>
      <c r="H13" s="549" t="s">
        <v>73</v>
      </c>
      <c r="I13" s="549" t="s">
        <v>73</v>
      </c>
      <c r="J13" s="549" t="s">
        <v>73</v>
      </c>
      <c r="K13" s="549" t="s">
        <v>73</v>
      </c>
      <c r="L13" s="549" t="s">
        <v>73</v>
      </c>
      <c r="M13" s="549" t="s">
        <v>73</v>
      </c>
      <c r="N13" s="549" t="s">
        <v>73</v>
      </c>
      <c r="O13" s="549" t="s">
        <v>73</v>
      </c>
      <c r="P13" s="549" t="s">
        <v>73</v>
      </c>
      <c r="Q13" s="549" t="s">
        <v>73</v>
      </c>
      <c r="R13" s="549" t="s">
        <v>73</v>
      </c>
      <c r="S13" s="549" t="s">
        <v>73</v>
      </c>
      <c r="T13" s="549" t="s">
        <v>73</v>
      </c>
      <c r="U13" s="549" t="s">
        <v>73</v>
      </c>
      <c r="V13" s="549" t="s">
        <v>73</v>
      </c>
      <c r="W13" s="549" t="s">
        <v>73</v>
      </c>
      <c r="X13" s="549" t="s">
        <v>73</v>
      </c>
      <c r="Y13" s="549" t="s">
        <v>73</v>
      </c>
      <c r="Z13" s="549" t="s">
        <v>73</v>
      </c>
      <c r="AA13" s="549" t="s">
        <v>73</v>
      </c>
      <c r="AB13" s="549" t="s">
        <v>73</v>
      </c>
      <c r="AC13" s="549" t="s">
        <v>73</v>
      </c>
      <c r="AD13" s="549" t="s">
        <v>73</v>
      </c>
      <c r="AE13" s="549" t="s">
        <v>73</v>
      </c>
      <c r="AF13" s="549" t="s">
        <v>73</v>
      </c>
    </row>
    <row r="14" spans="1:32" s="202" customFormat="1" ht="12.95" x14ac:dyDescent="0.3">
      <c r="A14" s="843" t="s">
        <v>32</v>
      </c>
      <c r="B14" s="556"/>
      <c r="C14" s="556"/>
      <c r="D14" s="556"/>
      <c r="E14" s="556"/>
      <c r="F14" s="556"/>
      <c r="G14" s="632" t="s">
        <v>73</v>
      </c>
      <c r="H14" s="632" t="s">
        <v>73</v>
      </c>
      <c r="I14" s="632" t="s">
        <v>73</v>
      </c>
      <c r="J14" s="632" t="s">
        <v>73</v>
      </c>
      <c r="K14" s="632" t="s">
        <v>73</v>
      </c>
      <c r="L14" s="632" t="s">
        <v>73</v>
      </c>
      <c r="M14" s="632" t="s">
        <v>73</v>
      </c>
      <c r="N14" s="632" t="s">
        <v>73</v>
      </c>
      <c r="O14" s="632" t="s">
        <v>73</v>
      </c>
      <c r="P14" s="632" t="s">
        <v>73</v>
      </c>
      <c r="Q14" s="632" t="s">
        <v>73</v>
      </c>
      <c r="R14" s="632" t="s">
        <v>73</v>
      </c>
      <c r="S14" s="632" t="s">
        <v>73</v>
      </c>
      <c r="T14" s="632" t="s">
        <v>73</v>
      </c>
      <c r="U14" s="632" t="s">
        <v>73</v>
      </c>
      <c r="V14" s="632" t="s">
        <v>73</v>
      </c>
      <c r="W14" s="632" t="s">
        <v>73</v>
      </c>
      <c r="X14" s="632" t="s">
        <v>73</v>
      </c>
      <c r="Y14" s="632" t="s">
        <v>73</v>
      </c>
      <c r="Z14" s="632" t="s">
        <v>73</v>
      </c>
      <c r="AA14" s="632" t="s">
        <v>73</v>
      </c>
      <c r="AB14" s="632" t="s">
        <v>73</v>
      </c>
      <c r="AC14" s="632" t="s">
        <v>73</v>
      </c>
      <c r="AD14" s="632" t="s">
        <v>73</v>
      </c>
      <c r="AE14" s="632" t="s">
        <v>73</v>
      </c>
      <c r="AF14" s="632" t="s">
        <v>73</v>
      </c>
    </row>
    <row r="15" spans="1:32" ht="14.45" x14ac:dyDescent="0.35">
      <c r="A15" s="839"/>
      <c r="B15" s="550" t="s">
        <v>33</v>
      </c>
      <c r="C15" s="539"/>
      <c r="D15" s="539"/>
      <c r="E15" s="539"/>
      <c r="F15" s="539"/>
      <c r="G15" s="549">
        <v>9.8906218162193458</v>
      </c>
      <c r="H15" s="549">
        <v>8.7253010026166766</v>
      </c>
      <c r="I15" s="549">
        <v>8.0308646647219941</v>
      </c>
      <c r="J15" s="549">
        <v>7.6968069394618137</v>
      </c>
      <c r="K15" s="549">
        <v>7.6378701699953329</v>
      </c>
      <c r="L15" s="549">
        <v>7.6385135527398074</v>
      </c>
      <c r="M15" s="549">
        <v>7.6824455448439162</v>
      </c>
      <c r="N15" s="549">
        <v>7.7564501834620243</v>
      </c>
      <c r="O15" s="549">
        <v>7.8524564514529844</v>
      </c>
      <c r="P15" s="549">
        <v>7.9647424809875762</v>
      </c>
      <c r="Q15" s="549">
        <v>8.0887528974752811</v>
      </c>
      <c r="R15" s="549">
        <v>8.2197881661702823</v>
      </c>
      <c r="S15" s="549">
        <v>8.3572726708365597</v>
      </c>
      <c r="T15" s="549">
        <v>8.499274229970851</v>
      </c>
      <c r="U15" s="549">
        <v>8.644282625838132</v>
      </c>
      <c r="V15" s="549">
        <v>8.792188614077963</v>
      </c>
      <c r="W15" s="549">
        <v>8.9414020953505045</v>
      </c>
      <c r="X15" s="549">
        <v>9.090307497201259</v>
      </c>
      <c r="Y15" s="549">
        <v>9.2377854290260313</v>
      </c>
      <c r="Z15" s="549">
        <v>9.3842104356082601</v>
      </c>
      <c r="AA15" s="549">
        <v>9.5305195570799359</v>
      </c>
      <c r="AB15" s="549">
        <v>9.678414034778724</v>
      </c>
      <c r="AC15" s="549">
        <v>9.8251974048736574</v>
      </c>
      <c r="AD15" s="549">
        <v>9.9705495426664275</v>
      </c>
      <c r="AE15" s="549">
        <v>10.114186016591722</v>
      </c>
      <c r="AF15" s="549">
        <v>10.255849388083293</v>
      </c>
    </row>
    <row r="16" spans="1:32" ht="14.45" x14ac:dyDescent="0.35">
      <c r="A16" s="842"/>
      <c r="B16" s="552" t="s">
        <v>34</v>
      </c>
      <c r="C16" s="539"/>
      <c r="D16" s="539"/>
      <c r="E16" s="539"/>
      <c r="F16" s="539"/>
      <c r="G16" s="549">
        <v>7.5013754087409996</v>
      </c>
      <c r="H16" s="549">
        <v>9.0394790255006541</v>
      </c>
      <c r="I16" s="549">
        <v>10.114064434106888</v>
      </c>
      <c r="J16" s="549">
        <v>10.824855025268967</v>
      </c>
      <c r="K16" s="549">
        <v>11.235597089521541</v>
      </c>
      <c r="L16" s="549">
        <v>11.602106342196825</v>
      </c>
      <c r="M16" s="549">
        <v>11.93643733524164</v>
      </c>
      <c r="N16" s="549">
        <v>12.244050419170939</v>
      </c>
      <c r="O16" s="549">
        <v>12.533101041491852</v>
      </c>
      <c r="P16" s="549">
        <v>12.809678117577969</v>
      </c>
      <c r="Q16" s="549">
        <v>13.077071132352655</v>
      </c>
      <c r="R16" s="549">
        <v>13.334295980331742</v>
      </c>
      <c r="S16" s="549">
        <v>13.587986989485197</v>
      </c>
      <c r="T16" s="549">
        <v>13.838676826379801</v>
      </c>
      <c r="U16" s="549">
        <v>14.086573658560624</v>
      </c>
      <c r="V16" s="549">
        <v>14.334318135479984</v>
      </c>
      <c r="W16" s="549">
        <v>14.57989405314717</v>
      </c>
      <c r="X16" s="549">
        <v>14.821013891047823</v>
      </c>
      <c r="Y16" s="549">
        <v>15.056477331677968</v>
      </c>
      <c r="Z16" s="549">
        <v>15.288498719515903</v>
      </c>
      <c r="AA16" s="549">
        <v>15.520065079294742</v>
      </c>
      <c r="AB16" s="549">
        <v>15.755475798690393</v>
      </c>
      <c r="AC16" s="549">
        <v>15.987729019310182</v>
      </c>
      <c r="AD16" s="549">
        <v>16.216589718175033</v>
      </c>
      <c r="AE16" s="549">
        <v>16.441803700779147</v>
      </c>
      <c r="AF16" s="549">
        <v>16.663105075827758</v>
      </c>
    </row>
    <row r="17" spans="1:32" ht="14.45" x14ac:dyDescent="0.35">
      <c r="A17" s="839"/>
      <c r="B17" s="552" t="s">
        <v>35</v>
      </c>
      <c r="C17" s="539"/>
      <c r="D17" s="539"/>
      <c r="E17" s="539"/>
      <c r="F17" s="539"/>
      <c r="G17" s="549">
        <v>3.2243352290348191</v>
      </c>
      <c r="H17" s="549">
        <v>3.3544365684487034</v>
      </c>
      <c r="I17" s="549">
        <v>3.4983018195378701</v>
      </c>
      <c r="J17" s="549">
        <v>3.660928719509509</v>
      </c>
      <c r="K17" s="549">
        <v>3.843573684540718</v>
      </c>
      <c r="L17" s="549">
        <v>4.0172219818183352</v>
      </c>
      <c r="M17" s="549">
        <v>4.1828168118153162</v>
      </c>
      <c r="N17" s="549">
        <v>4.3403740485917535</v>
      </c>
      <c r="O17" s="549">
        <v>4.4910586643424244</v>
      </c>
      <c r="P17" s="549">
        <v>4.6359220520561735</v>
      </c>
      <c r="Q17" s="549">
        <v>4.7755856439420281</v>
      </c>
      <c r="R17" s="549">
        <v>4.9097462439985318</v>
      </c>
      <c r="S17" s="549">
        <v>5.0400832889020997</v>
      </c>
      <c r="T17" s="549">
        <v>5.1668977989289351</v>
      </c>
      <c r="U17" s="549">
        <v>5.2904266497460704</v>
      </c>
      <c r="V17" s="549">
        <v>5.4115302103166991</v>
      </c>
      <c r="W17" s="549">
        <v>5.529928268104956</v>
      </c>
      <c r="X17" s="549">
        <v>5.6452127538501138</v>
      </c>
      <c r="Y17" s="549">
        <v>5.7571944134703408</v>
      </c>
      <c r="Z17" s="549">
        <v>5.8665248739215681</v>
      </c>
      <c r="AA17" s="549">
        <v>5.9740948306219801</v>
      </c>
      <c r="AB17" s="549">
        <v>6.0811796637275641</v>
      </c>
      <c r="AC17" s="549">
        <v>6.1862400273001343</v>
      </c>
      <c r="AD17" s="549">
        <v>6.2892890570303308</v>
      </c>
      <c r="AE17" s="549">
        <v>6.3903245740175585</v>
      </c>
      <c r="AF17" s="549">
        <v>6.4893312551944646</v>
      </c>
    </row>
    <row r="18" spans="1:32" ht="14.45" x14ac:dyDescent="0.35">
      <c r="A18" s="839"/>
      <c r="B18" s="552" t="s">
        <v>29</v>
      </c>
      <c r="C18" s="539"/>
      <c r="D18" s="539"/>
      <c r="E18" s="539"/>
      <c r="F18" s="539"/>
      <c r="G18" s="549">
        <v>0</v>
      </c>
      <c r="H18" s="549">
        <v>5.840959912688245E-3</v>
      </c>
      <c r="I18" s="549">
        <v>1.1427920050017092E-2</v>
      </c>
      <c r="J18" s="549">
        <v>1.6812996190056217E-2</v>
      </c>
      <c r="K18" s="549">
        <v>2.1980734307841716E-2</v>
      </c>
      <c r="L18" s="549">
        <v>2.6891391129402521E-2</v>
      </c>
      <c r="M18" s="549">
        <v>3.1552690189995958E-2</v>
      </c>
      <c r="N18" s="549">
        <v>3.5953871771025395E-2</v>
      </c>
      <c r="O18" s="549">
        <v>4.0118334616926585E-2</v>
      </c>
      <c r="P18" s="549">
        <v>4.4068624050760771E-2</v>
      </c>
      <c r="Q18" s="549">
        <v>4.7817869990944006E-2</v>
      </c>
      <c r="R18" s="549">
        <v>5.1357362357567077E-2</v>
      </c>
      <c r="S18" s="549">
        <v>5.473112024201629E-2</v>
      </c>
      <c r="T18" s="549">
        <v>5.7947100712350194E-2</v>
      </c>
      <c r="U18" s="549">
        <v>6.1012578429154016E-2</v>
      </c>
      <c r="V18" s="549">
        <v>6.3951367683205168E-2</v>
      </c>
      <c r="W18" s="549">
        <v>6.6757926216476138E-2</v>
      </c>
      <c r="X18" s="549">
        <v>6.9424715424239156E-2</v>
      </c>
      <c r="Y18" s="549">
        <v>7.1950906866082812E-2</v>
      </c>
      <c r="Z18" s="549">
        <v>7.4357550124132588E-2</v>
      </c>
      <c r="AA18" s="549">
        <v>7.6670864630451849E-2</v>
      </c>
      <c r="AB18" s="549">
        <v>7.892560370633632E-2</v>
      </c>
      <c r="AC18" s="549">
        <v>8.108351419388285E-2</v>
      </c>
      <c r="AD18" s="549">
        <v>8.3148498723841488E-2</v>
      </c>
      <c r="AE18" s="549">
        <v>8.5124066360254116E-2</v>
      </c>
      <c r="AF18" s="549">
        <v>8.7013365963271E-2</v>
      </c>
    </row>
    <row r="19" spans="1:32" ht="14.45" x14ac:dyDescent="0.35">
      <c r="A19" s="839"/>
      <c r="B19" s="550"/>
      <c r="C19" s="539"/>
      <c r="D19" s="539"/>
      <c r="E19" s="539"/>
      <c r="F19" s="539"/>
      <c r="G19" s="549" t="s">
        <v>73</v>
      </c>
      <c r="H19" s="549" t="s">
        <v>73</v>
      </c>
      <c r="I19" s="549" t="s">
        <v>73</v>
      </c>
      <c r="J19" s="549" t="s">
        <v>73</v>
      </c>
      <c r="K19" s="549" t="s">
        <v>73</v>
      </c>
      <c r="L19" s="549" t="s">
        <v>73</v>
      </c>
      <c r="M19" s="549" t="s">
        <v>73</v>
      </c>
      <c r="N19" s="549" t="s">
        <v>73</v>
      </c>
      <c r="O19" s="549" t="s">
        <v>73</v>
      </c>
      <c r="P19" s="549" t="s">
        <v>73</v>
      </c>
      <c r="Q19" s="549" t="s">
        <v>73</v>
      </c>
      <c r="R19" s="549" t="s">
        <v>73</v>
      </c>
      <c r="S19" s="549" t="s">
        <v>73</v>
      </c>
      <c r="T19" s="549" t="s">
        <v>73</v>
      </c>
      <c r="U19" s="549" t="s">
        <v>73</v>
      </c>
      <c r="V19" s="549" t="s">
        <v>73</v>
      </c>
      <c r="W19" s="549" t="s">
        <v>73</v>
      </c>
      <c r="X19" s="549" t="s">
        <v>73</v>
      </c>
      <c r="Y19" s="549" t="s">
        <v>73</v>
      </c>
      <c r="Z19" s="549" t="s">
        <v>73</v>
      </c>
      <c r="AA19" s="549" t="s">
        <v>73</v>
      </c>
      <c r="AB19" s="549" t="s">
        <v>73</v>
      </c>
      <c r="AC19" s="549" t="s">
        <v>73</v>
      </c>
      <c r="AD19" s="549" t="s">
        <v>73</v>
      </c>
      <c r="AE19" s="549" t="s">
        <v>73</v>
      </c>
      <c r="AF19" s="549" t="s">
        <v>73</v>
      </c>
    </row>
    <row r="20" spans="1:32" s="202" customFormat="1" ht="12.95" x14ac:dyDescent="0.3">
      <c r="A20" s="843" t="s">
        <v>36</v>
      </c>
      <c r="B20" s="556"/>
      <c r="C20" s="556"/>
      <c r="D20" s="556"/>
      <c r="E20" s="556"/>
      <c r="F20" s="556"/>
      <c r="G20" s="632" t="s">
        <v>73</v>
      </c>
      <c r="H20" s="632" t="s">
        <v>73</v>
      </c>
      <c r="I20" s="632" t="s">
        <v>73</v>
      </c>
      <c r="J20" s="632" t="s">
        <v>73</v>
      </c>
      <c r="K20" s="632" t="s">
        <v>73</v>
      </c>
      <c r="L20" s="632" t="s">
        <v>73</v>
      </c>
      <c r="M20" s="632" t="s">
        <v>73</v>
      </c>
      <c r="N20" s="632" t="s">
        <v>73</v>
      </c>
      <c r="O20" s="632" t="s">
        <v>73</v>
      </c>
      <c r="P20" s="632" t="s">
        <v>73</v>
      </c>
      <c r="Q20" s="632" t="s">
        <v>73</v>
      </c>
      <c r="R20" s="632" t="s">
        <v>73</v>
      </c>
      <c r="S20" s="632" t="s">
        <v>73</v>
      </c>
      <c r="T20" s="632" t="s">
        <v>73</v>
      </c>
      <c r="U20" s="632" t="s">
        <v>73</v>
      </c>
      <c r="V20" s="632" t="s">
        <v>73</v>
      </c>
      <c r="W20" s="632" t="s">
        <v>73</v>
      </c>
      <c r="X20" s="632" t="s">
        <v>73</v>
      </c>
      <c r="Y20" s="632" t="s">
        <v>73</v>
      </c>
      <c r="Z20" s="632" t="s">
        <v>73</v>
      </c>
      <c r="AA20" s="632" t="s">
        <v>73</v>
      </c>
      <c r="AB20" s="632" t="s">
        <v>73</v>
      </c>
      <c r="AC20" s="632" t="s">
        <v>73</v>
      </c>
      <c r="AD20" s="632" t="s">
        <v>73</v>
      </c>
      <c r="AE20" s="632" t="s">
        <v>73</v>
      </c>
      <c r="AF20" s="632" t="s">
        <v>73</v>
      </c>
    </row>
    <row r="21" spans="1:32" ht="14.45" x14ac:dyDescent="0.35">
      <c r="A21" s="839"/>
      <c r="B21" s="550" t="s">
        <v>37</v>
      </c>
      <c r="C21" s="539"/>
      <c r="D21" s="539"/>
      <c r="E21" s="539"/>
      <c r="F21" s="201"/>
      <c r="G21" s="549">
        <v>19.543195871902984</v>
      </c>
      <c r="H21" s="549">
        <v>18.383697056212775</v>
      </c>
      <c r="I21" s="549">
        <v>17.197153348673698</v>
      </c>
      <c r="J21" s="549">
        <v>15.994746755296829</v>
      </c>
      <c r="K21" s="549">
        <v>14.786720848431303</v>
      </c>
      <c r="L21" s="549">
        <v>13.663629593806505</v>
      </c>
      <c r="M21" s="549">
        <v>12.618037531708554</v>
      </c>
      <c r="N21" s="549">
        <v>11.647161632073395</v>
      </c>
      <c r="O21" s="549">
        <v>10.754540580289028</v>
      </c>
      <c r="P21" s="549">
        <v>9.9336119687884548</v>
      </c>
      <c r="Q21" s="549">
        <v>9.1783846786367445</v>
      </c>
      <c r="R21" s="549">
        <v>8.4833651734695348</v>
      </c>
      <c r="S21" s="549">
        <v>7.8436152514105109</v>
      </c>
      <c r="T21" s="549">
        <v>7.2545795196932961</v>
      </c>
      <c r="U21" s="549">
        <v>6.7120958853362431</v>
      </c>
      <c r="V21" s="549">
        <v>6.2123842726517067</v>
      </c>
      <c r="W21" s="549">
        <v>5.7519478081759257</v>
      </c>
      <c r="X21" s="549">
        <v>5.3275826207994568</v>
      </c>
      <c r="Y21" s="549">
        <v>4.9363638666416252</v>
      </c>
      <c r="Z21" s="549">
        <v>4.5756437689303855</v>
      </c>
      <c r="AA21" s="549">
        <v>4.243005994785884</v>
      </c>
      <c r="AB21" s="549">
        <v>3.9362509109794579</v>
      </c>
      <c r="AC21" s="549">
        <v>3.6532598253470887</v>
      </c>
      <c r="AD21" s="549">
        <v>3.3921445922299793</v>
      </c>
      <c r="AE21" s="549">
        <v>3.1511718918142617</v>
      </c>
      <c r="AF21" s="549">
        <v>2.9287499379649877</v>
      </c>
    </row>
    <row r="22" spans="1:32" ht="14.45" x14ac:dyDescent="0.35">
      <c r="A22" s="839"/>
      <c r="B22" s="550" t="s">
        <v>39</v>
      </c>
      <c r="C22" s="539"/>
      <c r="D22" s="539"/>
      <c r="E22" s="203"/>
      <c r="F22" s="539"/>
      <c r="G22" s="549">
        <v>3.6734646055227707</v>
      </c>
      <c r="H22" s="549">
        <v>4.9993966636135125</v>
      </c>
      <c r="I22" s="549">
        <v>6.3687013805380923</v>
      </c>
      <c r="J22" s="549">
        <v>7.7676280937922435</v>
      </c>
      <c r="K22" s="549">
        <v>9.172116027748201</v>
      </c>
      <c r="L22" s="549">
        <v>10.521519601145652</v>
      </c>
      <c r="M22" s="549">
        <v>11.81815872848933</v>
      </c>
      <c r="N22" s="549">
        <v>13.054674039694666</v>
      </c>
      <c r="O22" s="549">
        <v>14.227827176838002</v>
      </c>
      <c r="P22" s="549">
        <v>15.343965349611874</v>
      </c>
      <c r="Q22" s="549">
        <v>16.40711952894053</v>
      </c>
      <c r="R22" s="549">
        <v>17.416079099338599</v>
      </c>
      <c r="S22" s="549">
        <v>18.381688854993868</v>
      </c>
      <c r="T22" s="549">
        <v>19.306459718450213</v>
      </c>
      <c r="U22" s="549">
        <v>20.192630023591583</v>
      </c>
      <c r="V22" s="549">
        <v>21.046198048222692</v>
      </c>
      <c r="W22" s="549">
        <v>21.866321990151516</v>
      </c>
      <c r="X22" s="549">
        <v>22.651548721421563</v>
      </c>
      <c r="Y22" s="549">
        <v>23.401850474871953</v>
      </c>
      <c r="Z22" s="549">
        <v>24.122217317665406</v>
      </c>
      <c r="AA22" s="549">
        <v>24.818892282167727</v>
      </c>
      <c r="AB22" s="549">
        <v>25.500189677114712</v>
      </c>
      <c r="AC22" s="549">
        <v>26.157512953704256</v>
      </c>
      <c r="AD22" s="549">
        <v>26.791823684709499</v>
      </c>
      <c r="AE22" s="549">
        <v>27.403965174694189</v>
      </c>
      <c r="AF22" s="549">
        <v>27.994673566417134</v>
      </c>
    </row>
    <row r="23" spans="1:32" ht="14.45" x14ac:dyDescent="0.35">
      <c r="A23" s="839"/>
      <c r="B23" s="550" t="s">
        <v>40</v>
      </c>
      <c r="C23" s="539"/>
      <c r="D23" s="539"/>
      <c r="E23" s="539"/>
      <c r="F23" s="539"/>
      <c r="G23" s="549">
        <v>0</v>
      </c>
      <c r="H23" s="549">
        <v>0.40645672047101733</v>
      </c>
      <c r="I23" s="549">
        <v>0.82009498225359034</v>
      </c>
      <c r="J23" s="549">
        <v>1.2370277844387356</v>
      </c>
      <c r="K23" s="549">
        <v>1.6482452488225998</v>
      </c>
      <c r="L23" s="549">
        <v>2.0364746653918857</v>
      </c>
      <c r="M23" s="549">
        <v>2.4031310447894092</v>
      </c>
      <c r="N23" s="549">
        <v>2.7496287037119211</v>
      </c>
      <c r="O23" s="549">
        <v>3.0771006012720923</v>
      </c>
      <c r="P23" s="549">
        <v>3.3873846718402709</v>
      </c>
      <c r="Q23" s="549">
        <v>3.6817301068602459</v>
      </c>
      <c r="R23" s="549">
        <v>3.9600892970976793</v>
      </c>
      <c r="S23" s="549">
        <v>4.2253193778920526</v>
      </c>
      <c r="T23" s="549">
        <v>4.4782367329635662</v>
      </c>
      <c r="U23" s="549">
        <v>4.719573789219746</v>
      </c>
      <c r="V23" s="549">
        <v>4.9509587389874081</v>
      </c>
      <c r="W23" s="549">
        <v>5.1723472967714583</v>
      </c>
      <c r="X23" s="549">
        <v>5.3835330455912871</v>
      </c>
      <c r="Y23" s="549">
        <v>5.5846422474239317</v>
      </c>
      <c r="Z23" s="549">
        <v>5.7770055570133128</v>
      </c>
      <c r="AA23" s="549">
        <v>5.9622478444637643</v>
      </c>
      <c r="AB23" s="549">
        <v>6.1424872988693124</v>
      </c>
      <c r="AC23" s="549">
        <v>6.3157410145882906</v>
      </c>
      <c r="AD23" s="549">
        <v>6.4823295837166164</v>
      </c>
      <c r="AE23" s="549">
        <v>6.6425379567644294</v>
      </c>
      <c r="AF23" s="549">
        <v>6.7966187302124528</v>
      </c>
    </row>
    <row r="24" spans="1:32" ht="14.45" x14ac:dyDescent="0.35">
      <c r="A24" s="839"/>
      <c r="B24" s="550" t="s">
        <v>29</v>
      </c>
      <c r="C24" s="539"/>
      <c r="D24" s="539"/>
      <c r="E24" s="539"/>
      <c r="F24" s="539"/>
      <c r="G24" s="549">
        <v>0</v>
      </c>
      <c r="H24" s="549">
        <v>2.1313390745146324E-8</v>
      </c>
      <c r="I24" s="549">
        <v>4.161274422005656E-8</v>
      </c>
      <c r="J24" s="549">
        <v>6.0915286339241518E-8</v>
      </c>
      <c r="K24" s="549">
        <v>7.8904335711079978E-8</v>
      </c>
      <c r="L24" s="549">
        <v>9.5841019259681727E-8</v>
      </c>
      <c r="M24" s="549">
        <v>1.1177470236725714E-7</v>
      </c>
      <c r="N24" s="549">
        <v>1.2677748503004144E-7</v>
      </c>
      <c r="O24" s="549">
        <v>1.4090157517644392E-7</v>
      </c>
      <c r="P24" s="549">
        <v>1.5423308691383285E-7</v>
      </c>
      <c r="Q24" s="549">
        <v>1.6682430133344621E-7</v>
      </c>
      <c r="R24" s="549">
        <v>1.7865078156538269E-7</v>
      </c>
      <c r="S24" s="549">
        <v>1.8987131403366942E-7</v>
      </c>
      <c r="T24" s="549">
        <v>2.0051813354965016E-7</v>
      </c>
      <c r="U24" s="549">
        <v>2.1062068027674945E-7</v>
      </c>
      <c r="V24" s="549">
        <v>2.2026523491917109E-7</v>
      </c>
      <c r="W24" s="549">
        <v>2.2943589524289697E-7</v>
      </c>
      <c r="X24" s="549">
        <v>2.3810981228833659E-7</v>
      </c>
      <c r="Y24" s="549">
        <v>2.4628724824928274E-7</v>
      </c>
      <c r="Z24" s="549">
        <v>2.5404363017517335E-7</v>
      </c>
      <c r="AA24" s="549">
        <v>2.6147158473978132E-7</v>
      </c>
      <c r="AB24" s="549">
        <v>2.6869241590929297E-7</v>
      </c>
      <c r="AC24" s="549">
        <v>2.7557612459751531E-7</v>
      </c>
      <c r="AD24" s="549">
        <v>2.8213785523664101E-7</v>
      </c>
      <c r="AE24" s="549">
        <v>2.8839123202212866E-7</v>
      </c>
      <c r="AF24" s="549">
        <v>2.9434849127966393E-7</v>
      </c>
    </row>
    <row r="25" spans="1:32" ht="14.45" x14ac:dyDescent="0.35">
      <c r="A25" s="839"/>
      <c r="B25" s="550"/>
      <c r="C25" s="539"/>
      <c r="D25" s="539"/>
      <c r="E25" s="539"/>
      <c r="F25" s="539"/>
      <c r="G25" s="549" t="s">
        <v>73</v>
      </c>
      <c r="H25" s="549" t="s">
        <v>73</v>
      </c>
      <c r="I25" s="549" t="s">
        <v>73</v>
      </c>
      <c r="J25" s="549" t="s">
        <v>73</v>
      </c>
      <c r="K25" s="549" t="s">
        <v>73</v>
      </c>
      <c r="L25" s="549" t="s">
        <v>73</v>
      </c>
      <c r="M25" s="549" t="s">
        <v>73</v>
      </c>
      <c r="N25" s="549" t="s">
        <v>73</v>
      </c>
      <c r="O25" s="549" t="s">
        <v>73</v>
      </c>
      <c r="P25" s="549" t="s">
        <v>73</v>
      </c>
      <c r="Q25" s="549" t="s">
        <v>73</v>
      </c>
      <c r="R25" s="549" t="s">
        <v>73</v>
      </c>
      <c r="S25" s="549" t="s">
        <v>73</v>
      </c>
      <c r="T25" s="549" t="s">
        <v>73</v>
      </c>
      <c r="U25" s="549" t="s">
        <v>73</v>
      </c>
      <c r="V25" s="549" t="s">
        <v>73</v>
      </c>
      <c r="W25" s="549" t="s">
        <v>73</v>
      </c>
      <c r="X25" s="549" t="s">
        <v>73</v>
      </c>
      <c r="Y25" s="549" t="s">
        <v>73</v>
      </c>
      <c r="Z25" s="549" t="s">
        <v>73</v>
      </c>
      <c r="AA25" s="549" t="s">
        <v>73</v>
      </c>
      <c r="AB25" s="549" t="s">
        <v>73</v>
      </c>
      <c r="AC25" s="549" t="s">
        <v>73</v>
      </c>
      <c r="AD25" s="549" t="s">
        <v>73</v>
      </c>
      <c r="AE25" s="549" t="s">
        <v>73</v>
      </c>
      <c r="AF25" s="549" t="s">
        <v>73</v>
      </c>
    </row>
    <row r="26" spans="1:32" s="202" customFormat="1" ht="12.95" x14ac:dyDescent="0.3">
      <c r="A26" s="843" t="s">
        <v>42</v>
      </c>
      <c r="B26" s="556"/>
      <c r="C26" s="556"/>
      <c r="D26" s="556"/>
      <c r="E26" s="556"/>
      <c r="F26" s="556"/>
      <c r="G26" s="632" t="s">
        <v>73</v>
      </c>
      <c r="H26" s="632" t="s">
        <v>73</v>
      </c>
      <c r="I26" s="632" t="s">
        <v>73</v>
      </c>
      <c r="J26" s="632" t="s">
        <v>73</v>
      </c>
      <c r="K26" s="632" t="s">
        <v>73</v>
      </c>
      <c r="L26" s="632" t="s">
        <v>73</v>
      </c>
      <c r="M26" s="632" t="s">
        <v>73</v>
      </c>
      <c r="N26" s="632" t="s">
        <v>73</v>
      </c>
      <c r="O26" s="632" t="s">
        <v>73</v>
      </c>
      <c r="P26" s="632" t="s">
        <v>73</v>
      </c>
      <c r="Q26" s="632" t="s">
        <v>73</v>
      </c>
      <c r="R26" s="632" t="s">
        <v>73</v>
      </c>
      <c r="S26" s="632" t="s">
        <v>73</v>
      </c>
      <c r="T26" s="632" t="s">
        <v>73</v>
      </c>
      <c r="U26" s="632" t="s">
        <v>73</v>
      </c>
      <c r="V26" s="632" t="s">
        <v>73</v>
      </c>
      <c r="W26" s="632" t="s">
        <v>73</v>
      </c>
      <c r="X26" s="632" t="s">
        <v>73</v>
      </c>
      <c r="Y26" s="632" t="s">
        <v>73</v>
      </c>
      <c r="Z26" s="632" t="s">
        <v>73</v>
      </c>
      <c r="AA26" s="632" t="s">
        <v>73</v>
      </c>
      <c r="AB26" s="632" t="s">
        <v>73</v>
      </c>
      <c r="AC26" s="632" t="s">
        <v>73</v>
      </c>
      <c r="AD26" s="632" t="s">
        <v>73</v>
      </c>
      <c r="AE26" s="632" t="s">
        <v>73</v>
      </c>
      <c r="AF26" s="632" t="s">
        <v>73</v>
      </c>
    </row>
    <row r="27" spans="1:32" ht="14.45" x14ac:dyDescent="0.35">
      <c r="A27" s="839"/>
      <c r="B27" s="552" t="s">
        <v>43</v>
      </c>
      <c r="C27" s="539"/>
      <c r="D27" s="539"/>
      <c r="E27" s="539"/>
      <c r="F27" s="539"/>
      <c r="G27" s="549">
        <v>2.6732242680453232E-2</v>
      </c>
      <c r="H27" s="549">
        <v>2.5358595936593207E-2</v>
      </c>
      <c r="I27" s="549">
        <v>2.4079572610200578E-2</v>
      </c>
      <c r="J27" s="549">
        <v>2.2888392070225392E-2</v>
      </c>
      <c r="K27" s="549">
        <v>2.1776462479172278E-2</v>
      </c>
      <c r="L27" s="549">
        <v>2.0740330598644111E-2</v>
      </c>
      <c r="M27" s="549">
        <v>1.9774687362132348E-2</v>
      </c>
      <c r="N27" s="549">
        <v>1.8873864604544138E-2</v>
      </c>
      <c r="O27" s="549">
        <v>1.8033857627014906E-2</v>
      </c>
      <c r="P27" s="549">
        <v>1.725096389832954E-2</v>
      </c>
      <c r="Q27" s="549">
        <v>1.6521424562921494E-2</v>
      </c>
      <c r="R27" s="549">
        <v>1.5840907509155955E-2</v>
      </c>
      <c r="S27" s="549">
        <v>1.520739239950138E-2</v>
      </c>
      <c r="T27" s="549">
        <v>1.4617723858717697E-2</v>
      </c>
      <c r="U27" s="549">
        <v>1.4068945980954591E-2</v>
      </c>
      <c r="V27" s="549">
        <v>1.3558962536973564E-2</v>
      </c>
      <c r="W27" s="549">
        <v>1.3084739495575339E-2</v>
      </c>
      <c r="X27" s="549">
        <v>1.2643335613618184E-2</v>
      </c>
      <c r="Y27" s="549">
        <v>1.2232230786951919E-2</v>
      </c>
      <c r="Z27" s="549">
        <v>1.1849917298480853E-2</v>
      </c>
      <c r="AA27" s="549">
        <v>1.1495256196579713E-2</v>
      </c>
      <c r="AB27" s="549">
        <v>1.1167603978655034E-2</v>
      </c>
      <c r="AC27" s="549">
        <v>1.0863612975123354E-2</v>
      </c>
      <c r="AD27" s="549">
        <v>1.0581666048475104E-2</v>
      </c>
      <c r="AE27" s="549">
        <v>1.0320244081084225E-2</v>
      </c>
      <c r="AF27" s="549">
        <v>1.0077919704963974E-2</v>
      </c>
    </row>
    <row r="28" spans="1:32" ht="14.45" x14ac:dyDescent="0.35">
      <c r="A28" s="839"/>
      <c r="B28" s="552" t="s">
        <v>44</v>
      </c>
      <c r="C28" s="539"/>
      <c r="D28" s="539"/>
      <c r="E28" s="539"/>
      <c r="F28" s="539"/>
      <c r="G28" s="549">
        <v>3.989144514018399E-3</v>
      </c>
      <c r="H28" s="549">
        <v>2.9039043630153895E-2</v>
      </c>
      <c r="I28" s="549">
        <v>5.3297291008457731E-2</v>
      </c>
      <c r="J28" s="549">
        <v>7.6751215380858384E-2</v>
      </c>
      <c r="K28" s="549">
        <v>9.9176653705386211E-2</v>
      </c>
      <c r="L28" s="549">
        <v>0.12079315968499314</v>
      </c>
      <c r="M28" s="549">
        <v>0.14161016037423063</v>
      </c>
      <c r="N28" s="549">
        <v>0.1615698676621983</v>
      </c>
      <c r="O28" s="549">
        <v>0.18073942364083123</v>
      </c>
      <c r="P28" s="549">
        <v>0.19918525609292603</v>
      </c>
      <c r="Q28" s="549">
        <v>0.21694139440992524</v>
      </c>
      <c r="R28" s="549">
        <v>0.23396276365814006</v>
      </c>
      <c r="S28" s="549">
        <v>0.25039773298569395</v>
      </c>
      <c r="T28" s="549">
        <v>0.26626613971469892</v>
      </c>
      <c r="U28" s="549">
        <v>0.28158602704146901</v>
      </c>
      <c r="V28" s="549">
        <v>0.29643700351313529</v>
      </c>
      <c r="W28" s="549">
        <v>0.31079276949750267</v>
      </c>
      <c r="X28" s="549">
        <v>0.32461904615059578</v>
      </c>
      <c r="Y28" s="549">
        <v>0.33790551244249556</v>
      </c>
      <c r="Z28" s="549">
        <v>0.35072235809730301</v>
      </c>
      <c r="AA28" s="549">
        <v>0.36316083016236389</v>
      </c>
      <c r="AB28" s="549">
        <v>0.37534602757906105</v>
      </c>
      <c r="AC28" s="549">
        <v>0.38713730676689878</v>
      </c>
      <c r="AD28" s="549">
        <v>0.39854541264249621</v>
      </c>
      <c r="AE28" s="549">
        <v>0.40957994653782043</v>
      </c>
      <c r="AF28" s="549">
        <v>0.42024945368340128</v>
      </c>
    </row>
    <row r="29" spans="1:32" ht="14.45" x14ac:dyDescent="0.35">
      <c r="A29" s="839"/>
      <c r="B29" s="552" t="s">
        <v>45</v>
      </c>
      <c r="C29" s="539"/>
      <c r="D29" s="539"/>
      <c r="E29" s="539"/>
      <c r="F29" s="539"/>
      <c r="G29" s="549">
        <v>0.28391480503906469</v>
      </c>
      <c r="H29" s="549">
        <v>0.26661495617042302</v>
      </c>
      <c r="I29" s="549">
        <v>0.2504065102332802</v>
      </c>
      <c r="J29" s="549">
        <v>0.23521873006296712</v>
      </c>
      <c r="K29" s="549">
        <v>0.22098435967662386</v>
      </c>
      <c r="L29" s="549">
        <v>0.20764306230700891</v>
      </c>
      <c r="M29" s="549">
        <v>0.19513736692512387</v>
      </c>
      <c r="N29" s="549">
        <v>0.18341321068712768</v>
      </c>
      <c r="O29" s="549">
        <v>0.17242078313260864</v>
      </c>
      <c r="P29" s="549">
        <v>0.16211356448178563</v>
      </c>
      <c r="Q29" s="549">
        <v>0.15244792048294017</v>
      </c>
      <c r="R29" s="549">
        <v>0.14338262687203485</v>
      </c>
      <c r="S29" s="549">
        <v>0.13488024034002022</v>
      </c>
      <c r="T29" s="549">
        <v>0.12690507094655951</v>
      </c>
      <c r="U29" s="549">
        <v>0.11942374259326599</v>
      </c>
      <c r="V29" s="549">
        <v>0.11240540105318242</v>
      </c>
      <c r="W29" s="549">
        <v>0.10582060822932934</v>
      </c>
      <c r="X29" s="549">
        <v>9.9641769567116303E-2</v>
      </c>
      <c r="Y29" s="549">
        <v>9.384319182913381E-2</v>
      </c>
      <c r="Z29" s="549">
        <v>8.8401290605492719E-2</v>
      </c>
      <c r="AA29" s="549">
        <v>8.3294140165504016E-2</v>
      </c>
      <c r="AB29" s="549">
        <v>7.8501445390510682E-2</v>
      </c>
      <c r="AC29" s="549">
        <v>7.4002728552188854E-2</v>
      </c>
      <c r="AD29" s="549">
        <v>6.9779634789983724E-2</v>
      </c>
      <c r="AE29" s="549">
        <v>6.5814974569175733E-2</v>
      </c>
      <c r="AF29" s="549">
        <v>6.2092647599718387E-2</v>
      </c>
    </row>
    <row r="30" spans="1:32" ht="14.45" x14ac:dyDescent="0.35">
      <c r="A30" s="839"/>
      <c r="B30" s="552" t="s">
        <v>46</v>
      </c>
      <c r="C30" s="539"/>
      <c r="D30" s="539"/>
      <c r="E30" s="539"/>
      <c r="F30" s="539"/>
      <c r="G30" s="549">
        <v>0</v>
      </c>
      <c r="H30" s="549">
        <v>0</v>
      </c>
      <c r="I30" s="549">
        <v>0</v>
      </c>
      <c r="J30" s="549">
        <v>0</v>
      </c>
      <c r="K30" s="549">
        <v>0</v>
      </c>
      <c r="L30" s="549">
        <v>0</v>
      </c>
      <c r="M30" s="549">
        <v>0</v>
      </c>
      <c r="N30" s="549">
        <v>0</v>
      </c>
      <c r="O30" s="549">
        <v>0</v>
      </c>
      <c r="P30" s="549">
        <v>0</v>
      </c>
      <c r="Q30" s="549">
        <v>0</v>
      </c>
      <c r="R30" s="549">
        <v>0</v>
      </c>
      <c r="S30" s="549">
        <v>0</v>
      </c>
      <c r="T30" s="549">
        <v>0</v>
      </c>
      <c r="U30" s="549">
        <v>0</v>
      </c>
      <c r="V30" s="549">
        <v>0</v>
      </c>
      <c r="W30" s="549">
        <v>0</v>
      </c>
      <c r="X30" s="549">
        <v>0</v>
      </c>
      <c r="Y30" s="549">
        <v>0</v>
      </c>
      <c r="Z30" s="549">
        <v>0</v>
      </c>
      <c r="AA30" s="549">
        <v>0</v>
      </c>
      <c r="AB30" s="549">
        <v>0</v>
      </c>
      <c r="AC30" s="549">
        <v>0</v>
      </c>
      <c r="AD30" s="549">
        <v>0</v>
      </c>
      <c r="AE30" s="549">
        <v>0</v>
      </c>
      <c r="AF30" s="549">
        <v>0</v>
      </c>
    </row>
    <row r="31" spans="1:32" ht="14.45" x14ac:dyDescent="0.35">
      <c r="A31" s="839"/>
      <c r="B31" s="550" t="s">
        <v>29</v>
      </c>
      <c r="C31" s="539"/>
      <c r="D31" s="539"/>
      <c r="E31" s="539"/>
      <c r="F31" s="539"/>
      <c r="G31" s="549">
        <v>0</v>
      </c>
      <c r="H31" s="549">
        <v>1.3875060199371621E-3</v>
      </c>
      <c r="I31" s="549">
        <v>2.6992393266186757E-3</v>
      </c>
      <c r="J31" s="549">
        <v>3.9379006136339382E-3</v>
      </c>
      <c r="K31" s="549">
        <v>5.0941439429037054E-3</v>
      </c>
      <c r="L31" s="549">
        <v>6.1834462766352967E-3</v>
      </c>
      <c r="M31" s="549">
        <v>7.209010340597061E-3</v>
      </c>
      <c r="N31" s="549">
        <v>8.1700710153305347E-3</v>
      </c>
      <c r="O31" s="549">
        <v>9.0727262275751685E-3</v>
      </c>
      <c r="P31" s="549">
        <v>9.9227621138801604E-3</v>
      </c>
      <c r="Q31" s="549">
        <v>1.0723907383541925E-2</v>
      </c>
      <c r="R31" s="549">
        <v>1.1475292303654508E-2</v>
      </c>
      <c r="S31" s="549">
        <v>1.2186778937289099E-2</v>
      </c>
      <c r="T31" s="549">
        <v>1.2860732036169489E-2</v>
      </c>
      <c r="U31" s="549">
        <v>1.3499295267124125E-2</v>
      </c>
      <c r="V31" s="549">
        <v>1.4107937547822471E-2</v>
      </c>
      <c r="W31" s="549">
        <v>1.4686031985223098E-2</v>
      </c>
      <c r="X31" s="549">
        <v>1.5232483358524474E-2</v>
      </c>
      <c r="Y31" s="549">
        <v>1.5747522863292743E-2</v>
      </c>
      <c r="Z31" s="549">
        <v>1.6235829295327041E-2</v>
      </c>
      <c r="AA31" s="549">
        <v>1.6703100911933659E-2</v>
      </c>
      <c r="AB31" s="549">
        <v>1.7156750611364593E-2</v>
      </c>
      <c r="AC31" s="549">
        <v>1.7589159872980157E-2</v>
      </c>
      <c r="AD31" s="549">
        <v>1.8001343420500596E-2</v>
      </c>
      <c r="AE31" s="549">
        <v>1.8394208630961778E-2</v>
      </c>
      <c r="AF31" s="549">
        <v>1.8768565334625353E-2</v>
      </c>
    </row>
    <row r="32" spans="1:32" ht="14.45" x14ac:dyDescent="0.35">
      <c r="A32" s="839"/>
      <c r="B32" s="550"/>
      <c r="C32" s="539"/>
      <c r="D32" s="539"/>
      <c r="E32" s="539"/>
      <c r="F32" s="539"/>
      <c r="G32" s="549" t="s">
        <v>73</v>
      </c>
      <c r="H32" s="549" t="s">
        <v>73</v>
      </c>
      <c r="I32" s="549" t="s">
        <v>73</v>
      </c>
      <c r="J32" s="549" t="s">
        <v>73</v>
      </c>
      <c r="K32" s="549" t="s">
        <v>73</v>
      </c>
      <c r="L32" s="549" t="s">
        <v>73</v>
      </c>
      <c r="M32" s="549" t="s">
        <v>73</v>
      </c>
      <c r="N32" s="549" t="s">
        <v>73</v>
      </c>
      <c r="O32" s="549" t="s">
        <v>73</v>
      </c>
      <c r="P32" s="549" t="s">
        <v>73</v>
      </c>
      <c r="Q32" s="549" t="s">
        <v>73</v>
      </c>
      <c r="R32" s="549" t="s">
        <v>73</v>
      </c>
      <c r="S32" s="549" t="s">
        <v>73</v>
      </c>
      <c r="T32" s="549" t="s">
        <v>73</v>
      </c>
      <c r="U32" s="549" t="s">
        <v>73</v>
      </c>
      <c r="V32" s="549" t="s">
        <v>73</v>
      </c>
      <c r="W32" s="549" t="s">
        <v>73</v>
      </c>
      <c r="X32" s="549" t="s">
        <v>73</v>
      </c>
      <c r="Y32" s="549" t="s">
        <v>73</v>
      </c>
      <c r="Z32" s="549" t="s">
        <v>73</v>
      </c>
      <c r="AA32" s="549" t="s">
        <v>73</v>
      </c>
      <c r="AB32" s="549" t="s">
        <v>73</v>
      </c>
      <c r="AC32" s="549" t="s">
        <v>73</v>
      </c>
      <c r="AD32" s="549" t="s">
        <v>73</v>
      </c>
      <c r="AE32" s="549" t="s">
        <v>73</v>
      </c>
      <c r="AF32" s="549" t="s">
        <v>73</v>
      </c>
    </row>
    <row r="33" spans="1:32" s="202" customFormat="1" ht="12.95" x14ac:dyDescent="0.3">
      <c r="A33" s="843" t="s">
        <v>47</v>
      </c>
      <c r="B33" s="556"/>
      <c r="C33" s="556"/>
      <c r="D33" s="556"/>
      <c r="E33" s="556"/>
      <c r="F33" s="556"/>
      <c r="G33" s="632" t="s">
        <v>73</v>
      </c>
      <c r="H33" s="632" t="s">
        <v>73</v>
      </c>
      <c r="I33" s="632" t="s">
        <v>73</v>
      </c>
      <c r="J33" s="632" t="s">
        <v>73</v>
      </c>
      <c r="K33" s="632" t="s">
        <v>73</v>
      </c>
      <c r="L33" s="632" t="s">
        <v>73</v>
      </c>
      <c r="M33" s="632" t="s">
        <v>73</v>
      </c>
      <c r="N33" s="632" t="s">
        <v>73</v>
      </c>
      <c r="O33" s="632" t="s">
        <v>73</v>
      </c>
      <c r="P33" s="632" t="s">
        <v>73</v>
      </c>
      <c r="Q33" s="632" t="s">
        <v>73</v>
      </c>
      <c r="R33" s="632" t="s">
        <v>73</v>
      </c>
      <c r="S33" s="632" t="s">
        <v>73</v>
      </c>
      <c r="T33" s="632" t="s">
        <v>73</v>
      </c>
      <c r="U33" s="632" t="s">
        <v>73</v>
      </c>
      <c r="V33" s="632" t="s">
        <v>73</v>
      </c>
      <c r="W33" s="632" t="s">
        <v>73</v>
      </c>
      <c r="X33" s="632" t="s">
        <v>73</v>
      </c>
      <c r="Y33" s="632" t="s">
        <v>73</v>
      </c>
      <c r="Z33" s="632" t="s">
        <v>73</v>
      </c>
      <c r="AA33" s="632" t="s">
        <v>73</v>
      </c>
      <c r="AB33" s="632" t="s">
        <v>73</v>
      </c>
      <c r="AC33" s="632" t="s">
        <v>73</v>
      </c>
      <c r="AD33" s="632" t="s">
        <v>73</v>
      </c>
      <c r="AE33" s="632" t="s">
        <v>73</v>
      </c>
      <c r="AF33" s="632" t="s">
        <v>73</v>
      </c>
    </row>
    <row r="34" spans="1:32" ht="14.45" x14ac:dyDescent="0.35">
      <c r="A34" s="839"/>
      <c r="B34" s="550" t="s">
        <v>48</v>
      </c>
      <c r="C34" s="539"/>
      <c r="D34" s="539"/>
      <c r="E34" s="539"/>
      <c r="F34" s="539"/>
      <c r="G34" s="549">
        <v>18.520314043171304</v>
      </c>
      <c r="H34" s="549">
        <v>18.845394599606568</v>
      </c>
      <c r="I34" s="549">
        <v>19.189059751333588</v>
      </c>
      <c r="J34" s="549">
        <v>19.546222174934542</v>
      </c>
      <c r="K34" s="549">
        <v>19.899957800287044</v>
      </c>
      <c r="L34" s="549">
        <v>20.254359257789499</v>
      </c>
      <c r="M34" s="549">
        <v>20.606720233101779</v>
      </c>
      <c r="N34" s="549">
        <v>20.950796943450019</v>
      </c>
      <c r="O34" s="549">
        <v>21.287731724131078</v>
      </c>
      <c r="P34" s="549">
        <v>21.618773902082019</v>
      </c>
      <c r="Q34" s="549">
        <v>21.943500955041888</v>
      </c>
      <c r="R34" s="549">
        <v>22.257273741205601</v>
      </c>
      <c r="S34" s="549">
        <v>22.566353906297444</v>
      </c>
      <c r="T34" s="549">
        <v>22.869948333396827</v>
      </c>
      <c r="U34" s="549">
        <v>23.167307640258777</v>
      </c>
      <c r="V34" s="549">
        <v>23.461143884111493</v>
      </c>
      <c r="W34" s="549">
        <v>23.74851370249263</v>
      </c>
      <c r="X34" s="549">
        <v>24.026216126563952</v>
      </c>
      <c r="Y34" s="549">
        <v>24.292491870651649</v>
      </c>
      <c r="Z34" s="549">
        <v>24.549964826713953</v>
      </c>
      <c r="AA34" s="549">
        <v>24.802382784442994</v>
      </c>
      <c r="AB34" s="549">
        <v>25.055248796334158</v>
      </c>
      <c r="AC34" s="549">
        <v>25.300188804196864</v>
      </c>
      <c r="AD34" s="549">
        <v>25.536916625859252</v>
      </c>
      <c r="AE34" s="549">
        <v>25.765153489958077</v>
      </c>
      <c r="AF34" s="549">
        <v>25.984628578976192</v>
      </c>
    </row>
    <row r="35" spans="1:32" ht="14.45" x14ac:dyDescent="0.35">
      <c r="A35" s="839"/>
      <c r="B35" s="552" t="s">
        <v>50</v>
      </c>
      <c r="C35" s="539"/>
      <c r="D35" s="539"/>
      <c r="E35" s="539"/>
      <c r="F35" s="539"/>
      <c r="G35" s="549">
        <v>3.1261111199683898</v>
      </c>
      <c r="H35" s="549">
        <v>3.1997463237845967</v>
      </c>
      <c r="I35" s="549">
        <v>3.2763598020990927</v>
      </c>
      <c r="J35" s="549">
        <v>3.3550863200829335</v>
      </c>
      <c r="K35" s="549">
        <v>3.4328966431494341</v>
      </c>
      <c r="L35" s="549">
        <v>3.5114653882978022</v>
      </c>
      <c r="M35" s="549">
        <v>3.5903014436418434</v>
      </c>
      <c r="N35" s="549">
        <v>3.6682522707388352</v>
      </c>
      <c r="O35" s="549">
        <v>3.7455099463658774</v>
      </c>
      <c r="P35" s="549">
        <v>3.822290626153237</v>
      </c>
      <c r="Q35" s="549">
        <v>3.8985024913842201</v>
      </c>
      <c r="R35" s="549">
        <v>3.973260177170169</v>
      </c>
      <c r="S35" s="549">
        <v>4.0477189482398064</v>
      </c>
      <c r="T35" s="549">
        <v>4.1217188049444031</v>
      </c>
      <c r="U35" s="549">
        <v>4.1951052039351859</v>
      </c>
      <c r="V35" s="549">
        <v>4.2683835595154376</v>
      </c>
      <c r="W35" s="549">
        <v>4.3409812325105053</v>
      </c>
      <c r="X35" s="549">
        <v>4.4122651396904837</v>
      </c>
      <c r="Y35" s="549">
        <v>4.4818705277558291</v>
      </c>
      <c r="Z35" s="549">
        <v>4.5502812663331218</v>
      </c>
      <c r="AA35" s="549">
        <v>4.6182108784941542</v>
      </c>
      <c r="AB35" s="549">
        <v>4.6867318760508212</v>
      </c>
      <c r="AC35" s="549">
        <v>4.7541921855033653</v>
      </c>
      <c r="AD35" s="549">
        <v>4.8205162671824997</v>
      </c>
      <c r="AE35" s="549">
        <v>4.8856289714889298</v>
      </c>
      <c r="AF35" s="549">
        <v>4.9494556779178511</v>
      </c>
    </row>
    <row r="36" spans="1:32" x14ac:dyDescent="0.25">
      <c r="A36" s="839"/>
      <c r="B36" s="550" t="s">
        <v>51</v>
      </c>
      <c r="C36" s="539"/>
      <c r="D36" s="539"/>
      <c r="E36" s="539"/>
      <c r="F36" s="539"/>
      <c r="G36" s="549">
        <v>3.2322536776657591</v>
      </c>
      <c r="H36" s="549">
        <v>3.3106963906001328</v>
      </c>
      <c r="I36" s="549">
        <v>3.3923402694619891</v>
      </c>
      <c r="J36" s="549">
        <v>3.4762883980236463</v>
      </c>
      <c r="K36" s="549">
        <v>3.5593808198597379</v>
      </c>
      <c r="L36" s="549">
        <v>3.6433658165478953</v>
      </c>
      <c r="M36" s="549">
        <v>3.7277310818447678</v>
      </c>
      <c r="N36" s="549">
        <v>3.8112705330417613</v>
      </c>
      <c r="O36" s="549">
        <v>3.8941832618816301</v>
      </c>
      <c r="P36" s="549">
        <v>3.976694177760324</v>
      </c>
      <c r="Q36" s="549">
        <v>4.0587057900699479</v>
      </c>
      <c r="R36" s="549">
        <v>4.1392874553726138</v>
      </c>
      <c r="S36" s="549">
        <v>4.2196493672031377</v>
      </c>
      <c r="T36" s="549">
        <v>4.2996226174346894</v>
      </c>
      <c r="U36" s="549">
        <v>4.3790436052567534</v>
      </c>
      <c r="V36" s="549">
        <v>4.4584428468652515</v>
      </c>
      <c r="W36" s="549">
        <v>4.5372169933441491</v>
      </c>
      <c r="X36" s="549">
        <v>4.6146974442137543</v>
      </c>
      <c r="Y36" s="549">
        <v>4.6904968307451993</v>
      </c>
      <c r="Z36" s="549">
        <v>4.7651222174672689</v>
      </c>
      <c r="AA36" s="549">
        <v>4.8393244632808416</v>
      </c>
      <c r="AB36" s="549">
        <v>4.9142356078811265</v>
      </c>
      <c r="AC36" s="549">
        <v>4.9881103541021954</v>
      </c>
      <c r="AD36" s="549">
        <v>5.0608666348146176</v>
      </c>
      <c r="AE36" s="549">
        <v>5.1324226119249854</v>
      </c>
      <c r="AF36" s="549">
        <v>5.2026968262035149</v>
      </c>
    </row>
    <row r="37" spans="1:32" x14ac:dyDescent="0.25">
      <c r="A37" s="839"/>
      <c r="B37" s="550" t="s">
        <v>52</v>
      </c>
      <c r="C37" s="539"/>
      <c r="D37" s="539"/>
      <c r="E37" s="539"/>
      <c r="F37" s="539"/>
      <c r="G37" s="549">
        <v>3.7068089574290206</v>
      </c>
      <c r="H37" s="549">
        <v>3.7955086147309025</v>
      </c>
      <c r="I37" s="549">
        <v>3.8878206990477433</v>
      </c>
      <c r="J37" s="549">
        <v>3.9827186553934411</v>
      </c>
      <c r="K37" s="549">
        <v>4.0765964272481305</v>
      </c>
      <c r="L37" s="549">
        <v>4.1714481973132269</v>
      </c>
      <c r="M37" s="549">
        <v>4.2666892456799577</v>
      </c>
      <c r="N37" s="549">
        <v>4.3609450834109396</v>
      </c>
      <c r="O37" s="549">
        <v>4.4544434613983315</v>
      </c>
      <c r="P37" s="549">
        <v>4.547441249422854</v>
      </c>
      <c r="Q37" s="549">
        <v>4.6398279836897798</v>
      </c>
      <c r="R37" s="549">
        <v>4.7305451149928928</v>
      </c>
      <c r="S37" s="549">
        <v>4.8209710823078114</v>
      </c>
      <c r="T37" s="549">
        <v>4.9109140770715811</v>
      </c>
      <c r="U37" s="549">
        <v>5.0001885380886852</v>
      </c>
      <c r="V37" s="549">
        <v>5.0893981996879099</v>
      </c>
      <c r="W37" s="549">
        <v>5.1778574611026942</v>
      </c>
      <c r="X37" s="549">
        <v>5.2648073307829648</v>
      </c>
      <c r="Y37" s="549">
        <v>5.3498090837082932</v>
      </c>
      <c r="Z37" s="549">
        <v>5.4334401719423484</v>
      </c>
      <c r="AA37" s="549">
        <v>5.5165541943288714</v>
      </c>
      <c r="AB37" s="549">
        <v>5.6004364833179512</v>
      </c>
      <c r="AC37" s="549">
        <v>5.6831060507606237</v>
      </c>
      <c r="AD37" s="549">
        <v>5.7644707916608429</v>
      </c>
      <c r="AE37" s="549">
        <v>5.8444389443908316</v>
      </c>
      <c r="AF37" s="549">
        <v>5.9229192588748711</v>
      </c>
    </row>
    <row r="38" spans="1:32" x14ac:dyDescent="0.25">
      <c r="A38" s="839"/>
      <c r="B38" s="552" t="s">
        <v>29</v>
      </c>
      <c r="C38" s="539"/>
      <c r="D38" s="539"/>
      <c r="E38" s="539"/>
      <c r="F38" s="539"/>
      <c r="G38" s="549">
        <v>0.10065347134946012</v>
      </c>
      <c r="H38" s="549">
        <v>0.24271002745657444</v>
      </c>
      <c r="I38" s="549">
        <v>0.38544111981253404</v>
      </c>
      <c r="J38" s="549">
        <v>0.52874616260994323</v>
      </c>
      <c r="K38" s="549">
        <v>0.67113882468725428</v>
      </c>
      <c r="L38" s="549">
        <v>0.81872232444166559</v>
      </c>
      <c r="M38" s="549">
        <v>0.97121865390889794</v>
      </c>
      <c r="N38" s="549">
        <v>1.1278200257871061</v>
      </c>
      <c r="O38" s="549">
        <v>1.2885362183397635</v>
      </c>
      <c r="P38" s="549">
        <v>1.4534250448412338</v>
      </c>
      <c r="Q38" s="549">
        <v>1.6223302848762351</v>
      </c>
      <c r="R38" s="549">
        <v>1.7944228342568023</v>
      </c>
      <c r="S38" s="549">
        <v>1.970525934571894</v>
      </c>
      <c r="T38" s="549">
        <v>2.1504359188110005</v>
      </c>
      <c r="U38" s="549">
        <v>2.3339337786817036</v>
      </c>
      <c r="V38" s="549">
        <v>2.521420567769828</v>
      </c>
      <c r="W38" s="549">
        <v>2.7122854019668954</v>
      </c>
      <c r="X38" s="549">
        <v>2.9057803720880924</v>
      </c>
      <c r="Y38" s="549">
        <v>3.1013631358061531</v>
      </c>
      <c r="Z38" s="549">
        <v>3.2993798474183644</v>
      </c>
      <c r="AA38" s="549">
        <v>3.5005009859679328</v>
      </c>
      <c r="AB38" s="549">
        <v>3.7059066673841112</v>
      </c>
      <c r="AC38" s="549">
        <v>3.9136586353230101</v>
      </c>
      <c r="AD38" s="549">
        <v>4.1235439376381198</v>
      </c>
      <c r="AE38" s="549">
        <v>4.3353423761371772</v>
      </c>
      <c r="AF38" s="549">
        <v>4.5488268680349497</v>
      </c>
    </row>
    <row r="39" spans="1:32" x14ac:dyDescent="0.25">
      <c r="A39" s="839"/>
      <c r="B39" s="552" t="s">
        <v>53</v>
      </c>
      <c r="C39" s="539"/>
      <c r="D39" s="539"/>
      <c r="E39" s="539"/>
      <c r="F39" s="539"/>
      <c r="G39" s="549">
        <v>0.13077055029251408</v>
      </c>
      <c r="H39" s="549">
        <v>0.13393711179292206</v>
      </c>
      <c r="I39" s="549">
        <v>0.13723279736107036</v>
      </c>
      <c r="J39" s="549">
        <v>0.14062133400936258</v>
      </c>
      <c r="K39" s="549">
        <v>0.14397498787215246</v>
      </c>
      <c r="L39" s="549">
        <v>0.14736442506799752</v>
      </c>
      <c r="M39" s="549">
        <v>0.15076893691945775</v>
      </c>
      <c r="N39" s="549">
        <v>0.15413978207589521</v>
      </c>
      <c r="O39" s="549">
        <v>0.15748501234365955</v>
      </c>
      <c r="P39" s="549">
        <v>0.1608137209861043</v>
      </c>
      <c r="Q39" s="549">
        <v>0.1641219724437023</v>
      </c>
      <c r="R39" s="549">
        <v>0.16737216921865833</v>
      </c>
      <c r="S39" s="549">
        <v>0.17061321509217345</v>
      </c>
      <c r="T39" s="549">
        <v>0.17383828846079002</v>
      </c>
      <c r="U39" s="549">
        <v>0.17704078340495771</v>
      </c>
      <c r="V39" s="549">
        <v>0.18024213477723505</v>
      </c>
      <c r="W39" s="549">
        <v>0.18341797182249148</v>
      </c>
      <c r="X39" s="549">
        <v>0.18654129276777734</v>
      </c>
      <c r="Y39" s="549">
        <v>0.18959645989459017</v>
      </c>
      <c r="Z39" s="549">
        <v>0.19260396294143181</v>
      </c>
      <c r="AA39" s="549">
        <v>0.19559413367346801</v>
      </c>
      <c r="AB39" s="549">
        <v>0.19861269198158951</v>
      </c>
      <c r="AC39" s="549">
        <v>0.20158915464705371</v>
      </c>
      <c r="AD39" s="549">
        <v>0.2045202140432274</v>
      </c>
      <c r="AE39" s="549">
        <v>0.20740257231517886</v>
      </c>
      <c r="AF39" s="549">
        <v>0.21023294742043641</v>
      </c>
    </row>
    <row r="40" spans="1:32" x14ac:dyDescent="0.25">
      <c r="A40" s="838"/>
      <c r="B40" s="552"/>
      <c r="C40" s="552"/>
      <c r="D40" s="277"/>
      <c r="E40" s="277"/>
      <c r="F40" s="277"/>
      <c r="G40" s="277"/>
      <c r="H40" s="277"/>
      <c r="I40" s="277"/>
      <c r="J40" s="277"/>
      <c r="K40" s="277"/>
      <c r="L40" s="277"/>
      <c r="M40" s="277"/>
      <c r="N40" s="277"/>
      <c r="O40" s="277"/>
      <c r="P40" s="277"/>
      <c r="Q40" s="277"/>
      <c r="R40" s="277"/>
      <c r="S40" s="277"/>
      <c r="T40" s="277"/>
      <c r="U40" s="277"/>
      <c r="V40" s="277"/>
      <c r="W40" s="277"/>
      <c r="X40" s="277"/>
      <c r="Y40" s="277"/>
      <c r="Z40" s="277"/>
      <c r="AA40" s="277"/>
      <c r="AB40" s="277"/>
      <c r="AC40" s="277"/>
      <c r="AD40" s="277"/>
      <c r="AE40" s="277"/>
      <c r="AF40" s="277"/>
    </row>
    <row r="41" spans="1:32" x14ac:dyDescent="0.25">
      <c r="A41" s="838"/>
      <c r="B41" s="552"/>
      <c r="C41" s="552"/>
      <c r="D41" s="277"/>
      <c r="E41" s="277"/>
      <c r="F41" s="277"/>
      <c r="G41" s="277"/>
      <c r="H41" s="277"/>
      <c r="I41" s="277"/>
      <c r="J41" s="277"/>
      <c r="K41" s="277"/>
      <c r="L41" s="277"/>
      <c r="M41" s="277"/>
      <c r="N41" s="277"/>
      <c r="O41" s="277"/>
      <c r="P41" s="277"/>
      <c r="Q41" s="277"/>
      <c r="R41" s="277"/>
      <c r="S41" s="277"/>
      <c r="T41" s="277"/>
      <c r="U41" s="277"/>
      <c r="V41" s="277"/>
      <c r="W41" s="277"/>
      <c r="X41" s="277"/>
      <c r="Y41" s="277"/>
      <c r="Z41" s="277"/>
      <c r="AA41" s="277"/>
      <c r="AB41" s="277"/>
      <c r="AC41" s="277"/>
      <c r="AD41" s="277"/>
      <c r="AE41" s="277"/>
      <c r="AF41" s="277"/>
    </row>
    <row r="42" spans="1:32" s="539" customFormat="1" x14ac:dyDescent="0.25">
      <c r="A42" s="860" t="s">
        <v>527</v>
      </c>
      <c r="B42" s="555"/>
      <c r="C42" s="554"/>
      <c r="D42" s="553"/>
      <c r="E42" s="553"/>
      <c r="F42" s="553"/>
      <c r="G42" s="553" t="s">
        <v>701</v>
      </c>
      <c r="H42" s="560"/>
      <c r="I42" s="560"/>
      <c r="J42" s="560"/>
      <c r="K42" s="560"/>
      <c r="L42" s="560"/>
      <c r="M42" s="560"/>
      <c r="N42" s="560"/>
      <c r="O42" s="560"/>
      <c r="P42" s="560"/>
      <c r="Q42" s="560"/>
      <c r="R42" s="560"/>
      <c r="S42" s="560"/>
      <c r="T42" s="560"/>
      <c r="U42" s="560"/>
      <c r="V42" s="560"/>
      <c r="W42" s="560"/>
      <c r="X42" s="560"/>
      <c r="Y42" s="560"/>
      <c r="Z42" s="560"/>
      <c r="AA42" s="560"/>
      <c r="AB42" s="560"/>
      <c r="AC42" s="560"/>
      <c r="AD42" s="560"/>
      <c r="AE42" s="560"/>
      <c r="AF42" s="560"/>
    </row>
    <row r="43" spans="1:32" s="539" customFormat="1" x14ac:dyDescent="0.25">
      <c r="A43" s="840" t="s">
        <v>12</v>
      </c>
      <c r="B43" s="550"/>
    </row>
    <row r="44" spans="1:32" s="539" customFormat="1" x14ac:dyDescent="0.25">
      <c r="A44" s="839"/>
      <c r="B44" s="550" t="s">
        <v>20</v>
      </c>
    </row>
    <row r="45" spans="1:32" s="202" customFormat="1" ht="12.75" x14ac:dyDescent="0.2">
      <c r="A45" s="843" t="s">
        <v>21</v>
      </c>
      <c r="B45" s="556"/>
      <c r="C45" s="556"/>
      <c r="D45" s="556"/>
      <c r="E45" s="556"/>
      <c r="F45" s="556"/>
      <c r="G45" s="556"/>
      <c r="H45" s="556"/>
      <c r="I45" s="556"/>
      <c r="J45" s="556"/>
      <c r="K45" s="556"/>
      <c r="L45" s="556"/>
      <c r="M45" s="556"/>
      <c r="N45" s="556"/>
      <c r="O45" s="556"/>
      <c r="P45" s="556"/>
      <c r="Q45" s="556"/>
      <c r="R45" s="556"/>
      <c r="S45" s="556"/>
      <c r="T45" s="556"/>
      <c r="U45" s="556"/>
      <c r="V45" s="556"/>
      <c r="W45" s="556"/>
      <c r="X45" s="556"/>
      <c r="Y45" s="556"/>
      <c r="Z45" s="556"/>
      <c r="AA45" s="556"/>
      <c r="AB45" s="556"/>
      <c r="AC45" s="556"/>
      <c r="AD45" s="556"/>
      <c r="AE45" s="556"/>
      <c r="AF45" s="556"/>
    </row>
    <row r="46" spans="1:32" x14ac:dyDescent="0.25">
      <c r="A46" s="839"/>
      <c r="B46" s="550" t="s">
        <v>22</v>
      </c>
      <c r="C46" s="539"/>
      <c r="D46" s="539"/>
      <c r="E46" s="539"/>
      <c r="F46" s="539"/>
      <c r="G46" s="549">
        <v>3.6427408476007375</v>
      </c>
      <c r="H46" s="549">
        <v>3.3888625899840146</v>
      </c>
      <c r="I46" s="549">
        <v>3.0549006447545652</v>
      </c>
      <c r="J46" s="549">
        <v>2.444351211062409</v>
      </c>
      <c r="K46" s="549">
        <v>1.8738852813373201</v>
      </c>
      <c r="L46" s="549">
        <v>1.3677474230389097</v>
      </c>
      <c r="M46" s="549">
        <v>0.84749947117209856</v>
      </c>
      <c r="N46" s="549">
        <v>0.57722951759584518</v>
      </c>
      <c r="O46" s="549">
        <v>0.43553490818012147</v>
      </c>
      <c r="P46" s="549">
        <v>0.36074930610612627</v>
      </c>
      <c r="Q46" s="549">
        <v>0.32129011451088063</v>
      </c>
      <c r="R46" s="549">
        <v>0.30076012365579818</v>
      </c>
      <c r="S46" s="549">
        <v>0.29068065200449861</v>
      </c>
      <c r="T46" s="549">
        <v>0.28649016101076358</v>
      </c>
      <c r="U46" s="549">
        <v>0.28569917909086689</v>
      </c>
      <c r="V46" s="549">
        <v>0.28696340586806435</v>
      </c>
      <c r="W46" s="549">
        <v>0.28945362561197241</v>
      </c>
      <c r="X46" s="549">
        <v>0.29265208136050785</v>
      </c>
      <c r="Y46" s="549">
        <v>0.29624249790357426</v>
      </c>
      <c r="Z46" s="549">
        <v>0.30008256239603248</v>
      </c>
      <c r="AA46" s="549">
        <v>0.30412057176741342</v>
      </c>
      <c r="AB46" s="549">
        <v>0.30837471853363801</v>
      </c>
      <c r="AC46" s="549">
        <v>0.31268361355649771</v>
      </c>
      <c r="AD46" s="549">
        <v>0.31699427935329338</v>
      </c>
      <c r="AE46" s="549">
        <v>0.32127343528498709</v>
      </c>
      <c r="AF46" s="549">
        <v>0.32549893233175015</v>
      </c>
    </row>
    <row r="47" spans="1:32" x14ac:dyDescent="0.25">
      <c r="A47" s="839"/>
      <c r="B47" s="550" t="s">
        <v>26</v>
      </c>
      <c r="C47" s="539"/>
      <c r="D47" s="539"/>
      <c r="E47" s="539"/>
      <c r="F47" s="539"/>
      <c r="G47" s="549">
        <v>5.4122202645031502E-2</v>
      </c>
      <c r="H47" s="549">
        <v>5.2391650856235629E-2</v>
      </c>
      <c r="I47" s="549">
        <v>0.12781936144107914</v>
      </c>
      <c r="J47" s="549">
        <v>0.36838422899579887</v>
      </c>
      <c r="K47" s="549">
        <v>0.62322123891834369</v>
      </c>
      <c r="L47" s="549">
        <v>0.79860518013625481</v>
      </c>
      <c r="M47" s="549">
        <v>0.94444803157759649</v>
      </c>
      <c r="N47" s="549">
        <v>0.98120406956321982</v>
      </c>
      <c r="O47" s="549">
        <v>0.97682323110598301</v>
      </c>
      <c r="P47" s="549">
        <v>0.96120748895039243</v>
      </c>
      <c r="Q47" s="549">
        <v>0.9463598557268792</v>
      </c>
      <c r="R47" s="549">
        <v>0.93593363337593216</v>
      </c>
      <c r="S47" s="549">
        <v>0.93121400451473846</v>
      </c>
      <c r="T47" s="549">
        <v>0.93146329297249275</v>
      </c>
      <c r="U47" s="549">
        <v>0.93562493238741462</v>
      </c>
      <c r="V47" s="549">
        <v>0.94299358423310953</v>
      </c>
      <c r="W47" s="549">
        <v>0.95246551058180051</v>
      </c>
      <c r="X47" s="549">
        <v>0.96314549273006045</v>
      </c>
      <c r="Y47" s="549">
        <v>0.97446447949380588</v>
      </c>
      <c r="Z47" s="549">
        <v>0.98638292924375393</v>
      </c>
      <c r="AA47" s="549">
        <v>0.99899559476803201</v>
      </c>
      <c r="AB47" s="549">
        <v>1.0125726846710998</v>
      </c>
      <c r="AC47" s="549">
        <v>1.0260801890071383</v>
      </c>
      <c r="AD47" s="549">
        <v>1.0394536299242298</v>
      </c>
      <c r="AE47" s="549">
        <v>1.0526391016552146</v>
      </c>
      <c r="AF47" s="549">
        <v>1.0655921774927921</v>
      </c>
    </row>
    <row r="48" spans="1:32" x14ac:dyDescent="0.25">
      <c r="A48" s="839"/>
      <c r="B48" s="550" t="s">
        <v>27</v>
      </c>
      <c r="C48" s="539"/>
      <c r="D48" s="539"/>
      <c r="E48" s="539"/>
      <c r="F48" s="539"/>
      <c r="G48" s="549">
        <v>0.61583584632403054</v>
      </c>
      <c r="H48" s="549">
        <v>0.71536446602481063</v>
      </c>
      <c r="I48" s="549">
        <v>0.81408806935641675</v>
      </c>
      <c r="J48" s="549">
        <v>0.93456997836028755</v>
      </c>
      <c r="K48" s="549">
        <v>1.0408893877005909</v>
      </c>
      <c r="L48" s="549">
        <v>1.1544830651475413</v>
      </c>
      <c r="M48" s="549">
        <v>1.2800735499012648</v>
      </c>
      <c r="N48" s="549">
        <v>1.3753380225693259</v>
      </c>
      <c r="O48" s="549">
        <v>1.4506873013868382</v>
      </c>
      <c r="P48" s="549">
        <v>1.5127733103927161</v>
      </c>
      <c r="Q48" s="549">
        <v>1.5658391735039581</v>
      </c>
      <c r="R48" s="549">
        <v>1.6124008301081669</v>
      </c>
      <c r="S48" s="549">
        <v>1.6547298007083941</v>
      </c>
      <c r="T48" s="549">
        <v>1.6940645931087364</v>
      </c>
      <c r="U48" s="549">
        <v>1.7312320574773605</v>
      </c>
      <c r="V48" s="549">
        <v>1.7670097407739376</v>
      </c>
      <c r="W48" s="549">
        <v>1.8016254862435719</v>
      </c>
      <c r="X48" s="549">
        <v>1.8351409657418187</v>
      </c>
      <c r="Y48" s="549">
        <v>1.8676094655596405</v>
      </c>
      <c r="Z48" s="549">
        <v>1.899316285531284</v>
      </c>
      <c r="AA48" s="549">
        <v>1.9306027820804021</v>
      </c>
      <c r="AB48" s="549">
        <v>1.9619252065058073</v>
      </c>
      <c r="AC48" s="549">
        <v>1.9927865250022887</v>
      </c>
      <c r="AD48" s="549">
        <v>2.0231781451488469</v>
      </c>
      <c r="AE48" s="549">
        <v>2.0530837602439713</v>
      </c>
      <c r="AF48" s="549">
        <v>2.0824818143985864</v>
      </c>
    </row>
    <row r="49" spans="1:32" x14ac:dyDescent="0.25">
      <c r="A49" s="839"/>
      <c r="B49" s="550" t="s">
        <v>29</v>
      </c>
      <c r="C49" s="539"/>
      <c r="D49" s="539"/>
      <c r="E49" s="539"/>
      <c r="F49" s="539"/>
      <c r="G49" s="549">
        <v>0</v>
      </c>
      <c r="H49" s="549">
        <v>2.9711743507456877E-4</v>
      </c>
      <c r="I49" s="549">
        <v>5.8956867776232549E-4</v>
      </c>
      <c r="J49" s="549">
        <v>7.9576740071284947E-4</v>
      </c>
      <c r="K49" s="549">
        <v>9.8702017966830076E-4</v>
      </c>
      <c r="L49" s="549">
        <v>1.1838116743039201E-3</v>
      </c>
      <c r="M49" s="549">
        <v>1.3876669729213807E-3</v>
      </c>
      <c r="N49" s="549">
        <v>1.5800718043687679E-3</v>
      </c>
      <c r="O49" s="549">
        <v>1.7620603746947819E-3</v>
      </c>
      <c r="P49" s="549">
        <v>1.9346289212009591E-3</v>
      </c>
      <c r="Q49" s="549">
        <v>2.0983571637435906E-3</v>
      </c>
      <c r="R49" s="549">
        <v>2.2528593570928794E-3</v>
      </c>
      <c r="S49" s="549">
        <v>2.4000816670479179E-3</v>
      </c>
      <c r="T49" s="549">
        <v>2.5403746766183514E-3</v>
      </c>
      <c r="U49" s="549">
        <v>2.6740589297516793E-3</v>
      </c>
      <c r="V49" s="549">
        <v>2.8021862714982747E-3</v>
      </c>
      <c r="W49" s="549">
        <v>2.9245101669151414E-3</v>
      </c>
      <c r="X49" s="549">
        <v>3.0406964225720466E-3</v>
      </c>
      <c r="Y49" s="549">
        <v>3.1507081060446859E-3</v>
      </c>
      <c r="Z49" s="549">
        <v>3.2554757644496068E-3</v>
      </c>
      <c r="AA49" s="549">
        <v>3.3561578798195256E-3</v>
      </c>
      <c r="AB49" s="549">
        <v>3.4542894016625163E-3</v>
      </c>
      <c r="AC49" s="549">
        <v>3.5481766892802211E-3</v>
      </c>
      <c r="AD49" s="549">
        <v>3.6379915835636251E-3</v>
      </c>
      <c r="AE49" s="549">
        <v>3.723888576476013E-3</v>
      </c>
      <c r="AF49" s="549">
        <v>3.8060062866040432E-3</v>
      </c>
    </row>
    <row r="50" spans="1:32" x14ac:dyDescent="0.25">
      <c r="A50" s="839"/>
      <c r="B50" s="550"/>
      <c r="C50" s="539"/>
      <c r="D50" s="539"/>
      <c r="E50" s="539"/>
      <c r="F50" s="539"/>
      <c r="G50" s="549" t="s">
        <v>73</v>
      </c>
      <c r="H50" s="549" t="s">
        <v>73</v>
      </c>
      <c r="I50" s="549" t="s">
        <v>73</v>
      </c>
      <c r="J50" s="549" t="s">
        <v>73</v>
      </c>
      <c r="K50" s="549" t="s">
        <v>73</v>
      </c>
      <c r="L50" s="549" t="s">
        <v>73</v>
      </c>
      <c r="M50" s="549" t="s">
        <v>73</v>
      </c>
      <c r="N50" s="549" t="s">
        <v>73</v>
      </c>
      <c r="O50" s="549" t="s">
        <v>73</v>
      </c>
      <c r="P50" s="549" t="s">
        <v>73</v>
      </c>
      <c r="Q50" s="549" t="s">
        <v>73</v>
      </c>
      <c r="R50" s="549" t="s">
        <v>73</v>
      </c>
      <c r="S50" s="549" t="s">
        <v>73</v>
      </c>
      <c r="T50" s="549" t="s">
        <v>73</v>
      </c>
      <c r="U50" s="549" t="s">
        <v>73</v>
      </c>
      <c r="V50" s="549" t="s">
        <v>73</v>
      </c>
      <c r="W50" s="549" t="s">
        <v>73</v>
      </c>
      <c r="X50" s="549" t="s">
        <v>73</v>
      </c>
      <c r="Y50" s="549" t="s">
        <v>73</v>
      </c>
      <c r="Z50" s="549" t="s">
        <v>73</v>
      </c>
      <c r="AA50" s="549" t="s">
        <v>73</v>
      </c>
      <c r="AB50" s="549" t="s">
        <v>73</v>
      </c>
      <c r="AC50" s="549" t="s">
        <v>73</v>
      </c>
      <c r="AD50" s="549" t="s">
        <v>73</v>
      </c>
      <c r="AE50" s="549" t="s">
        <v>73</v>
      </c>
      <c r="AF50" s="549" t="s">
        <v>73</v>
      </c>
    </row>
    <row r="51" spans="1:32" s="202" customFormat="1" ht="12.75" x14ac:dyDescent="0.2">
      <c r="A51" s="843" t="s">
        <v>32</v>
      </c>
      <c r="B51" s="556"/>
      <c r="C51" s="556"/>
      <c r="D51" s="556"/>
      <c r="E51" s="556"/>
      <c r="F51" s="556"/>
      <c r="G51" s="632" t="s">
        <v>73</v>
      </c>
      <c r="H51" s="632" t="s">
        <v>73</v>
      </c>
      <c r="I51" s="632" t="s">
        <v>73</v>
      </c>
      <c r="J51" s="632" t="s">
        <v>73</v>
      </c>
      <c r="K51" s="632" t="s">
        <v>73</v>
      </c>
      <c r="L51" s="632" t="s">
        <v>73</v>
      </c>
      <c r="M51" s="632" t="s">
        <v>73</v>
      </c>
      <c r="N51" s="632" t="s">
        <v>73</v>
      </c>
      <c r="O51" s="632" t="s">
        <v>73</v>
      </c>
      <c r="P51" s="632" t="s">
        <v>73</v>
      </c>
      <c r="Q51" s="632" t="s">
        <v>73</v>
      </c>
      <c r="R51" s="632" t="s">
        <v>73</v>
      </c>
      <c r="S51" s="632" t="s">
        <v>73</v>
      </c>
      <c r="T51" s="632" t="s">
        <v>73</v>
      </c>
      <c r="U51" s="632" t="s">
        <v>73</v>
      </c>
      <c r="V51" s="632" t="s">
        <v>73</v>
      </c>
      <c r="W51" s="632" t="s">
        <v>73</v>
      </c>
      <c r="X51" s="632" t="s">
        <v>73</v>
      </c>
      <c r="Y51" s="632" t="s">
        <v>73</v>
      </c>
      <c r="Z51" s="632" t="s">
        <v>73</v>
      </c>
      <c r="AA51" s="632" t="s">
        <v>73</v>
      </c>
      <c r="AB51" s="632" t="s">
        <v>73</v>
      </c>
      <c r="AC51" s="632" t="s">
        <v>73</v>
      </c>
      <c r="AD51" s="632" t="s">
        <v>73</v>
      </c>
      <c r="AE51" s="632" t="s">
        <v>73</v>
      </c>
      <c r="AF51" s="632" t="s">
        <v>73</v>
      </c>
    </row>
    <row r="52" spans="1:32" x14ac:dyDescent="0.25">
      <c r="A52" s="839"/>
      <c r="B52" s="550" t="s">
        <v>33</v>
      </c>
      <c r="C52" s="539"/>
      <c r="D52" s="539"/>
      <c r="E52" s="539"/>
      <c r="F52" s="539"/>
      <c r="G52" s="549">
        <v>0.82421848468494552</v>
      </c>
      <c r="H52" s="549">
        <v>0.72710841688472305</v>
      </c>
      <c r="I52" s="549">
        <v>0.66923872206016621</v>
      </c>
      <c r="J52" s="549">
        <v>0.64140057828848451</v>
      </c>
      <c r="K52" s="549">
        <v>0.63648918083294448</v>
      </c>
      <c r="L52" s="549">
        <v>0.63654279606165065</v>
      </c>
      <c r="M52" s="549">
        <v>0.64020379540365968</v>
      </c>
      <c r="N52" s="549">
        <v>0.64637084862183536</v>
      </c>
      <c r="O52" s="549">
        <v>0.65437137095441544</v>
      </c>
      <c r="P52" s="549">
        <v>0.6637285400822982</v>
      </c>
      <c r="Q52" s="549">
        <v>0.67406274145627343</v>
      </c>
      <c r="R52" s="549">
        <v>0.68498234718085693</v>
      </c>
      <c r="S52" s="549">
        <v>0.69643938923638016</v>
      </c>
      <c r="T52" s="549">
        <v>0.70827285249757099</v>
      </c>
      <c r="U52" s="549">
        <v>0.720356885486511</v>
      </c>
      <c r="V52" s="549">
        <v>0.73268238450649692</v>
      </c>
      <c r="W52" s="549">
        <v>0.74511684127920874</v>
      </c>
      <c r="X52" s="549">
        <v>0.75752562476677154</v>
      </c>
      <c r="Y52" s="549">
        <v>0.76981545241883598</v>
      </c>
      <c r="Z52" s="549">
        <v>0.78201753630068849</v>
      </c>
      <c r="AA52" s="549">
        <v>0.7942099630899947</v>
      </c>
      <c r="AB52" s="549">
        <v>0.80653450289822703</v>
      </c>
      <c r="AC52" s="549">
        <v>0.81876645040613805</v>
      </c>
      <c r="AD52" s="549">
        <v>0.83087912855553547</v>
      </c>
      <c r="AE52" s="549">
        <v>0.84284883471597682</v>
      </c>
      <c r="AF52" s="549">
        <v>0.85465411567360783</v>
      </c>
    </row>
    <row r="53" spans="1:32" x14ac:dyDescent="0.25">
      <c r="A53" s="842"/>
      <c r="B53" s="552" t="s">
        <v>34</v>
      </c>
      <c r="C53" s="539"/>
      <c r="D53" s="539"/>
      <c r="E53" s="539"/>
      <c r="F53" s="539"/>
      <c r="G53" s="549">
        <v>0.45221057428580491</v>
      </c>
      <c r="H53" s="549">
        <v>0.54493313274294719</v>
      </c>
      <c r="I53" s="549">
        <v>0.58699854773783822</v>
      </c>
      <c r="J53" s="549">
        <v>0.60592664312308697</v>
      </c>
      <c r="K53" s="549">
        <v>0.60769167461733675</v>
      </c>
      <c r="L53" s="549">
        <v>0.6145692244437414</v>
      </c>
      <c r="M53" s="549">
        <v>0.62348849852867161</v>
      </c>
      <c r="N53" s="549">
        <v>0.61779985551735006</v>
      </c>
      <c r="O53" s="549">
        <v>0.61849871466926176</v>
      </c>
      <c r="P53" s="549">
        <v>0.62547830699600204</v>
      </c>
      <c r="Q53" s="549">
        <v>0.63853472641955666</v>
      </c>
      <c r="R53" s="549">
        <v>0.6510946487653404</v>
      </c>
      <c r="S53" s="549">
        <v>0.66348201880297364</v>
      </c>
      <c r="T53" s="549">
        <v>0.67572284588096021</v>
      </c>
      <c r="U53" s="549">
        <v>0.68782729452353475</v>
      </c>
      <c r="V53" s="549">
        <v>0.6999243038760562</v>
      </c>
      <c r="W53" s="549">
        <v>0.71191542557416354</v>
      </c>
      <c r="X53" s="549">
        <v>0.72368896325473164</v>
      </c>
      <c r="Y53" s="549">
        <v>0.73518630712652611</v>
      </c>
      <c r="Z53" s="549">
        <v>0.7465155804712319</v>
      </c>
      <c r="AA53" s="549">
        <v>0.75782263544499739</v>
      </c>
      <c r="AB53" s="549">
        <v>0.7693174050141286</v>
      </c>
      <c r="AC53" s="549">
        <v>0.78065799842281769</v>
      </c>
      <c r="AD53" s="549">
        <v>0.79183293983430236</v>
      </c>
      <c r="AE53" s="549">
        <v>0.80282981729352154</v>
      </c>
      <c r="AF53" s="549">
        <v>0.81363564770789765</v>
      </c>
    </row>
    <row r="54" spans="1:32" x14ac:dyDescent="0.25">
      <c r="A54" s="839"/>
      <c r="B54" s="552" t="s">
        <v>35</v>
      </c>
      <c r="C54" s="539"/>
      <c r="D54" s="539"/>
      <c r="E54" s="539"/>
      <c r="F54" s="539"/>
      <c r="G54" s="549">
        <v>6.358897783479342E-2</v>
      </c>
      <c r="H54" s="549">
        <v>6.6154781512329425E-2</v>
      </c>
      <c r="I54" s="549">
        <v>6.8992031243786306E-2</v>
      </c>
      <c r="J54" s="549">
        <v>7.2199290291950866E-2</v>
      </c>
      <c r="K54" s="549">
        <v>7.5801337166116242E-2</v>
      </c>
      <c r="L54" s="549">
        <v>7.9225955557902197E-2</v>
      </c>
      <c r="M54" s="549">
        <v>8.2491746868747523E-2</v>
      </c>
      <c r="N54" s="549">
        <v>8.5599024160162171E-2</v>
      </c>
      <c r="O54" s="549">
        <v>8.8570762521834337E-2</v>
      </c>
      <c r="P54" s="549">
        <v>9.142769708231431E-2</v>
      </c>
      <c r="Q54" s="549">
        <v>9.4182083465213992E-2</v>
      </c>
      <c r="R54" s="549">
        <v>9.6827942167024394E-2</v>
      </c>
      <c r="S54" s="549">
        <v>9.9398394328695697E-2</v>
      </c>
      <c r="T54" s="549">
        <v>0.1018993765450022</v>
      </c>
      <c r="U54" s="549">
        <v>0.10433556037782273</v>
      </c>
      <c r="V54" s="549">
        <v>0.10672391366053814</v>
      </c>
      <c r="W54" s="549">
        <v>0.10905891015984251</v>
      </c>
      <c r="X54" s="549">
        <v>0.11133250210609273</v>
      </c>
      <c r="Y54" s="549">
        <v>0.11354095711020394</v>
      </c>
      <c r="Z54" s="549">
        <v>0.11569712628383605</v>
      </c>
      <c r="AA54" s="549">
        <v>0.11781857554590912</v>
      </c>
      <c r="AB54" s="549">
        <v>0.11993045740530001</v>
      </c>
      <c r="AC54" s="549">
        <v>0.12200241353144119</v>
      </c>
      <c r="AD54" s="549">
        <v>0.12403470298087658</v>
      </c>
      <c r="AE54" s="549">
        <v>0.12602728278224881</v>
      </c>
      <c r="AF54" s="549">
        <v>0.12797985074049406</v>
      </c>
    </row>
    <row r="55" spans="1:32" x14ac:dyDescent="0.25">
      <c r="A55" s="839"/>
      <c r="B55" s="552" t="s">
        <v>29</v>
      </c>
      <c r="C55" s="539"/>
      <c r="D55" s="539"/>
      <c r="E55" s="539"/>
      <c r="F55" s="539"/>
      <c r="G55" s="549">
        <v>0</v>
      </c>
      <c r="H55" s="549">
        <v>1.3464357367754323E-4</v>
      </c>
      <c r="I55" s="549">
        <v>2.6343204169113706E-4</v>
      </c>
      <c r="J55" s="549">
        <v>3.8756675702200004E-4</v>
      </c>
      <c r="K55" s="549">
        <v>5.0669147939799459E-4</v>
      </c>
      <c r="L55" s="549">
        <v>6.1989006206976773E-4</v>
      </c>
      <c r="M55" s="549">
        <v>7.2734054501773617E-4</v>
      </c>
      <c r="N55" s="549">
        <v>8.2879489932451806E-4</v>
      </c>
      <c r="O55" s="549">
        <v>9.2479250389657607E-4</v>
      </c>
      <c r="P55" s="549">
        <v>1.01585306489729E-3</v>
      </c>
      <c r="Q55" s="549">
        <v>1.1022792481836527E-3</v>
      </c>
      <c r="R55" s="549">
        <v>1.1838702723252956E-3</v>
      </c>
      <c r="S55" s="549">
        <v>1.2616408485790819E-3</v>
      </c>
      <c r="T55" s="549">
        <v>1.3357744002342334E-3</v>
      </c>
      <c r="U55" s="549">
        <v>1.406438619983925E-3</v>
      </c>
      <c r="V55" s="549">
        <v>1.4741824657499368E-3</v>
      </c>
      <c r="W55" s="549">
        <v>1.5388781795201904E-3</v>
      </c>
      <c r="X55" s="549">
        <v>1.6003519842620998E-3</v>
      </c>
      <c r="Y55" s="549">
        <v>1.6585847830841878E-3</v>
      </c>
      <c r="Z55" s="549">
        <v>1.7140618029019205E-3</v>
      </c>
      <c r="AA55" s="549">
        <v>1.7673874440340086E-3</v>
      </c>
      <c r="AB55" s="549">
        <v>1.819362826749444E-3</v>
      </c>
      <c r="AC55" s="549">
        <v>1.8691061538844856E-3</v>
      </c>
      <c r="AD55" s="549">
        <v>1.9167073873903853E-3</v>
      </c>
      <c r="AE55" s="549">
        <v>1.9622474168691823E-3</v>
      </c>
      <c r="AF55" s="549">
        <v>2.0057988286405876E-3</v>
      </c>
    </row>
    <row r="56" spans="1:32" x14ac:dyDescent="0.25">
      <c r="A56" s="839"/>
      <c r="B56" s="550"/>
      <c r="C56" s="539"/>
      <c r="D56" s="539"/>
      <c r="E56" s="539"/>
      <c r="F56" s="539"/>
      <c r="G56" s="549" t="s">
        <v>73</v>
      </c>
      <c r="H56" s="549" t="s">
        <v>73</v>
      </c>
      <c r="I56" s="549" t="s">
        <v>73</v>
      </c>
      <c r="J56" s="549" t="s">
        <v>73</v>
      </c>
      <c r="K56" s="549" t="s">
        <v>73</v>
      </c>
      <c r="L56" s="549" t="s">
        <v>73</v>
      </c>
      <c r="M56" s="549" t="s">
        <v>73</v>
      </c>
      <c r="N56" s="549" t="s">
        <v>73</v>
      </c>
      <c r="O56" s="549" t="s">
        <v>73</v>
      </c>
      <c r="P56" s="549" t="s">
        <v>73</v>
      </c>
      <c r="Q56" s="549" t="s">
        <v>73</v>
      </c>
      <c r="R56" s="549" t="s">
        <v>73</v>
      </c>
      <c r="S56" s="549" t="s">
        <v>73</v>
      </c>
      <c r="T56" s="549" t="s">
        <v>73</v>
      </c>
      <c r="U56" s="549" t="s">
        <v>73</v>
      </c>
      <c r="V56" s="549" t="s">
        <v>73</v>
      </c>
      <c r="W56" s="549" t="s">
        <v>73</v>
      </c>
      <c r="X56" s="549" t="s">
        <v>73</v>
      </c>
      <c r="Y56" s="549" t="s">
        <v>73</v>
      </c>
      <c r="Z56" s="549" t="s">
        <v>73</v>
      </c>
      <c r="AA56" s="549" t="s">
        <v>73</v>
      </c>
      <c r="AB56" s="549" t="s">
        <v>73</v>
      </c>
      <c r="AC56" s="549" t="s">
        <v>73</v>
      </c>
      <c r="AD56" s="549" t="s">
        <v>73</v>
      </c>
      <c r="AE56" s="549" t="s">
        <v>73</v>
      </c>
      <c r="AF56" s="549" t="s">
        <v>73</v>
      </c>
    </row>
    <row r="57" spans="1:32" s="202" customFormat="1" ht="12.75" x14ac:dyDescent="0.2">
      <c r="A57" s="843" t="s">
        <v>36</v>
      </c>
      <c r="B57" s="556"/>
      <c r="C57" s="556"/>
      <c r="D57" s="556"/>
      <c r="E57" s="556"/>
      <c r="F57" s="556"/>
      <c r="G57" s="632" t="s">
        <v>73</v>
      </c>
      <c r="H57" s="632" t="s">
        <v>73</v>
      </c>
      <c r="I57" s="632" t="s">
        <v>73</v>
      </c>
      <c r="J57" s="632" t="s">
        <v>73</v>
      </c>
      <c r="K57" s="632" t="s">
        <v>73</v>
      </c>
      <c r="L57" s="632" t="s">
        <v>73</v>
      </c>
      <c r="M57" s="632" t="s">
        <v>73</v>
      </c>
      <c r="N57" s="632" t="s">
        <v>73</v>
      </c>
      <c r="O57" s="632" t="s">
        <v>73</v>
      </c>
      <c r="P57" s="632" t="s">
        <v>73</v>
      </c>
      <c r="Q57" s="632" t="s">
        <v>73</v>
      </c>
      <c r="R57" s="632" t="s">
        <v>73</v>
      </c>
      <c r="S57" s="632" t="s">
        <v>73</v>
      </c>
      <c r="T57" s="632" t="s">
        <v>73</v>
      </c>
      <c r="U57" s="632" t="s">
        <v>73</v>
      </c>
      <c r="V57" s="632" t="s">
        <v>73</v>
      </c>
      <c r="W57" s="632" t="s">
        <v>73</v>
      </c>
      <c r="X57" s="632" t="s">
        <v>73</v>
      </c>
      <c r="Y57" s="632" t="s">
        <v>73</v>
      </c>
      <c r="Z57" s="632" t="s">
        <v>73</v>
      </c>
      <c r="AA57" s="632" t="s">
        <v>73</v>
      </c>
      <c r="AB57" s="632" t="s">
        <v>73</v>
      </c>
      <c r="AC57" s="632" t="s">
        <v>73</v>
      </c>
      <c r="AD57" s="632" t="s">
        <v>73</v>
      </c>
      <c r="AE57" s="632" t="s">
        <v>73</v>
      </c>
      <c r="AF57" s="632" t="s">
        <v>73</v>
      </c>
    </row>
    <row r="58" spans="1:32" x14ac:dyDescent="0.25">
      <c r="A58" s="839"/>
      <c r="B58" s="550" t="s">
        <v>37</v>
      </c>
      <c r="C58" s="539"/>
      <c r="D58" s="539"/>
      <c r="E58" s="539"/>
      <c r="F58" s="201"/>
      <c r="G58" s="549">
        <v>0.35419438147372145</v>
      </c>
      <c r="H58" s="549">
        <v>0.33318001061366437</v>
      </c>
      <c r="I58" s="549">
        <v>0.31167548712948068</v>
      </c>
      <c r="J58" s="549">
        <v>0.2898834699787271</v>
      </c>
      <c r="K58" s="549">
        <v>0.26798961025941592</v>
      </c>
      <c r="L58" s="549">
        <v>0.24763507792613068</v>
      </c>
      <c r="M58" s="549">
        <v>0.228685115180219</v>
      </c>
      <c r="N58" s="549">
        <v>0.21108928331049864</v>
      </c>
      <c r="O58" s="549">
        <v>0.19491171627389495</v>
      </c>
      <c r="P58" s="549">
        <v>0.18003347917846879</v>
      </c>
      <c r="Q58" s="549">
        <v>0.166345990977425</v>
      </c>
      <c r="R58" s="549">
        <v>0.15374968864497024</v>
      </c>
      <c r="S58" s="549">
        <v>0.14215507385285572</v>
      </c>
      <c r="T58" s="549">
        <v>0.13147958617781019</v>
      </c>
      <c r="U58" s="549">
        <v>0.12164779323104061</v>
      </c>
      <c r="V58" s="549">
        <v>0.11259118617812257</v>
      </c>
      <c r="W58" s="549">
        <v>0.1042463888475381</v>
      </c>
      <c r="X58" s="549">
        <v>9.6555335344979482E-2</v>
      </c>
      <c r="Y58" s="549">
        <v>8.9465016772822634E-2</v>
      </c>
      <c r="Z58" s="549">
        <v>8.2927445705561348E-2</v>
      </c>
      <c r="AA58" s="549">
        <v>7.6898829329808127E-2</v>
      </c>
      <c r="AB58" s="549">
        <v>7.1339302224574394E-2</v>
      </c>
      <c r="AC58" s="549">
        <v>6.621046591780437E-2</v>
      </c>
      <c r="AD58" s="549">
        <v>6.1478100285617954E-2</v>
      </c>
      <c r="AE58" s="549">
        <v>5.7110791216249936E-2</v>
      </c>
      <c r="AF58" s="549">
        <v>5.3079689707254567E-2</v>
      </c>
    </row>
    <row r="59" spans="1:32" x14ac:dyDescent="0.25">
      <c r="A59" s="839"/>
      <c r="B59" s="550" t="s">
        <v>39</v>
      </c>
      <c r="C59" s="539"/>
      <c r="D59" s="539"/>
      <c r="E59" s="203"/>
      <c r="F59" s="539"/>
      <c r="G59" s="549">
        <v>6.1526008171317342E-2</v>
      </c>
      <c r="H59" s="549">
        <v>8.3733737223083457E-2</v>
      </c>
      <c r="I59" s="549">
        <v>0.10666790489571187</v>
      </c>
      <c r="J59" s="549">
        <v>0.13009820452656959</v>
      </c>
      <c r="K59" s="549">
        <v>0.15265418263515487</v>
      </c>
      <c r="L59" s="549">
        <v>0.17356451642822482</v>
      </c>
      <c r="M59" s="549">
        <v>0.19298687285705735</v>
      </c>
      <c r="N59" s="549">
        <v>0.21167271896107298</v>
      </c>
      <c r="O59" s="549">
        <v>0.22949592534345947</v>
      </c>
      <c r="P59" s="549">
        <v>0.24651545337005693</v>
      </c>
      <c r="Q59" s="549">
        <v>0.26277034447100295</v>
      </c>
      <c r="R59" s="549">
        <v>0.27822604716919158</v>
      </c>
      <c r="S59" s="549">
        <v>0.29304215323677135</v>
      </c>
      <c r="T59" s="549">
        <v>0.30725053408725345</v>
      </c>
      <c r="U59" s="549">
        <v>0.32088074699235264</v>
      </c>
      <c r="V59" s="549">
        <v>0.33402274751388622</v>
      </c>
      <c r="W59" s="549">
        <v>0.34665994020854679</v>
      </c>
      <c r="X59" s="549">
        <v>0.35876682630951218</v>
      </c>
      <c r="Y59" s="549">
        <v>0.37034083150373576</v>
      </c>
      <c r="Z59" s="549">
        <v>0.38145860654075209</v>
      </c>
      <c r="AA59" s="549">
        <v>0.39221673826213121</v>
      </c>
      <c r="AB59" s="549">
        <v>0.40274453319248732</v>
      </c>
      <c r="AC59" s="549">
        <v>0.41290577683057428</v>
      </c>
      <c r="AD59" s="549">
        <v>0.42271465210431564</v>
      </c>
      <c r="AE59" s="549">
        <v>0.43218360711787268</v>
      </c>
      <c r="AF59" s="549">
        <v>0.44132350897878514</v>
      </c>
    </row>
    <row r="60" spans="1:32" x14ac:dyDescent="0.25">
      <c r="A60" s="839"/>
      <c r="B60" s="550" t="s">
        <v>40</v>
      </c>
      <c r="C60" s="539"/>
      <c r="D60" s="539"/>
      <c r="E60" s="539"/>
      <c r="F60" s="539"/>
      <c r="G60" s="549">
        <v>0</v>
      </c>
      <c r="H60" s="549">
        <v>4.4792974510613863E-3</v>
      </c>
      <c r="I60" s="549">
        <v>9.0377380385783974E-3</v>
      </c>
      <c r="J60" s="549">
        <v>1.3632485631698756E-2</v>
      </c>
      <c r="K60" s="549">
        <v>1.8164248171907295E-2</v>
      </c>
      <c r="L60" s="549">
        <v>2.2442674258824097E-2</v>
      </c>
      <c r="M60" s="549">
        <v>2.6483357812407588E-2</v>
      </c>
      <c r="N60" s="549">
        <v>3.0301885105084043E-2</v>
      </c>
      <c r="O60" s="549">
        <v>3.3910741748752464E-2</v>
      </c>
      <c r="P60" s="549">
        <v>3.733018243308997E-2</v>
      </c>
      <c r="Q60" s="549">
        <v>4.0573973691575366E-2</v>
      </c>
      <c r="R60" s="549">
        <v>4.3641590853533342E-2</v>
      </c>
      <c r="S60" s="549">
        <v>4.6564520565386278E-2</v>
      </c>
      <c r="T60" s="549">
        <v>4.9351759665746536E-2</v>
      </c>
      <c r="U60" s="549">
        <v>5.2011379759325592E-2</v>
      </c>
      <c r="V60" s="549">
        <v>5.4561324103971159E-2</v>
      </c>
      <c r="W60" s="549">
        <v>5.7001104657795121E-2</v>
      </c>
      <c r="X60" s="549">
        <v>5.9328446632342699E-2</v>
      </c>
      <c r="Y60" s="549">
        <v>6.1544741479454698E-2</v>
      </c>
      <c r="Z60" s="549">
        <v>6.3664653487116751E-2</v>
      </c>
      <c r="AA60" s="549">
        <v>6.5706089301104595E-2</v>
      </c>
      <c r="AB60" s="549">
        <v>6.7692392117709235E-2</v>
      </c>
      <c r="AC60" s="549">
        <v>6.9601709612343396E-2</v>
      </c>
      <c r="AD60" s="549">
        <v>7.1437574823792607E-2</v>
      </c>
      <c r="AE60" s="549">
        <v>7.3203128007905668E-2</v>
      </c>
      <c r="AF60" s="549">
        <v>7.4901152867633644E-2</v>
      </c>
    </row>
    <row r="61" spans="1:32" x14ac:dyDescent="0.25">
      <c r="A61" s="839"/>
      <c r="B61" s="550" t="s">
        <v>29</v>
      </c>
      <c r="C61" s="539"/>
      <c r="D61" s="539"/>
      <c r="E61" s="539"/>
      <c r="F61" s="539"/>
      <c r="G61" s="549">
        <v>0</v>
      </c>
      <c r="H61" s="549">
        <v>2.5922498531557911E-10</v>
      </c>
      <c r="I61" s="549">
        <v>5.0611670092153854E-10</v>
      </c>
      <c r="J61" s="549">
        <v>7.4088465770657321E-10</v>
      </c>
      <c r="K61" s="549">
        <v>9.596772053127301E-10</v>
      </c>
      <c r="L61" s="549">
        <v>1.1656703106181693E-9</v>
      </c>
      <c r="M61" s="549">
        <v>1.3594643820999651E-9</v>
      </c>
      <c r="N61" s="549">
        <v>1.5419363389066848E-9</v>
      </c>
      <c r="O61" s="549">
        <v>1.7137211620996296E-9</v>
      </c>
      <c r="P61" s="549">
        <v>1.8758662180263179E-9</v>
      </c>
      <c r="Q61" s="549">
        <v>2.0290073775939422E-9</v>
      </c>
      <c r="R61" s="549">
        <v>2.1728474263743957E-9</v>
      </c>
      <c r="S61" s="549">
        <v>2.3093176107342911E-9</v>
      </c>
      <c r="T61" s="549">
        <v>2.4388099878829743E-9</v>
      </c>
      <c r="U61" s="549">
        <v>2.561682625010347E-9</v>
      </c>
      <c r="V61" s="549">
        <v>2.6789849147047444E-9</v>
      </c>
      <c r="W61" s="549">
        <v>2.7905234453955209E-9</v>
      </c>
      <c r="X61" s="549">
        <v>2.8960203156785697E-9</v>
      </c>
      <c r="Y61" s="549">
        <v>2.9954787144966034E-9</v>
      </c>
      <c r="Z61" s="549">
        <v>3.0898160264186354E-9</v>
      </c>
      <c r="AA61" s="549">
        <v>3.1801588271470353E-9</v>
      </c>
      <c r="AB61" s="549">
        <v>3.2679824811242522E-9</v>
      </c>
      <c r="AC61" s="549">
        <v>3.3517058691556726E-9</v>
      </c>
      <c r="AD61" s="549">
        <v>3.4315131860162943E-9</v>
      </c>
      <c r="AE61" s="549">
        <v>3.5075701365397558E-9</v>
      </c>
      <c r="AF61" s="549">
        <v>3.5800255455369076E-9</v>
      </c>
    </row>
    <row r="62" spans="1:32" x14ac:dyDescent="0.25">
      <c r="A62" s="839"/>
      <c r="B62" s="550"/>
      <c r="C62" s="539"/>
      <c r="D62" s="539"/>
      <c r="E62" s="539"/>
      <c r="F62" s="539"/>
      <c r="G62" s="549" t="s">
        <v>73</v>
      </c>
      <c r="H62" s="549" t="s">
        <v>73</v>
      </c>
      <c r="I62" s="549" t="s">
        <v>73</v>
      </c>
      <c r="J62" s="549" t="s">
        <v>73</v>
      </c>
      <c r="K62" s="549" t="s">
        <v>73</v>
      </c>
      <c r="L62" s="549" t="s">
        <v>73</v>
      </c>
      <c r="M62" s="549" t="s">
        <v>73</v>
      </c>
      <c r="N62" s="549" t="s">
        <v>73</v>
      </c>
      <c r="O62" s="549" t="s">
        <v>73</v>
      </c>
      <c r="P62" s="549" t="s">
        <v>73</v>
      </c>
      <c r="Q62" s="549" t="s">
        <v>73</v>
      </c>
      <c r="R62" s="549" t="s">
        <v>73</v>
      </c>
      <c r="S62" s="549" t="s">
        <v>73</v>
      </c>
      <c r="T62" s="549" t="s">
        <v>73</v>
      </c>
      <c r="U62" s="549" t="s">
        <v>73</v>
      </c>
      <c r="V62" s="549" t="s">
        <v>73</v>
      </c>
      <c r="W62" s="549" t="s">
        <v>73</v>
      </c>
      <c r="X62" s="549" t="s">
        <v>73</v>
      </c>
      <c r="Y62" s="549" t="s">
        <v>73</v>
      </c>
      <c r="Z62" s="549" t="s">
        <v>73</v>
      </c>
      <c r="AA62" s="549" t="s">
        <v>73</v>
      </c>
      <c r="AB62" s="549" t="s">
        <v>73</v>
      </c>
      <c r="AC62" s="549" t="s">
        <v>73</v>
      </c>
      <c r="AD62" s="549" t="s">
        <v>73</v>
      </c>
      <c r="AE62" s="549" t="s">
        <v>73</v>
      </c>
      <c r="AF62" s="549" t="s">
        <v>73</v>
      </c>
    </row>
    <row r="63" spans="1:32" s="202" customFormat="1" ht="12.75" x14ac:dyDescent="0.2">
      <c r="A63" s="843" t="s">
        <v>42</v>
      </c>
      <c r="B63" s="556"/>
      <c r="C63" s="556"/>
      <c r="D63" s="556" t="s">
        <v>775</v>
      </c>
      <c r="E63" s="556"/>
      <c r="F63" s="556"/>
      <c r="G63" s="632" t="s">
        <v>73</v>
      </c>
      <c r="H63" s="632" t="s">
        <v>73</v>
      </c>
      <c r="I63" s="632" t="s">
        <v>73</v>
      </c>
      <c r="J63" s="632" t="s">
        <v>73</v>
      </c>
      <c r="K63" s="632" t="s">
        <v>73</v>
      </c>
      <c r="L63" s="632" t="s">
        <v>73</v>
      </c>
      <c r="M63" s="632" t="s">
        <v>73</v>
      </c>
      <c r="N63" s="632" t="s">
        <v>73</v>
      </c>
      <c r="O63" s="632" t="s">
        <v>73</v>
      </c>
      <c r="P63" s="632" t="s">
        <v>73</v>
      </c>
      <c r="Q63" s="632" t="s">
        <v>73</v>
      </c>
      <c r="R63" s="632" t="s">
        <v>73</v>
      </c>
      <c r="S63" s="632" t="s">
        <v>73</v>
      </c>
      <c r="T63" s="632" t="s">
        <v>73</v>
      </c>
      <c r="U63" s="632" t="s">
        <v>73</v>
      </c>
      <c r="V63" s="632" t="s">
        <v>73</v>
      </c>
      <c r="W63" s="632" t="s">
        <v>73</v>
      </c>
      <c r="X63" s="632" t="s">
        <v>73</v>
      </c>
      <c r="Y63" s="632" t="s">
        <v>73</v>
      </c>
      <c r="Z63" s="632" t="s">
        <v>73</v>
      </c>
      <c r="AA63" s="632" t="s">
        <v>73</v>
      </c>
      <c r="AB63" s="632" t="s">
        <v>73</v>
      </c>
      <c r="AC63" s="632" t="s">
        <v>73</v>
      </c>
      <c r="AD63" s="632" t="s">
        <v>73</v>
      </c>
      <c r="AE63" s="632" t="s">
        <v>73</v>
      </c>
      <c r="AF63" s="632" t="s">
        <v>73</v>
      </c>
    </row>
    <row r="64" spans="1:32" x14ac:dyDescent="0.25">
      <c r="A64" s="839"/>
      <c r="B64" s="552" t="s">
        <v>43</v>
      </c>
      <c r="C64" s="539"/>
      <c r="D64" s="539">
        <v>0.13453577995026955</v>
      </c>
      <c r="E64" s="539">
        <v>0.13340399698644156</v>
      </c>
      <c r="F64" s="539"/>
      <c r="G64" s="549">
        <v>1.1930903795424124E-3</v>
      </c>
      <c r="H64" s="549">
        <v>1.1317829638279981E-3</v>
      </c>
      <c r="I64" s="549">
        <v>1.0746986988012859E-3</v>
      </c>
      <c r="J64" s="549">
        <v>1.0215349571904219E-3</v>
      </c>
      <c r="K64" s="549">
        <v>9.7190827552094694E-4</v>
      </c>
      <c r="L64" s="549">
        <v>9.2566453183762112E-4</v>
      </c>
      <c r="M64" s="549">
        <v>8.8256677646692016E-4</v>
      </c>
      <c r="N64" s="549">
        <v>8.4236203275728629E-4</v>
      </c>
      <c r="O64" s="549">
        <v>8.0487156644592627E-4</v>
      </c>
      <c r="P64" s="549">
        <v>7.699301293557421E-4</v>
      </c>
      <c r="Q64" s="549">
        <v>7.373699594898015E-4</v>
      </c>
      <c r="R64" s="549">
        <v>7.0699770978117937E-4</v>
      </c>
      <c r="S64" s="549">
        <v>6.7872321026916102E-4</v>
      </c>
      <c r="T64" s="549">
        <v>6.5240563296981046E-4</v>
      </c>
      <c r="U64" s="549">
        <v>6.2791305244480969E-4</v>
      </c>
      <c r="V64" s="549">
        <v>6.0515191160029011E-4</v>
      </c>
      <c r="W64" s="549">
        <v>5.8398679817479838E-4</v>
      </c>
      <c r="X64" s="549">
        <v>5.6428644114336858E-4</v>
      </c>
      <c r="Y64" s="549">
        <v>5.4593836539297081E-4</v>
      </c>
      <c r="Z64" s="549">
        <v>5.2887527979567995E-4</v>
      </c>
      <c r="AA64" s="549">
        <v>5.1304635164572086E-4</v>
      </c>
      <c r="AB64" s="549">
        <v>4.9842286069082579E-4</v>
      </c>
      <c r="AC64" s="549">
        <v>4.8485539663191635E-4</v>
      </c>
      <c r="AD64" s="549">
        <v>4.722717847836091E-4</v>
      </c>
      <c r="AE64" s="549">
        <v>4.6060422519934836E-4</v>
      </c>
      <c r="AF64" s="549">
        <v>4.4978901282328044E-4</v>
      </c>
    </row>
    <row r="65" spans="1:32" x14ac:dyDescent="0.25">
      <c r="A65" s="839"/>
      <c r="B65" s="552" t="s">
        <v>44</v>
      </c>
      <c r="C65" s="539"/>
      <c r="D65" s="539">
        <v>1.6326946226173267</v>
      </c>
      <c r="E65" s="539">
        <v>1.6319196402912473</v>
      </c>
      <c r="F65" s="539"/>
      <c r="G65" s="549">
        <v>1.0646068561744549E-4</v>
      </c>
      <c r="H65" s="549">
        <v>7.7498232607946032E-4</v>
      </c>
      <c r="I65" s="549">
        <v>1.4223766831142567E-3</v>
      </c>
      <c r="J65" s="549">
        <v>2.0483055910119189E-3</v>
      </c>
      <c r="K65" s="549">
        <v>2.6467866765958639E-3</v>
      </c>
      <c r="L65" s="549">
        <v>3.2236793008553898E-3</v>
      </c>
      <c r="M65" s="549">
        <v>3.7792350492337843E-3</v>
      </c>
      <c r="N65" s="549">
        <v>4.3119116958514466E-3</v>
      </c>
      <c r="O65" s="549">
        <v>4.8235011018746173E-3</v>
      </c>
      <c r="P65" s="549">
        <v>5.3157760652743219E-3</v>
      </c>
      <c r="Q65" s="549">
        <v>5.7896447487735146E-3</v>
      </c>
      <c r="R65" s="549">
        <v>6.2439042106567982E-3</v>
      </c>
      <c r="S65" s="549">
        <v>6.6825140671221304E-3</v>
      </c>
      <c r="T65" s="549">
        <v>7.1060037286497357E-3</v>
      </c>
      <c r="U65" s="549">
        <v>7.514854724811575E-3</v>
      </c>
      <c r="V65" s="549">
        <v>7.9111916165200934E-3</v>
      </c>
      <c r="W65" s="549">
        <v>8.2943125297606658E-3</v>
      </c>
      <c r="X65" s="549">
        <v>8.6633026445213906E-3</v>
      </c>
      <c r="Y65" s="549">
        <v>9.0178865173036488E-3</v>
      </c>
      <c r="Z65" s="549">
        <v>9.3599373432561236E-3</v>
      </c>
      <c r="AA65" s="549">
        <v>9.6918902869076694E-3</v>
      </c>
      <c r="AB65" s="549">
        <v>1.0017083938530669E-2</v>
      </c>
      <c r="AC65" s="549">
        <v>1.0331764858771235E-2</v>
      </c>
      <c r="AD65" s="549">
        <v>1.0636219803645895E-2</v>
      </c>
      <c r="AE65" s="549">
        <v>1.0930705009643557E-2</v>
      </c>
      <c r="AF65" s="549">
        <v>1.1215448528442416E-2</v>
      </c>
    </row>
    <row r="66" spans="1:32" x14ac:dyDescent="0.25">
      <c r="A66" s="839"/>
      <c r="B66" s="552" t="s">
        <v>45</v>
      </c>
      <c r="C66" s="539"/>
      <c r="D66" s="539">
        <v>2.0335338052437715</v>
      </c>
      <c r="E66" s="539">
        <v>2.0285601914449156</v>
      </c>
      <c r="F66" s="539"/>
      <c r="G66" s="549">
        <v>5.2963367559136394E-3</v>
      </c>
      <c r="H66" s="549">
        <v>4.9736137988556917E-3</v>
      </c>
      <c r="I66" s="549">
        <v>4.6712506023985105E-3</v>
      </c>
      <c r="J66" s="549">
        <v>4.3879275881383087E-3</v>
      </c>
      <c r="K66" s="549">
        <v>4.1223901179662098E-3</v>
      </c>
      <c r="L66" s="549">
        <v>3.8735126294515E-3</v>
      </c>
      <c r="M66" s="549">
        <v>3.6402230195622799E-3</v>
      </c>
      <c r="N66" s="549">
        <v>3.4215127638331723E-3</v>
      </c>
      <c r="O66" s="549">
        <v>3.2164526646047916E-3</v>
      </c>
      <c r="P66" s="549">
        <v>3.0241749107762046E-3</v>
      </c>
      <c r="Q66" s="549">
        <v>2.8438655198178239E-3</v>
      </c>
      <c r="R66" s="549">
        <v>2.6747554667229147E-3</v>
      </c>
      <c r="S66" s="549">
        <v>2.5161462589491312E-3</v>
      </c>
      <c r="T66" s="549">
        <v>2.3673721124673665E-3</v>
      </c>
      <c r="U66" s="549">
        <v>2.2278104072045667E-3</v>
      </c>
      <c r="V66" s="549">
        <v>2.0968855677648427E-3</v>
      </c>
      <c r="W66" s="549">
        <v>1.9740484361885201E-3</v>
      </c>
      <c r="X66" s="549">
        <v>1.8587842451892648E-3</v>
      </c>
      <c r="Y66" s="549">
        <v>1.7506136959237074E-3</v>
      </c>
      <c r="Z66" s="549">
        <v>1.6490968290281752E-3</v>
      </c>
      <c r="AA66" s="549">
        <v>1.5538246272507057E-3</v>
      </c>
      <c r="AB66" s="549">
        <v>1.464418491867312E-3</v>
      </c>
      <c r="AC66" s="549">
        <v>1.3804964176310879E-3</v>
      </c>
      <c r="AD66" s="549">
        <v>1.3017160006910163E-3</v>
      </c>
      <c r="AE66" s="549">
        <v>1.2277565759639935E-3</v>
      </c>
      <c r="AF66" s="549">
        <v>1.1583177978659195E-3</v>
      </c>
    </row>
    <row r="67" spans="1:32" x14ac:dyDescent="0.25">
      <c r="A67" s="839"/>
      <c r="B67" s="552" t="s">
        <v>46</v>
      </c>
      <c r="C67" s="539"/>
      <c r="D67" s="539">
        <v>2.2688294894514509E-2</v>
      </c>
      <c r="E67" s="539">
        <v>2.2688294894514509E-2</v>
      </c>
      <c r="F67" s="539"/>
      <c r="G67" s="549">
        <v>0</v>
      </c>
      <c r="H67" s="549">
        <v>0</v>
      </c>
      <c r="I67" s="549">
        <v>0</v>
      </c>
      <c r="J67" s="549">
        <v>0</v>
      </c>
      <c r="K67" s="549">
        <v>0</v>
      </c>
      <c r="L67" s="549">
        <v>0</v>
      </c>
      <c r="M67" s="549">
        <v>0</v>
      </c>
      <c r="N67" s="549">
        <v>0</v>
      </c>
      <c r="O67" s="549">
        <v>0</v>
      </c>
      <c r="P67" s="549">
        <v>0</v>
      </c>
      <c r="Q67" s="549">
        <v>0</v>
      </c>
      <c r="R67" s="549">
        <v>0</v>
      </c>
      <c r="S67" s="549">
        <v>0</v>
      </c>
      <c r="T67" s="549">
        <v>0</v>
      </c>
      <c r="U67" s="549">
        <v>0</v>
      </c>
      <c r="V67" s="549">
        <v>0</v>
      </c>
      <c r="W67" s="549">
        <v>0</v>
      </c>
      <c r="X67" s="549">
        <v>0</v>
      </c>
      <c r="Y67" s="549">
        <v>0</v>
      </c>
      <c r="Z67" s="549">
        <v>0</v>
      </c>
      <c r="AA67" s="549">
        <v>0</v>
      </c>
      <c r="AB67" s="549">
        <v>0</v>
      </c>
      <c r="AC67" s="549">
        <v>0</v>
      </c>
      <c r="AD67" s="549">
        <v>0</v>
      </c>
      <c r="AE67" s="549">
        <v>0</v>
      </c>
      <c r="AF67" s="549">
        <v>0</v>
      </c>
    </row>
    <row r="68" spans="1:32" x14ac:dyDescent="0.25">
      <c r="A68" s="839"/>
      <c r="B68" s="550" t="s">
        <v>29</v>
      </c>
      <c r="C68" s="539"/>
      <c r="D68" s="539">
        <v>1.1909887724441239E-3</v>
      </c>
      <c r="E68" s="539">
        <v>1.1741131738148725E-3</v>
      </c>
      <c r="F68" s="539"/>
      <c r="G68" s="549">
        <v>0</v>
      </c>
      <c r="H68" s="549">
        <v>1.6875598629251289E-5</v>
      </c>
      <c r="I68" s="549">
        <v>3.2829608539190515E-5</v>
      </c>
      <c r="J68" s="549">
        <v>4.7894877025887297E-5</v>
      </c>
      <c r="K68" s="549">
        <v>6.1957733735791529E-5</v>
      </c>
      <c r="L68" s="549">
        <v>7.5206417853784463E-5</v>
      </c>
      <c r="M68" s="549">
        <v>8.7679882662813769E-5</v>
      </c>
      <c r="N68" s="549">
        <v>9.9368822366220641E-5</v>
      </c>
      <c r="O68" s="549">
        <v>1.1034740324699544E-4</v>
      </c>
      <c r="P68" s="549">
        <v>1.2068599942720702E-4</v>
      </c>
      <c r="Q68" s="549">
        <v>1.3042996148594283E-4</v>
      </c>
      <c r="R68" s="549">
        <v>1.3956871126121677E-4</v>
      </c>
      <c r="S68" s="549">
        <v>1.4822219649787059E-4</v>
      </c>
      <c r="T68" s="549">
        <v>1.5641917858531454E-4</v>
      </c>
      <c r="U68" s="549">
        <v>1.6418572995889082E-4</v>
      </c>
      <c r="V68" s="549">
        <v>1.7158836655308923E-4</v>
      </c>
      <c r="W68" s="549">
        <v>1.7861946375569282E-4</v>
      </c>
      <c r="X68" s="549">
        <v>1.8526570089897731E-4</v>
      </c>
      <c r="Y68" s="549">
        <v>1.9152988990845722E-4</v>
      </c>
      <c r="Z68" s="549">
        <v>1.9746893682910828E-4</v>
      </c>
      <c r="AA68" s="549">
        <v>2.0315214694811864E-4</v>
      </c>
      <c r="AB68" s="549">
        <v>2.0866967994319973E-4</v>
      </c>
      <c r="AC68" s="549">
        <v>2.1392887524595281E-4</v>
      </c>
      <c r="AD68" s="549">
        <v>2.1894207447506383E-4</v>
      </c>
      <c r="AE68" s="549">
        <v>2.237203136407862E-4</v>
      </c>
      <c r="AF68" s="549">
        <v>2.2827344233674823E-4</v>
      </c>
    </row>
    <row r="69" spans="1:32" x14ac:dyDescent="0.25">
      <c r="A69" s="839"/>
      <c r="B69" s="550"/>
      <c r="C69" s="539"/>
      <c r="D69" s="539"/>
      <c r="E69" s="539"/>
      <c r="F69" s="539"/>
      <c r="G69" s="549" t="s">
        <v>73</v>
      </c>
      <c r="H69" s="549" t="s">
        <v>73</v>
      </c>
      <c r="I69" s="549" t="s">
        <v>73</v>
      </c>
      <c r="J69" s="549" t="s">
        <v>73</v>
      </c>
      <c r="K69" s="549" t="s">
        <v>73</v>
      </c>
      <c r="L69" s="549" t="s">
        <v>73</v>
      </c>
      <c r="M69" s="549" t="s">
        <v>73</v>
      </c>
      <c r="N69" s="549" t="s">
        <v>73</v>
      </c>
      <c r="O69" s="549" t="s">
        <v>73</v>
      </c>
      <c r="P69" s="549" t="s">
        <v>73</v>
      </c>
      <c r="Q69" s="549" t="s">
        <v>73</v>
      </c>
      <c r="R69" s="549" t="s">
        <v>73</v>
      </c>
      <c r="S69" s="549" t="s">
        <v>73</v>
      </c>
      <c r="T69" s="549" t="s">
        <v>73</v>
      </c>
      <c r="U69" s="549" t="s">
        <v>73</v>
      </c>
      <c r="V69" s="549" t="s">
        <v>73</v>
      </c>
      <c r="W69" s="549" t="s">
        <v>73</v>
      </c>
      <c r="X69" s="549" t="s">
        <v>73</v>
      </c>
      <c r="Y69" s="549" t="s">
        <v>73</v>
      </c>
      <c r="Z69" s="549" t="s">
        <v>73</v>
      </c>
      <c r="AA69" s="549" t="s">
        <v>73</v>
      </c>
      <c r="AB69" s="549" t="s">
        <v>73</v>
      </c>
      <c r="AC69" s="549" t="s">
        <v>73</v>
      </c>
      <c r="AD69" s="549" t="s">
        <v>73</v>
      </c>
      <c r="AE69" s="549" t="s">
        <v>73</v>
      </c>
      <c r="AF69" s="549" t="s">
        <v>73</v>
      </c>
    </row>
    <row r="70" spans="1:32" s="202" customFormat="1" ht="12.75" x14ac:dyDescent="0.2">
      <c r="A70" s="843" t="s">
        <v>47</v>
      </c>
      <c r="B70" s="556"/>
      <c r="C70" s="556"/>
      <c r="D70" s="556"/>
      <c r="E70" s="556"/>
      <c r="F70" s="556"/>
      <c r="G70" s="632" t="s">
        <v>73</v>
      </c>
      <c r="H70" s="632" t="s">
        <v>73</v>
      </c>
      <c r="I70" s="632" t="s">
        <v>73</v>
      </c>
      <c r="J70" s="632" t="s">
        <v>73</v>
      </c>
      <c r="K70" s="632" t="s">
        <v>73</v>
      </c>
      <c r="L70" s="632" t="s">
        <v>73</v>
      </c>
      <c r="M70" s="632" t="s">
        <v>73</v>
      </c>
      <c r="N70" s="632" t="s">
        <v>73</v>
      </c>
      <c r="O70" s="632" t="s">
        <v>73</v>
      </c>
      <c r="P70" s="632" t="s">
        <v>73</v>
      </c>
      <c r="Q70" s="632" t="s">
        <v>73</v>
      </c>
      <c r="R70" s="632" t="s">
        <v>73</v>
      </c>
      <c r="S70" s="632" t="s">
        <v>73</v>
      </c>
      <c r="T70" s="632" t="s">
        <v>73</v>
      </c>
      <c r="U70" s="632" t="s">
        <v>73</v>
      </c>
      <c r="V70" s="632" t="s">
        <v>73</v>
      </c>
      <c r="W70" s="632" t="s">
        <v>73</v>
      </c>
      <c r="X70" s="632" t="s">
        <v>73</v>
      </c>
      <c r="Y70" s="632" t="s">
        <v>73</v>
      </c>
      <c r="Z70" s="632" t="s">
        <v>73</v>
      </c>
      <c r="AA70" s="632" t="s">
        <v>73</v>
      </c>
      <c r="AB70" s="632" t="s">
        <v>73</v>
      </c>
      <c r="AC70" s="632" t="s">
        <v>73</v>
      </c>
      <c r="AD70" s="632" t="s">
        <v>73</v>
      </c>
      <c r="AE70" s="632" t="s">
        <v>73</v>
      </c>
      <c r="AF70" s="632" t="s">
        <v>73</v>
      </c>
    </row>
    <row r="71" spans="1:32" x14ac:dyDescent="0.25">
      <c r="A71" s="839"/>
      <c r="B71" s="550" t="s">
        <v>48</v>
      </c>
      <c r="C71" s="539"/>
      <c r="D71" s="539"/>
      <c r="E71" s="539"/>
      <c r="F71" s="539"/>
      <c r="G71" s="549">
        <v>1.431115176063237</v>
      </c>
      <c r="H71" s="549">
        <v>1.4562350372423256</v>
      </c>
      <c r="I71" s="549">
        <v>1.4709356826092999</v>
      </c>
      <c r="J71" s="549">
        <v>1.4750536781483587</v>
      </c>
      <c r="K71" s="549">
        <v>1.4788401162991014</v>
      </c>
      <c r="L71" s="549">
        <v>1.4938061813339676</v>
      </c>
      <c r="M71" s="549">
        <v>1.5197936241497614</v>
      </c>
      <c r="N71" s="549">
        <v>1.5451700831248134</v>
      </c>
      <c r="O71" s="549">
        <v>1.5700198081485366</v>
      </c>
      <c r="P71" s="549">
        <v>1.5944349399930651</v>
      </c>
      <c r="Q71" s="549">
        <v>1.6183843166573135</v>
      </c>
      <c r="R71" s="549">
        <v>1.6415257906254654</v>
      </c>
      <c r="S71" s="549">
        <v>1.664321172857286</v>
      </c>
      <c r="T71" s="549">
        <v>1.6867119691321761</v>
      </c>
      <c r="U71" s="549">
        <v>1.7086429107637526</v>
      </c>
      <c r="V71" s="549">
        <v>1.730314018290807</v>
      </c>
      <c r="W71" s="549">
        <v>1.7515082118746634</v>
      </c>
      <c r="X71" s="549">
        <v>1.7719894126062854</v>
      </c>
      <c r="Y71" s="549">
        <v>1.7916278690686647</v>
      </c>
      <c r="Z71" s="549">
        <v>1.8106170994065378</v>
      </c>
      <c r="AA71" s="549">
        <v>1.8292335118408312</v>
      </c>
      <c r="AB71" s="549">
        <v>1.8478829693133998</v>
      </c>
      <c r="AC71" s="549">
        <v>1.8659478655238582</v>
      </c>
      <c r="AD71" s="549">
        <v>1.8834070938703191</v>
      </c>
      <c r="AE71" s="549">
        <v>1.9002400943152971</v>
      </c>
      <c r="AF71" s="549">
        <v>1.9164268934359845</v>
      </c>
    </row>
    <row r="72" spans="1:32" x14ac:dyDescent="0.25">
      <c r="A72" s="839"/>
      <c r="B72" s="552" t="s">
        <v>50</v>
      </c>
      <c r="C72" s="539"/>
      <c r="D72" s="539"/>
      <c r="E72" s="539"/>
      <c r="F72" s="539"/>
      <c r="G72" s="549">
        <v>0.17954016567386022</v>
      </c>
      <c r="H72" s="549">
        <v>0.18376921454168291</v>
      </c>
      <c r="I72" s="549">
        <v>0.18816931295839381</v>
      </c>
      <c r="J72" s="549">
        <v>0.19269076838314139</v>
      </c>
      <c r="K72" s="549">
        <v>0.19715960450520395</v>
      </c>
      <c r="L72" s="549">
        <v>0.20167199865223859</v>
      </c>
      <c r="M72" s="549">
        <v>0.20619974507402475</v>
      </c>
      <c r="N72" s="549">
        <v>0.21067665068432495</v>
      </c>
      <c r="O72" s="549">
        <v>0.2151137469196619</v>
      </c>
      <c r="P72" s="549">
        <v>0.21952344812366562</v>
      </c>
      <c r="Q72" s="549">
        <v>0.22390048092409368</v>
      </c>
      <c r="R72" s="549">
        <v>0.22819399666180024</v>
      </c>
      <c r="S72" s="549">
        <v>0.23247034500025915</v>
      </c>
      <c r="T72" s="549">
        <v>0.23672033677045554</v>
      </c>
      <c r="U72" s="549">
        <v>0.24093509617195324</v>
      </c>
      <c r="V72" s="549">
        <v>0.24514365037757582</v>
      </c>
      <c r="W72" s="549">
        <v>0.24931311132661682</v>
      </c>
      <c r="X72" s="549">
        <v>0.25340711950925071</v>
      </c>
      <c r="Y72" s="549">
        <v>0.25740472625624694</v>
      </c>
      <c r="Z72" s="549">
        <v>0.26133372137724009</v>
      </c>
      <c r="AA72" s="549">
        <v>0.26523508423783992</v>
      </c>
      <c r="AB72" s="549">
        <v>0.26917041180021611</v>
      </c>
      <c r="AC72" s="549">
        <v>0.27304482146472031</v>
      </c>
      <c r="AD72" s="549">
        <v>0.27685397480440038</v>
      </c>
      <c r="AE72" s="549">
        <v>0.2805935557949723</v>
      </c>
      <c r="AF72" s="549">
        <v>0.28425927879933599</v>
      </c>
    </row>
    <row r="73" spans="1:32" x14ac:dyDescent="0.25">
      <c r="A73" s="839"/>
      <c r="B73" s="550" t="s">
        <v>51</v>
      </c>
      <c r="C73" s="539"/>
      <c r="D73" s="539"/>
      <c r="E73" s="539"/>
      <c r="F73" s="539"/>
      <c r="G73" s="549">
        <v>5.2331726209826575E-2</v>
      </c>
      <c r="H73" s="549">
        <v>5.360175108590691E-2</v>
      </c>
      <c r="I73" s="549">
        <v>5.4923604362717919E-2</v>
      </c>
      <c r="J73" s="549">
        <v>5.6282764539430478E-2</v>
      </c>
      <c r="K73" s="549">
        <v>5.7628070416776714E-2</v>
      </c>
      <c r="L73" s="549">
        <v>5.8987827506013543E-2</v>
      </c>
      <c r="M73" s="549">
        <v>6.0353741325105757E-2</v>
      </c>
      <c r="N73" s="549">
        <v>6.1706284820676138E-2</v>
      </c>
      <c r="O73" s="549">
        <v>6.3048681382845445E-2</v>
      </c>
      <c r="P73" s="549">
        <v>6.4384572401833831E-2</v>
      </c>
      <c r="Q73" s="549">
        <v>6.571237945827535E-2</v>
      </c>
      <c r="R73" s="549">
        <v>6.701703499174709E-2</v>
      </c>
      <c r="S73" s="549">
        <v>6.831813261186033E-2</v>
      </c>
      <c r="T73" s="549">
        <v>6.9612937615609258E-2</v>
      </c>
      <c r="U73" s="549">
        <v>7.0898801227966504E-2</v>
      </c>
      <c r="V73" s="549">
        <v>7.2184312758770755E-2</v>
      </c>
      <c r="W73" s="549">
        <v>7.3459703701762427E-2</v>
      </c>
      <c r="X73" s="549">
        <v>7.4714149096794122E-2</v>
      </c>
      <c r="Y73" s="549">
        <v>7.5941377259684181E-2</v>
      </c>
      <c r="Z73" s="549">
        <v>7.714959780661293E-2</v>
      </c>
      <c r="AA73" s="549">
        <v>7.8350967500737445E-2</v>
      </c>
      <c r="AB73" s="549">
        <v>7.9563814603789654E-2</v>
      </c>
      <c r="AC73" s="549">
        <v>8.075988192355936E-2</v>
      </c>
      <c r="AD73" s="549">
        <v>8.1937840754141442E-2</v>
      </c>
      <c r="AE73" s="549">
        <v>8.3096366097833108E-2</v>
      </c>
      <c r="AF73" s="549">
        <v>8.423413909091404E-2</v>
      </c>
    </row>
    <row r="74" spans="1:32" x14ac:dyDescent="0.25">
      <c r="A74" s="839"/>
      <c r="B74" s="550" t="s">
        <v>52</v>
      </c>
      <c r="C74" s="539"/>
      <c r="D74" s="539"/>
      <c r="E74" s="539"/>
      <c r="F74" s="539"/>
      <c r="G74" s="549">
        <v>7.1788280105141641E-2</v>
      </c>
      <c r="H74" s="549">
        <v>7.35060907386937E-2</v>
      </c>
      <c r="I74" s="549">
        <v>7.5293861795182979E-2</v>
      </c>
      <c r="J74" s="549">
        <v>7.713171239654644E-2</v>
      </c>
      <c r="K74" s="549">
        <v>7.8949805494666445E-2</v>
      </c>
      <c r="L74" s="549">
        <v>8.0786761624885906E-2</v>
      </c>
      <c r="M74" s="549">
        <v>8.2631256751605459E-2</v>
      </c>
      <c r="N74" s="549">
        <v>8.4456671699687777E-2</v>
      </c>
      <c r="O74" s="549">
        <v>8.6267417229177024E-2</v>
      </c>
      <c r="P74" s="549">
        <v>8.8068468033935407E-2</v>
      </c>
      <c r="Q74" s="549">
        <v>8.9857684806022131E-2</v>
      </c>
      <c r="R74" s="549">
        <v>9.1614567048164883E-2</v>
      </c>
      <c r="S74" s="549">
        <v>9.3365810434304794E-2</v>
      </c>
      <c r="T74" s="549">
        <v>9.5107700285049918E-2</v>
      </c>
      <c r="U74" s="549">
        <v>9.6836642911264065E-2</v>
      </c>
      <c r="V74" s="549">
        <v>9.8564330593181149E-2</v>
      </c>
      <c r="W74" s="549">
        <v>0.10027748557615146</v>
      </c>
      <c r="X74" s="549">
        <v>0.10196140877570102</v>
      </c>
      <c r="Y74" s="549">
        <v>0.10360760358058889</v>
      </c>
      <c r="Z74" s="549">
        <v>0.10522725327297774</v>
      </c>
      <c r="AA74" s="549">
        <v>0.10683688915879556</v>
      </c>
      <c r="AB74" s="549">
        <v>0.10846140375530314</v>
      </c>
      <c r="AC74" s="549">
        <v>0.11006243206075475</v>
      </c>
      <c r="AD74" s="549">
        <v>0.11163819031468931</v>
      </c>
      <c r="AE74" s="549">
        <v>0.11318690140652091</v>
      </c>
      <c r="AF74" s="549">
        <v>0.1147067981326871</v>
      </c>
    </row>
    <row r="75" spans="1:32" x14ac:dyDescent="0.25">
      <c r="A75" s="839"/>
      <c r="B75" s="552" t="s">
        <v>29</v>
      </c>
      <c r="C75" s="539"/>
      <c r="D75" s="539"/>
      <c r="E75" s="539"/>
      <c r="F75" s="539"/>
      <c r="G75" s="549">
        <v>2.3202253205165699E-3</v>
      </c>
      <c r="H75" s="549">
        <v>5.5948587137430745E-3</v>
      </c>
      <c r="I75" s="549">
        <v>8.8850412585606206E-3</v>
      </c>
      <c r="J75" s="549">
        <v>1.2188454289412268E-2</v>
      </c>
      <c r="K75" s="549">
        <v>1.5470835468899612E-2</v>
      </c>
      <c r="L75" s="549">
        <v>1.8872873852968448E-2</v>
      </c>
      <c r="M75" s="549">
        <v>2.2388160908367233E-2</v>
      </c>
      <c r="N75" s="549">
        <v>2.5998075831201131E-2</v>
      </c>
      <c r="O75" s="549">
        <v>2.9702844026259435E-2</v>
      </c>
      <c r="P75" s="549">
        <v>3.350379818302858E-2</v>
      </c>
      <c r="Q75" s="549">
        <v>3.7397337168251485E-2</v>
      </c>
      <c r="R75" s="549">
        <v>4.1364348789328396E-2</v>
      </c>
      <c r="S75" s="549">
        <v>4.5423810096469265E-2</v>
      </c>
      <c r="T75" s="549">
        <v>4.9571026235652627E-2</v>
      </c>
      <c r="U75" s="549">
        <v>5.3800948711494698E-2</v>
      </c>
      <c r="V75" s="549">
        <v>5.812282245784859E-2</v>
      </c>
      <c r="W75" s="549">
        <v>6.2522565607915415E-2</v>
      </c>
      <c r="X75" s="549">
        <v>6.6982937645250082E-2</v>
      </c>
      <c r="Y75" s="549">
        <v>7.1491436701976246E-2</v>
      </c>
      <c r="Z75" s="549">
        <v>7.6056042194547216E-2</v>
      </c>
      <c r="AA75" s="549">
        <v>8.0692209749401569E-2</v>
      </c>
      <c r="AB75" s="549">
        <v>8.542714294753348E-2</v>
      </c>
      <c r="AC75" s="549">
        <v>9.0216161845107404E-2</v>
      </c>
      <c r="AD75" s="549">
        <v>9.5054357550698493E-2</v>
      </c>
      <c r="AE75" s="549">
        <v>9.9936654139806846E-2</v>
      </c>
      <c r="AF75" s="549">
        <v>0.10485781698692892</v>
      </c>
    </row>
    <row r="76" spans="1:32" x14ac:dyDescent="0.25">
      <c r="A76" s="839"/>
      <c r="B76" s="552" t="s">
        <v>53</v>
      </c>
      <c r="C76" s="539"/>
      <c r="D76" s="539"/>
      <c r="E76" s="539"/>
      <c r="F76" s="539"/>
      <c r="G76" s="549">
        <v>2.3171767302196575E-3</v>
      </c>
      <c r="H76" s="549">
        <v>2.3732863252862993E-3</v>
      </c>
      <c r="I76" s="549">
        <v>2.4316839223871129E-3</v>
      </c>
      <c r="J76" s="549">
        <v>2.4917267856568314E-3</v>
      </c>
      <c r="K76" s="549">
        <v>2.5511515466193372E-3</v>
      </c>
      <c r="L76" s="549">
        <v>2.6112103670585343E-3</v>
      </c>
      <c r="M76" s="549">
        <v>2.6715363014704835E-3</v>
      </c>
      <c r="N76" s="549">
        <v>2.7312656819785479E-3</v>
      </c>
      <c r="O76" s="549">
        <v>2.7905411818242788E-3</v>
      </c>
      <c r="P76" s="549">
        <v>2.8495239282507541E-3</v>
      </c>
      <c r="Q76" s="549">
        <v>2.9081441854731495E-3</v>
      </c>
      <c r="R76" s="549">
        <v>2.9657357480896312E-3</v>
      </c>
      <c r="S76" s="549">
        <v>3.0231651621502489E-3</v>
      </c>
      <c r="T76" s="549">
        <v>3.0803115528803731E-3</v>
      </c>
      <c r="U76" s="549">
        <v>3.1370578672965193E-3</v>
      </c>
      <c r="V76" s="549">
        <v>3.1937839182958048E-3</v>
      </c>
      <c r="W76" s="549">
        <v>3.2500578705256973E-3</v>
      </c>
      <c r="X76" s="549">
        <v>3.3054012685555696E-3</v>
      </c>
      <c r="Y76" s="549">
        <v>3.3595370212716616E-3</v>
      </c>
      <c r="Z76" s="549">
        <v>3.4128281947095477E-3</v>
      </c>
      <c r="AA76" s="549">
        <v>3.465812249790447E-3</v>
      </c>
      <c r="AB76" s="549">
        <v>3.5192993159130922E-3</v>
      </c>
      <c r="AC76" s="549">
        <v>3.5720404721700147E-3</v>
      </c>
      <c r="AD76" s="549">
        <v>3.6239771093755104E-3</v>
      </c>
      <c r="AE76" s="549">
        <v>3.6750507914926405E-3</v>
      </c>
      <c r="AF76" s="549">
        <v>3.7252033626718967E-3</v>
      </c>
    </row>
    <row r="77" spans="1:32" x14ac:dyDescent="0.25">
      <c r="A77" s="838"/>
      <c r="B77" s="539"/>
      <c r="C77" s="539"/>
      <c r="D77" s="539"/>
      <c r="E77" s="539"/>
      <c r="F77" s="539"/>
      <c r="G77" s="539"/>
      <c r="H77" s="539"/>
      <c r="I77" s="539"/>
      <c r="J77" s="539"/>
      <c r="K77" s="539"/>
      <c r="L77" s="539"/>
      <c r="M77" s="539"/>
      <c r="N77" s="539"/>
      <c r="O77" s="539"/>
      <c r="P77" s="539"/>
      <c r="Q77" s="539"/>
      <c r="R77" s="539"/>
      <c r="S77" s="539"/>
      <c r="T77" s="539"/>
      <c r="U77" s="539"/>
      <c r="V77" s="539"/>
      <c r="W77" s="539"/>
      <c r="X77" s="539"/>
      <c r="Y77" s="539"/>
      <c r="Z77" s="539"/>
      <c r="AA77" s="539"/>
      <c r="AB77" s="539"/>
      <c r="AC77" s="539"/>
      <c r="AD77" s="539"/>
      <c r="AE77" s="539"/>
      <c r="AF77" s="539"/>
    </row>
    <row r="78" spans="1:32" x14ac:dyDescent="0.25">
      <c r="A78" s="838"/>
      <c r="B78" s="539"/>
      <c r="C78" s="539"/>
      <c r="D78" s="539"/>
      <c r="E78" s="539"/>
      <c r="F78" s="539"/>
      <c r="G78" s="539"/>
      <c r="H78" s="539"/>
      <c r="I78" s="539"/>
      <c r="J78" s="539"/>
      <c r="K78" s="539"/>
      <c r="L78" s="539"/>
      <c r="M78" s="539"/>
      <c r="N78" s="539"/>
      <c r="O78" s="539"/>
      <c r="P78" s="539"/>
      <c r="Q78" s="539"/>
      <c r="R78" s="539"/>
      <c r="S78" s="539"/>
      <c r="T78" s="539"/>
      <c r="U78" s="539"/>
      <c r="V78" s="539"/>
      <c r="W78" s="539"/>
      <c r="X78" s="539"/>
      <c r="Y78" s="539"/>
      <c r="Z78" s="539"/>
      <c r="AA78" s="539"/>
      <c r="AB78" s="539"/>
      <c r="AC78" s="539"/>
      <c r="AD78" s="539"/>
      <c r="AE78" s="539"/>
      <c r="AF78" s="539"/>
    </row>
    <row r="79" spans="1:32" s="539" customFormat="1" x14ac:dyDescent="0.25">
      <c r="A79" s="860" t="s">
        <v>528</v>
      </c>
      <c r="B79" s="555"/>
      <c r="C79" s="554"/>
      <c r="D79" s="553"/>
      <c r="E79" s="553"/>
      <c r="F79" s="553"/>
      <c r="G79" s="553" t="s">
        <v>702</v>
      </c>
      <c r="H79" s="560"/>
      <c r="I79" s="560"/>
      <c r="J79" s="560"/>
      <c r="K79" s="560"/>
      <c r="L79" s="560"/>
      <c r="M79" s="560"/>
      <c r="N79" s="560"/>
      <c r="O79" s="560"/>
      <c r="P79" s="560"/>
      <c r="Q79" s="560"/>
      <c r="R79" s="560"/>
      <c r="S79" s="560"/>
      <c r="T79" s="560"/>
      <c r="U79" s="560"/>
      <c r="V79" s="560"/>
      <c r="W79" s="560"/>
      <c r="X79" s="560"/>
      <c r="Y79" s="560"/>
      <c r="Z79" s="560"/>
      <c r="AA79" s="560"/>
      <c r="AB79" s="560"/>
      <c r="AC79" s="560"/>
      <c r="AD79" s="560"/>
      <c r="AE79" s="560"/>
      <c r="AF79" s="560"/>
    </row>
    <row r="80" spans="1:32" s="539" customFormat="1" x14ac:dyDescent="0.25">
      <c r="A80" s="840" t="s">
        <v>12</v>
      </c>
      <c r="B80" s="550"/>
    </row>
    <row r="81" spans="1:32" s="539" customFormat="1" x14ac:dyDescent="0.25">
      <c r="A81" s="839"/>
      <c r="B81" s="550" t="s">
        <v>20</v>
      </c>
    </row>
    <row r="82" spans="1:32" s="202" customFormat="1" ht="12.75" x14ac:dyDescent="0.2">
      <c r="A82" s="843" t="s">
        <v>21</v>
      </c>
      <c r="B82" s="556"/>
      <c r="C82" s="556"/>
      <c r="D82" s="556"/>
      <c r="E82" s="556"/>
      <c r="F82" s="556"/>
      <c r="G82" s="556"/>
      <c r="H82" s="556"/>
      <c r="I82" s="556"/>
      <c r="J82" s="556"/>
      <c r="K82" s="556"/>
      <c r="L82" s="556"/>
      <c r="M82" s="556"/>
      <c r="N82" s="556"/>
      <c r="O82" s="556"/>
      <c r="P82" s="556"/>
      <c r="Q82" s="556"/>
      <c r="R82" s="556"/>
      <c r="S82" s="556"/>
      <c r="T82" s="556"/>
      <c r="U82" s="556"/>
      <c r="V82" s="556"/>
      <c r="W82" s="556"/>
      <c r="X82" s="556"/>
      <c r="Y82" s="556"/>
      <c r="Z82" s="556"/>
      <c r="AA82" s="556"/>
      <c r="AB82" s="556"/>
      <c r="AC82" s="556"/>
      <c r="AD82" s="556"/>
      <c r="AE82" s="556"/>
      <c r="AF82" s="556"/>
    </row>
    <row r="83" spans="1:32" x14ac:dyDescent="0.25">
      <c r="A83" s="839"/>
      <c r="B83" s="550" t="s">
        <v>22</v>
      </c>
      <c r="C83" s="539"/>
      <c r="D83" s="539"/>
      <c r="E83" s="539"/>
      <c r="F83" s="539"/>
      <c r="G83" s="540">
        <v>453.49628524651371</v>
      </c>
      <c r="H83" s="540">
        <v>421.89018106540715</v>
      </c>
      <c r="I83" s="540">
        <v>380.31420629492447</v>
      </c>
      <c r="J83" s="540">
        <v>304.30498364568729</v>
      </c>
      <c r="K83" s="540">
        <v>233.28588269580223</v>
      </c>
      <c r="L83" s="540">
        <v>170.27518603530973</v>
      </c>
      <c r="M83" s="540">
        <v>105.50787937002782</v>
      </c>
      <c r="N83" s="540">
        <v>71.861121313849878</v>
      </c>
      <c r="O83" s="540">
        <v>54.22111295261567</v>
      </c>
      <c r="P83" s="540">
        <v>44.910817724554462</v>
      </c>
      <c r="Q83" s="540">
        <v>39.998418639381953</v>
      </c>
      <c r="R83" s="540">
        <v>37.442575394299922</v>
      </c>
      <c r="S83" s="540">
        <v>36.187750211190178</v>
      </c>
      <c r="T83" s="540">
        <v>35.666062784463278</v>
      </c>
      <c r="U83" s="540">
        <v>35.567590953120522</v>
      </c>
      <c r="V83" s="540">
        <v>35.724978527794093</v>
      </c>
      <c r="W83" s="540">
        <v>36.034993829611032</v>
      </c>
      <c r="X83" s="540">
        <v>36.433179663072544</v>
      </c>
      <c r="Y83" s="540">
        <v>36.880161930790173</v>
      </c>
      <c r="Z83" s="540">
        <v>37.358223658289631</v>
      </c>
      <c r="AA83" s="540">
        <v>37.860928167428128</v>
      </c>
      <c r="AB83" s="540">
        <v>38.390540301831528</v>
      </c>
      <c r="AC83" s="540">
        <v>38.92696821919796</v>
      </c>
      <c r="AD83" s="540">
        <v>39.463616585790824</v>
      </c>
      <c r="AE83" s="540">
        <v>39.996342189999488</v>
      </c>
      <c r="AF83" s="540">
        <v>40.5223876305609</v>
      </c>
    </row>
    <row r="84" spans="1:32" x14ac:dyDescent="0.25">
      <c r="A84" s="839"/>
      <c r="B84" s="550" t="s">
        <v>26</v>
      </c>
      <c r="C84" s="539"/>
      <c r="D84" s="539"/>
      <c r="E84" s="539"/>
      <c r="F84" s="539"/>
      <c r="G84" s="540">
        <v>6.7378435292883054</v>
      </c>
      <c r="H84" s="540">
        <v>6.5224016846776633</v>
      </c>
      <c r="I84" s="540">
        <v>15.912635024335987</v>
      </c>
      <c r="J84" s="540">
        <v>45.861313330326297</v>
      </c>
      <c r="K84" s="540">
        <v>77.586775606711058</v>
      </c>
      <c r="L84" s="540">
        <v>99.420875028469638</v>
      </c>
      <c r="M84" s="540">
        <v>117.57731110927666</v>
      </c>
      <c r="N84" s="540">
        <v>122.15318608480194</v>
      </c>
      <c r="O84" s="540">
        <v>121.60780170261881</v>
      </c>
      <c r="P84" s="540">
        <v>119.66374876138585</v>
      </c>
      <c r="Q84" s="540">
        <v>117.81532012117641</v>
      </c>
      <c r="R84" s="540">
        <v>116.51732685096536</v>
      </c>
      <c r="S84" s="540">
        <v>115.92976538397181</v>
      </c>
      <c r="T84" s="540">
        <v>115.96080008950703</v>
      </c>
      <c r="U84" s="540">
        <v>116.47889569228526</v>
      </c>
      <c r="V84" s="540">
        <v>117.39624237685615</v>
      </c>
      <c r="W84" s="540">
        <v>118.57543233106031</v>
      </c>
      <c r="X84" s="540">
        <v>119.90501695795601</v>
      </c>
      <c r="Y84" s="540">
        <v>121.31415328273573</v>
      </c>
      <c r="Z84" s="540">
        <v>122.79791864338679</v>
      </c>
      <c r="AA84" s="540">
        <v>124.36810911303937</v>
      </c>
      <c r="AB84" s="540">
        <v>126.05836381220486</v>
      </c>
      <c r="AC84" s="540">
        <v>127.73995558488865</v>
      </c>
      <c r="AD84" s="540">
        <v>129.40485738015616</v>
      </c>
      <c r="AE84" s="540">
        <v>131.04635829921355</v>
      </c>
      <c r="AF84" s="540">
        <v>132.65892752129443</v>
      </c>
    </row>
    <row r="85" spans="1:32" x14ac:dyDescent="0.25">
      <c r="A85" s="839"/>
      <c r="B85" s="550" t="s">
        <v>27</v>
      </c>
      <c r="C85" s="539"/>
      <c r="D85" s="539"/>
      <c r="E85" s="539"/>
      <c r="F85" s="539"/>
      <c r="G85" s="540">
        <v>76.667344813599854</v>
      </c>
      <c r="H85" s="540">
        <v>89.057976263472312</v>
      </c>
      <c r="I85" s="540">
        <v>101.34838868919334</v>
      </c>
      <c r="J85" s="540">
        <v>116.34756114162045</v>
      </c>
      <c r="K85" s="540">
        <v>129.58359938935575</v>
      </c>
      <c r="L85" s="540">
        <v>143.72523419261444</v>
      </c>
      <c r="M85" s="540">
        <v>159.36038933565334</v>
      </c>
      <c r="N85" s="540">
        <v>171.22016368643881</v>
      </c>
      <c r="O85" s="540">
        <v>180.6006328082683</v>
      </c>
      <c r="P85" s="540">
        <v>188.32991568286309</v>
      </c>
      <c r="Q85" s="540">
        <v>194.93625217539687</v>
      </c>
      <c r="R85" s="540">
        <v>200.73285950716468</v>
      </c>
      <c r="S85" s="540">
        <v>206.0025264224368</v>
      </c>
      <c r="T85" s="540">
        <v>210.89943865989309</v>
      </c>
      <c r="U85" s="540">
        <v>215.52653340211305</v>
      </c>
      <c r="V85" s="540">
        <v>219.98060991991159</v>
      </c>
      <c r="W85" s="540">
        <v>224.290033136734</v>
      </c>
      <c r="X85" s="540">
        <v>228.46248077618696</v>
      </c>
      <c r="Y85" s="540">
        <v>232.5045866165207</v>
      </c>
      <c r="Z85" s="540">
        <v>236.45186853299055</v>
      </c>
      <c r="AA85" s="540">
        <v>240.34682306228348</v>
      </c>
      <c r="AB85" s="540">
        <v>244.24625036609285</v>
      </c>
      <c r="AC85" s="540">
        <v>248.08827314001093</v>
      </c>
      <c r="AD85" s="540">
        <v>251.87182168647561</v>
      </c>
      <c r="AE85" s="540">
        <v>255.5948659328385</v>
      </c>
      <c r="AF85" s="540">
        <v>259.25472231855275</v>
      </c>
    </row>
    <row r="86" spans="1:32" x14ac:dyDescent="0.25">
      <c r="A86" s="839"/>
      <c r="B86" s="550" t="s">
        <v>29</v>
      </c>
      <c r="C86" s="539"/>
      <c r="D86" s="539"/>
      <c r="E86" s="539"/>
      <c r="F86" s="539"/>
      <c r="G86" s="540">
        <v>0</v>
      </c>
      <c r="H86" s="540">
        <v>3.698908561585864E-2</v>
      </c>
      <c r="I86" s="540">
        <v>7.3397262239781019E-2</v>
      </c>
      <c r="J86" s="540">
        <v>9.9067590927101046E-2</v>
      </c>
      <c r="K86" s="540">
        <v>0.12287725195651394</v>
      </c>
      <c r="L86" s="540">
        <v>0.14737644515169898</v>
      </c>
      <c r="M86" s="540">
        <v>0.1727550335604042</v>
      </c>
      <c r="N86" s="540">
        <v>0.19670811723429266</v>
      </c>
      <c r="O86" s="540">
        <v>0.21936444774282435</v>
      </c>
      <c r="P86" s="540">
        <v>0.24084804980649749</v>
      </c>
      <c r="Q86" s="540">
        <v>0.26123109457673632</v>
      </c>
      <c r="R86" s="540">
        <v>0.28046555941452173</v>
      </c>
      <c r="S86" s="540">
        <v>0.29879372863193804</v>
      </c>
      <c r="T86" s="540">
        <v>0.31625924741243255</v>
      </c>
      <c r="U86" s="540">
        <v>0.3329020212819625</v>
      </c>
      <c r="V86" s="540">
        <v>0.34885299774488115</v>
      </c>
      <c r="W86" s="540">
        <v>0.36408148488938091</v>
      </c>
      <c r="X86" s="540">
        <v>0.37854587792239397</v>
      </c>
      <c r="Y86" s="540">
        <v>0.39224157901005618</v>
      </c>
      <c r="Z86" s="540">
        <v>0.40528443489476745</v>
      </c>
      <c r="AA86" s="540">
        <v>0.41781866865479245</v>
      </c>
      <c r="AB86" s="540">
        <v>0.43003537099053352</v>
      </c>
      <c r="AC86" s="540">
        <v>0.44172369523532395</v>
      </c>
      <c r="AD86" s="540">
        <v>0.45290503440309898</v>
      </c>
      <c r="AE86" s="540">
        <v>0.46359862168512334</v>
      </c>
      <c r="AF86" s="540">
        <v>0.47382171414599378</v>
      </c>
    </row>
    <row r="87" spans="1:32" x14ac:dyDescent="0.25">
      <c r="A87" s="839"/>
      <c r="B87" s="550"/>
      <c r="C87" s="539"/>
      <c r="D87" s="539"/>
      <c r="E87" s="539"/>
      <c r="F87" s="539"/>
      <c r="G87" s="540" t="s">
        <v>73</v>
      </c>
      <c r="H87" s="540" t="s">
        <v>73</v>
      </c>
      <c r="I87" s="540" t="s">
        <v>73</v>
      </c>
      <c r="J87" s="540" t="s">
        <v>73</v>
      </c>
      <c r="K87" s="540" t="s">
        <v>73</v>
      </c>
      <c r="L87" s="540" t="s">
        <v>73</v>
      </c>
      <c r="M87" s="540" t="s">
        <v>73</v>
      </c>
      <c r="N87" s="540" t="s">
        <v>73</v>
      </c>
      <c r="O87" s="540" t="s">
        <v>73</v>
      </c>
      <c r="P87" s="540" t="s">
        <v>73</v>
      </c>
      <c r="Q87" s="540" t="s">
        <v>73</v>
      </c>
      <c r="R87" s="540" t="s">
        <v>73</v>
      </c>
      <c r="S87" s="540" t="s">
        <v>73</v>
      </c>
      <c r="T87" s="540" t="s">
        <v>73</v>
      </c>
      <c r="U87" s="540" t="s">
        <v>73</v>
      </c>
      <c r="V87" s="540" t="s">
        <v>73</v>
      </c>
      <c r="W87" s="540" t="s">
        <v>73</v>
      </c>
      <c r="X87" s="540" t="s">
        <v>73</v>
      </c>
      <c r="Y87" s="540" t="s">
        <v>73</v>
      </c>
      <c r="Z87" s="540" t="s">
        <v>73</v>
      </c>
      <c r="AA87" s="540" t="s">
        <v>73</v>
      </c>
      <c r="AB87" s="540" t="s">
        <v>73</v>
      </c>
      <c r="AC87" s="540" t="s">
        <v>73</v>
      </c>
      <c r="AD87" s="540" t="s">
        <v>73</v>
      </c>
      <c r="AE87" s="540" t="s">
        <v>73</v>
      </c>
      <c r="AF87" s="540" t="s">
        <v>73</v>
      </c>
    </row>
    <row r="88" spans="1:32" s="202" customFormat="1" ht="12.75" x14ac:dyDescent="0.2">
      <c r="A88" s="843" t="s">
        <v>32</v>
      </c>
      <c r="B88" s="556"/>
      <c r="C88" s="556"/>
      <c r="D88" s="556"/>
      <c r="E88" s="556"/>
      <c r="F88" s="556"/>
      <c r="G88" s="547" t="s">
        <v>73</v>
      </c>
      <c r="H88" s="547" t="s">
        <v>73</v>
      </c>
      <c r="I88" s="547" t="s">
        <v>73</v>
      </c>
      <c r="J88" s="547" t="s">
        <v>73</v>
      </c>
      <c r="K88" s="547" t="s">
        <v>73</v>
      </c>
      <c r="L88" s="547" t="s">
        <v>73</v>
      </c>
      <c r="M88" s="547" t="s">
        <v>73</v>
      </c>
      <c r="N88" s="547" t="s">
        <v>73</v>
      </c>
      <c r="O88" s="547" t="s">
        <v>73</v>
      </c>
      <c r="P88" s="547" t="s">
        <v>73</v>
      </c>
      <c r="Q88" s="547" t="s">
        <v>73</v>
      </c>
      <c r="R88" s="547" t="s">
        <v>73</v>
      </c>
      <c r="S88" s="547" t="s">
        <v>73</v>
      </c>
      <c r="T88" s="547" t="s">
        <v>73</v>
      </c>
      <c r="U88" s="547" t="s">
        <v>73</v>
      </c>
      <c r="V88" s="547" t="s">
        <v>73</v>
      </c>
      <c r="W88" s="547" t="s">
        <v>73</v>
      </c>
      <c r="X88" s="547" t="s">
        <v>73</v>
      </c>
      <c r="Y88" s="547" t="s">
        <v>73</v>
      </c>
      <c r="Z88" s="547" t="s">
        <v>73</v>
      </c>
      <c r="AA88" s="547" t="s">
        <v>73</v>
      </c>
      <c r="AB88" s="547" t="s">
        <v>73</v>
      </c>
      <c r="AC88" s="547" t="s">
        <v>73</v>
      </c>
      <c r="AD88" s="547" t="s">
        <v>73</v>
      </c>
      <c r="AE88" s="547" t="s">
        <v>73</v>
      </c>
      <c r="AF88" s="547" t="s">
        <v>73</v>
      </c>
    </row>
    <row r="89" spans="1:32" x14ac:dyDescent="0.25">
      <c r="A89" s="839"/>
      <c r="B89" s="550" t="s">
        <v>33</v>
      </c>
      <c r="C89" s="539"/>
      <c r="D89" s="539"/>
      <c r="E89" s="539"/>
      <c r="F89" s="539"/>
      <c r="G89" s="540">
        <v>102.60955601118884</v>
      </c>
      <c r="H89" s="540">
        <v>90.520017707511826</v>
      </c>
      <c r="I89" s="540">
        <v>83.315637069627272</v>
      </c>
      <c r="J89" s="540">
        <v>79.849978842270502</v>
      </c>
      <c r="K89" s="540">
        <v>79.238543498764372</v>
      </c>
      <c r="L89" s="540">
        <v>79.245218227510691</v>
      </c>
      <c r="M89" s="540">
        <v>79.700987570252863</v>
      </c>
      <c r="N89" s="540">
        <v>80.468743455825191</v>
      </c>
      <c r="O89" s="540">
        <v>81.464753688133257</v>
      </c>
      <c r="P89" s="540">
        <v>82.629657154355158</v>
      </c>
      <c r="Q89" s="540">
        <v>83.916194443213882</v>
      </c>
      <c r="R89" s="540">
        <v>85.275610564104497</v>
      </c>
      <c r="S89" s="540">
        <v>86.701933827126339</v>
      </c>
      <c r="T89" s="540">
        <v>88.175118952026367</v>
      </c>
      <c r="U89" s="540">
        <v>89.679498291800158</v>
      </c>
      <c r="V89" s="540">
        <v>91.213938498562243</v>
      </c>
      <c r="W89" s="540">
        <v>92.761943199252727</v>
      </c>
      <c r="X89" s="540">
        <v>94.306751751786578</v>
      </c>
      <c r="Y89" s="540">
        <v>95.836751117566862</v>
      </c>
      <c r="Z89" s="540">
        <v>97.355826984940506</v>
      </c>
      <c r="AA89" s="540">
        <v>98.8737006104366</v>
      </c>
      <c r="AB89" s="540">
        <v>100.40802140190532</v>
      </c>
      <c r="AC89" s="540">
        <v>101.93081508617784</v>
      </c>
      <c r="AD89" s="540">
        <v>103.43876055222886</v>
      </c>
      <c r="AE89" s="540">
        <v>104.92890698491503</v>
      </c>
      <c r="AF89" s="540">
        <v>106.39858360605133</v>
      </c>
    </row>
    <row r="90" spans="1:32" x14ac:dyDescent="0.25">
      <c r="A90" s="842"/>
      <c r="B90" s="552" t="s">
        <v>34</v>
      </c>
      <c r="C90" s="539"/>
      <c r="D90" s="539"/>
      <c r="E90" s="539"/>
      <c r="F90" s="539"/>
      <c r="G90" s="540">
        <v>56.29711916588213</v>
      </c>
      <c r="H90" s="540">
        <v>67.840442607779508</v>
      </c>
      <c r="I90" s="540">
        <v>73.077298655362654</v>
      </c>
      <c r="J90" s="540">
        <v>75.43371688633718</v>
      </c>
      <c r="K90" s="540">
        <v>75.653451218114469</v>
      </c>
      <c r="L90" s="540">
        <v>76.509659064996185</v>
      </c>
      <c r="M90" s="540">
        <v>77.620047597651606</v>
      </c>
      <c r="N90" s="540">
        <v>76.911850506050357</v>
      </c>
      <c r="O90" s="540">
        <v>76.998853683756849</v>
      </c>
      <c r="P90" s="540">
        <v>77.867765123009136</v>
      </c>
      <c r="Q90" s="540">
        <v>79.493199913711379</v>
      </c>
      <c r="R90" s="540">
        <v>81.056824218896068</v>
      </c>
      <c r="S90" s="540">
        <v>82.598966943581146</v>
      </c>
      <c r="T90" s="540">
        <v>84.122866073509115</v>
      </c>
      <c r="U90" s="540">
        <v>85.629787022327164</v>
      </c>
      <c r="V90" s="540">
        <v>87.135781830487659</v>
      </c>
      <c r="W90" s="540">
        <v>88.628594350931479</v>
      </c>
      <c r="X90" s="540">
        <v>90.094319151493153</v>
      </c>
      <c r="Y90" s="540">
        <v>91.525659714600948</v>
      </c>
      <c r="Z90" s="540">
        <v>92.936076648254186</v>
      </c>
      <c r="AA90" s="540">
        <v>94.343727546905967</v>
      </c>
      <c r="AB90" s="540">
        <v>95.774747626964384</v>
      </c>
      <c r="AC90" s="540">
        <v>97.186573831048861</v>
      </c>
      <c r="AD90" s="540">
        <v>98.57777749608411</v>
      </c>
      <c r="AE90" s="540">
        <v>99.946813418678417</v>
      </c>
      <c r="AF90" s="540">
        <v>101.29206529273115</v>
      </c>
    </row>
    <row r="91" spans="1:32" x14ac:dyDescent="0.25">
      <c r="A91" s="839"/>
      <c r="B91" s="552" t="s">
        <v>35</v>
      </c>
      <c r="C91" s="539"/>
      <c r="D91" s="539"/>
      <c r="E91" s="539"/>
      <c r="F91" s="539"/>
      <c r="G91" s="540">
        <v>7.9163921994877064</v>
      </c>
      <c r="H91" s="540">
        <v>8.2358171833431477</v>
      </c>
      <c r="I91" s="540">
        <v>8.5890353416921901</v>
      </c>
      <c r="J91" s="540">
        <v>8.9883171256609504</v>
      </c>
      <c r="K91" s="540">
        <v>9.4367472899406071</v>
      </c>
      <c r="L91" s="540">
        <v>9.8630888234276064</v>
      </c>
      <c r="M91" s="540">
        <v>10.269657473194211</v>
      </c>
      <c r="N91" s="540">
        <v>10.656492213254161</v>
      </c>
      <c r="O91" s="540">
        <v>11.026453284910005</v>
      </c>
      <c r="P91" s="540">
        <v>11.382122069644828</v>
      </c>
      <c r="Q91" s="540">
        <v>11.72502430865568</v>
      </c>
      <c r="R91" s="540">
        <v>12.054415594711202</v>
      </c>
      <c r="S91" s="540">
        <v>12.374419283002554</v>
      </c>
      <c r="T91" s="540">
        <v>12.685774438917532</v>
      </c>
      <c r="U91" s="540">
        <v>12.989062639913053</v>
      </c>
      <c r="V91" s="540">
        <v>13.286396265026994</v>
      </c>
      <c r="W91" s="540">
        <v>13.577087336063681</v>
      </c>
      <c r="X91" s="540">
        <v>13.860133960824257</v>
      </c>
      <c r="Y91" s="540">
        <v>14.135071482431965</v>
      </c>
      <c r="Z91" s="540">
        <v>14.403499776267152</v>
      </c>
      <c r="AA91" s="540">
        <v>14.66760567892085</v>
      </c>
      <c r="AB91" s="540">
        <v>14.930520505470772</v>
      </c>
      <c r="AC91" s="540">
        <v>15.188464851695034</v>
      </c>
      <c r="AD91" s="540">
        <v>15.44147096835899</v>
      </c>
      <c r="AE91" s="540">
        <v>15.689533505822975</v>
      </c>
      <c r="AF91" s="540">
        <v>15.93261484287137</v>
      </c>
    </row>
    <row r="92" spans="1:32" x14ac:dyDescent="0.25">
      <c r="A92" s="839"/>
      <c r="B92" s="552" t="s">
        <v>29</v>
      </c>
      <c r="C92" s="539"/>
      <c r="D92" s="539"/>
      <c r="E92" s="539"/>
      <c r="F92" s="539"/>
      <c r="G92" s="540">
        <v>0</v>
      </c>
      <c r="H92" s="540">
        <v>1.6762202706596067E-2</v>
      </c>
      <c r="I92" s="540">
        <v>3.2795484861493883E-2</v>
      </c>
      <c r="J92" s="540">
        <v>4.8249406682410088E-2</v>
      </c>
      <c r="K92" s="540">
        <v>6.3079618695465411E-2</v>
      </c>
      <c r="L92" s="540">
        <v>7.7172066905343131E-2</v>
      </c>
      <c r="M92" s="540">
        <v>9.0548916070153238E-2</v>
      </c>
      <c r="N92" s="540">
        <v>0.10317928828850985</v>
      </c>
      <c r="O92" s="540">
        <v>0.11513033253989154</v>
      </c>
      <c r="P92" s="540">
        <v>0.12646674868200783</v>
      </c>
      <c r="Q92" s="540">
        <v>0.13722621654100048</v>
      </c>
      <c r="R92" s="540">
        <v>0.14738374020400394</v>
      </c>
      <c r="S92" s="540">
        <v>0.15706564427242051</v>
      </c>
      <c r="T92" s="540">
        <v>0.16629476368943441</v>
      </c>
      <c r="U92" s="540">
        <v>0.17509197504676591</v>
      </c>
      <c r="V92" s="540">
        <v>0.18352561984569074</v>
      </c>
      <c r="W92" s="540">
        <v>0.19157979308876011</v>
      </c>
      <c r="X92" s="540">
        <v>0.19923286072567073</v>
      </c>
      <c r="Y92" s="540">
        <v>0.20648244532423421</v>
      </c>
      <c r="Z92" s="540">
        <v>0.21338895431195415</v>
      </c>
      <c r="AA92" s="540">
        <v>0.22002763138878179</v>
      </c>
      <c r="AB92" s="540">
        <v>0.22649821054108144</v>
      </c>
      <c r="AC92" s="540">
        <v>0.23269091406167405</v>
      </c>
      <c r="AD92" s="540">
        <v>0.23861694159731262</v>
      </c>
      <c r="AE92" s="540">
        <v>0.2442863633494127</v>
      </c>
      <c r="AF92" s="540">
        <v>0.24970821581761177</v>
      </c>
    </row>
    <row r="93" spans="1:32" x14ac:dyDescent="0.25">
      <c r="A93" s="839"/>
      <c r="B93" s="550"/>
      <c r="C93" s="539"/>
      <c r="D93" s="539"/>
      <c r="E93" s="539"/>
      <c r="F93" s="539"/>
      <c r="G93" s="540" t="s">
        <v>73</v>
      </c>
      <c r="H93" s="540" t="s">
        <v>73</v>
      </c>
      <c r="I93" s="540" t="s">
        <v>73</v>
      </c>
      <c r="J93" s="540" t="s">
        <v>73</v>
      </c>
      <c r="K93" s="540" t="s">
        <v>73</v>
      </c>
      <c r="L93" s="540" t="s">
        <v>73</v>
      </c>
      <c r="M93" s="540" t="s">
        <v>73</v>
      </c>
      <c r="N93" s="540" t="s">
        <v>73</v>
      </c>
      <c r="O93" s="540" t="s">
        <v>73</v>
      </c>
      <c r="P93" s="540" t="s">
        <v>73</v>
      </c>
      <c r="Q93" s="540" t="s">
        <v>73</v>
      </c>
      <c r="R93" s="540" t="s">
        <v>73</v>
      </c>
      <c r="S93" s="540" t="s">
        <v>73</v>
      </c>
      <c r="T93" s="540" t="s">
        <v>73</v>
      </c>
      <c r="U93" s="540" t="s">
        <v>73</v>
      </c>
      <c r="V93" s="540" t="s">
        <v>73</v>
      </c>
      <c r="W93" s="540" t="s">
        <v>73</v>
      </c>
      <c r="X93" s="540" t="s">
        <v>73</v>
      </c>
      <c r="Y93" s="540" t="s">
        <v>73</v>
      </c>
      <c r="Z93" s="540" t="s">
        <v>73</v>
      </c>
      <c r="AA93" s="540" t="s">
        <v>73</v>
      </c>
      <c r="AB93" s="540" t="s">
        <v>73</v>
      </c>
      <c r="AC93" s="540" t="s">
        <v>73</v>
      </c>
      <c r="AD93" s="540" t="s">
        <v>73</v>
      </c>
      <c r="AE93" s="540" t="s">
        <v>73</v>
      </c>
      <c r="AF93" s="540" t="s">
        <v>73</v>
      </c>
    </row>
    <row r="94" spans="1:32" s="202" customFormat="1" ht="12.75" x14ac:dyDescent="0.2">
      <c r="A94" s="843" t="s">
        <v>36</v>
      </c>
      <c r="B94" s="556"/>
      <c r="C94" s="556"/>
      <c r="D94" s="556"/>
      <c r="E94" s="556"/>
      <c r="F94" s="556"/>
      <c r="G94" s="547" t="s">
        <v>73</v>
      </c>
      <c r="H94" s="547" t="s">
        <v>73</v>
      </c>
      <c r="I94" s="547" t="s">
        <v>73</v>
      </c>
      <c r="J94" s="547" t="s">
        <v>73</v>
      </c>
      <c r="K94" s="547" t="s">
        <v>73</v>
      </c>
      <c r="L94" s="547" t="s">
        <v>73</v>
      </c>
      <c r="M94" s="547" t="s">
        <v>73</v>
      </c>
      <c r="N94" s="547" t="s">
        <v>73</v>
      </c>
      <c r="O94" s="547" t="s">
        <v>73</v>
      </c>
      <c r="P94" s="547" t="s">
        <v>73</v>
      </c>
      <c r="Q94" s="547" t="s">
        <v>73</v>
      </c>
      <c r="R94" s="547" t="s">
        <v>73</v>
      </c>
      <c r="S94" s="547" t="s">
        <v>73</v>
      </c>
      <c r="T94" s="547" t="s">
        <v>73</v>
      </c>
      <c r="U94" s="547" t="s">
        <v>73</v>
      </c>
      <c r="V94" s="547" t="s">
        <v>73</v>
      </c>
      <c r="W94" s="547" t="s">
        <v>73</v>
      </c>
      <c r="X94" s="547" t="s">
        <v>73</v>
      </c>
      <c r="Y94" s="547" t="s">
        <v>73</v>
      </c>
      <c r="Z94" s="547" t="s">
        <v>73</v>
      </c>
      <c r="AA94" s="547" t="s">
        <v>73</v>
      </c>
      <c r="AB94" s="547" t="s">
        <v>73</v>
      </c>
      <c r="AC94" s="547" t="s">
        <v>73</v>
      </c>
      <c r="AD94" s="547" t="s">
        <v>73</v>
      </c>
      <c r="AE94" s="547" t="s">
        <v>73</v>
      </c>
      <c r="AF94" s="547" t="s">
        <v>73</v>
      </c>
    </row>
    <row r="95" spans="1:32" x14ac:dyDescent="0.25">
      <c r="A95" s="839"/>
      <c r="B95" s="550" t="s">
        <v>37</v>
      </c>
      <c r="C95" s="539"/>
      <c r="D95" s="539"/>
      <c r="E95" s="539"/>
      <c r="F95" s="201"/>
      <c r="G95" s="540">
        <v>44.094774504564121</v>
      </c>
      <c r="H95" s="540">
        <v>41.478629266533993</v>
      </c>
      <c r="I95" s="540">
        <v>38.801463384009871</v>
      </c>
      <c r="J95" s="540">
        <v>36.088506509132486</v>
      </c>
      <c r="K95" s="540">
        <v>33.362870932021536</v>
      </c>
      <c r="L95" s="540">
        <v>30.828871071132543</v>
      </c>
      <c r="M95" s="540">
        <v>28.46973050353192</v>
      </c>
      <c r="N95" s="540">
        <v>26.279169955148102</v>
      </c>
      <c r="O95" s="540">
        <v>24.265173664344619</v>
      </c>
      <c r="P95" s="540">
        <v>22.412935051697595</v>
      </c>
      <c r="Q95" s="540">
        <v>20.708936520586828</v>
      </c>
      <c r="R95" s="540">
        <v>19.140783156239586</v>
      </c>
      <c r="S95" s="540">
        <v>17.697333029791135</v>
      </c>
      <c r="T95" s="540">
        <v>16.368307934026561</v>
      </c>
      <c r="U95" s="540">
        <v>15.144317053201329</v>
      </c>
      <c r="V95" s="540">
        <v>14.01683150666819</v>
      </c>
      <c r="W95" s="540">
        <v>12.977961395156525</v>
      </c>
      <c r="X95" s="540">
        <v>12.020477912536624</v>
      </c>
      <c r="Y95" s="540">
        <v>11.137781814128934</v>
      </c>
      <c r="Z95" s="540">
        <v>10.323898994138924</v>
      </c>
      <c r="AA95" s="540">
        <v>9.5733775472506348</v>
      </c>
      <c r="AB95" s="540">
        <v>8.8812545016018092</v>
      </c>
      <c r="AC95" s="540">
        <v>8.2427495104247406</v>
      </c>
      <c r="AD95" s="540">
        <v>7.6536024026807663</v>
      </c>
      <c r="AE95" s="540">
        <v>7.1099023366202658</v>
      </c>
      <c r="AF95" s="540">
        <v>6.6080578090346505</v>
      </c>
    </row>
    <row r="96" spans="1:32" x14ac:dyDescent="0.25">
      <c r="A96" s="839"/>
      <c r="B96" s="550" t="s">
        <v>39</v>
      </c>
      <c r="C96" s="539"/>
      <c r="D96" s="539"/>
      <c r="E96" s="203"/>
      <c r="F96" s="539"/>
      <c r="G96" s="540">
        <v>7.6595666063141374</v>
      </c>
      <c r="H96" s="540">
        <v>10.424276765525786</v>
      </c>
      <c r="I96" s="540">
        <v>13.279423557427801</v>
      </c>
      <c r="J96" s="540">
        <v>16.196335379965266</v>
      </c>
      <c r="K96" s="540">
        <v>19.004400161483389</v>
      </c>
      <c r="L96" s="540">
        <v>21.607593497256261</v>
      </c>
      <c r="M96" s="540">
        <v>24.025543842807359</v>
      </c>
      <c r="N96" s="540">
        <v>26.351803697510015</v>
      </c>
      <c r="O96" s="540">
        <v>28.570670815361094</v>
      </c>
      <c r="P96" s="540">
        <v>30.689485482562702</v>
      </c>
      <c r="Q96" s="540">
        <v>32.713108089759928</v>
      </c>
      <c r="R96" s="540">
        <v>34.637237214707028</v>
      </c>
      <c r="S96" s="540">
        <v>36.481740939942163</v>
      </c>
      <c r="T96" s="540">
        <v>38.250587038150123</v>
      </c>
      <c r="U96" s="540">
        <v>39.947455187212341</v>
      </c>
      <c r="V96" s="540">
        <v>41.583544238441064</v>
      </c>
      <c r="W96" s="540">
        <v>43.156788172811964</v>
      </c>
      <c r="X96" s="540">
        <v>44.664012568504745</v>
      </c>
      <c r="Y96" s="540">
        <v>46.104896941177401</v>
      </c>
      <c r="Z96" s="540">
        <v>47.488983784141851</v>
      </c>
      <c r="AA96" s="540">
        <v>48.828297497619843</v>
      </c>
      <c r="AB96" s="540">
        <v>50.138935858264723</v>
      </c>
      <c r="AC96" s="540">
        <v>51.403941093647383</v>
      </c>
      <c r="AD96" s="540">
        <v>52.625078881150962</v>
      </c>
      <c r="AE96" s="540">
        <v>53.80389892448256</v>
      </c>
      <c r="AF96" s="540">
        <v>54.941754104098621</v>
      </c>
    </row>
    <row r="97" spans="1:32" x14ac:dyDescent="0.25">
      <c r="A97" s="839"/>
      <c r="B97" s="550" t="s">
        <v>40</v>
      </c>
      <c r="C97" s="539"/>
      <c r="D97" s="539"/>
      <c r="E97" s="539"/>
      <c r="F97" s="539"/>
      <c r="G97" s="540">
        <v>0</v>
      </c>
      <c r="H97" s="540">
        <v>0.55764185253761478</v>
      </c>
      <c r="I97" s="540">
        <v>1.1251364834876778</v>
      </c>
      <c r="J97" s="540">
        <v>1.6971510879572369</v>
      </c>
      <c r="K97" s="540">
        <v>2.261324484743747</v>
      </c>
      <c r="L97" s="540">
        <v>2.7939592282766212</v>
      </c>
      <c r="M97" s="540">
        <v>3.2969966547830154</v>
      </c>
      <c r="N97" s="540">
        <v>3.7723771484247095</v>
      </c>
      <c r="O97" s="540">
        <v>4.2216550823652383</v>
      </c>
      <c r="P97" s="540">
        <v>4.6473520267386528</v>
      </c>
      <c r="Q97" s="540">
        <v>5.0511818206717383</v>
      </c>
      <c r="R97" s="540">
        <v>5.4330791462590549</v>
      </c>
      <c r="S97" s="540">
        <v>5.7969638753182258</v>
      </c>
      <c r="T97" s="540">
        <v>6.1439560526343078</v>
      </c>
      <c r="U97" s="540">
        <v>6.4750605377089183</v>
      </c>
      <c r="V97" s="540">
        <v>6.7925111432450667</v>
      </c>
      <c r="W97" s="540">
        <v>7.0962471113704391</v>
      </c>
      <c r="X97" s="540">
        <v>7.3859852465031564</v>
      </c>
      <c r="Y97" s="540">
        <v>7.6618987748669083</v>
      </c>
      <c r="Z97" s="540">
        <v>7.9258132998755757</v>
      </c>
      <c r="AA97" s="540">
        <v>8.1799580762799806</v>
      </c>
      <c r="AB97" s="540">
        <v>8.4272391721334454</v>
      </c>
      <c r="AC97" s="540">
        <v>8.6649361226983128</v>
      </c>
      <c r="AD97" s="540">
        <v>8.8934887671044827</v>
      </c>
      <c r="AE97" s="540">
        <v>9.1132880456965299</v>
      </c>
      <c r="AF97" s="540">
        <v>9.324680510425404</v>
      </c>
    </row>
    <row r="98" spans="1:32" x14ac:dyDescent="0.25">
      <c r="A98" s="839"/>
      <c r="B98" s="550" t="s">
        <v>29</v>
      </c>
      <c r="C98" s="539"/>
      <c r="D98" s="539"/>
      <c r="E98" s="539"/>
      <c r="F98" s="539"/>
      <c r="G98" s="540">
        <v>0</v>
      </c>
      <c r="H98" s="540">
        <v>3.2271735158191547E-8</v>
      </c>
      <c r="I98" s="540">
        <v>6.3008062711985512E-8</v>
      </c>
      <c r="J98" s="540">
        <v>9.223506533201831E-8</v>
      </c>
      <c r="K98" s="540">
        <v>1.1947323892989166E-7</v>
      </c>
      <c r="L98" s="540">
        <v>1.4511796962873867E-7</v>
      </c>
      <c r="M98" s="540">
        <v>1.6924400417156824E-7</v>
      </c>
      <c r="N98" s="540">
        <v>1.9196051298608152E-7</v>
      </c>
      <c r="O98" s="540">
        <v>2.133465468652251E-7</v>
      </c>
      <c r="P98" s="540">
        <v>2.3353249574552296E-7</v>
      </c>
      <c r="Q98" s="540">
        <v>2.525975211996404E-7</v>
      </c>
      <c r="R98" s="540">
        <v>2.7050462206699324E-7</v>
      </c>
      <c r="S98" s="540">
        <v>2.8749422529251009E-7</v>
      </c>
      <c r="T98" s="540">
        <v>3.0361513931343111E-7</v>
      </c>
      <c r="U98" s="540">
        <v>3.1891194104238398E-7</v>
      </c>
      <c r="V98" s="540">
        <v>3.3351527266899614E-7</v>
      </c>
      <c r="W98" s="540">
        <v>3.4740105577745879E-7</v>
      </c>
      <c r="X98" s="540">
        <v>3.6053469354639506E-7</v>
      </c>
      <c r="Y98" s="540">
        <v>3.7291658297733057E-7</v>
      </c>
      <c r="Z98" s="540">
        <v>3.8466093216565148E-7</v>
      </c>
      <c r="AA98" s="540">
        <v>3.9590799207003096E-7</v>
      </c>
      <c r="AB98" s="540">
        <v>4.0684143545831785E-7</v>
      </c>
      <c r="AC98" s="540">
        <v>4.1726442382036652E-7</v>
      </c>
      <c r="AD98" s="540">
        <v>4.2719988814405593E-7</v>
      </c>
      <c r="AE98" s="540">
        <v>4.3666845754620964E-7</v>
      </c>
      <c r="AF98" s="540">
        <v>4.4568865969643035E-7</v>
      </c>
    </row>
    <row r="99" spans="1:32" x14ac:dyDescent="0.25">
      <c r="A99" s="839"/>
      <c r="B99" s="550"/>
      <c r="C99" s="539"/>
      <c r="D99" s="539"/>
      <c r="E99" s="539"/>
      <c r="F99" s="539"/>
      <c r="G99" s="540" t="s">
        <v>73</v>
      </c>
      <c r="H99" s="540" t="s">
        <v>73</v>
      </c>
      <c r="I99" s="540" t="s">
        <v>73</v>
      </c>
      <c r="J99" s="540" t="s">
        <v>73</v>
      </c>
      <c r="K99" s="540" t="s">
        <v>73</v>
      </c>
      <c r="L99" s="540" t="s">
        <v>73</v>
      </c>
      <c r="M99" s="540" t="s">
        <v>73</v>
      </c>
      <c r="N99" s="540" t="s">
        <v>73</v>
      </c>
      <c r="O99" s="540" t="s">
        <v>73</v>
      </c>
      <c r="P99" s="540" t="s">
        <v>73</v>
      </c>
      <c r="Q99" s="540" t="s">
        <v>73</v>
      </c>
      <c r="R99" s="540" t="s">
        <v>73</v>
      </c>
      <c r="S99" s="540" t="s">
        <v>73</v>
      </c>
      <c r="T99" s="540" t="s">
        <v>73</v>
      </c>
      <c r="U99" s="540" t="s">
        <v>73</v>
      </c>
      <c r="V99" s="540" t="s">
        <v>73</v>
      </c>
      <c r="W99" s="540" t="s">
        <v>73</v>
      </c>
      <c r="X99" s="540" t="s">
        <v>73</v>
      </c>
      <c r="Y99" s="540" t="s">
        <v>73</v>
      </c>
      <c r="Z99" s="540" t="s">
        <v>73</v>
      </c>
      <c r="AA99" s="540" t="s">
        <v>73</v>
      </c>
      <c r="AB99" s="540" t="s">
        <v>73</v>
      </c>
      <c r="AC99" s="540" t="s">
        <v>73</v>
      </c>
      <c r="AD99" s="540" t="s">
        <v>73</v>
      </c>
      <c r="AE99" s="540" t="s">
        <v>73</v>
      </c>
      <c r="AF99" s="540" t="s">
        <v>73</v>
      </c>
    </row>
    <row r="100" spans="1:32" s="202" customFormat="1" ht="12.75" x14ac:dyDescent="0.2">
      <c r="A100" s="843" t="s">
        <v>42</v>
      </c>
      <c r="B100" s="556"/>
      <c r="C100" s="556"/>
      <c r="D100" s="556"/>
      <c r="E100" s="556"/>
      <c r="F100" s="556"/>
      <c r="G100" s="547" t="s">
        <v>73</v>
      </c>
      <c r="H100" s="547" t="s">
        <v>73</v>
      </c>
      <c r="I100" s="547" t="s">
        <v>73</v>
      </c>
      <c r="J100" s="547" t="s">
        <v>73</v>
      </c>
      <c r="K100" s="547" t="s">
        <v>73</v>
      </c>
      <c r="L100" s="547" t="s">
        <v>73</v>
      </c>
      <c r="M100" s="547" t="s">
        <v>73</v>
      </c>
      <c r="N100" s="547" t="s">
        <v>73</v>
      </c>
      <c r="O100" s="547" t="s">
        <v>73</v>
      </c>
      <c r="P100" s="547" t="s">
        <v>73</v>
      </c>
      <c r="Q100" s="547" t="s">
        <v>73</v>
      </c>
      <c r="R100" s="547" t="s">
        <v>73</v>
      </c>
      <c r="S100" s="547" t="s">
        <v>73</v>
      </c>
      <c r="T100" s="547" t="s">
        <v>73</v>
      </c>
      <c r="U100" s="547" t="s">
        <v>73</v>
      </c>
      <c r="V100" s="547" t="s">
        <v>73</v>
      </c>
      <c r="W100" s="547" t="s">
        <v>73</v>
      </c>
      <c r="X100" s="547" t="s">
        <v>73</v>
      </c>
      <c r="Y100" s="547" t="s">
        <v>73</v>
      </c>
      <c r="Z100" s="547" t="s">
        <v>73</v>
      </c>
      <c r="AA100" s="547" t="s">
        <v>73</v>
      </c>
      <c r="AB100" s="547" t="s">
        <v>73</v>
      </c>
      <c r="AC100" s="547" t="s">
        <v>73</v>
      </c>
      <c r="AD100" s="547" t="s">
        <v>73</v>
      </c>
      <c r="AE100" s="547" t="s">
        <v>73</v>
      </c>
      <c r="AF100" s="547" t="s">
        <v>73</v>
      </c>
    </row>
    <row r="101" spans="1:32" x14ac:dyDescent="0.25">
      <c r="A101" s="839"/>
      <c r="B101" s="552" t="s">
        <v>43</v>
      </c>
      <c r="C101" s="539"/>
      <c r="D101" s="539"/>
      <c r="E101" s="539"/>
      <c r="F101" s="539"/>
      <c r="G101" s="540">
        <v>0.14853158040111566</v>
      </c>
      <c r="H101" s="540">
        <v>0.14089922705847738</v>
      </c>
      <c r="I101" s="540">
        <v>0.1337926270507683</v>
      </c>
      <c r="J101" s="540">
        <v>0.12717410535543225</v>
      </c>
      <c r="K101" s="540">
        <v>0.12099592339636117</v>
      </c>
      <c r="L101" s="540">
        <v>0.11523889404575755</v>
      </c>
      <c r="M101" s="540">
        <v>0.10987351869221054</v>
      </c>
      <c r="N101" s="540">
        <v>0.10486830347531806</v>
      </c>
      <c r="O101" s="540">
        <v>0.10020099720356956</v>
      </c>
      <c r="P101" s="540">
        <v>9.5851027610753203E-2</v>
      </c>
      <c r="Q101" s="540">
        <v>9.1797509477305708E-2</v>
      </c>
      <c r="R101" s="540">
        <v>8.8016372417689837E-2</v>
      </c>
      <c r="S101" s="540">
        <v>8.4496390889399101E-2</v>
      </c>
      <c r="T101" s="540">
        <v>8.1220032773008724E-2</v>
      </c>
      <c r="U101" s="540">
        <v>7.8170874255046985E-2</v>
      </c>
      <c r="V101" s="540">
        <v>7.5337268118129269E-2</v>
      </c>
      <c r="W101" s="540">
        <v>7.2702356463185874E-2</v>
      </c>
      <c r="X101" s="540">
        <v>7.0249796946725118E-2</v>
      </c>
      <c r="Y101" s="540">
        <v>6.7965587187552315E-2</v>
      </c>
      <c r="Z101" s="540">
        <v>6.5841349901138893E-2</v>
      </c>
      <c r="AA101" s="540">
        <v>6.3870756763785078E-2</v>
      </c>
      <c r="AB101" s="540">
        <v>6.2050232300797599E-2</v>
      </c>
      <c r="AC101" s="540">
        <v>6.0361175953299394E-2</v>
      </c>
      <c r="AD101" s="540">
        <v>5.8794602467307396E-2</v>
      </c>
      <c r="AE101" s="540">
        <v>5.7342071213858599E-2</v>
      </c>
      <c r="AF101" s="540">
        <v>5.5995651349835238E-2</v>
      </c>
    </row>
    <row r="102" spans="1:32" x14ac:dyDescent="0.25">
      <c r="A102" s="839"/>
      <c r="B102" s="552" t="s">
        <v>44</v>
      </c>
      <c r="C102" s="539"/>
      <c r="D102" s="539"/>
      <c r="E102" s="539"/>
      <c r="F102" s="539"/>
      <c r="G102" s="540">
        <v>1.3253626176593761E-2</v>
      </c>
      <c r="H102" s="540">
        <v>9.6479991498768972E-2</v>
      </c>
      <c r="I102" s="540">
        <v>0.17707615474167626</v>
      </c>
      <c r="J102" s="540">
        <v>0.25500001659063448</v>
      </c>
      <c r="K102" s="540">
        <v>0.32950681256031794</v>
      </c>
      <c r="L102" s="540">
        <v>0.40132599296128468</v>
      </c>
      <c r="M102" s="540">
        <v>0.470488878458036</v>
      </c>
      <c r="N102" s="540">
        <v>0.53680347249175275</v>
      </c>
      <c r="O102" s="540">
        <v>0.60049284950460979</v>
      </c>
      <c r="P102" s="540">
        <v>0.66177771070154834</v>
      </c>
      <c r="Q102" s="540">
        <v>0.72077111612128353</v>
      </c>
      <c r="R102" s="540">
        <v>0.77732330775957514</v>
      </c>
      <c r="S102" s="540">
        <v>0.83192723071240993</v>
      </c>
      <c r="T102" s="540">
        <v>0.88464879295847665</v>
      </c>
      <c r="U102" s="540">
        <v>0.93554794163133692</v>
      </c>
      <c r="V102" s="540">
        <v>0.98488917001280296</v>
      </c>
      <c r="W102" s="540">
        <v>1.03258509959541</v>
      </c>
      <c r="X102" s="540">
        <v>1.0785218415535671</v>
      </c>
      <c r="Y102" s="540">
        <v>1.1226651050582952</v>
      </c>
      <c r="Z102" s="540">
        <v>1.165248090075502</v>
      </c>
      <c r="AA102" s="540">
        <v>1.2065739579098205</v>
      </c>
      <c r="AB102" s="540">
        <v>1.2470583401831059</v>
      </c>
      <c r="AC102" s="540">
        <v>1.2862339594042875</v>
      </c>
      <c r="AD102" s="540">
        <v>1.324136514733341</v>
      </c>
      <c r="AE102" s="540">
        <v>1.360797905858091</v>
      </c>
      <c r="AF102" s="540">
        <v>1.3962465236504751</v>
      </c>
    </row>
    <row r="103" spans="1:32" x14ac:dyDescent="0.25">
      <c r="A103" s="839"/>
      <c r="B103" s="552" t="s">
        <v>45</v>
      </c>
      <c r="C103" s="539"/>
      <c r="D103" s="539"/>
      <c r="E103" s="539"/>
      <c r="F103" s="539"/>
      <c r="G103" s="540">
        <v>0.65935764983209799</v>
      </c>
      <c r="H103" s="540">
        <v>0.61918085210959628</v>
      </c>
      <c r="I103" s="540">
        <v>0.58153870513147488</v>
      </c>
      <c r="J103" s="540">
        <v>0.54626693042467045</v>
      </c>
      <c r="K103" s="540">
        <v>0.51320933413803993</v>
      </c>
      <c r="L103" s="540">
        <v>0.48222579145829086</v>
      </c>
      <c r="M103" s="540">
        <v>0.45318283290112327</v>
      </c>
      <c r="N103" s="540">
        <v>0.42595490407829956</v>
      </c>
      <c r="O103" s="540">
        <v>0.40042632624559382</v>
      </c>
      <c r="P103" s="540">
        <v>0.37648906286485134</v>
      </c>
      <c r="Q103" s="540">
        <v>0.35404177868636139</v>
      </c>
      <c r="R103" s="540">
        <v>0.33298873536408008</v>
      </c>
      <c r="S103" s="540">
        <v>0.31324297536068085</v>
      </c>
      <c r="T103" s="540">
        <v>0.29472161312470446</v>
      </c>
      <c r="U103" s="540">
        <v>0.27734713672157674</v>
      </c>
      <c r="V103" s="540">
        <v>0.26104789095680669</v>
      </c>
      <c r="W103" s="540">
        <v>0.24575550942577085</v>
      </c>
      <c r="X103" s="540">
        <v>0.23140590712712381</v>
      </c>
      <c r="Y103" s="540">
        <v>0.21793941463773497</v>
      </c>
      <c r="Z103" s="540">
        <v>0.20530126003024735</v>
      </c>
      <c r="AA103" s="540">
        <v>0.19344052345827964</v>
      </c>
      <c r="AB103" s="540">
        <v>0.18231007197383742</v>
      </c>
      <c r="AC103" s="540">
        <v>0.17186234854015514</v>
      </c>
      <c r="AD103" s="540">
        <v>0.16205472622301306</v>
      </c>
      <c r="AE103" s="540">
        <v>0.15284728441590101</v>
      </c>
      <c r="AF103" s="540">
        <v>0.14420263215075993</v>
      </c>
    </row>
    <row r="104" spans="1:32" x14ac:dyDescent="0.25">
      <c r="A104" s="839"/>
      <c r="B104" s="552" t="s">
        <v>46</v>
      </c>
      <c r="C104" s="539"/>
      <c r="D104" s="539"/>
      <c r="E104" s="539"/>
      <c r="F104" s="539"/>
      <c r="G104" s="540">
        <v>0</v>
      </c>
      <c r="H104" s="540">
        <v>0</v>
      </c>
      <c r="I104" s="540">
        <v>0</v>
      </c>
      <c r="J104" s="540">
        <v>0</v>
      </c>
      <c r="K104" s="540">
        <v>0</v>
      </c>
      <c r="L104" s="540">
        <v>0</v>
      </c>
      <c r="M104" s="540">
        <v>0</v>
      </c>
      <c r="N104" s="540">
        <v>0</v>
      </c>
      <c r="O104" s="540">
        <v>0</v>
      </c>
      <c r="P104" s="540">
        <v>0</v>
      </c>
      <c r="Q104" s="540">
        <v>0</v>
      </c>
      <c r="R104" s="540">
        <v>0</v>
      </c>
      <c r="S104" s="540">
        <v>0</v>
      </c>
      <c r="T104" s="540">
        <v>0</v>
      </c>
      <c r="U104" s="540">
        <v>0</v>
      </c>
      <c r="V104" s="540">
        <v>0</v>
      </c>
      <c r="W104" s="540">
        <v>0</v>
      </c>
      <c r="X104" s="540">
        <v>0</v>
      </c>
      <c r="Y104" s="540">
        <v>0</v>
      </c>
      <c r="Z104" s="540">
        <v>0</v>
      </c>
      <c r="AA104" s="540">
        <v>0</v>
      </c>
      <c r="AB104" s="540">
        <v>0</v>
      </c>
      <c r="AC104" s="540">
        <v>0</v>
      </c>
      <c r="AD104" s="540">
        <v>0</v>
      </c>
      <c r="AE104" s="540">
        <v>0</v>
      </c>
      <c r="AF104" s="540">
        <v>0</v>
      </c>
    </row>
    <row r="105" spans="1:32" x14ac:dyDescent="0.25">
      <c r="A105" s="839"/>
      <c r="B105" s="550" t="s">
        <v>29</v>
      </c>
      <c r="C105" s="539"/>
      <c r="D105" s="539"/>
      <c r="E105" s="539"/>
      <c r="F105" s="539"/>
      <c r="G105" s="540">
        <v>0</v>
      </c>
      <c r="H105" s="540">
        <v>2.1008964430498044E-3</v>
      </c>
      <c r="I105" s="540">
        <v>4.087061402796759E-3</v>
      </c>
      <c r="J105" s="540">
        <v>5.9625841426200511E-3</v>
      </c>
      <c r="K105" s="540">
        <v>7.7133134820667592E-3</v>
      </c>
      <c r="L105" s="540">
        <v>9.3626839103451119E-3</v>
      </c>
      <c r="M105" s="540">
        <v>1.0915544844378787E-2</v>
      </c>
      <c r="N105" s="540">
        <v>1.2370737776222098E-2</v>
      </c>
      <c r="O105" s="540">
        <v>1.3737495900119103E-2</v>
      </c>
      <c r="P105" s="540">
        <v>1.5024580312252841E-2</v>
      </c>
      <c r="Q105" s="540">
        <v>1.6237636849099294E-2</v>
      </c>
      <c r="R105" s="540">
        <v>1.7375348601944358E-2</v>
      </c>
      <c r="S105" s="540">
        <v>1.8452648243460931E-2</v>
      </c>
      <c r="T105" s="540">
        <v>1.9473116369634773E-2</v>
      </c>
      <c r="U105" s="540">
        <v>2.0439998820087665E-2</v>
      </c>
      <c r="V105" s="540">
        <v>2.1361576373074998E-2</v>
      </c>
      <c r="W105" s="540">
        <v>2.2236899816599126E-2</v>
      </c>
      <c r="X105" s="540">
        <v>2.3064310818765831E-2</v>
      </c>
      <c r="Y105" s="540">
        <v>2.3844159445041906E-2</v>
      </c>
      <c r="Z105" s="540">
        <v>2.4583530108259397E-2</v>
      </c>
      <c r="AA105" s="540">
        <v>2.5291050841979482E-2</v>
      </c>
      <c r="AB105" s="540">
        <v>2.5977945908545193E-2</v>
      </c>
      <c r="AC105" s="540">
        <v>2.6632679701852319E-2</v>
      </c>
      <c r="AD105" s="540">
        <v>2.7256788668895617E-2</v>
      </c>
      <c r="AE105" s="540">
        <v>2.7851646717362531E-2</v>
      </c>
      <c r="AF105" s="540">
        <v>2.8418480054196817E-2</v>
      </c>
    </row>
    <row r="106" spans="1:32" x14ac:dyDescent="0.25">
      <c r="A106" s="839"/>
      <c r="B106" s="550"/>
      <c r="C106" s="539"/>
      <c r="D106" s="539"/>
      <c r="E106" s="539"/>
      <c r="F106" s="539"/>
      <c r="G106" s="540" t="s">
        <v>73</v>
      </c>
      <c r="H106" s="540" t="s">
        <v>73</v>
      </c>
      <c r="I106" s="540" t="s">
        <v>73</v>
      </c>
      <c r="J106" s="540" t="s">
        <v>73</v>
      </c>
      <c r="K106" s="540" t="s">
        <v>73</v>
      </c>
      <c r="L106" s="540" t="s">
        <v>73</v>
      </c>
      <c r="M106" s="540" t="s">
        <v>73</v>
      </c>
      <c r="N106" s="540" t="s">
        <v>73</v>
      </c>
      <c r="O106" s="540" t="s">
        <v>73</v>
      </c>
      <c r="P106" s="540" t="s">
        <v>73</v>
      </c>
      <c r="Q106" s="540" t="s">
        <v>73</v>
      </c>
      <c r="R106" s="540" t="s">
        <v>73</v>
      </c>
      <c r="S106" s="540" t="s">
        <v>73</v>
      </c>
      <c r="T106" s="540" t="s">
        <v>73</v>
      </c>
      <c r="U106" s="540" t="s">
        <v>73</v>
      </c>
      <c r="V106" s="540" t="s">
        <v>73</v>
      </c>
      <c r="W106" s="540" t="s">
        <v>73</v>
      </c>
      <c r="X106" s="540" t="s">
        <v>73</v>
      </c>
      <c r="Y106" s="540" t="s">
        <v>73</v>
      </c>
      <c r="Z106" s="540" t="s">
        <v>73</v>
      </c>
      <c r="AA106" s="540" t="s">
        <v>73</v>
      </c>
      <c r="AB106" s="540" t="s">
        <v>73</v>
      </c>
      <c r="AC106" s="540" t="s">
        <v>73</v>
      </c>
      <c r="AD106" s="540" t="s">
        <v>73</v>
      </c>
      <c r="AE106" s="540" t="s">
        <v>73</v>
      </c>
      <c r="AF106" s="540" t="s">
        <v>73</v>
      </c>
    </row>
    <row r="107" spans="1:32" s="202" customFormat="1" ht="12.75" x14ac:dyDescent="0.2">
      <c r="A107" s="843" t="s">
        <v>47</v>
      </c>
      <c r="B107" s="556"/>
      <c r="C107" s="556"/>
      <c r="D107" s="556"/>
      <c r="E107" s="556"/>
      <c r="F107" s="556"/>
      <c r="G107" s="547" t="s">
        <v>73</v>
      </c>
      <c r="H107" s="547" t="s">
        <v>73</v>
      </c>
      <c r="I107" s="547" t="s">
        <v>73</v>
      </c>
      <c r="J107" s="547" t="s">
        <v>73</v>
      </c>
      <c r="K107" s="547" t="s">
        <v>73</v>
      </c>
      <c r="L107" s="547" t="s">
        <v>73</v>
      </c>
      <c r="M107" s="547" t="s">
        <v>73</v>
      </c>
      <c r="N107" s="547" t="s">
        <v>73</v>
      </c>
      <c r="O107" s="547" t="s">
        <v>73</v>
      </c>
      <c r="P107" s="547" t="s">
        <v>73</v>
      </c>
      <c r="Q107" s="547" t="s">
        <v>73</v>
      </c>
      <c r="R107" s="547" t="s">
        <v>73</v>
      </c>
      <c r="S107" s="547" t="s">
        <v>73</v>
      </c>
      <c r="T107" s="547" t="s">
        <v>73</v>
      </c>
      <c r="U107" s="547" t="s">
        <v>73</v>
      </c>
      <c r="V107" s="547" t="s">
        <v>73</v>
      </c>
      <c r="W107" s="547" t="s">
        <v>73</v>
      </c>
      <c r="X107" s="547" t="s">
        <v>73</v>
      </c>
      <c r="Y107" s="547" t="s">
        <v>73</v>
      </c>
      <c r="Z107" s="547" t="s">
        <v>73</v>
      </c>
      <c r="AA107" s="547" t="s">
        <v>73</v>
      </c>
      <c r="AB107" s="547" t="s">
        <v>73</v>
      </c>
      <c r="AC107" s="547" t="s">
        <v>73</v>
      </c>
      <c r="AD107" s="547" t="s">
        <v>73</v>
      </c>
      <c r="AE107" s="547" t="s">
        <v>73</v>
      </c>
      <c r="AF107" s="547" t="s">
        <v>73</v>
      </c>
    </row>
    <row r="108" spans="1:32" x14ac:dyDescent="0.25">
      <c r="A108" s="839"/>
      <c r="B108" s="550" t="s">
        <v>48</v>
      </c>
      <c r="C108" s="539"/>
      <c r="D108" s="539"/>
      <c r="E108" s="539"/>
      <c r="F108" s="539"/>
      <c r="G108" s="540">
        <v>178.16403726113285</v>
      </c>
      <c r="H108" s="540">
        <v>181.29128792408571</v>
      </c>
      <c r="I108" s="540">
        <v>183.12141758292213</v>
      </c>
      <c r="J108" s="540">
        <v>183.63407982208611</v>
      </c>
      <c r="K108" s="540">
        <v>184.10546543734566</v>
      </c>
      <c r="L108" s="540">
        <v>185.96863802689174</v>
      </c>
      <c r="M108" s="540">
        <v>189.2038966612744</v>
      </c>
      <c r="N108" s="540">
        <v>192.36309199230553</v>
      </c>
      <c r="O108" s="540">
        <v>195.456712554163</v>
      </c>
      <c r="P108" s="540">
        <v>198.49622924187636</v>
      </c>
      <c r="Q108" s="540">
        <v>201.47776259974884</v>
      </c>
      <c r="R108" s="540">
        <v>204.35871760553738</v>
      </c>
      <c r="S108" s="540">
        <v>207.19658656064402</v>
      </c>
      <c r="T108" s="540">
        <v>209.98408733524954</v>
      </c>
      <c r="U108" s="540">
        <v>212.71433935645183</v>
      </c>
      <c r="V108" s="540">
        <v>215.41224381132676</v>
      </c>
      <c r="W108" s="540">
        <v>218.05077574680737</v>
      </c>
      <c r="X108" s="540">
        <v>220.60054495569756</v>
      </c>
      <c r="Y108" s="540">
        <v>223.04539827528802</v>
      </c>
      <c r="Z108" s="540">
        <v>225.40942738913174</v>
      </c>
      <c r="AA108" s="540">
        <v>227.72704322752705</v>
      </c>
      <c r="AB108" s="540">
        <v>230.04877294685176</v>
      </c>
      <c r="AC108" s="540">
        <v>232.29772879288799</v>
      </c>
      <c r="AD108" s="540">
        <v>234.47128313826659</v>
      </c>
      <c r="AE108" s="540">
        <v>236.56687639914273</v>
      </c>
      <c r="AF108" s="540">
        <v>238.58202202118116</v>
      </c>
    </row>
    <row r="109" spans="1:32" x14ac:dyDescent="0.25">
      <c r="A109" s="839"/>
      <c r="B109" s="552" t="s">
        <v>50</v>
      </c>
      <c r="C109" s="539"/>
      <c r="D109" s="539"/>
      <c r="E109" s="539"/>
      <c r="F109" s="539"/>
      <c r="G109" s="540">
        <v>22.351520899233449</v>
      </c>
      <c r="H109" s="540">
        <v>22.87800851718924</v>
      </c>
      <c r="I109" s="540">
        <v>23.425790632409356</v>
      </c>
      <c r="J109" s="540">
        <v>23.988680863917658</v>
      </c>
      <c r="K109" s="540">
        <v>24.545020352647857</v>
      </c>
      <c r="L109" s="540">
        <v>25.106782517144438</v>
      </c>
      <c r="M109" s="540">
        <v>25.670455934695024</v>
      </c>
      <c r="N109" s="540">
        <v>26.227800019440345</v>
      </c>
      <c r="O109" s="540">
        <v>26.780188109669691</v>
      </c>
      <c r="P109" s="540">
        <v>27.329165706135246</v>
      </c>
      <c r="Q109" s="540">
        <v>27.874076310111828</v>
      </c>
      <c r="R109" s="540">
        <v>28.408589611814254</v>
      </c>
      <c r="S109" s="540">
        <v>28.940965689895272</v>
      </c>
      <c r="T109" s="540">
        <v>29.470060555752053</v>
      </c>
      <c r="U109" s="540">
        <v>29.99476923302344</v>
      </c>
      <c r="V109" s="540">
        <v>30.518705405909714</v>
      </c>
      <c r="W109" s="540">
        <v>31.037774736113612</v>
      </c>
      <c r="X109" s="540">
        <v>31.547450713699597</v>
      </c>
      <c r="Y109" s="540">
        <v>32.045125372832494</v>
      </c>
      <c r="Z109" s="540">
        <v>32.534258354470659</v>
      </c>
      <c r="AA109" s="540">
        <v>33.019951308951903</v>
      </c>
      <c r="AB109" s="540">
        <v>33.509872636169369</v>
      </c>
      <c r="AC109" s="540">
        <v>33.992210102347642</v>
      </c>
      <c r="AD109" s="540">
        <v>34.466423603046451</v>
      </c>
      <c r="AE109" s="540">
        <v>34.931975822804219</v>
      </c>
      <c r="AF109" s="540">
        <v>35.388333229155691</v>
      </c>
    </row>
    <row r="110" spans="1:32" x14ac:dyDescent="0.25">
      <c r="A110" s="839"/>
      <c r="B110" s="550" t="s">
        <v>51</v>
      </c>
      <c r="C110" s="539"/>
      <c r="D110" s="539"/>
      <c r="E110" s="539"/>
      <c r="F110" s="539"/>
      <c r="G110" s="540">
        <v>6.5149414766425195</v>
      </c>
      <c r="H110" s="540">
        <v>6.673050874913999</v>
      </c>
      <c r="I110" s="540">
        <v>6.8376125540874035</v>
      </c>
      <c r="J110" s="540">
        <v>7.0068186867718376</v>
      </c>
      <c r="K110" s="540">
        <v>7.1743000540776265</v>
      </c>
      <c r="L110" s="540">
        <v>7.3435804982828907</v>
      </c>
      <c r="M110" s="540">
        <v>7.5136274131857688</v>
      </c>
      <c r="N110" s="540">
        <v>7.6820098143877358</v>
      </c>
      <c r="O110" s="540">
        <v>7.8491289918808143</v>
      </c>
      <c r="P110" s="540">
        <v>8.0154382738063816</v>
      </c>
      <c r="Q110" s="540">
        <v>8.1807411577644693</v>
      </c>
      <c r="R110" s="540">
        <v>8.3431618356848976</v>
      </c>
      <c r="S110" s="540">
        <v>8.5051395777614616</v>
      </c>
      <c r="T110" s="540">
        <v>8.6663339322007804</v>
      </c>
      <c r="U110" s="540">
        <v>8.8264151446542414</v>
      </c>
      <c r="V110" s="540">
        <v>8.9864525253658716</v>
      </c>
      <c r="W110" s="540">
        <v>9.1452299622139304</v>
      </c>
      <c r="X110" s="540">
        <v>9.3013998218036296</v>
      </c>
      <c r="Y110" s="540">
        <v>9.4541813224110935</v>
      </c>
      <c r="Z110" s="540">
        <v>9.6045965050205258</v>
      </c>
      <c r="AA110" s="540">
        <v>9.754158803379477</v>
      </c>
      <c r="AB110" s="540">
        <v>9.905149960537539</v>
      </c>
      <c r="AC110" s="540">
        <v>10.054052149606949</v>
      </c>
      <c r="AD110" s="540">
        <v>10.200699955803252</v>
      </c>
      <c r="AE110" s="540">
        <v>10.344928425987771</v>
      </c>
      <c r="AF110" s="540">
        <v>10.486573370660642</v>
      </c>
    </row>
    <row r="111" spans="1:32" x14ac:dyDescent="0.25">
      <c r="A111" s="839"/>
      <c r="B111" s="550" t="s">
        <v>52</v>
      </c>
      <c r="C111" s="539"/>
      <c r="D111" s="539"/>
      <c r="E111" s="539"/>
      <c r="F111" s="539"/>
      <c r="G111" s="540">
        <v>8.9371491725414689</v>
      </c>
      <c r="H111" s="540">
        <v>9.1510048305924432</v>
      </c>
      <c r="I111" s="540">
        <v>9.3735700821181229</v>
      </c>
      <c r="J111" s="540">
        <v>9.6023698939700566</v>
      </c>
      <c r="K111" s="540">
        <v>9.828710031993543</v>
      </c>
      <c r="L111" s="540">
        <v>10.057398488314565</v>
      </c>
      <c r="M111" s="540">
        <v>10.287025498062881</v>
      </c>
      <c r="N111" s="540">
        <v>10.514277156257021</v>
      </c>
      <c r="O111" s="540">
        <v>10.739702572311792</v>
      </c>
      <c r="P111" s="540">
        <v>10.963921061539795</v>
      </c>
      <c r="Q111" s="540">
        <v>11.186666294755193</v>
      </c>
      <c r="R111" s="540">
        <v>11.405386100461952</v>
      </c>
      <c r="S111" s="540">
        <v>11.623403907218655</v>
      </c>
      <c r="T111" s="540">
        <v>11.840257262884021</v>
      </c>
      <c r="U111" s="540">
        <v>12.055498777774901</v>
      </c>
      <c r="V111" s="540">
        <v>12.270584060696306</v>
      </c>
      <c r="W111" s="540">
        <v>12.48386012213787</v>
      </c>
      <c r="X111" s="540">
        <v>12.693497026761245</v>
      </c>
      <c r="Y111" s="540">
        <v>12.898437004662901</v>
      </c>
      <c r="Z111" s="540">
        <v>13.10007229787427</v>
      </c>
      <c r="AA111" s="540">
        <v>13.30046094075526</v>
      </c>
      <c r="AB111" s="540">
        <v>13.50270188120815</v>
      </c>
      <c r="AC111" s="540">
        <v>13.702018939289578</v>
      </c>
      <c r="AD111" s="540">
        <v>13.898190049039679</v>
      </c>
      <c r="AE111" s="540">
        <v>14.090993972362494</v>
      </c>
      <c r="AF111" s="540">
        <v>14.280210704518634</v>
      </c>
    </row>
    <row r="112" spans="1:32" x14ac:dyDescent="0.25">
      <c r="A112" s="839"/>
      <c r="B112" s="552" t="s">
        <v>29</v>
      </c>
      <c r="C112" s="539"/>
      <c r="D112" s="539"/>
      <c r="E112" s="539"/>
      <c r="F112" s="539"/>
      <c r="G112" s="540">
        <v>0.28885216045006284</v>
      </c>
      <c r="H112" s="540">
        <v>0.69652158891091864</v>
      </c>
      <c r="I112" s="540">
        <v>1.1061267802438208</v>
      </c>
      <c r="J112" s="540">
        <v>1.5173790764682011</v>
      </c>
      <c r="K112" s="540">
        <v>1.9260130512515021</v>
      </c>
      <c r="L112" s="540">
        <v>2.3495435284353046</v>
      </c>
      <c r="M112" s="540">
        <v>2.7871726895238549</v>
      </c>
      <c r="N112" s="540">
        <v>3.2365823719719979</v>
      </c>
      <c r="O112" s="540">
        <v>3.6978006371321333</v>
      </c>
      <c r="P112" s="540">
        <v>4.1709933957173106</v>
      </c>
      <c r="Q112" s="540">
        <v>4.6557123313023219</v>
      </c>
      <c r="R112" s="540">
        <v>5.1495781068139248</v>
      </c>
      <c r="S112" s="540">
        <v>5.654953235023461</v>
      </c>
      <c r="T112" s="540">
        <v>6.1712532387617953</v>
      </c>
      <c r="U112" s="540">
        <v>6.6978496149323812</v>
      </c>
      <c r="V112" s="540">
        <v>7.2358932944784655</v>
      </c>
      <c r="W112" s="540">
        <v>7.7836311814347292</v>
      </c>
      <c r="X112" s="540">
        <v>8.3389169495894908</v>
      </c>
      <c r="Y112" s="540">
        <v>8.9001942020213711</v>
      </c>
      <c r="Z112" s="540">
        <v>9.4684563214252737</v>
      </c>
      <c r="AA112" s="540">
        <v>10.045627427432349</v>
      </c>
      <c r="AB112" s="540">
        <v>10.635094179550469</v>
      </c>
      <c r="AC112" s="540">
        <v>11.231294230799124</v>
      </c>
      <c r="AD112" s="540">
        <v>11.833616457818463</v>
      </c>
      <c r="AE112" s="540">
        <v>12.441428942774857</v>
      </c>
      <c r="AF112" s="540">
        <v>13.054080010646713</v>
      </c>
    </row>
    <row r="113" spans="1:32" x14ac:dyDescent="0.25">
      <c r="A113" s="839"/>
      <c r="B113" s="552" t="s">
        <v>53</v>
      </c>
      <c r="C113" s="539"/>
      <c r="D113" s="539"/>
      <c r="E113" s="539"/>
      <c r="F113" s="539"/>
      <c r="G113" s="540">
        <v>0.28847263183885269</v>
      </c>
      <c r="H113" s="540">
        <v>0.29545789211235463</v>
      </c>
      <c r="I113" s="540">
        <v>0.30272799296786412</v>
      </c>
      <c r="J113" s="540">
        <v>0.31020291819245593</v>
      </c>
      <c r="K113" s="540">
        <v>0.3176008939133772</v>
      </c>
      <c r="L113" s="540">
        <v>0.32507780569627343</v>
      </c>
      <c r="M113" s="540">
        <v>0.33258797133922952</v>
      </c>
      <c r="N113" s="540">
        <v>0.34002387010713758</v>
      </c>
      <c r="O113" s="540">
        <v>0.34740326384135678</v>
      </c>
      <c r="P113" s="540">
        <v>0.35474621178003907</v>
      </c>
      <c r="Q113" s="540">
        <v>0.36204403229561621</v>
      </c>
      <c r="R113" s="540">
        <v>0.36921378737861049</v>
      </c>
      <c r="S113" s="540">
        <v>0.37636335607700627</v>
      </c>
      <c r="T113" s="540">
        <v>0.3834776903092717</v>
      </c>
      <c r="U113" s="540">
        <v>0.39054221778069542</v>
      </c>
      <c r="V113" s="540">
        <v>0.39760422259551054</v>
      </c>
      <c r="W113" s="540">
        <v>0.40460994421010321</v>
      </c>
      <c r="X113" s="540">
        <v>0.41149981820045223</v>
      </c>
      <c r="Y113" s="540">
        <v>0.41823934862077888</v>
      </c>
      <c r="Z113" s="540">
        <v>0.42487373470575845</v>
      </c>
      <c r="AA113" s="540">
        <v>0.43146988665884356</v>
      </c>
      <c r="AB113" s="540">
        <v>0.43812866004134488</v>
      </c>
      <c r="AC113" s="540">
        <v>0.44469457275453556</v>
      </c>
      <c r="AD113" s="540">
        <v>0.45116032835622788</v>
      </c>
      <c r="AE113" s="540">
        <v>0.45751865196007013</v>
      </c>
      <c r="AF113" s="540">
        <v>0.46376230356112597</v>
      </c>
    </row>
    <row r="114" spans="1:32" x14ac:dyDescent="0.25">
      <c r="A114" s="838"/>
      <c r="B114" s="539"/>
      <c r="C114" s="539"/>
      <c r="D114" s="539"/>
      <c r="E114" s="539"/>
      <c r="F114" s="539"/>
      <c r="G114" s="539"/>
      <c r="H114" s="539"/>
      <c r="I114" s="539"/>
      <c r="J114" s="539"/>
      <c r="K114" s="539"/>
      <c r="L114" s="539"/>
      <c r="M114" s="539"/>
      <c r="N114" s="539"/>
      <c r="O114" s="539"/>
      <c r="P114" s="539"/>
      <c r="Q114" s="539"/>
      <c r="R114" s="539"/>
      <c r="S114" s="539"/>
      <c r="T114" s="539"/>
      <c r="U114" s="539"/>
      <c r="V114" s="539"/>
      <c r="W114" s="539"/>
      <c r="X114" s="539"/>
      <c r="Y114" s="539"/>
      <c r="Z114" s="539"/>
      <c r="AA114" s="539"/>
      <c r="AB114" s="539"/>
      <c r="AC114" s="539"/>
      <c r="AD114" s="539"/>
      <c r="AE114" s="539"/>
      <c r="AF114" s="539"/>
    </row>
    <row r="115" spans="1:32" x14ac:dyDescent="0.25">
      <c r="A115" s="838"/>
      <c r="B115" s="539"/>
      <c r="C115" s="539"/>
      <c r="D115" s="539"/>
      <c r="E115" s="539"/>
      <c r="F115" s="539"/>
      <c r="G115" s="539"/>
      <c r="H115" s="539"/>
      <c r="I115" s="539"/>
      <c r="J115" s="539"/>
      <c r="K115" s="539"/>
      <c r="L115" s="539"/>
      <c r="M115" s="539"/>
      <c r="N115" s="539"/>
      <c r="O115" s="539"/>
      <c r="P115" s="539"/>
      <c r="Q115" s="539"/>
      <c r="R115" s="539"/>
      <c r="S115" s="539"/>
      <c r="T115" s="539"/>
      <c r="U115" s="539"/>
      <c r="V115" s="539"/>
      <c r="W115" s="539"/>
      <c r="X115" s="539"/>
      <c r="Y115" s="539"/>
      <c r="Z115" s="539"/>
      <c r="AA115" s="539"/>
      <c r="AB115" s="539"/>
      <c r="AC115" s="539"/>
      <c r="AD115" s="539"/>
      <c r="AE115" s="539"/>
      <c r="AF115" s="539"/>
    </row>
    <row r="116" spans="1:32" s="539" customFormat="1" x14ac:dyDescent="0.25">
      <c r="A116" s="860" t="s">
        <v>273</v>
      </c>
      <c r="B116" s="555"/>
      <c r="C116" s="554"/>
      <c r="D116" s="553"/>
      <c r="E116" s="553"/>
      <c r="F116" s="553"/>
      <c r="G116" s="553" t="s">
        <v>700</v>
      </c>
      <c r="H116" s="560"/>
      <c r="I116" s="560"/>
      <c r="J116" s="560"/>
      <c r="K116" s="560"/>
      <c r="L116" s="560"/>
      <c r="M116" s="560"/>
      <c r="N116" s="560"/>
      <c r="O116" s="560"/>
      <c r="P116" s="560"/>
      <c r="Q116" s="560"/>
      <c r="R116" s="560"/>
      <c r="S116" s="560"/>
      <c r="T116" s="560"/>
      <c r="U116" s="560"/>
      <c r="V116" s="560"/>
      <c r="W116" s="560"/>
      <c r="X116" s="560"/>
      <c r="Y116" s="560"/>
      <c r="Z116" s="560"/>
      <c r="AA116" s="560"/>
      <c r="AB116" s="560"/>
      <c r="AC116" s="560"/>
      <c r="AD116" s="560"/>
      <c r="AE116" s="560"/>
      <c r="AF116" s="560"/>
    </row>
    <row r="117" spans="1:32" s="539" customFormat="1" x14ac:dyDescent="0.25">
      <c r="A117" s="840" t="s">
        <v>12</v>
      </c>
      <c r="B117" s="550"/>
    </row>
    <row r="118" spans="1:32" s="539" customFormat="1" x14ac:dyDescent="0.25">
      <c r="A118" s="839"/>
      <c r="B118" s="550" t="s">
        <v>20</v>
      </c>
    </row>
    <row r="119" spans="1:32" s="202" customFormat="1" ht="12.75" x14ac:dyDescent="0.2">
      <c r="A119" s="843" t="s">
        <v>21</v>
      </c>
      <c r="B119" s="556"/>
      <c r="C119" s="556"/>
      <c r="D119" s="556"/>
      <c r="E119" s="556"/>
      <c r="F119" s="556"/>
      <c r="G119" s="556"/>
      <c r="H119" s="556"/>
      <c r="I119" s="556"/>
      <c r="J119" s="556"/>
      <c r="K119" s="556"/>
      <c r="L119" s="556"/>
      <c r="M119" s="556"/>
      <c r="N119" s="556"/>
      <c r="O119" s="556"/>
      <c r="P119" s="556"/>
      <c r="Q119" s="556"/>
      <c r="R119" s="556"/>
      <c r="S119" s="556"/>
      <c r="T119" s="556"/>
      <c r="U119" s="556"/>
      <c r="V119" s="556"/>
      <c r="W119" s="556"/>
      <c r="X119" s="556"/>
      <c r="Y119" s="556"/>
      <c r="Z119" s="556"/>
      <c r="AA119" s="556"/>
      <c r="AB119" s="556"/>
      <c r="AC119" s="556"/>
      <c r="AD119" s="556"/>
      <c r="AE119" s="556"/>
      <c r="AF119" s="556"/>
    </row>
    <row r="120" spans="1:32" x14ac:dyDescent="0.25">
      <c r="A120" s="839"/>
      <c r="B120" s="550" t="s">
        <v>22</v>
      </c>
      <c r="C120" s="539"/>
      <c r="D120" s="539"/>
      <c r="E120" s="539"/>
      <c r="F120" s="539"/>
      <c r="G120" s="540"/>
      <c r="H120" s="540">
        <v>44837.914612657136</v>
      </c>
      <c r="I120" s="540">
        <v>38999.50707691977</v>
      </c>
      <c r="J120" s="540">
        <v>26567.222582619583</v>
      </c>
      <c r="K120" s="540">
        <v>18983.568291694581</v>
      </c>
      <c r="L120" s="540">
        <v>12643.641281253687</v>
      </c>
      <c r="M120" s="540">
        <v>5043.1697008987885</v>
      </c>
      <c r="N120" s="540">
        <v>4570.5339526150501</v>
      </c>
      <c r="O120" s="540">
        <v>4289.2333781520365</v>
      </c>
      <c r="P120" s="540">
        <v>4127.9001918604381</v>
      </c>
      <c r="Q120" s="540">
        <v>4043.0885888300645</v>
      </c>
      <c r="R120" s="540">
        <v>4006.3843899432654</v>
      </c>
      <c r="S120" s="540">
        <v>4003.9928962435174</v>
      </c>
      <c r="T120" s="540">
        <v>4023.858721377228</v>
      </c>
      <c r="U120" s="540">
        <v>4058.5147789082203</v>
      </c>
      <c r="V120" s="540">
        <v>4104.2837095689829</v>
      </c>
      <c r="W120" s="540">
        <v>4156.3130100337985</v>
      </c>
      <c r="X120" s="540">
        <v>4211.435606652838</v>
      </c>
      <c r="Y120" s="540">
        <v>4267.8685056588893</v>
      </c>
      <c r="Z120" s="540">
        <v>4325.934707630513</v>
      </c>
      <c r="AA120" s="540">
        <v>4386.1218025414582</v>
      </c>
      <c r="AB120" s="540">
        <v>4449.6330840211122</v>
      </c>
      <c r="AC120" s="540">
        <v>4511.7440310413567</v>
      </c>
      <c r="AD120" s="540">
        <v>4573.1645573552551</v>
      </c>
      <c r="AE120" s="540">
        <v>4633.6867215322372</v>
      </c>
      <c r="AF120" s="540">
        <v>4693.1454266641003</v>
      </c>
    </row>
    <row r="121" spans="1:32" x14ac:dyDescent="0.25">
      <c r="A121" s="839"/>
      <c r="B121" s="550" t="s">
        <v>26</v>
      </c>
      <c r="C121" s="539"/>
      <c r="D121" s="539"/>
      <c r="E121" s="539"/>
      <c r="F121" s="539"/>
      <c r="G121" s="540"/>
      <c r="H121" s="540">
        <v>833.06639973422523</v>
      </c>
      <c r="I121" s="540">
        <v>3535.0910549495461</v>
      </c>
      <c r="J121" s="540">
        <v>10625.632666333753</v>
      </c>
      <c r="K121" s="540">
        <v>15105.793926772449</v>
      </c>
      <c r="L121" s="540">
        <v>16504.864639222451</v>
      </c>
      <c r="M121" s="540">
        <v>18357.437991959574</v>
      </c>
      <c r="N121" s="540">
        <v>16906.764987579296</v>
      </c>
      <c r="O121" s="540">
        <v>16058.290122036087</v>
      </c>
      <c r="P121" s="540">
        <v>15588.299869367538</v>
      </c>
      <c r="Q121" s="540">
        <v>15357.450024933991</v>
      </c>
      <c r="R121" s="540">
        <v>15268.582188878428</v>
      </c>
      <c r="S121" s="540">
        <v>15298.255780013609</v>
      </c>
      <c r="T121" s="540">
        <v>15396.118349595214</v>
      </c>
      <c r="U121" s="540">
        <v>15538.695123881618</v>
      </c>
      <c r="V121" s="540">
        <v>15720.957399856654</v>
      </c>
      <c r="W121" s="540">
        <v>15917.150928233454</v>
      </c>
      <c r="X121" s="540">
        <v>16116.417109474713</v>
      </c>
      <c r="Y121" s="540">
        <v>16315.506453604272</v>
      </c>
      <c r="Z121" s="540">
        <v>16523.755279517922</v>
      </c>
      <c r="AA121" s="540">
        <v>16745.262865595349</v>
      </c>
      <c r="AB121" s="540">
        <v>16987.804255197723</v>
      </c>
      <c r="AC121" s="540">
        <v>17209.688238421455</v>
      </c>
      <c r="AD121" s="540">
        <v>17428.140533843027</v>
      </c>
      <c r="AE121" s="540">
        <v>17642.469859867644</v>
      </c>
      <c r="AF121" s="540">
        <v>17852.120945075156</v>
      </c>
    </row>
    <row r="122" spans="1:32" x14ac:dyDescent="0.25">
      <c r="A122" s="839"/>
      <c r="B122" s="550" t="s">
        <v>27</v>
      </c>
      <c r="C122" s="539"/>
      <c r="D122" s="539"/>
      <c r="E122" s="539"/>
      <c r="F122" s="539"/>
      <c r="G122" s="540"/>
      <c r="H122" s="540">
        <v>17841.134684323191</v>
      </c>
      <c r="I122" s="540">
        <v>18927.735580624809</v>
      </c>
      <c r="J122" s="540">
        <v>22405.146576095813</v>
      </c>
      <c r="K122" s="540">
        <v>22317.56112926151</v>
      </c>
      <c r="L122" s="540">
        <v>24343.619490606012</v>
      </c>
      <c r="M122" s="540">
        <v>26957.738328902804</v>
      </c>
      <c r="N122" s="540">
        <v>25210.842953464602</v>
      </c>
      <c r="O122" s="540">
        <v>24214.275951133102</v>
      </c>
      <c r="P122" s="540">
        <v>23690.782911662151</v>
      </c>
      <c r="Q122" s="540">
        <v>23462.460847506074</v>
      </c>
      <c r="R122" s="540">
        <v>23395.546576780922</v>
      </c>
      <c r="S122" s="540">
        <v>23493.671258659539</v>
      </c>
      <c r="T122" s="540">
        <v>23673.696514192714</v>
      </c>
      <c r="U122" s="540">
        <v>23906.417135732187</v>
      </c>
      <c r="V122" s="540">
        <v>24196.326799916285</v>
      </c>
      <c r="W122" s="540">
        <v>24494.105771284449</v>
      </c>
      <c r="X122" s="540">
        <v>24784.760214651353</v>
      </c>
      <c r="Y122" s="540">
        <v>25068.124437000792</v>
      </c>
      <c r="Z122" s="540">
        <v>25369.507694569151</v>
      </c>
      <c r="AA122" s="540">
        <v>25698.233535152962</v>
      </c>
      <c r="AB122" s="540">
        <v>26070.544966467951</v>
      </c>
      <c r="AC122" s="540">
        <v>26390.404979818049</v>
      </c>
      <c r="AD122" s="540">
        <v>26703.920067114665</v>
      </c>
      <c r="AE122" s="540">
        <v>27010.168380655698</v>
      </c>
      <c r="AF122" s="540">
        <v>27308.399451835598</v>
      </c>
    </row>
    <row r="123" spans="1:32" x14ac:dyDescent="0.25">
      <c r="A123" s="839"/>
      <c r="B123" s="550" t="s">
        <v>29</v>
      </c>
      <c r="C123" s="539"/>
      <c r="D123" s="539"/>
      <c r="E123" s="539"/>
      <c r="F123" s="539"/>
      <c r="G123" s="540"/>
      <c r="H123" s="540">
        <v>22.951415383821701</v>
      </c>
      <c r="I123" s="540">
        <v>24.312658666150678</v>
      </c>
      <c r="J123" s="540">
        <v>19.344568107147843</v>
      </c>
      <c r="K123" s="540">
        <v>19.38488956095669</v>
      </c>
      <c r="L123" s="540">
        <v>20.920981920241307</v>
      </c>
      <c r="M123" s="540">
        <v>22.606977632840881</v>
      </c>
      <c r="N123" s="540">
        <v>22.90373467641141</v>
      </c>
      <c r="O123" s="540">
        <v>23.214029499139929</v>
      </c>
      <c r="P123" s="540">
        <v>23.540921996230711</v>
      </c>
      <c r="Q123" s="540">
        <v>23.858010315164737</v>
      </c>
      <c r="R123" s="540">
        <v>24.094074498928467</v>
      </c>
      <c r="S123" s="540">
        <v>24.427012300359223</v>
      </c>
      <c r="T123" s="540">
        <v>24.744847172236593</v>
      </c>
      <c r="U123" s="540">
        <v>25.047290195511071</v>
      </c>
      <c r="V123" s="540">
        <v>25.392689590169219</v>
      </c>
      <c r="W123" s="540">
        <v>25.68684453992757</v>
      </c>
      <c r="X123" s="540">
        <v>25.921555109660773</v>
      </c>
      <c r="Y123" s="540">
        <v>26.117847270231923</v>
      </c>
      <c r="Z123" s="540">
        <v>26.350241853908535</v>
      </c>
      <c r="AA123" s="540">
        <v>26.64173833510943</v>
      </c>
      <c r="AB123" s="540">
        <v>27.028130679016982</v>
      </c>
      <c r="AC123" s="540">
        <v>27.268914641916421</v>
      </c>
      <c r="AD123" s="540">
        <v>27.498378925194427</v>
      </c>
      <c r="AE123" s="540">
        <v>27.71617913543362</v>
      </c>
      <c r="AF123" s="540">
        <v>27.921984330021761</v>
      </c>
    </row>
    <row r="124" spans="1:32" x14ac:dyDescent="0.25">
      <c r="A124" s="839"/>
      <c r="B124" s="550"/>
      <c r="C124" s="539"/>
      <c r="D124" s="539"/>
      <c r="E124" s="539"/>
      <c r="F124" s="539"/>
      <c r="G124" s="540"/>
      <c r="H124" s="540" t="s">
        <v>73</v>
      </c>
      <c r="I124" s="540" t="s">
        <v>73</v>
      </c>
      <c r="J124" s="540" t="s">
        <v>73</v>
      </c>
      <c r="K124" s="540" t="s">
        <v>73</v>
      </c>
      <c r="L124" s="540" t="s">
        <v>73</v>
      </c>
      <c r="M124" s="540" t="s">
        <v>73</v>
      </c>
      <c r="N124" s="540" t="s">
        <v>73</v>
      </c>
      <c r="O124" s="540" t="s">
        <v>73</v>
      </c>
      <c r="P124" s="540" t="s">
        <v>73</v>
      </c>
      <c r="Q124" s="540" t="s">
        <v>73</v>
      </c>
      <c r="R124" s="540" t="s">
        <v>73</v>
      </c>
      <c r="S124" s="540" t="s">
        <v>73</v>
      </c>
      <c r="T124" s="540" t="s">
        <v>73</v>
      </c>
      <c r="U124" s="540" t="s">
        <v>73</v>
      </c>
      <c r="V124" s="540" t="s">
        <v>73</v>
      </c>
      <c r="W124" s="540" t="s">
        <v>73</v>
      </c>
      <c r="X124" s="540" t="s">
        <v>73</v>
      </c>
      <c r="Y124" s="540" t="s">
        <v>73</v>
      </c>
      <c r="Z124" s="540" t="s">
        <v>73</v>
      </c>
      <c r="AA124" s="540" t="s">
        <v>73</v>
      </c>
      <c r="AB124" s="540" t="s">
        <v>73</v>
      </c>
      <c r="AC124" s="540" t="s">
        <v>73</v>
      </c>
      <c r="AD124" s="540" t="s">
        <v>73</v>
      </c>
      <c r="AE124" s="540" t="s">
        <v>73</v>
      </c>
      <c r="AF124" s="540" t="s">
        <v>73</v>
      </c>
    </row>
    <row r="125" spans="1:32" s="202" customFormat="1" ht="12.75" x14ac:dyDescent="0.2">
      <c r="A125" s="843" t="s">
        <v>32</v>
      </c>
      <c r="B125" s="556"/>
      <c r="C125" s="556"/>
      <c r="D125" s="556"/>
      <c r="E125" s="556"/>
      <c r="F125" s="556"/>
      <c r="G125" s="547"/>
      <c r="H125" s="547" t="s">
        <v>73</v>
      </c>
      <c r="I125" s="547" t="s">
        <v>73</v>
      </c>
      <c r="J125" s="547" t="s">
        <v>73</v>
      </c>
      <c r="K125" s="547" t="s">
        <v>73</v>
      </c>
      <c r="L125" s="547" t="s">
        <v>73</v>
      </c>
      <c r="M125" s="547" t="s">
        <v>73</v>
      </c>
      <c r="N125" s="547" t="s">
        <v>73</v>
      </c>
      <c r="O125" s="547" t="s">
        <v>73</v>
      </c>
      <c r="P125" s="547" t="s">
        <v>73</v>
      </c>
      <c r="Q125" s="547" t="s">
        <v>73</v>
      </c>
      <c r="R125" s="547" t="s">
        <v>73</v>
      </c>
      <c r="S125" s="547" t="s">
        <v>73</v>
      </c>
      <c r="T125" s="547" t="s">
        <v>73</v>
      </c>
      <c r="U125" s="547" t="s">
        <v>73</v>
      </c>
      <c r="V125" s="547" t="s">
        <v>73</v>
      </c>
      <c r="W125" s="547" t="s">
        <v>73</v>
      </c>
      <c r="X125" s="547" t="s">
        <v>73</v>
      </c>
      <c r="Y125" s="547" t="s">
        <v>73</v>
      </c>
      <c r="Z125" s="547" t="s">
        <v>73</v>
      </c>
      <c r="AA125" s="547" t="s">
        <v>73</v>
      </c>
      <c r="AB125" s="547" t="s">
        <v>73</v>
      </c>
      <c r="AC125" s="547" t="s">
        <v>73</v>
      </c>
      <c r="AD125" s="547" t="s">
        <v>73</v>
      </c>
      <c r="AE125" s="547" t="s">
        <v>73</v>
      </c>
      <c r="AF125" s="547" t="s">
        <v>73</v>
      </c>
    </row>
    <row r="126" spans="1:32" x14ac:dyDescent="0.25">
      <c r="A126" s="839"/>
      <c r="B126" s="550" t="s">
        <v>33</v>
      </c>
      <c r="C126" s="539"/>
      <c r="D126" s="539"/>
      <c r="E126" s="539"/>
      <c r="F126" s="539"/>
      <c r="G126" s="540"/>
      <c r="H126" s="540">
        <v>3865.6232142185427</v>
      </c>
      <c r="I126" s="540">
        <v>4139.6425343441306</v>
      </c>
      <c r="J126" s="540">
        <v>4477.3728431281397</v>
      </c>
      <c r="K126" s="540">
        <v>4862.364687212922</v>
      </c>
      <c r="L126" s="540">
        <v>4954.4324866291254</v>
      </c>
      <c r="M126" s="540">
        <v>5049.5113433250717</v>
      </c>
      <c r="N126" s="540">
        <v>5143.7620195581094</v>
      </c>
      <c r="O126" s="540">
        <v>5239.8649358055391</v>
      </c>
      <c r="P126" s="540">
        <v>5337.7231950319947</v>
      </c>
      <c r="Q126" s="540">
        <v>5436.177102069285</v>
      </c>
      <c r="R126" s="540">
        <v>5531.9573328512233</v>
      </c>
      <c r="S126" s="540">
        <v>5631.0343253799792</v>
      </c>
      <c r="T126" s="540">
        <v>5730.068325080897</v>
      </c>
      <c r="U126" s="540">
        <v>5828.7290778348852</v>
      </c>
      <c r="V126" s="540">
        <v>5929.1008209763177</v>
      </c>
      <c r="W126" s="540">
        <v>6027.8744426595131</v>
      </c>
      <c r="X126" s="540">
        <v>6123.96308771028</v>
      </c>
      <c r="Y126" s="540">
        <v>6217.4041143044205</v>
      </c>
      <c r="Z126" s="540">
        <v>6310.7384896097237</v>
      </c>
      <c r="AA126" s="540">
        <v>6405.4391395663306</v>
      </c>
      <c r="AB126" s="540">
        <v>6503.7848400657622</v>
      </c>
      <c r="AC126" s="540">
        <v>6597.262107465489</v>
      </c>
      <c r="AD126" s="540">
        <v>6689.3188063033285</v>
      </c>
      <c r="AE126" s="540">
        <v>6779.8253934761879</v>
      </c>
      <c r="AF126" s="540">
        <v>6868.6564471833944</v>
      </c>
    </row>
    <row r="127" spans="1:32" x14ac:dyDescent="0.25">
      <c r="A127" s="842"/>
      <c r="B127" s="552" t="s">
        <v>34</v>
      </c>
      <c r="C127" s="539"/>
      <c r="D127" s="539"/>
      <c r="E127" s="539"/>
      <c r="F127" s="539"/>
      <c r="G127" s="540"/>
      <c r="H127" s="540">
        <v>5561.1086206951977</v>
      </c>
      <c r="I127" s="540">
        <v>5447.4572147910885</v>
      </c>
      <c r="J127" s="540">
        <v>5303.7235334097095</v>
      </c>
      <c r="K127" s="540">
        <v>5113.0008799635843</v>
      </c>
      <c r="L127" s="540">
        <v>5210.7111630419704</v>
      </c>
      <c r="M127" s="540">
        <v>5309.636752337844</v>
      </c>
      <c r="N127" s="540">
        <v>5404.11934657447</v>
      </c>
      <c r="O127" s="540">
        <v>5500.7432795721352</v>
      </c>
      <c r="P127" s="540">
        <v>5599.5356693964823</v>
      </c>
      <c r="Q127" s="540">
        <v>5698.4938972176342</v>
      </c>
      <c r="R127" s="540">
        <v>5792.0908683728076</v>
      </c>
      <c r="S127" s="540">
        <v>5892.1865219464398</v>
      </c>
      <c r="T127" s="540">
        <v>5991.6863931004827</v>
      </c>
      <c r="U127" s="540">
        <v>6090.2871430072628</v>
      </c>
      <c r="V127" s="540">
        <v>6191.9903509543983</v>
      </c>
      <c r="W127" s="540">
        <v>6290.3850842336687</v>
      </c>
      <c r="X127" s="540">
        <v>6384.2053883613007</v>
      </c>
      <c r="Y127" s="540">
        <v>6474.2607631834735</v>
      </c>
      <c r="Z127" s="540">
        <v>6565.5547215460701</v>
      </c>
      <c r="AA127" s="540">
        <v>6660.2418322971471</v>
      </c>
      <c r="AB127" s="540">
        <v>6761.6632486120507</v>
      </c>
      <c r="AC127" s="540">
        <v>6853.3936189755641</v>
      </c>
      <c r="AD127" s="540">
        <v>6943.4471009370227</v>
      </c>
      <c r="AE127" s="540">
        <v>7031.6961768494357</v>
      </c>
      <c r="AF127" s="540">
        <v>7118.0174780305433</v>
      </c>
    </row>
    <row r="128" spans="1:32" x14ac:dyDescent="0.25">
      <c r="A128" s="839"/>
      <c r="B128" s="552" t="s">
        <v>35</v>
      </c>
      <c r="C128" s="539"/>
      <c r="D128" s="539"/>
      <c r="E128" s="539"/>
      <c r="F128" s="539"/>
      <c r="G128" s="540"/>
      <c r="H128" s="540">
        <v>1018.8738311903088</v>
      </c>
      <c r="I128" s="540">
        <v>1077.6872797638548</v>
      </c>
      <c r="J128" s="540">
        <v>1150.0861251460103</v>
      </c>
      <c r="K128" s="540">
        <v>1229.4518275161529</v>
      </c>
      <c r="L128" s="540">
        <v>1253.1396246393961</v>
      </c>
      <c r="M128" s="540">
        <v>1276.7002542790426</v>
      </c>
      <c r="N128" s="540">
        <v>1298.4246440237159</v>
      </c>
      <c r="O128" s="540">
        <v>1320.7055544167752</v>
      </c>
      <c r="P128" s="540">
        <v>1343.5772392198003</v>
      </c>
      <c r="Q128" s="540">
        <v>1366.3898048612714</v>
      </c>
      <c r="R128" s="540">
        <v>1387.3651049691482</v>
      </c>
      <c r="S128" s="540">
        <v>1410.5548342309767</v>
      </c>
      <c r="T128" s="540">
        <v>1433.4829479737539</v>
      </c>
      <c r="U128" s="540">
        <v>1456.0859519782257</v>
      </c>
      <c r="V128" s="540">
        <v>1479.7151234892156</v>
      </c>
      <c r="W128" s="540">
        <v>1502.1987884711064</v>
      </c>
      <c r="X128" s="540">
        <v>1523.2060830430642</v>
      </c>
      <c r="Y128" s="540">
        <v>1543.0972286277449</v>
      </c>
      <c r="Z128" s="540">
        <v>1563.5765642100439</v>
      </c>
      <c r="AA128" s="540">
        <v>1585.2923794974683</v>
      </c>
      <c r="AB128" s="540">
        <v>1609.2512020348531</v>
      </c>
      <c r="AC128" s="540">
        <v>1629.8969897345119</v>
      </c>
      <c r="AD128" s="540">
        <v>1650.1001998388456</v>
      </c>
      <c r="AE128" s="540">
        <v>1669.8320408142317</v>
      </c>
      <c r="AF128" s="540">
        <v>1689.0646790497517</v>
      </c>
    </row>
    <row r="129" spans="1:32" x14ac:dyDescent="0.25">
      <c r="A129" s="839"/>
      <c r="B129" s="552" t="s">
        <v>29</v>
      </c>
      <c r="C129" s="539"/>
      <c r="D129" s="539"/>
      <c r="E129" s="539"/>
      <c r="F129" s="539"/>
      <c r="G129" s="540"/>
      <c r="H129" s="540">
        <v>11.448352741771386</v>
      </c>
      <c r="I129" s="540">
        <v>11.805186859623742</v>
      </c>
      <c r="J129" s="540">
        <v>12.227002094730924</v>
      </c>
      <c r="K129" s="540">
        <v>12.588986634411533</v>
      </c>
      <c r="L129" s="540">
        <v>12.84127194830506</v>
      </c>
      <c r="M129" s="540">
        <v>13.071078138897587</v>
      </c>
      <c r="N129" s="540">
        <v>13.243307947045659</v>
      </c>
      <c r="O129" s="540">
        <v>13.423337964609194</v>
      </c>
      <c r="P129" s="540">
        <v>13.612919289821916</v>
      </c>
      <c r="Q129" s="540">
        <v>13.796896552535831</v>
      </c>
      <c r="R129" s="540">
        <v>13.934384320920991</v>
      </c>
      <c r="S129" s="540">
        <v>14.127457914556064</v>
      </c>
      <c r="T129" s="540">
        <v>14.311876408315511</v>
      </c>
      <c r="U129" s="540">
        <v>14.487466590914281</v>
      </c>
      <c r="V129" s="540">
        <v>14.687710802080266</v>
      </c>
      <c r="W129" s="540">
        <v>14.858554466984739</v>
      </c>
      <c r="X129" s="540">
        <v>14.995273752410352</v>
      </c>
      <c r="Y129" s="540">
        <v>15.109917578174388</v>
      </c>
      <c r="Z129" s="540">
        <v>15.245245914255591</v>
      </c>
      <c r="AA129" s="540">
        <v>15.414471803699495</v>
      </c>
      <c r="AB129" s="540">
        <v>15.638158324445524</v>
      </c>
      <c r="AC129" s="540">
        <v>15.778297155659386</v>
      </c>
      <c r="AD129" s="540">
        <v>15.911916775461936</v>
      </c>
      <c r="AE129" s="540">
        <v>16.038816839621614</v>
      </c>
      <c r="AF129" s="540">
        <v>16.158804806899454</v>
      </c>
    </row>
    <row r="130" spans="1:32" x14ac:dyDescent="0.25">
      <c r="A130" s="839"/>
      <c r="B130" s="550"/>
      <c r="C130" s="539"/>
      <c r="D130" s="539"/>
      <c r="E130" s="539"/>
      <c r="F130" s="539"/>
      <c r="G130" s="540"/>
      <c r="H130" s="540" t="s">
        <v>73</v>
      </c>
      <c r="I130" s="540" t="s">
        <v>73</v>
      </c>
      <c r="J130" s="540" t="s">
        <v>73</v>
      </c>
      <c r="K130" s="540" t="s">
        <v>73</v>
      </c>
      <c r="L130" s="540" t="s">
        <v>73</v>
      </c>
      <c r="M130" s="540" t="s">
        <v>73</v>
      </c>
      <c r="N130" s="540" t="s">
        <v>73</v>
      </c>
      <c r="O130" s="540" t="s">
        <v>73</v>
      </c>
      <c r="P130" s="540" t="s">
        <v>73</v>
      </c>
      <c r="Q130" s="540" t="s">
        <v>73</v>
      </c>
      <c r="R130" s="540" t="s">
        <v>73</v>
      </c>
      <c r="S130" s="540" t="s">
        <v>73</v>
      </c>
      <c r="T130" s="540" t="s">
        <v>73</v>
      </c>
      <c r="U130" s="540" t="s">
        <v>73</v>
      </c>
      <c r="V130" s="540" t="s">
        <v>73</v>
      </c>
      <c r="W130" s="540" t="s">
        <v>73</v>
      </c>
      <c r="X130" s="540" t="s">
        <v>73</v>
      </c>
      <c r="Y130" s="540" t="s">
        <v>73</v>
      </c>
      <c r="Z130" s="540" t="s">
        <v>73</v>
      </c>
      <c r="AA130" s="540" t="s">
        <v>73</v>
      </c>
      <c r="AB130" s="540" t="s">
        <v>73</v>
      </c>
      <c r="AC130" s="540" t="s">
        <v>73</v>
      </c>
      <c r="AD130" s="540" t="s">
        <v>73</v>
      </c>
      <c r="AE130" s="540" t="s">
        <v>73</v>
      </c>
      <c r="AF130" s="540" t="s">
        <v>73</v>
      </c>
    </row>
    <row r="131" spans="1:32" s="202" customFormat="1" ht="12.75" x14ac:dyDescent="0.2">
      <c r="A131" s="843" t="s">
        <v>36</v>
      </c>
      <c r="B131" s="556"/>
      <c r="C131" s="556"/>
      <c r="D131" s="556"/>
      <c r="E131" s="556"/>
      <c r="F131" s="556"/>
      <c r="G131" s="547"/>
      <c r="H131" s="547" t="s">
        <v>73</v>
      </c>
      <c r="I131" s="547" t="s">
        <v>73</v>
      </c>
      <c r="J131" s="547" t="s">
        <v>73</v>
      </c>
      <c r="K131" s="547" t="s">
        <v>73</v>
      </c>
      <c r="L131" s="547" t="s">
        <v>73</v>
      </c>
      <c r="M131" s="547" t="s">
        <v>73</v>
      </c>
      <c r="N131" s="547" t="s">
        <v>73</v>
      </c>
      <c r="O131" s="547" t="s">
        <v>73</v>
      </c>
      <c r="P131" s="547" t="s">
        <v>73</v>
      </c>
      <c r="Q131" s="547" t="s">
        <v>73</v>
      </c>
      <c r="R131" s="547" t="s">
        <v>73</v>
      </c>
      <c r="S131" s="547" t="s">
        <v>73</v>
      </c>
      <c r="T131" s="547" t="s">
        <v>73</v>
      </c>
      <c r="U131" s="547" t="s">
        <v>73</v>
      </c>
      <c r="V131" s="547" t="s">
        <v>73</v>
      </c>
      <c r="W131" s="547" t="s">
        <v>73</v>
      </c>
      <c r="X131" s="547" t="s">
        <v>73</v>
      </c>
      <c r="Y131" s="547" t="s">
        <v>73</v>
      </c>
      <c r="Z131" s="547" t="s">
        <v>73</v>
      </c>
      <c r="AA131" s="547" t="s">
        <v>73</v>
      </c>
      <c r="AB131" s="547" t="s">
        <v>73</v>
      </c>
      <c r="AC131" s="547" t="s">
        <v>73</v>
      </c>
      <c r="AD131" s="547" t="s">
        <v>73</v>
      </c>
      <c r="AE131" s="547" t="s">
        <v>73</v>
      </c>
      <c r="AF131" s="547" t="s">
        <v>73</v>
      </c>
    </row>
    <row r="132" spans="1:32" x14ac:dyDescent="0.25">
      <c r="A132" s="839"/>
      <c r="B132" s="550" t="s">
        <v>37</v>
      </c>
      <c r="C132" s="539"/>
      <c r="D132" s="539"/>
      <c r="E132" s="539"/>
      <c r="F132" s="201"/>
      <c r="G132" s="540"/>
      <c r="H132" s="540">
        <v>774.2384979441905</v>
      </c>
      <c r="I132" s="540">
        <v>618.39787796388316</v>
      </c>
      <c r="J132" s="540">
        <v>472.84536710716225</v>
      </c>
      <c r="K132" s="540">
        <v>337.68070221109934</v>
      </c>
      <c r="L132" s="540">
        <v>301.419842463902</v>
      </c>
      <c r="M132" s="540">
        <v>266.5734248184533</v>
      </c>
      <c r="N132" s="540">
        <v>237.33999567852428</v>
      </c>
      <c r="O132" s="540">
        <v>220.22837924783519</v>
      </c>
      <c r="P132" s="540">
        <v>204.50995192019218</v>
      </c>
      <c r="Q132" s="540">
        <v>190.0570402081795</v>
      </c>
      <c r="R132" s="540">
        <v>176.73111836492652</v>
      </c>
      <c r="S132" s="540">
        <v>164.51697125729982</v>
      </c>
      <c r="T132" s="540">
        <v>153.2763157933652</v>
      </c>
      <c r="U132" s="540">
        <v>142.92848728875435</v>
      </c>
      <c r="V132" s="540">
        <v>133.42680231622455</v>
      </c>
      <c r="W132" s="540">
        <v>124.66116608004525</v>
      </c>
      <c r="X132" s="540">
        <v>116.56567437705812</v>
      </c>
      <c r="Y132" s="540">
        <v>109.09306117608739</v>
      </c>
      <c r="Z132" s="540">
        <v>102.22580564060431</v>
      </c>
      <c r="AA132" s="540">
        <v>95.927847480812815</v>
      </c>
      <c r="AB132" s="540">
        <v>90.173199099861236</v>
      </c>
      <c r="AC132" s="540">
        <v>84.812233266851436</v>
      </c>
      <c r="AD132" s="540">
        <v>79.868705121431773</v>
      </c>
      <c r="AE132" s="540">
        <v>75.308931818175679</v>
      </c>
      <c r="AF132" s="540">
        <v>71.101973907297932</v>
      </c>
    </row>
    <row r="133" spans="1:32" x14ac:dyDescent="0.25">
      <c r="A133" s="839"/>
      <c r="B133" s="550" t="s">
        <v>39</v>
      </c>
      <c r="C133" s="539"/>
      <c r="D133" s="539"/>
      <c r="E133" s="203"/>
      <c r="F133" s="539"/>
      <c r="G133" s="540"/>
      <c r="H133" s="540">
        <v>1838.9529168866275</v>
      </c>
      <c r="I133" s="540">
        <v>2024.0962910733895</v>
      </c>
      <c r="J133" s="540">
        <v>2197.9731601506624</v>
      </c>
      <c r="K133" s="540">
        <v>2347.8586199853348</v>
      </c>
      <c r="L133" s="540">
        <v>2431.1673503634647</v>
      </c>
      <c r="M133" s="540">
        <v>2510.6844016531304</v>
      </c>
      <c r="N133" s="540">
        <v>2576.1154405389898</v>
      </c>
      <c r="O133" s="540">
        <v>2631.2896328525389</v>
      </c>
      <c r="P133" s="540">
        <v>2686.4519610243169</v>
      </c>
      <c r="Q133" s="540">
        <v>2739.7809120568468</v>
      </c>
      <c r="R133" s="540">
        <v>2786.0006947492948</v>
      </c>
      <c r="S133" s="540">
        <v>2838.2548470846987</v>
      </c>
      <c r="T133" s="540">
        <v>2888.5615241933151</v>
      </c>
      <c r="U133" s="540">
        <v>2936.9163814349481</v>
      </c>
      <c r="V133" s="540">
        <v>2987.7036991079572</v>
      </c>
      <c r="W133" s="540">
        <v>3034.0647241429197</v>
      </c>
      <c r="X133" s="540">
        <v>3075.2702973687583</v>
      </c>
      <c r="Y133" s="540">
        <v>3112.7610971104073</v>
      </c>
      <c r="Z133" s="540">
        <v>3152.0593874579749</v>
      </c>
      <c r="AA133" s="540">
        <v>3195.0643675004112</v>
      </c>
      <c r="AB133" s="540">
        <v>3244.694047451404</v>
      </c>
      <c r="AC133" s="540">
        <v>3283.2601259843268</v>
      </c>
      <c r="AD133" s="540">
        <v>3320.388965197676</v>
      </c>
      <c r="AE133" s="540">
        <v>3356.0609014694992</v>
      </c>
      <c r="AF133" s="540">
        <v>3390.2553124051201</v>
      </c>
    </row>
    <row r="134" spans="1:32" x14ac:dyDescent="0.25">
      <c r="A134" s="839"/>
      <c r="B134" s="550" t="s">
        <v>40</v>
      </c>
      <c r="C134" s="539"/>
      <c r="D134" s="539"/>
      <c r="E134" s="539"/>
      <c r="F134" s="539"/>
      <c r="G134" s="540"/>
      <c r="H134" s="540">
        <v>209.76768301639038</v>
      </c>
      <c r="I134" s="540">
        <v>235.19478019649227</v>
      </c>
      <c r="J134" s="540">
        <v>258.88953967595256</v>
      </c>
      <c r="K134" s="540">
        <v>278.00538911387014</v>
      </c>
      <c r="L134" s="540">
        <v>287.80507530756501</v>
      </c>
      <c r="M134" s="540">
        <v>297.02669969658257</v>
      </c>
      <c r="N134" s="540">
        <v>305.75783923085584</v>
      </c>
      <c r="O134" s="540">
        <v>313.9395603556232</v>
      </c>
      <c r="P134" s="540">
        <v>322.0056895987795</v>
      </c>
      <c r="Q134" s="540">
        <v>329.75816958617992</v>
      </c>
      <c r="R134" s="540">
        <v>336.60127864724183</v>
      </c>
      <c r="S134" s="540">
        <v>344.0387830916859</v>
      </c>
      <c r="T134" s="540">
        <v>351.17333983366285</v>
      </c>
      <c r="U134" s="540">
        <v>358.00963425401665</v>
      </c>
      <c r="V134" s="540">
        <v>365.05296051374978</v>
      </c>
      <c r="W134" s="540">
        <v>371.5291554670859</v>
      </c>
      <c r="X134" s="540">
        <v>377.35594907095145</v>
      </c>
      <c r="Y134" s="540">
        <v>382.69781424253847</v>
      </c>
      <c r="Z134" s="540">
        <v>388.18615849725535</v>
      </c>
      <c r="AA134" s="540">
        <v>394.044635262128</v>
      </c>
      <c r="AB134" s="540">
        <v>400.61427084872179</v>
      </c>
      <c r="AC134" s="540">
        <v>405.88978517737343</v>
      </c>
      <c r="AD134" s="540">
        <v>410.95952331973888</v>
      </c>
      <c r="AE134" s="540">
        <v>415.82342576495341</v>
      </c>
      <c r="AF134" s="540">
        <v>420.48111333118834</v>
      </c>
    </row>
    <row r="135" spans="1:32" x14ac:dyDescent="0.25">
      <c r="A135" s="839"/>
      <c r="B135" s="550" t="s">
        <v>29</v>
      </c>
      <c r="C135" s="539"/>
      <c r="D135" s="539"/>
      <c r="E135" s="539"/>
      <c r="F135" s="539"/>
      <c r="G135" s="540"/>
      <c r="H135" s="540">
        <v>1.1622054249986259E-5</v>
      </c>
      <c r="I135" s="540">
        <v>1.1956694765283506E-5</v>
      </c>
      <c r="J135" s="540">
        <v>1.2258499243317314E-5</v>
      </c>
      <c r="K135" s="540">
        <v>1.2346107554713206E-5</v>
      </c>
      <c r="L135" s="540">
        <v>1.2521406757774108E-5</v>
      </c>
      <c r="M135" s="540">
        <v>1.2679799188834543E-5</v>
      </c>
      <c r="N135" s="540">
        <v>1.2835737689589258E-5</v>
      </c>
      <c r="O135" s="540">
        <v>1.2981377822383954E-5</v>
      </c>
      <c r="P135" s="540">
        <v>1.3137382587896588E-5</v>
      </c>
      <c r="Q135" s="540">
        <v>1.3288889252060475E-5</v>
      </c>
      <c r="R135" s="540">
        <v>1.3396241233631158E-5</v>
      </c>
      <c r="S135" s="540">
        <v>1.355833134618006E-5</v>
      </c>
      <c r="T135" s="540">
        <v>1.3712764416541374E-5</v>
      </c>
      <c r="U135" s="540">
        <v>1.3859358948379375E-5</v>
      </c>
      <c r="V135" s="540">
        <v>1.4030335746296887E-5</v>
      </c>
      <c r="W135" s="540">
        <v>1.4173568243240957E-5</v>
      </c>
      <c r="X135" s="540">
        <v>1.4284606191833483E-5</v>
      </c>
      <c r="Y135" s="540">
        <v>1.4375100417976094E-5</v>
      </c>
      <c r="Z135" s="540">
        <v>1.4486048750716327E-5</v>
      </c>
      <c r="AA135" s="540">
        <v>1.4629971166388384E-5</v>
      </c>
      <c r="AB135" s="540">
        <v>1.48263626117278E-5</v>
      </c>
      <c r="AC135" s="540">
        <v>1.4943240816158541E-5</v>
      </c>
      <c r="AD135" s="540">
        <v>1.5054337837210882E-5</v>
      </c>
      <c r="AE135" s="540">
        <v>1.5159455384045012E-5</v>
      </c>
      <c r="AF135" s="540">
        <v>1.525840403495797E-5</v>
      </c>
    </row>
    <row r="136" spans="1:32" x14ac:dyDescent="0.25">
      <c r="A136" s="839"/>
      <c r="B136" s="550"/>
      <c r="C136" s="539"/>
      <c r="D136" s="539"/>
      <c r="E136" s="539"/>
      <c r="F136" s="539"/>
      <c r="G136" s="540"/>
      <c r="H136" s="540" t="s">
        <v>73</v>
      </c>
      <c r="I136" s="540" t="s">
        <v>73</v>
      </c>
      <c r="J136" s="540" t="s">
        <v>73</v>
      </c>
      <c r="K136" s="540" t="s">
        <v>73</v>
      </c>
      <c r="L136" s="540" t="s">
        <v>73</v>
      </c>
      <c r="M136" s="540" t="s">
        <v>73</v>
      </c>
      <c r="N136" s="540" t="s">
        <v>73</v>
      </c>
      <c r="O136" s="540" t="s">
        <v>73</v>
      </c>
      <c r="P136" s="540" t="s">
        <v>73</v>
      </c>
      <c r="Q136" s="540" t="s">
        <v>73</v>
      </c>
      <c r="R136" s="540" t="s">
        <v>73</v>
      </c>
      <c r="S136" s="540" t="s">
        <v>73</v>
      </c>
      <c r="T136" s="540" t="s">
        <v>73</v>
      </c>
      <c r="U136" s="540" t="s">
        <v>73</v>
      </c>
      <c r="V136" s="540" t="s">
        <v>73</v>
      </c>
      <c r="W136" s="540" t="s">
        <v>73</v>
      </c>
      <c r="X136" s="540" t="s">
        <v>73</v>
      </c>
      <c r="Y136" s="540" t="s">
        <v>73</v>
      </c>
      <c r="Z136" s="540" t="s">
        <v>73</v>
      </c>
      <c r="AA136" s="540" t="s">
        <v>73</v>
      </c>
      <c r="AB136" s="540" t="s">
        <v>73</v>
      </c>
      <c r="AC136" s="540" t="s">
        <v>73</v>
      </c>
      <c r="AD136" s="540" t="s">
        <v>73</v>
      </c>
      <c r="AE136" s="540" t="s">
        <v>73</v>
      </c>
      <c r="AF136" s="540" t="s">
        <v>73</v>
      </c>
    </row>
    <row r="137" spans="1:32" s="202" customFormat="1" ht="12.75" x14ac:dyDescent="0.2">
      <c r="A137" s="843" t="s">
        <v>42</v>
      </c>
      <c r="B137" s="556"/>
      <c r="C137" s="556"/>
      <c r="D137" s="556"/>
      <c r="E137" s="556"/>
      <c r="F137" s="556"/>
      <c r="G137" s="547"/>
      <c r="H137" s="547" t="s">
        <v>73</v>
      </c>
      <c r="I137" s="547" t="s">
        <v>73</v>
      </c>
      <c r="J137" s="547" t="s">
        <v>73</v>
      </c>
      <c r="K137" s="547" t="s">
        <v>73</v>
      </c>
      <c r="L137" s="547" t="s">
        <v>73</v>
      </c>
      <c r="M137" s="547" t="s">
        <v>73</v>
      </c>
      <c r="N137" s="547" t="s">
        <v>73</v>
      </c>
      <c r="O137" s="547" t="s">
        <v>73</v>
      </c>
      <c r="P137" s="547" t="s">
        <v>73</v>
      </c>
      <c r="Q137" s="547" t="s">
        <v>73</v>
      </c>
      <c r="R137" s="547" t="s">
        <v>73</v>
      </c>
      <c r="S137" s="547" t="s">
        <v>73</v>
      </c>
      <c r="T137" s="547" t="s">
        <v>73</v>
      </c>
      <c r="U137" s="547" t="s">
        <v>73</v>
      </c>
      <c r="V137" s="547" t="s">
        <v>73</v>
      </c>
      <c r="W137" s="547" t="s">
        <v>73</v>
      </c>
      <c r="X137" s="547" t="s">
        <v>73</v>
      </c>
      <c r="Y137" s="547" t="s">
        <v>73</v>
      </c>
      <c r="Z137" s="547" t="s">
        <v>73</v>
      </c>
      <c r="AA137" s="547" t="s">
        <v>73</v>
      </c>
      <c r="AB137" s="547" t="s">
        <v>73</v>
      </c>
      <c r="AC137" s="547" t="s">
        <v>73</v>
      </c>
      <c r="AD137" s="547" t="s">
        <v>73</v>
      </c>
      <c r="AE137" s="547" t="s">
        <v>73</v>
      </c>
      <c r="AF137" s="547" t="s">
        <v>73</v>
      </c>
    </row>
    <row r="138" spans="1:32" x14ac:dyDescent="0.25">
      <c r="A138" s="839"/>
      <c r="B138" s="552" t="s">
        <v>43</v>
      </c>
      <c r="C138" s="539"/>
      <c r="D138" s="539"/>
      <c r="E138" s="539"/>
      <c r="F138" s="539"/>
      <c r="G138" s="540"/>
      <c r="H138" s="540">
        <v>0.4213873415852411</v>
      </c>
      <c r="I138" s="540">
        <v>0.40629824735725761</v>
      </c>
      <c r="J138" s="540">
        <v>0.39220068448810114</v>
      </c>
      <c r="K138" s="540">
        <v>0.37833011089028301</v>
      </c>
      <c r="L138" s="540">
        <v>0.36595544682131681</v>
      </c>
      <c r="M138" s="540">
        <v>0.35440416634577243</v>
      </c>
      <c r="N138" s="540">
        <v>0.34339652509062768</v>
      </c>
      <c r="O138" s="540">
        <v>0.33325025424754878</v>
      </c>
      <c r="P138" s="540">
        <v>0.32392623589789493</v>
      </c>
      <c r="Q138" s="540">
        <v>0.31528750706295128</v>
      </c>
      <c r="R138" s="540">
        <v>0.30704048394640365</v>
      </c>
      <c r="S138" s="540">
        <v>0.29974145485439574</v>
      </c>
      <c r="T138" s="540">
        <v>0.29298272159506711</v>
      </c>
      <c r="U138" s="540">
        <v>0.28672291065320954</v>
      </c>
      <c r="V138" s="540">
        <v>0.28112562089220677</v>
      </c>
      <c r="W138" s="540">
        <v>0.27584107381352313</v>
      </c>
      <c r="X138" s="540">
        <v>0.27080059561993053</v>
      </c>
      <c r="Y138" s="540">
        <v>0.26603739499955936</v>
      </c>
      <c r="Z138" s="540">
        <v>0.2617756702949588</v>
      </c>
      <c r="AA138" s="540">
        <v>0.25807759734855457</v>
      </c>
      <c r="AB138" s="540">
        <v>0.25505495050652882</v>
      </c>
      <c r="AC138" s="540">
        <v>0.25187319580763162</v>
      </c>
      <c r="AD138" s="540">
        <v>0.24894774157741467</v>
      </c>
      <c r="AE138" s="540">
        <v>0.24625675214952192</v>
      </c>
      <c r="AF138" s="540">
        <v>0.24377967921837029</v>
      </c>
    </row>
    <row r="139" spans="1:32" x14ac:dyDescent="0.25">
      <c r="A139" s="839"/>
      <c r="B139" s="552" t="s">
        <v>44</v>
      </c>
      <c r="C139" s="539"/>
      <c r="D139" s="539"/>
      <c r="E139" s="539"/>
      <c r="F139" s="539"/>
      <c r="G139" s="540"/>
      <c r="H139" s="540">
        <v>11.212005342176488</v>
      </c>
      <c r="I139" s="540">
        <v>12.058879384194807</v>
      </c>
      <c r="J139" s="540">
        <v>12.860562729316674</v>
      </c>
      <c r="K139" s="540">
        <v>13.523530264069135</v>
      </c>
      <c r="L139" s="540">
        <v>14.232465756355012</v>
      </c>
      <c r="M139" s="540">
        <v>14.905510437855193</v>
      </c>
      <c r="N139" s="540">
        <v>15.513659796855764</v>
      </c>
      <c r="O139" s="540">
        <v>16.109251918076843</v>
      </c>
      <c r="P139" s="540">
        <v>16.695278230089812</v>
      </c>
      <c r="Q139" s="540">
        <v>17.260743313370764</v>
      </c>
      <c r="R139" s="540">
        <v>17.772554252411087</v>
      </c>
      <c r="S139" s="540">
        <v>18.313780003613722</v>
      </c>
      <c r="T139" s="540">
        <v>18.83498622323367</v>
      </c>
      <c r="U139" s="540">
        <v>19.336399062419115</v>
      </c>
      <c r="V139" s="540">
        <v>19.846032178698177</v>
      </c>
      <c r="W139" s="540">
        <v>20.321118214011033</v>
      </c>
      <c r="X139" s="540">
        <v>20.756964853565719</v>
      </c>
      <c r="Y139" s="540">
        <v>21.162556449850371</v>
      </c>
      <c r="Z139" s="540">
        <v>21.572891669290872</v>
      </c>
      <c r="AA139" s="540">
        <v>22.000604321516768</v>
      </c>
      <c r="AB139" s="540">
        <v>22.46493959776916</v>
      </c>
      <c r="AC139" s="540">
        <v>22.854908193576023</v>
      </c>
      <c r="AD139" s="540">
        <v>23.230535014332705</v>
      </c>
      <c r="AE139" s="540">
        <v>23.591865451042914</v>
      </c>
      <c r="AF139" s="540">
        <v>23.938927323343179</v>
      </c>
    </row>
    <row r="140" spans="1:32" x14ac:dyDescent="0.25">
      <c r="A140" s="839"/>
      <c r="B140" s="552" t="s">
        <v>45</v>
      </c>
      <c r="C140" s="539"/>
      <c r="D140" s="539"/>
      <c r="E140" s="539"/>
      <c r="F140" s="539"/>
      <c r="G140" s="540"/>
      <c r="H140" s="540">
        <v>1.4205332300494524</v>
      </c>
      <c r="I140" s="540">
        <v>1.3362243767879618</v>
      </c>
      <c r="J140" s="540">
        <v>1.2572073401959583</v>
      </c>
      <c r="K140" s="540">
        <v>1.1829382409688975</v>
      </c>
      <c r="L140" s="540">
        <v>1.1134892941819388</v>
      </c>
      <c r="M140" s="540">
        <v>1.0483818702741339</v>
      </c>
      <c r="N140" s="540">
        <v>0.9872726657921278</v>
      </c>
      <c r="O140" s="540">
        <v>0.93001041309366783</v>
      </c>
      <c r="P140" s="540">
        <v>0.87635450080701671</v>
      </c>
      <c r="Q140" s="540">
        <v>0.82605078522997233</v>
      </c>
      <c r="R140" s="540">
        <v>0.77881382580916336</v>
      </c>
      <c r="S140" s="540">
        <v>0.73461965443946953</v>
      </c>
      <c r="T140" s="540">
        <v>0.69317341415607092</v>
      </c>
      <c r="U140" s="540">
        <v>0.65429975430637732</v>
      </c>
      <c r="V140" s="540">
        <v>0.61789360967881823</v>
      </c>
      <c r="W140" s="540">
        <v>0.58370953159733729</v>
      </c>
      <c r="X140" s="540">
        <v>0.55159437276793988</v>
      </c>
      <c r="Y140" s="540">
        <v>0.52143334319198764</v>
      </c>
      <c r="Z140" s="540">
        <v>0.49317502481723097</v>
      </c>
      <c r="AA140" s="540">
        <v>0.46672737058115982</v>
      </c>
      <c r="AB140" s="540">
        <v>0.44201953298022956</v>
      </c>
      <c r="AC140" s="540">
        <v>0.41871119739146173</v>
      </c>
      <c r="AD140" s="540">
        <v>0.39683527015897174</v>
      </c>
      <c r="AE140" s="540">
        <v>0.37630127193421337</v>
      </c>
      <c r="AF140" s="540">
        <v>0.35702444644383924</v>
      </c>
    </row>
    <row r="141" spans="1:32" x14ac:dyDescent="0.25">
      <c r="A141" s="839"/>
      <c r="B141" s="552" t="s">
        <v>46</v>
      </c>
      <c r="C141" s="539"/>
      <c r="D141" s="539"/>
      <c r="E141" s="539"/>
      <c r="F141" s="539"/>
      <c r="G141" s="540"/>
      <c r="H141" s="540">
        <v>0</v>
      </c>
      <c r="I141" s="540">
        <v>0</v>
      </c>
      <c r="J141" s="540">
        <v>0</v>
      </c>
      <c r="K141" s="540">
        <v>0</v>
      </c>
      <c r="L141" s="540">
        <v>0</v>
      </c>
      <c r="M141" s="540">
        <v>0</v>
      </c>
      <c r="N141" s="540">
        <v>0</v>
      </c>
      <c r="O141" s="540">
        <v>0</v>
      </c>
      <c r="P141" s="540">
        <v>0</v>
      </c>
      <c r="Q141" s="540">
        <v>0</v>
      </c>
      <c r="R141" s="540">
        <v>0</v>
      </c>
      <c r="S141" s="540">
        <v>0</v>
      </c>
      <c r="T141" s="540">
        <v>0</v>
      </c>
      <c r="U141" s="540">
        <v>0</v>
      </c>
      <c r="V141" s="540">
        <v>0</v>
      </c>
      <c r="W141" s="540">
        <v>0</v>
      </c>
      <c r="X141" s="540">
        <v>0</v>
      </c>
      <c r="Y141" s="540">
        <v>0</v>
      </c>
      <c r="Z141" s="540">
        <v>0</v>
      </c>
      <c r="AA141" s="540">
        <v>0</v>
      </c>
      <c r="AB141" s="540">
        <v>0</v>
      </c>
      <c r="AC141" s="540">
        <v>0</v>
      </c>
      <c r="AD141" s="540">
        <v>0</v>
      </c>
      <c r="AE141" s="540">
        <v>0</v>
      </c>
      <c r="AF141" s="540">
        <v>0</v>
      </c>
    </row>
    <row r="142" spans="1:32" x14ac:dyDescent="0.25">
      <c r="A142" s="839"/>
      <c r="B142" s="550" t="s">
        <v>29</v>
      </c>
      <c r="C142" s="539"/>
      <c r="D142" s="539"/>
      <c r="E142" s="539"/>
      <c r="F142" s="539"/>
      <c r="G142" s="540"/>
      <c r="H142" s="540">
        <v>0.23082750459071322</v>
      </c>
      <c r="I142" s="540">
        <v>0.23768640955663425</v>
      </c>
      <c r="J142" s="540">
        <v>0.24393163186334285</v>
      </c>
      <c r="K142" s="540">
        <v>0.2475969630279512</v>
      </c>
      <c r="L142" s="540">
        <v>0.25268086752571722</v>
      </c>
      <c r="M142" s="540">
        <v>0.25735850349890471</v>
      </c>
      <c r="N142" s="540">
        <v>0.26101470377507408</v>
      </c>
      <c r="O142" s="540">
        <v>0.26478048118541675</v>
      </c>
      <c r="P142" s="540">
        <v>0.26868951034218463</v>
      </c>
      <c r="Q142" s="540">
        <v>0.27248068522174917</v>
      </c>
      <c r="R142" s="540">
        <v>0.27544131036361946</v>
      </c>
      <c r="S142" s="540">
        <v>0.27934454183266721</v>
      </c>
      <c r="T142" s="540">
        <v>0.28308146557732305</v>
      </c>
      <c r="U142" s="540">
        <v>0.28664847540354466</v>
      </c>
      <c r="V142" s="540">
        <v>0.2906288371711086</v>
      </c>
      <c r="W142" s="540">
        <v>0.29408516346403024</v>
      </c>
      <c r="X142" s="540">
        <v>0.29693074826048121</v>
      </c>
      <c r="Y142" s="540">
        <v>0.29937089184880977</v>
      </c>
      <c r="Z142" s="540">
        <v>0.3021487467408116</v>
      </c>
      <c r="AA142" s="540">
        <v>0.30549954829137738</v>
      </c>
      <c r="AB142" s="540">
        <v>0.30978848437821066</v>
      </c>
      <c r="AC142" s="540">
        <v>0.31261889794837761</v>
      </c>
      <c r="AD142" s="540">
        <v>0.31532015193880319</v>
      </c>
      <c r="AE142" s="540">
        <v>0.31788862300407922</v>
      </c>
      <c r="AF142" s="540">
        <v>0.32032081221808673</v>
      </c>
    </row>
    <row r="143" spans="1:32" x14ac:dyDescent="0.25">
      <c r="A143" s="839"/>
      <c r="B143" s="550"/>
      <c r="C143" s="539"/>
      <c r="D143" s="539"/>
      <c r="E143" s="539"/>
      <c r="F143" s="539"/>
      <c r="G143" s="540"/>
      <c r="H143" s="540" t="s">
        <v>73</v>
      </c>
      <c r="I143" s="540" t="s">
        <v>73</v>
      </c>
      <c r="J143" s="540" t="s">
        <v>73</v>
      </c>
      <c r="K143" s="540" t="s">
        <v>73</v>
      </c>
      <c r="L143" s="540" t="s">
        <v>73</v>
      </c>
      <c r="M143" s="540" t="s">
        <v>73</v>
      </c>
      <c r="N143" s="540" t="s">
        <v>73</v>
      </c>
      <c r="O143" s="540" t="s">
        <v>73</v>
      </c>
      <c r="P143" s="540" t="s">
        <v>73</v>
      </c>
      <c r="Q143" s="540" t="s">
        <v>73</v>
      </c>
      <c r="R143" s="540" t="s">
        <v>73</v>
      </c>
      <c r="S143" s="540" t="s">
        <v>73</v>
      </c>
      <c r="T143" s="540" t="s">
        <v>73</v>
      </c>
      <c r="U143" s="540" t="s">
        <v>73</v>
      </c>
      <c r="V143" s="540" t="s">
        <v>73</v>
      </c>
      <c r="W143" s="540" t="s">
        <v>73</v>
      </c>
      <c r="X143" s="540" t="s">
        <v>73</v>
      </c>
      <c r="Y143" s="540" t="s">
        <v>73</v>
      </c>
      <c r="Z143" s="540" t="s">
        <v>73</v>
      </c>
      <c r="AA143" s="540" t="s">
        <v>73</v>
      </c>
      <c r="AB143" s="540" t="s">
        <v>73</v>
      </c>
      <c r="AC143" s="540" t="s">
        <v>73</v>
      </c>
      <c r="AD143" s="540" t="s">
        <v>73</v>
      </c>
      <c r="AE143" s="540" t="s">
        <v>73</v>
      </c>
      <c r="AF143" s="540" t="s">
        <v>73</v>
      </c>
    </row>
    <row r="144" spans="1:32" s="202" customFormat="1" ht="12.75" x14ac:dyDescent="0.2">
      <c r="A144" s="843" t="s">
        <v>47</v>
      </c>
      <c r="B144" s="556"/>
      <c r="C144" s="556"/>
      <c r="D144" s="556"/>
      <c r="E144" s="556"/>
      <c r="F144" s="556"/>
      <c r="G144" s="547"/>
      <c r="H144" s="547" t="s">
        <v>73</v>
      </c>
      <c r="I144" s="547" t="s">
        <v>73</v>
      </c>
      <c r="J144" s="547" t="s">
        <v>73</v>
      </c>
      <c r="K144" s="547" t="s">
        <v>73</v>
      </c>
      <c r="L144" s="547" t="s">
        <v>73</v>
      </c>
      <c r="M144" s="547" t="s">
        <v>73</v>
      </c>
      <c r="N144" s="547" t="s">
        <v>73</v>
      </c>
      <c r="O144" s="547" t="s">
        <v>73</v>
      </c>
      <c r="P144" s="547" t="s">
        <v>73</v>
      </c>
      <c r="Q144" s="547" t="s">
        <v>73</v>
      </c>
      <c r="R144" s="547" t="s">
        <v>73</v>
      </c>
      <c r="S144" s="547" t="s">
        <v>73</v>
      </c>
      <c r="T144" s="547" t="s">
        <v>73</v>
      </c>
      <c r="U144" s="547" t="s">
        <v>73</v>
      </c>
      <c r="V144" s="547" t="s">
        <v>73</v>
      </c>
      <c r="W144" s="547" t="s">
        <v>73</v>
      </c>
      <c r="X144" s="547" t="s">
        <v>73</v>
      </c>
      <c r="Y144" s="547" t="s">
        <v>73</v>
      </c>
      <c r="Z144" s="547" t="s">
        <v>73</v>
      </c>
      <c r="AA144" s="547" t="s">
        <v>73</v>
      </c>
      <c r="AB144" s="547" t="s">
        <v>73</v>
      </c>
      <c r="AC144" s="547" t="s">
        <v>73</v>
      </c>
      <c r="AD144" s="547" t="s">
        <v>73</v>
      </c>
      <c r="AE144" s="547" t="s">
        <v>73</v>
      </c>
      <c r="AF144" s="547" t="s">
        <v>73</v>
      </c>
    </row>
    <row r="145" spans="1:32" x14ac:dyDescent="0.25">
      <c r="A145" s="839"/>
      <c r="B145" s="550" t="s">
        <v>48</v>
      </c>
      <c r="C145" s="539"/>
      <c r="D145" s="539"/>
      <c r="E145" s="539"/>
      <c r="F145" s="539"/>
      <c r="G145" s="540"/>
      <c r="H145" s="540">
        <v>40275.425765378139</v>
      </c>
      <c r="I145" s="540">
        <v>41021.902307047167</v>
      </c>
      <c r="J145" s="540">
        <v>41792.174961195778</v>
      </c>
      <c r="K145" s="540">
        <v>42539.116801106655</v>
      </c>
      <c r="L145" s="540">
        <v>43291.355208382323</v>
      </c>
      <c r="M145" s="540">
        <v>44036.69753247466</v>
      </c>
      <c r="N145" s="540">
        <v>44758.54454430136</v>
      </c>
      <c r="O145" s="540">
        <v>45466.329354377121</v>
      </c>
      <c r="P145" s="540">
        <v>46162.803056679484</v>
      </c>
      <c r="Q145" s="540">
        <v>46845.482754064768</v>
      </c>
      <c r="R145" s="540">
        <v>47500.527692419455</v>
      </c>
      <c r="S145" s="540">
        <v>48151.563816863134</v>
      </c>
      <c r="T145" s="540">
        <v>48790.213134389895</v>
      </c>
      <c r="U145" s="540">
        <v>49414.927882817443</v>
      </c>
      <c r="V145" s="540">
        <v>50034.745126883776</v>
      </c>
      <c r="W145" s="540">
        <v>50638.054857080126</v>
      </c>
      <c r="X145" s="540">
        <v>51217.824027575494</v>
      </c>
      <c r="Y145" s="540">
        <v>51771.68994739512</v>
      </c>
      <c r="Z145" s="540">
        <v>52309.377562466158</v>
      </c>
      <c r="AA145" s="540">
        <v>52839.901836869787</v>
      </c>
      <c r="AB145" s="540">
        <v>53376.59951043484</v>
      </c>
      <c r="AC145" s="540">
        <v>53888.539730178796</v>
      </c>
      <c r="AD145" s="540">
        <v>54382.792107395675</v>
      </c>
      <c r="AE145" s="540">
        <v>54858.772464114016</v>
      </c>
      <c r="AF145" s="540">
        <v>55315.914006115192</v>
      </c>
    </row>
    <row r="146" spans="1:32" x14ac:dyDescent="0.25">
      <c r="A146" s="839"/>
      <c r="B146" s="552" t="s">
        <v>50</v>
      </c>
      <c r="C146" s="539"/>
      <c r="D146" s="539"/>
      <c r="E146" s="539"/>
      <c r="F146" s="539"/>
      <c r="G146" s="540"/>
      <c r="H146" s="540">
        <v>1025.1818982483453</v>
      </c>
      <c r="I146" s="540">
        <v>1051.0748693545793</v>
      </c>
      <c r="J146" s="540">
        <v>1076.6322928936338</v>
      </c>
      <c r="K146" s="540">
        <v>1098.5631567976568</v>
      </c>
      <c r="L146" s="540">
        <v>1122.5731441201131</v>
      </c>
      <c r="M146" s="540">
        <v>1146.1178108001659</v>
      </c>
      <c r="N146" s="540">
        <v>1168.124419787918</v>
      </c>
      <c r="O146" s="540">
        <v>1190.1394408437859</v>
      </c>
      <c r="P146" s="540">
        <v>1212.2532967874956</v>
      </c>
      <c r="Q146" s="540">
        <v>1234.0976765457153</v>
      </c>
      <c r="R146" s="540">
        <v>1254.5322437780549</v>
      </c>
      <c r="S146" s="540">
        <v>1276.158689625559</v>
      </c>
      <c r="T146" s="540">
        <v>1297.472524352472</v>
      </c>
      <c r="U146" s="540">
        <v>1318.4342191967212</v>
      </c>
      <c r="V146" s="540">
        <v>1339.9240489310125</v>
      </c>
      <c r="W146" s="540">
        <v>1360.5786663019248</v>
      </c>
      <c r="X146" s="540">
        <v>1380.1444054762219</v>
      </c>
      <c r="Y146" s="540">
        <v>1398.811010154895</v>
      </c>
      <c r="Z146" s="540">
        <v>1417.6614418412585</v>
      </c>
      <c r="AA146" s="540">
        <v>1437.1605709690041</v>
      </c>
      <c r="AB146" s="540">
        <v>1458.0224354095105</v>
      </c>
      <c r="AC146" s="540">
        <v>1476.7410172804337</v>
      </c>
      <c r="AD146" s="540">
        <v>1495.0408318145965</v>
      </c>
      <c r="AE146" s="540">
        <v>1512.9001498428156</v>
      </c>
      <c r="AF146" s="540">
        <v>1530.2975522625502</v>
      </c>
    </row>
    <row r="147" spans="1:32" x14ac:dyDescent="0.25">
      <c r="A147" s="839"/>
      <c r="B147" s="550" t="s">
        <v>51</v>
      </c>
      <c r="C147" s="539"/>
      <c r="D147" s="539"/>
      <c r="E147" s="539"/>
      <c r="F147" s="539"/>
      <c r="G147" s="540"/>
      <c r="H147" s="540">
        <v>643.78864086278429</v>
      </c>
      <c r="I147" s="540">
        <v>661.43671658889139</v>
      </c>
      <c r="J147" s="540">
        <v>678.20193045432234</v>
      </c>
      <c r="K147" s="540">
        <v>690.40907798708395</v>
      </c>
      <c r="L147" s="540">
        <v>705.20564175948766</v>
      </c>
      <c r="M147" s="540">
        <v>719.34695403796673</v>
      </c>
      <c r="N147" s="540">
        <v>731.66802691629994</v>
      </c>
      <c r="O147" s="540">
        <v>744.16648191224613</v>
      </c>
      <c r="P147" s="540">
        <v>756.91471310800534</v>
      </c>
      <c r="Q147" s="540">
        <v>769.44603282370281</v>
      </c>
      <c r="R147" s="540">
        <v>780.44493132039429</v>
      </c>
      <c r="S147" s="540">
        <v>793.10115325380093</v>
      </c>
      <c r="T147" s="540">
        <v>805.45841581877141</v>
      </c>
      <c r="U147" s="540">
        <v>817.49775137746542</v>
      </c>
      <c r="V147" s="540">
        <v>830.27564496703258</v>
      </c>
      <c r="W147" s="540">
        <v>842.1087594700125</v>
      </c>
      <c r="X147" s="540">
        <v>852.79796798481414</v>
      </c>
      <c r="Y147" s="540">
        <v>862.67415837051283</v>
      </c>
      <c r="Z147" s="540">
        <v>873.07022736199679</v>
      </c>
      <c r="AA147" s="540">
        <v>884.44831034194044</v>
      </c>
      <c r="AB147" s="540">
        <v>897.52420392289264</v>
      </c>
      <c r="AC147" s="540">
        <v>907.99165481320506</v>
      </c>
      <c r="AD147" s="540">
        <v>918.16388771749189</v>
      </c>
      <c r="AE147" s="540">
        <v>928.02802126724737</v>
      </c>
      <c r="AF147" s="540">
        <v>937.57144478365467</v>
      </c>
    </row>
    <row r="148" spans="1:32" x14ac:dyDescent="0.25">
      <c r="A148" s="839"/>
      <c r="B148" s="550" t="s">
        <v>52</v>
      </c>
      <c r="C148" s="539"/>
      <c r="D148" s="539"/>
      <c r="E148" s="539"/>
      <c r="F148" s="539"/>
      <c r="G148" s="540"/>
      <c r="H148" s="540">
        <v>903.56417864061075</v>
      </c>
      <c r="I148" s="540">
        <v>926.17012036397443</v>
      </c>
      <c r="J148" s="540">
        <v>947.35293283188628</v>
      </c>
      <c r="K148" s="540">
        <v>961.59695878519528</v>
      </c>
      <c r="L148" s="540">
        <v>979.7392787451297</v>
      </c>
      <c r="M148" s="540">
        <v>996.85343233076208</v>
      </c>
      <c r="N148" s="540">
        <v>1011.2001958828915</v>
      </c>
      <c r="O148" s="540">
        <v>1025.8169873148211</v>
      </c>
      <c r="P148" s="540">
        <v>1040.8090290837567</v>
      </c>
      <c r="Q148" s="540">
        <v>1055.4700686977278</v>
      </c>
      <c r="R148" s="540">
        <v>1067.8275152196068</v>
      </c>
      <c r="S148" s="540">
        <v>1082.7009668077815</v>
      </c>
      <c r="T148" s="540">
        <v>1097.1192654652036</v>
      </c>
      <c r="U148" s="540">
        <v>1111.0596241858873</v>
      </c>
      <c r="V148" s="540">
        <v>1126.1133870050812</v>
      </c>
      <c r="W148" s="540">
        <v>1139.7395269778535</v>
      </c>
      <c r="X148" s="540">
        <v>1151.6583382784972</v>
      </c>
      <c r="Y148" s="540">
        <v>1162.3879270257803</v>
      </c>
      <c r="Z148" s="540">
        <v>1173.9404717660711</v>
      </c>
      <c r="AA148" s="540">
        <v>1186.9944019949053</v>
      </c>
      <c r="AB148" s="540">
        <v>1202.5993987698384</v>
      </c>
      <c r="AC148" s="540">
        <v>1214.2682778364292</v>
      </c>
      <c r="AD148" s="540">
        <v>1225.5219113206833</v>
      </c>
      <c r="AE148" s="540">
        <v>1236.3447880354915</v>
      </c>
      <c r="AF148" s="540">
        <v>1246.7218446794411</v>
      </c>
    </row>
    <row r="149" spans="1:32" x14ac:dyDescent="0.25">
      <c r="A149" s="839"/>
      <c r="B149" s="552" t="s">
        <v>29</v>
      </c>
      <c r="C149" s="539"/>
      <c r="D149" s="539"/>
      <c r="E149" s="539"/>
      <c r="F149" s="539"/>
      <c r="G149" s="540"/>
      <c r="H149" s="540">
        <v>185.43017194269149</v>
      </c>
      <c r="I149" s="540">
        <v>199.57717392831435</v>
      </c>
      <c r="J149" s="540">
        <v>213.66276374833163</v>
      </c>
      <c r="K149" s="540">
        <v>225.96067080151812</v>
      </c>
      <c r="L149" s="540">
        <v>245.73456103158856</v>
      </c>
      <c r="M149" s="540">
        <v>265.65042142120035</v>
      </c>
      <c r="N149" s="540">
        <v>285.02584048847893</v>
      </c>
      <c r="O149" s="540">
        <v>304.79803391044084</v>
      </c>
      <c r="P149" s="540">
        <v>325.02743009914639</v>
      </c>
      <c r="Q149" s="540">
        <v>345.45427305616232</v>
      </c>
      <c r="R149" s="540">
        <v>365.23026653548033</v>
      </c>
      <c r="S149" s="540">
        <v>386.32486526667265</v>
      </c>
      <c r="T149" s="540">
        <v>407.54293976564236</v>
      </c>
      <c r="U149" s="540">
        <v>428.84639876024914</v>
      </c>
      <c r="V149" s="540">
        <v>450.98293521360637</v>
      </c>
      <c r="W149" s="540">
        <v>472.73640679411739</v>
      </c>
      <c r="X149" s="540">
        <v>493.87980623760382</v>
      </c>
      <c r="Y149" s="540">
        <v>514.59773481695311</v>
      </c>
      <c r="Z149" s="540">
        <v>535.94016033156709</v>
      </c>
      <c r="AA149" s="540">
        <v>558.34133544134045</v>
      </c>
      <c r="AB149" s="540">
        <v>582.49549267673899</v>
      </c>
      <c r="AC149" s="540">
        <v>604.64976036188489</v>
      </c>
      <c r="AD149" s="540">
        <v>626.76005157883628</v>
      </c>
      <c r="AE149" s="540">
        <v>648.79743445225392</v>
      </c>
      <c r="AF149" s="540">
        <v>670.73274593751432</v>
      </c>
    </row>
    <row r="150" spans="1:32" x14ac:dyDescent="0.25">
      <c r="A150" s="839"/>
      <c r="B150" s="552" t="s">
        <v>53</v>
      </c>
      <c r="C150" s="539"/>
      <c r="D150" s="539"/>
      <c r="E150" s="539"/>
      <c r="F150" s="539"/>
      <c r="G150" s="540"/>
      <c r="H150" s="540">
        <v>22.308503834107537</v>
      </c>
      <c r="I150" s="540">
        <v>22.933113805662465</v>
      </c>
      <c r="J150" s="540">
        <v>23.516334386075833</v>
      </c>
      <c r="K150" s="540">
        <v>23.906177637997953</v>
      </c>
      <c r="L150" s="540">
        <v>24.405172627221951</v>
      </c>
      <c r="M150" s="540">
        <v>24.875545006160738</v>
      </c>
      <c r="N150" s="540">
        <v>25.269448268156431</v>
      </c>
      <c r="O150" s="540">
        <v>25.671880454323791</v>
      </c>
      <c r="P150" s="540">
        <v>26.08557763194208</v>
      </c>
      <c r="Q150" s="540">
        <v>26.490765672387173</v>
      </c>
      <c r="R150" s="540">
        <v>26.832744937168435</v>
      </c>
      <c r="S150" s="540">
        <v>27.245797850213407</v>
      </c>
      <c r="T150" s="540">
        <v>27.646666416226317</v>
      </c>
      <c r="U150" s="540">
        <v>28.034799955296609</v>
      </c>
      <c r="V150" s="540">
        <v>28.454462937146722</v>
      </c>
      <c r="W150" s="540">
        <v>28.834748675707722</v>
      </c>
      <c r="X150" s="540">
        <v>29.168214719625858</v>
      </c>
      <c r="Y150" s="540">
        <v>29.46959854695848</v>
      </c>
      <c r="Z150" s="540">
        <v>29.794992069346819</v>
      </c>
      <c r="AA150" s="540">
        <v>30.162933639558055</v>
      </c>
      <c r="AB150" s="540">
        <v>30.602183892455784</v>
      </c>
      <c r="AC150" s="540">
        <v>30.931721918549005</v>
      </c>
      <c r="AD150" s="540">
        <v>31.25039553452244</v>
      </c>
      <c r="AE150" s="540">
        <v>31.557785127930334</v>
      </c>
      <c r="AF150" s="540">
        <v>31.853482095547761</v>
      </c>
    </row>
    <row r="151" spans="1:32" x14ac:dyDescent="0.25">
      <c r="A151" s="838"/>
    </row>
    <row r="152" spans="1:32" x14ac:dyDescent="0.25">
      <c r="A152" s="838"/>
    </row>
    <row r="153" spans="1:32" s="539" customFormat="1" x14ac:dyDescent="0.25">
      <c r="A153" s="860" t="s">
        <v>274</v>
      </c>
      <c r="B153" s="555"/>
      <c r="C153" s="554"/>
      <c r="D153" s="553"/>
      <c r="E153" s="553"/>
      <c r="F153" s="553"/>
      <c r="G153" s="553" t="s">
        <v>703</v>
      </c>
      <c r="H153" s="560"/>
      <c r="I153" s="560"/>
      <c r="J153" s="560"/>
      <c r="K153" s="560"/>
      <c r="L153" s="560"/>
      <c r="M153" s="560"/>
      <c r="N153" s="560"/>
      <c r="O153" s="560"/>
      <c r="P153" s="560"/>
      <c r="Q153" s="560"/>
      <c r="R153" s="560"/>
      <c r="S153" s="560"/>
      <c r="T153" s="560"/>
      <c r="U153" s="560"/>
      <c r="V153" s="560"/>
      <c r="W153" s="560"/>
      <c r="X153" s="560"/>
      <c r="Y153" s="560"/>
      <c r="Z153" s="560"/>
      <c r="AA153" s="560"/>
      <c r="AB153" s="560"/>
      <c r="AC153" s="560"/>
      <c r="AD153" s="560"/>
      <c r="AE153" s="560"/>
      <c r="AF153" s="560"/>
    </row>
    <row r="154" spans="1:32" s="539" customFormat="1" x14ac:dyDescent="0.25">
      <c r="A154" s="840" t="s">
        <v>12</v>
      </c>
      <c r="B154" s="550"/>
    </row>
    <row r="155" spans="1:32" s="539" customFormat="1" x14ac:dyDescent="0.25">
      <c r="A155" s="839"/>
      <c r="B155" s="550" t="s">
        <v>20</v>
      </c>
    </row>
    <row r="156" spans="1:32" s="202" customFormat="1" ht="12.75" x14ac:dyDescent="0.2">
      <c r="A156" s="843" t="s">
        <v>21</v>
      </c>
      <c r="B156" s="556"/>
      <c r="C156" s="556"/>
      <c r="D156" s="556"/>
      <c r="E156" s="556"/>
      <c r="F156" s="556"/>
      <c r="G156" s="556"/>
      <c r="H156" s="556"/>
      <c r="I156" s="556"/>
      <c r="J156" s="556"/>
      <c r="K156" s="556"/>
      <c r="L156" s="556"/>
      <c r="M156" s="556"/>
      <c r="N156" s="556"/>
      <c r="O156" s="556"/>
      <c r="P156" s="556"/>
      <c r="Q156" s="556"/>
      <c r="R156" s="556"/>
      <c r="S156" s="556"/>
      <c r="T156" s="556"/>
      <c r="U156" s="556"/>
      <c r="V156" s="556"/>
      <c r="W156" s="556"/>
      <c r="X156" s="556"/>
      <c r="Y156" s="556"/>
      <c r="Z156" s="556"/>
      <c r="AA156" s="556"/>
      <c r="AB156" s="556"/>
      <c r="AC156" s="556"/>
      <c r="AD156" s="556"/>
      <c r="AE156" s="556"/>
      <c r="AF156" s="556"/>
    </row>
    <row r="157" spans="1:32" x14ac:dyDescent="0.25">
      <c r="A157" s="839"/>
      <c r="B157" s="550" t="s">
        <v>22</v>
      </c>
      <c r="C157" s="539"/>
      <c r="D157" s="539"/>
      <c r="E157" s="539"/>
      <c r="F157" s="539"/>
      <c r="G157" s="723">
        <v>101091.03345452514</v>
      </c>
      <c r="H157" s="723">
        <v>94045.565081167588</v>
      </c>
      <c r="I157" s="723">
        <v>84777.665005331917</v>
      </c>
      <c r="J157" s="723">
        <v>67834.084385901573</v>
      </c>
      <c r="K157" s="723">
        <v>52002.875744065575</v>
      </c>
      <c r="L157" s="723">
        <v>37956.858937916339</v>
      </c>
      <c r="M157" s="723">
        <v>23519.267764924836</v>
      </c>
      <c r="N157" s="723">
        <v>16018.907442360212</v>
      </c>
      <c r="O157" s="723">
        <v>12086.688517095397</v>
      </c>
      <c r="P157" s="723">
        <v>10011.28592397421</v>
      </c>
      <c r="Q157" s="723">
        <v>8916.239467328578</v>
      </c>
      <c r="R157" s="723">
        <v>8346.504183052406</v>
      </c>
      <c r="S157" s="723">
        <v>8066.7850790770044</v>
      </c>
      <c r="T157" s="723">
        <v>7950.4932309984988</v>
      </c>
      <c r="U157" s="723">
        <v>7928.5424024681442</v>
      </c>
      <c r="V157" s="723">
        <v>7963.6264221046076</v>
      </c>
      <c r="W157" s="723">
        <v>8032.7334209201672</v>
      </c>
      <c r="X157" s="723">
        <v>8121.4949361102954</v>
      </c>
      <c r="Y157" s="723">
        <v>8221.1338986540795</v>
      </c>
      <c r="Z157" s="723">
        <v>8327.7009327405995</v>
      </c>
      <c r="AA157" s="723">
        <v>8439.7612075528523</v>
      </c>
      <c r="AB157" s="723">
        <v>8557.8195902533753</v>
      </c>
      <c r="AC157" s="723">
        <v>8677.3973118458507</v>
      </c>
      <c r="AD157" s="723">
        <v>8797.0241748334211</v>
      </c>
      <c r="AE157" s="723">
        <v>8915.7765960310171</v>
      </c>
      <c r="AF157" s="723">
        <v>9033.0399098892249</v>
      </c>
    </row>
    <row r="158" spans="1:32" x14ac:dyDescent="0.25">
      <c r="A158" s="839"/>
      <c r="B158" s="550" t="s">
        <v>26</v>
      </c>
      <c r="C158" s="539"/>
      <c r="D158" s="539"/>
      <c r="E158" s="539"/>
      <c r="F158" s="539"/>
      <c r="G158" s="723">
        <v>1915.377197895202</v>
      </c>
      <c r="H158" s="723">
        <v>1854.1332116188848</v>
      </c>
      <c r="I158" s="723">
        <v>4523.5093619428526</v>
      </c>
      <c r="J158" s="723">
        <v>13037.066449614134</v>
      </c>
      <c r="K158" s="723">
        <v>22055.712663752369</v>
      </c>
      <c r="L158" s="723">
        <v>28262.525865517324</v>
      </c>
      <c r="M158" s="723">
        <v>33423.884023072053</v>
      </c>
      <c r="N158" s="723">
        <v>34724.675077426808</v>
      </c>
      <c r="O158" s="723">
        <v>34569.637815848844</v>
      </c>
      <c r="P158" s="723">
        <v>34016.998880416024</v>
      </c>
      <c r="Q158" s="723">
        <v>33491.543212886223</v>
      </c>
      <c r="R158" s="723">
        <v>33122.560659050294</v>
      </c>
      <c r="S158" s="723">
        <v>32955.533652360493</v>
      </c>
      <c r="T158" s="723">
        <v>32964.355936087799</v>
      </c>
      <c r="U158" s="723">
        <v>33111.635774151349</v>
      </c>
      <c r="V158" s="723">
        <v>33372.411334544566</v>
      </c>
      <c r="W158" s="723">
        <v>33707.621486049546</v>
      </c>
      <c r="X158" s="723">
        <v>34085.584563695709</v>
      </c>
      <c r="Y158" s="723">
        <v>34486.161925499473</v>
      </c>
      <c r="Z158" s="723">
        <v>34907.954198719272</v>
      </c>
      <c r="AA158" s="723">
        <v>35354.314671302491</v>
      </c>
      <c r="AB158" s="723">
        <v>35834.805988048574</v>
      </c>
      <c r="AC158" s="723">
        <v>36312.83468128938</v>
      </c>
      <c r="AD158" s="723">
        <v>36786.118888844583</v>
      </c>
      <c r="AE158" s="723">
        <v>37252.750893137891</v>
      </c>
      <c r="AF158" s="723">
        <v>37711.158439198494</v>
      </c>
    </row>
    <row r="159" spans="1:32" x14ac:dyDescent="0.25">
      <c r="A159" s="839"/>
      <c r="B159" s="550" t="s">
        <v>27</v>
      </c>
      <c r="C159" s="539"/>
      <c r="D159" s="539"/>
      <c r="E159" s="539"/>
      <c r="F159" s="539"/>
      <c r="G159" s="723">
        <v>65512.762193773975</v>
      </c>
      <c r="H159" s="723">
        <v>76100.640169459366</v>
      </c>
      <c r="I159" s="723">
        <v>86602.880314429654</v>
      </c>
      <c r="J159" s="723">
        <v>99419.774134977793</v>
      </c>
      <c r="K159" s="723">
        <v>110730.05790989942</v>
      </c>
      <c r="L159" s="723">
        <v>122814.18003711755</v>
      </c>
      <c r="M159" s="723">
        <v>136174.52534761498</v>
      </c>
      <c r="N159" s="723">
        <v>146308.78235891301</v>
      </c>
      <c r="O159" s="723">
        <v>154324.45636377879</v>
      </c>
      <c r="P159" s="723">
        <v>160929.18060619076</v>
      </c>
      <c r="Q159" s="723">
        <v>166574.33960654057</v>
      </c>
      <c r="R159" s="723">
        <v>171527.57958870084</v>
      </c>
      <c r="S159" s="723">
        <v>176030.54543811138</v>
      </c>
      <c r="T159" s="723">
        <v>180214.98990630361</v>
      </c>
      <c r="U159" s="723">
        <v>184168.87350866551</v>
      </c>
      <c r="V159" s="723">
        <v>187974.91187366762</v>
      </c>
      <c r="W159" s="723">
        <v>191657.34301931929</v>
      </c>
      <c r="X159" s="723">
        <v>195222.72761212144</v>
      </c>
      <c r="Y159" s="723">
        <v>198676.73426024106</v>
      </c>
      <c r="Z159" s="723">
        <v>202049.71322715579</v>
      </c>
      <c r="AA159" s="723">
        <v>205377.97808951043</v>
      </c>
      <c r="AB159" s="723">
        <v>208710.06496779571</v>
      </c>
      <c r="AC159" s="723">
        <v>211993.09928889709</v>
      </c>
      <c r="AD159" s="723">
        <v>215226.1669890474</v>
      </c>
      <c r="AE159" s="723">
        <v>218407.53335750423</v>
      </c>
      <c r="AF159" s="723">
        <v>221534.90527371713</v>
      </c>
    </row>
    <row r="160" spans="1:32" x14ac:dyDescent="0.25">
      <c r="A160" s="839"/>
      <c r="B160" s="550" t="s">
        <v>29</v>
      </c>
      <c r="C160" s="539"/>
      <c r="D160" s="539"/>
      <c r="E160" s="539"/>
      <c r="F160" s="539"/>
      <c r="G160" s="723">
        <v>0</v>
      </c>
      <c r="H160" s="723">
        <v>22.951415383821701</v>
      </c>
      <c r="I160" s="723">
        <v>45.542381641850191</v>
      </c>
      <c r="J160" s="723">
        <v>61.470603898020691</v>
      </c>
      <c r="K160" s="723">
        <v>76.244297579157731</v>
      </c>
      <c r="L160" s="723">
        <v>91.445840148518073</v>
      </c>
      <c r="M160" s="723">
        <v>107.19304002451358</v>
      </c>
      <c r="N160" s="723">
        <v>122.05572624585528</v>
      </c>
      <c r="O160" s="723">
        <v>136.11378807454571</v>
      </c>
      <c r="P160" s="723">
        <v>149.44418180270773</v>
      </c>
      <c r="Q160" s="723">
        <v>162.0916890205724</v>
      </c>
      <c r="R160" s="723">
        <v>174.0265120860081</v>
      </c>
      <c r="S160" s="723">
        <v>185.39898636943684</v>
      </c>
      <c r="T160" s="723">
        <v>196.23619333875985</v>
      </c>
      <c r="U160" s="723">
        <v>206.56289403597381</v>
      </c>
      <c r="V160" s="723">
        <v>216.46034028214564</v>
      </c>
      <c r="W160" s="723">
        <v>225.90948800508238</v>
      </c>
      <c r="X160" s="723">
        <v>234.88452178188948</v>
      </c>
      <c r="Y160" s="723">
        <v>243.38258869546647</v>
      </c>
      <c r="Z160" s="723">
        <v>251.47557067156023</v>
      </c>
      <c r="AA160" s="723">
        <v>259.25295691278473</v>
      </c>
      <c r="AB160" s="723">
        <v>266.83331758566067</v>
      </c>
      <c r="AC160" s="723">
        <v>274.08582411336909</v>
      </c>
      <c r="AD160" s="723">
        <v>281.02375068046905</v>
      </c>
      <c r="AE160" s="723">
        <v>287.65903131978467</v>
      </c>
      <c r="AF160" s="723">
        <v>294.00237389422387</v>
      </c>
    </row>
    <row r="161" spans="1:32" x14ac:dyDescent="0.25">
      <c r="A161" s="839"/>
      <c r="B161" s="550"/>
      <c r="C161" s="539"/>
      <c r="D161" s="539"/>
      <c r="E161" s="539"/>
      <c r="F161" s="539"/>
      <c r="G161" s="723"/>
      <c r="H161" s="723"/>
      <c r="I161" s="723"/>
      <c r="J161" s="723"/>
      <c r="K161" s="723"/>
      <c r="L161" s="723"/>
      <c r="M161" s="723"/>
      <c r="N161" s="723"/>
      <c r="O161" s="723"/>
      <c r="P161" s="723"/>
      <c r="Q161" s="723"/>
      <c r="R161" s="723"/>
      <c r="S161" s="723"/>
      <c r="T161" s="723"/>
      <c r="U161" s="723"/>
      <c r="V161" s="723"/>
      <c r="W161" s="723"/>
      <c r="X161" s="723"/>
      <c r="Y161" s="723"/>
      <c r="Z161" s="723"/>
      <c r="AA161" s="723"/>
      <c r="AB161" s="723"/>
      <c r="AC161" s="723"/>
      <c r="AD161" s="723"/>
      <c r="AE161" s="723"/>
      <c r="AF161" s="723"/>
    </row>
    <row r="162" spans="1:32" s="202" customFormat="1" ht="12.75" x14ac:dyDescent="0.2">
      <c r="A162" s="843" t="s">
        <v>32</v>
      </c>
      <c r="B162" s="556"/>
      <c r="C162" s="556"/>
      <c r="D162" s="556"/>
      <c r="E162" s="556"/>
      <c r="F162" s="556"/>
      <c r="G162" s="724"/>
      <c r="H162" s="724"/>
      <c r="I162" s="724"/>
      <c r="J162" s="724"/>
      <c r="K162" s="724"/>
      <c r="L162" s="724"/>
      <c r="M162" s="724"/>
      <c r="N162" s="724"/>
      <c r="O162" s="724"/>
      <c r="P162" s="724"/>
      <c r="Q162" s="724"/>
      <c r="R162" s="724"/>
      <c r="S162" s="724"/>
      <c r="T162" s="724"/>
      <c r="U162" s="724"/>
      <c r="V162" s="724"/>
      <c r="W162" s="724"/>
      <c r="X162" s="724"/>
      <c r="Y162" s="724"/>
      <c r="Z162" s="724"/>
      <c r="AA162" s="724"/>
      <c r="AB162" s="724"/>
      <c r="AC162" s="724"/>
      <c r="AD162" s="724"/>
      <c r="AE162" s="724"/>
      <c r="AF162" s="724"/>
    </row>
    <row r="163" spans="1:32" x14ac:dyDescent="0.25">
      <c r="A163" s="839"/>
      <c r="B163" s="550" t="s">
        <v>33</v>
      </c>
      <c r="C163" s="539"/>
      <c r="D163" s="539"/>
      <c r="E163" s="539"/>
      <c r="F163" s="539"/>
      <c r="G163" s="723">
        <v>21628.378419260105</v>
      </c>
      <c r="H163" s="723">
        <v>19080.105923883999</v>
      </c>
      <c r="I163" s="723">
        <v>17561.542967666093</v>
      </c>
      <c r="J163" s="723">
        <v>16831.040171172943</v>
      </c>
      <c r="K163" s="723">
        <v>16702.159826082869</v>
      </c>
      <c r="L163" s="723">
        <v>16703.566747277964</v>
      </c>
      <c r="M163" s="723">
        <v>16799.635302682789</v>
      </c>
      <c r="N163" s="723">
        <v>16961.46540381842</v>
      </c>
      <c r="O163" s="723">
        <v>17171.407704041067</v>
      </c>
      <c r="P163" s="723">
        <v>17416.949873491707</v>
      </c>
      <c r="Q163" s="723">
        <v>17688.130418614543</v>
      </c>
      <c r="R163" s="723">
        <v>17974.672602742681</v>
      </c>
      <c r="S163" s="723">
        <v>18275.317693512454</v>
      </c>
      <c r="T163" s="723">
        <v>18585.840481073181</v>
      </c>
      <c r="U163" s="723">
        <v>18902.938487453765</v>
      </c>
      <c r="V163" s="723">
        <v>19226.372821873447</v>
      </c>
      <c r="W163" s="723">
        <v>19552.666324767819</v>
      </c>
      <c r="X163" s="723">
        <v>19878.286133081467</v>
      </c>
      <c r="Y163" s="723">
        <v>20200.784412488458</v>
      </c>
      <c r="Z163" s="723">
        <v>20520.980201110135</v>
      </c>
      <c r="AA163" s="723">
        <v>20840.922577249687</v>
      </c>
      <c r="AB163" s="723">
        <v>21164.331740922564</v>
      </c>
      <c r="AC163" s="723">
        <v>21485.311183171732</v>
      </c>
      <c r="AD163" s="723">
        <v>21803.160869333537</v>
      </c>
      <c r="AE163" s="723">
        <v>22117.258816923648</v>
      </c>
      <c r="AF163" s="723">
        <v>22427.042070565341</v>
      </c>
    </row>
    <row r="164" spans="1:32" x14ac:dyDescent="0.25">
      <c r="A164" s="842"/>
      <c r="B164" s="552" t="s">
        <v>34</v>
      </c>
      <c r="C164" s="539"/>
      <c r="D164" s="539"/>
      <c r="E164" s="539"/>
      <c r="F164" s="539"/>
      <c r="G164" s="723">
        <v>12076.208313300363</v>
      </c>
      <c r="H164" s="723">
        <v>14552.348843713806</v>
      </c>
      <c r="I164" s="723">
        <v>16282.287226698942</v>
      </c>
      <c r="J164" s="723">
        <v>17426.564746259559</v>
      </c>
      <c r="K164" s="723">
        <v>18087.804380416408</v>
      </c>
      <c r="L164" s="723">
        <v>18677.835120499265</v>
      </c>
      <c r="M164" s="723">
        <v>19216.063178369441</v>
      </c>
      <c r="N164" s="723">
        <v>19711.278986006302</v>
      </c>
      <c r="O164" s="723">
        <v>20176.611720076504</v>
      </c>
      <c r="P164" s="723">
        <v>20621.863717677843</v>
      </c>
      <c r="Q164" s="723">
        <v>21052.330608346692</v>
      </c>
      <c r="R164" s="723">
        <v>21466.428114243125</v>
      </c>
      <c r="S164" s="723">
        <v>21874.836613593601</v>
      </c>
      <c r="T164" s="723">
        <v>22278.413628128681</v>
      </c>
      <c r="U164" s="723">
        <v>22677.494279676197</v>
      </c>
      <c r="V164" s="723">
        <v>23076.329659686853</v>
      </c>
      <c r="W164" s="723">
        <v>23471.67395015166</v>
      </c>
      <c r="X164" s="723">
        <v>23859.844549847883</v>
      </c>
      <c r="Y164" s="723">
        <v>24238.90910858236</v>
      </c>
      <c r="Z164" s="723">
        <v>24612.432423974227</v>
      </c>
      <c r="AA164" s="723">
        <v>24985.223205219936</v>
      </c>
      <c r="AB164" s="723">
        <v>25364.202889837921</v>
      </c>
      <c r="AC164" s="723">
        <v>25738.099424914846</v>
      </c>
      <c r="AD164" s="723">
        <v>26106.534454975994</v>
      </c>
      <c r="AE164" s="723">
        <v>26469.098760959947</v>
      </c>
      <c r="AF164" s="723">
        <v>26825.36429354384</v>
      </c>
    </row>
    <row r="165" spans="1:32" x14ac:dyDescent="0.25">
      <c r="A165" s="839"/>
      <c r="B165" s="552" t="s">
        <v>35</v>
      </c>
      <c r="C165" s="539"/>
      <c r="D165" s="539"/>
      <c r="E165" s="539"/>
      <c r="F165" s="539"/>
      <c r="G165" s="723">
        <v>6703.6765842714094</v>
      </c>
      <c r="H165" s="723">
        <v>6974.1687138606385</v>
      </c>
      <c r="I165" s="723">
        <v>7273.2772266269949</v>
      </c>
      <c r="J165" s="723">
        <v>7611.3928578725918</v>
      </c>
      <c r="K165" s="723">
        <v>7991.1278073558988</v>
      </c>
      <c r="L165" s="723">
        <v>8352.157893147265</v>
      </c>
      <c r="M165" s="723">
        <v>8696.4441120028223</v>
      </c>
      <c r="N165" s="723">
        <v>9024.0194674899376</v>
      </c>
      <c r="O165" s="723">
        <v>9337.3060392835541</v>
      </c>
      <c r="P165" s="723">
        <v>9638.4897658979826</v>
      </c>
      <c r="Q165" s="723">
        <v>9928.8626595628593</v>
      </c>
      <c r="R165" s="723">
        <v>10207.79434911916</v>
      </c>
      <c r="S165" s="723">
        <v>10478.776531156331</v>
      </c>
      <c r="T165" s="723">
        <v>10742.435053309198</v>
      </c>
      <c r="U165" s="723">
        <v>10999.262400927353</v>
      </c>
      <c r="V165" s="723">
        <v>11251.047356771487</v>
      </c>
      <c r="W165" s="723">
        <v>11497.207334329385</v>
      </c>
      <c r="X165" s="723">
        <v>11736.893921710353</v>
      </c>
      <c r="Y165" s="723">
        <v>11969.713643029678</v>
      </c>
      <c r="Z165" s="723">
        <v>12197.021288052027</v>
      </c>
      <c r="AA165" s="723">
        <v>12420.668690905824</v>
      </c>
      <c r="AB165" s="723">
        <v>12643.3074791299</v>
      </c>
      <c r="AC165" s="723">
        <v>12861.737217103302</v>
      </c>
      <c r="AD165" s="723">
        <v>13075.985215082406</v>
      </c>
      <c r="AE165" s="723">
        <v>13286.046942941201</v>
      </c>
      <c r="AF165" s="723">
        <v>13491.890542674695</v>
      </c>
    </row>
    <row r="166" spans="1:32" x14ac:dyDescent="0.25">
      <c r="A166" s="839"/>
      <c r="B166" s="552" t="s">
        <v>29</v>
      </c>
      <c r="C166" s="539"/>
      <c r="D166" s="539"/>
      <c r="E166" s="539"/>
      <c r="F166" s="539"/>
      <c r="G166" s="723">
        <v>0</v>
      </c>
      <c r="H166" s="723">
        <v>11.448352741771386</v>
      </c>
      <c r="I166" s="723">
        <v>22.398862822728013</v>
      </c>
      <c r="J166" s="723">
        <v>32.95367780417353</v>
      </c>
      <c r="K166" s="723">
        <v>43.082507608498851</v>
      </c>
      <c r="L166" s="723">
        <v>52.707454933490808</v>
      </c>
      <c r="M166" s="723">
        <v>61.843658002551237</v>
      </c>
      <c r="N166" s="723">
        <v>70.470027635864184</v>
      </c>
      <c r="O166" s="723">
        <v>78.63242565820147</v>
      </c>
      <c r="P166" s="723">
        <v>86.375041178021405</v>
      </c>
      <c r="Q166" s="723">
        <v>93.723608995724049</v>
      </c>
      <c r="R166" s="723">
        <v>100.661057248345</v>
      </c>
      <c r="S166" s="723">
        <v>107.27366389243522</v>
      </c>
      <c r="T166" s="723">
        <v>113.57702487853818</v>
      </c>
      <c r="U166" s="723">
        <v>119.58539863021801</v>
      </c>
      <c r="V166" s="723">
        <v>125.34546144814963</v>
      </c>
      <c r="W166" s="723">
        <v>130.84635043893317</v>
      </c>
      <c r="X166" s="723">
        <v>136.07328984526248</v>
      </c>
      <c r="Y166" s="723">
        <v>141.02465591381673</v>
      </c>
      <c r="Z166" s="723">
        <v>145.74170608255847</v>
      </c>
      <c r="AA166" s="723">
        <v>150.27583075844771</v>
      </c>
      <c r="AB166" s="723">
        <v>154.69514687553109</v>
      </c>
      <c r="AC166" s="723">
        <v>158.92467777728154</v>
      </c>
      <c r="AD166" s="723">
        <v>162.9720726676168</v>
      </c>
      <c r="AE166" s="723">
        <v>166.84420935490149</v>
      </c>
      <c r="AF166" s="723">
        <v>170.54725964347489</v>
      </c>
    </row>
    <row r="167" spans="1:32" x14ac:dyDescent="0.25">
      <c r="A167" s="839"/>
      <c r="B167" s="550"/>
      <c r="C167" s="539"/>
      <c r="D167" s="539"/>
      <c r="E167" s="539"/>
      <c r="F167" s="539"/>
      <c r="G167" s="723"/>
      <c r="H167" s="723"/>
      <c r="I167" s="723"/>
      <c r="J167" s="723"/>
      <c r="K167" s="723"/>
      <c r="L167" s="723"/>
      <c r="M167" s="723"/>
      <c r="N167" s="723"/>
      <c r="O167" s="723"/>
      <c r="P167" s="723"/>
      <c r="Q167" s="723"/>
      <c r="R167" s="723"/>
      <c r="S167" s="723"/>
      <c r="T167" s="723"/>
      <c r="U167" s="723"/>
      <c r="V167" s="723"/>
      <c r="W167" s="723"/>
      <c r="X167" s="723"/>
      <c r="Y167" s="723"/>
      <c r="Z167" s="723"/>
      <c r="AA167" s="723"/>
      <c r="AB167" s="723"/>
      <c r="AC167" s="723"/>
      <c r="AD167" s="723"/>
      <c r="AE167" s="723"/>
      <c r="AF167" s="723"/>
    </row>
    <row r="168" spans="1:32" s="202" customFormat="1" ht="12.75" x14ac:dyDescent="0.2">
      <c r="A168" s="843" t="s">
        <v>36</v>
      </c>
      <c r="B168" s="556"/>
      <c r="C168" s="556"/>
      <c r="D168" s="556"/>
      <c r="E168" s="556"/>
      <c r="F168" s="556"/>
      <c r="G168" s="724"/>
      <c r="H168" s="724"/>
      <c r="I168" s="724"/>
      <c r="J168" s="724"/>
      <c r="K168" s="724"/>
      <c r="L168" s="724"/>
      <c r="M168" s="724"/>
      <c r="N168" s="724"/>
      <c r="O168" s="724"/>
      <c r="P168" s="724"/>
      <c r="Q168" s="724"/>
      <c r="R168" s="724"/>
      <c r="S168" s="724"/>
      <c r="T168" s="724"/>
      <c r="U168" s="724"/>
      <c r="V168" s="724"/>
      <c r="W168" s="724"/>
      <c r="X168" s="724"/>
      <c r="Y168" s="724"/>
      <c r="Z168" s="724"/>
      <c r="AA168" s="724"/>
      <c r="AB168" s="724"/>
      <c r="AC168" s="724"/>
      <c r="AD168" s="724"/>
      <c r="AE168" s="724"/>
      <c r="AF168" s="724"/>
    </row>
    <row r="169" spans="1:32" x14ac:dyDescent="0.25">
      <c r="A169" s="839"/>
      <c r="B169" s="550" t="s">
        <v>37</v>
      </c>
      <c r="C169" s="539"/>
      <c r="D169" s="539"/>
      <c r="E169" s="539"/>
      <c r="F169" s="201"/>
      <c r="G169" s="723">
        <v>21292.654548791172</v>
      </c>
      <c r="H169" s="723">
        <v>20029.360259870959</v>
      </c>
      <c r="I169" s="723">
        <v>18736.600087109542</v>
      </c>
      <c r="J169" s="723">
        <v>17426.557022107529</v>
      </c>
      <c r="K169" s="723">
        <v>16110.391616537494</v>
      </c>
      <c r="L169" s="723">
        <v>14886.764003723432</v>
      </c>
      <c r="M169" s="723">
        <v>13747.573119942865</v>
      </c>
      <c r="N169" s="723">
        <v>12689.786805146783</v>
      </c>
      <c r="O169" s="723">
        <v>11717.260519108364</v>
      </c>
      <c r="P169" s="723">
        <v>10822.844403726185</v>
      </c>
      <c r="Q169" s="723">
        <v>10000.01102987973</v>
      </c>
      <c r="R169" s="723">
        <v>9242.7750933831176</v>
      </c>
      <c r="S169" s="723">
        <v>8545.7563367117473</v>
      </c>
      <c r="T169" s="723">
        <v>7903.9915795780007</v>
      </c>
      <c r="U169" s="723">
        <v>7312.9461487053513</v>
      </c>
      <c r="V169" s="723">
        <v>6768.5015853569157</v>
      </c>
      <c r="W169" s="723">
        <v>6266.8479845840493</v>
      </c>
      <c r="X169" s="723">
        <v>5804.4946726402777</v>
      </c>
      <c r="Y169" s="723">
        <v>5378.2549808369922</v>
      </c>
      <c r="Z169" s="723">
        <v>4985.2441099581893</v>
      </c>
      <c r="AA169" s="723">
        <v>4622.8294229662597</v>
      </c>
      <c r="AB169" s="723">
        <v>4288.6143808929128</v>
      </c>
      <c r="AC169" s="723">
        <v>3980.2906314789084</v>
      </c>
      <c r="AD169" s="723">
        <v>3695.8010069245643</v>
      </c>
      <c r="AE169" s="723">
        <v>3433.2570249027744</v>
      </c>
      <c r="AF169" s="723">
        <v>3190.924406511092</v>
      </c>
    </row>
    <row r="170" spans="1:32" x14ac:dyDescent="0.25">
      <c r="A170" s="839"/>
      <c r="B170" s="550" t="s">
        <v>39</v>
      </c>
      <c r="C170" s="539"/>
      <c r="D170" s="539"/>
      <c r="E170" s="203"/>
      <c r="F170" s="539"/>
      <c r="G170" s="723">
        <v>4027.135324023985</v>
      </c>
      <c r="H170" s="723">
        <v>5480.7243474122088</v>
      </c>
      <c r="I170" s="723">
        <v>6981.8618257995613</v>
      </c>
      <c r="J170" s="723">
        <v>8515.4732220266487</v>
      </c>
      <c r="K170" s="723">
        <v>10055.181257458935</v>
      </c>
      <c r="L170" s="723">
        <v>11534.501566853811</v>
      </c>
      <c r="M170" s="723">
        <v>12955.977419482653</v>
      </c>
      <c r="N170" s="723">
        <v>14311.540906051996</v>
      </c>
      <c r="O170" s="723">
        <v>15597.641888752807</v>
      </c>
      <c r="P170" s="723">
        <v>16821.238668564325</v>
      </c>
      <c r="Q170" s="723">
        <v>17986.750306820293</v>
      </c>
      <c r="R170" s="723">
        <v>19092.849633421505</v>
      </c>
      <c r="S170" s="723">
        <v>20151.425548478706</v>
      </c>
      <c r="T170" s="723">
        <v>21165.230719012867</v>
      </c>
      <c r="U170" s="723">
        <v>22136.718979324567</v>
      </c>
      <c r="V170" s="723">
        <v>23072.466104336036</v>
      </c>
      <c r="W170" s="723">
        <v>23971.549245535742</v>
      </c>
      <c r="X170" s="723">
        <v>24832.375371942773</v>
      </c>
      <c r="Y170" s="723">
        <v>25654.914043053013</v>
      </c>
      <c r="Z170" s="723">
        <v>26444.635755495183</v>
      </c>
      <c r="AA170" s="723">
        <v>27208.384603025235</v>
      </c>
      <c r="AB170" s="723">
        <v>27955.2753723637</v>
      </c>
      <c r="AC170" s="723">
        <v>28675.883863453335</v>
      </c>
      <c r="AD170" s="723">
        <v>29371.26422655749</v>
      </c>
      <c r="AE170" s="723">
        <v>30042.340957203491</v>
      </c>
      <c r="AF170" s="723">
        <v>30689.921071880093</v>
      </c>
    </row>
    <row r="171" spans="1:32" x14ac:dyDescent="0.25">
      <c r="A171" s="839"/>
      <c r="B171" s="550" t="s">
        <v>40</v>
      </c>
      <c r="C171" s="539"/>
      <c r="D171" s="539"/>
      <c r="E171" s="539"/>
      <c r="F171" s="539"/>
      <c r="G171" s="723">
        <v>0</v>
      </c>
      <c r="H171" s="723">
        <v>209.76768301639038</v>
      </c>
      <c r="I171" s="723">
        <v>423.24167769042975</v>
      </c>
      <c r="J171" s="723">
        <v>638.41594713431573</v>
      </c>
      <c r="K171" s="723">
        <v>850.64059584898519</v>
      </c>
      <c r="L171" s="723">
        <v>1051.0013749699963</v>
      </c>
      <c r="M171" s="723">
        <v>1240.2285553700838</v>
      </c>
      <c r="N171" s="723">
        <v>1419.0520497843227</v>
      </c>
      <c r="O171" s="723">
        <v>1588.0565655039147</v>
      </c>
      <c r="P171" s="723">
        <v>1748.1906395193598</v>
      </c>
      <c r="Q171" s="723">
        <v>1900.0989653038127</v>
      </c>
      <c r="R171" s="723">
        <v>2043.7569722738037</v>
      </c>
      <c r="S171" s="723">
        <v>2180.6391954291053</v>
      </c>
      <c r="T171" s="723">
        <v>2311.1669611073407</v>
      </c>
      <c r="U171" s="723">
        <v>2435.7182664915626</v>
      </c>
      <c r="V171" s="723">
        <v>2555.1334030930188</v>
      </c>
      <c r="W171" s="723">
        <v>2669.3895156721978</v>
      </c>
      <c r="X171" s="723">
        <v>2778.3800747769419</v>
      </c>
      <c r="Y171" s="723">
        <v>2882.1702427752039</v>
      </c>
      <c r="Z171" s="723">
        <v>2981.4467554212933</v>
      </c>
      <c r="AA171" s="723">
        <v>3077.0481896652827</v>
      </c>
      <c r="AB171" s="723">
        <v>3170.0677187678557</v>
      </c>
      <c r="AC171" s="723">
        <v>3259.4819877169207</v>
      </c>
      <c r="AD171" s="723">
        <v>3345.456450440945</v>
      </c>
      <c r="AE171" s="723">
        <v>3428.138166652011</v>
      </c>
      <c r="AF171" s="723">
        <v>3507.657498516201</v>
      </c>
    </row>
    <row r="172" spans="1:32" x14ac:dyDescent="0.25">
      <c r="A172" s="839"/>
      <c r="B172" s="550" t="s">
        <v>29</v>
      </c>
      <c r="C172" s="539"/>
      <c r="D172" s="539"/>
      <c r="E172" s="539"/>
      <c r="F172" s="539"/>
      <c r="G172" s="723">
        <v>0</v>
      </c>
      <c r="H172" s="723">
        <v>1.1622054249986259E-5</v>
      </c>
      <c r="I172" s="723">
        <v>2.269116052904135E-5</v>
      </c>
      <c r="J172" s="723">
        <v>3.3216712017037217E-5</v>
      </c>
      <c r="K172" s="723">
        <v>4.3026024397461676E-5</v>
      </c>
      <c r="L172" s="723">
        <v>5.2261488494676018E-5</v>
      </c>
      <c r="M172" s="723">
        <v>6.0950022932609239E-5</v>
      </c>
      <c r="N172" s="723">
        <v>6.9130943373311052E-5</v>
      </c>
      <c r="O172" s="723">
        <v>7.6832718462784694E-5</v>
      </c>
      <c r="P172" s="723">
        <v>8.4102305667324014E-5</v>
      </c>
      <c r="Q172" s="723">
        <v>9.0968213528149996E-5</v>
      </c>
      <c r="R172" s="723">
        <v>9.7417116778012139E-5</v>
      </c>
      <c r="S172" s="723">
        <v>1.0353560062788282E-4</v>
      </c>
      <c r="T172" s="723">
        <v>1.0934124251209212E-4</v>
      </c>
      <c r="U172" s="723">
        <v>1.1485009596151837E-4</v>
      </c>
      <c r="V172" s="723">
        <v>1.2010920928663335E-4</v>
      </c>
      <c r="W172" s="723">
        <v>1.2510991110198437E-4</v>
      </c>
      <c r="X172" s="723">
        <v>1.2983974201755263E-4</v>
      </c>
      <c r="Y172" s="723">
        <v>1.3429884500591911E-4</v>
      </c>
      <c r="Z172" s="723">
        <v>1.3852834994974614E-4</v>
      </c>
      <c r="AA172" s="723">
        <v>1.4257876557570499E-4</v>
      </c>
      <c r="AB172" s="723">
        <v>1.4651623815271233E-4</v>
      </c>
      <c r="AC172" s="723">
        <v>1.5026988001909817E-4</v>
      </c>
      <c r="AD172" s="723">
        <v>1.5384794933587654E-4</v>
      </c>
      <c r="AE172" s="723">
        <v>1.5725787528879384E-4</v>
      </c>
      <c r="AF172" s="723">
        <v>1.6050633026717755E-4</v>
      </c>
    </row>
    <row r="173" spans="1:32" x14ac:dyDescent="0.25">
      <c r="A173" s="839"/>
      <c r="B173" s="550"/>
      <c r="C173" s="539"/>
      <c r="D173" s="539"/>
      <c r="E173" s="539"/>
      <c r="F173" s="539"/>
      <c r="G173" s="723"/>
      <c r="H173" s="723"/>
      <c r="I173" s="723"/>
      <c r="J173" s="723"/>
      <c r="K173" s="723"/>
      <c r="L173" s="723"/>
      <c r="M173" s="723"/>
      <c r="N173" s="723"/>
      <c r="O173" s="723"/>
      <c r="P173" s="723"/>
      <c r="Q173" s="723"/>
      <c r="R173" s="723"/>
      <c r="S173" s="723"/>
      <c r="T173" s="723"/>
      <c r="U173" s="723"/>
      <c r="V173" s="723"/>
      <c r="W173" s="723"/>
      <c r="X173" s="723"/>
      <c r="Y173" s="723"/>
      <c r="Z173" s="723"/>
      <c r="AA173" s="723"/>
      <c r="AB173" s="723"/>
      <c r="AC173" s="723"/>
      <c r="AD173" s="723"/>
      <c r="AE173" s="723"/>
      <c r="AF173" s="723"/>
    </row>
    <row r="174" spans="1:32" s="202" customFormat="1" ht="12.75" x14ac:dyDescent="0.2">
      <c r="A174" s="843" t="s">
        <v>42</v>
      </c>
      <c r="B174" s="556"/>
      <c r="C174" s="556"/>
      <c r="D174" s="556"/>
      <c r="E174" s="556"/>
      <c r="F174" s="556"/>
      <c r="G174" s="724"/>
      <c r="H174" s="724"/>
      <c r="I174" s="724"/>
      <c r="J174" s="724"/>
      <c r="K174" s="724"/>
      <c r="L174" s="724"/>
      <c r="M174" s="724"/>
      <c r="N174" s="724"/>
      <c r="O174" s="724"/>
      <c r="P174" s="724"/>
      <c r="Q174" s="724"/>
      <c r="R174" s="724"/>
      <c r="S174" s="724"/>
      <c r="T174" s="724"/>
      <c r="U174" s="724"/>
      <c r="V174" s="724"/>
      <c r="W174" s="724"/>
      <c r="X174" s="724"/>
      <c r="Y174" s="724"/>
      <c r="Z174" s="724"/>
      <c r="AA174" s="724"/>
      <c r="AB174" s="724"/>
      <c r="AC174" s="724"/>
      <c r="AD174" s="724"/>
      <c r="AE174" s="724"/>
      <c r="AF174" s="724"/>
    </row>
    <row r="175" spans="1:32" x14ac:dyDescent="0.25">
      <c r="A175" s="839"/>
      <c r="B175" s="552" t="s">
        <v>43</v>
      </c>
      <c r="C175" s="539"/>
      <c r="D175" s="539"/>
      <c r="E175" s="539"/>
      <c r="F175" s="539"/>
      <c r="G175" s="723">
        <v>8.0346905845822167</v>
      </c>
      <c r="H175" s="723">
        <v>7.6218248669032294</v>
      </c>
      <c r="I175" s="723">
        <v>7.2373993325075636</v>
      </c>
      <c r="J175" s="723">
        <v>6.8793759828215153</v>
      </c>
      <c r="K175" s="723">
        <v>6.5451724398286411</v>
      </c>
      <c r="L175" s="723">
        <v>6.2337507920313007</v>
      </c>
      <c r="M175" s="723">
        <v>5.9435153369215161</v>
      </c>
      <c r="N175" s="723">
        <v>5.6727624406797155</v>
      </c>
      <c r="O175" s="723">
        <v>5.4202884438656538</v>
      </c>
      <c r="P175" s="723">
        <v>5.1849805070872597</v>
      </c>
      <c r="Q175" s="723">
        <v>4.965708862004842</v>
      </c>
      <c r="R175" s="723">
        <v>4.7611714414114079</v>
      </c>
      <c r="S175" s="723">
        <v>4.5707610090516093</v>
      </c>
      <c r="T175" s="723">
        <v>4.3935291797100584</v>
      </c>
      <c r="U175" s="723">
        <v>4.2285875210472668</v>
      </c>
      <c r="V175" s="723">
        <v>4.0753059866609531</v>
      </c>
      <c r="W175" s="723">
        <v>3.9327726627172672</v>
      </c>
      <c r="X175" s="723">
        <v>3.800103523926587</v>
      </c>
      <c r="Y175" s="723">
        <v>3.6765411232864422</v>
      </c>
      <c r="Z175" s="723">
        <v>3.5616322986548541</v>
      </c>
      <c r="AA175" s="723">
        <v>3.4550347246979829</v>
      </c>
      <c r="AB175" s="723">
        <v>3.3565549891275039</v>
      </c>
      <c r="AC175" s="723">
        <v>3.265186910396884</v>
      </c>
      <c r="AD175" s="723">
        <v>3.1804444387692032</v>
      </c>
      <c r="AE175" s="723">
        <v>3.101870985538723</v>
      </c>
      <c r="AF175" s="723">
        <v>3.0290375384350945</v>
      </c>
    </row>
    <row r="176" spans="1:32" x14ac:dyDescent="0.25">
      <c r="A176" s="839"/>
      <c r="B176" s="552" t="s">
        <v>44</v>
      </c>
      <c r="C176" s="539"/>
      <c r="D176" s="539"/>
      <c r="E176" s="539"/>
      <c r="F176" s="539"/>
      <c r="G176" s="723">
        <v>1.7551508558553384</v>
      </c>
      <c r="H176" s="723">
        <v>12.776649755750123</v>
      </c>
      <c r="I176" s="723">
        <v>23.449836324439097</v>
      </c>
      <c r="J176" s="723">
        <v>33.769135434994091</v>
      </c>
      <c r="K176" s="723">
        <v>43.635919435901954</v>
      </c>
      <c r="L176" s="723">
        <v>53.146787953545775</v>
      </c>
      <c r="M176" s="723">
        <v>62.305888720053581</v>
      </c>
      <c r="N176" s="723">
        <v>71.087796020225397</v>
      </c>
      <c r="O176" s="723">
        <v>79.522051150374125</v>
      </c>
      <c r="P176" s="723">
        <v>87.637881123815163</v>
      </c>
      <c r="Q176" s="723">
        <v>95.450258252357372</v>
      </c>
      <c r="R176" s="723">
        <v>102.93935038698645</v>
      </c>
      <c r="S176" s="723">
        <v>110.1704372478019</v>
      </c>
      <c r="T176" s="723">
        <v>117.15224689485777</v>
      </c>
      <c r="U176" s="723">
        <v>123.89271800556767</v>
      </c>
      <c r="V176" s="723">
        <v>130.42687688924161</v>
      </c>
      <c r="W176" s="723">
        <v>136.7431521872102</v>
      </c>
      <c r="X176" s="723">
        <v>142.82646183309816</v>
      </c>
      <c r="Y176" s="723">
        <v>148.67226476191465</v>
      </c>
      <c r="Z176" s="723">
        <v>154.31144317256104</v>
      </c>
      <c r="AA176" s="723">
        <v>159.78414410224804</v>
      </c>
      <c r="AB176" s="723">
        <v>165.14540880437301</v>
      </c>
      <c r="AC176" s="723">
        <v>170.33335666773968</v>
      </c>
      <c r="AD176" s="723">
        <v>175.35271525975853</v>
      </c>
      <c r="AE176" s="723">
        <v>180.20770899144307</v>
      </c>
      <c r="AF176" s="723">
        <v>184.90209760842924</v>
      </c>
    </row>
    <row r="177" spans="1:32" x14ac:dyDescent="0.25">
      <c r="A177" s="839"/>
      <c r="B177" s="552" t="s">
        <v>45</v>
      </c>
      <c r="C177" s="539"/>
      <c r="D177" s="539"/>
      <c r="E177" s="539"/>
      <c r="F177" s="539"/>
      <c r="G177" s="723">
        <v>46.140965832819226</v>
      </c>
      <c r="H177" s="723">
        <v>43.329447301930706</v>
      </c>
      <c r="I177" s="723">
        <v>40.695300237687604</v>
      </c>
      <c r="J177" s="723">
        <v>38.227028652419754</v>
      </c>
      <c r="K177" s="723">
        <v>35.913702309478296</v>
      </c>
      <c r="L177" s="723">
        <v>33.745515461975977</v>
      </c>
      <c r="M177" s="723">
        <v>31.713128094040698</v>
      </c>
      <c r="N177" s="723">
        <v>29.807754077629035</v>
      </c>
      <c r="O177" s="723">
        <v>28.021298369047663</v>
      </c>
      <c r="P177" s="723">
        <v>26.346200715955625</v>
      </c>
      <c r="Q177" s="723">
        <v>24.775369813208027</v>
      </c>
      <c r="R177" s="723">
        <v>23.302106019487564</v>
      </c>
      <c r="S177" s="723">
        <v>21.920324162718487</v>
      </c>
      <c r="T177" s="723">
        <v>20.624224022945977</v>
      </c>
      <c r="U177" s="723">
        <v>19.408381418732642</v>
      </c>
      <c r="V177" s="723">
        <v>18.267782015473294</v>
      </c>
      <c r="W177" s="723">
        <v>17.197641623675857</v>
      </c>
      <c r="X177" s="723">
        <v>16.193475660719304</v>
      </c>
      <c r="Y177" s="723">
        <v>15.251108540236158</v>
      </c>
      <c r="Z177" s="723">
        <v>14.366707396058237</v>
      </c>
      <c r="AA177" s="723">
        <v>13.536708925488295</v>
      </c>
      <c r="AB177" s="723">
        <v>12.757814827909725</v>
      </c>
      <c r="AC177" s="723">
        <v>12.026697125541315</v>
      </c>
      <c r="AD177" s="723">
        <v>11.340372842579431</v>
      </c>
      <c r="AE177" s="723">
        <v>10.696048388411326</v>
      </c>
      <c r="AF177" s="723">
        <v>10.09110719313734</v>
      </c>
    </row>
    <row r="178" spans="1:32" x14ac:dyDescent="0.25">
      <c r="A178" s="839"/>
      <c r="B178" s="552" t="s">
        <v>46</v>
      </c>
      <c r="C178" s="539"/>
      <c r="D178" s="539"/>
      <c r="E178" s="539"/>
      <c r="F178" s="539"/>
      <c r="G178" s="723">
        <v>0</v>
      </c>
      <c r="H178" s="723">
        <v>0</v>
      </c>
      <c r="I178" s="723">
        <v>0</v>
      </c>
      <c r="J178" s="723">
        <v>0</v>
      </c>
      <c r="K178" s="723">
        <v>0</v>
      </c>
      <c r="L178" s="723">
        <v>0</v>
      </c>
      <c r="M178" s="723">
        <v>0</v>
      </c>
      <c r="N178" s="723">
        <v>0</v>
      </c>
      <c r="O178" s="723">
        <v>0</v>
      </c>
      <c r="P178" s="723">
        <v>0</v>
      </c>
      <c r="Q178" s="723">
        <v>0</v>
      </c>
      <c r="R178" s="723">
        <v>0</v>
      </c>
      <c r="S178" s="723">
        <v>0</v>
      </c>
      <c r="T178" s="723">
        <v>0</v>
      </c>
      <c r="U178" s="723">
        <v>0</v>
      </c>
      <c r="V178" s="723">
        <v>0</v>
      </c>
      <c r="W178" s="723">
        <v>0</v>
      </c>
      <c r="X178" s="723">
        <v>0</v>
      </c>
      <c r="Y178" s="723">
        <v>0</v>
      </c>
      <c r="Z178" s="723">
        <v>0</v>
      </c>
      <c r="AA178" s="723">
        <v>0</v>
      </c>
      <c r="AB178" s="723">
        <v>0</v>
      </c>
      <c r="AC178" s="723">
        <v>0</v>
      </c>
      <c r="AD178" s="723">
        <v>0</v>
      </c>
      <c r="AE178" s="723">
        <v>0</v>
      </c>
      <c r="AF178" s="723">
        <v>0</v>
      </c>
    </row>
    <row r="179" spans="1:32" x14ac:dyDescent="0.25">
      <c r="A179" s="839"/>
      <c r="B179" s="550" t="s">
        <v>29</v>
      </c>
      <c r="C179" s="539"/>
      <c r="D179" s="539"/>
      <c r="E179" s="539"/>
      <c r="F179" s="539"/>
      <c r="G179" s="723">
        <v>0</v>
      </c>
      <c r="H179" s="723">
        <v>0.23082750459071322</v>
      </c>
      <c r="I179" s="723">
        <v>0.44904935121270562</v>
      </c>
      <c r="J179" s="723">
        <v>0.65511483115044522</v>
      </c>
      <c r="K179" s="723">
        <v>0.8474691406525301</v>
      </c>
      <c r="L179" s="723">
        <v>1.0286870494955425</v>
      </c>
      <c r="M179" s="723">
        <v>1.1993013677620143</v>
      </c>
      <c r="N179" s="723">
        <v>1.3591848090742484</v>
      </c>
      <c r="O179" s="723">
        <v>1.5093518333280715</v>
      </c>
      <c r="P179" s="723">
        <v>1.6507650305531349</v>
      </c>
      <c r="Q179" s="723">
        <v>1.7840447142110512</v>
      </c>
      <c r="R179" s="723">
        <v>1.9090461942799697</v>
      </c>
      <c r="S179" s="723">
        <v>2.0274101378100724</v>
      </c>
      <c r="T179" s="723">
        <v>2.139529948312072</v>
      </c>
      <c r="U179" s="723">
        <v>2.2457622492943177</v>
      </c>
      <c r="V179" s="723">
        <v>2.3470168577956643</v>
      </c>
      <c r="W179" s="723">
        <v>2.4431894829847085</v>
      </c>
      <c r="X179" s="723">
        <v>2.5340979223477591</v>
      </c>
      <c r="Y179" s="723">
        <v>2.6197806379129718</v>
      </c>
      <c r="Z179" s="723">
        <v>2.7010160009041728</v>
      </c>
      <c r="AA179" s="723">
        <v>2.7787519816332931</v>
      </c>
      <c r="AB179" s="723">
        <v>2.8542218005553845</v>
      </c>
      <c r="AC179" s="723">
        <v>2.9261580295781271</v>
      </c>
      <c r="AD179" s="723">
        <v>2.994729479604556</v>
      </c>
      <c r="AE179" s="723">
        <v>3.0600871031883208</v>
      </c>
      <c r="AF179" s="723">
        <v>3.1223656248608838</v>
      </c>
    </row>
    <row r="180" spans="1:32" x14ac:dyDescent="0.25">
      <c r="A180" s="839"/>
      <c r="B180" s="550"/>
      <c r="C180" s="539"/>
      <c r="D180" s="539"/>
      <c r="E180" s="539"/>
      <c r="F180" s="539"/>
      <c r="G180" s="723"/>
      <c r="H180" s="723"/>
      <c r="I180" s="723"/>
      <c r="J180" s="723"/>
      <c r="K180" s="723"/>
      <c r="L180" s="723"/>
      <c r="M180" s="723"/>
      <c r="N180" s="723"/>
      <c r="O180" s="723"/>
      <c r="P180" s="723"/>
      <c r="Q180" s="723"/>
      <c r="R180" s="723"/>
      <c r="S180" s="723"/>
      <c r="T180" s="723"/>
      <c r="U180" s="723"/>
      <c r="V180" s="723"/>
      <c r="W180" s="723"/>
      <c r="X180" s="723"/>
      <c r="Y180" s="723"/>
      <c r="Z180" s="723"/>
      <c r="AA180" s="723"/>
      <c r="AB180" s="723"/>
      <c r="AC180" s="723"/>
      <c r="AD180" s="723"/>
      <c r="AE180" s="723"/>
      <c r="AF180" s="723"/>
    </row>
    <row r="181" spans="1:32" s="202" customFormat="1" ht="12.75" x14ac:dyDescent="0.2">
      <c r="A181" s="843" t="s">
        <v>47</v>
      </c>
      <c r="B181" s="556"/>
      <c r="C181" s="556"/>
      <c r="D181" s="556"/>
      <c r="E181" s="556"/>
      <c r="F181" s="556"/>
      <c r="G181" s="724"/>
      <c r="H181" s="724"/>
      <c r="I181" s="724"/>
      <c r="J181" s="724"/>
      <c r="K181" s="724"/>
      <c r="L181" s="724"/>
      <c r="M181" s="724"/>
      <c r="N181" s="724"/>
      <c r="O181" s="724"/>
      <c r="P181" s="724"/>
      <c r="Q181" s="724"/>
      <c r="R181" s="724"/>
      <c r="S181" s="724"/>
      <c r="T181" s="724"/>
      <c r="U181" s="724"/>
      <c r="V181" s="724"/>
      <c r="W181" s="724"/>
      <c r="X181" s="724"/>
      <c r="Y181" s="724"/>
      <c r="Z181" s="724"/>
      <c r="AA181" s="724"/>
      <c r="AB181" s="724"/>
      <c r="AC181" s="724"/>
      <c r="AD181" s="724"/>
      <c r="AE181" s="724"/>
      <c r="AF181" s="724"/>
    </row>
    <row r="182" spans="1:32" x14ac:dyDescent="0.25">
      <c r="A182" s="839"/>
      <c r="B182" s="550" t="s">
        <v>48</v>
      </c>
      <c r="C182" s="539"/>
      <c r="D182" s="539"/>
      <c r="E182" s="539"/>
      <c r="F182" s="539"/>
      <c r="G182" s="723">
        <v>56855.856025608635</v>
      </c>
      <c r="H182" s="723">
        <v>57853.826862945651</v>
      </c>
      <c r="I182" s="723">
        <v>58908.850894507079</v>
      </c>
      <c r="J182" s="723">
        <v>60005.310451654856</v>
      </c>
      <c r="K182" s="723">
        <v>61091.250017219943</v>
      </c>
      <c r="L182" s="723">
        <v>62179.233633267482</v>
      </c>
      <c r="M182" s="723">
        <v>63260.953135145195</v>
      </c>
      <c r="N182" s="723">
        <v>64317.240618161042</v>
      </c>
      <c r="O182" s="723">
        <v>65351.6029586574</v>
      </c>
      <c r="P182" s="723">
        <v>66367.875488599864</v>
      </c>
      <c r="Q182" s="723">
        <v>67364.761099052776</v>
      </c>
      <c r="R182" s="723">
        <v>68328.018002434284</v>
      </c>
      <c r="S182" s="723">
        <v>69276.868941239649</v>
      </c>
      <c r="T182" s="723">
        <v>70208.879111105198</v>
      </c>
      <c r="U182" s="723">
        <v>71121.747969560209</v>
      </c>
      <c r="V182" s="723">
        <v>72023.801311455638</v>
      </c>
      <c r="W182" s="723">
        <v>72906.003253706585</v>
      </c>
      <c r="X182" s="723">
        <v>73758.52708263071</v>
      </c>
      <c r="Y182" s="723">
        <v>74575.971934465924</v>
      </c>
      <c r="Z182" s="723">
        <v>75366.392943863655</v>
      </c>
      <c r="AA182" s="723">
        <v>76141.295520000698</v>
      </c>
      <c r="AB182" s="723">
        <v>76917.57358593095</v>
      </c>
      <c r="AC182" s="723">
        <v>77669.519464898811</v>
      </c>
      <c r="AD182" s="723">
        <v>78396.25460094017</v>
      </c>
      <c r="AE182" s="723">
        <v>79096.923188669854</v>
      </c>
      <c r="AF182" s="723">
        <v>79770.693840362597</v>
      </c>
    </row>
    <row r="183" spans="1:32" x14ac:dyDescent="0.25">
      <c r="A183" s="839"/>
      <c r="B183" s="552" t="s">
        <v>50</v>
      </c>
      <c r="C183" s="539"/>
      <c r="D183" s="539"/>
      <c r="E183" s="539"/>
      <c r="F183" s="539"/>
      <c r="G183" s="723">
        <v>4385.5952275420887</v>
      </c>
      <c r="H183" s="723">
        <v>4488.8974410727178</v>
      </c>
      <c r="I183" s="723">
        <v>4596.3778510668617</v>
      </c>
      <c r="J183" s="723">
        <v>4706.8226267965319</v>
      </c>
      <c r="K183" s="723">
        <v>4815.9820803150624</v>
      </c>
      <c r="L183" s="723">
        <v>4926.2055178492146</v>
      </c>
      <c r="M183" s="723">
        <v>5036.8039626282889</v>
      </c>
      <c r="N183" s="723">
        <v>5146.1605280798012</v>
      </c>
      <c r="O183" s="723">
        <v>5254.5446771129864</v>
      </c>
      <c r="P183" s="723">
        <v>5362.2596526594361</v>
      </c>
      <c r="Q183" s="723">
        <v>5469.1766430070038</v>
      </c>
      <c r="R183" s="723">
        <v>5574.0535771347522</v>
      </c>
      <c r="S183" s="723">
        <v>5678.5111662990657</v>
      </c>
      <c r="T183" s="723">
        <v>5782.3249483266736</v>
      </c>
      <c r="U183" s="723">
        <v>5885.2781156420215</v>
      </c>
      <c r="V183" s="723">
        <v>5988.0797097575032</v>
      </c>
      <c r="W183" s="723">
        <v>6089.92637994914</v>
      </c>
      <c r="X183" s="723">
        <v>6189.9299790317691</v>
      </c>
      <c r="Y183" s="723">
        <v>6287.5787976424399</v>
      </c>
      <c r="Z183" s="723">
        <v>6383.5516524462182</v>
      </c>
      <c r="AA183" s="723">
        <v>6478.8495390118187</v>
      </c>
      <c r="AB183" s="723">
        <v>6574.9770752185232</v>
      </c>
      <c r="AC183" s="723">
        <v>6669.6165809270024</v>
      </c>
      <c r="AD183" s="723">
        <v>6762.6620821649958</v>
      </c>
      <c r="AE183" s="723">
        <v>6854.0081521861812</v>
      </c>
      <c r="AF183" s="723">
        <v>6943.5501065064864</v>
      </c>
    </row>
    <row r="184" spans="1:32" x14ac:dyDescent="0.25">
      <c r="A184" s="839"/>
      <c r="B184" s="550" t="s">
        <v>51</v>
      </c>
      <c r="C184" s="539"/>
      <c r="D184" s="539"/>
      <c r="E184" s="539"/>
      <c r="F184" s="539"/>
      <c r="G184" s="723">
        <v>5042.5663513056043</v>
      </c>
      <c r="H184" s="723">
        <v>5164.9430655719343</v>
      </c>
      <c r="I184" s="723">
        <v>5292.3138468888828</v>
      </c>
      <c r="J184" s="723">
        <v>5423.2794363984895</v>
      </c>
      <c r="K184" s="723">
        <v>5552.9100570686333</v>
      </c>
      <c r="L184" s="723">
        <v>5683.9331637141659</v>
      </c>
      <c r="M184" s="723">
        <v>5815.5495188735795</v>
      </c>
      <c r="N184" s="723">
        <v>5945.87754000734</v>
      </c>
      <c r="O184" s="723">
        <v>6075.2278256708041</v>
      </c>
      <c r="P184" s="723">
        <v>6203.9512519600976</v>
      </c>
      <c r="Q184" s="723">
        <v>6331.8957259679319</v>
      </c>
      <c r="R184" s="723">
        <v>6457.6093717733684</v>
      </c>
      <c r="S184" s="723">
        <v>6582.9801851235852</v>
      </c>
      <c r="T184" s="723">
        <v>6707.7446562443656</v>
      </c>
      <c r="U184" s="723">
        <v>6831.6475551864478</v>
      </c>
      <c r="V184" s="723">
        <v>6955.5165283492643</v>
      </c>
      <c r="W184" s="723">
        <v>7078.4103046428909</v>
      </c>
      <c r="X184" s="723">
        <v>7199.2858154787891</v>
      </c>
      <c r="Y184" s="723">
        <v>7317.5387356051269</v>
      </c>
      <c r="Z184" s="723">
        <v>7433.9601250022715</v>
      </c>
      <c r="AA184" s="723">
        <v>7549.721381773752</v>
      </c>
      <c r="AB184" s="723">
        <v>7666.5885756172693</v>
      </c>
      <c r="AC184" s="723">
        <v>7781.8389076316253</v>
      </c>
      <c r="AD184" s="723">
        <v>7895.3443467317993</v>
      </c>
      <c r="AE184" s="723">
        <v>8006.9772191467255</v>
      </c>
      <c r="AF184" s="723">
        <v>8116.610442161963</v>
      </c>
    </row>
    <row r="185" spans="1:32" x14ac:dyDescent="0.25">
      <c r="A185" s="839"/>
      <c r="B185" s="550" t="s">
        <v>52</v>
      </c>
      <c r="C185" s="539"/>
      <c r="D185" s="539"/>
      <c r="E185" s="539"/>
      <c r="F185" s="539"/>
      <c r="G185" s="723">
        <v>7634.3986918460068</v>
      </c>
      <c r="H185" s="723">
        <v>7817.0810354600535</v>
      </c>
      <c r="I185" s="723">
        <v>8007.2033924101324</v>
      </c>
      <c r="J185" s="723">
        <v>8202.6515102130379</v>
      </c>
      <c r="K185" s="723">
        <v>8395.9984959551748</v>
      </c>
      <c r="L185" s="723">
        <v>8591.351490301693</v>
      </c>
      <c r="M185" s="723">
        <v>8787.5062270069047</v>
      </c>
      <c r="N185" s="723">
        <v>8981.6318624352152</v>
      </c>
      <c r="O185" s="723">
        <v>9174.1974634128692</v>
      </c>
      <c r="P185" s="723">
        <v>9365.7320688896561</v>
      </c>
      <c r="Q185" s="723">
        <v>9556.0081719560876</v>
      </c>
      <c r="R185" s="723">
        <v>9742.8456260850617</v>
      </c>
      <c r="S185" s="723">
        <v>9929.0834102563658</v>
      </c>
      <c r="T185" s="723">
        <v>10114.326483058663</v>
      </c>
      <c r="U185" s="723">
        <v>10298.192669914151</v>
      </c>
      <c r="V185" s="723">
        <v>10481.925398423989</v>
      </c>
      <c r="W185" s="723">
        <v>10664.112632074977</v>
      </c>
      <c r="X185" s="723">
        <v>10843.191181567758</v>
      </c>
      <c r="Y185" s="723">
        <v>11018.257466016319</v>
      </c>
      <c r="Z185" s="723">
        <v>11190.500783096939</v>
      </c>
      <c r="AA185" s="723">
        <v>11361.679171589296</v>
      </c>
      <c r="AB185" s="723">
        <v>11534.439851916195</v>
      </c>
      <c r="AC185" s="723">
        <v>11704.702858396451</v>
      </c>
      <c r="AD185" s="723">
        <v>11872.278495184017</v>
      </c>
      <c r="AE185" s="723">
        <v>12036.977773620694</v>
      </c>
      <c r="AF185" s="723">
        <v>12198.612758620884</v>
      </c>
    </row>
    <row r="186" spans="1:32" x14ac:dyDescent="0.25">
      <c r="A186" s="839"/>
      <c r="B186" s="552" t="s">
        <v>29</v>
      </c>
      <c r="C186" s="539"/>
      <c r="D186" s="539"/>
      <c r="E186" s="539"/>
      <c r="F186" s="539"/>
      <c r="G186" s="723">
        <v>124.702881001796</v>
      </c>
      <c r="H186" s="723">
        <v>300.70139922722279</v>
      </c>
      <c r="I186" s="723">
        <v>477.5356224953411</v>
      </c>
      <c r="J186" s="723">
        <v>655.08093175623674</v>
      </c>
      <c r="K186" s="723">
        <v>831.49586267209054</v>
      </c>
      <c r="L186" s="723">
        <v>1014.3418923316692</v>
      </c>
      <c r="M186" s="723">
        <v>1203.2745875661785</v>
      </c>
      <c r="N186" s="723">
        <v>1397.2931542407885</v>
      </c>
      <c r="O186" s="723">
        <v>1596.4097069662525</v>
      </c>
      <c r="P186" s="723">
        <v>1800.695872500959</v>
      </c>
      <c r="Q186" s="723">
        <v>2009.9581042578325</v>
      </c>
      <c r="R186" s="723">
        <v>2223.169197913925</v>
      </c>
      <c r="S186" s="723">
        <v>2441.3490944263367</v>
      </c>
      <c r="T186" s="723">
        <v>2664.2454640677865</v>
      </c>
      <c r="U186" s="723">
        <v>2891.5869702945683</v>
      </c>
      <c r="V186" s="723">
        <v>3123.8704915244657</v>
      </c>
      <c r="W186" s="723">
        <v>3360.3391834354288</v>
      </c>
      <c r="X186" s="723">
        <v>3600.0664368521993</v>
      </c>
      <c r="Y186" s="723">
        <v>3842.3803261094977</v>
      </c>
      <c r="Z186" s="723">
        <v>4087.7097130991592</v>
      </c>
      <c r="AA186" s="723">
        <v>4336.8852762589795</v>
      </c>
      <c r="AB186" s="723">
        <v>4591.3690998501461</v>
      </c>
      <c r="AC186" s="723">
        <v>4848.75981463062</v>
      </c>
      <c r="AD186" s="723">
        <v>5108.7935872141361</v>
      </c>
      <c r="AE186" s="723">
        <v>5371.1976068511185</v>
      </c>
      <c r="AF186" s="723">
        <v>5635.6905332443584</v>
      </c>
    </row>
    <row r="187" spans="1:32" x14ac:dyDescent="0.25">
      <c r="A187" s="839"/>
      <c r="B187" s="552" t="s">
        <v>53</v>
      </c>
      <c r="C187" s="539"/>
      <c r="D187" s="539"/>
      <c r="E187" s="539"/>
      <c r="F187" s="539"/>
      <c r="G187" s="723">
        <v>210.48592758173848</v>
      </c>
      <c r="H187" s="723">
        <v>215.582768064302</v>
      </c>
      <c r="I187" s="723">
        <v>220.8874443257213</v>
      </c>
      <c r="J187" s="723">
        <v>226.34157201704855</v>
      </c>
      <c r="K187" s="723">
        <v>231.73955300373419</v>
      </c>
      <c r="L187" s="723">
        <v>237.19513020021813</v>
      </c>
      <c r="M187" s="723">
        <v>242.67497129146307</v>
      </c>
      <c r="N187" s="723">
        <v>248.100623075447</v>
      </c>
      <c r="O187" s="723">
        <v>253.4850455949659</v>
      </c>
      <c r="P187" s="723">
        <v>258.84287520329201</v>
      </c>
      <c r="Q187" s="723">
        <v>264.16777729453918</v>
      </c>
      <c r="R187" s="723">
        <v>269.39923561194723</v>
      </c>
      <c r="S187" s="723">
        <v>274.61596480285317</v>
      </c>
      <c r="T187" s="723">
        <v>279.80698493692751</v>
      </c>
      <c r="U187" s="723">
        <v>284.96166324478162</v>
      </c>
      <c r="V187" s="723">
        <v>290.11450087987288</v>
      </c>
      <c r="W187" s="723">
        <v>295.22627111272715</v>
      </c>
      <c r="X187" s="723">
        <v>300.2535123748724</v>
      </c>
      <c r="Y187" s="723">
        <v>305.17105447564347</v>
      </c>
      <c r="Z187" s="723">
        <v>310.0118773298974</v>
      </c>
      <c r="AA187" s="723">
        <v>314.82480240173163</v>
      </c>
      <c r="AB187" s="723">
        <v>319.68341960585985</v>
      </c>
      <c r="AC187" s="723">
        <v>324.47428042009705</v>
      </c>
      <c r="AD187" s="723">
        <v>329.19206094805827</v>
      </c>
      <c r="AE187" s="723">
        <v>333.83145302171329</v>
      </c>
      <c r="AF187" s="723">
        <v>338.3871739244837</v>
      </c>
    </row>
    <row r="188" spans="1:32" x14ac:dyDescent="0.25">
      <c r="A188" s="838"/>
      <c r="B188" s="539"/>
      <c r="C188" s="539"/>
      <c r="D188" s="539"/>
      <c r="E188" s="539"/>
      <c r="F188" s="539"/>
      <c r="G188" s="539"/>
      <c r="H188" s="539"/>
      <c r="I188" s="539"/>
      <c r="J188" s="539"/>
      <c r="K188" s="539"/>
      <c r="L188" s="539"/>
      <c r="M188" s="539"/>
      <c r="N188" s="539"/>
      <c r="O188" s="539"/>
      <c r="P188" s="539"/>
      <c r="Q188" s="539"/>
      <c r="R188" s="539"/>
      <c r="S188" s="539"/>
      <c r="T188" s="539"/>
      <c r="U188" s="539"/>
      <c r="V188" s="539"/>
      <c r="W188" s="539"/>
      <c r="X188" s="539"/>
      <c r="Y188" s="539"/>
      <c r="Z188" s="539"/>
      <c r="AA188" s="539"/>
      <c r="AB188" s="539"/>
      <c r="AC188" s="539"/>
      <c r="AD188" s="539"/>
      <c r="AE188" s="539"/>
      <c r="AF188" s="539"/>
    </row>
    <row r="189" spans="1:32" x14ac:dyDescent="0.25">
      <c r="A189" s="838"/>
      <c r="B189" s="539"/>
      <c r="C189" s="539"/>
      <c r="D189" s="539"/>
      <c r="E189" s="539"/>
      <c r="F189" s="539"/>
      <c r="G189" s="539"/>
      <c r="H189" s="539"/>
      <c r="I189" s="539"/>
      <c r="J189" s="539"/>
      <c r="K189" s="539"/>
      <c r="L189" s="539"/>
      <c r="M189" s="539"/>
      <c r="N189" s="539"/>
      <c r="O189" s="539"/>
      <c r="P189" s="539"/>
      <c r="Q189" s="539"/>
      <c r="R189" s="539"/>
      <c r="S189" s="539"/>
      <c r="T189" s="539"/>
      <c r="U189" s="539"/>
      <c r="V189" s="539"/>
      <c r="W189" s="539"/>
      <c r="X189" s="539"/>
      <c r="Y189" s="539"/>
      <c r="Z189" s="539"/>
      <c r="AA189" s="539"/>
      <c r="AB189" s="539"/>
      <c r="AC189" s="539"/>
      <c r="AD189" s="539"/>
      <c r="AE189" s="539"/>
      <c r="AF189" s="539"/>
    </row>
    <row r="190" spans="1:32" s="539" customFormat="1" x14ac:dyDescent="0.25">
      <c r="A190" s="860" t="s">
        <v>303</v>
      </c>
      <c r="B190" s="555"/>
      <c r="C190" s="554"/>
      <c r="D190" s="553"/>
      <c r="E190" s="553"/>
      <c r="F190" s="553"/>
      <c r="G190" s="553" t="s">
        <v>704</v>
      </c>
      <c r="H190" s="560"/>
      <c r="I190" s="560"/>
      <c r="J190" s="560"/>
      <c r="K190" s="560"/>
      <c r="L190" s="560"/>
      <c r="M190" s="560"/>
      <c r="N190" s="560"/>
      <c r="O190" s="560"/>
      <c r="P190" s="560"/>
      <c r="Q190" s="560"/>
      <c r="R190" s="560"/>
      <c r="S190" s="560"/>
      <c r="T190" s="560"/>
      <c r="U190" s="560"/>
      <c r="V190" s="560"/>
      <c r="W190" s="560"/>
      <c r="X190" s="560"/>
      <c r="Y190" s="560"/>
      <c r="Z190" s="560"/>
      <c r="AA190" s="560"/>
      <c r="AB190" s="560"/>
      <c r="AC190" s="560"/>
      <c r="AD190" s="560"/>
      <c r="AE190" s="560"/>
      <c r="AF190" s="560"/>
    </row>
    <row r="191" spans="1:32" s="539" customFormat="1" x14ac:dyDescent="0.25">
      <c r="A191" s="840" t="s">
        <v>12</v>
      </c>
      <c r="B191" s="550"/>
    </row>
    <row r="192" spans="1:32" s="539" customFormat="1" x14ac:dyDescent="0.25">
      <c r="A192" s="839"/>
      <c r="B192" s="550" t="s">
        <v>20</v>
      </c>
    </row>
    <row r="193" spans="1:32" s="202" customFormat="1" ht="12.75" x14ac:dyDescent="0.2">
      <c r="A193" s="843" t="s">
        <v>21</v>
      </c>
      <c r="B193" s="556"/>
      <c r="C193" s="556"/>
      <c r="D193" s="556"/>
      <c r="E193" s="556"/>
      <c r="F193" s="556"/>
      <c r="G193" s="556"/>
      <c r="H193" s="556"/>
      <c r="I193" s="556"/>
      <c r="J193" s="556"/>
      <c r="K193" s="556"/>
      <c r="L193" s="556"/>
      <c r="M193" s="556"/>
      <c r="N193" s="556"/>
      <c r="O193" s="556"/>
      <c r="P193" s="556"/>
      <c r="Q193" s="556"/>
      <c r="R193" s="556"/>
      <c r="S193" s="556"/>
      <c r="T193" s="556"/>
      <c r="U193" s="556"/>
      <c r="V193" s="556"/>
      <c r="W193" s="556"/>
      <c r="X193" s="556"/>
      <c r="Y193" s="556"/>
      <c r="Z193" s="556"/>
      <c r="AA193" s="556"/>
      <c r="AB193" s="556"/>
      <c r="AC193" s="556"/>
      <c r="AD193" s="556"/>
      <c r="AE193" s="556"/>
      <c r="AF193" s="556"/>
    </row>
    <row r="194" spans="1:32" x14ac:dyDescent="0.25">
      <c r="A194" s="839"/>
      <c r="B194" s="550" t="s">
        <v>22</v>
      </c>
      <c r="C194" s="539"/>
      <c r="D194" s="539"/>
      <c r="E194" s="539"/>
      <c r="F194" s="539"/>
      <c r="G194" s="723">
        <v>0.37293317149864402</v>
      </c>
      <c r="H194" s="723">
        <v>0.33858694258713901</v>
      </c>
      <c r="I194" s="723">
        <v>0.29775556730476155</v>
      </c>
      <c r="J194" s="723">
        <v>0.23240017116530926</v>
      </c>
      <c r="K194" s="723">
        <v>0.17393435417312625</v>
      </c>
      <c r="L194" s="723">
        <v>0.1239791863130007</v>
      </c>
      <c r="M194" s="723">
        <v>7.5053382012328584E-2</v>
      </c>
      <c r="N194" s="723">
        <v>4.9978759357456215E-2</v>
      </c>
      <c r="O194" s="723">
        <v>3.6893171138292526E-2</v>
      </c>
      <c r="P194" s="723">
        <v>2.991276700104906E-2</v>
      </c>
      <c r="Q194" s="723">
        <v>2.6092646563965712E-2</v>
      </c>
      <c r="R194" s="723">
        <v>2.3940856691956405E-2</v>
      </c>
      <c r="S194" s="723">
        <v>2.2689367367767214E-2</v>
      </c>
      <c r="T194" s="723">
        <v>2.1938179155776664E-2</v>
      </c>
      <c r="U194" s="723">
        <v>2.1472891215566933E-2</v>
      </c>
      <c r="V194" s="723">
        <v>2.1176024407889078E-2</v>
      </c>
      <c r="W194" s="723">
        <v>2.0981273759648218E-2</v>
      </c>
      <c r="X194" s="723">
        <v>2.0849389175128123E-2</v>
      </c>
      <c r="Y194" s="723">
        <v>2.0756656063524639E-2</v>
      </c>
      <c r="Z194" s="723">
        <v>2.0689052812920113E-2</v>
      </c>
      <c r="AA194" s="723">
        <v>2.0638621423976919E-2</v>
      </c>
      <c r="AB194" s="723">
        <v>2.0601002299635497E-2</v>
      </c>
      <c r="AC194" s="723">
        <v>2.0572236522888761E-2</v>
      </c>
      <c r="AD194" s="723">
        <v>2.0548815959397435E-2</v>
      </c>
      <c r="AE194" s="723">
        <v>2.0528700569451001E-2</v>
      </c>
      <c r="AF194" s="723">
        <v>2.0510669475524459E-2</v>
      </c>
    </row>
    <row r="195" spans="1:32" x14ac:dyDescent="0.25">
      <c r="A195" s="839"/>
      <c r="B195" s="550" t="s">
        <v>26</v>
      </c>
      <c r="C195" s="539"/>
      <c r="D195" s="539"/>
      <c r="E195" s="539"/>
      <c r="F195" s="539"/>
      <c r="G195" s="723">
        <v>5.5408730747887004E-3</v>
      </c>
      <c r="H195" s="723">
        <v>5.2345376684598361E-3</v>
      </c>
      <c r="I195" s="723">
        <v>1.2458318912521815E-2</v>
      </c>
      <c r="J195" s="723">
        <v>3.5024655002835546E-2</v>
      </c>
      <c r="K195" s="723">
        <v>5.7847502607457968E-2</v>
      </c>
      <c r="L195" s="723">
        <v>7.2389403738488026E-2</v>
      </c>
      <c r="M195" s="723">
        <v>8.3639012549178299E-2</v>
      </c>
      <c r="N195" s="723">
        <v>8.4956435141268091E-2</v>
      </c>
      <c r="O195" s="723">
        <v>8.274447342840506E-2</v>
      </c>
      <c r="P195" s="723">
        <v>7.9701818326375573E-2</v>
      </c>
      <c r="Q195" s="723">
        <v>7.6855876114952176E-2</v>
      </c>
      <c r="R195" s="723">
        <v>7.450140902149241E-2</v>
      </c>
      <c r="S195" s="723">
        <v>7.2686835194375257E-2</v>
      </c>
      <c r="T195" s="723">
        <v>7.1327435909718712E-2</v>
      </c>
      <c r="U195" s="723">
        <v>7.0320721451346185E-2</v>
      </c>
      <c r="V195" s="723">
        <v>6.9586765238575779E-2</v>
      </c>
      <c r="W195" s="723">
        <v>6.904021181938616E-2</v>
      </c>
      <c r="X195" s="723">
        <v>6.8617298455029577E-2</v>
      </c>
      <c r="Y195" s="723">
        <v>6.8277253230419929E-2</v>
      </c>
      <c r="Z195" s="723">
        <v>6.8005712674348587E-2</v>
      </c>
      <c r="AA195" s="723">
        <v>6.7795124035233967E-2</v>
      </c>
      <c r="AB195" s="723">
        <v>6.7645014171879889E-2</v>
      </c>
      <c r="AC195" s="723">
        <v>6.7508380434816703E-2</v>
      </c>
      <c r="AD195" s="723">
        <v>6.7381472571734269E-2</v>
      </c>
      <c r="AE195" s="723">
        <v>6.7261436994960858E-2</v>
      </c>
      <c r="AF195" s="723">
        <v>6.714617707557731E-2</v>
      </c>
    </row>
    <row r="196" spans="1:32" x14ac:dyDescent="0.25">
      <c r="A196" s="839"/>
      <c r="B196" s="550" t="s">
        <v>27</v>
      </c>
      <c r="C196" s="539"/>
      <c r="D196" s="539"/>
      <c r="E196" s="539"/>
      <c r="F196" s="539"/>
      <c r="G196" s="723">
        <v>6.3047475760851804E-2</v>
      </c>
      <c r="H196" s="723">
        <v>7.1473263065518516E-2</v>
      </c>
      <c r="I196" s="723">
        <v>7.9347672188118779E-2</v>
      </c>
      <c r="J196" s="723">
        <v>8.8855571144577553E-2</v>
      </c>
      <c r="K196" s="723">
        <v>9.6615532027743561E-2</v>
      </c>
      <c r="L196" s="723">
        <v>0.1046478820710301</v>
      </c>
      <c r="M196" s="723">
        <v>0.11336154465293799</v>
      </c>
      <c r="N196" s="723">
        <v>0.11908207388881249</v>
      </c>
      <c r="O196" s="723">
        <v>0.12288442068133433</v>
      </c>
      <c r="P196" s="723">
        <v>0.12543679168123154</v>
      </c>
      <c r="Q196" s="723">
        <v>0.12716509560977271</v>
      </c>
      <c r="R196" s="723">
        <v>0.1283489870079623</v>
      </c>
      <c r="S196" s="723">
        <v>0.12916158018691912</v>
      </c>
      <c r="T196" s="723">
        <v>0.12972414973678997</v>
      </c>
      <c r="U196" s="723">
        <v>0.13011783148067807</v>
      </c>
      <c r="V196" s="723">
        <v>0.13039377368140886</v>
      </c>
      <c r="W196" s="723">
        <v>0.13059224067177211</v>
      </c>
      <c r="X196" s="723">
        <v>0.13074080323672313</v>
      </c>
      <c r="Y196" s="723">
        <v>0.13085673936702516</v>
      </c>
      <c r="Z196" s="723">
        <v>0.13094747867400749</v>
      </c>
      <c r="AA196" s="723">
        <v>0.13101704928368618</v>
      </c>
      <c r="AB196" s="723">
        <v>0.13106659937341836</v>
      </c>
      <c r="AC196" s="723">
        <v>0.13111040666851329</v>
      </c>
      <c r="AD196" s="723">
        <v>0.13115036474019195</v>
      </c>
      <c r="AE196" s="723">
        <v>0.13118775824295648</v>
      </c>
      <c r="AF196" s="723">
        <v>0.13122346017524406</v>
      </c>
    </row>
    <row r="197" spans="1:32" x14ac:dyDescent="0.25">
      <c r="A197" s="839"/>
      <c r="B197" s="550" t="s">
        <v>29</v>
      </c>
      <c r="C197" s="539"/>
      <c r="D197" s="539"/>
      <c r="E197" s="539"/>
      <c r="F197" s="539"/>
      <c r="G197" s="723">
        <v>0</v>
      </c>
      <c r="H197" s="723">
        <v>2.9685501037593133E-5</v>
      </c>
      <c r="I197" s="723">
        <v>5.7464178553127081E-5</v>
      </c>
      <c r="J197" s="723">
        <v>7.5658718475672308E-5</v>
      </c>
      <c r="K197" s="723">
        <v>9.1615382871212825E-5</v>
      </c>
      <c r="L197" s="723">
        <v>1.0730636786866441E-4</v>
      </c>
      <c r="M197" s="723">
        <v>1.2288986951286348E-4</v>
      </c>
      <c r="N197" s="723">
        <v>1.3680871485394165E-4</v>
      </c>
      <c r="O197" s="723">
        <v>1.4926012528192914E-4</v>
      </c>
      <c r="P197" s="723">
        <v>1.6041639768629465E-4</v>
      </c>
      <c r="Q197" s="723">
        <v>1.7041200262846195E-4</v>
      </c>
      <c r="R197" s="723">
        <v>1.7933023287694701E-4</v>
      </c>
      <c r="S197" s="723">
        <v>1.8734076135019332E-4</v>
      </c>
      <c r="T197" s="723">
        <v>1.9453092064951493E-4</v>
      </c>
      <c r="U197" s="723">
        <v>2.0097984420288005E-4</v>
      </c>
      <c r="V197" s="723">
        <v>2.0678303807134633E-4</v>
      </c>
      <c r="W197" s="723">
        <v>2.11985420100342E-4</v>
      </c>
      <c r="X197" s="723">
        <v>2.1662809566533824E-4</v>
      </c>
      <c r="Y197" s="723">
        <v>2.207588883314625E-4</v>
      </c>
      <c r="Z197" s="723">
        <v>2.2444726372667723E-4</v>
      </c>
      <c r="AA197" s="723">
        <v>2.2775990298238064E-4</v>
      </c>
      <c r="AB197" s="723">
        <v>2.3076413087830212E-4</v>
      </c>
      <c r="AC197" s="723">
        <v>2.3344341344476652E-4</v>
      </c>
      <c r="AD197" s="723">
        <v>2.3582892304869945E-4</v>
      </c>
      <c r="AE197" s="723">
        <v>2.379486915021869E-4</v>
      </c>
      <c r="AF197" s="723">
        <v>2.3982793555445763E-4</v>
      </c>
    </row>
    <row r="198" spans="1:32" x14ac:dyDescent="0.25">
      <c r="A198" s="839"/>
      <c r="B198" s="550"/>
      <c r="C198" s="539"/>
      <c r="D198" s="539"/>
      <c r="E198" s="539"/>
      <c r="F198" s="539"/>
      <c r="G198" s="723" t="s">
        <v>73</v>
      </c>
      <c r="H198" s="723" t="s">
        <v>73</v>
      </c>
      <c r="I198" s="723" t="s">
        <v>73</v>
      </c>
      <c r="J198" s="723" t="s">
        <v>73</v>
      </c>
      <c r="K198" s="723" t="s">
        <v>73</v>
      </c>
      <c r="L198" s="723" t="s">
        <v>73</v>
      </c>
      <c r="M198" s="723" t="s">
        <v>73</v>
      </c>
      <c r="N198" s="723" t="s">
        <v>73</v>
      </c>
      <c r="O198" s="723" t="s">
        <v>73</v>
      </c>
      <c r="P198" s="723" t="s">
        <v>73</v>
      </c>
      <c r="Q198" s="723" t="s">
        <v>73</v>
      </c>
      <c r="R198" s="723" t="s">
        <v>73</v>
      </c>
      <c r="S198" s="723" t="s">
        <v>73</v>
      </c>
      <c r="T198" s="723" t="s">
        <v>73</v>
      </c>
      <c r="U198" s="723" t="s">
        <v>73</v>
      </c>
      <c r="V198" s="723" t="s">
        <v>73</v>
      </c>
      <c r="W198" s="723" t="s">
        <v>73</v>
      </c>
      <c r="X198" s="723" t="s">
        <v>73</v>
      </c>
      <c r="Y198" s="723" t="s">
        <v>73</v>
      </c>
      <c r="Z198" s="723" t="s">
        <v>73</v>
      </c>
      <c r="AA198" s="723" t="s">
        <v>73</v>
      </c>
      <c r="AB198" s="723" t="s">
        <v>73</v>
      </c>
      <c r="AC198" s="723" t="s">
        <v>73</v>
      </c>
      <c r="AD198" s="723" t="s">
        <v>73</v>
      </c>
      <c r="AE198" s="723" t="s">
        <v>73</v>
      </c>
      <c r="AF198" s="723" t="s">
        <v>73</v>
      </c>
    </row>
    <row r="199" spans="1:32" s="202" customFormat="1" ht="12.75" x14ac:dyDescent="0.2">
      <c r="A199" s="843" t="s">
        <v>32</v>
      </c>
      <c r="B199" s="556"/>
      <c r="C199" s="556"/>
      <c r="D199" s="556"/>
      <c r="E199" s="556"/>
      <c r="F199" s="556"/>
      <c r="G199" s="724" t="s">
        <v>73</v>
      </c>
      <c r="H199" s="724" t="s">
        <v>73</v>
      </c>
      <c r="I199" s="724" t="s">
        <v>73</v>
      </c>
      <c r="J199" s="724" t="s">
        <v>73</v>
      </c>
      <c r="K199" s="724" t="s">
        <v>73</v>
      </c>
      <c r="L199" s="724" t="s">
        <v>73</v>
      </c>
      <c r="M199" s="724" t="s">
        <v>73</v>
      </c>
      <c r="N199" s="724" t="s">
        <v>73</v>
      </c>
      <c r="O199" s="724" t="s">
        <v>73</v>
      </c>
      <c r="P199" s="724" t="s">
        <v>73</v>
      </c>
      <c r="Q199" s="724" t="s">
        <v>73</v>
      </c>
      <c r="R199" s="724" t="s">
        <v>73</v>
      </c>
      <c r="S199" s="724" t="s">
        <v>73</v>
      </c>
      <c r="T199" s="724" t="s">
        <v>73</v>
      </c>
      <c r="U199" s="724" t="s">
        <v>73</v>
      </c>
      <c r="V199" s="724" t="s">
        <v>73</v>
      </c>
      <c r="W199" s="724" t="s">
        <v>73</v>
      </c>
      <c r="X199" s="724" t="s">
        <v>73</v>
      </c>
      <c r="Y199" s="724" t="s">
        <v>73</v>
      </c>
      <c r="Z199" s="724" t="s">
        <v>73</v>
      </c>
      <c r="AA199" s="724" t="s">
        <v>73</v>
      </c>
      <c r="AB199" s="724" t="s">
        <v>73</v>
      </c>
      <c r="AC199" s="724" t="s">
        <v>73</v>
      </c>
      <c r="AD199" s="724" t="s">
        <v>73</v>
      </c>
      <c r="AE199" s="724" t="s">
        <v>73</v>
      </c>
      <c r="AF199" s="724" t="s">
        <v>73</v>
      </c>
    </row>
    <row r="200" spans="1:32" x14ac:dyDescent="0.25">
      <c r="A200" s="839"/>
      <c r="B200" s="550" t="s">
        <v>33</v>
      </c>
      <c r="C200" s="539"/>
      <c r="D200" s="539"/>
      <c r="E200" s="539"/>
      <c r="F200" s="539"/>
      <c r="G200" s="723">
        <v>8.4381081817504436E-2</v>
      </c>
      <c r="H200" s="723">
        <v>7.2646620883951088E-2</v>
      </c>
      <c r="I200" s="723">
        <v>6.5229471764162078E-2</v>
      </c>
      <c r="J200" s="723">
        <v>6.0982073077372648E-2</v>
      </c>
      <c r="K200" s="723">
        <v>5.9079035258419225E-2</v>
      </c>
      <c r="L200" s="723">
        <v>5.769929197437846E-2</v>
      </c>
      <c r="M200" s="723">
        <v>5.669556342698448E-2</v>
      </c>
      <c r="N200" s="723">
        <v>5.5965282637476119E-2</v>
      </c>
      <c r="O200" s="723">
        <v>5.5430310000860281E-2</v>
      </c>
      <c r="P200" s="723">
        <v>5.5035330173545907E-2</v>
      </c>
      <c r="Q200" s="723">
        <v>5.4742054238213142E-2</v>
      </c>
      <c r="R200" s="723">
        <v>5.4525393895450594E-2</v>
      </c>
      <c r="S200" s="723">
        <v>5.4361269120598722E-2</v>
      </c>
      <c r="T200" s="723">
        <v>5.4236475955908713E-2</v>
      </c>
      <c r="U200" s="723">
        <v>5.4141370261049294E-2</v>
      </c>
      <c r="V200" s="723">
        <v>5.4067172818102589E-2</v>
      </c>
      <c r="W200" s="723">
        <v>5.4010380408089781E-2</v>
      </c>
      <c r="X200" s="723">
        <v>5.3968338401934976E-2</v>
      </c>
      <c r="Y200" s="723">
        <v>5.393822524223188E-2</v>
      </c>
      <c r="Z200" s="723">
        <v>5.3915835628603408E-2</v>
      </c>
      <c r="AA200" s="723">
        <v>5.3897698087655058E-2</v>
      </c>
      <c r="AB200" s="723">
        <v>5.3880613910083912E-2</v>
      </c>
      <c r="AC200" s="723">
        <v>5.386869136881612E-2</v>
      </c>
      <c r="AD200" s="723">
        <v>5.386085304764613E-2</v>
      </c>
      <c r="AE200" s="723">
        <v>5.3856277715107821E-2</v>
      </c>
      <c r="AF200" s="723">
        <v>5.3854333582304459E-2</v>
      </c>
    </row>
    <row r="201" spans="1:32" x14ac:dyDescent="0.25">
      <c r="A201" s="842"/>
      <c r="B201" s="552" t="s">
        <v>34</v>
      </c>
      <c r="C201" s="539"/>
      <c r="D201" s="539"/>
      <c r="E201" s="539"/>
      <c r="F201" s="539"/>
      <c r="G201" s="723">
        <v>4.6295998180794176E-2</v>
      </c>
      <c r="H201" s="723">
        <v>5.4445182839572254E-2</v>
      </c>
      <c r="I201" s="723">
        <v>5.7213672689768735E-2</v>
      </c>
      <c r="J201" s="723">
        <v>5.7609338190898515E-2</v>
      </c>
      <c r="K201" s="723">
        <v>5.6406045777529723E-2</v>
      </c>
      <c r="L201" s="723">
        <v>5.5707502054916605E-2</v>
      </c>
      <c r="M201" s="723">
        <v>5.521527983450869E-2</v>
      </c>
      <c r="N201" s="723">
        <v>5.3491495789360688E-2</v>
      </c>
      <c r="O201" s="723">
        <v>5.2391618904793213E-2</v>
      </c>
      <c r="P201" s="723">
        <v>5.1863680801863953E-2</v>
      </c>
      <c r="Q201" s="723">
        <v>5.1856749345208369E-2</v>
      </c>
      <c r="R201" s="723">
        <v>5.1827893570192705E-2</v>
      </c>
      <c r="S201" s="723">
        <v>5.1788748796034512E-2</v>
      </c>
      <c r="T201" s="723">
        <v>5.1743937035348388E-2</v>
      </c>
      <c r="U201" s="723">
        <v>5.1696475703572393E-2</v>
      </c>
      <c r="V201" s="723">
        <v>5.1649840500459468E-2</v>
      </c>
      <c r="W201" s="723">
        <v>5.160374967184439E-2</v>
      </c>
      <c r="X201" s="723">
        <v>5.1557715791728589E-2</v>
      </c>
      <c r="Y201" s="723">
        <v>5.1511884444767155E-2</v>
      </c>
      <c r="Z201" s="723">
        <v>5.146816978206805E-2</v>
      </c>
      <c r="AA201" s="723">
        <v>5.1428334454899395E-2</v>
      </c>
      <c r="AB201" s="723">
        <v>5.1394322158471215E-2</v>
      </c>
      <c r="AC201" s="723">
        <v>5.1361441056575627E-2</v>
      </c>
      <c r="AD201" s="723">
        <v>5.1329725521984101E-2</v>
      </c>
      <c r="AE201" s="723">
        <v>5.1299146201820779E-2</v>
      </c>
      <c r="AF201" s="723">
        <v>5.1269636198475264E-2</v>
      </c>
    </row>
    <row r="202" spans="1:32" x14ac:dyDescent="0.25">
      <c r="A202" s="839"/>
      <c r="B202" s="552" t="s">
        <v>35</v>
      </c>
      <c r="C202" s="539"/>
      <c r="D202" s="539"/>
      <c r="E202" s="539"/>
      <c r="F202" s="539"/>
      <c r="G202" s="723">
        <v>6.5100538765764287E-3</v>
      </c>
      <c r="H202" s="723">
        <v>6.6096351253608857E-3</v>
      </c>
      <c r="I202" s="723">
        <v>6.7245268476323417E-3</v>
      </c>
      <c r="J202" s="723">
        <v>6.8644503072741248E-3</v>
      </c>
      <c r="K202" s="723">
        <v>7.0358931556570954E-3</v>
      </c>
      <c r="L202" s="723">
        <v>7.1814205894206546E-3</v>
      </c>
      <c r="M202" s="723">
        <v>7.3053551078230425E-3</v>
      </c>
      <c r="N202" s="723">
        <v>7.4114938673826049E-3</v>
      </c>
      <c r="O202" s="723">
        <v>7.5026277760856666E-3</v>
      </c>
      <c r="P202" s="723">
        <v>7.5810413325125385E-3</v>
      </c>
      <c r="Q202" s="723">
        <v>7.6487252658143162E-3</v>
      </c>
      <c r="R202" s="723">
        <v>7.7076171502401354E-3</v>
      </c>
      <c r="S202" s="723">
        <v>7.7586405188573163E-3</v>
      </c>
      <c r="T202" s="723">
        <v>7.8030141440781154E-3</v>
      </c>
      <c r="U202" s="723">
        <v>7.8417661018047452E-3</v>
      </c>
      <c r="V202" s="723">
        <v>7.875527521512847E-3</v>
      </c>
      <c r="W202" s="723">
        <v>7.9052208973190742E-3</v>
      </c>
      <c r="X202" s="723">
        <v>7.9316526759680758E-3</v>
      </c>
      <c r="Y202" s="723">
        <v>7.9554102214835203E-3</v>
      </c>
      <c r="Z202" s="723">
        <v>7.9766846059863526E-3</v>
      </c>
      <c r="AA202" s="723">
        <v>7.9955557207879429E-3</v>
      </c>
      <c r="AB202" s="723">
        <v>8.011965574063154E-3</v>
      </c>
      <c r="AC202" s="723">
        <v>8.0268437446549927E-3</v>
      </c>
      <c r="AD202" s="723">
        <v>8.0404172887042265E-3</v>
      </c>
      <c r="AE202" s="723">
        <v>8.0528797829902948E-3</v>
      </c>
      <c r="AF202" s="723">
        <v>8.0643963998931444E-3</v>
      </c>
    </row>
    <row r="203" spans="1:32" x14ac:dyDescent="0.25">
      <c r="A203" s="839"/>
      <c r="B203" s="552" t="s">
        <v>29</v>
      </c>
      <c r="C203" s="539"/>
      <c r="D203" s="539"/>
      <c r="E203" s="539"/>
      <c r="F203" s="539"/>
      <c r="G203" s="723">
        <v>0</v>
      </c>
      <c r="H203" s="723">
        <v>1.3452465167878227E-5</v>
      </c>
      <c r="I203" s="723">
        <v>2.5676238326990812E-5</v>
      </c>
      <c r="J203" s="723">
        <v>3.6848461163135589E-5</v>
      </c>
      <c r="K203" s="723">
        <v>4.7031190282481081E-5</v>
      </c>
      <c r="L203" s="723">
        <v>5.6189808296746443E-5</v>
      </c>
      <c r="M203" s="723">
        <v>6.4412273559031119E-5</v>
      </c>
      <c r="N203" s="723">
        <v>7.17602609834473E-5</v>
      </c>
      <c r="O203" s="723">
        <v>7.8337068907358964E-5</v>
      </c>
      <c r="P203" s="723">
        <v>8.423294382896159E-5</v>
      </c>
      <c r="Q203" s="723">
        <v>8.9518418210392456E-5</v>
      </c>
      <c r="R203" s="723">
        <v>9.4237454710066569E-5</v>
      </c>
      <c r="S203" s="723">
        <v>9.8478631110093088E-5</v>
      </c>
      <c r="T203" s="723">
        <v>1.0228783425109581E-4</v>
      </c>
      <c r="U203" s="723">
        <v>1.0570665125601103E-4</v>
      </c>
      <c r="V203" s="723">
        <v>1.0878503404282632E-4</v>
      </c>
      <c r="W203" s="723">
        <v>1.115467954460706E-4</v>
      </c>
      <c r="X203" s="723">
        <v>1.1401375032753034E-4</v>
      </c>
      <c r="Y203" s="723">
        <v>1.1621112479911592E-4</v>
      </c>
      <c r="Z203" s="723">
        <v>1.1817519445880258E-4</v>
      </c>
      <c r="AA203" s="723">
        <v>1.1994072007336845E-4</v>
      </c>
      <c r="AB203" s="723">
        <v>1.2154270608162121E-4</v>
      </c>
      <c r="AC203" s="723">
        <v>1.2297316590001239E-4</v>
      </c>
      <c r="AD203" s="723">
        <v>1.2424851146164166E-4</v>
      </c>
      <c r="AE203" s="723">
        <v>1.2538350588604829E-4</v>
      </c>
      <c r="AF203" s="723">
        <v>1.2639143395625901E-4</v>
      </c>
    </row>
    <row r="204" spans="1:32" x14ac:dyDescent="0.25">
      <c r="A204" s="839"/>
      <c r="B204" s="550"/>
      <c r="C204" s="539"/>
      <c r="D204" s="539"/>
      <c r="E204" s="539"/>
      <c r="F204" s="539"/>
      <c r="G204" s="723" t="s">
        <v>73</v>
      </c>
      <c r="H204" s="723" t="s">
        <v>73</v>
      </c>
      <c r="I204" s="723" t="s">
        <v>73</v>
      </c>
      <c r="J204" s="723" t="s">
        <v>73</v>
      </c>
      <c r="K204" s="723" t="s">
        <v>73</v>
      </c>
      <c r="L204" s="723" t="s">
        <v>73</v>
      </c>
      <c r="M204" s="723" t="s">
        <v>73</v>
      </c>
      <c r="N204" s="723" t="s">
        <v>73</v>
      </c>
      <c r="O204" s="723" t="s">
        <v>73</v>
      </c>
      <c r="P204" s="723" t="s">
        <v>73</v>
      </c>
      <c r="Q204" s="723" t="s">
        <v>73</v>
      </c>
      <c r="R204" s="723" t="s">
        <v>73</v>
      </c>
      <c r="S204" s="723" t="s">
        <v>73</v>
      </c>
      <c r="T204" s="723" t="s">
        <v>73</v>
      </c>
      <c r="U204" s="723" t="s">
        <v>73</v>
      </c>
      <c r="V204" s="723" t="s">
        <v>73</v>
      </c>
      <c r="W204" s="723" t="s">
        <v>73</v>
      </c>
      <c r="X204" s="723" t="s">
        <v>73</v>
      </c>
      <c r="Y204" s="723" t="s">
        <v>73</v>
      </c>
      <c r="Z204" s="723" t="s">
        <v>73</v>
      </c>
      <c r="AA204" s="723" t="s">
        <v>73</v>
      </c>
      <c r="AB204" s="723" t="s">
        <v>73</v>
      </c>
      <c r="AC204" s="723" t="s">
        <v>73</v>
      </c>
      <c r="AD204" s="723" t="s">
        <v>73</v>
      </c>
      <c r="AE204" s="723" t="s">
        <v>73</v>
      </c>
      <c r="AF204" s="723" t="s">
        <v>73</v>
      </c>
    </row>
    <row r="205" spans="1:32" s="202" customFormat="1" ht="12.75" x14ac:dyDescent="0.2">
      <c r="A205" s="843" t="s">
        <v>36</v>
      </c>
      <c r="B205" s="556"/>
      <c r="C205" s="556"/>
      <c r="D205" s="556"/>
      <c r="E205" s="556"/>
      <c r="F205" s="556"/>
      <c r="G205" s="724" t="s">
        <v>73</v>
      </c>
      <c r="H205" s="724" t="s">
        <v>73</v>
      </c>
      <c r="I205" s="724" t="s">
        <v>73</v>
      </c>
      <c r="J205" s="724" t="s">
        <v>73</v>
      </c>
      <c r="K205" s="724" t="s">
        <v>73</v>
      </c>
      <c r="L205" s="724" t="s">
        <v>73</v>
      </c>
      <c r="M205" s="724" t="s">
        <v>73</v>
      </c>
      <c r="N205" s="724" t="s">
        <v>73</v>
      </c>
      <c r="O205" s="724" t="s">
        <v>73</v>
      </c>
      <c r="P205" s="724" t="s">
        <v>73</v>
      </c>
      <c r="Q205" s="724" t="s">
        <v>73</v>
      </c>
      <c r="R205" s="724" t="s">
        <v>73</v>
      </c>
      <c r="S205" s="724" t="s">
        <v>73</v>
      </c>
      <c r="T205" s="724" t="s">
        <v>73</v>
      </c>
      <c r="U205" s="724" t="s">
        <v>73</v>
      </c>
      <c r="V205" s="724" t="s">
        <v>73</v>
      </c>
      <c r="W205" s="724" t="s">
        <v>73</v>
      </c>
      <c r="X205" s="724" t="s">
        <v>73</v>
      </c>
      <c r="Y205" s="724" t="s">
        <v>73</v>
      </c>
      <c r="Z205" s="724" t="s">
        <v>73</v>
      </c>
      <c r="AA205" s="724" t="s">
        <v>73</v>
      </c>
      <c r="AB205" s="724" t="s">
        <v>73</v>
      </c>
      <c r="AC205" s="724" t="s">
        <v>73</v>
      </c>
      <c r="AD205" s="724" t="s">
        <v>73</v>
      </c>
      <c r="AE205" s="724" t="s">
        <v>73</v>
      </c>
      <c r="AF205" s="724" t="s">
        <v>73</v>
      </c>
    </row>
    <row r="206" spans="1:32" x14ac:dyDescent="0.25">
      <c r="A206" s="839"/>
      <c r="B206" s="550" t="s">
        <v>37</v>
      </c>
      <c r="C206" s="539"/>
      <c r="D206" s="539"/>
      <c r="E206" s="539"/>
      <c r="F206" s="201"/>
      <c r="G206" s="723">
        <v>3.6261386559243186E-2</v>
      </c>
      <c r="H206" s="723">
        <v>3.3288573416416771E-2</v>
      </c>
      <c r="I206" s="723">
        <v>3.0378438540898063E-2</v>
      </c>
      <c r="J206" s="723">
        <v>2.7561083585762137E-2</v>
      </c>
      <c r="K206" s="723">
        <v>2.4874841725803884E-2</v>
      </c>
      <c r="L206" s="723">
        <v>2.2446831152219834E-2</v>
      </c>
      <c r="M206" s="723">
        <v>2.0252037781707352E-2</v>
      </c>
      <c r="N206" s="723">
        <v>1.8276924813987107E-2</v>
      </c>
      <c r="O206" s="723">
        <v>1.6510528020356113E-2</v>
      </c>
      <c r="P206" s="723">
        <v>1.492809389762067E-2</v>
      </c>
      <c r="Q206" s="723">
        <v>1.3509308110877433E-2</v>
      </c>
      <c r="R206" s="723">
        <v>1.2238654571424224E-2</v>
      </c>
      <c r="S206" s="723">
        <v>1.1096055659699037E-2</v>
      </c>
      <c r="T206" s="723">
        <v>1.0068138838414797E-2</v>
      </c>
      <c r="U206" s="723">
        <v>9.1429378235389474E-3</v>
      </c>
      <c r="V206" s="723">
        <v>8.3084938980592313E-3</v>
      </c>
      <c r="W206" s="723">
        <v>7.5563815040859779E-3</v>
      </c>
      <c r="X206" s="723">
        <v>6.8788841486577008E-3</v>
      </c>
      <c r="Y206" s="723">
        <v>6.268494885144354E-3</v>
      </c>
      <c r="Z206" s="723">
        <v>5.7173942069271254E-3</v>
      </c>
      <c r="AA206" s="723">
        <v>5.2186072690232231E-3</v>
      </c>
      <c r="AB206" s="723">
        <v>4.7658288467072761E-3</v>
      </c>
      <c r="AC206" s="723">
        <v>4.3561520530580157E-3</v>
      </c>
      <c r="AD206" s="723">
        <v>3.985252260324164E-3</v>
      </c>
      <c r="AE206" s="723">
        <v>3.6492601111661636E-3</v>
      </c>
      <c r="AF206" s="723">
        <v>3.344711344058381E-3</v>
      </c>
    </row>
    <row r="207" spans="1:32" x14ac:dyDescent="0.25">
      <c r="A207" s="839"/>
      <c r="B207" s="550" t="s">
        <v>39</v>
      </c>
      <c r="C207" s="539"/>
      <c r="D207" s="539"/>
      <c r="E207" s="203"/>
      <c r="F207" s="539"/>
      <c r="G207" s="723">
        <v>6.2988530661173608E-3</v>
      </c>
      <c r="H207" s="723">
        <v>8.3659780604714573E-3</v>
      </c>
      <c r="I207" s="723">
        <v>1.0396725206094144E-2</v>
      </c>
      <c r="J207" s="723">
        <v>1.2369272002910317E-2</v>
      </c>
      <c r="K207" s="723">
        <v>1.4169387492879564E-2</v>
      </c>
      <c r="L207" s="723">
        <v>1.5732720206315897E-2</v>
      </c>
      <c r="M207" s="723">
        <v>1.7090650772765066E-2</v>
      </c>
      <c r="N207" s="723">
        <v>1.8327440924289409E-2</v>
      </c>
      <c r="O207" s="723">
        <v>1.9440077684279394E-2</v>
      </c>
      <c r="P207" s="723">
        <v>2.0440674989537458E-2</v>
      </c>
      <c r="Q207" s="723">
        <v>2.1340132846014492E-2</v>
      </c>
      <c r="R207" s="723">
        <v>2.2147117916702937E-2</v>
      </c>
      <c r="S207" s="723">
        <v>2.2873696694913632E-2</v>
      </c>
      <c r="T207" s="723">
        <v>2.3527918860225667E-2</v>
      </c>
      <c r="U207" s="723">
        <v>2.4117105954809894E-2</v>
      </c>
      <c r="V207" s="723">
        <v>2.4648696347701796E-2</v>
      </c>
      <c r="W207" s="723">
        <v>2.5127918476202223E-2</v>
      </c>
      <c r="X207" s="723">
        <v>2.5559596740534301E-2</v>
      </c>
      <c r="Y207" s="723">
        <v>2.594846222335349E-2</v>
      </c>
      <c r="Z207" s="723">
        <v>2.6299486360187373E-2</v>
      </c>
      <c r="AA207" s="723">
        <v>2.6617116790540407E-2</v>
      </c>
      <c r="AB207" s="723">
        <v>2.6905386712364403E-2</v>
      </c>
      <c r="AC207" s="723">
        <v>2.7166103160985996E-2</v>
      </c>
      <c r="AD207" s="723">
        <v>2.740202633042264E-2</v>
      </c>
      <c r="AE207" s="723">
        <v>2.7615628580302518E-2</v>
      </c>
      <c r="AF207" s="723">
        <v>2.780912539281951E-2</v>
      </c>
    </row>
    <row r="208" spans="1:32" x14ac:dyDescent="0.25">
      <c r="A208" s="839"/>
      <c r="B208" s="550" t="s">
        <v>40</v>
      </c>
      <c r="C208" s="539"/>
      <c r="D208" s="539"/>
      <c r="E208" s="539"/>
      <c r="F208" s="539"/>
      <c r="G208" s="723">
        <v>0</v>
      </c>
      <c r="H208" s="723">
        <v>4.4753411760504395E-4</v>
      </c>
      <c r="I208" s="723">
        <v>8.8089176368121632E-4</v>
      </c>
      <c r="J208" s="723">
        <v>1.2961279786133481E-3</v>
      </c>
      <c r="K208" s="723">
        <v>1.686008640062721E-3</v>
      </c>
      <c r="L208" s="723">
        <v>2.0343116327096768E-3</v>
      </c>
      <c r="M208" s="723">
        <v>2.34532957066611E-3</v>
      </c>
      <c r="N208" s="723">
        <v>2.6236541576251209E-3</v>
      </c>
      <c r="O208" s="723">
        <v>2.8725017794572882E-3</v>
      </c>
      <c r="P208" s="723">
        <v>3.0953602136636572E-3</v>
      </c>
      <c r="Q208" s="723">
        <v>3.2950978178759569E-3</v>
      </c>
      <c r="R208" s="723">
        <v>3.4739215416375053E-3</v>
      </c>
      <c r="S208" s="723">
        <v>3.6346399601293383E-3</v>
      </c>
      <c r="T208" s="723">
        <v>3.779144600918086E-3</v>
      </c>
      <c r="U208" s="723">
        <v>3.9091281364456703E-3</v>
      </c>
      <c r="V208" s="723">
        <v>4.0262692291979851E-3</v>
      </c>
      <c r="W208" s="723">
        <v>4.1317699127071889E-3</v>
      </c>
      <c r="X208" s="723">
        <v>4.2267318491057051E-3</v>
      </c>
      <c r="Y208" s="723">
        <v>4.3122206990821033E-3</v>
      </c>
      <c r="Z208" s="723">
        <v>4.3893299490454889E-3</v>
      </c>
      <c r="AA208" s="723">
        <v>4.4590311482533606E-3</v>
      </c>
      <c r="AB208" s="723">
        <v>4.5221966713611707E-3</v>
      </c>
      <c r="AC208" s="723">
        <v>4.5792704525075166E-3</v>
      </c>
      <c r="AD208" s="723">
        <v>4.6308645715456079E-3</v>
      </c>
      <c r="AE208" s="723">
        <v>4.6775267749369093E-3</v>
      </c>
      <c r="AF208" s="723">
        <v>4.7197475543114455E-3</v>
      </c>
    </row>
    <row r="209" spans="1:32" x14ac:dyDescent="0.25">
      <c r="A209" s="839"/>
      <c r="B209" s="550" t="s">
        <v>29</v>
      </c>
      <c r="C209" s="539"/>
      <c r="D209" s="539"/>
      <c r="E209" s="539"/>
      <c r="F209" s="539"/>
      <c r="G209" s="723">
        <v>0</v>
      </c>
      <c r="H209" s="723">
        <v>2.5899602857787147E-11</v>
      </c>
      <c r="I209" s="723">
        <v>4.9330267308059836E-11</v>
      </c>
      <c r="J209" s="723">
        <v>7.0440663553386162E-11</v>
      </c>
      <c r="K209" s="723">
        <v>8.9077403287791126E-11</v>
      </c>
      <c r="L209" s="723">
        <v>1.0566194765592487E-10</v>
      </c>
      <c r="M209" s="723">
        <v>1.203922870427179E-10</v>
      </c>
      <c r="N209" s="723">
        <v>1.3350679907657056E-10</v>
      </c>
      <c r="O209" s="723">
        <v>1.4516542056488331E-10</v>
      </c>
      <c r="P209" s="723">
        <v>1.5554388644742964E-10</v>
      </c>
      <c r="Q209" s="723">
        <v>1.6477996050340586E-10</v>
      </c>
      <c r="R209" s="723">
        <v>1.7296118985457414E-10</v>
      </c>
      <c r="S209" s="723">
        <v>1.8025608267176266E-10</v>
      </c>
      <c r="T209" s="723">
        <v>1.8675353545235388E-10</v>
      </c>
      <c r="U209" s="723">
        <v>1.925337430464236E-10</v>
      </c>
      <c r="V209" s="723">
        <v>1.976915829059991E-10</v>
      </c>
      <c r="W209" s="723">
        <v>2.022732871864172E-10</v>
      </c>
      <c r="X209" s="723">
        <v>2.0632094718055184E-10</v>
      </c>
      <c r="Y209" s="723">
        <v>2.0988251808034979E-10</v>
      </c>
      <c r="Z209" s="723">
        <v>2.1302593007192773E-10</v>
      </c>
      <c r="AA209" s="723">
        <v>2.1581602888673384E-10</v>
      </c>
      <c r="AB209" s="723">
        <v>2.183178793934285E-10</v>
      </c>
      <c r="AC209" s="723">
        <v>2.2051710708839634E-10</v>
      </c>
      <c r="AD209" s="723">
        <v>2.2244418121850807E-10</v>
      </c>
      <c r="AE209" s="723">
        <v>2.2412639562153614E-10</v>
      </c>
      <c r="AF209" s="723">
        <v>2.2558820747099325E-10</v>
      </c>
    </row>
    <row r="210" spans="1:32" x14ac:dyDescent="0.25">
      <c r="A210" s="839"/>
      <c r="B210" s="550"/>
      <c r="C210" s="539"/>
      <c r="D210" s="539"/>
      <c r="E210" s="539"/>
      <c r="F210" s="539"/>
      <c r="G210" s="723" t="s">
        <v>73</v>
      </c>
      <c r="H210" s="723" t="s">
        <v>73</v>
      </c>
      <c r="I210" s="723" t="s">
        <v>73</v>
      </c>
      <c r="J210" s="723" t="s">
        <v>73</v>
      </c>
      <c r="K210" s="723" t="s">
        <v>73</v>
      </c>
      <c r="L210" s="723" t="s">
        <v>73</v>
      </c>
      <c r="M210" s="723" t="s">
        <v>73</v>
      </c>
      <c r="N210" s="723" t="s">
        <v>73</v>
      </c>
      <c r="O210" s="723" t="s">
        <v>73</v>
      </c>
      <c r="P210" s="723" t="s">
        <v>73</v>
      </c>
      <c r="Q210" s="723" t="s">
        <v>73</v>
      </c>
      <c r="R210" s="723" t="s">
        <v>73</v>
      </c>
      <c r="S210" s="723" t="s">
        <v>73</v>
      </c>
      <c r="T210" s="723" t="s">
        <v>73</v>
      </c>
      <c r="U210" s="723" t="s">
        <v>73</v>
      </c>
      <c r="V210" s="723" t="s">
        <v>73</v>
      </c>
      <c r="W210" s="723" t="s">
        <v>73</v>
      </c>
      <c r="X210" s="723" t="s">
        <v>73</v>
      </c>
      <c r="Y210" s="723" t="s">
        <v>73</v>
      </c>
      <c r="Z210" s="723" t="s">
        <v>73</v>
      </c>
      <c r="AA210" s="723" t="s">
        <v>73</v>
      </c>
      <c r="AB210" s="723" t="s">
        <v>73</v>
      </c>
      <c r="AC210" s="723" t="s">
        <v>73</v>
      </c>
      <c r="AD210" s="723" t="s">
        <v>73</v>
      </c>
      <c r="AE210" s="723" t="s">
        <v>73</v>
      </c>
      <c r="AF210" s="723" t="s">
        <v>73</v>
      </c>
    </row>
    <row r="211" spans="1:32" s="202" customFormat="1" ht="12.75" x14ac:dyDescent="0.2">
      <c r="A211" s="843" t="s">
        <v>42</v>
      </c>
      <c r="B211" s="556"/>
      <c r="C211" s="556"/>
      <c r="D211" s="556"/>
      <c r="E211" s="556"/>
      <c r="F211" s="556"/>
      <c r="G211" s="724" t="s">
        <v>73</v>
      </c>
      <c r="H211" s="724" t="s">
        <v>73</v>
      </c>
      <c r="I211" s="724" t="s">
        <v>73</v>
      </c>
      <c r="J211" s="724" t="s">
        <v>73</v>
      </c>
      <c r="K211" s="724" t="s">
        <v>73</v>
      </c>
      <c r="L211" s="724" t="s">
        <v>73</v>
      </c>
      <c r="M211" s="724" t="s">
        <v>73</v>
      </c>
      <c r="N211" s="724" t="s">
        <v>73</v>
      </c>
      <c r="O211" s="724" t="s">
        <v>73</v>
      </c>
      <c r="P211" s="724" t="s">
        <v>73</v>
      </c>
      <c r="Q211" s="724" t="s">
        <v>73</v>
      </c>
      <c r="R211" s="724" t="s">
        <v>73</v>
      </c>
      <c r="S211" s="724" t="s">
        <v>73</v>
      </c>
      <c r="T211" s="724" t="s">
        <v>73</v>
      </c>
      <c r="U211" s="724" t="s">
        <v>73</v>
      </c>
      <c r="V211" s="724" t="s">
        <v>73</v>
      </c>
      <c r="W211" s="724" t="s">
        <v>73</v>
      </c>
      <c r="X211" s="724" t="s">
        <v>73</v>
      </c>
      <c r="Y211" s="724" t="s">
        <v>73</v>
      </c>
      <c r="Z211" s="724" t="s">
        <v>73</v>
      </c>
      <c r="AA211" s="724" t="s">
        <v>73</v>
      </c>
      <c r="AB211" s="724" t="s">
        <v>73</v>
      </c>
      <c r="AC211" s="724" t="s">
        <v>73</v>
      </c>
      <c r="AD211" s="724" t="s">
        <v>73</v>
      </c>
      <c r="AE211" s="724" t="s">
        <v>73</v>
      </c>
      <c r="AF211" s="724" t="s">
        <v>73</v>
      </c>
    </row>
    <row r="212" spans="1:32" x14ac:dyDescent="0.25">
      <c r="A212" s="839"/>
      <c r="B212" s="552" t="s">
        <v>43</v>
      </c>
      <c r="C212" s="539"/>
      <c r="D212" s="539"/>
      <c r="E212" s="539"/>
      <c r="F212" s="539"/>
      <c r="G212" s="723">
        <v>1.221451093399441E-4</v>
      </c>
      <c r="H212" s="723">
        <v>1.130783332812972E-4</v>
      </c>
      <c r="I212" s="723">
        <v>1.0474891263410468E-4</v>
      </c>
      <c r="J212" s="723">
        <v>9.7123890310024487E-5</v>
      </c>
      <c r="K212" s="723">
        <v>9.0212693328595609E-5</v>
      </c>
      <c r="L212" s="723">
        <v>8.3906672769339376E-5</v>
      </c>
      <c r="M212" s="723">
        <v>7.8158894109929344E-5</v>
      </c>
      <c r="N212" s="723">
        <v>7.2934955756214599E-5</v>
      </c>
      <c r="O212" s="723">
        <v>6.8178839141304061E-5</v>
      </c>
      <c r="P212" s="723">
        <v>6.3841399489014203E-5</v>
      </c>
      <c r="Q212" s="723">
        <v>5.9883366686034573E-5</v>
      </c>
      <c r="R212" s="723">
        <v>5.6277842440254936E-5</v>
      </c>
      <c r="S212" s="723">
        <v>5.297841515295961E-5</v>
      </c>
      <c r="T212" s="723">
        <v>4.9958405579561409E-5</v>
      </c>
      <c r="U212" s="723">
        <v>4.7193375601872691E-5</v>
      </c>
      <c r="V212" s="723">
        <v>4.465625716897237E-5</v>
      </c>
      <c r="W212" s="723">
        <v>4.2330742476003303E-5</v>
      </c>
      <c r="X212" s="723">
        <v>4.0201414467827406E-5</v>
      </c>
      <c r="Y212" s="723">
        <v>3.8251955619254901E-5</v>
      </c>
      <c r="Z212" s="723">
        <v>3.6463060391693687E-5</v>
      </c>
      <c r="AA212" s="723">
        <v>3.4817011434091801E-5</v>
      </c>
      <c r="AB212" s="723">
        <v>3.3297186449357245E-5</v>
      </c>
      <c r="AC212" s="723">
        <v>3.189984849368692E-5</v>
      </c>
      <c r="AD212" s="723">
        <v>3.0614514584090117E-5</v>
      </c>
      <c r="AE212" s="723">
        <v>2.9431646633820691E-5</v>
      </c>
      <c r="AF212" s="723">
        <v>2.8342562323178646E-5</v>
      </c>
    </row>
    <row r="213" spans="1:32" x14ac:dyDescent="0.25">
      <c r="A213" s="839"/>
      <c r="B213" s="552" t="s">
        <v>44</v>
      </c>
      <c r="C213" s="539"/>
      <c r="D213" s="539"/>
      <c r="E213" s="539"/>
      <c r="F213" s="539"/>
      <c r="G213" s="723">
        <v>1.0899134137797341E-5</v>
      </c>
      <c r="H213" s="723">
        <v>7.7429783409291736E-5</v>
      </c>
      <c r="I213" s="723">
        <v>1.3863644859578626E-4</v>
      </c>
      <c r="J213" s="723">
        <v>1.9474557002924732E-4</v>
      </c>
      <c r="K213" s="723">
        <v>2.4567519464115242E-4</v>
      </c>
      <c r="L213" s="723">
        <v>2.9220975300111706E-4</v>
      </c>
      <c r="M213" s="723">
        <v>3.3468383345684234E-4</v>
      </c>
      <c r="N213" s="723">
        <v>3.7334195575294252E-4</v>
      </c>
      <c r="O213" s="723">
        <v>4.0858780385889841E-4</v>
      </c>
      <c r="P213" s="723">
        <v>4.4077581904904969E-4</v>
      </c>
      <c r="Q213" s="723">
        <v>4.7018923813029861E-4</v>
      </c>
      <c r="R213" s="723">
        <v>4.9702205893728611E-4</v>
      </c>
      <c r="S213" s="723">
        <v>5.2161028112342233E-4</v>
      </c>
      <c r="T213" s="723">
        <v>5.4414707412893642E-4</v>
      </c>
      <c r="U213" s="723">
        <v>5.6480966630760121E-4</v>
      </c>
      <c r="V213" s="723">
        <v>5.8379425160551735E-4</v>
      </c>
      <c r="W213" s="723">
        <v>6.0121976868335628E-4</v>
      </c>
      <c r="X213" s="723">
        <v>6.1719898774626543E-4</v>
      </c>
      <c r="Y213" s="723">
        <v>6.3185116984969042E-4</v>
      </c>
      <c r="Z213" s="723">
        <v>6.4531653047098013E-4</v>
      </c>
      <c r="AA213" s="723">
        <v>6.5772352508657018E-4</v>
      </c>
      <c r="AB213" s="723">
        <v>6.6919224194055265E-4</v>
      </c>
      <c r="AC213" s="723">
        <v>6.7975263543865812E-4</v>
      </c>
      <c r="AD213" s="723">
        <v>6.894816010393314E-4</v>
      </c>
      <c r="AE213" s="723">
        <v>6.9844918848308013E-4</v>
      </c>
      <c r="AF213" s="723">
        <v>7.0671923910394072E-4</v>
      </c>
    </row>
    <row r="214" spans="1:32" x14ac:dyDescent="0.25">
      <c r="A214" s="839"/>
      <c r="B214" s="552" t="s">
        <v>45</v>
      </c>
      <c r="C214" s="539"/>
      <c r="D214" s="539"/>
      <c r="E214" s="539"/>
      <c r="F214" s="539"/>
      <c r="G214" s="723">
        <v>5.4222349223899619E-4</v>
      </c>
      <c r="H214" s="723">
        <v>4.9692209260443867E-4</v>
      </c>
      <c r="I214" s="723">
        <v>4.5529823548537163E-4</v>
      </c>
      <c r="J214" s="723">
        <v>4.1718846208728768E-4</v>
      </c>
      <c r="K214" s="723">
        <v>3.826409599132008E-4</v>
      </c>
      <c r="L214" s="723">
        <v>3.5111376258748547E-4</v>
      </c>
      <c r="M214" s="723">
        <v>3.2237312020906274E-4</v>
      </c>
      <c r="N214" s="723">
        <v>2.9624777986806457E-4</v>
      </c>
      <c r="O214" s="723">
        <v>2.724583871114321E-4</v>
      </c>
      <c r="P214" s="723">
        <v>2.5075984331860286E-4</v>
      </c>
      <c r="Q214" s="723">
        <v>2.3095630563368035E-4</v>
      </c>
      <c r="R214" s="723">
        <v>2.1291365536252251E-4</v>
      </c>
      <c r="S214" s="723">
        <v>1.9640029849474276E-4</v>
      </c>
      <c r="T214" s="723">
        <v>1.8128313149905103E-4</v>
      </c>
      <c r="U214" s="723">
        <v>1.6744020992652821E-4</v>
      </c>
      <c r="V214" s="723">
        <v>1.5473645438942801E-4</v>
      </c>
      <c r="W214" s="723">
        <v>1.4309045384009058E-4</v>
      </c>
      <c r="X214" s="723">
        <v>1.3242521953160969E-4</v>
      </c>
      <c r="Y214" s="723">
        <v>1.2265926274430622E-4</v>
      </c>
      <c r="Z214" s="723">
        <v>1.1369621452497332E-4</v>
      </c>
      <c r="AA214" s="723">
        <v>1.05447645500302E-4</v>
      </c>
      <c r="AB214" s="723">
        <v>9.7830616147920096E-5</v>
      </c>
      <c r="AC214" s="723">
        <v>9.0826310018244313E-5</v>
      </c>
      <c r="AD214" s="723">
        <v>8.4382350950222774E-5</v>
      </c>
      <c r="AE214" s="723">
        <v>7.8451077344075153E-5</v>
      </c>
      <c r="AF214" s="723">
        <v>7.2989098088441898E-5</v>
      </c>
    </row>
    <row r="215" spans="1:32" x14ac:dyDescent="0.25">
      <c r="A215" s="839"/>
      <c r="B215" s="552" t="s">
        <v>46</v>
      </c>
      <c r="C215" s="539"/>
      <c r="D215" s="539"/>
      <c r="E215" s="539"/>
      <c r="F215" s="539"/>
      <c r="G215" s="723">
        <v>0</v>
      </c>
      <c r="H215" s="723">
        <v>0</v>
      </c>
      <c r="I215" s="723">
        <v>0</v>
      </c>
      <c r="J215" s="723">
        <v>0</v>
      </c>
      <c r="K215" s="723">
        <v>0</v>
      </c>
      <c r="L215" s="723">
        <v>0</v>
      </c>
      <c r="M215" s="723">
        <v>0</v>
      </c>
      <c r="N215" s="723">
        <v>0</v>
      </c>
      <c r="O215" s="723">
        <v>0</v>
      </c>
      <c r="P215" s="723">
        <v>0</v>
      </c>
      <c r="Q215" s="723">
        <v>0</v>
      </c>
      <c r="R215" s="723">
        <v>0</v>
      </c>
      <c r="S215" s="723">
        <v>0</v>
      </c>
      <c r="T215" s="723">
        <v>0</v>
      </c>
      <c r="U215" s="723">
        <v>0</v>
      </c>
      <c r="V215" s="723">
        <v>0</v>
      </c>
      <c r="W215" s="723">
        <v>0</v>
      </c>
      <c r="X215" s="723">
        <v>0</v>
      </c>
      <c r="Y215" s="723">
        <v>0</v>
      </c>
      <c r="Z215" s="723">
        <v>0</v>
      </c>
      <c r="AA215" s="723">
        <v>0</v>
      </c>
      <c r="AB215" s="723">
        <v>0</v>
      </c>
      <c r="AC215" s="723">
        <v>0</v>
      </c>
      <c r="AD215" s="723">
        <v>0</v>
      </c>
      <c r="AE215" s="723">
        <v>0</v>
      </c>
      <c r="AF215" s="723">
        <v>0</v>
      </c>
    </row>
    <row r="216" spans="1:32" x14ac:dyDescent="0.25">
      <c r="A216" s="839"/>
      <c r="B216" s="550" t="s">
        <v>29</v>
      </c>
      <c r="C216" s="539"/>
      <c r="D216" s="539"/>
      <c r="E216" s="539"/>
      <c r="F216" s="539"/>
      <c r="G216" s="723">
        <v>0</v>
      </c>
      <c r="H216" s="723">
        <v>1.6860693499623011E-6</v>
      </c>
      <c r="I216" s="723">
        <v>3.1998417793928838E-6</v>
      </c>
      <c r="J216" s="723">
        <v>4.5536736162884631E-6</v>
      </c>
      <c r="K216" s="723">
        <v>5.750927503776851E-6</v>
      </c>
      <c r="L216" s="723">
        <v>6.817070413710789E-6</v>
      </c>
      <c r="M216" s="723">
        <v>7.7648092442903653E-6</v>
      </c>
      <c r="N216" s="723">
        <v>8.6037361383732899E-6</v>
      </c>
      <c r="O216" s="723">
        <v>9.3472774654699628E-6</v>
      </c>
      <c r="P216" s="723">
        <v>1.0007093901638077E-5</v>
      </c>
      <c r="Q216" s="723">
        <v>1.059249174717174E-5</v>
      </c>
      <c r="R216" s="723">
        <v>1.1109832228988765E-5</v>
      </c>
      <c r="S216" s="723">
        <v>1.1569630951376556E-5</v>
      </c>
      <c r="T216" s="723">
        <v>1.1977905108842919E-5</v>
      </c>
      <c r="U216" s="723">
        <v>1.2340050572684387E-5</v>
      </c>
      <c r="V216" s="723">
        <v>1.2662100337311364E-5</v>
      </c>
      <c r="W216" s="723">
        <v>1.2947372346559206E-5</v>
      </c>
      <c r="X216" s="723">
        <v>1.3198869732579711E-5</v>
      </c>
      <c r="Y216" s="723">
        <v>1.3419816801600831E-5</v>
      </c>
      <c r="Z216" s="723">
        <v>1.3614404083822971E-5</v>
      </c>
      <c r="AA216" s="723">
        <v>1.3786572305726559E-5</v>
      </c>
      <c r="AB216" s="723">
        <v>1.3940197746480117E-5</v>
      </c>
      <c r="AC216" s="723">
        <v>1.407491544113201E-5</v>
      </c>
      <c r="AD216" s="723">
        <v>1.4192686389594404E-5</v>
      </c>
      <c r="AE216" s="723">
        <v>1.429526012930823E-5</v>
      </c>
      <c r="AF216" s="723">
        <v>1.4384198105563292E-5</v>
      </c>
    </row>
    <row r="217" spans="1:32" x14ac:dyDescent="0.25">
      <c r="A217" s="839"/>
      <c r="B217" s="550"/>
      <c r="C217" s="539"/>
      <c r="D217" s="539"/>
      <c r="E217" s="539"/>
      <c r="F217" s="539"/>
      <c r="G217" s="723" t="s">
        <v>73</v>
      </c>
      <c r="H217" s="723" t="s">
        <v>73</v>
      </c>
      <c r="I217" s="723" t="s">
        <v>73</v>
      </c>
      <c r="J217" s="723" t="s">
        <v>73</v>
      </c>
      <c r="K217" s="723" t="s">
        <v>73</v>
      </c>
      <c r="L217" s="723" t="s">
        <v>73</v>
      </c>
      <c r="M217" s="723" t="s">
        <v>73</v>
      </c>
      <c r="N217" s="723" t="s">
        <v>73</v>
      </c>
      <c r="O217" s="723" t="s">
        <v>73</v>
      </c>
      <c r="P217" s="723" t="s">
        <v>73</v>
      </c>
      <c r="Q217" s="723" t="s">
        <v>73</v>
      </c>
      <c r="R217" s="723" t="s">
        <v>73</v>
      </c>
      <c r="S217" s="723" t="s">
        <v>73</v>
      </c>
      <c r="T217" s="723" t="s">
        <v>73</v>
      </c>
      <c r="U217" s="723" t="s">
        <v>73</v>
      </c>
      <c r="V217" s="723" t="s">
        <v>73</v>
      </c>
      <c r="W217" s="723" t="s">
        <v>73</v>
      </c>
      <c r="X217" s="723" t="s">
        <v>73</v>
      </c>
      <c r="Y217" s="723" t="s">
        <v>73</v>
      </c>
      <c r="Z217" s="723" t="s">
        <v>73</v>
      </c>
      <c r="AA217" s="723" t="s">
        <v>73</v>
      </c>
      <c r="AB217" s="723" t="s">
        <v>73</v>
      </c>
      <c r="AC217" s="723" t="s">
        <v>73</v>
      </c>
      <c r="AD217" s="723" t="s">
        <v>73</v>
      </c>
      <c r="AE217" s="723" t="s">
        <v>73</v>
      </c>
      <c r="AF217" s="723" t="s">
        <v>73</v>
      </c>
    </row>
    <row r="218" spans="1:32" s="202" customFormat="1" ht="12.75" x14ac:dyDescent="0.2">
      <c r="A218" s="843" t="s">
        <v>47</v>
      </c>
      <c r="B218" s="556"/>
      <c r="C218" s="556"/>
      <c r="D218" s="556"/>
      <c r="E218" s="556"/>
      <c r="F218" s="556"/>
      <c r="G218" s="724" t="s">
        <v>73</v>
      </c>
      <c r="H218" s="724" t="s">
        <v>73</v>
      </c>
      <c r="I218" s="724" t="s">
        <v>73</v>
      </c>
      <c r="J218" s="724" t="s">
        <v>73</v>
      </c>
      <c r="K218" s="724" t="s">
        <v>73</v>
      </c>
      <c r="L218" s="724" t="s">
        <v>73</v>
      </c>
      <c r="M218" s="724" t="s">
        <v>73</v>
      </c>
      <c r="N218" s="724" t="s">
        <v>73</v>
      </c>
      <c r="O218" s="724" t="s">
        <v>73</v>
      </c>
      <c r="P218" s="724" t="s">
        <v>73</v>
      </c>
      <c r="Q218" s="724" t="s">
        <v>73</v>
      </c>
      <c r="R218" s="724" t="s">
        <v>73</v>
      </c>
      <c r="S218" s="724" t="s">
        <v>73</v>
      </c>
      <c r="T218" s="724" t="s">
        <v>73</v>
      </c>
      <c r="U218" s="724" t="s">
        <v>73</v>
      </c>
      <c r="V218" s="724" t="s">
        <v>73</v>
      </c>
      <c r="W218" s="724" t="s">
        <v>73</v>
      </c>
      <c r="X218" s="724" t="s">
        <v>73</v>
      </c>
      <c r="Y218" s="724" t="s">
        <v>73</v>
      </c>
      <c r="Z218" s="724" t="s">
        <v>73</v>
      </c>
      <c r="AA218" s="724" t="s">
        <v>73</v>
      </c>
      <c r="AB218" s="724" t="s">
        <v>73</v>
      </c>
      <c r="AC218" s="724" t="s">
        <v>73</v>
      </c>
      <c r="AD218" s="724" t="s">
        <v>73</v>
      </c>
      <c r="AE218" s="724" t="s">
        <v>73</v>
      </c>
      <c r="AF218" s="724" t="s">
        <v>73</v>
      </c>
    </row>
    <row r="219" spans="1:32" x14ac:dyDescent="0.25">
      <c r="A219" s="839"/>
      <c r="B219" s="550" t="s">
        <v>48</v>
      </c>
      <c r="C219" s="539"/>
      <c r="D219" s="539"/>
      <c r="E219" s="539"/>
      <c r="F219" s="539"/>
      <c r="G219" s="723">
        <v>0.14651339299654748</v>
      </c>
      <c r="H219" s="723">
        <v>0.14549488386027282</v>
      </c>
      <c r="I219" s="723">
        <v>0.14336940528530237</v>
      </c>
      <c r="J219" s="723">
        <v>0.14024282833345472</v>
      </c>
      <c r="K219" s="723">
        <v>0.13726619399573184</v>
      </c>
      <c r="L219" s="723">
        <v>0.13540575675853236</v>
      </c>
      <c r="M219" s="723">
        <v>0.13459082316058515</v>
      </c>
      <c r="N219" s="723">
        <v>0.13378678913108916</v>
      </c>
      <c r="O219" s="723">
        <v>0.1329928058225319</v>
      </c>
      <c r="P219" s="723">
        <v>0.13220804600609115</v>
      </c>
      <c r="Q219" s="723">
        <v>0.13143239730077153</v>
      </c>
      <c r="R219" s="723">
        <v>0.13066736784059396</v>
      </c>
      <c r="S219" s="723">
        <v>0.12991024427841091</v>
      </c>
      <c r="T219" s="723">
        <v>0.12916111754924905</v>
      </c>
      <c r="U219" s="723">
        <v>0.12842005169854045</v>
      </c>
      <c r="V219" s="723">
        <v>0.12768586912257754</v>
      </c>
      <c r="W219" s="723">
        <v>0.12695945061292138</v>
      </c>
      <c r="X219" s="723">
        <v>0.12624170211222246</v>
      </c>
      <c r="Y219" s="723">
        <v>0.1255329796881082</v>
      </c>
      <c r="Z219" s="723">
        <v>0.12483215450606722</v>
      </c>
      <c r="AA219" s="723">
        <v>0.12413779747792759</v>
      </c>
      <c r="AB219" s="723">
        <v>0.12344799690876758</v>
      </c>
      <c r="AC219" s="723">
        <v>0.12276537421427834</v>
      </c>
      <c r="AD219" s="723">
        <v>0.12208985546212719</v>
      </c>
      <c r="AE219" s="723">
        <v>0.12142136766353104</v>
      </c>
      <c r="AF219" s="723">
        <v>0.1207598387610363</v>
      </c>
    </row>
    <row r="220" spans="1:32" x14ac:dyDescent="0.25">
      <c r="A220" s="839"/>
      <c r="B220" s="552" t="s">
        <v>50</v>
      </c>
      <c r="C220" s="539"/>
      <c r="D220" s="539"/>
      <c r="E220" s="539"/>
      <c r="F220" s="539"/>
      <c r="G220" s="723">
        <v>1.8380797920402443E-2</v>
      </c>
      <c r="H220" s="723">
        <v>1.8360690302760822E-2</v>
      </c>
      <c r="I220" s="723">
        <v>1.8340518087053913E-2</v>
      </c>
      <c r="J220" s="723">
        <v>1.8320349118224021E-2</v>
      </c>
      <c r="K220" s="723">
        <v>1.8300388407004386E-2</v>
      </c>
      <c r="L220" s="723">
        <v>1.8280517202122207E-2</v>
      </c>
      <c r="M220" s="723">
        <v>1.8260764477507144E-2</v>
      </c>
      <c r="N220" s="723">
        <v>1.8241197488724076E-2</v>
      </c>
      <c r="O220" s="723">
        <v>1.8221796072484493E-2</v>
      </c>
      <c r="P220" s="723">
        <v>1.8202540223482295E-2</v>
      </c>
      <c r="Q220" s="723">
        <v>1.8183429400397799E-2</v>
      </c>
      <c r="R220" s="723">
        <v>1.8164508331886424E-2</v>
      </c>
      <c r="S220" s="723">
        <v>1.8145703965673079E-2</v>
      </c>
      <c r="T220" s="723">
        <v>1.8127020975393739E-2</v>
      </c>
      <c r="U220" s="723">
        <v>1.8108463337470945E-2</v>
      </c>
      <c r="V220" s="723">
        <v>1.8089999692230053E-2</v>
      </c>
      <c r="W220" s="723">
        <v>1.8071657003964087E-2</v>
      </c>
      <c r="X220" s="723">
        <v>1.8053463449959731E-2</v>
      </c>
      <c r="Y220" s="723">
        <v>1.803543181628757E-2</v>
      </c>
      <c r="Z220" s="723">
        <v>1.8017531975867168E-2</v>
      </c>
      <c r="AA220" s="723">
        <v>1.799972445181347E-2</v>
      </c>
      <c r="AB220" s="723">
        <v>1.7981954872494547E-2</v>
      </c>
      <c r="AC220" s="723">
        <v>1.7964301309659831E-2</v>
      </c>
      <c r="AD220" s="723">
        <v>1.7946763542514298E-2</v>
      </c>
      <c r="AE220" s="723">
        <v>1.792934135224376E-2</v>
      </c>
      <c r="AF220" s="723">
        <v>1.7912034522011327E-2</v>
      </c>
    </row>
    <row r="221" spans="1:32" x14ac:dyDescent="0.25">
      <c r="A221" s="839"/>
      <c r="B221" s="550" t="s">
        <v>51</v>
      </c>
      <c r="C221" s="539"/>
      <c r="D221" s="539"/>
      <c r="E221" s="539"/>
      <c r="F221" s="539"/>
      <c r="G221" s="723">
        <v>5.3575693253840864E-3</v>
      </c>
      <c r="H221" s="723">
        <v>5.3554408110656638E-3</v>
      </c>
      <c r="I221" s="723">
        <v>5.353303061925681E-3</v>
      </c>
      <c r="J221" s="723">
        <v>5.3511639626186601E-3</v>
      </c>
      <c r="K221" s="723">
        <v>5.3490474096856725E-3</v>
      </c>
      <c r="L221" s="723">
        <v>5.3469395981886282E-3</v>
      </c>
      <c r="M221" s="723">
        <v>5.344843929261385E-3</v>
      </c>
      <c r="N221" s="723">
        <v>5.3427682852049355E-3</v>
      </c>
      <c r="O221" s="723">
        <v>5.340710350911799E-3</v>
      </c>
      <c r="P221" s="723">
        <v>5.3386678231105347E-3</v>
      </c>
      <c r="Q221" s="723">
        <v>5.3366406703556175E-3</v>
      </c>
      <c r="R221" s="723">
        <v>5.3346341634485945E-3</v>
      </c>
      <c r="S221" s="723">
        <v>5.3326397819086612E-3</v>
      </c>
      <c r="T221" s="723">
        <v>5.3306580986345409E-3</v>
      </c>
      <c r="U221" s="723">
        <v>5.3286896060629795E-3</v>
      </c>
      <c r="V221" s="723">
        <v>5.3267306478416076E-3</v>
      </c>
      <c r="W221" s="723">
        <v>5.324784412047698E-3</v>
      </c>
      <c r="X221" s="723">
        <v>5.3228542375841756E-3</v>
      </c>
      <c r="Y221" s="723">
        <v>5.3209416607157807E-3</v>
      </c>
      <c r="Z221" s="723">
        <v>5.3190431685598795E-3</v>
      </c>
      <c r="AA221" s="723">
        <v>5.3171541374278939E-3</v>
      </c>
      <c r="AB221" s="723">
        <v>5.3152681757264349E-3</v>
      </c>
      <c r="AC221" s="723">
        <v>5.3133944999386321E-3</v>
      </c>
      <c r="AD221" s="723">
        <v>5.3115331077969955E-3</v>
      </c>
      <c r="AE221" s="723">
        <v>5.3096839971182299E-3</v>
      </c>
      <c r="AF221" s="723">
        <v>5.3078471658033373E-3</v>
      </c>
    </row>
    <row r="222" spans="1:32" x14ac:dyDescent="0.25">
      <c r="A222" s="839"/>
      <c r="B222" s="550" t="s">
        <v>52</v>
      </c>
      <c r="C222" s="539"/>
      <c r="D222" s="539"/>
      <c r="E222" s="539"/>
      <c r="F222" s="539"/>
      <c r="G222" s="723">
        <v>7.349474501782579E-3</v>
      </c>
      <c r="H222" s="723">
        <v>7.3441167541893494E-3</v>
      </c>
      <c r="I222" s="723">
        <v>7.3387547224771383E-3</v>
      </c>
      <c r="J222" s="723">
        <v>7.3334073606549045E-3</v>
      </c>
      <c r="K222" s="723">
        <v>7.3281345275355821E-3</v>
      </c>
      <c r="L222" s="723">
        <v>7.3228995371543626E-3</v>
      </c>
      <c r="M222" s="723">
        <v>7.3177099102610327E-3</v>
      </c>
      <c r="N222" s="723">
        <v>7.3125845826300835E-3</v>
      </c>
      <c r="O222" s="723">
        <v>7.3075166369403208E-3</v>
      </c>
      <c r="P222" s="723">
        <v>7.3024993252889586E-3</v>
      </c>
      <c r="Q222" s="723">
        <v>7.297531747184725E-3</v>
      </c>
      <c r="R222" s="723">
        <v>7.2926264091641418E-3</v>
      </c>
      <c r="S222" s="723">
        <v>7.2877611837077827E-3</v>
      </c>
      <c r="T222" s="723">
        <v>7.2829369098959948E-3</v>
      </c>
      <c r="U222" s="723">
        <v>7.2781542653748083E-3</v>
      </c>
      <c r="V222" s="723">
        <v>7.273403603761496E-3</v>
      </c>
      <c r="W222" s="723">
        <v>7.2686924282056239E-3</v>
      </c>
      <c r="X222" s="723">
        <v>7.2640286121531984E-3</v>
      </c>
      <c r="Y222" s="723">
        <v>7.2594155406706089E-3</v>
      </c>
      <c r="Z222" s="723">
        <v>7.2548440767111391E-3</v>
      </c>
      <c r="AA222" s="723">
        <v>7.2503023937166887E-3</v>
      </c>
      <c r="AB222" s="723">
        <v>7.2457743579292825E-3</v>
      </c>
      <c r="AC222" s="723">
        <v>7.2412825184045215E-3</v>
      </c>
      <c r="AD222" s="723">
        <v>7.2368265808986816E-3</v>
      </c>
      <c r="AE222" s="723">
        <v>7.2324062688136591E-3</v>
      </c>
      <c r="AF222" s="723">
        <v>7.2280213217331048E-3</v>
      </c>
    </row>
    <row r="223" spans="1:32" x14ac:dyDescent="0.25">
      <c r="A223" s="839"/>
      <c r="B223" s="552" t="s">
        <v>29</v>
      </c>
      <c r="C223" s="539"/>
      <c r="D223" s="539"/>
      <c r="E223" s="539"/>
      <c r="F223" s="539"/>
      <c r="G223" s="723">
        <v>2.3753789346327449E-4</v>
      </c>
      <c r="H223" s="723">
        <v>5.5899171353011878E-4</v>
      </c>
      <c r="I223" s="723">
        <v>8.6600868837142782E-4</v>
      </c>
      <c r="J223" s="723">
        <v>1.1588346430252969E-3</v>
      </c>
      <c r="K223" s="723">
        <v>1.436005609629075E-3</v>
      </c>
      <c r="L223" s="723">
        <v>1.7107278027109617E-3</v>
      </c>
      <c r="M223" s="723">
        <v>1.9826645919734779E-3</v>
      </c>
      <c r="N223" s="723">
        <v>2.2510137408362019E-3</v>
      </c>
      <c r="O223" s="723">
        <v>2.5160603372384621E-3</v>
      </c>
      <c r="P223" s="723">
        <v>2.7780824293651652E-3</v>
      </c>
      <c r="Q223" s="723">
        <v>3.0371164785139956E-3</v>
      </c>
      <c r="R223" s="723">
        <v>3.2926504168310153E-3</v>
      </c>
      <c r="S223" s="723">
        <v>3.5456006700663877E-3</v>
      </c>
      <c r="T223" s="723">
        <v>3.7959350878112525E-3</v>
      </c>
      <c r="U223" s="723">
        <v>4.0436305160288528E-3</v>
      </c>
      <c r="V223" s="723">
        <v>4.2890845377988309E-3</v>
      </c>
      <c r="W223" s="723">
        <v>4.53199735329548E-3</v>
      </c>
      <c r="X223" s="723">
        <v>4.7720601492623384E-3</v>
      </c>
      <c r="Y223" s="723">
        <v>5.0091501847691483E-3</v>
      </c>
      <c r="Z223" s="723">
        <v>5.2436484850726271E-3</v>
      </c>
      <c r="AA223" s="723">
        <v>5.4760385303881751E-3</v>
      </c>
      <c r="AB223" s="723">
        <v>5.7069683814610648E-3</v>
      </c>
      <c r="AC223" s="723">
        <v>5.9355467929866979E-3</v>
      </c>
      <c r="AD223" s="723">
        <v>6.1617973151847985E-3</v>
      </c>
      <c r="AE223" s="723">
        <v>6.3857431814399032E-3</v>
      </c>
      <c r="AF223" s="723">
        <v>6.6074073138646262E-3</v>
      </c>
    </row>
    <row r="224" spans="1:32" x14ac:dyDescent="0.25">
      <c r="A224" s="839"/>
      <c r="B224" s="552" t="s">
        <v>53</v>
      </c>
      <c r="C224" s="539"/>
      <c r="D224" s="539"/>
      <c r="E224" s="539"/>
      <c r="F224" s="539"/>
      <c r="G224" s="723">
        <v>2.3722578769028865E-4</v>
      </c>
      <c r="H224" s="723">
        <v>2.3711901542940541E-4</v>
      </c>
      <c r="I224" s="723">
        <v>2.3701177550879515E-4</v>
      </c>
      <c r="J224" s="723">
        <v>2.3690447136364828E-4</v>
      </c>
      <c r="K224" s="723">
        <v>2.3679832542487951E-4</v>
      </c>
      <c r="L224" s="723">
        <v>2.3669263136369244E-4</v>
      </c>
      <c r="M224" s="723">
        <v>2.3658756307748919E-4</v>
      </c>
      <c r="N224" s="723">
        <v>2.3648352362406444E-4</v>
      </c>
      <c r="O224" s="723">
        <v>2.3638039444342083E-4</v>
      </c>
      <c r="P224" s="723">
        <v>2.3627805760658495E-4</v>
      </c>
      <c r="Q224" s="723">
        <v>2.3617651138791289E-4</v>
      </c>
      <c r="R224" s="723">
        <v>2.3607602519968296E-4</v>
      </c>
      <c r="S224" s="723">
        <v>2.3597616320332517E-4</v>
      </c>
      <c r="T224" s="723">
        <v>2.3587695460214905E-4</v>
      </c>
      <c r="U224" s="723">
        <v>2.3577842448042915E-4</v>
      </c>
      <c r="V224" s="723">
        <v>2.356803858065799E-4</v>
      </c>
      <c r="W224" s="723">
        <v>2.3558300149818014E-4</v>
      </c>
      <c r="X224" s="723">
        <v>2.3548644215238827E-4</v>
      </c>
      <c r="Y224" s="723">
        <v>2.3539078618595657E-4</v>
      </c>
      <c r="Z224" s="723">
        <v>2.3529585390764504E-4</v>
      </c>
      <c r="AA224" s="723">
        <v>2.35201408883025E-4</v>
      </c>
      <c r="AB224" s="723">
        <v>2.3510712436150213E-4</v>
      </c>
      <c r="AC224" s="723">
        <v>2.3501347137123025E-4</v>
      </c>
      <c r="AD224" s="723">
        <v>2.3492044971143035E-4</v>
      </c>
      <c r="AE224" s="723">
        <v>2.3482805918626092E-4</v>
      </c>
      <c r="AF224" s="723">
        <v>2.3473629960482249E-4</v>
      </c>
    </row>
    <row r="225" spans="1:32" x14ac:dyDescent="0.25">
      <c r="A225" s="838"/>
    </row>
    <row r="226" spans="1:32" x14ac:dyDescent="0.25">
      <c r="A226" s="838"/>
    </row>
    <row r="227" spans="1:32" s="838" customFormat="1" x14ac:dyDescent="0.25">
      <c r="A227" s="860" t="s">
        <v>705</v>
      </c>
      <c r="B227" s="861"/>
      <c r="C227" s="860"/>
      <c r="D227" s="859"/>
      <c r="E227" s="859"/>
      <c r="F227" s="859"/>
      <c r="G227" s="859" t="s">
        <v>706</v>
      </c>
      <c r="H227" s="862"/>
      <c r="I227" s="862"/>
      <c r="J227" s="862"/>
      <c r="K227" s="862"/>
      <c r="L227" s="862"/>
      <c r="M227" s="862"/>
      <c r="N227" s="862"/>
      <c r="O227" s="862"/>
      <c r="P227" s="862"/>
      <c r="Q227" s="862"/>
      <c r="R227" s="862"/>
      <c r="S227" s="862"/>
      <c r="T227" s="862"/>
      <c r="U227" s="862"/>
      <c r="V227" s="862"/>
      <c r="W227" s="862"/>
      <c r="X227" s="862"/>
      <c r="Y227" s="862"/>
      <c r="Z227" s="862"/>
      <c r="AA227" s="862"/>
      <c r="AB227" s="862"/>
      <c r="AC227" s="862"/>
      <c r="AD227" s="862"/>
      <c r="AE227" s="862"/>
      <c r="AF227" s="862"/>
    </row>
    <row r="228" spans="1:32" s="838" customFormat="1" x14ac:dyDescent="0.25">
      <c r="A228" s="840" t="s">
        <v>12</v>
      </c>
      <c r="B228" s="839"/>
    </row>
    <row r="229" spans="1:32" s="838" customFormat="1" x14ac:dyDescent="0.25">
      <c r="A229" s="839"/>
      <c r="B229" s="839" t="s">
        <v>20</v>
      </c>
    </row>
    <row r="230" spans="1:32" s="856" customFormat="1" ht="12.75" x14ac:dyDescent="0.2">
      <c r="A230" s="843" t="s">
        <v>21</v>
      </c>
      <c r="B230" s="843"/>
      <c r="C230" s="843"/>
      <c r="D230" s="843"/>
      <c r="E230" s="843"/>
      <c r="F230" s="843"/>
      <c r="G230" s="843"/>
      <c r="H230" s="843"/>
      <c r="I230" s="843"/>
      <c r="J230" s="843"/>
      <c r="K230" s="843"/>
      <c r="L230" s="843"/>
      <c r="M230" s="843"/>
      <c r="N230" s="843"/>
      <c r="O230" s="843"/>
      <c r="P230" s="843"/>
      <c r="Q230" s="843"/>
      <c r="R230" s="843"/>
      <c r="S230" s="843"/>
      <c r="T230" s="843"/>
      <c r="U230" s="843"/>
      <c r="V230" s="843"/>
      <c r="W230" s="843"/>
      <c r="X230" s="843"/>
      <c r="Y230" s="843"/>
      <c r="Z230" s="843"/>
      <c r="AA230" s="843"/>
      <c r="AB230" s="843"/>
      <c r="AC230" s="843"/>
      <c r="AD230" s="843"/>
      <c r="AE230" s="843"/>
      <c r="AF230" s="843"/>
    </row>
    <row r="231" spans="1:32" s="864" customFormat="1" x14ac:dyDescent="0.25">
      <c r="A231" s="839"/>
      <c r="B231" s="839" t="s">
        <v>22</v>
      </c>
      <c r="C231" s="838"/>
      <c r="D231" s="838"/>
      <c r="E231" s="838"/>
      <c r="F231" s="838"/>
      <c r="G231" s="890">
        <v>0.56691445209386693</v>
      </c>
      <c r="H231" s="890">
        <v>0.51470302379262456</v>
      </c>
      <c r="I231" s="890">
        <v>0.45263319864559487</v>
      </c>
      <c r="J231" s="890">
        <v>0.35328317717959085</v>
      </c>
      <c r="K231" s="890">
        <v>0.26440635114357752</v>
      </c>
      <c r="L231" s="890">
        <v>0.18846699047240373</v>
      </c>
      <c r="M231" s="890">
        <v>0.11409241706852473</v>
      </c>
      <c r="N231" s="890">
        <v>7.5975223291625427E-2</v>
      </c>
      <c r="O231" s="890">
        <v>5.608316315178314E-2</v>
      </c>
      <c r="P231" s="890">
        <v>4.5471900091013741E-2</v>
      </c>
      <c r="Q231" s="890">
        <v>3.9664743071918786E-2</v>
      </c>
      <c r="R231" s="890">
        <v>3.6393699170382342E-2</v>
      </c>
      <c r="S231" s="890">
        <v>3.4491247367361054E-2</v>
      </c>
      <c r="T231" s="890">
        <v>3.3349328422718337E-2</v>
      </c>
      <c r="U231" s="890">
        <v>3.2642020846323665E-2</v>
      </c>
      <c r="V231" s="890">
        <v>3.2190738695842831E-2</v>
      </c>
      <c r="W231" s="890">
        <v>3.1894688450168199E-2</v>
      </c>
      <c r="X231" s="890">
        <v>3.1694204066672942E-2</v>
      </c>
      <c r="Y231" s="890">
        <v>3.1553235804331489E-2</v>
      </c>
      <c r="Z231" s="890">
        <v>3.1450468706349252E-2</v>
      </c>
      <c r="AA231" s="890">
        <v>3.1373805418081886E-2</v>
      </c>
      <c r="AB231" s="890">
        <v>3.1316618696990373E-2</v>
      </c>
      <c r="AC231" s="890">
        <v>3.1272890394415685E-2</v>
      </c>
      <c r="AD231" s="890">
        <v>3.1237287619081809E-2</v>
      </c>
      <c r="AE231" s="890">
        <v>3.1206709204122607E-2</v>
      </c>
      <c r="AF231" s="890">
        <v>3.1179299232269097E-2</v>
      </c>
    </row>
    <row r="232" spans="1:32" s="864" customFormat="1" x14ac:dyDescent="0.25">
      <c r="A232" s="839"/>
      <c r="B232" s="839" t="s">
        <v>26</v>
      </c>
      <c r="C232" s="838"/>
      <c r="D232" s="838"/>
      <c r="E232" s="838"/>
      <c r="F232" s="838"/>
      <c r="G232" s="890">
        <v>8.4229595632173936E-3</v>
      </c>
      <c r="H232" s="890">
        <v>7.9572837201756022E-3</v>
      </c>
      <c r="I232" s="890">
        <v>1.893851654954927E-2</v>
      </c>
      <c r="J232" s="890">
        <v>5.324273789032314E-2</v>
      </c>
      <c r="K232" s="890">
        <v>8.793689527246791E-2</v>
      </c>
      <c r="L232" s="890">
        <v>0.11004276984236003</v>
      </c>
      <c r="M232" s="890">
        <v>0.12714386543424414</v>
      </c>
      <c r="N232" s="890">
        <v>0.12914654571063081</v>
      </c>
      <c r="O232" s="890">
        <v>0.12578403157046691</v>
      </c>
      <c r="P232" s="890">
        <v>0.12115873867108232</v>
      </c>
      <c r="Q232" s="890">
        <v>0.11683247892058497</v>
      </c>
      <c r="R232" s="890">
        <v>0.11325333519116579</v>
      </c>
      <c r="S232" s="890">
        <v>0.11049491034295479</v>
      </c>
      <c r="T232" s="890">
        <v>0.10842841918707041</v>
      </c>
      <c r="U232" s="890">
        <v>0.10689806195633716</v>
      </c>
      <c r="V232" s="890">
        <v>0.10578233823953409</v>
      </c>
      <c r="W232" s="890">
        <v>0.1049514949253425</v>
      </c>
      <c r="X232" s="890">
        <v>0.1043086030708209</v>
      </c>
      <c r="Y232" s="890">
        <v>0.10379168323925421</v>
      </c>
      <c r="Z232" s="890">
        <v>0.10337890079636279</v>
      </c>
      <c r="AA232" s="890">
        <v>0.10305877442497807</v>
      </c>
      <c r="AB232" s="890">
        <v>0.10283058487939464</v>
      </c>
      <c r="AC232" s="890">
        <v>0.10262288107049655</v>
      </c>
      <c r="AD232" s="890">
        <v>0.10242996205131501</v>
      </c>
      <c r="AE232" s="890">
        <v>0.10224748993985115</v>
      </c>
      <c r="AF232" s="890">
        <v>0.10207227754513945</v>
      </c>
    </row>
    <row r="233" spans="1:32" s="864" customFormat="1" x14ac:dyDescent="0.25">
      <c r="A233" s="839"/>
      <c r="B233" s="839" t="s">
        <v>27</v>
      </c>
      <c r="C233" s="838"/>
      <c r="D233" s="838"/>
      <c r="E233" s="838"/>
      <c r="F233" s="838"/>
      <c r="G233" s="890">
        <v>9.5841635736590991E-2</v>
      </c>
      <c r="H233" s="890">
        <v>0.10865009837371514</v>
      </c>
      <c r="I233" s="890">
        <v>0.12062038333217748</v>
      </c>
      <c r="J233" s="890">
        <v>0.13507381826209836</v>
      </c>
      <c r="K233" s="890">
        <v>0.14687012470132293</v>
      </c>
      <c r="L233" s="890">
        <v>0.15908050358909237</v>
      </c>
      <c r="M233" s="890">
        <v>0.17232657989949937</v>
      </c>
      <c r="N233" s="890">
        <v>0.18102264382004157</v>
      </c>
      <c r="O233" s="890">
        <v>0.18680278222899838</v>
      </c>
      <c r="P233" s="890">
        <v>0.19068276963031289</v>
      </c>
      <c r="Q233" s="890">
        <v>0.19331005127105094</v>
      </c>
      <c r="R233" s="890">
        <v>0.19510974407028944</v>
      </c>
      <c r="S233" s="890">
        <v>0.19634500779052194</v>
      </c>
      <c r="T233" s="890">
        <v>0.19720019802969563</v>
      </c>
      <c r="U233" s="890">
        <v>0.1977986534291947</v>
      </c>
      <c r="V233" s="890">
        <v>0.19821812703329442</v>
      </c>
      <c r="W233" s="890">
        <v>0.19851982667735762</v>
      </c>
      <c r="X233" s="890">
        <v>0.19874566409689426</v>
      </c>
      <c r="Y233" s="890">
        <v>0.19892190443379948</v>
      </c>
      <c r="Z233" s="890">
        <v>0.19905984181355721</v>
      </c>
      <c r="AA233" s="890">
        <v>0.19916559959291844</v>
      </c>
      <c r="AB233" s="890">
        <v>0.19924092317397407</v>
      </c>
      <c r="AC233" s="890">
        <v>0.19930751684435385</v>
      </c>
      <c r="AD233" s="890">
        <v>0.19936825911681358</v>
      </c>
      <c r="AE233" s="890">
        <v>0.19942510285920964</v>
      </c>
      <c r="AF233" s="890">
        <v>0.19947937516033043</v>
      </c>
    </row>
    <row r="234" spans="1:32" s="864" customFormat="1" x14ac:dyDescent="0.25">
      <c r="A234" s="839"/>
      <c r="B234" s="839" t="s">
        <v>29</v>
      </c>
      <c r="C234" s="838"/>
      <c r="D234" s="838"/>
      <c r="E234" s="838"/>
      <c r="F234" s="838"/>
      <c r="G234" s="890">
        <v>0</v>
      </c>
      <c r="H234" s="890">
        <v>4.512642168094243E-5</v>
      </c>
      <c r="I234" s="890">
        <v>8.7354185117288852E-5</v>
      </c>
      <c r="J234" s="890">
        <v>1.1501261944170029E-4</v>
      </c>
      <c r="K234" s="890">
        <v>1.3926914673502653E-4</v>
      </c>
      <c r="L234" s="890">
        <v>1.6312180142620539E-4</v>
      </c>
      <c r="M234" s="890">
        <v>1.8681106527158341E-4</v>
      </c>
      <c r="N234" s="890">
        <v>2.0796980142961192E-4</v>
      </c>
      <c r="O234" s="890">
        <v>2.2689781604470245E-4</v>
      </c>
      <c r="P234" s="890">
        <v>2.4385702627562661E-4</v>
      </c>
      <c r="Q234" s="890">
        <v>2.5905184757930389E-4</v>
      </c>
      <c r="R234" s="890">
        <v>2.726088974782165E-4</v>
      </c>
      <c r="S234" s="890">
        <v>2.847861043009388E-4</v>
      </c>
      <c r="T234" s="890">
        <v>2.9571622672277154E-4</v>
      </c>
      <c r="U234" s="890">
        <v>3.0551955944364356E-4</v>
      </c>
      <c r="V234" s="890">
        <v>3.1434128602568886E-4</v>
      </c>
      <c r="W234" s="890">
        <v>3.2224968834264871E-4</v>
      </c>
      <c r="X234" s="890">
        <v>3.2930725274112429E-4</v>
      </c>
      <c r="Y234" s="890">
        <v>3.3558667822537015E-4</v>
      </c>
      <c r="Z234" s="890">
        <v>3.4119356298676571E-4</v>
      </c>
      <c r="AA234" s="890">
        <v>3.4622927236355557E-4</v>
      </c>
      <c r="AB234" s="890">
        <v>3.5079615013615308E-4</v>
      </c>
      <c r="AC234" s="890">
        <v>3.5486906218650237E-4</v>
      </c>
      <c r="AD234" s="890">
        <v>3.5849539519582871E-4</v>
      </c>
      <c r="AE234" s="890">
        <v>3.6171776173014782E-4</v>
      </c>
      <c r="AF234" s="890">
        <v>3.6457449503698259E-4</v>
      </c>
    </row>
    <row r="235" spans="1:32" s="864" customFormat="1" x14ac:dyDescent="0.25">
      <c r="A235" s="839"/>
      <c r="B235" s="839"/>
      <c r="C235" s="838"/>
      <c r="D235" s="838"/>
      <c r="E235" s="838"/>
      <c r="F235" s="838"/>
      <c r="G235" s="890" t="s">
        <v>73</v>
      </c>
      <c r="H235" s="890" t="s">
        <v>73</v>
      </c>
      <c r="I235" s="890" t="s">
        <v>73</v>
      </c>
      <c r="J235" s="890" t="s">
        <v>73</v>
      </c>
      <c r="K235" s="890" t="s">
        <v>73</v>
      </c>
      <c r="L235" s="890" t="s">
        <v>73</v>
      </c>
      <c r="M235" s="890" t="s">
        <v>73</v>
      </c>
      <c r="N235" s="890" t="s">
        <v>73</v>
      </c>
      <c r="O235" s="890" t="s">
        <v>73</v>
      </c>
      <c r="P235" s="890" t="s">
        <v>73</v>
      </c>
      <c r="Q235" s="890" t="s">
        <v>73</v>
      </c>
      <c r="R235" s="890" t="s">
        <v>73</v>
      </c>
      <c r="S235" s="890" t="s">
        <v>73</v>
      </c>
      <c r="T235" s="890" t="s">
        <v>73</v>
      </c>
      <c r="U235" s="890" t="s">
        <v>73</v>
      </c>
      <c r="V235" s="890" t="s">
        <v>73</v>
      </c>
      <c r="W235" s="890" t="s">
        <v>73</v>
      </c>
      <c r="X235" s="890" t="s">
        <v>73</v>
      </c>
      <c r="Y235" s="890" t="s">
        <v>73</v>
      </c>
      <c r="Z235" s="890" t="s">
        <v>73</v>
      </c>
      <c r="AA235" s="890" t="s">
        <v>73</v>
      </c>
      <c r="AB235" s="890" t="s">
        <v>73</v>
      </c>
      <c r="AC235" s="890" t="s">
        <v>73</v>
      </c>
      <c r="AD235" s="890" t="s">
        <v>73</v>
      </c>
      <c r="AE235" s="890" t="s">
        <v>73</v>
      </c>
      <c r="AF235" s="890" t="s">
        <v>73</v>
      </c>
    </row>
    <row r="236" spans="1:32" s="856" customFormat="1" ht="12.75" x14ac:dyDescent="0.2">
      <c r="A236" s="843" t="s">
        <v>32</v>
      </c>
      <c r="B236" s="843"/>
      <c r="C236" s="843"/>
      <c r="D236" s="843"/>
      <c r="E236" s="843"/>
      <c r="F236" s="843"/>
      <c r="G236" s="891" t="s">
        <v>73</v>
      </c>
      <c r="H236" s="891" t="s">
        <v>73</v>
      </c>
      <c r="I236" s="891" t="s">
        <v>73</v>
      </c>
      <c r="J236" s="891" t="s">
        <v>73</v>
      </c>
      <c r="K236" s="891" t="s">
        <v>73</v>
      </c>
      <c r="L236" s="891" t="s">
        <v>73</v>
      </c>
      <c r="M236" s="891" t="s">
        <v>73</v>
      </c>
      <c r="N236" s="891" t="s">
        <v>73</v>
      </c>
      <c r="O236" s="891" t="s">
        <v>73</v>
      </c>
      <c r="P236" s="891" t="s">
        <v>73</v>
      </c>
      <c r="Q236" s="891" t="s">
        <v>73</v>
      </c>
      <c r="R236" s="891" t="s">
        <v>73</v>
      </c>
      <c r="S236" s="891" t="s">
        <v>73</v>
      </c>
      <c r="T236" s="891" t="s">
        <v>73</v>
      </c>
      <c r="U236" s="891" t="s">
        <v>73</v>
      </c>
      <c r="V236" s="891" t="s">
        <v>73</v>
      </c>
      <c r="W236" s="891" t="s">
        <v>73</v>
      </c>
      <c r="X236" s="891" t="s">
        <v>73</v>
      </c>
      <c r="Y236" s="891" t="s">
        <v>73</v>
      </c>
      <c r="Z236" s="891" t="s">
        <v>73</v>
      </c>
      <c r="AA236" s="891" t="s">
        <v>73</v>
      </c>
      <c r="AB236" s="891" t="s">
        <v>73</v>
      </c>
      <c r="AC236" s="891" t="s">
        <v>73</v>
      </c>
      <c r="AD236" s="891" t="s">
        <v>73</v>
      </c>
      <c r="AE236" s="891" t="s">
        <v>73</v>
      </c>
      <c r="AF236" s="891" t="s">
        <v>73</v>
      </c>
    </row>
    <row r="237" spans="1:32" s="864" customFormat="1" x14ac:dyDescent="0.25">
      <c r="A237" s="839"/>
      <c r="B237" s="839" t="s">
        <v>33</v>
      </c>
      <c r="C237" s="838"/>
      <c r="D237" s="838"/>
      <c r="E237" s="838"/>
      <c r="F237" s="838"/>
      <c r="G237" s="890">
        <v>0.130143065310526</v>
      </c>
      <c r="H237" s="890">
        <v>0.11204471100212642</v>
      </c>
      <c r="I237" s="890">
        <v>0.10060505531719105</v>
      </c>
      <c r="J237" s="890">
        <v>9.4054185468304963E-2</v>
      </c>
      <c r="K237" s="890">
        <v>9.1119082364316553E-2</v>
      </c>
      <c r="L237" s="890">
        <v>8.8991069586345437E-2</v>
      </c>
      <c r="M237" s="890">
        <v>8.7442993796323545E-2</v>
      </c>
      <c r="N237" s="890">
        <v>8.6316663362571128E-2</v>
      </c>
      <c r="O237" s="890">
        <v>8.5491561606504313E-2</v>
      </c>
      <c r="P237" s="890">
        <v>8.4882374282102754E-2</v>
      </c>
      <c r="Q237" s="890">
        <v>8.4430047428927721E-2</v>
      </c>
      <c r="R237" s="890">
        <v>8.4095886731636219E-2</v>
      </c>
      <c r="S237" s="890">
        <v>8.384275296240086E-2</v>
      </c>
      <c r="T237" s="890">
        <v>8.3650281325006071E-2</v>
      </c>
      <c r="U237" s="890">
        <v>8.3503597419195746E-2</v>
      </c>
      <c r="V237" s="890">
        <v>8.3389160836311302E-2</v>
      </c>
      <c r="W237" s="890">
        <v>8.3301568473589244E-2</v>
      </c>
      <c r="X237" s="890">
        <v>8.3236726029821767E-2</v>
      </c>
      <c r="Y237" s="890">
        <v>8.3190281746037611E-2</v>
      </c>
      <c r="Z237" s="890">
        <v>8.3155749681670041E-2</v>
      </c>
      <c r="AA237" s="890">
        <v>8.3127775695968853E-2</v>
      </c>
      <c r="AB237" s="890">
        <v>8.3101426339104389E-2</v>
      </c>
      <c r="AC237" s="890">
        <v>8.3083037903764867E-2</v>
      </c>
      <c r="AD237" s="890">
        <v>8.3070948663831218E-2</v>
      </c>
      <c r="AE237" s="890">
        <v>8.3063892013353124E-2</v>
      </c>
      <c r="AF237" s="890">
        <v>8.3060893528420832E-2</v>
      </c>
    </row>
    <row r="238" spans="1:32" s="864" customFormat="1" x14ac:dyDescent="0.25">
      <c r="A238" s="842"/>
      <c r="B238" s="842" t="s">
        <v>34</v>
      </c>
      <c r="C238" s="838"/>
      <c r="D238" s="838"/>
      <c r="E238" s="838"/>
      <c r="F238" s="838"/>
      <c r="G238" s="890">
        <v>7.1403482689282288E-2</v>
      </c>
      <c r="H238" s="890">
        <v>8.3972175202239416E-2</v>
      </c>
      <c r="I238" s="890">
        <v>8.8242086746688306E-2</v>
      </c>
      <c r="J238" s="890">
        <v>8.8852331603065257E-2</v>
      </c>
      <c r="K238" s="890">
        <v>8.699646344200751E-2</v>
      </c>
      <c r="L238" s="890">
        <v>8.591908188495527E-2</v>
      </c>
      <c r="M238" s="890">
        <v>8.5159915171302739E-2</v>
      </c>
      <c r="N238" s="890">
        <v>8.2501279672244687E-2</v>
      </c>
      <c r="O238" s="890">
        <v>8.080491188294113E-2</v>
      </c>
      <c r="P238" s="890">
        <v>7.999065966515094E-2</v>
      </c>
      <c r="Q238" s="890">
        <v>7.9979969105172397E-2</v>
      </c>
      <c r="R238" s="890">
        <v>7.9935464117424429E-2</v>
      </c>
      <c r="S238" s="890">
        <v>7.9875090147452643E-2</v>
      </c>
      <c r="T238" s="890">
        <v>7.9805975841591201E-2</v>
      </c>
      <c r="U238" s="890">
        <v>7.9732775035581085E-2</v>
      </c>
      <c r="V238" s="890">
        <v>7.9660848388591401E-2</v>
      </c>
      <c r="W238" s="890">
        <v>7.9589761344084894E-2</v>
      </c>
      <c r="X238" s="890">
        <v>7.9518762132681498E-2</v>
      </c>
      <c r="Y238" s="890">
        <v>7.9448075293257342E-2</v>
      </c>
      <c r="Z238" s="890">
        <v>7.9380653069221596E-2</v>
      </c>
      <c r="AA238" s="890">
        <v>7.9319214041969163E-2</v>
      </c>
      <c r="AB238" s="890">
        <v>7.9266756021521084E-2</v>
      </c>
      <c r="AC238" s="890">
        <v>7.921604267085873E-2</v>
      </c>
      <c r="AD238" s="890">
        <v>7.9167127003972285E-2</v>
      </c>
      <c r="AE238" s="890">
        <v>7.9119963749182856E-2</v>
      </c>
      <c r="AF238" s="890">
        <v>7.9074449728622945E-2</v>
      </c>
    </row>
    <row r="239" spans="1:32" s="864" customFormat="1" x14ac:dyDescent="0.25">
      <c r="A239" s="839"/>
      <c r="B239" s="842" t="s">
        <v>35</v>
      </c>
      <c r="C239" s="838"/>
      <c r="D239" s="838"/>
      <c r="E239" s="838"/>
      <c r="F239" s="838"/>
      <c r="G239" s="890">
        <v>1.0040619871012055E-2</v>
      </c>
      <c r="H239" s="890">
        <v>1.0194206536235052E-2</v>
      </c>
      <c r="I239" s="890">
        <v>1.0371406929891431E-2</v>
      </c>
      <c r="J239" s="890">
        <v>1.0587214401831876E-2</v>
      </c>
      <c r="K239" s="890">
        <v>1.0851635019979235E-2</v>
      </c>
      <c r="L239" s="890">
        <v>1.1076085642190094E-2</v>
      </c>
      <c r="M239" s="890">
        <v>1.1267232967814031E-2</v>
      </c>
      <c r="N239" s="890">
        <v>1.1430933446876538E-2</v>
      </c>
      <c r="O239" s="890">
        <v>1.1571491566977409E-2</v>
      </c>
      <c r="P239" s="890">
        <v>1.1692430767749494E-2</v>
      </c>
      <c r="Q239" s="890">
        <v>1.179682140084445E-2</v>
      </c>
      <c r="R239" s="890">
        <v>1.1887651835771387E-2</v>
      </c>
      <c r="S239" s="890">
        <v>1.1966346460813885E-2</v>
      </c>
      <c r="T239" s="890">
        <v>1.2034785019324723E-2</v>
      </c>
      <c r="U239" s="890">
        <v>1.2094553138631786E-2</v>
      </c>
      <c r="V239" s="890">
        <v>1.2146624225603038E-2</v>
      </c>
      <c r="W239" s="890">
        <v>1.2192421066122309E-2</v>
      </c>
      <c r="X239" s="890">
        <v>1.2233187463292118E-2</v>
      </c>
      <c r="Y239" s="890">
        <v>1.2269829323422817E-2</v>
      </c>
      <c r="Z239" s="890">
        <v>1.2302641341853458E-2</v>
      </c>
      <c r="AA239" s="890">
        <v>1.2331746736963436E-2</v>
      </c>
      <c r="AB239" s="890">
        <v>1.2357056066501906E-2</v>
      </c>
      <c r="AC239" s="890">
        <v>1.2380003043304392E-2</v>
      </c>
      <c r="AD239" s="890">
        <v>1.2400937861768978E-2</v>
      </c>
      <c r="AE239" s="890">
        <v>1.2420159080232513E-2</v>
      </c>
      <c r="AF239" s="890">
        <v>1.2437921448211932E-2</v>
      </c>
    </row>
    <row r="240" spans="1:32" s="864" customFormat="1" x14ac:dyDescent="0.25">
      <c r="A240" s="839"/>
      <c r="B240" s="842" t="s">
        <v>29</v>
      </c>
      <c r="C240" s="838"/>
      <c r="D240" s="838"/>
      <c r="E240" s="838"/>
      <c r="F240" s="838"/>
      <c r="G240" s="890">
        <v>0</v>
      </c>
      <c r="H240" s="890">
        <v>2.0748075459819107E-5</v>
      </c>
      <c r="I240" s="890">
        <v>3.9601108323607689E-5</v>
      </c>
      <c r="J240" s="890">
        <v>5.6832308669826963E-5</v>
      </c>
      <c r="K240" s="890">
        <v>7.2537387963364383E-5</v>
      </c>
      <c r="L240" s="890">
        <v>8.6662954935384841E-5</v>
      </c>
      <c r="M240" s="890">
        <v>9.9344669966692478E-5</v>
      </c>
      <c r="N240" s="890">
        <v>1.1067765582891381E-4</v>
      </c>
      <c r="O240" s="890">
        <v>1.2082123214650096E-4</v>
      </c>
      <c r="P240" s="890">
        <v>1.2991458836400383E-4</v>
      </c>
      <c r="Q240" s="890">
        <v>1.3806650847220247E-4</v>
      </c>
      <c r="R240" s="890">
        <v>1.4534479718516423E-4</v>
      </c>
      <c r="S240" s="890">
        <v>1.5188607024463821E-4</v>
      </c>
      <c r="T240" s="890">
        <v>1.5776110007932015E-4</v>
      </c>
      <c r="U240" s="890">
        <v>1.6303402755514588E-4</v>
      </c>
      <c r="V240" s="890">
        <v>1.6778189477189675E-4</v>
      </c>
      <c r="W240" s="890">
        <v>1.7204142886333989E-4</v>
      </c>
      <c r="X240" s="890">
        <v>1.7584627543961749E-4</v>
      </c>
      <c r="Y240" s="890">
        <v>1.792353413677569E-4</v>
      </c>
      <c r="Z240" s="890">
        <v>1.8226457541512125E-4</v>
      </c>
      <c r="AA240" s="890">
        <v>1.8498758998680915E-4</v>
      </c>
      <c r="AB240" s="890">
        <v>1.8745837330942042E-4</v>
      </c>
      <c r="AC240" s="890">
        <v>1.8966460747422523E-4</v>
      </c>
      <c r="AD240" s="890">
        <v>1.9163160501852757E-4</v>
      </c>
      <c r="AE240" s="890">
        <v>1.9338213547299721E-4</v>
      </c>
      <c r="AF240" s="890">
        <v>1.9493668829270914E-4</v>
      </c>
    </row>
    <row r="241" spans="1:32" s="864" customFormat="1" x14ac:dyDescent="0.25">
      <c r="A241" s="839"/>
      <c r="B241" s="839"/>
      <c r="C241" s="838"/>
      <c r="D241" s="838"/>
      <c r="E241" s="838"/>
      <c r="F241" s="838"/>
      <c r="G241" s="890" t="s">
        <v>73</v>
      </c>
      <c r="H241" s="890" t="s">
        <v>73</v>
      </c>
      <c r="I241" s="890" t="s">
        <v>73</v>
      </c>
      <c r="J241" s="890" t="s">
        <v>73</v>
      </c>
      <c r="K241" s="890" t="s">
        <v>73</v>
      </c>
      <c r="L241" s="890" t="s">
        <v>73</v>
      </c>
      <c r="M241" s="890" t="s">
        <v>73</v>
      </c>
      <c r="N241" s="890" t="s">
        <v>73</v>
      </c>
      <c r="O241" s="890" t="s">
        <v>73</v>
      </c>
      <c r="P241" s="890" t="s">
        <v>73</v>
      </c>
      <c r="Q241" s="890" t="s">
        <v>73</v>
      </c>
      <c r="R241" s="890" t="s">
        <v>73</v>
      </c>
      <c r="S241" s="890" t="s">
        <v>73</v>
      </c>
      <c r="T241" s="890" t="s">
        <v>73</v>
      </c>
      <c r="U241" s="890" t="s">
        <v>73</v>
      </c>
      <c r="V241" s="890" t="s">
        <v>73</v>
      </c>
      <c r="W241" s="890" t="s">
        <v>73</v>
      </c>
      <c r="X241" s="890" t="s">
        <v>73</v>
      </c>
      <c r="Y241" s="890" t="s">
        <v>73</v>
      </c>
      <c r="Z241" s="890" t="s">
        <v>73</v>
      </c>
      <c r="AA241" s="890" t="s">
        <v>73</v>
      </c>
      <c r="AB241" s="890" t="s">
        <v>73</v>
      </c>
      <c r="AC241" s="890" t="s">
        <v>73</v>
      </c>
      <c r="AD241" s="890" t="s">
        <v>73</v>
      </c>
      <c r="AE241" s="890" t="s">
        <v>73</v>
      </c>
      <c r="AF241" s="890" t="s">
        <v>73</v>
      </c>
    </row>
    <row r="242" spans="1:32" s="856" customFormat="1" ht="12.75" x14ac:dyDescent="0.2">
      <c r="A242" s="843" t="s">
        <v>36</v>
      </c>
      <c r="B242" s="843"/>
      <c r="C242" s="843"/>
      <c r="D242" s="843"/>
      <c r="E242" s="843"/>
      <c r="F242" s="843"/>
      <c r="G242" s="891" t="s">
        <v>73</v>
      </c>
      <c r="H242" s="891" t="s">
        <v>73</v>
      </c>
      <c r="I242" s="891" t="s">
        <v>73</v>
      </c>
      <c r="J242" s="891" t="s">
        <v>73</v>
      </c>
      <c r="K242" s="891" t="s">
        <v>73</v>
      </c>
      <c r="L242" s="891" t="s">
        <v>73</v>
      </c>
      <c r="M242" s="891" t="s">
        <v>73</v>
      </c>
      <c r="N242" s="891" t="s">
        <v>73</v>
      </c>
      <c r="O242" s="891" t="s">
        <v>73</v>
      </c>
      <c r="P242" s="891" t="s">
        <v>73</v>
      </c>
      <c r="Q242" s="891" t="s">
        <v>73</v>
      </c>
      <c r="R242" s="891" t="s">
        <v>73</v>
      </c>
      <c r="S242" s="891" t="s">
        <v>73</v>
      </c>
      <c r="T242" s="891" t="s">
        <v>73</v>
      </c>
      <c r="U242" s="891" t="s">
        <v>73</v>
      </c>
      <c r="V242" s="891" t="s">
        <v>73</v>
      </c>
      <c r="W242" s="891" t="s">
        <v>73</v>
      </c>
      <c r="X242" s="891" t="s">
        <v>73</v>
      </c>
      <c r="Y242" s="891" t="s">
        <v>73</v>
      </c>
      <c r="Z242" s="891" t="s">
        <v>73</v>
      </c>
      <c r="AA242" s="891" t="s">
        <v>73</v>
      </c>
      <c r="AB242" s="891" t="s">
        <v>73</v>
      </c>
      <c r="AC242" s="891" t="s">
        <v>73</v>
      </c>
      <c r="AD242" s="891" t="s">
        <v>73</v>
      </c>
      <c r="AE242" s="891" t="s">
        <v>73</v>
      </c>
      <c r="AF242" s="891" t="s">
        <v>73</v>
      </c>
    </row>
    <row r="243" spans="1:32" s="864" customFormat="1" x14ac:dyDescent="0.25">
      <c r="A243" s="839"/>
      <c r="B243" s="839" t="s">
        <v>37</v>
      </c>
      <c r="C243" s="838"/>
      <c r="D243" s="838"/>
      <c r="E243" s="838"/>
      <c r="F243" s="855"/>
      <c r="G243" s="890">
        <v>5.2287507655721967E-2</v>
      </c>
      <c r="H243" s="890">
        <v>4.8000826844148192E-2</v>
      </c>
      <c r="I243" s="890">
        <v>4.3804525653782352E-2</v>
      </c>
      <c r="J243" s="890">
        <v>3.97420094964126E-2</v>
      </c>
      <c r="K243" s="890">
        <v>3.5868553317669624E-2</v>
      </c>
      <c r="L243" s="890">
        <v>3.2367456600172796E-2</v>
      </c>
      <c r="M243" s="890">
        <v>2.9202650009671743E-2</v>
      </c>
      <c r="N243" s="890">
        <v>2.6354614007191215E-2</v>
      </c>
      <c r="O243" s="890">
        <v>2.3807538601811267E-2</v>
      </c>
      <c r="P243" s="890">
        <v>2.1525730205653456E-2</v>
      </c>
      <c r="Q243" s="890">
        <v>1.9479896338684112E-2</v>
      </c>
      <c r="R243" s="890">
        <v>1.7647663405081792E-2</v>
      </c>
      <c r="S243" s="890">
        <v>1.6000080259119014E-2</v>
      </c>
      <c r="T243" s="890">
        <v>1.4517864222660125E-2</v>
      </c>
      <c r="U243" s="890">
        <v>1.3183760380012902E-2</v>
      </c>
      <c r="V243" s="890">
        <v>1.1980524726833787E-2</v>
      </c>
      <c r="W243" s="890">
        <v>1.0896007936677689E-2</v>
      </c>
      <c r="X243" s="890">
        <v>9.9190831271199712E-3</v>
      </c>
      <c r="Y243" s="890">
        <v>9.0389255733876774E-3</v>
      </c>
      <c r="Z243" s="890">
        <v>8.2442598513729291E-3</v>
      </c>
      <c r="AA243" s="890">
        <v>7.5250285061618212E-3</v>
      </c>
      <c r="AB243" s="890">
        <v>6.8721396491813642E-3</v>
      </c>
      <c r="AC243" s="890">
        <v>6.2814016626647666E-3</v>
      </c>
      <c r="AD243" s="890">
        <v>5.7465786017651972E-3</v>
      </c>
      <c r="AE243" s="890">
        <v>5.2620910038445046E-3</v>
      </c>
      <c r="AF243" s="890">
        <v>4.8229435386566415E-3</v>
      </c>
    </row>
    <row r="244" spans="1:32" s="864" customFormat="1" x14ac:dyDescent="0.25">
      <c r="A244" s="839"/>
      <c r="B244" s="839" t="s">
        <v>39</v>
      </c>
      <c r="C244" s="838"/>
      <c r="D244" s="838"/>
      <c r="E244" s="857"/>
      <c r="F244" s="838"/>
      <c r="G244" s="890">
        <v>9.0827008884172469E-3</v>
      </c>
      <c r="H244" s="890">
        <v>1.2063414651004266E-2</v>
      </c>
      <c r="I244" s="890">
        <v>1.4991672972017511E-2</v>
      </c>
      <c r="J244" s="890">
        <v>1.7836008655962968E-2</v>
      </c>
      <c r="K244" s="890">
        <v>2.0431705108694395E-2</v>
      </c>
      <c r="L244" s="890">
        <v>2.2685970016317083E-2</v>
      </c>
      <c r="M244" s="890">
        <v>2.4644053024895553E-2</v>
      </c>
      <c r="N244" s="890">
        <v>2.6427456271505997E-2</v>
      </c>
      <c r="O244" s="890">
        <v>2.8031835161181535E-2</v>
      </c>
      <c r="P244" s="890">
        <v>2.9474657519159998E-2</v>
      </c>
      <c r="Q244" s="890">
        <v>3.0771640729653198E-2</v>
      </c>
      <c r="R244" s="890">
        <v>3.1935281783277487E-2</v>
      </c>
      <c r="S244" s="890">
        <v>3.2982980093602933E-2</v>
      </c>
      <c r="T244" s="890">
        <v>3.3926342985184807E-2</v>
      </c>
      <c r="U244" s="890">
        <v>3.4775927836784279E-2</v>
      </c>
      <c r="V244" s="890">
        <v>3.5542460486952844E-2</v>
      </c>
      <c r="W244" s="890">
        <v>3.6233480138719854E-2</v>
      </c>
      <c r="X244" s="890">
        <v>3.6855943389378948E-2</v>
      </c>
      <c r="Y244" s="890">
        <v>3.7416672275924281E-2</v>
      </c>
      <c r="Z244" s="890">
        <v>3.7922835414833989E-2</v>
      </c>
      <c r="AA244" s="890">
        <v>3.8380846129113785E-2</v>
      </c>
      <c r="AB244" s="890">
        <v>3.879652013318588E-2</v>
      </c>
      <c r="AC244" s="890">
        <v>3.9172463101638064E-2</v>
      </c>
      <c r="AD244" s="890">
        <v>3.9512655126781024E-2</v>
      </c>
      <c r="AE244" s="890">
        <v>3.9820661254942345E-2</v>
      </c>
      <c r="AF244" s="890">
        <v>4.0099676125190352E-2</v>
      </c>
    </row>
    <row r="245" spans="1:32" s="864" customFormat="1" x14ac:dyDescent="0.25">
      <c r="A245" s="839"/>
      <c r="B245" s="839" t="s">
        <v>40</v>
      </c>
      <c r="C245" s="838"/>
      <c r="D245" s="838"/>
      <c r="E245" s="838"/>
      <c r="F245" s="838"/>
      <c r="G245" s="890">
        <v>0</v>
      </c>
      <c r="H245" s="890">
        <v>6.4532677376358185E-4</v>
      </c>
      <c r="I245" s="890">
        <v>1.270211627514371E-3</v>
      </c>
      <c r="J245" s="890">
        <v>1.8689660830762049E-3</v>
      </c>
      <c r="K245" s="890">
        <v>2.4311588176823664E-3</v>
      </c>
      <c r="L245" s="890">
        <v>2.9333981726166933E-3</v>
      </c>
      <c r="M245" s="890">
        <v>3.3818739303044126E-3</v>
      </c>
      <c r="N245" s="890">
        <v>3.7832071487024096E-3</v>
      </c>
      <c r="O245" s="890">
        <v>4.1420357310126719E-3</v>
      </c>
      <c r="P245" s="890">
        <v>4.4633889166022451E-3</v>
      </c>
      <c r="Q245" s="890">
        <v>4.751402765502461E-3</v>
      </c>
      <c r="R245" s="890">
        <v>5.0092596130317307E-3</v>
      </c>
      <c r="S245" s="890">
        <v>5.2410093152549936E-3</v>
      </c>
      <c r="T245" s="890">
        <v>5.4493793812805851E-3</v>
      </c>
      <c r="U245" s="890">
        <v>5.6368105788690273E-3</v>
      </c>
      <c r="V245" s="890">
        <v>5.8057234739696973E-3</v>
      </c>
      <c r="W245" s="890">
        <v>5.9578513521372587E-3</v>
      </c>
      <c r="X245" s="890">
        <v>6.0947827672757108E-3</v>
      </c>
      <c r="Y245" s="890">
        <v>6.2180543606086564E-3</v>
      </c>
      <c r="Z245" s="890">
        <v>6.3292428969653767E-3</v>
      </c>
      <c r="AA245" s="890">
        <v>6.4297493125499072E-3</v>
      </c>
      <c r="AB245" s="890">
        <v>6.5208315376512919E-3</v>
      </c>
      <c r="AC245" s="890">
        <v>6.6031297080137233E-3</v>
      </c>
      <c r="AD245" s="890">
        <v>6.677526418955455E-3</v>
      </c>
      <c r="AE245" s="890">
        <v>6.7448114995485361E-3</v>
      </c>
      <c r="AF245" s="890">
        <v>6.8056922196271744E-3</v>
      </c>
    </row>
    <row r="246" spans="1:32" s="864" customFormat="1" x14ac:dyDescent="0.25">
      <c r="A246" s="839"/>
      <c r="B246" s="839" t="s">
        <v>29</v>
      </c>
      <c r="C246" s="838"/>
      <c r="D246" s="838"/>
      <c r="E246" s="838"/>
      <c r="F246" s="838"/>
      <c r="G246" s="890">
        <v>0</v>
      </c>
      <c r="H246" s="890">
        <v>3.73462189730168E-11</v>
      </c>
      <c r="I246" s="890">
        <v>7.1132324885450383E-11</v>
      </c>
      <c r="J246" s="890">
        <v>1.0157269438123455E-10</v>
      </c>
      <c r="K246" s="890">
        <v>1.2844614749501242E-10</v>
      </c>
      <c r="L246" s="890">
        <v>1.5236041478864439E-10</v>
      </c>
      <c r="M246" s="890">
        <v>1.7360099068885062E-10</v>
      </c>
      <c r="N246" s="890">
        <v>1.9251160645504048E-10</v>
      </c>
      <c r="O246" s="890">
        <v>2.0932288473667386E-10</v>
      </c>
      <c r="P246" s="890">
        <v>2.2428822847502472E-10</v>
      </c>
      <c r="Q246" s="890">
        <v>2.37606287676144E-10</v>
      </c>
      <c r="R246" s="890">
        <v>2.4940330188114515E-10</v>
      </c>
      <c r="S246" s="890">
        <v>2.5992225331184233E-10</v>
      </c>
      <c r="T246" s="890">
        <v>2.6929132725645836E-10</v>
      </c>
      <c r="U246" s="890">
        <v>2.7762616156658057E-10</v>
      </c>
      <c r="V246" s="890">
        <v>2.8506356583417319E-10</v>
      </c>
      <c r="W246" s="890">
        <v>2.916702050272779E-10</v>
      </c>
      <c r="X246" s="890">
        <v>2.9750677315148066E-10</v>
      </c>
      <c r="Y246" s="890">
        <v>3.0264241972653179E-10</v>
      </c>
      <c r="Z246" s="890">
        <v>3.0717509743608902E-10</v>
      </c>
      <c r="AA246" s="890">
        <v>3.111983113002651E-10</v>
      </c>
      <c r="AB246" s="890">
        <v>3.1480588232650107E-10</v>
      </c>
      <c r="AC246" s="890">
        <v>3.1797708304022546E-10</v>
      </c>
      <c r="AD246" s="890">
        <v>3.2075584890916809E-10</v>
      </c>
      <c r="AE246" s="890">
        <v>3.2318153658476734E-10</v>
      </c>
      <c r="AF246" s="890">
        <v>3.2528941235903859E-10</v>
      </c>
    </row>
    <row r="247" spans="1:32" s="864" customFormat="1" x14ac:dyDescent="0.25">
      <c r="A247" s="839"/>
      <c r="B247" s="839"/>
      <c r="C247" s="838"/>
      <c r="D247" s="838"/>
      <c r="E247" s="838"/>
      <c r="F247" s="838"/>
      <c r="G247" s="890" t="s">
        <v>73</v>
      </c>
      <c r="H247" s="890" t="s">
        <v>73</v>
      </c>
      <c r="I247" s="890" t="s">
        <v>73</v>
      </c>
      <c r="J247" s="890" t="s">
        <v>73</v>
      </c>
      <c r="K247" s="890" t="s">
        <v>73</v>
      </c>
      <c r="L247" s="890" t="s">
        <v>73</v>
      </c>
      <c r="M247" s="890" t="s">
        <v>73</v>
      </c>
      <c r="N247" s="890" t="s">
        <v>73</v>
      </c>
      <c r="O247" s="890" t="s">
        <v>73</v>
      </c>
      <c r="P247" s="890" t="s">
        <v>73</v>
      </c>
      <c r="Q247" s="890" t="s">
        <v>73</v>
      </c>
      <c r="R247" s="890" t="s">
        <v>73</v>
      </c>
      <c r="S247" s="890" t="s">
        <v>73</v>
      </c>
      <c r="T247" s="890" t="s">
        <v>73</v>
      </c>
      <c r="U247" s="890" t="s">
        <v>73</v>
      </c>
      <c r="V247" s="890" t="s">
        <v>73</v>
      </c>
      <c r="W247" s="890" t="s">
        <v>73</v>
      </c>
      <c r="X247" s="890" t="s">
        <v>73</v>
      </c>
      <c r="Y247" s="890" t="s">
        <v>73</v>
      </c>
      <c r="Z247" s="890" t="s">
        <v>73</v>
      </c>
      <c r="AA247" s="890" t="s">
        <v>73</v>
      </c>
      <c r="AB247" s="890" t="s">
        <v>73</v>
      </c>
      <c r="AC247" s="890" t="s">
        <v>73</v>
      </c>
      <c r="AD247" s="890" t="s">
        <v>73</v>
      </c>
      <c r="AE247" s="890" t="s">
        <v>73</v>
      </c>
      <c r="AF247" s="890" t="s">
        <v>73</v>
      </c>
    </row>
    <row r="248" spans="1:32" s="856" customFormat="1" ht="12.75" x14ac:dyDescent="0.2">
      <c r="A248" s="843" t="s">
        <v>42</v>
      </c>
      <c r="B248" s="843"/>
      <c r="C248" s="843"/>
      <c r="D248" s="843"/>
      <c r="E248" s="843"/>
      <c r="F248" s="843"/>
      <c r="G248" s="891" t="s">
        <v>73</v>
      </c>
      <c r="H248" s="891" t="s">
        <v>73</v>
      </c>
      <c r="I248" s="891" t="s">
        <v>73</v>
      </c>
      <c r="J248" s="891" t="s">
        <v>73</v>
      </c>
      <c r="K248" s="891" t="s">
        <v>73</v>
      </c>
      <c r="L248" s="891" t="s">
        <v>73</v>
      </c>
      <c r="M248" s="891" t="s">
        <v>73</v>
      </c>
      <c r="N248" s="891" t="s">
        <v>73</v>
      </c>
      <c r="O248" s="891" t="s">
        <v>73</v>
      </c>
      <c r="P248" s="891" t="s">
        <v>73</v>
      </c>
      <c r="Q248" s="891" t="s">
        <v>73</v>
      </c>
      <c r="R248" s="891" t="s">
        <v>73</v>
      </c>
      <c r="S248" s="891" t="s">
        <v>73</v>
      </c>
      <c r="T248" s="891" t="s">
        <v>73</v>
      </c>
      <c r="U248" s="891" t="s">
        <v>73</v>
      </c>
      <c r="V248" s="891" t="s">
        <v>73</v>
      </c>
      <c r="W248" s="891" t="s">
        <v>73</v>
      </c>
      <c r="X248" s="891" t="s">
        <v>73</v>
      </c>
      <c r="Y248" s="891" t="s">
        <v>73</v>
      </c>
      <c r="Z248" s="891" t="s">
        <v>73</v>
      </c>
      <c r="AA248" s="891" t="s">
        <v>73</v>
      </c>
      <c r="AB248" s="891" t="s">
        <v>73</v>
      </c>
      <c r="AC248" s="891" t="s">
        <v>73</v>
      </c>
      <c r="AD248" s="891" t="s">
        <v>73</v>
      </c>
      <c r="AE248" s="891" t="s">
        <v>73</v>
      </c>
      <c r="AF248" s="891" t="s">
        <v>73</v>
      </c>
    </row>
    <row r="249" spans="1:32" s="864" customFormat="1" x14ac:dyDescent="0.25">
      <c r="A249" s="839"/>
      <c r="B249" s="842" t="s">
        <v>43</v>
      </c>
      <c r="C249" s="838"/>
      <c r="D249" s="838"/>
      <c r="E249" s="838"/>
      <c r="F249" s="838"/>
      <c r="G249" s="890">
        <v>1.3531459785843397E-4</v>
      </c>
      <c r="H249" s="890">
        <v>1.2527025664102375E-4</v>
      </c>
      <c r="I249" s="890">
        <v>1.1604277130526817E-4</v>
      </c>
      <c r="J249" s="890">
        <v>1.0759563138276061E-4</v>
      </c>
      <c r="K249" s="890">
        <v>9.9939280299069335E-5</v>
      </c>
      <c r="L249" s="890">
        <v>9.2953354782494211E-5</v>
      </c>
      <c r="M249" s="890">
        <v>8.6585859906274779E-5</v>
      </c>
      <c r="N249" s="890">
        <v>8.0798684951910899E-5</v>
      </c>
      <c r="O249" s="890">
        <v>7.5529771521056299E-5</v>
      </c>
      <c r="P249" s="890">
        <v>7.0724676127090401E-5</v>
      </c>
      <c r="Q249" s="890">
        <v>6.6339894616476659E-5</v>
      </c>
      <c r="R249" s="890">
        <v>6.2345628566669648E-5</v>
      </c>
      <c r="S249" s="890">
        <v>5.8690462355299204E-5</v>
      </c>
      <c r="T249" s="890">
        <v>5.5344840224693279E-5</v>
      </c>
      <c r="U249" s="890">
        <v>5.2281689178210001E-5</v>
      </c>
      <c r="V249" s="890">
        <v>4.9471022731372111E-5</v>
      </c>
      <c r="W249" s="890">
        <v>4.6894774798127324E-5</v>
      </c>
      <c r="X249" s="890">
        <v>4.4535866081339288E-5</v>
      </c>
      <c r="Y249" s="890">
        <v>4.2376219726592534E-5</v>
      </c>
      <c r="Z249" s="890">
        <v>4.0394448703287572E-5</v>
      </c>
      <c r="AA249" s="890">
        <v>3.8570925404181932E-5</v>
      </c>
      <c r="AB249" s="890">
        <v>3.688723534294341E-5</v>
      </c>
      <c r="AC249" s="890">
        <v>3.5339238664520338E-5</v>
      </c>
      <c r="AD249" s="890">
        <v>3.3915322127617918E-5</v>
      </c>
      <c r="AE249" s="890">
        <v>3.260491926437373E-5</v>
      </c>
      <c r="AF249" s="890">
        <v>3.139841164139299E-5</v>
      </c>
    </row>
    <row r="250" spans="1:32" s="864" customFormat="1" x14ac:dyDescent="0.25">
      <c r="A250" s="839"/>
      <c r="B250" s="842" t="s">
        <v>44</v>
      </c>
      <c r="C250" s="838"/>
      <c r="D250" s="838"/>
      <c r="E250" s="838"/>
      <c r="F250" s="838"/>
      <c r="G250" s="890">
        <v>1.2074261186803664E-5</v>
      </c>
      <c r="H250" s="890">
        <v>8.5778137666848235E-5</v>
      </c>
      <c r="I250" s="890">
        <v>1.5358400669199365E-4</v>
      </c>
      <c r="J250" s="890">
        <v>2.1574272302527176E-4</v>
      </c>
      <c r="K250" s="890">
        <v>2.7216349755060316E-4</v>
      </c>
      <c r="L250" s="890">
        <v>3.237153368753665E-4</v>
      </c>
      <c r="M250" s="890">
        <v>3.7076890412280863E-4</v>
      </c>
      <c r="N250" s="890">
        <v>4.1359508276169669E-4</v>
      </c>
      <c r="O250" s="890">
        <v>4.5264108131546125E-4</v>
      </c>
      <c r="P250" s="890">
        <v>4.8829955634449075E-4</v>
      </c>
      <c r="Q250" s="890">
        <v>5.2088428279099797E-4</v>
      </c>
      <c r="R250" s="890">
        <v>5.5061017502299717E-4</v>
      </c>
      <c r="S250" s="890">
        <v>5.7784945963414776E-4</v>
      </c>
      <c r="T250" s="890">
        <v>6.0281613328190412E-4</v>
      </c>
      <c r="U250" s="890">
        <v>6.2570653279505532E-4</v>
      </c>
      <c r="V250" s="890">
        <v>6.4673800543426784E-4</v>
      </c>
      <c r="W250" s="890">
        <v>6.6604231363461225E-4</v>
      </c>
      <c r="X250" s="890">
        <v>6.837443863027177E-4</v>
      </c>
      <c r="Y250" s="890">
        <v>6.9997634302851287E-4</v>
      </c>
      <c r="Z250" s="890">
        <v>7.1489351709577427E-4</v>
      </c>
      <c r="AA250" s="890">
        <v>7.2863821384304959E-4</v>
      </c>
      <c r="AB250" s="890">
        <v>7.4134346923505879E-4</v>
      </c>
      <c r="AC250" s="890">
        <v>7.5304246731320494E-4</v>
      </c>
      <c r="AD250" s="890">
        <v>7.6382039428013536E-4</v>
      </c>
      <c r="AE250" s="890">
        <v>7.7375485252630257E-4</v>
      </c>
      <c r="AF250" s="890">
        <v>7.8291656665532405E-4</v>
      </c>
    </row>
    <row r="251" spans="1:32" s="864" customFormat="1" x14ac:dyDescent="0.25">
      <c r="A251" s="839"/>
      <c r="B251" s="842" t="s">
        <v>45</v>
      </c>
      <c r="C251" s="838"/>
      <c r="D251" s="838"/>
      <c r="E251" s="838"/>
      <c r="F251" s="838"/>
      <c r="G251" s="890">
        <v>6.0068515389769797E-4</v>
      </c>
      <c r="H251" s="890">
        <v>5.5049943048151087E-4</v>
      </c>
      <c r="I251" s="890">
        <v>5.0438775627842782E-4</v>
      </c>
      <c r="J251" s="890">
        <v>4.6216904863057777E-4</v>
      </c>
      <c r="K251" s="890">
        <v>4.2389669053976398E-4</v>
      </c>
      <c r="L251" s="890">
        <v>3.8897028169060057E-4</v>
      </c>
      <c r="M251" s="890">
        <v>3.5713086964500059E-4</v>
      </c>
      <c r="N251" s="890">
        <v>3.2818873728079613E-4</v>
      </c>
      <c r="O251" s="890">
        <v>3.0183441059874235E-4</v>
      </c>
      <c r="P251" s="890">
        <v>2.777963648406538E-4</v>
      </c>
      <c r="Q251" s="890">
        <v>2.5585764169004698E-4</v>
      </c>
      <c r="R251" s="890">
        <v>2.3586966199167614E-4</v>
      </c>
      <c r="S251" s="890">
        <v>2.1757586164280129E-4</v>
      </c>
      <c r="T251" s="890">
        <v>2.0082878610424865E-4</v>
      </c>
      <c r="U251" s="890">
        <v>1.8549334307346325E-4</v>
      </c>
      <c r="V251" s="890">
        <v>1.7141988912116148E-4</v>
      </c>
      <c r="W251" s="890">
        <v>1.5851823559194113E-4</v>
      </c>
      <c r="X251" s="890">
        <v>1.4670309293648222E-4</v>
      </c>
      <c r="Y251" s="890">
        <v>1.3588418645289153E-4</v>
      </c>
      <c r="Z251" s="890">
        <v>1.2595475684298936E-4</v>
      </c>
      <c r="AA251" s="890">
        <v>1.1681684042118193E-4</v>
      </c>
      <c r="AB251" s="890">
        <v>1.0837855525967867E-4</v>
      </c>
      <c r="AC251" s="890">
        <v>1.0061905614967626E-4</v>
      </c>
      <c r="AD251" s="890">
        <v>9.3480319816985523E-5</v>
      </c>
      <c r="AE251" s="890">
        <v>8.6909545865074649E-5</v>
      </c>
      <c r="AF251" s="890">
        <v>8.0858664823000665E-5</v>
      </c>
    </row>
    <row r="252" spans="1:32" s="864" customFormat="1" x14ac:dyDescent="0.25">
      <c r="A252" s="839"/>
      <c r="B252" s="842" t="s">
        <v>46</v>
      </c>
      <c r="C252" s="838"/>
      <c r="D252" s="838"/>
      <c r="E252" s="838"/>
      <c r="F252" s="838"/>
      <c r="G252" s="890">
        <v>0</v>
      </c>
      <c r="H252" s="890">
        <v>0</v>
      </c>
      <c r="I252" s="890">
        <v>0</v>
      </c>
      <c r="J252" s="890">
        <v>0</v>
      </c>
      <c r="K252" s="890">
        <v>0</v>
      </c>
      <c r="L252" s="890">
        <v>0</v>
      </c>
      <c r="M252" s="890">
        <v>0</v>
      </c>
      <c r="N252" s="890">
        <v>0</v>
      </c>
      <c r="O252" s="890">
        <v>0</v>
      </c>
      <c r="P252" s="890">
        <v>0</v>
      </c>
      <c r="Q252" s="890">
        <v>0</v>
      </c>
      <c r="R252" s="890">
        <v>0</v>
      </c>
      <c r="S252" s="890">
        <v>0</v>
      </c>
      <c r="T252" s="890">
        <v>0</v>
      </c>
      <c r="U252" s="890">
        <v>0</v>
      </c>
      <c r="V252" s="890">
        <v>0</v>
      </c>
      <c r="W252" s="890">
        <v>0</v>
      </c>
      <c r="X252" s="890">
        <v>0</v>
      </c>
      <c r="Y252" s="890">
        <v>0</v>
      </c>
      <c r="Z252" s="890">
        <v>0</v>
      </c>
      <c r="AA252" s="890">
        <v>0</v>
      </c>
      <c r="AB252" s="890">
        <v>0</v>
      </c>
      <c r="AC252" s="890">
        <v>0</v>
      </c>
      <c r="AD252" s="890">
        <v>0</v>
      </c>
      <c r="AE252" s="890">
        <v>0</v>
      </c>
      <c r="AF252" s="890">
        <v>0</v>
      </c>
    </row>
    <row r="253" spans="1:32" s="864" customFormat="1" x14ac:dyDescent="0.25">
      <c r="A253" s="839"/>
      <c r="B253" s="839" t="s">
        <v>29</v>
      </c>
      <c r="C253" s="838"/>
      <c r="D253" s="838"/>
      <c r="E253" s="838"/>
      <c r="F253" s="838"/>
      <c r="G253" s="890">
        <v>0</v>
      </c>
      <c r="H253" s="890">
        <v>1.8678586255681551E-6</v>
      </c>
      <c r="I253" s="890">
        <v>3.5448435547600619E-6</v>
      </c>
      <c r="J253" s="890">
        <v>5.044643354911063E-6</v>
      </c>
      <c r="K253" s="890">
        <v>6.370983223902923E-6</v>
      </c>
      <c r="L253" s="890">
        <v>7.5520759413839481E-6</v>
      </c>
      <c r="M253" s="890">
        <v>8.6019984428062746E-6</v>
      </c>
      <c r="N253" s="890">
        <v>9.5313770803865916E-6</v>
      </c>
      <c r="O253" s="890">
        <v>1.0355085833122633E-5</v>
      </c>
      <c r="P253" s="890">
        <v>1.1086042612341593E-5</v>
      </c>
      <c r="Q253" s="890">
        <v>1.1734557108612767E-5</v>
      </c>
      <c r="R253" s="890">
        <v>1.2307676406071749E-5</v>
      </c>
      <c r="S253" s="890">
        <v>1.2817049884485585E-5</v>
      </c>
      <c r="T253" s="890">
        <v>1.3269343502560764E-5</v>
      </c>
      <c r="U253" s="890">
        <v>1.3670534905726827E-5</v>
      </c>
      <c r="V253" s="890">
        <v>1.4027307556112854E-5</v>
      </c>
      <c r="W253" s="890">
        <v>1.4343337132902595E-5</v>
      </c>
      <c r="X253" s="890">
        <v>1.4621950561108705E-5</v>
      </c>
      <c r="Y253" s="890">
        <v>1.4866719786451855E-5</v>
      </c>
      <c r="Z253" s="890">
        <v>1.5082287155334171E-5</v>
      </c>
      <c r="AA253" s="890">
        <v>1.5273018277003952E-5</v>
      </c>
      <c r="AB253" s="890">
        <v>1.5443207364792459E-5</v>
      </c>
      <c r="AC253" s="890">
        <v>1.5592450103816105E-5</v>
      </c>
      <c r="AD253" s="890">
        <v>1.5722918925832084E-5</v>
      </c>
      <c r="AE253" s="890">
        <v>1.5836552000584042E-5</v>
      </c>
      <c r="AF253" s="890">
        <v>1.5935079125872398E-5</v>
      </c>
    </row>
    <row r="254" spans="1:32" s="864" customFormat="1" x14ac:dyDescent="0.25">
      <c r="A254" s="839"/>
      <c r="B254" s="839"/>
      <c r="C254" s="838"/>
      <c r="D254" s="838"/>
      <c r="E254" s="838"/>
      <c r="F254" s="838"/>
      <c r="G254" s="890" t="s">
        <v>73</v>
      </c>
      <c r="H254" s="890" t="s">
        <v>73</v>
      </c>
      <c r="I254" s="890" t="s">
        <v>73</v>
      </c>
      <c r="J254" s="890" t="s">
        <v>73</v>
      </c>
      <c r="K254" s="890" t="s">
        <v>73</v>
      </c>
      <c r="L254" s="890" t="s">
        <v>73</v>
      </c>
      <c r="M254" s="890" t="s">
        <v>73</v>
      </c>
      <c r="N254" s="890" t="s">
        <v>73</v>
      </c>
      <c r="O254" s="890" t="s">
        <v>73</v>
      </c>
      <c r="P254" s="890" t="s">
        <v>73</v>
      </c>
      <c r="Q254" s="890" t="s">
        <v>73</v>
      </c>
      <c r="R254" s="890" t="s">
        <v>73</v>
      </c>
      <c r="S254" s="890" t="s">
        <v>73</v>
      </c>
      <c r="T254" s="890" t="s">
        <v>73</v>
      </c>
      <c r="U254" s="890" t="s">
        <v>73</v>
      </c>
      <c r="V254" s="890" t="s">
        <v>73</v>
      </c>
      <c r="W254" s="890" t="s">
        <v>73</v>
      </c>
      <c r="X254" s="890" t="s">
        <v>73</v>
      </c>
      <c r="Y254" s="890" t="s">
        <v>73</v>
      </c>
      <c r="Z254" s="890" t="s">
        <v>73</v>
      </c>
      <c r="AA254" s="890" t="s">
        <v>73</v>
      </c>
      <c r="AB254" s="890" t="s">
        <v>73</v>
      </c>
      <c r="AC254" s="890" t="s">
        <v>73</v>
      </c>
      <c r="AD254" s="890" t="s">
        <v>73</v>
      </c>
      <c r="AE254" s="890" t="s">
        <v>73</v>
      </c>
      <c r="AF254" s="890" t="s">
        <v>73</v>
      </c>
    </row>
    <row r="255" spans="1:32" s="856" customFormat="1" ht="12.75" x14ac:dyDescent="0.2">
      <c r="A255" s="843" t="s">
        <v>47</v>
      </c>
      <c r="B255" s="843"/>
      <c r="C255" s="843"/>
      <c r="D255" s="843"/>
      <c r="E255" s="843"/>
      <c r="F255" s="843"/>
      <c r="G255" s="891" t="s">
        <v>73</v>
      </c>
      <c r="H255" s="891" t="s">
        <v>73</v>
      </c>
      <c r="I255" s="891" t="s">
        <v>73</v>
      </c>
      <c r="J255" s="891" t="s">
        <v>73</v>
      </c>
      <c r="K255" s="891" t="s">
        <v>73</v>
      </c>
      <c r="L255" s="891" t="s">
        <v>73</v>
      </c>
      <c r="M255" s="891" t="s">
        <v>73</v>
      </c>
      <c r="N255" s="891" t="s">
        <v>73</v>
      </c>
      <c r="O255" s="891" t="s">
        <v>73</v>
      </c>
      <c r="P255" s="891" t="s">
        <v>73</v>
      </c>
      <c r="Q255" s="891" t="s">
        <v>73</v>
      </c>
      <c r="R255" s="891" t="s">
        <v>73</v>
      </c>
      <c r="S255" s="891" t="s">
        <v>73</v>
      </c>
      <c r="T255" s="891" t="s">
        <v>73</v>
      </c>
      <c r="U255" s="891" t="s">
        <v>73</v>
      </c>
      <c r="V255" s="891" t="s">
        <v>73</v>
      </c>
      <c r="W255" s="891" t="s">
        <v>73</v>
      </c>
      <c r="X255" s="891" t="s">
        <v>73</v>
      </c>
      <c r="Y255" s="891" t="s">
        <v>73</v>
      </c>
      <c r="Z255" s="891" t="s">
        <v>73</v>
      </c>
      <c r="AA255" s="891" t="s">
        <v>73</v>
      </c>
      <c r="AB255" s="891" t="s">
        <v>73</v>
      </c>
      <c r="AC255" s="891" t="s">
        <v>73</v>
      </c>
      <c r="AD255" s="891" t="s">
        <v>73</v>
      </c>
      <c r="AE255" s="891" t="s">
        <v>73</v>
      </c>
      <c r="AF255" s="891" t="s">
        <v>73</v>
      </c>
    </row>
    <row r="256" spans="1:32" s="864" customFormat="1" x14ac:dyDescent="0.25">
      <c r="A256" s="839"/>
      <c r="B256" s="839" t="s">
        <v>48</v>
      </c>
      <c r="C256" s="838"/>
      <c r="D256" s="838"/>
      <c r="E256" s="838"/>
      <c r="F256" s="838"/>
      <c r="G256" s="890">
        <v>0.21734955112266577</v>
      </c>
      <c r="H256" s="890">
        <v>0.21583861414239361</v>
      </c>
      <c r="I256" s="890">
        <v>0.21268551117520237</v>
      </c>
      <c r="J256" s="890">
        <v>0.20804729972479544</v>
      </c>
      <c r="K256" s="890">
        <v>0.20363152500326109</v>
      </c>
      <c r="L256" s="890">
        <v>0.20087160531177781</v>
      </c>
      <c r="M256" s="890">
        <v>0.19966266838058014</v>
      </c>
      <c r="N256" s="890">
        <v>0.19846990073098772</v>
      </c>
      <c r="O256" s="890">
        <v>0.19729204311548715</v>
      </c>
      <c r="P256" s="890">
        <v>0.19612786835743945</v>
      </c>
      <c r="Q256" s="890">
        <v>0.19497720974199076</v>
      </c>
      <c r="R256" s="890">
        <v>0.19384230455438703</v>
      </c>
      <c r="S256" s="890">
        <v>0.19271912760094115</v>
      </c>
      <c r="T256" s="890">
        <v>0.19160781378186145</v>
      </c>
      <c r="U256" s="890">
        <v>0.19050845810720551</v>
      </c>
      <c r="V256" s="890">
        <v>0.18941931362652734</v>
      </c>
      <c r="W256" s="890">
        <v>0.18834168697566761</v>
      </c>
      <c r="X256" s="890">
        <v>0.18727692210158164</v>
      </c>
      <c r="Y256" s="890">
        <v>0.18622554722314011</v>
      </c>
      <c r="Z256" s="890">
        <v>0.18518588773797851</v>
      </c>
      <c r="AA256" s="890">
        <v>0.18415582362371308</v>
      </c>
      <c r="AB256" s="890">
        <v>0.18313251892095034</v>
      </c>
      <c r="AC256" s="890">
        <v>0.18211986244498657</v>
      </c>
      <c r="AD256" s="890">
        <v>0.18111774451875404</v>
      </c>
      <c r="AE256" s="890">
        <v>0.18012605686492106</v>
      </c>
      <c r="AF256" s="890">
        <v>0.17914469258776386</v>
      </c>
    </row>
    <row r="257" spans="1:32" s="864" customFormat="1" x14ac:dyDescent="0.25">
      <c r="A257" s="839"/>
      <c r="B257" s="842" t="s">
        <v>50</v>
      </c>
      <c r="C257" s="838"/>
      <c r="D257" s="838"/>
      <c r="E257" s="838"/>
      <c r="F257" s="838"/>
      <c r="G257" s="890">
        <v>2.726752889662477E-2</v>
      </c>
      <c r="H257" s="890">
        <v>2.7237699666824221E-2</v>
      </c>
      <c r="I257" s="890">
        <v>2.720777460714623E-2</v>
      </c>
      <c r="J257" s="890">
        <v>2.7177854364142322E-2</v>
      </c>
      <c r="K257" s="890">
        <v>2.7148243066943169E-2</v>
      </c>
      <c r="L257" s="890">
        <v>2.7118764550521739E-2</v>
      </c>
      <c r="M257" s="890">
        <v>2.7089461797096086E-2</v>
      </c>
      <c r="N257" s="890">
        <v>2.7060434578888654E-2</v>
      </c>
      <c r="O257" s="890">
        <v>2.7031652984083075E-2</v>
      </c>
      <c r="P257" s="890">
        <v>2.7003087335226574E-2</v>
      </c>
      <c r="Q257" s="890">
        <v>2.6974736829282742E-2</v>
      </c>
      <c r="R257" s="890">
        <v>2.6946667820275452E-2</v>
      </c>
      <c r="S257" s="890">
        <v>2.6918771936684023E-2</v>
      </c>
      <c r="T257" s="890">
        <v>2.6891056111749578E-2</v>
      </c>
      <c r="U257" s="890">
        <v>2.6863526244411712E-2</v>
      </c>
      <c r="V257" s="890">
        <v>2.6836135813249621E-2</v>
      </c>
      <c r="W257" s="890">
        <v>2.6808924819227493E-2</v>
      </c>
      <c r="X257" s="890">
        <v>2.6781935062760207E-2</v>
      </c>
      <c r="Y257" s="890">
        <v>2.6755185511715785E-2</v>
      </c>
      <c r="Z257" s="890">
        <v>2.6728631473201141E-2</v>
      </c>
      <c r="AA257" s="890">
        <v>2.6702214384083774E-2</v>
      </c>
      <c r="AB257" s="890">
        <v>2.6675853585186041E-2</v>
      </c>
      <c r="AC257" s="890">
        <v>2.664966489431372E-2</v>
      </c>
      <c r="AD257" s="890">
        <v>2.6623647983922017E-2</v>
      </c>
      <c r="AE257" s="890">
        <v>2.659780252940467E-2</v>
      </c>
      <c r="AF257" s="890">
        <v>2.6572128209088681E-2</v>
      </c>
    </row>
    <row r="258" spans="1:32" s="864" customFormat="1" x14ac:dyDescent="0.25">
      <c r="A258" s="839"/>
      <c r="B258" s="839" t="s">
        <v>51</v>
      </c>
      <c r="C258" s="838"/>
      <c r="D258" s="838"/>
      <c r="E258" s="838"/>
      <c r="F258" s="838"/>
      <c r="G258" s="890">
        <v>7.9478419287459592E-3</v>
      </c>
      <c r="H258" s="890">
        <v>7.9446843223169115E-3</v>
      </c>
      <c r="I258" s="890">
        <v>7.9415130162234192E-3</v>
      </c>
      <c r="J258" s="890">
        <v>7.9383397071853927E-3</v>
      </c>
      <c r="K258" s="890">
        <v>7.9351998452212181E-3</v>
      </c>
      <c r="L258" s="890">
        <v>7.9320729509942539E-3</v>
      </c>
      <c r="M258" s="890">
        <v>7.9289640700153756E-3</v>
      </c>
      <c r="N258" s="890">
        <v>7.9258848955130797E-3</v>
      </c>
      <c r="O258" s="890">
        <v>7.9228319930738905E-3</v>
      </c>
      <c r="P258" s="890">
        <v>7.9198019458428439E-3</v>
      </c>
      <c r="Q258" s="890">
        <v>7.9167947071711632E-3</v>
      </c>
      <c r="R258" s="890">
        <v>7.9138180961825944E-3</v>
      </c>
      <c r="S258" s="890">
        <v>7.9108594729222492E-3</v>
      </c>
      <c r="T258" s="890">
        <v>7.9079196872733869E-3</v>
      </c>
      <c r="U258" s="890">
        <v>7.9049994697556105E-3</v>
      </c>
      <c r="V258" s="890">
        <v>7.9020933962467323E-3</v>
      </c>
      <c r="W258" s="890">
        <v>7.8992061961926374E-3</v>
      </c>
      <c r="X258" s="890">
        <v>7.8963428227859147E-3</v>
      </c>
      <c r="Y258" s="890">
        <v>7.8935055550431437E-3</v>
      </c>
      <c r="Z258" s="890">
        <v>7.8906891816764788E-3</v>
      </c>
      <c r="AA258" s="890">
        <v>7.8878868435407201E-3</v>
      </c>
      <c r="AB258" s="890">
        <v>7.8850890588408849E-3</v>
      </c>
      <c r="AC258" s="890">
        <v>7.8823095000367435E-3</v>
      </c>
      <c r="AD258" s="890">
        <v>7.8795481637645177E-3</v>
      </c>
      <c r="AE258" s="890">
        <v>7.8768050467853401E-3</v>
      </c>
      <c r="AF258" s="890">
        <v>7.874080145985389E-3</v>
      </c>
    </row>
    <row r="259" spans="1:32" s="864" customFormat="1" x14ac:dyDescent="0.25">
      <c r="A259" s="839"/>
      <c r="B259" s="839" t="s">
        <v>52</v>
      </c>
      <c r="C259" s="838"/>
      <c r="D259" s="838"/>
      <c r="E259" s="838"/>
      <c r="F259" s="838"/>
      <c r="G259" s="890">
        <v>1.0902791555633166E-2</v>
      </c>
      <c r="H259" s="890">
        <v>1.0894843449247803E-2</v>
      </c>
      <c r="I259" s="890">
        <v>1.0886888987461622E-2</v>
      </c>
      <c r="J259" s="890">
        <v>1.0878956288150096E-2</v>
      </c>
      <c r="K259" s="890">
        <v>1.0871134150609018E-2</v>
      </c>
      <c r="L259" s="890">
        <v>1.0863368151977641E-2</v>
      </c>
      <c r="M259" s="890">
        <v>1.0855669449130823E-2</v>
      </c>
      <c r="N259" s="890">
        <v>1.0848066132893585E-2</v>
      </c>
      <c r="O259" s="890">
        <v>1.0840547941564756E-2</v>
      </c>
      <c r="P259" s="890">
        <v>1.0833104864771825E-2</v>
      </c>
      <c r="Q259" s="890">
        <v>1.0825735566654844E-2</v>
      </c>
      <c r="R259" s="890">
        <v>1.0818458600398907E-2</v>
      </c>
      <c r="S259" s="890">
        <v>1.0811241140292204E-2</v>
      </c>
      <c r="T259" s="890">
        <v>1.0804084431092865E-2</v>
      </c>
      <c r="U259" s="890">
        <v>1.0796989478074585E-2</v>
      </c>
      <c r="V259" s="890">
        <v>1.0789941971030548E-2</v>
      </c>
      <c r="W259" s="890">
        <v>1.0782953040726047E-2</v>
      </c>
      <c r="X259" s="890">
        <v>1.0776034367253395E-2</v>
      </c>
      <c r="Y259" s="890">
        <v>1.0769190972287714E-2</v>
      </c>
      <c r="Z259" s="890">
        <v>1.0762409301211489E-2</v>
      </c>
      <c r="AA259" s="890">
        <v>1.075567180957338E-2</v>
      </c>
      <c r="AB259" s="890">
        <v>1.0748954563281203E-2</v>
      </c>
      <c r="AC259" s="890">
        <v>1.0742291013386862E-2</v>
      </c>
      <c r="AD259" s="890">
        <v>1.0735680723385949E-2</v>
      </c>
      <c r="AE259" s="890">
        <v>1.0729123282950968E-2</v>
      </c>
      <c r="AF259" s="890">
        <v>1.0722618305759718E-2</v>
      </c>
    </row>
    <row r="260" spans="1:32" s="864" customFormat="1" x14ac:dyDescent="0.25">
      <c r="A260" s="839"/>
      <c r="B260" s="842" t="s">
        <v>29</v>
      </c>
      <c r="C260" s="838"/>
      <c r="D260" s="838"/>
      <c r="E260" s="838"/>
      <c r="F260" s="838"/>
      <c r="G260" s="890">
        <v>3.5238249188647837E-4</v>
      </c>
      <c r="H260" s="890">
        <v>8.2925250403506861E-4</v>
      </c>
      <c r="I260" s="890">
        <v>1.2847057585397253E-3</v>
      </c>
      <c r="J260" s="890">
        <v>1.7191069316978972E-3</v>
      </c>
      <c r="K260" s="890">
        <v>2.1302842578348065E-3</v>
      </c>
      <c r="L260" s="890">
        <v>2.5378288797192334E-3</v>
      </c>
      <c r="M260" s="890">
        <v>2.9412414133525213E-3</v>
      </c>
      <c r="N260" s="890">
        <v>3.3393317575631486E-3</v>
      </c>
      <c r="O260" s="890">
        <v>3.7325228343405396E-3</v>
      </c>
      <c r="P260" s="890">
        <v>4.1212271223458191E-3</v>
      </c>
      <c r="Q260" s="890">
        <v>4.505498711150753E-3</v>
      </c>
      <c r="R260" s="890">
        <v>4.8845779588146156E-3</v>
      </c>
      <c r="S260" s="890">
        <v>5.259824363751592E-3</v>
      </c>
      <c r="T260" s="890">
        <v>5.6311902315032353E-3</v>
      </c>
      <c r="U260" s="890">
        <v>5.9986412135407648E-3</v>
      </c>
      <c r="V260" s="890">
        <v>6.3627671160390769E-3</v>
      </c>
      <c r="W260" s="890">
        <v>6.723123192233311E-3</v>
      </c>
      <c r="X260" s="890">
        <v>7.079251324122785E-3</v>
      </c>
      <c r="Y260" s="890">
        <v>7.4309694281071512E-3</v>
      </c>
      <c r="Z260" s="890">
        <v>7.7788427471776481E-3</v>
      </c>
      <c r="AA260" s="890">
        <v>8.1235885141117386E-3</v>
      </c>
      <c r="AB260" s="890">
        <v>8.4661681134573039E-3</v>
      </c>
      <c r="AC260" s="890">
        <v>8.8052594014639846E-3</v>
      </c>
      <c r="AD260" s="890">
        <v>9.1408973143896968E-3</v>
      </c>
      <c r="AE260" s="890">
        <v>9.4731163184739904E-3</v>
      </c>
      <c r="AF260" s="890">
        <v>9.8019504181910307E-3</v>
      </c>
    </row>
    <row r="261" spans="1:32" s="864" customFormat="1" x14ac:dyDescent="0.25">
      <c r="A261" s="839"/>
      <c r="B261" s="842" t="s">
        <v>53</v>
      </c>
      <c r="C261" s="838"/>
      <c r="D261" s="838"/>
      <c r="E261" s="838"/>
      <c r="F261" s="838"/>
      <c r="G261" s="890">
        <v>3.5191948950646484E-4</v>
      </c>
      <c r="H261" s="890">
        <v>3.5176109509281646E-4</v>
      </c>
      <c r="I261" s="890">
        <v>3.516020069157539E-4</v>
      </c>
      <c r="J261" s="890">
        <v>3.514428234629359E-4</v>
      </c>
      <c r="K261" s="890">
        <v>3.5128535818503172E-4</v>
      </c>
      <c r="L261" s="890">
        <v>3.5112856325805953E-4</v>
      </c>
      <c r="M261" s="890">
        <v>3.5097269665517464E-4</v>
      </c>
      <c r="N261" s="890">
        <v>3.5081835630417716E-4</v>
      </c>
      <c r="O261" s="890">
        <v>3.5066536632379319E-4</v>
      </c>
      <c r="P261" s="890">
        <v>3.5051355176885955E-4</v>
      </c>
      <c r="Q261" s="890">
        <v>3.503629100794196E-4</v>
      </c>
      <c r="R261" s="890">
        <v>3.5021384092294786E-4</v>
      </c>
      <c r="S261" s="890">
        <v>3.5006569774205049E-4</v>
      </c>
      <c r="T261" s="890">
        <v>3.499185238592257E-4</v>
      </c>
      <c r="U261" s="890">
        <v>3.4977235648646961E-4</v>
      </c>
      <c r="V261" s="890">
        <v>3.4962691816634077E-4</v>
      </c>
      <c r="W261" s="890">
        <v>3.4948245058365657E-4</v>
      </c>
      <c r="X261" s="890">
        <v>3.4933920681572974E-4</v>
      </c>
      <c r="Y261" s="890">
        <v>3.4919730319217074E-4</v>
      </c>
      <c r="Z261" s="890">
        <v>3.4905647314478695E-4</v>
      </c>
      <c r="AA261" s="890">
        <v>3.4891636592805343E-4</v>
      </c>
      <c r="AB261" s="890">
        <v>3.4877649681430424E-4</v>
      </c>
      <c r="AC261" s="890">
        <v>3.4863756456394426E-4</v>
      </c>
      <c r="AD261" s="890">
        <v>3.4849956887912198E-4</v>
      </c>
      <c r="AE261" s="890">
        <v>3.4836250946931066E-4</v>
      </c>
      <c r="AF261" s="890">
        <v>3.4822638605131487E-4</v>
      </c>
    </row>
  </sheetData>
  <pageMargins left="0.7" right="0.7" top="0.75" bottom="0.75" header="0.3" footer="0.3"/>
  <pageSetup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FF0000"/>
  </sheetPr>
  <dimension ref="A1:AF261"/>
  <sheetViews>
    <sheetView topLeftCell="C1" zoomScale="59" zoomScaleNormal="59" workbookViewId="0">
      <selection activeCell="H2" sqref="H2:N2"/>
    </sheetView>
  </sheetViews>
  <sheetFormatPr defaultColWidth="9.140625" defaultRowHeight="15" x14ac:dyDescent="0.25"/>
  <cols>
    <col min="1" max="6" width="9.140625" style="539"/>
    <col min="7" max="32" width="13" style="539" customWidth="1"/>
    <col min="33" max="16384" width="9.140625" style="539"/>
  </cols>
  <sheetData>
    <row r="1" spans="1:32" ht="53.1" x14ac:dyDescent="0.4">
      <c r="A1" s="268" t="s">
        <v>288</v>
      </c>
      <c r="B1" s="550"/>
      <c r="C1" s="550"/>
      <c r="D1" s="550"/>
      <c r="E1" s="550"/>
      <c r="F1" s="550"/>
      <c r="G1" s="764" t="s">
        <v>411</v>
      </c>
      <c r="H1" s="748" t="s">
        <v>213</v>
      </c>
      <c r="I1" s="748" t="s">
        <v>214</v>
      </c>
      <c r="J1" s="748" t="s">
        <v>43</v>
      </c>
      <c r="K1" s="748" t="s">
        <v>44</v>
      </c>
      <c r="L1" s="748" t="s">
        <v>215</v>
      </c>
      <c r="M1" s="748" t="s">
        <v>257</v>
      </c>
      <c r="N1" s="748" t="s">
        <v>216</v>
      </c>
      <c r="O1" s="550"/>
      <c r="P1" s="550"/>
      <c r="Q1" s="550"/>
      <c r="R1" s="550"/>
      <c r="S1" s="550"/>
      <c r="T1" s="550"/>
      <c r="U1" s="550"/>
      <c r="V1" s="550"/>
      <c r="W1" s="550"/>
      <c r="X1" s="550"/>
      <c r="Y1" s="550"/>
      <c r="Z1" s="550"/>
      <c r="AA1" s="550"/>
      <c r="AB1" s="550"/>
      <c r="AC1" s="550"/>
      <c r="AD1" s="550"/>
      <c r="AE1" s="550"/>
      <c r="AF1" s="550"/>
    </row>
    <row r="2" spans="1:32" ht="15.6" x14ac:dyDescent="0.35">
      <c r="A2" s="269" t="s">
        <v>287</v>
      </c>
      <c r="B2" s="550"/>
      <c r="C2" s="550"/>
      <c r="D2" s="550"/>
      <c r="E2" s="550"/>
      <c r="F2" s="550"/>
      <c r="G2" s="539" t="s">
        <v>255</v>
      </c>
      <c r="H2" s="539" t="s">
        <v>25</v>
      </c>
      <c r="I2" s="539" t="s">
        <v>25</v>
      </c>
      <c r="J2" s="539" t="s">
        <v>25</v>
      </c>
      <c r="K2" s="539" t="s">
        <v>25</v>
      </c>
      <c r="L2" s="539" t="s">
        <v>25</v>
      </c>
      <c r="M2" s="539" t="s">
        <v>25</v>
      </c>
      <c r="N2" s="539" t="s">
        <v>25</v>
      </c>
      <c r="O2" s="550"/>
      <c r="P2" s="550"/>
      <c r="Q2" s="550"/>
      <c r="R2" s="550"/>
      <c r="S2" s="550"/>
      <c r="T2" s="550"/>
      <c r="U2" s="550"/>
      <c r="V2" s="550"/>
      <c r="W2" s="550"/>
      <c r="X2" s="550"/>
      <c r="Y2" s="550"/>
      <c r="Z2" s="550"/>
      <c r="AA2" s="550"/>
      <c r="AB2" s="550"/>
      <c r="AC2" s="550"/>
      <c r="AD2" s="550"/>
      <c r="AE2" s="550"/>
      <c r="AF2" s="550"/>
    </row>
    <row r="4" spans="1:32" ht="14.45" x14ac:dyDescent="0.35">
      <c r="A4" s="550"/>
      <c r="B4" s="550"/>
      <c r="C4" s="550"/>
      <c r="D4" s="277"/>
      <c r="E4" s="208"/>
      <c r="F4" s="208"/>
      <c r="G4" s="208">
        <v>2010</v>
      </c>
      <c r="H4" s="208">
        <v>2011</v>
      </c>
      <c r="I4" s="208">
        <v>2012</v>
      </c>
      <c r="J4" s="208">
        <v>2013</v>
      </c>
      <c r="K4" s="208">
        <v>2014</v>
      </c>
      <c r="L4" s="208">
        <v>2015</v>
      </c>
      <c r="M4" s="208">
        <v>2016</v>
      </c>
      <c r="N4" s="208">
        <v>2017</v>
      </c>
      <c r="O4" s="208">
        <v>2018</v>
      </c>
      <c r="P4" s="208">
        <v>2019</v>
      </c>
      <c r="Q4" s="208">
        <v>2020</v>
      </c>
      <c r="R4" s="208">
        <v>2021</v>
      </c>
      <c r="S4" s="208">
        <v>2022</v>
      </c>
      <c r="T4" s="208">
        <v>2023</v>
      </c>
      <c r="U4" s="208">
        <v>2024</v>
      </c>
      <c r="V4" s="208">
        <v>2025</v>
      </c>
      <c r="W4" s="208">
        <v>2026</v>
      </c>
      <c r="X4" s="208">
        <v>2027</v>
      </c>
      <c r="Y4" s="208">
        <v>2028</v>
      </c>
      <c r="Z4" s="208">
        <v>2029</v>
      </c>
      <c r="AA4" s="208">
        <v>2030</v>
      </c>
      <c r="AB4" s="208">
        <v>2031</v>
      </c>
      <c r="AC4" s="208">
        <v>2032</v>
      </c>
      <c r="AD4" s="208">
        <v>2033</v>
      </c>
      <c r="AE4" s="208">
        <v>2034</v>
      </c>
      <c r="AF4" s="208">
        <v>2035</v>
      </c>
    </row>
    <row r="5" spans="1:32" ht="14.45" x14ac:dyDescent="0.35">
      <c r="A5" s="860" t="s">
        <v>628</v>
      </c>
      <c r="B5" s="555"/>
      <c r="C5" s="554"/>
      <c r="D5" s="553"/>
      <c r="E5" s="553"/>
      <c r="F5" s="553"/>
      <c r="G5" s="553"/>
      <c r="H5" s="560"/>
      <c r="I5" s="560"/>
      <c r="J5" s="560"/>
      <c r="K5" s="560"/>
      <c r="L5" s="560"/>
      <c r="M5" s="560"/>
      <c r="N5" s="560"/>
      <c r="O5" s="560"/>
      <c r="P5" s="560"/>
      <c r="Q5" s="560"/>
      <c r="R5" s="560"/>
      <c r="S5" s="560"/>
      <c r="T5" s="560"/>
      <c r="U5" s="560"/>
      <c r="V5" s="560"/>
      <c r="W5" s="560"/>
      <c r="X5" s="560"/>
      <c r="Y5" s="560"/>
      <c r="Z5" s="560"/>
      <c r="AA5" s="560"/>
      <c r="AB5" s="560"/>
      <c r="AC5" s="560"/>
      <c r="AD5" s="560"/>
      <c r="AE5" s="560"/>
      <c r="AF5" s="560"/>
    </row>
    <row r="6" spans="1:32" ht="14.45" x14ac:dyDescent="0.35">
      <c r="A6" s="840" t="s">
        <v>12</v>
      </c>
      <c r="B6" s="550"/>
    </row>
    <row r="7" spans="1:32" ht="14.45" x14ac:dyDescent="0.35">
      <c r="A7" s="839"/>
      <c r="B7" s="550" t="s">
        <v>20</v>
      </c>
    </row>
    <row r="8" spans="1:32" s="202" customFormat="1" ht="12.95" x14ac:dyDescent="0.3">
      <c r="A8" s="843" t="s">
        <v>21</v>
      </c>
      <c r="B8" s="556"/>
      <c r="C8" s="556"/>
      <c r="D8" s="556"/>
      <c r="E8" s="556"/>
      <c r="F8" s="556"/>
      <c r="G8" s="556"/>
      <c r="H8" s="556"/>
      <c r="I8" s="556"/>
      <c r="J8" s="556"/>
      <c r="K8" s="556"/>
      <c r="L8" s="556"/>
      <c r="M8" s="556"/>
      <c r="N8" s="556"/>
      <c r="O8" s="556"/>
      <c r="P8" s="556"/>
      <c r="Q8" s="556"/>
      <c r="R8" s="556"/>
      <c r="S8" s="556"/>
      <c r="T8" s="556"/>
      <c r="U8" s="556"/>
      <c r="V8" s="556"/>
      <c r="W8" s="556"/>
      <c r="X8" s="556"/>
      <c r="Y8" s="556"/>
      <c r="Z8" s="556"/>
      <c r="AA8" s="556"/>
      <c r="AB8" s="556"/>
      <c r="AC8" s="556"/>
      <c r="AD8" s="556"/>
      <c r="AE8" s="556"/>
      <c r="AF8" s="556"/>
    </row>
    <row r="9" spans="1:32" s="221" customFormat="1" ht="14.45" x14ac:dyDescent="0.35">
      <c r="A9" s="839"/>
      <c r="B9" s="550" t="s">
        <v>22</v>
      </c>
      <c r="C9" s="539"/>
      <c r="D9" s="539"/>
      <c r="E9" s="539"/>
      <c r="F9" s="539"/>
      <c r="G9" s="200">
        <f>SUM(Results_Res!G9,Results_Out!G9,Results_Ind!G9,Results_Com!G9)</f>
        <v>61.676563833957005</v>
      </c>
      <c r="H9" s="200">
        <f>SUM(Results_Res!H9,Results_Out!H9,Results_Ind!H9,Results_Com!H9)</f>
        <v>55.318685628760583</v>
      </c>
      <c r="I9" s="200">
        <f>SUM(Results_Res!I9,Results_Out!I9,Results_Ind!I9,Results_Com!I9)</f>
        <v>49.151271309876783</v>
      </c>
      <c r="J9" s="200">
        <f>SUM(Results_Res!J9,Results_Out!J9,Results_Ind!J9,Results_Com!J9)</f>
        <v>38.734134128056887</v>
      </c>
      <c r="K9" s="200">
        <f>SUM(Results_Res!K9,Results_Out!K9,Results_Ind!K9,Results_Com!K9)</f>
        <v>29.577724667038311</v>
      </c>
      <c r="L9" s="200">
        <f>SUM(Results_Res!L9,Results_Out!L9,Results_Ind!L9,Results_Com!L9)</f>
        <v>21.494983058724387</v>
      </c>
      <c r="M9" s="200">
        <f>SUM(Results_Res!M9,Results_Out!M9,Results_Ind!M9,Results_Com!M9)</f>
        <v>13.14021696617352</v>
      </c>
      <c r="N9" s="200">
        <f>SUM(Results_Res!N9,Results_Out!N9,Results_Ind!N9,Results_Com!N9)</f>
        <v>9.0297828165125296</v>
      </c>
      <c r="O9" s="200">
        <f>SUM(Results_Res!O9,Results_Out!O9,Results_Ind!O9,Results_Com!O9)</f>
        <v>6.8813290599051848</v>
      </c>
      <c r="P9" s="200">
        <f>SUM(Results_Res!P9,Results_Out!P9,Results_Ind!P9,Results_Com!P9)</f>
        <v>5.7496259017329105</v>
      </c>
      <c r="Q9" s="200">
        <f>SUM(Results_Res!Q9,Results_Out!Q9,Results_Ind!Q9,Results_Com!Q9)</f>
        <v>5.1544290780912991</v>
      </c>
      <c r="R9" s="200">
        <f>SUM(Results_Res!R9,Results_Out!R9,Results_Ind!R9,Results_Com!R9)</f>
        <v>4.8463344825430239</v>
      </c>
      <c r="S9" s="200">
        <f>SUM(Results_Res!S9,Results_Out!S9,Results_Ind!S9,Results_Com!S9)</f>
        <v>4.6967710079501916</v>
      </c>
      <c r="T9" s="200">
        <f>SUM(Results_Res!T9,Results_Out!T9,Results_Ind!T9,Results_Com!T9)</f>
        <v>4.6365450798131755</v>
      </c>
      <c r="U9" s="200">
        <f>SUM(Results_Res!U9,Results_Out!U9,Results_Ind!U9,Results_Com!U9)</f>
        <v>4.6279114948922322</v>
      </c>
      <c r="V9" s="200">
        <f>SUM(Results_Res!V9,Results_Out!V9,Results_Ind!V9,Results_Com!V9)</f>
        <v>4.6504522114980897</v>
      </c>
      <c r="W9" s="200">
        <f>SUM(Results_Res!W9,Results_Out!W9,Results_Ind!W9,Results_Com!W9)</f>
        <v>4.6914253186235397</v>
      </c>
      <c r="X9" s="200">
        <f>SUM(Results_Res!X9,Results_Out!X9,Results_Ind!X9,Results_Com!X9)</f>
        <v>4.7433092515876165</v>
      </c>
      <c r="Y9" s="200">
        <f>SUM(Results_Res!Y9,Results_Out!Y9,Results_Ind!Y9,Results_Com!Y9)</f>
        <v>4.8013126138199018</v>
      </c>
      <c r="Z9" s="200">
        <f>SUM(Results_Res!Z9,Results_Out!Z9,Results_Ind!Z9,Results_Com!Z9)</f>
        <v>4.8631026990418356</v>
      </c>
      <c r="AA9" s="200">
        <f>SUM(Results_Res!AA9,Results_Out!AA9,Results_Ind!AA9,Results_Com!AA9)</f>
        <v>4.9277804446359053</v>
      </c>
      <c r="AB9" s="200">
        <f>SUM(Results_Res!AB9,Results_Out!AB9,Results_Ind!AB9,Results_Com!AB9)</f>
        <v>4.9956846694839765</v>
      </c>
      <c r="AC9" s="200">
        <f>SUM(Results_Res!AC9,Results_Out!AC9,Results_Ind!AC9,Results_Com!AC9)</f>
        <v>5.064417668622224</v>
      </c>
      <c r="AD9" s="200">
        <f>SUM(Results_Res!AD9,Results_Out!AD9,Results_Ind!AD9,Results_Com!AD9)</f>
        <v>5.1331677099919464</v>
      </c>
      <c r="AE9" s="200">
        <f>SUM(Results_Res!AE9,Results_Out!AE9,Results_Ind!AE9,Results_Com!AE9)</f>
        <v>5.2014245556162004</v>
      </c>
      <c r="AF9" s="200">
        <f>SUM(Results_Res!AF9,Results_Out!AF9,Results_Ind!AF9,Results_Com!AF9)</f>
        <v>5.2688502903148615</v>
      </c>
    </row>
    <row r="10" spans="1:32" s="221" customFormat="1" ht="14.45" x14ac:dyDescent="0.35">
      <c r="A10" s="839"/>
      <c r="B10" s="550" t="s">
        <v>26</v>
      </c>
      <c r="C10" s="539"/>
      <c r="D10" s="539"/>
      <c r="E10" s="539"/>
      <c r="F10" s="539"/>
      <c r="G10" s="200">
        <f>SUM(Results_Res!G10,Results_Out!G10,Results_Ind!G10,Results_Com!G10)</f>
        <v>1.0883227839527043</v>
      </c>
      <c r="H10" s="200">
        <f>SUM(Results_Res!H10,Results_Out!H10,Results_Ind!H10,Results_Com!H10)</f>
        <v>1.0029105605669952</v>
      </c>
      <c r="I10" s="200">
        <f>SUM(Results_Res!I10,Results_Out!I10,Results_Ind!I10,Results_Com!I10)</f>
        <v>2.5327525710031988</v>
      </c>
      <c r="J10" s="200">
        <f>SUM(Results_Res!J10,Results_Out!J10,Results_Ind!J10,Results_Com!J10)</f>
        <v>7.231461048228133</v>
      </c>
      <c r="K10" s="200">
        <f>SUM(Results_Res!K10,Results_Out!K10,Results_Ind!K10,Results_Com!K10)</f>
        <v>12.01022674909418</v>
      </c>
      <c r="L10" s="200">
        <f>SUM(Results_Res!L10,Results_Out!L10,Results_Ind!L10,Results_Com!L10)</f>
        <v>15.16924772684837</v>
      </c>
      <c r="M10" s="200">
        <f>SUM(Results_Res!M10,Results_Out!M10,Results_Ind!M10,Results_Com!M10)</f>
        <v>17.802486264335109</v>
      </c>
      <c r="N10" s="200">
        <f>SUM(Results_Res!N10,Results_Out!N10,Results_Ind!N10,Results_Com!N10)</f>
        <v>18.418676821277959</v>
      </c>
      <c r="O10" s="200">
        <f>SUM(Results_Res!O10,Results_Out!O10,Results_Ind!O10,Results_Com!O10)</f>
        <v>18.350886720618536</v>
      </c>
      <c r="P10" s="200">
        <f>SUM(Results_Res!P10,Results_Out!P10,Results_Ind!P10,Results_Com!P10)</f>
        <v>18.088636595101395</v>
      </c>
      <c r="Q10" s="200">
        <f>SUM(Results_Res!Q10,Results_Out!Q10,Results_Ind!Q10,Results_Com!Q10)</f>
        <v>17.842026719404583</v>
      </c>
      <c r="R10" s="200">
        <f>SUM(Results_Res!R10,Results_Out!R10,Results_Ind!R10,Results_Com!R10)</f>
        <v>17.671806144949326</v>
      </c>
      <c r="S10" s="200">
        <f>SUM(Results_Res!S10,Results_Out!S10,Results_Ind!S10,Results_Com!S10)</f>
        <v>17.602243440999139</v>
      </c>
      <c r="T10" s="200">
        <f>SUM(Results_Res!T10,Results_Out!T10,Results_Ind!T10,Results_Com!T10)</f>
        <v>17.620260525621237</v>
      </c>
      <c r="U10" s="200">
        <f>SUM(Results_Res!U10,Results_Out!U10,Results_Ind!U10,Results_Com!U10)</f>
        <v>17.707415625387462</v>
      </c>
      <c r="V10" s="200">
        <f>SUM(Results_Res!V10,Results_Out!V10,Results_Ind!V10,Results_Com!V10)</f>
        <v>17.851074579743631</v>
      </c>
      <c r="W10" s="200">
        <f>SUM(Results_Res!W10,Results_Out!W10,Results_Ind!W10,Results_Com!W10)</f>
        <v>18.030787999305748</v>
      </c>
      <c r="X10" s="200">
        <f>SUM(Results_Res!X10,Results_Out!X10,Results_Ind!X10,Results_Com!X10)</f>
        <v>18.233216684684457</v>
      </c>
      <c r="Y10" s="200">
        <f>SUM(Results_Res!Y10,Results_Out!Y10,Results_Ind!Y10,Results_Com!Y10)</f>
        <v>18.447678618961447</v>
      </c>
      <c r="Z10" s="200">
        <f>SUM(Results_Res!Z10,Results_Out!Z10,Results_Ind!Z10,Results_Com!Z10)</f>
        <v>18.672375462540757</v>
      </c>
      <c r="AA10" s="200">
        <f>SUM(Results_Res!AA10,Results_Out!AA10,Results_Ind!AA10,Results_Com!AA10)</f>
        <v>18.908567789407869</v>
      </c>
      <c r="AB10" s="200">
        <f>SUM(Results_Res!AB10,Results_Out!AB10,Results_Ind!AB10,Results_Com!AB10)</f>
        <v>19.161652303704884</v>
      </c>
      <c r="AC10" s="200">
        <f>SUM(Results_Res!AC10,Results_Out!AC10,Results_Ind!AC10,Results_Com!AC10)</f>
        <v>19.413600809930937</v>
      </c>
      <c r="AD10" s="200">
        <f>SUM(Results_Res!AD10,Results_Out!AD10,Results_Ind!AD10,Results_Com!AD10)</f>
        <v>19.66313873818768</v>
      </c>
      <c r="AE10" s="200">
        <f>SUM(Results_Res!AE10,Results_Out!AE10,Results_Ind!AE10,Results_Com!AE10)</f>
        <v>19.909294747868735</v>
      </c>
      <c r="AF10" s="200">
        <f>SUM(Results_Res!AF10,Results_Out!AF10,Results_Ind!AF10,Results_Com!AF10)</f>
        <v>20.1512777432985</v>
      </c>
    </row>
    <row r="11" spans="1:32" s="221" customFormat="1" ht="14.45" x14ac:dyDescent="0.35">
      <c r="A11" s="839"/>
      <c r="B11" s="550" t="s">
        <v>27</v>
      </c>
      <c r="C11" s="539"/>
      <c r="D11" s="539"/>
      <c r="E11" s="539"/>
      <c r="F11" s="539"/>
      <c r="G11" s="200">
        <f>SUM(Results_Res!G11,Results_Out!G11,Results_Ind!G11,Results_Com!G11)</f>
        <v>43.719445747302323</v>
      </c>
      <c r="H11" s="200">
        <f>SUM(Results_Res!H11,Results_Out!H11,Results_Ind!H11,Results_Com!H11)</f>
        <v>52.63806545757754</v>
      </c>
      <c r="I11" s="200">
        <f>SUM(Results_Res!I11,Results_Out!I11,Results_Ind!I11,Results_Com!I11)</f>
        <v>59.865435091368525</v>
      </c>
      <c r="J11" s="200">
        <f>SUM(Results_Res!J11,Results_Out!J11,Results_Ind!J11,Results_Com!J11)</f>
        <v>68.250530072832461</v>
      </c>
      <c r="K11" s="200">
        <f>SUM(Results_Res!K11,Results_Out!K11,Results_Ind!K11,Results_Com!K11)</f>
        <v>75.266679241050909</v>
      </c>
      <c r="L11" s="200">
        <f>SUM(Results_Res!L11,Results_Out!L11,Results_Ind!L11,Results_Com!L11)</f>
        <v>82.85434441073852</v>
      </c>
      <c r="M11" s="200">
        <f>SUM(Results_Res!M11,Results_Out!M11,Results_Ind!M11,Results_Com!M11)</f>
        <v>91.237410959706054</v>
      </c>
      <c r="N11" s="200">
        <f>SUM(Results_Res!N11,Results_Out!N11,Results_Ind!N11,Results_Com!N11)</f>
        <v>97.370815857665633</v>
      </c>
      <c r="O11" s="200">
        <f>SUM(Results_Res!O11,Results_Out!O11,Results_Ind!O11,Results_Com!O11)</f>
        <v>102.22824434644826</v>
      </c>
      <c r="P11" s="200">
        <f>SUM(Results_Res!P11,Results_Out!P11,Results_Ind!P11,Results_Com!P11)</f>
        <v>106.25204956824942</v>
      </c>
      <c r="Q11" s="200">
        <f>SUM(Results_Res!Q11,Results_Out!Q11,Results_Ind!Q11,Results_Com!Q11)</f>
        <v>109.71951807962107</v>
      </c>
      <c r="R11" s="200">
        <f>SUM(Results_Res!R11,Results_Out!R11,Results_Ind!R11,Results_Com!R11)</f>
        <v>112.77632155112899</v>
      </c>
      <c r="S11" s="200">
        <f>SUM(Results_Res!S11,Results_Out!S11,Results_Ind!S11,Results_Com!S11)</f>
        <v>115.56639233167638</v>
      </c>
      <c r="T11" s="200">
        <f>SUM(Results_Res!T11,Results_Out!T11,Results_Ind!T11,Results_Com!T11)</f>
        <v>118.16770111550737</v>
      </c>
      <c r="U11" s="200">
        <f>SUM(Results_Res!U11,Results_Out!U11,Results_Ind!U11,Results_Com!U11)</f>
        <v>120.63323298323982</v>
      </c>
      <c r="V11" s="200">
        <f>SUM(Results_Res!V11,Results_Out!V11,Results_Ind!V11,Results_Com!V11)</f>
        <v>123.01129415931305</v>
      </c>
      <c r="W11" s="200">
        <f>SUM(Results_Res!W11,Results_Out!W11,Results_Ind!W11,Results_Com!W11)</f>
        <v>125.3111773946133</v>
      </c>
      <c r="X11" s="200">
        <f>SUM(Results_Res!X11,Results_Out!X11,Results_Ind!X11,Results_Com!X11)</f>
        <v>127.54642141735332</v>
      </c>
      <c r="Y11" s="200">
        <f>SUM(Results_Res!Y11,Results_Out!Y11,Results_Ind!Y11,Results_Com!Y11)</f>
        <v>129.7221392724984</v>
      </c>
      <c r="Z11" s="200">
        <f>SUM(Results_Res!Z11,Results_Out!Z11,Results_Ind!Z11,Results_Com!Z11)</f>
        <v>131.85170264671697</v>
      </c>
      <c r="AA11" s="200">
        <f>SUM(Results_Res!AA11,Results_Out!AA11,Results_Ind!AA11,Results_Com!AA11)</f>
        <v>133.95207521699189</v>
      </c>
      <c r="AB11" s="200">
        <f>SUM(Results_Res!AB11,Results_Out!AB11,Results_Ind!AB11,Results_Com!AB11)</f>
        <v>136.0525244799276</v>
      </c>
      <c r="AC11" s="200">
        <f>SUM(Results_Res!AC11,Results_Out!AC11,Results_Ind!AC11,Results_Com!AC11)</f>
        <v>138.12351269914652</v>
      </c>
      <c r="AD11" s="200">
        <f>SUM(Results_Res!AD11,Results_Out!AD11,Results_Ind!AD11,Results_Com!AD11)</f>
        <v>140.1645886627135</v>
      </c>
      <c r="AE11" s="200">
        <f>SUM(Results_Res!AE11,Results_Out!AE11,Results_Ind!AE11,Results_Com!AE11)</f>
        <v>142.17470078082997</v>
      </c>
      <c r="AF11" s="200">
        <f>SUM(Results_Res!AF11,Results_Out!AF11,Results_Ind!AF11,Results_Com!AF11)</f>
        <v>144.15245366629006</v>
      </c>
    </row>
    <row r="12" spans="1:32" s="221" customFormat="1" ht="14.45" x14ac:dyDescent="0.35">
      <c r="A12" s="839"/>
      <c r="B12" s="550" t="s">
        <v>29</v>
      </c>
      <c r="C12" s="539"/>
      <c r="D12" s="539"/>
      <c r="E12" s="539"/>
      <c r="F12" s="539"/>
      <c r="G12" s="200">
        <f>SUM(Results_Res!G12,Results_Out!G12,Results_Ind!G12,Results_Com!G12)</f>
        <v>0</v>
      </c>
      <c r="H12" s="200">
        <f>SUM(Results_Res!H12,Results_Out!H12,Results_Ind!H12,Results_Com!H12)</f>
        <v>1.5612602706725633E-2</v>
      </c>
      <c r="I12" s="200">
        <f>SUM(Results_Res!I12,Results_Out!I12,Results_Ind!I12,Results_Com!I12)</f>
        <v>3.0591236230403329E-2</v>
      </c>
      <c r="J12" s="200">
        <f>SUM(Results_Res!J12,Results_Out!J12,Results_Ind!J12,Results_Com!J12)</f>
        <v>4.0729146829929022E-2</v>
      </c>
      <c r="K12" s="200">
        <f>SUM(Results_Res!K12,Results_Out!K12,Results_Ind!K12,Results_Com!K12)</f>
        <v>4.9977993404572013E-2</v>
      </c>
      <c r="L12" s="200">
        <f>SUM(Results_Res!L12,Results_Out!L12,Results_Ind!L12,Results_Com!L12)</f>
        <v>5.9379571776631571E-2</v>
      </c>
      <c r="M12" s="200">
        <f>SUM(Results_Res!M12,Results_Out!M12,Results_Ind!M12,Results_Com!M12)</f>
        <v>6.8999514848280319E-2</v>
      </c>
      <c r="N12" s="200">
        <f>SUM(Results_Res!N12,Results_Out!N12,Results_Ind!N12,Results_Com!N12)</f>
        <v>7.7984005271231643E-2</v>
      </c>
      <c r="O12" s="200">
        <f>SUM(Results_Res!O12,Results_Out!O12,Results_Ind!O12,Results_Com!O12)</f>
        <v>8.644838869965317E-2</v>
      </c>
      <c r="P12" s="200">
        <f>SUM(Results_Res!P12,Results_Out!P12,Results_Ind!P12,Results_Com!P12)</f>
        <v>9.4409250153365834E-2</v>
      </c>
      <c r="Q12" s="200">
        <f>SUM(Results_Res!Q12,Results_Out!Q12,Results_Ind!Q12,Results_Com!Q12)</f>
        <v>0.1019338208009621</v>
      </c>
      <c r="R12" s="200">
        <f>SUM(Results_Res!R12,Results_Out!R12,Results_Ind!R12,Results_Com!R12)</f>
        <v>0.10898366761499305</v>
      </c>
      <c r="S12" s="200">
        <f>SUM(Results_Res!S12,Results_Out!S12,Results_Ind!S12,Results_Com!S12)</f>
        <v>0.11566662401631873</v>
      </c>
      <c r="T12" s="200">
        <f>SUM(Results_Res!T12,Results_Out!T12,Results_Ind!T12,Results_Com!T12)</f>
        <v>0.12200978928168571</v>
      </c>
      <c r="U12" s="200">
        <f>SUM(Results_Res!U12,Results_Out!U12,Results_Ind!U12,Results_Com!U12)</f>
        <v>0.12803866965226735</v>
      </c>
      <c r="V12" s="200">
        <f>SUM(Results_Res!V12,Results_Out!V12,Results_Ind!V12,Results_Com!V12)</f>
        <v>0.13380379039543905</v>
      </c>
      <c r="W12" s="200">
        <f>SUM(Results_Res!W12,Results_Out!W12,Results_Ind!W12,Results_Com!W12)</f>
        <v>0.13928570724560302</v>
      </c>
      <c r="X12" s="200">
        <f>SUM(Results_Res!X12,Results_Out!X12,Results_Ind!X12,Results_Com!X12)</f>
        <v>0.14450305700045163</v>
      </c>
      <c r="Y12" s="200">
        <f>SUM(Results_Res!Y12,Results_Out!Y12,Results_Ind!Y12,Results_Com!Y12)</f>
        <v>0.14945737888541019</v>
      </c>
      <c r="Z12" s="200">
        <f>SUM(Results_Res!Z12,Results_Out!Z12,Results_Ind!Z12,Results_Com!Z12)</f>
        <v>0.15417653829932385</v>
      </c>
      <c r="AA12" s="200">
        <f>SUM(Results_Res!AA12,Results_Out!AA12,Results_Ind!AA12,Results_Com!AA12)</f>
        <v>0.15870184092539474</v>
      </c>
      <c r="AB12" s="200">
        <f>SUM(Results_Res!AB12,Results_Out!AB12,Results_Ind!AB12,Results_Com!AB12)</f>
        <v>0.1631060805728288</v>
      </c>
      <c r="AC12" s="200">
        <f>SUM(Results_Res!AC12,Results_Out!AC12,Results_Ind!AC12,Results_Com!AC12)</f>
        <v>0.16732141068378589</v>
      </c>
      <c r="AD12" s="200">
        <f>SUM(Results_Res!AD12,Results_Out!AD12,Results_Ind!AD12,Results_Com!AD12)</f>
        <v>0.17135606043645221</v>
      </c>
      <c r="AE12" s="200">
        <f>SUM(Results_Res!AE12,Results_Out!AE12,Results_Ind!AE12,Results_Com!AE12)</f>
        <v>0.17521733241232049</v>
      </c>
      <c r="AF12" s="200">
        <f>SUM(Results_Res!AF12,Results_Out!AF12,Results_Ind!AF12,Results_Com!AF12)</f>
        <v>0.1789117033235007</v>
      </c>
    </row>
    <row r="13" spans="1:32" s="221" customFormat="1" ht="14.45" x14ac:dyDescent="0.35">
      <c r="A13" s="839"/>
      <c r="B13" s="550"/>
      <c r="C13" s="539"/>
      <c r="D13" s="539"/>
      <c r="E13" s="539"/>
      <c r="F13" s="539"/>
      <c r="G13" s="549"/>
      <c r="H13" s="549"/>
      <c r="I13" s="549"/>
      <c r="J13" s="549"/>
      <c r="K13" s="549"/>
      <c r="L13" s="549"/>
      <c r="M13" s="549"/>
      <c r="N13" s="549"/>
      <c r="O13" s="549"/>
      <c r="P13" s="549"/>
      <c r="Q13" s="549"/>
      <c r="R13" s="549"/>
      <c r="S13" s="549"/>
      <c r="T13" s="549"/>
      <c r="U13" s="549"/>
      <c r="V13" s="549"/>
      <c r="W13" s="549"/>
      <c r="X13" s="549"/>
      <c r="Y13" s="549"/>
      <c r="Z13" s="549"/>
      <c r="AA13" s="549"/>
      <c r="AB13" s="549"/>
      <c r="AC13" s="549"/>
      <c r="AD13" s="549"/>
      <c r="AE13" s="549"/>
      <c r="AF13" s="549"/>
    </row>
    <row r="14" spans="1:32" s="202" customFormat="1" ht="12.95" x14ac:dyDescent="0.3">
      <c r="A14" s="843" t="s">
        <v>32</v>
      </c>
      <c r="B14" s="556"/>
      <c r="C14" s="556"/>
      <c r="D14" s="556"/>
      <c r="E14" s="556"/>
      <c r="F14" s="556"/>
      <c r="G14" s="632"/>
      <c r="H14" s="632"/>
      <c r="I14" s="632"/>
      <c r="J14" s="632"/>
      <c r="K14" s="632"/>
      <c r="L14" s="632"/>
      <c r="M14" s="632"/>
      <c r="N14" s="632"/>
      <c r="O14" s="632"/>
      <c r="P14" s="632"/>
      <c r="Q14" s="632"/>
      <c r="R14" s="632"/>
      <c r="S14" s="632"/>
      <c r="T14" s="632"/>
      <c r="U14" s="632"/>
      <c r="V14" s="632"/>
      <c r="W14" s="632"/>
      <c r="X14" s="632"/>
      <c r="Y14" s="632"/>
      <c r="Z14" s="632"/>
      <c r="AA14" s="632"/>
      <c r="AB14" s="632"/>
      <c r="AC14" s="632"/>
      <c r="AD14" s="632"/>
      <c r="AE14" s="632"/>
      <c r="AF14" s="632"/>
    </row>
    <row r="15" spans="1:32" s="221" customFormat="1" ht="14.45" x14ac:dyDescent="0.35">
      <c r="A15" s="839"/>
      <c r="B15" s="550" t="s">
        <v>33</v>
      </c>
      <c r="C15" s="539"/>
      <c r="D15" s="539"/>
      <c r="E15" s="539"/>
      <c r="F15" s="539"/>
      <c r="G15" s="200">
        <f>SUM(Results_Res!G15,Results_Out!G15,Results_Ind!G15,Results_Com!G15)</f>
        <v>13.215376740183352</v>
      </c>
      <c r="H15" s="200">
        <f>SUM(Results_Res!H15,Results_Out!H15,Results_Ind!H15,Results_Com!H15)</f>
        <v>11.361882717609912</v>
      </c>
      <c r="I15" s="200">
        <f>SUM(Results_Res!I15,Results_Out!I15,Results_Ind!I15,Results_Com!I15)</f>
        <v>10.91191459224228</v>
      </c>
      <c r="J15" s="200">
        <f>SUM(Results_Res!J15,Results_Out!J15,Results_Ind!J15,Results_Com!J15)</f>
        <v>10.805153656849161</v>
      </c>
      <c r="K15" s="200">
        <f>SUM(Results_Res!K15,Results_Out!K15,Results_Ind!K15,Results_Com!K15)</f>
        <v>10.971709244473928</v>
      </c>
      <c r="L15" s="200">
        <f>SUM(Results_Res!L15,Results_Out!L15,Results_Ind!L15,Results_Com!L15)</f>
        <v>11.014250739405943</v>
      </c>
      <c r="M15" s="200">
        <f>SUM(Results_Res!M15,Results_Out!M15,Results_Ind!M15,Results_Com!M15)</f>
        <v>11.097921687441485</v>
      </c>
      <c r="N15" s="200">
        <f>SUM(Results_Res!N15,Results_Out!N15,Results_Ind!N15,Results_Com!N15)</f>
        <v>11.211538741158019</v>
      </c>
      <c r="O15" s="200">
        <f>SUM(Results_Res!O15,Results_Out!O15,Results_Ind!O15,Results_Com!O15)</f>
        <v>11.351847534578853</v>
      </c>
      <c r="P15" s="200">
        <f>SUM(Results_Res!P15,Results_Out!P15,Results_Ind!P15,Results_Com!P15)</f>
        <v>11.509335208496818</v>
      </c>
      <c r="Q15" s="200">
        <f>SUM(Results_Res!Q15,Results_Out!Q15,Results_Ind!Q15,Results_Com!Q15)</f>
        <v>11.680411625139968</v>
      </c>
      <c r="R15" s="200">
        <f>SUM(Results_Res!R15,Results_Out!R15,Results_Ind!R15,Results_Com!R15)</f>
        <v>11.857399211279645</v>
      </c>
      <c r="S15" s="200">
        <f>SUM(Results_Res!S15,Results_Out!S15,Results_Ind!S15,Results_Com!S15)</f>
        <v>12.039733821299896</v>
      </c>
      <c r="T15" s="200">
        <f>SUM(Results_Res!T15,Results_Out!T15,Results_Ind!T15,Results_Com!T15)</f>
        <v>12.22594871530306</v>
      </c>
      <c r="U15" s="200">
        <f>SUM(Results_Res!U15,Results_Out!U15,Results_Ind!U15,Results_Com!U15)</f>
        <v>12.414965687218681</v>
      </c>
      <c r="V15" s="200">
        <f>SUM(Results_Res!V15,Results_Out!V15,Results_Ind!V15,Results_Com!V15)</f>
        <v>12.60667822774859</v>
      </c>
      <c r="W15" s="200">
        <f>SUM(Results_Res!W15,Results_Out!W15,Results_Ind!W15,Results_Com!W15)</f>
        <v>12.798080111031542</v>
      </c>
      <c r="X15" s="200">
        <f>SUM(Results_Res!X15,Results_Out!X15,Results_Ind!X15,Results_Com!X15)</f>
        <v>12.990083293272649</v>
      </c>
      <c r="Y15" s="200">
        <f>SUM(Results_Res!Y15,Results_Out!Y15,Results_Ind!Y15,Results_Com!Y15)</f>
        <v>13.182550061992185</v>
      </c>
      <c r="Z15" s="200">
        <f>SUM(Results_Res!Z15,Results_Out!Z15,Results_Ind!Z15,Results_Com!Z15)</f>
        <v>13.374539942170248</v>
      </c>
      <c r="AA15" s="200">
        <f>SUM(Results_Res!AA15,Results_Out!AA15,Results_Ind!AA15,Results_Com!AA15)</f>
        <v>13.56552793699014</v>
      </c>
      <c r="AB15" s="200">
        <f>SUM(Results_Res!AB15,Results_Out!AB15,Results_Ind!AB15,Results_Com!AB15)</f>
        <v>13.757320848630521</v>
      </c>
      <c r="AC15" s="200">
        <f>SUM(Results_Res!AC15,Results_Out!AC15,Results_Ind!AC15,Results_Com!AC15)</f>
        <v>13.947746431025596</v>
      </c>
      <c r="AD15" s="200">
        <f>SUM(Results_Res!AD15,Results_Out!AD15,Results_Ind!AD15,Results_Com!AD15)</f>
        <v>14.136576228407641</v>
      </c>
      <c r="AE15" s="200">
        <f>SUM(Results_Res!AE15,Results_Out!AE15,Results_Ind!AE15,Results_Com!AE15)</f>
        <v>14.323501645143278</v>
      </c>
      <c r="AF15" s="200">
        <f>SUM(Results_Res!AF15,Results_Out!AF15,Results_Ind!AF15,Results_Com!AF15)</f>
        <v>14.508245032098504</v>
      </c>
    </row>
    <row r="16" spans="1:32" s="221" customFormat="1" ht="14.45" x14ac:dyDescent="0.35">
      <c r="A16" s="842"/>
      <c r="B16" s="552" t="s">
        <v>34</v>
      </c>
      <c r="C16" s="539"/>
      <c r="D16" s="539"/>
      <c r="E16" s="539"/>
      <c r="F16" s="539"/>
      <c r="G16" s="200">
        <f>SUM(Results_Res!G16,Results_Out!G16,Results_Ind!G16,Results_Com!G16)</f>
        <v>12.1197777413184</v>
      </c>
      <c r="H16" s="200">
        <f>SUM(Results_Res!H16,Results_Out!H16,Results_Ind!H16,Results_Com!H16)</f>
        <v>15.113936080859656</v>
      </c>
      <c r="I16" s="200">
        <f>SUM(Results_Res!I16,Results_Out!I16,Results_Ind!I16,Results_Com!I16)</f>
        <v>16.374340449047395</v>
      </c>
      <c r="J16" s="200">
        <f>SUM(Results_Res!J16,Results_Out!J16,Results_Ind!J16,Results_Com!J16)</f>
        <v>17.09145932146431</v>
      </c>
      <c r="K16" s="200">
        <f>SUM(Results_Res!K16,Results_Out!K16,Results_Ind!K16,Results_Com!K16)</f>
        <v>17.389870800383822</v>
      </c>
      <c r="L16" s="200">
        <f>SUM(Results_Res!L16,Results_Out!L16,Results_Ind!L16,Results_Com!L16)</f>
        <v>17.833209845326603</v>
      </c>
      <c r="M16" s="200">
        <f>SUM(Results_Res!M16,Results_Out!M16,Results_Ind!M16,Results_Com!M16)</f>
        <v>18.237857532975656</v>
      </c>
      <c r="N16" s="200">
        <f>SUM(Results_Res!N16,Results_Out!N16,Results_Ind!N16,Results_Com!N16)</f>
        <v>18.61839352935344</v>
      </c>
      <c r="O16" s="200">
        <f>SUM(Results_Res!O16,Results_Out!O16,Results_Ind!O16,Results_Com!O16)</f>
        <v>18.992590733627001</v>
      </c>
      <c r="P16" s="200">
        <f>SUM(Results_Res!P16,Results_Out!P16,Results_Ind!P16,Results_Com!P16)</f>
        <v>19.352055222715606</v>
      </c>
      <c r="Q16" s="200">
        <f>SUM(Results_Res!Q16,Results_Out!Q16,Results_Ind!Q16,Results_Com!Q16)</f>
        <v>19.707728781849045</v>
      </c>
      <c r="R16" s="200">
        <f>SUM(Results_Res!R16,Results_Out!R16,Results_Ind!R16,Results_Com!R16)</f>
        <v>20.04816349662114</v>
      </c>
      <c r="S16" s="200">
        <f>SUM(Results_Res!S16,Results_Out!S16,Results_Ind!S16,Results_Com!S16)</f>
        <v>20.383826334704587</v>
      </c>
      <c r="T16" s="200">
        <f>SUM(Results_Res!T16,Results_Out!T16,Results_Ind!T16,Results_Com!T16)</f>
        <v>20.715459233010641</v>
      </c>
      <c r="U16" s="200">
        <f>SUM(Results_Res!U16,Results_Out!U16,Results_Ind!U16,Results_Com!U16)</f>
        <v>21.044247684778732</v>
      </c>
      <c r="V16" s="200">
        <f>SUM(Results_Res!V16,Results_Out!V16,Results_Ind!V16,Results_Com!V16)</f>
        <v>21.372436616564315</v>
      </c>
      <c r="W16" s="200">
        <f>SUM(Results_Res!W16,Results_Out!W16,Results_Ind!W16,Results_Com!W16)</f>
        <v>21.694303675936453</v>
      </c>
      <c r="X16" s="200">
        <f>SUM(Results_Res!X16,Results_Out!X16,Results_Ind!X16,Results_Com!X16)</f>
        <v>22.01582488807815</v>
      </c>
      <c r="Y16" s="200">
        <f>SUM(Results_Res!Y16,Results_Out!Y16,Results_Ind!Y16,Results_Com!Y16)</f>
        <v>22.335382842455765</v>
      </c>
      <c r="Z16" s="200">
        <f>SUM(Results_Res!Z16,Results_Out!Z16,Results_Ind!Z16,Results_Com!Z16)</f>
        <v>22.65144279331248</v>
      </c>
      <c r="AA16" s="200">
        <f>SUM(Results_Res!AA16,Results_Out!AA16,Results_Ind!AA16,Results_Com!AA16)</f>
        <v>22.964476363461273</v>
      </c>
      <c r="AB16" s="200">
        <f>SUM(Results_Res!AB16,Results_Out!AB16,Results_Ind!AB16,Results_Com!AB16)</f>
        <v>23.28021888770261</v>
      </c>
      <c r="AC16" s="200">
        <f>SUM(Results_Res!AC16,Results_Out!AC16,Results_Ind!AC16,Results_Com!AC16)</f>
        <v>23.592669748810991</v>
      </c>
      <c r="AD16" s="200">
        <f>SUM(Results_Res!AD16,Results_Out!AD16,Results_Ind!AD16,Results_Com!AD16)</f>
        <v>23.90141238451012</v>
      </c>
      <c r="AE16" s="200">
        <f>SUM(Results_Res!AE16,Results_Out!AE16,Results_Ind!AE16,Results_Com!AE16)</f>
        <v>24.20614861148934</v>
      </c>
      <c r="AF16" s="200">
        <f>SUM(Results_Res!AF16,Results_Out!AF16,Results_Ind!AF16,Results_Com!AF16)</f>
        <v>24.506575586331667</v>
      </c>
    </row>
    <row r="17" spans="1:32" s="221" customFormat="1" ht="14.45" x14ac:dyDescent="0.35">
      <c r="A17" s="839"/>
      <c r="B17" s="552" t="s">
        <v>35</v>
      </c>
      <c r="C17" s="539"/>
      <c r="D17" s="539"/>
      <c r="E17" s="539"/>
      <c r="F17" s="539"/>
      <c r="G17" s="200">
        <f>SUM(Results_Res!G17,Results_Out!G17,Results_Ind!G17,Results_Com!G17)</f>
        <v>7.4512344598680063</v>
      </c>
      <c r="H17" s="200">
        <f>SUM(Results_Res!H17,Results_Out!H17,Results_Ind!H17,Results_Com!H17)</f>
        <v>6.9700241483837146</v>
      </c>
      <c r="I17" s="200">
        <f>SUM(Results_Res!I17,Results_Out!I17,Results_Ind!I17,Results_Com!I17)</f>
        <v>6.8595091615814052</v>
      </c>
      <c r="J17" s="200">
        <f>SUM(Results_Res!J17,Results_Out!J17,Results_Ind!J17,Results_Com!J17)</f>
        <v>6.9676415668127483</v>
      </c>
      <c r="K17" s="200">
        <f>SUM(Results_Res!K17,Results_Out!K17,Results_Ind!K17,Results_Com!K17)</f>
        <v>7.2110692251275008</v>
      </c>
      <c r="L17" s="200">
        <f>SUM(Results_Res!L17,Results_Out!L17,Results_Ind!L17,Results_Com!L17)</f>
        <v>7.4379411424613</v>
      </c>
      <c r="M17" s="200">
        <f>SUM(Results_Res!M17,Results_Out!M17,Results_Ind!M17,Results_Com!M17)</f>
        <v>7.6503015204492364</v>
      </c>
      <c r="N17" s="200">
        <f>SUM(Results_Res!N17,Results_Out!N17,Results_Ind!N17,Results_Com!N17)</f>
        <v>7.8520833007040487</v>
      </c>
      <c r="O17" s="200">
        <f>SUM(Results_Res!O17,Results_Out!O17,Results_Ind!O17,Results_Com!O17)</f>
        <v>8.0491387617127135</v>
      </c>
      <c r="P17" s="200">
        <f>SUM(Results_Res!P17,Results_Out!P17,Results_Ind!P17,Results_Com!P17)</f>
        <v>8.2402605340536415</v>
      </c>
      <c r="Q17" s="200">
        <f>SUM(Results_Res!Q17,Results_Out!Q17,Results_Ind!Q17,Results_Com!Q17)</f>
        <v>8.4277958052013648</v>
      </c>
      <c r="R17" s="200">
        <f>SUM(Results_Res!R17,Results_Out!R17,Results_Ind!R17,Results_Com!R17)</f>
        <v>8.6089376664391395</v>
      </c>
      <c r="S17" s="200">
        <f>SUM(Results_Res!S17,Results_Out!S17,Results_Ind!S17,Results_Com!S17)</f>
        <v>8.7856167946480248</v>
      </c>
      <c r="T17" s="200">
        <f>SUM(Results_Res!T17,Results_Out!T17,Results_Ind!T17,Results_Com!T17)</f>
        <v>8.9581918008808223</v>
      </c>
      <c r="U17" s="200">
        <f>SUM(Results_Res!U17,Results_Out!U17,Results_Ind!U17,Results_Com!U17)</f>
        <v>9.1272004398314657</v>
      </c>
      <c r="V17" s="200">
        <f>SUM(Results_Res!V17,Results_Out!V17,Results_Ind!V17,Results_Com!V17)</f>
        <v>9.2935002298421576</v>
      </c>
      <c r="W17" s="200">
        <f>SUM(Results_Res!W17,Results_Out!W17,Results_Ind!W17,Results_Com!W17)</f>
        <v>9.4557084819861803</v>
      </c>
      <c r="X17" s="200">
        <f>SUM(Results_Res!X17,Results_Out!X17,Results_Ind!X17,Results_Com!X17)</f>
        <v>9.6154771103683814</v>
      </c>
      <c r="Y17" s="200">
        <f>SUM(Results_Res!Y17,Results_Out!Y17,Results_Ind!Y17,Results_Com!Y17)</f>
        <v>9.7732441801947871</v>
      </c>
      <c r="Z17" s="200">
        <f>SUM(Results_Res!Z17,Results_Out!Z17,Results_Ind!Z17,Results_Com!Z17)</f>
        <v>9.9288663218805198</v>
      </c>
      <c r="AA17" s="200">
        <f>SUM(Results_Res!AA17,Results_Out!AA17,Results_Ind!AA17,Results_Com!AA17)</f>
        <v>10.082220826249197</v>
      </c>
      <c r="AB17" s="200">
        <f>SUM(Results_Res!AB17,Results_Out!AB17,Results_Ind!AB17,Results_Com!AB17)</f>
        <v>10.234593855128153</v>
      </c>
      <c r="AC17" s="200">
        <f>SUM(Results_Res!AC17,Results_Out!AC17,Results_Ind!AC17,Results_Com!AC17)</f>
        <v>10.384694397960175</v>
      </c>
      <c r="AD17" s="200">
        <f>SUM(Results_Res!AD17,Results_Out!AD17,Results_Ind!AD17,Results_Com!AD17)</f>
        <v>10.532563056260724</v>
      </c>
      <c r="AE17" s="200">
        <f>SUM(Results_Res!AE17,Results_Out!AE17,Results_Ind!AE17,Results_Com!AE17)</f>
        <v>10.678203414207502</v>
      </c>
      <c r="AF17" s="200">
        <f>SUM(Results_Res!AF17,Results_Out!AF17,Results_Ind!AF17,Results_Com!AF17)</f>
        <v>10.821594898536565</v>
      </c>
    </row>
    <row r="18" spans="1:32" s="221" customFormat="1" ht="14.45" x14ac:dyDescent="0.35">
      <c r="A18" s="839"/>
      <c r="B18" s="552" t="s">
        <v>29</v>
      </c>
      <c r="C18" s="539"/>
      <c r="D18" s="539"/>
      <c r="E18" s="539"/>
      <c r="F18" s="539"/>
      <c r="G18" s="200">
        <f>SUM(Results_Res!G18,Results_Out!G18,Results_Ind!G18,Results_Com!G18)</f>
        <v>0</v>
      </c>
      <c r="H18" s="200">
        <f>SUM(Results_Res!H18,Results_Out!H18,Results_Ind!H18,Results_Com!H18)</f>
        <v>1.0165813549374805E-2</v>
      </c>
      <c r="I18" s="200">
        <f>SUM(Results_Res!I18,Results_Out!I18,Results_Ind!I18,Results_Com!I18)</f>
        <v>1.9295466297441034E-2</v>
      </c>
      <c r="J18" s="200">
        <f>SUM(Results_Res!J18,Results_Out!J18,Results_Ind!J18,Results_Com!J18)</f>
        <v>2.7585367839056296E-2</v>
      </c>
      <c r="K18" s="200">
        <f>SUM(Results_Res!K18,Results_Out!K18,Results_Ind!K18,Results_Com!K18)</f>
        <v>3.5154008132912917E-2</v>
      </c>
      <c r="L18" s="200">
        <f>SUM(Results_Res!L18,Results_Out!L18,Results_Ind!L18,Results_Com!L18)</f>
        <v>4.2000349743012103E-2</v>
      </c>
      <c r="M18" s="200">
        <f>SUM(Results_Res!M18,Results_Out!M18,Results_Ind!M18,Results_Com!M18)</f>
        <v>4.8182831976520922E-2</v>
      </c>
      <c r="N18" s="200">
        <f>SUM(Results_Res!N18,Results_Out!N18,Results_Ind!N18,Results_Com!N18)</f>
        <v>5.382987132429768E-2</v>
      </c>
      <c r="O18" s="200">
        <f>SUM(Results_Res!O18,Results_Out!O18,Results_Ind!O18,Results_Com!O18)</f>
        <v>5.9094016021600665E-2</v>
      </c>
      <c r="P18" s="200">
        <f>SUM(Results_Res!P18,Results_Out!P18,Results_Ind!P18,Results_Com!P18)</f>
        <v>6.3959791207610889E-2</v>
      </c>
      <c r="Q18" s="200">
        <f>SUM(Results_Res!Q18,Results_Out!Q18,Results_Ind!Q18,Results_Com!Q18)</f>
        <v>6.8517212775063258E-2</v>
      </c>
      <c r="R18" s="200">
        <f>SUM(Results_Res!R18,Results_Out!R18,Results_Ind!R18,Results_Com!R18)</f>
        <v>7.2724773695610173E-2</v>
      </c>
      <c r="S18" s="200">
        <f>SUM(Results_Res!S18,Results_Out!S18,Results_Ind!S18,Results_Com!S18)</f>
        <v>7.6669187112165499E-2</v>
      </c>
      <c r="T18" s="200">
        <f>SUM(Results_Res!T18,Results_Out!T18,Results_Ind!T18,Results_Com!T18)</f>
        <v>8.0380959700455681E-2</v>
      </c>
      <c r="U18" s="200">
        <f>SUM(Results_Res!U18,Results_Out!U18,Results_Ind!U18,Results_Com!U18)</f>
        <v>8.3888928710990532E-2</v>
      </c>
      <c r="V18" s="200">
        <f>SUM(Results_Res!V18,Results_Out!V18,Results_Ind!V18,Results_Com!V18)</f>
        <v>8.7226676800573319E-2</v>
      </c>
      <c r="W18" s="200">
        <f>SUM(Results_Res!W18,Results_Out!W18,Results_Ind!W18,Results_Com!W18)</f>
        <v>9.0374795704035185E-2</v>
      </c>
      <c r="X18" s="200">
        <f>SUM(Results_Res!X18,Results_Out!X18,Results_Ind!X18,Results_Com!X18)</f>
        <v>9.3382926076470751E-2</v>
      </c>
      <c r="Y18" s="200">
        <f>SUM(Results_Res!Y18,Results_Out!Y18,Results_Ind!Y18,Results_Com!Y18)</f>
        <v>9.6256513179556802E-2</v>
      </c>
      <c r="Z18" s="200">
        <f>SUM(Results_Res!Z18,Results_Out!Z18,Results_Ind!Z18,Results_Com!Z18)</f>
        <v>9.8996003847701769E-2</v>
      </c>
      <c r="AA18" s="200">
        <f>SUM(Results_Res!AA18,Results_Out!AA18,Results_Ind!AA18,Results_Com!AA18)</f>
        <v>0.10161271004150574</v>
      </c>
      <c r="AB18" s="200">
        <f>SUM(Results_Res!AB18,Results_Out!AB18,Results_Ind!AB18,Results_Com!AB18)</f>
        <v>0.10415209857913432</v>
      </c>
      <c r="AC18" s="200">
        <f>SUM(Results_Res!AC18,Results_Out!AC18,Results_Ind!AC18,Results_Com!AC18)</f>
        <v>0.10658566316925441</v>
      </c>
      <c r="AD18" s="200">
        <f>SUM(Results_Res!AD18,Results_Out!AD18,Results_Ind!AD18,Results_Com!AD18)</f>
        <v>0.10891879798316115</v>
      </c>
      <c r="AE18" s="200">
        <f>SUM(Results_Res!AE18,Results_Out!AE18,Results_Ind!AE18,Results_Com!AE18)</f>
        <v>0.1111561636339353</v>
      </c>
      <c r="AF18" s="200">
        <f>SUM(Results_Res!AF18,Results_Out!AF18,Results_Ind!AF18,Results_Com!AF18)</f>
        <v>0.11330179372386377</v>
      </c>
    </row>
    <row r="19" spans="1:32" s="221" customFormat="1" ht="14.45" x14ac:dyDescent="0.35">
      <c r="A19" s="839"/>
      <c r="B19" s="550"/>
      <c r="C19" s="539"/>
      <c r="D19" s="539"/>
      <c r="E19" s="539"/>
      <c r="F19" s="539"/>
      <c r="G19" s="549"/>
      <c r="H19" s="549"/>
      <c r="I19" s="549"/>
      <c r="J19" s="549"/>
      <c r="K19" s="549"/>
      <c r="L19" s="549"/>
      <c r="M19" s="549"/>
      <c r="N19" s="549"/>
      <c r="O19" s="549"/>
      <c r="P19" s="549"/>
      <c r="Q19" s="549"/>
      <c r="R19" s="549"/>
      <c r="S19" s="549"/>
      <c r="T19" s="549"/>
      <c r="U19" s="549"/>
      <c r="V19" s="549"/>
      <c r="W19" s="549"/>
      <c r="X19" s="549"/>
      <c r="Y19" s="549"/>
      <c r="Z19" s="549"/>
      <c r="AA19" s="549"/>
      <c r="AB19" s="549"/>
      <c r="AC19" s="549"/>
      <c r="AD19" s="549"/>
      <c r="AE19" s="549"/>
      <c r="AF19" s="549"/>
    </row>
    <row r="20" spans="1:32" s="202" customFormat="1" ht="12.95" x14ac:dyDescent="0.3">
      <c r="A20" s="843" t="s">
        <v>36</v>
      </c>
      <c r="B20" s="556"/>
      <c r="C20" s="556"/>
      <c r="D20" s="556"/>
      <c r="E20" s="556"/>
      <c r="F20" s="556"/>
      <c r="G20" s="632"/>
      <c r="H20" s="632"/>
      <c r="I20" s="632"/>
      <c r="J20" s="632"/>
      <c r="K20" s="632"/>
      <c r="L20" s="632"/>
      <c r="M20" s="632"/>
      <c r="N20" s="632"/>
      <c r="O20" s="632"/>
      <c r="P20" s="632"/>
      <c r="Q20" s="632"/>
      <c r="R20" s="632"/>
      <c r="S20" s="632"/>
      <c r="T20" s="632"/>
      <c r="U20" s="632"/>
      <c r="V20" s="632"/>
      <c r="W20" s="632"/>
      <c r="X20" s="632"/>
      <c r="Y20" s="632"/>
      <c r="Z20" s="632"/>
      <c r="AA20" s="632"/>
      <c r="AB20" s="632"/>
      <c r="AC20" s="632"/>
      <c r="AD20" s="632"/>
      <c r="AE20" s="632"/>
      <c r="AF20" s="632"/>
    </row>
    <row r="21" spans="1:32" s="221" customFormat="1" ht="14.45" x14ac:dyDescent="0.35">
      <c r="A21" s="839"/>
      <c r="B21" s="550" t="s">
        <v>37</v>
      </c>
      <c r="C21" s="539"/>
      <c r="D21" s="539"/>
      <c r="E21" s="539"/>
      <c r="F21" s="201"/>
      <c r="G21" s="200">
        <f>SUM(Results_Res!G21,Results_Out!G21,Results_Ind!G21,Results_Com!G21)</f>
        <v>165.7927400509509</v>
      </c>
      <c r="H21" s="200">
        <f>SUM(Results_Res!H21,Results_Out!H21,Results_Ind!H21,Results_Com!H21)</f>
        <v>145.78673954497933</v>
      </c>
      <c r="I21" s="200">
        <f>SUM(Results_Res!I21,Results_Out!I21,Results_Ind!I21,Results_Com!I21)</f>
        <v>121.88733834495579</v>
      </c>
      <c r="J21" s="200">
        <f>SUM(Results_Res!J21,Results_Out!J21,Results_Ind!J21,Results_Com!J21)</f>
        <v>96.680606652676857</v>
      </c>
      <c r="K21" s="200">
        <f>SUM(Results_Res!K21,Results_Out!K21,Results_Ind!K21,Results_Com!K21)</f>
        <v>72.646733531441356</v>
      </c>
      <c r="L21" s="200">
        <f>SUM(Results_Res!L21,Results_Out!L21,Results_Ind!L21,Results_Com!L21)</f>
        <v>55.298402027295083</v>
      </c>
      <c r="M21" s="200">
        <f>SUM(Results_Res!M21,Results_Out!M21,Results_Ind!M21,Results_Com!M21)</f>
        <v>42.672264355479683</v>
      </c>
      <c r="N21" s="200">
        <f>SUM(Results_Res!N21,Results_Out!N21,Results_Ind!N21,Results_Com!N21)</f>
        <v>33.423165674555264</v>
      </c>
      <c r="O21" s="200">
        <f>SUM(Results_Res!O21,Results_Out!O21,Results_Ind!O21,Results_Com!O21)</f>
        <v>26.650661993063853</v>
      </c>
      <c r="P21" s="200">
        <f>SUM(Results_Res!P21,Results_Out!P21,Results_Ind!P21,Results_Com!P21)</f>
        <v>21.645503296327366</v>
      </c>
      <c r="Q21" s="200">
        <f>SUM(Results_Res!Q21,Results_Out!Q21,Results_Ind!Q21,Results_Com!Q21)</f>
        <v>17.910507097605265</v>
      </c>
      <c r="R21" s="200">
        <f>SUM(Results_Res!R21,Results_Out!R21,Results_Ind!R21,Results_Com!R21)</f>
        <v>15.089135804512335</v>
      </c>
      <c r="S21" s="200">
        <f>SUM(Results_Res!S21,Results_Out!S21,Results_Ind!S21,Results_Com!S21)</f>
        <v>12.930805613411394</v>
      </c>
      <c r="T21" s="200">
        <f>SUM(Results_Res!T21,Results_Out!T21,Results_Ind!T21,Results_Com!T21)</f>
        <v>11.256475726599627</v>
      </c>
      <c r="U21" s="200">
        <f>SUM(Results_Res!U21,Results_Out!U21,Results_Ind!U21,Results_Com!U21)</f>
        <v>9.9379409940547969</v>
      </c>
      <c r="V21" s="200">
        <f>SUM(Results_Res!V21,Results_Out!V21,Results_Ind!V21,Results_Com!V21)</f>
        <v>8.8832638152223939</v>
      </c>
      <c r="W21" s="200">
        <f>SUM(Results_Res!W21,Results_Out!W21,Results_Ind!W21,Results_Com!W21)</f>
        <v>8.0242203825524498</v>
      </c>
      <c r="X21" s="200">
        <f>SUM(Results_Res!X21,Results_Out!X21,Results_Ind!X21,Results_Com!X21)</f>
        <v>7.3153133630297598</v>
      </c>
      <c r="Y21" s="200">
        <f>SUM(Results_Res!Y21,Results_Out!Y21,Results_Ind!Y21,Results_Com!Y21)</f>
        <v>6.7211642868588992</v>
      </c>
      <c r="Z21" s="200">
        <f>SUM(Results_Res!Z21,Results_Out!Z21,Results_Ind!Z21,Results_Com!Z21)</f>
        <v>6.2152474309414725</v>
      </c>
      <c r="AA21" s="200">
        <f>SUM(Results_Res!AA21,Results_Out!AA21,Results_Ind!AA21,Results_Com!AA21)</f>
        <v>5.7790197731901554</v>
      </c>
      <c r="AB21" s="200">
        <f>SUM(Results_Res!AB21,Results_Out!AB21,Results_Ind!AB21,Results_Com!AB21)</f>
        <v>5.3979961655847326</v>
      </c>
      <c r="AC21" s="200">
        <f>SUM(Results_Res!AC21,Results_Out!AC21,Results_Ind!AC21,Results_Com!AC21)</f>
        <v>5.0621489491303064</v>
      </c>
      <c r="AD21" s="200">
        <f>SUM(Results_Res!AD21,Results_Out!AD21,Results_Ind!AD21,Results_Com!AD21)</f>
        <v>4.7645799362573165</v>
      </c>
      <c r="AE21" s="200">
        <f>SUM(Results_Res!AE21,Results_Out!AE21,Results_Ind!AE21,Results_Com!AE21)</f>
        <v>4.4981172153082056</v>
      </c>
      <c r="AF21" s="200">
        <f>SUM(Results_Res!AF21,Results_Out!AF21,Results_Ind!AF21,Results_Com!AF21)</f>
        <v>4.2590035002889248</v>
      </c>
    </row>
    <row r="22" spans="1:32" s="221" customFormat="1" ht="14.45" x14ac:dyDescent="0.35">
      <c r="A22" s="839"/>
      <c r="B22" s="550" t="s">
        <v>39</v>
      </c>
      <c r="C22" s="539"/>
      <c r="D22" s="539"/>
      <c r="E22" s="203"/>
      <c r="F22" s="539"/>
      <c r="G22" s="200">
        <f>SUM(Results_Res!G22,Results_Out!G22,Results_Ind!G22,Results_Com!G22)</f>
        <v>368.82089717602054</v>
      </c>
      <c r="H22" s="200">
        <f>SUM(Results_Res!H22,Results_Out!H22,Results_Ind!H22,Results_Com!H22)</f>
        <v>389.36162648982565</v>
      </c>
      <c r="I22" s="200">
        <f>SUM(Results_Res!I22,Results_Out!I22,Results_Ind!I22,Results_Com!I22)</f>
        <v>414.25889817518407</v>
      </c>
      <c r="J22" s="200">
        <f>SUM(Results_Res!J22,Results_Out!J22,Results_Ind!J22,Results_Com!J22)</f>
        <v>440.6932992015204</v>
      </c>
      <c r="K22" s="200">
        <f>SUM(Results_Res!K22,Results_Out!K22,Results_Ind!K22,Results_Com!K22)</f>
        <v>465.95712373674439</v>
      </c>
      <c r="L22" s="200">
        <f>SUM(Results_Res!L22,Results_Out!L22,Results_Ind!L22,Results_Com!L22)</f>
        <v>485.71060177396726</v>
      </c>
      <c r="M22" s="200">
        <f>SUM(Results_Res!M22,Results_Out!M22,Results_Ind!M22,Results_Com!M22)</f>
        <v>501.1074806180776</v>
      </c>
      <c r="N22" s="200">
        <f>SUM(Results_Res!N22,Results_Out!N22,Results_Ind!N22,Results_Com!N22)</f>
        <v>514.00317056375297</v>
      </c>
      <c r="O22" s="200">
        <f>SUM(Results_Res!O22,Results_Out!O22,Results_Ind!O22,Results_Com!O22)</f>
        <v>525.56143910207436</v>
      </c>
      <c r="P22" s="200">
        <f>SUM(Results_Res!P22,Results_Out!P22,Results_Ind!P22,Results_Com!P22)</f>
        <v>535.6411763302882</v>
      </c>
      <c r="Q22" s="200">
        <f>SUM(Results_Res!Q22,Results_Out!Q22,Results_Ind!Q22,Results_Com!Q22)</f>
        <v>545.02294684788671</v>
      </c>
      <c r="R22" s="200">
        <f>SUM(Results_Res!R22,Results_Out!R22,Results_Ind!R22,Results_Com!R22)</f>
        <v>553.42630340442656</v>
      </c>
      <c r="S22" s="200">
        <f>SUM(Results_Res!S22,Results_Out!S22,Results_Ind!S22,Results_Com!S22)</f>
        <v>561.20977331275196</v>
      </c>
      <c r="T22" s="200">
        <f>SUM(Results_Res!T22,Results_Out!T22,Results_Ind!T22,Results_Com!T22)</f>
        <v>568.54380809746465</v>
      </c>
      <c r="U22" s="200">
        <f>SUM(Results_Res!U22,Results_Out!U22,Results_Ind!U22,Results_Com!U22)</f>
        <v>575.59226700119007</v>
      </c>
      <c r="V22" s="200">
        <f>SUM(Results_Res!V22,Results_Out!V22,Results_Ind!V22,Results_Com!V22)</f>
        <v>582.41584696030179</v>
      </c>
      <c r="W22" s="200">
        <f>SUM(Results_Res!W22,Results_Out!W22,Results_Ind!W22,Results_Com!W22)</f>
        <v>588.84272254978487</v>
      </c>
      <c r="X22" s="200">
        <f>SUM(Results_Res!X22,Results_Out!X22,Results_Ind!X22,Results_Com!X22)</f>
        <v>595.36457720493149</v>
      </c>
      <c r="Y22" s="200">
        <f>SUM(Results_Res!Y22,Results_Out!Y22,Results_Ind!Y22,Results_Com!Y22)</f>
        <v>602.04685983206184</v>
      </c>
      <c r="Z22" s="200">
        <f>SUM(Results_Res!Z22,Results_Out!Z22,Results_Ind!Z22,Results_Com!Z22)</f>
        <v>608.70352416593323</v>
      </c>
      <c r="AA22" s="200">
        <f>SUM(Results_Res!AA22,Results_Out!AA22,Results_Ind!AA22,Results_Com!AA22)</f>
        <v>615.17642130257536</v>
      </c>
      <c r="AB22" s="200">
        <f>SUM(Results_Res!AB22,Results_Out!AB22,Results_Ind!AB22,Results_Com!AB22)</f>
        <v>621.53599426060634</v>
      </c>
      <c r="AC22" s="200">
        <f>SUM(Results_Res!AC22,Results_Out!AC22,Results_Ind!AC22,Results_Com!AC22)</f>
        <v>627.84234091465999</v>
      </c>
      <c r="AD22" s="200">
        <f>SUM(Results_Res!AD22,Results_Out!AD22,Results_Ind!AD22,Results_Com!AD22)</f>
        <v>634.09920290686341</v>
      </c>
      <c r="AE22" s="200">
        <f>SUM(Results_Res!AE22,Results_Out!AE22,Results_Ind!AE22,Results_Com!AE22)</f>
        <v>640.30671787487688</v>
      </c>
      <c r="AF22" s="200">
        <f>SUM(Results_Res!AF22,Results_Out!AF22,Results_Ind!AF22,Results_Com!AF22)</f>
        <v>646.46615854880724</v>
      </c>
    </row>
    <row r="23" spans="1:32" s="221" customFormat="1" ht="14.45" x14ac:dyDescent="0.35">
      <c r="A23" s="839"/>
      <c r="B23" s="550" t="s">
        <v>40</v>
      </c>
      <c r="C23" s="539"/>
      <c r="D23" s="539"/>
      <c r="E23" s="539"/>
      <c r="F23" s="539"/>
      <c r="G23" s="200">
        <f>SUM(Results_Res!G23,Results_Out!G23,Results_Ind!G23,Results_Com!G23)</f>
        <v>51.83631608235973</v>
      </c>
      <c r="H23" s="200">
        <f>SUM(Results_Res!H23,Results_Out!H23,Results_Ind!H23,Results_Com!H23)</f>
        <v>58.163690038443477</v>
      </c>
      <c r="I23" s="200">
        <f>SUM(Results_Res!I23,Results_Out!I23,Results_Ind!I23,Results_Com!I23)</f>
        <v>64.839174421432531</v>
      </c>
      <c r="J23" s="200">
        <f>SUM(Results_Res!J23,Results_Out!J23,Results_Ind!J23,Results_Com!J23)</f>
        <v>71.415933739952848</v>
      </c>
      <c r="K23" s="200">
        <f>SUM(Results_Res!K23,Results_Out!K23,Results_Ind!K23,Results_Com!K23)</f>
        <v>77.74948567056191</v>
      </c>
      <c r="L23" s="200">
        <f>SUM(Results_Res!L23,Results_Out!L23,Results_Ind!L23,Results_Com!L23)</f>
        <v>82.815840374611867</v>
      </c>
      <c r="M23" s="200">
        <f>SUM(Results_Res!M23,Results_Out!M23,Results_Ind!M23,Results_Com!M23)</f>
        <v>86.868775507389017</v>
      </c>
      <c r="N23" s="200">
        <f>SUM(Results_Res!N23,Results_Out!N23,Results_Ind!N23,Results_Com!N23)</f>
        <v>90.030831189232387</v>
      </c>
      <c r="O23" s="200">
        <f>SUM(Results_Res!O23,Results_Out!O23,Results_Ind!O23,Results_Com!O23)</f>
        <v>92.852173059412394</v>
      </c>
      <c r="P23" s="200">
        <f>SUM(Results_Res!P23,Results_Out!P23,Results_Ind!P23,Results_Com!P23)</f>
        <v>95.316945512628521</v>
      </c>
      <c r="Q23" s="200">
        <f>SUM(Results_Res!Q23,Results_Out!Q23,Results_Ind!Q23,Results_Com!Q23)</f>
        <v>97.580594392551447</v>
      </c>
      <c r="R23" s="200">
        <f>SUM(Results_Res!R23,Results_Out!R23,Results_Ind!R23,Results_Com!R23)</f>
        <v>99.599244225322821</v>
      </c>
      <c r="S23" s="200">
        <f>SUM(Results_Res!S23,Results_Out!S23,Results_Ind!S23,Results_Com!S23)</f>
        <v>101.44823713785422</v>
      </c>
      <c r="T23" s="200">
        <f>SUM(Results_Res!T23,Results_Out!T23,Results_Ind!T23,Results_Com!T23)</f>
        <v>103.16673342471023</v>
      </c>
      <c r="U23" s="200">
        <f>SUM(Results_Res!U23,Results_Out!U23,Results_Ind!U23,Results_Com!U23)</f>
        <v>104.79089982319086</v>
      </c>
      <c r="V23" s="200">
        <f>SUM(Results_Res!V23,Results_Out!V23,Results_Ind!V23,Results_Com!V23)</f>
        <v>106.33949248869814</v>
      </c>
      <c r="W23" s="200">
        <f>SUM(Results_Res!W23,Results_Out!W23,Results_Ind!W23,Results_Com!W23)</f>
        <v>107.78495180612552</v>
      </c>
      <c r="X23" s="200">
        <f>SUM(Results_Res!X23,Results_Out!X23,Results_Ind!X23,Results_Com!X23)</f>
        <v>109.22073151538258</v>
      </c>
      <c r="Y23" s="200">
        <f>SUM(Results_Res!Y23,Results_Out!Y23,Results_Ind!Y23,Results_Com!Y23)</f>
        <v>110.66443829874876</v>
      </c>
      <c r="Z23" s="200">
        <f>SUM(Results_Res!Z23,Results_Out!Z23,Results_Ind!Z23,Results_Com!Z23)</f>
        <v>112.08423339196459</v>
      </c>
      <c r="AA23" s="200">
        <f>SUM(Results_Res!AA23,Results_Out!AA23,Results_Ind!AA23,Results_Com!AA23)</f>
        <v>113.45104579133539</v>
      </c>
      <c r="AB23" s="200">
        <f>SUM(Results_Res!AB23,Results_Out!AB23,Results_Ind!AB23,Results_Com!AB23)</f>
        <v>114.78304572705193</v>
      </c>
      <c r="AC23" s="200">
        <f>SUM(Results_Res!AC23,Results_Out!AC23,Results_Ind!AC23,Results_Com!AC23)</f>
        <v>116.09266409297092</v>
      </c>
      <c r="AD23" s="200">
        <f>SUM(Results_Res!AD23,Results_Out!AD23,Results_Ind!AD23,Results_Com!AD23)</f>
        <v>117.37984101497437</v>
      </c>
      <c r="AE23" s="200">
        <f>SUM(Results_Res!AE23,Results_Out!AE23,Results_Ind!AE23,Results_Com!AE23)</f>
        <v>118.64838196816042</v>
      </c>
      <c r="AF23" s="200">
        <f>SUM(Results_Res!AF23,Results_Out!AF23,Results_Ind!AF23,Results_Com!AF23)</f>
        <v>119.89753288463265</v>
      </c>
    </row>
    <row r="24" spans="1:32" s="221" customFormat="1" ht="14.45" x14ac:dyDescent="0.35">
      <c r="A24" s="839"/>
      <c r="B24" s="550" t="s">
        <v>29</v>
      </c>
      <c r="C24" s="539"/>
      <c r="D24" s="539"/>
      <c r="E24" s="539"/>
      <c r="F24" s="539"/>
      <c r="G24" s="200">
        <f>SUM(Results_Res!G24,Results_Out!G24,Results_Ind!G24,Results_Com!G24)</f>
        <v>0</v>
      </c>
      <c r="H24" s="200">
        <f>SUM(Results_Res!H24,Results_Out!H24,Results_Ind!H24,Results_Com!H24)</f>
        <v>1.5896006626668134E-6</v>
      </c>
      <c r="I24" s="200">
        <f>SUM(Results_Res!I24,Results_Out!I24,Results_Ind!I24,Results_Com!I24)</f>
        <v>2.8775659571849546E-6</v>
      </c>
      <c r="J24" s="200">
        <f>SUM(Results_Res!J24,Results_Out!J24,Results_Ind!J24,Results_Com!J24)</f>
        <v>3.9089662580716145E-6</v>
      </c>
      <c r="K24" s="200">
        <f>SUM(Results_Res!K24,Results_Out!K24,Results_Ind!K24,Results_Com!K24)</f>
        <v>4.7435611644010785E-6</v>
      </c>
      <c r="L24" s="200">
        <f>SUM(Results_Res!L24,Results_Out!L24,Results_Ind!L24,Results_Com!L24)</f>
        <v>5.4457451337856327E-6</v>
      </c>
      <c r="M24" s="200">
        <f>SUM(Results_Res!M24,Results_Out!M24,Results_Ind!M24,Results_Com!M24)</f>
        <v>6.0254647185051462E-6</v>
      </c>
      <c r="N24" s="200">
        <f>SUM(Results_Res!N24,Results_Out!N24,Results_Ind!N24,Results_Com!N24)</f>
        <v>6.5139364720861083E-6</v>
      </c>
      <c r="O24" s="200">
        <f>SUM(Results_Res!O24,Results_Out!O24,Results_Ind!O24,Results_Com!O24)</f>
        <v>6.9363919578234292E-6</v>
      </c>
      <c r="P24" s="200">
        <f>SUM(Results_Res!P24,Results_Out!P24,Results_Ind!P24,Results_Com!P24)</f>
        <v>7.2785021384748007E-6</v>
      </c>
      <c r="Q24" s="200">
        <f>SUM(Results_Res!Q24,Results_Out!Q24,Results_Ind!Q24,Results_Com!Q24)</f>
        <v>7.5733996930147916E-6</v>
      </c>
      <c r="R24" s="200">
        <f>SUM(Results_Res!R24,Results_Out!R24,Results_Ind!R24,Results_Com!R24)</f>
        <v>7.8085978806859781E-6</v>
      </c>
      <c r="S24" s="200">
        <f>SUM(Results_Res!S24,Results_Out!S24,Results_Ind!S24,Results_Com!S24)</f>
        <v>8.0027794514591638E-6</v>
      </c>
      <c r="T24" s="200">
        <f>SUM(Results_Res!T24,Results_Out!T24,Results_Ind!T24,Results_Com!T24)</f>
        <v>8.1658464554152091E-6</v>
      </c>
      <c r="U24" s="200">
        <f>SUM(Results_Res!U24,Results_Out!U24,Results_Ind!U24,Results_Com!U24)</f>
        <v>8.3070398927034953E-6</v>
      </c>
      <c r="V24" s="200">
        <f>SUM(Results_Res!V24,Results_Out!V24,Results_Ind!V24,Results_Com!V24)</f>
        <v>8.4306943816259839E-6</v>
      </c>
      <c r="W24" s="200">
        <f>SUM(Results_Res!W24,Results_Out!W24,Results_Ind!W24,Results_Com!W24)</f>
        <v>8.5315025936730057E-6</v>
      </c>
      <c r="X24" s="200">
        <f>SUM(Results_Res!X24,Results_Out!X24,Results_Ind!X24,Results_Com!X24)</f>
        <v>8.6325925500550279E-6</v>
      </c>
      <c r="Y24" s="200">
        <f>SUM(Results_Res!Y24,Results_Out!Y24,Results_Ind!Y24,Results_Com!Y24)</f>
        <v>8.7363085617159264E-6</v>
      </c>
      <c r="Z24" s="200">
        <f>SUM(Results_Res!Z24,Results_Out!Z24,Results_Ind!Z24,Results_Com!Z24)</f>
        <v>8.8343997465252563E-6</v>
      </c>
      <c r="AA24" s="200">
        <f>SUM(Results_Res!AA24,Results_Out!AA24,Results_Ind!AA24,Results_Com!AA24)</f>
        <v>8.9211116440874124E-6</v>
      </c>
      <c r="AB24" s="200">
        <f>SUM(Results_Res!AB24,Results_Out!AB24,Results_Ind!AB24,Results_Com!AB24)</f>
        <v>9.0009588839009601E-6</v>
      </c>
      <c r="AC24" s="200">
        <f>SUM(Results_Res!AC24,Results_Out!AC24,Results_Ind!AC24,Results_Com!AC24)</f>
        <v>9.0777130860306022E-6</v>
      </c>
      <c r="AD24" s="200">
        <f>SUM(Results_Res!AD24,Results_Out!AD24,Results_Ind!AD24,Results_Com!AD24)</f>
        <v>9.1519629082411261E-6</v>
      </c>
      <c r="AE24" s="200">
        <f>SUM(Results_Res!AE24,Results_Out!AE24,Results_Ind!AE24,Results_Com!AE24)</f>
        <v>9.2241557588220069E-6</v>
      </c>
      <c r="AF24" s="200">
        <f>SUM(Results_Res!AF24,Results_Out!AF24,Results_Ind!AF24,Results_Com!AF24)</f>
        <v>9.2946292087731471E-6</v>
      </c>
    </row>
    <row r="25" spans="1:32" s="221" customFormat="1" ht="14.45" x14ac:dyDescent="0.35">
      <c r="A25" s="839"/>
      <c r="B25" s="550"/>
      <c r="C25" s="539"/>
      <c r="D25" s="539"/>
      <c r="E25" s="539"/>
      <c r="F25" s="539"/>
      <c r="G25" s="549"/>
      <c r="H25" s="549"/>
      <c r="I25" s="549"/>
      <c r="J25" s="549"/>
      <c r="K25" s="549"/>
      <c r="L25" s="549"/>
      <c r="M25" s="549"/>
      <c r="N25" s="549"/>
      <c r="O25" s="549"/>
      <c r="P25" s="549"/>
      <c r="Q25" s="549"/>
      <c r="R25" s="549"/>
      <c r="S25" s="549"/>
      <c r="T25" s="549"/>
      <c r="U25" s="549"/>
      <c r="V25" s="549"/>
      <c r="W25" s="549"/>
      <c r="X25" s="549"/>
      <c r="Y25" s="549"/>
      <c r="Z25" s="549"/>
      <c r="AA25" s="549"/>
      <c r="AB25" s="549"/>
      <c r="AC25" s="549"/>
      <c r="AD25" s="549"/>
      <c r="AE25" s="549"/>
      <c r="AF25" s="549"/>
    </row>
    <row r="26" spans="1:32" s="202" customFormat="1" ht="12.95" x14ac:dyDescent="0.3">
      <c r="A26" s="843" t="s">
        <v>42</v>
      </c>
      <c r="B26" s="556"/>
      <c r="C26" s="556"/>
      <c r="D26" s="556"/>
      <c r="E26" s="556"/>
      <c r="F26" s="556"/>
      <c r="G26" s="632"/>
      <c r="H26" s="632"/>
      <c r="I26" s="632"/>
      <c r="J26" s="632"/>
      <c r="K26" s="632"/>
      <c r="L26" s="632"/>
      <c r="M26" s="632"/>
      <c r="N26" s="632"/>
      <c r="O26" s="632"/>
      <c r="P26" s="632"/>
      <c r="Q26" s="632"/>
      <c r="R26" s="632"/>
      <c r="S26" s="632"/>
      <c r="T26" s="632"/>
      <c r="U26" s="632"/>
      <c r="V26" s="632"/>
      <c r="W26" s="632"/>
      <c r="X26" s="632"/>
      <c r="Y26" s="632"/>
      <c r="Z26" s="632"/>
      <c r="AA26" s="632"/>
      <c r="AB26" s="632"/>
      <c r="AC26" s="632"/>
      <c r="AD26" s="632"/>
      <c r="AE26" s="632"/>
      <c r="AF26" s="632"/>
    </row>
    <row r="27" spans="1:32" s="221" customFormat="1" ht="14.45" x14ac:dyDescent="0.35">
      <c r="A27" s="839"/>
      <c r="B27" s="552" t="s">
        <v>43</v>
      </c>
      <c r="C27" s="539"/>
      <c r="D27" s="539"/>
      <c r="E27" s="539"/>
      <c r="F27" s="539"/>
      <c r="G27" s="200">
        <f>SUM(Results_Res!G27,Results_Out!G27,Results_Ind!G27,Results_Com!G27)</f>
        <v>8.4030558002719822</v>
      </c>
      <c r="H27" s="200">
        <f>SUM(Results_Res!H27,Results_Out!H27,Results_Ind!H27,Results_Com!H27)</f>
        <v>7.5315325816096577</v>
      </c>
      <c r="I27" s="200">
        <f>SUM(Results_Res!I27,Results_Out!I27,Results_Ind!I27,Results_Com!I27)</f>
        <v>6.7667089146682011</v>
      </c>
      <c r="J27" s="200">
        <f>SUM(Results_Res!J27,Results_Out!J27,Results_Ind!J27,Results_Com!J27)</f>
        <v>6.0946753095087232</v>
      </c>
      <c r="K27" s="200">
        <f>SUM(Results_Res!K27,Results_Out!K27,Results_Ind!K27,Results_Com!K27)</f>
        <v>5.5035141037652302</v>
      </c>
      <c r="L27" s="200">
        <f>SUM(Results_Res!L27,Results_Out!L27,Results_Ind!L27,Results_Com!L27)</f>
        <v>4.9831649923046335</v>
      </c>
      <c r="M27" s="200">
        <f>SUM(Results_Res!M27,Results_Out!M27,Results_Ind!M27,Results_Com!M27)</f>
        <v>4.524442149206866</v>
      </c>
      <c r="N27" s="200">
        <f>SUM(Results_Res!N27,Results_Out!N27,Results_Ind!N27,Results_Com!N27)</f>
        <v>4.1200813906115386</v>
      </c>
      <c r="O27" s="200">
        <f>SUM(Results_Res!O27,Results_Out!O27,Results_Ind!O27,Results_Com!O27)</f>
        <v>3.7639243233442685</v>
      </c>
      <c r="P27" s="200">
        <f>SUM(Results_Res!P27,Results_Out!P27,Results_Ind!P27,Results_Com!P27)</f>
        <v>3.4495718573132335</v>
      </c>
      <c r="Q27" s="200">
        <f>SUM(Results_Res!Q27,Results_Out!Q27,Results_Ind!Q27,Results_Com!Q27)</f>
        <v>3.1722199055093006</v>
      </c>
      <c r="R27" s="200">
        <f>SUM(Results_Res!R27,Results_Out!R27,Results_Ind!R27,Results_Com!R27)</f>
        <v>2.9269781518850935</v>
      </c>
      <c r="S27" s="200">
        <f>SUM(Results_Res!S27,Results_Out!S27,Results_Ind!S27,Results_Com!S27)</f>
        <v>2.7100720830073985</v>
      </c>
      <c r="T27" s="200">
        <f>SUM(Results_Res!T27,Results_Out!T27,Results_Ind!T27,Results_Com!T27)</f>
        <v>2.5181189841878613</v>
      </c>
      <c r="U27" s="200">
        <f>SUM(Results_Res!U27,Results_Out!U27,Results_Ind!U27,Results_Com!U27)</f>
        <v>2.3484983476351515</v>
      </c>
      <c r="V27" s="200">
        <f>SUM(Results_Res!V27,Results_Out!V27,Results_Ind!V27,Results_Com!V27)</f>
        <v>2.1981998397001976</v>
      </c>
      <c r="W27" s="200">
        <f>SUM(Results_Res!W27,Results_Out!W27,Results_Ind!W27,Results_Com!W27)</f>
        <v>2.0650091304726379</v>
      </c>
      <c r="X27" s="200">
        <f>SUM(Results_Res!X27,Results_Out!X27,Results_Ind!X27,Results_Com!X27)</f>
        <v>1.9471969259197119</v>
      </c>
      <c r="Y27" s="200">
        <f>SUM(Results_Res!Y27,Results_Out!Y27,Results_Ind!Y27,Results_Com!Y27)</f>
        <v>1.8431183911806666</v>
      </c>
      <c r="Z27" s="200">
        <f>SUM(Results_Res!Z27,Results_Out!Z27,Results_Ind!Z27,Results_Com!Z27)</f>
        <v>1.7509714891188772</v>
      </c>
      <c r="AA27" s="200">
        <f>SUM(Results_Res!AA27,Results_Out!AA27,Results_Ind!AA27,Results_Com!AA27)</f>
        <v>1.6689471056404748</v>
      </c>
      <c r="AB27" s="200">
        <f>SUM(Results_Res!AB27,Results_Out!AB27,Results_Ind!AB27,Results_Com!AB27)</f>
        <v>1.5961698774350079</v>
      </c>
      <c r="AC27" s="200">
        <f>SUM(Results_Res!AC27,Results_Out!AC27,Results_Ind!AC27,Results_Com!AC27)</f>
        <v>1.5315766178312409</v>
      </c>
      <c r="AD27" s="200">
        <f>SUM(Results_Res!AD27,Results_Out!AD27,Results_Ind!AD27,Results_Com!AD27)</f>
        <v>1.4741755443385089</v>
      </c>
      <c r="AE27" s="200">
        <f>SUM(Results_Res!AE27,Results_Out!AE27,Results_Ind!AE27,Results_Com!AE27)</f>
        <v>1.423079758426657</v>
      </c>
      <c r="AF27" s="200">
        <f>SUM(Results_Res!AF27,Results_Out!AF27,Results_Ind!AF27,Results_Com!AF27)</f>
        <v>1.3776225880000157</v>
      </c>
    </row>
    <row r="28" spans="1:32" s="221" customFormat="1" ht="14.45" x14ac:dyDescent="0.35">
      <c r="A28" s="839"/>
      <c r="B28" s="552" t="s">
        <v>44</v>
      </c>
      <c r="C28" s="539"/>
      <c r="D28" s="539"/>
      <c r="E28" s="539"/>
      <c r="F28" s="539"/>
      <c r="G28" s="200">
        <f>SUM(Results_Res!G28,Results_Out!G28,Results_Ind!G28,Results_Com!G28)</f>
        <v>181.55209112674598</v>
      </c>
      <c r="H28" s="200">
        <f>SUM(Results_Res!H28,Results_Out!H28,Results_Ind!H28,Results_Com!H28)</f>
        <v>200.60737468419836</v>
      </c>
      <c r="I28" s="200">
        <f>SUM(Results_Res!I28,Results_Out!I28,Results_Ind!I28,Results_Com!I28)</f>
        <v>218.28893594523191</v>
      </c>
      <c r="J28" s="200">
        <f>SUM(Results_Res!J28,Results_Out!J28,Results_Ind!J28,Results_Com!J28)</f>
        <v>234.4463704811314</v>
      </c>
      <c r="K28" s="200">
        <f>SUM(Results_Res!K28,Results_Out!K28,Results_Ind!K28,Results_Com!K28)</f>
        <v>249.07516605346183</v>
      </c>
      <c r="L28" s="200">
        <f>SUM(Results_Res!L28,Results_Out!L28,Results_Ind!L28,Results_Com!L28)</f>
        <v>262.40181874907745</v>
      </c>
      <c r="M28" s="200">
        <f>SUM(Results_Res!M28,Results_Out!M28,Results_Ind!M28,Results_Com!M28)</f>
        <v>274.28235080593669</v>
      </c>
      <c r="N28" s="200">
        <f>SUM(Results_Res!N28,Results_Out!N28,Results_Ind!N28,Results_Com!N28)</f>
        <v>285.17008694067681</v>
      </c>
      <c r="O28" s="200">
        <f>SUM(Results_Res!O28,Results_Out!O28,Results_Ind!O28,Results_Com!O28)</f>
        <v>295.59259160576238</v>
      </c>
      <c r="P28" s="200">
        <f>SUM(Results_Res!P28,Results_Out!P28,Results_Ind!P28,Results_Com!P28)</f>
        <v>305.20287478112641</v>
      </c>
      <c r="Q28" s="200">
        <f>SUM(Results_Res!Q28,Results_Out!Q28,Results_Ind!Q28,Results_Com!Q28)</f>
        <v>314.31374304898662</v>
      </c>
      <c r="R28" s="200">
        <f>SUM(Results_Res!R28,Results_Out!R28,Results_Ind!R28,Results_Com!R28)</f>
        <v>322.6564846485291</v>
      </c>
      <c r="S28" s="200">
        <f>SUM(Results_Res!S28,Results_Out!S28,Results_Ind!S28,Results_Com!S28)</f>
        <v>330.38928361026592</v>
      </c>
      <c r="T28" s="200">
        <f>SUM(Results_Res!T28,Results_Out!T28,Results_Ind!T28,Results_Com!T28)</f>
        <v>337.5892574628549</v>
      </c>
      <c r="U28" s="200">
        <f>SUM(Results_Res!U28,Results_Out!U28,Results_Ind!U28,Results_Com!U28)</f>
        <v>344.34756986509757</v>
      </c>
      <c r="V28" s="200">
        <f>SUM(Results_Res!V28,Results_Out!V28,Results_Ind!V28,Results_Com!V28)</f>
        <v>350.70402255535191</v>
      </c>
      <c r="W28" s="200">
        <f>SUM(Results_Res!W28,Results_Out!W28,Results_Ind!W28,Results_Com!W28)</f>
        <v>356.56590322822444</v>
      </c>
      <c r="X28" s="200">
        <f>SUM(Results_Res!X28,Results_Out!X28,Results_Ind!X28,Results_Com!X28)</f>
        <v>362.25035853460327</v>
      </c>
      <c r="Y28" s="200">
        <f>SUM(Results_Res!Y28,Results_Out!Y28,Results_Ind!Y28,Results_Com!Y28)</f>
        <v>367.8100239176772</v>
      </c>
      <c r="Z28" s="200">
        <f>SUM(Results_Res!Z28,Results_Out!Z28,Results_Ind!Z28,Results_Com!Z28)</f>
        <v>373.1496851866367</v>
      </c>
      <c r="AA28" s="200">
        <f>SUM(Results_Res!AA28,Results_Out!AA28,Results_Ind!AA28,Results_Com!AA28)</f>
        <v>378.19399198179627</v>
      </c>
      <c r="AB28" s="200">
        <f>SUM(Results_Res!AB28,Results_Out!AB28,Results_Ind!AB28,Results_Com!AB28)</f>
        <v>382.99538243115364</v>
      </c>
      <c r="AC28" s="200">
        <f>SUM(Results_Res!AC28,Results_Out!AC28,Results_Ind!AC28,Results_Com!AC28)</f>
        <v>387.61428712074769</v>
      </c>
      <c r="AD28" s="200">
        <f>SUM(Results_Res!AD28,Results_Out!AD28,Results_Ind!AD28,Results_Com!AD28)</f>
        <v>392.0689008506456</v>
      </c>
      <c r="AE28" s="200">
        <f>SUM(Results_Res!AE28,Results_Out!AE28,Results_Ind!AE28,Results_Com!AE28)</f>
        <v>396.37792273587701</v>
      </c>
      <c r="AF28" s="200">
        <f>SUM(Results_Res!AF28,Results_Out!AF28,Results_Ind!AF28,Results_Com!AF28)</f>
        <v>400.55123666671739</v>
      </c>
    </row>
    <row r="29" spans="1:32" s="221" customFormat="1" ht="14.45" x14ac:dyDescent="0.35">
      <c r="A29" s="839"/>
      <c r="B29" s="552" t="s">
        <v>45</v>
      </c>
      <c r="C29" s="539"/>
      <c r="D29" s="539"/>
      <c r="E29" s="539"/>
      <c r="F29" s="539"/>
      <c r="G29" s="200">
        <f>SUM(Results_Res!G29,Results_Out!G29,Results_Ind!G29,Results_Com!G29)</f>
        <v>146.01294341588348</v>
      </c>
      <c r="H29" s="200">
        <f>SUM(Results_Res!H29,Results_Out!H29,Results_Ind!H29,Results_Com!H29)</f>
        <v>130.44762946086914</v>
      </c>
      <c r="I29" s="200">
        <f>SUM(Results_Res!I29,Results_Out!I29,Results_Ind!I29,Results_Com!I29)</f>
        <v>116.65165546570097</v>
      </c>
      <c r="J29" s="200">
        <f>SUM(Results_Res!J29,Results_Out!J29,Results_Ind!J29,Results_Com!J29)</f>
        <v>104.41417452716445</v>
      </c>
      <c r="K29" s="200">
        <f>SUM(Results_Res!K29,Results_Out!K29,Results_Ind!K29,Results_Com!K29)</f>
        <v>93.551306777515961</v>
      </c>
      <c r="L29" s="200">
        <f>SUM(Results_Res!L29,Results_Out!L29,Results_Ind!L29,Results_Com!L29)</f>
        <v>83.903780699476599</v>
      </c>
      <c r="M29" s="200">
        <f>SUM(Results_Res!M29,Results_Out!M29,Results_Ind!M29,Results_Com!M29)</f>
        <v>75.328043154117537</v>
      </c>
      <c r="N29" s="200">
        <f>SUM(Results_Res!N29,Results_Out!N29,Results_Ind!N29,Results_Com!N29)</f>
        <v>67.703630237310762</v>
      </c>
      <c r="O29" s="200">
        <f>SUM(Results_Res!O29,Results_Out!O29,Results_Ind!O29,Results_Com!O29)</f>
        <v>60.92574810457122</v>
      </c>
      <c r="P29" s="200">
        <f>SUM(Results_Res!P29,Results_Out!P29,Results_Ind!P29,Results_Com!P29)</f>
        <v>54.893828825874984</v>
      </c>
      <c r="Q29" s="200">
        <f>SUM(Results_Res!Q29,Results_Out!Q29,Results_Ind!Q29,Results_Com!Q29)</f>
        <v>49.52544537548026</v>
      </c>
      <c r="R29" s="200">
        <f>SUM(Results_Res!R29,Results_Out!R29,Results_Ind!R29,Results_Com!R29)</f>
        <v>44.742355737624379</v>
      </c>
      <c r="S29" s="200">
        <f>SUM(Results_Res!S29,Results_Out!S29,Results_Ind!S29,Results_Com!S29)</f>
        <v>40.479469021917197</v>
      </c>
      <c r="T29" s="200">
        <f>SUM(Results_Res!T29,Results_Out!T29,Results_Ind!T29,Results_Com!T29)</f>
        <v>36.678642455564471</v>
      </c>
      <c r="U29" s="200">
        <f>SUM(Results_Res!U29,Results_Out!U29,Results_Ind!U29,Results_Com!U29)</f>
        <v>33.289797845669653</v>
      </c>
      <c r="V29" s="200">
        <f>SUM(Results_Res!V29,Results_Out!V29,Results_Ind!V29,Results_Com!V29)</f>
        <v>30.265895311083373</v>
      </c>
      <c r="W29" s="200">
        <f>SUM(Results_Res!W29,Results_Out!W29,Results_Ind!W29,Results_Com!W29)</f>
        <v>27.56607907901963</v>
      </c>
      <c r="X29" s="200">
        <f>SUM(Results_Res!X29,Results_Out!X29,Results_Ind!X29,Results_Com!X29)</f>
        <v>25.1571512622825</v>
      </c>
      <c r="Y29" s="200">
        <f>SUM(Results_Res!Y29,Results_Out!Y29,Results_Ind!Y29,Results_Com!Y29)</f>
        <v>23.014166593323608</v>
      </c>
      <c r="Z29" s="200">
        <f>SUM(Results_Res!Z29,Results_Out!Z29,Results_Ind!Z29,Results_Com!Z29)</f>
        <v>21.105375798111254</v>
      </c>
      <c r="AA29" s="200">
        <f>SUM(Results_Res!AA29,Results_Out!AA29,Results_Ind!AA29,Results_Com!AA29)</f>
        <v>19.397387162014894</v>
      </c>
      <c r="AB29" s="200">
        <f>SUM(Results_Res!AB29,Results_Out!AB29,Results_Ind!AB29,Results_Com!AB29)</f>
        <v>17.874049023195351</v>
      </c>
      <c r="AC29" s="200">
        <f>SUM(Results_Res!AC29,Results_Out!AC29,Results_Ind!AC29,Results_Com!AC29)</f>
        <v>16.514806130158455</v>
      </c>
      <c r="AD29" s="200">
        <f>SUM(Results_Res!AD29,Results_Out!AD29,Results_Ind!AD29,Results_Com!AD29)</f>
        <v>15.301091975940825</v>
      </c>
      <c r="AE29" s="200">
        <f>SUM(Results_Res!AE29,Results_Out!AE29,Results_Ind!AE29,Results_Com!AE29)</f>
        <v>14.21375195132368</v>
      </c>
      <c r="AF29" s="200">
        <f>SUM(Results_Res!AF29,Results_Out!AF29,Results_Ind!AF29,Results_Com!AF29)</f>
        <v>13.242214321094984</v>
      </c>
    </row>
    <row r="30" spans="1:32" s="221" customFormat="1" ht="14.45" x14ac:dyDescent="0.35">
      <c r="A30" s="839"/>
      <c r="B30" s="552" t="s">
        <v>46</v>
      </c>
      <c r="C30" s="539"/>
      <c r="D30" s="539"/>
      <c r="E30" s="539"/>
      <c r="F30" s="539"/>
      <c r="G30" s="200">
        <f>SUM(Results_Res!G30,Results_Out!G30,Results_Ind!G30,Results_Com!G30)</f>
        <v>1.6061308036235575</v>
      </c>
      <c r="H30" s="200">
        <f>SUM(Results_Res!H30,Results_Out!H30,Results_Ind!H30,Results_Com!H30)</f>
        <v>1.4323786960049667</v>
      </c>
      <c r="I30" s="200">
        <f>SUM(Results_Res!I30,Results_Out!I30,Results_Ind!I30,Results_Com!I30)</f>
        <v>1.2780930761672413</v>
      </c>
      <c r="J30" s="200">
        <f>SUM(Results_Res!J30,Results_Out!J30,Results_Ind!J30,Results_Com!J30)</f>
        <v>1.1410147221055658</v>
      </c>
      <c r="K30" s="200">
        <f>SUM(Results_Res!K30,Results_Out!K30,Results_Ind!K30,Results_Com!K30)</f>
        <v>1.0191560344665871</v>
      </c>
      <c r="L30" s="200">
        <f>SUM(Results_Res!L30,Results_Out!L30,Results_Ind!L30,Results_Com!L30)</f>
        <v>0.91076721010257966</v>
      </c>
      <c r="M30" s="200">
        <f>SUM(Results_Res!M30,Results_Out!M30,Results_Ind!M30,Results_Com!M30)</f>
        <v>0.81430677790584505</v>
      </c>
      <c r="N30" s="200">
        <f>SUM(Results_Res!N30,Results_Out!N30,Results_Ind!N30,Results_Com!N30)</f>
        <v>0.72841591459536603</v>
      </c>
      <c r="O30" s="200">
        <f>SUM(Results_Res!O30,Results_Out!O30,Results_Ind!O30,Results_Com!O30)</f>
        <v>0.65189603855539757</v>
      </c>
      <c r="P30" s="200">
        <f>SUM(Results_Res!P30,Results_Out!P30,Results_Ind!P30,Results_Com!P30)</f>
        <v>0.58368924876704253</v>
      </c>
      <c r="Q30" s="200">
        <f>SUM(Results_Res!Q30,Results_Out!Q30,Results_Ind!Q30,Results_Com!Q30)</f>
        <v>0.52286123502415072</v>
      </c>
      <c r="R30" s="200">
        <f>SUM(Results_Res!R30,Results_Out!R30,Results_Ind!R30,Results_Com!R30)</f>
        <v>0.46858633642087755</v>
      </c>
      <c r="S30" s="200">
        <f>SUM(Results_Res!S30,Results_Out!S30,Results_Ind!S30,Results_Com!S30)</f>
        <v>0.42013446875906718</v>
      </c>
      <c r="T30" s="200">
        <f>SUM(Results_Res!T30,Results_Out!T30,Results_Ind!T30,Results_Com!T30)</f>
        <v>0.37685967908468188</v>
      </c>
      <c r="U30" s="200">
        <f>SUM(Results_Res!U30,Results_Out!U30,Results_Ind!U30,Results_Com!U30)</f>
        <v>0.33819011790409786</v>
      </c>
      <c r="V30" s="200">
        <f>SUM(Results_Res!V30,Results_Out!V30,Results_Ind!V30,Results_Com!V30)</f>
        <v>0.30361924750235442</v>
      </c>
      <c r="W30" s="200">
        <f>SUM(Results_Res!W30,Results_Out!W30,Results_Ind!W30,Results_Com!W30)</f>
        <v>0.27269812882455013</v>
      </c>
      <c r="X30" s="200">
        <f>SUM(Results_Res!X30,Results_Out!X30,Results_Ind!X30,Results_Com!X30)</f>
        <v>0.24502865013264144</v>
      </c>
      <c r="Y30" s="200">
        <f>SUM(Results_Res!Y30,Results_Out!Y30,Results_Ind!Y30,Results_Com!Y30)</f>
        <v>0.22033801848996445</v>
      </c>
      <c r="Z30" s="200">
        <f>SUM(Results_Res!Z30,Results_Out!Z30,Results_Ind!Z30,Results_Com!Z30)</f>
        <v>0.19828560260148809</v>
      </c>
      <c r="AA30" s="200">
        <f>SUM(Results_Res!AA30,Results_Out!AA30,Results_Ind!AA30,Results_Com!AA30)</f>
        <v>0.17851041689236671</v>
      </c>
      <c r="AB30" s="200">
        <f>SUM(Results_Res!AB30,Results_Out!AB30,Results_Ind!AB30,Results_Com!AB30)</f>
        <v>0.1608274936992217</v>
      </c>
      <c r="AC30" s="200">
        <f>SUM(Results_Res!AC30,Results_Out!AC30,Results_Ind!AC30,Results_Com!AC30)</f>
        <v>0.1450015739846631</v>
      </c>
      <c r="AD30" s="200">
        <f>SUM(Results_Res!AD30,Results_Out!AD30,Results_Ind!AD30,Results_Com!AD30)</f>
        <v>0.13082339994520781</v>
      </c>
      <c r="AE30" s="200">
        <f>SUM(Results_Res!AE30,Results_Out!AE30,Results_Ind!AE30,Results_Com!AE30)</f>
        <v>0.11807580424824667</v>
      </c>
      <c r="AF30" s="200">
        <f>SUM(Results_Res!AF30,Results_Out!AF30,Results_Ind!AF30,Results_Com!AF30)</f>
        <v>0.1066428733205539</v>
      </c>
    </row>
    <row r="31" spans="1:32" s="221" customFormat="1" ht="14.45" x14ac:dyDescent="0.35">
      <c r="A31" s="839"/>
      <c r="B31" s="550" t="s">
        <v>29</v>
      </c>
      <c r="C31" s="539"/>
      <c r="D31" s="539"/>
      <c r="E31" s="539"/>
      <c r="F31" s="539"/>
      <c r="G31" s="200">
        <f>SUM(Results_Res!G31,Results_Out!G31,Results_Ind!G31,Results_Com!G31)</f>
        <v>0</v>
      </c>
      <c r="H31" s="200">
        <f>SUM(Results_Res!H31,Results_Out!H31,Results_Ind!H31,Results_Com!H31)</f>
        <v>0.40984528548947191</v>
      </c>
      <c r="I31" s="200">
        <f>SUM(Results_Res!I31,Results_Out!I31,Results_Ind!I31,Results_Com!I31)</f>
        <v>0.71352497818947869</v>
      </c>
      <c r="J31" s="200">
        <f>SUM(Results_Res!J31,Results_Out!J31,Results_Ind!J31,Results_Com!J31)</f>
        <v>0.93685271914200352</v>
      </c>
      <c r="K31" s="200">
        <f>SUM(Results_Res!K31,Results_Out!K31,Results_Ind!K31,Results_Com!K31)</f>
        <v>1.0996133828040682</v>
      </c>
      <c r="L31" s="200">
        <f>SUM(Results_Res!L31,Results_Out!L31,Results_Ind!L31,Results_Com!L31)</f>
        <v>1.2176229266492644</v>
      </c>
      <c r="M31" s="200">
        <f>SUM(Results_Res!M31,Results_Out!M31,Results_Ind!M31,Results_Com!M31)</f>
        <v>1.3010099838024958</v>
      </c>
      <c r="N31" s="200">
        <f>SUM(Results_Res!N31,Results_Out!N31,Results_Ind!N31,Results_Com!N31)</f>
        <v>1.3600540164957167</v>
      </c>
      <c r="O31" s="200">
        <f>SUM(Results_Res!O31,Results_Out!O31,Results_Ind!O31,Results_Com!O31)</f>
        <v>1.4029620223380366</v>
      </c>
      <c r="P31" s="200">
        <f>SUM(Results_Res!P31,Results_Out!P31,Results_Ind!P31,Results_Com!P31)</f>
        <v>1.4319865482706173</v>
      </c>
      <c r="Q31" s="200">
        <f>SUM(Results_Res!Q31,Results_Out!Q31,Results_Ind!Q31,Results_Com!Q31)</f>
        <v>1.4517398863439401</v>
      </c>
      <c r="R31" s="200">
        <f>SUM(Results_Res!R31,Results_Out!R31,Results_Ind!R31,Results_Com!R31)</f>
        <v>1.4630837750219372</v>
      </c>
      <c r="S31" s="200">
        <f>SUM(Results_Res!S31,Results_Out!S31,Results_Ind!S31,Results_Com!S31)</f>
        <v>1.4685553070425343</v>
      </c>
      <c r="T31" s="200">
        <f>SUM(Results_Res!T31,Results_Out!T31,Results_Ind!T31,Results_Com!T31)</f>
        <v>1.4697417944110478</v>
      </c>
      <c r="U31" s="200">
        <f>SUM(Results_Res!U31,Results_Out!U31,Results_Ind!U31,Results_Com!U31)</f>
        <v>1.4667849043841776</v>
      </c>
      <c r="V31" s="200">
        <f>SUM(Results_Res!V31,Results_Out!V31,Results_Ind!V31,Results_Com!V31)</f>
        <v>1.4619335952592709</v>
      </c>
      <c r="W31" s="200">
        <f>SUM(Results_Res!W31,Results_Out!W31,Results_Ind!W31,Results_Com!W31)</f>
        <v>1.4539990995414029</v>
      </c>
      <c r="X31" s="200">
        <f>SUM(Results_Res!X31,Results_Out!X31,Results_Ind!X31,Results_Com!X31)</f>
        <v>1.4451189543884826</v>
      </c>
      <c r="Y31" s="200">
        <f>SUM(Results_Res!Y31,Results_Out!Y31,Results_Ind!Y31,Results_Com!Y31)</f>
        <v>1.4357921676512904</v>
      </c>
      <c r="Z31" s="200">
        <f>SUM(Results_Res!Z31,Results_Out!Z31,Results_Ind!Z31,Results_Com!Z31)</f>
        <v>1.4257146086630232</v>
      </c>
      <c r="AA31" s="200">
        <f>SUM(Results_Res!AA31,Results_Out!AA31,Results_Ind!AA31,Results_Com!AA31)</f>
        <v>1.4156469997958747</v>
      </c>
      <c r="AB31" s="200">
        <f>SUM(Results_Res!AB31,Results_Out!AB31,Results_Ind!AB31,Results_Com!AB31)</f>
        <v>1.4048154961790009</v>
      </c>
      <c r="AC31" s="200">
        <f>SUM(Results_Res!AC31,Results_Out!AC31,Results_Ind!AC31,Results_Com!AC31)</f>
        <v>1.3936660309273983</v>
      </c>
      <c r="AD31" s="200">
        <f>SUM(Results_Res!AD31,Results_Out!AD31,Results_Ind!AD31,Results_Com!AD31)</f>
        <v>1.3823657828582823</v>
      </c>
      <c r="AE31" s="200">
        <f>SUM(Results_Res!AE31,Results_Out!AE31,Results_Ind!AE31,Results_Com!AE31)</f>
        <v>1.371062165833983</v>
      </c>
      <c r="AF31" s="200">
        <f>SUM(Results_Res!AF31,Results_Out!AF31,Results_Ind!AF31,Results_Com!AF31)</f>
        <v>1.3598076735996516</v>
      </c>
    </row>
    <row r="32" spans="1:32" s="221" customFormat="1" ht="14.45" x14ac:dyDescent="0.35">
      <c r="A32" s="839"/>
      <c r="B32" s="550"/>
      <c r="C32" s="539"/>
      <c r="D32" s="539"/>
      <c r="E32" s="539"/>
      <c r="F32" s="539"/>
      <c r="G32" s="549"/>
      <c r="H32" s="549"/>
      <c r="I32" s="549"/>
      <c r="J32" s="549"/>
      <c r="K32" s="549"/>
      <c r="L32" s="549"/>
      <c r="M32" s="549"/>
      <c r="N32" s="549"/>
      <c r="O32" s="549"/>
      <c r="P32" s="549"/>
      <c r="Q32" s="549"/>
      <c r="R32" s="549"/>
      <c r="S32" s="549"/>
      <c r="T32" s="549"/>
      <c r="U32" s="549"/>
      <c r="V32" s="549"/>
      <c r="W32" s="549"/>
      <c r="X32" s="549"/>
      <c r="Y32" s="549"/>
      <c r="Z32" s="549"/>
      <c r="AA32" s="549"/>
      <c r="AB32" s="549"/>
      <c r="AC32" s="549"/>
      <c r="AD32" s="549"/>
      <c r="AE32" s="549"/>
      <c r="AF32" s="549"/>
    </row>
    <row r="33" spans="1:32" s="202" customFormat="1" ht="12.95" x14ac:dyDescent="0.3">
      <c r="A33" s="843" t="s">
        <v>47</v>
      </c>
      <c r="B33" s="556"/>
      <c r="C33" s="556"/>
      <c r="D33" s="556"/>
      <c r="E33" s="556"/>
      <c r="F33" s="556"/>
      <c r="G33" s="632"/>
      <c r="H33" s="632"/>
      <c r="I33" s="632"/>
      <c r="J33" s="632"/>
      <c r="K33" s="632"/>
      <c r="L33" s="632"/>
      <c r="M33" s="632"/>
      <c r="N33" s="632"/>
      <c r="O33" s="632"/>
      <c r="P33" s="632"/>
      <c r="Q33" s="632"/>
      <c r="R33" s="632"/>
      <c r="S33" s="632"/>
      <c r="T33" s="632"/>
      <c r="U33" s="632"/>
      <c r="V33" s="632"/>
      <c r="W33" s="632"/>
      <c r="X33" s="632"/>
      <c r="Y33" s="632"/>
      <c r="Z33" s="632"/>
      <c r="AA33" s="632"/>
      <c r="AB33" s="632"/>
      <c r="AC33" s="632"/>
      <c r="AD33" s="632"/>
      <c r="AE33" s="632"/>
      <c r="AF33" s="632"/>
    </row>
    <row r="34" spans="1:32" s="221" customFormat="1" ht="14.45" x14ac:dyDescent="0.35">
      <c r="A34" s="839"/>
      <c r="B34" s="550" t="s">
        <v>48</v>
      </c>
      <c r="C34" s="539"/>
      <c r="D34" s="539"/>
      <c r="E34" s="539"/>
      <c r="F34" s="539"/>
      <c r="G34" s="200">
        <f>SUM(Results_Res!G34,Results_Out!G34,Results_Ind!G34,Results_Com!G34)</f>
        <v>20.921389239652761</v>
      </c>
      <c r="H34" s="200">
        <f>SUM(Results_Res!H34,Results_Out!H34,Results_Ind!H34,Results_Com!H34)</f>
        <v>19.331547399383023</v>
      </c>
      <c r="I34" s="200">
        <f>SUM(Results_Res!I34,Results_Out!I34,Results_Ind!I34,Results_Com!I34)</f>
        <v>19.468533748379532</v>
      </c>
      <c r="J34" s="200">
        <f>SUM(Results_Res!J34,Results_Out!J34,Results_Ind!J34,Results_Com!J34)</f>
        <v>19.799715425087495</v>
      </c>
      <c r="K34" s="200">
        <f>SUM(Results_Res!K34,Results_Out!K34,Results_Ind!K34,Results_Com!K34)</f>
        <v>20.146540309745873</v>
      </c>
      <c r="L34" s="200">
        <f>SUM(Results_Res!L34,Results_Out!L34,Results_Ind!L34,Results_Com!L34)</f>
        <v>20.496054455853137</v>
      </c>
      <c r="M34" s="200">
        <f>SUM(Results_Res!M34,Results_Out!M34,Results_Ind!M34,Results_Com!M34)</f>
        <v>20.843514757539854</v>
      </c>
      <c r="N34" s="200">
        <f>SUM(Results_Res!N34,Results_Out!N34,Results_Ind!N34,Results_Com!N34)</f>
        <v>21.182773101852675</v>
      </c>
      <c r="O34" s="200">
        <f>SUM(Results_Res!O34,Results_Out!O34,Results_Ind!O34,Results_Com!O34)</f>
        <v>21.515270746356272</v>
      </c>
      <c r="P34" s="200">
        <f>SUM(Results_Res!P34,Results_Out!P34,Results_Ind!P34,Results_Com!P34)</f>
        <v>21.841896755091248</v>
      </c>
      <c r="Q34" s="200">
        <f>SUM(Results_Res!Q34,Results_Out!Q34,Results_Ind!Q34,Results_Com!Q34)</f>
        <v>22.16239366367531</v>
      </c>
      <c r="R34" s="200">
        <f>SUM(Results_Res!R34,Results_Out!R34,Results_Ind!R34,Results_Com!R34)</f>
        <v>22.471871245409314</v>
      </c>
      <c r="S34" s="200">
        <f>SUM(Results_Res!S34,Results_Out!S34,Results_Ind!S34,Results_Com!S34)</f>
        <v>22.776663075764251</v>
      </c>
      <c r="T34" s="200">
        <f>SUM(Results_Res!T34,Results_Out!T34,Results_Ind!T34,Results_Com!T34)</f>
        <v>23.075991999653436</v>
      </c>
      <c r="U34" s="200">
        <f>SUM(Results_Res!U34,Results_Out!U34,Results_Ind!U34,Results_Com!U34)</f>
        <v>23.369136118842142</v>
      </c>
      <c r="V34" s="200">
        <f>SUM(Results_Res!V34,Results_Out!V34,Results_Ind!V34,Results_Com!V34)</f>
        <v>23.658803800331391</v>
      </c>
      <c r="W34" s="200">
        <f>SUM(Results_Res!W34,Results_Out!W34,Results_Ind!W34,Results_Com!W34)</f>
        <v>23.941973973901057</v>
      </c>
      <c r="X34" s="200">
        <f>SUM(Results_Res!X34,Results_Out!X34,Results_Ind!X34,Results_Com!X34)</f>
        <v>24.215613943525597</v>
      </c>
      <c r="Y34" s="200">
        <f>SUM(Results_Res!Y34,Results_Out!Y34,Results_Ind!Y34,Results_Com!Y34)</f>
        <v>24.477971990297075</v>
      </c>
      <c r="Z34" s="200">
        <f>SUM(Results_Res!Z34,Results_Out!Z34,Results_Ind!Z34,Results_Com!Z34)</f>
        <v>24.731596351889699</v>
      </c>
      <c r="AA34" s="200">
        <f>SUM(Results_Res!AA34,Results_Out!AA34,Results_Ind!AA34,Results_Com!AA34)</f>
        <v>24.980178047882685</v>
      </c>
      <c r="AB34" s="200">
        <f>SUM(Results_Res!AB34,Results_Out!AB34,Results_Ind!AB34,Results_Com!AB34)</f>
        <v>25.229241608901606</v>
      </c>
      <c r="AC34" s="200">
        <f>SUM(Results_Res!AC34,Results_Out!AC34,Results_Ind!AC34,Results_Com!AC34)</f>
        <v>25.470434253455977</v>
      </c>
      <c r="AD34" s="200">
        <f>SUM(Results_Res!AD34,Results_Out!AD34,Results_Ind!AD34,Results_Com!AD34)</f>
        <v>25.703469751271772</v>
      </c>
      <c r="AE34" s="200">
        <f>SUM(Results_Res!AE34,Results_Out!AE34,Results_Ind!AE34,Results_Com!AE34)</f>
        <v>25.928069259016137</v>
      </c>
      <c r="AF34" s="200">
        <f>SUM(Results_Res!AF34,Results_Out!AF34,Results_Ind!AF34,Results_Com!AF34)</f>
        <v>26.143961863888734</v>
      </c>
    </row>
    <row r="35" spans="1:32" s="221" customFormat="1" x14ac:dyDescent="0.25">
      <c r="A35" s="839"/>
      <c r="B35" s="552" t="s">
        <v>50</v>
      </c>
      <c r="C35" s="539"/>
      <c r="D35" s="539"/>
      <c r="E35" s="539"/>
      <c r="F35" s="539"/>
      <c r="G35" s="200">
        <f>SUM(Results_Res!G35,Results_Out!G35,Results_Ind!G35,Results_Com!G35)</f>
        <v>10.359244207358605</v>
      </c>
      <c r="H35" s="200">
        <f>SUM(Results_Res!H35,Results_Out!H35,Results_Ind!H35,Results_Com!H35)</f>
        <v>10.052134501224655</v>
      </c>
      <c r="I35" s="200">
        <f>SUM(Results_Res!I35,Results_Out!I35,Results_Ind!I35,Results_Com!I35)</f>
        <v>9.9204913019130707</v>
      </c>
      <c r="J35" s="200">
        <f>SUM(Results_Res!J35,Results_Out!J35,Results_Ind!J35,Results_Com!J35)</f>
        <v>9.8831229167662347</v>
      </c>
      <c r="K35" s="200">
        <f>SUM(Results_Res!K35,Results_Out!K35,Results_Ind!K35,Results_Com!K35)</f>
        <v>9.8927747721222481</v>
      </c>
      <c r="L35" s="200">
        <f>SUM(Results_Res!L35,Results_Out!L35,Results_Ind!L35,Results_Com!L35)</f>
        <v>9.9302830405746434</v>
      </c>
      <c r="M35" s="200">
        <f>SUM(Results_Res!M35,Results_Out!M35,Results_Ind!M35,Results_Com!M35)</f>
        <v>9.9761093485123418</v>
      </c>
      <c r="N35" s="200">
        <f>SUM(Results_Res!N35,Results_Out!N35,Results_Ind!N35,Results_Com!N35)</f>
        <v>10.0294526754533</v>
      </c>
      <c r="O35" s="200">
        <f>SUM(Results_Res!O35,Results_Out!O35,Results_Ind!O35,Results_Com!O35)</f>
        <v>10.095428734575385</v>
      </c>
      <c r="P35" s="200">
        <f>SUM(Results_Res!P35,Results_Out!P35,Results_Ind!P35,Results_Com!P35)</f>
        <v>10.162082044773863</v>
      </c>
      <c r="Q35" s="200">
        <f>SUM(Results_Res!Q35,Results_Out!Q35,Results_Ind!Q35,Results_Com!Q35)</f>
        <v>10.232817855029246</v>
      </c>
      <c r="R35" s="200">
        <f>SUM(Results_Res!R35,Results_Out!R35,Results_Ind!R35,Results_Com!R35)</f>
        <v>10.298709529313284</v>
      </c>
      <c r="S35" s="200">
        <f>SUM(Results_Res!S35,Results_Out!S35,Results_Ind!S35,Results_Com!S35)</f>
        <v>10.362492634698663</v>
      </c>
      <c r="T35" s="200">
        <f>SUM(Results_Res!T35,Results_Out!T35,Results_Ind!T35,Results_Com!T35)</f>
        <v>10.424186168776073</v>
      </c>
      <c r="U35" s="200">
        <f>SUM(Results_Res!U35,Results_Out!U35,Results_Ind!U35,Results_Com!U35)</f>
        <v>10.484316663949864</v>
      </c>
      <c r="V35" s="200">
        <f>SUM(Results_Res!V35,Results_Out!V35,Results_Ind!V35,Results_Com!V35)</f>
        <v>10.543187315078526</v>
      </c>
      <c r="W35" s="200">
        <f>SUM(Results_Res!W35,Results_Out!W35,Results_Ind!W35,Results_Com!W35)</f>
        <v>10.59761601039461</v>
      </c>
      <c r="X35" s="200">
        <f>SUM(Results_Res!X35,Results_Out!X35,Results_Ind!X35,Results_Com!X35)</f>
        <v>10.652420452161961</v>
      </c>
      <c r="Y35" s="200">
        <f>SUM(Results_Res!Y35,Results_Out!Y35,Results_Ind!Y35,Results_Com!Y35)</f>
        <v>10.707635192342471</v>
      </c>
      <c r="Z35" s="200">
        <f>SUM(Results_Res!Z35,Results_Out!Z35,Results_Ind!Z35,Results_Com!Z35)</f>
        <v>10.761284636290249</v>
      </c>
      <c r="AA35" s="200">
        <f>SUM(Results_Res!AA35,Results_Out!AA35,Results_Ind!AA35,Results_Com!AA35)</f>
        <v>10.812104763651195</v>
      </c>
      <c r="AB35" s="200">
        <f>SUM(Results_Res!AB35,Results_Out!AB35,Results_Ind!AB35,Results_Com!AB35)</f>
        <v>10.861865106624524</v>
      </c>
      <c r="AC35" s="200">
        <f>SUM(Results_Res!AC35,Results_Out!AC35,Results_Ind!AC35,Results_Com!AC35)</f>
        <v>10.909660602329748</v>
      </c>
      <c r="AD35" s="200">
        <f>SUM(Results_Res!AD35,Results_Out!AD35,Results_Ind!AD35,Results_Com!AD35)</f>
        <v>10.955423776935206</v>
      </c>
      <c r="AE35" s="200">
        <f>SUM(Results_Res!AE35,Results_Out!AE35,Results_Ind!AE35,Results_Com!AE35)</f>
        <v>10.999088277264299</v>
      </c>
      <c r="AF35" s="200">
        <f>SUM(Results_Res!AF35,Results_Out!AF35,Results_Ind!AF35,Results_Com!AF35)</f>
        <v>11.040588856308373</v>
      </c>
    </row>
    <row r="36" spans="1:32" s="221" customFormat="1" x14ac:dyDescent="0.25">
      <c r="A36" s="839"/>
      <c r="B36" s="550" t="s">
        <v>51</v>
      </c>
      <c r="C36" s="539"/>
      <c r="D36" s="539"/>
      <c r="E36" s="539"/>
      <c r="F36" s="539"/>
      <c r="G36" s="200">
        <f>SUM(Results_Res!G36,Results_Out!G36,Results_Ind!G36,Results_Com!G36)</f>
        <v>23.951299132468478</v>
      </c>
      <c r="H36" s="200">
        <f>SUM(Results_Res!H36,Results_Out!H36,Results_Ind!H36,Results_Com!H36)</f>
        <v>24.050872549020738</v>
      </c>
      <c r="I36" s="200">
        <f>SUM(Results_Res!I36,Results_Out!I36,Results_Ind!I36,Results_Com!I36)</f>
        <v>24.180330940510952</v>
      </c>
      <c r="J36" s="200">
        <f>SUM(Results_Res!J36,Results_Out!J36,Results_Ind!J36,Results_Com!J36)</f>
        <v>24.312260622238952</v>
      </c>
      <c r="K36" s="200">
        <f>SUM(Results_Res!K36,Results_Out!K36,Results_Ind!K36,Results_Com!K36)</f>
        <v>24.430377951850762</v>
      </c>
      <c r="L36" s="200">
        <f>SUM(Results_Res!L36,Results_Out!L36,Results_Ind!L36,Results_Com!L36)</f>
        <v>24.541884371576785</v>
      </c>
      <c r="M36" s="200">
        <f>SUM(Results_Res!M36,Results_Out!M36,Results_Ind!M36,Results_Com!M36)</f>
        <v>24.62632163465986</v>
      </c>
      <c r="N36" s="200">
        <f>SUM(Results_Res!N36,Results_Out!N36,Results_Ind!N36,Results_Com!N36)</f>
        <v>24.706579257347794</v>
      </c>
      <c r="O36" s="200">
        <f>SUM(Results_Res!O36,Results_Out!O36,Results_Ind!O36,Results_Com!O36)</f>
        <v>24.811906020604809</v>
      </c>
      <c r="P36" s="200">
        <f>SUM(Results_Res!P36,Results_Out!P36,Results_Ind!P36,Results_Com!P36)</f>
        <v>24.910995354874416</v>
      </c>
      <c r="Q36" s="200">
        <f>SUM(Results_Res!Q36,Results_Out!Q36,Results_Ind!Q36,Results_Com!Q36)</f>
        <v>25.019221369937299</v>
      </c>
      <c r="R36" s="200">
        <f>SUM(Results_Res!R36,Results_Out!R36,Results_Ind!R36,Results_Com!R36)</f>
        <v>25.112079395247658</v>
      </c>
      <c r="S36" s="200">
        <f>SUM(Results_Res!S36,Results_Out!S36,Results_Ind!S36,Results_Com!S36)</f>
        <v>25.197168170588395</v>
      </c>
      <c r="T36" s="200">
        <f>SUM(Results_Res!T36,Results_Out!T36,Results_Ind!T36,Results_Com!T36)</f>
        <v>25.275619918847759</v>
      </c>
      <c r="U36" s="200">
        <f>SUM(Results_Res!U36,Results_Out!U36,Results_Ind!U36,Results_Com!U36)</f>
        <v>25.349883527748133</v>
      </c>
      <c r="V36" s="200">
        <f>SUM(Results_Res!V36,Results_Out!V36,Results_Ind!V36,Results_Com!V36)</f>
        <v>25.420052702072685</v>
      </c>
      <c r="W36" s="200">
        <f>SUM(Results_Res!W36,Results_Out!W36,Results_Ind!W36,Results_Com!W36)</f>
        <v>25.477111156462939</v>
      </c>
      <c r="X36" s="200">
        <f>SUM(Results_Res!X36,Results_Out!X36,Results_Ind!X36,Results_Com!X36)</f>
        <v>25.538240054236944</v>
      </c>
      <c r="Y36" s="200">
        <f>SUM(Results_Res!Y36,Results_Out!Y36,Results_Ind!Y36,Results_Com!Y36)</f>
        <v>25.604435779360621</v>
      </c>
      <c r="Z36" s="200">
        <f>SUM(Results_Res!Z36,Results_Out!Z36,Results_Ind!Z36,Results_Com!Z36)</f>
        <v>25.668184947203798</v>
      </c>
      <c r="AA36" s="200">
        <f>SUM(Results_Res!AA36,Results_Out!AA36,Results_Ind!AA36,Results_Com!AA36)</f>
        <v>25.72373210681377</v>
      </c>
      <c r="AB36" s="200">
        <f>SUM(Results_Res!AB36,Results_Out!AB36,Results_Ind!AB36,Results_Com!AB36)</f>
        <v>25.774470384036523</v>
      </c>
      <c r="AC36" s="200">
        <f>SUM(Results_Res!AC36,Results_Out!AC36,Results_Ind!AC36,Results_Com!AC36)</f>
        <v>25.821094828686046</v>
      </c>
      <c r="AD36" s="200">
        <f>SUM(Results_Res!AD36,Results_Out!AD36,Results_Ind!AD36,Results_Com!AD36)</f>
        <v>25.863533379278326</v>
      </c>
      <c r="AE36" s="200">
        <f>SUM(Results_Res!AE36,Results_Out!AE36,Results_Ind!AE36,Results_Com!AE36)</f>
        <v>25.901715623461246</v>
      </c>
      <c r="AF36" s="200">
        <f>SUM(Results_Res!AF36,Results_Out!AF36,Results_Ind!AF36,Results_Com!AF36)</f>
        <v>25.935572938379337</v>
      </c>
    </row>
    <row r="37" spans="1:32" s="221" customFormat="1" x14ac:dyDescent="0.25">
      <c r="A37" s="839"/>
      <c r="B37" s="550" t="s">
        <v>52</v>
      </c>
      <c r="C37" s="539"/>
      <c r="D37" s="539"/>
      <c r="E37" s="539"/>
      <c r="F37" s="539"/>
      <c r="G37" s="200">
        <f>SUM(Results_Res!G37,Results_Out!G37,Results_Ind!G37,Results_Com!G37)</f>
        <v>20.941812874186859</v>
      </c>
      <c r="H37" s="200">
        <f>SUM(Results_Res!H37,Results_Out!H37,Results_Ind!H37,Results_Com!H37)</f>
        <v>21.207519221294728</v>
      </c>
      <c r="I37" s="200">
        <f>SUM(Results_Res!I37,Results_Out!I37,Results_Ind!I37,Results_Com!I37)</f>
        <v>21.501767570132817</v>
      </c>
      <c r="J37" s="200">
        <f>SUM(Results_Res!J37,Results_Out!J37,Results_Ind!J37,Results_Com!J37)</f>
        <v>21.80150372919876</v>
      </c>
      <c r="K37" s="200">
        <f>SUM(Results_Res!K37,Results_Out!K37,Results_Ind!K37,Results_Com!K37)</f>
        <v>22.091815639785004</v>
      </c>
      <c r="L37" s="200">
        <f>SUM(Results_Res!L37,Results_Out!L37,Results_Ind!L37,Results_Com!L37)</f>
        <v>22.379146641400688</v>
      </c>
      <c r="M37" s="200">
        <f>SUM(Results_Res!M37,Results_Out!M37,Results_Ind!M37,Results_Com!M37)</f>
        <v>22.645195826363601</v>
      </c>
      <c r="N37" s="200">
        <f>SUM(Results_Res!N37,Results_Out!N37,Results_Ind!N37,Results_Com!N37)</f>
        <v>22.90931704103367</v>
      </c>
      <c r="O37" s="200">
        <f>SUM(Results_Res!O37,Results_Out!O37,Results_Ind!O37,Results_Com!O37)</f>
        <v>23.1977152726936</v>
      </c>
      <c r="P37" s="200">
        <f>SUM(Results_Res!P37,Results_Out!P37,Results_Ind!P37,Results_Com!P37)</f>
        <v>23.482776037928272</v>
      </c>
      <c r="Q37" s="200">
        <f>SUM(Results_Res!Q37,Results_Out!Q37,Results_Ind!Q37,Results_Com!Q37)</f>
        <v>23.778393495015223</v>
      </c>
      <c r="R37" s="200">
        <f>SUM(Results_Res!R37,Results_Out!R37,Results_Ind!R37,Results_Com!R37)</f>
        <v>24.062029975349681</v>
      </c>
      <c r="S37" s="200">
        <f>SUM(Results_Res!S37,Results_Out!S37,Results_Ind!S37,Results_Com!S37)</f>
        <v>24.340664115751295</v>
      </c>
      <c r="T37" s="200">
        <f>SUM(Results_Res!T37,Results_Out!T37,Results_Ind!T37,Results_Com!T37)</f>
        <v>24.615145216150566</v>
      </c>
      <c r="U37" s="200">
        <f>SUM(Results_Res!U37,Results_Out!U37,Results_Ind!U37,Results_Com!U37)</f>
        <v>24.887912320804162</v>
      </c>
      <c r="V37" s="200">
        <f>SUM(Results_Res!V37,Results_Out!V37,Results_Ind!V37,Results_Com!V37)</f>
        <v>25.158804160346055</v>
      </c>
      <c r="W37" s="200">
        <f>SUM(Results_Res!W37,Results_Out!W37,Results_Ind!W37,Results_Com!W37)</f>
        <v>25.419167806872618</v>
      </c>
      <c r="X37" s="200">
        <f>SUM(Results_Res!X37,Results_Out!X37,Results_Ind!X37,Results_Com!X37)</f>
        <v>25.685286105890043</v>
      </c>
      <c r="Y37" s="200">
        <f>SUM(Results_Res!Y37,Results_Out!Y37,Results_Ind!Y37,Results_Com!Y37)</f>
        <v>25.958021938300053</v>
      </c>
      <c r="Z37" s="200">
        <f>SUM(Results_Res!Z37,Results_Out!Z37,Results_Ind!Z37,Results_Com!Z37)</f>
        <v>26.230373543539244</v>
      </c>
      <c r="AA37" s="200">
        <f>SUM(Results_Res!AA37,Results_Out!AA37,Results_Ind!AA37,Results_Com!AA37)</f>
        <v>26.496643405627644</v>
      </c>
      <c r="AB37" s="200">
        <f>SUM(Results_Res!AB37,Results_Out!AB37,Results_Ind!AB37,Results_Com!AB37)</f>
        <v>26.759962562640869</v>
      </c>
      <c r="AC37" s="200">
        <f>SUM(Results_Res!AC37,Results_Out!AC37,Results_Ind!AC37,Results_Com!AC37)</f>
        <v>27.020885150768809</v>
      </c>
      <c r="AD37" s="200">
        <f>SUM(Results_Res!AD37,Results_Out!AD37,Results_Ind!AD37,Results_Com!AD37)</f>
        <v>27.279264971355943</v>
      </c>
      <c r="AE37" s="200">
        <f>SUM(Results_Res!AE37,Results_Out!AE37,Results_Ind!AE37,Results_Com!AE37)</f>
        <v>27.534728201168626</v>
      </c>
      <c r="AF37" s="200">
        <f>SUM(Results_Res!AF37,Results_Out!AF37,Results_Ind!AF37,Results_Com!AF37)</f>
        <v>27.787277191500696</v>
      </c>
    </row>
    <row r="38" spans="1:32" s="221" customFormat="1" x14ac:dyDescent="0.25">
      <c r="A38" s="839"/>
      <c r="B38" s="552" t="s">
        <v>29</v>
      </c>
      <c r="C38" s="539"/>
      <c r="D38" s="539"/>
      <c r="E38" s="539"/>
      <c r="F38" s="539"/>
      <c r="G38" s="200">
        <f>SUM(Results_Res!G38,Results_Out!G38,Results_Ind!G38,Results_Com!G38)</f>
        <v>4.0476134408202613</v>
      </c>
      <c r="H38" s="200">
        <f>SUM(Results_Res!H38,Results_Out!H38,Results_Ind!H38,Results_Com!H38)</f>
        <v>6.9641849853874565</v>
      </c>
      <c r="I38" s="200">
        <f>SUM(Results_Res!I38,Results_Out!I38,Results_Ind!I38,Results_Com!I38)</f>
        <v>8.0273921647243771</v>
      </c>
      <c r="J38" s="200">
        <f>SUM(Results_Res!J38,Results_Out!J38,Results_Ind!J38,Results_Com!J38)</f>
        <v>8.82617300740303</v>
      </c>
      <c r="K38" s="200">
        <f>SUM(Results_Res!K38,Results_Out!K38,Results_Ind!K38,Results_Com!K38)</f>
        <v>9.554406455479981</v>
      </c>
      <c r="L38" s="200">
        <f>SUM(Results_Res!L38,Results_Out!L38,Results_Ind!L38,Results_Com!L38)</f>
        <v>10.259814293200636</v>
      </c>
      <c r="M38" s="200">
        <f>SUM(Results_Res!M38,Results_Out!M38,Results_Ind!M38,Results_Com!M38)</f>
        <v>10.94564872407622</v>
      </c>
      <c r="N38" s="200">
        <f>SUM(Results_Res!N38,Results_Out!N38,Results_Ind!N38,Results_Com!N38)</f>
        <v>11.629997584334866</v>
      </c>
      <c r="O38" s="200">
        <f>SUM(Results_Res!O38,Results_Out!O38,Results_Ind!O38,Results_Com!O38)</f>
        <v>12.333843701152027</v>
      </c>
      <c r="P38" s="200">
        <f>SUM(Results_Res!P38,Results_Out!P38,Results_Ind!P38,Results_Com!P38)</f>
        <v>13.042387110857216</v>
      </c>
      <c r="Q38" s="200">
        <f>SUM(Results_Res!Q38,Results_Out!Q38,Results_Ind!Q38,Results_Com!Q38)</f>
        <v>13.766298295867344</v>
      </c>
      <c r="R38" s="200">
        <f>SUM(Results_Res!R38,Results_Out!R38,Results_Ind!R38,Results_Com!R38)</f>
        <v>14.490676971718512</v>
      </c>
      <c r="S38" s="200">
        <f>SUM(Results_Res!S38,Results_Out!S38,Results_Ind!S38,Results_Com!S38)</f>
        <v>15.220164632775131</v>
      </c>
      <c r="T38" s="200">
        <f>SUM(Results_Res!T38,Results_Out!T38,Results_Ind!T38,Results_Com!T38)</f>
        <v>15.95520514688698</v>
      </c>
      <c r="U38" s="200">
        <f>SUM(Results_Res!U38,Results_Out!U38,Results_Ind!U38,Results_Com!U38)</f>
        <v>16.696940474483931</v>
      </c>
      <c r="V38" s="200">
        <f>SUM(Results_Res!V38,Results_Out!V38,Results_Ind!V38,Results_Com!V38)</f>
        <v>17.445550306183549</v>
      </c>
      <c r="W38" s="200">
        <f>SUM(Results_Res!W38,Results_Out!W38,Results_Ind!W38,Results_Com!W38)</f>
        <v>18.193168818019476</v>
      </c>
      <c r="X38" s="200">
        <f>SUM(Results_Res!X38,Results_Out!X38,Results_Ind!X38,Results_Com!X38)</f>
        <v>18.953000220380705</v>
      </c>
      <c r="Y38" s="200">
        <f>SUM(Results_Res!Y38,Results_Out!Y38,Results_Ind!Y38,Results_Com!Y38)</f>
        <v>19.726465180136017</v>
      </c>
      <c r="Z38" s="200">
        <f>SUM(Results_Res!Z38,Results_Out!Z38,Results_Ind!Z38,Results_Com!Z38)</f>
        <v>20.507236572029882</v>
      </c>
      <c r="AA38" s="200">
        <f>SUM(Results_Res!AA38,Results_Out!AA38,Results_Ind!AA38,Results_Com!AA38)</f>
        <v>21.289955994207247</v>
      </c>
      <c r="AB38" s="200">
        <f>SUM(Results_Res!AB38,Results_Out!AB38,Results_Ind!AB38,Results_Com!AB38)</f>
        <v>22.077572800591803</v>
      </c>
      <c r="AC38" s="200">
        <f>SUM(Results_Res!AC38,Results_Out!AC38,Results_Ind!AC38,Results_Com!AC38)</f>
        <v>22.869930009015157</v>
      </c>
      <c r="AD38" s="200">
        <f>SUM(Results_Res!AD38,Results_Out!AD38,Results_Ind!AD38,Results_Com!AD38)</f>
        <v>23.666593578211142</v>
      </c>
      <c r="AE38" s="200">
        <f>SUM(Results_Res!AE38,Results_Out!AE38,Results_Ind!AE38,Results_Com!AE38)</f>
        <v>24.467346691239364</v>
      </c>
      <c r="AF38" s="200">
        <f>SUM(Results_Res!AF38,Results_Out!AF38,Results_Ind!AF38,Results_Com!AF38)</f>
        <v>25.27158679755286</v>
      </c>
    </row>
    <row r="39" spans="1:32" s="221" customFormat="1" x14ac:dyDescent="0.25">
      <c r="A39" s="839"/>
      <c r="B39" s="552" t="s">
        <v>53</v>
      </c>
      <c r="C39" s="539"/>
      <c r="D39" s="539"/>
      <c r="E39" s="539"/>
      <c r="F39" s="539"/>
      <c r="G39" s="200">
        <f>SUM(Results_Res!G39,Results_Out!G39,Results_Ind!G39,Results_Com!G39)</f>
        <v>0.13077055029251408</v>
      </c>
      <c r="H39" s="200">
        <f>SUM(Results_Res!H39,Results_Out!H39,Results_Ind!H39,Results_Com!H39)</f>
        <v>0.13393711179292206</v>
      </c>
      <c r="I39" s="200">
        <f>SUM(Results_Res!I39,Results_Out!I39,Results_Ind!I39,Results_Com!I39)</f>
        <v>0.13723279736107036</v>
      </c>
      <c r="J39" s="200">
        <f>SUM(Results_Res!J39,Results_Out!J39,Results_Ind!J39,Results_Com!J39)</f>
        <v>0.14062133400936258</v>
      </c>
      <c r="K39" s="200">
        <f>SUM(Results_Res!K39,Results_Out!K39,Results_Ind!K39,Results_Com!K39)</f>
        <v>0.14397498787215246</v>
      </c>
      <c r="L39" s="200">
        <f>SUM(Results_Res!L39,Results_Out!L39,Results_Ind!L39,Results_Com!L39)</f>
        <v>0.14736442506799752</v>
      </c>
      <c r="M39" s="200">
        <f>SUM(Results_Res!M39,Results_Out!M39,Results_Ind!M39,Results_Com!M39)</f>
        <v>0.15076893691945775</v>
      </c>
      <c r="N39" s="200">
        <f>SUM(Results_Res!N39,Results_Out!N39,Results_Ind!N39,Results_Com!N39)</f>
        <v>0.15413978207589521</v>
      </c>
      <c r="O39" s="200">
        <f>SUM(Results_Res!O39,Results_Out!O39,Results_Ind!O39,Results_Com!O39)</f>
        <v>0.15748501234365955</v>
      </c>
      <c r="P39" s="200">
        <f>SUM(Results_Res!P39,Results_Out!P39,Results_Ind!P39,Results_Com!P39)</f>
        <v>0.1608137209861043</v>
      </c>
      <c r="Q39" s="200">
        <f>SUM(Results_Res!Q39,Results_Out!Q39,Results_Ind!Q39,Results_Com!Q39)</f>
        <v>0.1641219724437023</v>
      </c>
      <c r="R39" s="200">
        <f>SUM(Results_Res!R39,Results_Out!R39,Results_Ind!R39,Results_Com!R39)</f>
        <v>0.16737216921865833</v>
      </c>
      <c r="S39" s="200">
        <f>SUM(Results_Res!S39,Results_Out!S39,Results_Ind!S39,Results_Com!S39)</f>
        <v>0.17061321509217345</v>
      </c>
      <c r="T39" s="200">
        <f>SUM(Results_Res!T39,Results_Out!T39,Results_Ind!T39,Results_Com!T39)</f>
        <v>0.17383828846079002</v>
      </c>
      <c r="U39" s="200">
        <f>SUM(Results_Res!U39,Results_Out!U39,Results_Ind!U39,Results_Com!U39)</f>
        <v>0.17704078340495771</v>
      </c>
      <c r="V39" s="200">
        <f>SUM(Results_Res!V39,Results_Out!V39,Results_Ind!V39,Results_Com!V39)</f>
        <v>0.18024213477723505</v>
      </c>
      <c r="W39" s="200">
        <f>SUM(Results_Res!W39,Results_Out!W39,Results_Ind!W39,Results_Com!W39)</f>
        <v>0.18341797182249148</v>
      </c>
      <c r="X39" s="200">
        <f>SUM(Results_Res!X39,Results_Out!X39,Results_Ind!X39,Results_Com!X39)</f>
        <v>0.18654129276777734</v>
      </c>
      <c r="Y39" s="200">
        <f>SUM(Results_Res!Y39,Results_Out!Y39,Results_Ind!Y39,Results_Com!Y39)</f>
        <v>0.18959645989459017</v>
      </c>
      <c r="Z39" s="200">
        <f>SUM(Results_Res!Z39,Results_Out!Z39,Results_Ind!Z39,Results_Com!Z39)</f>
        <v>0.19260396294143181</v>
      </c>
      <c r="AA39" s="200">
        <f>SUM(Results_Res!AA39,Results_Out!AA39,Results_Ind!AA39,Results_Com!AA39)</f>
        <v>0.19559413367346801</v>
      </c>
      <c r="AB39" s="200">
        <f>SUM(Results_Res!AB39,Results_Out!AB39,Results_Ind!AB39,Results_Com!AB39)</f>
        <v>0.19861269198158951</v>
      </c>
      <c r="AC39" s="200">
        <f>SUM(Results_Res!AC39,Results_Out!AC39,Results_Ind!AC39,Results_Com!AC39)</f>
        <v>0.20158915464705371</v>
      </c>
      <c r="AD39" s="200">
        <f>SUM(Results_Res!AD39,Results_Out!AD39,Results_Ind!AD39,Results_Com!AD39)</f>
        <v>0.2045202140432274</v>
      </c>
      <c r="AE39" s="200">
        <f>SUM(Results_Res!AE39,Results_Out!AE39,Results_Ind!AE39,Results_Com!AE39)</f>
        <v>0.20740257231517886</v>
      </c>
      <c r="AF39" s="200">
        <f>SUM(Results_Res!AF39,Results_Out!AF39,Results_Ind!AF39,Results_Com!AF39)</f>
        <v>0.21023294742043641</v>
      </c>
    </row>
    <row r="40" spans="1:32" s="221" customFormat="1" x14ac:dyDescent="0.25">
      <c r="A40" s="838"/>
      <c r="B40" s="552"/>
      <c r="C40" s="552"/>
      <c r="D40" s="277"/>
      <c r="E40" s="277"/>
      <c r="F40" s="277"/>
      <c r="G40" s="277"/>
      <c r="H40" s="277"/>
      <c r="I40" s="277"/>
      <c r="J40" s="277"/>
      <c r="K40" s="277"/>
      <c r="L40" s="277"/>
      <c r="M40" s="277"/>
      <c r="N40" s="277"/>
      <c r="O40" s="277"/>
      <c r="P40" s="277"/>
      <c r="Q40" s="277"/>
      <c r="R40" s="277"/>
      <c r="S40" s="277"/>
      <c r="T40" s="277"/>
      <c r="U40" s="277"/>
      <c r="V40" s="277"/>
      <c r="W40" s="277"/>
      <c r="X40" s="277"/>
      <c r="Y40" s="277"/>
      <c r="Z40" s="277"/>
      <c r="AA40" s="277"/>
      <c r="AB40" s="277"/>
      <c r="AC40" s="277"/>
      <c r="AD40" s="277"/>
      <c r="AE40" s="277"/>
      <c r="AF40" s="277"/>
    </row>
    <row r="41" spans="1:32" s="221" customFormat="1" x14ac:dyDescent="0.25">
      <c r="A41" s="838"/>
      <c r="B41" s="552"/>
      <c r="C41" s="552"/>
      <c r="D41" s="277"/>
      <c r="E41" s="277"/>
      <c r="F41" s="277"/>
      <c r="G41" s="277"/>
      <c r="H41" s="277"/>
      <c r="I41" s="277"/>
      <c r="J41" s="277"/>
      <c r="K41" s="277"/>
      <c r="L41" s="277"/>
      <c r="M41" s="277"/>
      <c r="N41" s="277"/>
      <c r="O41" s="277"/>
      <c r="P41" s="277"/>
      <c r="Q41" s="277"/>
      <c r="R41" s="277"/>
      <c r="S41" s="277"/>
      <c r="T41" s="277"/>
      <c r="U41" s="277"/>
      <c r="V41" s="277"/>
      <c r="W41" s="277"/>
      <c r="X41" s="277"/>
      <c r="Y41" s="277"/>
      <c r="Z41" s="277"/>
      <c r="AA41" s="277"/>
      <c r="AB41" s="277"/>
      <c r="AC41" s="277"/>
      <c r="AD41" s="277"/>
      <c r="AE41" s="277"/>
      <c r="AF41" s="277"/>
    </row>
    <row r="42" spans="1:32" x14ac:dyDescent="0.25">
      <c r="A42" s="860" t="s">
        <v>629</v>
      </c>
      <c r="B42" s="555"/>
      <c r="C42" s="554"/>
      <c r="D42" s="553"/>
      <c r="E42" s="553"/>
      <c r="F42" s="553"/>
      <c r="G42" s="553"/>
      <c r="H42" s="560"/>
      <c r="I42" s="560"/>
      <c r="J42" s="560"/>
      <c r="K42" s="560"/>
      <c r="L42" s="560"/>
      <c r="M42" s="560"/>
      <c r="N42" s="560"/>
      <c r="O42" s="560"/>
      <c r="P42" s="560"/>
      <c r="Q42" s="560"/>
      <c r="R42" s="560"/>
      <c r="S42" s="560"/>
      <c r="T42" s="560"/>
      <c r="U42" s="560"/>
      <c r="V42" s="560"/>
      <c r="W42" s="560"/>
      <c r="X42" s="560"/>
      <c r="Y42" s="560"/>
      <c r="Z42" s="560"/>
      <c r="AA42" s="560"/>
      <c r="AB42" s="560"/>
      <c r="AC42" s="560"/>
      <c r="AD42" s="560"/>
      <c r="AE42" s="560"/>
      <c r="AF42" s="560"/>
    </row>
    <row r="43" spans="1:32" x14ac:dyDescent="0.25">
      <c r="A43" s="840" t="s">
        <v>12</v>
      </c>
      <c r="B43" s="550"/>
    </row>
    <row r="44" spans="1:32" x14ac:dyDescent="0.25">
      <c r="A44" s="839"/>
      <c r="B44" s="550" t="s">
        <v>20</v>
      </c>
    </row>
    <row r="45" spans="1:32" s="202" customFormat="1" ht="12.75" x14ac:dyDescent="0.2">
      <c r="A45" s="843" t="s">
        <v>21</v>
      </c>
      <c r="B45" s="556"/>
      <c r="C45" s="556"/>
      <c r="D45" s="556"/>
      <c r="E45" s="556"/>
      <c r="F45" s="556"/>
      <c r="G45" s="556"/>
      <c r="H45" s="556"/>
      <c r="I45" s="556"/>
      <c r="J45" s="556"/>
      <c r="K45" s="556"/>
      <c r="L45" s="556"/>
      <c r="M45" s="556"/>
      <c r="N45" s="556"/>
      <c r="O45" s="556"/>
      <c r="P45" s="556"/>
      <c r="Q45" s="556"/>
      <c r="R45" s="556"/>
      <c r="S45" s="556"/>
      <c r="T45" s="556"/>
      <c r="U45" s="556"/>
      <c r="V45" s="556"/>
      <c r="W45" s="556"/>
      <c r="X45" s="556"/>
      <c r="Y45" s="556"/>
      <c r="Z45" s="556"/>
      <c r="AA45" s="556"/>
      <c r="AB45" s="556"/>
      <c r="AC45" s="556"/>
      <c r="AD45" s="556"/>
      <c r="AE45" s="556"/>
      <c r="AF45" s="556"/>
    </row>
    <row r="46" spans="1:32" s="221" customFormat="1" x14ac:dyDescent="0.25">
      <c r="A46" s="839"/>
      <c r="B46" s="550" t="s">
        <v>22</v>
      </c>
      <c r="C46" s="539"/>
      <c r="D46" s="539"/>
      <c r="E46" s="539"/>
      <c r="F46" s="539"/>
      <c r="G46" s="200">
        <f>SUM(Results_Res!G46,Results_Out!G46,Results_Ind!G46,Results_Com!G46)</f>
        <v>4.1584564447092296</v>
      </c>
      <c r="H46" s="200">
        <f>SUM(Results_Res!H46,Results_Out!H46,Results_Ind!H46,Results_Com!H46)</f>
        <v>3.7024815236829376</v>
      </c>
      <c r="I46" s="200">
        <f>SUM(Results_Res!I46,Results_Out!I46,Results_Ind!I46,Results_Com!I46)</f>
        <v>3.2798544918863852</v>
      </c>
      <c r="J46" s="200">
        <f>SUM(Results_Res!J46,Results_Out!J46,Results_Ind!J46,Results_Com!J46)</f>
        <v>2.5764440963802411</v>
      </c>
      <c r="K46" s="200">
        <f>SUM(Results_Res!K46,Results_Out!K46,Results_Ind!K46,Results_Com!K46)</f>
        <v>1.9657451020220638</v>
      </c>
      <c r="L46" s="200">
        <f>SUM(Results_Res!L46,Results_Out!L46,Results_Ind!L46,Results_Com!L46)</f>
        <v>1.4272309468733417</v>
      </c>
      <c r="M46" s="200">
        <f>SUM(Results_Res!M46,Results_Out!M46,Results_Ind!M46,Results_Com!M46)</f>
        <v>0.86993796942035984</v>
      </c>
      <c r="N46" s="200">
        <f>SUM(Results_Res!N46,Results_Out!N46,Results_Ind!N46,Results_Com!N46)</f>
        <v>0.59896688483997584</v>
      </c>
      <c r="O46" s="200">
        <f>SUM(Results_Res!O46,Results_Out!O46,Results_Ind!O46,Results_Com!O46)</f>
        <v>0.45743109117478231</v>
      </c>
      <c r="P46" s="200">
        <f>SUM(Results_Res!P46,Results_Out!P46,Results_Ind!P46,Results_Com!P46)</f>
        <v>0.38290981444786104</v>
      </c>
      <c r="Q46" s="200">
        <f>SUM(Results_Res!Q46,Results_Out!Q46,Results_Ind!Q46,Results_Com!Q46)</f>
        <v>0.34374528224888418</v>
      </c>
      <c r="R46" s="200">
        <f>SUM(Results_Res!R46,Results_Out!R46,Results_Ind!R46,Results_Com!R46)</f>
        <v>0.32349573947271187</v>
      </c>
      <c r="S46" s="200">
        <f>SUM(Results_Res!S46,Results_Out!S46,Results_Ind!S46,Results_Com!S46)</f>
        <v>0.31369100062406596</v>
      </c>
      <c r="T46" s="200">
        <f>SUM(Results_Res!T46,Results_Out!T46,Results_Ind!T46,Results_Com!T46)</f>
        <v>0.30977230785847176</v>
      </c>
      <c r="U46" s="200">
        <f>SUM(Results_Res!U46,Results_Out!U46,Results_Ind!U46,Results_Com!U46)</f>
        <v>0.30925310805311046</v>
      </c>
      <c r="V46" s="200">
        <f>SUM(Results_Res!V46,Results_Out!V46,Results_Ind!V46,Results_Com!V46)</f>
        <v>0.31078778577934896</v>
      </c>
      <c r="W46" s="200">
        <f>SUM(Results_Res!W46,Results_Out!W46,Results_Ind!W46,Results_Com!W46)</f>
        <v>0.31353443636000911</v>
      </c>
      <c r="X46" s="200">
        <f>SUM(Results_Res!X46,Results_Out!X46,Results_Ind!X46,Results_Com!X46)</f>
        <v>0.31700241239374949</v>
      </c>
      <c r="Y46" s="200">
        <f>SUM(Results_Res!Y46,Results_Out!Y46,Results_Ind!Y46,Results_Com!Y46)</f>
        <v>0.32087612776592073</v>
      </c>
      <c r="Z46" s="200">
        <f>SUM(Results_Res!Z46,Results_Out!Z46,Results_Ind!Z46,Results_Com!Z46)</f>
        <v>0.3249993261122332</v>
      </c>
      <c r="AA46" s="200">
        <f>SUM(Results_Res!AA46,Results_Out!AA46,Results_Ind!AA46,Results_Com!AA46)</f>
        <v>0.32931107915619207</v>
      </c>
      <c r="AB46" s="200">
        <f>SUM(Results_Res!AB46,Results_Out!AB46,Results_Ind!AB46,Results_Com!AB46)</f>
        <v>0.33383463752946341</v>
      </c>
      <c r="AC46" s="200">
        <f>SUM(Results_Res!AC46,Results_Out!AC46,Results_Ind!AC46,Results_Com!AC46)</f>
        <v>0.3384127743908607</v>
      </c>
      <c r="AD46" s="200">
        <f>SUM(Results_Res!AD46,Results_Out!AD46,Results_Ind!AD46,Results_Com!AD46)</f>
        <v>0.34299188960350641</v>
      </c>
      <c r="AE46" s="200">
        <f>SUM(Results_Res!AE46,Results_Out!AE46,Results_Ind!AE46,Results_Com!AE46)</f>
        <v>0.34753828677050297</v>
      </c>
      <c r="AF46" s="200">
        <f>SUM(Results_Res!AF46,Results_Out!AF46,Results_Ind!AF46,Results_Com!AF46)</f>
        <v>0.35202967402595875</v>
      </c>
    </row>
    <row r="47" spans="1:32" s="221" customFormat="1" x14ac:dyDescent="0.25">
      <c r="A47" s="839"/>
      <c r="B47" s="550" t="s">
        <v>26</v>
      </c>
      <c r="C47" s="539"/>
      <c r="D47" s="539"/>
      <c r="E47" s="539"/>
      <c r="F47" s="539"/>
      <c r="G47" s="200">
        <f>SUM(Results_Res!G47,Results_Out!G47,Results_Ind!G47,Results_Com!G47)</f>
        <v>6.3185880933647298E-2</v>
      </c>
      <c r="H47" s="200">
        <f>SUM(Results_Res!H47,Results_Out!H47,Results_Ind!H47,Results_Com!H47)</f>
        <v>5.7722403456216841E-2</v>
      </c>
      <c r="I47" s="200">
        <f>SUM(Results_Res!I47,Results_Out!I47,Results_Ind!I47,Results_Com!I47)</f>
        <v>0.14667305383940185</v>
      </c>
      <c r="J47" s="200">
        <f>SUM(Results_Res!J47,Results_Out!J47,Results_Ind!J47,Results_Com!J47)</f>
        <v>0.41808810857896977</v>
      </c>
      <c r="K47" s="200">
        <f>SUM(Results_Res!K47,Results_Out!K47,Results_Ind!K47,Results_Com!K47)</f>
        <v>0.69208650006064942</v>
      </c>
      <c r="L47" s="200">
        <f>SUM(Results_Res!L47,Results_Out!L47,Results_Ind!L47,Results_Com!L47)</f>
        <v>0.87182519182719143</v>
      </c>
      <c r="M47" s="200">
        <f>SUM(Results_Res!M47,Results_Out!M47,Results_Ind!M47,Results_Com!M47)</f>
        <v>1.0217188090282132</v>
      </c>
      <c r="N47" s="200">
        <f>SUM(Results_Res!N47,Results_Out!N47,Results_Ind!N47,Results_Com!N47)</f>
        <v>1.0562672282104932</v>
      </c>
      <c r="O47" s="200">
        <f>SUM(Results_Res!O47,Results_Out!O47,Results_Ind!O47,Results_Com!O47)</f>
        <v>1.0525338105072437</v>
      </c>
      <c r="P47" s="200">
        <f>SUM(Results_Res!P47,Results_Out!P47,Results_Ind!P47,Results_Com!P47)</f>
        <v>1.0378242301491392</v>
      </c>
      <c r="Q47" s="200">
        <f>SUM(Results_Res!Q47,Results_Out!Q47,Results_Ind!Q47,Results_Com!Q47)</f>
        <v>1.0240246260511079</v>
      </c>
      <c r="R47" s="200">
        <f>SUM(Results_Res!R47,Results_Out!R47,Results_Ind!R47,Results_Com!R47)</f>
        <v>1.0145351689159368</v>
      </c>
      <c r="S47" s="200">
        <f>SUM(Results_Res!S47,Results_Out!S47,Results_Ind!S47,Results_Com!S47)</f>
        <v>1.0107491278292764</v>
      </c>
      <c r="T47" s="200">
        <f>SUM(Results_Res!T47,Results_Out!T47,Results_Ind!T47,Results_Com!T47)</f>
        <v>1.0119247267697085</v>
      </c>
      <c r="U47" s="200">
        <f>SUM(Results_Res!U47,Results_Out!U47,Results_Ind!U47,Results_Com!U47)</f>
        <v>1.0170192439407613</v>
      </c>
      <c r="V47" s="200">
        <f>SUM(Results_Res!V47,Results_Out!V47,Results_Ind!V47,Results_Com!V47)</f>
        <v>1.0253146190314697</v>
      </c>
      <c r="W47" s="200">
        <f>SUM(Results_Res!W47,Results_Out!W47,Results_Ind!W47,Results_Com!W47)</f>
        <v>1.0356410147004795</v>
      </c>
      <c r="X47" s="200">
        <f>SUM(Results_Res!X47,Results_Out!X47,Results_Ind!X47,Results_Com!X47)</f>
        <v>1.0472704760269147</v>
      </c>
      <c r="Y47" s="200">
        <f>SUM(Results_Res!Y47,Results_Out!Y47,Results_Ind!Y47,Results_Com!Y47)</f>
        <v>1.0595904186756235</v>
      </c>
      <c r="Z47" s="200">
        <f>SUM(Results_Res!Z47,Results_Out!Z47,Results_Ind!Z47,Results_Com!Z47)</f>
        <v>1.0724864339251112</v>
      </c>
      <c r="AA47" s="200">
        <f>SUM(Results_Res!AA47,Results_Out!AA47,Results_Ind!AA47,Results_Com!AA47)</f>
        <v>1.0860252790427993</v>
      </c>
      <c r="AB47" s="200">
        <f>SUM(Results_Res!AB47,Results_Out!AB47,Results_Ind!AB47,Results_Com!AB47)</f>
        <v>1.1005199052789529</v>
      </c>
      <c r="AC47" s="200">
        <f>SUM(Results_Res!AC47,Results_Out!AC47,Results_Ind!AC47,Results_Com!AC47)</f>
        <v>1.1149512032815205</v>
      </c>
      <c r="AD47" s="200">
        <f>SUM(Results_Res!AD47,Results_Out!AD47,Results_Ind!AD47,Results_Com!AD47)</f>
        <v>1.1292453941401239</v>
      </c>
      <c r="AE47" s="200">
        <f>SUM(Results_Res!AE47,Results_Out!AE47,Results_Ind!AE47,Results_Com!AE47)</f>
        <v>1.1433472072939248</v>
      </c>
      <c r="AF47" s="200">
        <f>SUM(Results_Res!AF47,Results_Out!AF47,Results_Ind!AF47,Results_Com!AF47)</f>
        <v>1.1572117333783734</v>
      </c>
    </row>
    <row r="48" spans="1:32" s="221" customFormat="1" x14ac:dyDescent="0.25">
      <c r="A48" s="839"/>
      <c r="B48" s="550" t="s">
        <v>27</v>
      </c>
      <c r="C48" s="539"/>
      <c r="D48" s="539"/>
      <c r="E48" s="539"/>
      <c r="F48" s="539"/>
      <c r="G48" s="200">
        <f>SUM(Results_Res!G48,Results_Out!G48,Results_Ind!G48,Results_Com!G48)</f>
        <v>0.7136395344055857</v>
      </c>
      <c r="H48" s="200">
        <f>SUM(Results_Res!H48,Results_Out!H48,Results_Ind!H48,Results_Com!H48)</f>
        <v>0.86304394199236767</v>
      </c>
      <c r="I48" s="200">
        <f>SUM(Results_Res!I48,Results_Out!I48,Results_Ind!I48,Results_Com!I48)</f>
        <v>0.98147024836517671</v>
      </c>
      <c r="J48" s="200">
        <f>SUM(Results_Res!J48,Results_Out!J48,Results_Ind!J48,Results_Com!J48)</f>
        <v>1.1179962985253475</v>
      </c>
      <c r="K48" s="200">
        <f>SUM(Results_Res!K48,Results_Out!K48,Results_Ind!K48,Results_Com!K48)</f>
        <v>1.2314270006151782</v>
      </c>
      <c r="L48" s="200">
        <f>SUM(Results_Res!L48,Results_Out!L48,Results_Ind!L48,Results_Com!L48)</f>
        <v>1.3543001472005374</v>
      </c>
      <c r="M48" s="200">
        <f>SUM(Results_Res!M48,Results_Out!M48,Results_Ind!M48,Results_Com!M48)</f>
        <v>1.4900408625165855</v>
      </c>
      <c r="N48" s="200">
        <f>SUM(Results_Res!N48,Results_Out!N48,Results_Ind!N48,Results_Com!N48)</f>
        <v>1.5888600903736085</v>
      </c>
      <c r="O48" s="200">
        <f>SUM(Results_Res!O48,Results_Out!O48,Results_Ind!O48,Results_Com!O48)</f>
        <v>1.6671352574749745</v>
      </c>
      <c r="P48" s="200">
        <f>SUM(Results_Res!P48,Results_Out!P48,Results_Ind!P48,Results_Com!P48)</f>
        <v>1.7320254676986042</v>
      </c>
      <c r="Q48" s="200">
        <f>SUM(Results_Res!Q48,Results_Out!Q48,Results_Ind!Q48,Results_Com!Q48)</f>
        <v>1.7880075905289565</v>
      </c>
      <c r="R48" s="200">
        <f>SUM(Results_Res!R48,Results_Out!R48,Results_Ind!R48,Results_Com!R48)</f>
        <v>1.837391600191532</v>
      </c>
      <c r="S48" s="200">
        <f>SUM(Results_Res!S48,Results_Out!S48,Results_Ind!S48,Results_Com!S48)</f>
        <v>1.8824912298272469</v>
      </c>
      <c r="T48" s="200">
        <f>SUM(Results_Res!T48,Results_Out!T48,Results_Ind!T48,Results_Com!T48)</f>
        <v>1.9245587021060189</v>
      </c>
      <c r="U48" s="200">
        <f>SUM(Results_Res!U48,Results_Out!U48,Results_Ind!U48,Results_Com!U48)</f>
        <v>1.964447127106616</v>
      </c>
      <c r="V48" s="200">
        <f>SUM(Results_Res!V48,Results_Out!V48,Results_Ind!V48,Results_Com!V48)</f>
        <v>2.0029308143456177</v>
      </c>
      <c r="W48" s="200">
        <f>SUM(Results_Res!W48,Results_Out!W48,Results_Ind!W48,Results_Com!W48)</f>
        <v>2.0401472771603526</v>
      </c>
      <c r="X48" s="200">
        <f>SUM(Results_Res!X48,Results_Out!X48,Results_Ind!X48,Results_Com!X48)</f>
        <v>2.0763363731655957</v>
      </c>
      <c r="Y48" s="200">
        <f>SUM(Results_Res!Y48,Results_Out!Y48,Results_Ind!Y48,Results_Com!Y48)</f>
        <v>2.1115843020114125</v>
      </c>
      <c r="Z48" s="200">
        <f>SUM(Results_Res!Z48,Results_Out!Z48,Results_Ind!Z48,Results_Com!Z48)</f>
        <v>2.1460951576804965</v>
      </c>
      <c r="AA48" s="200">
        <f>SUM(Results_Res!AA48,Results_Out!AA48,Results_Ind!AA48,Results_Com!AA48)</f>
        <v>2.1801308682658407</v>
      </c>
      <c r="AB48" s="200">
        <f>SUM(Results_Res!AB48,Results_Out!AB48,Results_Ind!AB48,Results_Com!AB48)</f>
        <v>2.2141627381007813</v>
      </c>
      <c r="AC48" s="200">
        <f>SUM(Results_Res!AC48,Results_Out!AC48,Results_Ind!AC48,Results_Com!AC48)</f>
        <v>2.2477204573165523</v>
      </c>
      <c r="AD48" s="200">
        <f>SUM(Results_Res!AD48,Results_Out!AD48,Results_Ind!AD48,Results_Com!AD48)</f>
        <v>2.2807969877148291</v>
      </c>
      <c r="AE48" s="200">
        <f>SUM(Results_Res!AE48,Results_Out!AE48,Results_Ind!AE48,Results_Com!AE48)</f>
        <v>2.3133753825196841</v>
      </c>
      <c r="AF48" s="200">
        <f>SUM(Results_Res!AF48,Results_Out!AF48,Results_Ind!AF48,Results_Com!AF48)</f>
        <v>2.3454331425488055</v>
      </c>
    </row>
    <row r="49" spans="1:32" s="221" customFormat="1" x14ac:dyDescent="0.25">
      <c r="A49" s="839"/>
      <c r="B49" s="550" t="s">
        <v>29</v>
      </c>
      <c r="C49" s="539"/>
      <c r="D49" s="539"/>
      <c r="E49" s="539"/>
      <c r="F49" s="539"/>
      <c r="G49" s="200">
        <f>SUM(Results_Res!G49,Results_Out!G49,Results_Ind!G49,Results_Com!G49)</f>
        <v>0</v>
      </c>
      <c r="H49" s="200">
        <f>SUM(Results_Res!H49,Results_Out!H49,Results_Ind!H49,Results_Com!H49)</f>
        <v>3.7097427099581931E-4</v>
      </c>
      <c r="I49" s="200">
        <f>SUM(Results_Res!I49,Results_Out!I49,Results_Ind!I49,Results_Com!I49)</f>
        <v>7.2557902875682164E-4</v>
      </c>
      <c r="J49" s="200">
        <f>SUM(Results_Res!J49,Results_Out!J49,Results_Ind!J49,Results_Com!J49)</f>
        <v>9.6412659209595911E-4</v>
      </c>
      <c r="K49" s="200">
        <f>SUM(Results_Res!K49,Results_Out!K49,Results_Ind!K49,Results_Com!K49)</f>
        <v>1.1812006586988369E-3</v>
      </c>
      <c r="L49" s="200">
        <f>SUM(Results_Res!L49,Results_Out!L49,Results_Ind!L49,Results_Com!L49)</f>
        <v>1.4014393225022712E-3</v>
      </c>
      <c r="M49" s="200">
        <f>SUM(Results_Res!M49,Results_Out!M49,Results_Ind!M49,Results_Com!M49)</f>
        <v>1.6263533850478424E-3</v>
      </c>
      <c r="N49" s="200">
        <f>SUM(Results_Res!N49,Results_Out!N49,Results_Ind!N49,Results_Com!N49)</f>
        <v>1.8360549283995128E-3</v>
      </c>
      <c r="O49" s="200">
        <f>SUM(Results_Res!O49,Results_Out!O49,Results_Ind!O49,Results_Com!O49)</f>
        <v>2.0334895678415397E-3</v>
      </c>
      <c r="P49" s="200">
        <f>SUM(Results_Res!P49,Results_Out!P49,Results_Ind!P49,Results_Com!P49)</f>
        <v>2.2189312750653749E-3</v>
      </c>
      <c r="Q49" s="200">
        <f>SUM(Results_Res!Q49,Results_Out!Q49,Results_Ind!Q49,Results_Com!Q49)</f>
        <v>2.3941010256043204E-3</v>
      </c>
      <c r="R49" s="200">
        <f>SUM(Results_Res!R49,Results_Out!R49,Results_Ind!R49,Results_Com!R49)</f>
        <v>2.5580246057369206E-3</v>
      </c>
      <c r="S49" s="200">
        <f>SUM(Results_Res!S49,Results_Out!S49,Results_Ind!S49,Results_Com!S49)</f>
        <v>2.7132829682871324E-3</v>
      </c>
      <c r="T49" s="200">
        <f>SUM(Results_Res!T49,Results_Out!T49,Results_Ind!T49,Results_Com!T49)</f>
        <v>2.8605491658553681E-3</v>
      </c>
      <c r="U49" s="200">
        <f>SUM(Results_Res!U49,Results_Out!U49,Results_Ind!U49,Results_Com!U49)</f>
        <v>3.0004583496451489E-3</v>
      </c>
      <c r="V49" s="200">
        <f>SUM(Results_Res!V49,Results_Out!V49,Results_Ind!V49,Results_Com!V49)</f>
        <v>3.1341951224559184E-3</v>
      </c>
      <c r="W49" s="200">
        <f>SUM(Results_Res!W49,Results_Out!W49,Results_Ind!W49,Results_Com!W49)</f>
        <v>3.2612756707212373E-3</v>
      </c>
      <c r="X49" s="200">
        <f>SUM(Results_Res!X49,Results_Out!X49,Results_Ind!X49,Results_Com!X49)</f>
        <v>3.3822643913189489E-3</v>
      </c>
      <c r="Y49" s="200">
        <f>SUM(Results_Res!Y49,Results_Out!Y49,Results_Ind!Y49,Results_Com!Y49)</f>
        <v>3.4972095448365581E-3</v>
      </c>
      <c r="Z49" s="200">
        <f>SUM(Results_Res!Z49,Results_Out!Z49,Results_Ind!Z49,Results_Com!Z49)</f>
        <v>3.6067026141539259E-3</v>
      </c>
      <c r="AA49" s="200">
        <f>SUM(Results_Res!AA49,Results_Out!AA49,Results_Ind!AA49,Results_Com!AA49)</f>
        <v>3.7116593528056445E-3</v>
      </c>
      <c r="AB49" s="200">
        <f>SUM(Results_Res!AB49,Results_Out!AB49,Results_Ind!AB49,Results_Com!AB49)</f>
        <v>3.813783022696643E-3</v>
      </c>
      <c r="AC49" s="200">
        <f>SUM(Results_Res!AC49,Results_Out!AC49,Results_Ind!AC49,Results_Com!AC49)</f>
        <v>3.9115325334804045E-3</v>
      </c>
      <c r="AD49" s="200">
        <f>SUM(Results_Res!AD49,Results_Out!AD49,Results_Ind!AD49,Results_Com!AD49)</f>
        <v>4.0051007319029872E-3</v>
      </c>
      <c r="AE49" s="200">
        <f>SUM(Results_Res!AE49,Results_Out!AE49,Results_Ind!AE49,Results_Com!AE49)</f>
        <v>4.0946583974005839E-3</v>
      </c>
      <c r="AF49" s="200">
        <f>SUM(Results_Res!AF49,Results_Out!AF49,Results_Ind!AF49,Results_Com!AF49)</f>
        <v>4.1803567133874868E-3</v>
      </c>
    </row>
    <row r="50" spans="1:32" s="221" customFormat="1" x14ac:dyDescent="0.25">
      <c r="A50" s="839"/>
      <c r="B50" s="550"/>
      <c r="C50" s="539"/>
      <c r="D50" s="539"/>
      <c r="E50" s="539"/>
      <c r="F50" s="539"/>
      <c r="G50" s="200"/>
      <c r="H50" s="539"/>
      <c r="I50" s="539"/>
      <c r="J50" s="539"/>
      <c r="K50" s="539"/>
      <c r="L50" s="539"/>
      <c r="M50" s="539"/>
      <c r="N50" s="539"/>
      <c r="O50" s="539"/>
      <c r="P50" s="539"/>
      <c r="Q50" s="539"/>
      <c r="R50" s="539"/>
      <c r="S50" s="539"/>
      <c r="T50" s="539"/>
      <c r="U50" s="539"/>
      <c r="V50" s="539"/>
      <c r="W50" s="539"/>
      <c r="X50" s="539"/>
      <c r="Y50" s="539"/>
      <c r="Z50" s="539"/>
      <c r="AA50" s="539"/>
      <c r="AB50" s="539"/>
      <c r="AC50" s="539"/>
      <c r="AD50" s="539"/>
      <c r="AE50" s="539"/>
      <c r="AF50" s="539"/>
    </row>
    <row r="51" spans="1:32" s="202" customFormat="1" ht="12.75" x14ac:dyDescent="0.2">
      <c r="A51" s="843" t="s">
        <v>32</v>
      </c>
      <c r="B51" s="556"/>
      <c r="C51" s="556"/>
      <c r="D51" s="556"/>
      <c r="E51" s="556"/>
      <c r="F51" s="556"/>
      <c r="G51" s="241"/>
      <c r="H51" s="556"/>
      <c r="I51" s="556"/>
      <c r="J51" s="556"/>
      <c r="K51" s="556"/>
      <c r="L51" s="556"/>
      <c r="M51" s="556"/>
      <c r="N51" s="556"/>
      <c r="O51" s="556"/>
      <c r="P51" s="556"/>
      <c r="Q51" s="556"/>
      <c r="R51" s="556"/>
      <c r="S51" s="556"/>
      <c r="T51" s="556"/>
      <c r="U51" s="556"/>
      <c r="V51" s="556"/>
      <c r="W51" s="556"/>
      <c r="X51" s="556"/>
      <c r="Y51" s="556"/>
      <c r="Z51" s="556"/>
      <c r="AA51" s="556"/>
      <c r="AB51" s="556"/>
      <c r="AC51" s="556"/>
      <c r="AD51" s="556"/>
      <c r="AE51" s="556"/>
      <c r="AF51" s="556"/>
    </row>
    <row r="52" spans="1:32" s="221" customFormat="1" x14ac:dyDescent="0.25">
      <c r="A52" s="839"/>
      <c r="B52" s="550" t="s">
        <v>33</v>
      </c>
      <c r="C52" s="539"/>
      <c r="D52" s="539"/>
      <c r="E52" s="539"/>
      <c r="F52" s="539"/>
      <c r="G52" s="200">
        <f>SUM(Results_Res!G52,Results_Out!G52,Results_Ind!G52,Results_Com!G52)</f>
        <v>1.1439110906713879</v>
      </c>
      <c r="H52" s="200">
        <f>SUM(Results_Res!H52,Results_Out!H52,Results_Ind!H52,Results_Com!H52)</f>
        <v>0.98063971526093829</v>
      </c>
      <c r="I52" s="200">
        <f>SUM(Results_Res!I52,Results_Out!I52,Results_Ind!I52,Results_Com!I52)</f>
        <v>0.94627842232848225</v>
      </c>
      <c r="J52" s="200">
        <f>SUM(Results_Res!J52,Results_Out!J52,Results_Ind!J52,Results_Com!J52)</f>
        <v>0.94029718960973763</v>
      </c>
      <c r="K52" s="200">
        <f>SUM(Results_Res!K52,Results_Out!K52,Results_Ind!K52,Results_Com!K52)</f>
        <v>0.95706899954334301</v>
      </c>
      <c r="L52" s="200">
        <f>SUM(Results_Res!L52,Results_Out!L52,Results_Ind!L52,Results_Com!L52)</f>
        <v>0.96115112349041953</v>
      </c>
      <c r="M52" s="200">
        <f>SUM(Results_Res!M52,Results_Out!M52,Results_Ind!M52,Results_Com!M52)</f>
        <v>0.96863300642378414</v>
      </c>
      <c r="N52" s="200">
        <f>SUM(Results_Res!N52,Results_Out!N52,Results_Ind!N52,Results_Com!N52)</f>
        <v>0.97860877031316162</v>
      </c>
      <c r="O52" s="200">
        <f>SUM(Results_Res!O52,Results_Out!O52,Results_Ind!O52,Results_Com!O52)</f>
        <v>0.99086897392149831</v>
      </c>
      <c r="P52" s="200">
        <f>SUM(Results_Res!P52,Results_Out!P52,Results_Ind!P52,Results_Com!P52)</f>
        <v>1.0045722783981272</v>
      </c>
      <c r="Q52" s="200">
        <f>SUM(Results_Res!Q52,Results_Out!Q52,Results_Ind!Q52,Results_Com!Q52)</f>
        <v>1.0194318812851426</v>
      </c>
      <c r="R52" s="200">
        <f>SUM(Results_Res!R52,Results_Out!R52,Results_Ind!R52,Results_Com!R52)</f>
        <v>1.034769805211796</v>
      </c>
      <c r="S52" s="200">
        <f>SUM(Results_Res!S52,Results_Out!S52,Results_Ind!S52,Results_Com!S52)</f>
        <v>1.0505391852559984</v>
      </c>
      <c r="T52" s="200">
        <f>SUM(Results_Res!T52,Results_Out!T52,Results_Ind!T52,Results_Com!T52)</f>
        <v>1.0666237603421493</v>
      </c>
      <c r="U52" s="200">
        <f>SUM(Results_Res!U52,Results_Out!U52,Results_Ind!U52,Results_Com!U52)</f>
        <v>1.0829392185778657</v>
      </c>
      <c r="V52" s="200">
        <f>SUM(Results_Res!V52,Results_Out!V52,Results_Ind!V52,Results_Com!V52)</f>
        <v>1.099476719235837</v>
      </c>
      <c r="W52" s="200">
        <f>SUM(Results_Res!W52,Results_Out!W52,Results_Ind!W52,Results_Com!W52)</f>
        <v>1.1159675880013538</v>
      </c>
      <c r="X52" s="200">
        <f>SUM(Results_Res!X52,Results_Out!X52,Results_Ind!X52,Results_Com!X52)</f>
        <v>1.1325202254118945</v>
      </c>
      <c r="Y52" s="200">
        <f>SUM(Results_Res!Y52,Results_Out!Y52,Results_Ind!Y52,Results_Com!Y52)</f>
        <v>1.1491357410184306</v>
      </c>
      <c r="Z52" s="200">
        <f>SUM(Results_Res!Z52,Results_Out!Z52,Results_Ind!Z52,Results_Com!Z52)</f>
        <v>1.1657189026496977</v>
      </c>
      <c r="AA52" s="200">
        <f>SUM(Results_Res!AA52,Results_Out!AA52,Results_Ind!AA52,Results_Com!AA52)</f>
        <v>1.1822072164843658</v>
      </c>
      <c r="AB52" s="200">
        <f>SUM(Results_Res!AB52,Results_Out!AB52,Results_Ind!AB52,Results_Com!AB52)</f>
        <v>1.1987526026930606</v>
      </c>
      <c r="AC52" s="200">
        <f>SUM(Results_Res!AC52,Results_Out!AC52,Results_Ind!AC52,Results_Com!AC52)</f>
        <v>1.2151807614904446</v>
      </c>
      <c r="AD52" s="200">
        <f>SUM(Results_Res!AD52,Results_Out!AD52,Results_Ind!AD52,Results_Com!AD52)</f>
        <v>1.2314738301192274</v>
      </c>
      <c r="AE52" s="200">
        <f>SUM(Results_Res!AE52,Results_Out!AE52,Results_Ind!AE52,Results_Com!AE52)</f>
        <v>1.2476057824624498</v>
      </c>
      <c r="AF52" s="200">
        <f>SUM(Results_Res!AF52,Results_Out!AF52,Results_Ind!AF52,Results_Com!AF52)</f>
        <v>1.2635532219647634</v>
      </c>
    </row>
    <row r="53" spans="1:32" s="221" customFormat="1" x14ac:dyDescent="0.25">
      <c r="A53" s="842"/>
      <c r="B53" s="552" t="s">
        <v>34</v>
      </c>
      <c r="C53" s="539"/>
      <c r="D53" s="539"/>
      <c r="E53" s="539"/>
      <c r="F53" s="539"/>
      <c r="G53" s="200">
        <f>SUM(Results_Res!G53,Results_Out!G53,Results_Ind!G53,Results_Com!G53)</f>
        <v>0.76865531336843596</v>
      </c>
      <c r="H53" s="200">
        <f>SUM(Results_Res!H53,Results_Out!H53,Results_Ind!H53,Results_Com!H53)</f>
        <v>0.96108851040169274</v>
      </c>
      <c r="I53" s="200">
        <f>SUM(Results_Res!I53,Results_Out!I53,Results_Ind!I53,Results_Com!I53)</f>
        <v>0.99942252975030721</v>
      </c>
      <c r="J53" s="200">
        <f>SUM(Results_Res!J53,Results_Out!J53,Results_Ind!J53,Results_Com!J53)</f>
        <v>0.98993790857475994</v>
      </c>
      <c r="K53" s="200">
        <f>SUM(Results_Res!K53,Results_Out!K53,Results_Ind!K53,Results_Com!K53)</f>
        <v>0.96014515500914011</v>
      </c>
      <c r="L53" s="200">
        <f>SUM(Results_Res!L53,Results_Out!L53,Results_Ind!L53,Results_Com!L53)</f>
        <v>0.95996738698313289</v>
      </c>
      <c r="M53" s="200">
        <f>SUM(Results_Res!M53,Results_Out!M53,Results_Ind!M53,Results_Com!M53)</f>
        <v>0.97278364653294247</v>
      </c>
      <c r="N53" s="200">
        <f>SUM(Results_Res!N53,Results_Out!N53,Results_Ind!N53,Results_Com!N53)</f>
        <v>0.97113642868338979</v>
      </c>
      <c r="O53" s="200">
        <f>SUM(Results_Res!O53,Results_Out!O53,Results_Ind!O53,Results_Com!O53)</f>
        <v>0.97655421156238253</v>
      </c>
      <c r="P53" s="200">
        <f>SUM(Results_Res!P53,Results_Out!P53,Results_Ind!P53,Results_Com!P53)</f>
        <v>0.98812751302868362</v>
      </c>
      <c r="Q53" s="200">
        <f>SUM(Results_Res!Q53,Results_Out!Q53,Results_Ind!Q53,Results_Com!Q53)</f>
        <v>1.006076560385206</v>
      </c>
      <c r="R53" s="200">
        <f>SUM(Results_Res!R53,Results_Out!R53,Results_Ind!R53,Results_Com!R53)</f>
        <v>1.0232480695924224</v>
      </c>
      <c r="S53" s="200">
        <f>SUM(Results_Res!S53,Results_Out!S53,Results_Ind!S53,Results_Com!S53)</f>
        <v>1.0401784112473953</v>
      </c>
      <c r="T53" s="200">
        <f>SUM(Results_Res!T53,Results_Out!T53,Results_Ind!T53,Results_Com!T53)</f>
        <v>1.056905193684603</v>
      </c>
      <c r="U53" s="200">
        <f>SUM(Results_Res!U53,Results_Out!U53,Results_Ind!U53,Results_Com!U53)</f>
        <v>1.0734927500833413</v>
      </c>
      <c r="V53" s="200">
        <f>SUM(Results_Res!V53,Results_Out!V53,Results_Ind!V53,Results_Com!V53)</f>
        <v>1.0900480864607203</v>
      </c>
      <c r="W53" s="200">
        <f>SUM(Results_Res!W53,Results_Out!W53,Results_Ind!W53,Results_Com!W53)</f>
        <v>1.1062673397059177</v>
      </c>
      <c r="X53" s="200">
        <f>SUM(Results_Res!X53,Results_Out!X53,Results_Ind!X53,Results_Com!X53)</f>
        <v>1.1224968235876294</v>
      </c>
      <c r="Y53" s="200">
        <f>SUM(Results_Res!Y53,Results_Out!Y53,Results_Ind!Y53,Results_Com!Y53)</f>
        <v>1.1386548107213721</v>
      </c>
      <c r="Z53" s="200">
        <f>SUM(Results_Res!Z53,Results_Out!Z53,Results_Ind!Z53,Results_Com!Z53)</f>
        <v>1.1546416295770106</v>
      </c>
      <c r="AA53" s="200">
        <f>SUM(Results_Res!AA53,Results_Out!AA53,Results_Ind!AA53,Results_Com!AA53)</f>
        <v>1.1704637151492687</v>
      </c>
      <c r="AB53" s="200">
        <f>SUM(Results_Res!AB53,Results_Out!AB53,Results_Ind!AB53,Results_Com!AB53)</f>
        <v>1.186410588280058</v>
      </c>
      <c r="AC53" s="200">
        <f>SUM(Results_Res!AC53,Results_Out!AC53,Results_Ind!AC53,Results_Com!AC53)</f>
        <v>1.2021958523475405</v>
      </c>
      <c r="AD53" s="200">
        <f>SUM(Results_Res!AD53,Results_Out!AD53,Results_Ind!AD53,Results_Com!AD53)</f>
        <v>1.2177979695908574</v>
      </c>
      <c r="AE53" s="200">
        <f>SUM(Results_Res!AE53,Results_Out!AE53,Results_Ind!AE53,Results_Com!AE53)</f>
        <v>1.2332020899213878</v>
      </c>
      <c r="AF53" s="200">
        <f>SUM(Results_Res!AF53,Results_Out!AF53,Results_Ind!AF53,Results_Com!AF53)</f>
        <v>1.2483931821253469</v>
      </c>
    </row>
    <row r="54" spans="1:32" s="221" customFormat="1" x14ac:dyDescent="0.25">
      <c r="A54" s="839"/>
      <c r="B54" s="552" t="s">
        <v>35</v>
      </c>
      <c r="C54" s="539"/>
      <c r="D54" s="539"/>
      <c r="E54" s="539"/>
      <c r="F54" s="539"/>
      <c r="G54" s="200">
        <f>SUM(Results_Res!G54,Results_Out!G54,Results_Ind!G54,Results_Com!G54)</f>
        <v>0.15774692760489209</v>
      </c>
      <c r="H54" s="200">
        <f>SUM(Results_Res!H54,Results_Out!H54,Results_Ind!H54,Results_Com!H54)</f>
        <v>0.14669294074275213</v>
      </c>
      <c r="I54" s="200">
        <f>SUM(Results_Res!I54,Results_Out!I54,Results_Ind!I54,Results_Com!I54)</f>
        <v>0.14386247937965504</v>
      </c>
      <c r="J54" s="200">
        <f>SUM(Results_Res!J54,Results_Out!J54,Results_Ind!J54,Results_Com!J54)</f>
        <v>0.14585516008336785</v>
      </c>
      <c r="K54" s="200">
        <f>SUM(Results_Res!K54,Results_Out!K54,Results_Ind!K54,Results_Com!K54)</f>
        <v>0.15081073314881838</v>
      </c>
      <c r="L54" s="200">
        <f>SUM(Results_Res!L54,Results_Out!L54,Results_Ind!L54,Results_Com!L54)</f>
        <v>0.15542058316742363</v>
      </c>
      <c r="M54" s="200">
        <f>SUM(Results_Res!M54,Results_Out!M54,Results_Ind!M54,Results_Com!M54)</f>
        <v>0.15972780284921301</v>
      </c>
      <c r="N54" s="200">
        <f>SUM(Results_Res!N54,Results_Out!N54,Results_Ind!N54,Results_Com!N54)</f>
        <v>0.16381993063552752</v>
      </c>
      <c r="O54" s="200">
        <f>SUM(Results_Res!O54,Results_Out!O54,Results_Ind!O54,Results_Com!O54)</f>
        <v>0.16782432897693317</v>
      </c>
      <c r="P54" s="200">
        <f>SUM(Results_Res!P54,Results_Out!P54,Results_Ind!P54,Results_Com!P54)</f>
        <v>0.17171142309156517</v>
      </c>
      <c r="Q54" s="200">
        <f>SUM(Results_Res!Q54,Results_Out!Q54,Results_Ind!Q54,Results_Com!Q54)</f>
        <v>0.17553190246897479</v>
      </c>
      <c r="R54" s="200">
        <f>SUM(Results_Res!R54,Results_Out!R54,Results_Ind!R54,Results_Com!R54)</f>
        <v>0.1792240248063087</v>
      </c>
      <c r="S54" s="200">
        <f>SUM(Results_Res!S54,Results_Out!S54,Results_Ind!S54,Results_Com!S54)</f>
        <v>0.18282650637939174</v>
      </c>
      <c r="T54" s="200">
        <f>SUM(Results_Res!T54,Results_Out!T54,Results_Ind!T54,Results_Com!T54)</f>
        <v>0.18634656621257145</v>
      </c>
      <c r="U54" s="200">
        <f>SUM(Results_Res!U54,Results_Out!U54,Results_Ind!U54,Results_Com!U54)</f>
        <v>0.18979557684235432</v>
      </c>
      <c r="V54" s="200">
        <f>SUM(Results_Res!V54,Results_Out!V54,Results_Ind!V54,Results_Com!V54)</f>
        <v>0.19319044254596629</v>
      </c>
      <c r="W54" s="200">
        <f>SUM(Results_Res!W54,Results_Out!W54,Results_Ind!W54,Results_Com!W54)</f>
        <v>0.1965010830075688</v>
      </c>
      <c r="X54" s="200">
        <f>SUM(Results_Res!X54,Results_Out!X54,Results_Ind!X54,Results_Com!X54)</f>
        <v>0.19976532979052575</v>
      </c>
      <c r="Y54" s="200">
        <f>SUM(Results_Res!Y54,Results_Out!Y54,Results_Ind!Y54,Results_Com!Y54)</f>
        <v>0.20299342196025724</v>
      </c>
      <c r="Z54" s="200">
        <f>SUM(Results_Res!Z54,Results_Out!Z54,Results_Ind!Z54,Results_Com!Z54)</f>
        <v>0.20618050467460564</v>
      </c>
      <c r="AA54" s="200">
        <f>SUM(Results_Res!AA54,Results_Out!AA54,Results_Ind!AA54,Results_Com!AA54)</f>
        <v>0.20932157357947137</v>
      </c>
      <c r="AB54" s="200">
        <f>SUM(Results_Res!AB54,Results_Out!AB54,Results_Ind!AB54,Results_Com!AB54)</f>
        <v>0.21244202129705247</v>
      </c>
      <c r="AC54" s="200">
        <f>SUM(Results_Res!AC54,Results_Out!AC54,Results_Ind!AC54,Results_Com!AC54)</f>
        <v>0.21551702033986694</v>
      </c>
      <c r="AD54" s="200">
        <f>SUM(Results_Res!AD54,Results_Out!AD54,Results_Ind!AD54,Results_Com!AD54)</f>
        <v>0.21854744146468602</v>
      </c>
      <c r="AE54" s="200">
        <f>SUM(Results_Res!AE54,Results_Out!AE54,Results_Ind!AE54,Results_Com!AE54)</f>
        <v>0.22153337004370771</v>
      </c>
      <c r="AF54" s="200">
        <f>SUM(Results_Res!AF54,Results_Out!AF54,Results_Ind!AF54,Results_Com!AF54)</f>
        <v>0.22447438694146238</v>
      </c>
    </row>
    <row r="55" spans="1:32" s="221" customFormat="1" x14ac:dyDescent="0.25">
      <c r="A55" s="839"/>
      <c r="B55" s="552" t="s">
        <v>29</v>
      </c>
      <c r="C55" s="539"/>
      <c r="D55" s="539"/>
      <c r="E55" s="539"/>
      <c r="F55" s="539"/>
      <c r="G55" s="200">
        <f>SUM(Results_Res!G55,Results_Out!G55,Results_Ind!G55,Results_Com!G55)</f>
        <v>0</v>
      </c>
      <c r="H55" s="200">
        <f>SUM(Results_Res!H55,Results_Out!H55,Results_Ind!H55,Results_Com!H55)</f>
        <v>2.5193165806583311E-4</v>
      </c>
      <c r="I55" s="200">
        <f>SUM(Results_Res!I55,Results_Out!I55,Results_Ind!I55,Results_Com!I55)</f>
        <v>4.7679635542629563E-4</v>
      </c>
      <c r="J55" s="200">
        <f>SUM(Results_Res!J55,Results_Out!J55,Results_Ind!J55,Results_Com!J55)</f>
        <v>6.7970862843985853E-4</v>
      </c>
      <c r="K55" s="200">
        <f>SUM(Results_Res!K55,Results_Out!K55,Results_Ind!K55,Results_Com!K55)</f>
        <v>8.6394473739466026E-4</v>
      </c>
      <c r="L55" s="200">
        <f>SUM(Results_Res!L55,Results_Out!L55,Results_Ind!L55,Results_Com!L55)</f>
        <v>1.0296382204490408E-3</v>
      </c>
      <c r="M55" s="200">
        <f>SUM(Results_Res!M55,Results_Out!M55,Results_Ind!M55,Results_Com!M55)</f>
        <v>1.1783425064948727E-3</v>
      </c>
      <c r="N55" s="200">
        <f>SUM(Results_Res!N55,Results_Out!N55,Results_Ind!N55,Results_Com!N55)</f>
        <v>1.3135839627841433E-3</v>
      </c>
      <c r="O55" s="200">
        <f>SUM(Results_Res!O55,Results_Out!O55,Results_Ind!O55,Results_Com!O55)</f>
        <v>1.4394044442955238E-3</v>
      </c>
      <c r="P55" s="200">
        <f>SUM(Results_Res!P55,Results_Out!P55,Results_Ind!P55,Results_Com!P55)</f>
        <v>1.5552925669151242E-3</v>
      </c>
      <c r="Q55" s="200">
        <f>SUM(Results_Res!Q55,Results_Out!Q55,Results_Ind!Q55,Results_Com!Q55)</f>
        <v>1.6636361095238065E-3</v>
      </c>
      <c r="R55" s="200">
        <f>SUM(Results_Res!R55,Results_Out!R55,Results_Ind!R55,Results_Com!R55)</f>
        <v>1.7633448522085943E-3</v>
      </c>
      <c r="S55" s="200">
        <f>SUM(Results_Res!S55,Results_Out!S55,Results_Ind!S55,Results_Com!S55)</f>
        <v>1.8565913496909159E-3</v>
      </c>
      <c r="T55" s="200">
        <f>SUM(Results_Res!T55,Results_Out!T55,Results_Ind!T55,Results_Com!T55)</f>
        <v>1.9441705604723394E-3</v>
      </c>
      <c r="U55" s="200">
        <f>SUM(Results_Res!U55,Results_Out!U55,Results_Ind!U55,Results_Com!U55)</f>
        <v>2.026834944981357E-3</v>
      </c>
      <c r="V55" s="200">
        <f>SUM(Results_Res!V55,Results_Out!V55,Results_Ind!V55,Results_Com!V55)</f>
        <v>2.1053983748304818E-3</v>
      </c>
      <c r="W55" s="200">
        <f>SUM(Results_Res!W55,Results_Out!W55,Results_Ind!W55,Results_Com!W55)</f>
        <v>2.1793570521338405E-3</v>
      </c>
      <c r="X55" s="200">
        <f>SUM(Results_Res!X55,Results_Out!X55,Results_Ind!X55,Results_Com!X55)</f>
        <v>2.2500878756538433E-3</v>
      </c>
      <c r="Y55" s="200">
        <f>SUM(Results_Res!Y55,Results_Out!Y55,Results_Ind!Y55,Results_Com!Y55)</f>
        <v>2.3177418884763987E-3</v>
      </c>
      <c r="Z55" s="200">
        <f>SUM(Results_Res!Z55,Results_Out!Z55,Results_Ind!Z55,Results_Com!Z55)</f>
        <v>2.3822455802703828E-3</v>
      </c>
      <c r="AA55" s="200">
        <f>SUM(Results_Res!AA55,Results_Out!AA55,Results_Ind!AA55,Results_Com!AA55)</f>
        <v>2.4437990674369726E-3</v>
      </c>
      <c r="AB55" s="200">
        <f>SUM(Results_Res!AB55,Results_Out!AB55,Results_Ind!AB55,Results_Com!AB55)</f>
        <v>2.5034940154590626E-3</v>
      </c>
      <c r="AC55" s="200">
        <f>SUM(Results_Res!AC55,Results_Out!AC55,Results_Ind!AC55,Results_Com!AC55)</f>
        <v>2.5607129578080787E-3</v>
      </c>
      <c r="AD55" s="200">
        <f>SUM(Results_Res!AD55,Results_Out!AD55,Results_Ind!AD55,Results_Com!AD55)</f>
        <v>2.6155863063436436E-3</v>
      </c>
      <c r="AE55" s="200">
        <f>SUM(Results_Res!AE55,Results_Out!AE55,Results_Ind!AE55,Results_Com!AE55)</f>
        <v>2.6682261801595185E-3</v>
      </c>
      <c r="AF55" s="200">
        <f>SUM(Results_Res!AF55,Results_Out!AF55,Results_Ind!AF55,Results_Com!AF55)</f>
        <v>2.7187291593840156E-3</v>
      </c>
    </row>
    <row r="56" spans="1:32" s="221" customFormat="1" x14ac:dyDescent="0.25">
      <c r="A56" s="839"/>
      <c r="B56" s="550"/>
      <c r="C56" s="539"/>
      <c r="D56" s="539"/>
      <c r="E56" s="539"/>
      <c r="F56" s="539"/>
      <c r="G56" s="200"/>
      <c r="H56" s="539"/>
      <c r="I56" s="539"/>
      <c r="J56" s="539"/>
      <c r="K56" s="539"/>
      <c r="L56" s="539"/>
      <c r="M56" s="539"/>
      <c r="N56" s="539"/>
      <c r="O56" s="539"/>
      <c r="P56" s="539"/>
      <c r="Q56" s="539"/>
      <c r="R56" s="539"/>
      <c r="S56" s="539"/>
      <c r="T56" s="539"/>
      <c r="U56" s="539"/>
      <c r="V56" s="539"/>
      <c r="W56" s="539"/>
      <c r="X56" s="539"/>
      <c r="Y56" s="539"/>
      <c r="Z56" s="539"/>
      <c r="AA56" s="539"/>
      <c r="AB56" s="539"/>
      <c r="AC56" s="539"/>
      <c r="AD56" s="539"/>
      <c r="AE56" s="539"/>
      <c r="AF56" s="539"/>
    </row>
    <row r="57" spans="1:32" s="202" customFormat="1" ht="12.75" x14ac:dyDescent="0.2">
      <c r="A57" s="843" t="s">
        <v>36</v>
      </c>
      <c r="B57" s="556"/>
      <c r="C57" s="556"/>
      <c r="D57" s="556"/>
      <c r="E57" s="556"/>
      <c r="F57" s="556"/>
      <c r="G57" s="241"/>
      <c r="H57" s="556"/>
      <c r="I57" s="556"/>
      <c r="J57" s="556"/>
      <c r="K57" s="556"/>
      <c r="L57" s="556"/>
      <c r="M57" s="556"/>
      <c r="N57" s="556"/>
      <c r="O57" s="556"/>
      <c r="P57" s="556"/>
      <c r="Q57" s="556"/>
      <c r="R57" s="556"/>
      <c r="S57" s="556"/>
      <c r="T57" s="556"/>
      <c r="U57" s="556"/>
      <c r="V57" s="556"/>
      <c r="W57" s="556"/>
      <c r="X57" s="556"/>
      <c r="Y57" s="556"/>
      <c r="Z57" s="556"/>
      <c r="AA57" s="556"/>
      <c r="AB57" s="556"/>
      <c r="AC57" s="556"/>
      <c r="AD57" s="556"/>
      <c r="AE57" s="556"/>
      <c r="AF57" s="556"/>
    </row>
    <row r="58" spans="1:32" s="221" customFormat="1" x14ac:dyDescent="0.25">
      <c r="A58" s="839"/>
      <c r="B58" s="550" t="s">
        <v>37</v>
      </c>
      <c r="C58" s="539"/>
      <c r="D58" s="539"/>
      <c r="E58" s="539"/>
      <c r="F58" s="201"/>
      <c r="G58" s="200">
        <f>SUM(Results_Res!G58,Results_Out!G58,Results_Ind!G58,Results_Com!G58)</f>
        <v>3.7848663068560322</v>
      </c>
      <c r="H58" s="200">
        <f>SUM(Results_Res!H58,Results_Out!H58,Results_Ind!H58,Results_Com!H58)</f>
        <v>3.3217571274038726</v>
      </c>
      <c r="I58" s="200">
        <f>SUM(Results_Res!I58,Results_Out!I58,Results_Ind!I58,Results_Com!I58)</f>
        <v>2.7674621396343388</v>
      </c>
      <c r="J58" s="200">
        <f>SUM(Results_Res!J58,Results_Out!J58,Results_Ind!J58,Results_Com!J58)</f>
        <v>2.1825848515733797</v>
      </c>
      <c r="K58" s="200">
        <f>SUM(Results_Res!K58,Results_Out!K58,Results_Ind!K58,Results_Com!K58)</f>
        <v>1.6252500532106255</v>
      </c>
      <c r="L58" s="200">
        <f>SUM(Results_Res!L58,Results_Out!L58,Results_Ind!L58,Results_Com!L58)</f>
        <v>1.2242893691175118</v>
      </c>
      <c r="M58" s="200">
        <f>SUM(Results_Res!M58,Results_Out!M58,Results_Ind!M58,Results_Com!M58)</f>
        <v>0.9336869172860397</v>
      </c>
      <c r="N58" s="200">
        <f>SUM(Results_Res!N58,Results_Out!N58,Results_Ind!N58,Results_Com!N58)</f>
        <v>0.72190335890237933</v>
      </c>
      <c r="O58" s="200">
        <f>SUM(Results_Res!O58,Results_Out!O58,Results_Ind!O58,Results_Com!O58)</f>
        <v>0.56779751061531725</v>
      </c>
      <c r="P58" s="200">
        <f>SUM(Results_Res!P58,Results_Out!P58,Results_Ind!P58,Results_Com!P58)</f>
        <v>0.45476703131402857</v>
      </c>
      <c r="Q58" s="200">
        <f>SUM(Results_Res!Q58,Results_Out!Q58,Results_Ind!Q58,Results_Com!Q58)</f>
        <v>0.37118114037851635</v>
      </c>
      <c r="R58" s="200">
        <f>SUM(Results_Res!R58,Results_Out!R58,Results_Ind!R58,Results_Com!R58)</f>
        <v>0.30870560304897687</v>
      </c>
      <c r="S58" s="200">
        <f>SUM(Results_Res!S58,Results_Out!S58,Results_Ind!S58,Results_Com!S58)</f>
        <v>0.2614886502544716</v>
      </c>
      <c r="T58" s="200">
        <f>SUM(Results_Res!T58,Results_Out!T58,Results_Ind!T58,Results_Com!T58)</f>
        <v>0.22535470245522823</v>
      </c>
      <c r="U58" s="200">
        <f>SUM(Results_Res!U58,Results_Out!U58,Results_Ind!U58,Results_Com!U58)</f>
        <v>0.19731856753830201</v>
      </c>
      <c r="V58" s="200">
        <f>SUM(Results_Res!V58,Results_Out!V58,Results_Ind!V58,Results_Com!V58)</f>
        <v>0.17524376751921306</v>
      </c>
      <c r="W58" s="200">
        <f>SUM(Results_Res!W58,Results_Out!W58,Results_Ind!W58,Results_Com!W58)</f>
        <v>0.15754858388334678</v>
      </c>
      <c r="X58" s="200">
        <f>SUM(Results_Res!X58,Results_Out!X58,Results_Ind!X58,Results_Com!X58)</f>
        <v>0.14318284513222565</v>
      </c>
      <c r="Y58" s="200">
        <f>SUM(Results_Res!Y58,Results_Out!Y58,Results_Ind!Y58,Results_Com!Y58)</f>
        <v>0.13133225628061701</v>
      </c>
      <c r="Z58" s="200">
        <f>SUM(Results_Res!Z58,Results_Out!Z58,Results_Ind!Z58,Results_Com!Z58)</f>
        <v>0.12138870918224648</v>
      </c>
      <c r="AA58" s="200">
        <f>SUM(Results_Res!AA58,Results_Out!AA58,Results_Ind!AA58,Results_Com!AA58)</f>
        <v>0.11293011664869794</v>
      </c>
      <c r="AB58" s="200">
        <f>SUM(Results_Res!AB58,Results_Out!AB58,Results_Ind!AB58,Results_Com!AB58)</f>
        <v>0.1056284238432766</v>
      </c>
      <c r="AC58" s="200">
        <f>SUM(Results_Res!AC58,Results_Out!AC58,Results_Ind!AC58,Results_Com!AC58)</f>
        <v>9.9259706447553775E-2</v>
      </c>
      <c r="AD58" s="200">
        <f>SUM(Results_Res!AD58,Results_Out!AD58,Results_Ind!AD58,Results_Com!AD58)</f>
        <v>9.367222048330355E-2</v>
      </c>
      <c r="AE58" s="200">
        <f>SUM(Results_Res!AE58,Results_Out!AE58,Results_Ind!AE58,Results_Com!AE58)</f>
        <v>8.8706975206255659E-2</v>
      </c>
      <c r="AF58" s="200">
        <f>SUM(Results_Res!AF58,Results_Out!AF58,Results_Ind!AF58,Results_Com!AF58)</f>
        <v>8.4284324056866047E-2</v>
      </c>
    </row>
    <row r="59" spans="1:32" s="221" customFormat="1" x14ac:dyDescent="0.25">
      <c r="A59" s="839"/>
      <c r="B59" s="550" t="s">
        <v>39</v>
      </c>
      <c r="C59" s="539"/>
      <c r="D59" s="539"/>
      <c r="E59" s="203"/>
      <c r="F59" s="539"/>
      <c r="G59" s="200">
        <f>SUM(Results_Res!G59,Results_Out!G59,Results_Ind!G59,Results_Com!G59)</f>
        <v>6.0642784752187886</v>
      </c>
      <c r="H59" s="200">
        <f>SUM(Results_Res!H59,Results_Out!H59,Results_Ind!H59,Results_Com!H59)</f>
        <v>6.4023631935145859</v>
      </c>
      <c r="I59" s="200">
        <f>SUM(Results_Res!I59,Results_Out!I59,Results_Ind!I59,Results_Com!I59)</f>
        <v>6.8120796555885601</v>
      </c>
      <c r="J59" s="200">
        <f>SUM(Results_Res!J59,Results_Out!J59,Results_Ind!J59,Results_Com!J59)</f>
        <v>7.2470745502067944</v>
      </c>
      <c r="K59" s="200">
        <f>SUM(Results_Res!K59,Results_Out!K59,Results_Ind!K59,Results_Com!K59)</f>
        <v>7.6495286078814431</v>
      </c>
      <c r="L59" s="200">
        <f>SUM(Results_Res!L59,Results_Out!L59,Results_Ind!L59,Results_Com!L59)</f>
        <v>7.938082175288617</v>
      </c>
      <c r="M59" s="200">
        <f>SUM(Results_Res!M59,Results_Out!M59,Results_Ind!M59,Results_Com!M59)</f>
        <v>8.1425203336002969</v>
      </c>
      <c r="N59" s="200">
        <f>SUM(Results_Res!N59,Results_Out!N59,Results_Ind!N59,Results_Com!N59)</f>
        <v>8.3056175053301349</v>
      </c>
      <c r="O59" s="200">
        <f>SUM(Results_Res!O59,Results_Out!O59,Results_Ind!O59,Results_Com!O59)</f>
        <v>8.4476528538046232</v>
      </c>
      <c r="P59" s="200">
        <f>SUM(Results_Res!P59,Results_Out!P59,Results_Ind!P59,Results_Com!P59)</f>
        <v>8.5704111798515505</v>
      </c>
      <c r="Q59" s="200">
        <f>SUM(Results_Res!Q59,Results_Out!Q59,Results_Ind!Q59,Results_Com!Q59)</f>
        <v>8.6855004097086059</v>
      </c>
      <c r="R59" s="200">
        <f>SUM(Results_Res!R59,Results_Out!R59,Results_Ind!R59,Results_Com!R59)</f>
        <v>8.7937873759324887</v>
      </c>
      <c r="S59" s="200">
        <f>SUM(Results_Res!S59,Results_Out!S59,Results_Ind!S59,Results_Com!S59)</f>
        <v>8.9006402049259368</v>
      </c>
      <c r="T59" s="200">
        <f>SUM(Results_Res!T59,Results_Out!T59,Results_Ind!T59,Results_Com!T59)</f>
        <v>9.0080735776236764</v>
      </c>
      <c r="U59" s="200">
        <f>SUM(Results_Res!U59,Results_Out!U59,Results_Ind!U59,Results_Com!U59)</f>
        <v>9.1120198025830845</v>
      </c>
      <c r="V59" s="200">
        <f>SUM(Results_Res!V59,Results_Out!V59,Results_Ind!V59,Results_Com!V59)</f>
        <v>9.2132816620917239</v>
      </c>
      <c r="W59" s="200">
        <f>SUM(Results_Res!W59,Results_Out!W59,Results_Ind!W59,Results_Com!W59)</f>
        <v>9.3089942110971737</v>
      </c>
      <c r="X59" s="200">
        <f>SUM(Results_Res!X59,Results_Out!X59,Results_Ind!X59,Results_Com!X59)</f>
        <v>9.4067472679721256</v>
      </c>
      <c r="Y59" s="200">
        <f>SUM(Results_Res!Y59,Results_Out!Y59,Results_Ind!Y59,Results_Com!Y59)</f>
        <v>9.5075067119259185</v>
      </c>
      <c r="Z59" s="200">
        <f>SUM(Results_Res!Z59,Results_Out!Z59,Results_Ind!Z59,Results_Com!Z59)</f>
        <v>9.6082658053376147</v>
      </c>
      <c r="AA59" s="200">
        <f>SUM(Results_Res!AA59,Results_Out!AA59,Results_Ind!AA59,Results_Com!AA59)</f>
        <v>9.7064570591106651</v>
      </c>
      <c r="AB59" s="200">
        <f>SUM(Results_Res!AB59,Results_Out!AB59,Results_Ind!AB59,Results_Com!AB59)</f>
        <v>9.8031629823079225</v>
      </c>
      <c r="AC59" s="200">
        <f>SUM(Results_Res!AC59,Results_Out!AC59,Results_Ind!AC59,Results_Com!AC59)</f>
        <v>9.8992886332782604</v>
      </c>
      <c r="AD59" s="200">
        <f>SUM(Results_Res!AD59,Results_Out!AD59,Results_Ind!AD59,Results_Com!AD59)</f>
        <v>9.9948463707147894</v>
      </c>
      <c r="AE59" s="200">
        <f>SUM(Results_Res!AE59,Results_Out!AE59,Results_Ind!AE59,Results_Com!AE59)</f>
        <v>10.089825650944581</v>
      </c>
      <c r="AF59" s="200">
        <f>SUM(Results_Res!AF59,Results_Out!AF59,Results_Ind!AF59,Results_Com!AF59)</f>
        <v>10.184213099369268</v>
      </c>
    </row>
    <row r="60" spans="1:32" s="221" customFormat="1" x14ac:dyDescent="0.25">
      <c r="A60" s="839"/>
      <c r="B60" s="550" t="s">
        <v>40</v>
      </c>
      <c r="C60" s="539"/>
      <c r="D60" s="539"/>
      <c r="E60" s="539"/>
      <c r="F60" s="539"/>
      <c r="G60" s="200">
        <f>SUM(Results_Res!G60,Results_Out!G60,Results_Ind!G60,Results_Com!G60)</f>
        <v>0.71458941387316988</v>
      </c>
      <c r="H60" s="200">
        <f>SUM(Results_Res!H60,Results_Out!H60,Results_Ind!H60,Results_Com!H60)</f>
        <v>0.80069150199989625</v>
      </c>
      <c r="I60" s="200">
        <f>SUM(Results_Res!I60,Results_Out!I60,Results_Ind!I60,Results_Com!I60)</f>
        <v>0.89157260761645196</v>
      </c>
      <c r="J60" s="200">
        <f>SUM(Results_Res!J60,Results_Out!J60,Results_Ind!J60,Results_Com!J60)</f>
        <v>0.98108362921474424</v>
      </c>
      <c r="K60" s="200">
        <f>SUM(Results_Res!K60,Results_Out!K60,Results_Ind!K60,Results_Com!K60)</f>
        <v>1.0672577196599047</v>
      </c>
      <c r="L60" s="200">
        <f>SUM(Results_Res!L60,Results_Out!L60,Results_Ind!L60,Results_Com!L60)</f>
        <v>1.1355022793843259</v>
      </c>
      <c r="M60" s="200">
        <f>SUM(Results_Res!M60,Results_Out!M60,Results_Ind!M60,Results_Com!M60)</f>
        <v>1.1895436913902619</v>
      </c>
      <c r="N60" s="200">
        <f>SUM(Results_Res!N60,Results_Out!N60,Results_Ind!N60,Results_Com!N60)</f>
        <v>1.2311856187525581</v>
      </c>
      <c r="O60" s="200">
        <f>SUM(Results_Res!O60,Results_Out!O60,Results_Ind!O60,Results_Com!O60)</f>
        <v>1.2683771487898059</v>
      </c>
      <c r="P60" s="200">
        <f>SUM(Results_Res!P60,Results_Out!P60,Results_Ind!P60,Results_Com!P60)</f>
        <v>1.3008430272817852</v>
      </c>
      <c r="Q60" s="200">
        <f>SUM(Results_Res!Q60,Results_Out!Q60,Results_Ind!Q60,Results_Com!Q60)</f>
        <v>1.3306790316656754</v>
      </c>
      <c r="R60" s="200">
        <f>SUM(Results_Res!R60,Results_Out!R60,Results_Ind!R60,Results_Com!R60)</f>
        <v>1.3572623921933864</v>
      </c>
      <c r="S60" s="200">
        <f>SUM(Results_Res!S60,Results_Out!S60,Results_Ind!S60,Results_Com!S60)</f>
        <v>1.381604194771213</v>
      </c>
      <c r="T60" s="200">
        <f>SUM(Results_Res!T60,Results_Out!T60,Results_Ind!T60,Results_Com!T60)</f>
        <v>1.4042292078178373</v>
      </c>
      <c r="U60" s="200">
        <f>SUM(Results_Res!U60,Results_Out!U60,Results_Ind!U60,Results_Com!U60)</f>
        <v>1.4256234303315425</v>
      </c>
      <c r="V60" s="200">
        <f>SUM(Results_Res!V60,Results_Out!V60,Results_Ind!V60,Results_Com!V60)</f>
        <v>1.4460352926907876</v>
      </c>
      <c r="W60" s="200">
        <f>SUM(Results_Res!W60,Results_Out!W60,Results_Ind!W60,Results_Com!W60)</f>
        <v>1.4650820992170035</v>
      </c>
      <c r="X60" s="200">
        <f>SUM(Results_Res!X60,Results_Out!X60,Results_Ind!X60,Results_Com!X60)</f>
        <v>1.4840410907140307</v>
      </c>
      <c r="Y60" s="200">
        <f>SUM(Results_Res!Y60,Results_Out!Y60,Results_Ind!Y60,Results_Com!Y60)</f>
        <v>1.5031514476550227</v>
      </c>
      <c r="Z60" s="200">
        <f>SUM(Results_Res!Z60,Results_Out!Z60,Results_Ind!Z60,Results_Com!Z60)</f>
        <v>1.5219705432317505</v>
      </c>
      <c r="AA60" s="200">
        <f>SUM(Results_Res!AA60,Results_Out!AA60,Results_Ind!AA60,Results_Com!AA60)</f>
        <v>1.5400928526167739</v>
      </c>
      <c r="AB60" s="200">
        <f>SUM(Results_Res!AB60,Results_Out!AB60,Results_Ind!AB60,Results_Com!AB60)</f>
        <v>1.5577610675804634</v>
      </c>
      <c r="AC60" s="200">
        <f>SUM(Results_Res!AC60,Results_Out!AC60,Results_Ind!AC60,Results_Com!AC60)</f>
        <v>1.5751496495843098</v>
      </c>
      <c r="AD60" s="200">
        <f>SUM(Results_Res!AD60,Results_Out!AD60,Results_Ind!AD60,Results_Com!AD60)</f>
        <v>1.5922553737842071</v>
      </c>
      <c r="AE60" s="200">
        <f>SUM(Results_Res!AE60,Results_Out!AE60,Results_Ind!AE60,Results_Com!AE60)</f>
        <v>1.609129280620055</v>
      </c>
      <c r="AF60" s="200">
        <f>SUM(Results_Res!AF60,Results_Out!AF60,Results_Ind!AF60,Results_Com!AF60)</f>
        <v>1.6257592506500458</v>
      </c>
    </row>
    <row r="61" spans="1:32" s="221" customFormat="1" x14ac:dyDescent="0.25">
      <c r="A61" s="839"/>
      <c r="B61" s="550" t="s">
        <v>29</v>
      </c>
      <c r="C61" s="539"/>
      <c r="D61" s="539"/>
      <c r="E61" s="539"/>
      <c r="F61" s="539"/>
      <c r="G61" s="200">
        <f>SUM(Results_Res!G61,Results_Out!G61,Results_Ind!G61,Results_Com!G61)</f>
        <v>0</v>
      </c>
      <c r="H61" s="200">
        <f>SUM(Results_Res!H61,Results_Out!H61,Results_Ind!H61,Results_Com!H61)</f>
        <v>2.2699646148963301E-8</v>
      </c>
      <c r="I61" s="200">
        <f>SUM(Results_Res!I61,Results_Out!I61,Results_Ind!I61,Results_Com!I61)</f>
        <v>4.1085407012544334E-8</v>
      </c>
      <c r="J61" s="200">
        <f>SUM(Results_Res!J61,Results_Out!J61,Results_Ind!J61,Results_Com!J61)</f>
        <v>5.5802151818951149E-8</v>
      </c>
      <c r="K61" s="200">
        <f>SUM(Results_Res!K61,Results_Out!K61,Results_Ind!K61,Results_Com!K61)</f>
        <v>6.770565269960172E-8</v>
      </c>
      <c r="L61" s="200">
        <f>SUM(Results_Res!L61,Results_Out!L61,Results_Ind!L61,Results_Com!L61)</f>
        <v>7.7716761213746184E-8</v>
      </c>
      <c r="M61" s="200">
        <f>SUM(Results_Res!M61,Results_Out!M61,Results_Ind!M61,Results_Com!M61)</f>
        <v>8.5977695346115168E-8</v>
      </c>
      <c r="N61" s="200">
        <f>SUM(Results_Res!N61,Results_Out!N61,Results_Ind!N61,Results_Com!N61)</f>
        <v>9.2934974001635875E-8</v>
      </c>
      <c r="O61" s="200">
        <f>SUM(Results_Res!O61,Results_Out!O61,Results_Ind!O61,Results_Com!O61)</f>
        <v>9.8949520323602203E-8</v>
      </c>
      <c r="P61" s="200">
        <f>SUM(Results_Res!P61,Results_Out!P61,Results_Ind!P61,Results_Com!P61)</f>
        <v>1.0381611712899239E-7</v>
      </c>
      <c r="Q61" s="200">
        <f>SUM(Results_Res!Q61,Results_Out!Q61,Results_Ind!Q61,Results_Com!Q61)</f>
        <v>1.0800874345361315E-7</v>
      </c>
      <c r="R61" s="200">
        <f>SUM(Results_Res!R61,Results_Out!R61,Results_Ind!R61,Results_Com!R61)</f>
        <v>1.1134878057720493E-7</v>
      </c>
      <c r="S61" s="200">
        <f>SUM(Results_Res!S61,Results_Out!S61,Results_Ind!S61,Results_Com!S61)</f>
        <v>1.1410321676154985E-7</v>
      </c>
      <c r="T61" s="200">
        <f>SUM(Results_Res!T61,Results_Out!T61,Results_Ind!T61,Results_Com!T61)</f>
        <v>1.1641366998299901E-7</v>
      </c>
      <c r="U61" s="200">
        <f>SUM(Results_Res!U61,Results_Out!U61,Results_Ind!U61,Results_Com!U61)</f>
        <v>1.1841230533756915E-7</v>
      </c>
      <c r="V61" s="200">
        <f>SUM(Results_Res!V61,Results_Out!V61,Results_Ind!V61,Results_Com!V61)</f>
        <v>1.2016096113493413E-7</v>
      </c>
      <c r="W61" s="200">
        <f>SUM(Results_Res!W61,Results_Out!W61,Results_Ind!W61,Results_Com!W61)</f>
        <v>1.2158372962450644E-7</v>
      </c>
      <c r="X61" s="200">
        <f>SUM(Results_Res!X61,Results_Out!X61,Results_Ind!X61,Results_Com!X61)</f>
        <v>1.2301159573295077E-7</v>
      </c>
      <c r="Y61" s="200">
        <f>SUM(Results_Res!Y61,Results_Out!Y61,Results_Ind!Y61,Results_Com!Y61)</f>
        <v>1.2447810334173593E-7</v>
      </c>
      <c r="Z61" s="200">
        <f>SUM(Results_Res!Z61,Results_Out!Z61,Results_Ind!Z61,Results_Com!Z61)</f>
        <v>1.2586502974669803E-7</v>
      </c>
      <c r="AA61" s="200">
        <f>SUM(Results_Res!AA61,Results_Out!AA61,Results_Ind!AA61,Results_Com!AA61)</f>
        <v>1.2708983630558698E-7</v>
      </c>
      <c r="AB61" s="200">
        <f>SUM(Results_Res!AB61,Results_Out!AB61,Results_Ind!AB61,Results_Com!AB61)</f>
        <v>1.2821686191366685E-7</v>
      </c>
      <c r="AC61" s="200">
        <f>SUM(Results_Res!AC61,Results_Out!AC61,Results_Ind!AC61,Results_Com!AC61)</f>
        <v>1.2930035321910038E-7</v>
      </c>
      <c r="AD61" s="200">
        <f>SUM(Results_Res!AD61,Results_Out!AD61,Results_Ind!AD61,Results_Com!AD61)</f>
        <v>1.3034870074528404E-7</v>
      </c>
      <c r="AE61" s="200">
        <f>SUM(Results_Res!AE61,Results_Out!AE61,Results_Ind!AE61,Results_Com!AE61)</f>
        <v>1.3136827715794334E-7</v>
      </c>
      <c r="AF61" s="200">
        <f>SUM(Results_Res!AF61,Results_Out!AF61,Results_Ind!AF61,Results_Com!AF61)</f>
        <v>1.3236388645396063E-7</v>
      </c>
    </row>
    <row r="62" spans="1:32" s="221" customFormat="1" x14ac:dyDescent="0.25">
      <c r="A62" s="839"/>
      <c r="B62" s="550"/>
      <c r="C62" s="539"/>
      <c r="D62" s="539"/>
      <c r="E62" s="539"/>
      <c r="F62" s="539"/>
      <c r="G62" s="200"/>
      <c r="H62" s="539"/>
      <c r="I62" s="539"/>
      <c r="J62" s="539"/>
      <c r="K62" s="539"/>
      <c r="L62" s="539"/>
      <c r="M62" s="539"/>
      <c r="N62" s="539"/>
      <c r="O62" s="539"/>
      <c r="P62" s="539"/>
      <c r="Q62" s="539"/>
      <c r="R62" s="539"/>
      <c r="S62" s="539"/>
      <c r="T62" s="539"/>
      <c r="U62" s="539"/>
      <c r="V62" s="539"/>
      <c r="W62" s="539"/>
      <c r="X62" s="539"/>
      <c r="Y62" s="539"/>
      <c r="Z62" s="539"/>
      <c r="AA62" s="539"/>
      <c r="AB62" s="539"/>
      <c r="AC62" s="539"/>
      <c r="AD62" s="539"/>
      <c r="AE62" s="539"/>
      <c r="AF62" s="539"/>
    </row>
    <row r="63" spans="1:32" s="202" customFormat="1" ht="12.75" x14ac:dyDescent="0.2">
      <c r="A63" s="843" t="s">
        <v>42</v>
      </c>
      <c r="B63" s="556"/>
      <c r="C63" s="556"/>
      <c r="D63" s="556"/>
      <c r="E63" s="556"/>
      <c r="F63" s="556"/>
      <c r="G63" s="241"/>
      <c r="H63" s="556"/>
      <c r="I63" s="556"/>
      <c r="J63" s="556"/>
      <c r="K63" s="556"/>
      <c r="L63" s="556"/>
      <c r="M63" s="556"/>
      <c r="N63" s="556"/>
      <c r="O63" s="556"/>
      <c r="P63" s="556"/>
      <c r="Q63" s="556"/>
      <c r="R63" s="556"/>
      <c r="S63" s="556"/>
      <c r="T63" s="556"/>
      <c r="U63" s="556"/>
      <c r="V63" s="556"/>
      <c r="W63" s="556"/>
      <c r="X63" s="556"/>
      <c r="Y63" s="556"/>
      <c r="Z63" s="556"/>
      <c r="AA63" s="556"/>
      <c r="AB63" s="556"/>
      <c r="AC63" s="556"/>
      <c r="AD63" s="556"/>
      <c r="AE63" s="556"/>
      <c r="AF63" s="556"/>
    </row>
    <row r="64" spans="1:32" s="221" customFormat="1" x14ac:dyDescent="0.25">
      <c r="A64" s="839"/>
      <c r="B64" s="552" t="s">
        <v>43</v>
      </c>
      <c r="C64" s="539"/>
      <c r="D64" s="539"/>
      <c r="E64" s="539"/>
      <c r="F64" s="539"/>
      <c r="G64" s="200">
        <f>SUM(Results_Res!G64,Results_Out!G64,Results_Ind!G64,Results_Com!G64)</f>
        <v>0.36652205664838661</v>
      </c>
      <c r="H64" s="200">
        <f>SUM(Results_Res!H64,Results_Out!H64,Results_Ind!H64,Results_Com!H64)</f>
        <v>0.32873693877825971</v>
      </c>
      <c r="I64" s="200">
        <f>SUM(Results_Res!I64,Results_Out!I64,Results_Ind!I64,Results_Com!I64)</f>
        <v>0.29555080376919135</v>
      </c>
      <c r="J64" s="200">
        <f>SUM(Results_Res!J64,Results_Out!J64,Results_Ind!J64,Results_Com!J64)</f>
        <v>0.26636649738854595</v>
      </c>
      <c r="K64" s="200">
        <f>SUM(Results_Res!K64,Results_Out!K64,Results_Ind!K64,Results_Com!K64)</f>
        <v>0.24067259117856354</v>
      </c>
      <c r="L64" s="200">
        <f>SUM(Results_Res!L64,Results_Out!L64,Results_Ind!L64,Results_Com!L64)</f>
        <v>0.21803836259038084</v>
      </c>
      <c r="M64" s="200">
        <f>SUM(Results_Res!M64,Results_Out!M64,Results_Ind!M64,Results_Com!M64)</f>
        <v>0.1980678469062549</v>
      </c>
      <c r="N64" s="200">
        <f>SUM(Results_Res!N64,Results_Out!N64,Results_Ind!N64,Results_Com!N64)</f>
        <v>0.1804511699563322</v>
      </c>
      <c r="O64" s="200">
        <f>SUM(Results_Res!O64,Results_Out!O64,Results_Ind!O64,Results_Com!O64)</f>
        <v>0.16492624545751661</v>
      </c>
      <c r="P64" s="200">
        <f>SUM(Results_Res!P64,Results_Out!P64,Results_Ind!P64,Results_Com!P64)</f>
        <v>0.15121486234070761</v>
      </c>
      <c r="Q64" s="200">
        <f>SUM(Results_Res!Q64,Results_Out!Q64,Results_Ind!Q64,Results_Com!Q64)</f>
        <v>0.13911149114715565</v>
      </c>
      <c r="R64" s="200">
        <f>SUM(Results_Res!R64,Results_Out!R64,Results_Ind!R64,Results_Com!R64)</f>
        <v>0.12840308819640933</v>
      </c>
      <c r="S64" s="200">
        <f>SUM(Results_Res!S64,Results_Out!S64,Results_Ind!S64,Results_Com!S64)</f>
        <v>0.11892728366540783</v>
      </c>
      <c r="T64" s="200">
        <f>SUM(Results_Res!T64,Results_Out!T64,Results_Ind!T64,Results_Com!T64)</f>
        <v>0.11053802251430736</v>
      </c>
      <c r="U64" s="200">
        <f>SUM(Results_Res!U64,Results_Out!U64,Results_Ind!U64,Results_Com!U64)</f>
        <v>0.10312108035204239</v>
      </c>
      <c r="V64" s="200">
        <f>SUM(Results_Res!V64,Results_Out!V64,Results_Ind!V64,Results_Com!V64)</f>
        <v>9.6547505387857918E-2</v>
      </c>
      <c r="W64" s="200">
        <f>SUM(Results_Res!W64,Results_Out!W64,Results_Ind!W64,Results_Com!W64)</f>
        <v>9.0719610913850141E-2</v>
      </c>
      <c r="X64" s="200">
        <f>SUM(Results_Res!X64,Results_Out!X64,Results_Ind!X64,Results_Com!X64)</f>
        <v>8.5564348510101668E-2</v>
      </c>
      <c r="Y64" s="200">
        <f>SUM(Results_Res!Y64,Results_Out!Y64,Results_Ind!Y64,Results_Com!Y64)</f>
        <v>8.1011677266200108E-2</v>
      </c>
      <c r="Z64" s="200">
        <f>SUM(Results_Res!Z64,Results_Out!Z64,Results_Ind!Z64,Results_Com!Z64)</f>
        <v>7.6982354572820835E-2</v>
      </c>
      <c r="AA64" s="200">
        <f>SUM(Results_Res!AA64,Results_Out!AA64,Results_Ind!AA64,Results_Com!AA64)</f>
        <v>7.3396666733535301E-2</v>
      </c>
      <c r="AB64" s="200">
        <f>SUM(Results_Res!AB64,Results_Out!AB64,Results_Ind!AB64,Results_Com!AB64)</f>
        <v>7.0216754433550008E-2</v>
      </c>
      <c r="AC64" s="200">
        <f>SUM(Results_Res!AC64,Results_Out!AC64,Results_Ind!AC64,Results_Com!AC64)</f>
        <v>6.7396432855210811E-2</v>
      </c>
      <c r="AD64" s="200">
        <f>SUM(Results_Res!AD64,Results_Out!AD64,Results_Ind!AD64,Results_Com!AD64)</f>
        <v>6.4892435482082914E-2</v>
      </c>
      <c r="AE64" s="200">
        <f>SUM(Results_Res!AE64,Results_Out!AE64,Results_Ind!AE64,Results_Com!AE64)</f>
        <v>6.2665473600817589E-2</v>
      </c>
      <c r="AF64" s="200">
        <f>SUM(Results_Res!AF64,Results_Out!AF64,Results_Ind!AF64,Results_Com!AF64)</f>
        <v>6.0686890830574679E-2</v>
      </c>
    </row>
    <row r="65" spans="1:32" s="221" customFormat="1" x14ac:dyDescent="0.25">
      <c r="A65" s="839"/>
      <c r="B65" s="552" t="s">
        <v>44</v>
      </c>
      <c r="C65" s="539"/>
      <c r="D65" s="539"/>
      <c r="E65" s="539"/>
      <c r="F65" s="539"/>
      <c r="G65" s="200">
        <f>SUM(Results_Res!G65,Results_Out!G65,Results_Ind!G65,Results_Com!G65)</f>
        <v>4.0045286356621412</v>
      </c>
      <c r="H65" s="200">
        <f>SUM(Results_Res!H65,Results_Out!H65,Results_Ind!H65,Results_Com!H65)</f>
        <v>4.4484843770066602</v>
      </c>
      <c r="I65" s="200">
        <f>SUM(Results_Res!I65,Results_Out!I65,Results_Ind!I65,Results_Com!I65)</f>
        <v>4.8841791443926272</v>
      </c>
      <c r="J65" s="200">
        <f>SUM(Results_Res!J65,Results_Out!J65,Results_Ind!J65,Results_Com!J65)</f>
        <v>5.2822801863109632</v>
      </c>
      <c r="K65" s="200">
        <f>SUM(Results_Res!K65,Results_Out!K65,Results_Ind!K65,Results_Com!K65)</f>
        <v>5.6428224640356097</v>
      </c>
      <c r="L65" s="200">
        <f>SUM(Results_Res!L65,Results_Out!L65,Results_Ind!L65,Results_Com!L65)</f>
        <v>5.9713426618749441</v>
      </c>
      <c r="M65" s="200">
        <f>SUM(Results_Res!M65,Results_Out!M65,Results_Ind!M65,Results_Com!M65)</f>
        <v>6.264499457919527</v>
      </c>
      <c r="N65" s="200">
        <f>SUM(Results_Res!N65,Results_Out!N65,Results_Ind!N65,Results_Com!N65)</f>
        <v>6.5332192830872202</v>
      </c>
      <c r="O65" s="200">
        <f>SUM(Results_Res!O65,Results_Out!O65,Results_Ind!O65,Results_Com!O65)</f>
        <v>6.790192615661951</v>
      </c>
      <c r="P65" s="200">
        <f>SUM(Results_Res!P65,Results_Out!P65,Results_Ind!P65,Results_Com!P65)</f>
        <v>7.0271875534098607</v>
      </c>
      <c r="Q65" s="200">
        <f>SUM(Results_Res!Q65,Results_Out!Q65,Results_Ind!Q65,Results_Com!Q65)</f>
        <v>7.251740759185358</v>
      </c>
      <c r="R65" s="200">
        <f>SUM(Results_Res!R65,Results_Out!R65,Results_Ind!R65,Results_Com!R65)</f>
        <v>7.4574764080605931</v>
      </c>
      <c r="S65" s="200">
        <f>SUM(Results_Res!S65,Results_Out!S65,Results_Ind!S65,Results_Com!S65)</f>
        <v>7.6482211576864589</v>
      </c>
      <c r="T65" s="200">
        <f>SUM(Results_Res!T65,Results_Out!T65,Results_Ind!T65,Results_Com!T65)</f>
        <v>7.8258579734135578</v>
      </c>
      <c r="U65" s="200">
        <f>SUM(Results_Res!U65,Results_Out!U65,Results_Ind!U65,Results_Com!U65)</f>
        <v>7.992602372249948</v>
      </c>
      <c r="V65" s="200">
        <f>SUM(Results_Res!V65,Results_Out!V65,Results_Ind!V65,Results_Com!V65)</f>
        <v>8.1494362633717401</v>
      </c>
      <c r="W65" s="200">
        <f>SUM(Results_Res!W65,Results_Out!W65,Results_Ind!W65,Results_Com!W65)</f>
        <v>8.2941700293380052</v>
      </c>
      <c r="X65" s="200">
        <f>SUM(Results_Res!X65,Results_Out!X65,Results_Ind!X65,Results_Com!X65)</f>
        <v>8.434411792299974</v>
      </c>
      <c r="Y65" s="200">
        <f>SUM(Results_Res!Y65,Results_Out!Y65,Results_Ind!Y65,Results_Com!Y65)</f>
        <v>8.5714317594586618</v>
      </c>
      <c r="Z65" s="200">
        <f>SUM(Results_Res!Z65,Results_Out!Z65,Results_Ind!Z65,Results_Com!Z65)</f>
        <v>8.70297700567993</v>
      </c>
      <c r="AA65" s="200">
        <f>SUM(Results_Res!AA65,Results_Out!AA65,Results_Ind!AA65,Results_Com!AA65)</f>
        <v>8.8272761375904238</v>
      </c>
      <c r="AB65" s="200">
        <f>SUM(Results_Res!AB65,Results_Out!AB65,Results_Ind!AB65,Results_Com!AB65)</f>
        <v>8.9455904871507848</v>
      </c>
      <c r="AC65" s="200">
        <f>SUM(Results_Res!AC65,Results_Out!AC65,Results_Ind!AC65,Results_Com!AC65)</f>
        <v>9.0593811265203836</v>
      </c>
      <c r="AD65" s="200">
        <f>SUM(Results_Res!AD65,Results_Out!AD65,Results_Ind!AD65,Results_Com!AD65)</f>
        <v>9.1690973221253778</v>
      </c>
      <c r="AE65" s="200">
        <f>SUM(Results_Res!AE65,Results_Out!AE65,Results_Ind!AE65,Results_Com!AE65)</f>
        <v>9.2752047331525063</v>
      </c>
      <c r="AF65" s="200">
        <f>SUM(Results_Res!AF65,Results_Out!AF65,Results_Ind!AF65,Results_Com!AF65)</f>
        <v>9.3779452692070713</v>
      </c>
    </row>
    <row r="66" spans="1:32" s="221" customFormat="1" x14ac:dyDescent="0.25">
      <c r="A66" s="839"/>
      <c r="B66" s="552" t="s">
        <v>45</v>
      </c>
      <c r="C66" s="539"/>
      <c r="D66" s="539"/>
      <c r="E66" s="539"/>
      <c r="F66" s="539"/>
      <c r="G66" s="200">
        <f>SUM(Results_Res!G66,Results_Out!G66,Results_Ind!G66,Results_Com!G66)</f>
        <v>2.6009563459295073</v>
      </c>
      <c r="H66" s="200">
        <f>SUM(Results_Res!H66,Results_Out!H66,Results_Ind!H66,Results_Com!H66)</f>
        <v>2.3242730104568916</v>
      </c>
      <c r="I66" s="200">
        <f>SUM(Results_Res!I66,Results_Out!I66,Results_Ind!I66,Results_Com!I66)</f>
        <v>2.0788979223932342</v>
      </c>
      <c r="J66" s="200">
        <f>SUM(Results_Res!J66,Results_Out!J66,Results_Ind!J66,Results_Com!J66)</f>
        <v>1.861120154171785</v>
      </c>
      <c r="K66" s="200">
        <f>SUM(Results_Res!K66,Results_Out!K66,Results_Ind!K66,Results_Com!K66)</f>
        <v>1.6676999249737592</v>
      </c>
      <c r="L66" s="200">
        <f>SUM(Results_Res!L66,Results_Out!L66,Results_Ind!L66,Results_Com!L66)</f>
        <v>1.4958266205659947</v>
      </c>
      <c r="M66" s="200">
        <f>SUM(Results_Res!M66,Results_Out!M66,Results_Ind!M66,Results_Com!M66)</f>
        <v>1.3429695662094623</v>
      </c>
      <c r="N66" s="200">
        <f>SUM(Results_Res!N66,Results_Out!N66,Results_Ind!N66,Results_Com!N66)</f>
        <v>1.2069970351295176</v>
      </c>
      <c r="O66" s="200">
        <f>SUM(Results_Res!O66,Results_Out!O66,Results_Ind!O66,Results_Com!O66)</f>
        <v>1.0860518887379198</v>
      </c>
      <c r="P66" s="200">
        <f>SUM(Results_Res!P66,Results_Out!P66,Results_Ind!P66,Results_Com!P66)</f>
        <v>0.97836112697107036</v>
      </c>
      <c r="Q66" s="200">
        <f>SUM(Results_Res!Q66,Results_Out!Q66,Results_Ind!Q66,Results_Com!Q66)</f>
        <v>0.88246348903933125</v>
      </c>
      <c r="R66" s="200">
        <f>SUM(Results_Res!R66,Results_Out!R66,Results_Ind!R66,Results_Com!R66)</f>
        <v>0.79697804405695383</v>
      </c>
      <c r="S66" s="200">
        <f>SUM(Results_Res!S66,Results_Out!S66,Results_Ind!S66,Results_Com!S66)</f>
        <v>0.72075063484139834</v>
      </c>
      <c r="T66" s="200">
        <f>SUM(Results_Res!T66,Results_Out!T66,Results_Ind!T66,Results_Com!T66)</f>
        <v>0.65275052866914218</v>
      </c>
      <c r="U66" s="200">
        <f>SUM(Results_Res!U66,Results_Out!U66,Results_Ind!U66,Results_Com!U66)</f>
        <v>0.59208586184316858</v>
      </c>
      <c r="V66" s="200">
        <f>SUM(Results_Res!V66,Results_Out!V66,Results_Ind!V66,Results_Com!V66)</f>
        <v>0.53792623883325374</v>
      </c>
      <c r="W66" s="200">
        <f>SUM(Results_Res!W66,Results_Out!W66,Results_Ind!W66,Results_Com!W66)</f>
        <v>0.48954543840344311</v>
      </c>
      <c r="X66" s="200">
        <f>SUM(Results_Res!X66,Results_Out!X66,Results_Ind!X66,Results_Com!X66)</f>
        <v>0.44635101328542703</v>
      </c>
      <c r="Y66" s="200">
        <f>SUM(Results_Res!Y66,Results_Out!Y66,Results_Ind!Y66,Results_Com!Y66)</f>
        <v>0.40790412910317475</v>
      </c>
      <c r="Z66" s="200">
        <f>SUM(Results_Res!Z66,Results_Out!Z66,Results_Ind!Z66,Results_Com!Z66)</f>
        <v>0.37364097672901825</v>
      </c>
      <c r="AA66" s="200">
        <f>SUM(Results_Res!AA66,Results_Out!AA66,Results_Ind!AA66,Results_Com!AA66)</f>
        <v>0.34296648689200437</v>
      </c>
      <c r="AB66" s="200">
        <f>SUM(Results_Res!AB66,Results_Out!AB66,Results_Ind!AB66,Results_Com!AB66)</f>
        <v>0.31559353686298902</v>
      </c>
      <c r="AC66" s="200">
        <f>SUM(Results_Res!AC66,Results_Out!AC66,Results_Ind!AC66,Results_Com!AC66)</f>
        <v>0.2911553312839758</v>
      </c>
      <c r="AD66" s="200">
        <f>SUM(Results_Res!AD66,Results_Out!AD66,Results_Ind!AD66,Results_Com!AD66)</f>
        <v>0.2693213765313312</v>
      </c>
      <c r="AE66" s="200">
        <f>SUM(Results_Res!AE66,Results_Out!AE66,Results_Ind!AE66,Results_Com!AE66)</f>
        <v>0.24974774252602217</v>
      </c>
      <c r="AF66" s="200">
        <f>SUM(Results_Res!AF66,Results_Out!AF66,Results_Ind!AF66,Results_Com!AF66)</f>
        <v>0.23224796086402957</v>
      </c>
    </row>
    <row r="67" spans="1:32" s="221" customFormat="1" x14ac:dyDescent="0.25">
      <c r="A67" s="839"/>
      <c r="B67" s="552" t="s">
        <v>46</v>
      </c>
      <c r="C67" s="539"/>
      <c r="D67" s="539"/>
      <c r="E67" s="539"/>
      <c r="F67" s="539"/>
      <c r="G67" s="200">
        <f>SUM(Results_Res!G67,Results_Out!G67,Results_Ind!G67,Results_Com!G67)</f>
        <v>2.683123287620464E-2</v>
      </c>
      <c r="H67" s="200">
        <f>SUM(Results_Res!H67,Results_Out!H67,Results_Ind!H67,Results_Com!H67)</f>
        <v>2.3941699965766349E-2</v>
      </c>
      <c r="I67" s="200">
        <f>SUM(Results_Res!I67,Results_Out!I67,Results_Ind!I67,Results_Com!I67)</f>
        <v>2.1374413966281858E-2</v>
      </c>
      <c r="J67" s="200">
        <f>SUM(Results_Res!J67,Results_Out!J67,Results_Ind!J67,Results_Com!J67)</f>
        <v>1.9092146701938151E-2</v>
      </c>
      <c r="K67" s="200">
        <f>SUM(Results_Res!K67,Results_Out!K67,Results_Ind!K67,Results_Com!K67)</f>
        <v>1.7062125936425074E-2</v>
      </c>
      <c r="L67" s="200">
        <f>SUM(Results_Res!L67,Results_Out!L67,Results_Ind!L67,Results_Com!L67)</f>
        <v>1.5255482818227094E-2</v>
      </c>
      <c r="M67" s="200">
        <f>SUM(Results_Res!M67,Results_Out!M67,Results_Ind!M67,Results_Com!M67)</f>
        <v>1.3646770298957755E-2</v>
      </c>
      <c r="N67" s="200">
        <f>SUM(Results_Res!N67,Results_Out!N67,Results_Ind!N67,Results_Com!N67)</f>
        <v>1.2213543085286846E-2</v>
      </c>
      <c r="O67" s="200">
        <f>SUM(Results_Res!O67,Results_Out!O67,Results_Ind!O67,Results_Com!O67)</f>
        <v>1.0935990984393369E-2</v>
      </c>
      <c r="P67" s="200">
        <f>SUM(Results_Res!P67,Results_Out!P67,Results_Ind!P67,Results_Com!P67)</f>
        <v>9.796618617237296E-3</v>
      </c>
      <c r="Q67" s="200">
        <f>SUM(Results_Res!Q67,Results_Out!Q67,Results_Ind!Q67,Results_Com!Q67)</f>
        <v>8.7799654305160939E-3</v>
      </c>
      <c r="R67" s="200">
        <f>SUM(Results_Res!R67,Results_Out!R67,Results_Ind!R67,Results_Com!R67)</f>
        <v>7.8723607600517664E-3</v>
      </c>
      <c r="S67" s="200">
        <f>SUM(Results_Res!S67,Results_Out!S67,Results_Ind!S67,Results_Com!S67)</f>
        <v>7.0617094051434555E-3</v>
      </c>
      <c r="T67" s="200">
        <f>SUM(Results_Res!T67,Results_Out!T67,Results_Ind!T67,Results_Com!T67)</f>
        <v>6.3373037817748322E-3</v>
      </c>
      <c r="U67" s="200">
        <f>SUM(Results_Res!U67,Results_Out!U67,Results_Ind!U67,Results_Com!U67)</f>
        <v>5.6896592466516224E-3</v>
      </c>
      <c r="V67" s="200">
        <f>SUM(Results_Res!V67,Results_Out!V67,Results_Ind!V67,Results_Com!V67)</f>
        <v>5.1103696359229194E-3</v>
      </c>
      <c r="W67" s="200">
        <f>SUM(Results_Res!W67,Results_Out!W67,Results_Ind!W67,Results_Com!W67)</f>
        <v>4.591980452389368E-3</v>
      </c>
      <c r="X67" s="200">
        <f>SUM(Results_Res!X67,Results_Out!X67,Results_Ind!X67,Results_Com!X67)</f>
        <v>4.1278774717892338E-3</v>
      </c>
      <c r="Y67" s="200">
        <f>SUM(Results_Res!Y67,Results_Out!Y67,Results_Ind!Y67,Results_Com!Y67)</f>
        <v>3.7135762033166098E-3</v>
      </c>
      <c r="Z67" s="200">
        <f>SUM(Results_Res!Z67,Results_Out!Z67,Results_Ind!Z67,Results_Com!Z67)</f>
        <v>3.3433945104581336E-3</v>
      </c>
      <c r="AA67" s="200">
        <f>SUM(Results_Res!AA67,Results_Out!AA67,Results_Ind!AA67,Results_Com!AA67)</f>
        <v>3.0112751167114902E-3</v>
      </c>
      <c r="AB67" s="200">
        <f>SUM(Results_Res!AB67,Results_Out!AB67,Results_Ind!AB67,Results_Com!AB67)</f>
        <v>2.7141567384839091E-3</v>
      </c>
      <c r="AC67" s="200">
        <f>SUM(Results_Res!AC67,Results_Out!AC67,Results_Ind!AC67,Results_Com!AC67)</f>
        <v>2.4481184442510422E-3</v>
      </c>
      <c r="AD67" s="200">
        <f>SUM(Results_Res!AD67,Results_Out!AD67,Results_Ind!AD67,Results_Com!AD67)</f>
        <v>2.2096837584482582E-3</v>
      </c>
      <c r="AE67" s="200">
        <f>SUM(Results_Res!AE67,Results_Out!AE67,Results_Ind!AE67,Results_Com!AE67)</f>
        <v>1.9951929068372952E-3</v>
      </c>
      <c r="AF67" s="200">
        <f>SUM(Results_Res!AF67,Results_Out!AF67,Results_Ind!AF67,Results_Com!AF67)</f>
        <v>1.8027372674268237E-3</v>
      </c>
    </row>
    <row r="68" spans="1:32" s="221" customFormat="1" x14ac:dyDescent="0.25">
      <c r="A68" s="839"/>
      <c r="B68" s="550" t="s">
        <v>29</v>
      </c>
      <c r="C68" s="539"/>
      <c r="D68" s="539"/>
      <c r="E68" s="539"/>
      <c r="F68" s="539"/>
      <c r="G68" s="200">
        <f>SUM(Results_Res!G68,Results_Out!G68,Results_Ind!G68,Results_Com!G68)</f>
        <v>0</v>
      </c>
      <c r="H68" s="200">
        <f>SUM(Results_Res!H68,Results_Out!H68,Results_Ind!H68,Results_Com!H68)</f>
        <v>5.8614455080906631E-3</v>
      </c>
      <c r="I68" s="200">
        <f>SUM(Results_Res!I68,Results_Out!I68,Results_Ind!I68,Results_Com!I68)</f>
        <v>1.02039438167787E-2</v>
      </c>
      <c r="J68" s="200">
        <f>SUM(Results_Res!J68,Results_Out!J68,Results_Ind!J68,Results_Com!J68)</f>
        <v>1.3396853203986193E-2</v>
      </c>
      <c r="K68" s="200">
        <f>SUM(Results_Res!K68,Results_Out!K68,Results_Ind!K68,Results_Com!K68)</f>
        <v>1.5723292956882635E-2</v>
      </c>
      <c r="L68" s="200">
        <f>SUM(Results_Res!L68,Results_Out!L68,Results_Ind!L68,Results_Com!L68)</f>
        <v>1.7409538361083502E-2</v>
      </c>
      <c r="M68" s="200">
        <f>SUM(Results_Res!M68,Results_Out!M68,Results_Ind!M68,Results_Com!M68)</f>
        <v>1.8600511853075298E-2</v>
      </c>
      <c r="N68" s="200">
        <f>SUM(Results_Res!N68,Results_Out!N68,Results_Ind!N68,Results_Com!N68)</f>
        <v>1.9443302579974949E-2</v>
      </c>
      <c r="O68" s="200">
        <f>SUM(Results_Res!O68,Results_Out!O68,Results_Ind!O68,Results_Com!O68)</f>
        <v>2.0055330328404324E-2</v>
      </c>
      <c r="P68" s="200">
        <f>SUM(Results_Res!P68,Results_Out!P68,Results_Ind!P68,Results_Com!P68)</f>
        <v>2.046881408429416E-2</v>
      </c>
      <c r="Q68" s="200">
        <f>SUM(Results_Res!Q68,Results_Out!Q68,Results_Ind!Q68,Results_Com!Q68)</f>
        <v>2.074974253920903E-2</v>
      </c>
      <c r="R68" s="200">
        <f>SUM(Results_Res!R68,Results_Out!R68,Results_Ind!R68,Results_Com!R68)</f>
        <v>2.0910448064893405E-2</v>
      </c>
      <c r="S68" s="200">
        <f>SUM(Results_Res!S68,Results_Out!S68,Results_Ind!S68,Results_Com!S68)</f>
        <v>2.0987212428254215E-2</v>
      </c>
      <c r="T68" s="200">
        <f>SUM(Results_Res!T68,Results_Out!T68,Results_Ind!T68,Results_Com!T68)</f>
        <v>2.1002743197382646E-2</v>
      </c>
      <c r="U68" s="200">
        <f>SUM(Results_Res!U68,Results_Out!U68,Results_Ind!U68,Results_Com!U68)</f>
        <v>2.0959062869842941E-2</v>
      </c>
      <c r="V68" s="200">
        <f>SUM(Results_Res!V68,Results_Out!V68,Results_Ind!V68,Results_Com!V68)</f>
        <v>2.0888339762978998E-2</v>
      </c>
      <c r="W68" s="200">
        <f>SUM(Results_Res!W68,Results_Out!W68,Results_Ind!W68,Results_Com!W68)</f>
        <v>2.0773565300895462E-2</v>
      </c>
      <c r="X68" s="200">
        <f>SUM(Results_Res!X68,Results_Out!X68,Results_Ind!X68,Results_Com!X68)</f>
        <v>2.0645327578973645E-2</v>
      </c>
      <c r="Y68" s="200">
        <f>SUM(Results_Res!Y68,Results_Out!Y68,Results_Ind!Y68,Results_Com!Y68)</f>
        <v>2.0510766340242188E-2</v>
      </c>
      <c r="Z68" s="200">
        <f>SUM(Results_Res!Z68,Results_Out!Z68,Results_Ind!Z68,Results_Com!Z68)</f>
        <v>2.0365519775805137E-2</v>
      </c>
      <c r="AA68" s="200">
        <f>SUM(Results_Res!AA68,Results_Out!AA68,Results_Ind!AA68,Results_Com!AA68)</f>
        <v>2.0220460734044182E-2</v>
      </c>
      <c r="AB68" s="200">
        <f>SUM(Results_Res!AB68,Results_Out!AB68,Results_Ind!AB68,Results_Com!AB68)</f>
        <v>2.0064500457553567E-2</v>
      </c>
      <c r="AC68" s="200">
        <f>SUM(Results_Res!AC68,Results_Out!AC68,Results_Ind!AC68,Results_Com!AC68)</f>
        <v>1.9904036097870965E-2</v>
      </c>
      <c r="AD68" s="200">
        <f>SUM(Results_Res!AD68,Results_Out!AD68,Results_Ind!AD68,Results_Com!AD68)</f>
        <v>1.9741457617288963E-2</v>
      </c>
      <c r="AE68" s="200">
        <f>SUM(Results_Res!AE68,Results_Out!AE68,Results_Ind!AE68,Results_Com!AE68)</f>
        <v>1.9578872394300503E-2</v>
      </c>
      <c r="AF68" s="200">
        <f>SUM(Results_Res!AF68,Results_Out!AF68,Results_Ind!AF68,Results_Com!AF68)</f>
        <v>1.9417029816999765E-2</v>
      </c>
    </row>
    <row r="69" spans="1:32" s="221" customFormat="1" x14ac:dyDescent="0.25">
      <c r="A69" s="839"/>
      <c r="B69" s="550"/>
      <c r="C69" s="539"/>
      <c r="D69" s="539"/>
      <c r="E69" s="539"/>
      <c r="F69" s="539"/>
      <c r="G69" s="200"/>
      <c r="H69" s="539"/>
      <c r="I69" s="539"/>
      <c r="J69" s="539"/>
      <c r="K69" s="539"/>
      <c r="L69" s="539"/>
      <c r="M69" s="539"/>
      <c r="N69" s="539"/>
      <c r="O69" s="539"/>
      <c r="P69" s="539"/>
      <c r="Q69" s="539"/>
      <c r="R69" s="539"/>
      <c r="S69" s="539"/>
      <c r="T69" s="539"/>
      <c r="U69" s="539"/>
      <c r="V69" s="539"/>
      <c r="W69" s="539"/>
      <c r="X69" s="539"/>
      <c r="Y69" s="539"/>
      <c r="Z69" s="539"/>
      <c r="AA69" s="539"/>
      <c r="AB69" s="539"/>
      <c r="AC69" s="539"/>
      <c r="AD69" s="539"/>
      <c r="AE69" s="539"/>
      <c r="AF69" s="539"/>
    </row>
    <row r="70" spans="1:32" s="202" customFormat="1" ht="12.75" x14ac:dyDescent="0.2">
      <c r="A70" s="843" t="s">
        <v>47</v>
      </c>
      <c r="B70" s="556"/>
      <c r="C70" s="556"/>
      <c r="D70" s="556"/>
      <c r="E70" s="556"/>
      <c r="F70" s="556"/>
      <c r="G70" s="241"/>
      <c r="H70" s="556"/>
      <c r="I70" s="556"/>
      <c r="J70" s="556"/>
      <c r="K70" s="556"/>
      <c r="L70" s="556"/>
      <c r="M70" s="556"/>
      <c r="N70" s="556"/>
      <c r="O70" s="556"/>
      <c r="P70" s="556"/>
      <c r="Q70" s="556"/>
      <c r="R70" s="556"/>
      <c r="S70" s="556"/>
      <c r="T70" s="556"/>
      <c r="U70" s="556"/>
      <c r="V70" s="556"/>
      <c r="W70" s="556"/>
      <c r="X70" s="556"/>
      <c r="Y70" s="556"/>
      <c r="Z70" s="556"/>
      <c r="AA70" s="556"/>
      <c r="AB70" s="556"/>
      <c r="AC70" s="556"/>
      <c r="AD70" s="556"/>
      <c r="AE70" s="556"/>
      <c r="AF70" s="556"/>
    </row>
    <row r="71" spans="1:32" s="221" customFormat="1" x14ac:dyDescent="0.25">
      <c r="A71" s="839"/>
      <c r="B71" s="550" t="s">
        <v>48</v>
      </c>
      <c r="C71" s="539"/>
      <c r="D71" s="539"/>
      <c r="E71" s="539"/>
      <c r="F71" s="539"/>
      <c r="G71" s="200">
        <f>SUM(Results_Res!G71,Results_Out!G71,Results_Ind!G71,Results_Com!G71)</f>
        <v>1.6296567779286442</v>
      </c>
      <c r="H71" s="200">
        <f>SUM(Results_Res!H71,Results_Out!H71,Results_Ind!H71,Results_Com!H71)</f>
        <v>1.4977823928186211</v>
      </c>
      <c r="I71" s="200">
        <f>SUM(Results_Res!I71,Results_Out!I71,Results_Ind!I71,Results_Com!I71)</f>
        <v>1.4953993500116105</v>
      </c>
      <c r="J71" s="200">
        <f>SUM(Results_Res!J71,Results_Out!J71,Results_Ind!J71,Results_Com!J71)</f>
        <v>1.4971870963973359</v>
      </c>
      <c r="K71" s="200">
        <f>SUM(Results_Res!K71,Results_Out!K71,Results_Ind!K71,Results_Com!K71)</f>
        <v>1.5002354510398861</v>
      </c>
      <c r="L71" s="200">
        <f>SUM(Results_Res!L71,Results_Out!L71,Results_Ind!L71,Results_Com!L71)</f>
        <v>1.5147774565438794</v>
      </c>
      <c r="M71" s="200">
        <f>SUM(Results_Res!M71,Results_Out!M71,Results_Ind!M71,Results_Com!M71)</f>
        <v>1.5403396804221892</v>
      </c>
      <c r="N71" s="200">
        <f>SUM(Results_Res!N71,Results_Out!N71,Results_Ind!N71,Results_Com!N71)</f>
        <v>1.5652980620791959</v>
      </c>
      <c r="O71" s="200">
        <f>SUM(Results_Res!O71,Results_Out!O71,Results_Ind!O71,Results_Com!O71)</f>
        <v>1.5897627881262457</v>
      </c>
      <c r="P71" s="200">
        <f>SUM(Results_Res!P71,Results_Out!P71,Results_Ind!P71,Results_Com!P71)</f>
        <v>1.6137947402438142</v>
      </c>
      <c r="Q71" s="200">
        <f>SUM(Results_Res!Q71,Results_Out!Q71,Results_Ind!Q71,Results_Com!Q71)</f>
        <v>1.6373770780815016</v>
      </c>
      <c r="R71" s="200">
        <f>SUM(Results_Res!R71,Results_Out!R71,Results_Ind!R71,Results_Com!R71)</f>
        <v>1.6601458681283348</v>
      </c>
      <c r="S71" s="200">
        <f>SUM(Results_Res!S71,Results_Out!S71,Results_Ind!S71,Results_Com!S71)</f>
        <v>1.6825691625045405</v>
      </c>
      <c r="T71" s="200">
        <f>SUM(Results_Res!T71,Results_Out!T71,Results_Ind!T71,Results_Com!T71)</f>
        <v>1.7045898519570921</v>
      </c>
      <c r="U71" s="200">
        <f>SUM(Results_Res!U71,Results_Out!U71,Results_Ind!U71,Results_Com!U71)</f>
        <v>1.726155052517</v>
      </c>
      <c r="V71" s="200">
        <f>SUM(Results_Res!V71,Results_Out!V71,Results_Ind!V71,Results_Com!V71)</f>
        <v>1.7474644645314652</v>
      </c>
      <c r="W71" s="200">
        <f>SUM(Results_Res!W71,Results_Out!W71,Results_Ind!W71,Results_Com!W71)</f>
        <v>1.7682942656580827</v>
      </c>
      <c r="X71" s="200">
        <f>SUM(Results_Res!X71,Results_Out!X71,Results_Ind!X71,Results_Com!X71)</f>
        <v>1.7884229775901184</v>
      </c>
      <c r="Y71" s="200">
        <f>SUM(Results_Res!Y71,Results_Out!Y71,Results_Ind!Y71,Results_Com!Y71)</f>
        <v>1.8077215054595184</v>
      </c>
      <c r="Z71" s="200">
        <f>SUM(Results_Res!Z71,Results_Out!Z71,Results_Ind!Z71,Results_Com!Z71)</f>
        <v>1.8263768030819649</v>
      </c>
      <c r="AA71" s="200">
        <f>SUM(Results_Res!AA71,Results_Out!AA71,Results_Ind!AA71,Results_Com!AA71)</f>
        <v>1.8446603528806389</v>
      </c>
      <c r="AB71" s="200">
        <f>SUM(Results_Res!AB71,Results_Out!AB71,Results_Ind!AB71,Results_Com!AB71)</f>
        <v>1.8629798813999106</v>
      </c>
      <c r="AC71" s="200">
        <f>SUM(Results_Res!AC71,Results_Out!AC71,Results_Ind!AC71,Results_Com!AC71)</f>
        <v>1.8807196284643362</v>
      </c>
      <c r="AD71" s="200">
        <f>SUM(Results_Res!AD71,Results_Out!AD71,Results_Ind!AD71,Results_Com!AD71)</f>
        <v>1.8978584832983263</v>
      </c>
      <c r="AE71" s="200">
        <f>SUM(Results_Res!AE71,Results_Out!AE71,Results_Ind!AE71,Results_Com!AE71)</f>
        <v>1.9143758796197756</v>
      </c>
      <c r="AF71" s="200">
        <f>SUM(Results_Res!AF71,Results_Out!AF71,Results_Ind!AF71,Results_Com!AF71)</f>
        <v>1.930251835738398</v>
      </c>
    </row>
    <row r="72" spans="1:32" s="221" customFormat="1" x14ac:dyDescent="0.25">
      <c r="A72" s="839"/>
      <c r="B72" s="552" t="s">
        <v>50</v>
      </c>
      <c r="C72" s="539"/>
      <c r="D72" s="539"/>
      <c r="E72" s="539"/>
      <c r="F72" s="539"/>
      <c r="G72" s="200">
        <f>SUM(Results_Res!G72,Results_Out!G72,Results_Ind!G72,Results_Com!G72)</f>
        <v>0.58579597339826472</v>
      </c>
      <c r="H72" s="200">
        <f>SUM(Results_Res!H72,Results_Out!H72,Results_Ind!H72,Results_Com!H72)</f>
        <v>0.56697089590494576</v>
      </c>
      <c r="I72" s="200">
        <f>SUM(Results_Res!I72,Results_Out!I72,Results_Ind!I72,Results_Com!I72)</f>
        <v>0.55872860332321084</v>
      </c>
      <c r="J72" s="200">
        <f>SUM(Results_Res!J72,Results_Out!J72,Results_Ind!J72,Results_Com!J72)</f>
        <v>0.55619335447800899</v>
      </c>
      <c r="K72" s="200">
        <f>SUM(Results_Res!K72,Results_Out!K72,Results_Ind!K72,Results_Com!K72)</f>
        <v>0.55653159225247939</v>
      </c>
      <c r="L72" s="200">
        <f>SUM(Results_Res!L72,Results_Out!L72,Results_Ind!L72,Results_Com!L72)</f>
        <v>0.55856783617854644</v>
      </c>
      <c r="M72" s="200">
        <f>SUM(Results_Res!M72,Results_Out!M72,Results_Ind!M72,Results_Com!M72)</f>
        <v>0.56115084595707232</v>
      </c>
      <c r="N72" s="200">
        <f>SUM(Results_Res!N72,Results_Out!N72,Results_Ind!N72,Results_Com!N72)</f>
        <v>0.56419760668706531</v>
      </c>
      <c r="O72" s="200">
        <f>SUM(Results_Res!O72,Results_Out!O72,Results_Ind!O72,Results_Com!O72)</f>
        <v>0.56797193653860067</v>
      </c>
      <c r="P72" s="200">
        <f>SUM(Results_Res!P72,Results_Out!P72,Results_Ind!P72,Results_Com!P72)</f>
        <v>0.57179818047454523</v>
      </c>
      <c r="Q72" s="200">
        <f>SUM(Results_Res!Q72,Results_Out!Q72,Results_Ind!Q72,Results_Com!Q72)</f>
        <v>0.5758587674417609</v>
      </c>
      <c r="R72" s="200">
        <f>SUM(Results_Res!R72,Results_Out!R72,Results_Ind!R72,Results_Com!R72)</f>
        <v>0.57965236287775956</v>
      </c>
      <c r="S72" s="200">
        <f>SUM(Results_Res!S72,Results_Out!S72,Results_Ind!S72,Results_Com!S72)</f>
        <v>0.58333101675622312</v>
      </c>
      <c r="T72" s="200">
        <f>SUM(Results_Res!T72,Results_Out!T72,Results_Ind!T72,Results_Com!T72)</f>
        <v>0.58689429549424477</v>
      </c>
      <c r="U72" s="200">
        <f>SUM(Results_Res!U72,Results_Out!U72,Results_Ind!U72,Results_Com!U72)</f>
        <v>0.59037048850439167</v>
      </c>
      <c r="V72" s="200">
        <f>SUM(Results_Res!V72,Results_Out!V72,Results_Ind!V72,Results_Com!V72)</f>
        <v>0.59377700806745981</v>
      </c>
      <c r="W72" s="200">
        <f>SUM(Results_Res!W72,Results_Out!W72,Results_Ind!W72,Results_Com!W72)</f>
        <v>0.59693578017519577</v>
      </c>
      <c r="X72" s="200">
        <f>SUM(Results_Res!X72,Results_Out!X72,Results_Ind!X72,Results_Com!X72)</f>
        <v>0.60011314548744887</v>
      </c>
      <c r="Y72" s="200">
        <f>SUM(Results_Res!Y72,Results_Out!Y72,Results_Ind!Y72,Results_Com!Y72)</f>
        <v>0.60331026970205137</v>
      </c>
      <c r="Z72" s="200">
        <f>SUM(Results_Res!Z72,Results_Out!Z72,Results_Ind!Z72,Results_Com!Z72)</f>
        <v>0.60641826636189911</v>
      </c>
      <c r="AA72" s="200">
        <f>SUM(Results_Res!AA72,Results_Out!AA72,Results_Ind!AA72,Results_Com!AA72)</f>
        <v>0.60936822887942088</v>
      </c>
      <c r="AB72" s="200">
        <f>SUM(Results_Res!AB72,Results_Out!AB72,Results_Ind!AB72,Results_Com!AB72)</f>
        <v>0.61226046464626838</v>
      </c>
      <c r="AC72" s="200">
        <f>SUM(Results_Res!AC72,Results_Out!AC72,Results_Ind!AC72,Results_Com!AC72)</f>
        <v>0.61504158405430731</v>
      </c>
      <c r="AD72" s="200">
        <f>SUM(Results_Res!AD72,Results_Out!AD72,Results_Ind!AD72,Results_Com!AD72)</f>
        <v>0.61770769219971144</v>
      </c>
      <c r="AE72" s="200">
        <f>SUM(Results_Res!AE72,Results_Out!AE72,Results_Ind!AE72,Results_Com!AE72)</f>
        <v>0.62025495888594773</v>
      </c>
      <c r="AF72" s="200">
        <f>SUM(Results_Res!AF72,Results_Out!AF72,Results_Ind!AF72,Results_Com!AF72)</f>
        <v>0.62267961733932409</v>
      </c>
    </row>
    <row r="73" spans="1:32" s="221" customFormat="1" x14ac:dyDescent="0.25">
      <c r="A73" s="839"/>
      <c r="B73" s="550" t="s">
        <v>51</v>
      </c>
      <c r="C73" s="539"/>
      <c r="D73" s="539"/>
      <c r="E73" s="539"/>
      <c r="F73" s="539"/>
      <c r="G73" s="200">
        <f>SUM(Results_Res!G73,Results_Out!G73,Results_Ind!G73,Results_Com!G73)</f>
        <v>0.40934397471255851</v>
      </c>
      <c r="H73" s="200">
        <f>SUM(Results_Res!H73,Results_Out!H73,Results_Ind!H73,Results_Com!H73)</f>
        <v>0.41097316288782343</v>
      </c>
      <c r="I73" s="200">
        <f>SUM(Results_Res!I73,Results_Out!I73,Results_Ind!I73,Results_Com!I73)</f>
        <v>0.41311408275135719</v>
      </c>
      <c r="J73" s="200">
        <f>SUM(Results_Res!J73,Results_Out!J73,Results_Ind!J73,Results_Com!J73)</f>
        <v>0.41529501890996195</v>
      </c>
      <c r="K73" s="200">
        <f>SUM(Results_Res!K73,Results_Out!K73,Results_Ind!K73,Results_Com!K73)</f>
        <v>0.41723856674459553</v>
      </c>
      <c r="L73" s="200">
        <f>SUM(Results_Res!L73,Results_Out!L73,Results_Ind!L73,Results_Com!L73)</f>
        <v>0.41906706508537489</v>
      </c>
      <c r="M73" s="200">
        <f>SUM(Results_Res!M73,Results_Out!M73,Results_Ind!M73,Results_Com!M73)</f>
        <v>0.42042839665569254</v>
      </c>
      <c r="N73" s="200">
        <f>SUM(Results_Res!N73,Results_Out!N73,Results_Ind!N73,Results_Com!N73)</f>
        <v>0.42171844345433179</v>
      </c>
      <c r="O73" s="200">
        <f>SUM(Results_Res!O73,Results_Out!O73,Results_Ind!O73,Results_Com!O73)</f>
        <v>0.42344118163899824</v>
      </c>
      <c r="P73" s="200">
        <f>SUM(Results_Res!P73,Results_Out!P73,Results_Ind!P73,Results_Com!P73)</f>
        <v>0.42505670854333533</v>
      </c>
      <c r="Q73" s="200">
        <f>SUM(Results_Res!Q73,Results_Out!Q73,Results_Ind!Q73,Results_Com!Q73)</f>
        <v>0.42683013375800505</v>
      </c>
      <c r="R73" s="200">
        <f>SUM(Results_Res!R73,Results_Out!R73,Results_Ind!R73,Results_Com!R73)</f>
        <v>0.42834005883820975</v>
      </c>
      <c r="S73" s="200">
        <f>SUM(Results_Res!S73,Results_Out!S73,Results_Ind!S73,Results_Com!S73)</f>
        <v>0.4297162119622287</v>
      </c>
      <c r="T73" s="200">
        <f>SUM(Results_Res!T73,Results_Out!T73,Results_Ind!T73,Results_Com!T73)</f>
        <v>0.43097829852393166</v>
      </c>
      <c r="U73" s="200">
        <f>SUM(Results_Res!U73,Results_Out!U73,Results_Ind!U73,Results_Com!U73)</f>
        <v>0.43216870724819406</v>
      </c>
      <c r="V73" s="200">
        <f>SUM(Results_Res!V73,Results_Out!V73,Results_Ind!V73,Results_Com!V73)</f>
        <v>0.43328850835162125</v>
      </c>
      <c r="W73" s="200">
        <f>SUM(Results_Res!W73,Results_Out!W73,Results_Ind!W73,Results_Com!W73)</f>
        <v>0.43418296036722098</v>
      </c>
      <c r="X73" s="200">
        <f>SUM(Results_Res!X73,Results_Out!X73,Results_Ind!X73,Results_Com!X73)</f>
        <v>0.43514886099933536</v>
      </c>
      <c r="Y73" s="200">
        <f>SUM(Results_Res!Y73,Results_Out!Y73,Results_Ind!Y73,Results_Com!Y73)</f>
        <v>0.43620377816030775</v>
      </c>
      <c r="Z73" s="200">
        <f>SUM(Results_Res!Z73,Results_Out!Z73,Results_Ind!Z73,Results_Com!Z73)</f>
        <v>0.43721770767823326</v>
      </c>
      <c r="AA73" s="200">
        <f>SUM(Results_Res!AA73,Results_Out!AA73,Results_Ind!AA73,Results_Com!AA73)</f>
        <v>0.4380906993649476</v>
      </c>
      <c r="AB73" s="200">
        <f>SUM(Results_Res!AB73,Results_Out!AB73,Results_Ind!AB73,Results_Com!AB73)</f>
        <v>0.43888005600749808</v>
      </c>
      <c r="AC73" s="200">
        <f>SUM(Results_Res!AC73,Results_Out!AC73,Results_Ind!AC73,Results_Com!AC73)</f>
        <v>0.43959957888144252</v>
      </c>
      <c r="AD73" s="200">
        <f>SUM(Results_Res!AD73,Results_Out!AD73,Results_Ind!AD73,Results_Com!AD73)</f>
        <v>0.44024811866570923</v>
      </c>
      <c r="AE73" s="200">
        <f>SUM(Results_Res!AE73,Results_Out!AE73,Results_Ind!AE73,Results_Com!AE73)</f>
        <v>0.44082455408392984</v>
      </c>
      <c r="AF73" s="200">
        <f>SUM(Results_Res!AF73,Results_Out!AF73,Results_Ind!AF73,Results_Com!AF73)</f>
        <v>0.44132779416599099</v>
      </c>
    </row>
    <row r="74" spans="1:32" s="221" customFormat="1" x14ac:dyDescent="0.25">
      <c r="A74" s="839"/>
      <c r="B74" s="550" t="s">
        <v>52</v>
      </c>
      <c r="C74" s="539"/>
      <c r="D74" s="539"/>
      <c r="E74" s="539"/>
      <c r="F74" s="539"/>
      <c r="G74" s="200">
        <f>SUM(Results_Res!G74,Results_Out!G74,Results_Ind!G74,Results_Com!G74)</f>
        <v>0.40451917467156029</v>
      </c>
      <c r="H74" s="200">
        <f>SUM(Results_Res!H74,Results_Out!H74,Results_Ind!H74,Results_Com!H74)</f>
        <v>0.40966039871205273</v>
      </c>
      <c r="I74" s="200">
        <f>SUM(Results_Res!I74,Results_Out!I74,Results_Ind!I74,Results_Com!I74)</f>
        <v>0.41535322448278122</v>
      </c>
      <c r="J74" s="200">
        <f>SUM(Results_Res!J74,Results_Out!J74,Results_Ind!J74,Results_Com!J74)</f>
        <v>0.42115214875776613</v>
      </c>
      <c r="K74" s="200">
        <f>SUM(Results_Res!K74,Results_Out!K74,Results_Ind!K74,Results_Com!K74)</f>
        <v>0.42676887925956908</v>
      </c>
      <c r="L74" s="200">
        <f>SUM(Results_Res!L74,Results_Out!L74,Results_Ind!L74,Results_Com!L74)</f>
        <v>0.43174814670829564</v>
      </c>
      <c r="M74" s="200">
        <f>SUM(Results_Res!M74,Results_Out!M74,Results_Ind!M74,Results_Com!M74)</f>
        <v>0.43602383585973487</v>
      </c>
      <c r="N74" s="200">
        <f>SUM(Results_Res!N74,Results_Out!N74,Results_Ind!N74,Results_Com!N74)</f>
        <v>0.44008566176013408</v>
      </c>
      <c r="O74" s="200">
        <f>SUM(Results_Res!O74,Results_Out!O74,Results_Ind!O74,Results_Com!O74)</f>
        <v>0.4448504674789589</v>
      </c>
      <c r="P74" s="200">
        <f>SUM(Results_Res!P74,Results_Out!P74,Results_Ind!P74,Results_Com!P74)</f>
        <v>0.44971546958472769</v>
      </c>
      <c r="Q74" s="200">
        <f>SUM(Results_Res!Q74,Results_Out!Q74,Results_Ind!Q74,Results_Com!Q74)</f>
        <v>0.45489324590176494</v>
      </c>
      <c r="R74" s="200">
        <f>SUM(Results_Res!R74,Results_Out!R74,Results_Ind!R74,Results_Com!R74)</f>
        <v>0.45992595507192779</v>
      </c>
      <c r="S74" s="200">
        <f>SUM(Results_Res!S74,Results_Out!S74,Results_Ind!S74,Results_Com!S74)</f>
        <v>0.46492530089784051</v>
      </c>
      <c r="T74" s="200">
        <f>SUM(Results_Res!T74,Results_Out!T74,Results_Ind!T74,Results_Com!T74)</f>
        <v>0.46989293877999266</v>
      </c>
      <c r="U74" s="200">
        <f>SUM(Results_Res!U74,Results_Out!U74,Results_Ind!U74,Results_Com!U74)</f>
        <v>0.4748666666843846</v>
      </c>
      <c r="V74" s="200">
        <f>SUM(Results_Res!V74,Results_Out!V74,Results_Ind!V74,Results_Com!V74)</f>
        <v>0.47983382012094344</v>
      </c>
      <c r="W74" s="200">
        <f>SUM(Results_Res!W74,Results_Out!W74,Results_Ind!W74,Results_Com!W74)</f>
        <v>0.48462634316074599</v>
      </c>
      <c r="X74" s="200">
        <f>SUM(Results_Res!X74,Results_Out!X74,Results_Ind!X74,Results_Com!X74)</f>
        <v>0.48954734711934655</v>
      </c>
      <c r="Y74" s="200">
        <f>SUM(Results_Res!Y74,Results_Out!Y74,Results_Ind!Y74,Results_Com!Y74)</f>
        <v>0.49460831220498319</v>
      </c>
      <c r="Z74" s="200">
        <f>SUM(Results_Res!Z74,Results_Out!Z74,Results_Ind!Z74,Results_Com!Z74)</f>
        <v>0.49967541222866196</v>
      </c>
      <c r="AA74" s="200">
        <f>SUM(Results_Res!AA74,Results_Out!AA74,Results_Ind!AA74,Results_Com!AA74)</f>
        <v>0.50463899544481705</v>
      </c>
      <c r="AB74" s="200">
        <f>SUM(Results_Res!AB74,Results_Out!AB74,Results_Ind!AB74,Results_Com!AB74)</f>
        <v>0.50955645336710464</v>
      </c>
      <c r="AC74" s="200">
        <f>SUM(Results_Res!AC74,Results_Out!AC74,Results_Ind!AC74,Results_Com!AC74)</f>
        <v>0.51443676734386679</v>
      </c>
      <c r="AD74" s="200">
        <f>SUM(Results_Res!AD74,Results_Out!AD74,Results_Ind!AD74,Results_Com!AD74)</f>
        <v>0.51927592975819681</v>
      </c>
      <c r="AE74" s="200">
        <f>SUM(Results_Res!AE74,Results_Out!AE74,Results_Ind!AE74,Results_Com!AE74)</f>
        <v>0.52406536117217328</v>
      </c>
      <c r="AF74" s="200">
        <f>SUM(Results_Res!AF74,Results_Out!AF74,Results_Ind!AF74,Results_Com!AF74)</f>
        <v>0.52880480304380162</v>
      </c>
    </row>
    <row r="75" spans="1:32" s="221" customFormat="1" x14ac:dyDescent="0.25">
      <c r="A75" s="839"/>
      <c r="B75" s="552" t="s">
        <v>29</v>
      </c>
      <c r="C75" s="539"/>
      <c r="D75" s="539"/>
      <c r="E75" s="539"/>
      <c r="F75" s="539"/>
      <c r="G75" s="200">
        <f>SUM(Results_Res!G75,Results_Out!G75,Results_Ind!G75,Results_Com!G75)</f>
        <v>5.8796768627823917E-2</v>
      </c>
      <c r="H75" s="200">
        <f>SUM(Results_Res!H75,Results_Out!H75,Results_Ind!H75,Results_Com!H75)</f>
        <v>0.10177158066855475</v>
      </c>
      <c r="I75" s="200">
        <f>SUM(Results_Res!I75,Results_Out!I75,Results_Ind!I75,Results_Com!I75)</f>
        <v>0.11823273732808853</v>
      </c>
      <c r="J75" s="200">
        <f>SUM(Results_Res!J75,Results_Out!J75,Results_Ind!J75,Results_Com!J75)</f>
        <v>0.13091526939871306</v>
      </c>
      <c r="K75" s="200">
        <f>SUM(Results_Res!K75,Results_Out!K75,Results_Ind!K75,Results_Com!K75)</f>
        <v>0.1425803711473507</v>
      </c>
      <c r="L75" s="200">
        <f>SUM(Results_Res!L75,Results_Out!L75,Results_Ind!L75,Results_Com!L75)</f>
        <v>0.15396424634372563</v>
      </c>
      <c r="M75" s="200">
        <f>SUM(Results_Res!M75,Results_Out!M75,Results_Ind!M75,Results_Com!M75)</f>
        <v>0.16511099979721525</v>
      </c>
      <c r="N75" s="200">
        <f>SUM(Results_Res!N75,Results_Out!N75,Results_Ind!N75,Results_Com!N75)</f>
        <v>0.17627238575430859</v>
      </c>
      <c r="O75" s="200">
        <f>SUM(Results_Res!O75,Results_Out!O75,Results_Ind!O75,Results_Com!O75)</f>
        <v>0.1877487302831729</v>
      </c>
      <c r="P75" s="200">
        <f>SUM(Results_Res!P75,Results_Out!P75,Results_Ind!P75,Results_Com!P75)</f>
        <v>0.19932876805112887</v>
      </c>
      <c r="Q75" s="200">
        <f>SUM(Results_Res!Q75,Results_Out!Q75,Results_Ind!Q75,Results_Com!Q75)</f>
        <v>0.21116381582530552</v>
      </c>
      <c r="R75" s="200">
        <f>SUM(Results_Res!R75,Results_Out!R75,Results_Ind!R75,Results_Com!R75)</f>
        <v>0.22303341870165272</v>
      </c>
      <c r="S75" s="200">
        <f>SUM(Results_Res!S75,Results_Out!S75,Results_Ind!S75,Results_Com!S75)</f>
        <v>0.23501118861897802</v>
      </c>
      <c r="T75" s="200">
        <f>SUM(Results_Res!T75,Results_Out!T75,Results_Ind!T75,Results_Com!T75)</f>
        <v>0.24710169621641498</v>
      </c>
      <c r="U75" s="200">
        <f>SUM(Results_Res!U75,Results_Out!U75,Results_Ind!U75,Results_Com!U75)</f>
        <v>0.2593193669252421</v>
      </c>
      <c r="V75" s="200">
        <f>SUM(Results_Res!V75,Results_Out!V75,Results_Ind!V75,Results_Com!V75)</f>
        <v>0.27167027822502859</v>
      </c>
      <c r="W75" s="200">
        <f>SUM(Results_Res!W75,Results_Out!W75,Results_Ind!W75,Results_Com!W75)</f>
        <v>0.28403653824627861</v>
      </c>
      <c r="X75" s="200">
        <f>SUM(Results_Res!X75,Results_Out!X75,Results_Ind!X75,Results_Com!X75)</f>
        <v>0.29660054555970106</v>
      </c>
      <c r="Y75" s="200">
        <f>SUM(Results_Res!Y75,Results_Out!Y75,Results_Ind!Y75,Results_Com!Y75)</f>
        <v>0.30937788674390271</v>
      </c>
      <c r="Z75" s="200">
        <f>SUM(Results_Res!Z75,Results_Out!Z75,Results_Ind!Z75,Results_Com!Z75)</f>
        <v>0.32228105411524438</v>
      </c>
      <c r="AA75" s="200">
        <f>SUM(Results_Res!AA75,Results_Out!AA75,Results_Ind!AA75,Results_Com!AA75)</f>
        <v>0.33523923681766177</v>
      </c>
      <c r="AB75" s="200">
        <f>SUM(Results_Res!AB75,Results_Out!AB75,Results_Ind!AB75,Results_Com!AB75)</f>
        <v>0.34830495423139368</v>
      </c>
      <c r="AC75" s="200">
        <f>SUM(Results_Res!AC75,Results_Out!AC75,Results_Ind!AC75,Results_Com!AC75)</f>
        <v>0.36145901443601836</v>
      </c>
      <c r="AD75" s="200">
        <f>SUM(Results_Res!AD75,Results_Out!AD75,Results_Ind!AD75,Results_Com!AD75)</f>
        <v>0.37469334500429158</v>
      </c>
      <c r="AE75" s="200">
        <f>SUM(Results_Res!AE75,Results_Out!AE75,Results_Ind!AE75,Results_Com!AE75)</f>
        <v>0.38800291839361212</v>
      </c>
      <c r="AF75" s="200">
        <f>SUM(Results_Res!AF75,Results_Out!AF75,Results_Ind!AF75,Results_Com!AF75)</f>
        <v>0.40137712745849402</v>
      </c>
    </row>
    <row r="76" spans="1:32" s="221" customFormat="1" x14ac:dyDescent="0.25">
      <c r="A76" s="839"/>
      <c r="B76" s="552" t="s">
        <v>53</v>
      </c>
      <c r="C76" s="539"/>
      <c r="D76" s="539"/>
      <c r="E76" s="539"/>
      <c r="F76" s="539"/>
      <c r="G76" s="200">
        <f>SUM(Results_Res!G76,Results_Out!G76,Results_Ind!G76,Results_Com!G76)</f>
        <v>2.3171767302196575E-3</v>
      </c>
      <c r="H76" s="200">
        <f>SUM(Results_Res!H76,Results_Out!H76,Results_Ind!H76,Results_Com!H76)</f>
        <v>2.3732863252862993E-3</v>
      </c>
      <c r="I76" s="200">
        <f>SUM(Results_Res!I76,Results_Out!I76,Results_Ind!I76,Results_Com!I76)</f>
        <v>2.4316839223871129E-3</v>
      </c>
      <c r="J76" s="200">
        <f>SUM(Results_Res!J76,Results_Out!J76,Results_Ind!J76,Results_Com!J76)</f>
        <v>2.4917267856568314E-3</v>
      </c>
      <c r="K76" s="200">
        <f>SUM(Results_Res!K76,Results_Out!K76,Results_Ind!K76,Results_Com!K76)</f>
        <v>2.5511515466193372E-3</v>
      </c>
      <c r="L76" s="200">
        <f>SUM(Results_Res!L76,Results_Out!L76,Results_Ind!L76,Results_Com!L76)</f>
        <v>2.6112103670585343E-3</v>
      </c>
      <c r="M76" s="200">
        <f>SUM(Results_Res!M76,Results_Out!M76,Results_Ind!M76,Results_Com!M76)</f>
        <v>2.6715363014704835E-3</v>
      </c>
      <c r="N76" s="200">
        <f>SUM(Results_Res!N76,Results_Out!N76,Results_Ind!N76,Results_Com!N76)</f>
        <v>2.7312656819785479E-3</v>
      </c>
      <c r="O76" s="200">
        <f>SUM(Results_Res!O76,Results_Out!O76,Results_Ind!O76,Results_Com!O76)</f>
        <v>2.7905411818242788E-3</v>
      </c>
      <c r="P76" s="200">
        <f>SUM(Results_Res!P76,Results_Out!P76,Results_Ind!P76,Results_Com!P76)</f>
        <v>2.8495239282507541E-3</v>
      </c>
      <c r="Q76" s="200">
        <f>SUM(Results_Res!Q76,Results_Out!Q76,Results_Ind!Q76,Results_Com!Q76)</f>
        <v>2.9081441854731495E-3</v>
      </c>
      <c r="R76" s="200">
        <f>SUM(Results_Res!R76,Results_Out!R76,Results_Ind!R76,Results_Com!R76)</f>
        <v>2.9657357480896312E-3</v>
      </c>
      <c r="S76" s="200">
        <f>SUM(Results_Res!S76,Results_Out!S76,Results_Ind!S76,Results_Com!S76)</f>
        <v>3.0231651621502489E-3</v>
      </c>
      <c r="T76" s="200">
        <f>SUM(Results_Res!T76,Results_Out!T76,Results_Ind!T76,Results_Com!T76)</f>
        <v>3.0803115528803731E-3</v>
      </c>
      <c r="U76" s="200">
        <f>SUM(Results_Res!U76,Results_Out!U76,Results_Ind!U76,Results_Com!U76)</f>
        <v>3.1370578672965193E-3</v>
      </c>
      <c r="V76" s="200">
        <f>SUM(Results_Res!V76,Results_Out!V76,Results_Ind!V76,Results_Com!V76)</f>
        <v>3.1937839182958048E-3</v>
      </c>
      <c r="W76" s="200">
        <f>SUM(Results_Res!W76,Results_Out!W76,Results_Ind!W76,Results_Com!W76)</f>
        <v>3.2500578705256973E-3</v>
      </c>
      <c r="X76" s="200">
        <f>SUM(Results_Res!X76,Results_Out!X76,Results_Ind!X76,Results_Com!X76)</f>
        <v>3.3054012685555696E-3</v>
      </c>
      <c r="Y76" s="200">
        <f>SUM(Results_Res!Y76,Results_Out!Y76,Results_Ind!Y76,Results_Com!Y76)</f>
        <v>3.3595370212716616E-3</v>
      </c>
      <c r="Z76" s="200">
        <f>SUM(Results_Res!Z76,Results_Out!Z76,Results_Ind!Z76,Results_Com!Z76)</f>
        <v>3.4128281947095477E-3</v>
      </c>
      <c r="AA76" s="200">
        <f>SUM(Results_Res!AA76,Results_Out!AA76,Results_Ind!AA76,Results_Com!AA76)</f>
        <v>3.465812249790447E-3</v>
      </c>
      <c r="AB76" s="200">
        <f>SUM(Results_Res!AB76,Results_Out!AB76,Results_Ind!AB76,Results_Com!AB76)</f>
        <v>3.5192993159130922E-3</v>
      </c>
      <c r="AC76" s="200">
        <f>SUM(Results_Res!AC76,Results_Out!AC76,Results_Ind!AC76,Results_Com!AC76)</f>
        <v>3.5720404721700147E-3</v>
      </c>
      <c r="AD76" s="200">
        <f>SUM(Results_Res!AD76,Results_Out!AD76,Results_Ind!AD76,Results_Com!AD76)</f>
        <v>3.6239771093755104E-3</v>
      </c>
      <c r="AE76" s="200">
        <f>SUM(Results_Res!AE76,Results_Out!AE76,Results_Ind!AE76,Results_Com!AE76)</f>
        <v>3.6750507914926405E-3</v>
      </c>
      <c r="AF76" s="200">
        <f>SUM(Results_Res!AF76,Results_Out!AF76,Results_Ind!AF76,Results_Com!AF76)</f>
        <v>3.7252033626718967E-3</v>
      </c>
    </row>
    <row r="77" spans="1:32" s="221" customFormat="1" x14ac:dyDescent="0.25">
      <c r="A77" s="838"/>
      <c r="B77" s="552"/>
      <c r="C77" s="539"/>
      <c r="D77" s="539"/>
      <c r="E77" s="539"/>
      <c r="F77" s="539"/>
      <c r="G77" s="200"/>
      <c r="H77" s="200"/>
      <c r="I77" s="200"/>
      <c r="J77" s="200"/>
      <c r="K77" s="200"/>
      <c r="L77" s="200"/>
      <c r="M77" s="200"/>
      <c r="N77" s="200"/>
      <c r="O77" s="200"/>
      <c r="P77" s="200"/>
      <c r="Q77" s="200"/>
      <c r="R77" s="200"/>
      <c r="S77" s="200"/>
      <c r="T77" s="200"/>
      <c r="U77" s="200"/>
      <c r="V77" s="200"/>
      <c r="W77" s="200"/>
      <c r="X77" s="200"/>
      <c r="Y77" s="200"/>
      <c r="Z77" s="200"/>
      <c r="AA77" s="200"/>
      <c r="AB77" s="200"/>
      <c r="AC77" s="200"/>
      <c r="AD77" s="200"/>
      <c r="AE77" s="200"/>
      <c r="AF77" s="200"/>
    </row>
    <row r="78" spans="1:32" x14ac:dyDescent="0.25">
      <c r="A78" s="838"/>
    </row>
    <row r="79" spans="1:32" s="838" customFormat="1" x14ac:dyDescent="0.25">
      <c r="A79" s="860" t="s">
        <v>630</v>
      </c>
      <c r="B79" s="861"/>
      <c r="C79" s="860"/>
      <c r="D79" s="859"/>
      <c r="E79" s="859"/>
      <c r="F79" s="859"/>
      <c r="G79" s="859"/>
      <c r="H79" s="862"/>
      <c r="I79" s="862"/>
      <c r="J79" s="862"/>
      <c r="K79" s="862"/>
      <c r="L79" s="862"/>
      <c r="M79" s="862"/>
      <c r="N79" s="862"/>
      <c r="O79" s="862"/>
      <c r="P79" s="862"/>
      <c r="Q79" s="862"/>
      <c r="R79" s="862"/>
      <c r="S79" s="862"/>
      <c r="T79" s="862"/>
      <c r="U79" s="862"/>
      <c r="V79" s="862"/>
      <c r="W79" s="862"/>
      <c r="X79" s="862"/>
      <c r="Y79" s="862"/>
      <c r="Z79" s="862"/>
      <c r="AA79" s="862"/>
      <c r="AB79" s="862"/>
      <c r="AC79" s="862"/>
      <c r="AD79" s="862"/>
      <c r="AE79" s="862"/>
      <c r="AF79" s="862"/>
    </row>
    <row r="80" spans="1:32" s="838" customFormat="1" x14ac:dyDescent="0.25">
      <c r="A80" s="840" t="s">
        <v>12</v>
      </c>
      <c r="B80" s="839"/>
    </row>
    <row r="81" spans="1:32" s="838" customFormat="1" x14ac:dyDescent="0.25">
      <c r="A81" s="839"/>
      <c r="B81" s="839" t="s">
        <v>20</v>
      </c>
    </row>
    <row r="82" spans="1:32" s="856" customFormat="1" ht="12.75" x14ac:dyDescent="0.2">
      <c r="A82" s="843" t="s">
        <v>21</v>
      </c>
      <c r="B82" s="843"/>
      <c r="C82" s="843"/>
      <c r="D82" s="843"/>
      <c r="E82" s="843"/>
      <c r="F82" s="843"/>
      <c r="G82" s="843"/>
      <c r="H82" s="843"/>
      <c r="I82" s="843"/>
      <c r="J82" s="843"/>
      <c r="K82" s="843"/>
      <c r="L82" s="843"/>
      <c r="M82" s="843"/>
      <c r="N82" s="843"/>
      <c r="O82" s="843"/>
      <c r="P82" s="843"/>
      <c r="Q82" s="843"/>
      <c r="R82" s="843"/>
      <c r="S82" s="843"/>
      <c r="T82" s="843"/>
      <c r="U82" s="843"/>
      <c r="V82" s="843"/>
      <c r="W82" s="843"/>
      <c r="X82" s="843"/>
      <c r="Y82" s="843"/>
      <c r="Z82" s="843"/>
      <c r="AA82" s="843"/>
      <c r="AB82" s="843"/>
      <c r="AC82" s="843"/>
      <c r="AD82" s="843"/>
      <c r="AE82" s="843"/>
      <c r="AF82" s="843"/>
    </row>
    <row r="83" spans="1:32" s="864" customFormat="1" x14ac:dyDescent="0.25">
      <c r="A83" s="839"/>
      <c r="B83" s="839" t="s">
        <v>22</v>
      </c>
      <c r="C83" s="838"/>
      <c r="D83" s="838"/>
      <c r="E83" s="838"/>
      <c r="F83" s="838"/>
      <c r="G83" s="854">
        <f>SUM(Results_Res!G83,Results_Out!G83,Results_Ind!G83,Results_Com!G83)</f>
        <v>517.6993447879106</v>
      </c>
      <c r="H83" s="854">
        <f>SUM(Results_Res!H83,Results_Out!H83,Results_Ind!H83,Results_Com!H83)</f>
        <v>460.93359023603472</v>
      </c>
      <c r="I83" s="854">
        <f>SUM(Results_Res!I83,Results_Out!I83,Results_Ind!I83,Results_Com!I83)</f>
        <v>408.31941948306115</v>
      </c>
      <c r="J83" s="854">
        <f>SUM(Results_Res!J83,Results_Out!J83,Results_Ind!J83,Results_Com!J83)</f>
        <v>320.74964312196755</v>
      </c>
      <c r="K83" s="854">
        <f>SUM(Results_Res!K83,Results_Out!K83,Results_Ind!K83,Results_Com!K83)</f>
        <v>244.72180119419883</v>
      </c>
      <c r="L83" s="854">
        <f>SUM(Results_Res!L83,Results_Out!L83,Results_Ind!L83,Results_Com!L83)</f>
        <v>177.68047733130038</v>
      </c>
      <c r="M83" s="854">
        <f>SUM(Results_Res!M83,Results_Out!M83,Results_Ind!M83,Results_Com!M83)</f>
        <v>108.30131871359218</v>
      </c>
      <c r="N83" s="854">
        <f>SUM(Results_Res!N83,Results_Out!N83,Results_Ind!N83,Results_Com!N83)</f>
        <v>74.567274649667141</v>
      </c>
      <c r="O83" s="854">
        <f>SUM(Results_Res!O83,Results_Out!O83,Results_Ind!O83,Results_Com!O83)</f>
        <v>56.947037761594814</v>
      </c>
      <c r="P83" s="854">
        <f>SUM(Results_Res!P83,Results_Out!P83,Results_Ind!P83,Results_Com!P83)</f>
        <v>47.669649228796729</v>
      </c>
      <c r="Q83" s="854">
        <f>SUM(Results_Res!Q83,Results_Out!Q83,Results_Ind!Q83,Results_Com!Q83)</f>
        <v>42.793933220244639</v>
      </c>
      <c r="R83" s="854">
        <f>SUM(Results_Res!R83,Results_Out!R83,Results_Ind!R83,Results_Com!R83)</f>
        <v>40.273003840109673</v>
      </c>
      <c r="S83" s="854">
        <f>SUM(Results_Res!S83,Results_Out!S83,Results_Ind!S83,Results_Com!S83)</f>
        <v>39.052381009198783</v>
      </c>
      <c r="T83" s="854">
        <f>SUM(Results_Res!T83,Results_Out!T83,Results_Ind!T83,Results_Com!T83)</f>
        <v>38.564530600243721</v>
      </c>
      <c r="U83" s="854">
        <f>SUM(Results_Res!U83,Results_Out!U83,Results_Ind!U83,Results_Com!U83)</f>
        <v>38.499893780639283</v>
      </c>
      <c r="V83" s="854">
        <f>SUM(Results_Res!V83,Results_Out!V83,Results_Ind!V83,Results_Com!V83)</f>
        <v>38.690950646064699</v>
      </c>
      <c r="W83" s="854">
        <f>SUM(Results_Res!W83,Results_Out!W83,Results_Ind!W83,Results_Com!W83)</f>
        <v>39.032889830681682</v>
      </c>
      <c r="X83" s="854">
        <f>SUM(Results_Res!X83,Results_Out!X83,Results_Ind!X83,Results_Com!X83)</f>
        <v>39.464629093621866</v>
      </c>
      <c r="Y83" s="854">
        <f>SUM(Results_Res!Y83,Results_Out!Y83,Results_Ind!Y83,Results_Com!Y83)</f>
        <v>39.946880125160099</v>
      </c>
      <c r="Z83" s="854">
        <f>SUM(Results_Res!Z83,Results_Out!Z83,Results_Ind!Z83,Results_Com!Z83)</f>
        <v>40.460190078191445</v>
      </c>
      <c r="AA83" s="854">
        <f>SUM(Results_Res!AA83,Results_Out!AA83,Results_Ind!AA83,Results_Com!AA83)</f>
        <v>40.996973799609236</v>
      </c>
      <c r="AB83" s="854">
        <f>SUM(Results_Res!AB83,Results_Out!AB83,Results_Ind!AB83,Results_Com!AB83)</f>
        <v>41.560125833804967</v>
      </c>
      <c r="AC83" s="854">
        <f>SUM(Results_Res!AC83,Results_Out!AC83,Results_Ind!AC83,Results_Com!AC83)</f>
        <v>42.130072515947155</v>
      </c>
      <c r="AD83" s="854">
        <f>SUM(Results_Res!AD83,Results_Out!AD83,Results_Ind!AD83,Results_Com!AD83)</f>
        <v>42.700140996118705</v>
      </c>
      <c r="AE83" s="854">
        <f>SUM(Results_Res!AE83,Results_Out!AE83,Results_Ind!AE83,Results_Com!AE83)</f>
        <v>43.266136303703163</v>
      </c>
      <c r="AF83" s="854">
        <f>SUM(Results_Res!AF83,Results_Out!AF83,Results_Ind!AF83,Results_Com!AF83)</f>
        <v>43.825283254081008</v>
      </c>
    </row>
    <row r="84" spans="1:32" s="864" customFormat="1" x14ac:dyDescent="0.25">
      <c r="A84" s="839"/>
      <c r="B84" s="839" t="s">
        <v>26</v>
      </c>
      <c r="C84" s="838"/>
      <c r="D84" s="838"/>
      <c r="E84" s="838"/>
      <c r="F84" s="838"/>
      <c r="G84" s="854">
        <f>SUM(Results_Res!G84,Results_Out!G84,Results_Ind!G84,Results_Com!G84)</f>
        <v>7.8662093962326942</v>
      </c>
      <c r="H84" s="854">
        <f>SUM(Results_Res!H84,Results_Out!H84,Results_Ind!H84,Results_Com!H84)</f>
        <v>7.1860438713712149</v>
      </c>
      <c r="I84" s="854">
        <f>SUM(Results_Res!I84,Results_Out!I84,Results_Ind!I84,Results_Com!I84)</f>
        <v>18.259790593047725</v>
      </c>
      <c r="J84" s="854">
        <f>SUM(Results_Res!J84,Results_Out!J84,Results_Ind!J84,Results_Com!J84)</f>
        <v>52.04910590089969</v>
      </c>
      <c r="K84" s="854">
        <f>SUM(Results_Res!K84,Results_Out!K84,Results_Ind!K84,Results_Com!K84)</f>
        <v>86.16002893905727</v>
      </c>
      <c r="L84" s="854">
        <f>SUM(Results_Res!L84,Results_Out!L84,Results_Ind!L84,Results_Com!L84)</f>
        <v>108.53626497706186</v>
      </c>
      <c r="M84" s="854">
        <f>SUM(Results_Res!M84,Results_Out!M84,Results_Ind!M84,Results_Com!M84)</f>
        <v>127.19699364997811</v>
      </c>
      <c r="N84" s="854">
        <f>SUM(Results_Res!N84,Results_Out!N84,Results_Ind!N84,Results_Com!N84)</f>
        <v>131.49803520516386</v>
      </c>
      <c r="O84" s="854">
        <f>SUM(Results_Res!O84,Results_Out!O84,Results_Ind!O84,Results_Com!O84)</f>
        <v>131.03325027246345</v>
      </c>
      <c r="P84" s="854">
        <f>SUM(Results_Res!P84,Results_Out!P84,Results_Ind!P84,Results_Com!P84)</f>
        <v>129.20200826842984</v>
      </c>
      <c r="Q84" s="854">
        <f>SUM(Results_Res!Q84,Results_Out!Q84,Results_Ind!Q84,Results_Com!Q84)</f>
        <v>127.48405207606122</v>
      </c>
      <c r="R84" s="854">
        <f>SUM(Results_Res!R84,Results_Out!R84,Results_Ind!R84,Results_Com!R84)</f>
        <v>126.30267965901416</v>
      </c>
      <c r="S84" s="854">
        <f>SUM(Results_Res!S84,Results_Out!S84,Results_Ind!S84,Results_Com!S84)</f>
        <v>125.83134347551319</v>
      </c>
      <c r="T84" s="854">
        <f>SUM(Results_Res!T84,Results_Out!T84,Results_Ind!T84,Results_Com!T84)</f>
        <v>125.97769749154945</v>
      </c>
      <c r="U84" s="854">
        <f>SUM(Results_Res!U84,Results_Out!U84,Results_Ind!U84,Results_Com!U84)</f>
        <v>126.61192998539231</v>
      </c>
      <c r="V84" s="854">
        <f>SUM(Results_Res!V84,Results_Out!V84,Results_Ind!V84,Results_Com!V84)</f>
        <v>127.6446473665479</v>
      </c>
      <c r="W84" s="854">
        <f>SUM(Results_Res!W84,Results_Out!W84,Results_Ind!W84,Results_Com!W84)</f>
        <v>128.93021289860215</v>
      </c>
      <c r="X84" s="854">
        <f>SUM(Results_Res!X84,Results_Out!X84,Results_Ind!X84,Results_Com!X84)</f>
        <v>130.37800117989863</v>
      </c>
      <c r="Y84" s="854">
        <f>SUM(Results_Res!Y84,Results_Out!Y84,Results_Ind!Y84,Results_Com!Y84)</f>
        <v>131.9117496564941</v>
      </c>
      <c r="Z84" s="854">
        <f>SUM(Results_Res!Z84,Results_Out!Z84,Results_Ind!Z84,Results_Com!Z84)</f>
        <v>133.51721522618374</v>
      </c>
      <c r="AA84" s="854">
        <f>SUM(Results_Res!AA84,Results_Out!AA84,Results_Ind!AA84,Results_Com!AA84)</f>
        <v>135.20270871151999</v>
      </c>
      <c r="AB84" s="854">
        <f>SUM(Results_Res!AB84,Results_Out!AB84,Results_Ind!AB84,Results_Com!AB84)</f>
        <v>137.00719039965924</v>
      </c>
      <c r="AC84" s="854">
        <f>SUM(Results_Res!AC84,Results_Out!AC84,Results_Ind!AC84,Results_Com!AC84)</f>
        <v>138.803788156472</v>
      </c>
      <c r="AD84" s="854">
        <f>SUM(Results_Res!AD84,Results_Out!AD84,Results_Ind!AD84,Results_Com!AD84)</f>
        <v>140.58331701295128</v>
      </c>
      <c r="AE84" s="854">
        <f>SUM(Results_Res!AE84,Results_Out!AE84,Results_Ind!AE84,Results_Com!AE84)</f>
        <v>142.33889616283818</v>
      </c>
      <c r="AF84" s="854">
        <f>SUM(Results_Res!AF84,Results_Out!AF84,Results_Ind!AF84,Results_Com!AF84)</f>
        <v>144.06493469784459</v>
      </c>
    </row>
    <row r="85" spans="1:32" s="864" customFormat="1" x14ac:dyDescent="0.25">
      <c r="A85" s="839"/>
      <c r="B85" s="839" t="s">
        <v>27</v>
      </c>
      <c r="C85" s="838"/>
      <c r="D85" s="838"/>
      <c r="E85" s="838"/>
      <c r="F85" s="838"/>
      <c r="G85" s="854">
        <f>SUM(Results_Res!G85,Results_Out!G85,Results_Ind!G85,Results_Com!G85)</f>
        <v>88.843234091478934</v>
      </c>
      <c r="H85" s="854">
        <f>SUM(Results_Res!H85,Results_Out!H85,Results_Ind!H85,Results_Com!H85)</f>
        <v>107.44305951817311</v>
      </c>
      <c r="I85" s="854">
        <f>SUM(Results_Res!I85,Results_Out!I85,Results_Ind!I85,Results_Com!I85)</f>
        <v>122.18632352250307</v>
      </c>
      <c r="J85" s="854">
        <f>SUM(Results_Res!J85,Results_Out!J85,Results_Ind!J85,Results_Com!J85)</f>
        <v>139.18288165751176</v>
      </c>
      <c r="K85" s="854">
        <f>SUM(Results_Res!K85,Results_Out!K85,Results_Ind!K85,Results_Com!K85)</f>
        <v>153.30422714507861</v>
      </c>
      <c r="L85" s="854">
        <f>SUM(Results_Res!L85,Results_Out!L85,Results_Ind!L85,Results_Com!L85)</f>
        <v>168.60109229806142</v>
      </c>
      <c r="M85" s="854">
        <f>SUM(Results_Res!M85,Results_Out!M85,Results_Ind!M85,Results_Com!M85)</f>
        <v>185.49988162398259</v>
      </c>
      <c r="N85" s="854">
        <f>SUM(Results_Res!N85,Results_Out!N85,Results_Ind!N85,Results_Com!N85)</f>
        <v>197.80219864815552</v>
      </c>
      <c r="O85" s="854">
        <f>SUM(Results_Res!O85,Results_Out!O85,Results_Ind!O85,Results_Com!O85)</f>
        <v>207.54692082099407</v>
      </c>
      <c r="P85" s="854">
        <f>SUM(Results_Res!P85,Results_Out!P85,Results_Ind!P85,Results_Com!P85)</f>
        <v>215.62530754034131</v>
      </c>
      <c r="Q85" s="854">
        <f>SUM(Results_Res!Q85,Results_Out!Q85,Results_Ind!Q85,Results_Com!Q85)</f>
        <v>222.59469839352272</v>
      </c>
      <c r="R85" s="854">
        <f>SUM(Results_Res!R85,Results_Out!R85,Results_Ind!R85,Results_Com!R85)</f>
        <v>228.74266934987179</v>
      </c>
      <c r="S85" s="854">
        <f>SUM(Results_Res!S85,Results_Out!S85,Results_Ind!S85,Results_Com!S85)</f>
        <v>234.35726433794548</v>
      </c>
      <c r="T85" s="854">
        <f>SUM(Results_Res!T85,Results_Out!T85,Results_Ind!T85,Results_Com!T85)</f>
        <v>239.59437650328084</v>
      </c>
      <c r="U85" s="854">
        <f>SUM(Results_Res!U85,Results_Out!U85,Results_Ind!U85,Results_Com!U85)</f>
        <v>244.56021220746476</v>
      </c>
      <c r="V85" s="854">
        <f>SUM(Results_Res!V85,Results_Out!V85,Results_Ind!V85,Results_Com!V85)</f>
        <v>249.35116768182161</v>
      </c>
      <c r="W85" s="854">
        <f>SUM(Results_Res!W85,Results_Out!W85,Results_Ind!W85,Results_Com!W85)</f>
        <v>253.98436239497653</v>
      </c>
      <c r="X85" s="854">
        <f>SUM(Results_Res!X85,Results_Out!X85,Results_Ind!X85,Results_Com!X85)</f>
        <v>258.48965697710867</v>
      </c>
      <c r="Y85" s="854">
        <f>SUM(Results_Res!Y85,Results_Out!Y85,Results_Ind!Y85,Results_Com!Y85)</f>
        <v>262.87778269424268</v>
      </c>
      <c r="Z85" s="854">
        <f>SUM(Results_Res!Z85,Results_Out!Z85,Results_Ind!Z85,Results_Com!Z85)</f>
        <v>267.17414784931992</v>
      </c>
      <c r="AA85" s="854">
        <f>SUM(Results_Res!AA85,Results_Out!AA85,Results_Ind!AA85,Results_Com!AA85)</f>
        <v>271.41136069588987</v>
      </c>
      <c r="AB85" s="854">
        <f>SUM(Results_Res!AB85,Results_Out!AB85,Results_Ind!AB85,Results_Com!AB85)</f>
        <v>275.64809539534116</v>
      </c>
      <c r="AC85" s="854">
        <f>SUM(Results_Res!AC85,Results_Out!AC85,Results_Ind!AC85,Results_Com!AC85)</f>
        <v>279.82580159031272</v>
      </c>
      <c r="AD85" s="854">
        <f>SUM(Results_Res!AD85,Results_Out!AD85,Results_Ind!AD85,Results_Com!AD85)</f>
        <v>283.94360307332011</v>
      </c>
      <c r="AE85" s="854">
        <f>SUM(Results_Res!AE85,Results_Out!AE85,Results_Ind!AE85,Results_Com!AE85)</f>
        <v>287.99939008683407</v>
      </c>
      <c r="AF85" s="854">
        <f>SUM(Results_Res!AF85,Results_Out!AF85,Results_Ind!AF85,Results_Com!AF85)</f>
        <v>291.99036163676084</v>
      </c>
    </row>
    <row r="86" spans="1:32" s="864" customFormat="1" x14ac:dyDescent="0.25">
      <c r="A86" s="839"/>
      <c r="B86" s="839" t="s">
        <v>29</v>
      </c>
      <c r="C86" s="838"/>
      <c r="D86" s="838"/>
      <c r="E86" s="838"/>
      <c r="F86" s="838"/>
      <c r="G86" s="854">
        <f>SUM(Results_Res!G86,Results_Out!G86,Results_Ind!G86,Results_Com!G86)</f>
        <v>0</v>
      </c>
      <c r="H86" s="854">
        <f>SUM(Results_Res!H86,Results_Out!H86,Results_Ind!H86,Results_Com!H86)</f>
        <v>4.618375581931515E-2</v>
      </c>
      <c r="I86" s="854">
        <f>SUM(Results_Res!I86,Results_Out!I86,Results_Ind!I86,Results_Com!I86)</f>
        <v>9.0329619360849253E-2</v>
      </c>
      <c r="J86" s="854">
        <f>SUM(Results_Res!J86,Results_Out!J86,Results_Ind!J86,Results_Com!J86)</f>
        <v>0.12002715710915174</v>
      </c>
      <c r="K86" s="854">
        <f>SUM(Results_Res!K86,Results_Out!K86,Results_Ind!K86,Results_Com!K86)</f>
        <v>0.14705139159253464</v>
      </c>
      <c r="L86" s="854">
        <f>SUM(Results_Res!L86,Results_Out!L86,Results_Ind!L86,Results_Com!L86)</f>
        <v>0.17446959675206355</v>
      </c>
      <c r="M86" s="854">
        <f>SUM(Results_Res!M86,Results_Out!M86,Results_Ind!M86,Results_Com!M86)</f>
        <v>0.20246985703170947</v>
      </c>
      <c r="N86" s="854">
        <f>SUM(Results_Res!N86,Results_Out!N86,Results_Ind!N86,Results_Com!N86)</f>
        <v>0.22857626286705168</v>
      </c>
      <c r="O86" s="854">
        <f>SUM(Results_Res!O86,Results_Out!O86,Results_Ind!O86,Results_Com!O86)</f>
        <v>0.25315552318553308</v>
      </c>
      <c r="P86" s="854">
        <f>SUM(Results_Res!P86,Results_Out!P86,Results_Ind!P86,Results_Com!P86)</f>
        <v>0.27624174558622089</v>
      </c>
      <c r="Q86" s="854">
        <f>SUM(Results_Res!Q86,Results_Out!Q86,Results_Ind!Q86,Results_Com!Q86)</f>
        <v>0.29804917973550771</v>
      </c>
      <c r="R86" s="854">
        <f>SUM(Results_Res!R86,Results_Out!R86,Results_Ind!R86,Results_Com!R86)</f>
        <v>0.31845654269776896</v>
      </c>
      <c r="S86" s="854">
        <f>SUM(Results_Res!S86,Results_Out!S86,Results_Ind!S86,Results_Com!S86)</f>
        <v>0.33778514542182819</v>
      </c>
      <c r="T86" s="854">
        <f>SUM(Results_Res!T86,Results_Out!T86,Results_Ind!T86,Results_Com!T86)</f>
        <v>0.35611877834648742</v>
      </c>
      <c r="U86" s="854">
        <f>SUM(Results_Res!U86,Results_Out!U86,Results_Ind!U86,Results_Com!U86)</f>
        <v>0.37353651344623445</v>
      </c>
      <c r="V86" s="854">
        <f>SUM(Results_Res!V86,Results_Out!V86,Results_Ind!V86,Results_Com!V86)</f>
        <v>0.390185825655882</v>
      </c>
      <c r="W86" s="854">
        <f>SUM(Results_Res!W86,Results_Out!W86,Results_Ind!W86,Results_Com!W86)</f>
        <v>0.40600648350020013</v>
      </c>
      <c r="X86" s="854">
        <f>SUM(Results_Res!X86,Results_Out!X86,Results_Ind!X86,Results_Com!X86)</f>
        <v>0.42106875052474801</v>
      </c>
      <c r="Y86" s="854">
        <f>SUM(Results_Res!Y86,Results_Out!Y86,Results_Ind!Y86,Results_Com!Y86)</f>
        <v>0.43537863484211825</v>
      </c>
      <c r="Z86" s="854">
        <f>SUM(Results_Res!Z86,Results_Out!Z86,Results_Ind!Z86,Results_Com!Z86)</f>
        <v>0.44900977201960107</v>
      </c>
      <c r="AA86" s="854">
        <f>SUM(Results_Res!AA86,Results_Out!AA86,Results_Ind!AA86,Results_Com!AA86)</f>
        <v>0.4620761670999684</v>
      </c>
      <c r="AB86" s="854">
        <f>SUM(Results_Res!AB86,Results_Out!AB86,Results_Ind!AB86,Results_Com!AB86)</f>
        <v>0.47478986452420679</v>
      </c>
      <c r="AC86" s="854">
        <f>SUM(Results_Res!AC86,Results_Out!AC86,Results_Ind!AC86,Results_Com!AC86)</f>
        <v>0.48695900909958789</v>
      </c>
      <c r="AD86" s="854">
        <f>SUM(Results_Res!AD86,Results_Out!AD86,Results_Ind!AD86,Results_Com!AD86)</f>
        <v>0.49860760892512812</v>
      </c>
      <c r="AE86" s="854">
        <f>SUM(Results_Res!AE86,Results_Out!AE86,Results_Ind!AE86,Results_Com!AE86)</f>
        <v>0.50975692487091107</v>
      </c>
      <c r="AF86" s="854">
        <f>SUM(Results_Res!AF86,Results_Out!AF86,Results_Ind!AF86,Results_Com!AF86)</f>
        <v>0.52042577823651348</v>
      </c>
    </row>
    <row r="87" spans="1:32" s="864" customFormat="1" x14ac:dyDescent="0.25">
      <c r="A87" s="839"/>
      <c r="B87" s="839"/>
      <c r="C87" s="838"/>
      <c r="D87" s="838"/>
      <c r="E87" s="838"/>
      <c r="F87" s="838"/>
      <c r="G87" s="854"/>
      <c r="H87" s="838"/>
      <c r="I87" s="838"/>
      <c r="J87" s="838"/>
      <c r="K87" s="838"/>
      <c r="L87" s="838"/>
      <c r="M87" s="838"/>
      <c r="N87" s="838"/>
      <c r="O87" s="838"/>
      <c r="P87" s="838"/>
      <c r="Q87" s="838"/>
      <c r="R87" s="838"/>
      <c r="S87" s="838"/>
      <c r="T87" s="838"/>
      <c r="U87" s="838"/>
      <c r="V87" s="838"/>
      <c r="W87" s="838"/>
      <c r="X87" s="838"/>
      <c r="Y87" s="838"/>
      <c r="Z87" s="838"/>
      <c r="AA87" s="838"/>
      <c r="AB87" s="838"/>
      <c r="AC87" s="838"/>
      <c r="AD87" s="838"/>
      <c r="AE87" s="838"/>
      <c r="AF87" s="838"/>
    </row>
    <row r="88" spans="1:32" s="856" customFormat="1" ht="12.75" x14ac:dyDescent="0.2">
      <c r="A88" s="843" t="s">
        <v>32</v>
      </c>
      <c r="B88" s="843"/>
      <c r="C88" s="843"/>
      <c r="D88" s="843"/>
      <c r="E88" s="843"/>
      <c r="F88" s="843"/>
      <c r="G88" s="865"/>
      <c r="H88" s="843"/>
      <c r="I88" s="843"/>
      <c r="J88" s="843"/>
      <c r="K88" s="843"/>
      <c r="L88" s="843"/>
      <c r="M88" s="843"/>
      <c r="N88" s="843"/>
      <c r="O88" s="843"/>
      <c r="P88" s="843"/>
      <c r="Q88" s="843"/>
      <c r="R88" s="843"/>
      <c r="S88" s="843"/>
      <c r="T88" s="843"/>
      <c r="U88" s="843"/>
      <c r="V88" s="843"/>
      <c r="W88" s="843"/>
      <c r="X88" s="843"/>
      <c r="Y88" s="843"/>
      <c r="Z88" s="843"/>
      <c r="AA88" s="843"/>
      <c r="AB88" s="843"/>
      <c r="AC88" s="843"/>
      <c r="AD88" s="843"/>
      <c r="AE88" s="843"/>
      <c r="AF88" s="843"/>
    </row>
    <row r="89" spans="1:32" s="864" customFormat="1" x14ac:dyDescent="0.25">
      <c r="A89" s="839"/>
      <c r="B89" s="839" t="s">
        <v>33</v>
      </c>
      <c r="C89" s="838"/>
      <c r="D89" s="838"/>
      <c r="E89" s="838"/>
      <c r="F89" s="838"/>
      <c r="G89" s="854">
        <f>SUM(Results_Res!G89,Results_Out!G89,Results_Ind!G89,Results_Com!G89)</f>
        <v>142.40909578111743</v>
      </c>
      <c r="H89" s="854">
        <f>SUM(Results_Res!H89,Results_Out!H89,Results_Ind!H89,Results_Com!H89)</f>
        <v>122.08292783960835</v>
      </c>
      <c r="I89" s="854">
        <f>SUM(Results_Res!I89,Results_Out!I89,Results_Ind!I89,Results_Com!I89)</f>
        <v>117.80518222083899</v>
      </c>
      <c r="J89" s="854">
        <f>SUM(Results_Res!J89,Results_Out!J89,Results_Ind!J89,Results_Com!J89)</f>
        <v>117.06055971470266</v>
      </c>
      <c r="K89" s="854">
        <f>SUM(Results_Res!K89,Results_Out!K89,Results_Ind!K89,Results_Com!K89)</f>
        <v>119.14853517602606</v>
      </c>
      <c r="L89" s="854">
        <f>SUM(Results_Res!L89,Results_Out!L89,Results_Ind!L89,Results_Com!L89)</f>
        <v>119.65673164768401</v>
      </c>
      <c r="M89" s="854">
        <f>SUM(Results_Res!M89,Results_Out!M89,Results_Ind!M89,Results_Com!M89)</f>
        <v>120.58817482711439</v>
      </c>
      <c r="N89" s="854">
        <f>SUM(Results_Res!N89,Results_Out!N89,Results_Ind!N89,Results_Com!N89)</f>
        <v>121.83008910419194</v>
      </c>
      <c r="O89" s="854">
        <f>SUM(Results_Res!O89,Results_Out!O89,Results_Ind!O89,Results_Com!O89)</f>
        <v>123.35640047943255</v>
      </c>
      <c r="P89" s="854">
        <f>SUM(Results_Res!P89,Results_Out!P89,Results_Ind!P89,Results_Com!P89)</f>
        <v>125.06236802852301</v>
      </c>
      <c r="Q89" s="854">
        <f>SUM(Results_Res!Q89,Results_Out!Q89,Results_Ind!Q89,Results_Com!Q89)</f>
        <v>126.91228680985449</v>
      </c>
      <c r="R89" s="854">
        <f>SUM(Results_Res!R89,Results_Out!R89,Results_Ind!R89,Results_Com!R89)</f>
        <v>128.82175328444933</v>
      </c>
      <c r="S89" s="854">
        <f>SUM(Results_Res!S89,Results_Out!S89,Results_Ind!S89,Results_Com!S89)</f>
        <v>130.7849330905002</v>
      </c>
      <c r="T89" s="854">
        <f>SUM(Results_Res!T89,Results_Out!T89,Results_Ind!T89,Results_Com!T89)</f>
        <v>132.78735252040346</v>
      </c>
      <c r="U89" s="854">
        <f>SUM(Results_Res!U89,Results_Out!U89,Results_Ind!U89,Results_Com!U89)</f>
        <v>134.81851532103622</v>
      </c>
      <c r="V89" s="854">
        <f>SUM(Results_Res!V89,Results_Out!V89,Results_Ind!V89,Results_Com!V89)</f>
        <v>136.87732088240119</v>
      </c>
      <c r="W89" s="854">
        <f>SUM(Results_Res!W89,Results_Out!W89,Results_Ind!W89,Results_Com!W89)</f>
        <v>138.93032109255211</v>
      </c>
      <c r="X89" s="854">
        <f>SUM(Results_Res!X89,Results_Out!X89,Results_Ind!X89,Results_Com!X89)</f>
        <v>140.9910110759356</v>
      </c>
      <c r="Y89" s="854">
        <f>SUM(Results_Res!Y89,Results_Out!Y89,Results_Ind!Y89,Results_Com!Y89)</f>
        <v>143.0595289640479</v>
      </c>
      <c r="Z89" s="854">
        <f>SUM(Results_Res!Z89,Results_Out!Z89,Results_Ind!Z89,Results_Com!Z89)</f>
        <v>145.12401900384182</v>
      </c>
      <c r="AA89" s="854">
        <f>SUM(Results_Res!AA89,Results_Out!AA89,Results_Ind!AA89,Results_Com!AA89)</f>
        <v>147.17670114260159</v>
      </c>
      <c r="AB89" s="854">
        <f>SUM(Results_Res!AB89,Results_Out!AB89,Results_Ind!AB89,Results_Com!AB89)</f>
        <v>149.23648840102103</v>
      </c>
      <c r="AC89" s="854">
        <f>SUM(Results_Res!AC89,Results_Out!AC89,Results_Ind!AC89,Results_Com!AC89)</f>
        <v>151.28168164965973</v>
      </c>
      <c r="AD89" s="854">
        <f>SUM(Results_Res!AD89,Results_Out!AD89,Results_Ind!AD89,Results_Com!AD89)</f>
        <v>153.31005709758273</v>
      </c>
      <c r="AE89" s="854">
        <f>SUM(Results_Res!AE89,Results_Out!AE89,Results_Ind!AE89,Results_Com!AE89)</f>
        <v>155.31837467148961</v>
      </c>
      <c r="AF89" s="854">
        <f>SUM(Results_Res!AF89,Results_Out!AF89,Results_Ind!AF89,Results_Com!AF89)</f>
        <v>157.30372166049</v>
      </c>
    </row>
    <row r="90" spans="1:32" s="864" customFormat="1" x14ac:dyDescent="0.25">
      <c r="A90" s="842"/>
      <c r="B90" s="842" t="s">
        <v>34</v>
      </c>
      <c r="C90" s="838"/>
      <c r="D90" s="838"/>
      <c r="E90" s="838"/>
      <c r="F90" s="838"/>
      <c r="G90" s="854">
        <f>SUM(Results_Res!G90,Results_Out!G90,Results_Ind!G90,Results_Com!G90)</f>
        <v>95.692321751949947</v>
      </c>
      <c r="H90" s="854">
        <f>SUM(Results_Res!H90,Results_Out!H90,Results_Ind!H90,Results_Com!H90)</f>
        <v>119.64893674699428</v>
      </c>
      <c r="I90" s="854">
        <f>SUM(Results_Res!I90,Results_Out!I90,Results_Ind!I90,Results_Com!I90)</f>
        <v>124.42125959412044</v>
      </c>
      <c r="J90" s="854">
        <f>SUM(Results_Res!J90,Results_Out!J90,Results_Ind!J90,Results_Com!J90)</f>
        <v>123.24048922092354</v>
      </c>
      <c r="K90" s="854">
        <f>SUM(Results_Res!K90,Results_Out!K90,Results_Ind!K90,Results_Com!K90)</f>
        <v>119.53149546195979</v>
      </c>
      <c r="L90" s="854">
        <f>SUM(Results_Res!L90,Results_Out!L90,Results_Ind!L90,Results_Com!L90)</f>
        <v>119.50936456031111</v>
      </c>
      <c r="M90" s="854">
        <f>SUM(Results_Res!M90,Results_Out!M90,Results_Ind!M90,Results_Com!M90)</f>
        <v>121.10490109166274</v>
      </c>
      <c r="N90" s="854">
        <f>SUM(Results_Res!N90,Results_Out!N90,Results_Ind!N90,Results_Com!N90)</f>
        <v>120.89983375170746</v>
      </c>
      <c r="O90" s="854">
        <f>SUM(Results_Res!O90,Results_Out!O90,Results_Ind!O90,Results_Com!O90)</f>
        <v>121.57431061204016</v>
      </c>
      <c r="P90" s="854">
        <f>SUM(Results_Res!P90,Results_Out!P90,Results_Ind!P90,Results_Com!P90)</f>
        <v>123.01510737540653</v>
      </c>
      <c r="Q90" s="854">
        <f>SUM(Results_Res!Q90,Results_Out!Q90,Results_Ind!Q90,Results_Com!Q90)</f>
        <v>125.24964083261304</v>
      </c>
      <c r="R90" s="854">
        <f>SUM(Results_Res!R90,Results_Out!R90,Results_Ind!R90,Results_Com!R90)</f>
        <v>127.38737611583471</v>
      </c>
      <c r="S90" s="854">
        <f>SUM(Results_Res!S90,Results_Out!S90,Results_Ind!S90,Results_Com!S90)</f>
        <v>129.49508769063462</v>
      </c>
      <c r="T90" s="854">
        <f>SUM(Results_Res!T90,Results_Out!T90,Results_Ind!T90,Results_Com!T90)</f>
        <v>131.57745753706399</v>
      </c>
      <c r="U90" s="854">
        <f>SUM(Results_Res!U90,Results_Out!U90,Results_Ind!U90,Results_Com!U90)</f>
        <v>133.64249469530694</v>
      </c>
      <c r="V90" s="854">
        <f>SUM(Results_Res!V90,Results_Out!V90,Results_Ind!V90,Results_Com!V90)</f>
        <v>135.7035206815757</v>
      </c>
      <c r="W90" s="854">
        <f>SUM(Results_Res!W90,Results_Out!W90,Results_Ind!W90,Results_Com!W90)</f>
        <v>137.72270661982714</v>
      </c>
      <c r="X90" s="854">
        <f>SUM(Results_Res!X90,Results_Out!X90,Results_Ind!X90,Results_Com!X90)</f>
        <v>139.7431662022517</v>
      </c>
      <c r="Y90" s="854">
        <f>SUM(Results_Res!Y90,Results_Out!Y90,Results_Ind!Y90,Results_Com!Y90)</f>
        <v>141.75472492925795</v>
      </c>
      <c r="Z90" s="854">
        <f>SUM(Results_Res!Z90,Results_Out!Z90,Results_Ind!Z90,Results_Com!Z90)</f>
        <v>143.74497437802563</v>
      </c>
      <c r="AA90" s="854">
        <f>SUM(Results_Res!AA90,Results_Out!AA90,Results_Ind!AA90,Results_Com!AA90)</f>
        <v>145.71471566132266</v>
      </c>
      <c r="AB90" s="854">
        <f>SUM(Results_Res!AB90,Results_Out!AB90,Results_Ind!AB90,Results_Com!AB90)</f>
        <v>147.69999214094747</v>
      </c>
      <c r="AC90" s="854">
        <f>SUM(Results_Res!AC90,Results_Out!AC90,Results_Ind!AC90,Results_Com!AC90)</f>
        <v>149.66514939910201</v>
      </c>
      <c r="AD90" s="854">
        <f>SUM(Results_Res!AD90,Results_Out!AD90,Results_Ind!AD90,Results_Com!AD90)</f>
        <v>151.60750613207824</v>
      </c>
      <c r="AE90" s="854">
        <f>SUM(Results_Res!AE90,Results_Out!AE90,Results_Ind!AE90,Results_Com!AE90)</f>
        <v>153.52521360555579</v>
      </c>
      <c r="AF90" s="854">
        <f>SUM(Results_Res!AF90,Results_Out!AF90,Results_Ind!AF90,Results_Com!AF90)</f>
        <v>155.41640053637195</v>
      </c>
    </row>
    <row r="91" spans="1:32" s="864" customFormat="1" x14ac:dyDescent="0.25">
      <c r="A91" s="839"/>
      <c r="B91" s="842" t="s">
        <v>35</v>
      </c>
      <c r="C91" s="838"/>
      <c r="D91" s="838"/>
      <c r="E91" s="838"/>
      <c r="F91" s="838"/>
      <c r="G91" s="854">
        <f>SUM(Results_Res!G91,Results_Out!G91,Results_Ind!G91,Results_Com!G91)</f>
        <v>19.638412028400811</v>
      </c>
      <c r="H91" s="854">
        <f>SUM(Results_Res!H91,Results_Out!H91,Results_Ind!H91,Results_Com!H91)</f>
        <v>18.262266376303167</v>
      </c>
      <c r="I91" s="854">
        <f>SUM(Results_Res!I91,Results_Out!I91,Results_Ind!I91,Results_Com!I91)</f>
        <v>17.909893323319245</v>
      </c>
      <c r="J91" s="854">
        <f>SUM(Results_Res!J91,Results_Out!J91,Results_Ind!J91,Results_Com!J91)</f>
        <v>18.15796842243352</v>
      </c>
      <c r="K91" s="854">
        <f>SUM(Results_Res!K91,Results_Out!K91,Results_Ind!K91,Results_Com!K91)</f>
        <v>18.774903326800843</v>
      </c>
      <c r="L91" s="854">
        <f>SUM(Results_Res!L91,Results_Out!L91,Results_Ind!L91,Results_Com!L91)</f>
        <v>19.348798079801998</v>
      </c>
      <c r="M91" s="854">
        <f>SUM(Results_Res!M91,Results_Out!M91,Results_Ind!M91,Results_Com!M91)</f>
        <v>19.885017428680108</v>
      </c>
      <c r="N91" s="854">
        <f>SUM(Results_Res!N91,Results_Out!N91,Results_Ind!N91,Results_Com!N91)</f>
        <v>20.39445930980375</v>
      </c>
      <c r="O91" s="854">
        <f>SUM(Results_Res!O91,Results_Out!O91,Results_Ind!O91,Results_Com!O91)</f>
        <v>20.892979475922857</v>
      </c>
      <c r="P91" s="854">
        <f>SUM(Results_Res!P91,Results_Out!P91,Results_Ind!P91,Results_Com!P91)</f>
        <v>21.376896069262248</v>
      </c>
      <c r="Q91" s="854">
        <f>SUM(Results_Res!Q91,Results_Out!Q91,Results_Ind!Q91,Results_Com!Q91)</f>
        <v>21.852519584082778</v>
      </c>
      <c r="R91" s="854">
        <f>SUM(Results_Res!R91,Results_Out!R91,Results_Ind!R91,Results_Com!R91)</f>
        <v>22.312163526571695</v>
      </c>
      <c r="S91" s="854">
        <f>SUM(Results_Res!S91,Results_Out!S91,Results_Ind!S91,Results_Com!S91)</f>
        <v>22.760647807889207</v>
      </c>
      <c r="T91" s="854">
        <f>SUM(Results_Res!T91,Results_Out!T91,Results_Ind!T91,Results_Com!T91)</f>
        <v>23.198871147121224</v>
      </c>
      <c r="U91" s="854">
        <f>SUM(Results_Res!U91,Results_Out!U91,Results_Ind!U91,Results_Com!U91)</f>
        <v>23.628249347168708</v>
      </c>
      <c r="V91" s="854">
        <f>SUM(Results_Res!V91,Results_Out!V91,Results_Ind!V91,Results_Com!V91)</f>
        <v>24.050886874763584</v>
      </c>
      <c r="W91" s="854">
        <f>SUM(Results_Res!W91,Results_Out!W91,Results_Ind!W91,Results_Com!W91)</f>
        <v>24.463038936613497</v>
      </c>
      <c r="X91" s="854">
        <f>SUM(Results_Res!X91,Results_Out!X91,Results_Ind!X91,Results_Com!X91)</f>
        <v>24.869415303236959</v>
      </c>
      <c r="Y91" s="854">
        <f>SUM(Results_Res!Y91,Results_Out!Y91,Results_Ind!Y91,Results_Com!Y91)</f>
        <v>25.27129066814819</v>
      </c>
      <c r="Z91" s="854">
        <f>SUM(Results_Res!Z91,Results_Out!Z91,Results_Ind!Z91,Results_Com!Z91)</f>
        <v>25.668060636750901</v>
      </c>
      <c r="AA91" s="854">
        <f>SUM(Results_Res!AA91,Results_Out!AA91,Results_Ind!AA91,Results_Com!AA91)</f>
        <v>26.059102201236108</v>
      </c>
      <c r="AB91" s="854">
        <f>SUM(Results_Res!AB91,Results_Out!AB91,Results_Ind!AB91,Results_Com!AB91)</f>
        <v>26.447576569145383</v>
      </c>
      <c r="AC91" s="854">
        <f>SUM(Results_Res!AC91,Results_Out!AC91,Results_Ind!AC91,Results_Com!AC91)</f>
        <v>26.830392888338501</v>
      </c>
      <c r="AD91" s="854">
        <f>SUM(Results_Res!AD91,Results_Out!AD91,Results_Ind!AD91,Results_Com!AD91)</f>
        <v>27.207659562069402</v>
      </c>
      <c r="AE91" s="854">
        <f>SUM(Results_Res!AE91,Results_Out!AE91,Results_Ind!AE91,Results_Com!AE91)</f>
        <v>27.579387218591997</v>
      </c>
      <c r="AF91" s="854">
        <f>SUM(Results_Res!AF91,Results_Out!AF91,Results_Ind!AF91,Results_Com!AF91)</f>
        <v>27.945523678411096</v>
      </c>
    </row>
    <row r="92" spans="1:32" s="864" customFormat="1" x14ac:dyDescent="0.25">
      <c r="A92" s="839"/>
      <c r="B92" s="842" t="s">
        <v>29</v>
      </c>
      <c r="C92" s="838"/>
      <c r="D92" s="838"/>
      <c r="E92" s="838"/>
      <c r="F92" s="838"/>
      <c r="G92" s="854">
        <f>SUM(Results_Res!G92,Results_Out!G92,Results_Ind!G92,Results_Com!G92)</f>
        <v>0</v>
      </c>
      <c r="H92" s="854">
        <f>SUM(Results_Res!H92,Results_Out!H92,Results_Ind!H92,Results_Com!H92)</f>
        <v>3.1363765869894408E-2</v>
      </c>
      <c r="I92" s="854">
        <f>SUM(Results_Res!I92,Results_Out!I92,Results_Ind!I92,Results_Com!I92)</f>
        <v>5.935788052211198E-2</v>
      </c>
      <c r="J92" s="854">
        <f>SUM(Results_Res!J92,Results_Out!J92,Results_Ind!J92,Results_Com!J92)</f>
        <v>8.461906870221142E-2</v>
      </c>
      <c r="K92" s="854">
        <f>SUM(Results_Res!K92,Results_Out!K92,Results_Ind!K92,Results_Com!K92)</f>
        <v>0.10755520237592703</v>
      </c>
      <c r="L92" s="854">
        <f>SUM(Results_Res!L92,Results_Out!L92,Results_Ind!L92,Results_Com!L92)</f>
        <v>0.12818290612932715</v>
      </c>
      <c r="M92" s="854">
        <f>SUM(Results_Res!M92,Results_Out!M92,Results_Ind!M92,Results_Com!M92)</f>
        <v>0.14669557121952609</v>
      </c>
      <c r="N92" s="854">
        <f>SUM(Results_Res!N92,Results_Out!N92,Results_Ind!N92,Results_Com!N92)</f>
        <v>0.1635322062161958</v>
      </c>
      <c r="O92" s="854">
        <f>SUM(Results_Res!O92,Results_Out!O92,Results_Ind!O92,Results_Com!O92)</f>
        <v>0.17919599438024272</v>
      </c>
      <c r="P92" s="854">
        <f>SUM(Results_Res!P92,Results_Out!P92,Results_Ind!P92,Results_Com!P92)</f>
        <v>0.19362327189211848</v>
      </c>
      <c r="Q92" s="854">
        <f>SUM(Results_Res!Q92,Results_Out!Q92,Results_Ind!Q92,Results_Com!Q92)</f>
        <v>0.20711130086784046</v>
      </c>
      <c r="R92" s="854">
        <f>SUM(Results_Res!R92,Results_Out!R92,Results_Ind!R92,Results_Com!R92)</f>
        <v>0.21952435639550283</v>
      </c>
      <c r="S92" s="854">
        <f>SUM(Results_Res!S92,Results_Out!S92,Results_Ind!S92,Results_Com!S92)</f>
        <v>0.23113290665741157</v>
      </c>
      <c r="T92" s="854">
        <f>SUM(Results_Res!T92,Results_Out!T92,Results_Ind!T92,Results_Com!T92)</f>
        <v>0.24203591854209067</v>
      </c>
      <c r="U92" s="854">
        <f>SUM(Results_Res!U92,Results_Out!U92,Results_Ind!U92,Results_Com!U92)</f>
        <v>0.25232706821904893</v>
      </c>
      <c r="V92" s="854">
        <f>SUM(Results_Res!V92,Results_Out!V92,Results_Ind!V92,Results_Com!V92)</f>
        <v>0.26210767712958105</v>
      </c>
      <c r="W92" s="854">
        <f>SUM(Results_Res!W92,Results_Out!W92,Results_Ind!W92,Results_Com!W92)</f>
        <v>0.27131502588756634</v>
      </c>
      <c r="X92" s="854">
        <f>SUM(Results_Res!X92,Results_Out!X92,Results_Ind!X92,Results_Com!X92)</f>
        <v>0.28012052895811135</v>
      </c>
      <c r="Y92" s="854">
        <f>SUM(Results_Res!Y92,Results_Out!Y92,Results_Ind!Y92,Results_Com!Y92)</f>
        <v>0.28854299017086998</v>
      </c>
      <c r="Z92" s="854">
        <f>SUM(Results_Res!Z92,Results_Out!Z92,Results_Ind!Z92,Results_Com!Z92)</f>
        <v>0.29657325799311285</v>
      </c>
      <c r="AA92" s="854">
        <f>SUM(Results_Res!AA92,Results_Out!AA92,Results_Ind!AA92,Results_Com!AA92)</f>
        <v>0.30423624554612616</v>
      </c>
      <c r="AB92" s="854">
        <f>SUM(Results_Res!AB92,Results_Out!AB92,Results_Ind!AB92,Results_Com!AB92)</f>
        <v>0.31166785770536931</v>
      </c>
      <c r="AC92" s="854">
        <f>SUM(Results_Res!AC92,Results_Out!AC92,Results_Ind!AC92,Results_Com!AC92)</f>
        <v>0.3187912241172578</v>
      </c>
      <c r="AD92" s="854">
        <f>SUM(Results_Res!AD92,Results_Out!AD92,Results_Ind!AD92,Results_Com!AD92)</f>
        <v>0.32562258016508261</v>
      </c>
      <c r="AE92" s="854">
        <f>SUM(Results_Res!AE92,Results_Out!AE92,Results_Ind!AE92,Results_Com!AE92)</f>
        <v>0.33217588390807812</v>
      </c>
      <c r="AF92" s="854">
        <f>SUM(Results_Res!AF92,Results_Out!AF92,Results_Ind!AF92,Results_Com!AF92)</f>
        <v>0.33846315891071138</v>
      </c>
    </row>
    <row r="93" spans="1:32" s="864" customFormat="1" x14ac:dyDescent="0.25">
      <c r="A93" s="839"/>
      <c r="B93" s="839"/>
      <c r="C93" s="838"/>
      <c r="D93" s="838"/>
      <c r="E93" s="838"/>
      <c r="F93" s="838"/>
      <c r="G93" s="854"/>
      <c r="H93" s="838"/>
      <c r="I93" s="838"/>
      <c r="J93" s="838"/>
      <c r="K93" s="838"/>
      <c r="L93" s="838"/>
      <c r="M93" s="838"/>
      <c r="N93" s="838"/>
      <c r="O93" s="838"/>
      <c r="P93" s="838"/>
      <c r="Q93" s="838"/>
      <c r="R93" s="838"/>
      <c r="S93" s="838"/>
      <c r="T93" s="838"/>
      <c r="U93" s="838"/>
      <c r="V93" s="838"/>
      <c r="W93" s="838"/>
      <c r="X93" s="838"/>
      <c r="Y93" s="838"/>
      <c r="Z93" s="838"/>
      <c r="AA93" s="838"/>
      <c r="AB93" s="838"/>
      <c r="AC93" s="838"/>
      <c r="AD93" s="838"/>
      <c r="AE93" s="838"/>
      <c r="AF93" s="838"/>
    </row>
    <row r="94" spans="1:32" s="856" customFormat="1" ht="12.75" x14ac:dyDescent="0.2">
      <c r="A94" s="843" t="s">
        <v>36</v>
      </c>
      <c r="B94" s="843"/>
      <c r="C94" s="843"/>
      <c r="D94" s="843"/>
      <c r="E94" s="843"/>
      <c r="F94" s="843"/>
      <c r="G94" s="865"/>
      <c r="H94" s="843"/>
      <c r="I94" s="843"/>
      <c r="J94" s="843"/>
      <c r="K94" s="843"/>
      <c r="L94" s="843"/>
      <c r="M94" s="843"/>
      <c r="N94" s="843"/>
      <c r="O94" s="843"/>
      <c r="P94" s="843"/>
      <c r="Q94" s="843"/>
      <c r="R94" s="843"/>
      <c r="S94" s="843"/>
      <c r="T94" s="843"/>
      <c r="U94" s="843"/>
      <c r="V94" s="843"/>
      <c r="W94" s="843"/>
      <c r="X94" s="843"/>
      <c r="Y94" s="843"/>
      <c r="Z94" s="843"/>
      <c r="AA94" s="843"/>
      <c r="AB94" s="843"/>
      <c r="AC94" s="843"/>
      <c r="AD94" s="843"/>
      <c r="AE94" s="843"/>
      <c r="AF94" s="843"/>
    </row>
    <row r="95" spans="1:32" s="864" customFormat="1" x14ac:dyDescent="0.25">
      <c r="A95" s="839"/>
      <c r="B95" s="839" t="s">
        <v>37</v>
      </c>
      <c r="C95" s="838"/>
      <c r="D95" s="838"/>
      <c r="E95" s="838"/>
      <c r="F95" s="855"/>
      <c r="G95" s="854">
        <f>SUM(Results_Res!G95,Results_Out!G95,Results_Ind!G95,Results_Com!G95)</f>
        <v>471.18993146174824</v>
      </c>
      <c r="H95" s="854">
        <f>SUM(Results_Res!H95,Results_Out!H95,Results_Ind!H95,Results_Com!H95)</f>
        <v>413.53601060063556</v>
      </c>
      <c r="I95" s="854">
        <f>SUM(Results_Res!I95,Results_Out!I95,Results_Ind!I95,Results_Com!I95)</f>
        <v>344.53008116434074</v>
      </c>
      <c r="J95" s="854">
        <f>SUM(Results_Res!J95,Results_Out!J95,Results_Ind!J95,Results_Com!J95)</f>
        <v>271.71686480957362</v>
      </c>
      <c r="K95" s="854">
        <f>SUM(Results_Res!K95,Results_Out!K95,Results_Ind!K95,Results_Com!K95)</f>
        <v>202.33249977504335</v>
      </c>
      <c r="L95" s="854">
        <f>SUM(Results_Res!L95,Results_Out!L95,Results_Ind!L95,Results_Com!L95)</f>
        <v>152.41564091150616</v>
      </c>
      <c r="M95" s="854">
        <f>SUM(Results_Res!M95,Results_Out!M95,Results_Ind!M95,Results_Com!M95)</f>
        <v>116.23762608624011</v>
      </c>
      <c r="N95" s="854">
        <f>SUM(Results_Res!N95,Results_Out!N95,Results_Ind!N95,Results_Com!N95)</f>
        <v>89.872023639792104</v>
      </c>
      <c r="O95" s="854">
        <f>SUM(Results_Res!O95,Results_Out!O95,Results_Ind!O95,Results_Com!O95)</f>
        <v>70.68690104756169</v>
      </c>
      <c r="P95" s="854">
        <f>SUM(Results_Res!P95,Results_Out!P95,Results_Ind!P95,Results_Com!P95)</f>
        <v>56.615380555916325</v>
      </c>
      <c r="Q95" s="854">
        <f>SUM(Results_Res!Q95,Results_Out!Q95,Results_Ind!Q95,Results_Com!Q95)</f>
        <v>46.209509640547353</v>
      </c>
      <c r="R95" s="854">
        <f>SUM(Results_Res!R95,Results_Out!R95,Results_Ind!R95,Results_Com!R95)</f>
        <v>38.431733157658932</v>
      </c>
      <c r="S95" s="854">
        <f>SUM(Results_Res!S95,Results_Out!S95,Results_Ind!S95,Results_Com!S95)</f>
        <v>32.553545938529282</v>
      </c>
      <c r="T95" s="854">
        <f>SUM(Results_Res!T95,Results_Out!T95,Results_Ind!T95,Results_Com!T95)</f>
        <v>28.055116930316629</v>
      </c>
      <c r="U95" s="854">
        <f>SUM(Results_Res!U95,Results_Out!U95,Results_Ind!U95,Results_Com!U95)</f>
        <v>24.564810161480665</v>
      </c>
      <c r="V95" s="854">
        <f>SUM(Results_Res!V95,Results_Out!V95,Results_Ind!V95,Results_Com!V95)</f>
        <v>21.816648756364497</v>
      </c>
      <c r="W95" s="854">
        <f>SUM(Results_Res!W95,Results_Out!W95,Results_Ind!W95,Results_Com!W95)</f>
        <v>19.613719593587064</v>
      </c>
      <c r="X95" s="854">
        <f>SUM(Results_Res!X95,Results_Out!X95,Results_Ind!X95,Results_Com!X95)</f>
        <v>17.825283514543379</v>
      </c>
      <c r="Y95" s="854">
        <f>SUM(Results_Res!Y95,Results_Out!Y95,Results_Ind!Y95,Results_Com!Y95)</f>
        <v>16.349966370934894</v>
      </c>
      <c r="Z95" s="854">
        <f>SUM(Results_Res!Z95,Results_Out!Z95,Results_Ind!Z95,Results_Com!Z95)</f>
        <v>15.112062863674739</v>
      </c>
      <c r="AA95" s="854">
        <f>SUM(Results_Res!AA95,Results_Out!AA95,Results_Ind!AA95,Results_Com!AA95)</f>
        <v>14.059026028813244</v>
      </c>
      <c r="AB95" s="854">
        <f>SUM(Results_Res!AB95,Results_Out!AB95,Results_Ind!AB95,Results_Com!AB95)</f>
        <v>13.150015286132845</v>
      </c>
      <c r="AC95" s="854">
        <f>SUM(Results_Res!AC95,Results_Out!AC95,Results_Ind!AC95,Results_Com!AC95)</f>
        <v>12.357153591717379</v>
      </c>
      <c r="AD95" s="854">
        <f>SUM(Results_Res!AD95,Results_Out!AD95,Results_Ind!AD95,Results_Com!AD95)</f>
        <v>11.661549859620036</v>
      </c>
      <c r="AE95" s="854">
        <f>SUM(Results_Res!AE95,Results_Out!AE95,Results_Ind!AE95,Results_Com!AE95)</f>
        <v>11.043410831156869</v>
      </c>
      <c r="AF95" s="854">
        <f>SUM(Results_Res!AF95,Results_Out!AF95,Results_Ind!AF95,Results_Com!AF95)</f>
        <v>10.492821055189022</v>
      </c>
    </row>
    <row r="96" spans="1:32" s="864" customFormat="1" x14ac:dyDescent="0.25">
      <c r="A96" s="839"/>
      <c r="B96" s="839" t="s">
        <v>39</v>
      </c>
      <c r="C96" s="838"/>
      <c r="D96" s="838"/>
      <c r="E96" s="857"/>
      <c r="F96" s="838"/>
      <c r="G96" s="854">
        <f>SUM(Results_Res!G96,Results_Out!G96,Results_Ind!G96,Results_Com!G96)</f>
        <v>754.96113401079936</v>
      </c>
      <c r="H96" s="854">
        <f>SUM(Results_Res!H96,Results_Out!H96,Results_Ind!H96,Results_Com!H96)</f>
        <v>797.05036578987074</v>
      </c>
      <c r="I96" s="854">
        <f>SUM(Results_Res!I96,Results_Out!I96,Results_Ind!I96,Results_Com!I96)</f>
        <v>848.05725904094299</v>
      </c>
      <c r="J96" s="854">
        <f>SUM(Results_Res!J96,Results_Out!J96,Results_Ind!J96,Results_Com!J96)</f>
        <v>902.21114400382669</v>
      </c>
      <c r="K96" s="854">
        <f>SUM(Results_Res!K96,Results_Out!K96,Results_Ind!K96,Results_Com!K96)</f>
        <v>952.31391764967873</v>
      </c>
      <c r="L96" s="854">
        <f>SUM(Results_Res!L96,Results_Out!L96,Results_Ind!L96,Results_Com!L96)</f>
        <v>988.23686039757456</v>
      </c>
      <c r="M96" s="854">
        <f>SUM(Results_Res!M96,Results_Out!M96,Results_Ind!M96,Results_Com!M96)</f>
        <v>1013.6880108460205</v>
      </c>
      <c r="N96" s="854">
        <f>SUM(Results_Res!N96,Results_Out!N96,Results_Ind!N96,Results_Com!N96)</f>
        <v>1033.9924916224693</v>
      </c>
      <c r="O96" s="854">
        <f>SUM(Results_Res!O96,Results_Out!O96,Results_Ind!O96,Results_Com!O96)</f>
        <v>1051.6749196626906</v>
      </c>
      <c r="P96" s="854">
        <f>SUM(Results_Res!P96,Results_Out!P96,Results_Ind!P96,Results_Com!P96)</f>
        <v>1066.9574904450806</v>
      </c>
      <c r="Q96" s="854">
        <f>SUM(Results_Res!Q96,Results_Out!Q96,Results_Ind!Q96,Results_Com!Q96)</f>
        <v>1081.285311279888</v>
      </c>
      <c r="R96" s="854">
        <f>SUM(Results_Res!R96,Results_Out!R96,Results_Ind!R96,Results_Com!R96)</f>
        <v>1094.7662968832115</v>
      </c>
      <c r="S96" s="854">
        <f>SUM(Results_Res!S96,Results_Out!S96,Results_Ind!S96,Results_Com!S96)</f>
        <v>1108.0687422242042</v>
      </c>
      <c r="T96" s="854">
        <f>SUM(Results_Res!T96,Results_Out!T96,Results_Ind!T96,Results_Com!T96)</f>
        <v>1121.4434612800544</v>
      </c>
      <c r="U96" s="854">
        <f>SUM(Results_Res!U96,Results_Out!U96,Results_Ind!U96,Results_Com!U96)</f>
        <v>1134.3840543270558</v>
      </c>
      <c r="V96" s="854">
        <f>SUM(Results_Res!V96,Results_Out!V96,Results_Ind!V96,Results_Com!V96)</f>
        <v>1146.9904622615013</v>
      </c>
      <c r="W96" s="854">
        <f>SUM(Results_Res!W96,Results_Out!W96,Results_Ind!W96,Results_Com!W96)</f>
        <v>1158.9060190472758</v>
      </c>
      <c r="X96" s="854">
        <f>SUM(Results_Res!X96,Results_Out!X96,Results_Ind!X96,Results_Com!X96)</f>
        <v>1171.0756050867217</v>
      </c>
      <c r="Y96" s="854">
        <f>SUM(Results_Res!Y96,Results_Out!Y96,Results_Ind!Y96,Results_Com!Y96)</f>
        <v>1183.6194657257911</v>
      </c>
      <c r="Z96" s="854">
        <f>SUM(Results_Res!Z96,Results_Out!Z96,Results_Ind!Z96,Results_Com!Z96)</f>
        <v>1196.1632827247704</v>
      </c>
      <c r="AA96" s="854">
        <f>SUM(Results_Res!AA96,Results_Out!AA96,Results_Ind!AA96,Results_Com!AA96)</f>
        <v>1208.3874212766809</v>
      </c>
      <c r="AB96" s="854">
        <f>SUM(Results_Res!AB96,Results_Out!AB96,Results_Ind!AB96,Results_Com!AB96)</f>
        <v>1220.4266463454026</v>
      </c>
      <c r="AC96" s="854">
        <f>SUM(Results_Res!AC96,Results_Out!AC96,Results_Ind!AC96,Results_Com!AC96)</f>
        <v>1232.39363149634</v>
      </c>
      <c r="AD96" s="854">
        <f>SUM(Results_Res!AD96,Results_Out!AD96,Results_Ind!AD96,Results_Com!AD96)</f>
        <v>1244.2899153021367</v>
      </c>
      <c r="AE96" s="854">
        <f>SUM(Results_Res!AE96,Results_Out!AE96,Results_Ind!AE96,Results_Com!AE96)</f>
        <v>1256.1141851477307</v>
      </c>
      <c r="AF96" s="854">
        <f>SUM(Results_Res!AF96,Results_Out!AF96,Results_Ind!AF96,Results_Com!AF96)</f>
        <v>1267.8647759872317</v>
      </c>
    </row>
    <row r="97" spans="1:32" s="864" customFormat="1" x14ac:dyDescent="0.25">
      <c r="A97" s="839"/>
      <c r="B97" s="839" t="s">
        <v>40</v>
      </c>
      <c r="C97" s="838"/>
      <c r="D97" s="838"/>
      <c r="E97" s="838"/>
      <c r="F97" s="838"/>
      <c r="G97" s="854">
        <f>SUM(Results_Res!G97,Results_Out!G97,Results_Ind!G97,Results_Com!G97)</f>
        <v>88.961487579169429</v>
      </c>
      <c r="H97" s="854">
        <f>SUM(Results_Res!H97,Results_Out!H97,Results_Ind!H97,Results_Com!H97)</f>
        <v>99.680607810617204</v>
      </c>
      <c r="I97" s="854">
        <f>SUM(Results_Res!I97,Results_Out!I97,Results_Ind!I97,Results_Com!I97)</f>
        <v>110.99468298655228</v>
      </c>
      <c r="J97" s="854">
        <f>SUM(Results_Res!J97,Results_Out!J97,Results_Ind!J97,Results_Com!J97)</f>
        <v>122.13819208635061</v>
      </c>
      <c r="K97" s="854">
        <f>SUM(Results_Res!K97,Results_Out!K97,Results_Ind!K97,Results_Com!K97)</f>
        <v>132.86627611327691</v>
      </c>
      <c r="L97" s="854">
        <f>SUM(Results_Res!L97,Results_Out!L97,Results_Ind!L97,Results_Com!L97)</f>
        <v>141.36225637047608</v>
      </c>
      <c r="M97" s="854">
        <f>SUM(Results_Res!M97,Results_Out!M97,Results_Ind!M97,Results_Com!M97)</f>
        <v>148.09004201855754</v>
      </c>
      <c r="N97" s="854">
        <f>SUM(Results_Res!N97,Results_Out!N97,Results_Ind!N97,Results_Com!N97)</f>
        <v>153.27417675648286</v>
      </c>
      <c r="O97" s="854">
        <f>SUM(Results_Res!O97,Results_Out!O97,Results_Ind!O97,Results_Com!O97)</f>
        <v>157.90426750961311</v>
      </c>
      <c r="P97" s="854">
        <f>SUM(Results_Res!P97,Results_Out!P97,Results_Ind!P97,Results_Com!P97)</f>
        <v>161.94604701283373</v>
      </c>
      <c r="Q97" s="854">
        <f>SUM(Results_Res!Q97,Results_Out!Q97,Results_Ind!Q97,Results_Com!Q97)</f>
        <v>165.66042520243369</v>
      </c>
      <c r="R97" s="854">
        <f>SUM(Results_Res!R97,Results_Out!R97,Results_Ind!R97,Results_Com!R97)</f>
        <v>168.96987151032184</v>
      </c>
      <c r="S97" s="854">
        <f>SUM(Results_Res!S97,Results_Out!S97,Results_Ind!S97,Results_Com!S97)</f>
        <v>172.00025920658607</v>
      </c>
      <c r="T97" s="854">
        <f>SUM(Results_Res!T97,Results_Out!T97,Results_Ind!T97,Results_Com!T97)</f>
        <v>174.816918365048</v>
      </c>
      <c r="U97" s="854">
        <f>SUM(Results_Res!U97,Results_Out!U97,Results_Ind!U97,Results_Com!U97)</f>
        <v>177.48035253223367</v>
      </c>
      <c r="V97" s="854">
        <f>SUM(Results_Res!V97,Results_Out!V97,Results_Ind!V97,Results_Com!V97)</f>
        <v>180.02148958868327</v>
      </c>
      <c r="W97" s="854">
        <f>SUM(Results_Res!W97,Results_Out!W97,Results_Ind!W97,Results_Com!W97)</f>
        <v>182.39268654361817</v>
      </c>
      <c r="X97" s="854">
        <f>SUM(Results_Res!X97,Results_Out!X97,Results_Ind!X97,Results_Com!X97)</f>
        <v>184.75295112889191</v>
      </c>
      <c r="Y97" s="854">
        <f>SUM(Results_Res!Y97,Results_Out!Y97,Results_Ind!Y97,Results_Com!Y97)</f>
        <v>187.13205967518965</v>
      </c>
      <c r="Z97" s="854">
        <f>SUM(Results_Res!Z97,Results_Out!Z97,Results_Ind!Z97,Results_Com!Z97)</f>
        <v>189.47490817657737</v>
      </c>
      <c r="AA97" s="854">
        <f>SUM(Results_Res!AA97,Results_Out!AA97,Results_Ind!AA97,Results_Com!AA97)</f>
        <v>191.73101156960604</v>
      </c>
      <c r="AB97" s="854">
        <f>SUM(Results_Res!AB97,Results_Out!AB97,Results_Ind!AB97,Results_Com!AB97)</f>
        <v>193.93058331741443</v>
      </c>
      <c r="AC97" s="854">
        <f>SUM(Results_Res!AC97,Results_Out!AC97,Results_Ind!AC97,Results_Com!AC97)</f>
        <v>196.09534267701653</v>
      </c>
      <c r="AD97" s="854">
        <f>SUM(Results_Res!AD97,Results_Out!AD97,Results_Ind!AD97,Results_Com!AD97)</f>
        <v>198.22488817740921</v>
      </c>
      <c r="AE97" s="854">
        <f>SUM(Results_Res!AE97,Results_Out!AE97,Results_Ind!AE97,Results_Com!AE97)</f>
        <v>200.32557400376797</v>
      </c>
      <c r="AF97" s="854">
        <f>SUM(Results_Res!AF97,Results_Out!AF97,Results_Ind!AF97,Results_Com!AF97)</f>
        <v>202.39589136859746</v>
      </c>
    </row>
    <row r="98" spans="1:32" s="864" customFormat="1" x14ac:dyDescent="0.25">
      <c r="A98" s="839"/>
      <c r="B98" s="839" t="s">
        <v>29</v>
      </c>
      <c r="C98" s="838"/>
      <c r="D98" s="838"/>
      <c r="E98" s="838"/>
      <c r="F98" s="838"/>
      <c r="G98" s="854">
        <f>SUM(Results_Res!G98,Results_Out!G98,Results_Ind!G98,Results_Com!G98)</f>
        <v>0</v>
      </c>
      <c r="H98" s="854">
        <f>SUM(Results_Res!H98,Results_Out!H98,Results_Ind!H98,Results_Com!H98)</f>
        <v>2.8259504685175134E-6</v>
      </c>
      <c r="I98" s="854">
        <f>SUM(Results_Res!I98,Results_Out!I98,Results_Ind!I98,Results_Com!I98)</f>
        <v>5.1148517661644223E-6</v>
      </c>
      <c r="J98" s="854">
        <f>SUM(Results_Res!J98,Results_Out!J98,Results_Ind!J98,Results_Com!J98)</f>
        <v>6.9469856949401097E-6</v>
      </c>
      <c r="K98" s="854">
        <f>SUM(Results_Res!K98,Results_Out!K98,Results_Ind!K98,Results_Com!K98)</f>
        <v>8.4288900237531578E-6</v>
      </c>
      <c r="L98" s="854">
        <f>SUM(Results_Res!L98,Results_Out!L98,Results_Ind!L98,Results_Com!L98)</f>
        <v>9.6752044645277433E-6</v>
      </c>
      <c r="M98" s="854">
        <f>SUM(Results_Res!M98,Results_Out!M98,Results_Ind!M98,Results_Com!M98)</f>
        <v>1.0703634182267048E-5</v>
      </c>
      <c r="N98" s="854">
        <f>SUM(Results_Res!N98,Results_Out!N98,Results_Ind!N98,Results_Com!N98)</f>
        <v>1.1569767722285845E-5</v>
      </c>
      <c r="O98" s="854">
        <f>SUM(Results_Res!O98,Results_Out!O98,Results_Ind!O98,Results_Com!O98)</f>
        <v>1.2318537543847901E-5</v>
      </c>
      <c r="P98" s="854">
        <f>SUM(Results_Res!P98,Results_Out!P98,Results_Ind!P98,Results_Com!P98)</f>
        <v>1.2924395513264147E-5</v>
      </c>
      <c r="Q98" s="854">
        <f>SUM(Results_Res!Q98,Results_Out!Q98,Results_Ind!Q98,Results_Com!Q98)</f>
        <v>1.3446348774060769E-5</v>
      </c>
      <c r="R98" s="854">
        <f>SUM(Results_Res!R98,Results_Out!R98,Results_Ind!R98,Results_Com!R98)</f>
        <v>1.3862160518981347E-5</v>
      </c>
      <c r="S98" s="854">
        <f>SUM(Results_Res!S98,Results_Out!S98,Results_Ind!S98,Results_Com!S98)</f>
        <v>1.4205068957931029E-5</v>
      </c>
      <c r="T98" s="854">
        <f>SUM(Results_Res!T98,Results_Out!T98,Results_Ind!T98,Results_Com!T98)</f>
        <v>1.4492704558979382E-5</v>
      </c>
      <c r="U98" s="854">
        <f>SUM(Results_Res!U98,Results_Out!U98,Results_Ind!U98,Results_Com!U98)</f>
        <v>1.4741520971340115E-5</v>
      </c>
      <c r="V98" s="854">
        <f>SUM(Results_Res!V98,Results_Out!V98,Results_Ind!V98,Results_Com!V98)</f>
        <v>1.4959216641017553E-5</v>
      </c>
      <c r="W98" s="854">
        <f>SUM(Results_Res!W98,Results_Out!W98,Results_Ind!W98,Results_Com!W98)</f>
        <v>1.513634157297965E-5</v>
      </c>
      <c r="X98" s="854">
        <f>SUM(Results_Res!X98,Results_Out!X98,Results_Ind!X98,Results_Com!X98)</f>
        <v>1.5314101123576116E-5</v>
      </c>
      <c r="Y98" s="854">
        <f>SUM(Results_Res!Y98,Results_Out!Y98,Results_Ind!Y98,Results_Com!Y98)</f>
        <v>1.5496671276297208E-5</v>
      </c>
      <c r="Z98" s="854">
        <f>SUM(Results_Res!Z98,Results_Out!Z98,Results_Ind!Z98,Results_Com!Z98)</f>
        <v>1.5669334114219065E-5</v>
      </c>
      <c r="AA98" s="854">
        <f>SUM(Results_Res!AA98,Results_Out!AA98,Results_Ind!AA98,Results_Com!AA98)</f>
        <v>1.5821814141714717E-5</v>
      </c>
      <c r="AB98" s="854">
        <f>SUM(Results_Res!AB98,Results_Out!AB98,Results_Ind!AB98,Results_Com!AB98)</f>
        <v>1.5962121110567187E-5</v>
      </c>
      <c r="AC98" s="854">
        <f>SUM(Results_Res!AC98,Results_Out!AC98,Results_Ind!AC98,Results_Com!AC98)</f>
        <v>1.6097008356920331E-5</v>
      </c>
      <c r="AD98" s="854">
        <f>SUM(Results_Res!AD98,Results_Out!AD98,Results_Ind!AD98,Results_Com!AD98)</f>
        <v>1.6227520443467692E-5</v>
      </c>
      <c r="AE98" s="854">
        <f>SUM(Results_Res!AE98,Results_Out!AE98,Results_Ind!AE98,Results_Com!AE98)</f>
        <v>1.6354450723443685E-5</v>
      </c>
      <c r="AF98" s="854">
        <f>SUM(Results_Res!AF98,Results_Out!AF98,Results_Ind!AF98,Results_Com!AF98)</f>
        <v>1.6478397261556086E-5</v>
      </c>
    </row>
    <row r="99" spans="1:32" s="864" customFormat="1" x14ac:dyDescent="0.25">
      <c r="A99" s="839"/>
      <c r="B99" s="839"/>
      <c r="C99" s="838"/>
      <c r="D99" s="838"/>
      <c r="E99" s="838"/>
      <c r="F99" s="838"/>
      <c r="G99" s="854"/>
      <c r="H99" s="838"/>
      <c r="I99" s="838"/>
      <c r="J99" s="838"/>
      <c r="K99" s="838"/>
      <c r="L99" s="838"/>
      <c r="M99" s="838"/>
      <c r="N99" s="838"/>
      <c r="O99" s="838"/>
      <c r="P99" s="838"/>
      <c r="Q99" s="838"/>
      <c r="R99" s="838"/>
      <c r="S99" s="838"/>
      <c r="T99" s="838"/>
      <c r="U99" s="838"/>
      <c r="V99" s="838"/>
      <c r="W99" s="838"/>
      <c r="X99" s="838"/>
      <c r="Y99" s="838"/>
      <c r="Z99" s="838"/>
      <c r="AA99" s="838"/>
      <c r="AB99" s="838"/>
      <c r="AC99" s="838"/>
      <c r="AD99" s="838"/>
      <c r="AE99" s="838"/>
      <c r="AF99" s="838"/>
    </row>
    <row r="100" spans="1:32" s="856" customFormat="1" ht="12.75" x14ac:dyDescent="0.2">
      <c r="A100" s="843" t="s">
        <v>42</v>
      </c>
      <c r="B100" s="843"/>
      <c r="C100" s="843"/>
      <c r="D100" s="843"/>
      <c r="E100" s="843"/>
      <c r="F100" s="843"/>
      <c r="G100" s="865"/>
      <c r="H100" s="843"/>
      <c r="I100" s="843"/>
      <c r="J100" s="843"/>
      <c r="K100" s="843"/>
      <c r="L100" s="843"/>
      <c r="M100" s="843"/>
      <c r="N100" s="843"/>
      <c r="O100" s="843"/>
      <c r="P100" s="843"/>
      <c r="Q100" s="843"/>
      <c r="R100" s="843"/>
      <c r="S100" s="843"/>
      <c r="T100" s="843"/>
      <c r="U100" s="843"/>
      <c r="V100" s="843"/>
      <c r="W100" s="843"/>
      <c r="X100" s="843"/>
      <c r="Y100" s="843"/>
      <c r="Z100" s="843"/>
      <c r="AA100" s="843"/>
      <c r="AB100" s="843"/>
      <c r="AC100" s="843"/>
      <c r="AD100" s="843"/>
      <c r="AE100" s="843"/>
      <c r="AF100" s="843"/>
    </row>
    <row r="101" spans="1:32" s="864" customFormat="1" x14ac:dyDescent="0.25">
      <c r="A101" s="839"/>
      <c r="B101" s="842" t="s">
        <v>43</v>
      </c>
      <c r="C101" s="838"/>
      <c r="D101" s="838"/>
      <c r="E101" s="838"/>
      <c r="F101" s="838"/>
      <c r="G101" s="854">
        <f>SUM(Results_Res!G101,Results_Out!G101,Results_Ind!G101,Results_Com!G101)</f>
        <v>45.629485627678598</v>
      </c>
      <c r="H101" s="854">
        <f>SUM(Results_Res!H101,Results_Out!H101,Results_Ind!H101,Results_Com!H101)</f>
        <v>40.925497255024979</v>
      </c>
      <c r="I101" s="854">
        <f>SUM(Results_Res!I101,Results_Out!I101,Results_Ind!I101,Results_Com!I101)</f>
        <v>36.794050748690559</v>
      </c>
      <c r="J101" s="854">
        <f>SUM(Results_Res!J101,Results_Out!J101,Results_Ind!J101,Results_Com!J101)</f>
        <v>33.160804496809668</v>
      </c>
      <c r="K101" s="854">
        <f>SUM(Results_Res!K101,Results_Out!K101,Results_Ind!K101,Results_Com!K101)</f>
        <v>29.962089159325828</v>
      </c>
      <c r="L101" s="854">
        <f>SUM(Results_Res!L101,Results_Out!L101,Results_Ind!L101,Results_Com!L101)</f>
        <v>27.144282729060013</v>
      </c>
      <c r="M101" s="854">
        <f>SUM(Results_Res!M101,Results_Out!M101,Results_Ind!M101,Results_Com!M101)</f>
        <v>24.658090310740334</v>
      </c>
      <c r="N101" s="854">
        <f>SUM(Results_Res!N101,Results_Out!N101,Results_Ind!N101,Results_Com!N101)</f>
        <v>22.464934692645851</v>
      </c>
      <c r="O101" s="854">
        <f>SUM(Results_Res!O101,Results_Out!O101,Results_Ind!O101,Results_Com!O101)</f>
        <v>20.532187927642617</v>
      </c>
      <c r="P101" s="854">
        <f>SUM(Results_Res!P101,Results_Out!P101,Results_Ind!P101,Results_Com!P101)</f>
        <v>18.825214643182882</v>
      </c>
      <c r="Q101" s="854">
        <f>SUM(Results_Res!Q101,Results_Out!Q101,Results_Ind!Q101,Results_Com!Q101)</f>
        <v>17.318427829388362</v>
      </c>
      <c r="R101" s="854">
        <f>SUM(Results_Res!R101,Results_Out!R101,Results_Ind!R101,Results_Com!R101)</f>
        <v>15.985305007246138</v>
      </c>
      <c r="S101" s="854">
        <f>SUM(Results_Res!S101,Results_Out!S101,Results_Ind!S101,Results_Com!S101)</f>
        <v>14.80563224590721</v>
      </c>
      <c r="T101" s="854">
        <f>SUM(Results_Res!T101,Results_Out!T101,Results_Ind!T101,Results_Com!T101)</f>
        <v>13.761226693288018</v>
      </c>
      <c r="U101" s="854">
        <f>SUM(Results_Res!U101,Results_Out!U101,Results_Ind!U101,Results_Com!U101)</f>
        <v>12.837868195059743</v>
      </c>
      <c r="V101" s="854">
        <f>SUM(Results_Res!V101,Results_Out!V101,Results_Ind!V101,Results_Com!V101)</f>
        <v>12.019503136504831</v>
      </c>
      <c r="W101" s="854">
        <f>SUM(Results_Res!W101,Results_Out!W101,Results_Ind!W101,Results_Com!W101)</f>
        <v>11.2939701915763</v>
      </c>
      <c r="X101" s="854">
        <f>SUM(Results_Res!X101,Results_Out!X101,Results_Ind!X101,Results_Com!X101)</f>
        <v>10.652175332326083</v>
      </c>
      <c r="Y101" s="854">
        <f>SUM(Results_Res!Y101,Results_Out!Y101,Results_Ind!Y101,Results_Com!Y101)</f>
        <v>10.085398945140092</v>
      </c>
      <c r="Z101" s="854">
        <f>SUM(Results_Res!Z101,Results_Out!Z101,Results_Ind!Z101,Results_Com!Z101)</f>
        <v>9.5837758679150102</v>
      </c>
      <c r="AA101" s="854">
        <f>SUM(Results_Res!AA101,Results_Out!AA101,Results_Ind!AA101,Results_Com!AA101)</f>
        <v>9.1373822914297094</v>
      </c>
      <c r="AB101" s="854">
        <f>SUM(Results_Res!AB101,Results_Out!AB101,Results_Ind!AB101,Results_Com!AB101)</f>
        <v>8.7415049903027739</v>
      </c>
      <c r="AC101" s="854">
        <f>SUM(Results_Res!AC101,Results_Out!AC101,Results_Ind!AC101,Results_Com!AC101)</f>
        <v>8.3903942710706279</v>
      </c>
      <c r="AD101" s="854">
        <f>SUM(Results_Res!AD101,Results_Out!AD101,Results_Ind!AD101,Results_Com!AD101)</f>
        <v>8.0786637487831445</v>
      </c>
      <c r="AE101" s="854">
        <f>SUM(Results_Res!AE101,Results_Out!AE101,Results_Ind!AE101,Results_Com!AE101)</f>
        <v>7.8014222477291817</v>
      </c>
      <c r="AF101" s="854">
        <f>SUM(Results_Res!AF101,Results_Out!AF101,Results_Ind!AF101,Results_Com!AF101)</f>
        <v>7.5551022447707217</v>
      </c>
    </row>
    <row r="102" spans="1:32" s="864" customFormat="1" x14ac:dyDescent="0.25">
      <c r="A102" s="839"/>
      <c r="B102" s="842" t="s">
        <v>44</v>
      </c>
      <c r="C102" s="838"/>
      <c r="D102" s="838"/>
      <c r="E102" s="838"/>
      <c r="F102" s="838"/>
      <c r="G102" s="854">
        <f>SUM(Results_Res!G102,Results_Out!G102,Results_Ind!G102,Results_Com!G102)</f>
        <v>498.53638686161014</v>
      </c>
      <c r="H102" s="854">
        <f>SUM(Results_Res!H102,Results_Out!H102,Results_Ind!H102,Results_Com!H102)</f>
        <v>553.8058358662538</v>
      </c>
      <c r="I102" s="854">
        <f>SUM(Results_Res!I102,Results_Out!I102,Results_Ind!I102,Results_Com!I102)</f>
        <v>608.04685019507122</v>
      </c>
      <c r="J102" s="854">
        <f>SUM(Results_Res!J102,Results_Out!J102,Results_Ind!J102,Results_Com!J102)</f>
        <v>657.60770319443884</v>
      </c>
      <c r="K102" s="854">
        <f>SUM(Results_Res!K102,Results_Out!K102,Results_Ind!K102,Results_Com!K102)</f>
        <v>702.49274730350157</v>
      </c>
      <c r="L102" s="854">
        <f>SUM(Results_Res!L102,Results_Out!L102,Results_Ind!L102,Results_Com!L102)</f>
        <v>743.39126179615744</v>
      </c>
      <c r="M102" s="854">
        <f>SUM(Results_Res!M102,Results_Out!M102,Results_Ind!M102,Results_Com!M102)</f>
        <v>779.88727498044727</v>
      </c>
      <c r="N102" s="854">
        <f>SUM(Results_Res!N102,Results_Out!N102,Results_Ind!N102,Results_Com!N102)</f>
        <v>813.34105266707729</v>
      </c>
      <c r="O102" s="854">
        <f>SUM(Results_Res!O102,Results_Out!O102,Results_Ind!O102,Results_Com!O102)</f>
        <v>845.33247248131238</v>
      </c>
      <c r="P102" s="854">
        <f>SUM(Results_Res!P102,Results_Out!P102,Results_Ind!P102,Results_Com!P102)</f>
        <v>874.83671897792897</v>
      </c>
      <c r="Q102" s="854">
        <f>SUM(Results_Res!Q102,Results_Out!Q102,Results_Ind!Q102,Results_Com!Q102)</f>
        <v>902.79205506132234</v>
      </c>
      <c r="R102" s="854">
        <f>SUM(Results_Res!R102,Results_Out!R102,Results_Ind!R102,Results_Com!R102)</f>
        <v>928.40473419800924</v>
      </c>
      <c r="S102" s="854">
        <f>SUM(Results_Res!S102,Results_Out!S102,Results_Ind!S102,Results_Com!S102)</f>
        <v>952.15114905554151</v>
      </c>
      <c r="T102" s="854">
        <f>SUM(Results_Res!T102,Results_Out!T102,Results_Ind!T102,Results_Com!T102)</f>
        <v>974.26571592304686</v>
      </c>
      <c r="U102" s="854">
        <f>SUM(Results_Res!U102,Results_Out!U102,Results_Ind!U102,Results_Com!U102)</f>
        <v>995.0242514932537</v>
      </c>
      <c r="V102" s="854">
        <f>SUM(Results_Res!V102,Results_Out!V102,Results_Ind!V102,Results_Com!V102)</f>
        <v>1014.5489967331831</v>
      </c>
      <c r="W102" s="854">
        <f>SUM(Results_Res!W102,Results_Out!W102,Results_Ind!W102,Results_Com!W102)</f>
        <v>1032.567359268819</v>
      </c>
      <c r="X102" s="854">
        <f>SUM(Results_Res!X102,Results_Out!X102,Results_Ind!X102,Results_Com!X102)</f>
        <v>1050.0264981975638</v>
      </c>
      <c r="Y102" s="854">
        <f>SUM(Results_Res!Y102,Results_Out!Y102,Results_Ind!Y102,Results_Com!Y102)</f>
        <v>1067.0845456158945</v>
      </c>
      <c r="Z102" s="854">
        <f>SUM(Results_Res!Z102,Results_Out!Z102,Results_Ind!Z102,Results_Com!Z102)</f>
        <v>1083.4610277756055</v>
      </c>
      <c r="AA102" s="854">
        <f>SUM(Results_Res!AA102,Results_Out!AA102,Results_Ind!AA102,Results_Com!AA102)</f>
        <v>1098.9354183345447</v>
      </c>
      <c r="AB102" s="854">
        <f>SUM(Results_Res!AB102,Results_Out!AB102,Results_Ind!AB102,Results_Com!AB102)</f>
        <v>1113.6647444825526</v>
      </c>
      <c r="AC102" s="854">
        <f>SUM(Results_Res!AC102,Results_Out!AC102,Results_Ind!AC102,Results_Com!AC102)</f>
        <v>1127.8308996961268</v>
      </c>
      <c r="AD102" s="854">
        <f>SUM(Results_Res!AD102,Results_Out!AD102,Results_Ind!AD102,Results_Com!AD102)</f>
        <v>1141.4898145681566</v>
      </c>
      <c r="AE102" s="854">
        <f>SUM(Results_Res!AE102,Results_Out!AE102,Results_Ind!AE102,Results_Com!AE102)</f>
        <v>1154.699460477945</v>
      </c>
      <c r="AF102" s="854">
        <f>SUM(Results_Res!AF102,Results_Out!AF102,Results_Ind!AF102,Results_Com!AF102)</f>
        <v>1167.4899535144364</v>
      </c>
    </row>
    <row r="103" spans="1:32" s="864" customFormat="1" x14ac:dyDescent="0.25">
      <c r="A103" s="839"/>
      <c r="B103" s="842" t="s">
        <v>45</v>
      </c>
      <c r="C103" s="838"/>
      <c r="D103" s="838"/>
      <c r="E103" s="838"/>
      <c r="F103" s="838"/>
      <c r="G103" s="854">
        <f>SUM(Results_Res!G103,Results_Out!G103,Results_Ind!G103,Results_Com!G103)</f>
        <v>323.80125029873096</v>
      </c>
      <c r="H103" s="854">
        <f>SUM(Results_Res!H103,Results_Out!H103,Results_Ind!H103,Results_Com!H103)</f>
        <v>289.35607012372913</v>
      </c>
      <c r="I103" s="854">
        <f>SUM(Results_Res!I103,Results_Out!I103,Results_Ind!I103,Results_Com!I103)</f>
        <v>258.80855231109194</v>
      </c>
      <c r="J103" s="854">
        <f>SUM(Results_Res!J103,Results_Out!J103,Results_Ind!J103,Results_Com!J103)</f>
        <v>231.69671179607104</v>
      </c>
      <c r="K103" s="854">
        <f>SUM(Results_Res!K103,Results_Out!K103,Results_Ind!K103,Results_Com!K103)</f>
        <v>207.61721805700716</v>
      </c>
      <c r="L103" s="854">
        <f>SUM(Results_Res!L103,Results_Out!L103,Results_Ind!L103,Results_Com!L103)</f>
        <v>186.2201688726542</v>
      </c>
      <c r="M103" s="854">
        <f>SUM(Results_Res!M103,Results_Out!M103,Results_Ind!M103,Results_Com!M103)</f>
        <v>167.19051257139171</v>
      </c>
      <c r="N103" s="854">
        <f>SUM(Results_Res!N103,Results_Out!N103,Results_Ind!N103,Results_Com!N103)</f>
        <v>150.26286377064463</v>
      </c>
      <c r="O103" s="854">
        <f>SUM(Results_Res!O103,Results_Out!O103,Results_Ind!O103,Results_Com!O103)</f>
        <v>135.2060214363043</v>
      </c>
      <c r="P103" s="854">
        <f>SUM(Results_Res!P103,Results_Out!P103,Results_Ind!P103,Results_Com!P103)</f>
        <v>121.79925920428886</v>
      </c>
      <c r="Q103" s="854">
        <f>SUM(Results_Res!Q103,Results_Out!Q103,Results_Ind!Q103,Results_Com!Q103)</f>
        <v>109.86066011492387</v>
      </c>
      <c r="R103" s="854">
        <f>SUM(Results_Res!R103,Results_Out!R103,Results_Ind!R103,Results_Com!R103)</f>
        <v>99.218307731364334</v>
      </c>
      <c r="S103" s="854">
        <f>SUM(Results_Res!S103,Results_Out!S103,Results_Ind!S103,Results_Com!S103)</f>
        <v>89.728517389570271</v>
      </c>
      <c r="T103" s="854">
        <f>SUM(Results_Res!T103,Results_Out!T103,Results_Ind!T103,Results_Com!T103)</f>
        <v>81.262969925276224</v>
      </c>
      <c r="U103" s="854">
        <f>SUM(Results_Res!U103,Results_Out!U103,Results_Ind!U103,Results_Com!U103)</f>
        <v>73.710634416859108</v>
      </c>
      <c r="V103" s="854">
        <f>SUM(Results_Res!V103,Results_Out!V103,Results_Ind!V103,Results_Com!V103)</f>
        <v>66.968132308446712</v>
      </c>
      <c r="W103" s="854">
        <f>SUM(Results_Res!W103,Results_Out!W103,Results_Ind!W103,Results_Com!W103)</f>
        <v>60.945054030280701</v>
      </c>
      <c r="X103" s="854">
        <f>SUM(Results_Res!X103,Results_Out!X103,Results_Ind!X103,Results_Com!X103)</f>
        <v>55.56764395531453</v>
      </c>
      <c r="Y103" s="854">
        <f>SUM(Results_Res!Y103,Results_Out!Y103,Results_Ind!Y103,Results_Com!Y103)</f>
        <v>50.781270209447271</v>
      </c>
      <c r="Z103" s="854">
        <f>SUM(Results_Res!Z103,Results_Out!Z103,Results_Ind!Z103,Results_Com!Z103)</f>
        <v>46.515742417990644</v>
      </c>
      <c r="AA103" s="854">
        <f>SUM(Results_Res!AA103,Results_Out!AA103,Results_Ind!AA103,Results_Com!AA103)</f>
        <v>42.696978532527886</v>
      </c>
      <c r="AB103" s="854">
        <f>SUM(Results_Res!AB103,Results_Out!AB103,Results_Ind!AB103,Results_Com!AB103)</f>
        <v>39.289233739874582</v>
      </c>
      <c r="AC103" s="854">
        <f>SUM(Results_Res!AC103,Results_Out!AC103,Results_Ind!AC103,Results_Com!AC103)</f>
        <v>36.24684453025715</v>
      </c>
      <c r="AD103" s="854">
        <f>SUM(Results_Res!AD103,Results_Out!AD103,Results_Ind!AD103,Results_Com!AD103)</f>
        <v>33.528666711188194</v>
      </c>
      <c r="AE103" s="854">
        <f>SUM(Results_Res!AE103,Results_Out!AE103,Results_Ind!AE103,Results_Com!AE103)</f>
        <v>31.091883343513551</v>
      </c>
      <c r="AF103" s="854">
        <f>SUM(Results_Res!AF103,Results_Out!AF103,Results_Ind!AF103,Results_Com!AF103)</f>
        <v>28.913280388113709</v>
      </c>
    </row>
    <row r="104" spans="1:32" s="864" customFormat="1" x14ac:dyDescent="0.25">
      <c r="A104" s="839"/>
      <c r="B104" s="842" t="s">
        <v>46</v>
      </c>
      <c r="C104" s="838"/>
      <c r="D104" s="838"/>
      <c r="E104" s="838"/>
      <c r="F104" s="838"/>
      <c r="G104" s="854">
        <f>SUM(Results_Res!G104,Results_Out!G104,Results_Ind!G104,Results_Com!G104)</f>
        <v>3.3403047175198326</v>
      </c>
      <c r="H104" s="854">
        <f>SUM(Results_Res!H104,Results_Out!H104,Results_Ind!H104,Results_Com!H104)</f>
        <v>2.9805776614915693</v>
      </c>
      <c r="I104" s="854">
        <f>SUM(Results_Res!I104,Results_Out!I104,Results_Ind!I104,Results_Com!I104)</f>
        <v>2.6609681387064317</v>
      </c>
      <c r="J104" s="854">
        <f>SUM(Results_Res!J104,Results_Out!J104,Results_Ind!J104,Results_Com!J104)</f>
        <v>2.3768414962632041</v>
      </c>
      <c r="K104" s="854">
        <f>SUM(Results_Res!K104,Results_Out!K104,Results_Ind!K104,Results_Com!K104)</f>
        <v>2.1241178152086442</v>
      </c>
      <c r="L104" s="854">
        <f>SUM(Results_Res!L104,Results_Out!L104,Results_Ind!L104,Results_Com!L104)</f>
        <v>1.8992031212609293</v>
      </c>
      <c r="M104" s="854">
        <f>SUM(Results_Res!M104,Results_Out!M104,Results_Ind!M104,Results_Com!M104)</f>
        <v>1.6989294311907956</v>
      </c>
      <c r="N104" s="854">
        <f>SUM(Results_Res!N104,Results_Out!N104,Results_Ind!N104,Results_Com!N104)</f>
        <v>1.5205024597135184</v>
      </c>
      <c r="O104" s="854">
        <f>SUM(Results_Res!O104,Results_Out!O104,Results_Ind!O104,Results_Com!O104)</f>
        <v>1.3614559735091363</v>
      </c>
      <c r="P104" s="854">
        <f>SUM(Results_Res!P104,Results_Out!P104,Results_Ind!P104,Results_Com!P104)</f>
        <v>1.2196119177185281</v>
      </c>
      <c r="Q104" s="854">
        <f>SUM(Results_Res!Q104,Results_Out!Q104,Results_Ind!Q104,Results_Com!Q104)</f>
        <v>1.0930455593497297</v>
      </c>
      <c r="R104" s="854">
        <f>SUM(Results_Res!R104,Results_Out!R104,Results_Ind!R104,Results_Com!R104)</f>
        <v>0.98005499434726662</v>
      </c>
      <c r="S104" s="854">
        <f>SUM(Results_Res!S104,Results_Out!S104,Results_Ind!S104,Results_Com!S104)</f>
        <v>0.8791344530677222</v>
      </c>
      <c r="T104" s="854">
        <f>SUM(Results_Res!T104,Results_Out!T104,Results_Ind!T104,Results_Com!T104)</f>
        <v>0.78895091464068057</v>
      </c>
      <c r="U104" s="854">
        <f>SUM(Results_Res!U104,Results_Out!U104,Results_Ind!U104,Results_Com!U104)</f>
        <v>0.70832360593931432</v>
      </c>
      <c r="V104" s="854">
        <f>SUM(Results_Res!V104,Results_Out!V104,Results_Ind!V104,Results_Com!V104)</f>
        <v>0.6362060171406505</v>
      </c>
      <c r="W104" s="854">
        <f>SUM(Results_Res!W104,Results_Out!W104,Results_Ind!W104,Results_Com!W104)</f>
        <v>0.57167011440156956</v>
      </c>
      <c r="X104" s="854">
        <f>SUM(Results_Res!X104,Results_Out!X104,Results_Ind!X104,Results_Com!X104)</f>
        <v>0.51389247210439115</v>
      </c>
      <c r="Y104" s="854">
        <f>SUM(Results_Res!Y104,Results_Out!Y104,Results_Ind!Y104,Results_Com!Y104)</f>
        <v>0.4623148018594706</v>
      </c>
      <c r="Z104" s="854">
        <f>SUM(Results_Res!Z104,Results_Out!Z104,Results_Ind!Z104,Results_Com!Z104)</f>
        <v>0.41622971658963726</v>
      </c>
      <c r="AA104" s="854">
        <f>SUM(Results_Res!AA104,Results_Out!AA104,Results_Ind!AA104,Results_Com!AA104)</f>
        <v>0.37488312685854824</v>
      </c>
      <c r="AB104" s="854">
        <f>SUM(Results_Res!AB104,Results_Out!AB104,Results_Ind!AB104,Results_Com!AB104)</f>
        <v>0.3378939238265995</v>
      </c>
      <c r="AC104" s="854">
        <f>SUM(Results_Res!AC104,Results_Out!AC104,Results_Ind!AC104,Results_Com!AC104)</f>
        <v>0.3047739783747051</v>
      </c>
      <c r="AD104" s="854">
        <f>SUM(Results_Res!AD104,Results_Out!AD104,Results_Ind!AD104,Results_Com!AD104)</f>
        <v>0.27509049310654476</v>
      </c>
      <c r="AE104" s="854">
        <f>SUM(Results_Res!AE104,Results_Out!AE104,Results_Ind!AE104,Results_Com!AE104)</f>
        <v>0.24838785119640192</v>
      </c>
      <c r="AF104" s="854">
        <f>SUM(Results_Res!AF104,Results_Out!AF104,Results_Ind!AF104,Results_Com!AF104)</f>
        <v>0.22442844227910921</v>
      </c>
    </row>
    <row r="105" spans="1:32" s="864" customFormat="1" x14ac:dyDescent="0.25">
      <c r="A105" s="839"/>
      <c r="B105" s="839" t="s">
        <v>29</v>
      </c>
      <c r="C105" s="838"/>
      <c r="D105" s="838"/>
      <c r="E105" s="838"/>
      <c r="F105" s="838"/>
      <c r="G105" s="854">
        <f>SUM(Results_Res!G105,Results_Out!G105,Results_Ind!G105,Results_Com!G105)</f>
        <v>0</v>
      </c>
      <c r="H105" s="854">
        <f>SUM(Results_Res!H105,Results_Out!H105,Results_Ind!H105,Results_Com!H105)</f>
        <v>0.72970981887024577</v>
      </c>
      <c r="I105" s="854">
        <f>SUM(Results_Res!I105,Results_Out!I105,Results_Ind!I105,Results_Com!I105)</f>
        <v>1.270321115162806</v>
      </c>
      <c r="J105" s="854">
        <f>SUM(Results_Res!J105,Results_Out!J105,Results_Ind!J105,Results_Com!J105)</f>
        <v>1.6678164646277607</v>
      </c>
      <c r="K105" s="854">
        <f>SUM(Results_Res!K105,Results_Out!K105,Results_Ind!K105,Results_Com!K105)</f>
        <v>1.9574422793445121</v>
      </c>
      <c r="L105" s="854">
        <f>SUM(Results_Res!L105,Results_Out!L105,Results_Ind!L105,Results_Com!L105)</f>
        <v>2.1673682825414637</v>
      </c>
      <c r="M105" s="854">
        <f>SUM(Results_Res!M105,Results_Out!M105,Results_Ind!M105,Results_Com!M105)</f>
        <v>2.3156363249417575</v>
      </c>
      <c r="N105" s="854">
        <f>SUM(Results_Res!N105,Results_Out!N105,Results_Ind!N105,Results_Com!N105)</f>
        <v>2.4205579979015392</v>
      </c>
      <c r="O105" s="854">
        <f>SUM(Results_Res!O105,Results_Out!O105,Results_Ind!O105,Results_Com!O105)</f>
        <v>2.4967512606101163</v>
      </c>
      <c r="P105" s="854">
        <f>SUM(Results_Res!P105,Results_Out!P105,Results_Ind!P105,Results_Com!P105)</f>
        <v>2.5482271561378811</v>
      </c>
      <c r="Q105" s="854">
        <f>SUM(Results_Res!Q105,Results_Out!Q105,Results_Ind!Q105,Results_Com!Q105)</f>
        <v>2.5832008246072826</v>
      </c>
      <c r="R105" s="854">
        <f>SUM(Results_Res!R105,Results_Out!R105,Results_Ind!R105,Results_Com!R105)</f>
        <v>2.603207561832209</v>
      </c>
      <c r="S105" s="854">
        <f>SUM(Results_Res!S105,Results_Out!S105,Results_Ind!S105,Results_Com!S105)</f>
        <v>2.6127641992873194</v>
      </c>
      <c r="T105" s="854">
        <f>SUM(Results_Res!T105,Results_Out!T105,Results_Ind!T105,Results_Com!T105)</f>
        <v>2.6146976736686778</v>
      </c>
      <c r="U105" s="854">
        <f>SUM(Results_Res!U105,Results_Out!U105,Results_Ind!U105,Results_Com!U105)</f>
        <v>2.6092597720703101</v>
      </c>
      <c r="V105" s="854">
        <f>SUM(Results_Res!V105,Results_Out!V105,Results_Ind!V105,Results_Com!V105)</f>
        <v>2.6004552296705916</v>
      </c>
      <c r="W105" s="854">
        <f>SUM(Results_Res!W105,Results_Out!W105,Results_Ind!W105,Results_Com!W105)</f>
        <v>2.5861665952676427</v>
      </c>
      <c r="X105" s="854">
        <f>SUM(Results_Res!X105,Results_Out!X105,Results_Ind!X105,Results_Com!X105)</f>
        <v>2.5702018772289379</v>
      </c>
      <c r="Y105" s="854">
        <f>SUM(Results_Res!Y105,Results_Out!Y105,Results_Ind!Y105,Results_Com!Y105)</f>
        <v>2.553449924659192</v>
      </c>
      <c r="Z105" s="854">
        <f>SUM(Results_Res!Z105,Results_Out!Z105,Results_Ind!Z105,Results_Com!Z105)</f>
        <v>2.5353677222262614</v>
      </c>
      <c r="AA105" s="854">
        <f>SUM(Results_Res!AA105,Results_Out!AA105,Results_Ind!AA105,Results_Com!AA105)</f>
        <v>2.5173088650821032</v>
      </c>
      <c r="AB105" s="854">
        <f>SUM(Results_Res!AB105,Results_Out!AB105,Results_Ind!AB105,Results_Com!AB105)</f>
        <v>2.4978928788800934</v>
      </c>
      <c r="AC105" s="854">
        <f>SUM(Results_Res!AC105,Results_Out!AC105,Results_Ind!AC105,Results_Com!AC105)</f>
        <v>2.4779161651705661</v>
      </c>
      <c r="AD105" s="854">
        <f>SUM(Results_Res!AD105,Results_Out!AD105,Results_Ind!AD105,Results_Com!AD105)</f>
        <v>2.4576762578893434</v>
      </c>
      <c r="AE105" s="854">
        <f>SUM(Results_Res!AE105,Results_Out!AE105,Results_Ind!AE105,Results_Com!AE105)</f>
        <v>2.4374355112246979</v>
      </c>
      <c r="AF105" s="854">
        <f>SUM(Results_Res!AF105,Results_Out!AF105,Results_Ind!AF105,Results_Com!AF105)</f>
        <v>2.4172872188615599</v>
      </c>
    </row>
    <row r="106" spans="1:32" s="864" customFormat="1" x14ac:dyDescent="0.25">
      <c r="A106" s="839"/>
      <c r="B106" s="839"/>
      <c r="C106" s="838"/>
      <c r="D106" s="838"/>
      <c r="E106" s="838"/>
      <c r="F106" s="838"/>
      <c r="G106" s="854"/>
      <c r="H106" s="838"/>
      <c r="I106" s="838"/>
      <c r="J106" s="838"/>
      <c r="K106" s="838"/>
      <c r="L106" s="838"/>
      <c r="M106" s="838"/>
      <c r="N106" s="838"/>
      <c r="O106" s="838"/>
      <c r="P106" s="838"/>
      <c r="Q106" s="838"/>
      <c r="R106" s="838"/>
      <c r="S106" s="838"/>
      <c r="T106" s="838"/>
      <c r="U106" s="838"/>
      <c r="V106" s="838"/>
      <c r="W106" s="838"/>
      <c r="X106" s="838"/>
      <c r="Y106" s="838"/>
      <c r="Z106" s="838"/>
      <c r="AA106" s="838"/>
      <c r="AB106" s="838"/>
      <c r="AC106" s="838"/>
      <c r="AD106" s="838"/>
      <c r="AE106" s="838"/>
      <c r="AF106" s="838"/>
    </row>
    <row r="107" spans="1:32" s="856" customFormat="1" ht="12.75" x14ac:dyDescent="0.2">
      <c r="A107" s="843" t="s">
        <v>47</v>
      </c>
      <c r="B107" s="843"/>
      <c r="C107" s="843"/>
      <c r="D107" s="843"/>
      <c r="E107" s="843"/>
      <c r="F107" s="843"/>
      <c r="G107" s="865"/>
      <c r="H107" s="843"/>
      <c r="I107" s="843"/>
      <c r="J107" s="843"/>
      <c r="K107" s="843"/>
      <c r="L107" s="843"/>
      <c r="M107" s="843"/>
      <c r="N107" s="843"/>
      <c r="O107" s="843"/>
      <c r="P107" s="843"/>
      <c r="Q107" s="843"/>
      <c r="R107" s="843"/>
      <c r="S107" s="843"/>
      <c r="T107" s="843"/>
      <c r="U107" s="843"/>
      <c r="V107" s="843"/>
      <c r="W107" s="843"/>
      <c r="X107" s="843"/>
      <c r="Y107" s="843"/>
      <c r="Z107" s="843"/>
      <c r="AA107" s="843"/>
      <c r="AB107" s="843"/>
      <c r="AC107" s="843"/>
      <c r="AD107" s="843"/>
      <c r="AE107" s="843"/>
      <c r="AF107" s="843"/>
    </row>
    <row r="108" spans="1:32" s="864" customFormat="1" x14ac:dyDescent="0.25">
      <c r="A108" s="839"/>
      <c r="B108" s="839" t="s">
        <v>48</v>
      </c>
      <c r="C108" s="838"/>
      <c r="D108" s="838"/>
      <c r="E108" s="838"/>
      <c r="F108" s="838"/>
      <c r="G108" s="854">
        <f>SUM(Results_Res!G108,Results_Out!G108,Results_Ind!G108,Results_Com!G108)</f>
        <v>202.88110681939065</v>
      </c>
      <c r="H108" s="854">
        <f>SUM(Results_Res!H108,Results_Out!H108,Results_Ind!H108,Results_Com!H108)</f>
        <v>186.46364912240591</v>
      </c>
      <c r="I108" s="854">
        <f>SUM(Results_Res!I108,Results_Out!I108,Results_Ind!I108,Results_Com!I108)</f>
        <v>186.16697661514402</v>
      </c>
      <c r="J108" s="854">
        <f>SUM(Results_Res!J108,Results_Out!J108,Results_Ind!J108,Results_Com!J108)</f>
        <v>186.38953879532863</v>
      </c>
      <c r="K108" s="854">
        <f>SUM(Results_Res!K108,Results_Out!K108,Results_Ind!K108,Results_Com!K108)</f>
        <v>186.76903806918472</v>
      </c>
      <c r="L108" s="854">
        <f>SUM(Results_Res!L108,Results_Out!L108,Results_Ind!L108,Results_Com!L108)</f>
        <v>188.57941815165447</v>
      </c>
      <c r="M108" s="854">
        <f>SUM(Results_Res!M108,Results_Out!M108,Results_Ind!M108,Results_Com!M108)</f>
        <v>191.76173994077882</v>
      </c>
      <c r="N108" s="854">
        <f>SUM(Results_Res!N108,Results_Out!N108,Results_Ind!N108,Results_Com!N108)</f>
        <v>194.86888750925658</v>
      </c>
      <c r="O108" s="854">
        <f>SUM(Results_Res!O108,Results_Out!O108,Results_Ind!O108,Results_Com!O108)</f>
        <v>197.91457833549754</v>
      </c>
      <c r="P108" s="854">
        <f>SUM(Results_Res!P108,Results_Out!P108,Results_Ind!P108,Results_Com!P108)</f>
        <v>200.90639177172304</v>
      </c>
      <c r="Q108" s="854">
        <f>SUM(Results_Res!Q108,Results_Out!Q108,Results_Ind!Q108,Results_Com!Q108)</f>
        <v>203.84223130965324</v>
      </c>
      <c r="R108" s="854">
        <f>SUM(Results_Res!R108,Results_Out!R108,Results_Ind!R108,Results_Com!R108)</f>
        <v>206.6767897198672</v>
      </c>
      <c r="S108" s="854">
        <f>SUM(Results_Res!S108,Results_Out!S108,Results_Ind!S108,Results_Com!S108)</f>
        <v>209.46833628549675</v>
      </c>
      <c r="T108" s="854">
        <f>SUM(Results_Res!T108,Results_Out!T108,Results_Ind!T108,Results_Com!T108)</f>
        <v>212.20976129569934</v>
      </c>
      <c r="U108" s="854">
        <f>SUM(Results_Res!U108,Results_Out!U108,Results_Ind!U108,Results_Com!U108)</f>
        <v>214.89448105855473</v>
      </c>
      <c r="V108" s="854">
        <f>SUM(Results_Res!V108,Results_Out!V108,Results_Ind!V108,Results_Com!V108)</f>
        <v>217.54735689947884</v>
      </c>
      <c r="W108" s="854">
        <f>SUM(Results_Res!W108,Results_Out!W108,Results_Ind!W108,Results_Com!W108)</f>
        <v>220.14052446987193</v>
      </c>
      <c r="X108" s="854">
        <f>SUM(Results_Res!X108,Results_Out!X108,Results_Ind!X108,Results_Com!X108)</f>
        <v>222.64641123752048</v>
      </c>
      <c r="Y108" s="854">
        <f>SUM(Results_Res!Y108,Results_Out!Y108,Results_Ind!Y108,Results_Com!Y108)</f>
        <v>225.04894577556308</v>
      </c>
      <c r="Z108" s="854">
        <f>SUM(Results_Res!Z108,Results_Out!Z108,Results_Ind!Z108,Results_Com!Z108)</f>
        <v>227.37140255354655</v>
      </c>
      <c r="AA108" s="854">
        <f>SUM(Results_Res!AA108,Results_Out!AA108,Results_Ind!AA108,Results_Com!AA108)</f>
        <v>229.64757927368831</v>
      </c>
      <c r="AB108" s="854">
        <f>SUM(Results_Res!AB108,Results_Out!AB108,Results_Ind!AB108,Results_Com!AB108)</f>
        <v>231.9282350981149</v>
      </c>
      <c r="AC108" s="854">
        <f>SUM(Results_Res!AC108,Results_Out!AC108,Results_Ind!AC108,Results_Com!AC108)</f>
        <v>234.13671210251903</v>
      </c>
      <c r="AD108" s="854">
        <f>SUM(Results_Res!AD108,Results_Out!AD108,Results_Ind!AD108,Results_Com!AD108)</f>
        <v>236.2703821399341</v>
      </c>
      <c r="AE108" s="854">
        <f>SUM(Results_Res!AE108,Results_Out!AE108,Results_Ind!AE108,Results_Com!AE108)</f>
        <v>238.32668484910303</v>
      </c>
      <c r="AF108" s="854">
        <f>SUM(Results_Res!AF108,Results_Out!AF108,Results_Ind!AF108,Results_Com!AF108)</f>
        <v>240.30313264644602</v>
      </c>
    </row>
    <row r="109" spans="1:32" s="864" customFormat="1" x14ac:dyDescent="0.25">
      <c r="A109" s="839"/>
      <c r="B109" s="842" t="s">
        <v>50</v>
      </c>
      <c r="C109" s="838"/>
      <c r="D109" s="838"/>
      <c r="E109" s="838"/>
      <c r="F109" s="838"/>
      <c r="G109" s="854">
        <f>SUM(Results_Res!G109,Results_Out!G109,Results_Ind!G109,Results_Com!G109)</f>
        <v>72.927586386896309</v>
      </c>
      <c r="H109" s="854">
        <f>SUM(Results_Res!H109,Results_Out!H109,Results_Ind!H109,Results_Com!H109)</f>
        <v>70.58399317786504</v>
      </c>
      <c r="I109" s="854">
        <f>SUM(Results_Res!I109,Results_Out!I109,Results_Ind!I109,Results_Com!I109)</f>
        <v>69.557884205497814</v>
      </c>
      <c r="J109" s="854">
        <f>SUM(Results_Res!J109,Results_Out!J109,Results_Ind!J109,Results_Com!J109)</f>
        <v>69.242263088988295</v>
      </c>
      <c r="K109" s="854">
        <f>SUM(Results_Res!K109,Results_Out!K109,Results_Ind!K109,Results_Com!K109)</f>
        <v>69.284371375212771</v>
      </c>
      <c r="L109" s="854">
        <f>SUM(Results_Res!L109,Results_Out!L109,Results_Ind!L109,Results_Com!L109)</f>
        <v>69.537869797131904</v>
      </c>
      <c r="M109" s="854">
        <f>SUM(Results_Res!M109,Results_Out!M109,Results_Ind!M109,Results_Com!M109)</f>
        <v>69.859436822710592</v>
      </c>
      <c r="N109" s="854">
        <f>SUM(Results_Res!N109,Results_Out!N109,Results_Ind!N109,Results_Com!N109)</f>
        <v>70.238737665370536</v>
      </c>
      <c r="O109" s="854">
        <f>SUM(Results_Res!O109,Results_Out!O109,Results_Ind!O109,Results_Com!O109)</f>
        <v>70.708615880312379</v>
      </c>
      <c r="P109" s="854">
        <f>SUM(Results_Res!P109,Results_Out!P109,Results_Ind!P109,Results_Com!P109)</f>
        <v>71.184957043187211</v>
      </c>
      <c r="Q109" s="854">
        <f>SUM(Results_Res!Q109,Results_Out!Q109,Results_Ind!Q109,Results_Com!Q109)</f>
        <v>71.690472308366068</v>
      </c>
      <c r="R109" s="854">
        <f>SUM(Results_Res!R109,Results_Out!R109,Results_Ind!R109,Results_Com!R109)</f>
        <v>72.162748956617506</v>
      </c>
      <c r="S109" s="854">
        <f>SUM(Results_Res!S109,Results_Out!S109,Results_Ind!S109,Results_Com!S109)</f>
        <v>72.620716168226792</v>
      </c>
      <c r="T109" s="854">
        <f>SUM(Results_Res!T109,Results_Out!T109,Results_Ind!T109,Results_Com!T109)</f>
        <v>73.064319965091727</v>
      </c>
      <c r="U109" s="854">
        <f>SUM(Results_Res!U109,Results_Out!U109,Results_Ind!U109,Results_Com!U109)</f>
        <v>73.497082185313872</v>
      </c>
      <c r="V109" s="854">
        <f>SUM(Results_Res!V109,Results_Out!V109,Results_Ind!V109,Results_Com!V109)</f>
        <v>73.921170538590047</v>
      </c>
      <c r="W109" s="854">
        <f>SUM(Results_Res!W109,Results_Out!W109,Results_Ind!W109,Results_Com!W109)</f>
        <v>74.314416030577803</v>
      </c>
      <c r="X109" s="854">
        <f>SUM(Results_Res!X109,Results_Out!X109,Results_Ind!X109,Results_Com!X109)</f>
        <v>74.709976249177203</v>
      </c>
      <c r="Y109" s="854">
        <f>SUM(Results_Res!Y109,Results_Out!Y109,Results_Ind!Y109,Results_Com!Y109)</f>
        <v>75.107996315784135</v>
      </c>
      <c r="Z109" s="854">
        <f>SUM(Results_Res!Z109,Results_Out!Z109,Results_Ind!Z109,Results_Com!Z109)</f>
        <v>75.494920612286847</v>
      </c>
      <c r="AA109" s="854">
        <f>SUM(Results_Res!AA109,Results_Out!AA109,Results_Ind!AA109,Results_Com!AA109)</f>
        <v>75.862170740495557</v>
      </c>
      <c r="AB109" s="854">
        <f>SUM(Results_Res!AB109,Results_Out!AB109,Results_Ind!AB109,Results_Com!AB109)</f>
        <v>76.222234283634066</v>
      </c>
      <c r="AC109" s="854">
        <f>SUM(Results_Res!AC109,Results_Out!AC109,Results_Ind!AC109,Results_Com!AC109)</f>
        <v>76.56846460117184</v>
      </c>
      <c r="AD109" s="854">
        <f>SUM(Results_Res!AD109,Results_Out!AD109,Results_Ind!AD109,Results_Com!AD109)</f>
        <v>76.900376804259977</v>
      </c>
      <c r="AE109" s="854">
        <f>SUM(Results_Res!AE109,Results_Out!AE109,Results_Ind!AE109,Results_Com!AE109)</f>
        <v>77.21749405966429</v>
      </c>
      <c r="AF109" s="854">
        <f>SUM(Results_Res!AF109,Results_Out!AF109,Results_Ind!AF109,Results_Com!AF109)</f>
        <v>77.519347429859977</v>
      </c>
    </row>
    <row r="110" spans="1:32" s="864" customFormat="1" x14ac:dyDescent="0.25">
      <c r="A110" s="839"/>
      <c r="B110" s="839" t="s">
        <v>51</v>
      </c>
      <c r="C110" s="838"/>
      <c r="D110" s="838"/>
      <c r="E110" s="838"/>
      <c r="F110" s="838"/>
      <c r="G110" s="854">
        <f>SUM(Results_Res!G110,Results_Out!G110,Results_Ind!G110,Results_Com!G110)</f>
        <v>50.960521125859344</v>
      </c>
      <c r="H110" s="854">
        <f>SUM(Results_Res!H110,Results_Out!H110,Results_Ind!H110,Results_Com!H110)</f>
        <v>51.163343894856695</v>
      </c>
      <c r="I110" s="854">
        <f>SUM(Results_Res!I110,Results_Out!I110,Results_Ind!I110,Results_Com!I110)</f>
        <v>51.429873754031973</v>
      </c>
      <c r="J110" s="854">
        <f>SUM(Results_Res!J110,Results_Out!J110,Results_Ind!J110,Results_Com!J110)</f>
        <v>51.701385367859373</v>
      </c>
      <c r="K110" s="854">
        <f>SUM(Results_Res!K110,Results_Out!K110,Results_Ind!K110,Results_Com!K110)</f>
        <v>51.943343761299772</v>
      </c>
      <c r="L110" s="854">
        <f>SUM(Results_Res!L110,Results_Out!L110,Results_Ind!L110,Results_Com!L110)</f>
        <v>52.170979280765579</v>
      </c>
      <c r="M110" s="854">
        <f>SUM(Results_Res!M110,Results_Out!M110,Results_Ind!M110,Results_Com!M110)</f>
        <v>52.340455737081285</v>
      </c>
      <c r="N110" s="854">
        <f>SUM(Results_Res!N110,Results_Out!N110,Results_Ind!N110,Results_Com!N110)</f>
        <v>52.501057727574889</v>
      </c>
      <c r="O110" s="854">
        <f>SUM(Results_Res!O110,Results_Out!O110,Results_Ind!O110,Results_Com!O110)</f>
        <v>52.715526831989258</v>
      </c>
      <c r="P110" s="854">
        <f>SUM(Results_Res!P110,Results_Out!P110,Results_Ind!P110,Results_Com!P110)</f>
        <v>52.916648866326462</v>
      </c>
      <c r="Q110" s="854">
        <f>SUM(Results_Res!Q110,Results_Out!Q110,Results_Ind!Q110,Results_Com!Q110)</f>
        <v>53.137428158804795</v>
      </c>
      <c r="R110" s="854">
        <f>SUM(Results_Res!R110,Results_Out!R110,Results_Ind!R110,Results_Com!R110)</f>
        <v>53.325403489337674</v>
      </c>
      <c r="S110" s="854">
        <f>SUM(Results_Res!S110,Results_Out!S110,Results_Ind!S110,Results_Com!S110)</f>
        <v>53.496725127571715</v>
      </c>
      <c r="T110" s="854">
        <f>SUM(Results_Res!T110,Results_Out!T110,Results_Ind!T110,Results_Com!T110)</f>
        <v>53.653846260075213</v>
      </c>
      <c r="U110" s="854">
        <f>SUM(Results_Res!U110,Results_Out!U110,Results_Ind!U110,Results_Com!U110)</f>
        <v>53.802043992761483</v>
      </c>
      <c r="V110" s="854">
        <f>SUM(Results_Res!V110,Results_Out!V110,Results_Ind!V110,Results_Com!V110)</f>
        <v>53.941451560267581</v>
      </c>
      <c r="W110" s="854">
        <f>SUM(Results_Res!W110,Results_Out!W110,Results_Ind!W110,Results_Com!W110)</f>
        <v>54.052804709826077</v>
      </c>
      <c r="X110" s="854">
        <f>SUM(Results_Res!X110,Results_Out!X110,Results_Ind!X110,Results_Com!X110)</f>
        <v>54.17305272276657</v>
      </c>
      <c r="Y110" s="854">
        <f>SUM(Results_Res!Y110,Results_Out!Y110,Results_Ind!Y110,Results_Com!Y110)</f>
        <v>54.304382683847621</v>
      </c>
      <c r="Z110" s="854">
        <f>SUM(Results_Res!Z110,Results_Out!Z110,Results_Ind!Z110,Results_Com!Z110)</f>
        <v>54.43060996410663</v>
      </c>
      <c r="AA110" s="854">
        <f>SUM(Results_Res!AA110,Results_Out!AA110,Results_Ind!AA110,Results_Com!AA110)</f>
        <v>54.539291449707456</v>
      </c>
      <c r="AB110" s="854">
        <f>SUM(Results_Res!AB110,Results_Out!AB110,Results_Ind!AB110,Results_Com!AB110)</f>
        <v>54.637560945152636</v>
      </c>
      <c r="AC110" s="854">
        <f>SUM(Results_Res!AC110,Results_Out!AC110,Results_Ind!AC110,Results_Com!AC110)</f>
        <v>54.727136614719853</v>
      </c>
      <c r="AD110" s="854">
        <f>SUM(Results_Res!AD110,Results_Out!AD110,Results_Ind!AD110,Results_Com!AD110)</f>
        <v>54.80787537580774</v>
      </c>
      <c r="AE110" s="854">
        <f>SUM(Results_Res!AE110,Results_Out!AE110,Results_Ind!AE110,Results_Com!AE110)</f>
        <v>54.879637637188409</v>
      </c>
      <c r="AF110" s="854">
        <f>SUM(Results_Res!AF110,Results_Out!AF110,Results_Ind!AF110,Results_Com!AF110)</f>
        <v>54.942287580555153</v>
      </c>
    </row>
    <row r="111" spans="1:32" s="864" customFormat="1" x14ac:dyDescent="0.25">
      <c r="A111" s="839"/>
      <c r="B111" s="839" t="s">
        <v>52</v>
      </c>
      <c r="C111" s="838"/>
      <c r="D111" s="838"/>
      <c r="E111" s="838"/>
      <c r="F111" s="838"/>
      <c r="G111" s="854">
        <f>SUM(Results_Res!G111,Results_Out!G111,Results_Ind!G111,Results_Com!G111)</f>
        <v>50.359866567330677</v>
      </c>
      <c r="H111" s="854">
        <f>SUM(Results_Res!H111,Results_Out!H111,Results_Ind!H111,Results_Com!H111)</f>
        <v>50.999913746508703</v>
      </c>
      <c r="I111" s="854">
        <f>SUM(Results_Res!I111,Results_Out!I111,Results_Ind!I111,Results_Com!I111)</f>
        <v>51.708631563007074</v>
      </c>
      <c r="J111" s="854">
        <f>SUM(Results_Res!J111,Results_Out!J111,Results_Ind!J111,Results_Com!J111)</f>
        <v>52.430557916583268</v>
      </c>
      <c r="K111" s="854">
        <f>SUM(Results_Res!K111,Results_Out!K111,Results_Ind!K111,Results_Com!K111)</f>
        <v>53.129802393300878</v>
      </c>
      <c r="L111" s="854">
        <f>SUM(Results_Res!L111,Results_Out!L111,Results_Ind!L111,Results_Com!L111)</f>
        <v>53.749687086095754</v>
      </c>
      <c r="M111" s="854">
        <f>SUM(Results_Res!M111,Results_Out!M111,Results_Ind!M111,Results_Com!M111)</f>
        <v>54.281981099907803</v>
      </c>
      <c r="N111" s="854">
        <f>SUM(Results_Res!N111,Results_Out!N111,Results_Ind!N111,Results_Com!N111)</f>
        <v>54.787650603782161</v>
      </c>
      <c r="O111" s="854">
        <f>SUM(Results_Res!O111,Results_Out!O111,Results_Ind!O111,Results_Com!O111)</f>
        <v>55.380836280120256</v>
      </c>
      <c r="P111" s="854">
        <f>SUM(Results_Res!P111,Results_Out!P111,Results_Ind!P111,Results_Com!P111)</f>
        <v>55.986495720356217</v>
      </c>
      <c r="Q111" s="854">
        <f>SUM(Results_Res!Q111,Results_Out!Q111,Results_Ind!Q111,Results_Com!Q111)</f>
        <v>56.631093407606024</v>
      </c>
      <c r="R111" s="854">
        <f>SUM(Results_Res!R111,Results_Out!R111,Results_Ind!R111,Results_Com!R111)</f>
        <v>57.257631228680538</v>
      </c>
      <c r="S111" s="854">
        <f>SUM(Results_Res!S111,Results_Out!S111,Results_Ind!S111,Results_Com!S111)</f>
        <v>57.880015541911973</v>
      </c>
      <c r="T111" s="854">
        <f>SUM(Results_Res!T111,Results_Out!T111,Results_Ind!T111,Results_Com!T111)</f>
        <v>58.498452433322917</v>
      </c>
      <c r="U111" s="854">
        <f>SUM(Results_Res!U111,Results_Out!U111,Results_Ind!U111,Results_Com!U111)</f>
        <v>59.117647490790233</v>
      </c>
      <c r="V111" s="854">
        <f>SUM(Results_Res!V111,Results_Out!V111,Results_Ind!V111,Results_Com!V111)</f>
        <v>59.736024072042937</v>
      </c>
      <c r="W111" s="854">
        <f>SUM(Results_Res!W111,Results_Out!W111,Results_Ind!W111,Results_Com!W111)</f>
        <v>60.33266036499807</v>
      </c>
      <c r="X111" s="854">
        <f>SUM(Results_Res!X111,Results_Out!X111,Results_Ind!X111,Results_Com!X111)</f>
        <v>60.945291652337261</v>
      </c>
      <c r="Y111" s="854">
        <f>SUM(Results_Res!Y111,Results_Out!Y111,Results_Ind!Y111,Results_Com!Y111)</f>
        <v>61.575347141354619</v>
      </c>
      <c r="Z111" s="854">
        <f>SUM(Results_Res!Z111,Results_Out!Z111,Results_Ind!Z111,Results_Com!Z111)</f>
        <v>62.206166388138087</v>
      </c>
      <c r="AA111" s="854">
        <f>SUM(Results_Res!AA111,Results_Out!AA111,Results_Ind!AA111,Results_Com!AA111)</f>
        <v>62.824098501404066</v>
      </c>
      <c r="AB111" s="854">
        <f>SUM(Results_Res!AB111,Results_Out!AB111,Results_Ind!AB111,Results_Com!AB111)</f>
        <v>63.436288331510227</v>
      </c>
      <c r="AC111" s="854">
        <f>SUM(Results_Res!AC111,Results_Out!AC111,Results_Ind!AC111,Results_Com!AC111)</f>
        <v>64.043853994809069</v>
      </c>
      <c r="AD111" s="854">
        <f>SUM(Results_Res!AD111,Results_Out!AD111,Results_Ind!AD111,Results_Com!AD111)</f>
        <v>64.646296570445088</v>
      </c>
      <c r="AE111" s="854">
        <f>SUM(Results_Res!AE111,Results_Out!AE111,Results_Ind!AE111,Results_Com!AE111)</f>
        <v>65.242547977160427</v>
      </c>
      <c r="AF111" s="854">
        <f>SUM(Results_Res!AF111,Results_Out!AF111,Results_Ind!AF111,Results_Com!AF111)</f>
        <v>65.832576028247516</v>
      </c>
    </row>
    <row r="112" spans="1:32" s="864" customFormat="1" x14ac:dyDescent="0.25">
      <c r="A112" s="839"/>
      <c r="B112" s="842" t="s">
        <v>29</v>
      </c>
      <c r="C112" s="838"/>
      <c r="D112" s="838"/>
      <c r="E112" s="838"/>
      <c r="F112" s="838"/>
      <c r="G112" s="854">
        <f>SUM(Results_Res!G112,Results_Out!G112,Results_Ind!G112,Results_Com!G112)</f>
        <v>7.3197949765707362</v>
      </c>
      <c r="H112" s="854">
        <f>SUM(Results_Res!H112,Results_Out!H112,Results_Ind!H112,Results_Com!H112)</f>
        <v>12.669864727614049</v>
      </c>
      <c r="I112" s="854">
        <f>SUM(Results_Res!I112,Results_Out!I112,Results_Ind!I112,Results_Com!I112)</f>
        <v>14.719165984077652</v>
      </c>
      <c r="J112" s="854">
        <f>SUM(Results_Res!J112,Results_Out!J112,Results_Ind!J112,Results_Com!J112)</f>
        <v>16.298054360212387</v>
      </c>
      <c r="K112" s="854">
        <f>SUM(Results_Res!K112,Results_Out!K112,Results_Ind!K112,Results_Com!K112)</f>
        <v>17.750279629960588</v>
      </c>
      <c r="L112" s="854">
        <f>SUM(Results_Res!L112,Results_Out!L112,Results_Ind!L112,Results_Com!L112)</f>
        <v>19.167494120161351</v>
      </c>
      <c r="M112" s="854">
        <f>SUM(Results_Res!M112,Results_Out!M112,Results_Ind!M112,Results_Com!M112)</f>
        <v>20.555188577494413</v>
      </c>
      <c r="N112" s="854">
        <f>SUM(Results_Res!N112,Results_Out!N112,Results_Ind!N112,Results_Com!N112)</f>
        <v>21.944704681303516</v>
      </c>
      <c r="O112" s="854">
        <f>SUM(Results_Res!O112,Results_Out!O112,Results_Ind!O112,Results_Com!O112)</f>
        <v>23.373430970047608</v>
      </c>
      <c r="P112" s="854">
        <f>SUM(Results_Res!P112,Results_Out!P112,Results_Ind!P112,Results_Com!P112)</f>
        <v>24.815066356830947</v>
      </c>
      <c r="Q112" s="854">
        <f>SUM(Results_Res!Q112,Results_Out!Q112,Results_Ind!Q112,Results_Com!Q112)</f>
        <v>26.28844874274488</v>
      </c>
      <c r="R112" s="854">
        <f>SUM(Results_Res!R112,Results_Out!R112,Results_Ind!R112,Results_Com!R112)</f>
        <v>27.766133002200274</v>
      </c>
      <c r="S112" s="854">
        <f>SUM(Results_Res!S112,Results_Out!S112,Results_Ind!S112,Results_Com!S112)</f>
        <v>29.257283317387294</v>
      </c>
      <c r="T112" s="854">
        <f>SUM(Results_Res!T112,Results_Out!T112,Results_Ind!T112,Results_Com!T112)</f>
        <v>30.76246870157232</v>
      </c>
      <c r="U112" s="854">
        <f>SUM(Results_Res!U112,Results_Out!U112,Results_Ind!U112,Results_Com!U112)</f>
        <v>32.283485022145207</v>
      </c>
      <c r="V112" s="854">
        <f>SUM(Results_Res!V112,Results_Out!V112,Results_Ind!V112,Results_Com!V112)</f>
        <v>33.821088883685754</v>
      </c>
      <c r="W112" s="854">
        <f>SUM(Results_Res!W112,Results_Out!W112,Results_Ind!W112,Results_Com!W112)</f>
        <v>35.360603555920264</v>
      </c>
      <c r="X112" s="854">
        <f>SUM(Results_Res!X112,Results_Out!X112,Results_Ind!X112,Results_Com!X112)</f>
        <v>36.924736411596761</v>
      </c>
      <c r="Y112" s="854">
        <f>SUM(Results_Res!Y112,Results_Out!Y112,Results_Ind!Y112,Results_Com!Y112)</f>
        <v>38.515427872994351</v>
      </c>
      <c r="Z112" s="854">
        <f>SUM(Results_Res!Z112,Results_Out!Z112,Results_Ind!Z112,Results_Com!Z112)</f>
        <v>40.121783832867678</v>
      </c>
      <c r="AA112" s="854">
        <f>SUM(Results_Res!AA112,Results_Out!AA112,Results_Ind!AA112,Results_Com!AA112)</f>
        <v>41.734988824642599</v>
      </c>
      <c r="AB112" s="854">
        <f>SUM(Results_Res!AB112,Results_Out!AB112,Results_Ind!AB112,Results_Com!AB112)</f>
        <v>43.361581151437072</v>
      </c>
      <c r="AC112" s="854">
        <f>SUM(Results_Res!AC112,Results_Out!AC112,Results_Ind!AC112,Results_Com!AC112)</f>
        <v>44.999171550610065</v>
      </c>
      <c r="AD112" s="854">
        <f>SUM(Results_Res!AD112,Results_Out!AD112,Results_Ind!AD112,Results_Com!AD112)</f>
        <v>46.64675506026029</v>
      </c>
      <c r="AE112" s="854">
        <f>SUM(Results_Res!AE112,Results_Out!AE112,Results_Ind!AE112,Results_Com!AE112)</f>
        <v>48.303705785769139</v>
      </c>
      <c r="AF112" s="854">
        <f>SUM(Results_Res!AF112,Results_Out!AF112,Results_Ind!AF112,Results_Com!AF112)</f>
        <v>49.968703210175249</v>
      </c>
    </row>
    <row r="113" spans="1:32" s="864" customFormat="1" x14ac:dyDescent="0.25">
      <c r="A113" s="839"/>
      <c r="B113" s="842" t="s">
        <v>53</v>
      </c>
      <c r="C113" s="838"/>
      <c r="D113" s="838"/>
      <c r="E113" s="838"/>
      <c r="F113" s="838"/>
      <c r="G113" s="854">
        <f>SUM(Results_Res!G113,Results_Out!G113,Results_Ind!G113,Results_Com!G113)</f>
        <v>0.28847263183885269</v>
      </c>
      <c r="H113" s="854">
        <f>SUM(Results_Res!H113,Results_Out!H113,Results_Ind!H113,Results_Com!H113)</f>
        <v>0.29545789211235463</v>
      </c>
      <c r="I113" s="854">
        <f>SUM(Results_Res!I113,Results_Out!I113,Results_Ind!I113,Results_Com!I113)</f>
        <v>0.30272799296786412</v>
      </c>
      <c r="J113" s="854">
        <f>SUM(Results_Res!J113,Results_Out!J113,Results_Ind!J113,Results_Com!J113)</f>
        <v>0.31020291819245593</v>
      </c>
      <c r="K113" s="854">
        <f>SUM(Results_Res!K113,Results_Out!K113,Results_Ind!K113,Results_Com!K113)</f>
        <v>0.3176008939133772</v>
      </c>
      <c r="L113" s="854">
        <f>SUM(Results_Res!L113,Results_Out!L113,Results_Ind!L113,Results_Com!L113)</f>
        <v>0.32507780569627343</v>
      </c>
      <c r="M113" s="854">
        <f>SUM(Results_Res!M113,Results_Out!M113,Results_Ind!M113,Results_Com!M113)</f>
        <v>0.33258797133922952</v>
      </c>
      <c r="N113" s="854">
        <f>SUM(Results_Res!N113,Results_Out!N113,Results_Ind!N113,Results_Com!N113)</f>
        <v>0.34002387010713758</v>
      </c>
      <c r="O113" s="854">
        <f>SUM(Results_Res!O113,Results_Out!O113,Results_Ind!O113,Results_Com!O113)</f>
        <v>0.34740326384135678</v>
      </c>
      <c r="P113" s="854">
        <f>SUM(Results_Res!P113,Results_Out!P113,Results_Ind!P113,Results_Com!P113)</f>
        <v>0.35474621178003907</v>
      </c>
      <c r="Q113" s="854">
        <f>SUM(Results_Res!Q113,Results_Out!Q113,Results_Ind!Q113,Results_Com!Q113)</f>
        <v>0.36204403229561621</v>
      </c>
      <c r="R113" s="854">
        <f>SUM(Results_Res!R113,Results_Out!R113,Results_Ind!R113,Results_Com!R113)</f>
        <v>0.36921378737861049</v>
      </c>
      <c r="S113" s="854">
        <f>SUM(Results_Res!S113,Results_Out!S113,Results_Ind!S113,Results_Com!S113)</f>
        <v>0.37636335607700627</v>
      </c>
      <c r="T113" s="854">
        <f>SUM(Results_Res!T113,Results_Out!T113,Results_Ind!T113,Results_Com!T113)</f>
        <v>0.3834776903092717</v>
      </c>
      <c r="U113" s="854">
        <f>SUM(Results_Res!U113,Results_Out!U113,Results_Ind!U113,Results_Com!U113)</f>
        <v>0.39054221778069542</v>
      </c>
      <c r="V113" s="854">
        <f>SUM(Results_Res!V113,Results_Out!V113,Results_Ind!V113,Results_Com!V113)</f>
        <v>0.39760422259551054</v>
      </c>
      <c r="W113" s="854">
        <f>SUM(Results_Res!W113,Results_Out!W113,Results_Ind!W113,Results_Com!W113)</f>
        <v>0.40460994421010321</v>
      </c>
      <c r="X113" s="854">
        <f>SUM(Results_Res!X113,Results_Out!X113,Results_Ind!X113,Results_Com!X113)</f>
        <v>0.41149981820045223</v>
      </c>
      <c r="Y113" s="854">
        <f>SUM(Results_Res!Y113,Results_Out!Y113,Results_Ind!Y113,Results_Com!Y113)</f>
        <v>0.41823934862077888</v>
      </c>
      <c r="Z113" s="854">
        <f>SUM(Results_Res!Z113,Results_Out!Z113,Results_Ind!Z113,Results_Com!Z113)</f>
        <v>0.42487373470575845</v>
      </c>
      <c r="AA113" s="854">
        <f>SUM(Results_Res!AA113,Results_Out!AA113,Results_Ind!AA113,Results_Com!AA113)</f>
        <v>0.43146988665884356</v>
      </c>
      <c r="AB113" s="854">
        <f>SUM(Results_Res!AB113,Results_Out!AB113,Results_Ind!AB113,Results_Com!AB113)</f>
        <v>0.43812866004134488</v>
      </c>
      <c r="AC113" s="854">
        <f>SUM(Results_Res!AC113,Results_Out!AC113,Results_Ind!AC113,Results_Com!AC113)</f>
        <v>0.44469457275453556</v>
      </c>
      <c r="AD113" s="854">
        <f>SUM(Results_Res!AD113,Results_Out!AD113,Results_Ind!AD113,Results_Com!AD113)</f>
        <v>0.45116032835622788</v>
      </c>
      <c r="AE113" s="854">
        <f>SUM(Results_Res!AE113,Results_Out!AE113,Results_Ind!AE113,Results_Com!AE113)</f>
        <v>0.45751865196007013</v>
      </c>
      <c r="AF113" s="854">
        <f>SUM(Results_Res!AF113,Results_Out!AF113,Results_Ind!AF113,Results_Com!AF113)</f>
        <v>0.46376230356112597</v>
      </c>
    </row>
    <row r="114" spans="1:32" s="864" customFormat="1" x14ac:dyDescent="0.25">
      <c r="A114" s="838"/>
      <c r="B114" s="842"/>
      <c r="C114" s="838"/>
      <c r="D114" s="838"/>
      <c r="E114" s="838"/>
      <c r="F114" s="838"/>
      <c r="G114" s="854"/>
      <c r="H114" s="854"/>
      <c r="I114" s="854"/>
      <c r="J114" s="854"/>
      <c r="K114" s="854"/>
      <c r="L114" s="854"/>
      <c r="M114" s="854"/>
      <c r="N114" s="854"/>
      <c r="O114" s="854"/>
      <c r="P114" s="854"/>
      <c r="Q114" s="854"/>
      <c r="R114" s="854"/>
      <c r="S114" s="854"/>
      <c r="T114" s="854"/>
      <c r="U114" s="854"/>
      <c r="V114" s="854"/>
      <c r="W114" s="854"/>
      <c r="X114" s="854"/>
      <c r="Y114" s="854"/>
      <c r="Z114" s="854"/>
      <c r="AA114" s="854"/>
      <c r="AB114" s="854"/>
      <c r="AC114" s="854"/>
      <c r="AD114" s="854"/>
      <c r="AE114" s="854"/>
      <c r="AF114" s="854"/>
    </row>
    <row r="115" spans="1:32" s="838" customFormat="1" x14ac:dyDescent="0.25"/>
    <row r="116" spans="1:32" x14ac:dyDescent="0.25">
      <c r="A116" s="860" t="s">
        <v>631</v>
      </c>
      <c r="B116" s="555"/>
      <c r="C116" s="554"/>
      <c r="D116" s="553"/>
      <c r="E116" s="553"/>
      <c r="F116" s="553"/>
      <c r="G116" s="553"/>
      <c r="H116" s="560"/>
      <c r="I116" s="560"/>
      <c r="J116" s="560"/>
      <c r="K116" s="560"/>
      <c r="L116" s="560"/>
      <c r="M116" s="560"/>
      <c r="N116" s="560"/>
      <c r="O116" s="560"/>
      <c r="P116" s="560"/>
      <c r="Q116" s="560"/>
      <c r="R116" s="560"/>
      <c r="S116" s="560"/>
      <c r="T116" s="560"/>
      <c r="U116" s="560"/>
      <c r="V116" s="560"/>
      <c r="W116" s="560"/>
      <c r="X116" s="560"/>
      <c r="Y116" s="560"/>
      <c r="Z116" s="560"/>
      <c r="AA116" s="560"/>
      <c r="AB116" s="560"/>
      <c r="AC116" s="560"/>
      <c r="AD116" s="560"/>
      <c r="AE116" s="560"/>
      <c r="AF116" s="560"/>
    </row>
    <row r="117" spans="1:32" x14ac:dyDescent="0.25">
      <c r="A117" s="840" t="s">
        <v>12</v>
      </c>
      <c r="B117" s="550"/>
    </row>
    <row r="118" spans="1:32" x14ac:dyDescent="0.25">
      <c r="A118" s="839"/>
      <c r="B118" s="550" t="s">
        <v>20</v>
      </c>
    </row>
    <row r="119" spans="1:32" s="202" customFormat="1" ht="12.75" x14ac:dyDescent="0.2">
      <c r="A119" s="843" t="s">
        <v>21</v>
      </c>
      <c r="B119" s="556"/>
      <c r="C119" s="556"/>
      <c r="D119" s="556"/>
      <c r="E119" s="556"/>
      <c r="F119" s="556"/>
      <c r="G119" s="556"/>
      <c r="H119" s="556"/>
      <c r="I119" s="556"/>
      <c r="J119" s="556"/>
      <c r="K119" s="556"/>
      <c r="L119" s="556"/>
      <c r="M119" s="556"/>
      <c r="N119" s="556"/>
      <c r="O119" s="556"/>
      <c r="P119" s="556"/>
      <c r="Q119" s="556"/>
      <c r="R119" s="556"/>
      <c r="S119" s="556"/>
      <c r="T119" s="556"/>
      <c r="U119" s="556"/>
      <c r="V119" s="556"/>
      <c r="W119" s="556"/>
      <c r="X119" s="556"/>
      <c r="Y119" s="556"/>
      <c r="Z119" s="556"/>
      <c r="AA119" s="556"/>
      <c r="AB119" s="556"/>
      <c r="AC119" s="556"/>
      <c r="AD119" s="556"/>
      <c r="AE119" s="556"/>
      <c r="AF119" s="556"/>
    </row>
    <row r="120" spans="1:32" s="221" customFormat="1" x14ac:dyDescent="0.25">
      <c r="A120" s="839"/>
      <c r="B120" s="550" t="s">
        <v>22</v>
      </c>
      <c r="C120" s="539"/>
      <c r="D120" s="539"/>
      <c r="E120" s="539"/>
      <c r="F120" s="539"/>
      <c r="G120" s="854">
        <f>SUM(Results_Res!G120,Results_Out!G120,Results_Ind!G120,Results_Com!G120)</f>
        <v>0</v>
      </c>
      <c r="H120" s="854">
        <f>SUM(Results_Res!H120,Results_Out!H120,Results_Ind!H120,Results_Com!H120)</f>
        <v>46317.669627433213</v>
      </c>
      <c r="I120" s="854">
        <f>SUM(Results_Res!I120,Results_Out!I120,Results_Ind!I120,Results_Com!I120)</f>
        <v>40060.877451052482</v>
      </c>
      <c r="J120" s="854">
        <f>SUM(Results_Res!J120,Results_Out!J120,Results_Ind!J120,Results_Com!J120)</f>
        <v>27190.455162098697</v>
      </c>
      <c r="K120" s="854">
        <f>SUM(Results_Res!K120,Results_Out!K120,Results_Ind!K120,Results_Com!K120)</f>
        <v>19416.972980896608</v>
      </c>
      <c r="L120" s="854">
        <f>SUM(Results_Res!L120,Results_Out!L120,Results_Ind!L120,Results_Com!L120)</f>
        <v>12924.288851644116</v>
      </c>
      <c r="M120" s="854">
        <f>SUM(Results_Res!M120,Results_Out!M120,Results_Ind!M120,Results_Com!M120)</f>
        <v>5149.0357017265706</v>
      </c>
      <c r="N120" s="854">
        <f>SUM(Results_Res!N120,Results_Out!N120,Results_Ind!N120,Results_Com!N120)</f>
        <v>4673.091146084188</v>
      </c>
      <c r="O120" s="854">
        <f>SUM(Results_Res!O120,Results_Out!O120,Results_Ind!O120,Results_Com!O120)</f>
        <v>4392.5391118875987</v>
      </c>
      <c r="P120" s="854">
        <f>SUM(Results_Res!P120,Results_Out!P120,Results_Ind!P120,Results_Com!P120)</f>
        <v>4232.45224930534</v>
      </c>
      <c r="Q120" s="854">
        <f>SUM(Results_Res!Q120,Results_Out!Q120,Results_Ind!Q120,Results_Com!Q120)</f>
        <v>4149.0300577874086</v>
      </c>
      <c r="R120" s="854">
        <f>SUM(Results_Res!R120,Results_Out!R120,Results_Ind!R120,Results_Com!R120)</f>
        <v>4113.6482484714525</v>
      </c>
      <c r="S120" s="854">
        <f>SUM(Results_Res!S120,Results_Out!S120,Results_Ind!S120,Results_Com!S120)</f>
        <v>4112.5521920561687</v>
      </c>
      <c r="T120" s="854">
        <f>SUM(Results_Res!T120,Results_Out!T120,Results_Ind!T120,Results_Com!T120)</f>
        <v>4133.6996170276825</v>
      </c>
      <c r="U120" s="854">
        <f>SUM(Results_Res!U120,Results_Out!U120,Results_Ind!U120,Results_Com!U120)</f>
        <v>4169.6372016583045</v>
      </c>
      <c r="V120" s="854">
        <f>SUM(Results_Res!V120,Results_Out!V120,Results_Ind!V120,Results_Com!V120)</f>
        <v>4216.6813842653792</v>
      </c>
      <c r="W120" s="854">
        <f>SUM(Results_Res!W120,Results_Out!W120,Results_Ind!W120,Results_Com!W120)</f>
        <v>4269.9198147360439</v>
      </c>
      <c r="X120" s="854">
        <f>SUM(Results_Res!X120,Results_Out!X120,Results_Ind!X120,Results_Com!X120)</f>
        <v>4326.3132801974152</v>
      </c>
      <c r="Y120" s="854">
        <f>SUM(Results_Res!Y120,Results_Out!Y120,Results_Ind!Y120,Results_Com!Y120)</f>
        <v>4384.0820369292969</v>
      </c>
      <c r="Z120" s="854">
        <f>SUM(Results_Res!Z120,Results_Out!Z120,Results_Ind!Z120,Results_Com!Z120)</f>
        <v>4443.4833216033066</v>
      </c>
      <c r="AA120" s="854">
        <f>SUM(Results_Res!AA120,Results_Out!AA120,Results_Ind!AA120,Results_Com!AA120)</f>
        <v>4504.9612139623041</v>
      </c>
      <c r="AB120" s="854">
        <f>SUM(Results_Res!AB120,Results_Out!AB120,Results_Ind!AB120,Results_Com!AB120)</f>
        <v>4569.7428639395948</v>
      </c>
      <c r="AC120" s="854">
        <f>SUM(Results_Res!AC120,Results_Out!AC120,Results_Ind!AC120,Results_Com!AC120)</f>
        <v>4633.1233817299408</v>
      </c>
      <c r="AD120" s="854">
        <f>SUM(Results_Res!AD120,Results_Out!AD120,Results_Ind!AD120,Results_Com!AD120)</f>
        <v>4695.8097443398938</v>
      </c>
      <c r="AE120" s="854">
        <f>SUM(Results_Res!AE120,Results_Out!AE120,Results_Ind!AE120,Results_Com!AE120)</f>
        <v>4757.5920494085067</v>
      </c>
      <c r="AF120" s="854">
        <f>SUM(Results_Res!AF120,Results_Out!AF120,Results_Ind!AF120,Results_Com!AF120)</f>
        <v>4818.3045262717978</v>
      </c>
    </row>
    <row r="121" spans="1:32" s="221" customFormat="1" x14ac:dyDescent="0.25">
      <c r="A121" s="839"/>
      <c r="B121" s="550" t="s">
        <v>26</v>
      </c>
      <c r="C121" s="539"/>
      <c r="D121" s="539"/>
      <c r="E121" s="539"/>
      <c r="F121" s="539"/>
      <c r="G121" s="854">
        <f>SUM(Results_Res!G121,Results_Out!G121,Results_Ind!G121,Results_Com!G121)</f>
        <v>0</v>
      </c>
      <c r="H121" s="854">
        <f>SUM(Results_Res!H121,Results_Out!H121,Results_Ind!H121,Results_Com!H121)</f>
        <v>865.17903696205656</v>
      </c>
      <c r="I121" s="854">
        <f>SUM(Results_Res!I121,Results_Out!I121,Results_Ind!I121,Results_Com!I121)</f>
        <v>3648.6639395174548</v>
      </c>
      <c r="J121" s="854">
        <f>SUM(Results_Res!J121,Results_Out!J121,Results_Ind!J121,Results_Com!J121)</f>
        <v>10925.042986514214</v>
      </c>
      <c r="K121" s="854">
        <f>SUM(Results_Res!K121,Results_Out!K121,Results_Ind!K121,Results_Com!K121)</f>
        <v>15520.628469969377</v>
      </c>
      <c r="L121" s="854">
        <f>SUM(Results_Res!L121,Results_Out!L121,Results_Ind!L121,Results_Com!L121)</f>
        <v>16945.929476117897</v>
      </c>
      <c r="M121" s="854">
        <f>SUM(Results_Res!M121,Results_Out!M121,Results_Ind!M121,Results_Com!M121)</f>
        <v>18822.902770040142</v>
      </c>
      <c r="N121" s="854">
        <f>SUM(Results_Res!N121,Results_Out!N121,Results_Ind!N121,Results_Com!N121)</f>
        <v>17358.929069196864</v>
      </c>
      <c r="O121" s="854">
        <f>SUM(Results_Res!O121,Results_Out!O121,Results_Ind!O121,Results_Com!O121)</f>
        <v>16514.351951296674</v>
      </c>
      <c r="P121" s="854">
        <f>SUM(Results_Res!P121,Results_Out!P121,Results_Ind!P121,Results_Com!P121)</f>
        <v>16049.818130324724</v>
      </c>
      <c r="Q121" s="854">
        <f>SUM(Results_Res!Q121,Results_Out!Q121,Results_Ind!Q121,Results_Com!Q121)</f>
        <v>15825.279169561141</v>
      </c>
      <c r="R121" s="854">
        <f>SUM(Results_Res!R121,Results_Out!R121,Results_Ind!R121,Results_Com!R121)</f>
        <v>15742.052139294252</v>
      </c>
      <c r="S121" s="854">
        <f>SUM(Results_Res!S121,Results_Out!S121,Results_Ind!S121,Results_Com!S121)</f>
        <v>15777.347409545264</v>
      </c>
      <c r="T121" s="854">
        <f>SUM(Results_Res!T121,Results_Out!T121,Results_Ind!T121,Results_Com!T121)</f>
        <v>15880.787839538687</v>
      </c>
      <c r="U121" s="854">
        <f>SUM(Results_Res!U121,Results_Out!U121,Results_Ind!U121,Results_Com!U121)</f>
        <v>16028.982034828394</v>
      </c>
      <c r="V121" s="854">
        <f>SUM(Results_Res!V121,Results_Out!V121,Results_Ind!V121,Results_Com!V121)</f>
        <v>16216.824674822421</v>
      </c>
      <c r="W121" s="854">
        <f>SUM(Results_Res!W121,Results_Out!W121,Results_Ind!W121,Results_Com!W121)</f>
        <v>16418.163423742615</v>
      </c>
      <c r="X121" s="854">
        <f>SUM(Results_Res!X121,Results_Out!X121,Results_Ind!X121,Results_Com!X121)</f>
        <v>16623.147034832476</v>
      </c>
      <c r="Y121" s="854">
        <f>SUM(Results_Res!Y121,Results_Out!Y121,Results_Ind!Y121,Results_Com!Y121)</f>
        <v>16828.263837860253</v>
      </c>
      <c r="Z121" s="854">
        <f>SUM(Results_Res!Z121,Results_Out!Z121,Results_Ind!Z121,Results_Com!Z121)</f>
        <v>17042.399261544189</v>
      </c>
      <c r="AA121" s="854">
        <f>SUM(Results_Res!AA121,Results_Out!AA121,Results_Ind!AA121,Results_Com!AA121)</f>
        <v>17269.483980020199</v>
      </c>
      <c r="AB121" s="854">
        <f>SUM(Results_Res!AB121,Results_Out!AB121,Results_Ind!AB121,Results_Com!AB121)</f>
        <v>17517.550455870707</v>
      </c>
      <c r="AC121" s="854">
        <f>SUM(Results_Res!AC121,Results_Out!AC121,Results_Ind!AC121,Results_Com!AC121)</f>
        <v>17744.997218533248</v>
      </c>
      <c r="AD121" s="854">
        <f>SUM(Results_Res!AD121,Results_Out!AD121,Results_Ind!AD121,Results_Com!AD121)</f>
        <v>17968.993970499836</v>
      </c>
      <c r="AE121" s="854">
        <f>SUM(Results_Res!AE121,Results_Out!AE121,Results_Ind!AE121,Results_Com!AE121)</f>
        <v>18188.841210567662</v>
      </c>
      <c r="AF121" s="854">
        <f>SUM(Results_Res!AF121,Results_Out!AF121,Results_Ind!AF121,Results_Com!AF121)</f>
        <v>18403.980760412152</v>
      </c>
    </row>
    <row r="122" spans="1:32" s="221" customFormat="1" x14ac:dyDescent="0.25">
      <c r="A122" s="839"/>
      <c r="B122" s="550" t="s">
        <v>27</v>
      </c>
      <c r="C122" s="539"/>
      <c r="D122" s="539"/>
      <c r="E122" s="539"/>
      <c r="F122" s="539"/>
      <c r="G122" s="854">
        <f>SUM(Results_Res!G122,Results_Out!G122,Results_Ind!G122,Results_Com!G122)</f>
        <v>0</v>
      </c>
      <c r="H122" s="854">
        <f>SUM(Results_Res!H122,Results_Out!H122,Results_Ind!H122,Results_Com!H122)</f>
        <v>19047.039990090012</v>
      </c>
      <c r="I122" s="854">
        <f>SUM(Results_Res!I122,Results_Out!I122,Results_Ind!I122,Results_Com!I122)</f>
        <v>19998.263836136539</v>
      </c>
      <c r="J122" s="854">
        <f>SUM(Results_Res!J122,Results_Out!J122,Results_Ind!J122,Results_Com!J122)</f>
        <v>23533.673880689003</v>
      </c>
      <c r="K122" s="854">
        <f>SUM(Results_Res!K122,Results_Out!K122,Results_Ind!K122,Results_Com!K122)</f>
        <v>23412.9381502943</v>
      </c>
      <c r="L122" s="854">
        <f>SUM(Results_Res!L122,Results_Out!L122,Results_Ind!L122,Results_Com!L122)</f>
        <v>25507.004717773409</v>
      </c>
      <c r="M122" s="854">
        <f>SUM(Results_Res!M122,Results_Out!M122,Results_Ind!M122,Results_Com!M122)</f>
        <v>28183.426960739846</v>
      </c>
      <c r="N122" s="854">
        <f>SUM(Results_Res!N122,Results_Out!N122,Results_Ind!N122,Results_Com!N122)</f>
        <v>26402.798936668478</v>
      </c>
      <c r="O122" s="854">
        <f>SUM(Results_Res!O122,Results_Out!O122,Results_Ind!O122,Results_Com!O122)</f>
        <v>25417.09569094305</v>
      </c>
      <c r="P122" s="854">
        <f>SUM(Results_Res!P122,Results_Out!P122,Results_Ind!P122,Results_Com!P122)</f>
        <v>24907.885186408206</v>
      </c>
      <c r="Q122" s="854">
        <f>SUM(Results_Res!Q122,Results_Out!Q122,Results_Ind!Q122,Results_Com!Q122)</f>
        <v>24696.338070385573</v>
      </c>
      <c r="R122" s="854">
        <f>SUM(Results_Res!R122,Results_Out!R122,Results_Ind!R122,Results_Com!R122)</f>
        <v>24644.028665611073</v>
      </c>
      <c r="S122" s="854">
        <f>SUM(Results_Res!S122,Results_Out!S122,Results_Ind!S122,Results_Com!S122)</f>
        <v>24756.816771789785</v>
      </c>
      <c r="T122" s="854">
        <f>SUM(Results_Res!T122,Results_Out!T122,Results_Ind!T122,Results_Com!T122)</f>
        <v>24951.409176733399</v>
      </c>
      <c r="U122" s="854">
        <f>SUM(Results_Res!U122,Results_Out!U122,Results_Ind!U122,Results_Com!U122)</f>
        <v>25198.844693323179</v>
      </c>
      <c r="V122" s="854">
        <f>SUM(Results_Res!V122,Results_Out!V122,Results_Ind!V122,Results_Com!V122)</f>
        <v>25503.361805196761</v>
      </c>
      <c r="W122" s="854">
        <f>SUM(Results_Res!W122,Results_Out!W122,Results_Ind!W122,Results_Com!W122)</f>
        <v>25814.447504396499</v>
      </c>
      <c r="X122" s="854">
        <f>SUM(Results_Res!X122,Results_Out!X122,Results_Ind!X122,Results_Com!X122)</f>
        <v>26120.240741862704</v>
      </c>
      <c r="Y122" s="854">
        <f>SUM(Results_Res!Y122,Results_Out!Y122,Results_Ind!Y122,Results_Com!Y122)</f>
        <v>26419.585052934326</v>
      </c>
      <c r="Z122" s="854">
        <f>SUM(Results_Res!Z122,Results_Out!Z122,Results_Ind!Z122,Results_Com!Z122)</f>
        <v>26736.42843615387</v>
      </c>
      <c r="AA122" s="854">
        <f>SUM(Results_Res!AA122,Results_Out!AA122,Results_Ind!AA122,Results_Com!AA122)</f>
        <v>27079.676262400873</v>
      </c>
      <c r="AB122" s="854">
        <f>SUM(Results_Res!AB122,Results_Out!AB122,Results_Ind!AB122,Results_Com!AB122)</f>
        <v>27466.414431613928</v>
      </c>
      <c r="AC122" s="854">
        <f>SUM(Results_Res!AC122,Results_Out!AC122,Results_Ind!AC122,Results_Com!AC122)</f>
        <v>27800.845442216236</v>
      </c>
      <c r="AD122" s="854">
        <f>SUM(Results_Res!AD122,Results_Out!AD122,Results_Ind!AD122,Results_Com!AD122)</f>
        <v>28128.881537992263</v>
      </c>
      <c r="AE122" s="854">
        <f>SUM(Results_Res!AE122,Results_Out!AE122,Results_Ind!AE122,Results_Com!AE122)</f>
        <v>28449.579713065275</v>
      </c>
      <c r="AF122" s="854">
        <f>SUM(Results_Res!AF122,Results_Out!AF122,Results_Ind!AF122,Results_Com!AF122)</f>
        <v>28762.181919875697</v>
      </c>
    </row>
    <row r="123" spans="1:32" s="221" customFormat="1" x14ac:dyDescent="0.25">
      <c r="A123" s="839"/>
      <c r="B123" s="550" t="s">
        <v>29</v>
      </c>
      <c r="C123" s="539"/>
      <c r="D123" s="539"/>
      <c r="E123" s="539"/>
      <c r="F123" s="539"/>
      <c r="G123" s="854">
        <f>SUM(Results_Res!G123,Results_Out!G123,Results_Ind!G123,Results_Com!G123)</f>
        <v>0</v>
      </c>
      <c r="H123" s="854">
        <f>SUM(Results_Res!H123,Results_Out!H123,Results_Ind!H123,Results_Com!H123)</f>
        <v>23.826490804765413</v>
      </c>
      <c r="I123" s="854">
        <f>SUM(Results_Res!I123,Results_Out!I123,Results_Ind!I123,Results_Com!I123)</f>
        <v>25.233603729517416</v>
      </c>
      <c r="J123" s="854">
        <f>SUM(Results_Res!J123,Results_Out!J123,Results_Ind!J123,Results_Com!J123)</f>
        <v>20.067691688583061</v>
      </c>
      <c r="K123" s="854">
        <f>SUM(Results_Res!K123,Results_Out!K123,Results_Ind!K123,Results_Com!K123)</f>
        <v>20.111502880499479</v>
      </c>
      <c r="L123" s="854">
        <f>SUM(Results_Res!L123,Results_Out!L123,Results_Ind!L123,Results_Com!L123)</f>
        <v>21.683978452230171</v>
      </c>
      <c r="M123" s="854">
        <f>SUM(Results_Res!M123,Results_Out!M123,Results_Ind!M123,Results_Com!M123)</f>
        <v>23.400260942141035</v>
      </c>
      <c r="N123" s="854">
        <f>SUM(Results_Res!N123,Results_Out!N123,Results_Ind!N123,Results_Com!N123)</f>
        <v>23.705054339280565</v>
      </c>
      <c r="O123" s="854">
        <f>SUM(Results_Res!O123,Results_Out!O123,Results_Ind!O123,Results_Com!O123)</f>
        <v>24.036623136129577</v>
      </c>
      <c r="P123" s="854">
        <f>SUM(Results_Res!P123,Results_Out!P123,Results_Ind!P123,Results_Com!P123)</f>
        <v>24.37161592769014</v>
      </c>
      <c r="Q123" s="854">
        <f>SUM(Results_Res!Q123,Results_Out!Q123,Results_Ind!Q123,Results_Com!Q123)</f>
        <v>24.703892711020803</v>
      </c>
      <c r="R123" s="854">
        <f>SUM(Results_Res!R123,Results_Out!R123,Results_Ind!R123,Results_Com!R123)</f>
        <v>24.944602410450692</v>
      </c>
      <c r="S123" s="854">
        <f>SUM(Results_Res!S123,Results_Out!S123,Results_Ind!S123,Results_Com!S123)</f>
        <v>25.284657544959643</v>
      </c>
      <c r="T123" s="854">
        <f>SUM(Results_Res!T123,Results_Out!T123,Results_Ind!T123,Results_Com!T123)</f>
        <v>25.609968651371545</v>
      </c>
      <c r="U123" s="854">
        <f>SUM(Results_Res!U123,Results_Out!U123,Results_Ind!U123,Results_Com!U123)</f>
        <v>25.920958960978432</v>
      </c>
      <c r="V123" s="854">
        <f>SUM(Results_Res!V123,Results_Out!V123,Results_Ind!V123,Results_Com!V123)</f>
        <v>26.274609095466332</v>
      </c>
      <c r="W123" s="854">
        <f>SUM(Results_Res!W123,Results_Out!W123,Results_Ind!W123,Results_Com!W123)</f>
        <v>26.572668332660939</v>
      </c>
      <c r="X123" s="854">
        <f>SUM(Results_Res!X123,Results_Out!X123,Results_Ind!X123,Results_Com!X123)</f>
        <v>26.8197936098695</v>
      </c>
      <c r="Y123" s="854">
        <f>SUM(Results_Res!Y123,Results_Out!Y123,Results_Ind!Y123,Results_Com!Y123)</f>
        <v>27.02962355647708</v>
      </c>
      <c r="Z123" s="854">
        <f>SUM(Results_Res!Z123,Results_Out!Z123,Results_Ind!Z123,Results_Com!Z123)</f>
        <v>27.271868307840798</v>
      </c>
      <c r="AA123" s="854">
        <f>SUM(Results_Res!AA123,Results_Out!AA123,Results_Ind!AA123,Results_Com!AA123)</f>
        <v>27.569821408425152</v>
      </c>
      <c r="AB123" s="854">
        <f>SUM(Results_Res!AB123,Results_Out!AB123,Results_Ind!AB123,Results_Com!AB123)</f>
        <v>27.963537711109314</v>
      </c>
      <c r="AC123" s="854">
        <f>SUM(Results_Res!AC123,Results_Out!AC123,Results_Ind!AC123,Results_Com!AC123)</f>
        <v>28.212746610845993</v>
      </c>
      <c r="AD123" s="854">
        <f>SUM(Results_Res!AD123,Results_Out!AD123,Results_Ind!AD123,Results_Com!AD123)</f>
        <v>28.450560162281583</v>
      </c>
      <c r="AE123" s="854">
        <f>SUM(Results_Res!AE123,Results_Out!AE123,Results_Ind!AE123,Results_Com!AE123)</f>
        <v>28.676630558913896</v>
      </c>
      <c r="AF123" s="854">
        <f>SUM(Results_Res!AF123,Results_Out!AF123,Results_Ind!AF123,Results_Com!AF123)</f>
        <v>28.89062345246591</v>
      </c>
    </row>
    <row r="124" spans="1:32" s="221" customFormat="1" x14ac:dyDescent="0.25">
      <c r="A124" s="839"/>
      <c r="B124" s="550"/>
      <c r="C124" s="539"/>
      <c r="D124" s="539"/>
      <c r="E124" s="539"/>
      <c r="F124" s="539"/>
      <c r="G124" s="540"/>
      <c r="H124" s="540"/>
      <c r="I124" s="540"/>
      <c r="J124" s="540"/>
      <c r="K124" s="540"/>
      <c r="L124" s="540"/>
      <c r="M124" s="540"/>
      <c r="N124" s="540"/>
      <c r="O124" s="540"/>
      <c r="P124" s="540"/>
      <c r="Q124" s="540"/>
      <c r="R124" s="540"/>
      <c r="S124" s="540"/>
      <c r="T124" s="540"/>
      <c r="U124" s="540"/>
      <c r="V124" s="540"/>
      <c r="W124" s="540"/>
      <c r="X124" s="540"/>
      <c r="Y124" s="540"/>
      <c r="Z124" s="540"/>
      <c r="AA124" s="540"/>
      <c r="AB124" s="540"/>
      <c r="AC124" s="540"/>
      <c r="AD124" s="540"/>
      <c r="AE124" s="540"/>
      <c r="AF124" s="540"/>
    </row>
    <row r="125" spans="1:32" s="202" customFormat="1" ht="12.75" x14ac:dyDescent="0.2">
      <c r="A125" s="843" t="s">
        <v>32</v>
      </c>
      <c r="B125" s="556"/>
      <c r="C125" s="556"/>
      <c r="D125" s="556"/>
      <c r="E125" s="556"/>
      <c r="F125" s="556"/>
      <c r="G125" s="547"/>
      <c r="H125" s="547"/>
      <c r="I125" s="547"/>
      <c r="J125" s="547"/>
      <c r="K125" s="547"/>
      <c r="L125" s="547"/>
      <c r="M125" s="547"/>
      <c r="N125" s="547"/>
      <c r="O125" s="547"/>
      <c r="P125" s="547"/>
      <c r="Q125" s="547"/>
      <c r="R125" s="547"/>
      <c r="S125" s="547"/>
      <c r="T125" s="547"/>
      <c r="U125" s="547"/>
      <c r="V125" s="547"/>
      <c r="W125" s="547"/>
      <c r="X125" s="547"/>
      <c r="Y125" s="547"/>
      <c r="Z125" s="547"/>
      <c r="AA125" s="547"/>
      <c r="AB125" s="547"/>
      <c r="AC125" s="547"/>
      <c r="AD125" s="547"/>
      <c r="AE125" s="547"/>
      <c r="AF125" s="547"/>
    </row>
    <row r="126" spans="1:32" s="221" customFormat="1" x14ac:dyDescent="0.25">
      <c r="A126" s="839"/>
      <c r="B126" s="550" t="s">
        <v>33</v>
      </c>
      <c r="C126" s="539"/>
      <c r="D126" s="539"/>
      <c r="E126" s="539"/>
      <c r="F126" s="539"/>
      <c r="G126" s="854">
        <f>SUM(Results_Res!G126,Results_Out!G126,Results_Ind!G126,Results_Com!G126)</f>
        <v>0</v>
      </c>
      <c r="H126" s="854">
        <f>SUM(Results_Res!H126,Results_Out!H126,Results_Ind!H126,Results_Com!H126)</f>
        <v>4731.4128492234995</v>
      </c>
      <c r="I126" s="854">
        <f>SUM(Results_Res!I126,Results_Out!I126,Results_Ind!I126,Results_Com!I126)</f>
        <v>5085.717303966454</v>
      </c>
      <c r="J126" s="854">
        <f>SUM(Results_Res!J126,Results_Out!J126,Results_Ind!J126,Results_Com!J126)</f>
        <v>5498.0899223538145</v>
      </c>
      <c r="K126" s="854">
        <f>SUM(Results_Res!K126,Results_Out!K126,Results_Ind!K126,Results_Com!K126)</f>
        <v>5957.1289255898773</v>
      </c>
      <c r="L126" s="854">
        <f>SUM(Results_Res!L126,Results_Out!L126,Results_Ind!L126,Results_Com!L126)</f>
        <v>6062.9499032030599</v>
      </c>
      <c r="M126" s="854">
        <f>SUM(Results_Res!M126,Results_Out!M126,Results_Ind!M126,Results_Com!M126)</f>
        <v>6171.0728874347797</v>
      </c>
      <c r="N126" s="854">
        <f>SUM(Results_Res!N126,Results_Out!N126,Results_Ind!N126,Results_Com!N126)</f>
        <v>6278.3260715278084</v>
      </c>
      <c r="O126" s="854">
        <f>SUM(Results_Res!O126,Results_Out!O126,Results_Ind!O126,Results_Com!O126)</f>
        <v>6388.9712561643082</v>
      </c>
      <c r="P126" s="854">
        <f>SUM(Results_Res!P126,Results_Out!P126,Results_Ind!P126,Results_Com!P126)</f>
        <v>6501.6669725572374</v>
      </c>
      <c r="Q126" s="854">
        <f>SUM(Results_Res!Q126,Results_Out!Q126,Results_Ind!Q126,Results_Com!Q126)</f>
        <v>6615.5704283524619</v>
      </c>
      <c r="R126" s="854">
        <f>SUM(Results_Res!R126,Results_Out!R126,Results_Ind!R126,Results_Com!R126)</f>
        <v>6726.43460292691</v>
      </c>
      <c r="S126" s="854">
        <f>SUM(Results_Res!S126,Results_Out!S126,Results_Ind!S126,Results_Com!S126)</f>
        <v>6840.2337022340544</v>
      </c>
      <c r="T126" s="854">
        <f>SUM(Results_Res!T126,Results_Out!T126,Results_Ind!T126,Results_Com!T126)</f>
        <v>6953.7807786827207</v>
      </c>
      <c r="U126" s="854">
        <f>SUM(Results_Res!U126,Results_Out!U126,Results_Ind!U126,Results_Com!U126)</f>
        <v>7066.8874093157328</v>
      </c>
      <c r="V126" s="854">
        <f>SUM(Results_Res!V126,Results_Out!V126,Results_Ind!V126,Results_Com!V126)</f>
        <v>7181.6387291611882</v>
      </c>
      <c r="W126" s="854">
        <f>SUM(Results_Res!W126,Results_Out!W126,Results_Ind!W126,Results_Com!W126)</f>
        <v>7294.2607061268063</v>
      </c>
      <c r="X126" s="854">
        <f>SUM(Results_Res!X126,Results_Out!X126,Results_Ind!X126,Results_Com!X126)</f>
        <v>7404.4962822767302</v>
      </c>
      <c r="Y126" s="854">
        <f>SUM(Results_Res!Y126,Results_Out!Y126,Results_Ind!Y126,Results_Com!Y126)</f>
        <v>7512.7051042200619</v>
      </c>
      <c r="Z126" s="854">
        <f>SUM(Results_Res!Z126,Results_Out!Z126,Results_Ind!Z126,Results_Com!Z126)</f>
        <v>7620.9964126116174</v>
      </c>
      <c r="AA126" s="854">
        <f>SUM(Results_Res!AA126,Results_Out!AA126,Results_Ind!AA126,Results_Com!AA126)</f>
        <v>7730.3631405923697</v>
      </c>
      <c r="AB126" s="854">
        <f>SUM(Results_Res!AB126,Results_Out!AB126,Results_Ind!AB126,Results_Com!AB126)</f>
        <v>7843.118719795646</v>
      </c>
      <c r="AC126" s="854">
        <f>SUM(Results_Res!AC126,Results_Out!AC126,Results_Ind!AC126,Results_Com!AC126)</f>
        <v>7950.9217690533878</v>
      </c>
      <c r="AD126" s="854">
        <f>SUM(Results_Res!AD126,Results_Out!AD126,Results_Ind!AD126,Results_Com!AD126)</f>
        <v>8057.2502479087889</v>
      </c>
      <c r="AE126" s="854">
        <f>SUM(Results_Res!AE126,Results_Out!AE126,Results_Ind!AE126,Results_Com!AE126)</f>
        <v>8161.9666798475164</v>
      </c>
      <c r="AF126" s="854">
        <f>SUM(Results_Res!AF126,Results_Out!AF126,Results_Ind!AF126,Results_Com!AF126)</f>
        <v>8264.9390076178061</v>
      </c>
    </row>
    <row r="127" spans="1:32" s="221" customFormat="1" x14ac:dyDescent="0.25">
      <c r="A127" s="842"/>
      <c r="B127" s="552" t="s">
        <v>34</v>
      </c>
      <c r="C127" s="539"/>
      <c r="D127" s="539"/>
      <c r="E127" s="539"/>
      <c r="F127" s="539"/>
      <c r="G127" s="854">
        <f>SUM(Results_Res!G127,Results_Out!G127,Results_Ind!G127,Results_Com!G127)</f>
        <v>0</v>
      </c>
      <c r="H127" s="854">
        <f>SUM(Results_Res!H127,Results_Out!H127,Results_Ind!H127,Results_Com!H127)</f>
        <v>7005.9855404813688</v>
      </c>
      <c r="I127" s="854">
        <f>SUM(Results_Res!I127,Results_Out!I127,Results_Ind!I127,Results_Com!I127)</f>
        <v>6936.5248335605274</v>
      </c>
      <c r="J127" s="854">
        <f>SUM(Results_Res!J127,Results_Out!J127,Results_Ind!J127,Results_Com!J127)</f>
        <v>6794.2734970787442</v>
      </c>
      <c r="K127" s="854">
        <f>SUM(Results_Res!K127,Results_Out!K127,Results_Ind!K127,Results_Com!K127)</f>
        <v>6576.803703039519</v>
      </c>
      <c r="L127" s="854">
        <f>SUM(Results_Res!L127,Results_Out!L127,Results_Ind!L127,Results_Com!L127)</f>
        <v>6692.7785849452739</v>
      </c>
      <c r="M127" s="854">
        <f>SUM(Results_Res!M127,Results_Out!M127,Results_Ind!M127,Results_Com!M127)</f>
        <v>6808.4197654888158</v>
      </c>
      <c r="N127" s="854">
        <f>SUM(Results_Res!N127,Results_Out!N127,Results_Ind!N127,Results_Com!N127)</f>
        <v>6920.2375198854788</v>
      </c>
      <c r="O127" s="854">
        <f>SUM(Results_Res!O127,Results_Out!O127,Results_Ind!O127,Results_Com!O127)</f>
        <v>7037.1030975537951</v>
      </c>
      <c r="P127" s="854">
        <f>SUM(Results_Res!P127,Results_Out!P127,Results_Ind!P127,Results_Com!P127)</f>
        <v>7155.5999598492008</v>
      </c>
      <c r="Q127" s="854">
        <f>SUM(Results_Res!Q127,Results_Out!Q127,Results_Ind!Q127,Results_Com!Q127)</f>
        <v>7275.545058071938</v>
      </c>
      <c r="R127" s="854">
        <f>SUM(Results_Res!R127,Results_Out!R127,Results_Ind!R127,Results_Com!R127)</f>
        <v>7388.9232420862209</v>
      </c>
      <c r="S127" s="854">
        <f>SUM(Results_Res!S127,Results_Out!S127,Results_Ind!S127,Results_Com!S127)</f>
        <v>7508.5057724529361</v>
      </c>
      <c r="T127" s="854">
        <f>SUM(Results_Res!T127,Results_Out!T127,Results_Ind!T127,Results_Com!T127)</f>
        <v>7627.2479454161057</v>
      </c>
      <c r="U127" s="854">
        <f>SUM(Results_Res!U127,Results_Out!U127,Results_Ind!U127,Results_Com!U127)</f>
        <v>7745.0788088448617</v>
      </c>
      <c r="V127" s="854">
        <f>SUM(Results_Res!V127,Results_Out!V127,Results_Ind!V127,Results_Com!V127)</f>
        <v>7865.9058473619134</v>
      </c>
      <c r="W127" s="854">
        <f>SUM(Results_Res!W127,Results_Out!W127,Results_Ind!W127,Results_Com!W127)</f>
        <v>7982.436886721538</v>
      </c>
      <c r="X127" s="854">
        <f>SUM(Results_Res!X127,Results_Out!X127,Results_Ind!X127,Results_Com!X127)</f>
        <v>8095.3708619863928</v>
      </c>
      <c r="Y127" s="854">
        <f>SUM(Results_Res!Y127,Results_Out!Y127,Results_Ind!Y127,Results_Com!Y127)</f>
        <v>8205.4180967793418</v>
      </c>
      <c r="Z127" s="854">
        <f>SUM(Results_Res!Z127,Results_Out!Z127,Results_Ind!Z127,Results_Com!Z127)</f>
        <v>8316.6906517912066</v>
      </c>
      <c r="AA127" s="854">
        <f>SUM(Results_Res!AA127,Results_Out!AA127,Results_Ind!AA127,Results_Com!AA127)</f>
        <v>8430.7449878152765</v>
      </c>
      <c r="AB127" s="854">
        <f>SUM(Results_Res!AB127,Results_Out!AB127,Results_Ind!AB127,Results_Com!AB127)</f>
        <v>8551.2636942748159</v>
      </c>
      <c r="AC127" s="854">
        <f>SUM(Results_Res!AC127,Results_Out!AC127,Results_Ind!AC127,Results_Com!AC127)</f>
        <v>8662.0594923768604</v>
      </c>
      <c r="AD127" s="854">
        <f>SUM(Results_Res!AD127,Results_Out!AD127,Results_Ind!AD127,Results_Com!AD127)</f>
        <v>8771.1033731279585</v>
      </c>
      <c r="AE127" s="854">
        <f>SUM(Results_Res!AE127,Results_Out!AE127,Results_Ind!AE127,Results_Com!AE127)</f>
        <v>8878.2573588551168</v>
      </c>
      <c r="AF127" s="854">
        <f>SUM(Results_Res!AF127,Results_Out!AF127,Results_Ind!AF127,Results_Com!AF127)</f>
        <v>8983.3892940375554</v>
      </c>
    </row>
    <row r="128" spans="1:32" s="221" customFormat="1" x14ac:dyDescent="0.25">
      <c r="A128" s="839"/>
      <c r="B128" s="552" t="s">
        <v>35</v>
      </c>
      <c r="C128" s="539"/>
      <c r="D128" s="539"/>
      <c r="E128" s="539"/>
      <c r="F128" s="539"/>
      <c r="G128" s="854">
        <f>SUM(Results_Res!G128,Results_Out!G128,Results_Ind!G128,Results_Com!G128)</f>
        <v>0</v>
      </c>
      <c r="H128" s="854">
        <f>SUM(Results_Res!H128,Results_Out!H128,Results_Ind!H128,Results_Com!H128)</f>
        <v>1372.285073591612</v>
      </c>
      <c r="I128" s="854">
        <f>SUM(Results_Res!I128,Results_Out!I128,Results_Ind!I128,Results_Com!I128)</f>
        <v>1461.7747373818243</v>
      </c>
      <c r="J128" s="854">
        <f>SUM(Results_Res!J128,Results_Out!J128,Results_Ind!J128,Results_Com!J128)</f>
        <v>1562.582955012226</v>
      </c>
      <c r="K128" s="854">
        <f>SUM(Results_Res!K128,Results_Out!K128,Results_Ind!K128,Results_Com!K128)</f>
        <v>1670.1047195203785</v>
      </c>
      <c r="L128" s="854">
        <f>SUM(Results_Res!L128,Results_Out!L128,Results_Ind!L128,Results_Com!L128)</f>
        <v>1699.2443813953716</v>
      </c>
      <c r="M128" s="854">
        <f>SUM(Results_Res!M128,Results_Out!M128,Results_Ind!M128,Results_Com!M128)</f>
        <v>1727.6279140276711</v>
      </c>
      <c r="N128" s="854">
        <f>SUM(Results_Res!N128,Results_Out!N128,Results_Ind!N128,Results_Com!N128)</f>
        <v>1754.5442507541927</v>
      </c>
      <c r="O128" s="854">
        <f>SUM(Results_Res!O128,Results_Out!O128,Results_Ind!O128,Results_Com!O128)</f>
        <v>1783.1205138580453</v>
      </c>
      <c r="P128" s="854">
        <f>SUM(Results_Res!P128,Results_Out!P128,Results_Ind!P128,Results_Com!P128)</f>
        <v>1811.8735626062569</v>
      </c>
      <c r="Q128" s="854">
        <f>SUM(Results_Res!Q128,Results_Out!Q128,Results_Ind!Q128,Results_Com!Q128)</f>
        <v>1841.078774613346</v>
      </c>
      <c r="R128" s="854">
        <f>SUM(Results_Res!R128,Results_Out!R128,Results_Ind!R128,Results_Com!R128)</f>
        <v>1867.8900863143649</v>
      </c>
      <c r="S128" s="854">
        <f>SUM(Results_Res!S128,Results_Out!S128,Results_Ind!S128,Results_Com!S128)</f>
        <v>1896.8787421115753</v>
      </c>
      <c r="T128" s="854">
        <f>SUM(Results_Res!T128,Results_Out!T128,Results_Ind!T128,Results_Com!T128)</f>
        <v>1925.5417772587764</v>
      </c>
      <c r="U128" s="854">
        <f>SUM(Results_Res!U128,Results_Out!U128,Results_Ind!U128,Results_Com!U128)</f>
        <v>1953.8971412132412</v>
      </c>
      <c r="V128" s="854">
        <f>SUM(Results_Res!V128,Results_Out!V128,Results_Ind!V128,Results_Com!V128)</f>
        <v>1983.2420010375909</v>
      </c>
      <c r="W128" s="854">
        <f>SUM(Results_Res!W128,Results_Out!W128,Results_Ind!W128,Results_Com!W128)</f>
        <v>2011.0694155303013</v>
      </c>
      <c r="X128" s="854">
        <f>SUM(Results_Res!X128,Results_Out!X128,Results_Ind!X128,Results_Com!X128)</f>
        <v>2037.8709955557861</v>
      </c>
      <c r="Y128" s="854">
        <f>SUM(Results_Res!Y128,Results_Out!Y128,Results_Ind!Y128,Results_Com!Y128)</f>
        <v>2063.8335011602358</v>
      </c>
      <c r="Z128" s="854">
        <f>SUM(Results_Res!Z128,Results_Out!Z128,Results_Ind!Z128,Results_Com!Z128)</f>
        <v>2090.3081410361856</v>
      </c>
      <c r="AA128" s="854">
        <f>SUM(Results_Res!AA128,Results_Out!AA128,Results_Ind!AA128,Results_Com!AA128)</f>
        <v>2117.7752375161413</v>
      </c>
      <c r="AB128" s="854">
        <f>SUM(Results_Res!AB128,Results_Out!AB128,Results_Ind!AB128,Results_Com!AB128)</f>
        <v>2147.4239253876167</v>
      </c>
      <c r="AC128" s="854">
        <f>SUM(Results_Res!AC128,Results_Out!AC128,Results_Ind!AC128,Results_Com!AC128)</f>
        <v>2173.7718877152474</v>
      </c>
      <c r="AD128" s="854">
        <f>SUM(Results_Res!AD128,Results_Out!AD128,Results_Ind!AD128,Results_Com!AD128)</f>
        <v>2199.6540031583472</v>
      </c>
      <c r="AE128" s="854">
        <f>SUM(Results_Res!AE128,Results_Out!AE128,Results_Ind!AE128,Results_Com!AE128)</f>
        <v>2225.0383750802957</v>
      </c>
      <c r="AF128" s="854">
        <f>SUM(Results_Res!AF128,Results_Out!AF128,Results_Ind!AF128,Results_Com!AF128)</f>
        <v>2249.8945509064183</v>
      </c>
    </row>
    <row r="129" spans="1:32" s="221" customFormat="1" x14ac:dyDescent="0.25">
      <c r="A129" s="839"/>
      <c r="B129" s="552" t="s">
        <v>29</v>
      </c>
      <c r="C129" s="539"/>
      <c r="D129" s="539"/>
      <c r="E129" s="539"/>
      <c r="F129" s="539"/>
      <c r="G129" s="854">
        <f>SUM(Results_Res!G129,Results_Out!G129,Results_Ind!G129,Results_Com!G129)</f>
        <v>0</v>
      </c>
      <c r="H129" s="854">
        <f>SUM(Results_Res!H129,Results_Out!H129,Results_Ind!H129,Results_Com!H129)</f>
        <v>12.684413717462828</v>
      </c>
      <c r="I129" s="854">
        <f>SUM(Results_Res!I129,Results_Out!I129,Results_Ind!I129,Results_Com!I129)</f>
        <v>13.081233755424421</v>
      </c>
      <c r="J129" s="854">
        <f>SUM(Results_Res!J129,Results_Out!J129,Results_Ind!J129,Results_Com!J129)</f>
        <v>13.536615013916606</v>
      </c>
      <c r="K129" s="854">
        <f>SUM(Results_Res!K129,Results_Out!K129,Results_Ind!K129,Results_Com!K129)</f>
        <v>13.931579837427332</v>
      </c>
      <c r="L129" s="854">
        <f>SUM(Results_Res!L129,Results_Out!L129,Results_Ind!L129,Results_Com!L129)</f>
        <v>14.197187924288695</v>
      </c>
      <c r="M129" s="854">
        <f>SUM(Results_Res!M129,Results_Out!M129,Results_Ind!M129,Results_Com!M129)</f>
        <v>14.426468831140699</v>
      </c>
      <c r="N129" s="854">
        <f>SUM(Results_Res!N129,Results_Out!N129,Results_Ind!N129,Results_Com!N129)</f>
        <v>14.612690386347627</v>
      </c>
      <c r="O129" s="854">
        <f>SUM(Results_Res!O129,Results_Out!O129,Results_Ind!O129,Results_Com!O129)</f>
        <v>14.82684234623882</v>
      </c>
      <c r="P129" s="854">
        <f>SUM(Results_Res!P129,Results_Out!P129,Results_Ind!P129,Results_Com!P129)</f>
        <v>15.030777922862793</v>
      </c>
      <c r="Q129" s="854">
        <f>SUM(Results_Res!Q129,Results_Out!Q129,Results_Ind!Q129,Results_Com!Q129)</f>
        <v>15.239857623420436</v>
      </c>
      <c r="R129" s="854">
        <f>SUM(Results_Res!R129,Results_Out!R129,Results_Ind!R129,Results_Com!R129)</f>
        <v>15.386540043150278</v>
      </c>
      <c r="S129" s="854">
        <f>SUM(Results_Res!S129,Results_Out!S129,Results_Ind!S129,Results_Com!S129)</f>
        <v>15.592472533482137</v>
      </c>
      <c r="T129" s="854">
        <f>SUM(Results_Res!T129,Results_Out!T129,Results_Ind!T129,Results_Com!T129)</f>
        <v>15.790259069871873</v>
      </c>
      <c r="U129" s="854">
        <f>SUM(Results_Res!U129,Results_Out!U129,Results_Ind!U129,Results_Com!U129)</f>
        <v>15.980818043324007</v>
      </c>
      <c r="V129" s="854">
        <f>SUM(Results_Res!V129,Results_Out!V129,Results_Ind!V129,Results_Com!V129)</f>
        <v>16.195575345756943</v>
      </c>
      <c r="W129" s="854">
        <f>SUM(Results_Res!W129,Results_Out!W129,Results_Ind!W129,Results_Com!W129)</f>
        <v>16.374318423897293</v>
      </c>
      <c r="X129" s="854">
        <f>SUM(Results_Res!X129,Results_Out!X129,Results_Ind!X129,Results_Com!X129)</f>
        <v>16.531778435429409</v>
      </c>
      <c r="Y129" s="854">
        <f>SUM(Results_Res!Y129,Results_Out!Y129,Results_Ind!Y129,Results_Com!Y129)</f>
        <v>16.668942276627455</v>
      </c>
      <c r="Z129" s="854">
        <f>SUM(Results_Res!Z129,Results_Out!Z129,Results_Ind!Z129,Results_Com!Z129)</f>
        <v>16.821272709076137</v>
      </c>
      <c r="AA129" s="854">
        <f>SUM(Results_Res!AA129,Results_Out!AA129,Results_Ind!AA129,Results_Com!AA129)</f>
        <v>17.002355024694605</v>
      </c>
      <c r="AB129" s="854">
        <f>SUM(Results_Res!AB129,Results_Out!AB129,Results_Ind!AB129,Results_Com!AB129)</f>
        <v>17.23916483062909</v>
      </c>
      <c r="AC129" s="854">
        <f>SUM(Results_Res!AC129,Results_Out!AC129,Results_Ind!AC129,Results_Com!AC129)</f>
        <v>17.394070237839699</v>
      </c>
      <c r="AD129" s="854">
        <f>SUM(Results_Res!AD129,Results_Out!AD129,Results_Ind!AD129,Results_Com!AD129)</f>
        <v>17.542334683532193</v>
      </c>
      <c r="AE129" s="854">
        <f>SUM(Results_Res!AE129,Results_Out!AE129,Results_Ind!AE129,Results_Com!AE129)</f>
        <v>17.683751535203644</v>
      </c>
      <c r="AF129" s="854">
        <f>SUM(Results_Res!AF129,Results_Out!AF129,Results_Ind!AF129,Results_Com!AF129)</f>
        <v>17.818122163632232</v>
      </c>
    </row>
    <row r="130" spans="1:32" s="221" customFormat="1" x14ac:dyDescent="0.25">
      <c r="A130" s="839"/>
      <c r="B130" s="550"/>
      <c r="C130" s="539"/>
      <c r="D130" s="539"/>
      <c r="E130" s="539"/>
      <c r="F130" s="539"/>
      <c r="G130" s="540"/>
      <c r="H130" s="540"/>
      <c r="I130" s="540"/>
      <c r="J130" s="540"/>
      <c r="K130" s="540"/>
      <c r="L130" s="540"/>
      <c r="M130" s="540"/>
      <c r="N130" s="540"/>
      <c r="O130" s="540"/>
      <c r="P130" s="540"/>
      <c r="Q130" s="540"/>
      <c r="R130" s="540"/>
      <c r="S130" s="540"/>
      <c r="T130" s="540"/>
      <c r="U130" s="540"/>
      <c r="V130" s="540"/>
      <c r="W130" s="540"/>
      <c r="X130" s="540"/>
      <c r="Y130" s="540"/>
      <c r="Z130" s="540"/>
      <c r="AA130" s="540"/>
      <c r="AB130" s="540"/>
      <c r="AC130" s="540"/>
      <c r="AD130" s="540"/>
      <c r="AE130" s="540"/>
      <c r="AF130" s="540"/>
    </row>
    <row r="131" spans="1:32" s="202" customFormat="1" ht="12.75" x14ac:dyDescent="0.2">
      <c r="A131" s="843" t="s">
        <v>36</v>
      </c>
      <c r="B131" s="556"/>
      <c r="C131" s="556"/>
      <c r="D131" s="556"/>
      <c r="E131" s="556"/>
      <c r="F131" s="556"/>
      <c r="G131" s="547"/>
      <c r="H131" s="547"/>
      <c r="I131" s="547"/>
      <c r="J131" s="547"/>
      <c r="K131" s="547"/>
      <c r="L131" s="547"/>
      <c r="M131" s="547"/>
      <c r="N131" s="547"/>
      <c r="O131" s="547"/>
      <c r="P131" s="547"/>
      <c r="Q131" s="547"/>
      <c r="R131" s="547"/>
      <c r="S131" s="547"/>
      <c r="T131" s="547"/>
      <c r="U131" s="547"/>
      <c r="V131" s="547"/>
      <c r="W131" s="547"/>
      <c r="X131" s="547"/>
      <c r="Y131" s="547"/>
      <c r="Z131" s="547"/>
      <c r="AA131" s="547"/>
      <c r="AB131" s="547"/>
      <c r="AC131" s="547"/>
      <c r="AD131" s="547"/>
      <c r="AE131" s="547"/>
      <c r="AF131" s="547"/>
    </row>
    <row r="132" spans="1:32" s="221" customFormat="1" x14ac:dyDescent="0.25">
      <c r="A132" s="839"/>
      <c r="B132" s="550" t="s">
        <v>37</v>
      </c>
      <c r="C132" s="539"/>
      <c r="D132" s="539"/>
      <c r="E132" s="539"/>
      <c r="F132" s="201"/>
      <c r="G132" s="854">
        <f>SUM(Results_Res!G132,Results_Out!G132,Results_Ind!G132,Results_Com!G132)</f>
        <v>0</v>
      </c>
      <c r="H132" s="854">
        <f>SUM(Results_Res!H132,Results_Out!H132,Results_Ind!H132,Results_Com!H132)</f>
        <v>3996.7338988130109</v>
      </c>
      <c r="I132" s="854">
        <f>SUM(Results_Res!I132,Results_Out!I132,Results_Ind!I132,Results_Com!I132)</f>
        <v>2643.3318863633099</v>
      </c>
      <c r="J132" s="854">
        <f>SUM(Results_Res!J132,Results_Out!J132,Results_Ind!J132,Results_Com!J132)</f>
        <v>1474.4829387623411</v>
      </c>
      <c r="K132" s="854">
        <f>SUM(Results_Res!K132,Results_Out!K132,Results_Ind!K132,Results_Com!K132)</f>
        <v>574.28939582221813</v>
      </c>
      <c r="L132" s="854">
        <f>SUM(Results_Res!L132,Results_Out!L132,Results_Ind!L132,Results_Com!L132)</f>
        <v>480.78191933603989</v>
      </c>
      <c r="M132" s="854">
        <f>SUM(Results_Res!M132,Results_Out!M132,Results_Ind!M132,Results_Com!M132)</f>
        <v>401.82726067635019</v>
      </c>
      <c r="N132" s="854">
        <f>SUM(Results_Res!N132,Results_Out!N132,Results_Ind!N132,Results_Com!N132)</f>
        <v>341.15928950089233</v>
      </c>
      <c r="O132" s="854">
        <f>SUM(Results_Res!O132,Results_Out!O132,Results_Ind!O132,Results_Com!O132)</f>
        <v>307.25634640852468</v>
      </c>
      <c r="P132" s="854">
        <f>SUM(Results_Res!P132,Results_Out!P132,Results_Ind!P132,Results_Com!P132)</f>
        <v>279.37450005026437</v>
      </c>
      <c r="Q132" s="854">
        <f>SUM(Results_Res!Q132,Results_Out!Q132,Results_Ind!Q132,Results_Com!Q132)</f>
        <v>256.48509662097092</v>
      </c>
      <c r="R132" s="854">
        <f>SUM(Results_Res!R132,Results_Out!R132,Results_Ind!R132,Results_Com!R132)</f>
        <v>236.9438620812609</v>
      </c>
      <c r="S132" s="854">
        <f>SUM(Results_Res!S132,Results_Out!S132,Results_Ind!S132,Results_Com!S132)</f>
        <v>220.35908740000457</v>
      </c>
      <c r="T132" s="854">
        <f>SUM(Results_Res!T132,Results_Out!T132,Results_Ind!T132,Results_Com!T132)</f>
        <v>206.00856929236286</v>
      </c>
      <c r="U132" s="854">
        <f>SUM(Results_Res!U132,Results_Out!U132,Results_Ind!U132,Results_Com!U132)</f>
        <v>193.50767750982808</v>
      </c>
      <c r="V132" s="854">
        <f>SUM(Results_Res!V132,Results_Out!V132,Results_Ind!V132,Results_Com!V132)</f>
        <v>182.22790164142194</v>
      </c>
      <c r="W132" s="854">
        <f>SUM(Results_Res!W132,Results_Out!W132,Results_Ind!W132,Results_Com!W132)</f>
        <v>172.04472790135651</v>
      </c>
      <c r="X132" s="854">
        <f>SUM(Results_Res!X132,Results_Out!X132,Results_Ind!X132,Results_Com!X132)</f>
        <v>163.35681324313583</v>
      </c>
      <c r="Y132" s="854">
        <f>SUM(Results_Res!Y132,Results_Out!Y132,Results_Ind!Y132,Results_Com!Y132)</f>
        <v>155.33568730731821</v>
      </c>
      <c r="Z132" s="854">
        <f>SUM(Results_Res!Z132,Results_Out!Z132,Results_Ind!Z132,Results_Com!Z132)</f>
        <v>148.01235342643014</v>
      </c>
      <c r="AA132" s="854">
        <f>SUM(Results_Res!AA132,Results_Out!AA132,Results_Ind!AA132,Results_Com!AA132)</f>
        <v>141.51702209786157</v>
      </c>
      <c r="AB132" s="854">
        <f>SUM(Results_Res!AB132,Results_Out!AB132,Results_Ind!AB132,Results_Com!AB132)</f>
        <v>135.4646595317277</v>
      </c>
      <c r="AC132" s="854">
        <f>SUM(Results_Res!AC132,Results_Out!AC132,Results_Ind!AC132,Results_Com!AC132)</f>
        <v>129.912588764823</v>
      </c>
      <c r="AD132" s="854">
        <f>SUM(Results_Res!AD132,Results_Out!AD132,Results_Ind!AD132,Results_Com!AD132)</f>
        <v>125.02812867934355</v>
      </c>
      <c r="AE132" s="854">
        <f>SUM(Results_Res!AE132,Results_Out!AE132,Results_Ind!AE132,Results_Com!AE132)</f>
        <v>120.3713393745345</v>
      </c>
      <c r="AF132" s="854">
        <f>SUM(Results_Res!AF132,Results_Out!AF132,Results_Ind!AF132,Results_Com!AF132)</f>
        <v>116.27299073459025</v>
      </c>
    </row>
    <row r="133" spans="1:32" s="221" customFormat="1" x14ac:dyDescent="0.25">
      <c r="A133" s="839"/>
      <c r="B133" s="550" t="s">
        <v>39</v>
      </c>
      <c r="C133" s="539"/>
      <c r="D133" s="539"/>
      <c r="E133" s="203"/>
      <c r="F133" s="539"/>
      <c r="G133" s="854">
        <f>SUM(Results_Res!G133,Results_Out!G133,Results_Ind!G133,Results_Com!G133)</f>
        <v>0</v>
      </c>
      <c r="H133" s="854">
        <f>SUM(Results_Res!H133,Results_Out!H133,Results_Ind!H133,Results_Com!H133)</f>
        <v>19434.490328213022</v>
      </c>
      <c r="I133" s="854">
        <f>SUM(Results_Res!I133,Results_Out!I133,Results_Ind!I133,Results_Com!I133)</f>
        <v>20939.441172224721</v>
      </c>
      <c r="J133" s="854">
        <f>SUM(Results_Res!J133,Results_Out!J133,Results_Ind!J133,Results_Com!J133)</f>
        <v>22215.338938200075</v>
      </c>
      <c r="K133" s="854">
        <f>SUM(Results_Res!K133,Results_Out!K133,Results_Ind!K133,Results_Com!K133)</f>
        <v>23151.729284808924</v>
      </c>
      <c r="L133" s="854">
        <f>SUM(Results_Res!L133,Results_Out!L133,Results_Ind!L133,Results_Com!L133)</f>
        <v>23377.477875565361</v>
      </c>
      <c r="M133" s="854">
        <f>SUM(Results_Res!M133,Results_Out!M133,Results_Ind!M133,Results_Com!M133)</f>
        <v>23534.769753304121</v>
      </c>
      <c r="N133" s="854">
        <f>SUM(Results_Res!N133,Results_Out!N133,Results_Ind!N133,Results_Com!N133)</f>
        <v>23761.767606331938</v>
      </c>
      <c r="O133" s="854">
        <f>SUM(Results_Res!O133,Results_Out!O133,Results_Ind!O133,Results_Com!O133)</f>
        <v>24042.613121297149</v>
      </c>
      <c r="P133" s="854">
        <f>SUM(Results_Res!P133,Results_Out!P133,Results_Ind!P133,Results_Com!P133)</f>
        <v>24250.975774192615</v>
      </c>
      <c r="Q133" s="854">
        <f>SUM(Results_Res!Q133,Results_Out!Q133,Results_Ind!Q133,Results_Com!Q133)</f>
        <v>24509.08722065793</v>
      </c>
      <c r="R133" s="854">
        <f>SUM(Results_Res!R133,Results_Out!R133,Results_Ind!R133,Results_Com!R133)</f>
        <v>24695.349174970066</v>
      </c>
      <c r="S133" s="854">
        <f>SUM(Results_Res!S133,Results_Out!S133,Results_Ind!S133,Results_Com!S133)</f>
        <v>24899.840685038678</v>
      </c>
      <c r="T133" s="854">
        <f>SUM(Results_Res!T133,Results_Out!T133,Results_Ind!T133,Results_Com!T133)</f>
        <v>25099.532120066673</v>
      </c>
      <c r="U133" s="854">
        <f>SUM(Results_Res!U133,Results_Out!U133,Results_Ind!U133,Results_Com!U133)</f>
        <v>25308.443103378886</v>
      </c>
      <c r="V133" s="854">
        <f>SUM(Results_Res!V133,Results_Out!V133,Results_Ind!V133,Results_Com!V133)</f>
        <v>25461.146521161227</v>
      </c>
      <c r="W133" s="854">
        <f>SUM(Results_Res!W133,Results_Out!W133,Results_Ind!W133,Results_Com!W133)</f>
        <v>25582.866890354657</v>
      </c>
      <c r="X133" s="854">
        <f>SUM(Results_Res!X133,Results_Out!X133,Results_Ind!X133,Results_Com!X133)</f>
        <v>25810.17527653966</v>
      </c>
      <c r="Y133" s="854">
        <f>SUM(Results_Res!Y133,Results_Out!Y133,Results_Ind!Y133,Results_Com!Y133)</f>
        <v>25998.319030048155</v>
      </c>
      <c r="Z133" s="854">
        <f>SUM(Results_Res!Z133,Results_Out!Z133,Results_Ind!Z133,Results_Com!Z133)</f>
        <v>26173.100960819331</v>
      </c>
      <c r="AA133" s="854">
        <f>SUM(Results_Res!AA133,Results_Out!AA133,Results_Ind!AA133,Results_Com!AA133)</f>
        <v>26377.884640053897</v>
      </c>
      <c r="AB133" s="854">
        <f>SUM(Results_Res!AB133,Results_Out!AB133,Results_Ind!AB133,Results_Com!AB133)</f>
        <v>26547.543513226698</v>
      </c>
      <c r="AC133" s="854">
        <f>SUM(Results_Res!AC133,Results_Out!AC133,Results_Ind!AC133,Results_Com!AC133)</f>
        <v>26715.257357118433</v>
      </c>
      <c r="AD133" s="854">
        <f>SUM(Results_Res!AD133,Results_Out!AD133,Results_Ind!AD133,Results_Com!AD133)</f>
        <v>26924.569318715239</v>
      </c>
      <c r="AE133" s="854">
        <f>SUM(Results_Res!AE133,Results_Out!AE133,Results_Ind!AE133,Results_Com!AE133)</f>
        <v>27091.60071323999</v>
      </c>
      <c r="AF133" s="854">
        <f>SUM(Results_Res!AF133,Results_Out!AF133,Results_Ind!AF133,Results_Com!AF133)</f>
        <v>27295.278891862883</v>
      </c>
    </row>
    <row r="134" spans="1:32" s="221" customFormat="1" x14ac:dyDescent="0.25">
      <c r="A134" s="839"/>
      <c r="B134" s="550" t="s">
        <v>40</v>
      </c>
      <c r="C134" s="539"/>
      <c r="D134" s="539"/>
      <c r="E134" s="539"/>
      <c r="F134" s="539"/>
      <c r="G134" s="854">
        <f>SUM(Results_Res!G134,Results_Out!G134,Results_Ind!G134,Results_Com!G134)</f>
        <v>0</v>
      </c>
      <c r="H134" s="854">
        <f>SUM(Results_Res!H134,Results_Out!H134,Results_Ind!H134,Results_Com!H134)</f>
        <v>2227.7111527686739</v>
      </c>
      <c r="I134" s="854">
        <f>SUM(Results_Res!I134,Results_Out!I134,Results_Ind!I134,Results_Com!I134)</f>
        <v>2449.8969672492676</v>
      </c>
      <c r="J134" s="854">
        <f>SUM(Results_Res!J134,Results_Out!J134,Results_Ind!J134,Results_Com!J134)</f>
        <v>2635.8787915993657</v>
      </c>
      <c r="K134" s="854">
        <f>SUM(Results_Res!K134,Results_Out!K134,Results_Ind!K134,Results_Com!K134)</f>
        <v>2799.9883878421015</v>
      </c>
      <c r="L134" s="854">
        <f>SUM(Results_Res!L134,Results_Out!L134,Results_Ind!L134,Results_Com!L134)</f>
        <v>2851.0118668255323</v>
      </c>
      <c r="M134" s="854">
        <f>SUM(Results_Res!M134,Results_Out!M134,Results_Ind!M134,Results_Com!M134)</f>
        <v>2889.6744516993285</v>
      </c>
      <c r="N134" s="854">
        <f>SUM(Results_Res!N134,Results_Out!N134,Results_Ind!N134,Results_Com!N134)</f>
        <v>2911.5735053905541</v>
      </c>
      <c r="O134" s="854">
        <f>SUM(Results_Res!O134,Results_Out!O134,Results_Ind!O134,Results_Com!O134)</f>
        <v>2961.4948420924102</v>
      </c>
      <c r="P134" s="854">
        <f>SUM(Results_Res!P134,Results_Out!P134,Results_Ind!P134,Results_Com!P134)</f>
        <v>3000.0745760406189</v>
      </c>
      <c r="Q134" s="854">
        <f>SUM(Results_Res!Q134,Results_Out!Q134,Results_Ind!Q134,Results_Com!Q134)</f>
        <v>3043.8389109842938</v>
      </c>
      <c r="R134" s="854">
        <f>SUM(Results_Res!R134,Results_Out!R134,Results_Ind!R134,Results_Com!R134)</f>
        <v>3076.9476785135985</v>
      </c>
      <c r="S134" s="854">
        <f>SUM(Results_Res!S134,Results_Out!S134,Results_Ind!S134,Results_Com!S134)</f>
        <v>3111.3065663346911</v>
      </c>
      <c r="T134" s="854">
        <f>SUM(Results_Res!T134,Results_Out!T134,Results_Ind!T134,Results_Com!T134)</f>
        <v>3144.3306420048189</v>
      </c>
      <c r="U134" s="854">
        <f>SUM(Results_Res!U134,Results_Out!U134,Results_Ind!U134,Results_Com!U134)</f>
        <v>3177.6535319676273</v>
      </c>
      <c r="V134" s="854">
        <f>SUM(Results_Res!V134,Results_Out!V134,Results_Ind!V134,Results_Com!V134)</f>
        <v>3203.419058979583</v>
      </c>
      <c r="W134" s="854">
        <f>SUM(Results_Res!W134,Results_Out!W134,Results_Ind!W134,Results_Com!W134)</f>
        <v>3224.5545382247437</v>
      </c>
      <c r="X134" s="854">
        <f>SUM(Results_Res!X134,Results_Out!X134,Results_Ind!X134,Results_Com!X134)</f>
        <v>3258.7165704978847</v>
      </c>
      <c r="Y134" s="854">
        <f>SUM(Results_Res!Y134,Results_Out!Y134,Results_Ind!Y134,Results_Com!Y134)</f>
        <v>3287.8391359720054</v>
      </c>
      <c r="Z134" s="854">
        <f>SUM(Results_Res!Z134,Results_Out!Z134,Results_Ind!Z134,Results_Com!Z134)</f>
        <v>3314.7370610575135</v>
      </c>
      <c r="AA134" s="854">
        <f>SUM(Results_Res!AA134,Results_Out!AA134,Results_Ind!AA134,Results_Com!AA134)</f>
        <v>3344.6913498447188</v>
      </c>
      <c r="AB134" s="854">
        <f>SUM(Results_Res!AB134,Results_Out!AB134,Results_Ind!AB134,Results_Com!AB134)</f>
        <v>3370.0521614743793</v>
      </c>
      <c r="AC134" s="854">
        <f>SUM(Results_Res!AC134,Results_Out!AC134,Results_Ind!AC134,Results_Com!AC134)</f>
        <v>3395.1062993974515</v>
      </c>
      <c r="AD134" s="854">
        <f>SUM(Results_Res!AD134,Results_Out!AD134,Results_Ind!AD134,Results_Com!AD134)</f>
        <v>3425.0206811618236</v>
      </c>
      <c r="AE134" s="854">
        <f>SUM(Results_Res!AE134,Results_Out!AE134,Results_Ind!AE134,Results_Com!AE134)</f>
        <v>3449.5721744019315</v>
      </c>
      <c r="AF134" s="854">
        <f>SUM(Results_Res!AF134,Results_Out!AF134,Results_Ind!AF134,Results_Com!AF134)</f>
        <v>3478.4913720022687</v>
      </c>
    </row>
    <row r="135" spans="1:32" s="221" customFormat="1" x14ac:dyDescent="0.25">
      <c r="A135" s="839"/>
      <c r="B135" s="550" t="s">
        <v>29</v>
      </c>
      <c r="C135" s="539"/>
      <c r="D135" s="539"/>
      <c r="E135" s="539"/>
      <c r="F135" s="539"/>
      <c r="G135" s="854">
        <f>SUM(Results_Res!G135,Results_Out!G135,Results_Ind!G135,Results_Com!G135)</f>
        <v>0</v>
      </c>
      <c r="H135" s="854">
        <f>SUM(Results_Res!H135,Results_Out!H135,Results_Ind!H135,Results_Com!H135)</f>
        <v>1.1510935962989733E-4</v>
      </c>
      <c r="I135" s="854">
        <f>SUM(Results_Res!I135,Results_Out!I135,Results_Ind!I135,Results_Com!I135)</f>
        <v>1.1809978779760201E-4</v>
      </c>
      <c r="J135" s="854">
        <f>SUM(Results_Res!J135,Results_Out!J135,Results_Ind!J135,Results_Com!J135)</f>
        <v>1.1971867564716344E-4</v>
      </c>
      <c r="K135" s="854">
        <f>SUM(Results_Res!K135,Results_Out!K135,Results_Ind!K135,Results_Com!K135)</f>
        <v>1.2142217763310974E-4</v>
      </c>
      <c r="L135" s="854">
        <f>SUM(Results_Res!L135,Results_Out!L135,Results_Ind!L135,Results_Com!L135)</f>
        <v>1.2464153354775683E-4</v>
      </c>
      <c r="M135" s="854">
        <f>SUM(Results_Res!M135,Results_Out!M135,Results_Ind!M135,Results_Com!M135)</f>
        <v>1.266130554284255E-4</v>
      </c>
      <c r="N135" s="854">
        <f>SUM(Results_Res!N135,Results_Out!N135,Results_Ind!N135,Results_Com!N135)</f>
        <v>1.2889525607483798E-4</v>
      </c>
      <c r="O135" s="854">
        <f>SUM(Results_Res!O135,Results_Out!O135,Results_Ind!O135,Results_Com!O135)</f>
        <v>1.3153338231523592E-4</v>
      </c>
      <c r="P135" s="854">
        <f>SUM(Results_Res!P135,Results_Out!P135,Results_Ind!P135,Results_Com!P135)</f>
        <v>1.3229638893950217E-4</v>
      </c>
      <c r="Q135" s="854">
        <f>SUM(Results_Res!Q135,Results_Out!Q135,Results_Ind!Q135,Results_Com!Q135)</f>
        <v>1.3409683484506241E-4</v>
      </c>
      <c r="R135" s="854">
        <f>SUM(Results_Res!R135,Results_Out!R135,Results_Ind!R135,Results_Com!R135)</f>
        <v>1.3436421665539801E-4</v>
      </c>
      <c r="S135" s="854">
        <f>SUM(Results_Res!S135,Results_Out!S135,Results_Ind!S135,Results_Com!S135)</f>
        <v>1.3506343052427521E-4</v>
      </c>
      <c r="T135" s="854">
        <f>SUM(Results_Res!T135,Results_Out!T135,Results_Ind!T135,Results_Com!T135)</f>
        <v>1.358266874385776E-4</v>
      </c>
      <c r="U135" s="854">
        <f>SUM(Results_Res!U135,Results_Out!U135,Results_Ind!U135,Results_Com!U135)</f>
        <v>1.367519278132637E-4</v>
      </c>
      <c r="V135" s="854">
        <f>SUM(Results_Res!V135,Results_Out!V135,Results_Ind!V135,Results_Com!V135)</f>
        <v>1.3767597369791318E-4</v>
      </c>
      <c r="W135" s="854">
        <f>SUM(Results_Res!W135,Results_Out!W135,Results_Ind!W135,Results_Com!W135)</f>
        <v>1.379781135155205E-4</v>
      </c>
      <c r="X135" s="854">
        <f>SUM(Results_Res!X135,Results_Out!X135,Results_Ind!X135,Results_Com!X135)</f>
        <v>1.394548764873024E-4</v>
      </c>
      <c r="Y135" s="854">
        <f>SUM(Results_Res!Y135,Results_Out!Y135,Results_Ind!Y135,Results_Com!Y135)</f>
        <v>1.4107694174464463E-4</v>
      </c>
      <c r="Z135" s="854">
        <f>SUM(Results_Res!Z135,Results_Out!Z135,Results_Ind!Z135,Results_Com!Z135)</f>
        <v>1.4221480303434273E-4</v>
      </c>
      <c r="AA135" s="854">
        <f>SUM(Results_Res!AA135,Results_Out!AA135,Results_Ind!AA135,Results_Com!AA135)</f>
        <v>1.4292515970392835E-4</v>
      </c>
      <c r="AB135" s="854">
        <f>SUM(Results_Res!AB135,Results_Out!AB135,Results_Ind!AB135,Results_Com!AB135)</f>
        <v>1.438193962922182E-4</v>
      </c>
      <c r="AC135" s="854">
        <f>SUM(Results_Res!AC135,Results_Out!AC135,Results_Ind!AC135,Results_Com!AC135)</f>
        <v>1.4479609544054643E-4</v>
      </c>
      <c r="AD135" s="854">
        <f>SUM(Results_Res!AD135,Results_Out!AD135,Results_Ind!AD135,Results_Com!AD135)</f>
        <v>1.4576533117815021E-4</v>
      </c>
      <c r="AE135" s="854">
        <f>SUM(Results_Res!AE135,Results_Out!AE135,Results_Ind!AE135,Results_Com!AE135)</f>
        <v>1.4672591037645605E-4</v>
      </c>
      <c r="AF135" s="854">
        <f>SUM(Results_Res!AF135,Results_Out!AF135,Results_Ind!AF135,Results_Com!AF135)</f>
        <v>1.4767670880398834E-4</v>
      </c>
    </row>
    <row r="136" spans="1:32" s="221" customFormat="1" x14ac:dyDescent="0.25">
      <c r="A136" s="839"/>
      <c r="B136" s="550"/>
      <c r="C136" s="539"/>
      <c r="D136" s="539"/>
      <c r="E136" s="539"/>
      <c r="F136" s="539"/>
      <c r="G136" s="540"/>
      <c r="H136" s="540"/>
      <c r="I136" s="540"/>
      <c r="J136" s="540"/>
      <c r="K136" s="540"/>
      <c r="L136" s="540"/>
      <c r="M136" s="540"/>
      <c r="N136" s="540"/>
      <c r="O136" s="540"/>
      <c r="P136" s="540"/>
      <c r="Q136" s="540"/>
      <c r="R136" s="540"/>
      <c r="S136" s="540"/>
      <c r="T136" s="540"/>
      <c r="U136" s="540"/>
      <c r="V136" s="540"/>
      <c r="W136" s="540"/>
      <c r="X136" s="540"/>
      <c r="Y136" s="540"/>
      <c r="Z136" s="540"/>
      <c r="AA136" s="540"/>
      <c r="AB136" s="540"/>
      <c r="AC136" s="540"/>
      <c r="AD136" s="540"/>
      <c r="AE136" s="540"/>
      <c r="AF136" s="540"/>
    </row>
    <row r="137" spans="1:32" s="202" customFormat="1" ht="12.75" x14ac:dyDescent="0.2">
      <c r="A137" s="843" t="s">
        <v>42</v>
      </c>
      <c r="B137" s="556"/>
      <c r="C137" s="556"/>
      <c r="D137" s="556"/>
      <c r="E137" s="556"/>
      <c r="F137" s="556"/>
      <c r="G137" s="547"/>
      <c r="H137" s="547"/>
      <c r="I137" s="547"/>
      <c r="J137" s="547"/>
      <c r="K137" s="547"/>
      <c r="L137" s="547"/>
      <c r="M137" s="547"/>
      <c r="N137" s="547"/>
      <c r="O137" s="547"/>
      <c r="P137" s="547"/>
      <c r="Q137" s="547"/>
      <c r="R137" s="547"/>
      <c r="S137" s="547"/>
      <c r="T137" s="547"/>
      <c r="U137" s="547"/>
      <c r="V137" s="547"/>
      <c r="W137" s="547"/>
      <c r="X137" s="547"/>
      <c r="Y137" s="547"/>
      <c r="Z137" s="547"/>
      <c r="AA137" s="547"/>
      <c r="AB137" s="547"/>
      <c r="AC137" s="547"/>
      <c r="AD137" s="547"/>
      <c r="AE137" s="547"/>
      <c r="AF137" s="547"/>
    </row>
    <row r="138" spans="1:32" s="221" customFormat="1" x14ac:dyDescent="0.25">
      <c r="A138" s="839"/>
      <c r="B138" s="552" t="s">
        <v>43</v>
      </c>
      <c r="C138" s="539"/>
      <c r="D138" s="539"/>
      <c r="E138" s="539"/>
      <c r="F138" s="539"/>
      <c r="G138" s="854">
        <f>SUM(Results_Res!G138,Results_Out!G138,Results_Ind!G138,Results_Com!G138)</f>
        <v>0</v>
      </c>
      <c r="H138" s="854">
        <f>SUM(Results_Res!H138,Results_Out!H138,Results_Ind!H138,Results_Com!H138)</f>
        <v>56.267500656788201</v>
      </c>
      <c r="I138" s="854">
        <f>SUM(Results_Res!I138,Results_Out!I138,Results_Ind!I138,Results_Com!I138)</f>
        <v>50.950099840638416</v>
      </c>
      <c r="J138" s="854">
        <f>SUM(Results_Res!J138,Results_Out!J138,Results_Ind!J138,Results_Com!J138)</f>
        <v>46.250173232973445</v>
      </c>
      <c r="K138" s="854">
        <f>SUM(Results_Res!K138,Results_Out!K138,Results_Ind!K138,Results_Com!K138)</f>
        <v>42.09359034194852</v>
      </c>
      <c r="L138" s="854">
        <f>SUM(Results_Res!L138,Results_Out!L138,Results_Ind!L138,Results_Com!L138)</f>
        <v>38.42586695110915</v>
      </c>
      <c r="M138" s="854">
        <f>SUM(Results_Res!M138,Results_Out!M138,Results_Ind!M138,Results_Com!M138)</f>
        <v>35.168331948719114</v>
      </c>
      <c r="N138" s="854">
        <f>SUM(Results_Res!N138,Results_Out!N138,Results_Ind!N138,Results_Com!N138)</f>
        <v>32.300199413217264</v>
      </c>
      <c r="O138" s="854">
        <f>SUM(Results_Res!O138,Results_Out!O138,Results_Ind!O138,Results_Com!O138)</f>
        <v>29.788043139304243</v>
      </c>
      <c r="P138" s="854">
        <f>SUM(Results_Res!P138,Results_Out!P138,Results_Ind!P138,Results_Com!P138)</f>
        <v>27.549497380829948</v>
      </c>
      <c r="Q138" s="854">
        <f>SUM(Results_Res!Q138,Results_Out!Q138,Results_Ind!Q138,Results_Com!Q138)</f>
        <v>25.581339519532232</v>
      </c>
      <c r="R138" s="854">
        <f>SUM(Results_Res!R138,Results_Out!R138,Results_Ind!R138,Results_Com!R138)</f>
        <v>23.823533514910878</v>
      </c>
      <c r="S138" s="854">
        <f>SUM(Results_Res!S138,Results_Out!S138,Results_Ind!S138,Results_Com!S138)</f>
        <v>22.26947700619133</v>
      </c>
      <c r="T138" s="854">
        <f>SUM(Results_Res!T138,Results_Out!T138,Results_Ind!T138,Results_Com!T138)</f>
        <v>20.892755603969945</v>
      </c>
      <c r="U138" s="854">
        <f>SUM(Results_Res!U138,Results_Out!U138,Results_Ind!U138,Results_Com!U138)</f>
        <v>19.672941531415507</v>
      </c>
      <c r="V138" s="854">
        <f>SUM(Results_Res!V138,Results_Out!V138,Results_Ind!V138,Results_Com!V138)</f>
        <v>18.594087413109133</v>
      </c>
      <c r="W138" s="854">
        <f>SUM(Results_Res!W138,Results_Out!W138,Results_Ind!W138,Results_Com!W138)</f>
        <v>17.627940514522958</v>
      </c>
      <c r="X138" s="854">
        <f>SUM(Results_Res!X138,Results_Out!X138,Results_Ind!X138,Results_Com!X138)</f>
        <v>16.784951646879922</v>
      </c>
      <c r="Y138" s="854">
        <f>SUM(Results_Res!Y138,Results_Out!Y138,Results_Ind!Y138,Results_Com!Y138)</f>
        <v>16.039518788767484</v>
      </c>
      <c r="Z138" s="854">
        <f>SUM(Results_Res!Z138,Results_Out!Z138,Results_Ind!Z138,Results_Com!Z138)</f>
        <v>15.376458990575346</v>
      </c>
      <c r="AA138" s="854">
        <f>SUM(Results_Res!AA138,Results_Out!AA138,Results_Ind!AA138,Results_Com!AA138)</f>
        <v>14.789526555508072</v>
      </c>
      <c r="AB138" s="854">
        <f>SUM(Results_Res!AB138,Results_Out!AB138,Results_Ind!AB138,Results_Com!AB138)</f>
        <v>14.264220475027891</v>
      </c>
      <c r="AC138" s="854">
        <f>SUM(Results_Res!AC138,Results_Out!AC138,Results_Ind!AC138,Results_Com!AC138)</f>
        <v>13.800428029079329</v>
      </c>
      <c r="AD138" s="854">
        <f>SUM(Results_Res!AD138,Results_Out!AD138,Results_Ind!AD138,Results_Com!AD138)</f>
        <v>13.390549130804596</v>
      </c>
      <c r="AE138" s="854">
        <f>SUM(Results_Res!AE138,Results_Out!AE138,Results_Ind!AE138,Results_Com!AE138)</f>
        <v>13.030784329541413</v>
      </c>
      <c r="AF138" s="854">
        <f>SUM(Results_Res!AF138,Results_Out!AF138,Results_Ind!AF138,Results_Com!AF138)</f>
        <v>12.708521654557698</v>
      </c>
    </row>
    <row r="139" spans="1:32" s="221" customFormat="1" x14ac:dyDescent="0.25">
      <c r="A139" s="839"/>
      <c r="B139" s="552" t="s">
        <v>44</v>
      </c>
      <c r="C139" s="539"/>
      <c r="D139" s="539"/>
      <c r="E139" s="539"/>
      <c r="F139" s="539"/>
      <c r="G139" s="854">
        <f>SUM(Results_Res!G139,Results_Out!G139,Results_Ind!G139,Results_Com!G139)</f>
        <v>0</v>
      </c>
      <c r="H139" s="854">
        <f>SUM(Results_Res!H139,Results_Out!H139,Results_Ind!H139,Results_Com!H139)</f>
        <v>1349.3174332044882</v>
      </c>
      <c r="I139" s="854">
        <f>SUM(Results_Res!I139,Results_Out!I139,Results_Ind!I139,Results_Com!I139)</f>
        <v>1454.3184656837866</v>
      </c>
      <c r="J139" s="854">
        <f>SUM(Results_Res!J139,Results_Out!J139,Results_Ind!J139,Results_Com!J139)</f>
        <v>1546.3645458489539</v>
      </c>
      <c r="K139" s="854">
        <f>SUM(Results_Res!K139,Results_Out!K139,Results_Ind!K139,Results_Com!K139)</f>
        <v>1627.4402894427287</v>
      </c>
      <c r="L139" s="854">
        <f>SUM(Results_Res!L139,Results_Out!L139,Results_Ind!L139,Results_Com!L139)</f>
        <v>1702.5193604193182</v>
      </c>
      <c r="M139" s="854">
        <f>SUM(Results_Res!M139,Results_Out!M139,Results_Ind!M139,Results_Com!M139)</f>
        <v>1765.4615836069054</v>
      </c>
      <c r="N139" s="854">
        <f>SUM(Results_Res!N139,Results_Out!N139,Results_Ind!N139,Results_Com!N139)</f>
        <v>1827.6422028211641</v>
      </c>
      <c r="O139" s="854">
        <f>SUM(Results_Res!O139,Results_Out!O139,Results_Ind!O139,Results_Com!O139)</f>
        <v>1893.7033333657557</v>
      </c>
      <c r="P139" s="854">
        <f>SUM(Results_Res!P139,Results_Out!P139,Results_Ind!P139,Results_Com!P139)</f>
        <v>1949.1746629976867</v>
      </c>
      <c r="Q139" s="854">
        <f>SUM(Results_Res!Q139,Results_Out!Q139,Results_Ind!Q139,Results_Com!Q139)</f>
        <v>2005.3694447656692</v>
      </c>
      <c r="R139" s="854">
        <f>SUM(Results_Res!R139,Results_Out!R139,Results_Ind!R139,Results_Com!R139)</f>
        <v>2052.3833825642596</v>
      </c>
      <c r="S139" s="854">
        <f>SUM(Results_Res!S139,Results_Out!S139,Results_Ind!S139,Results_Com!S139)</f>
        <v>2097.3403465549945</v>
      </c>
      <c r="T139" s="854">
        <f>SUM(Results_Res!T139,Results_Out!T139,Results_Ind!T139,Results_Com!T139)</f>
        <v>2139.5981482771454</v>
      </c>
      <c r="U139" s="854">
        <f>SUM(Results_Res!U139,Results_Out!U139,Results_Ind!U139,Results_Com!U139)</f>
        <v>2179.835642458353</v>
      </c>
      <c r="V139" s="854">
        <f>SUM(Results_Res!V139,Results_Out!V139,Results_Ind!V139,Results_Com!V139)</f>
        <v>2217.9403579533437</v>
      </c>
      <c r="W139" s="854">
        <f>SUM(Results_Res!W139,Results_Out!W139,Results_Ind!W139,Results_Com!W139)</f>
        <v>2251.1333635188839</v>
      </c>
      <c r="X139" s="854">
        <f>SUM(Results_Res!X139,Results_Out!X139,Results_Ind!X139,Results_Com!X139)</f>
        <v>2287.4084413974006</v>
      </c>
      <c r="Y139" s="854">
        <f>SUM(Results_Res!Y139,Results_Out!Y139,Results_Ind!Y139,Results_Com!Y139)</f>
        <v>2322.2326740978615</v>
      </c>
      <c r="Z139" s="854">
        <f>SUM(Results_Res!Z139,Results_Out!Z139,Results_Ind!Z139,Results_Com!Z139)</f>
        <v>2354.1453921812908</v>
      </c>
      <c r="AA139" s="854">
        <f>SUM(Results_Res!AA139,Results_Out!AA139,Results_Ind!AA139,Results_Com!AA139)</f>
        <v>2384.2654683795458</v>
      </c>
      <c r="AB139" s="854">
        <f>SUM(Results_Res!AB139,Results_Out!AB139,Results_Ind!AB139,Results_Com!AB139)</f>
        <v>2411.7343182393811</v>
      </c>
      <c r="AC139" s="854">
        <f>SUM(Results_Res!AC139,Results_Out!AC139,Results_Ind!AC139,Results_Com!AC139)</f>
        <v>2438.698021884305</v>
      </c>
      <c r="AD139" s="854">
        <f>SUM(Results_Res!AD139,Results_Out!AD139,Results_Ind!AD139,Results_Com!AD139)</f>
        <v>2465.1448318995353</v>
      </c>
      <c r="AE139" s="854">
        <f>SUM(Results_Res!AE139,Results_Out!AE139,Results_Ind!AE139,Results_Com!AE139)</f>
        <v>2491.5747742753629</v>
      </c>
      <c r="AF139" s="854">
        <f>SUM(Results_Res!AF139,Results_Out!AF139,Results_Ind!AF139,Results_Com!AF139)</f>
        <v>2516.0258113485961</v>
      </c>
    </row>
    <row r="140" spans="1:32" s="221" customFormat="1" x14ac:dyDescent="0.25">
      <c r="A140" s="839"/>
      <c r="B140" s="552" t="s">
        <v>45</v>
      </c>
      <c r="C140" s="539"/>
      <c r="D140" s="539"/>
      <c r="E140" s="539"/>
      <c r="F140" s="539"/>
      <c r="G140" s="854">
        <f>SUM(Results_Res!G140,Results_Out!G140,Results_Ind!G140,Results_Com!G140)</f>
        <v>0</v>
      </c>
      <c r="H140" s="854">
        <f>SUM(Results_Res!H140,Results_Out!H140,Results_Ind!H140,Results_Com!H140)</f>
        <v>339.13310400681883</v>
      </c>
      <c r="I140" s="854">
        <f>SUM(Results_Res!I140,Results_Out!I140,Results_Ind!I140,Results_Com!I140)</f>
        <v>303.93635616560158</v>
      </c>
      <c r="J140" s="854">
        <f>SUM(Results_Res!J140,Results_Out!J140,Results_Ind!J140,Results_Com!J140)</f>
        <v>272.65119704297581</v>
      </c>
      <c r="K140" s="854">
        <f>SUM(Results_Res!K140,Results_Out!K140,Results_Ind!K140,Results_Com!K140)</f>
        <v>244.83181757006776</v>
      </c>
      <c r="L140" s="854">
        <f>SUM(Results_Res!L140,Results_Out!L140,Results_Ind!L140,Results_Com!L140)</f>
        <v>220.10546348829749</v>
      </c>
      <c r="M140" s="854">
        <f>SUM(Results_Res!M140,Results_Out!M140,Results_Ind!M140,Results_Com!M140)</f>
        <v>198.07041632207023</v>
      </c>
      <c r="N140" s="854">
        <f>SUM(Results_Res!N140,Results_Out!N140,Results_Ind!N140,Results_Com!N140)</f>
        <v>178.49137180628551</v>
      </c>
      <c r="O140" s="854">
        <f>SUM(Results_Res!O140,Results_Out!O140,Results_Ind!O140,Results_Com!O140)</f>
        <v>161.11723666044844</v>
      </c>
      <c r="P140" s="854">
        <f>SUM(Results_Res!P140,Results_Out!P140,Results_Ind!P140,Results_Com!P140)</f>
        <v>145.59809512981434</v>
      </c>
      <c r="Q140" s="854">
        <f>SUM(Results_Res!Q140,Results_Out!Q140,Results_Ind!Q140,Results_Com!Q140)</f>
        <v>131.79891295099515</v>
      </c>
      <c r="R140" s="854">
        <f>SUM(Results_Res!R140,Results_Out!R140,Results_Ind!R140,Results_Com!R140)</f>
        <v>119.4575527092954</v>
      </c>
      <c r="S140" s="854">
        <f>SUM(Results_Res!S140,Results_Out!S140,Results_Ind!S140,Results_Com!S140)</f>
        <v>108.45636138944838</v>
      </c>
      <c r="T140" s="854">
        <f>SUM(Results_Res!T140,Results_Out!T140,Results_Ind!T140,Results_Com!T140)</f>
        <v>98.640050020273321</v>
      </c>
      <c r="U140" s="854">
        <f>SUM(Results_Res!U140,Results_Out!U140,Results_Ind!U140,Results_Com!U140)</f>
        <v>89.882210981398657</v>
      </c>
      <c r="V140" s="854">
        <f>SUM(Results_Res!V140,Results_Out!V140,Results_Ind!V140,Results_Com!V140)</f>
        <v>82.06126100135063</v>
      </c>
      <c r="W140" s="854">
        <f>SUM(Results_Res!W140,Results_Out!W140,Results_Ind!W140,Results_Com!W140)</f>
        <v>75.055921549689586</v>
      </c>
      <c r="X140" s="854">
        <f>SUM(Results_Res!X140,Results_Out!X140,Results_Ind!X140,Results_Com!X140)</f>
        <v>68.829256446442088</v>
      </c>
      <c r="Y140" s="854">
        <f>SUM(Results_Res!Y140,Results_Out!Y140,Results_Ind!Y140,Results_Com!Y140)</f>
        <v>63.283280372176947</v>
      </c>
      <c r="Z140" s="854">
        <f>SUM(Results_Res!Z140,Results_Out!Z140,Results_Ind!Z140,Results_Com!Z140)</f>
        <v>58.328362787773671</v>
      </c>
      <c r="AA140" s="854">
        <f>SUM(Results_Res!AA140,Results_Out!AA140,Results_Ind!AA140,Results_Com!AA140)</f>
        <v>53.888887003522662</v>
      </c>
      <c r="AB140" s="854">
        <f>SUM(Results_Res!AB140,Results_Out!AB140,Results_Ind!AB140,Results_Com!AB140)</f>
        <v>49.916157741787167</v>
      </c>
      <c r="AC140" s="854">
        <f>SUM(Results_Res!AC140,Results_Out!AC140,Results_Ind!AC140,Results_Com!AC140)</f>
        <v>46.371805598650234</v>
      </c>
      <c r="AD140" s="854">
        <f>SUM(Results_Res!AD140,Results_Out!AD140,Results_Ind!AD140,Results_Com!AD140)</f>
        <v>43.208162695495623</v>
      </c>
      <c r="AE140" s="854">
        <f>SUM(Results_Res!AE140,Results_Out!AE140,Results_Ind!AE140,Results_Com!AE140)</f>
        <v>40.375462679674534</v>
      </c>
      <c r="AF140" s="854">
        <f>SUM(Results_Res!AF140,Results_Out!AF140,Results_Ind!AF140,Results_Com!AF140)</f>
        <v>37.834629503585198</v>
      </c>
    </row>
    <row r="141" spans="1:32" s="221" customFormat="1" x14ac:dyDescent="0.25">
      <c r="A141" s="839"/>
      <c r="B141" s="552" t="s">
        <v>46</v>
      </c>
      <c r="C141" s="539"/>
      <c r="D141" s="539"/>
      <c r="E141" s="539"/>
      <c r="F141" s="539"/>
      <c r="G141" s="854">
        <f>SUM(Results_Res!G141,Results_Out!G141,Results_Ind!G141,Results_Com!G141)</f>
        <v>0</v>
      </c>
      <c r="H141" s="854">
        <f>SUM(Results_Res!H141,Results_Out!H141,Results_Ind!H141,Results_Com!H141)</f>
        <v>8.7370814760299123</v>
      </c>
      <c r="I141" s="854">
        <f>SUM(Results_Res!I141,Results_Out!I141,Results_Ind!I141,Results_Com!I141)</f>
        <v>7.8032636201976286</v>
      </c>
      <c r="J141" s="854">
        <f>SUM(Results_Res!J141,Results_Out!J141,Results_Ind!J141,Results_Com!J141)</f>
        <v>6.9727689899151848</v>
      </c>
      <c r="K141" s="854">
        <f>SUM(Results_Res!K141,Results_Out!K141,Results_Ind!K141,Results_Com!K141)</f>
        <v>6.2337574201490131</v>
      </c>
      <c r="L141" s="854">
        <f>SUM(Results_Res!L141,Results_Out!L141,Results_Ind!L141,Results_Com!L141)</f>
        <v>5.5757942789617498</v>
      </c>
      <c r="M141" s="854">
        <f>SUM(Results_Res!M141,Results_Out!M141,Results_Ind!M141,Results_Com!M141)</f>
        <v>4.9896776184877831</v>
      </c>
      <c r="N141" s="854">
        <f>SUM(Results_Res!N141,Results_Out!N141,Results_Ind!N141,Results_Com!N141)</f>
        <v>4.4672873440376746</v>
      </c>
      <c r="O141" s="854">
        <f>SUM(Results_Res!O141,Results_Out!O141,Results_Ind!O141,Results_Com!O141)</f>
        <v>4.0014534969014592</v>
      </c>
      <c r="P141" s="854">
        <f>SUM(Results_Res!P141,Results_Out!P141,Results_Ind!P141,Results_Com!P141)</f>
        <v>3.5858411430012702</v>
      </c>
      <c r="Q141" s="854">
        <f>SUM(Results_Res!Q141,Results_Out!Q141,Results_Ind!Q141,Results_Com!Q141)</f>
        <v>3.2148497001011171</v>
      </c>
      <c r="R141" s="854">
        <f>SUM(Results_Res!R141,Results_Out!R141,Results_Ind!R141,Results_Com!R141)</f>
        <v>2.8835248289987265</v>
      </c>
      <c r="S141" s="854">
        <f>SUM(Results_Res!S141,Results_Out!S141,Results_Ind!S141,Results_Com!S141)</f>
        <v>2.5874812659491693</v>
      </c>
      <c r="T141" s="854">
        <f>SUM(Results_Res!T141,Results_Out!T141,Results_Ind!T141,Results_Com!T141)</f>
        <v>2.3228351904077975</v>
      </c>
      <c r="U141" s="854">
        <f>SUM(Results_Res!U141,Results_Out!U141,Results_Ind!U141,Results_Com!U141)</f>
        <v>2.0861449090553523</v>
      </c>
      <c r="V141" s="854">
        <f>SUM(Results_Res!V141,Results_Out!V141,Results_Ind!V141,Results_Com!V141)</f>
        <v>1.8743587982597765</v>
      </c>
      <c r="W141" s="854">
        <f>SUM(Results_Res!W141,Results_Out!W141,Results_Ind!W141,Results_Com!W141)</f>
        <v>1.6847695862853558</v>
      </c>
      <c r="X141" s="854">
        <f>SUM(Results_Res!X141,Results_Out!X141,Results_Ind!X141,Results_Com!X141)</f>
        <v>1.5149741767928424</v>
      </c>
      <c r="Y141" s="854">
        <f>SUM(Results_Res!Y141,Results_Out!Y141,Results_Ind!Y141,Results_Com!Y141)</f>
        <v>1.3633559958035817</v>
      </c>
      <c r="Z141" s="854">
        <f>SUM(Results_Res!Z141,Results_Out!Z141,Results_Ind!Z141,Results_Com!Z141)</f>
        <v>1.2278444787170901</v>
      </c>
      <c r="AA141" s="854">
        <f>SUM(Results_Res!AA141,Results_Out!AA141,Results_Ind!AA141,Results_Com!AA141)</f>
        <v>1.1062228846061886</v>
      </c>
      <c r="AB141" s="854">
        <f>SUM(Results_Res!AB141,Results_Out!AB141,Results_Ind!AB141,Results_Com!AB141)</f>
        <v>0.99738212455016528</v>
      </c>
      <c r="AC141" s="854">
        <f>SUM(Results_Res!AC141,Results_Out!AC141,Results_Ind!AC141,Results_Com!AC141)</f>
        <v>0.89989433864996826</v>
      </c>
      <c r="AD141" s="854">
        <f>SUM(Results_Res!AD141,Results_Out!AD141,Results_Ind!AD141,Results_Com!AD141)</f>
        <v>0.81249648030368515</v>
      </c>
      <c r="AE141" s="854">
        <f>SUM(Results_Res!AE141,Results_Out!AE141,Results_Ind!AE141,Results_Com!AE141)</f>
        <v>0.73384504137202078</v>
      </c>
      <c r="AF141" s="854">
        <f>SUM(Results_Res!AF141,Results_Out!AF141,Results_Ind!AF141,Results_Com!AF141)</f>
        <v>0.6632511630634762</v>
      </c>
    </row>
    <row r="142" spans="1:32" s="221" customFormat="1" x14ac:dyDescent="0.25">
      <c r="A142" s="839"/>
      <c r="B142" s="550" t="s">
        <v>29</v>
      </c>
      <c r="C142" s="539"/>
      <c r="D142" s="539"/>
      <c r="E142" s="539"/>
      <c r="F142" s="539"/>
      <c r="G142" s="854">
        <f>SUM(Results_Res!G142,Results_Out!G142,Results_Ind!G142,Results_Com!G142)</f>
        <v>0</v>
      </c>
      <c r="H142" s="854">
        <f>SUM(Results_Res!H142,Results_Out!H142,Results_Ind!H142,Results_Com!H142)</f>
        <v>4.457179286306979</v>
      </c>
      <c r="I142" s="854">
        <f>SUM(Results_Res!I142,Results_Out!I142,Results_Ind!I142,Results_Com!I142)</f>
        <v>4.4933730421173488</v>
      </c>
      <c r="J142" s="854">
        <f>SUM(Results_Res!J142,Results_Out!J142,Results_Ind!J142,Results_Com!J142)</f>
        <v>4.4957413513102757</v>
      </c>
      <c r="K142" s="854">
        <f>SUM(Results_Res!K142,Results_Out!K142,Results_Ind!K142,Results_Com!K142)</f>
        <v>4.476792425870773</v>
      </c>
      <c r="L142" s="854">
        <f>SUM(Results_Res!L142,Results_Out!L142,Results_Ind!L142,Results_Com!L142)</f>
        <v>4.462697802727325</v>
      </c>
      <c r="M142" s="854">
        <f>SUM(Results_Res!M142,Results_Out!M142,Results_Ind!M142,Results_Com!M142)</f>
        <v>4.4215102938789181</v>
      </c>
      <c r="N142" s="854">
        <f>SUM(Results_Res!N142,Results_Out!N142,Results_Ind!N142,Results_Com!N142)</f>
        <v>4.4058649036582764</v>
      </c>
      <c r="O142" s="854">
        <f>SUM(Results_Res!O142,Results_Out!O142,Results_Ind!O142,Results_Com!O142)</f>
        <v>4.4264981517005983</v>
      </c>
      <c r="P142" s="854">
        <f>SUM(Results_Res!P142,Results_Out!P142,Results_Ind!P142,Results_Com!P142)</f>
        <v>4.4097606227270898</v>
      </c>
      <c r="Q142" s="854">
        <f>SUM(Results_Res!Q142,Results_Out!Q142,Results_Ind!Q142,Results_Com!Q142)</f>
        <v>4.4125580116923722</v>
      </c>
      <c r="R142" s="854">
        <f>SUM(Results_Res!R142,Results_Out!R142,Results_Ind!R142,Results_Com!R142)</f>
        <v>4.3851488975940072</v>
      </c>
      <c r="S142" s="854">
        <f>SUM(Results_Res!S142,Results_Out!S142,Results_Ind!S142,Results_Com!S142)</f>
        <v>4.3660711757854207</v>
      </c>
      <c r="T142" s="854">
        <f>SUM(Results_Res!T142,Results_Out!T142,Results_Ind!T142,Results_Com!T142)</f>
        <v>4.3482826266637673</v>
      </c>
      <c r="U142" s="854">
        <f>SUM(Results_Res!U142,Results_Out!U142,Results_Ind!U142,Results_Com!U142)</f>
        <v>4.3243349582374906</v>
      </c>
      <c r="V142" s="854">
        <f>SUM(Results_Res!V142,Results_Out!V142,Results_Ind!V142,Results_Com!V142)</f>
        <v>4.3100286903989993</v>
      </c>
      <c r="W142" s="854">
        <f>SUM(Results_Res!W142,Results_Out!W142,Results_Ind!W142,Results_Com!W142)</f>
        <v>4.2748892894929789</v>
      </c>
      <c r="X142" s="854">
        <f>SUM(Results_Res!X142,Results_Out!X142,Results_Ind!X142,Results_Com!X142)</f>
        <v>4.2638167138060039</v>
      </c>
      <c r="Y142" s="854">
        <f>SUM(Results_Res!Y142,Results_Out!Y142,Results_Ind!Y142,Results_Com!Y142)</f>
        <v>4.2555698902411283</v>
      </c>
      <c r="Z142" s="854">
        <f>SUM(Results_Res!Z142,Results_Out!Z142,Results_Ind!Z142,Results_Com!Z142)</f>
        <v>4.2381744549126257</v>
      </c>
      <c r="AA142" s="854">
        <f>SUM(Results_Res!AA142,Results_Out!AA142,Results_Ind!AA142,Results_Com!AA142)</f>
        <v>4.2210747550207959</v>
      </c>
      <c r="AB142" s="854">
        <f>SUM(Results_Res!AB142,Results_Out!AB142,Results_Ind!AB142,Results_Com!AB142)</f>
        <v>4.1999843297147068</v>
      </c>
      <c r="AC142" s="854">
        <f>SUM(Results_Res!AC142,Results_Out!AC142,Results_Ind!AC142,Results_Com!AC142)</f>
        <v>4.1814373288833808</v>
      </c>
      <c r="AD142" s="854">
        <f>SUM(Results_Res!AD142,Results_Out!AD142,Results_Ind!AD142,Results_Com!AD142)</f>
        <v>4.1634390776862906</v>
      </c>
      <c r="AE142" s="854">
        <f>SUM(Results_Res!AE142,Results_Out!AE142,Results_Ind!AE142,Results_Com!AE142)</f>
        <v>4.1464654572782313</v>
      </c>
      <c r="AF142" s="854">
        <f>SUM(Results_Res!AF142,Results_Out!AF142,Results_Ind!AF142,Results_Com!AF142)</f>
        <v>4.1294571573963053</v>
      </c>
    </row>
    <row r="143" spans="1:32" s="221" customFormat="1" x14ac:dyDescent="0.25">
      <c r="A143" s="839"/>
      <c r="B143" s="550"/>
      <c r="C143" s="539"/>
      <c r="D143" s="539"/>
      <c r="E143" s="539"/>
      <c r="F143" s="539"/>
      <c r="G143" s="540"/>
      <c r="H143" s="540"/>
      <c r="I143" s="540"/>
      <c r="J143" s="540"/>
      <c r="K143" s="540"/>
      <c r="L143" s="540"/>
      <c r="M143" s="540"/>
      <c r="N143" s="540"/>
      <c r="O143" s="540"/>
      <c r="P143" s="540"/>
      <c r="Q143" s="540"/>
      <c r="R143" s="540"/>
      <c r="S143" s="540"/>
      <c r="T143" s="540"/>
      <c r="U143" s="540"/>
      <c r="V143" s="540"/>
      <c r="W143" s="540"/>
      <c r="X143" s="540"/>
      <c r="Y143" s="540"/>
      <c r="Z143" s="540"/>
      <c r="AA143" s="540"/>
      <c r="AB143" s="540"/>
      <c r="AC143" s="540"/>
      <c r="AD143" s="540"/>
      <c r="AE143" s="540"/>
      <c r="AF143" s="540"/>
    </row>
    <row r="144" spans="1:32" s="202" customFormat="1" ht="12.75" x14ac:dyDescent="0.2">
      <c r="A144" s="843" t="s">
        <v>47</v>
      </c>
      <c r="B144" s="556"/>
      <c r="C144" s="556"/>
      <c r="D144" s="556"/>
      <c r="E144" s="556"/>
      <c r="F144" s="556"/>
      <c r="G144" s="547"/>
      <c r="H144" s="547"/>
      <c r="I144" s="547"/>
      <c r="J144" s="547"/>
      <c r="K144" s="547"/>
      <c r="L144" s="547"/>
      <c r="M144" s="547"/>
      <c r="N144" s="547"/>
      <c r="O144" s="547"/>
      <c r="P144" s="547"/>
      <c r="Q144" s="547"/>
      <c r="R144" s="547"/>
      <c r="S144" s="547"/>
      <c r="T144" s="547"/>
      <c r="U144" s="547"/>
      <c r="V144" s="547"/>
      <c r="W144" s="547"/>
      <c r="X144" s="547"/>
      <c r="Y144" s="547"/>
      <c r="Z144" s="547"/>
      <c r="AA144" s="547"/>
      <c r="AB144" s="547"/>
      <c r="AC144" s="547"/>
      <c r="AD144" s="547"/>
      <c r="AE144" s="547"/>
      <c r="AF144" s="547"/>
    </row>
    <row r="145" spans="1:32" s="221" customFormat="1" x14ac:dyDescent="0.25">
      <c r="A145" s="839"/>
      <c r="B145" s="550" t="s">
        <v>48</v>
      </c>
      <c r="C145" s="539"/>
      <c r="D145" s="539"/>
      <c r="E145" s="539"/>
      <c r="F145" s="539"/>
      <c r="G145" s="854">
        <f>SUM(Results_Res!G145,Results_Out!G145,Results_Ind!G145,Results_Com!G145)</f>
        <v>0</v>
      </c>
      <c r="H145" s="854">
        <f>SUM(Results_Res!H145,Results_Out!H145,Results_Ind!H145,Results_Com!H145)</f>
        <v>41183.583943251171</v>
      </c>
      <c r="I145" s="854">
        <f>SUM(Results_Res!I145,Results_Out!I145,Results_Ind!I145,Results_Com!I145)</f>
        <v>41853.802921330171</v>
      </c>
      <c r="J145" s="854">
        <f>SUM(Results_Res!J145,Results_Out!J145,Results_Ind!J145,Results_Com!J145)</f>
        <v>42602.814513881283</v>
      </c>
      <c r="K145" s="854">
        <f>SUM(Results_Res!K145,Results_Out!K145,Results_Ind!K145,Results_Com!K145)</f>
        <v>43334.084005435914</v>
      </c>
      <c r="L145" s="854">
        <f>SUM(Results_Res!L145,Results_Out!L145,Results_Ind!L145,Results_Com!L145)</f>
        <v>44071.252012975019</v>
      </c>
      <c r="M145" s="854">
        <f>SUM(Results_Res!M145,Results_Out!M145,Results_Ind!M145,Results_Com!M145)</f>
        <v>44800.853483970175</v>
      </c>
      <c r="N145" s="854">
        <f>SUM(Results_Res!N145,Results_Out!N145,Results_Ind!N145,Results_Com!N145)</f>
        <v>45507.158880017196</v>
      </c>
      <c r="O145" s="854">
        <f>SUM(Results_Res!O145,Results_Out!O145,Results_Ind!O145,Results_Com!O145)</f>
        <v>46200.625339541475</v>
      </c>
      <c r="P145" s="854">
        <f>SUM(Results_Res!P145,Results_Out!P145,Results_Ind!P145,Results_Com!P145)</f>
        <v>46882.847614453356</v>
      </c>
      <c r="Q145" s="854">
        <f>SUM(Results_Res!Q145,Results_Out!Q145,Results_Ind!Q145,Results_Com!Q145)</f>
        <v>47551.876130992321</v>
      </c>
      <c r="R145" s="854">
        <f>SUM(Results_Res!R145,Results_Out!R145,Results_Ind!R145,Results_Com!R145)</f>
        <v>48193.059923531328</v>
      </c>
      <c r="S145" s="854">
        <f>SUM(Results_Res!S145,Results_Out!S145,Results_Ind!S145,Results_Com!S145)</f>
        <v>48830.257070618551</v>
      </c>
      <c r="T145" s="854">
        <f>SUM(Results_Res!T145,Results_Out!T145,Results_Ind!T145,Results_Com!T145)</f>
        <v>49455.1410908084</v>
      </c>
      <c r="U145" s="854">
        <f>SUM(Results_Res!U145,Results_Out!U145,Results_Ind!U145,Results_Com!U145)</f>
        <v>50066.25291624308</v>
      </c>
      <c r="V145" s="854">
        <f>SUM(Results_Res!V145,Results_Out!V145,Results_Ind!V145,Results_Com!V145)</f>
        <v>50672.617702857642</v>
      </c>
      <c r="W145" s="854">
        <f>SUM(Results_Res!W145,Results_Out!W145,Results_Ind!W145,Results_Com!W145)</f>
        <v>51262.374668764212</v>
      </c>
      <c r="X145" s="854">
        <f>SUM(Results_Res!X145,Results_Out!X145,Results_Ind!X145,Results_Com!X145)</f>
        <v>51829.033804952662</v>
      </c>
      <c r="Y145" s="854">
        <f>SUM(Results_Res!Y145,Results_Out!Y145,Results_Ind!Y145,Results_Com!Y145)</f>
        <v>52370.256839321482</v>
      </c>
      <c r="Z145" s="854">
        <f>SUM(Results_Res!Z145,Results_Out!Z145,Results_Ind!Z145,Results_Com!Z145)</f>
        <v>52895.52457222723</v>
      </c>
      <c r="AA145" s="854">
        <f>SUM(Results_Res!AA145,Results_Out!AA145,Results_Ind!AA145,Results_Com!AA145)</f>
        <v>53413.668763696063</v>
      </c>
      <c r="AB145" s="854">
        <f>SUM(Results_Res!AB145,Results_Out!AB145,Results_Ind!AB145,Results_Com!AB145)</f>
        <v>53938.095466093677</v>
      </c>
      <c r="AC145" s="854">
        <f>SUM(Results_Res!AC145,Results_Out!AC145,Results_Ind!AC145,Results_Com!AC145)</f>
        <v>54437.942488935041</v>
      </c>
      <c r="AD145" s="854">
        <f>SUM(Results_Res!AD145,Results_Out!AD145,Results_Ind!AD145,Results_Com!AD145)</f>
        <v>54920.279288282632</v>
      </c>
      <c r="AE145" s="854">
        <f>SUM(Results_Res!AE145,Results_Out!AE145,Results_Ind!AE145,Results_Com!AE145)</f>
        <v>55384.521453910304</v>
      </c>
      <c r="AF145" s="854">
        <f>SUM(Results_Res!AF145,Results_Out!AF145,Results_Ind!AF145,Results_Com!AF145)</f>
        <v>55830.101884108997</v>
      </c>
    </row>
    <row r="146" spans="1:32" s="221" customFormat="1" x14ac:dyDescent="0.25">
      <c r="A146" s="839"/>
      <c r="B146" s="552" t="s">
        <v>50</v>
      </c>
      <c r="C146" s="539"/>
      <c r="D146" s="539"/>
      <c r="E146" s="539"/>
      <c r="F146" s="539"/>
      <c r="G146" s="854">
        <f>SUM(Results_Res!G146,Results_Out!G146,Results_Ind!G146,Results_Com!G146)</f>
        <v>0</v>
      </c>
      <c r="H146" s="854">
        <f>SUM(Results_Res!H146,Results_Out!H146,Results_Ind!H146,Results_Com!H146)</f>
        <v>2544.2269102104865</v>
      </c>
      <c r="I146" s="854">
        <f>SUM(Results_Res!I146,Results_Out!I146,Results_Ind!I146,Results_Com!I146)</f>
        <v>2535.4823564442759</v>
      </c>
      <c r="J146" s="854">
        <f>SUM(Results_Res!J146,Results_Out!J146,Results_Ind!J146,Results_Com!J146)</f>
        <v>2541.7675666645437</v>
      </c>
      <c r="K146" s="854">
        <f>SUM(Results_Res!K146,Results_Out!K146,Results_Ind!K146,Results_Com!K146)</f>
        <v>2552.1834367995807</v>
      </c>
      <c r="L146" s="854">
        <f>SUM(Results_Res!L146,Results_Out!L146,Results_Ind!L146,Results_Com!L146)</f>
        <v>2569.1141975328528</v>
      </c>
      <c r="M146" s="854">
        <f>SUM(Results_Res!M146,Results_Out!M146,Results_Ind!M146,Results_Com!M146)</f>
        <v>2586.3500777800286</v>
      </c>
      <c r="N146" s="854">
        <f>SUM(Results_Res!N146,Results_Out!N146,Results_Ind!N146,Results_Com!N146)</f>
        <v>2603.4995620342643</v>
      </c>
      <c r="O146" s="854">
        <f>SUM(Results_Res!O146,Results_Out!O146,Results_Ind!O146,Results_Com!O146)</f>
        <v>2623.4788287076044</v>
      </c>
      <c r="P146" s="854">
        <f>SUM(Results_Res!P146,Results_Out!P146,Results_Ind!P146,Results_Com!P146)</f>
        <v>2643.5115773875573</v>
      </c>
      <c r="Q146" s="854">
        <f>SUM(Results_Res!Q146,Results_Out!Q146,Results_Ind!Q146,Results_Com!Q146)</f>
        <v>2664.2915393064959</v>
      </c>
      <c r="R146" s="854">
        <f>SUM(Results_Res!R146,Results_Out!R146,Results_Ind!R146,Results_Com!R146)</f>
        <v>2682.7423796087496</v>
      </c>
      <c r="S146" s="854">
        <f>SUM(Results_Res!S146,Results_Out!S146,Results_Ind!S146,Results_Com!S146)</f>
        <v>2701.9718003456551</v>
      </c>
      <c r="T146" s="854">
        <f>SUM(Results_Res!T146,Results_Out!T146,Results_Ind!T146,Results_Com!T146)</f>
        <v>2720.5080788159203</v>
      </c>
      <c r="U146" s="854">
        <f>SUM(Results_Res!U146,Results_Out!U146,Results_Ind!U146,Results_Com!U146)</f>
        <v>2738.4785867091714</v>
      </c>
      <c r="V146" s="854">
        <f>SUM(Results_Res!V146,Results_Out!V146,Results_Ind!V146,Results_Com!V146)</f>
        <v>2756.7096156683983</v>
      </c>
      <c r="W146" s="854">
        <f>SUM(Results_Res!W146,Results_Out!W146,Results_Ind!W146,Results_Com!W146)</f>
        <v>2773.218096131066</v>
      </c>
      <c r="X146" s="854">
        <f>SUM(Results_Res!X146,Results_Out!X146,Results_Ind!X146,Results_Com!X146)</f>
        <v>2789.0910332195645</v>
      </c>
      <c r="Y146" s="854">
        <f>SUM(Results_Res!Y146,Results_Out!Y146,Results_Ind!Y146,Results_Com!Y146)</f>
        <v>2804.5410058552252</v>
      </c>
      <c r="Z146" s="854">
        <f>SUM(Results_Res!Z146,Results_Out!Z146,Results_Ind!Z146,Results_Com!Z146)</f>
        <v>2820.057399643194</v>
      </c>
      <c r="AA146" s="854">
        <f>SUM(Results_Res!AA146,Results_Out!AA146,Results_Ind!AA146,Results_Com!AA146)</f>
        <v>2835.6651578156461</v>
      </c>
      <c r="AB146" s="854">
        <f>SUM(Results_Res!AB146,Results_Out!AB146,Results_Ind!AB146,Results_Com!AB146)</f>
        <v>2852.2718572650965</v>
      </c>
      <c r="AC146" s="854">
        <f>SUM(Results_Res!AC146,Results_Out!AC146,Results_Ind!AC146,Results_Com!AC146)</f>
        <v>2866.5409309189854</v>
      </c>
      <c r="AD146" s="854">
        <f>SUM(Results_Res!AD146,Results_Out!AD146,Results_Ind!AD146,Results_Com!AD146)</f>
        <v>2880.1888088380592</v>
      </c>
      <c r="AE146" s="854">
        <f>SUM(Results_Res!AE146,Results_Out!AE146,Results_Ind!AE146,Results_Com!AE146)</f>
        <v>2893.1957821438505</v>
      </c>
      <c r="AF146" s="854">
        <f>SUM(Results_Res!AF146,Results_Out!AF146,Results_Ind!AF146,Results_Com!AF146)</f>
        <v>2905.5425712036672</v>
      </c>
    </row>
    <row r="147" spans="1:32" s="221" customFormat="1" x14ac:dyDescent="0.25">
      <c r="A147" s="839"/>
      <c r="B147" s="550" t="s">
        <v>51</v>
      </c>
      <c r="C147" s="539"/>
      <c r="D147" s="539"/>
      <c r="E147" s="539"/>
      <c r="F147" s="539"/>
      <c r="G147" s="854">
        <f>SUM(Results_Res!G147,Results_Out!G147,Results_Ind!G147,Results_Com!G147)</f>
        <v>0</v>
      </c>
      <c r="H147" s="854">
        <f>SUM(Results_Res!H147,Results_Out!H147,Results_Ind!H147,Results_Com!H147)</f>
        <v>2430.0920157867718</v>
      </c>
      <c r="I147" s="854">
        <f>SUM(Results_Res!I147,Results_Out!I147,Results_Ind!I147,Results_Com!I147)</f>
        <v>2456.0775987817351</v>
      </c>
      <c r="J147" s="854">
        <f>SUM(Results_Res!J147,Results_Out!J147,Results_Ind!J147,Results_Com!J147)</f>
        <v>2477.219856231759</v>
      </c>
      <c r="K147" s="854">
        <f>SUM(Results_Res!K147,Results_Out!K147,Results_Ind!K147,Results_Com!K147)</f>
        <v>2490.7177765528932</v>
      </c>
      <c r="L147" s="854">
        <f>SUM(Results_Res!L147,Results_Out!L147,Results_Ind!L147,Results_Com!L147)</f>
        <v>2506.9716439375834</v>
      </c>
      <c r="M147" s="854">
        <f>SUM(Results_Res!M147,Results_Out!M147,Results_Ind!M147,Results_Com!M147)</f>
        <v>2517.2116944509771</v>
      </c>
      <c r="N147" s="854">
        <f>SUM(Results_Res!N147,Results_Out!N147,Results_Ind!N147,Results_Com!N147)</f>
        <v>2528.9486450902641</v>
      </c>
      <c r="O147" s="854">
        <f>SUM(Results_Res!O147,Results_Out!O147,Results_Ind!O147,Results_Com!O147)</f>
        <v>2547.4282731742669</v>
      </c>
      <c r="P147" s="854">
        <f>SUM(Results_Res!P147,Results_Out!P147,Results_Ind!P147,Results_Com!P147)</f>
        <v>2560.9270933554435</v>
      </c>
      <c r="Q147" s="854">
        <f>SUM(Results_Res!Q147,Results_Out!Q147,Results_Ind!Q147,Results_Com!Q147)</f>
        <v>2577.3554424415097</v>
      </c>
      <c r="R147" s="854">
        <f>SUM(Results_Res!R147,Results_Out!R147,Results_Ind!R147,Results_Com!R147)</f>
        <v>2587.5137848553836</v>
      </c>
      <c r="S147" s="854">
        <f>SUM(Results_Res!S147,Results_Out!S147,Results_Ind!S147,Results_Com!S147)</f>
        <v>2599.6325835574185</v>
      </c>
      <c r="T147" s="854">
        <f>SUM(Results_Res!T147,Results_Out!T147,Results_Ind!T147,Results_Com!T147)</f>
        <v>2611.1054550876761</v>
      </c>
      <c r="U147" s="854">
        <f>SUM(Results_Res!U147,Results_Out!U147,Results_Ind!U147,Results_Com!U147)</f>
        <v>2622.335365261165</v>
      </c>
      <c r="V147" s="854">
        <f>SUM(Results_Res!V147,Results_Out!V147,Results_Ind!V147,Results_Com!V147)</f>
        <v>2633.8841449436468</v>
      </c>
      <c r="W147" s="854">
        <f>SUM(Results_Res!W147,Results_Out!W147,Results_Ind!W147,Results_Com!W147)</f>
        <v>2642.1470581713625</v>
      </c>
      <c r="X147" s="854">
        <f>SUM(Results_Res!X147,Results_Out!X147,Results_Ind!X147,Results_Com!X147)</f>
        <v>2652.401582961134</v>
      </c>
      <c r="Y147" s="854">
        <f>SUM(Results_Res!Y147,Results_Out!Y147,Results_Ind!Y147,Results_Com!Y147)</f>
        <v>2662.6301269356459</v>
      </c>
      <c r="Z147" s="854">
        <f>SUM(Results_Res!Z147,Results_Out!Z147,Results_Ind!Z147,Results_Com!Z147)</f>
        <v>2672.06385026111</v>
      </c>
      <c r="AA147" s="854">
        <f>SUM(Results_Res!AA147,Results_Out!AA147,Results_Ind!AA147,Results_Com!AA147)</f>
        <v>2680.8303161056369</v>
      </c>
      <c r="AB147" s="854">
        <f>SUM(Results_Res!AB147,Results_Out!AB147,Results_Ind!AB147,Results_Com!AB147)</f>
        <v>2691.1547671856188</v>
      </c>
      <c r="AC147" s="854">
        <f>SUM(Results_Res!AC147,Results_Out!AC147,Results_Ind!AC147,Results_Com!AC147)</f>
        <v>2698.9684685638645</v>
      </c>
      <c r="AD147" s="854">
        <f>SUM(Results_Res!AD147,Results_Out!AD147,Results_Ind!AD147,Results_Com!AD147)</f>
        <v>2706.2211594790688</v>
      </c>
      <c r="AE147" s="854">
        <f>SUM(Results_Res!AE147,Results_Out!AE147,Results_Ind!AE147,Results_Com!AE147)</f>
        <v>2712.9011739595935</v>
      </c>
      <c r="AF147" s="854">
        <f>SUM(Results_Res!AF147,Results_Out!AF147,Results_Ind!AF147,Results_Com!AF147)</f>
        <v>2718.9972362704257</v>
      </c>
    </row>
    <row r="148" spans="1:32" s="221" customFormat="1" x14ac:dyDescent="0.25">
      <c r="A148" s="839"/>
      <c r="B148" s="550" t="s">
        <v>52</v>
      </c>
      <c r="C148" s="539"/>
      <c r="D148" s="539"/>
      <c r="E148" s="539"/>
      <c r="F148" s="539"/>
      <c r="G148" s="854">
        <f>SUM(Results_Res!G148,Results_Out!G148,Results_Ind!G148,Results_Com!G148)</f>
        <v>0</v>
      </c>
      <c r="H148" s="854">
        <f>SUM(Results_Res!H148,Results_Out!H148,Results_Ind!H148,Results_Com!H148)</f>
        <v>1413.1547970888455</v>
      </c>
      <c r="I148" s="854">
        <f>SUM(Results_Res!I148,Results_Out!I148,Results_Ind!I148,Results_Com!I148)</f>
        <v>1441.1010241834308</v>
      </c>
      <c r="J148" s="854">
        <f>SUM(Results_Res!J148,Results_Out!J148,Results_Ind!J148,Results_Com!J148)</f>
        <v>1466.2935085171971</v>
      </c>
      <c r="K148" s="854">
        <f>SUM(Results_Res!K148,Results_Out!K148,Results_Ind!K148,Results_Com!K148)</f>
        <v>1483.5976282824975</v>
      </c>
      <c r="L148" s="854">
        <f>SUM(Results_Res!L148,Results_Out!L148,Results_Ind!L148,Results_Com!L148)</f>
        <v>1505.0199738624076</v>
      </c>
      <c r="M148" s="854">
        <f>SUM(Results_Res!M148,Results_Out!M148,Results_Ind!M148,Results_Com!M148)</f>
        <v>1523.661544873713</v>
      </c>
      <c r="N148" s="854">
        <f>SUM(Results_Res!N148,Results_Out!N148,Results_Ind!N148,Results_Com!N148)</f>
        <v>1540.9255471263225</v>
      </c>
      <c r="O148" s="854">
        <f>SUM(Results_Res!O148,Results_Out!O148,Results_Ind!O148,Results_Com!O148)</f>
        <v>1560.927803884181</v>
      </c>
      <c r="P148" s="854">
        <f>SUM(Results_Res!P148,Results_Out!P148,Results_Ind!P148,Results_Com!P148)</f>
        <v>1579.3961726899556</v>
      </c>
      <c r="Q148" s="854">
        <f>SUM(Results_Res!Q148,Results_Out!Q148,Results_Ind!Q148,Results_Com!Q148)</f>
        <v>1598.8084884374321</v>
      </c>
      <c r="R148" s="854">
        <f>SUM(Results_Res!R148,Results_Out!R148,Results_Ind!R148,Results_Com!R148)</f>
        <v>1614.2187521885608</v>
      </c>
      <c r="S148" s="854">
        <f>SUM(Results_Res!S148,Results_Out!S148,Results_Ind!S148,Results_Com!S148)</f>
        <v>1632.4149726220471</v>
      </c>
      <c r="T148" s="854">
        <f>SUM(Results_Res!T148,Results_Out!T148,Results_Ind!T148,Results_Com!T148)</f>
        <v>1650.1338631126694</v>
      </c>
      <c r="U148" s="854">
        <f>SUM(Results_Res!U148,Results_Out!U148,Results_Ind!U148,Results_Com!U148)</f>
        <v>1666.5963186948477</v>
      </c>
      <c r="V148" s="854">
        <f>SUM(Results_Res!V148,Results_Out!V148,Results_Ind!V148,Results_Com!V148)</f>
        <v>1684.6127119803261</v>
      </c>
      <c r="W148" s="854">
        <f>SUM(Results_Res!W148,Results_Out!W148,Results_Ind!W148,Results_Com!W148)</f>
        <v>1699.565385985278</v>
      </c>
      <c r="X148" s="854">
        <f>SUM(Results_Res!X148,Results_Out!X148,Results_Ind!X148,Results_Com!X148)</f>
        <v>1714.699977279427</v>
      </c>
      <c r="Y148" s="854">
        <f>SUM(Results_Res!Y148,Results_Out!Y148,Results_Ind!Y148,Results_Com!Y148)</f>
        <v>1729.4337545031183</v>
      </c>
      <c r="Z148" s="854">
        <f>SUM(Results_Res!Z148,Results_Out!Z148,Results_Ind!Z148,Results_Com!Z148)</f>
        <v>1744.1442130401056</v>
      </c>
      <c r="AA148" s="854">
        <f>SUM(Results_Res!AA148,Results_Out!AA148,Results_Ind!AA148,Results_Com!AA148)</f>
        <v>1759.4681570123576</v>
      </c>
      <c r="AB148" s="854">
        <f>SUM(Results_Res!AB148,Results_Out!AB148,Results_Ind!AB148,Results_Com!AB148)</f>
        <v>1778.1579718746377</v>
      </c>
      <c r="AC148" s="854">
        <f>SUM(Results_Res!AC148,Results_Out!AC148,Results_Ind!AC148,Results_Com!AC148)</f>
        <v>1792.7300268375893</v>
      </c>
      <c r="AD148" s="854">
        <f>SUM(Results_Res!AD148,Results_Out!AD148,Results_Ind!AD148,Results_Com!AD148)</f>
        <v>1806.5836974028089</v>
      </c>
      <c r="AE148" s="854">
        <f>SUM(Results_Res!AE148,Results_Out!AE148,Results_Ind!AE148,Results_Com!AE148)</f>
        <v>1820.6481012858076</v>
      </c>
      <c r="AF148" s="854">
        <f>SUM(Results_Res!AF148,Results_Out!AF148,Results_Ind!AF148,Results_Com!AF148)</f>
        <v>1833.9437847861323</v>
      </c>
    </row>
    <row r="149" spans="1:32" s="221" customFormat="1" x14ac:dyDescent="0.25">
      <c r="A149" s="839"/>
      <c r="B149" s="552" t="s">
        <v>29</v>
      </c>
      <c r="C149" s="539"/>
      <c r="D149" s="539"/>
      <c r="E149" s="539"/>
      <c r="F149" s="539"/>
      <c r="G149" s="854">
        <f>SUM(Results_Res!G149,Results_Out!G149,Results_Ind!G149,Results_Com!G149)</f>
        <v>0</v>
      </c>
      <c r="H149" s="854">
        <f>SUM(Results_Res!H149,Results_Out!H149,Results_Ind!H149,Results_Com!H149)</f>
        <v>427.45060804468511</v>
      </c>
      <c r="I149" s="854">
        <f>SUM(Results_Res!I149,Results_Out!I149,Results_Ind!I149,Results_Com!I149)</f>
        <v>383.01170682896759</v>
      </c>
      <c r="J149" s="854">
        <f>SUM(Results_Res!J149,Results_Out!J149,Results_Ind!J149,Results_Com!J149)</f>
        <v>404.47049796963933</v>
      </c>
      <c r="K149" s="854">
        <f>SUM(Results_Res!K149,Results_Out!K149,Results_Ind!K149,Results_Com!K149)</f>
        <v>431.84252380642022</v>
      </c>
      <c r="L149" s="854">
        <f>SUM(Results_Res!L149,Results_Out!L149,Results_Ind!L149,Results_Com!L149)</f>
        <v>468.32908491126057</v>
      </c>
      <c r="M149" s="854">
        <f>SUM(Results_Res!M149,Results_Out!M149,Results_Ind!M149,Results_Com!M149)</f>
        <v>504.56045020660696</v>
      </c>
      <c r="N149" s="854">
        <f>SUM(Results_Res!N149,Results_Out!N149,Results_Ind!N149,Results_Com!N149)</f>
        <v>541.36960919814578</v>
      </c>
      <c r="O149" s="854">
        <f>SUM(Results_Res!O149,Results_Out!O149,Results_Ind!O149,Results_Com!O149)</f>
        <v>580.44807625831061</v>
      </c>
      <c r="P149" s="854">
        <f>SUM(Results_Res!P149,Results_Out!P149,Results_Ind!P149,Results_Com!P149)</f>
        <v>618.98193450378358</v>
      </c>
      <c r="Q149" s="854">
        <f>SUM(Results_Res!Q149,Results_Out!Q149,Results_Ind!Q149,Results_Com!Q149)</f>
        <v>658.85085969844863</v>
      </c>
      <c r="R149" s="854">
        <f>SUM(Results_Res!R149,Results_Out!R149,Results_Ind!R149,Results_Com!R149)</f>
        <v>696.98064336062225</v>
      </c>
      <c r="S149" s="854">
        <f>SUM(Results_Res!S149,Results_Out!S149,Results_Ind!S149,Results_Com!S149)</f>
        <v>736.79693838749643</v>
      </c>
      <c r="T149" s="854">
        <f>SUM(Results_Res!T149,Results_Out!T149,Results_Ind!T149,Results_Com!T149)</f>
        <v>776.87746243325387</v>
      </c>
      <c r="U149" s="854">
        <f>SUM(Results_Res!U149,Results_Out!U149,Results_Ind!U149,Results_Com!U149)</f>
        <v>817.29506858744776</v>
      </c>
      <c r="V149" s="854">
        <f>SUM(Results_Res!V149,Results_Out!V149,Results_Ind!V149,Results_Com!V149)</f>
        <v>858.6300160123601</v>
      </c>
      <c r="W149" s="854">
        <f>SUM(Results_Res!W149,Results_Out!W149,Results_Ind!W149,Results_Com!W149)</f>
        <v>898.90570957882596</v>
      </c>
      <c r="X149" s="854">
        <f>SUM(Results_Res!X149,Results_Out!X149,Results_Ind!X149,Results_Com!X149)</f>
        <v>940.06873256854681</v>
      </c>
      <c r="Y149" s="854">
        <f>SUM(Results_Res!Y149,Results_Out!Y149,Results_Ind!Y149,Results_Com!Y149)</f>
        <v>981.31693175978762</v>
      </c>
      <c r="Z149" s="854">
        <f>SUM(Results_Res!Z149,Results_Out!Z149,Results_Ind!Z149,Results_Com!Z149)</f>
        <v>1022.7930418561783</v>
      </c>
      <c r="AA149" s="854">
        <f>SUM(Results_Res!AA149,Results_Out!AA149,Results_Ind!AA149,Results_Com!AA149)</f>
        <v>1064.7942136020135</v>
      </c>
      <c r="AB149" s="854">
        <f>SUM(Results_Res!AB149,Results_Out!AB149,Results_Ind!AB149,Results_Com!AB149)</f>
        <v>1108.7474451571566</v>
      </c>
      <c r="AC149" s="854">
        <f>SUM(Results_Res!AC149,Results_Out!AC149,Results_Ind!AC149,Results_Com!AC149)</f>
        <v>1150.9788320355744</v>
      </c>
      <c r="AD149" s="854">
        <f>SUM(Results_Res!AD149,Results_Out!AD149,Results_Ind!AD149,Results_Com!AD149)</f>
        <v>1193.2370218246124</v>
      </c>
      <c r="AE149" s="854">
        <f>SUM(Results_Res!AE149,Results_Out!AE149,Results_Ind!AE149,Results_Com!AE149)</f>
        <v>1235.5017212753139</v>
      </c>
      <c r="AF149" s="854">
        <f>SUM(Results_Res!AF149,Results_Out!AF149,Results_Ind!AF149,Results_Com!AF149)</f>
        <v>1277.7225215783637</v>
      </c>
    </row>
    <row r="150" spans="1:32" s="221" customFormat="1" x14ac:dyDescent="0.25">
      <c r="A150" s="839"/>
      <c r="B150" s="552" t="s">
        <v>53</v>
      </c>
      <c r="C150" s="539"/>
      <c r="D150" s="539"/>
      <c r="E150" s="539"/>
      <c r="F150" s="539"/>
      <c r="G150" s="854">
        <f>SUM(Results_Res!G150,Results_Out!G150,Results_Ind!G150,Results_Com!G150)</f>
        <v>0</v>
      </c>
      <c r="H150" s="854">
        <f>SUM(Results_Res!H150,Results_Out!H150,Results_Ind!H150,Results_Com!H150)</f>
        <v>22.308503834107537</v>
      </c>
      <c r="I150" s="854">
        <f>SUM(Results_Res!I150,Results_Out!I150,Results_Ind!I150,Results_Com!I150)</f>
        <v>22.933113805662465</v>
      </c>
      <c r="J150" s="854">
        <f>SUM(Results_Res!J150,Results_Out!J150,Results_Ind!J150,Results_Com!J150)</f>
        <v>23.516334386075833</v>
      </c>
      <c r="K150" s="854">
        <f>SUM(Results_Res!K150,Results_Out!K150,Results_Ind!K150,Results_Com!K150)</f>
        <v>23.906177637997953</v>
      </c>
      <c r="L150" s="854">
        <f>SUM(Results_Res!L150,Results_Out!L150,Results_Ind!L150,Results_Com!L150)</f>
        <v>24.405172627221951</v>
      </c>
      <c r="M150" s="854">
        <f>SUM(Results_Res!M150,Results_Out!M150,Results_Ind!M150,Results_Com!M150)</f>
        <v>24.875545006160738</v>
      </c>
      <c r="N150" s="854">
        <f>SUM(Results_Res!N150,Results_Out!N150,Results_Ind!N150,Results_Com!N150)</f>
        <v>25.269448268156431</v>
      </c>
      <c r="O150" s="854">
        <f>SUM(Results_Res!O150,Results_Out!O150,Results_Ind!O150,Results_Com!O150)</f>
        <v>25.671880454323791</v>
      </c>
      <c r="P150" s="854">
        <f>SUM(Results_Res!P150,Results_Out!P150,Results_Ind!P150,Results_Com!P150)</f>
        <v>26.08557763194208</v>
      </c>
      <c r="Q150" s="854">
        <f>SUM(Results_Res!Q150,Results_Out!Q150,Results_Ind!Q150,Results_Com!Q150)</f>
        <v>26.490765672387173</v>
      </c>
      <c r="R150" s="854">
        <f>SUM(Results_Res!R150,Results_Out!R150,Results_Ind!R150,Results_Com!R150)</f>
        <v>26.832744937168435</v>
      </c>
      <c r="S150" s="854">
        <f>SUM(Results_Res!S150,Results_Out!S150,Results_Ind!S150,Results_Com!S150)</f>
        <v>27.245797850213407</v>
      </c>
      <c r="T150" s="854">
        <f>SUM(Results_Res!T150,Results_Out!T150,Results_Ind!T150,Results_Com!T150)</f>
        <v>27.646666416226317</v>
      </c>
      <c r="U150" s="854">
        <f>SUM(Results_Res!U150,Results_Out!U150,Results_Ind!U150,Results_Com!U150)</f>
        <v>28.034799955296609</v>
      </c>
      <c r="V150" s="854">
        <f>SUM(Results_Res!V150,Results_Out!V150,Results_Ind!V150,Results_Com!V150)</f>
        <v>28.454462937146722</v>
      </c>
      <c r="W150" s="854">
        <f>SUM(Results_Res!W150,Results_Out!W150,Results_Ind!W150,Results_Com!W150)</f>
        <v>28.834748675707722</v>
      </c>
      <c r="X150" s="854">
        <f>SUM(Results_Res!X150,Results_Out!X150,Results_Ind!X150,Results_Com!X150)</f>
        <v>29.168214719625858</v>
      </c>
      <c r="Y150" s="854">
        <f>SUM(Results_Res!Y150,Results_Out!Y150,Results_Ind!Y150,Results_Com!Y150)</f>
        <v>29.46959854695848</v>
      </c>
      <c r="Z150" s="854">
        <f>SUM(Results_Res!Z150,Results_Out!Z150,Results_Ind!Z150,Results_Com!Z150)</f>
        <v>29.794992069346819</v>
      </c>
      <c r="AA150" s="854">
        <f>SUM(Results_Res!AA150,Results_Out!AA150,Results_Ind!AA150,Results_Com!AA150)</f>
        <v>30.162933639558055</v>
      </c>
      <c r="AB150" s="854">
        <f>SUM(Results_Res!AB150,Results_Out!AB150,Results_Ind!AB150,Results_Com!AB150)</f>
        <v>30.602183892455784</v>
      </c>
      <c r="AC150" s="854">
        <f>SUM(Results_Res!AC150,Results_Out!AC150,Results_Ind!AC150,Results_Com!AC150)</f>
        <v>30.931721918549005</v>
      </c>
      <c r="AD150" s="854">
        <f>SUM(Results_Res!AD150,Results_Out!AD150,Results_Ind!AD150,Results_Com!AD150)</f>
        <v>31.25039553452244</v>
      </c>
      <c r="AE150" s="854">
        <f>SUM(Results_Res!AE150,Results_Out!AE150,Results_Ind!AE150,Results_Com!AE150)</f>
        <v>31.557785127930334</v>
      </c>
      <c r="AF150" s="854">
        <f>SUM(Results_Res!AF150,Results_Out!AF150,Results_Ind!AF150,Results_Com!AF150)</f>
        <v>31.853482095547761</v>
      </c>
    </row>
    <row r="151" spans="1:32" s="221" customFormat="1" x14ac:dyDescent="0.25">
      <c r="A151" s="838"/>
      <c r="B151" s="539"/>
      <c r="C151" s="539"/>
      <c r="D151" s="539"/>
      <c r="E151" s="539"/>
      <c r="F151" s="539"/>
      <c r="G151" s="539"/>
      <c r="H151" s="539"/>
      <c r="I151" s="539"/>
      <c r="J151" s="539"/>
      <c r="K151" s="539"/>
      <c r="L151" s="539"/>
      <c r="M151" s="539"/>
      <c r="N151" s="539"/>
      <c r="O151" s="539"/>
      <c r="P151" s="539"/>
      <c r="Q151" s="539"/>
      <c r="R151" s="539"/>
      <c r="S151" s="539"/>
      <c r="T151" s="539"/>
      <c r="U151" s="539"/>
      <c r="V151" s="539"/>
      <c r="W151" s="539"/>
      <c r="X151" s="539"/>
      <c r="Y151" s="539"/>
      <c r="Z151" s="539"/>
      <c r="AA151" s="539"/>
      <c r="AB151" s="539"/>
      <c r="AC151" s="539"/>
      <c r="AD151" s="539"/>
      <c r="AE151" s="539"/>
      <c r="AF151" s="539"/>
    </row>
    <row r="152" spans="1:32" s="221" customFormat="1" x14ac:dyDescent="0.25">
      <c r="A152" s="838"/>
      <c r="B152" s="539"/>
      <c r="C152" s="539"/>
      <c r="D152" s="539"/>
      <c r="E152" s="539"/>
      <c r="F152" s="539"/>
      <c r="G152" s="539"/>
      <c r="H152" s="539"/>
      <c r="I152" s="539"/>
      <c r="J152" s="539"/>
      <c r="K152" s="539"/>
      <c r="L152" s="539"/>
      <c r="M152" s="539"/>
      <c r="N152" s="539"/>
      <c r="O152" s="539"/>
      <c r="P152" s="539"/>
      <c r="Q152" s="539"/>
      <c r="R152" s="539"/>
      <c r="S152" s="539"/>
      <c r="T152" s="539"/>
      <c r="U152" s="539"/>
      <c r="V152" s="539"/>
      <c r="W152" s="539"/>
      <c r="X152" s="539"/>
      <c r="Y152" s="539"/>
      <c r="Z152" s="539"/>
      <c r="AA152" s="539"/>
      <c r="AB152" s="539"/>
      <c r="AC152" s="539"/>
      <c r="AD152" s="539"/>
      <c r="AE152" s="539"/>
      <c r="AF152" s="539"/>
    </row>
    <row r="153" spans="1:32" x14ac:dyDescent="0.25">
      <c r="A153" s="860" t="s">
        <v>632</v>
      </c>
      <c r="B153" s="555"/>
      <c r="C153" s="554"/>
      <c r="D153" s="553"/>
      <c r="E153" s="553"/>
      <c r="F153" s="553"/>
      <c r="G153" s="553"/>
      <c r="H153" s="560"/>
      <c r="I153" s="560"/>
      <c r="J153" s="560"/>
      <c r="K153" s="560"/>
      <c r="L153" s="560"/>
      <c r="M153" s="560"/>
      <c r="N153" s="560"/>
      <c r="O153" s="560"/>
      <c r="P153" s="560"/>
      <c r="Q153" s="560"/>
      <c r="R153" s="560"/>
      <c r="S153" s="560"/>
      <c r="T153" s="560"/>
      <c r="U153" s="560"/>
      <c r="V153" s="560"/>
      <c r="W153" s="560"/>
      <c r="X153" s="560"/>
      <c r="Y153" s="560"/>
      <c r="Z153" s="560"/>
      <c r="AA153" s="560"/>
      <c r="AB153" s="560"/>
      <c r="AC153" s="560"/>
      <c r="AD153" s="560"/>
      <c r="AE153" s="560"/>
      <c r="AF153" s="560"/>
    </row>
    <row r="154" spans="1:32" x14ac:dyDescent="0.25">
      <c r="A154" s="840" t="s">
        <v>12</v>
      </c>
      <c r="B154" s="550"/>
    </row>
    <row r="155" spans="1:32" x14ac:dyDescent="0.25">
      <c r="A155" s="839"/>
      <c r="B155" s="550" t="s">
        <v>20</v>
      </c>
    </row>
    <row r="156" spans="1:32" s="202" customFormat="1" ht="12.75" x14ac:dyDescent="0.2">
      <c r="A156" s="843" t="s">
        <v>21</v>
      </c>
      <c r="B156" s="556"/>
      <c r="C156" s="556"/>
      <c r="D156" s="556"/>
      <c r="E156" s="556"/>
      <c r="F156" s="556"/>
      <c r="G156" s="556"/>
      <c r="H156" s="556"/>
      <c r="I156" s="556"/>
      <c r="J156" s="556"/>
      <c r="K156" s="556"/>
      <c r="L156" s="556"/>
      <c r="M156" s="556"/>
      <c r="N156" s="556"/>
      <c r="O156" s="556"/>
      <c r="P156" s="556"/>
      <c r="Q156" s="556"/>
      <c r="R156" s="556"/>
      <c r="S156" s="556"/>
      <c r="T156" s="556"/>
      <c r="U156" s="556"/>
      <c r="V156" s="556"/>
      <c r="W156" s="556"/>
      <c r="X156" s="556"/>
      <c r="Y156" s="556"/>
      <c r="Z156" s="556"/>
      <c r="AA156" s="556"/>
      <c r="AB156" s="556"/>
      <c r="AC156" s="556"/>
      <c r="AD156" s="556"/>
      <c r="AE156" s="556"/>
      <c r="AF156" s="556"/>
    </row>
    <row r="157" spans="1:32" s="221" customFormat="1" x14ac:dyDescent="0.25">
      <c r="A157" s="839"/>
      <c r="B157" s="550" t="s">
        <v>22</v>
      </c>
      <c r="C157" s="539"/>
      <c r="D157" s="539"/>
      <c r="E157" s="539"/>
      <c r="F157" s="539"/>
      <c r="G157" s="854">
        <f>SUM(Results_Res!G157,Results_Out!G157,Results_Ind!G157,Results_Com!G157)</f>
        <v>103524.52108148173</v>
      </c>
      <c r="H157" s="854">
        <f>SUM(Results_Res!H157,Results_Out!H157,Results_Ind!H157,Results_Com!H157)</f>
        <v>95525.320095943665</v>
      </c>
      <c r="I157" s="854">
        <f>SUM(Results_Res!I157,Results_Out!I157,Results_Ind!I157,Results_Com!I157)</f>
        <v>85839.035379464622</v>
      </c>
      <c r="J157" s="854">
        <f>SUM(Results_Res!J157,Results_Out!J157,Results_Ind!J157,Results_Com!J157)</f>
        <v>68457.316965380698</v>
      </c>
      <c r="K157" s="854">
        <f>SUM(Results_Res!K157,Results_Out!K157,Results_Ind!K157,Results_Com!K157)</f>
        <v>52436.280433267602</v>
      </c>
      <c r="L157" s="854">
        <f>SUM(Results_Res!L157,Results_Out!L157,Results_Ind!L157,Results_Com!L157)</f>
        <v>38237.506508306768</v>
      </c>
      <c r="M157" s="854">
        <f>SUM(Results_Res!M157,Results_Out!M157,Results_Ind!M157,Results_Com!M157)</f>
        <v>23625.133765752616</v>
      </c>
      <c r="N157" s="854">
        <f>SUM(Results_Res!N157,Results_Out!N157,Results_Ind!N157,Results_Com!N157)</f>
        <v>16121.464635829348</v>
      </c>
      <c r="O157" s="854">
        <f>SUM(Results_Res!O157,Results_Out!O157,Results_Ind!O157,Results_Com!O157)</f>
        <v>12189.994250830961</v>
      </c>
      <c r="P157" s="854">
        <f>SUM(Results_Res!P157,Results_Out!P157,Results_Ind!P157,Results_Com!P157)</f>
        <v>10115.837981419112</v>
      </c>
      <c r="Q157" s="854">
        <f>SUM(Results_Res!Q157,Results_Out!Q157,Results_Ind!Q157,Results_Com!Q157)</f>
        <v>9022.1809362859221</v>
      </c>
      <c r="R157" s="854">
        <f>SUM(Results_Res!R157,Results_Out!R157,Results_Ind!R157,Results_Com!R157)</f>
        <v>8453.7680415805935</v>
      </c>
      <c r="S157" s="854">
        <f>SUM(Results_Res!S157,Results_Out!S157,Results_Ind!S157,Results_Com!S157)</f>
        <v>8175.3443748896552</v>
      </c>
      <c r="T157" s="854">
        <f>SUM(Results_Res!T157,Results_Out!T157,Results_Ind!T157,Results_Com!T157)</f>
        <v>8060.3341266489533</v>
      </c>
      <c r="U157" s="854">
        <f>SUM(Results_Res!U157,Results_Out!U157,Results_Ind!U157,Results_Com!U157)</f>
        <v>8039.6648252182276</v>
      </c>
      <c r="V157" s="854">
        <f>SUM(Results_Res!V157,Results_Out!V157,Results_Ind!V157,Results_Com!V157)</f>
        <v>8076.0240968010039</v>
      </c>
      <c r="W157" s="854">
        <f>SUM(Results_Res!W157,Results_Out!W157,Results_Ind!W157,Results_Com!W157)</f>
        <v>8146.3402256224126</v>
      </c>
      <c r="X157" s="854">
        <f>SUM(Results_Res!X157,Results_Out!X157,Results_Ind!X157,Results_Com!X157)</f>
        <v>8236.3726096548726</v>
      </c>
      <c r="Y157" s="854">
        <f>SUM(Results_Res!Y157,Results_Out!Y157,Results_Ind!Y157,Results_Com!Y157)</f>
        <v>8337.3474299244881</v>
      </c>
      <c r="Z157" s="854">
        <f>SUM(Results_Res!Z157,Results_Out!Z157,Results_Ind!Z157,Results_Com!Z157)</f>
        <v>8445.249546713394</v>
      </c>
      <c r="AA157" s="854">
        <f>SUM(Results_Res!AA157,Results_Out!AA157,Results_Ind!AA157,Results_Com!AA157)</f>
        <v>8558.6006189736963</v>
      </c>
      <c r="AB157" s="854">
        <f>SUM(Results_Res!AB157,Results_Out!AB157,Results_Ind!AB157,Results_Com!AB157)</f>
        <v>8677.9293701718561</v>
      </c>
      <c r="AC157" s="854">
        <f>SUM(Results_Res!AC157,Results_Out!AC157,Results_Ind!AC157,Results_Com!AC157)</f>
        <v>8798.7766625344357</v>
      </c>
      <c r="AD157" s="854">
        <f>SUM(Results_Res!AD157,Results_Out!AD157,Results_Ind!AD157,Results_Com!AD157)</f>
        <v>8919.669361818058</v>
      </c>
      <c r="AE157" s="854">
        <f>SUM(Results_Res!AE157,Results_Out!AE157,Results_Ind!AE157,Results_Com!AE157)</f>
        <v>9039.6819239072865</v>
      </c>
      <c r="AF157" s="854">
        <f>SUM(Results_Res!AF157,Results_Out!AF157,Results_Ind!AF157,Results_Com!AF157)</f>
        <v>9158.1990094969224</v>
      </c>
    </row>
    <row r="158" spans="1:32" s="221" customFormat="1" x14ac:dyDescent="0.25">
      <c r="A158" s="839"/>
      <c r="B158" s="550" t="s">
        <v>26</v>
      </c>
      <c r="C158" s="539"/>
      <c r="D158" s="539"/>
      <c r="E158" s="539"/>
      <c r="F158" s="539"/>
      <c r="G158" s="854">
        <f>SUM(Results_Res!G158,Results_Out!G158,Results_Ind!G158,Results_Com!G158)</f>
        <v>1969.972270701717</v>
      </c>
      <c r="H158" s="854">
        <f>SUM(Results_Res!H158,Results_Out!H158,Results_Ind!H158,Results_Com!H158)</f>
        <v>1886.2458488467162</v>
      </c>
      <c r="I158" s="854">
        <f>SUM(Results_Res!I158,Results_Out!I158,Results_Ind!I158,Results_Com!I158)</f>
        <v>4637.0822465107613</v>
      </c>
      <c r="J158" s="854">
        <f>SUM(Results_Res!J158,Results_Out!J158,Results_Ind!J158,Results_Com!J158)</f>
        <v>13336.476769794595</v>
      </c>
      <c r="K158" s="854">
        <f>SUM(Results_Res!K158,Results_Out!K158,Results_Ind!K158,Results_Com!K158)</f>
        <v>22470.547206949297</v>
      </c>
      <c r="L158" s="854">
        <f>SUM(Results_Res!L158,Results_Out!L158,Results_Ind!L158,Results_Com!L158)</f>
        <v>28703.59070241277</v>
      </c>
      <c r="M158" s="854">
        <f>SUM(Results_Res!M158,Results_Out!M158,Results_Ind!M158,Results_Com!M158)</f>
        <v>33889.348801152621</v>
      </c>
      <c r="N158" s="854">
        <f>SUM(Results_Res!N158,Results_Out!N158,Results_Ind!N158,Results_Com!N158)</f>
        <v>35176.839159044372</v>
      </c>
      <c r="O158" s="854">
        <f>SUM(Results_Res!O158,Results_Out!O158,Results_Ind!O158,Results_Com!O158)</f>
        <v>35025.699645109431</v>
      </c>
      <c r="P158" s="854">
        <f>SUM(Results_Res!P158,Results_Out!P158,Results_Ind!P158,Results_Com!P158)</f>
        <v>34478.517141373217</v>
      </c>
      <c r="Q158" s="854">
        <f>SUM(Results_Res!Q158,Results_Out!Q158,Results_Ind!Q158,Results_Com!Q158)</f>
        <v>33959.372357513377</v>
      </c>
      <c r="R158" s="854">
        <f>SUM(Results_Res!R158,Results_Out!R158,Results_Ind!R158,Results_Com!R158)</f>
        <v>33596.030609466121</v>
      </c>
      <c r="S158" s="854">
        <f>SUM(Results_Res!S158,Results_Out!S158,Results_Ind!S158,Results_Com!S158)</f>
        <v>33434.625281892149</v>
      </c>
      <c r="T158" s="854">
        <f>SUM(Results_Res!T158,Results_Out!T158,Results_Ind!T158,Results_Com!T158)</f>
        <v>33449.025426031272</v>
      </c>
      <c r="U158" s="854">
        <f>SUM(Results_Res!U158,Results_Out!U158,Results_Ind!U158,Results_Com!U158)</f>
        <v>33601.922685098121</v>
      </c>
      <c r="V158" s="854">
        <f>SUM(Results_Res!V158,Results_Out!V158,Results_Ind!V158,Results_Com!V158)</f>
        <v>33868.278609510337</v>
      </c>
      <c r="W158" s="854">
        <f>SUM(Results_Res!W158,Results_Out!W158,Results_Ind!W158,Results_Com!W158)</f>
        <v>34208.633981558705</v>
      </c>
      <c r="X158" s="854">
        <f>SUM(Results_Res!X158,Results_Out!X158,Results_Ind!X158,Results_Com!X158)</f>
        <v>34592.314489053475</v>
      </c>
      <c r="Y158" s="854">
        <f>SUM(Results_Res!Y158,Results_Out!Y158,Results_Ind!Y158,Results_Com!Y158)</f>
        <v>34998.91930975546</v>
      </c>
      <c r="Z158" s="854">
        <f>SUM(Results_Res!Z158,Results_Out!Z158,Results_Ind!Z158,Results_Com!Z158)</f>
        <v>35426.598180745539</v>
      </c>
      <c r="AA158" s="854">
        <f>SUM(Results_Res!AA158,Results_Out!AA158,Results_Ind!AA158,Results_Com!AA158)</f>
        <v>35878.535785727334</v>
      </c>
      <c r="AB158" s="854">
        <f>SUM(Results_Res!AB158,Results_Out!AB158,Results_Ind!AB158,Results_Com!AB158)</f>
        <v>36364.552188721558</v>
      </c>
      <c r="AC158" s="854">
        <f>SUM(Results_Res!AC158,Results_Out!AC158,Results_Ind!AC158,Results_Com!AC158)</f>
        <v>36848.143661401176</v>
      </c>
      <c r="AD158" s="854">
        <f>SUM(Results_Res!AD158,Results_Out!AD158,Results_Ind!AD158,Results_Com!AD158)</f>
        <v>37326.972325501396</v>
      </c>
      <c r="AE158" s="854">
        <f>SUM(Results_Res!AE158,Results_Out!AE158,Results_Ind!AE158,Results_Com!AE158)</f>
        <v>37799.122243837912</v>
      </c>
      <c r="AF158" s="854">
        <f>SUM(Results_Res!AF158,Results_Out!AF158,Results_Ind!AF158,Results_Com!AF158)</f>
        <v>38263.018254535484</v>
      </c>
    </row>
    <row r="159" spans="1:32" s="221" customFormat="1" x14ac:dyDescent="0.25">
      <c r="A159" s="839"/>
      <c r="B159" s="550" t="s">
        <v>27</v>
      </c>
      <c r="C159" s="539"/>
      <c r="D159" s="539"/>
      <c r="E159" s="539"/>
      <c r="F159" s="539"/>
      <c r="G159" s="854">
        <f>SUM(Results_Res!G159,Results_Out!G159,Results_Ind!G159,Results_Com!G159)</f>
        <v>66832.969013616006</v>
      </c>
      <c r="H159" s="854">
        <f>SUM(Results_Res!H159,Results_Out!H159,Results_Ind!H159,Results_Com!H159)</f>
        <v>78094.057134418545</v>
      </c>
      <c r="I159" s="854">
        <f>SUM(Results_Res!I159,Results_Out!I159,Results_Ind!I159,Results_Com!I159)</f>
        <v>88862.243481659389</v>
      </c>
      <c r="J159" s="854">
        <f>SUM(Results_Res!J159,Results_Out!J159,Results_Ind!J159,Results_Com!J159)</f>
        <v>101895.70304651871</v>
      </c>
      <c r="K159" s="854">
        <f>SUM(Results_Res!K159,Results_Out!K159,Results_Ind!K159,Results_Com!K159)</f>
        <v>113301.97738785768</v>
      </c>
      <c r="L159" s="854">
        <f>SUM(Results_Res!L159,Results_Out!L159,Results_Ind!L159,Results_Com!L159)</f>
        <v>125511.35737029696</v>
      </c>
      <c r="M159" s="854">
        <f>SUM(Results_Res!M159,Results_Out!M159,Results_Ind!M159,Results_Com!M159)</f>
        <v>139008.71433790782</v>
      </c>
      <c r="N159" s="854">
        <f>SUM(Results_Res!N159,Results_Out!N159,Results_Ind!N159,Results_Com!N159)</f>
        <v>149190.95689025804</v>
      </c>
      <c r="O159" s="854">
        <f>SUM(Results_Res!O159,Results_Out!O159,Results_Ind!O159,Results_Com!O159)</f>
        <v>157246.12797978349</v>
      </c>
      <c r="P159" s="854">
        <f>SUM(Results_Res!P159,Results_Out!P159,Results_Ind!P159,Results_Com!P159)</f>
        <v>163888.70671734295</v>
      </c>
      <c r="Q159" s="854">
        <f>SUM(Results_Res!Q159,Results_Out!Q159,Results_Ind!Q159,Results_Com!Q159)</f>
        <v>169573.23286112869</v>
      </c>
      <c r="R159" s="854">
        <f>SUM(Results_Res!R159,Results_Out!R159,Results_Ind!R159,Results_Com!R159)</f>
        <v>174564.57234846096</v>
      </c>
      <c r="S159" s="854">
        <f>SUM(Results_Res!S159,Results_Out!S159,Results_Ind!S159,Results_Com!S159)</f>
        <v>179104.93988433096</v>
      </c>
      <c r="T159" s="854">
        <f>SUM(Results_Res!T159,Results_Out!T159,Results_Ind!T159,Results_Com!T159)</f>
        <v>183326.27335459457</v>
      </c>
      <c r="U159" s="854">
        <f>SUM(Results_Res!U159,Results_Out!U159,Results_Ind!U159,Results_Com!U159)</f>
        <v>187316.88775201136</v>
      </c>
      <c r="V159" s="854">
        <f>SUM(Results_Res!V159,Results_Out!V159,Results_Ind!V159,Results_Com!V159)</f>
        <v>191159.45500361553</v>
      </c>
      <c r="W159" s="854">
        <f>SUM(Results_Res!W159,Results_Out!W159,Results_Ind!W159,Results_Com!W159)</f>
        <v>194876.99378243837</v>
      </c>
      <c r="X159" s="854">
        <f>SUM(Results_Res!X159,Results_Out!X159,Results_Ind!X159,Results_Com!X159)</f>
        <v>198478.47004857051</v>
      </c>
      <c r="Y159" s="854">
        <f>SUM(Results_Res!Y159,Results_Out!Y159,Results_Ind!Y159,Results_Com!Y159)</f>
        <v>201969.99670107139</v>
      </c>
      <c r="Z159" s="854">
        <f>SUM(Results_Res!Z159,Results_Out!Z159,Results_Ind!Z159,Results_Com!Z159)</f>
        <v>205380.82782220643</v>
      </c>
      <c r="AA159" s="854">
        <f>SUM(Results_Res!AA159,Results_Out!AA159,Results_Ind!AA159,Results_Com!AA159)</f>
        <v>208746.20480179827</v>
      </c>
      <c r="AB159" s="854">
        <f>SUM(Results_Res!AB159,Results_Out!AB159,Results_Ind!AB159,Results_Com!AB159)</f>
        <v>212114.86695831423</v>
      </c>
      <c r="AC159" s="854">
        <f>SUM(Results_Res!AC159,Results_Out!AC159,Results_Ind!AC159,Results_Com!AC159)</f>
        <v>215434.30045975334</v>
      </c>
      <c r="AD159" s="854">
        <f>SUM(Results_Res!AD159,Results_Out!AD159,Results_Ind!AD159,Results_Com!AD159)</f>
        <v>218703.61222259351</v>
      </c>
      <c r="AE159" s="854">
        <f>SUM(Results_Res!AE159,Results_Out!AE159,Results_Ind!AE159,Results_Com!AE159)</f>
        <v>221921.05889596351</v>
      </c>
      <c r="AF159" s="854">
        <f>SUM(Results_Res!AF159,Results_Out!AF159,Results_Ind!AF159,Results_Com!AF159)</f>
        <v>225084.33462609246</v>
      </c>
    </row>
    <row r="160" spans="1:32" s="221" customFormat="1" x14ac:dyDescent="0.25">
      <c r="A160" s="839"/>
      <c r="B160" s="550" t="s">
        <v>29</v>
      </c>
      <c r="C160" s="539"/>
      <c r="D160" s="539"/>
      <c r="E160" s="539"/>
      <c r="F160" s="539"/>
      <c r="G160" s="854">
        <f>SUM(Results_Res!G160,Results_Out!G160,Results_Ind!G160,Results_Com!G160)</f>
        <v>0</v>
      </c>
      <c r="H160" s="854">
        <f>SUM(Results_Res!H160,Results_Out!H160,Results_Ind!H160,Results_Com!H160)</f>
        <v>23.826490804765413</v>
      </c>
      <c r="I160" s="854">
        <f>SUM(Results_Res!I160,Results_Out!I160,Results_Ind!I160,Results_Com!I160)</f>
        <v>47.15384770075277</v>
      </c>
      <c r="J160" s="854">
        <f>SUM(Results_Res!J160,Results_Out!J160,Results_Ind!J160,Results_Com!J160)</f>
        <v>63.465334208474289</v>
      </c>
      <c r="K160" s="854">
        <f>SUM(Results_Res!K160,Results_Out!K160,Results_Ind!K160,Results_Com!K160)</f>
        <v>78.544951480055673</v>
      </c>
      <c r="L160" s="854">
        <f>SUM(Results_Res!L160,Results_Out!L160,Results_Ind!L160,Results_Com!L160)</f>
        <v>94.024281705748464</v>
      </c>
      <c r="M160" s="854">
        <f>SUM(Results_Res!M160,Results_Out!M160,Results_Ind!M160,Results_Com!M160)</f>
        <v>110.02097101056839</v>
      </c>
      <c r="N160" s="854">
        <f>SUM(Results_Res!N160,Results_Out!N160,Results_Ind!N160,Results_Com!N160)</f>
        <v>125.08856613033501</v>
      </c>
      <c r="O160" s="854">
        <f>SUM(Results_Res!O160,Results_Out!O160,Results_Ind!O160,Results_Com!O160)</f>
        <v>139.32959627352136</v>
      </c>
      <c r="P160" s="854">
        <f>SUM(Results_Res!P160,Results_Out!P160,Results_Ind!P160,Results_Com!P160)</f>
        <v>152.81247183470592</v>
      </c>
      <c r="Q160" s="854">
        <f>SUM(Results_Res!Q160,Results_Out!Q160,Results_Ind!Q160,Results_Com!Q160)</f>
        <v>165.5954922790219</v>
      </c>
      <c r="R160" s="854">
        <f>SUM(Results_Res!R160,Results_Out!R160,Results_Ind!R160,Results_Com!R160)</f>
        <v>177.64189592849112</v>
      </c>
      <c r="S160" s="854">
        <f>SUM(Results_Res!S160,Results_Out!S160,Results_Ind!S160,Results_Com!S160)</f>
        <v>189.10953731147245</v>
      </c>
      <c r="T160" s="854">
        <f>SUM(Results_Res!T160,Results_Out!T160,Results_Ind!T160,Results_Com!T160)</f>
        <v>200.02931840879899</v>
      </c>
      <c r="U160" s="854">
        <f>SUM(Results_Res!U160,Results_Out!U160,Results_Ind!U160,Results_Com!U160)</f>
        <v>210.42972718197387</v>
      </c>
      <c r="V160" s="854">
        <f>SUM(Results_Res!V160,Results_Out!V160,Results_Ind!V160,Results_Com!V160)</f>
        <v>220.39358878408899</v>
      </c>
      <c r="W160" s="854">
        <f>SUM(Results_Res!W160,Results_Out!W160,Results_Ind!W160,Results_Com!W160)</f>
        <v>229.89905073788213</v>
      </c>
      <c r="X160" s="854">
        <f>SUM(Results_Res!X160,Results_Out!X160,Results_Ind!X160,Results_Com!X160)</f>
        <v>238.93093827911852</v>
      </c>
      <c r="Y160" s="854">
        <f>SUM(Results_Res!Y160,Results_Out!Y160,Results_Ind!Y160,Results_Com!Y160)</f>
        <v>247.48740789719102</v>
      </c>
      <c r="Z160" s="854">
        <f>SUM(Results_Res!Z160,Results_Out!Z160,Results_Ind!Z160,Results_Com!Z160)</f>
        <v>255.63632734181687</v>
      </c>
      <c r="AA160" s="854">
        <f>SUM(Results_Res!AA160,Results_Out!AA160,Results_Ind!AA160,Results_Com!AA160)</f>
        <v>263.46431219186576</v>
      </c>
      <c r="AB160" s="854">
        <f>SUM(Results_Res!AB160,Results_Out!AB160,Results_Ind!AB160,Results_Com!AB160)</f>
        <v>271.091925846864</v>
      </c>
      <c r="AC160" s="854">
        <f>SUM(Results_Res!AC160,Results_Out!AC160,Results_Ind!AC160,Results_Com!AC160)</f>
        <v>278.39014626132251</v>
      </c>
      <c r="AD160" s="854">
        <f>SUM(Results_Res!AD160,Results_Out!AD160,Results_Ind!AD160,Results_Com!AD160)</f>
        <v>285.37249653782203</v>
      </c>
      <c r="AE160" s="854">
        <f>SUM(Results_Res!AE160,Results_Out!AE160,Results_Ind!AE160,Results_Com!AE160)</f>
        <v>292.05110371577291</v>
      </c>
      <c r="AF160" s="854">
        <f>SUM(Results_Res!AF160,Results_Out!AF160,Results_Ind!AF160,Results_Com!AF160)</f>
        <v>298.43682455268316</v>
      </c>
    </row>
    <row r="161" spans="1:32" s="221" customFormat="1" x14ac:dyDescent="0.25">
      <c r="A161" s="839"/>
      <c r="B161" s="550"/>
      <c r="C161" s="539"/>
      <c r="D161" s="539"/>
      <c r="E161" s="539"/>
      <c r="F161" s="539"/>
      <c r="G161" s="540"/>
      <c r="H161" s="540"/>
      <c r="I161" s="540"/>
      <c r="J161" s="540"/>
      <c r="K161" s="540"/>
      <c r="L161" s="540"/>
      <c r="M161" s="540"/>
      <c r="N161" s="540"/>
      <c r="O161" s="540"/>
      <c r="P161" s="540"/>
      <c r="Q161" s="540"/>
      <c r="R161" s="540"/>
      <c r="S161" s="540"/>
      <c r="T161" s="540"/>
      <c r="U161" s="540"/>
      <c r="V161" s="540"/>
      <c r="W161" s="540"/>
      <c r="X161" s="540"/>
      <c r="Y161" s="540"/>
      <c r="Z161" s="540"/>
      <c r="AA161" s="540"/>
      <c r="AB161" s="540"/>
      <c r="AC161" s="540"/>
      <c r="AD161" s="540"/>
      <c r="AE161" s="540"/>
      <c r="AF161" s="540"/>
    </row>
    <row r="162" spans="1:32" s="202" customFormat="1" ht="12.75" x14ac:dyDescent="0.2">
      <c r="A162" s="843" t="s">
        <v>32</v>
      </c>
      <c r="B162" s="556"/>
      <c r="C162" s="556"/>
      <c r="D162" s="556"/>
      <c r="E162" s="556"/>
      <c r="F162" s="556"/>
      <c r="G162" s="547"/>
      <c r="H162" s="547"/>
      <c r="I162" s="547"/>
      <c r="J162" s="547"/>
      <c r="K162" s="547"/>
      <c r="L162" s="547"/>
      <c r="M162" s="547"/>
      <c r="N162" s="547"/>
      <c r="O162" s="547"/>
      <c r="P162" s="547"/>
      <c r="Q162" s="547"/>
      <c r="R162" s="547"/>
      <c r="S162" s="547"/>
      <c r="T162" s="547"/>
      <c r="U162" s="547"/>
      <c r="V162" s="547"/>
      <c r="W162" s="547"/>
      <c r="X162" s="547"/>
      <c r="Y162" s="547"/>
      <c r="Z162" s="547"/>
      <c r="AA162" s="547"/>
      <c r="AB162" s="547"/>
      <c r="AC162" s="547"/>
      <c r="AD162" s="547"/>
      <c r="AE162" s="547"/>
      <c r="AF162" s="547"/>
    </row>
    <row r="163" spans="1:32" s="221" customFormat="1" x14ac:dyDescent="0.25">
      <c r="A163" s="839"/>
      <c r="B163" s="550" t="s">
        <v>33</v>
      </c>
      <c r="C163" s="539"/>
      <c r="D163" s="539"/>
      <c r="E163" s="539"/>
      <c r="F163" s="539"/>
      <c r="G163" s="854">
        <f>SUM(Results_Res!G163,Results_Out!G163,Results_Ind!G163,Results_Com!G163)</f>
        <v>22719.972030028581</v>
      </c>
      <c r="H163" s="854">
        <f>SUM(Results_Res!H163,Results_Out!H163,Results_Ind!H163,Results_Com!H163)</f>
        <v>19945.895558888955</v>
      </c>
      <c r="I163" s="854">
        <f>SUM(Results_Res!I163,Results_Out!I163,Results_Ind!I163,Results_Com!I163)</f>
        <v>18507.617737288419</v>
      </c>
      <c r="J163" s="854">
        <f>SUM(Results_Res!J163,Results_Out!J163,Results_Ind!J163,Results_Com!J163)</f>
        <v>17851.757250398619</v>
      </c>
      <c r="K163" s="854">
        <f>SUM(Results_Res!K163,Results_Out!K163,Results_Ind!K163,Results_Com!K163)</f>
        <v>17796.924064459825</v>
      </c>
      <c r="L163" s="854">
        <f>SUM(Results_Res!L163,Results_Out!L163,Results_Ind!L163,Results_Com!L163)</f>
        <v>17812.084163851898</v>
      </c>
      <c r="M163" s="854">
        <f>SUM(Results_Res!M163,Results_Out!M163,Results_Ind!M163,Results_Com!M163)</f>
        <v>17921.196846792496</v>
      </c>
      <c r="N163" s="854">
        <f>SUM(Results_Res!N163,Results_Out!N163,Results_Ind!N163,Results_Com!N163)</f>
        <v>18096.029455788121</v>
      </c>
      <c r="O163" s="854">
        <f>SUM(Results_Res!O163,Results_Out!O163,Results_Ind!O163,Results_Com!O163)</f>
        <v>18320.514024399836</v>
      </c>
      <c r="P163" s="854">
        <f>SUM(Results_Res!P163,Results_Out!P163,Results_Ind!P163,Results_Com!P163)</f>
        <v>18580.893651016948</v>
      </c>
      <c r="Q163" s="854">
        <f>SUM(Results_Res!Q163,Results_Out!Q163,Results_Ind!Q163,Results_Com!Q163)</f>
        <v>18867.52374489772</v>
      </c>
      <c r="R163" s="854">
        <f>SUM(Results_Res!R163,Results_Out!R163,Results_Ind!R163,Results_Com!R163)</f>
        <v>19169.149872818369</v>
      </c>
      <c r="S163" s="854">
        <f>SUM(Results_Res!S163,Results_Out!S163,Results_Ind!S163,Results_Com!S163)</f>
        <v>19484.517070366528</v>
      </c>
      <c r="T163" s="854">
        <f>SUM(Results_Res!T163,Results_Out!T163,Results_Ind!T163,Results_Com!T163)</f>
        <v>19809.552934675005</v>
      </c>
      <c r="U163" s="854">
        <f>SUM(Results_Res!U163,Results_Out!U163,Results_Ind!U163,Results_Com!U163)</f>
        <v>20141.096818934609</v>
      </c>
      <c r="V163" s="854">
        <f>SUM(Results_Res!V163,Results_Out!V163,Results_Ind!V163,Results_Com!V163)</f>
        <v>20478.910730058316</v>
      </c>
      <c r="W163" s="854">
        <f>SUM(Results_Res!W163,Results_Out!W163,Results_Ind!W163,Results_Com!W163)</f>
        <v>20819.052588235114</v>
      </c>
      <c r="X163" s="854">
        <f>SUM(Results_Res!X163,Results_Out!X163,Results_Ind!X163,Results_Com!X163)</f>
        <v>21158.819327647918</v>
      </c>
      <c r="Y163" s="854">
        <f>SUM(Results_Res!Y163,Results_Out!Y163,Results_Ind!Y163,Results_Com!Y163)</f>
        <v>21496.0854024041</v>
      </c>
      <c r="Z163" s="854">
        <f>SUM(Results_Res!Z163,Results_Out!Z163,Results_Ind!Z163,Results_Com!Z163)</f>
        <v>21831.238124112027</v>
      </c>
      <c r="AA163" s="854">
        <f>SUM(Results_Res!AA163,Results_Out!AA163,Results_Ind!AA163,Results_Com!AA163)</f>
        <v>22165.846578275727</v>
      </c>
      <c r="AB163" s="854">
        <f>SUM(Results_Res!AB163,Results_Out!AB163,Results_Ind!AB163,Results_Com!AB163)</f>
        <v>22503.665620652449</v>
      </c>
      <c r="AC163" s="854">
        <f>SUM(Results_Res!AC163,Results_Out!AC163,Results_Ind!AC163,Results_Com!AC163)</f>
        <v>22838.970844759631</v>
      </c>
      <c r="AD163" s="854">
        <f>SUM(Results_Res!AD163,Results_Out!AD163,Results_Ind!AD163,Results_Com!AD163)</f>
        <v>23171.092310938999</v>
      </c>
      <c r="AE163" s="854">
        <f>SUM(Results_Res!AE163,Results_Out!AE163,Results_Ind!AE163,Results_Com!AE163)</f>
        <v>23499.400103294975</v>
      </c>
      <c r="AF163" s="854">
        <f>SUM(Results_Res!AF163,Results_Out!AF163,Results_Ind!AF163,Results_Com!AF163)</f>
        <v>23823.324630999752</v>
      </c>
    </row>
    <row r="164" spans="1:32" s="221" customFormat="1" x14ac:dyDescent="0.25">
      <c r="A164" s="842"/>
      <c r="B164" s="552" t="s">
        <v>34</v>
      </c>
      <c r="C164" s="539"/>
      <c r="D164" s="539"/>
      <c r="E164" s="539"/>
      <c r="F164" s="539"/>
      <c r="G164" s="854">
        <f>SUM(Results_Res!G164,Results_Out!G164,Results_Ind!G164,Results_Com!G164)</f>
        <v>13174.967087728015</v>
      </c>
      <c r="H164" s="854">
        <f>SUM(Results_Res!H164,Results_Out!H164,Results_Ind!H164,Results_Com!H164)</f>
        <v>15997.225763499977</v>
      </c>
      <c r="I164" s="854">
        <f>SUM(Results_Res!I164,Results_Out!I164,Results_Ind!I164,Results_Com!I164)</f>
        <v>17771.354845468381</v>
      </c>
      <c r="J164" s="854">
        <f>SUM(Results_Res!J164,Results_Out!J164,Results_Ind!J164,Results_Com!J164)</f>
        <v>18917.114709928595</v>
      </c>
      <c r="K164" s="854">
        <f>SUM(Results_Res!K164,Results_Out!K164,Results_Ind!K164,Results_Com!K164)</f>
        <v>19551.607203492345</v>
      </c>
      <c r="L164" s="854">
        <f>SUM(Results_Res!L164,Results_Out!L164,Results_Ind!L164,Results_Com!L164)</f>
        <v>20159.902542402568</v>
      </c>
      <c r="M164" s="854">
        <f>SUM(Results_Res!M164,Results_Out!M164,Results_Ind!M164,Results_Com!M164)</f>
        <v>20714.846191520413</v>
      </c>
      <c r="N164" s="854">
        <f>SUM(Results_Res!N164,Results_Out!N164,Results_Ind!N164,Results_Com!N164)</f>
        <v>21227.397159317308</v>
      </c>
      <c r="O164" s="854">
        <f>SUM(Results_Res!O164,Results_Out!O164,Results_Ind!O164,Results_Com!O164)</f>
        <v>21712.971538058162</v>
      </c>
      <c r="P164" s="854">
        <f>SUM(Results_Res!P164,Results_Out!P164,Results_Ind!P164,Results_Com!P164)</f>
        <v>22177.928008130562</v>
      </c>
      <c r="Q164" s="854">
        <f>SUM(Results_Res!Q164,Results_Out!Q164,Results_Ind!Q164,Results_Com!Q164)</f>
        <v>22629.381769200994</v>
      </c>
      <c r="R164" s="854">
        <f>SUM(Results_Res!R164,Results_Out!R164,Results_Ind!R164,Results_Com!R164)</f>
        <v>23063.260487956537</v>
      </c>
      <c r="S164" s="854">
        <f>SUM(Results_Res!S164,Results_Out!S164,Results_Ind!S164,Results_Com!S164)</f>
        <v>23491.155864100099</v>
      </c>
      <c r="T164" s="854">
        <f>SUM(Results_Res!T164,Results_Out!T164,Results_Ind!T164,Results_Com!T164)</f>
        <v>23913.975180444304</v>
      </c>
      <c r="U164" s="854">
        <f>SUM(Results_Res!U164,Results_Out!U164,Results_Ind!U164,Results_Com!U164)</f>
        <v>24332.285945513795</v>
      </c>
      <c r="V164" s="854">
        <f>SUM(Results_Res!V164,Results_Out!V164,Results_Ind!V164,Results_Com!V164)</f>
        <v>24750.245156094366</v>
      </c>
      <c r="W164" s="854">
        <f>SUM(Results_Res!W164,Results_Out!W164,Results_Ind!W164,Results_Com!W164)</f>
        <v>25163.72575263953</v>
      </c>
      <c r="X164" s="854">
        <f>SUM(Results_Res!X164,Results_Out!X164,Results_Ind!X164,Results_Com!X164)</f>
        <v>25571.010023472976</v>
      </c>
      <c r="Y164" s="854">
        <f>SUM(Results_Res!Y164,Results_Out!Y164,Results_Ind!Y164,Results_Com!Y164)</f>
        <v>25970.066442178231</v>
      </c>
      <c r="Z164" s="854">
        <f>SUM(Results_Res!Z164,Results_Out!Z164,Results_Ind!Z164,Results_Com!Z164)</f>
        <v>26363.568354219362</v>
      </c>
      <c r="AA164" s="854">
        <f>SUM(Results_Res!AA164,Results_Out!AA164,Results_Ind!AA164,Results_Com!AA164)</f>
        <v>26755.726360738066</v>
      </c>
      <c r="AB164" s="854">
        <f>SUM(Results_Res!AB164,Results_Out!AB164,Results_Ind!AB164,Results_Com!AB164)</f>
        <v>27153.803335500685</v>
      </c>
      <c r="AC164" s="854">
        <f>SUM(Results_Res!AC164,Results_Out!AC164,Results_Ind!AC164,Results_Com!AC164)</f>
        <v>27546.765298316142</v>
      </c>
      <c r="AD164" s="854">
        <f>SUM(Results_Res!AD164,Results_Out!AD164,Results_Ind!AD164,Results_Com!AD164)</f>
        <v>27934.190727166926</v>
      </c>
      <c r="AE164" s="854">
        <f>SUM(Results_Res!AE164,Results_Out!AE164,Results_Ind!AE164,Results_Com!AE164)</f>
        <v>28315.659942965627</v>
      </c>
      <c r="AF164" s="854">
        <f>SUM(Results_Res!AF164,Results_Out!AF164,Results_Ind!AF164,Results_Com!AF164)</f>
        <v>28690.736109550853</v>
      </c>
    </row>
    <row r="165" spans="1:32" s="221" customFormat="1" x14ac:dyDescent="0.25">
      <c r="A165" s="839"/>
      <c r="B165" s="552" t="s">
        <v>35</v>
      </c>
      <c r="C165" s="539"/>
      <c r="D165" s="539"/>
      <c r="E165" s="539"/>
      <c r="F165" s="539"/>
      <c r="G165" s="854">
        <f>SUM(Results_Res!G165,Results_Out!G165,Results_Ind!G165,Results_Com!G165)</f>
        <v>7991.4817794482433</v>
      </c>
      <c r="H165" s="854">
        <f>SUM(Results_Res!H165,Results_Out!H165,Results_Ind!H165,Results_Com!H165)</f>
        <v>8075.6671154517971</v>
      </c>
      <c r="I165" s="854">
        <f>SUM(Results_Res!I165,Results_Out!I165,Results_Ind!I165,Results_Com!I165)</f>
        <v>8297.2436587231059</v>
      </c>
      <c r="J165" s="854">
        <f>SUM(Results_Res!J165,Results_Out!J165,Results_Ind!J165,Results_Com!J165)</f>
        <v>8618.7392656676293</v>
      </c>
      <c r="K165" s="854">
        <f>SUM(Results_Res!K165,Results_Out!K165,Results_Ind!K165,Results_Com!K165)</f>
        <v>9016.9808249853122</v>
      </c>
      <c r="L165" s="854">
        <f>SUM(Results_Res!L165,Results_Out!L165,Results_Ind!L165,Results_Com!L165)</f>
        <v>9394.2168528308848</v>
      </c>
      <c r="M165" s="854">
        <f>SUM(Results_Res!M165,Results_Out!M165,Results_Ind!M165,Results_Com!M165)</f>
        <v>9752.7428929588023</v>
      </c>
      <c r="N165" s="854">
        <f>SUM(Results_Res!N165,Results_Out!N165,Results_Ind!N165,Results_Com!N165)</f>
        <v>10093.784559541658</v>
      </c>
      <c r="O165" s="854">
        <f>SUM(Results_Res!O165,Results_Out!O165,Results_Ind!O165,Results_Com!O165)</f>
        <v>10421.191320321306</v>
      </c>
      <c r="P165" s="854">
        <f>SUM(Results_Res!P165,Results_Out!P165,Results_Ind!P165,Results_Com!P165)</f>
        <v>10736.46109544084</v>
      </c>
      <c r="Q165" s="854">
        <f>SUM(Results_Res!Q165,Results_Out!Q165,Results_Ind!Q165,Results_Com!Q165)</f>
        <v>11041.411451229795</v>
      </c>
      <c r="R165" s="854">
        <f>SUM(Results_Res!R165,Results_Out!R165,Results_Ind!R165,Results_Com!R165)</f>
        <v>11334.649462678039</v>
      </c>
      <c r="S165" s="854">
        <f>SUM(Results_Res!S165,Results_Out!S165,Results_Ind!S165,Results_Com!S165)</f>
        <v>11619.743333497612</v>
      </c>
      <c r="T165" s="854">
        <f>SUM(Results_Res!T165,Results_Out!T165,Results_Ind!T165,Results_Com!T165)</f>
        <v>11897.336445615152</v>
      </c>
      <c r="U165" s="854">
        <f>SUM(Results_Res!U165,Results_Out!U165,Results_Ind!U165,Results_Com!U165)</f>
        <v>12168.01291726602</v>
      </c>
      <c r="V165" s="854">
        <f>SUM(Results_Res!V165,Results_Out!V165,Results_Ind!V165,Results_Com!V165)</f>
        <v>12433.560661262145</v>
      </c>
      <c r="W165" s="854">
        <f>SUM(Results_Res!W165,Results_Out!W165,Results_Ind!W165,Results_Com!W165)</f>
        <v>12693.061319004086</v>
      </c>
      <c r="X165" s="854">
        <f>SUM(Results_Res!X165,Results_Out!X165,Results_Ind!X165,Results_Com!X165)</f>
        <v>12946.293867818398</v>
      </c>
      <c r="Y165" s="854">
        <f>SUM(Results_Res!Y165,Results_Out!Y165,Results_Ind!Y165,Results_Com!Y165)</f>
        <v>13193.055888055515</v>
      </c>
      <c r="Z165" s="854">
        <f>SUM(Results_Res!Z165,Results_Out!Z165,Results_Ind!Z165,Results_Com!Z165)</f>
        <v>13434.460044323416</v>
      </c>
      <c r="AA165" s="854">
        <f>SUM(Results_Res!AA165,Results_Out!AA165,Results_Ind!AA165,Results_Com!AA165)</f>
        <v>13672.049527154324</v>
      </c>
      <c r="AB165" s="854">
        <f>SUM(Results_Res!AB165,Results_Out!AB165,Results_Ind!AB165,Results_Com!AB165)</f>
        <v>13908.479247423613</v>
      </c>
      <c r="AC165" s="854">
        <f>SUM(Results_Res!AC165,Results_Out!AC165,Results_Ind!AC165,Results_Com!AC165)</f>
        <v>14140.624402403775</v>
      </c>
      <c r="AD165" s="854">
        <f>SUM(Results_Res!AD165,Results_Out!AD165,Results_Ind!AD165,Results_Com!AD165)</f>
        <v>14368.520667082152</v>
      </c>
      <c r="AE165" s="854">
        <f>SUM(Results_Res!AE165,Results_Out!AE165,Results_Ind!AE165,Results_Com!AE165)</f>
        <v>14592.165266278471</v>
      </c>
      <c r="AF165" s="854">
        <f>SUM(Results_Res!AF165,Results_Out!AF165,Results_Ind!AF165,Results_Com!AF165)</f>
        <v>14811.524742737227</v>
      </c>
    </row>
    <row r="166" spans="1:32" s="221" customFormat="1" x14ac:dyDescent="0.25">
      <c r="A166" s="839"/>
      <c r="B166" s="552" t="s">
        <v>29</v>
      </c>
      <c r="C166" s="539"/>
      <c r="D166" s="539"/>
      <c r="E166" s="539"/>
      <c r="F166" s="539"/>
      <c r="G166" s="854">
        <f>SUM(Results_Res!G166,Results_Out!G166,Results_Ind!G166,Results_Com!G166)</f>
        <v>0</v>
      </c>
      <c r="H166" s="854">
        <f>SUM(Results_Res!H166,Results_Out!H166,Results_Ind!H166,Results_Com!H166)</f>
        <v>12.684413717462828</v>
      </c>
      <c r="I166" s="854">
        <f>SUM(Results_Res!I166,Results_Out!I166,Results_Ind!I166,Results_Com!I166)</f>
        <v>24.647450330885594</v>
      </c>
      <c r="J166" s="854">
        <f>SUM(Results_Res!J166,Results_Out!J166,Results_Ind!J166,Results_Com!J166)</f>
        <v>36.032493773959288</v>
      </c>
      <c r="K166" s="854">
        <f>SUM(Results_Res!K166,Results_Out!K166,Results_Ind!K166,Results_Com!K166)</f>
        <v>46.847533118785279</v>
      </c>
      <c r="L166" s="854">
        <f>SUM(Results_Res!L166,Results_Out!L166,Results_Ind!L166,Results_Com!L166)</f>
        <v>57.025717533868303</v>
      </c>
      <c r="M166" s="854">
        <f>SUM(Results_Res!M166,Results_Out!M166,Results_Ind!M166,Results_Com!M166)</f>
        <v>66.596685912386704</v>
      </c>
      <c r="N166" s="854">
        <f>SUM(Results_Res!N166,Results_Out!N166,Results_Ind!N166,Results_Com!N166)</f>
        <v>75.579123462013712</v>
      </c>
      <c r="O166" s="854">
        <f>SUM(Results_Res!O166,Results_Out!O166,Results_Ind!O166,Results_Com!O166)</f>
        <v>84.055799874463105</v>
      </c>
      <c r="P166" s="854">
        <f>SUM(Results_Res!P166,Results_Out!P166,Results_Ind!P166,Results_Com!P166)</f>
        <v>92.0600456663431</v>
      </c>
      <c r="Q166" s="854">
        <f>SUM(Results_Res!Q166,Results_Out!Q166,Results_Ind!Q166,Results_Com!Q166)</f>
        <v>99.639568012865979</v>
      </c>
      <c r="R166" s="854">
        <f>SUM(Results_Res!R166,Results_Out!R166,Results_Ind!R166,Results_Com!R166)</f>
        <v>106.76792705507656</v>
      </c>
      <c r="S166" s="854">
        <f>SUM(Results_Res!S166,Results_Out!S166,Results_Ind!S166,Results_Com!S166)</f>
        <v>113.54360205848835</v>
      </c>
      <c r="T166" s="854">
        <f>SUM(Results_Res!T166,Results_Out!T166,Results_Ind!T166,Results_Com!T166)</f>
        <v>119.98863393010251</v>
      </c>
      <c r="U166" s="854">
        <f>SUM(Results_Res!U166,Results_Out!U166,Results_Ind!U166,Results_Com!U166)</f>
        <v>126.12344363093001</v>
      </c>
      <c r="V166" s="854">
        <f>SUM(Results_Res!V166,Results_Out!V166,Results_Ind!V166,Results_Com!V166)</f>
        <v>131.99749973545087</v>
      </c>
      <c r="W166" s="854">
        <f>SUM(Results_Res!W166,Results_Out!W166,Results_Ind!W166,Results_Com!W166)</f>
        <v>137.59597835653139</v>
      </c>
      <c r="X166" s="854">
        <f>SUM(Results_Res!X166,Results_Out!X166,Results_Ind!X166,Results_Com!X166)</f>
        <v>142.9204422198581</v>
      </c>
      <c r="Y166" s="854">
        <f>SUM(Results_Res!Y166,Results_Out!Y166,Results_Ind!Y166,Results_Com!Y166)</f>
        <v>147.97106072126036</v>
      </c>
      <c r="Z166" s="854">
        <f>SUM(Results_Res!Z166,Results_Out!Z166,Results_Ind!Z166,Results_Com!Z166)</f>
        <v>152.78320495279209</v>
      </c>
      <c r="AA166" s="854">
        <f>SUM(Results_Res!AA166,Results_Out!AA166,Results_Ind!AA166,Results_Com!AA166)</f>
        <v>157.40400618357549</v>
      </c>
      <c r="AB166" s="854">
        <f>SUM(Results_Res!AB166,Results_Out!AB166,Results_Ind!AB166,Results_Com!AB166)</f>
        <v>161.90464278055285</v>
      </c>
      <c r="AC166" s="854">
        <f>SUM(Results_Res!AC166,Results_Out!AC166,Results_Ind!AC166,Results_Com!AC166)</f>
        <v>166.21292326653193</v>
      </c>
      <c r="AD166" s="854">
        <f>SUM(Results_Res!AD166,Results_Out!AD166,Results_Ind!AD166,Results_Com!AD166)</f>
        <v>170.33692319418662</v>
      </c>
      <c r="AE166" s="854">
        <f>SUM(Results_Res!AE166,Results_Out!AE166,Results_Ind!AE166,Results_Com!AE166)</f>
        <v>174.28384953834433</v>
      </c>
      <c r="AF166" s="854">
        <f>SUM(Results_Res!AF166,Results_Out!AF166,Results_Ind!AF166,Results_Com!AF166)</f>
        <v>178.06012700629549</v>
      </c>
    </row>
    <row r="167" spans="1:32" s="221" customFormat="1" x14ac:dyDescent="0.25">
      <c r="A167" s="839"/>
      <c r="B167" s="550"/>
      <c r="C167" s="539"/>
      <c r="D167" s="539"/>
      <c r="E167" s="539"/>
      <c r="F167" s="539"/>
      <c r="G167" s="540"/>
      <c r="H167" s="540"/>
      <c r="I167" s="540"/>
      <c r="J167" s="540"/>
      <c r="K167" s="540"/>
      <c r="L167" s="540"/>
      <c r="M167" s="540"/>
      <c r="N167" s="540"/>
      <c r="O167" s="540"/>
      <c r="P167" s="540"/>
      <c r="Q167" s="540"/>
      <c r="R167" s="540"/>
      <c r="S167" s="540"/>
      <c r="T167" s="540"/>
      <c r="U167" s="540"/>
      <c r="V167" s="540"/>
      <c r="W167" s="540"/>
      <c r="X167" s="540"/>
      <c r="Y167" s="540"/>
      <c r="Z167" s="540"/>
      <c r="AA167" s="540"/>
      <c r="AB167" s="540"/>
      <c r="AC167" s="540"/>
      <c r="AD167" s="540"/>
      <c r="AE167" s="540"/>
      <c r="AF167" s="540"/>
    </row>
    <row r="168" spans="1:32" s="202" customFormat="1" ht="12.75" x14ac:dyDescent="0.2">
      <c r="A168" s="843" t="s">
        <v>36</v>
      </c>
      <c r="B168" s="556"/>
      <c r="C168" s="556"/>
      <c r="D168" s="556"/>
      <c r="E168" s="556"/>
      <c r="F168" s="556"/>
      <c r="G168" s="547"/>
      <c r="H168" s="547"/>
      <c r="I168" s="547"/>
      <c r="J168" s="547"/>
      <c r="K168" s="547"/>
      <c r="L168" s="547"/>
      <c r="M168" s="547"/>
      <c r="N168" s="547"/>
      <c r="O168" s="547"/>
      <c r="P168" s="547"/>
      <c r="Q168" s="547"/>
      <c r="R168" s="547"/>
      <c r="S168" s="547"/>
      <c r="T168" s="547"/>
      <c r="U168" s="547"/>
      <c r="V168" s="547"/>
      <c r="W168" s="547"/>
      <c r="X168" s="547"/>
      <c r="Y168" s="547"/>
      <c r="Z168" s="547"/>
      <c r="AA168" s="547"/>
      <c r="AB168" s="547"/>
      <c r="AC168" s="547"/>
      <c r="AD168" s="547"/>
      <c r="AE168" s="547"/>
      <c r="AF168" s="547"/>
    </row>
    <row r="169" spans="1:32" s="221" customFormat="1" x14ac:dyDescent="0.25">
      <c r="A169" s="839"/>
      <c r="B169" s="550" t="s">
        <v>37</v>
      </c>
      <c r="C169" s="539"/>
      <c r="D169" s="539"/>
      <c r="E169" s="539"/>
      <c r="F169" s="201"/>
      <c r="G169" s="854">
        <f>SUM(Results_Res!G169,Results_Out!G169,Results_Ind!G169,Results_Com!G169)</f>
        <v>39047.727783472699</v>
      </c>
      <c r="H169" s="854">
        <f>SUM(Results_Res!H169,Results_Out!H169,Results_Ind!H169,Results_Com!H169)</f>
        <v>35493.702950176026</v>
      </c>
      <c r="I169" s="854">
        <f>SUM(Results_Res!I169,Results_Out!I169,Results_Ind!I169,Results_Com!I169)</f>
        <v>31442.998724280053</v>
      </c>
      <c r="J169" s="854">
        <f>SUM(Results_Res!J169,Results_Out!J169,Results_Ind!J169,Results_Com!J169)</f>
        <v>27219.75095144497</v>
      </c>
      <c r="K169" s="854">
        <f>SUM(Results_Res!K169,Results_Out!K169,Results_Ind!K169,Results_Com!K169)</f>
        <v>23134.081686866401</v>
      </c>
      <c r="L169" s="854">
        <f>SUM(Results_Res!L169,Results_Out!L169,Results_Ind!L169,Results_Com!L169)</f>
        <v>19941.557612063392</v>
      </c>
      <c r="M169" s="854">
        <f>SUM(Results_Res!M169,Results_Out!M169,Results_Ind!M169,Results_Com!M169)</f>
        <v>17396.909205332027</v>
      </c>
      <c r="N169" s="854">
        <f>SUM(Results_Res!N169,Results_Out!N169,Results_Ind!N169,Results_Com!N169)</f>
        <v>15334.324880921673</v>
      </c>
      <c r="O169" s="854">
        <f>SUM(Results_Res!O169,Results_Out!O169,Results_Ind!O169,Results_Com!O169)</f>
        <v>13648.038171328066</v>
      </c>
      <c r="P169" s="854">
        <f>SUM(Results_Res!P169,Results_Out!P169,Results_Ind!P169,Results_Com!P169)</f>
        <v>12245.649279082032</v>
      </c>
      <c r="Q169" s="854">
        <f>SUM(Results_Res!Q169,Results_Out!Q169,Results_Ind!Q169,Results_Com!Q169)</f>
        <v>11061.038785908238</v>
      </c>
      <c r="R169" s="854">
        <f>SUM(Results_Res!R169,Results_Out!R169,Results_Ind!R169,Results_Com!R169)</f>
        <v>10045.620548094284</v>
      </c>
      <c r="S169" s="854">
        <f>SUM(Results_Res!S169,Results_Out!S169,Results_Ind!S169,Results_Com!S169)</f>
        <v>9164.2048058905075</v>
      </c>
      <c r="T169" s="854">
        <f>SUM(Results_Res!T169,Results_Out!T169,Results_Ind!T169,Results_Com!T169)</f>
        <v>8390.6488580151017</v>
      </c>
      <c r="U169" s="854">
        <f>SUM(Results_Res!U169,Results_Out!U169,Results_Ind!U169,Results_Com!U169)</f>
        <v>7705.3655737382805</v>
      </c>
      <c r="V169" s="854">
        <f>SUM(Results_Res!V169,Results_Out!V169,Results_Ind!V169,Results_Com!V169)</f>
        <v>7093.5333207949343</v>
      </c>
      <c r="W169" s="854">
        <f>SUM(Results_Res!W169,Results_Out!W169,Results_Ind!W169,Results_Com!W169)</f>
        <v>6543.4813041567522</v>
      </c>
      <c r="X169" s="854">
        <f>SUM(Results_Res!X169,Results_Out!X169,Results_Ind!X169,Results_Com!X169)</f>
        <v>6046.5860120330744</v>
      </c>
      <c r="Y169" s="854">
        <f>SUM(Results_Res!Y169,Results_Out!Y169,Results_Ind!Y169,Results_Com!Y169)</f>
        <v>5595.7196761346922</v>
      </c>
      <c r="Z169" s="854">
        <f>SUM(Results_Res!Z169,Results_Out!Z169,Results_Ind!Z169,Results_Com!Z169)</f>
        <v>5185.0957213502279</v>
      </c>
      <c r="AA169" s="854">
        <f>SUM(Results_Res!AA169,Results_Out!AA169,Results_Ind!AA169,Results_Com!AA169)</f>
        <v>4810.1213935192727</v>
      </c>
      <c r="AB169" s="854">
        <f>SUM(Results_Res!AB169,Results_Out!AB169,Results_Ind!AB169,Results_Com!AB169)</f>
        <v>4466.9084894256766</v>
      </c>
      <c r="AC169" s="854">
        <f>SUM(Results_Res!AC169,Results_Out!AC169,Results_Ind!AC169,Results_Com!AC169)</f>
        <v>4152.1882994073321</v>
      </c>
      <c r="AD169" s="854">
        <f>SUM(Results_Res!AD169,Results_Out!AD169,Results_Ind!AD169,Results_Com!AD169)</f>
        <v>3863.2948865984181</v>
      </c>
      <c r="AE169" s="854">
        <f>SUM(Results_Res!AE169,Results_Out!AE169,Results_Ind!AE169,Results_Com!AE169)</f>
        <v>3597.6790565016631</v>
      </c>
      <c r="AF169" s="854">
        <f>SUM(Results_Res!AF169,Results_Out!AF169,Results_Ind!AF169,Results_Com!AF169)</f>
        <v>3353.3445521536487</v>
      </c>
    </row>
    <row r="170" spans="1:32" s="221" customFormat="1" x14ac:dyDescent="0.25">
      <c r="A170" s="839"/>
      <c r="B170" s="550" t="s">
        <v>39</v>
      </c>
      <c r="C170" s="539"/>
      <c r="D170" s="539"/>
      <c r="E170" s="203"/>
      <c r="F170" s="539"/>
      <c r="G170" s="854">
        <f>SUM(Results_Res!G170,Results_Out!G170,Results_Ind!G170,Results_Com!G170)</f>
        <v>54490.821007924911</v>
      </c>
      <c r="H170" s="854">
        <f>SUM(Results_Res!H170,Results_Out!H170,Results_Ind!H170,Results_Com!H170)</f>
        <v>58620.724787073064</v>
      </c>
      <c r="I170" s="854">
        <f>SUM(Results_Res!I170,Results_Out!I170,Results_Ind!I170,Results_Com!I170)</f>
        <v>63395.215054196364</v>
      </c>
      <c r="J170" s="854">
        <f>SUM(Results_Res!J170,Results_Out!J170,Results_Ind!J170,Results_Com!J170)</f>
        <v>68410.21942767853</v>
      </c>
      <c r="K170" s="854">
        <f>SUM(Results_Res!K170,Results_Out!K170,Results_Ind!K170,Results_Com!K170)</f>
        <v>73268.012446418536</v>
      </c>
      <c r="L170" s="854">
        <f>SUM(Results_Res!L170,Results_Out!L170,Results_Ind!L170,Results_Com!L170)</f>
        <v>77310.606609788359</v>
      </c>
      <c r="M170" s="854">
        <f>SUM(Results_Res!M170,Results_Out!M170,Results_Ind!M170,Results_Com!M170)</f>
        <v>80699.025121441606</v>
      </c>
      <c r="N170" s="854">
        <f>SUM(Results_Res!N170,Results_Out!N170,Results_Ind!N170,Results_Com!N170)</f>
        <v>83683.75024059978</v>
      </c>
      <c r="O170" s="854">
        <f>SUM(Results_Res!O170,Results_Out!O170,Results_Ind!O170,Results_Com!O170)</f>
        <v>86423.81465270136</v>
      </c>
      <c r="P170" s="854">
        <f>SUM(Results_Res!P170,Results_Out!P170,Results_Ind!P170,Results_Com!P170)</f>
        <v>88904.566335186406</v>
      </c>
      <c r="Q170" s="854">
        <f>SUM(Results_Res!Q170,Results_Out!Q170,Results_Ind!Q170,Results_Com!Q170)</f>
        <v>91238.477447423938</v>
      </c>
      <c r="R170" s="854">
        <f>SUM(Results_Res!R170,Results_Out!R170,Results_Ind!R170,Results_Com!R170)</f>
        <v>93384.649848899833</v>
      </c>
      <c r="S170" s="854">
        <f>SUM(Results_Res!S170,Results_Out!S170,Results_Ind!S170,Results_Com!S170)</f>
        <v>95403.321066485078</v>
      </c>
      <c r="T170" s="854">
        <f>SUM(Results_Res!T170,Results_Out!T170,Results_Ind!T170,Results_Com!T170)</f>
        <v>97320.532634913092</v>
      </c>
      <c r="U170" s="854">
        <f>SUM(Results_Res!U170,Results_Out!U170,Results_Ind!U170,Results_Com!U170)</f>
        <v>99161.190399967629</v>
      </c>
      <c r="V170" s="854">
        <f>SUM(Results_Res!V170,Results_Out!V170,Results_Ind!V170,Results_Com!V170)</f>
        <v>100939.41842365838</v>
      </c>
      <c r="W170" s="854">
        <f>SUM(Results_Res!W170,Results_Out!W170,Results_Ind!W170,Results_Com!W170)</f>
        <v>102630.26821250861</v>
      </c>
      <c r="X170" s="854">
        <f>SUM(Results_Res!X170,Results_Out!X170,Results_Ind!X170,Results_Com!X170)</f>
        <v>104301.13007333578</v>
      </c>
      <c r="Y170" s="854">
        <f>SUM(Results_Res!Y170,Results_Out!Y170,Results_Ind!Y170,Results_Com!Y170)</f>
        <v>105961.10350715363</v>
      </c>
      <c r="Z170" s="854">
        <f>SUM(Results_Res!Z170,Results_Out!Z170,Results_Ind!Z170,Results_Com!Z170)</f>
        <v>107588.88016493099</v>
      </c>
      <c r="AA170" s="854">
        <f>SUM(Results_Res!AA170,Results_Out!AA170,Results_Ind!AA170,Results_Com!AA170)</f>
        <v>109168.26208136424</v>
      </c>
      <c r="AB170" s="854">
        <f>SUM(Results_Res!AB170,Results_Out!AB170,Results_Ind!AB170,Results_Com!AB170)</f>
        <v>110717.05042311201</v>
      </c>
      <c r="AC170" s="854">
        <f>SUM(Results_Res!AC170,Results_Out!AC170,Results_Ind!AC170,Results_Com!AC170)</f>
        <v>112235.42808834798</v>
      </c>
      <c r="AD170" s="854">
        <f>SUM(Results_Res!AD170,Results_Out!AD170,Results_Ind!AD170,Results_Com!AD170)</f>
        <v>113724.82840692619</v>
      </c>
      <c r="AE170" s="854">
        <f>SUM(Results_Res!AE170,Results_Out!AE170,Results_Ind!AE170,Results_Com!AE170)</f>
        <v>115186.07337055981</v>
      </c>
      <c r="AF170" s="854">
        <f>SUM(Results_Res!AF170,Results_Out!AF170,Results_Ind!AF170,Results_Com!AF170)</f>
        <v>116620.04095940987</v>
      </c>
    </row>
    <row r="171" spans="1:32" s="221" customFormat="1" x14ac:dyDescent="0.25">
      <c r="A171" s="839"/>
      <c r="B171" s="550" t="s">
        <v>40</v>
      </c>
      <c r="C171" s="539"/>
      <c r="D171" s="539"/>
      <c r="E171" s="539"/>
      <c r="F171" s="539"/>
      <c r="G171" s="854">
        <f>SUM(Results_Res!G171,Results_Out!G171,Results_Ind!G171,Results_Com!G171)</f>
        <v>4844.8918577857439</v>
      </c>
      <c r="H171" s="854">
        <f>SUM(Results_Res!H171,Results_Out!H171,Results_Ind!H171,Results_Com!H171)</f>
        <v>5640.1035773292324</v>
      </c>
      <c r="I171" s="854">
        <f>SUM(Results_Res!I171,Results_Out!I171,Results_Ind!I171,Results_Com!I171)</f>
        <v>6469.9159437261733</v>
      </c>
      <c r="J171" s="854">
        <f>SUM(Results_Res!J171,Results_Out!J171,Results_Ind!J171,Results_Com!J171)</f>
        <v>7289.935429149964</v>
      </c>
      <c r="K171" s="854">
        <f>SUM(Results_Res!K171,Results_Out!K171,Results_Ind!K171,Results_Com!K171)</f>
        <v>8082.7083349978257</v>
      </c>
      <c r="L171" s="854">
        <f>SUM(Results_Res!L171,Results_Out!L171,Results_Ind!L171,Results_Com!L171)</f>
        <v>8743.6557730847671</v>
      </c>
      <c r="M171" s="854">
        <f>SUM(Results_Res!M171,Results_Out!M171,Results_Ind!M171,Results_Com!M171)</f>
        <v>9297.4010170833481</v>
      </c>
      <c r="N171" s="854">
        <f>SUM(Results_Res!N171,Results_Out!N171,Results_Ind!N171,Results_Com!N171)</f>
        <v>9756.7546948139861</v>
      </c>
      <c r="O171" s="854">
        <f>SUM(Results_Res!O171,Results_Out!O171,Results_Ind!O171,Results_Com!O171)</f>
        <v>10175.435867350068</v>
      </c>
      <c r="P171" s="854">
        <f>SUM(Results_Res!P171,Results_Out!P171,Results_Ind!P171,Results_Com!P171)</f>
        <v>10552.242299686102</v>
      </c>
      <c r="Q171" s="854">
        <f>SUM(Results_Res!Q171,Results_Out!Q171,Results_Ind!Q171,Results_Com!Q171)</f>
        <v>10902.904898407895</v>
      </c>
      <c r="R171" s="854">
        <f>SUM(Results_Res!R171,Results_Out!R171,Results_Ind!R171,Results_Com!R171)</f>
        <v>11222.850640595916</v>
      </c>
      <c r="S171" s="854">
        <f>SUM(Results_Res!S171,Results_Out!S171,Results_Ind!S171,Results_Com!S171)</f>
        <v>11520.645241771956</v>
      </c>
      <c r="T171" s="854">
        <f>SUM(Results_Res!T171,Results_Out!T171,Results_Ind!T171,Results_Com!T171)</f>
        <v>11800.42744518168</v>
      </c>
      <c r="U171" s="854">
        <f>SUM(Results_Res!U171,Results_Out!U171,Results_Ind!U171,Results_Com!U171)</f>
        <v>12066.060898875259</v>
      </c>
      <c r="V171" s="854">
        <f>SUM(Results_Res!V171,Results_Out!V171,Results_Ind!V171,Results_Com!V171)</f>
        <v>12320.039008345071</v>
      </c>
      <c r="W171" s="854">
        <f>SUM(Results_Res!W171,Results_Out!W171,Results_Ind!W171,Results_Com!W171)</f>
        <v>12559.575269519595</v>
      </c>
      <c r="X171" s="854">
        <f>SUM(Results_Res!X171,Results_Out!X171,Results_Ind!X171,Results_Com!X171)</f>
        <v>12793.884893149267</v>
      </c>
      <c r="Y171" s="854">
        <f>SUM(Results_Res!Y171,Results_Out!Y171,Results_Ind!Y171,Results_Com!Y171)</f>
        <v>13024.751540291079</v>
      </c>
      <c r="Z171" s="854">
        <f>SUM(Results_Res!Z171,Results_Out!Z171,Results_Ind!Z171,Results_Com!Z171)</f>
        <v>13249.553900413397</v>
      </c>
      <c r="AA171" s="854">
        <f>SUM(Results_Res!AA171,Results_Out!AA171,Results_Ind!AA171,Results_Com!AA171)</f>
        <v>13466.080123049935</v>
      </c>
      <c r="AB171" s="854">
        <f>SUM(Results_Res!AB171,Results_Out!AB171,Results_Ind!AB171,Results_Com!AB171)</f>
        <v>13677.010308212823</v>
      </c>
      <c r="AC171" s="854">
        <f>SUM(Results_Res!AC171,Results_Out!AC171,Results_Ind!AC171,Results_Com!AC171)</f>
        <v>13882.75660967459</v>
      </c>
      <c r="AD171" s="854">
        <f>SUM(Results_Res!AD171,Results_Out!AD171,Results_Ind!AD171,Results_Com!AD171)</f>
        <v>14083.454793355209</v>
      </c>
      <c r="AE171" s="854">
        <f>SUM(Results_Res!AE171,Results_Out!AE171,Results_Ind!AE171,Results_Com!AE171)</f>
        <v>14279.595053617111</v>
      </c>
      <c r="AF171" s="854">
        <f>SUM(Results_Res!AF171,Results_Out!AF171,Results_Ind!AF171,Results_Com!AF171)</f>
        <v>14471.209096719718</v>
      </c>
    </row>
    <row r="172" spans="1:32" s="221" customFormat="1" x14ac:dyDescent="0.25">
      <c r="A172" s="839"/>
      <c r="B172" s="550" t="s">
        <v>29</v>
      </c>
      <c r="C172" s="539"/>
      <c r="D172" s="539"/>
      <c r="E172" s="539"/>
      <c r="F172" s="539"/>
      <c r="G172" s="854">
        <f>SUM(Results_Res!G172,Results_Out!G172,Results_Ind!G172,Results_Com!G172)</f>
        <v>0</v>
      </c>
      <c r="H172" s="854">
        <f>SUM(Results_Res!H172,Results_Out!H172,Results_Ind!H172,Results_Com!H172)</f>
        <v>1.1510935962989733E-4</v>
      </c>
      <c r="I172" s="854">
        <f>SUM(Results_Res!I172,Results_Out!I172,Results_Ind!I172,Results_Com!I172)</f>
        <v>2.0982860948207658E-4</v>
      </c>
      <c r="J172" s="854">
        <f>SUM(Results_Res!J172,Results_Out!J172,Results_Ind!J172,Results_Com!J172)</f>
        <v>2.8714004150523265E-4</v>
      </c>
      <c r="K172" s="854">
        <f>SUM(Results_Res!K172,Results_Out!K172,Results_Ind!K172,Results_Com!K172)</f>
        <v>3.5083522618562245E-4</v>
      </c>
      <c r="L172" s="854">
        <f>SUM(Results_Res!L172,Results_Out!L172,Results_Ind!L172,Results_Com!L172)</f>
        <v>4.0528853204814324E-4</v>
      </c>
      <c r="M172" s="854">
        <f>SUM(Results_Res!M172,Results_Out!M172,Results_Ind!M172,Results_Com!M172)</f>
        <v>4.5117994565243289E-4</v>
      </c>
      <c r="N172" s="854">
        <f>SUM(Results_Res!N172,Results_Out!N172,Results_Ind!N172,Results_Com!N172)</f>
        <v>4.9060396660726173E-4</v>
      </c>
      <c r="O172" s="854">
        <f>SUM(Results_Res!O172,Results_Out!O172,Results_Ind!O172,Results_Com!O172)</f>
        <v>5.2525064438653339E-4</v>
      </c>
      <c r="P172" s="854">
        <f>SUM(Results_Res!P172,Results_Out!P172,Results_Ind!P172,Results_Com!P172)</f>
        <v>5.5421566404368033E-4</v>
      </c>
      <c r="Q172" s="854">
        <f>SUM(Results_Res!Q172,Results_Out!Q172,Results_Ind!Q172,Results_Com!Q172)</f>
        <v>5.7971044287734763E-4</v>
      </c>
      <c r="R172" s="854">
        <f>SUM(Results_Res!R172,Results_Out!R172,Results_Ind!R172,Results_Com!R172)</f>
        <v>6.0089926250643153E-4</v>
      </c>
      <c r="S172" s="854">
        <f>SUM(Results_Res!S172,Results_Out!S172,Results_Ind!S172,Results_Com!S172)</f>
        <v>6.190910658236896E-4</v>
      </c>
      <c r="T172" s="854">
        <f>SUM(Results_Res!T172,Results_Out!T172,Results_Ind!T172,Results_Com!T172)</f>
        <v>6.3495471475861749E-4</v>
      </c>
      <c r="U172" s="854">
        <f>SUM(Results_Res!U172,Results_Out!U172,Results_Ind!U172,Results_Com!U172)</f>
        <v>6.4911411266199714E-4</v>
      </c>
      <c r="V172" s="854">
        <f>SUM(Results_Res!V172,Results_Out!V172,Results_Ind!V172,Results_Com!V172)</f>
        <v>6.6189664281958319E-4</v>
      </c>
      <c r="W172" s="854">
        <f>SUM(Results_Res!W172,Results_Out!W172,Results_Ind!W172,Results_Com!W172)</f>
        <v>6.7294445307321173E-4</v>
      </c>
      <c r="X172" s="854">
        <f>SUM(Results_Res!X172,Results_Out!X172,Results_Ind!X172,Results_Com!X172)</f>
        <v>6.8377277726828568E-4</v>
      </c>
      <c r="Y172" s="854">
        <f>SUM(Results_Res!Y172,Results_Out!Y172,Results_Ind!Y172,Results_Com!Y172)</f>
        <v>6.9453643572711654E-4</v>
      </c>
      <c r="Z172" s="854">
        <f>SUM(Results_Res!Z172,Results_Out!Z172,Results_Ind!Z172,Results_Com!Z172)</f>
        <v>7.0472711250817123E-4</v>
      </c>
      <c r="AA172" s="854">
        <f>SUM(Results_Res!AA172,Results_Out!AA172,Results_Ind!AA172,Results_Com!AA172)</f>
        <v>7.140094720116028E-4</v>
      </c>
      <c r="AB172" s="854">
        <f>SUM(Results_Res!AB172,Results_Out!AB172,Results_Ind!AB172,Results_Com!AB172)</f>
        <v>7.2273956909230379E-4</v>
      </c>
      <c r="AC172" s="854">
        <f>SUM(Results_Res!AC172,Results_Out!AC172,Results_Ind!AC172,Results_Com!AC172)</f>
        <v>7.3110397795177488E-4</v>
      </c>
      <c r="AD172" s="854">
        <f>SUM(Results_Res!AD172,Results_Out!AD172,Results_Ind!AD172,Results_Com!AD172)</f>
        <v>7.3914880124439843E-4</v>
      </c>
      <c r="AE172" s="854">
        <f>SUM(Results_Res!AE172,Results_Out!AE172,Results_Ind!AE172,Results_Com!AE172)</f>
        <v>7.4691009231926924E-4</v>
      </c>
      <c r="AF172" s="854">
        <f>SUM(Results_Res!AF172,Results_Out!AF172,Results_Ind!AF172,Results_Com!AF172)</f>
        <v>7.5441599146369958E-4</v>
      </c>
    </row>
    <row r="173" spans="1:32" s="221" customFormat="1" x14ac:dyDescent="0.25">
      <c r="A173" s="839"/>
      <c r="B173" s="550"/>
      <c r="C173" s="539"/>
      <c r="D173" s="539"/>
      <c r="E173" s="539"/>
      <c r="F173" s="539"/>
      <c r="G173" s="540"/>
      <c r="H173" s="540"/>
      <c r="I173" s="540"/>
      <c r="J173" s="540"/>
      <c r="K173" s="540"/>
      <c r="L173" s="540"/>
      <c r="M173" s="540"/>
      <c r="N173" s="540"/>
      <c r="O173" s="540"/>
      <c r="P173" s="540"/>
      <c r="Q173" s="540"/>
      <c r="R173" s="540"/>
      <c r="S173" s="540"/>
      <c r="T173" s="540"/>
      <c r="U173" s="540"/>
      <c r="V173" s="540"/>
      <c r="W173" s="540"/>
      <c r="X173" s="540"/>
      <c r="Y173" s="540"/>
      <c r="Z173" s="540"/>
      <c r="AA173" s="540"/>
      <c r="AB173" s="540"/>
      <c r="AC173" s="540"/>
      <c r="AD173" s="540"/>
      <c r="AE173" s="540"/>
      <c r="AF173" s="540"/>
    </row>
    <row r="174" spans="1:32" s="202" customFormat="1" ht="12.75" x14ac:dyDescent="0.2">
      <c r="A174" s="843" t="s">
        <v>42</v>
      </c>
      <c r="B174" s="556"/>
      <c r="C174" s="556"/>
      <c r="D174" s="556"/>
      <c r="E174" s="556"/>
      <c r="F174" s="556"/>
      <c r="G174" s="547"/>
      <c r="H174" s="547"/>
      <c r="I174" s="547"/>
      <c r="J174" s="547"/>
      <c r="K174" s="547"/>
      <c r="L174" s="547"/>
      <c r="M174" s="547"/>
      <c r="N174" s="547"/>
      <c r="O174" s="547"/>
      <c r="P174" s="547"/>
      <c r="Q174" s="547"/>
      <c r="R174" s="547"/>
      <c r="S174" s="547"/>
      <c r="T174" s="547"/>
      <c r="U174" s="547"/>
      <c r="V174" s="547"/>
      <c r="W174" s="547"/>
      <c r="X174" s="547"/>
      <c r="Y174" s="547"/>
      <c r="Z174" s="547"/>
      <c r="AA174" s="547"/>
      <c r="AB174" s="547"/>
      <c r="AC174" s="547"/>
      <c r="AD174" s="547"/>
      <c r="AE174" s="547"/>
      <c r="AF174" s="547"/>
    </row>
    <row r="175" spans="1:32" s="221" customFormat="1" x14ac:dyDescent="0.25">
      <c r="A175" s="839"/>
      <c r="B175" s="552" t="s">
        <v>43</v>
      </c>
      <c r="C175" s="539"/>
      <c r="D175" s="539"/>
      <c r="E175" s="539"/>
      <c r="F175" s="539"/>
      <c r="G175" s="854">
        <f>SUM(Results_Res!G175,Results_Out!G175,Results_Ind!G175,Results_Com!G175)</f>
        <v>262.49431622688257</v>
      </c>
      <c r="H175" s="854">
        <f>SUM(Results_Res!H175,Results_Out!H175,Results_Ind!H175,Results_Com!H175)</f>
        <v>236.22973779838151</v>
      </c>
      <c r="I175" s="854">
        <f>SUM(Results_Res!I175,Results_Out!I175,Results_Ind!I175,Results_Com!I175)</f>
        <v>213.07968077392852</v>
      </c>
      <c r="J175" s="854">
        <f>SUM(Results_Res!J175,Results_Out!J175,Results_Ind!J175,Results_Com!J175)</f>
        <v>192.64698138665315</v>
      </c>
      <c r="K175" s="854">
        <f>SUM(Results_Res!K175,Results_Out!K175,Results_Ind!K175,Results_Com!K175)</f>
        <v>174.59136774543472</v>
      </c>
      <c r="L175" s="854">
        <f>SUM(Results_Res!L175,Results_Out!L175,Results_Ind!L175,Results_Com!L175)</f>
        <v>158.63008645819301</v>
      </c>
      <c r="M175" s="854">
        <f>SUM(Results_Res!M175,Results_Out!M175,Results_Ind!M175,Results_Com!M175)</f>
        <v>144.49519248926089</v>
      </c>
      <c r="N175" s="854">
        <f>SUM(Results_Res!N175,Results_Out!N175,Results_Ind!N175,Results_Com!N175)</f>
        <v>131.98565810026682</v>
      </c>
      <c r="O175" s="854">
        <f>SUM(Results_Res!O175,Results_Out!O175,Results_Ind!O175,Results_Com!O175)</f>
        <v>120.93343813281885</v>
      </c>
      <c r="P175" s="854">
        <f>SUM(Results_Res!P175,Results_Out!P175,Results_Ind!P175,Results_Com!P175)</f>
        <v>111.14381727596583</v>
      </c>
      <c r="Q175" s="854">
        <f>SUM(Results_Res!Q175,Results_Out!Q175,Results_Ind!Q175,Results_Com!Q175)</f>
        <v>102.48189848156665</v>
      </c>
      <c r="R175" s="854">
        <f>SUM(Results_Res!R175,Results_Out!R175,Results_Ind!R175,Results_Com!R175)</f>
        <v>94.797075422809542</v>
      </c>
      <c r="S175" s="854">
        <f>SUM(Results_Res!S175,Results_Out!S175,Results_Ind!S175,Results_Com!S175)</f>
        <v>87.980622464325691</v>
      </c>
      <c r="T175" s="854">
        <f>SUM(Results_Res!T175,Results_Out!T175,Results_Ind!T175,Results_Com!T175)</f>
        <v>81.932915136950996</v>
      </c>
      <c r="U175" s="854">
        <f>SUM(Results_Res!U175,Results_Out!U175,Results_Ind!U175,Results_Com!U175)</f>
        <v>76.57238370612535</v>
      </c>
      <c r="V175" s="854">
        <f>SUM(Results_Res!V175,Results_Out!V175,Results_Ind!V175,Results_Com!V175)</f>
        <v>71.814863504837092</v>
      </c>
      <c r="W175" s="854">
        <f>SUM(Results_Res!W175,Results_Out!W175,Results_Ind!W175,Results_Com!W175)</f>
        <v>67.587330116155528</v>
      </c>
      <c r="X175" s="854">
        <f>SUM(Results_Res!X175,Results_Out!X175,Results_Ind!X175,Results_Com!X175)</f>
        <v>63.844325717691909</v>
      </c>
      <c r="Y175" s="854">
        <f>SUM(Results_Res!Y175,Results_Out!Y175,Results_Ind!Y175,Results_Com!Y175)</f>
        <v>60.540321043168653</v>
      </c>
      <c r="Z175" s="854">
        <f>SUM(Results_Res!Z175,Results_Out!Z175,Results_Ind!Z175,Results_Com!Z175)</f>
        <v>57.617658512645612</v>
      </c>
      <c r="AA175" s="854">
        <f>SUM(Results_Res!AA175,Results_Out!AA175,Results_Ind!AA175,Results_Com!AA175)</f>
        <v>55.018505476947354</v>
      </c>
      <c r="AB175" s="854">
        <f>SUM(Results_Res!AB175,Results_Out!AB175,Results_Ind!AB175,Results_Com!AB175)</f>
        <v>52.716713554460817</v>
      </c>
      <c r="AC175" s="854">
        <f>SUM(Results_Res!AC175,Results_Out!AC175,Results_Ind!AC175,Results_Com!AC175)</f>
        <v>50.679509539329743</v>
      </c>
      <c r="AD175" s="854">
        <f>SUM(Results_Res!AD175,Results_Out!AD175,Results_Ind!AD175,Results_Com!AD175)</f>
        <v>48.875910054843033</v>
      </c>
      <c r="AE175" s="854">
        <f>SUM(Results_Res!AE175,Results_Out!AE175,Results_Ind!AE175,Results_Com!AE175)</f>
        <v>47.276711111394178</v>
      </c>
      <c r="AF175" s="854">
        <f>SUM(Results_Res!AF175,Results_Out!AF175,Results_Ind!AF175,Results_Com!AF175)</f>
        <v>45.862391119439053</v>
      </c>
    </row>
    <row r="176" spans="1:32" s="221" customFormat="1" x14ac:dyDescent="0.25">
      <c r="A176" s="839"/>
      <c r="B176" s="552" t="s">
        <v>44</v>
      </c>
      <c r="C176" s="539"/>
      <c r="D176" s="539"/>
      <c r="E176" s="539"/>
      <c r="F176" s="539"/>
      <c r="G176" s="854">
        <f>SUM(Results_Res!G176,Results_Out!G176,Results_Ind!G176,Results_Com!G176)</f>
        <v>2796.6014287536091</v>
      </c>
      <c r="H176" s="854">
        <f>SUM(Results_Res!H176,Results_Out!H176,Results_Ind!H176,Results_Com!H176)</f>
        <v>3217.3470369222237</v>
      </c>
      <c r="I176" s="854">
        <f>SUM(Results_Res!I176,Results_Out!I176,Results_Ind!I176,Results_Com!I176)</f>
        <v>3608.2085193469038</v>
      </c>
      <c r="J176" s="854">
        <f>SUM(Results_Res!J176,Results_Out!J176,Results_Ind!J176,Results_Com!J176)</f>
        <v>3966.3188557900003</v>
      </c>
      <c r="K176" s="854">
        <f>SUM(Results_Res!K176,Results_Out!K176,Results_Ind!K176,Results_Com!K176)</f>
        <v>4291.6650542041007</v>
      </c>
      <c r="L176" s="854">
        <f>SUM(Results_Res!L176,Results_Out!L176,Results_Ind!L176,Results_Com!L176)</f>
        <v>4589.1338044959866</v>
      </c>
      <c r="M176" s="854">
        <f>SUM(Results_Res!M176,Results_Out!M176,Results_Ind!M176,Results_Com!M176)</f>
        <v>4855.8611441577323</v>
      </c>
      <c r="N176" s="854">
        <f>SUM(Results_Res!N176,Results_Out!N176,Results_Ind!N176,Results_Com!N176)</f>
        <v>5101.2344120507041</v>
      </c>
      <c r="O176" s="854">
        <f>SUM(Results_Res!O176,Results_Out!O176,Results_Ind!O176,Results_Com!O176)</f>
        <v>5336.2067461685447</v>
      </c>
      <c r="P176" s="854">
        <f>SUM(Results_Res!P176,Results_Out!P176,Results_Ind!P176,Results_Com!P176)</f>
        <v>5553.706116427189</v>
      </c>
      <c r="Q176" s="854">
        <f>SUM(Results_Res!Q176,Results_Out!Q176,Results_Ind!Q176,Results_Com!Q176)</f>
        <v>5760.2273384542923</v>
      </c>
      <c r="R176" s="854">
        <f>SUM(Results_Res!R176,Results_Out!R176,Results_Ind!R176,Results_Com!R176)</f>
        <v>5950.2483232389259</v>
      </c>
      <c r="S176" s="854">
        <f>SUM(Results_Res!S176,Results_Out!S176,Results_Ind!S176,Results_Com!S176)</f>
        <v>6127.1156801547804</v>
      </c>
      <c r="T176" s="854">
        <f>SUM(Results_Res!T176,Results_Out!T176,Results_Ind!T176,Results_Com!T176)</f>
        <v>6292.449106572747</v>
      </c>
      <c r="U176" s="854">
        <f>SUM(Results_Res!U176,Results_Out!U176,Results_Ind!U176,Results_Com!U176)</f>
        <v>6448.157415371983</v>
      </c>
      <c r="V176" s="854">
        <f>SUM(Results_Res!V176,Results_Out!V176,Results_Ind!V176,Results_Com!V176)</f>
        <v>6595.1088272665811</v>
      </c>
      <c r="W176" s="854">
        <f>SUM(Results_Res!W176,Results_Out!W176,Results_Ind!W176,Results_Com!W176)</f>
        <v>6731.3987284712093</v>
      </c>
      <c r="X176" s="854">
        <f>SUM(Results_Res!X176,Results_Out!X176,Results_Ind!X176,Results_Com!X176)</f>
        <v>6863.5594439862489</v>
      </c>
      <c r="Y176" s="854">
        <f>SUM(Results_Res!Y176,Results_Out!Y176,Results_Ind!Y176,Results_Com!Y176)</f>
        <v>6992.6670251151854</v>
      </c>
      <c r="Z176" s="854">
        <f>SUM(Results_Res!Z176,Results_Out!Z176,Results_Ind!Z176,Results_Com!Z176)</f>
        <v>7116.8087833323707</v>
      </c>
      <c r="AA176" s="854">
        <f>SUM(Results_Res!AA176,Results_Out!AA176,Results_Ind!AA176,Results_Com!AA176)</f>
        <v>7234.5053767280442</v>
      </c>
      <c r="AB176" s="854">
        <f>SUM(Results_Res!AB176,Results_Out!AB176,Results_Ind!AB176,Results_Com!AB176)</f>
        <v>7346.882525654788</v>
      </c>
      <c r="AC176" s="854">
        <f>SUM(Results_Res!AC176,Results_Out!AC176,Results_Ind!AC176,Results_Com!AC176)</f>
        <v>7455.1398559337695</v>
      </c>
      <c r="AD176" s="854">
        <f>SUM(Results_Res!AD176,Results_Out!AD176,Results_Ind!AD176,Results_Com!AD176)</f>
        <v>7559.6684116827746</v>
      </c>
      <c r="AE176" s="854">
        <f>SUM(Results_Res!AE176,Results_Out!AE176,Results_Ind!AE176,Results_Com!AE176)</f>
        <v>7660.8777382895514</v>
      </c>
      <c r="AF176" s="854">
        <f>SUM(Results_Res!AF176,Results_Out!AF176,Results_Ind!AF176,Results_Com!AF176)</f>
        <v>7758.9752234531434</v>
      </c>
    </row>
    <row r="177" spans="1:32" s="221" customFormat="1" x14ac:dyDescent="0.25">
      <c r="A177" s="839"/>
      <c r="B177" s="552" t="s">
        <v>45</v>
      </c>
      <c r="C177" s="539"/>
      <c r="D177" s="539"/>
      <c r="E177" s="539"/>
      <c r="F177" s="539"/>
      <c r="G177" s="854">
        <f>SUM(Results_Res!G177,Results_Out!G177,Results_Ind!G177,Results_Com!G177)</f>
        <v>2359.4383070470099</v>
      </c>
      <c r="H177" s="854">
        <f>SUM(Results_Res!H177,Results_Out!H177,Results_Ind!H177,Results_Com!H177)</f>
        <v>2111.1477054998404</v>
      </c>
      <c r="I177" s="854">
        <f>SUM(Results_Res!I177,Results_Out!I177,Results_Ind!I177,Results_Com!I177)</f>
        <v>1890.6752174039118</v>
      </c>
      <c r="J177" s="854">
        <f>SUM(Results_Res!J177,Results_Out!J177,Results_Ind!J177,Results_Com!J177)</f>
        <v>1694.7524022891846</v>
      </c>
      <c r="K177" s="854">
        <f>SUM(Results_Res!K177,Results_Out!K177,Results_Ind!K177,Results_Com!K177)</f>
        <v>1520.5219370503858</v>
      </c>
      <c r="L177" s="854">
        <f>SUM(Results_Res!L177,Results_Out!L177,Results_Ind!L177,Results_Com!L177)</f>
        <v>1365.5014229545375</v>
      </c>
      <c r="M177" s="854">
        <f>SUM(Results_Res!M177,Results_Out!M177,Results_Ind!M177,Results_Com!M177)</f>
        <v>1227.4554269094808</v>
      </c>
      <c r="N177" s="854">
        <f>SUM(Results_Res!N177,Results_Out!N177,Results_Ind!N177,Results_Com!N177)</f>
        <v>1104.4953252924265</v>
      </c>
      <c r="O177" s="854">
        <f>SUM(Results_Res!O177,Results_Out!O177,Results_Ind!O177,Results_Com!O177)</f>
        <v>994.97330779028562</v>
      </c>
      <c r="P177" s="854">
        <f>SUM(Results_Res!P177,Results_Out!P177,Results_Ind!P177,Results_Com!P177)</f>
        <v>897.32024204521883</v>
      </c>
      <c r="Q177" s="854">
        <f>SUM(Results_Res!Q177,Results_Out!Q177,Results_Ind!Q177,Results_Com!Q177)</f>
        <v>810.237552684364</v>
      </c>
      <c r="R177" s="854">
        <f>SUM(Results_Res!R177,Results_Out!R177,Results_Ind!R177,Results_Com!R177)</f>
        <v>732.50063827220833</v>
      </c>
      <c r="S177" s="854">
        <f>SUM(Results_Res!S177,Results_Out!S177,Results_Ind!S177,Results_Com!S177)</f>
        <v>663.08245823096547</v>
      </c>
      <c r="T177" s="854">
        <f>SUM(Results_Res!T177,Results_Out!T177,Results_Ind!T177,Results_Com!T177)</f>
        <v>601.06523961669313</v>
      </c>
      <c r="U177" s="854">
        <f>SUM(Results_Res!U177,Results_Out!U177,Results_Ind!U177,Results_Com!U177)</f>
        <v>545.64899698146235</v>
      </c>
      <c r="V177" s="854">
        <f>SUM(Results_Res!V177,Results_Out!V177,Results_Ind!V177,Results_Com!V177)</f>
        <v>496.0991635641268</v>
      </c>
      <c r="W177" s="854">
        <f>SUM(Results_Res!W177,Results_Out!W177,Results_Ind!W177,Results_Com!W177)</f>
        <v>451.764322053775</v>
      </c>
      <c r="X177" s="854">
        <f>SUM(Results_Res!X177,Results_Out!X177,Results_Ind!X177,Results_Com!X177)</f>
        <v>412.11386613651638</v>
      </c>
      <c r="Y177" s="854">
        <f>SUM(Results_Res!Y177,Results_Out!Y177,Results_Ind!Y177,Results_Com!Y177)</f>
        <v>376.75953010616155</v>
      </c>
      <c r="Z177" s="854">
        <f>SUM(Results_Res!Z177,Results_Out!Z177,Results_Ind!Z177,Results_Com!Z177)</f>
        <v>345.19678218776369</v>
      </c>
      <c r="AA177" s="854">
        <f>SUM(Results_Res!AA177,Results_Out!AA177,Results_Ind!AA177,Results_Com!AA177)</f>
        <v>316.89190931358968</v>
      </c>
      <c r="AB177" s="854">
        <f>SUM(Results_Res!AB177,Results_Out!AB177,Results_Ind!AB177,Results_Com!AB177)</f>
        <v>291.58679135524346</v>
      </c>
      <c r="AC177" s="854">
        <f>SUM(Results_Res!AC177,Results_Out!AC177,Results_Ind!AC177,Results_Com!AC177)</f>
        <v>268.95125582681271</v>
      </c>
      <c r="AD177" s="854">
        <f>SUM(Results_Res!AD177,Results_Out!AD177,Results_Ind!AD177,Results_Com!AD177)</f>
        <v>248.68823871894398</v>
      </c>
      <c r="AE177" s="854">
        <f>SUM(Results_Res!AE177,Results_Out!AE177,Results_Ind!AE177,Results_Com!AE177)</f>
        <v>230.48613583461255</v>
      </c>
      <c r="AF177" s="854">
        <f>SUM(Results_Res!AF177,Results_Out!AF177,Results_Ind!AF177,Results_Com!AF177)</f>
        <v>214.17844889934474</v>
      </c>
    </row>
    <row r="178" spans="1:32" s="221" customFormat="1" x14ac:dyDescent="0.25">
      <c r="A178" s="839"/>
      <c r="B178" s="552" t="s">
        <v>46</v>
      </c>
      <c r="C178" s="539"/>
      <c r="D178" s="539"/>
      <c r="E178" s="539"/>
      <c r="F178" s="539"/>
      <c r="G178" s="854">
        <f>SUM(Results_Res!G178,Results_Out!G178,Results_Ind!G178,Results_Com!G178)</f>
        <v>54.842825881015528</v>
      </c>
      <c r="H178" s="854">
        <f>SUM(Results_Res!H178,Results_Out!H178,Results_Ind!H178,Results_Com!H178)</f>
        <v>48.951459075663415</v>
      </c>
      <c r="I178" s="854">
        <f>SUM(Results_Res!I178,Results_Out!I178,Results_Ind!I178,Results_Com!I178)</f>
        <v>43.715421374462352</v>
      </c>
      <c r="J178" s="854">
        <f>SUM(Results_Res!J178,Results_Out!J178,Results_Ind!J178,Results_Com!J178)</f>
        <v>39.059199860314614</v>
      </c>
      <c r="K178" s="854">
        <f>SUM(Results_Res!K178,Results_Out!K178,Results_Ind!K178,Results_Com!K178)</f>
        <v>34.916297063946402</v>
      </c>
      <c r="L178" s="854">
        <f>SUM(Results_Res!L178,Results_Out!L178,Results_Ind!L178,Results_Com!L178)</f>
        <v>31.228115737754941</v>
      </c>
      <c r="M178" s="854">
        <f>SUM(Results_Res!M178,Results_Out!M178,Results_Ind!M178,Results_Com!M178)</f>
        <v>27.942986545435367</v>
      </c>
      <c r="N178" s="854">
        <f>SUM(Results_Res!N178,Results_Out!N178,Results_Ind!N178,Results_Com!N178)</f>
        <v>25.015319700044774</v>
      </c>
      <c r="O178" s="854">
        <f>SUM(Results_Res!O178,Results_Out!O178,Results_Ind!O178,Results_Com!O178)</f>
        <v>22.404864189039696</v>
      </c>
      <c r="P178" s="854">
        <f>SUM(Results_Res!P178,Results_Out!P178,Results_Ind!P178,Results_Com!P178)</f>
        <v>20.076060460286165</v>
      </c>
      <c r="Q178" s="854">
        <f>SUM(Results_Res!Q178,Results_Out!Q178,Results_Ind!Q178,Results_Com!Q178)</f>
        <v>17.997474362530735</v>
      </c>
      <c r="R178" s="854">
        <f>SUM(Results_Res!R178,Results_Out!R178,Results_Ind!R178,Results_Com!R178)</f>
        <v>16.14130178351256</v>
      </c>
      <c r="S178" s="854">
        <f>SUM(Results_Res!S178,Results_Out!S178,Results_Ind!S178,Results_Com!S178)</f>
        <v>14.482934847992608</v>
      </c>
      <c r="T178" s="854">
        <f>SUM(Results_Res!T178,Results_Out!T178,Results_Ind!T178,Results_Com!T178)</f>
        <v>13.000581759796065</v>
      </c>
      <c r="U178" s="854">
        <f>SUM(Results_Res!U178,Results_Out!U178,Results_Ind!U178,Results_Com!U178)</f>
        <v>11.674933424851682</v>
      </c>
      <c r="V178" s="854">
        <f>SUM(Results_Res!V178,Results_Out!V178,Results_Ind!V178,Results_Com!V178)</f>
        <v>10.488870900306983</v>
      </c>
      <c r="W178" s="854">
        <f>SUM(Results_Res!W178,Results_Out!W178,Results_Ind!W178,Results_Com!W178)</f>
        <v>9.42720849867605</v>
      </c>
      <c r="X178" s="854">
        <f>SUM(Results_Res!X178,Results_Out!X178,Results_Ind!X178,Results_Com!X178)</f>
        <v>8.4764680531940098</v>
      </c>
      <c r="Y178" s="854">
        <f>SUM(Results_Res!Y178,Results_Out!Y178,Results_Ind!Y178,Results_Com!Y178)</f>
        <v>7.6275655655977816</v>
      </c>
      <c r="Z178" s="854">
        <f>SUM(Results_Res!Z178,Results_Out!Z178,Results_Ind!Z178,Results_Com!Z178)</f>
        <v>6.8688961725890456</v>
      </c>
      <c r="AA178" s="854">
        <f>SUM(Results_Res!AA178,Results_Out!AA178,Results_Ind!AA178,Results_Com!AA178)</f>
        <v>6.1880484716315998</v>
      </c>
      <c r="AB178" s="854">
        <f>SUM(Results_Res!AB178,Results_Out!AB178,Results_Ind!AB178,Results_Com!AB178)</f>
        <v>5.5787977148714916</v>
      </c>
      <c r="AC178" s="854">
        <f>SUM(Results_Res!AC178,Results_Out!AC178,Results_Ind!AC178,Results_Com!AC178)</f>
        <v>5.0331399558101912</v>
      </c>
      <c r="AD178" s="854">
        <f>SUM(Results_Res!AD178,Results_Out!AD178,Results_Ind!AD178,Results_Com!AD178)</f>
        <v>4.543991139527888</v>
      </c>
      <c r="AE178" s="854">
        <f>SUM(Results_Res!AE178,Results_Out!AE178,Results_Ind!AE178,Results_Com!AE178)</f>
        <v>4.1038346156206664</v>
      </c>
      <c r="AF178" s="854">
        <f>SUM(Results_Res!AF178,Results_Out!AF178,Results_Ind!AF178,Results_Com!AF178)</f>
        <v>3.7088006232295481</v>
      </c>
    </row>
    <row r="179" spans="1:32" s="221" customFormat="1" x14ac:dyDescent="0.25">
      <c r="A179" s="839"/>
      <c r="B179" s="550" t="s">
        <v>29</v>
      </c>
      <c r="C179" s="539"/>
      <c r="D179" s="539"/>
      <c r="E179" s="539"/>
      <c r="F179" s="539"/>
      <c r="G179" s="854">
        <f>SUM(Results_Res!G179,Results_Out!G179,Results_Ind!G179,Results_Com!G179)</f>
        <v>0</v>
      </c>
      <c r="H179" s="854">
        <f>SUM(Results_Res!H179,Results_Out!H179,Results_Ind!H179,Results_Com!H179)</f>
        <v>4.457179286306979</v>
      </c>
      <c r="I179" s="854">
        <f>SUM(Results_Res!I179,Results_Out!I179,Results_Ind!I179,Results_Com!I179)</f>
        <v>7.867531809220127</v>
      </c>
      <c r="J179" s="854">
        <f>SUM(Results_Res!J179,Results_Out!J179,Results_Ind!J179,Results_Com!J179)</f>
        <v>10.462945767383166</v>
      </c>
      <c r="K179" s="854">
        <f>SUM(Results_Res!K179,Results_Out!K179,Results_Ind!K179,Results_Com!K179)</f>
        <v>12.427075055535916</v>
      </c>
      <c r="L179" s="854">
        <f>SUM(Results_Res!L179,Results_Out!L179,Results_Ind!L179,Results_Com!L179)</f>
        <v>13.921913311807483</v>
      </c>
      <c r="M179" s="854">
        <f>SUM(Results_Res!M179,Results_Out!M179,Results_Ind!M179,Results_Com!M179)</f>
        <v>15.036890910210753</v>
      </c>
      <c r="N179" s="854">
        <f>SUM(Results_Res!N179,Results_Out!N179,Results_Ind!N179,Results_Com!N179)</f>
        <v>15.890560044851338</v>
      </c>
      <c r="O179" s="854">
        <f>SUM(Results_Res!O179,Results_Out!O179,Results_Ind!O179,Results_Com!O179)</f>
        <v>16.583205636226165</v>
      </c>
      <c r="P179" s="854">
        <f>SUM(Results_Res!P179,Results_Out!P179,Results_Ind!P179,Results_Com!P179)</f>
        <v>17.117392975917671</v>
      </c>
      <c r="Q179" s="854">
        <f>SUM(Results_Res!Q179,Results_Out!Q179,Results_Ind!Q179,Results_Com!Q179)</f>
        <v>17.550612099293957</v>
      </c>
      <c r="R179" s="854">
        <f>SUM(Results_Res!R179,Results_Out!R179,Results_Ind!R179,Results_Com!R179)</f>
        <v>17.876883111964183</v>
      </c>
      <c r="S179" s="854">
        <f>SUM(Results_Res!S179,Results_Out!S179,Results_Ind!S179,Results_Com!S179)</f>
        <v>18.129224120720792</v>
      </c>
      <c r="T179" s="854">
        <f>SUM(Results_Res!T179,Results_Out!T179,Results_Ind!T179,Results_Com!T179)</f>
        <v>18.325938017706584</v>
      </c>
      <c r="U179" s="854">
        <f>SUM(Results_Res!U179,Results_Out!U179,Results_Ind!U179,Results_Com!U179)</f>
        <v>18.473443719442642</v>
      </c>
      <c r="V179" s="854">
        <f>SUM(Results_Res!V179,Results_Out!V179,Results_Ind!V179,Results_Com!V179)</f>
        <v>18.592724342640604</v>
      </c>
      <c r="W179" s="854">
        <f>SUM(Results_Res!W179,Results_Out!W179,Results_Ind!W179,Results_Com!W179)</f>
        <v>18.668943217116329</v>
      </c>
      <c r="X179" s="854">
        <f>SUM(Results_Res!X179,Results_Out!X179,Results_Ind!X179,Results_Com!X179)</f>
        <v>18.73571121322599</v>
      </c>
      <c r="Y179" s="854">
        <f>SUM(Results_Res!Y179,Results_Out!Y179,Results_Ind!Y179,Results_Com!Y179)</f>
        <v>18.797715958939449</v>
      </c>
      <c r="Z179" s="854">
        <f>SUM(Results_Res!Z179,Results_Out!Z179,Results_Ind!Z179,Results_Com!Z179)</f>
        <v>18.846462139342901</v>
      </c>
      <c r="AA179" s="854">
        <f>SUM(Results_Res!AA179,Results_Out!AA179,Results_Ind!AA179,Results_Com!AA179)</f>
        <v>18.884746616145524</v>
      </c>
      <c r="AB179" s="854">
        <f>SUM(Results_Res!AB179,Results_Out!AB179,Results_Ind!AB179,Results_Com!AB179)</f>
        <v>18.910122285408917</v>
      </c>
      <c r="AC179" s="854">
        <f>SUM(Results_Res!AC179,Results_Out!AC179,Results_Ind!AC179,Results_Com!AC179)</f>
        <v>18.927802792640392</v>
      </c>
      <c r="AD179" s="854">
        <f>SUM(Results_Res!AD179,Results_Out!AD179,Results_Ind!AD179,Results_Com!AD179)</f>
        <v>18.939606657566031</v>
      </c>
      <c r="AE179" s="854">
        <f>SUM(Results_Res!AE179,Results_Out!AE179,Results_Ind!AE179,Results_Com!AE179)</f>
        <v>18.947394086502701</v>
      </c>
      <c r="AF179" s="854">
        <f>SUM(Results_Res!AF179,Results_Out!AF179,Results_Ind!AF179,Results_Com!AF179)</f>
        <v>18.951536481595994</v>
      </c>
    </row>
    <row r="180" spans="1:32" s="221" customFormat="1" x14ac:dyDescent="0.25">
      <c r="A180" s="839"/>
      <c r="B180" s="550"/>
      <c r="C180" s="539"/>
      <c r="D180" s="539"/>
      <c r="E180" s="539"/>
      <c r="F180" s="539"/>
      <c r="G180" s="540"/>
      <c r="H180" s="540"/>
      <c r="I180" s="540"/>
      <c r="J180" s="540"/>
      <c r="K180" s="540"/>
      <c r="L180" s="540"/>
      <c r="M180" s="540"/>
      <c r="N180" s="540"/>
      <c r="O180" s="540"/>
      <c r="P180" s="540"/>
      <c r="Q180" s="540"/>
      <c r="R180" s="540"/>
      <c r="S180" s="540"/>
      <c r="T180" s="540"/>
      <c r="U180" s="540"/>
      <c r="V180" s="540"/>
      <c r="W180" s="540"/>
      <c r="X180" s="540"/>
      <c r="Y180" s="540"/>
      <c r="Z180" s="540"/>
      <c r="AA180" s="540"/>
      <c r="AB180" s="540"/>
      <c r="AC180" s="540"/>
      <c r="AD180" s="540"/>
      <c r="AE180" s="540"/>
      <c r="AF180" s="540"/>
    </row>
    <row r="181" spans="1:32" s="202" customFormat="1" ht="12.75" x14ac:dyDescent="0.2">
      <c r="A181" s="843" t="s">
        <v>47</v>
      </c>
      <c r="B181" s="556"/>
      <c r="C181" s="556"/>
      <c r="D181" s="556"/>
      <c r="E181" s="556"/>
      <c r="F181" s="556"/>
      <c r="G181" s="547"/>
      <c r="H181" s="547"/>
      <c r="I181" s="547"/>
      <c r="J181" s="547"/>
      <c r="K181" s="547"/>
      <c r="L181" s="547"/>
      <c r="M181" s="547"/>
      <c r="N181" s="547"/>
      <c r="O181" s="547"/>
      <c r="P181" s="547"/>
      <c r="Q181" s="547"/>
      <c r="R181" s="547"/>
      <c r="S181" s="547"/>
      <c r="T181" s="547"/>
      <c r="U181" s="547"/>
      <c r="V181" s="547"/>
      <c r="W181" s="547"/>
      <c r="X181" s="547"/>
      <c r="Y181" s="547"/>
      <c r="Z181" s="547"/>
      <c r="AA181" s="547"/>
      <c r="AB181" s="547"/>
      <c r="AC181" s="547"/>
      <c r="AD181" s="547"/>
      <c r="AE181" s="547"/>
      <c r="AF181" s="547"/>
    </row>
    <row r="182" spans="1:32" s="221" customFormat="1" x14ac:dyDescent="0.25">
      <c r="A182" s="839"/>
      <c r="B182" s="550" t="s">
        <v>48</v>
      </c>
      <c r="C182" s="539"/>
      <c r="D182" s="539"/>
      <c r="E182" s="539"/>
      <c r="F182" s="539"/>
      <c r="G182" s="854">
        <f>SUM(Results_Res!G182,Results_Out!G182,Results_Ind!G182,Results_Com!G182)</f>
        <v>58358.84758437462</v>
      </c>
      <c r="H182" s="854">
        <f>SUM(Results_Res!H182,Results_Out!H182,Results_Ind!H182,Results_Com!H182)</f>
        <v>58761.985040818683</v>
      </c>
      <c r="I182" s="854">
        <f>SUM(Results_Res!I182,Results_Out!I182,Results_Ind!I182,Results_Com!I182)</f>
        <v>59740.751508790083</v>
      </c>
      <c r="J182" s="854">
        <f>SUM(Results_Res!J182,Results_Out!J182,Results_Ind!J182,Results_Com!J182)</f>
        <v>60815.95000434036</v>
      </c>
      <c r="K182" s="854">
        <f>SUM(Results_Res!K182,Results_Out!K182,Results_Ind!K182,Results_Com!K182)</f>
        <v>61886.217221549203</v>
      </c>
      <c r="L182" s="854">
        <f>SUM(Results_Res!L182,Results_Out!L182,Results_Ind!L182,Results_Com!L182)</f>
        <v>62959.130437860178</v>
      </c>
      <c r="M182" s="854">
        <f>SUM(Results_Res!M182,Results_Out!M182,Results_Ind!M182,Results_Com!M182)</f>
        <v>64025.10908664071</v>
      </c>
      <c r="N182" s="854">
        <f>SUM(Results_Res!N182,Results_Out!N182,Results_Ind!N182,Results_Com!N182)</f>
        <v>65065.854953876878</v>
      </c>
      <c r="O182" s="854">
        <f>SUM(Results_Res!O182,Results_Out!O182,Results_Ind!O182,Results_Com!O182)</f>
        <v>66085.898943821754</v>
      </c>
      <c r="P182" s="854">
        <f>SUM(Results_Res!P182,Results_Out!P182,Results_Ind!P182,Results_Com!P182)</f>
        <v>67087.920046373736</v>
      </c>
      <c r="Q182" s="854">
        <f>SUM(Results_Res!Q182,Results_Out!Q182,Results_Ind!Q182,Results_Com!Q182)</f>
        <v>68071.154475980322</v>
      </c>
      <c r="R182" s="854">
        <f>SUM(Results_Res!R182,Results_Out!R182,Results_Ind!R182,Results_Com!R182)</f>
        <v>69020.55023354615</v>
      </c>
      <c r="S182" s="854">
        <f>SUM(Results_Res!S182,Results_Out!S182,Results_Ind!S182,Results_Com!S182)</f>
        <v>69955.562194995073</v>
      </c>
      <c r="T182" s="854">
        <f>SUM(Results_Res!T182,Results_Out!T182,Results_Ind!T182,Results_Com!T182)</f>
        <v>70873.80706752371</v>
      </c>
      <c r="U182" s="854">
        <f>SUM(Results_Res!U182,Results_Out!U182,Results_Ind!U182,Results_Com!U182)</f>
        <v>71773.073002985853</v>
      </c>
      <c r="V182" s="854">
        <f>SUM(Results_Res!V182,Results_Out!V182,Results_Ind!V182,Results_Com!V182)</f>
        <v>72661.673887429497</v>
      </c>
      <c r="W182" s="854">
        <f>SUM(Results_Res!W182,Results_Out!W182,Results_Ind!W182,Results_Com!W182)</f>
        <v>73530.323065390665</v>
      </c>
      <c r="X182" s="854">
        <f>SUM(Results_Res!X182,Results_Out!X182,Results_Ind!X182,Results_Com!X182)</f>
        <v>74369.736860007877</v>
      </c>
      <c r="Y182" s="854">
        <f>SUM(Results_Res!Y182,Results_Out!Y182,Results_Ind!Y182,Results_Com!Y182)</f>
        <v>75174.538826392294</v>
      </c>
      <c r="Z182" s="854">
        <f>SUM(Results_Res!Z182,Results_Out!Z182,Results_Ind!Z182,Results_Com!Z182)</f>
        <v>75952.539953624728</v>
      </c>
      <c r="AA182" s="854">
        <f>SUM(Results_Res!AA182,Results_Out!AA182,Results_Ind!AA182,Results_Com!AA182)</f>
        <v>76715.062446826982</v>
      </c>
      <c r="AB182" s="854">
        <f>SUM(Results_Res!AB182,Results_Out!AB182,Results_Ind!AB182,Results_Com!AB182)</f>
        <v>77479.069541589779</v>
      </c>
      <c r="AC182" s="854">
        <f>SUM(Results_Res!AC182,Results_Out!AC182,Results_Ind!AC182,Results_Com!AC182)</f>
        <v>78218.922223655056</v>
      </c>
      <c r="AD182" s="854">
        <f>SUM(Results_Res!AD182,Results_Out!AD182,Results_Ind!AD182,Results_Com!AD182)</f>
        <v>78933.741781827121</v>
      </c>
      <c r="AE182" s="854">
        <f>SUM(Results_Res!AE182,Results_Out!AE182,Results_Ind!AE182,Results_Com!AE182)</f>
        <v>79622.672178466135</v>
      </c>
      <c r="AF182" s="854">
        <f>SUM(Results_Res!AF182,Results_Out!AF182,Results_Ind!AF182,Results_Com!AF182)</f>
        <v>80284.881718356395</v>
      </c>
    </row>
    <row r="183" spans="1:32" s="221" customFormat="1" x14ac:dyDescent="0.25">
      <c r="A183" s="839"/>
      <c r="B183" s="552" t="s">
        <v>50</v>
      </c>
      <c r="C183" s="539"/>
      <c r="D183" s="539"/>
      <c r="E183" s="539"/>
      <c r="F183" s="539"/>
      <c r="G183" s="854">
        <f>SUM(Results_Res!G183,Results_Out!G183,Results_Ind!G183,Results_Com!G183)</f>
        <v>6055.4338463313634</v>
      </c>
      <c r="H183" s="854">
        <f>SUM(Results_Res!H183,Results_Out!H183,Results_Ind!H183,Results_Com!H183)</f>
        <v>6094.1102253961963</v>
      </c>
      <c r="I183" s="854">
        <f>SUM(Results_Res!I183,Results_Out!I183,Results_Ind!I183,Results_Com!I183)</f>
        <v>6166.6888988096971</v>
      </c>
      <c r="J183" s="854">
        <f>SUM(Results_Res!J183,Results_Out!J183,Results_Ind!J183,Results_Com!J183)</f>
        <v>6257.7987074646198</v>
      </c>
      <c r="K183" s="854">
        <f>SUM(Results_Res!K183,Results_Out!K183,Results_Ind!K183,Results_Com!K183)</f>
        <v>6355.4302428286392</v>
      </c>
      <c r="L183" s="854">
        <f>SUM(Results_Res!L183,Results_Out!L183,Results_Ind!L183,Results_Com!L183)</f>
        <v>6458.5342777436272</v>
      </c>
      <c r="M183" s="854">
        <f>SUM(Results_Res!M183,Results_Out!M183,Results_Ind!M183,Results_Com!M183)</f>
        <v>6562.7674926277887</v>
      </c>
      <c r="N183" s="854">
        <f>SUM(Results_Res!N183,Results_Out!N183,Results_Ind!N183,Results_Com!N183)</f>
        <v>6667.1037032374406</v>
      </c>
      <c r="O183" s="854">
        <f>SUM(Results_Res!O183,Results_Out!O183,Results_Ind!O183,Results_Com!O183)</f>
        <v>6773.2797826866063</v>
      </c>
      <c r="P183" s="854">
        <f>SUM(Results_Res!P183,Results_Out!P183,Results_Ind!P183,Results_Com!P183)</f>
        <v>6878.8515917554623</v>
      </c>
      <c r="Q183" s="854">
        <f>SUM(Results_Res!Q183,Results_Out!Q183,Results_Ind!Q183,Results_Com!Q183)</f>
        <v>6984.6188730285621</v>
      </c>
      <c r="R183" s="854">
        <f>SUM(Results_Res!R183,Results_Out!R183,Results_Ind!R183,Results_Com!R183)</f>
        <v>7087.4674552425859</v>
      </c>
      <c r="S183" s="854">
        <f>SUM(Results_Res!S183,Results_Out!S183,Results_Ind!S183,Results_Com!S183)</f>
        <v>7189.4254053546838</v>
      </c>
      <c r="T183" s="854">
        <f>SUM(Results_Res!T183,Results_Out!T183,Results_Ind!T183,Results_Com!T183)</f>
        <v>7290.3276547140213</v>
      </c>
      <c r="U183" s="854">
        <f>SUM(Results_Res!U183,Results_Out!U183,Results_Ind!U183,Results_Com!U183)</f>
        <v>7390.1297441200622</v>
      </c>
      <c r="V183" s="854">
        <f>SUM(Results_Res!V183,Results_Out!V183,Results_Ind!V183,Results_Com!V183)</f>
        <v>7489.4976175393676</v>
      </c>
      <c r="W183" s="854">
        <f>SUM(Results_Res!W183,Results_Out!W183,Results_Ind!W183,Results_Com!W183)</f>
        <v>7587.006451371084</v>
      </c>
      <c r="X183" s="854">
        <f>SUM(Results_Res!X183,Results_Out!X183,Results_Ind!X183,Results_Com!X183)</f>
        <v>7683.0741930078057</v>
      </c>
      <c r="Y183" s="854">
        <f>SUM(Results_Res!Y183,Results_Out!Y183,Results_Ind!Y183,Results_Com!Y183)</f>
        <v>7777.2856480877499</v>
      </c>
      <c r="Z183" s="854">
        <f>SUM(Results_Res!Z183,Results_Out!Z183,Results_Ind!Z183,Results_Com!Z183)</f>
        <v>7869.7316078924068</v>
      </c>
      <c r="AA183" s="854">
        <f>SUM(Results_Res!AA183,Results_Out!AA183,Results_Ind!AA183,Results_Com!AA183)</f>
        <v>7960.9401339112519</v>
      </c>
      <c r="AB183" s="854">
        <f>SUM(Results_Res!AB183,Results_Out!AB183,Results_Ind!AB183,Results_Com!AB183)</f>
        <v>8052.5828198825311</v>
      </c>
      <c r="AC183" s="854">
        <f>SUM(Results_Res!AC183,Results_Out!AC183,Results_Ind!AC183,Results_Com!AC183)</f>
        <v>8142.5208504891307</v>
      </c>
      <c r="AD183" s="854">
        <f>SUM(Results_Res!AD183,Results_Out!AD183,Results_Ind!AD183,Results_Com!AD183)</f>
        <v>8230.6502399183064</v>
      </c>
      <c r="AE183" s="854">
        <f>SUM(Results_Res!AE183,Results_Out!AE183,Results_Ind!AE183,Results_Com!AE183)</f>
        <v>8316.8677006659964</v>
      </c>
      <c r="AF183" s="854">
        <f>SUM(Results_Res!AF183,Results_Out!AF183,Results_Ind!AF183,Results_Com!AF183)</f>
        <v>8401.0708121521275</v>
      </c>
    </row>
    <row r="184" spans="1:32" s="221" customFormat="1" x14ac:dyDescent="0.25">
      <c r="A184" s="839"/>
      <c r="B184" s="550" t="s">
        <v>51</v>
      </c>
      <c r="C184" s="539"/>
      <c r="D184" s="539"/>
      <c r="E184" s="539"/>
      <c r="F184" s="539"/>
      <c r="G184" s="854">
        <f>SUM(Results_Res!G184,Results_Out!G184,Results_Ind!G184,Results_Com!G184)</f>
        <v>9916.8802046456331</v>
      </c>
      <c r="H184" s="854">
        <f>SUM(Results_Res!H184,Results_Out!H184,Results_Ind!H184,Results_Com!H184)</f>
        <v>10044.885878178851</v>
      </c>
      <c r="I184" s="854">
        <f>SUM(Results_Res!I184,Results_Out!I184,Results_Ind!I184,Results_Com!I184)</f>
        <v>10184.172391784654</v>
      </c>
      <c r="J184" s="854">
        <f>SUM(Results_Res!J184,Results_Out!J184,Results_Ind!J184,Results_Com!J184)</f>
        <v>10327.083458930187</v>
      </c>
      <c r="K184" s="854">
        <f>SUM(Results_Res!K184,Results_Out!K184,Results_Ind!K184,Results_Com!K184)</f>
        <v>10465.59204571402</v>
      </c>
      <c r="L184" s="854">
        <f>SUM(Results_Res!L184,Results_Out!L184,Results_Ind!L184,Results_Com!L184)</f>
        <v>10603.712522842714</v>
      </c>
      <c r="M184" s="854">
        <f>SUM(Results_Res!M184,Results_Out!M184,Results_Ind!M184,Results_Com!M184)</f>
        <v>10735.937389067753</v>
      </c>
      <c r="N184" s="854">
        <f>SUM(Results_Res!N184,Results_Out!N184,Results_Ind!N184,Results_Com!N184)</f>
        <v>10866.072341451792</v>
      </c>
      <c r="O184" s="854">
        <f>SUM(Results_Res!O184,Results_Out!O184,Results_Ind!O184,Results_Com!O184)</f>
        <v>11001.285963498049</v>
      </c>
      <c r="P184" s="854">
        <f>SUM(Results_Res!P184,Results_Out!P184,Results_Ind!P184,Results_Com!P184)</f>
        <v>11134.486154193448</v>
      </c>
      <c r="Q184" s="854">
        <f>SUM(Results_Res!Q184,Results_Out!Q184,Results_Ind!Q184,Results_Com!Q184)</f>
        <v>11269.173643467624</v>
      </c>
      <c r="R184" s="854">
        <f>SUM(Results_Res!R184,Results_Out!R184,Results_Ind!R184,Results_Com!R184)</f>
        <v>11398.331052209129</v>
      </c>
      <c r="S184" s="854">
        <f>SUM(Results_Res!S184,Results_Out!S184,Results_Ind!S184,Results_Com!S184)</f>
        <v>11525.354559900439</v>
      </c>
      <c r="T184" s="854">
        <f>SUM(Results_Res!T184,Results_Out!T184,Results_Ind!T184,Results_Com!T184)</f>
        <v>11650.287832448726</v>
      </c>
      <c r="U184" s="854">
        <f>SUM(Results_Res!U184,Results_Out!U184,Results_Ind!U184,Results_Com!U184)</f>
        <v>11773.492545877727</v>
      </c>
      <c r="V184" s="854">
        <f>SUM(Results_Res!V184,Results_Out!V184,Results_Ind!V184,Results_Com!V184)</f>
        <v>11895.693257293766</v>
      </c>
      <c r="W184" s="854">
        <f>SUM(Results_Res!W184,Results_Out!W184,Results_Ind!W184,Results_Com!W184)</f>
        <v>12013.961865868554</v>
      </c>
      <c r="X184" s="854">
        <f>SUM(Results_Res!X184,Results_Out!X184,Results_Ind!X184,Results_Com!X184)</f>
        <v>12131.470827224644</v>
      </c>
      <c r="Y184" s="854">
        <f>SUM(Results_Res!Y184,Results_Out!Y184,Results_Ind!Y184,Results_Com!Y184)</f>
        <v>12247.943019438073</v>
      </c>
      <c r="Z184" s="854">
        <f>SUM(Results_Res!Z184,Results_Out!Z184,Results_Ind!Z184,Results_Com!Z184)</f>
        <v>12362.275451571779</v>
      </c>
      <c r="AA184" s="854">
        <f>SUM(Results_Res!AA184,Results_Out!AA184,Results_Ind!AA184,Results_Com!AA184)</f>
        <v>12474.102757571341</v>
      </c>
      <c r="AB184" s="854">
        <f>SUM(Results_Res!AB184,Results_Out!AB184,Results_Ind!AB184,Results_Com!AB184)</f>
        <v>12585.725037837554</v>
      </c>
      <c r="AC184" s="854">
        <f>SUM(Results_Res!AC184,Results_Out!AC184,Results_Ind!AC184,Results_Com!AC184)</f>
        <v>12694.995974013485</v>
      </c>
      <c r="AD184" s="854">
        <f>SUM(Results_Res!AD184,Results_Out!AD184,Results_Ind!AD184,Results_Com!AD184)</f>
        <v>12801.789955815184</v>
      </c>
      <c r="AE184" s="854">
        <f>SUM(Results_Res!AE184,Results_Out!AE184,Results_Ind!AE184,Results_Com!AE184)</f>
        <v>12905.982063056363</v>
      </c>
      <c r="AF184" s="854">
        <f>SUM(Results_Res!AF184,Results_Out!AF184,Results_Ind!AF184,Results_Com!AF184)</f>
        <v>13007.448297332474</v>
      </c>
    </row>
    <row r="185" spans="1:32" s="221" customFormat="1" x14ac:dyDescent="0.25">
      <c r="A185" s="839"/>
      <c r="B185" s="550" t="s">
        <v>52</v>
      </c>
      <c r="C185" s="539"/>
      <c r="D185" s="539"/>
      <c r="E185" s="539"/>
      <c r="F185" s="539"/>
      <c r="G185" s="854">
        <f>SUM(Results_Res!G185,Results_Out!G185,Results_Ind!G185,Results_Com!G185)</f>
        <v>9264.6587648297354</v>
      </c>
      <c r="H185" s="854">
        <f>SUM(Results_Res!H185,Results_Out!H185,Results_Ind!H185,Results_Com!H185)</f>
        <v>9464.1795677841037</v>
      </c>
      <c r="I185" s="854">
        <f>SUM(Results_Res!I185,Results_Out!I185,Results_Ind!I185,Results_Com!I185)</f>
        <v>9673.4987106473836</v>
      </c>
      <c r="J185" s="854">
        <f>SUM(Results_Res!J185,Results_Out!J185,Results_Ind!J185,Results_Com!J185)</f>
        <v>9888.4182100049275</v>
      </c>
      <c r="K185" s="854">
        <f>SUM(Results_Res!K185,Results_Out!K185,Results_Ind!K185,Results_Com!K185)</f>
        <v>10100.441385421505</v>
      </c>
      <c r="L185" s="854">
        <f>SUM(Results_Res!L185,Results_Out!L185,Results_Ind!L185,Results_Com!L185)</f>
        <v>10314.096349730369</v>
      </c>
      <c r="M185" s="854">
        <f>SUM(Results_Res!M185,Results_Out!M185,Results_Ind!M185,Results_Com!M185)</f>
        <v>10526.502114613673</v>
      </c>
      <c r="N185" s="854">
        <f>SUM(Results_Res!N185,Results_Out!N185,Results_Ind!N185,Results_Com!N185)</f>
        <v>10736.789297976731</v>
      </c>
      <c r="O185" s="854">
        <f>SUM(Results_Res!O185,Results_Out!O185,Results_Ind!O185,Results_Com!O185)</f>
        <v>10947.885664871052</v>
      </c>
      <c r="P185" s="854">
        <f>SUM(Results_Res!P185,Results_Out!P185,Results_Ind!P185,Results_Com!P185)</f>
        <v>11157.682468471059</v>
      </c>
      <c r="Q185" s="854">
        <f>SUM(Results_Res!Q185,Results_Out!Q185,Results_Ind!Q185,Results_Com!Q185)</f>
        <v>11367.277883488705</v>
      </c>
      <c r="R185" s="854">
        <f>SUM(Results_Res!R185,Results_Out!R185,Results_Ind!R185,Results_Com!R185)</f>
        <v>11572.458544665842</v>
      </c>
      <c r="S185" s="854">
        <f>SUM(Results_Res!S185,Results_Out!S185,Results_Ind!S185,Results_Com!S185)</f>
        <v>11776.593457703635</v>
      </c>
      <c r="T185" s="854">
        <f>SUM(Results_Res!T185,Results_Out!T185,Results_Ind!T185,Results_Com!T185)</f>
        <v>11979.386098771689</v>
      </c>
      <c r="U185" s="854">
        <f>SUM(Results_Res!U185,Results_Out!U185,Results_Ind!U185,Results_Com!U185)</f>
        <v>12180.697465720463</v>
      </c>
      <c r="V185" s="854">
        <f>SUM(Results_Res!V185,Results_Out!V185,Results_Ind!V185,Results_Com!V185)</f>
        <v>12381.706986764664</v>
      </c>
      <c r="W185" s="854">
        <f>SUM(Results_Res!W185,Results_Out!W185,Results_Ind!W185,Results_Com!W185)</f>
        <v>12580.243057340233</v>
      </c>
      <c r="X185" s="854">
        <f>SUM(Results_Res!X185,Results_Out!X185,Results_Ind!X185,Results_Com!X185)</f>
        <v>12776.353557302684</v>
      </c>
      <c r="Y185" s="854">
        <f>SUM(Results_Res!Y185,Results_Out!Y185,Results_Ind!Y185,Results_Com!Y185)</f>
        <v>12969.265657281134</v>
      </c>
      <c r="Z185" s="854">
        <f>SUM(Results_Res!Z185,Results_Out!Z185,Results_Ind!Z185,Results_Com!Z185)</f>
        <v>13159.443928260731</v>
      </c>
      <c r="AA185" s="854">
        <f>SUM(Results_Res!AA185,Results_Out!AA185,Results_Ind!AA185,Results_Com!AA185)</f>
        <v>13348.028705596977</v>
      </c>
      <c r="AB185" s="854">
        <f>SUM(Results_Res!AB185,Results_Out!AB185,Results_Ind!AB185,Results_Com!AB185)</f>
        <v>13537.845935659112</v>
      </c>
      <c r="AC185" s="854">
        <f>SUM(Results_Res!AC185,Results_Out!AC185,Results_Ind!AC185,Results_Com!AC185)</f>
        <v>13725.04949943332</v>
      </c>
      <c r="AD185" s="854">
        <f>SUM(Results_Res!AD185,Results_Out!AD185,Results_Ind!AD185,Results_Com!AD185)</f>
        <v>13909.447007808563</v>
      </c>
      <c r="AE185" s="854">
        <f>SUM(Results_Res!AE185,Results_Out!AE185,Results_Ind!AE185,Results_Com!AE185)</f>
        <v>14090.82629375332</v>
      </c>
      <c r="AF185" s="854">
        <f>SUM(Results_Res!AF185,Results_Out!AF185,Results_Ind!AF185,Results_Com!AF185)</f>
        <v>14269.002686398364</v>
      </c>
    </row>
    <row r="186" spans="1:32" s="221" customFormat="1" x14ac:dyDescent="0.25">
      <c r="A186" s="839"/>
      <c r="B186" s="552" t="s">
        <v>29</v>
      </c>
      <c r="C186" s="539"/>
      <c r="D186" s="539"/>
      <c r="E186" s="539"/>
      <c r="F186" s="539"/>
      <c r="G186" s="854">
        <f>SUM(Results_Res!G186,Results_Out!G186,Results_Ind!G186,Results_Com!G186)</f>
        <v>338.5451041309417</v>
      </c>
      <c r="H186" s="854">
        <f>SUM(Results_Res!H186,Results_Out!H186,Results_Ind!H186,Results_Com!H186)</f>
        <v>713.47796588369079</v>
      </c>
      <c r="I186" s="854">
        <f>SUM(Results_Res!I186,Results_Out!I186,Results_Ind!I186,Results_Com!I186)</f>
        <v>989.69549498858282</v>
      </c>
      <c r="J186" s="854">
        <f>SUM(Results_Res!J186,Results_Out!J186,Results_Ind!J186,Results_Com!J186)</f>
        <v>1253.0740131683897</v>
      </c>
      <c r="K186" s="854">
        <f>SUM(Results_Res!K186,Results_Out!K186,Results_Ind!K186,Results_Com!K186)</f>
        <v>1512.1885311139049</v>
      </c>
      <c r="L186" s="854">
        <f>SUM(Results_Res!L186,Results_Out!L186,Results_Ind!L186,Results_Com!L186)</f>
        <v>1776.8589158939189</v>
      </c>
      <c r="M186" s="854">
        <f>SUM(Results_Res!M186,Results_Out!M186,Results_Ind!M186,Results_Com!M186)</f>
        <v>2046.5083073785763</v>
      </c>
      <c r="N186" s="854">
        <f>SUM(Results_Res!N186,Results_Out!N186,Results_Ind!N186,Results_Com!N186)</f>
        <v>2321.4733964722659</v>
      </c>
      <c r="O186" s="854">
        <f>SUM(Results_Res!O186,Results_Out!O186,Results_Ind!O186,Results_Com!O186)</f>
        <v>2603.5829081437478</v>
      </c>
      <c r="P186" s="854">
        <f>SUM(Results_Res!P186,Results_Out!P186,Results_Ind!P186,Results_Com!P186)</f>
        <v>2891.4723784495245</v>
      </c>
      <c r="Q186" s="854">
        <f>SUM(Results_Res!Q186,Results_Out!Q186,Results_Ind!Q186,Results_Com!Q186)</f>
        <v>3185.9523943607655</v>
      </c>
      <c r="R186" s="854">
        <f>SUM(Results_Res!R186,Results_Out!R186,Results_Ind!R186,Results_Com!R186)</f>
        <v>3484.5640828507617</v>
      </c>
      <c r="S186" s="854">
        <f>SUM(Results_Res!S186,Results_Out!S186,Results_Ind!S186,Results_Com!S186)</f>
        <v>3788.6525084533023</v>
      </c>
      <c r="T186" s="854">
        <f>SUM(Results_Res!T186,Results_Out!T186,Results_Ind!T186,Results_Com!T186)</f>
        <v>4097.9956593056913</v>
      </c>
      <c r="U186" s="854">
        <f>SUM(Results_Res!U186,Results_Out!U186,Results_Ind!U186,Results_Com!U186)</f>
        <v>4412.4574403186862</v>
      </c>
      <c r="V186" s="854">
        <f>SUM(Results_Res!V186,Results_Out!V186,Results_Ind!V186,Results_Com!V186)</f>
        <v>4732.4741694470968</v>
      </c>
      <c r="W186" s="854">
        <f>SUM(Results_Res!W186,Results_Out!W186,Results_Ind!W186,Results_Com!W186)</f>
        <v>5056.4810729359115</v>
      </c>
      <c r="X186" s="854">
        <f>SUM(Results_Res!X186,Results_Out!X186,Results_Ind!X186,Results_Com!X186)</f>
        <v>5385.0875091661055</v>
      </c>
      <c r="Y186" s="854">
        <f>SUM(Results_Res!Y186,Results_Out!Y186,Results_Ind!Y186,Results_Com!Y186)</f>
        <v>5717.8471443849439</v>
      </c>
      <c r="Z186" s="854">
        <f>SUM(Results_Res!Z186,Results_Out!Z186,Results_Ind!Z186,Results_Com!Z186)</f>
        <v>6054.4595848924673</v>
      </c>
      <c r="AA186" s="854">
        <f>SUM(Results_Res!AA186,Results_Out!AA186,Results_Ind!AA186,Results_Com!AA186)</f>
        <v>6395.0427515581086</v>
      </c>
      <c r="AB186" s="854">
        <f>SUM(Results_Res!AB186,Results_Out!AB186,Results_Ind!AB186,Results_Com!AB186)</f>
        <v>6741.2293448368118</v>
      </c>
      <c r="AC186" s="854">
        <f>SUM(Results_Res!AC186,Results_Out!AC186,Results_Ind!AC186,Results_Com!AC186)</f>
        <v>7090.8318474514299</v>
      </c>
      <c r="AD186" s="854">
        <f>SUM(Results_Res!AD186,Results_Out!AD186,Results_Ind!AD186,Results_Com!AD186)</f>
        <v>7443.547795910582</v>
      </c>
      <c r="AE186" s="854">
        <f>SUM(Results_Res!AE186,Results_Out!AE186,Results_Ind!AE186,Results_Com!AE186)</f>
        <v>7799.0826522859434</v>
      </c>
      <c r="AF186" s="854">
        <f>SUM(Results_Res!AF186,Results_Out!AF186,Results_Ind!AF186,Results_Com!AF186)</f>
        <v>8157.1168788441391</v>
      </c>
    </row>
    <row r="187" spans="1:32" s="221" customFormat="1" x14ac:dyDescent="0.25">
      <c r="A187" s="839"/>
      <c r="B187" s="552" t="s">
        <v>53</v>
      </c>
      <c r="C187" s="539"/>
      <c r="D187" s="539"/>
      <c r="E187" s="539"/>
      <c r="F187" s="539"/>
      <c r="G187" s="854">
        <f>SUM(Results_Res!G187,Results_Out!G187,Results_Ind!G187,Results_Com!G187)</f>
        <v>210.48592758173848</v>
      </c>
      <c r="H187" s="854">
        <f>SUM(Results_Res!H187,Results_Out!H187,Results_Ind!H187,Results_Com!H187)</f>
        <v>215.582768064302</v>
      </c>
      <c r="I187" s="854">
        <f>SUM(Results_Res!I187,Results_Out!I187,Results_Ind!I187,Results_Com!I187)</f>
        <v>220.8874443257213</v>
      </c>
      <c r="J187" s="854">
        <f>SUM(Results_Res!J187,Results_Out!J187,Results_Ind!J187,Results_Com!J187)</f>
        <v>226.34157201704855</v>
      </c>
      <c r="K187" s="854">
        <f>SUM(Results_Res!K187,Results_Out!K187,Results_Ind!K187,Results_Com!K187)</f>
        <v>231.73955300373419</v>
      </c>
      <c r="L187" s="854">
        <f>SUM(Results_Res!L187,Results_Out!L187,Results_Ind!L187,Results_Com!L187)</f>
        <v>237.19513020021813</v>
      </c>
      <c r="M187" s="854">
        <f>SUM(Results_Res!M187,Results_Out!M187,Results_Ind!M187,Results_Com!M187)</f>
        <v>242.67497129146307</v>
      </c>
      <c r="N187" s="854">
        <f>SUM(Results_Res!N187,Results_Out!N187,Results_Ind!N187,Results_Com!N187)</f>
        <v>248.100623075447</v>
      </c>
      <c r="O187" s="854">
        <f>SUM(Results_Res!O187,Results_Out!O187,Results_Ind!O187,Results_Com!O187)</f>
        <v>253.4850455949659</v>
      </c>
      <c r="P187" s="854">
        <f>SUM(Results_Res!P187,Results_Out!P187,Results_Ind!P187,Results_Com!P187)</f>
        <v>258.84287520329201</v>
      </c>
      <c r="Q187" s="854">
        <f>SUM(Results_Res!Q187,Results_Out!Q187,Results_Ind!Q187,Results_Com!Q187)</f>
        <v>264.16777729453918</v>
      </c>
      <c r="R187" s="854">
        <f>SUM(Results_Res!R187,Results_Out!R187,Results_Ind!R187,Results_Com!R187)</f>
        <v>269.39923561194723</v>
      </c>
      <c r="S187" s="854">
        <f>SUM(Results_Res!S187,Results_Out!S187,Results_Ind!S187,Results_Com!S187)</f>
        <v>274.61596480285317</v>
      </c>
      <c r="T187" s="854">
        <f>SUM(Results_Res!T187,Results_Out!T187,Results_Ind!T187,Results_Com!T187)</f>
        <v>279.80698493692751</v>
      </c>
      <c r="U187" s="854">
        <f>SUM(Results_Res!U187,Results_Out!U187,Results_Ind!U187,Results_Com!U187)</f>
        <v>284.96166324478162</v>
      </c>
      <c r="V187" s="854">
        <f>SUM(Results_Res!V187,Results_Out!V187,Results_Ind!V187,Results_Com!V187)</f>
        <v>290.11450087987288</v>
      </c>
      <c r="W187" s="854">
        <f>SUM(Results_Res!W187,Results_Out!W187,Results_Ind!W187,Results_Com!W187)</f>
        <v>295.22627111272715</v>
      </c>
      <c r="X187" s="854">
        <f>SUM(Results_Res!X187,Results_Out!X187,Results_Ind!X187,Results_Com!X187)</f>
        <v>300.2535123748724</v>
      </c>
      <c r="Y187" s="854">
        <f>SUM(Results_Res!Y187,Results_Out!Y187,Results_Ind!Y187,Results_Com!Y187)</f>
        <v>305.17105447564347</v>
      </c>
      <c r="Z187" s="854">
        <f>SUM(Results_Res!Z187,Results_Out!Z187,Results_Ind!Z187,Results_Com!Z187)</f>
        <v>310.0118773298974</v>
      </c>
      <c r="AA187" s="854">
        <f>SUM(Results_Res!AA187,Results_Out!AA187,Results_Ind!AA187,Results_Com!AA187)</f>
        <v>314.82480240173163</v>
      </c>
      <c r="AB187" s="854">
        <f>SUM(Results_Res!AB187,Results_Out!AB187,Results_Ind!AB187,Results_Com!AB187)</f>
        <v>319.68341960585985</v>
      </c>
      <c r="AC187" s="854">
        <f>SUM(Results_Res!AC187,Results_Out!AC187,Results_Ind!AC187,Results_Com!AC187)</f>
        <v>324.47428042009705</v>
      </c>
      <c r="AD187" s="854">
        <f>SUM(Results_Res!AD187,Results_Out!AD187,Results_Ind!AD187,Results_Com!AD187)</f>
        <v>329.19206094805827</v>
      </c>
      <c r="AE187" s="854">
        <f>SUM(Results_Res!AE187,Results_Out!AE187,Results_Ind!AE187,Results_Com!AE187)</f>
        <v>333.83145302171329</v>
      </c>
      <c r="AF187" s="854">
        <f>SUM(Results_Res!AF187,Results_Out!AF187,Results_Ind!AF187,Results_Com!AF187)</f>
        <v>338.3871739244837</v>
      </c>
    </row>
    <row r="188" spans="1:32" s="221" customFormat="1" x14ac:dyDescent="0.25">
      <c r="A188" s="838"/>
      <c r="B188" s="539"/>
      <c r="C188" s="539"/>
      <c r="D188" s="539"/>
      <c r="E188" s="539"/>
      <c r="F188" s="539"/>
      <c r="G188" s="539"/>
      <c r="H188" s="539"/>
      <c r="I188" s="539"/>
      <c r="J188" s="539"/>
      <c r="K188" s="539"/>
      <c r="L188" s="539"/>
      <c r="M188" s="539"/>
      <c r="N188" s="539"/>
      <c r="O188" s="539"/>
      <c r="P188" s="539"/>
      <c r="Q188" s="539"/>
      <c r="R188" s="539"/>
      <c r="S188" s="539"/>
      <c r="T188" s="539"/>
      <c r="U188" s="539"/>
      <c r="V188" s="539"/>
      <c r="W188" s="539"/>
      <c r="X188" s="539"/>
      <c r="Y188" s="539"/>
      <c r="Z188" s="539"/>
      <c r="AA188" s="539"/>
      <c r="AB188" s="539"/>
      <c r="AC188" s="539"/>
      <c r="AD188" s="539"/>
      <c r="AE188" s="539"/>
      <c r="AF188" s="539"/>
    </row>
    <row r="189" spans="1:32" s="221" customFormat="1" x14ac:dyDescent="0.25">
      <c r="A189" s="838"/>
      <c r="B189" s="539"/>
      <c r="C189" s="539"/>
      <c r="D189" s="539"/>
      <c r="E189" s="539"/>
      <c r="F189" s="539"/>
      <c r="G189" s="539"/>
      <c r="H189" s="539"/>
      <c r="I189" s="539"/>
      <c r="J189" s="539"/>
      <c r="K189" s="539"/>
      <c r="L189" s="539"/>
      <c r="M189" s="539"/>
      <c r="N189" s="539"/>
      <c r="O189" s="539"/>
      <c r="P189" s="539"/>
      <c r="Q189" s="539"/>
      <c r="R189" s="539"/>
      <c r="S189" s="539"/>
      <c r="T189" s="539"/>
      <c r="U189" s="539"/>
      <c r="V189" s="539"/>
      <c r="W189" s="539"/>
      <c r="X189" s="539"/>
      <c r="Y189" s="539"/>
      <c r="Z189" s="539"/>
      <c r="AA189" s="539"/>
      <c r="AB189" s="539"/>
      <c r="AC189" s="539"/>
      <c r="AD189" s="539"/>
      <c r="AE189" s="539"/>
      <c r="AF189" s="539"/>
    </row>
    <row r="190" spans="1:32" x14ac:dyDescent="0.25">
      <c r="A190" s="860" t="s">
        <v>633</v>
      </c>
      <c r="B190" s="555"/>
      <c r="C190" s="554"/>
      <c r="D190" s="553"/>
      <c r="E190" s="553"/>
      <c r="F190" s="553"/>
      <c r="G190" s="553"/>
      <c r="H190" s="560"/>
      <c r="I190" s="560"/>
      <c r="J190" s="560"/>
      <c r="K190" s="560"/>
      <c r="L190" s="560"/>
      <c r="M190" s="560"/>
      <c r="N190" s="560"/>
      <c r="O190" s="560"/>
      <c r="P190" s="560"/>
      <c r="Q190" s="560"/>
      <c r="R190" s="560"/>
      <c r="S190" s="560"/>
      <c r="T190" s="560"/>
      <c r="U190" s="560"/>
      <c r="V190" s="560"/>
      <c r="W190" s="560"/>
      <c r="X190" s="560"/>
      <c r="Y190" s="560"/>
      <c r="Z190" s="560"/>
      <c r="AA190" s="560"/>
      <c r="AB190" s="560"/>
      <c r="AC190" s="560"/>
      <c r="AD190" s="560"/>
      <c r="AE190" s="560"/>
      <c r="AF190" s="560"/>
    </row>
    <row r="191" spans="1:32" x14ac:dyDescent="0.25">
      <c r="A191" s="840" t="s">
        <v>12</v>
      </c>
      <c r="B191" s="550"/>
    </row>
    <row r="192" spans="1:32" x14ac:dyDescent="0.25">
      <c r="A192" s="839"/>
      <c r="B192" s="550" t="s">
        <v>20</v>
      </c>
    </row>
    <row r="193" spans="1:32" s="202" customFormat="1" ht="12.75" x14ac:dyDescent="0.2">
      <c r="A193" s="843" t="s">
        <v>21</v>
      </c>
      <c r="B193" s="556"/>
      <c r="C193" s="556"/>
      <c r="D193" s="556"/>
      <c r="E193" s="556"/>
      <c r="F193" s="556"/>
      <c r="G193" s="556"/>
      <c r="H193" s="556"/>
      <c r="I193" s="556"/>
      <c r="J193" s="556"/>
      <c r="K193" s="556"/>
      <c r="L193" s="556"/>
      <c r="M193" s="556"/>
      <c r="N193" s="556"/>
      <c r="O193" s="556"/>
      <c r="P193" s="556"/>
      <c r="Q193" s="556"/>
      <c r="R193" s="556"/>
      <c r="S193" s="556"/>
      <c r="T193" s="556"/>
      <c r="U193" s="556"/>
      <c r="V193" s="556"/>
      <c r="W193" s="556"/>
      <c r="X193" s="556"/>
      <c r="Y193" s="556"/>
      <c r="Z193" s="556"/>
      <c r="AA193" s="556"/>
      <c r="AB193" s="556"/>
      <c r="AC193" s="556"/>
      <c r="AD193" s="556"/>
      <c r="AE193" s="556"/>
      <c r="AF193" s="556"/>
    </row>
    <row r="194" spans="1:32" s="221" customFormat="1" x14ac:dyDescent="0.25">
      <c r="A194" s="839"/>
      <c r="B194" s="550" t="s">
        <v>22</v>
      </c>
      <c r="C194" s="539"/>
      <c r="D194" s="539"/>
      <c r="E194" s="539"/>
      <c r="F194" s="539"/>
      <c r="G194" s="854">
        <f>SUM(Results_Res!G194,Results_Out!G194,Results_Ind!G194,Results_Com!G194)</f>
        <v>0.5575526770129049</v>
      </c>
      <c r="H194" s="854">
        <f>SUM(Results_Res!H194,Results_Out!H194,Results_Ind!H194,Results_Com!H194)</f>
        <v>0.44857011444701417</v>
      </c>
      <c r="I194" s="854">
        <f>SUM(Results_Res!I194,Results_Out!I194,Results_Ind!I194,Results_Com!I194)</f>
        <v>0.3752771232441719</v>
      </c>
      <c r="J194" s="854">
        <f>SUM(Results_Res!J194,Results_Out!J194,Results_Ind!J194,Results_Com!J194)</f>
        <v>0.27726339382500115</v>
      </c>
      <c r="K194" s="854">
        <f>SUM(Results_Res!K194,Results_Out!K194,Results_Ind!K194,Results_Com!K194)</f>
        <v>0.20470193622141522</v>
      </c>
      <c r="L194" s="854">
        <f>SUM(Results_Res!L194,Results_Out!L194,Results_Ind!L194,Results_Com!L194)</f>
        <v>0.1436301920232276</v>
      </c>
      <c r="M194" s="854">
        <f>SUM(Results_Res!M194,Results_Out!M194,Results_Ind!M194,Results_Com!M194)</f>
        <v>8.2377332509425527E-2</v>
      </c>
      <c r="N194" s="854">
        <f>SUM(Results_Res!N194,Results_Out!N194,Results_Ind!N194,Results_Com!N194)</f>
        <v>5.6986540808531508E-2</v>
      </c>
      <c r="O194" s="854">
        <f>SUM(Results_Res!O194,Results_Out!O194,Results_Ind!O194,Results_Com!O194)</f>
        <v>4.3857509133021333E-2</v>
      </c>
      <c r="P194" s="854">
        <f>SUM(Results_Res!P194,Results_Out!P194,Results_Ind!P194,Results_Com!P194)</f>
        <v>3.6868531308393494E-2</v>
      </c>
      <c r="Q194" s="854">
        <f>SUM(Results_Res!Q194,Results_Out!Q194,Results_Ind!Q194,Results_Com!Q194)</f>
        <v>3.3044953309609673E-2</v>
      </c>
      <c r="R194" s="854">
        <f>SUM(Results_Res!R194,Results_Out!R194,Results_Ind!R194,Results_Com!R194)</f>
        <v>3.0888992598491649E-2</v>
      </c>
      <c r="S194" s="854">
        <f>SUM(Results_Res!S194,Results_Out!S194,Results_Ind!S194,Results_Com!S194)</f>
        <v>2.9633165935955625E-2</v>
      </c>
      <c r="T194" s="854">
        <f>SUM(Results_Res!T194,Results_Out!T194,Results_Ind!T194,Results_Com!T194)</f>
        <v>2.8877927020934401E-2</v>
      </c>
      <c r="U194" s="854">
        <f>SUM(Results_Res!U194,Results_Out!U194,Results_Ind!U194,Results_Com!U194)</f>
        <v>2.8408902637376679E-2</v>
      </c>
      <c r="V194" s="854">
        <f>SUM(Results_Res!V194,Results_Out!V194,Results_Ind!V194,Results_Com!V194)</f>
        <v>2.8108409343736727E-2</v>
      </c>
      <c r="W194" s="854">
        <f>SUM(Results_Res!W194,Results_Out!W194,Results_Ind!W194,Results_Com!W194)</f>
        <v>2.7909404915410316E-2</v>
      </c>
      <c r="X194" s="854">
        <f>SUM(Results_Res!X194,Results_Out!X194,Results_Ind!X194,Results_Com!X194)</f>
        <v>2.7774396511964016E-2</v>
      </c>
      <c r="Y194" s="854">
        <f>SUM(Results_Res!Y194,Results_Out!Y194,Results_Ind!Y194,Results_Com!Y194)</f>
        <v>2.7679298275281684E-2</v>
      </c>
      <c r="Z194" s="854">
        <f>SUM(Results_Res!Z194,Results_Out!Z194,Results_Ind!Z194,Results_Com!Z194)</f>
        <v>2.7608864297888183E-2</v>
      </c>
      <c r="AA194" s="854">
        <f>SUM(Results_Res!AA194,Results_Out!AA194,Results_Ind!AA194,Results_Com!AA194)</f>
        <v>2.7554842722451234E-2</v>
      </c>
      <c r="AB194" s="854">
        <f>SUM(Results_Res!AB194,Results_Out!AB194,Results_Ind!AB194,Results_Com!AB194)</f>
        <v>2.7513564243187575E-2</v>
      </c>
      <c r="AC194" s="854">
        <f>SUM(Results_Res!AC194,Results_Out!AC194,Results_Ind!AC194,Results_Com!AC194)</f>
        <v>2.7481407261895203E-2</v>
      </c>
      <c r="AD194" s="854">
        <f>SUM(Results_Res!AD194,Results_Out!AD194,Results_Ind!AD194,Results_Com!AD194)</f>
        <v>2.7454721504757321E-2</v>
      </c>
      <c r="AE194" s="854">
        <f>SUM(Results_Res!AE194,Results_Out!AE194,Results_Ind!AE194,Results_Com!AE194)</f>
        <v>2.743138323362735E-2</v>
      </c>
      <c r="AF194" s="854">
        <f>SUM(Results_Res!AF194,Results_Out!AF194,Results_Ind!AF194,Results_Com!AF194)</f>
        <v>2.741015981256751E-2</v>
      </c>
    </row>
    <row r="195" spans="1:32" s="221" customFormat="1" x14ac:dyDescent="0.25">
      <c r="A195" s="839"/>
      <c r="B195" s="550" t="s">
        <v>26</v>
      </c>
      <c r="C195" s="539"/>
      <c r="D195" s="539"/>
      <c r="E195" s="539"/>
      <c r="F195" s="539"/>
      <c r="G195" s="854">
        <f>SUM(Results_Res!G195,Results_Out!G195,Results_Ind!G195,Results_Com!G195)</f>
        <v>8.6741604173829669E-3</v>
      </c>
      <c r="H195" s="854">
        <f>SUM(Results_Res!H195,Results_Out!H195,Results_Ind!H195,Results_Com!H195)</f>
        <v>7.0730320451212912E-3</v>
      </c>
      <c r="I195" s="854">
        <f>SUM(Results_Res!I195,Results_Out!I195,Results_Ind!I195,Results_Com!I195)</f>
        <v>1.885389164309445E-2</v>
      </c>
      <c r="J195" s="854">
        <f>SUM(Results_Res!J195,Results_Out!J195,Results_Ind!J195,Results_Com!J195)</f>
        <v>5.1642005685998069E-2</v>
      </c>
      <c r="K195" s="854">
        <f>SUM(Results_Res!K195,Results_Out!K195,Results_Ind!K195,Results_Com!K195)</f>
        <v>8.0552906971174343E-2</v>
      </c>
      <c r="L195" s="854">
        <f>SUM(Results_Res!L195,Results_Out!L195,Results_Ind!L195,Results_Com!L195)</f>
        <v>9.6203382629932777E-2</v>
      </c>
      <c r="M195" s="854">
        <f>SUM(Results_Res!M195,Results_Out!M195,Results_Ind!M195,Results_Com!M195)</f>
        <v>0.1084692792895845</v>
      </c>
      <c r="N195" s="854">
        <f>SUM(Results_Res!N195,Results_Out!N195,Results_Ind!N195,Results_Com!N195)</f>
        <v>0.10878338130324337</v>
      </c>
      <c r="O195" s="854">
        <f>SUM(Results_Res!O195,Results_Out!O195,Results_Ind!O195,Results_Com!O195)</f>
        <v>0.10645652894140428</v>
      </c>
      <c r="P195" s="854">
        <f>SUM(Results_Res!P195,Results_Out!P195,Results_Ind!P195,Results_Com!P195)</f>
        <v>0.10338511537312023</v>
      </c>
      <c r="Q195" s="854">
        <f>SUM(Results_Res!Q195,Results_Out!Q195,Results_Ind!Q195,Results_Com!Q195)</f>
        <v>0.10053893071615046</v>
      </c>
      <c r="R195" s="854">
        <f>SUM(Results_Res!R195,Results_Out!R195,Results_Ind!R195,Results_Com!R195)</f>
        <v>9.8163317790257915E-2</v>
      </c>
      <c r="S195" s="854">
        <f>SUM(Results_Res!S195,Results_Out!S195,Results_Ind!S195,Results_Com!S195)</f>
        <v>9.6332064023185351E-2</v>
      </c>
      <c r="T195" s="854">
        <f>SUM(Results_Res!T195,Results_Out!T195,Results_Ind!T195,Results_Com!T195)</f>
        <v>9.4957904868144788E-2</v>
      </c>
      <c r="U195" s="854">
        <f>SUM(Results_Res!U195,Results_Out!U195,Results_Ind!U195,Results_Com!U195)</f>
        <v>9.393946807373374E-2</v>
      </c>
      <c r="V195" s="854">
        <f>SUM(Results_Res!V195,Results_Out!V195,Results_Ind!V195,Results_Com!V195)</f>
        <v>9.3193766998019345E-2</v>
      </c>
      <c r="W195" s="854">
        <f>SUM(Results_Res!W195,Results_Out!W195,Results_Ind!W195,Results_Com!W195)</f>
        <v>9.262677460428316E-2</v>
      </c>
      <c r="X195" s="854">
        <f>SUM(Results_Res!X195,Results_Out!X195,Results_Ind!X195,Results_Com!X195)</f>
        <v>9.2201101091070145E-2</v>
      </c>
      <c r="Y195" s="854">
        <f>SUM(Results_Res!Y195,Results_Out!Y195,Results_Ind!Y195,Results_Com!Y195)</f>
        <v>9.1861816358568743E-2</v>
      </c>
      <c r="Z195" s="854">
        <f>SUM(Results_Res!Z195,Results_Out!Z195,Results_Ind!Z195,Results_Com!Z195)</f>
        <v>9.1583177212176042E-2</v>
      </c>
      <c r="AA195" s="854">
        <f>SUM(Results_Res!AA195,Results_Out!AA195,Results_Ind!AA195,Results_Com!AA195)</f>
        <v>9.1357863569729386E-2</v>
      </c>
      <c r="AB195" s="854">
        <f>SUM(Results_Res!AB195,Results_Out!AB195,Results_Ind!AB195,Results_Com!AB195)</f>
        <v>9.1194546791181219E-2</v>
      </c>
      <c r="AC195" s="854">
        <f>SUM(Results_Res!AC195,Results_Out!AC195,Results_Ind!AC195,Results_Com!AC195)</f>
        <v>9.1047461455282808E-2</v>
      </c>
      <c r="AD195" s="854">
        <f>SUM(Results_Res!AD195,Results_Out!AD195,Results_Ind!AD195,Results_Com!AD195)</f>
        <v>9.091047811095429E-2</v>
      </c>
      <c r="AE195" s="854">
        <f>SUM(Results_Res!AE195,Results_Out!AE195,Results_Ind!AE195,Results_Com!AE195)</f>
        <v>9.078047295743169E-2</v>
      </c>
      <c r="AF195" s="854">
        <f>SUM(Results_Res!AF195,Results_Out!AF195,Results_Ind!AF195,Results_Com!AF195)</f>
        <v>9.0655311668750099E-2</v>
      </c>
    </row>
    <row r="196" spans="1:32" s="221" customFormat="1" x14ac:dyDescent="0.25">
      <c r="A196" s="839"/>
      <c r="B196" s="550" t="s">
        <v>27</v>
      </c>
      <c r="C196" s="539"/>
      <c r="D196" s="539"/>
      <c r="E196" s="539"/>
      <c r="F196" s="539"/>
      <c r="G196" s="854">
        <f>SUM(Results_Res!G196,Results_Out!G196,Results_Ind!G196,Results_Com!G196)</f>
        <v>9.671238993488819E-2</v>
      </c>
      <c r="H196" s="854">
        <f>SUM(Results_Res!H196,Results_Out!H196,Results_Ind!H196,Results_Com!H196)</f>
        <v>0.12242726101744311</v>
      </c>
      <c r="I196" s="854">
        <f>SUM(Results_Res!I196,Results_Out!I196,Results_Ind!I196,Results_Com!I196)</f>
        <v>0.13641611712054291</v>
      </c>
      <c r="J196" s="854">
        <f>SUM(Results_Res!J196,Results_Out!J196,Results_Ind!J196,Results_Com!J196)</f>
        <v>0.15056201751845821</v>
      </c>
      <c r="K196" s="854">
        <f>SUM(Results_Res!K196,Results_Out!K196,Results_Ind!K196,Results_Com!K196)</f>
        <v>0.15985174490096099</v>
      </c>
      <c r="L196" s="854">
        <f>SUM(Results_Res!L196,Results_Out!L196,Results_Ind!L196,Results_Com!L196)</f>
        <v>0.17008169072761664</v>
      </c>
      <c r="M196" s="854">
        <f>SUM(Results_Res!M196,Results_Out!M196,Results_Ind!M196,Results_Com!M196)</f>
        <v>0.18129446973986255</v>
      </c>
      <c r="N196" s="854">
        <f>SUM(Results_Res!N196,Results_Out!N196,Results_Ind!N196,Results_Com!N196)</f>
        <v>0.18732583128956984</v>
      </c>
      <c r="O196" s="854">
        <f>SUM(Results_Res!O196,Results_Out!O196,Results_Ind!O196,Results_Com!O196)</f>
        <v>0.1911377382728513</v>
      </c>
      <c r="P196" s="854">
        <f>SUM(Results_Res!P196,Results_Out!P196,Results_Ind!P196,Results_Com!P196)</f>
        <v>0.19366934338743835</v>
      </c>
      <c r="Q196" s="854">
        <f>SUM(Results_Res!Q196,Results_Out!Q196,Results_Ind!Q196,Results_Com!Q196)</f>
        <v>0.19536868112897354</v>
      </c>
      <c r="R196" s="854">
        <f>SUM(Results_Res!R196,Results_Out!R196,Results_Ind!R196,Results_Com!R196)</f>
        <v>0.1965301188833426</v>
      </c>
      <c r="S196" s="854">
        <f>SUM(Results_Res!S196,Results_Out!S196,Results_Ind!S196,Results_Com!S196)</f>
        <v>0.19731966243572285</v>
      </c>
      <c r="T196" s="854">
        <f>SUM(Results_Res!T196,Results_Out!T196,Results_Ind!T196,Results_Com!T196)</f>
        <v>0.19785909656963535</v>
      </c>
      <c r="U196" s="854">
        <f>SUM(Results_Res!U196,Results_Out!U196,Results_Ind!U196,Results_Com!U196)</f>
        <v>0.19822918413071278</v>
      </c>
      <c r="V196" s="854">
        <f>SUM(Results_Res!V196,Results_Out!V196,Results_Ind!V196,Results_Com!V196)</f>
        <v>0.19848191096204482</v>
      </c>
      <c r="W196" s="854">
        <f>SUM(Results_Res!W196,Results_Out!W196,Results_Ind!W196,Results_Com!W196)</f>
        <v>0.19866006310421558</v>
      </c>
      <c r="X196" s="854">
        <f>SUM(Results_Res!X196,Results_Out!X196,Results_Ind!X196,Results_Com!X196)</f>
        <v>0.19878356378997319</v>
      </c>
      <c r="Y196" s="854">
        <f>SUM(Results_Res!Y196,Results_Out!Y196,Results_Ind!Y196,Results_Com!Y196)</f>
        <v>0.19887358731339189</v>
      </c>
      <c r="Z196" s="854">
        <f>SUM(Results_Res!Z196,Results_Out!Z196,Results_Ind!Z196,Results_Com!Z196)</f>
        <v>0.19894095155633429</v>
      </c>
      <c r="AA196" s="854">
        <f>SUM(Results_Res!AA196,Results_Out!AA196,Results_Ind!AA196,Results_Com!AA196)</f>
        <v>0.19898970742748565</v>
      </c>
      <c r="AB196" s="854">
        <f>SUM(Results_Res!AB196,Results_Out!AB196,Results_Ind!AB196,Results_Com!AB196)</f>
        <v>0.19901834616227837</v>
      </c>
      <c r="AC196" s="854">
        <f>SUM(Results_Res!AC196,Results_Out!AC196,Results_Ind!AC196,Results_Com!AC196)</f>
        <v>0.19904071058957526</v>
      </c>
      <c r="AD196" s="854">
        <f>SUM(Results_Res!AD196,Results_Out!AD196,Results_Ind!AD196,Results_Com!AD196)</f>
        <v>0.19905936239849392</v>
      </c>
      <c r="AE196" s="854">
        <f>SUM(Results_Res!AE196,Results_Out!AE196,Results_Ind!AE196,Results_Com!AE196)</f>
        <v>0.19907567220247269</v>
      </c>
      <c r="AF196" s="854">
        <f>SUM(Results_Res!AF196,Results_Out!AF196,Results_Ind!AF196,Results_Com!AF196)</f>
        <v>0.19909052055618959</v>
      </c>
    </row>
    <row r="197" spans="1:32" s="221" customFormat="1" x14ac:dyDescent="0.25">
      <c r="A197" s="839"/>
      <c r="B197" s="550" t="s">
        <v>29</v>
      </c>
      <c r="C197" s="539"/>
      <c r="D197" s="539"/>
      <c r="E197" s="539"/>
      <c r="F197" s="539"/>
      <c r="G197" s="854">
        <f>SUM(Results_Res!G197,Results_Out!G197,Results_Ind!G197,Results_Com!G197)</f>
        <v>0</v>
      </c>
      <c r="H197" s="854">
        <f>SUM(Results_Res!H197,Results_Out!H197,Results_Ind!H197,Results_Com!H197)</f>
        <v>5.4912808603595843E-5</v>
      </c>
      <c r="I197" s="854">
        <f>SUM(Results_Res!I197,Results_Out!I197,Results_Ind!I197,Results_Com!I197)</f>
        <v>1.0324964800753496E-4</v>
      </c>
      <c r="J197" s="854">
        <f>SUM(Results_Res!J197,Results_Out!J197,Results_Ind!J197,Results_Com!J197)</f>
        <v>1.3152940430159987E-4</v>
      </c>
      <c r="K197" s="854">
        <f>SUM(Results_Res!K197,Results_Out!K197,Results_Ind!K197,Results_Com!K197)</f>
        <v>1.551816921022188E-4</v>
      </c>
      <c r="L197" s="854">
        <f>SUM(Results_Res!L197,Results_Out!L197,Results_Ind!L197,Results_Com!L197)</f>
        <v>1.7760423225680129E-4</v>
      </c>
      <c r="M197" s="854">
        <f>SUM(Results_Res!M197,Results_Out!M197,Results_Ind!M197,Results_Com!M197)</f>
        <v>1.9907154365248703E-4</v>
      </c>
      <c r="N197" s="854">
        <f>SUM(Results_Res!N197,Results_Out!N197,Results_Ind!N197,Results_Com!N197)</f>
        <v>2.1754564192498209E-4</v>
      </c>
      <c r="O197" s="854">
        <f>SUM(Results_Res!O197,Results_Out!O197,Results_Ind!O197,Results_Com!O197)</f>
        <v>2.3374237305475758E-4</v>
      </c>
      <c r="P197" s="854">
        <f>SUM(Results_Res!P197,Results_Out!P197,Results_Ind!P197,Results_Com!P197)</f>
        <v>2.4776563033262436E-4</v>
      </c>
      <c r="Q197" s="854">
        <f>SUM(Results_Res!Q197,Results_Out!Q197,Results_Ind!Q197,Results_Com!Q197)</f>
        <v>2.6006102875652235E-4</v>
      </c>
      <c r="R197" s="854">
        <f>SUM(Results_Res!R197,Results_Out!R197,Results_Ind!R197,Results_Com!R197)</f>
        <v>2.7066164189808308E-4</v>
      </c>
      <c r="S197" s="854">
        <f>SUM(Results_Res!S197,Results_Out!S197,Results_Ind!S197,Results_Com!S197)</f>
        <v>2.7992243981335462E-4</v>
      </c>
      <c r="T197" s="854">
        <f>SUM(Results_Res!T197,Results_Out!T197,Results_Ind!T197,Results_Com!T197)</f>
        <v>2.8803639869969715E-4</v>
      </c>
      <c r="U197" s="854">
        <f>SUM(Results_Res!U197,Results_Out!U197,Results_Ind!U197,Results_Com!U197)</f>
        <v>2.9517400438573802E-4</v>
      </c>
      <c r="V197" s="854">
        <f>SUM(Results_Res!V197,Results_Out!V197,Results_Ind!V197,Results_Com!V197)</f>
        <v>3.0147962080814583E-4</v>
      </c>
      <c r="W197" s="854">
        <f>SUM(Results_Res!W197,Results_Out!W197,Results_Ind!W197,Results_Com!W197)</f>
        <v>3.0697876843410759E-4</v>
      </c>
      <c r="X197" s="854">
        <f>SUM(Results_Res!X197,Results_Out!X197,Results_Ind!X197,Results_Com!X197)</f>
        <v>3.1188632934012076E-4</v>
      </c>
      <c r="Y197" s="854">
        <f>SUM(Results_Res!Y197,Results_Out!Y197,Results_Ind!Y197,Results_Com!Y197)</f>
        <v>3.1626707269858339E-4</v>
      </c>
      <c r="Z197" s="854">
        <f>SUM(Results_Res!Z197,Results_Out!Z197,Results_Ind!Z197,Results_Com!Z197)</f>
        <v>3.2013615902705395E-4</v>
      </c>
      <c r="AA197" s="854">
        <f>SUM(Results_Res!AA197,Results_Out!AA197,Results_Ind!AA197,Results_Com!AA197)</f>
        <v>3.2352886585995623E-4</v>
      </c>
      <c r="AB197" s="854">
        <f>SUM(Results_Res!AB197,Results_Out!AB197,Results_Ind!AB197,Results_Com!AB197)</f>
        <v>3.2655084230504347E-4</v>
      </c>
      <c r="AC197" s="854">
        <f>SUM(Results_Res!AC197,Results_Out!AC197,Results_Ind!AC197,Results_Com!AC197)</f>
        <v>3.2921671801095973E-4</v>
      </c>
      <c r="AD197" s="854">
        <f>SUM(Results_Res!AD197,Results_Out!AD197,Results_Ind!AD197,Results_Com!AD197)</f>
        <v>3.3156453564896758E-4</v>
      </c>
      <c r="AE197" s="854">
        <f>SUM(Results_Res!AE197,Results_Out!AE197,Results_Ind!AE197,Results_Com!AE197)</f>
        <v>3.3362768136082374E-4</v>
      </c>
      <c r="AF197" s="854">
        <f>SUM(Results_Res!AF197,Results_Out!AF197,Results_Ind!AF197,Results_Com!AF197)</f>
        <v>3.3543554528666438E-4</v>
      </c>
    </row>
    <row r="198" spans="1:32" s="221" customFormat="1" x14ac:dyDescent="0.25">
      <c r="A198" s="839"/>
      <c r="B198" s="550"/>
      <c r="C198" s="539"/>
      <c r="D198" s="539"/>
      <c r="E198" s="539"/>
      <c r="F198" s="539"/>
      <c r="G198" s="549"/>
      <c r="H198" s="549"/>
      <c r="I198" s="549"/>
      <c r="J198" s="549"/>
      <c r="K198" s="549"/>
      <c r="L198" s="549"/>
      <c r="M198" s="549"/>
      <c r="N198" s="549"/>
      <c r="O198" s="549"/>
      <c r="P198" s="549"/>
      <c r="Q198" s="549"/>
      <c r="R198" s="549"/>
      <c r="S198" s="549"/>
      <c r="T198" s="549"/>
      <c r="U198" s="549"/>
      <c r="V198" s="549"/>
      <c r="W198" s="549"/>
      <c r="X198" s="549"/>
      <c r="Y198" s="549"/>
      <c r="Z198" s="549"/>
      <c r="AA198" s="549"/>
      <c r="AB198" s="549"/>
      <c r="AC198" s="549"/>
      <c r="AD198" s="549"/>
      <c r="AE198" s="549"/>
      <c r="AF198" s="549"/>
    </row>
    <row r="199" spans="1:32" s="202" customFormat="1" ht="12.75" x14ac:dyDescent="0.2">
      <c r="A199" s="843" t="s">
        <v>32</v>
      </c>
      <c r="B199" s="556"/>
      <c r="C199" s="556"/>
      <c r="D199" s="556"/>
      <c r="E199" s="556"/>
      <c r="F199" s="556"/>
      <c r="G199" s="632"/>
      <c r="H199" s="632"/>
      <c r="I199" s="632"/>
      <c r="J199" s="632"/>
      <c r="K199" s="632"/>
      <c r="L199" s="632"/>
      <c r="M199" s="632"/>
      <c r="N199" s="632"/>
      <c r="O199" s="632"/>
      <c r="P199" s="632"/>
      <c r="Q199" s="632"/>
      <c r="R199" s="632"/>
      <c r="S199" s="632"/>
      <c r="T199" s="632"/>
      <c r="U199" s="632"/>
      <c r="V199" s="632"/>
      <c r="W199" s="632"/>
      <c r="X199" s="632"/>
      <c r="Y199" s="632"/>
      <c r="Z199" s="632"/>
      <c r="AA199" s="632"/>
      <c r="AB199" s="632"/>
      <c r="AC199" s="632"/>
      <c r="AD199" s="632"/>
      <c r="AE199" s="632"/>
      <c r="AF199" s="632"/>
    </row>
    <row r="200" spans="1:32" s="221" customFormat="1" x14ac:dyDescent="0.25">
      <c r="A200" s="839"/>
      <c r="B200" s="550" t="s">
        <v>33</v>
      </c>
      <c r="C200" s="539"/>
      <c r="D200" s="539"/>
      <c r="E200" s="539"/>
      <c r="F200" s="539"/>
      <c r="G200" s="854">
        <f>SUM(Results_Res!G200,Results_Out!G200,Results_Ind!G200,Results_Com!G200)</f>
        <v>0.1933381997385088</v>
      </c>
      <c r="H200" s="854">
        <f>SUM(Results_Res!H200,Results_Out!H200,Results_Ind!H200,Results_Com!H200)</f>
        <v>0.15906357424464898</v>
      </c>
      <c r="I200" s="854">
        <f>SUM(Results_Res!I200,Results_Out!I200,Results_Ind!I200,Results_Com!I200)</f>
        <v>0.15839096541939401</v>
      </c>
      <c r="J200" s="854">
        <f>SUM(Results_Res!J200,Results_Out!J200,Results_Ind!J200,Results_Com!J200)</f>
        <v>0.16010246725217603</v>
      </c>
      <c r="K200" s="854">
        <f>SUM(Results_Res!K200,Results_Out!K200,Results_Ind!K200,Results_Com!K200)</f>
        <v>0.16396174257497215</v>
      </c>
      <c r="L200" s="854">
        <f>SUM(Results_Res!L200,Results_Out!L200,Results_Ind!L200,Results_Com!L200)</f>
        <v>0.16246786080070758</v>
      </c>
      <c r="M200" s="854">
        <f>SUM(Results_Res!M200,Results_Out!M200,Results_Ind!M200,Results_Com!M200)</f>
        <v>0.16140673192210458</v>
      </c>
      <c r="N200" s="854">
        <f>SUM(Results_Res!N200,Results_Out!N200,Results_Ind!N200,Results_Com!N200)</f>
        <v>0.1606181115673064</v>
      </c>
      <c r="O200" s="854">
        <f>SUM(Results_Res!O200,Results_Out!O200,Results_Ind!O200,Results_Com!O200)</f>
        <v>0.16001974738439487</v>
      </c>
      <c r="P200" s="854">
        <f>SUM(Results_Res!P200,Results_Out!P200,Results_Ind!P200,Results_Com!P200)</f>
        <v>0.15960087782929022</v>
      </c>
      <c r="Q200" s="854">
        <f>SUM(Results_Res!Q200,Results_Out!Q200,Results_Ind!Q200,Results_Com!Q200)</f>
        <v>0.15927249495061332</v>
      </c>
      <c r="R200" s="854">
        <f>SUM(Results_Res!R200,Results_Out!R200,Results_Ind!R200,Results_Com!R200)</f>
        <v>0.15904237950180075</v>
      </c>
      <c r="S200" s="854">
        <f>SUM(Results_Res!S200,Results_Out!S200,Results_Ind!S200,Results_Com!S200)</f>
        <v>0.15885622752978562</v>
      </c>
      <c r="T200" s="854">
        <f>SUM(Results_Res!T200,Results_Out!T200,Results_Ind!T200,Results_Com!T200)</f>
        <v>0.15870860247961655</v>
      </c>
      <c r="U200" s="854">
        <f>SUM(Results_Res!U200,Results_Out!U200,Results_Ind!U200,Results_Com!U200)</f>
        <v>0.15858948118029778</v>
      </c>
      <c r="V200" s="854">
        <f>SUM(Results_Res!V200,Results_Out!V200,Results_Ind!V200,Results_Com!V200)</f>
        <v>0.15849288484088422</v>
      </c>
      <c r="W200" s="854">
        <f>SUM(Results_Res!W200,Results_Out!W200,Results_Ind!W200,Results_Com!W200)</f>
        <v>0.1584204481113588</v>
      </c>
      <c r="X200" s="854">
        <f>SUM(Results_Res!X200,Results_Out!X200,Results_Ind!X200,Results_Com!X200)</f>
        <v>0.15834809639140829</v>
      </c>
      <c r="Y200" s="854">
        <f>SUM(Results_Res!Y200,Results_Out!Y200,Results_Ind!Y200,Results_Com!Y200)</f>
        <v>0.15829097928137825</v>
      </c>
      <c r="Z200" s="854">
        <f>SUM(Results_Res!Z200,Results_Out!Z200,Results_Ind!Z200,Results_Com!Z200)</f>
        <v>0.15825001571144059</v>
      </c>
      <c r="AA200" s="854">
        <f>SUM(Results_Res!AA200,Results_Out!AA200,Results_Ind!AA200,Results_Com!AA200)</f>
        <v>0.15821715523246777</v>
      </c>
      <c r="AB200" s="854">
        <f>SUM(Results_Res!AB200,Results_Out!AB200,Results_Ind!AB200,Results_Com!AB200)</f>
        <v>0.15818158865549389</v>
      </c>
      <c r="AC200" s="854">
        <f>SUM(Results_Res!AC200,Results_Out!AC200,Results_Ind!AC200,Results_Com!AC200)</f>
        <v>0.15814913039674211</v>
      </c>
      <c r="AD200" s="854">
        <f>SUM(Results_Res!AD200,Results_Out!AD200,Results_Ind!AD200,Results_Com!AD200)</f>
        <v>0.15812141419008013</v>
      </c>
      <c r="AE200" s="854">
        <f>SUM(Results_Res!AE200,Results_Out!AE200,Results_Ind!AE200,Results_Com!AE200)</f>
        <v>0.15809739909776668</v>
      </c>
      <c r="AF200" s="854">
        <f>SUM(Results_Res!AF200,Results_Out!AF200,Results_Ind!AF200,Results_Com!AF200)</f>
        <v>0.15807633977063784</v>
      </c>
    </row>
    <row r="201" spans="1:32" s="221" customFormat="1" x14ac:dyDescent="0.25">
      <c r="A201" s="842"/>
      <c r="B201" s="552" t="s">
        <v>34</v>
      </c>
      <c r="C201" s="539"/>
      <c r="D201" s="539"/>
      <c r="E201" s="539"/>
      <c r="F201" s="539"/>
      <c r="G201" s="854">
        <f>SUM(Results_Res!G201,Results_Out!G201,Results_Ind!G201,Results_Com!G201)</f>
        <v>0.15576763405727154</v>
      </c>
      <c r="H201" s="854">
        <f>SUM(Results_Res!H201,Results_Out!H201,Results_Ind!H201,Results_Com!H201)</f>
        <v>0.19554139927833306</v>
      </c>
      <c r="I201" s="854">
        <f>SUM(Results_Res!I201,Results_Out!I201,Results_Ind!I201,Results_Com!I201)</f>
        <v>0.19501342592686577</v>
      </c>
      <c r="J201" s="854">
        <f>SUM(Results_Res!J201,Results_Out!J201,Results_Ind!J201,Results_Com!J201)</f>
        <v>0.18399464488439343</v>
      </c>
      <c r="K201" s="854">
        <f>SUM(Results_Res!K201,Results_Out!K201,Results_Ind!K201,Results_Com!K201)</f>
        <v>0.17072761173141537</v>
      </c>
      <c r="L201" s="854">
        <f>SUM(Results_Res!L201,Results_Out!L201,Results_Ind!L201,Results_Com!L201)</f>
        <v>0.16622411400809595</v>
      </c>
      <c r="M201" s="854">
        <f>SUM(Results_Res!M201,Results_Out!M201,Results_Ind!M201,Results_Com!M201)</f>
        <v>0.16562538541443717</v>
      </c>
      <c r="N201" s="854">
        <f>SUM(Results_Res!N201,Results_Out!N201,Results_Ind!N201,Results_Com!N201)</f>
        <v>0.16384434380151366</v>
      </c>
      <c r="O201" s="854">
        <f>SUM(Results_Res!O201,Results_Out!O201,Results_Ind!O201,Results_Com!O201)</f>
        <v>0.16274220751450116</v>
      </c>
      <c r="P201" s="854">
        <f>SUM(Results_Res!P201,Results_Out!P201,Results_Ind!P201,Results_Com!P201)</f>
        <v>0.16218726981875869</v>
      </c>
      <c r="Q201" s="854">
        <f>SUM(Results_Res!Q201,Results_Out!Q201,Results_Ind!Q201,Results_Com!Q201)</f>
        <v>0.1621737043268878</v>
      </c>
      <c r="R201" s="854">
        <f>SUM(Results_Res!R201,Results_Out!R201,Results_Ind!R201,Results_Com!R201)</f>
        <v>0.16211172968526105</v>
      </c>
      <c r="S201" s="854">
        <f>SUM(Results_Res!S201,Results_Out!S201,Results_Ind!S201,Results_Com!S201)</f>
        <v>0.16204378883826034</v>
      </c>
      <c r="T201" s="854">
        <f>SUM(Results_Res!T201,Results_Out!T201,Results_Ind!T201,Results_Com!T201)</f>
        <v>0.16197195136595469</v>
      </c>
      <c r="U201" s="854">
        <f>SUM(Results_Res!U201,Results_Out!U201,Results_Ind!U201,Results_Com!U201)</f>
        <v>0.16190153891168405</v>
      </c>
      <c r="V201" s="854">
        <f>SUM(Results_Res!V201,Results_Out!V201,Results_Ind!V201,Results_Com!V201)</f>
        <v>0.16183260984063352</v>
      </c>
      <c r="W201" s="854">
        <f>SUM(Results_Res!W201,Results_Out!W201,Results_Ind!W201,Results_Com!W201)</f>
        <v>0.16175367041242097</v>
      </c>
      <c r="X201" s="854">
        <f>SUM(Results_Res!X201,Results_Out!X201,Results_Ind!X201,Results_Com!X201)</f>
        <v>0.16169649890714716</v>
      </c>
      <c r="Y201" s="854">
        <f>SUM(Results_Res!Y201,Results_Out!Y201,Results_Ind!Y201,Results_Com!Y201)</f>
        <v>0.16164571173306178</v>
      </c>
      <c r="Z201" s="854">
        <f>SUM(Results_Res!Z201,Results_Out!Z201,Results_Ind!Z201,Results_Com!Z201)</f>
        <v>0.16158902522620022</v>
      </c>
      <c r="AA201" s="854">
        <f>SUM(Results_Res!AA201,Results_Out!AA201,Results_Ind!AA201,Results_Com!AA201)</f>
        <v>0.16152660498008276</v>
      </c>
      <c r="AB201" s="854">
        <f>SUM(Results_Res!AB201,Results_Out!AB201,Results_Ind!AB201,Results_Com!AB201)</f>
        <v>0.16147070850196446</v>
      </c>
      <c r="AC201" s="854">
        <f>SUM(Results_Res!AC201,Results_Out!AC201,Results_Ind!AC201,Results_Com!AC201)</f>
        <v>0.16141877939315827</v>
      </c>
      <c r="AD201" s="854">
        <f>SUM(Results_Res!AD201,Results_Out!AD201,Results_Ind!AD201,Results_Com!AD201)</f>
        <v>0.16136860145498291</v>
      </c>
      <c r="AE201" s="854">
        <f>SUM(Results_Res!AE201,Results_Out!AE201,Results_Ind!AE201,Results_Com!AE201)</f>
        <v>0.16131992101152121</v>
      </c>
      <c r="AF201" s="854">
        <f>SUM(Results_Res!AF201,Results_Out!AF201,Results_Ind!AF201,Results_Com!AF201)</f>
        <v>0.161272555671855</v>
      </c>
    </row>
    <row r="202" spans="1:32" s="221" customFormat="1" x14ac:dyDescent="0.25">
      <c r="A202" s="839"/>
      <c r="B202" s="552" t="s">
        <v>35</v>
      </c>
      <c r="C202" s="539"/>
      <c r="D202" s="539"/>
      <c r="E202" s="539"/>
      <c r="F202" s="539"/>
      <c r="G202" s="854">
        <f>SUM(Results_Res!G202,Results_Out!G202,Results_Ind!G202,Results_Com!G202)</f>
        <v>3.9015278301799253E-2</v>
      </c>
      <c r="H202" s="854">
        <f>SUM(Results_Res!H202,Results_Out!H202,Results_Ind!H202,Results_Com!H202)</f>
        <v>3.3982983118584012E-2</v>
      </c>
      <c r="I202" s="854">
        <f>SUM(Results_Res!I202,Results_Out!I202,Results_Ind!I202,Results_Com!I202)</f>
        <v>3.1768917245298206E-2</v>
      </c>
      <c r="J202" s="854">
        <f>SUM(Results_Res!J202,Results_Out!J202,Results_Ind!J202,Results_Com!J202)</f>
        <v>3.1130283234475798E-2</v>
      </c>
      <c r="K202" s="854">
        <f>SUM(Results_Res!K202,Results_Out!K202,Results_Ind!K202,Results_Com!K202)</f>
        <v>3.1400375559500551E-2</v>
      </c>
      <c r="L202" s="854">
        <f>SUM(Results_Res!L202,Results_Out!L202,Results_Ind!L202,Results_Com!L202)</f>
        <v>3.1594883075466706E-2</v>
      </c>
      <c r="M202" s="854">
        <f>SUM(Results_Res!M202,Results_Out!M202,Results_Ind!M202,Results_Com!M202)</f>
        <v>3.1750806128269915E-2</v>
      </c>
      <c r="N202" s="854">
        <f>SUM(Results_Res!N202,Results_Out!N202,Results_Ind!N202,Results_Com!N202)</f>
        <v>3.1871679136633059E-2</v>
      </c>
      <c r="O202" s="854">
        <f>SUM(Results_Res!O202,Results_Out!O202,Results_Ind!O202,Results_Com!O202)</f>
        <v>3.1958147844802443E-2</v>
      </c>
      <c r="P202" s="854">
        <f>SUM(Results_Res!P202,Results_Out!P202,Results_Ind!P202,Results_Com!P202)</f>
        <v>3.2034232988077255E-2</v>
      </c>
      <c r="Q202" s="854">
        <f>SUM(Results_Res!Q202,Results_Out!Q202,Results_Ind!Q202,Results_Com!Q202)</f>
        <v>3.209507919254536E-2</v>
      </c>
      <c r="R202" s="854">
        <f>SUM(Results_Res!R202,Results_Out!R202,Results_Ind!R202,Results_Com!R202)</f>
        <v>3.2153856365684463E-2</v>
      </c>
      <c r="S202" s="854">
        <f>SUM(Results_Res!S202,Results_Out!S202,Results_Ind!S202,Results_Com!S202)</f>
        <v>3.2205830160431985E-2</v>
      </c>
      <c r="T202" s="854">
        <f>SUM(Results_Res!T202,Results_Out!T202,Results_Ind!T202,Results_Com!T202)</f>
        <v>3.2251279682341566E-2</v>
      </c>
      <c r="U202" s="854">
        <f>SUM(Results_Res!U202,Results_Out!U202,Results_Ind!U202,Results_Com!U202)</f>
        <v>3.2290253828016681E-2</v>
      </c>
      <c r="V202" s="854">
        <f>SUM(Results_Res!V202,Results_Out!V202,Results_Ind!V202,Results_Com!V202)</f>
        <v>3.2324027525983776E-2</v>
      </c>
      <c r="W202" s="854">
        <f>SUM(Results_Res!W202,Results_Out!W202,Results_Ind!W202,Results_Com!W202)</f>
        <v>3.2356850287822876E-2</v>
      </c>
      <c r="X202" s="854">
        <f>SUM(Results_Res!X202,Results_Out!X202,Results_Ind!X202,Results_Com!X202)</f>
        <v>3.2381287849182178E-2</v>
      </c>
      <c r="Y202" s="854">
        <f>SUM(Results_Res!Y202,Results_Out!Y202,Results_Ind!Y202,Results_Com!Y202)</f>
        <v>3.2399974832854533E-2</v>
      </c>
      <c r="Z202" s="854">
        <f>SUM(Results_Res!Z202,Results_Out!Z202,Results_Ind!Z202,Results_Com!Z202)</f>
        <v>3.2417684479395123E-2</v>
      </c>
      <c r="AA202" s="854">
        <f>SUM(Results_Res!AA202,Results_Out!AA202,Results_Ind!AA202,Results_Com!AA202)</f>
        <v>3.2436234316782553E-2</v>
      </c>
      <c r="AB202" s="854">
        <f>SUM(Results_Res!AB202,Results_Out!AB202,Results_Ind!AB202,Results_Com!AB202)</f>
        <v>3.2453130323352349E-2</v>
      </c>
      <c r="AC202" s="854">
        <f>SUM(Results_Res!AC202,Results_Out!AC202,Results_Ind!AC202,Results_Com!AC202)</f>
        <v>3.2468004525236807E-2</v>
      </c>
      <c r="AD202" s="854">
        <f>SUM(Results_Res!AD202,Results_Out!AD202,Results_Ind!AD202,Results_Com!AD202)</f>
        <v>3.2481348261209256E-2</v>
      </c>
      <c r="AE202" s="854">
        <f>SUM(Results_Res!AE202,Results_Out!AE202,Results_Ind!AE202,Results_Com!AE202)</f>
        <v>3.2493486476506267E-2</v>
      </c>
      <c r="AF202" s="854">
        <f>SUM(Results_Res!AF202,Results_Out!AF202,Results_Ind!AF202,Results_Com!AF202)</f>
        <v>3.2504649285697067E-2</v>
      </c>
    </row>
    <row r="203" spans="1:32" s="221" customFormat="1" x14ac:dyDescent="0.25">
      <c r="A203" s="839"/>
      <c r="B203" s="552" t="s">
        <v>29</v>
      </c>
      <c r="C203" s="539"/>
      <c r="D203" s="539"/>
      <c r="E203" s="539"/>
      <c r="F203" s="539"/>
      <c r="G203" s="854">
        <f>SUM(Results_Res!G203,Results_Out!G203,Results_Ind!G203,Results_Com!G203)</f>
        <v>0</v>
      </c>
      <c r="H203" s="854">
        <f>SUM(Results_Res!H203,Results_Out!H203,Results_Ind!H203,Results_Com!H203)</f>
        <v>5.3324471698446233E-5</v>
      </c>
      <c r="I203" s="854">
        <f>SUM(Results_Res!I203,Results_Out!I203,Results_Ind!I203,Results_Com!I203)</f>
        <v>9.7203080181726951E-5</v>
      </c>
      <c r="J203" s="854">
        <f>SUM(Results_Res!J203,Results_Out!J203,Results_Ind!J203,Results_Com!J203)</f>
        <v>1.3342582274142702E-4</v>
      </c>
      <c r="K203" s="854">
        <f>SUM(Results_Res!K203,Results_Out!K203,Results_Ind!K203,Results_Com!K203)</f>
        <v>1.6356919113006752E-4</v>
      </c>
      <c r="L203" s="854">
        <f>SUM(Results_Res!L203,Results_Out!L203,Results_Ind!L203,Results_Com!L203)</f>
        <v>1.8810428379000305E-4</v>
      </c>
      <c r="M203" s="854">
        <f>SUM(Results_Res!M203,Results_Out!M203,Results_Ind!M203,Results_Com!M203)</f>
        <v>2.0789249878870624E-4</v>
      </c>
      <c r="N203" s="854">
        <f>SUM(Results_Res!N203,Results_Out!N203,Results_Ind!N203,Results_Com!N203)</f>
        <v>2.2417975659211309E-4</v>
      </c>
      <c r="O203" s="854">
        <f>SUM(Results_Res!O203,Results_Out!O203,Results_Ind!O203,Results_Com!O203)</f>
        <v>2.3801787733368065E-4</v>
      </c>
      <c r="P203" s="854">
        <f>SUM(Results_Res!P203,Results_Out!P203,Results_Ind!P203,Results_Com!P203)</f>
        <v>2.4947321616238189E-4</v>
      </c>
      <c r="Q203" s="854">
        <f>SUM(Results_Res!Q203,Results_Out!Q203,Results_Ind!Q203,Results_Com!Q203)</f>
        <v>2.5918336963498767E-4</v>
      </c>
      <c r="R203" s="854">
        <f>SUM(Results_Res!R203,Results_Out!R203,Results_Ind!R203,Results_Com!R203)</f>
        <v>2.6716542325489406E-4</v>
      </c>
      <c r="S203" s="854">
        <f>SUM(Results_Res!S203,Results_Out!S203,Results_Ind!S203,Results_Com!S203)</f>
        <v>2.7384530844007957E-4</v>
      </c>
      <c r="T203" s="854">
        <f>SUM(Results_Res!T203,Results_Out!T203,Results_Ind!T203,Results_Com!T203)</f>
        <v>2.794691652924192E-4</v>
      </c>
      <c r="U203" s="854">
        <f>SUM(Results_Res!U203,Results_Out!U203,Results_Ind!U203,Results_Com!U203)</f>
        <v>2.8424840666086109E-4</v>
      </c>
      <c r="V203" s="854">
        <f>SUM(Results_Res!V203,Results_Out!V203,Results_Ind!V203,Results_Com!V203)</f>
        <v>2.8832947171238382E-4</v>
      </c>
      <c r="W203" s="854">
        <f>SUM(Results_Res!W203,Results_Out!W203,Results_Ind!W203,Results_Com!W203)</f>
        <v>2.9172011168409999E-4</v>
      </c>
      <c r="X203" s="854">
        <f>SUM(Results_Res!X203,Results_Out!X203,Results_Ind!X203,Results_Com!X203)</f>
        <v>2.9472867800456743E-4</v>
      </c>
      <c r="Y203" s="854">
        <f>SUM(Results_Res!Y203,Results_Out!Y203,Results_Ind!Y203,Results_Com!Y203)</f>
        <v>2.9741559677629915E-4</v>
      </c>
      <c r="Z203" s="854">
        <f>SUM(Results_Res!Z203,Results_Out!Z203,Results_Ind!Z203,Results_Com!Z203)</f>
        <v>2.9973765534301467E-4</v>
      </c>
      <c r="AA203" s="854">
        <f>SUM(Results_Res!AA203,Results_Out!AA203,Results_Ind!AA203,Results_Com!AA203)</f>
        <v>3.0168504343851304E-4</v>
      </c>
      <c r="AB203" s="854">
        <f>SUM(Results_Res!AB203,Results_Out!AB203,Results_Ind!AB203,Results_Com!AB203)</f>
        <v>3.0335740489427867E-4</v>
      </c>
      <c r="AC203" s="854">
        <f>SUM(Results_Res!AC203,Results_Out!AC203,Results_Ind!AC203,Results_Com!AC203)</f>
        <v>3.0479910231959422E-4</v>
      </c>
      <c r="AD203" s="854">
        <f>SUM(Results_Res!AD203,Results_Out!AD203,Results_Ind!AD203,Results_Com!AD203)</f>
        <v>3.0603973273563478E-4</v>
      </c>
      <c r="AE203" s="854">
        <f>SUM(Results_Res!AE203,Results_Out!AE203,Results_Ind!AE203,Results_Com!AE203)</f>
        <v>3.0710429757698366E-4</v>
      </c>
      <c r="AF203" s="854">
        <f>SUM(Results_Res!AF203,Results_Out!AF203,Results_Ind!AF203,Results_Com!AF203)</f>
        <v>3.0801403552775241E-4</v>
      </c>
    </row>
    <row r="204" spans="1:32" s="221" customFormat="1" x14ac:dyDescent="0.25">
      <c r="A204" s="839"/>
      <c r="B204" s="550"/>
      <c r="C204" s="539"/>
      <c r="D204" s="539"/>
      <c r="E204" s="539"/>
      <c r="F204" s="539"/>
      <c r="G204" s="549"/>
      <c r="H204" s="549"/>
      <c r="I204" s="549"/>
      <c r="J204" s="549"/>
      <c r="K204" s="549"/>
      <c r="L204" s="549"/>
      <c r="M204" s="549"/>
      <c r="N204" s="549"/>
      <c r="O204" s="549"/>
      <c r="P204" s="549"/>
      <c r="Q204" s="549"/>
      <c r="R204" s="549"/>
      <c r="S204" s="549"/>
      <c r="T204" s="549"/>
      <c r="U204" s="549"/>
      <c r="V204" s="549"/>
      <c r="W204" s="549"/>
      <c r="X204" s="549"/>
      <c r="Y204" s="549"/>
      <c r="Z204" s="549"/>
      <c r="AA204" s="549"/>
      <c r="AB204" s="549"/>
      <c r="AC204" s="549"/>
      <c r="AD204" s="549"/>
      <c r="AE204" s="549"/>
      <c r="AF204" s="549"/>
    </row>
    <row r="205" spans="1:32" s="202" customFormat="1" ht="12.75" x14ac:dyDescent="0.2">
      <c r="A205" s="843" t="s">
        <v>36</v>
      </c>
      <c r="B205" s="556"/>
      <c r="C205" s="556"/>
      <c r="D205" s="556"/>
      <c r="E205" s="556"/>
      <c r="F205" s="556"/>
      <c r="G205" s="632"/>
      <c r="H205" s="632"/>
      <c r="I205" s="632"/>
      <c r="J205" s="632"/>
      <c r="K205" s="632"/>
      <c r="L205" s="632"/>
      <c r="M205" s="632"/>
      <c r="N205" s="632"/>
      <c r="O205" s="632"/>
      <c r="P205" s="632"/>
      <c r="Q205" s="632"/>
      <c r="R205" s="632"/>
      <c r="S205" s="632"/>
      <c r="T205" s="632"/>
      <c r="U205" s="632"/>
      <c r="V205" s="632"/>
      <c r="W205" s="632"/>
      <c r="X205" s="632"/>
      <c r="Y205" s="632"/>
      <c r="Z205" s="632"/>
      <c r="AA205" s="632"/>
      <c r="AB205" s="632"/>
      <c r="AC205" s="632"/>
      <c r="AD205" s="632"/>
      <c r="AE205" s="632"/>
      <c r="AF205" s="632"/>
    </row>
    <row r="206" spans="1:32" s="221" customFormat="1" x14ac:dyDescent="0.25">
      <c r="A206" s="839"/>
      <c r="B206" s="550" t="s">
        <v>37</v>
      </c>
      <c r="C206" s="539"/>
      <c r="D206" s="539"/>
      <c r="E206" s="539"/>
      <c r="F206" s="201"/>
      <c r="G206" s="854">
        <f>SUM(Results_Res!G206,Results_Out!G206,Results_Ind!G206,Results_Com!G206)</f>
        <v>1.7591435730588016</v>
      </c>
      <c r="H206" s="854">
        <f>SUM(Results_Res!H206,Results_Out!H206,Results_Ind!H206,Results_Com!H206)</f>
        <v>1.5287454113264347</v>
      </c>
      <c r="I206" s="854">
        <f>SUM(Results_Res!I206,Results_Out!I206,Results_Ind!I206,Results_Com!I206)</f>
        <v>1.2509145045949133</v>
      </c>
      <c r="J206" s="854">
        <f>SUM(Results_Res!J206,Results_Out!J206,Results_Ind!J206,Results_Com!J206)</f>
        <v>0.95935564442005417</v>
      </c>
      <c r="K206" s="854">
        <f>SUM(Results_Res!K206,Results_Out!K206,Results_Ind!K206,Results_Com!K206)</f>
        <v>0.68500506067483669</v>
      </c>
      <c r="L206" s="854">
        <f>SUM(Results_Res!L206,Results_Out!L206,Results_Ind!L206,Results_Com!L206)</f>
        <v>0.49180104630493204</v>
      </c>
      <c r="M206" s="854">
        <f>SUM(Results_Res!M206,Results_Out!M206,Results_Ind!M206,Results_Com!M206)</f>
        <v>0.35526591892309622</v>
      </c>
      <c r="N206" s="854">
        <f>SUM(Results_Res!N206,Results_Out!N206,Results_Ind!N206,Results_Com!N206)</f>
        <v>0.25827442688422297</v>
      </c>
      <c r="O206" s="854">
        <f>SUM(Results_Res!O206,Results_Out!O206,Results_Ind!O206,Results_Com!O206)</f>
        <v>0.18951527793399603</v>
      </c>
      <c r="P206" s="854">
        <f>SUM(Results_Res!P206,Results_Out!P206,Results_Ind!P206,Results_Com!P206)</f>
        <v>0.14074934583413462</v>
      </c>
      <c r="Q206" s="854">
        <f>SUM(Results_Res!Q206,Results_Out!Q206,Results_Ind!Q206,Results_Com!Q206)</f>
        <v>0.10600231970230703</v>
      </c>
      <c r="R206" s="854">
        <f>SUM(Results_Res!R206,Results_Out!R206,Results_Ind!R206,Results_Com!R206)</f>
        <v>8.1186586019173862E-2</v>
      </c>
      <c r="S206" s="854">
        <f>SUM(Results_Res!S206,Results_Out!S206,Results_Ind!S206,Results_Com!S206)</f>
        <v>6.3365489086239429E-2</v>
      </c>
      <c r="T206" s="854">
        <f>SUM(Results_Res!T206,Results_Out!T206,Results_Ind!T206,Results_Com!T206)</f>
        <v>5.0502509780523383E-2</v>
      </c>
      <c r="U206" s="854">
        <f>SUM(Results_Res!U206,Results_Out!U206,Results_Ind!U206,Results_Com!U206)</f>
        <v>4.1149019781736573E-2</v>
      </c>
      <c r="V206" s="854">
        <f>SUM(Results_Res!V206,Results_Out!V206,Results_Ind!V206,Results_Com!V206)</f>
        <v>3.4297951293919368E-2</v>
      </c>
      <c r="W206" s="854">
        <f>SUM(Results_Res!W206,Results_Out!W206,Results_Ind!W206,Results_Com!W206)</f>
        <v>2.9229036769916689E-2</v>
      </c>
      <c r="X206" s="854">
        <f>SUM(Results_Res!X206,Results_Out!X206,Results_Ind!X206,Results_Com!X206)</f>
        <v>2.5444657334451715E-2</v>
      </c>
      <c r="Y206" s="854">
        <f>SUM(Results_Res!Y206,Results_Out!Y206,Results_Ind!Y206,Results_Com!Y206)</f>
        <v>2.2583456499514942E-2</v>
      </c>
      <c r="Z206" s="854">
        <f>SUM(Results_Res!Z206,Results_Out!Z206,Results_Ind!Z206,Results_Com!Z206)</f>
        <v>2.0389163631825725E-2</v>
      </c>
      <c r="AA206" s="854">
        <f>SUM(Results_Res!AA206,Results_Out!AA206,Results_Ind!AA206,Results_Com!AA206)</f>
        <v>1.8687751889145093E-2</v>
      </c>
      <c r="AB206" s="854">
        <f>SUM(Results_Res!AB206,Results_Out!AB206,Results_Ind!AB206,Results_Com!AB206)</f>
        <v>1.7339349860394874E-2</v>
      </c>
      <c r="AC206" s="854">
        <f>SUM(Results_Res!AC206,Results_Out!AC206,Results_Ind!AC206,Results_Com!AC206)</f>
        <v>1.6255172551743326E-2</v>
      </c>
      <c r="AD206" s="854">
        <f>SUM(Results_Res!AD206,Results_Out!AD206,Results_Ind!AD206,Results_Com!AD206)</f>
        <v>1.5378153226112176E-2</v>
      </c>
      <c r="AE206" s="854">
        <f>SUM(Results_Res!AE206,Results_Out!AE206,Results_Ind!AE206,Results_Com!AE206)</f>
        <v>1.4648566528006552E-2</v>
      </c>
      <c r="AF206" s="854">
        <f>SUM(Results_Res!AF206,Results_Out!AF206,Results_Ind!AF206,Results_Com!AF206)</f>
        <v>1.403713665638396E-2</v>
      </c>
    </row>
    <row r="207" spans="1:32" s="221" customFormat="1" x14ac:dyDescent="0.25">
      <c r="A207" s="839"/>
      <c r="B207" s="550" t="s">
        <v>39</v>
      </c>
      <c r="C207" s="539"/>
      <c r="D207" s="539"/>
      <c r="E207" s="203"/>
      <c r="F207" s="539"/>
      <c r="G207" s="854">
        <f>SUM(Results_Res!G207,Results_Out!G207,Results_Ind!G207,Results_Com!G207)</f>
        <v>3.1948272771828723</v>
      </c>
      <c r="H207" s="854">
        <f>SUM(Results_Res!H207,Results_Out!H207,Results_Ind!H207,Results_Com!H207)</f>
        <v>3.3028740911447199</v>
      </c>
      <c r="I207" s="854">
        <f>SUM(Results_Res!I207,Results_Out!I207,Results_Ind!I207,Results_Com!I207)</f>
        <v>3.4412940289775573</v>
      </c>
      <c r="J207" s="854">
        <f>SUM(Results_Res!J207,Results_Out!J207,Results_Ind!J207,Results_Com!J207)</f>
        <v>3.5899203730185576</v>
      </c>
      <c r="K207" s="854">
        <f>SUM(Results_Res!K207,Results_Out!K207,Results_Ind!K207,Results_Com!K207)</f>
        <v>3.7219207461804293</v>
      </c>
      <c r="L207" s="854">
        <f>SUM(Results_Res!L207,Results_Out!L207,Results_Ind!L207,Results_Com!L207)</f>
        <v>3.7967864286647672</v>
      </c>
      <c r="M207" s="854">
        <f>SUM(Results_Res!M207,Results_Out!M207,Results_Ind!M207,Results_Com!M207)</f>
        <v>3.8342581306153924</v>
      </c>
      <c r="N207" s="854">
        <f>SUM(Results_Res!N207,Results_Out!N207,Results_Ind!N207,Results_Com!N207)</f>
        <v>3.8500691586531692</v>
      </c>
      <c r="O207" s="854">
        <f>SUM(Results_Res!O207,Results_Out!O207,Results_Ind!O207,Results_Com!O207)</f>
        <v>3.8516800325609557</v>
      </c>
      <c r="P207" s="854">
        <f>SUM(Results_Res!P207,Results_Out!P207,Results_Ind!P207,Results_Com!P207)</f>
        <v>3.8446965957603392</v>
      </c>
      <c r="Q207" s="854">
        <f>SUM(Results_Res!Q207,Results_Out!Q207,Results_Ind!Q207,Results_Com!Q207)</f>
        <v>3.8331886566340208</v>
      </c>
      <c r="R207" s="854">
        <f>SUM(Results_Res!R207,Results_Out!R207,Results_Ind!R207,Results_Com!R207)</f>
        <v>3.8208572492616906</v>
      </c>
      <c r="S207" s="854">
        <f>SUM(Results_Res!S207,Results_Out!S207,Results_Ind!S207,Results_Com!S207)</f>
        <v>3.8090459895766609</v>
      </c>
      <c r="T207" s="854">
        <f>SUM(Results_Res!T207,Results_Out!T207,Results_Ind!T207,Results_Com!T207)</f>
        <v>3.7972264479069442</v>
      </c>
      <c r="U207" s="854">
        <f>SUM(Results_Res!U207,Results_Out!U207,Results_Ind!U207,Results_Com!U207)</f>
        <v>3.7841866856811315</v>
      </c>
      <c r="V207" s="854">
        <f>SUM(Results_Res!V207,Results_Out!V207,Results_Ind!V207,Results_Com!V207)</f>
        <v>3.770382272763368</v>
      </c>
      <c r="W207" s="854">
        <f>SUM(Results_Res!W207,Results_Out!W207,Results_Ind!W207,Results_Com!W207)</f>
        <v>3.7561348393630527</v>
      </c>
      <c r="X207" s="854">
        <f>SUM(Results_Res!X207,Results_Out!X207,Results_Ind!X207,Results_Com!X207)</f>
        <v>3.7416331510891454</v>
      </c>
      <c r="Y207" s="854">
        <f>SUM(Results_Res!Y207,Results_Out!Y207,Results_Ind!Y207,Results_Com!Y207)</f>
        <v>3.7270227367391802</v>
      </c>
      <c r="Z207" s="854">
        <f>SUM(Results_Res!Z207,Results_Out!Z207,Results_Ind!Z207,Results_Com!Z207)</f>
        <v>3.7124117311644467</v>
      </c>
      <c r="AA207" s="854">
        <f>SUM(Results_Res!AA207,Results_Out!AA207,Results_Ind!AA207,Results_Com!AA207)</f>
        <v>3.6978731055981537</v>
      </c>
      <c r="AB207" s="854">
        <f>SUM(Results_Res!AB207,Results_Out!AB207,Results_Ind!AB207,Results_Com!AB207)</f>
        <v>3.6834461385347126</v>
      </c>
      <c r="AC207" s="854">
        <f>SUM(Results_Res!AC207,Results_Out!AC207,Results_Ind!AC207,Results_Com!AC207)</f>
        <v>3.6691531584442378</v>
      </c>
      <c r="AD207" s="854">
        <f>SUM(Results_Res!AD207,Results_Out!AD207,Results_Ind!AD207,Results_Com!AD207)</f>
        <v>3.6550127209063992</v>
      </c>
      <c r="AE207" s="854">
        <f>SUM(Results_Res!AE207,Results_Out!AE207,Results_Ind!AE207,Results_Com!AE207)</f>
        <v>3.6410326130703949</v>
      </c>
      <c r="AF207" s="854">
        <f>SUM(Results_Res!AF207,Results_Out!AF207,Results_Ind!AF207,Results_Com!AF207)</f>
        <v>3.627218824977068</v>
      </c>
    </row>
    <row r="208" spans="1:32" s="221" customFormat="1" x14ac:dyDescent="0.25">
      <c r="A208" s="839"/>
      <c r="B208" s="550" t="s">
        <v>40</v>
      </c>
      <c r="C208" s="539"/>
      <c r="D208" s="539"/>
      <c r="E208" s="539"/>
      <c r="F208" s="539"/>
      <c r="G208" s="854">
        <f>SUM(Results_Res!G208,Results_Out!G208,Results_Ind!G208,Results_Com!G208)</f>
        <v>0.45318109989065519</v>
      </c>
      <c r="H208" s="854">
        <f>SUM(Results_Res!H208,Results_Out!H208,Results_Ind!H208,Results_Com!H208)</f>
        <v>0.48096970176917214</v>
      </c>
      <c r="I208" s="854">
        <f>SUM(Results_Res!I208,Results_Out!I208,Results_Ind!I208,Results_Com!I208)</f>
        <v>0.51132990196287009</v>
      </c>
      <c r="J208" s="854">
        <f>SUM(Results_Res!J208,Results_Out!J208,Results_Ind!J208,Results_Com!J208)</f>
        <v>0.54135915810041979</v>
      </c>
      <c r="K208" s="854">
        <f>SUM(Results_Res!K208,Results_Out!K208,Results_Ind!K208,Results_Com!K208)</f>
        <v>0.5702288879874704</v>
      </c>
      <c r="L208" s="854">
        <f>SUM(Results_Res!L208,Results_Out!L208,Results_Ind!L208,Results_Com!L208)</f>
        <v>0.59014726308658672</v>
      </c>
      <c r="M208" s="854">
        <f>SUM(Results_Res!M208,Results_Out!M208,Results_Ind!M208,Results_Com!M208)</f>
        <v>0.60375563713796154</v>
      </c>
      <c r="N208" s="854">
        <f>SUM(Results_Res!N208,Results_Out!N208,Results_Ind!N208,Results_Com!N208)</f>
        <v>0.61144130696230348</v>
      </c>
      <c r="O208" s="854">
        <f>SUM(Results_Res!O208,Results_Out!O208,Results_Ind!O208,Results_Com!O208)</f>
        <v>0.6164092209409664</v>
      </c>
      <c r="P208" s="854">
        <f>SUM(Results_Res!P208,Results_Out!P208,Results_Ind!P208,Results_Com!P208)</f>
        <v>0.61938433990028363</v>
      </c>
      <c r="Q208" s="854">
        <f>SUM(Results_Res!Q208,Results_Out!Q208,Results_Ind!Q208,Results_Com!Q208)</f>
        <v>0.62094769339150679</v>
      </c>
      <c r="R208" s="854">
        <f>SUM(Results_Res!R208,Results_Out!R208,Results_Ind!R208,Results_Com!R208)</f>
        <v>0.62147162926401889</v>
      </c>
      <c r="S208" s="854">
        <f>SUM(Results_Res!S208,Results_Out!S208,Results_Ind!S208,Results_Com!S208)</f>
        <v>0.62125288273559698</v>
      </c>
      <c r="T208" s="854">
        <f>SUM(Results_Res!T208,Results_Out!T208,Results_Ind!T208,Results_Com!T208)</f>
        <v>0.62050980395255062</v>
      </c>
      <c r="U208" s="854">
        <f>SUM(Results_Res!U208,Results_Out!U208,Results_Ind!U208,Results_Com!U208)</f>
        <v>0.61937836348523434</v>
      </c>
      <c r="V208" s="854">
        <f>SUM(Results_Res!V208,Results_Out!V208,Results_Ind!V208,Results_Com!V208)</f>
        <v>0.61797999888884059</v>
      </c>
      <c r="W208" s="854">
        <f>SUM(Results_Res!W208,Results_Out!W208,Results_Ind!W208,Results_Com!W208)</f>
        <v>0.61638494405838329</v>
      </c>
      <c r="X208" s="854">
        <f>SUM(Results_Res!X208,Results_Out!X208,Results_Ind!X208,Results_Com!X208)</f>
        <v>0.61464314875314341</v>
      </c>
      <c r="Y208" s="854">
        <f>SUM(Results_Res!Y208,Results_Out!Y208,Results_Ind!Y208,Results_Com!Y208)</f>
        <v>0.61281007511481611</v>
      </c>
      <c r="Z208" s="854">
        <f>SUM(Results_Res!Z208,Results_Out!Z208,Results_Ind!Z208,Results_Com!Z208)</f>
        <v>0.61090899266161647</v>
      </c>
      <c r="AA208" s="854">
        <f>SUM(Results_Res!AA208,Results_Out!AA208,Results_Ind!AA208,Results_Com!AA208)</f>
        <v>0.60894396402599671</v>
      </c>
      <c r="AB208" s="854">
        <f>SUM(Results_Res!AB208,Results_Out!AB208,Results_Ind!AB208,Results_Com!AB208)</f>
        <v>0.60694784931632406</v>
      </c>
      <c r="AC208" s="854">
        <f>SUM(Results_Res!AC208,Results_Out!AC208,Results_Ind!AC208,Results_Com!AC208)</f>
        <v>0.60493263340228609</v>
      </c>
      <c r="AD208" s="854">
        <f>SUM(Results_Res!AD208,Results_Out!AD208,Results_Ind!AD208,Results_Com!AD208)</f>
        <v>0.60289412467229542</v>
      </c>
      <c r="AE208" s="854">
        <f>SUM(Results_Res!AE208,Results_Out!AE208,Results_Ind!AE208,Results_Com!AE208)</f>
        <v>0.60085290552858894</v>
      </c>
      <c r="AF208" s="854">
        <f>SUM(Results_Res!AF208,Results_Out!AF208,Results_Ind!AF208,Results_Com!AF208)</f>
        <v>0.59880685747646978</v>
      </c>
    </row>
    <row r="209" spans="1:32" s="221" customFormat="1" x14ac:dyDescent="0.25">
      <c r="A209" s="839"/>
      <c r="B209" s="550" t="s">
        <v>29</v>
      </c>
      <c r="C209" s="539"/>
      <c r="D209" s="539"/>
      <c r="E209" s="539"/>
      <c r="F209" s="539"/>
      <c r="G209" s="854">
        <f>SUM(Results_Res!G209,Results_Out!G209,Results_Ind!G209,Results_Com!G209)</f>
        <v>0</v>
      </c>
      <c r="H209" s="854">
        <f>SUM(Results_Res!H209,Results_Out!H209,Results_Ind!H209,Results_Com!H209)</f>
        <v>7.5431626578041842E-9</v>
      </c>
      <c r="I209" s="854">
        <f>SUM(Results_Res!I209,Results_Out!I209,Results_Ind!I209,Results_Com!I209)</f>
        <v>1.344717522949769E-8</v>
      </c>
      <c r="J209" s="854">
        <f>SUM(Results_Res!J209,Results_Out!J209,Results_Ind!J209,Results_Com!J209)</f>
        <v>1.7988091013343536E-8</v>
      </c>
      <c r="K209" s="854">
        <f>SUM(Results_Res!K209,Results_Out!K209,Results_Ind!K209,Results_Com!K209)</f>
        <v>2.1510462663637096E-8</v>
      </c>
      <c r="L209" s="854">
        <f>SUM(Results_Res!L209,Results_Out!L209,Results_Ind!L209,Results_Com!L209)</f>
        <v>2.4345332991116144E-8</v>
      </c>
      <c r="M209" s="854">
        <f>SUM(Results_Res!M209,Results_Out!M209,Results_Ind!M209,Results_Com!M209)</f>
        <v>2.659217040791307E-8</v>
      </c>
      <c r="N209" s="854">
        <f>SUM(Results_Res!N209,Results_Out!N209,Results_Ind!N209,Results_Com!N209)</f>
        <v>2.8385539438891722E-8</v>
      </c>
      <c r="O209" s="854">
        <f>SUM(Results_Res!O209,Results_Out!O209,Results_Ind!O209,Results_Com!O209)</f>
        <v>2.9809261163373703E-8</v>
      </c>
      <c r="P209" s="854">
        <f>SUM(Results_Res!P209,Results_Out!P209,Results_Ind!P209,Results_Com!P209)</f>
        <v>3.0856068109174087E-8</v>
      </c>
      <c r="Q209" s="854">
        <f>SUM(Results_Res!Q209,Results_Out!Q209,Results_Ind!Q209,Results_Com!Q209)</f>
        <v>3.1657803119946223E-8</v>
      </c>
      <c r="R209" s="854">
        <f>SUM(Results_Res!R209,Results_Out!R209,Results_Ind!R209,Results_Com!R209)</f>
        <v>3.2206841322596598E-8</v>
      </c>
      <c r="S209" s="854">
        <f>SUM(Results_Res!S209,Results_Out!S209,Results_Ind!S209,Results_Com!S209)</f>
        <v>3.2580975409733574E-8</v>
      </c>
      <c r="T209" s="854">
        <f>SUM(Results_Res!T209,Results_Out!T209,Results_Ind!T209,Results_Com!T209)</f>
        <v>3.2825572488236291E-8</v>
      </c>
      <c r="U209" s="854">
        <f>SUM(Results_Res!U209,Results_Out!U209,Results_Ind!U209,Results_Com!U209)</f>
        <v>3.2978784642426889E-8</v>
      </c>
      <c r="V209" s="854">
        <f>SUM(Results_Res!V209,Results_Out!V209,Results_Ind!V209,Results_Com!V209)</f>
        <v>3.3061751506922066E-8</v>
      </c>
      <c r="W209" s="854">
        <f>SUM(Results_Res!W209,Results_Out!W209,Results_Ind!W209,Results_Com!W209)</f>
        <v>3.3069752410776011E-8</v>
      </c>
      <c r="X209" s="854">
        <f>SUM(Results_Res!X209,Results_Out!X209,Results_Ind!X209,Results_Com!X209)</f>
        <v>3.3067746445367899E-8</v>
      </c>
      <c r="Y209" s="854">
        <f>SUM(Results_Res!Y209,Results_Out!Y209,Results_Ind!Y209,Results_Com!Y209)</f>
        <v>3.3062594488123904E-8</v>
      </c>
      <c r="Z209" s="854">
        <f>SUM(Results_Res!Z209,Results_Out!Z209,Results_Ind!Z209,Results_Com!Z209)</f>
        <v>3.3035157921601987E-8</v>
      </c>
      <c r="AA209" s="854">
        <f>SUM(Results_Res!AA209,Results_Out!AA209,Results_Ind!AA209,Results_Com!AA209)</f>
        <v>3.2974663564436906E-8</v>
      </c>
      <c r="AB209" s="854">
        <f>SUM(Results_Res!AB209,Results_Out!AB209,Results_Ind!AB209,Results_Com!AB209)</f>
        <v>3.2895398546927029E-8</v>
      </c>
      <c r="AC209" s="854">
        <f>SUM(Results_Res!AC209,Results_Out!AC209,Results_Ind!AC209,Results_Com!AC209)</f>
        <v>3.2808696792430982E-8</v>
      </c>
      <c r="AD209" s="854">
        <f>SUM(Results_Res!AD209,Results_Out!AD209,Results_Ind!AD209,Results_Com!AD209)</f>
        <v>3.2717027996635635E-8</v>
      </c>
      <c r="AE209" s="854">
        <f>SUM(Results_Res!AE209,Results_Out!AE209,Results_Ind!AE209,Results_Com!AE209)</f>
        <v>3.2622248606374898E-8</v>
      </c>
      <c r="AF209" s="854">
        <f>SUM(Results_Res!AF209,Results_Out!AF209,Results_Ind!AF209,Results_Com!AF209)</f>
        <v>3.2525746344008735E-8</v>
      </c>
    </row>
    <row r="210" spans="1:32" s="221" customFormat="1" x14ac:dyDescent="0.25">
      <c r="A210" s="839"/>
      <c r="B210" s="550"/>
      <c r="C210" s="539"/>
      <c r="D210" s="539"/>
      <c r="E210" s="539"/>
      <c r="F210" s="539"/>
      <c r="G210" s="549"/>
      <c r="H210" s="549"/>
      <c r="I210" s="549"/>
      <c r="J210" s="549"/>
      <c r="K210" s="549"/>
      <c r="L210" s="549"/>
      <c r="M210" s="549"/>
      <c r="N210" s="549"/>
      <c r="O210" s="549"/>
      <c r="P210" s="549"/>
      <c r="Q210" s="549"/>
      <c r="R210" s="549"/>
      <c r="S210" s="549"/>
      <c r="T210" s="549"/>
      <c r="U210" s="549"/>
      <c r="V210" s="549"/>
      <c r="W210" s="549"/>
      <c r="X210" s="549"/>
      <c r="Y210" s="549"/>
      <c r="Z210" s="549"/>
      <c r="AA210" s="549"/>
      <c r="AB210" s="549"/>
      <c r="AC210" s="549"/>
      <c r="AD210" s="549"/>
      <c r="AE210" s="549"/>
      <c r="AF210" s="549"/>
    </row>
    <row r="211" spans="1:32" s="202" customFormat="1" ht="12.75" x14ac:dyDescent="0.2">
      <c r="A211" s="843" t="s">
        <v>42</v>
      </c>
      <c r="B211" s="556"/>
      <c r="C211" s="556"/>
      <c r="D211" s="556"/>
      <c r="E211" s="556"/>
      <c r="F211" s="556"/>
      <c r="G211" s="632"/>
      <c r="H211" s="632"/>
      <c r="I211" s="632"/>
      <c r="J211" s="632"/>
      <c r="K211" s="632"/>
      <c r="L211" s="632"/>
      <c r="M211" s="632"/>
      <c r="N211" s="632"/>
      <c r="O211" s="632"/>
      <c r="P211" s="632"/>
      <c r="Q211" s="632"/>
      <c r="R211" s="632"/>
      <c r="S211" s="632"/>
      <c r="T211" s="632"/>
      <c r="U211" s="632"/>
      <c r="V211" s="632"/>
      <c r="W211" s="632"/>
      <c r="X211" s="632"/>
      <c r="Y211" s="632"/>
      <c r="Z211" s="632"/>
      <c r="AA211" s="632"/>
      <c r="AB211" s="632"/>
      <c r="AC211" s="632"/>
      <c r="AD211" s="632"/>
      <c r="AE211" s="632"/>
      <c r="AF211" s="632"/>
    </row>
    <row r="212" spans="1:32" s="221" customFormat="1" x14ac:dyDescent="0.25">
      <c r="A212" s="839"/>
      <c r="B212" s="552" t="s">
        <v>43</v>
      </c>
      <c r="C212" s="539"/>
      <c r="D212" s="539"/>
      <c r="E212" s="539"/>
      <c r="F212" s="539"/>
      <c r="G212" s="854">
        <f>SUM(Results_Res!G212,Results_Out!G212,Results_Ind!G212,Results_Com!G212)</f>
        <v>0.41209324654209156</v>
      </c>
      <c r="H212" s="854">
        <f>SUM(Results_Res!H212,Results_Out!H212,Results_Ind!H212,Results_Com!H212)</f>
        <v>0.36824359295713605</v>
      </c>
      <c r="I212" s="854">
        <f>SUM(Results_Res!I212,Results_Out!I212,Results_Ind!I212,Results_Com!I212)</f>
        <v>0.32995433661459717</v>
      </c>
      <c r="J212" s="854">
        <f>SUM(Results_Res!J212,Results_Out!J212,Results_Ind!J212,Results_Com!J212)</f>
        <v>0.29650160042469936</v>
      </c>
      <c r="K212" s="854">
        <f>SUM(Results_Res!K212,Results_Out!K212,Results_Ind!K212,Results_Com!K212)</f>
        <v>0.26724858826732556</v>
      </c>
      <c r="L212" s="854">
        <f>SUM(Results_Res!L212,Results_Out!L212,Results_Ind!L212,Results_Com!L212)</f>
        <v>0.24163586491711508</v>
      </c>
      <c r="M212" s="854">
        <f>SUM(Results_Res!M212,Results_Out!M212,Results_Ind!M212,Results_Com!M212)</f>
        <v>0.21919244412440131</v>
      </c>
      <c r="N212" s="854">
        <f>SUM(Results_Res!N212,Results_Out!N212,Results_Ind!N212,Results_Com!N212)</f>
        <v>0.19949404905033222</v>
      </c>
      <c r="O212" s="854">
        <f>SUM(Results_Res!O212,Results_Out!O212,Results_Ind!O212,Results_Com!O212)</f>
        <v>0.1821762746558703</v>
      </c>
      <c r="P212" s="854">
        <f>SUM(Results_Res!P212,Results_Out!P212,Results_Ind!P212,Results_Com!P212)</f>
        <v>0.16694268026627357</v>
      </c>
      <c r="Q212" s="854">
        <f>SUM(Results_Res!Q212,Results_Out!Q212,Results_Ind!Q212,Results_Com!Q212)</f>
        <v>0.15352254077928054</v>
      </c>
      <c r="R212" s="854">
        <f>SUM(Results_Res!R212,Results_Out!R212,Results_Ind!R212,Results_Com!R212)</f>
        <v>0.14169008245603856</v>
      </c>
      <c r="S212" s="854">
        <f>SUM(Results_Res!S212,Results_Out!S212,Results_Ind!S212,Results_Com!S212)</f>
        <v>0.13124246985737459</v>
      </c>
      <c r="T212" s="854">
        <f>SUM(Results_Res!T212,Results_Out!T212,Results_Ind!T212,Results_Com!T212)</f>
        <v>0.12200484534716838</v>
      </c>
      <c r="U212" s="854">
        <f>SUM(Results_Res!U212,Results_Out!U212,Results_Ind!U212,Results_Com!U212)</f>
        <v>0.11385588022721241</v>
      </c>
      <c r="V212" s="854">
        <f>SUM(Results_Res!V212,Results_Out!V212,Results_Ind!V212,Results_Com!V212)</f>
        <v>0.1066255329537555</v>
      </c>
      <c r="W212" s="854">
        <f>SUM(Results_Res!W212,Results_Out!W212,Results_Ind!W212,Results_Com!W212)</f>
        <v>0.10022448529278329</v>
      </c>
      <c r="X212" s="854">
        <f>SUM(Results_Res!X212,Results_Out!X212,Results_Ind!X212,Results_Com!X212)</f>
        <v>9.4543324830459144E-2</v>
      </c>
      <c r="Y212" s="854">
        <f>SUM(Results_Res!Y212,Results_Out!Y212,Results_Ind!Y212,Results_Com!Y212)</f>
        <v>8.9489609888861982E-2</v>
      </c>
      <c r="Z212" s="854">
        <f>SUM(Results_Res!Z212,Results_Out!Z212,Results_Ind!Z212,Results_Com!Z212)</f>
        <v>8.498418922859502E-2</v>
      </c>
      <c r="AA212" s="854">
        <f>SUM(Results_Res!AA212,Results_Out!AA212,Results_Ind!AA212,Results_Com!AA212)</f>
        <v>8.09452096224509E-2</v>
      </c>
      <c r="AB212" s="854">
        <f>SUM(Results_Res!AB212,Results_Out!AB212,Results_Ind!AB212,Results_Com!AB212)</f>
        <v>7.7329351066986698E-2</v>
      </c>
      <c r="AC212" s="854">
        <f>SUM(Results_Res!AC212,Results_Out!AC212,Results_Ind!AC212,Results_Com!AC212)</f>
        <v>7.4083861032207723E-2</v>
      </c>
      <c r="AD212" s="854">
        <f>SUM(Results_Res!AD212,Results_Out!AD212,Results_Ind!AD212,Results_Com!AD212)</f>
        <v>7.1162931225190337E-2</v>
      </c>
      <c r="AE212" s="854">
        <f>SUM(Results_Res!AE212,Results_Out!AE212,Results_Ind!AE212,Results_Com!AE212)</f>
        <v>6.8527251632719194E-2</v>
      </c>
      <c r="AF212" s="854">
        <f>SUM(Results_Res!AF212,Results_Out!AF212,Results_Ind!AF212,Results_Com!AF212)</f>
        <v>6.6142402777923964E-2</v>
      </c>
    </row>
    <row r="213" spans="1:32" s="221" customFormat="1" x14ac:dyDescent="0.25">
      <c r="A213" s="839"/>
      <c r="B213" s="552" t="s">
        <v>44</v>
      </c>
      <c r="C213" s="539"/>
      <c r="D213" s="539"/>
      <c r="E213" s="539"/>
      <c r="F213" s="539"/>
      <c r="G213" s="854">
        <f>SUM(Results_Res!G213,Results_Out!G213,Results_Ind!G213,Results_Com!G213)</f>
        <v>3.3027294449036235</v>
      </c>
      <c r="H213" s="854">
        <f>SUM(Results_Res!H213,Results_Out!H213,Results_Ind!H213,Results_Com!H213)</f>
        <v>3.3350270191704943</v>
      </c>
      <c r="I213" s="854">
        <f>SUM(Results_Res!I213,Results_Out!I213,Results_Ind!I213,Results_Com!I213)</f>
        <v>3.3802041591708809</v>
      </c>
      <c r="J213" s="854">
        <f>SUM(Results_Res!J213,Results_Out!J213,Results_Ind!J213,Results_Com!J213)</f>
        <v>3.4173843828154178</v>
      </c>
      <c r="K213" s="854">
        <f>SUM(Results_Res!K213,Results_Out!K213,Results_Ind!K213,Results_Com!K213)</f>
        <v>3.4471988994063594</v>
      </c>
      <c r="L213" s="854">
        <f>SUM(Results_Res!L213,Results_Out!L213,Results_Ind!L213,Results_Com!L213)</f>
        <v>3.4703473439056256</v>
      </c>
      <c r="M213" s="854">
        <f>SUM(Results_Res!M213,Results_Out!M213,Results_Ind!M213,Results_Com!M213)</f>
        <v>3.4874729001317206</v>
      </c>
      <c r="N213" s="854">
        <f>SUM(Results_Res!N213,Results_Out!N213,Results_Ind!N213,Results_Com!N213)</f>
        <v>3.4992610000898998</v>
      </c>
      <c r="O213" s="854">
        <f>SUM(Results_Res!O213,Results_Out!O213,Results_Ind!O213,Results_Com!O213)</f>
        <v>3.5063413682098119</v>
      </c>
      <c r="P213" s="854">
        <f>SUM(Results_Res!P213,Results_Out!P213,Results_Ind!P213,Results_Com!P213)</f>
        <v>3.5092202640312</v>
      </c>
      <c r="Q213" s="854">
        <f>SUM(Results_Res!Q213,Results_Out!Q213,Results_Ind!Q213,Results_Com!Q213)</f>
        <v>3.5084150700876648</v>
      </c>
      <c r="R213" s="854">
        <f>SUM(Results_Res!R213,Results_Out!R213,Results_Ind!R213,Results_Com!R213)</f>
        <v>3.5043583551774793</v>
      </c>
      <c r="S213" s="854">
        <f>SUM(Results_Res!S213,Results_Out!S213,Results_Ind!S213,Results_Com!S213)</f>
        <v>3.4974658079373455</v>
      </c>
      <c r="T213" s="854">
        <f>SUM(Results_Res!T213,Results_Out!T213,Results_Ind!T213,Results_Com!T213)</f>
        <v>3.4881033120533473</v>
      </c>
      <c r="U213" s="854">
        <f>SUM(Results_Res!U213,Results_Out!U213,Results_Ind!U213,Results_Com!U213)</f>
        <v>3.4765836083105039</v>
      </c>
      <c r="V213" s="854">
        <f>SUM(Results_Res!V213,Results_Out!V213,Results_Ind!V213,Results_Com!V213)</f>
        <v>3.4632066413165545</v>
      </c>
      <c r="W213" s="854">
        <f>SUM(Results_Res!W213,Results_Out!W213,Results_Ind!W213,Results_Com!W213)</f>
        <v>3.4482250823030194</v>
      </c>
      <c r="X213" s="854">
        <f>SUM(Results_Res!X213,Results_Out!X213,Results_Ind!X213,Results_Com!X213)</f>
        <v>3.43187254995813</v>
      </c>
      <c r="Y213" s="854">
        <f>SUM(Results_Res!Y213,Results_Out!Y213,Results_Ind!Y213,Results_Com!Y213)</f>
        <v>3.414347122031562</v>
      </c>
      <c r="Z213" s="854">
        <f>SUM(Results_Res!Z213,Results_Out!Z213,Results_Ind!Z213,Results_Com!Z213)</f>
        <v>3.3958201206631839</v>
      </c>
      <c r="AA213" s="854">
        <f>SUM(Results_Res!AA213,Results_Out!AA213,Results_Ind!AA213,Results_Com!AA213)</f>
        <v>3.3764256550595384</v>
      </c>
      <c r="AB213" s="854">
        <f>SUM(Results_Res!AB213,Results_Out!AB213,Results_Ind!AB213,Results_Com!AB213)</f>
        <v>3.3563208141649392</v>
      </c>
      <c r="AC213" s="854">
        <f>SUM(Results_Res!AC213,Results_Out!AC213,Results_Ind!AC213,Results_Com!AC213)</f>
        <v>3.3356210446238617</v>
      </c>
      <c r="AD213" s="854">
        <f>SUM(Results_Res!AD213,Results_Out!AD213,Results_Ind!AD213,Results_Com!AD213)</f>
        <v>3.314427873770875</v>
      </c>
      <c r="AE213" s="854">
        <f>SUM(Results_Res!AE213,Results_Out!AE213,Results_Ind!AE213,Results_Com!AE213)</f>
        <v>3.2928283928026039</v>
      </c>
      <c r="AF213" s="854">
        <f>SUM(Results_Res!AF213,Results_Out!AF213,Results_Ind!AF213,Results_Com!AF213)</f>
        <v>3.2708997634319323</v>
      </c>
    </row>
    <row r="214" spans="1:32" s="221" customFormat="1" x14ac:dyDescent="0.25">
      <c r="A214" s="839"/>
      <c r="B214" s="552" t="s">
        <v>45</v>
      </c>
      <c r="C214" s="539"/>
      <c r="D214" s="539"/>
      <c r="E214" s="539"/>
      <c r="F214" s="539"/>
      <c r="G214" s="854">
        <f>SUM(Results_Res!G214,Results_Out!G214,Results_Ind!G214,Results_Com!G214)</f>
        <v>0.49800069073803793</v>
      </c>
      <c r="H214" s="854">
        <f>SUM(Results_Res!H214,Results_Out!H214,Results_Ind!H214,Results_Com!H214)</f>
        <v>0.43831729886708676</v>
      </c>
      <c r="I214" s="854">
        <f>SUM(Results_Res!I214,Results_Out!I214,Results_Ind!I214,Results_Com!I214)</f>
        <v>0.38624019008323734</v>
      </c>
      <c r="J214" s="854">
        <f>SUM(Results_Res!J214,Results_Out!J214,Results_Ind!J214,Results_Com!J214)</f>
        <v>0.34080723975159222</v>
      </c>
      <c r="K214" s="854">
        <f>SUM(Results_Res!K214,Results_Out!K214,Results_Ind!K214,Results_Com!K214)</f>
        <v>0.30115619808557348</v>
      </c>
      <c r="L214" s="854">
        <f>SUM(Results_Res!L214,Results_Out!L214,Results_Ind!L214,Results_Com!L214)</f>
        <v>0.26651727265563618</v>
      </c>
      <c r="M214" s="854">
        <f>SUM(Results_Res!M214,Results_Out!M214,Results_Ind!M214,Results_Com!M214)</f>
        <v>0.23625068145997902</v>
      </c>
      <c r="N214" s="854">
        <f>SUM(Results_Res!N214,Results_Out!N214,Results_Ind!N214,Results_Com!N214)</f>
        <v>0.20976342581728996</v>
      </c>
      <c r="O214" s="854">
        <f>SUM(Results_Res!O214,Results_Out!O214,Results_Ind!O214,Results_Com!O214)</f>
        <v>0.18654717888880934</v>
      </c>
      <c r="P214" s="854">
        <f>SUM(Results_Res!P214,Results_Out!P214,Results_Ind!P214,Results_Com!P214)</f>
        <v>0.16620372145470791</v>
      </c>
      <c r="Q214" s="854">
        <f>SUM(Results_Res!Q214,Results_Out!Q214,Results_Ind!Q214,Results_Com!Q214)</f>
        <v>0.14835646694617194</v>
      </c>
      <c r="R214" s="854">
        <f>SUM(Results_Res!R214,Results_Out!R214,Results_Ind!R214,Results_Com!R214)</f>
        <v>0.13269868165173512</v>
      </c>
      <c r="S214" s="854">
        <f>SUM(Results_Res!S214,Results_Out!S214,Results_Ind!S214,Results_Com!S214)</f>
        <v>0.11894844053037715</v>
      </c>
      <c r="T214" s="854">
        <f>SUM(Results_Res!T214,Results_Out!T214,Results_Ind!T214,Results_Com!T214)</f>
        <v>0.10686373438260503</v>
      </c>
      <c r="U214" s="854">
        <f>SUM(Results_Res!U214,Results_Out!U214,Results_Ind!U214,Results_Com!U214)</f>
        <v>9.6273819907670602E-2</v>
      </c>
      <c r="V214" s="854">
        <f>SUM(Results_Res!V214,Results_Out!V214,Results_Ind!V214,Results_Com!V214)</f>
        <v>8.6947048817146211E-2</v>
      </c>
      <c r="W214" s="854">
        <f>SUM(Results_Res!W214,Results_Out!W214,Results_Ind!W214,Results_Com!W214)</f>
        <v>7.8758287084110576E-2</v>
      </c>
      <c r="X214" s="854">
        <f>SUM(Results_Res!X214,Results_Out!X214,Results_Ind!X214,Results_Com!X214)</f>
        <v>7.1555374315494968E-2</v>
      </c>
      <c r="Y214" s="854">
        <f>SUM(Results_Res!Y214,Results_Out!Y214,Results_Ind!Y214,Results_Com!Y214)</f>
        <v>6.5211211731389496E-2</v>
      </c>
      <c r="Z214" s="854">
        <f>SUM(Results_Res!Z214,Results_Out!Z214,Results_Ind!Z214,Results_Com!Z214)</f>
        <v>5.9617439684014582E-2</v>
      </c>
      <c r="AA214" s="854">
        <f>SUM(Results_Res!AA214,Results_Out!AA214,Results_Ind!AA214,Results_Com!AA214)</f>
        <v>5.4663080804346544E-2</v>
      </c>
      <c r="AB214" s="854">
        <f>SUM(Results_Res!AB214,Results_Out!AB214,Results_Ind!AB214,Results_Com!AB214)</f>
        <v>5.0286500227621815E-2</v>
      </c>
      <c r="AC214" s="854">
        <f>SUM(Results_Res!AC214,Results_Out!AC214,Results_Ind!AC214,Results_Com!AC214)</f>
        <v>4.641483232129788E-2</v>
      </c>
      <c r="AD214" s="854">
        <f>SUM(Results_Res!AD214,Results_Out!AD214,Results_Ind!AD214,Results_Com!AD214)</f>
        <v>4.2984703515061763E-2</v>
      </c>
      <c r="AE214" s="854">
        <f>SUM(Results_Res!AE214,Results_Out!AE214,Results_Ind!AE214,Results_Com!AE214)</f>
        <v>3.9942145870841286E-2</v>
      </c>
      <c r="AF214" s="854">
        <f>SUM(Results_Res!AF214,Results_Out!AF214,Results_Ind!AF214,Results_Com!AF214)</f>
        <v>3.7239684371528241E-2</v>
      </c>
    </row>
    <row r="215" spans="1:32" s="221" customFormat="1" x14ac:dyDescent="0.25">
      <c r="A215" s="839"/>
      <c r="B215" s="552" t="s">
        <v>46</v>
      </c>
      <c r="C215" s="539"/>
      <c r="D215" s="539"/>
      <c r="E215" s="539"/>
      <c r="F215" s="539"/>
      <c r="G215" s="854">
        <f>SUM(Results_Res!G215,Results_Out!G215,Results_Ind!G215,Results_Com!G215)</f>
        <v>4.8490671838024712E-4</v>
      </c>
      <c r="H215" s="854">
        <f>SUM(Results_Res!H215,Results_Out!H215,Results_Ind!H215,Results_Com!H215)</f>
        <v>4.1958997429330819E-4</v>
      </c>
      <c r="I215" s="854">
        <f>SUM(Results_Res!I215,Results_Out!I215,Results_Ind!I215,Results_Com!I215)</f>
        <v>3.6274900771378105E-4</v>
      </c>
      <c r="J215" s="854">
        <f>SUM(Results_Res!J215,Results_Out!J215,Results_Ind!J215,Results_Com!J215)</f>
        <v>3.1374106114548188E-4</v>
      </c>
      <c r="K215" s="854">
        <f>SUM(Results_Res!K215,Results_Out!K215,Results_Ind!K215,Results_Com!K215)</f>
        <v>2.7164301600664578E-4</v>
      </c>
      <c r="L215" s="854">
        <f>SUM(Results_Res!L215,Results_Out!L215,Results_Ind!L215,Results_Com!L215)</f>
        <v>2.3537846319289851E-4</v>
      </c>
      <c r="M215" s="854">
        <f>SUM(Results_Res!M215,Results_Out!M215,Results_Ind!M215,Results_Com!M215)</f>
        <v>2.0431430477749291E-4</v>
      </c>
      <c r="N215" s="854">
        <f>SUM(Results_Res!N215,Results_Out!N215,Results_Ind!N215,Results_Com!N215)</f>
        <v>1.7745002666465519E-4</v>
      </c>
      <c r="O215" s="854">
        <f>SUM(Results_Res!O215,Results_Out!O215,Results_Ind!O215,Results_Com!O215)</f>
        <v>1.5398374227020795E-4</v>
      </c>
      <c r="P215" s="854">
        <f>SUM(Results_Res!P215,Results_Out!P215,Results_Ind!P215,Results_Com!P215)</f>
        <v>1.3371095828711746E-4</v>
      </c>
      <c r="Q215" s="854">
        <f>SUM(Results_Res!Q215,Results_Out!Q215,Results_Ind!Q215,Results_Com!Q215)</f>
        <v>1.1609663653342826E-4</v>
      </c>
      <c r="R215" s="854">
        <f>SUM(Results_Res!R215,Results_Out!R215,Results_Ind!R215,Results_Com!R215)</f>
        <v>1.0090971275524338E-4</v>
      </c>
      <c r="S215" s="854">
        <f>SUM(Results_Res!S215,Results_Out!S215,Results_Ind!S215,Results_Com!S215)</f>
        <v>8.7774400235978125E-5</v>
      </c>
      <c r="T215" s="854">
        <f>SUM(Results_Res!T215,Results_Out!T215,Results_Ind!T215,Results_Com!T215)</f>
        <v>7.6400126421583502E-5</v>
      </c>
      <c r="U215" s="854">
        <f>SUM(Results_Res!U215,Results_Out!U215,Results_Ind!U215,Results_Com!U215)</f>
        <v>6.653552529388345E-5</v>
      </c>
      <c r="V215" s="854">
        <f>SUM(Results_Res!V215,Results_Out!V215,Results_Ind!V215,Results_Com!V215)</f>
        <v>5.797669533277528E-5</v>
      </c>
      <c r="W215" s="854">
        <f>SUM(Results_Res!W215,Results_Out!W215,Results_Ind!W215,Results_Com!W215)</f>
        <v>5.0567433799445115E-5</v>
      </c>
      <c r="X215" s="854">
        <f>SUM(Results_Res!X215,Results_Out!X215,Results_Ind!X215,Results_Com!X215)</f>
        <v>4.41086147477633E-5</v>
      </c>
      <c r="Y215" s="854">
        <f>SUM(Results_Res!Y215,Results_Out!Y215,Results_Ind!Y215,Results_Com!Y215)</f>
        <v>3.8475036044197466E-5</v>
      </c>
      <c r="Z215" s="854">
        <f>SUM(Results_Res!Z215,Results_Out!Z215,Results_Ind!Z215,Results_Com!Z215)</f>
        <v>3.3574285407338599E-5</v>
      </c>
      <c r="AA215" s="854">
        <f>SUM(Results_Res!AA215,Results_Out!AA215,Results_Ind!AA215,Results_Com!AA215)</f>
        <v>2.9318631318122098E-5</v>
      </c>
      <c r="AB215" s="854">
        <f>SUM(Results_Res!AB215,Results_Out!AB215,Results_Ind!AB215,Results_Com!AB215)</f>
        <v>2.5625764959625252E-5</v>
      </c>
      <c r="AC215" s="854">
        <f>SUM(Results_Res!AC215,Results_Out!AC215,Results_Ind!AC215,Results_Com!AC215)</f>
        <v>2.2415408518067784E-5</v>
      </c>
      <c r="AD215" s="854">
        <f>SUM(Results_Res!AD215,Results_Out!AD215,Results_Ind!AD215,Results_Com!AD215)</f>
        <v>1.9616258992104581E-5</v>
      </c>
      <c r="AE215" s="854">
        <f>SUM(Results_Res!AE215,Results_Out!AE215,Results_Ind!AE215,Results_Com!AE215)</f>
        <v>1.7179540607315749E-5</v>
      </c>
      <c r="AF215" s="854">
        <f>SUM(Results_Res!AF215,Results_Out!AF215,Results_Ind!AF215,Results_Com!AF215)</f>
        <v>1.5056563741810689E-5</v>
      </c>
    </row>
    <row r="216" spans="1:32" s="221" customFormat="1" x14ac:dyDescent="0.25">
      <c r="A216" s="839"/>
      <c r="B216" s="550" t="s">
        <v>29</v>
      </c>
      <c r="C216" s="539"/>
      <c r="D216" s="539"/>
      <c r="E216" s="539"/>
      <c r="F216" s="539"/>
      <c r="G216" s="854">
        <f>SUM(Results_Res!G216,Results_Out!G216,Results_Ind!G216,Results_Com!G216)</f>
        <v>0</v>
      </c>
      <c r="H216" s="854">
        <f>SUM(Results_Res!H216,Results_Out!H216,Results_Ind!H216,Results_Com!H216)</f>
        <v>1.159634307295882E-2</v>
      </c>
      <c r="I216" s="854">
        <f>SUM(Results_Res!I216,Results_Out!I216,Results_Ind!I216,Results_Com!I216)</f>
        <v>1.9969063600461696E-2</v>
      </c>
      <c r="J216" s="854">
        <f>SUM(Results_Res!J216,Results_Out!J216,Results_Ind!J216,Results_Com!J216)</f>
        <v>2.5969770874156615E-2</v>
      </c>
      <c r="K216" s="854">
        <f>SUM(Results_Res!K216,Results_Out!K216,Results_Ind!K216,Results_Com!K216)</f>
        <v>3.0225785817436856E-2</v>
      </c>
      <c r="L216" s="854">
        <f>SUM(Results_Res!L216,Results_Out!L216,Results_Ind!L216,Results_Com!L216)</f>
        <v>3.3199237942911804E-2</v>
      </c>
      <c r="M216" s="854">
        <f>SUM(Results_Res!M216,Results_Out!M216,Results_Ind!M216,Results_Com!M216)</f>
        <v>3.5230536603895614E-2</v>
      </c>
      <c r="N216" s="854">
        <f>SUM(Results_Res!N216,Results_Out!N216,Results_Ind!N216,Results_Com!N216)</f>
        <v>3.6570427953842834E-2</v>
      </c>
      <c r="O216" s="854">
        <f>SUM(Results_Res!O216,Results_Out!O216,Results_Ind!O216,Results_Com!O216)</f>
        <v>3.7403608318171973E-2</v>
      </c>
      <c r="P216" s="854">
        <f>SUM(Results_Res!P216,Results_Out!P216,Results_Ind!P216,Results_Com!P216)</f>
        <v>3.7866108312172644E-2</v>
      </c>
      <c r="Q216" s="854">
        <f>SUM(Results_Res!Q216,Results_Out!Q216,Results_Ind!Q216,Results_Com!Q216)</f>
        <v>3.80581038147145E-2</v>
      </c>
      <c r="R216" s="854">
        <f>SUM(Results_Res!R216,Results_Out!R216,Results_Ind!R216,Results_Com!R216)</f>
        <v>3.805335281308455E-2</v>
      </c>
      <c r="S216" s="854">
        <f>SUM(Results_Res!S216,Results_Out!S216,Results_Ind!S216,Results_Com!S216)</f>
        <v>3.7906156119053513E-2</v>
      </c>
      <c r="T216" s="854">
        <f>SUM(Results_Res!T216,Results_Out!T216,Results_Ind!T216,Results_Com!T216)</f>
        <v>3.765647134673876E-2</v>
      </c>
      <c r="U216" s="854">
        <f>SUM(Results_Res!U216,Results_Out!U216,Results_Ind!U216,Results_Com!U216)</f>
        <v>3.7292849336808605E-2</v>
      </c>
      <c r="V216" s="854">
        <f>SUM(Results_Res!V216,Results_Out!V216,Results_Ind!V216,Results_Com!V216)</f>
        <v>3.6889461833693446E-2</v>
      </c>
      <c r="W216" s="854">
        <f>SUM(Results_Res!W216,Results_Out!W216,Results_Ind!W216,Results_Com!W216)</f>
        <v>3.6420724069412949E-2</v>
      </c>
      <c r="X216" s="854">
        <f>SUM(Results_Res!X216,Results_Out!X216,Results_Ind!X216,Results_Com!X216)</f>
        <v>3.5908415967747326E-2</v>
      </c>
      <c r="Y216" s="854">
        <f>SUM(Results_Res!Y216,Results_Out!Y216,Results_Ind!Y216,Results_Com!Y216)</f>
        <v>3.536840715005251E-2</v>
      </c>
      <c r="Z216" s="854">
        <f>SUM(Results_Res!Z216,Results_Out!Z216,Results_Ind!Z216,Results_Com!Z216)</f>
        <v>3.4812223079966405E-2</v>
      </c>
      <c r="AA216" s="854">
        <f>SUM(Results_Res!AA216,Results_Out!AA216,Results_Ind!AA216,Results_Com!AA216)</f>
        <v>3.4281203635623383E-2</v>
      </c>
      <c r="AB216" s="854">
        <f>SUM(Results_Res!AB216,Results_Out!AB216,Results_Ind!AB216,Results_Com!AB216)</f>
        <v>3.373847870625523E-2</v>
      </c>
      <c r="AC216" s="854">
        <f>SUM(Results_Res!AC216,Results_Out!AC216,Results_Ind!AC216,Results_Com!AC216)</f>
        <v>3.3190954574809806E-2</v>
      </c>
      <c r="AD216" s="854">
        <f>SUM(Results_Res!AD216,Results_Out!AD216,Results_Ind!AD216,Results_Com!AD216)</f>
        <v>3.2643582327395483E-2</v>
      </c>
      <c r="AE216" s="854">
        <f>SUM(Results_Res!AE216,Results_Out!AE216,Results_Ind!AE216,Results_Com!AE216)</f>
        <v>3.2099877234838294E-2</v>
      </c>
      <c r="AF216" s="854">
        <f>SUM(Results_Res!AF216,Results_Out!AF216,Results_Ind!AF216,Results_Com!AF216)</f>
        <v>3.15623029130081E-2</v>
      </c>
    </row>
    <row r="217" spans="1:32" s="221" customFormat="1" x14ac:dyDescent="0.25">
      <c r="A217" s="839"/>
      <c r="B217" s="550"/>
      <c r="C217" s="539"/>
      <c r="D217" s="539"/>
      <c r="E217" s="539"/>
      <c r="F217" s="539"/>
      <c r="G217" s="549"/>
      <c r="H217" s="549"/>
      <c r="I217" s="549"/>
      <c r="J217" s="549"/>
      <c r="K217" s="549"/>
      <c r="L217" s="549"/>
      <c r="M217" s="549"/>
      <c r="N217" s="549"/>
      <c r="O217" s="549"/>
      <c r="P217" s="549"/>
      <c r="Q217" s="549"/>
      <c r="R217" s="549"/>
      <c r="S217" s="549"/>
      <c r="T217" s="549"/>
      <c r="U217" s="549"/>
      <c r="V217" s="549"/>
      <c r="W217" s="549"/>
      <c r="X217" s="549"/>
      <c r="Y217" s="549"/>
      <c r="Z217" s="549"/>
      <c r="AA217" s="549"/>
      <c r="AB217" s="549"/>
      <c r="AC217" s="549"/>
      <c r="AD217" s="549"/>
      <c r="AE217" s="549"/>
      <c r="AF217" s="549"/>
    </row>
    <row r="218" spans="1:32" s="202" customFormat="1" ht="12.75" x14ac:dyDescent="0.2">
      <c r="A218" s="843" t="s">
        <v>47</v>
      </c>
      <c r="B218" s="556"/>
      <c r="C218" s="556"/>
      <c r="D218" s="556"/>
      <c r="E218" s="556"/>
      <c r="F218" s="556"/>
      <c r="G218" s="632"/>
      <c r="H218" s="632"/>
      <c r="I218" s="632"/>
      <c r="J218" s="632"/>
      <c r="K218" s="632"/>
      <c r="L218" s="632"/>
      <c r="M218" s="632"/>
      <c r="N218" s="632"/>
      <c r="O218" s="632"/>
      <c r="P218" s="632"/>
      <c r="Q218" s="632"/>
      <c r="R218" s="632"/>
      <c r="S218" s="632"/>
      <c r="T218" s="632"/>
      <c r="U218" s="632"/>
      <c r="V218" s="632"/>
      <c r="W218" s="632"/>
      <c r="X218" s="632"/>
      <c r="Y218" s="632"/>
      <c r="Z218" s="632"/>
      <c r="AA218" s="632"/>
      <c r="AB218" s="632"/>
      <c r="AC218" s="632"/>
      <c r="AD218" s="632"/>
      <c r="AE218" s="632"/>
      <c r="AF218" s="632"/>
    </row>
    <row r="219" spans="1:32" s="221" customFormat="1" x14ac:dyDescent="0.25">
      <c r="A219" s="839"/>
      <c r="B219" s="550" t="s">
        <v>48</v>
      </c>
      <c r="C219" s="539"/>
      <c r="D219" s="539"/>
      <c r="E219" s="539"/>
      <c r="F219" s="539"/>
      <c r="G219" s="854">
        <f>SUM(Results_Res!G219,Results_Out!G219,Results_Ind!G219,Results_Com!G219)</f>
        <v>0.15447800189365546</v>
      </c>
      <c r="H219" s="854">
        <f>SUM(Results_Res!H219,Results_Out!H219,Results_Ind!H219,Results_Com!H219)</f>
        <v>0.15320364148453711</v>
      </c>
      <c r="I219" s="854">
        <f>SUM(Results_Res!I219,Results_Out!I219,Results_Ind!I219,Results_Com!I219)</f>
        <v>0.15078148589180282</v>
      </c>
      <c r="J219" s="854">
        <f>SUM(Results_Res!J219,Results_Out!J219,Results_Ind!J219,Results_Com!J219)</f>
        <v>0.14737029459933909</v>
      </c>
      <c r="K219" s="854">
        <f>SUM(Results_Res!K219,Results_Out!K219,Results_Ind!K219,Results_Com!K219)</f>
        <v>0.14412067250273355</v>
      </c>
      <c r="L219" s="854">
        <f>SUM(Results_Res!L219,Results_Out!L219,Results_Ind!L219,Results_Com!L219)</f>
        <v>0.14204094190228853</v>
      </c>
      <c r="M219" s="854">
        <f>SUM(Results_Res!M219,Results_Out!M219,Results_Ind!M219,Results_Com!M219)</f>
        <v>0.14101390041132253</v>
      </c>
      <c r="N219" s="854">
        <f>SUM(Results_Res!N219,Results_Out!N219,Results_Ind!N219,Results_Com!N219)</f>
        <v>0.14000455958457264</v>
      </c>
      <c r="O219" s="854">
        <f>SUM(Results_Res!O219,Results_Out!O219,Results_Ind!O219,Results_Com!O219)</f>
        <v>0.13901168438014708</v>
      </c>
      <c r="P219" s="854">
        <f>SUM(Results_Res!P219,Results_Out!P219,Results_Ind!P219,Results_Com!P219)</f>
        <v>0.13803442796582827</v>
      </c>
      <c r="Q219" s="854">
        <f>SUM(Results_Res!Q219,Results_Out!Q219,Results_Ind!Q219,Results_Com!Q219)</f>
        <v>0.13707238786462467</v>
      </c>
      <c r="R219" s="854">
        <f>SUM(Results_Res!R219,Results_Out!R219,Results_Ind!R219,Results_Com!R219)</f>
        <v>0.13612700310653775</v>
      </c>
      <c r="S219" s="854">
        <f>SUM(Results_Res!S219,Results_Out!S219,Results_Ind!S219,Results_Com!S219)</f>
        <v>0.13519533023055225</v>
      </c>
      <c r="T219" s="854">
        <f>SUM(Results_Res!T219,Results_Out!T219,Results_Ind!T219,Results_Com!T219)</f>
        <v>0.13427726565875694</v>
      </c>
      <c r="U219" s="854">
        <f>SUM(Results_Res!U219,Results_Out!U219,Results_Ind!U219,Results_Com!U219)</f>
        <v>0.13337267969891634</v>
      </c>
      <c r="V219" s="854">
        <f>SUM(Results_Res!V219,Results_Out!V219,Results_Ind!V219,Results_Com!V219)</f>
        <v>0.1324802224478544</v>
      </c>
      <c r="W219" s="854">
        <f>SUM(Results_Res!W219,Results_Out!W219,Results_Ind!W219,Results_Com!W219)</f>
        <v>0.1316006431883851</v>
      </c>
      <c r="X219" s="854">
        <f>SUM(Results_Res!X219,Results_Out!X219,Results_Ind!X219,Results_Com!X219)</f>
        <v>0.13073460421336355</v>
      </c>
      <c r="Y219" s="854">
        <f>SUM(Results_Res!Y219,Results_Out!Y219,Results_Ind!Y219,Results_Com!Y219)</f>
        <v>0.12988230164061104</v>
      </c>
      <c r="Z219" s="854">
        <f>SUM(Results_Res!Z219,Results_Out!Z219,Results_Ind!Z219,Results_Com!Z219)</f>
        <v>0.12904249021033115</v>
      </c>
      <c r="AA219" s="854">
        <f>SUM(Results_Res!AA219,Results_Out!AA219,Results_Ind!AA219,Results_Com!AA219)</f>
        <v>0.12821361910021795</v>
      </c>
      <c r="AB219" s="854">
        <f>SUM(Results_Res!AB219,Results_Out!AB219,Results_Ind!AB219,Results_Com!AB219)</f>
        <v>0.12739362325137785</v>
      </c>
      <c r="AC219" s="854">
        <f>SUM(Results_Res!AC219,Results_Out!AC219,Results_Ind!AC219,Results_Com!AC219)</f>
        <v>0.12658497584471448</v>
      </c>
      <c r="AD219" s="854">
        <f>SUM(Results_Res!AD219,Results_Out!AD219,Results_Ind!AD219,Results_Com!AD219)</f>
        <v>0.12578746898241</v>
      </c>
      <c r="AE219" s="854">
        <f>SUM(Results_Res!AE219,Results_Out!AE219,Results_Ind!AE219,Results_Com!AE219)</f>
        <v>0.1250009000250619</v>
      </c>
      <c r="AF219" s="854">
        <f>SUM(Results_Res!AF219,Results_Out!AF219,Results_Ind!AF219,Results_Com!AF219)</f>
        <v>0.12422507144011599</v>
      </c>
    </row>
    <row r="220" spans="1:32" s="221" customFormat="1" x14ac:dyDescent="0.25">
      <c r="A220" s="839"/>
      <c r="B220" s="552" t="s">
        <v>50</v>
      </c>
      <c r="C220" s="539"/>
      <c r="D220" s="539"/>
      <c r="E220" s="539"/>
      <c r="F220" s="539"/>
      <c r="G220" s="854">
        <f>SUM(Results_Res!G220,Results_Out!G220,Results_Ind!G220,Results_Com!G220)</f>
        <v>0.13880658076271751</v>
      </c>
      <c r="H220" s="854">
        <f>SUM(Results_Res!H220,Results_Out!H220,Results_Ind!H220,Results_Com!H220)</f>
        <v>0.13711936052366466</v>
      </c>
      <c r="I220" s="854">
        <f>SUM(Results_Res!I220,Results_Out!I220,Results_Ind!I220,Results_Com!I220)</f>
        <v>0.13545469320876236</v>
      </c>
      <c r="J220" s="854">
        <f>SUM(Results_Res!J220,Results_Out!J220,Results_Ind!J220,Results_Com!J220)</f>
        <v>0.13381290526644449</v>
      </c>
      <c r="K220" s="854">
        <f>SUM(Results_Res!K220,Results_Out!K220,Results_Ind!K220,Results_Com!K220)</f>
        <v>0.13219415163881512</v>
      </c>
      <c r="L220" s="854">
        <f>SUM(Results_Res!L220,Results_Out!L220,Results_Ind!L220,Results_Com!L220)</f>
        <v>0.13059787331430256</v>
      </c>
      <c r="M220" s="854">
        <f>SUM(Results_Res!M220,Results_Out!M220,Results_Ind!M220,Results_Com!M220)</f>
        <v>0.12902418112515079</v>
      </c>
      <c r="N220" s="854">
        <f>SUM(Results_Res!N220,Results_Out!N220,Results_Ind!N220,Results_Com!N220)</f>
        <v>0.12747233389550011</v>
      </c>
      <c r="O220" s="854">
        <f>SUM(Results_Res!O220,Results_Out!O220,Results_Ind!O220,Results_Com!O220)</f>
        <v>0.1259414380567638</v>
      </c>
      <c r="P220" s="854">
        <f>SUM(Results_Res!P220,Results_Out!P220,Results_Ind!P220,Results_Com!P220)</f>
        <v>0.12443180412663038</v>
      </c>
      <c r="Q220" s="854">
        <f>SUM(Results_Res!Q220,Results_Out!Q220,Results_Ind!Q220,Results_Com!Q220)</f>
        <v>0.12294283893124072</v>
      </c>
      <c r="R220" s="854">
        <f>SUM(Results_Res!R220,Results_Out!R220,Results_Ind!R220,Results_Com!R220)</f>
        <v>0.12147474526991298</v>
      </c>
      <c r="S220" s="854">
        <f>SUM(Results_Res!S220,Results_Out!S220,Results_Ind!S220,Results_Com!S220)</f>
        <v>0.12002703509211701</v>
      </c>
      <c r="T220" s="854">
        <f>SUM(Results_Res!T220,Results_Out!T220,Results_Ind!T220,Results_Com!T220)</f>
        <v>0.11859940169247096</v>
      </c>
      <c r="U220" s="854">
        <f>SUM(Results_Res!U220,Results_Out!U220,Results_Ind!U220,Results_Com!U220)</f>
        <v>0.11719151973090311</v>
      </c>
      <c r="V220" s="854">
        <f>SUM(Results_Res!V220,Results_Out!V220,Results_Ind!V220,Results_Com!V220)</f>
        <v>0.11580308914759106</v>
      </c>
      <c r="W220" s="854">
        <f>SUM(Results_Res!W220,Results_Out!W220,Results_Ind!W220,Results_Com!W220)</f>
        <v>0.11443401116544819</v>
      </c>
      <c r="X220" s="854">
        <f>SUM(Results_Res!X220,Results_Out!X220,Results_Ind!X220,Results_Com!X220)</f>
        <v>0.11308373163152376</v>
      </c>
      <c r="Y220" s="854">
        <f>SUM(Results_Res!Y220,Results_Out!Y220,Results_Ind!Y220,Results_Com!Y220)</f>
        <v>0.11175198137598621</v>
      </c>
      <c r="Z220" s="854">
        <f>SUM(Results_Res!Z220,Results_Out!Z220,Results_Ind!Z220,Results_Com!Z220)</f>
        <v>0.11043861108513139</v>
      </c>
      <c r="AA220" s="854">
        <f>SUM(Results_Res!AA220,Results_Out!AA220,Results_Ind!AA220,Results_Com!AA220)</f>
        <v>0.10914343343147659</v>
      </c>
      <c r="AB220" s="854">
        <f>SUM(Results_Res!AB220,Results_Out!AB220,Results_Ind!AB220,Results_Com!AB220)</f>
        <v>0.10786610091272912</v>
      </c>
      <c r="AC220" s="854">
        <f>SUM(Results_Res!AC220,Results_Out!AC220,Results_Ind!AC220,Results_Com!AC220)</f>
        <v>0.10660640120902137</v>
      </c>
      <c r="AD220" s="854">
        <f>SUM(Results_Res!AD220,Results_Out!AD220,Results_Ind!AD220,Results_Com!AD220)</f>
        <v>0.10536408810304879</v>
      </c>
      <c r="AE220" s="854">
        <f>SUM(Results_Res!AE220,Results_Out!AE220,Results_Ind!AE220,Results_Com!AE220)</f>
        <v>0.10413891889238421</v>
      </c>
      <c r="AF220" s="854">
        <f>SUM(Results_Res!AF220,Results_Out!AF220,Results_Ind!AF220,Results_Com!AF220)</f>
        <v>0.10293065433778295</v>
      </c>
    </row>
    <row r="221" spans="1:32" s="221" customFormat="1" x14ac:dyDescent="0.25">
      <c r="A221" s="839"/>
      <c r="B221" s="550" t="s">
        <v>51</v>
      </c>
      <c r="C221" s="539"/>
      <c r="D221" s="539"/>
      <c r="E221" s="539"/>
      <c r="F221" s="539"/>
      <c r="G221" s="854">
        <f>SUM(Results_Res!G221,Results_Out!G221,Results_Ind!G221,Results_Com!G221)</f>
        <v>0.11642876811921854</v>
      </c>
      <c r="H221" s="854">
        <f>SUM(Results_Res!H221,Results_Out!H221,Results_Ind!H221,Results_Com!H221)</f>
        <v>0.11510518664118632</v>
      </c>
      <c r="I221" s="854">
        <f>SUM(Results_Res!I221,Results_Out!I221,Results_Ind!I221,Results_Com!I221)</f>
        <v>0.11379469495083881</v>
      </c>
      <c r="J221" s="854">
        <f>SUM(Results_Res!J221,Results_Out!J221,Results_Ind!J221,Results_Com!J221)</f>
        <v>0.11250049467911198</v>
      </c>
      <c r="K221" s="854">
        <f>SUM(Results_Res!K221,Results_Out!K221,Results_Ind!K221,Results_Com!K221)</f>
        <v>0.11122398966730659</v>
      </c>
      <c r="L221" s="854">
        <f>SUM(Results_Res!L221,Results_Out!L221,Results_Ind!L221,Results_Com!L221)</f>
        <v>0.10996422888744604</v>
      </c>
      <c r="M221" s="854">
        <f>SUM(Results_Res!M221,Results_Out!M221,Results_Ind!M221,Results_Com!M221)</f>
        <v>0.10872334436779124</v>
      </c>
      <c r="N221" s="854">
        <f>SUM(Results_Res!N221,Results_Out!N221,Results_Ind!N221,Results_Com!N221)</f>
        <v>0.10749817971616461</v>
      </c>
      <c r="O221" s="854">
        <f>SUM(Results_Res!O221,Results_Out!O221,Results_Ind!O221,Results_Com!O221)</f>
        <v>0.10628513008005494</v>
      </c>
      <c r="P221" s="854">
        <f>SUM(Results_Res!P221,Results_Out!P221,Results_Ind!P221,Results_Com!P221)</f>
        <v>0.10508772600661348</v>
      </c>
      <c r="Q221" s="854">
        <f>SUM(Results_Res!Q221,Results_Out!Q221,Results_Ind!Q221,Results_Com!Q221)</f>
        <v>0.10390398694882455</v>
      </c>
      <c r="R221" s="854">
        <f>SUM(Results_Res!R221,Results_Out!R221,Results_Ind!R221,Results_Com!R221)</f>
        <v>0.1027364033134844</v>
      </c>
      <c r="S221" s="854">
        <f>SUM(Results_Res!S221,Results_Out!S221,Results_Ind!S221,Results_Com!S221)</f>
        <v>0.10158400834379726</v>
      </c>
      <c r="T221" s="854">
        <f>SUM(Results_Res!T221,Results_Out!T221,Results_Ind!T221,Results_Com!T221)</f>
        <v>0.10044644019339975</v>
      </c>
      <c r="U221" s="854">
        <f>SUM(Results_Res!U221,Results_Out!U221,Results_Ind!U221,Results_Com!U221)</f>
        <v>9.9323205497070993E-2</v>
      </c>
      <c r="V221" s="854">
        <f>SUM(Results_Res!V221,Results_Out!V221,Results_Ind!V221,Results_Com!V221)</f>
        <v>9.8214149875290327E-2</v>
      </c>
      <c r="W221" s="854">
        <f>SUM(Results_Res!W221,Results_Out!W221,Results_Ind!W221,Results_Com!W221)</f>
        <v>9.7119973322422101E-2</v>
      </c>
      <c r="X221" s="854">
        <f>SUM(Results_Res!X221,Results_Out!X221,Results_Ind!X221,Results_Com!X221)</f>
        <v>9.6038584526829951E-2</v>
      </c>
      <c r="Y221" s="854">
        <f>SUM(Results_Res!Y221,Results_Out!Y221,Results_Ind!Y221,Results_Com!Y221)</f>
        <v>9.496968429328928E-2</v>
      </c>
      <c r="Z221" s="854">
        <f>SUM(Results_Res!Z221,Results_Out!Z221,Results_Ind!Z221,Results_Com!Z221)</f>
        <v>9.3913942579757728E-2</v>
      </c>
      <c r="AA221" s="854">
        <f>SUM(Results_Res!AA221,Results_Out!AA221,Results_Ind!AA221,Results_Com!AA221)</f>
        <v>9.287184070678528E-2</v>
      </c>
      <c r="AB221" s="854">
        <f>SUM(Results_Res!AB221,Results_Out!AB221,Results_Ind!AB221,Results_Com!AB221)</f>
        <v>9.1842952003350728E-2</v>
      </c>
      <c r="AC221" s="854">
        <f>SUM(Results_Res!AC221,Results_Out!AC221,Results_Ind!AC221,Results_Com!AC221)</f>
        <v>9.0826860372635113E-2</v>
      </c>
      <c r="AD221" s="854">
        <f>SUM(Results_Res!AD221,Results_Out!AD221,Results_Ind!AD221,Results_Com!AD221)</f>
        <v>8.9823392890367448E-2</v>
      </c>
      <c r="AE221" s="854">
        <f>SUM(Results_Res!AE221,Results_Out!AE221,Results_Ind!AE221,Results_Com!AE221)</f>
        <v>8.8832379256829644E-2</v>
      </c>
      <c r="AF221" s="854">
        <f>SUM(Results_Res!AF221,Results_Out!AF221,Results_Ind!AF221,Results_Com!AF221)</f>
        <v>8.7853651750990858E-2</v>
      </c>
    </row>
    <row r="222" spans="1:32" s="221" customFormat="1" x14ac:dyDescent="0.25">
      <c r="A222" s="839"/>
      <c r="B222" s="550" t="s">
        <v>52</v>
      </c>
      <c r="C222" s="539"/>
      <c r="D222" s="539"/>
      <c r="E222" s="539"/>
      <c r="F222" s="539"/>
      <c r="G222" s="854">
        <f>SUM(Results_Res!G222,Results_Out!G222,Results_Ind!G222,Results_Com!G222)</f>
        <v>3.8177163943797304E-2</v>
      </c>
      <c r="H222" s="854">
        <f>SUM(Results_Res!H222,Results_Out!H222,Results_Ind!H222,Results_Com!H222)</f>
        <v>3.8008686278964296E-2</v>
      </c>
      <c r="I222" s="854">
        <f>SUM(Results_Res!I222,Results_Out!I222,Results_Ind!I222,Results_Com!I222)</f>
        <v>3.7842064086425056E-2</v>
      </c>
      <c r="J222" s="854">
        <f>SUM(Results_Res!J222,Results_Out!J222,Results_Ind!J222,Results_Com!J222)</f>
        <v>3.7677645321964312E-2</v>
      </c>
      <c r="K222" s="854">
        <f>SUM(Results_Res!K222,Results_Out!K222,Results_Ind!K222,Results_Com!K222)</f>
        <v>3.751562125778056E-2</v>
      </c>
      <c r="L222" s="854">
        <f>SUM(Results_Res!L222,Results_Out!L222,Results_Ind!L222,Results_Com!L222)</f>
        <v>3.7344985010846633E-2</v>
      </c>
      <c r="M222" s="854">
        <f>SUM(Results_Res!M222,Results_Out!M222,Results_Ind!M222,Results_Com!M222)</f>
        <v>3.7171871612427437E-2</v>
      </c>
      <c r="N222" s="854">
        <f>SUM(Results_Res!N222,Results_Out!N222,Results_Ind!N222,Results_Com!N222)</f>
        <v>3.6998419864405427E-2</v>
      </c>
      <c r="O222" s="854">
        <f>SUM(Results_Res!O222,Results_Out!O222,Results_Ind!O222,Results_Com!O222)</f>
        <v>3.6831614726109796E-2</v>
      </c>
      <c r="P222" s="854">
        <f>SUM(Results_Res!P222,Results_Out!P222,Results_Ind!P222,Results_Com!P222)</f>
        <v>3.6670154903112602E-2</v>
      </c>
      <c r="Q222" s="854">
        <f>SUM(Results_Res!Q222,Results_Out!Q222,Results_Ind!Q222,Results_Com!Q222)</f>
        <v>3.6512753814062021E-2</v>
      </c>
      <c r="R222" s="854">
        <f>SUM(Results_Res!R222,Results_Out!R222,Results_Ind!R222,Results_Com!R222)</f>
        <v>3.6359077238261539E-2</v>
      </c>
      <c r="S222" s="854">
        <f>SUM(Results_Res!S222,Results_Out!S222,Results_Ind!S222,Results_Com!S222)</f>
        <v>3.6208541473788769E-2</v>
      </c>
      <c r="T222" s="854">
        <f>SUM(Results_Res!T222,Results_Out!T222,Results_Ind!T222,Results_Com!T222)</f>
        <v>3.6061006037258654E-2</v>
      </c>
      <c r="U222" s="854">
        <f>SUM(Results_Res!U222,Results_Out!U222,Results_Ind!U222,Results_Com!U222)</f>
        <v>3.5915950826073233E-2</v>
      </c>
      <c r="V222" s="854">
        <f>SUM(Results_Res!V222,Results_Out!V222,Results_Ind!V222,Results_Com!V222)</f>
        <v>3.5773600138910483E-2</v>
      </c>
      <c r="W222" s="854">
        <f>SUM(Results_Res!W222,Results_Out!W222,Results_Ind!W222,Results_Com!W222)</f>
        <v>3.5633879167088114E-2</v>
      </c>
      <c r="X222" s="854">
        <f>SUM(Results_Res!X222,Results_Out!X222,Results_Ind!X222,Results_Com!X222)</f>
        <v>3.549602090230624E-2</v>
      </c>
      <c r="Y222" s="854">
        <f>SUM(Results_Res!Y222,Results_Out!Y222,Results_Ind!Y222,Results_Com!Y222)</f>
        <v>3.5360253899015752E-2</v>
      </c>
      <c r="Z222" s="854">
        <f>SUM(Results_Res!Z222,Results_Out!Z222,Results_Ind!Z222,Results_Com!Z222)</f>
        <v>3.5226377196817024E-2</v>
      </c>
      <c r="AA222" s="854">
        <f>SUM(Results_Res!AA222,Results_Out!AA222,Results_Ind!AA222,Results_Com!AA222)</f>
        <v>3.5094449081439598E-2</v>
      </c>
      <c r="AB222" s="854">
        <f>SUM(Results_Res!AB222,Results_Out!AB222,Results_Ind!AB222,Results_Com!AB222)</f>
        <v>3.4964459328472211E-2</v>
      </c>
      <c r="AC222" s="854">
        <f>SUM(Results_Res!AC222,Results_Out!AC222,Results_Ind!AC222,Results_Com!AC222)</f>
        <v>3.4836152801406603E-2</v>
      </c>
      <c r="AD222" s="854">
        <f>SUM(Results_Res!AD222,Results_Out!AD222,Results_Ind!AD222,Results_Com!AD222)</f>
        <v>3.4709529698947965E-2</v>
      </c>
      <c r="AE222" s="854">
        <f>SUM(Results_Res!AE222,Results_Out!AE222,Results_Ind!AE222,Results_Com!AE222)</f>
        <v>3.4584628833075955E-2</v>
      </c>
      <c r="AF222" s="854">
        <f>SUM(Results_Res!AF222,Results_Out!AF222,Results_Ind!AF222,Results_Com!AF222)</f>
        <v>3.4461249172399622E-2</v>
      </c>
    </row>
    <row r="223" spans="1:32" s="221" customFormat="1" x14ac:dyDescent="0.25">
      <c r="A223" s="839"/>
      <c r="B223" s="552" t="s">
        <v>29</v>
      </c>
      <c r="C223" s="539"/>
      <c r="D223" s="539"/>
      <c r="E223" s="539"/>
      <c r="F223" s="539"/>
      <c r="G223" s="854">
        <f>SUM(Results_Res!G223,Results_Out!G223,Results_Ind!G223,Results_Com!G223)</f>
        <v>2.3753789346327449E-4</v>
      </c>
      <c r="H223" s="854">
        <f>SUM(Results_Res!H223,Results_Out!H223,Results_Ind!H223,Results_Com!H223)</f>
        <v>2.1676460087531203E-3</v>
      </c>
      <c r="I223" s="854">
        <f>SUM(Results_Res!I223,Results_Out!I223,Results_Ind!I223,Results_Com!I223)</f>
        <v>4.0644657180455568E-3</v>
      </c>
      <c r="J223" s="854">
        <f>SUM(Results_Res!J223,Results_Out!J223,Results_Ind!J223,Results_Com!J223)</f>
        <v>5.9252760260446735E-3</v>
      </c>
      <c r="K223" s="854">
        <f>SUM(Results_Res!K223,Results_Out!K223,Results_Ind!K223,Results_Com!K223)</f>
        <v>7.7474064397326636E-3</v>
      </c>
      <c r="L223" s="854">
        <f>SUM(Results_Res!L223,Results_Out!L223,Results_Ind!L223,Results_Com!L223)</f>
        <v>9.5451941466181429E-3</v>
      </c>
      <c r="M223" s="854">
        <f>SUM(Results_Res!M223,Results_Out!M223,Results_Ind!M223,Results_Com!M223)</f>
        <v>1.1316342043977497E-2</v>
      </c>
      <c r="N223" s="854">
        <f>SUM(Results_Res!N223,Results_Out!N223,Results_Ind!N223,Results_Com!N223)</f>
        <v>1.3063263100303995E-2</v>
      </c>
      <c r="O223" s="854">
        <f>SUM(Results_Res!O223,Results_Out!O223,Results_Ind!O223,Results_Com!O223)</f>
        <v>1.4789863926809234E-2</v>
      </c>
      <c r="P223" s="854">
        <f>SUM(Results_Res!P223,Results_Out!P223,Results_Ind!P223,Results_Com!P223)</f>
        <v>1.6493077979499532E-2</v>
      </c>
      <c r="Q223" s="854">
        <f>SUM(Results_Res!Q223,Results_Out!Q223,Results_Ind!Q223,Results_Com!Q223)</f>
        <v>1.8174996786841906E-2</v>
      </c>
      <c r="R223" s="854">
        <f>SUM(Results_Res!R223,Results_Out!R223,Results_Ind!R223,Results_Com!R223)</f>
        <v>1.9832777315417074E-2</v>
      </c>
      <c r="S223" s="854">
        <f>SUM(Results_Res!S223,Results_Out!S223,Results_Ind!S223,Results_Com!S223)</f>
        <v>2.1468380071432838E-2</v>
      </c>
      <c r="T223" s="854">
        <f>SUM(Results_Res!T223,Results_Out!T223,Results_Ind!T223,Results_Com!T223)</f>
        <v>2.3082094648620183E-2</v>
      </c>
      <c r="U223" s="854">
        <f>SUM(Results_Res!U223,Results_Out!U223,Results_Ind!U223,Results_Com!U223)</f>
        <v>2.4674624614995332E-2</v>
      </c>
      <c r="V223" s="854">
        <f>SUM(Results_Res!V223,Results_Out!V223,Results_Ind!V223,Results_Com!V223)</f>
        <v>2.6246315287322054E-2</v>
      </c>
      <c r="W223" s="854">
        <f>SUM(Results_Res!W223,Results_Out!W223,Results_Ind!W223,Results_Com!W223)</f>
        <v>2.7796304799377058E-2</v>
      </c>
      <c r="X223" s="854">
        <f>SUM(Results_Res!X223,Results_Out!X223,Results_Ind!X223,Results_Com!X223)</f>
        <v>2.9326725881638899E-2</v>
      </c>
      <c r="Y223" s="854">
        <f>SUM(Results_Res!Y223,Results_Out!Y223,Results_Ind!Y223,Results_Com!Y223)</f>
        <v>3.0837593141859965E-2</v>
      </c>
      <c r="Z223" s="854">
        <f>SUM(Results_Res!Z223,Results_Out!Z223,Results_Ind!Z223,Results_Com!Z223)</f>
        <v>3.2328873810380486E-2</v>
      </c>
      <c r="AA223" s="854">
        <f>SUM(Results_Res!AA223,Results_Out!AA223,Results_Ind!AA223,Results_Com!AA223)</f>
        <v>3.3800611583585084E-2</v>
      </c>
      <c r="AB223" s="854">
        <f>SUM(Results_Res!AB223,Results_Out!AB223,Results_Ind!AB223,Results_Com!AB223)</f>
        <v>3.5253878140629739E-2</v>
      </c>
      <c r="AC223" s="854">
        <f>SUM(Results_Res!AC223,Results_Out!AC223,Results_Ind!AC223,Results_Com!AC223)</f>
        <v>3.6688420672960097E-2</v>
      </c>
      <c r="AD223" s="854">
        <f>SUM(Results_Res!AD223,Results_Out!AD223,Results_Ind!AD223,Results_Com!AD223)</f>
        <v>3.8104470712181572E-2</v>
      </c>
      <c r="AE223" s="854">
        <f>SUM(Results_Res!AE223,Results_Out!AE223,Results_Ind!AE223,Results_Com!AE223)</f>
        <v>3.9502232865552864E-2</v>
      </c>
      <c r="AF223" s="854">
        <f>SUM(Results_Res!AF223,Results_Out!AF223,Results_Ind!AF223,Results_Com!AF223)</f>
        <v>4.0882087845592718E-2</v>
      </c>
    </row>
    <row r="224" spans="1:32" s="221" customFormat="1" x14ac:dyDescent="0.25">
      <c r="A224" s="839"/>
      <c r="B224" s="552" t="s">
        <v>53</v>
      </c>
      <c r="C224" s="539"/>
      <c r="D224" s="539"/>
      <c r="E224" s="539"/>
      <c r="F224" s="539"/>
      <c r="G224" s="854">
        <f>SUM(Results_Res!G224,Results_Out!G224,Results_Ind!G224,Results_Com!G224)</f>
        <v>2.3722578769028865E-4</v>
      </c>
      <c r="H224" s="854">
        <f>SUM(Results_Res!H224,Results_Out!H224,Results_Ind!H224,Results_Com!H224)</f>
        <v>2.3711901542940541E-4</v>
      </c>
      <c r="I224" s="854">
        <f>SUM(Results_Res!I224,Results_Out!I224,Results_Ind!I224,Results_Com!I224)</f>
        <v>2.3701177550879515E-4</v>
      </c>
      <c r="J224" s="854">
        <f>SUM(Results_Res!J224,Results_Out!J224,Results_Ind!J224,Results_Com!J224)</f>
        <v>2.3690447136364828E-4</v>
      </c>
      <c r="K224" s="854">
        <f>SUM(Results_Res!K224,Results_Out!K224,Results_Ind!K224,Results_Com!K224)</f>
        <v>2.3679832542487951E-4</v>
      </c>
      <c r="L224" s="854">
        <f>SUM(Results_Res!L224,Results_Out!L224,Results_Ind!L224,Results_Com!L224)</f>
        <v>2.3669263136369244E-4</v>
      </c>
      <c r="M224" s="854">
        <f>SUM(Results_Res!M224,Results_Out!M224,Results_Ind!M224,Results_Com!M224)</f>
        <v>2.3658756307748919E-4</v>
      </c>
      <c r="N224" s="854">
        <f>SUM(Results_Res!N224,Results_Out!N224,Results_Ind!N224,Results_Com!N224)</f>
        <v>2.3648352362406444E-4</v>
      </c>
      <c r="O224" s="854">
        <f>SUM(Results_Res!O224,Results_Out!O224,Results_Ind!O224,Results_Com!O224)</f>
        <v>2.3638039444342083E-4</v>
      </c>
      <c r="P224" s="854">
        <f>SUM(Results_Res!P224,Results_Out!P224,Results_Ind!P224,Results_Com!P224)</f>
        <v>2.3627805760658495E-4</v>
      </c>
      <c r="Q224" s="854">
        <f>SUM(Results_Res!Q224,Results_Out!Q224,Results_Ind!Q224,Results_Com!Q224)</f>
        <v>2.3617651138791289E-4</v>
      </c>
      <c r="R224" s="854">
        <f>SUM(Results_Res!R224,Results_Out!R224,Results_Ind!R224,Results_Com!R224)</f>
        <v>2.3607602519968296E-4</v>
      </c>
      <c r="S224" s="854">
        <f>SUM(Results_Res!S224,Results_Out!S224,Results_Ind!S224,Results_Com!S224)</f>
        <v>2.3597616320332517E-4</v>
      </c>
      <c r="T224" s="854">
        <f>SUM(Results_Res!T224,Results_Out!T224,Results_Ind!T224,Results_Com!T224)</f>
        <v>2.3587695460214905E-4</v>
      </c>
      <c r="U224" s="854">
        <f>SUM(Results_Res!U224,Results_Out!U224,Results_Ind!U224,Results_Com!U224)</f>
        <v>2.3577842448042915E-4</v>
      </c>
      <c r="V224" s="854">
        <f>SUM(Results_Res!V224,Results_Out!V224,Results_Ind!V224,Results_Com!V224)</f>
        <v>2.356803858065799E-4</v>
      </c>
      <c r="W224" s="854">
        <f>SUM(Results_Res!W224,Results_Out!W224,Results_Ind!W224,Results_Com!W224)</f>
        <v>2.3558300149818014E-4</v>
      </c>
      <c r="X224" s="854">
        <f>SUM(Results_Res!X224,Results_Out!X224,Results_Ind!X224,Results_Com!X224)</f>
        <v>2.3548644215238827E-4</v>
      </c>
      <c r="Y224" s="854">
        <f>SUM(Results_Res!Y224,Results_Out!Y224,Results_Ind!Y224,Results_Com!Y224)</f>
        <v>2.3539078618595657E-4</v>
      </c>
      <c r="Z224" s="854">
        <f>SUM(Results_Res!Z224,Results_Out!Z224,Results_Ind!Z224,Results_Com!Z224)</f>
        <v>2.3529585390764504E-4</v>
      </c>
      <c r="AA224" s="854">
        <f>SUM(Results_Res!AA224,Results_Out!AA224,Results_Ind!AA224,Results_Com!AA224)</f>
        <v>2.35201408883025E-4</v>
      </c>
      <c r="AB224" s="854">
        <f>SUM(Results_Res!AB224,Results_Out!AB224,Results_Ind!AB224,Results_Com!AB224)</f>
        <v>2.3510712436150213E-4</v>
      </c>
      <c r="AC224" s="854">
        <f>SUM(Results_Res!AC224,Results_Out!AC224,Results_Ind!AC224,Results_Com!AC224)</f>
        <v>2.3501347137123025E-4</v>
      </c>
      <c r="AD224" s="854">
        <f>SUM(Results_Res!AD224,Results_Out!AD224,Results_Ind!AD224,Results_Com!AD224)</f>
        <v>2.3492044971143035E-4</v>
      </c>
      <c r="AE224" s="854">
        <f>SUM(Results_Res!AE224,Results_Out!AE224,Results_Ind!AE224,Results_Com!AE224)</f>
        <v>2.3482805918626092E-4</v>
      </c>
      <c r="AF224" s="854">
        <f>SUM(Results_Res!AF224,Results_Out!AF224,Results_Ind!AF224,Results_Com!AF224)</f>
        <v>2.3473629960482249E-4</v>
      </c>
    </row>
    <row r="225" spans="1:32" s="221" customFormat="1" x14ac:dyDescent="0.25">
      <c r="A225" s="838"/>
      <c r="B225" s="539"/>
      <c r="C225" s="539"/>
      <c r="D225" s="539"/>
      <c r="E225" s="539"/>
      <c r="F225" s="539"/>
      <c r="G225" s="539"/>
      <c r="H225" s="539"/>
      <c r="I225" s="539"/>
      <c r="J225" s="539"/>
      <c r="K225" s="539"/>
      <c r="L225" s="539"/>
      <c r="M225" s="539"/>
      <c r="N225" s="539"/>
      <c r="O225" s="539"/>
      <c r="P225" s="539"/>
      <c r="Q225" s="539"/>
      <c r="R225" s="539"/>
      <c r="S225" s="539"/>
      <c r="T225" s="539"/>
      <c r="U225" s="539"/>
      <c r="V225" s="539"/>
      <c r="W225" s="539"/>
      <c r="X225" s="539"/>
      <c r="Y225" s="539"/>
      <c r="Z225" s="539"/>
      <c r="AA225" s="539"/>
      <c r="AB225" s="539"/>
      <c r="AC225" s="539"/>
      <c r="AD225" s="539"/>
      <c r="AE225" s="539"/>
      <c r="AF225" s="539"/>
    </row>
    <row r="226" spans="1:32" s="221" customFormat="1" x14ac:dyDescent="0.25">
      <c r="A226" s="838"/>
      <c r="B226" s="539"/>
      <c r="C226" s="539"/>
      <c r="D226" s="539"/>
      <c r="E226" s="539"/>
      <c r="F226" s="539"/>
      <c r="G226" s="539"/>
      <c r="H226" s="539"/>
      <c r="I226" s="539"/>
      <c r="J226" s="539"/>
      <c r="K226" s="539"/>
      <c r="L226" s="539"/>
      <c r="M226" s="539"/>
      <c r="N226" s="539"/>
      <c r="O226" s="539"/>
      <c r="P226" s="539"/>
      <c r="Q226" s="539"/>
      <c r="R226" s="539"/>
      <c r="S226" s="539"/>
      <c r="T226" s="539"/>
      <c r="U226" s="539"/>
      <c r="V226" s="539"/>
      <c r="W226" s="539"/>
      <c r="X226" s="539"/>
      <c r="Y226" s="539"/>
      <c r="Z226" s="539"/>
      <c r="AA226" s="539"/>
      <c r="AB226" s="539"/>
      <c r="AC226" s="539"/>
      <c r="AD226" s="539"/>
      <c r="AE226" s="539"/>
      <c r="AF226" s="539"/>
    </row>
    <row r="227" spans="1:32" x14ac:dyDescent="0.25">
      <c r="A227" s="860" t="s">
        <v>634</v>
      </c>
      <c r="B227" s="555"/>
      <c r="C227" s="554"/>
      <c r="D227" s="553"/>
      <c r="E227" s="553"/>
      <c r="F227" s="553"/>
      <c r="G227" s="553"/>
      <c r="H227" s="560"/>
      <c r="I227" s="560"/>
      <c r="J227" s="560"/>
      <c r="K227" s="560"/>
      <c r="L227" s="560"/>
      <c r="M227" s="560"/>
      <c r="N227" s="560"/>
      <c r="O227" s="560"/>
      <c r="P227" s="560"/>
      <c r="Q227" s="560"/>
      <c r="R227" s="560"/>
      <c r="S227" s="560"/>
      <c r="T227" s="560"/>
      <c r="U227" s="560"/>
      <c r="V227" s="560"/>
      <c r="W227" s="560"/>
      <c r="X227" s="560"/>
      <c r="Y227" s="560"/>
      <c r="Z227" s="560"/>
      <c r="AA227" s="560"/>
      <c r="AB227" s="560"/>
      <c r="AC227" s="560"/>
      <c r="AD227" s="560"/>
      <c r="AE227" s="560"/>
      <c r="AF227" s="560"/>
    </row>
    <row r="228" spans="1:32" x14ac:dyDescent="0.25">
      <c r="A228" s="840" t="s">
        <v>12</v>
      </c>
      <c r="B228" s="550"/>
    </row>
    <row r="229" spans="1:32" x14ac:dyDescent="0.25">
      <c r="A229" s="839"/>
      <c r="B229" s="550" t="s">
        <v>20</v>
      </c>
    </row>
    <row r="230" spans="1:32" s="202" customFormat="1" ht="12.75" x14ac:dyDescent="0.2">
      <c r="A230" s="843" t="s">
        <v>21</v>
      </c>
      <c r="B230" s="556"/>
      <c r="C230" s="556"/>
      <c r="D230" s="556"/>
      <c r="E230" s="556"/>
      <c r="F230" s="556"/>
      <c r="G230" s="556"/>
      <c r="H230" s="556"/>
      <c r="I230" s="556"/>
      <c r="J230" s="556"/>
      <c r="K230" s="556"/>
      <c r="L230" s="556"/>
      <c r="M230" s="556"/>
      <c r="N230" s="556"/>
      <c r="O230" s="556"/>
      <c r="P230" s="556"/>
      <c r="Q230" s="556"/>
      <c r="R230" s="556"/>
      <c r="S230" s="556"/>
      <c r="T230" s="556"/>
      <c r="U230" s="556"/>
      <c r="V230" s="556"/>
      <c r="W230" s="556"/>
      <c r="X230" s="556"/>
      <c r="Y230" s="556"/>
      <c r="Z230" s="556"/>
      <c r="AA230" s="556"/>
      <c r="AB230" s="556"/>
      <c r="AC230" s="556"/>
      <c r="AD230" s="556"/>
      <c r="AE230" s="556"/>
      <c r="AF230" s="556"/>
    </row>
    <row r="231" spans="1:32" s="221" customFormat="1" x14ac:dyDescent="0.25">
      <c r="A231" s="839"/>
      <c r="B231" s="550" t="s">
        <v>22</v>
      </c>
      <c r="C231" s="539"/>
      <c r="D231" s="539"/>
      <c r="E231" s="539"/>
      <c r="F231" s="539"/>
      <c r="G231" s="854">
        <f>SUM(Results_Res!G231,Results_Out!G231,Results_Ind!G231,Results_Com!G231)</f>
        <v>0.61701824294065788</v>
      </c>
      <c r="H231" s="854">
        <f>SUM(Results_Res!H231,Results_Out!H231,Results_Ind!H231,Results_Com!H231)</f>
        <v>0.54459356132598802</v>
      </c>
      <c r="I231" s="854">
        <f>SUM(Results_Res!I231,Results_Out!I231,Results_Ind!I231,Results_Com!I231)</f>
        <v>0.47371381318868033</v>
      </c>
      <c r="J231" s="854">
        <f>SUM(Results_Res!J231,Results_Out!J231,Results_Ind!J231,Results_Com!J231)</f>
        <v>0.36548328035956917</v>
      </c>
      <c r="K231" s="854">
        <f>SUM(Results_Res!K231,Results_Out!K231,Results_Ind!K231,Results_Com!K231)</f>
        <v>0.27277354008093724</v>
      </c>
      <c r="L231" s="854">
        <f>SUM(Results_Res!L231,Results_Out!L231,Results_Ind!L231,Results_Com!L231)</f>
        <v>0.1938114362461143</v>
      </c>
      <c r="M231" s="854">
        <f>SUM(Results_Res!M231,Results_Out!M231,Results_Ind!M231,Results_Com!M231)</f>
        <v>0.11608430711995478</v>
      </c>
      <c r="N231" s="854">
        <f>SUM(Results_Res!N231,Results_Out!N231,Results_Ind!N231,Results_Com!N231)</f>
        <v>7.7881310157020864E-2</v>
      </c>
      <c r="O231" s="854">
        <f>SUM(Results_Res!O231,Results_Out!O231,Results_Ind!O231,Results_Com!O231)</f>
        <v>5.7977568124134661E-2</v>
      </c>
      <c r="P231" s="854">
        <f>SUM(Results_Res!P231,Results_Out!P231,Results_Ind!P231,Results_Com!P231)</f>
        <v>4.7364115093868696E-2</v>
      </c>
      <c r="Q231" s="854">
        <f>SUM(Results_Res!Q231,Results_Out!Q231,Results_Ind!Q231,Results_Com!Q231)</f>
        <v>4.1556162406915328E-2</v>
      </c>
      <c r="R231" s="854">
        <f>SUM(Results_Res!R231,Results_Out!R231,Results_Ind!R231,Results_Com!R231)</f>
        <v>3.8284124971051624E-2</v>
      </c>
      <c r="S231" s="854">
        <f>SUM(Results_Res!S231,Results_Out!S231,Results_Ind!S231,Results_Com!S231)</f>
        <v>3.6380632374122507E-2</v>
      </c>
      <c r="T231" s="854">
        <f>SUM(Results_Res!T231,Results_Out!T231,Results_Ind!T231,Results_Com!T231)</f>
        <v>3.523774971978514E-2</v>
      </c>
      <c r="U231" s="854">
        <f>SUM(Results_Res!U231,Results_Out!U231,Results_Ind!U231,Results_Com!U231)</f>
        <v>3.452956311957401E-2</v>
      </c>
      <c r="V231" s="854">
        <f>SUM(Results_Res!V231,Results_Out!V231,Results_Ind!V231,Results_Com!V231)</f>
        <v>3.4077430628037579E-2</v>
      </c>
      <c r="W231" s="854">
        <f>SUM(Results_Res!W231,Results_Out!W231,Results_Ind!W231,Results_Com!W231)</f>
        <v>3.3780356577575853E-2</v>
      </c>
      <c r="X231" s="854">
        <f>SUM(Results_Res!X231,Results_Out!X231,Results_Ind!X231,Results_Com!X231)</f>
        <v>3.3579156805076942E-2</v>
      </c>
      <c r="Y231" s="854">
        <f>SUM(Results_Res!Y231,Results_Out!Y231,Results_Ind!Y231,Results_Com!Y231)</f>
        <v>3.3437679779211832E-2</v>
      </c>
      <c r="Z231" s="854">
        <f>SUM(Results_Res!Z231,Results_Out!Z231,Results_Ind!Z231,Results_Com!Z231)</f>
        <v>3.3334274840666339E-2</v>
      </c>
      <c r="AA231" s="854">
        <f>SUM(Results_Res!AA231,Results_Out!AA231,Results_Ind!AA231,Results_Com!AA231)</f>
        <v>3.3256764070150421E-2</v>
      </c>
      <c r="AB231" s="854">
        <f>SUM(Results_Res!AB231,Results_Out!AB231,Results_Ind!AB231,Results_Com!AB231)</f>
        <v>3.3198709526886749E-2</v>
      </c>
      <c r="AC231" s="854">
        <f>SUM(Results_Res!AC231,Results_Out!AC231,Results_Ind!AC231,Results_Com!AC231)</f>
        <v>3.3154185573908368E-2</v>
      </c>
      <c r="AD231" s="854">
        <f>SUM(Results_Res!AD231,Results_Out!AD231,Results_Ind!AD231,Results_Com!AD231)</f>
        <v>3.311782035751655E-2</v>
      </c>
      <c r="AE231" s="854">
        <f>SUM(Results_Res!AE231,Results_Out!AE231,Results_Ind!AE231,Results_Com!AE231)</f>
        <v>3.3086489773477369E-2</v>
      </c>
      <c r="AF231" s="854">
        <f>SUM(Results_Res!AF231,Results_Out!AF231,Results_Ind!AF231,Results_Com!AF231)</f>
        <v>3.3058334693836053E-2</v>
      </c>
    </row>
    <row r="232" spans="1:32" s="221" customFormat="1" x14ac:dyDescent="0.25">
      <c r="A232" s="839"/>
      <c r="B232" s="550" t="s">
        <v>26</v>
      </c>
      <c r="C232" s="539"/>
      <c r="D232" s="539"/>
      <c r="E232" s="539"/>
      <c r="F232" s="539"/>
      <c r="G232" s="854">
        <f>SUM(Results_Res!G232,Results_Out!G232,Results_Ind!G232,Results_Com!G232)</f>
        <v>9.2789807990715147E-3</v>
      </c>
      <c r="H232" s="854">
        <f>SUM(Results_Res!H232,Results_Out!H232,Results_Ind!H232,Results_Com!H232)</f>
        <v>8.4585248231538873E-3</v>
      </c>
      <c r="I232" s="854">
        <f>SUM(Results_Res!I232,Results_Out!I232,Results_Ind!I232,Results_Com!I232)</f>
        <v>2.0682892477955454E-2</v>
      </c>
      <c r="J232" s="854">
        <f>SUM(Results_Res!J232,Results_Out!J232,Results_Ind!J232,Results_Com!J232)</f>
        <v>5.7775162785076391E-2</v>
      </c>
      <c r="K232" s="854">
        <f>SUM(Results_Res!K232,Results_Out!K232,Results_Ind!K232,Results_Com!K232)</f>
        <v>9.4130000578061979E-2</v>
      </c>
      <c r="L232" s="854">
        <f>SUM(Results_Res!L232,Results_Out!L232,Results_Ind!L232,Results_Com!L232)</f>
        <v>0.11653853896286026</v>
      </c>
      <c r="M232" s="854">
        <f>SUM(Results_Res!M232,Results_Out!M232,Results_Ind!M232,Results_Com!M232)</f>
        <v>0.13391684360437695</v>
      </c>
      <c r="N232" s="854">
        <f>SUM(Results_Res!N232,Results_Out!N232,Results_Ind!N232,Results_Com!N232)</f>
        <v>0.13564630085915613</v>
      </c>
      <c r="O232" s="854">
        <f>SUM(Results_Res!O232,Results_Out!O232,Results_Ind!O232,Results_Com!O232)</f>
        <v>0.13225278074036995</v>
      </c>
      <c r="P232" s="854">
        <f>SUM(Results_Res!P232,Results_Out!P232,Results_Ind!P232,Results_Com!P232)</f>
        <v>0.12761995281635291</v>
      </c>
      <c r="Q232" s="854">
        <f>SUM(Results_Res!Q232,Results_Out!Q232,Results_Ind!Q232,Results_Com!Q232)</f>
        <v>0.12329395922025034</v>
      </c>
      <c r="R232" s="854">
        <f>SUM(Results_Res!R232,Results_Out!R232,Results_Ind!R232,Results_Com!R232)</f>
        <v>0.11970934474414559</v>
      </c>
      <c r="S232" s="854">
        <f>SUM(Results_Res!S232,Results_Out!S232,Results_Ind!S232,Results_Com!S232)</f>
        <v>0.11694667026433496</v>
      </c>
      <c r="T232" s="854">
        <f>SUM(Results_Res!T232,Results_Out!T232,Results_Ind!T232,Results_Com!T232)</f>
        <v>0.11487645268105941</v>
      </c>
      <c r="U232" s="854">
        <f>SUM(Results_Res!U232,Results_Out!U232,Results_Ind!U232,Results_Com!U232)</f>
        <v>0.11334319870825726</v>
      </c>
      <c r="V232" s="854">
        <f>SUM(Results_Res!V232,Results_Out!V232,Results_Ind!V232,Results_Com!V232)</f>
        <v>0.11222456886705819</v>
      </c>
      <c r="W232" s="854">
        <f>SUM(Results_Res!W232,Results_Out!W232,Results_Ind!W232,Results_Com!W232)</f>
        <v>0.11138843222082614</v>
      </c>
      <c r="X232" s="854">
        <f>SUM(Results_Res!X232,Results_Out!X232,Results_Ind!X232,Results_Com!X232)</f>
        <v>0.11074509167260345</v>
      </c>
      <c r="Y232" s="854">
        <f>SUM(Results_Res!Y232,Results_Out!Y232,Results_Ind!Y232,Results_Com!Y232)</f>
        <v>0.11022868545852851</v>
      </c>
      <c r="Z232" s="854">
        <f>SUM(Results_Res!Z232,Results_Out!Z232,Results_Ind!Z232,Results_Com!Z232)</f>
        <v>0.10981425850699052</v>
      </c>
      <c r="AA232" s="854">
        <f>SUM(Results_Res!AA232,Results_Out!AA232,Results_Ind!AA232,Results_Com!AA232)</f>
        <v>0.1094903933347785</v>
      </c>
      <c r="AB232" s="854">
        <f>SUM(Results_Res!AB232,Results_Out!AB232,Results_Ind!AB232,Results_Com!AB232)</f>
        <v>0.1092588782718821</v>
      </c>
      <c r="AC232" s="854">
        <f>SUM(Results_Res!AC232,Results_Out!AC232,Results_Ind!AC232,Results_Com!AC232)</f>
        <v>0.10904860152496225</v>
      </c>
      <c r="AD232" s="854">
        <f>SUM(Results_Res!AD232,Results_Out!AD232,Results_Ind!AD232,Results_Com!AD232)</f>
        <v>0.10885320976991801</v>
      </c>
      <c r="AE232" s="854">
        <f>SUM(Results_Res!AE232,Results_Out!AE232,Results_Ind!AE232,Results_Com!AE232)</f>
        <v>0.10866829105894099</v>
      </c>
      <c r="AF232" s="854">
        <f>SUM(Results_Res!AF232,Results_Out!AF232,Results_Ind!AF232,Results_Com!AF232)</f>
        <v>0.10849064789375309</v>
      </c>
    </row>
    <row r="233" spans="1:32" s="221" customFormat="1" x14ac:dyDescent="0.25">
      <c r="A233" s="839"/>
      <c r="B233" s="550" t="s">
        <v>27</v>
      </c>
      <c r="C233" s="539"/>
      <c r="D233" s="539"/>
      <c r="E233" s="539"/>
      <c r="F233" s="539"/>
      <c r="G233" s="854">
        <f>SUM(Results_Res!G233,Results_Out!G233,Results_Ind!G233,Results_Com!G233)</f>
        <v>0.10504665191713025</v>
      </c>
      <c r="H233" s="854">
        <f>SUM(Results_Res!H233,Results_Out!H233,Results_Ind!H233,Results_Com!H233)</f>
        <v>0.12254090278967172</v>
      </c>
      <c r="I233" s="854">
        <f>SUM(Results_Res!I233,Results_Out!I233,Results_Ind!I233,Results_Com!I233)</f>
        <v>0.13617059960747915</v>
      </c>
      <c r="J233" s="854">
        <f>SUM(Results_Res!J233,Results_Out!J233,Results_Ind!J233,Results_Com!J233)</f>
        <v>0.15188453982032346</v>
      </c>
      <c r="K233" s="854">
        <f>SUM(Results_Res!K233,Results_Out!K233,Results_Ind!K233,Results_Com!K233)</f>
        <v>0.16409686316592847</v>
      </c>
      <c r="L233" s="854">
        <f>SUM(Results_Res!L233,Results_Out!L233,Results_Ind!L233,Results_Com!L233)</f>
        <v>0.17690588250658207</v>
      </c>
      <c r="M233" s="854">
        <f>SUM(Results_Res!M233,Results_Out!M233,Results_Ind!M233,Results_Com!M233)</f>
        <v>0.19083283308340124</v>
      </c>
      <c r="N233" s="854">
        <f>SUM(Results_Res!N233,Results_Out!N233,Results_Ind!N233,Results_Com!N233)</f>
        <v>0.19961477705416864</v>
      </c>
      <c r="O233" s="854">
        <f>SUM(Results_Res!O233,Results_Out!O233,Results_Ind!O233,Results_Com!O233)</f>
        <v>0.20539869264965821</v>
      </c>
      <c r="P233" s="854">
        <f>SUM(Results_Res!P233,Results_Out!P233,Results_Ind!P233,Results_Com!P233)</f>
        <v>0.20927418252477561</v>
      </c>
      <c r="Q233" s="854">
        <f>SUM(Results_Res!Q233,Results_Out!Q233,Results_Ind!Q233,Results_Com!Q233)</f>
        <v>0.21189471102827642</v>
      </c>
      <c r="R233" s="854">
        <f>SUM(Results_Res!R233,Results_Out!R233,Results_Ind!R233,Results_Com!R233)</f>
        <v>0.21368942478924471</v>
      </c>
      <c r="S233" s="854">
        <f>SUM(Results_Res!S233,Results_Out!S233,Results_Ind!S233,Results_Com!S233)</f>
        <v>0.21491953401329245</v>
      </c>
      <c r="T233" s="854">
        <f>SUM(Results_Res!T233,Results_Out!T233,Results_Ind!T233,Results_Com!T233)</f>
        <v>0.2157695343352829</v>
      </c>
      <c r="U233" s="854">
        <f>SUM(Results_Res!U233,Results_Out!U233,Results_Ind!U233,Results_Com!U233)</f>
        <v>0.21636266228735851</v>
      </c>
      <c r="V233" s="854">
        <f>SUM(Results_Res!V233,Results_Out!V233,Results_Ind!V233,Results_Com!V233)</f>
        <v>0.21677690074732481</v>
      </c>
      <c r="W233" s="854">
        <f>SUM(Results_Res!W233,Results_Out!W233,Results_Ind!W233,Results_Com!W233)</f>
        <v>0.2170741491841906</v>
      </c>
      <c r="X233" s="854">
        <f>SUM(Results_Res!X233,Results_Out!X233,Results_Ind!X233,Results_Com!X233)</f>
        <v>0.21729422241260196</v>
      </c>
      <c r="Y233" s="854">
        <f>SUM(Results_Res!Y233,Results_Out!Y233,Results_Ind!Y233,Results_Com!Y233)</f>
        <v>0.21746445412515455</v>
      </c>
      <c r="Z233" s="854">
        <f>SUM(Results_Res!Z233,Results_Out!Z233,Results_Ind!Z233,Results_Com!Z233)</f>
        <v>0.21759706768308837</v>
      </c>
      <c r="AA233" s="854">
        <f>SUM(Results_Res!AA233,Results_Out!AA233,Results_Ind!AA233,Results_Com!AA233)</f>
        <v>0.2176981928128342</v>
      </c>
      <c r="AB233" s="854">
        <f>SUM(Results_Res!AB233,Results_Out!AB233,Results_Ind!AB233,Results_Com!AB233)</f>
        <v>0.21776884646625305</v>
      </c>
      <c r="AC233" s="854">
        <f>SUM(Results_Res!AC233,Results_Out!AC233,Results_Ind!AC233,Results_Com!AC233)</f>
        <v>0.21783061379186938</v>
      </c>
      <c r="AD233" s="854">
        <f>SUM(Results_Res!AD233,Results_Out!AD233,Results_Ind!AD233,Results_Com!AD233)</f>
        <v>0.21788655662174483</v>
      </c>
      <c r="AE233" s="854">
        <f>SUM(Results_Res!AE233,Results_Out!AE233,Results_Ind!AE233,Results_Com!AE233)</f>
        <v>0.21793865150493921</v>
      </c>
      <c r="AF233" s="854">
        <f>SUM(Results_Res!AF233,Results_Out!AF233,Results_Ind!AF233,Results_Com!AF233)</f>
        <v>0.21798822771029511</v>
      </c>
    </row>
    <row r="234" spans="1:32" s="221" customFormat="1" x14ac:dyDescent="0.25">
      <c r="A234" s="839"/>
      <c r="B234" s="550" t="s">
        <v>29</v>
      </c>
      <c r="C234" s="539"/>
      <c r="D234" s="539"/>
      <c r="E234" s="539"/>
      <c r="F234" s="539"/>
      <c r="G234" s="854">
        <f>SUM(Results_Res!G234,Results_Out!G234,Results_Ind!G234,Results_Com!G234)</f>
        <v>0</v>
      </c>
      <c r="H234" s="854">
        <f>SUM(Results_Res!H234,Results_Out!H234,Results_Ind!H234,Results_Com!H234)</f>
        <v>5.2017071954325514E-5</v>
      </c>
      <c r="I234" s="854">
        <f>SUM(Results_Res!I234,Results_Out!I234,Results_Ind!I234,Results_Com!I234)</f>
        <v>9.986040573568406E-5</v>
      </c>
      <c r="J234" s="854">
        <f>SUM(Results_Res!J234,Results_Out!J234,Results_Ind!J234,Results_Com!J234)</f>
        <v>1.3027314383534276E-4</v>
      </c>
      <c r="K234" s="854">
        <f>SUM(Results_Res!K234,Results_Out!K234,Results_Ind!K234,Results_Com!K234)</f>
        <v>1.566311269681061E-4</v>
      </c>
      <c r="L234" s="854">
        <f>SUM(Results_Res!L234,Results_Out!L234,Results_Ind!L234,Results_Com!L234)</f>
        <v>1.8232206498553996E-4</v>
      </c>
      <c r="M234" s="854">
        <f>SUM(Results_Res!M234,Results_Out!M234,Results_Ind!M234,Results_Com!M234)</f>
        <v>2.076180116362403E-4</v>
      </c>
      <c r="N234" s="854">
        <f>SUM(Results_Res!N234,Results_Out!N234,Results_Ind!N234,Results_Com!N234)</f>
        <v>2.3002081766695386E-4</v>
      </c>
      <c r="O234" s="854">
        <f>SUM(Results_Res!O234,Results_Out!O234,Results_Ind!O234,Results_Com!O234)</f>
        <v>2.4997213241383055E-4</v>
      </c>
      <c r="P234" s="854">
        <f>SUM(Results_Res!P234,Results_Out!P234,Results_Ind!P234,Results_Com!P234)</f>
        <v>2.6771482615072851E-4</v>
      </c>
      <c r="Q234" s="854">
        <f>SUM(Results_Res!Q234,Results_Out!Q234,Results_Ind!Q234,Results_Com!Q234)</f>
        <v>2.8353840748323363E-4</v>
      </c>
      <c r="R234" s="854">
        <f>SUM(Results_Res!R234,Results_Out!R234,Results_Ind!R234,Results_Com!R234)</f>
        <v>2.9755554560912333E-4</v>
      </c>
      <c r="S234" s="854">
        <f>SUM(Results_Res!S234,Results_Out!S234,Results_Ind!S234,Results_Com!S234)</f>
        <v>3.1007484078382589E-4</v>
      </c>
      <c r="T234" s="854">
        <f>SUM(Results_Res!T234,Results_Out!T234,Results_Ind!T234,Results_Com!T234)</f>
        <v>3.212579117333232E-4</v>
      </c>
      <c r="U234" s="854">
        <f>SUM(Results_Res!U234,Results_Out!U234,Results_Ind!U234,Results_Com!U234)</f>
        <v>3.312500180062864E-4</v>
      </c>
      <c r="V234" s="854">
        <f>SUM(Results_Res!V234,Results_Out!V234,Results_Ind!V234,Results_Com!V234)</f>
        <v>3.4020967395637721E-4</v>
      </c>
      <c r="W234" s="854">
        <f>SUM(Results_Res!W234,Results_Out!W234,Results_Ind!W234,Results_Com!W234)</f>
        <v>3.4819979024253172E-4</v>
      </c>
      <c r="X234" s="854">
        <f>SUM(Results_Res!X234,Results_Out!X234,Results_Ind!X234,Results_Com!X234)</f>
        <v>3.5533046423973417E-4</v>
      </c>
      <c r="Y234" s="854">
        <f>SUM(Results_Res!Y234,Results_Out!Y234,Results_Ind!Y234,Results_Com!Y234)</f>
        <v>3.6167900969705951E-4</v>
      </c>
      <c r="Z234" s="854">
        <f>SUM(Results_Res!Z234,Results_Out!Z234,Results_Ind!Z234,Results_Com!Z234)</f>
        <v>3.6733610861456077E-4</v>
      </c>
      <c r="AA234" s="854">
        <f>SUM(Results_Res!AA234,Results_Out!AA234,Results_Ind!AA234,Results_Com!AA234)</f>
        <v>3.7239449548513004E-4</v>
      </c>
      <c r="AB234" s="854">
        <f>SUM(Results_Res!AB234,Results_Out!AB234,Results_Ind!AB234,Results_Com!AB234)</f>
        <v>3.7696700783146863E-4</v>
      </c>
      <c r="AC234" s="854">
        <f>SUM(Results_Res!AC234,Results_Out!AC234,Results_Ind!AC234,Results_Com!AC234)</f>
        <v>3.8103704505555486E-4</v>
      </c>
      <c r="AD234" s="854">
        <f>SUM(Results_Res!AD234,Results_Out!AD234,Results_Ind!AD234,Results_Com!AD234)</f>
        <v>3.8465386842412611E-4</v>
      </c>
      <c r="AE234" s="854">
        <f>SUM(Results_Res!AE234,Results_Out!AE234,Results_Ind!AE234,Results_Com!AE234)</f>
        <v>3.8786155143550591E-4</v>
      </c>
      <c r="AF234" s="854">
        <f>SUM(Results_Res!AF234,Results_Out!AF234,Results_Ind!AF234,Results_Com!AF234)</f>
        <v>3.9069956604324705E-4</v>
      </c>
    </row>
    <row r="235" spans="1:32" s="221" customFormat="1" x14ac:dyDescent="0.25">
      <c r="A235" s="839"/>
      <c r="B235" s="550"/>
      <c r="C235" s="539"/>
      <c r="D235" s="539"/>
      <c r="E235" s="539"/>
      <c r="F235" s="539"/>
      <c r="G235" s="549"/>
      <c r="H235" s="549"/>
      <c r="I235" s="549"/>
      <c r="J235" s="549"/>
      <c r="K235" s="549"/>
      <c r="L235" s="549"/>
      <c r="M235" s="549"/>
      <c r="N235" s="549"/>
      <c r="O235" s="549"/>
      <c r="P235" s="549"/>
      <c r="Q235" s="549"/>
      <c r="R235" s="549"/>
      <c r="S235" s="549"/>
      <c r="T235" s="549"/>
      <c r="U235" s="549"/>
      <c r="V235" s="549"/>
      <c r="W235" s="549"/>
      <c r="X235" s="549"/>
      <c r="Y235" s="549"/>
      <c r="Z235" s="549"/>
      <c r="AA235" s="549"/>
      <c r="AB235" s="549"/>
      <c r="AC235" s="549"/>
      <c r="AD235" s="549"/>
      <c r="AE235" s="549"/>
      <c r="AF235" s="549"/>
    </row>
    <row r="236" spans="1:32" s="202" customFormat="1" ht="12.75" x14ac:dyDescent="0.2">
      <c r="A236" s="843" t="s">
        <v>32</v>
      </c>
      <c r="B236" s="556"/>
      <c r="C236" s="556"/>
      <c r="D236" s="556"/>
      <c r="E236" s="556"/>
      <c r="F236" s="556"/>
      <c r="G236" s="632"/>
      <c r="H236" s="632"/>
      <c r="I236" s="632"/>
      <c r="J236" s="632"/>
      <c r="K236" s="632"/>
      <c r="L236" s="632"/>
      <c r="M236" s="632"/>
      <c r="N236" s="632"/>
      <c r="O236" s="632"/>
      <c r="P236" s="632"/>
      <c r="Q236" s="632"/>
      <c r="R236" s="632"/>
      <c r="S236" s="632"/>
      <c r="T236" s="632"/>
      <c r="U236" s="632"/>
      <c r="V236" s="632"/>
      <c r="W236" s="632"/>
      <c r="X236" s="632"/>
      <c r="Y236" s="632"/>
      <c r="Z236" s="632"/>
      <c r="AA236" s="632"/>
      <c r="AB236" s="632"/>
      <c r="AC236" s="632"/>
      <c r="AD236" s="632"/>
      <c r="AE236" s="632"/>
      <c r="AF236" s="632"/>
    </row>
    <row r="237" spans="1:32" s="221" customFormat="1" x14ac:dyDescent="0.25">
      <c r="A237" s="839"/>
      <c r="B237" s="550" t="s">
        <v>33</v>
      </c>
      <c r="C237" s="539"/>
      <c r="D237" s="539"/>
      <c r="E237" s="539"/>
      <c r="F237" s="539"/>
      <c r="G237" s="854">
        <f>SUM(Results_Res!G237,Results_Out!G237,Results_Ind!G237,Results_Com!G237)</f>
        <v>0.15949475162681762</v>
      </c>
      <c r="H237" s="854">
        <f>SUM(Results_Res!H237,Results_Out!H237,Results_Ind!H237,Results_Com!H237)</f>
        <v>0.13527897277722525</v>
      </c>
      <c r="I237" s="854">
        <f>SUM(Results_Res!I237,Results_Out!I237,Results_Ind!I237,Results_Com!I237)</f>
        <v>0.12564925434583771</v>
      </c>
      <c r="J237" s="854">
        <f>SUM(Results_Res!J237,Results_Out!J237,Results_Ind!J237,Results_Com!J237)</f>
        <v>0.12069828569277408</v>
      </c>
      <c r="K237" s="854">
        <f>SUM(Results_Res!K237,Results_Out!K237,Results_Ind!K237,Results_Com!K237)</f>
        <v>0.11931098468445588</v>
      </c>
      <c r="L237" s="854">
        <f>SUM(Results_Res!L237,Results_Out!L237,Results_Ind!L237,Results_Com!L237)</f>
        <v>0.11715289979330014</v>
      </c>
      <c r="M237" s="854">
        <f>SUM(Results_Res!M237,Results_Out!M237,Results_Ind!M237,Results_Com!M237)</f>
        <v>0.11559010958761273</v>
      </c>
      <c r="N237" s="854">
        <f>SUM(Results_Res!N237,Results_Out!N237,Results_Ind!N237,Results_Com!N237)</f>
        <v>0.11444883627586935</v>
      </c>
      <c r="O237" s="854">
        <f>SUM(Results_Res!O237,Results_Out!O237,Results_Ind!O237,Results_Com!O237)</f>
        <v>0.11360743663805126</v>
      </c>
      <c r="P237" s="854">
        <f>SUM(Results_Res!P237,Results_Out!P237,Results_Ind!P237,Results_Com!P237)</f>
        <v>0.1129925987729883</v>
      </c>
      <c r="Q237" s="854">
        <f>SUM(Results_Res!Q237,Results_Out!Q237,Results_Ind!Q237,Results_Com!Q237)</f>
        <v>0.1125315921658788</v>
      </c>
      <c r="R237" s="854">
        <f>SUM(Results_Res!R237,Results_Out!R237,Results_Ind!R237,Results_Com!R237)</f>
        <v>0.11219458156770548</v>
      </c>
      <c r="S237" s="854">
        <f>SUM(Results_Res!S237,Results_Out!S237,Results_Ind!S237,Results_Com!S237)</f>
        <v>0.11193627937123701</v>
      </c>
      <c r="T237" s="854">
        <f>SUM(Results_Res!T237,Results_Out!T237,Results_Ind!T237,Results_Com!T237)</f>
        <v>0.11173841447833949</v>
      </c>
      <c r="U237" s="854">
        <f>SUM(Results_Res!U237,Results_Out!U237,Results_Ind!U237,Results_Com!U237)</f>
        <v>0.11158601029983346</v>
      </c>
      <c r="V237" s="854">
        <f>SUM(Results_Res!V237,Results_Out!V237,Results_Ind!V237,Results_Com!V237)</f>
        <v>0.11146628143705105</v>
      </c>
      <c r="W237" s="854">
        <f>SUM(Results_Res!W237,Results_Out!W237,Results_Ind!W237,Results_Com!W237)</f>
        <v>0.11137520995207036</v>
      </c>
      <c r="X237" s="854">
        <f>SUM(Results_Res!X237,Results_Out!X237,Results_Ind!X237,Results_Com!X237)</f>
        <v>0.11130292731804169</v>
      </c>
      <c r="Y237" s="854">
        <f>SUM(Results_Res!Y237,Results_Out!Y237,Results_Ind!Y237,Results_Com!Y237)</f>
        <v>0.11124992651380627</v>
      </c>
      <c r="Z237" s="854">
        <f>SUM(Results_Res!Z237,Results_Out!Z237,Results_Ind!Z237,Results_Com!Z237)</f>
        <v>0.11121110308691613</v>
      </c>
      <c r="AA237" s="854">
        <f>SUM(Results_Res!AA237,Results_Out!AA237,Results_Ind!AA237,Results_Com!AA237)</f>
        <v>0.11117986861091836</v>
      </c>
      <c r="AB237" s="854">
        <f>SUM(Results_Res!AB237,Results_Out!AB237,Results_Ind!AB237,Results_Com!AB237)</f>
        <v>0.11114923811826888</v>
      </c>
      <c r="AC237" s="854">
        <f>SUM(Results_Res!AC237,Results_Out!AC237,Results_Ind!AC237,Results_Com!AC237)</f>
        <v>0.11112600793101328</v>
      </c>
      <c r="AD237" s="854">
        <f>SUM(Results_Res!AD237,Results_Out!AD237,Results_Ind!AD237,Results_Com!AD237)</f>
        <v>0.11110924727483361</v>
      </c>
      <c r="AE237" s="854">
        <f>SUM(Results_Res!AE237,Results_Out!AE237,Results_Ind!AE237,Results_Com!AE237)</f>
        <v>0.1110976303983043</v>
      </c>
      <c r="AF237" s="854">
        <f>SUM(Results_Res!AF237,Results_Out!AF237,Results_Ind!AF237,Results_Com!AF237)</f>
        <v>0.11109015234321801</v>
      </c>
    </row>
    <row r="238" spans="1:32" s="221" customFormat="1" x14ac:dyDescent="0.25">
      <c r="A238" s="842"/>
      <c r="B238" s="552" t="s">
        <v>34</v>
      </c>
      <c r="C238" s="539"/>
      <c r="D238" s="539"/>
      <c r="E238" s="539"/>
      <c r="F238" s="539"/>
      <c r="G238" s="854">
        <f>SUM(Results_Res!G238,Results_Out!G238,Results_Ind!G238,Results_Com!G238)</f>
        <v>0.10082906794696778</v>
      </c>
      <c r="H238" s="854">
        <f>SUM(Results_Res!H238,Results_Out!H238,Results_Ind!H238,Results_Com!H238)</f>
        <v>0.12193716929121833</v>
      </c>
      <c r="I238" s="854">
        <f>SUM(Results_Res!I238,Results_Out!I238,Results_Ind!I238,Results_Com!I238)</f>
        <v>0.12532098236849296</v>
      </c>
      <c r="J238" s="854">
        <f>SUM(Results_Res!J238,Results_Out!J238,Results_Ind!J238,Results_Com!J238)</f>
        <v>0.12286292451702525</v>
      </c>
      <c r="K238" s="854">
        <f>SUM(Results_Res!K238,Results_Out!K238,Results_Ind!K238,Results_Com!K238)</f>
        <v>0.11776402581755803</v>
      </c>
      <c r="L238" s="854">
        <f>SUM(Results_Res!L238,Results_Out!L238,Results_Ind!L238,Results_Com!L238)</f>
        <v>0.1156634059844783</v>
      </c>
      <c r="M238" s="854">
        <f>SUM(Results_Res!M238,Results_Out!M238,Results_Ind!M238,Results_Com!M238)</f>
        <v>0.1148759802590521</v>
      </c>
      <c r="N238" s="854">
        <f>SUM(Results_Res!N238,Results_Out!N238,Results_Ind!N238,Results_Com!N238)</f>
        <v>0.11220237648974421</v>
      </c>
      <c r="O238" s="854">
        <f>SUM(Results_Res!O238,Results_Out!O238,Results_Ind!O238,Results_Com!O238)</f>
        <v>0.11050587064633556</v>
      </c>
      <c r="P238" s="854">
        <f>SUM(Results_Res!P238,Results_Out!P238,Results_Ind!P238,Results_Com!P238)</f>
        <v>0.10968481003089835</v>
      </c>
      <c r="Q238" s="854">
        <f>SUM(Results_Res!Q238,Results_Out!Q238,Results_Ind!Q238,Results_Com!Q238)</f>
        <v>0.10967279798563219</v>
      </c>
      <c r="R238" s="854">
        <f>SUM(Results_Res!R238,Results_Out!R238,Results_Ind!R238,Results_Com!R238)</f>
        <v>0.10961982762084399</v>
      </c>
      <c r="S238" s="854">
        <f>SUM(Results_Res!S238,Results_Out!S238,Results_Ind!S238,Results_Com!S238)</f>
        <v>0.1095521490276514</v>
      </c>
      <c r="T238" s="854">
        <f>SUM(Results_Res!T238,Results_Out!T238,Results_Ind!T238,Results_Com!T238)</f>
        <v>0.10947620264623373</v>
      </c>
      <c r="U238" s="854">
        <f>SUM(Results_Res!U238,Results_Out!U238,Results_Ind!U238,Results_Com!U238)</f>
        <v>0.10939726347509345</v>
      </c>
      <c r="V238" s="854">
        <f>SUM(Results_Res!V238,Results_Out!V238,Results_Ind!V238,Results_Com!V238)</f>
        <v>0.10931977098277511</v>
      </c>
      <c r="W238" s="854">
        <f>SUM(Results_Res!W238,Results_Out!W238,Results_Ind!W238,Results_Com!W238)</f>
        <v>0.10924026817789827</v>
      </c>
      <c r="X238" s="854">
        <f>SUM(Results_Res!X238,Results_Out!X238,Results_Ind!X238,Results_Com!X238)</f>
        <v>0.10916670147256907</v>
      </c>
      <c r="Y238" s="854">
        <f>SUM(Results_Res!Y238,Results_Out!Y238,Results_Ind!Y238,Results_Com!Y238)</f>
        <v>0.10909510915650869</v>
      </c>
      <c r="Z238" s="854">
        <f>SUM(Results_Res!Z238,Results_Out!Z238,Results_Ind!Z238,Results_Com!Z238)</f>
        <v>0.10902461612564071</v>
      </c>
      <c r="AA238" s="854">
        <f>SUM(Results_Res!AA238,Results_Out!AA238,Results_Ind!AA238,Results_Com!AA238)</f>
        <v>0.10895751049168362</v>
      </c>
      <c r="AB238" s="854">
        <f>SUM(Results_Res!AB238,Results_Out!AB238,Results_Ind!AB238,Results_Com!AB238)</f>
        <v>0.10889957049478038</v>
      </c>
      <c r="AC238" s="854">
        <f>SUM(Results_Res!AC238,Results_Out!AC238,Results_Ind!AC238,Results_Com!AC238)</f>
        <v>0.10884413551818049</v>
      </c>
      <c r="AD238" s="854">
        <f>SUM(Results_Res!AD238,Results_Out!AD238,Results_Ind!AD238,Results_Com!AD238)</f>
        <v>0.10879065192355591</v>
      </c>
      <c r="AE238" s="854">
        <f>SUM(Results_Res!AE238,Results_Out!AE238,Results_Ind!AE238,Results_Com!AE238)</f>
        <v>0.10873901401568441</v>
      </c>
      <c r="AF238" s="854">
        <f>SUM(Results_Res!AF238,Results_Out!AF238,Results_Ind!AF238,Results_Com!AF238)</f>
        <v>0.1086890875292135</v>
      </c>
    </row>
    <row r="239" spans="1:32" s="221" customFormat="1" x14ac:dyDescent="0.25">
      <c r="A239" s="839"/>
      <c r="B239" s="552" t="s">
        <v>35</v>
      </c>
      <c r="C239" s="539"/>
      <c r="D239" s="539"/>
      <c r="E239" s="539"/>
      <c r="F239" s="539"/>
      <c r="G239" s="854">
        <f>SUM(Results_Res!G239,Results_Out!G239,Results_Ind!G239,Results_Com!G239)</f>
        <v>1.8780581589194142E-2</v>
      </c>
      <c r="H239" s="854">
        <f>SUM(Results_Res!H239,Results_Out!H239,Results_Ind!H239,Results_Com!H239)</f>
        <v>1.7556946776812049E-2</v>
      </c>
      <c r="I239" s="854">
        <f>SUM(Results_Res!I239,Results_Out!I239,Results_Ind!I239,Results_Com!I239)</f>
        <v>1.7109178013309738E-2</v>
      </c>
      <c r="J239" s="854">
        <f>SUM(Results_Res!J239,Results_Out!J239,Results_Ind!J239,Results_Com!J239)</f>
        <v>1.7116252288126764E-2</v>
      </c>
      <c r="K239" s="854">
        <f>SUM(Results_Res!K239,Results_Out!K239,Results_Ind!K239,Results_Com!K239)</f>
        <v>1.7407535052124237E-2</v>
      </c>
      <c r="L239" s="854">
        <f>SUM(Results_Res!L239,Results_Out!L239,Results_Ind!L239,Results_Com!L239)</f>
        <v>1.7645382195910195E-2</v>
      </c>
      <c r="M239" s="854">
        <f>SUM(Results_Res!M239,Results_Out!M239,Results_Ind!M239,Results_Com!M239)</f>
        <v>1.7845308077431059E-2</v>
      </c>
      <c r="N239" s="854">
        <f>SUM(Results_Res!N239,Results_Out!N239,Results_Ind!N239,Results_Com!N239)</f>
        <v>1.8013116889485689E-2</v>
      </c>
      <c r="O239" s="854">
        <f>SUM(Results_Res!O239,Results_Out!O239,Results_Ind!O239,Results_Com!O239)</f>
        <v>1.8152543824478229E-2</v>
      </c>
      <c r="P239" s="854">
        <f>SUM(Results_Res!P239,Results_Out!P239,Results_Ind!P239,Results_Com!P239)</f>
        <v>1.8272976296817803E-2</v>
      </c>
      <c r="Q239" s="854">
        <f>SUM(Results_Res!Q239,Results_Out!Q239,Results_Ind!Q239,Results_Com!Q239)</f>
        <v>1.8375641242573196E-2</v>
      </c>
      <c r="R239" s="854">
        <f>SUM(Results_Res!R239,Results_Out!R239,Results_Ind!R239,Results_Com!R239)</f>
        <v>1.8466556076270558E-2</v>
      </c>
      <c r="S239" s="854">
        <f>SUM(Results_Res!S239,Results_Out!S239,Results_Ind!S239,Results_Com!S239)</f>
        <v>1.8545620482949089E-2</v>
      </c>
      <c r="T239" s="854">
        <f>SUM(Results_Res!T239,Results_Out!T239,Results_Ind!T239,Results_Com!T239)</f>
        <v>1.8614461170502979E-2</v>
      </c>
      <c r="U239" s="854">
        <f>SUM(Results_Res!U239,Results_Out!U239,Results_Ind!U239,Results_Com!U239)</f>
        <v>1.8674399952384763E-2</v>
      </c>
      <c r="V239" s="854">
        <f>SUM(Results_Res!V239,Results_Out!V239,Results_Ind!V239,Results_Com!V239)</f>
        <v>1.8726583876680448E-2</v>
      </c>
      <c r="W239" s="854">
        <f>SUM(Results_Res!W239,Results_Out!W239,Results_Ind!W239,Results_Com!W239)</f>
        <v>1.8773332673507698E-2</v>
      </c>
      <c r="X239" s="854">
        <f>SUM(Results_Res!X239,Results_Out!X239,Results_Ind!X239,Results_Com!X239)</f>
        <v>1.88136686725623E-2</v>
      </c>
      <c r="Y239" s="854">
        <f>SUM(Results_Res!Y239,Results_Out!Y239,Results_Ind!Y239,Results_Com!Y239)</f>
        <v>1.8849049703345978E-2</v>
      </c>
      <c r="Z239" s="854">
        <f>SUM(Results_Res!Z239,Results_Out!Z239,Results_Ind!Z239,Results_Com!Z239)</f>
        <v>1.8881005733644079E-2</v>
      </c>
      <c r="AA239" s="854">
        <f>SUM(Results_Res!AA239,Results_Out!AA239,Results_Ind!AA239,Results_Com!AA239)</f>
        <v>1.8910128428773973E-2</v>
      </c>
      <c r="AB239" s="854">
        <f>SUM(Results_Res!AB239,Results_Out!AB239,Results_Ind!AB239,Results_Com!AB239)</f>
        <v>1.8935671664142038E-2</v>
      </c>
      <c r="AC239" s="854">
        <f>SUM(Results_Res!AC239,Results_Out!AC239,Results_Ind!AC239,Results_Com!AC239)</f>
        <v>1.8958719376535985E-2</v>
      </c>
      <c r="AD239" s="854">
        <f>SUM(Results_Res!AD239,Results_Out!AD239,Results_Ind!AD239,Results_Com!AD239)</f>
        <v>1.8979693018917797E-2</v>
      </c>
      <c r="AE239" s="854">
        <f>SUM(Results_Res!AE239,Results_Out!AE239,Results_Ind!AE239,Results_Com!AE239)</f>
        <v>1.8998926576589657E-2</v>
      </c>
      <c r="AF239" s="854">
        <f>SUM(Results_Res!AF239,Results_Out!AF239,Results_Ind!AF239,Results_Com!AF239)</f>
        <v>1.9016692318282891E-2</v>
      </c>
    </row>
    <row r="240" spans="1:32" s="221" customFormat="1" x14ac:dyDescent="0.25">
      <c r="A240" s="839"/>
      <c r="B240" s="552" t="s">
        <v>29</v>
      </c>
      <c r="C240" s="539"/>
      <c r="D240" s="539"/>
      <c r="E240" s="539"/>
      <c r="F240" s="539"/>
      <c r="G240" s="854">
        <f>SUM(Results_Res!G240,Results_Out!G240,Results_Ind!G240,Results_Com!G240)</f>
        <v>0</v>
      </c>
      <c r="H240" s="854">
        <f>SUM(Results_Res!H240,Results_Out!H240,Results_Ind!H240,Results_Com!H240)</f>
        <v>3.147232132832472E-5</v>
      </c>
      <c r="I240" s="854">
        <f>SUM(Results_Res!I240,Results_Out!I240,Results_Ind!I240,Results_Com!I240)</f>
        <v>5.8838062730392558E-5</v>
      </c>
      <c r="J240" s="854">
        <f>SUM(Results_Res!J240,Results_Out!J240,Results_Ind!J240,Results_Com!J240)</f>
        <v>8.2804664980149804E-5</v>
      </c>
      <c r="K240" s="854">
        <f>SUM(Results_Res!K240,Results_Out!K240,Results_Ind!K240,Results_Com!K240)</f>
        <v>1.0387553665851796E-4</v>
      </c>
      <c r="L240" s="854">
        <f>SUM(Results_Res!L240,Results_Out!L240,Results_Ind!L240,Results_Com!L240)</f>
        <v>1.2213457938478459E-4</v>
      </c>
      <c r="M240" s="854">
        <f>SUM(Results_Res!M240,Results_Out!M240,Results_Ind!M240,Results_Com!M240)</f>
        <v>1.3792522986758824E-4</v>
      </c>
      <c r="N240" s="854">
        <f>SUM(Results_Res!N240,Results_Out!N240,Results_Ind!N240,Results_Com!N240)</f>
        <v>1.5166127830839861E-4</v>
      </c>
      <c r="O240" s="854">
        <f>SUM(Results_Res!O240,Results_Out!O240,Results_Ind!O240,Results_Com!O240)</f>
        <v>1.6375728533978072E-4</v>
      </c>
      <c r="P240" s="854">
        <f>SUM(Results_Res!P240,Results_Out!P240,Results_Ind!P240,Results_Com!P240)</f>
        <v>1.7434563642778584E-4</v>
      </c>
      <c r="Q240" s="854">
        <f>SUM(Results_Res!Q240,Results_Out!Q240,Results_Ind!Q240,Results_Com!Q240)</f>
        <v>1.8368769624541967E-4</v>
      </c>
      <c r="R240" s="854">
        <f>SUM(Results_Res!R240,Results_Out!R240,Results_Ind!R240,Results_Com!R240)</f>
        <v>1.9184379746716083E-4</v>
      </c>
      <c r="S240" s="854">
        <f>SUM(Results_Res!S240,Results_Out!S240,Results_Ind!S240,Results_Com!S240)</f>
        <v>1.9904132014095461E-4</v>
      </c>
      <c r="T240" s="854">
        <f>SUM(Results_Res!T240,Results_Out!T240,Results_Ind!T240,Results_Com!T240)</f>
        <v>2.0540487963758227E-4</v>
      </c>
      <c r="U240" s="854">
        <f>SUM(Results_Res!U240,Results_Out!U240,Results_Ind!U240,Results_Com!U240)</f>
        <v>2.1104428703226587E-4</v>
      </c>
      <c r="V240" s="854">
        <f>SUM(Results_Res!V240,Results_Out!V240,Results_Ind!V240,Results_Com!V240)</f>
        <v>2.160625077652734E-4</v>
      </c>
      <c r="W240" s="854">
        <f>SUM(Results_Res!W240,Results_Out!W240,Results_Ind!W240,Results_Com!W240)</f>
        <v>2.2049187022380693E-4</v>
      </c>
      <c r="X240" s="854">
        <f>SUM(Results_Res!X240,Results_Out!X240,Results_Ind!X240,Results_Com!X240)</f>
        <v>2.2444320958529875E-4</v>
      </c>
      <c r="Y240" s="854">
        <f>SUM(Results_Res!Y240,Results_Out!Y240,Results_Ind!Y240,Results_Com!Y240)</f>
        <v>2.2796487910494632E-4</v>
      </c>
      <c r="Z240" s="854">
        <f>SUM(Results_Res!Z240,Results_Out!Z240,Results_Ind!Z240,Results_Com!Z240)</f>
        <v>2.3109136564355292E-4</v>
      </c>
      <c r="AA240" s="854">
        <f>SUM(Results_Res!AA240,Results_Out!AA240,Results_Ind!AA240,Results_Com!AA240)</f>
        <v>2.3386423976004685E-4</v>
      </c>
      <c r="AB240" s="854">
        <f>SUM(Results_Res!AB240,Results_Out!AB240,Results_Ind!AB240,Results_Com!AB240)</f>
        <v>2.3635489416031568E-4</v>
      </c>
      <c r="AC240" s="854">
        <f>SUM(Results_Res!AC240,Results_Out!AC240,Results_Ind!AC240,Results_Com!AC240)</f>
        <v>2.3856510669802264E-4</v>
      </c>
      <c r="AD240" s="854">
        <f>SUM(Results_Res!AD240,Results_Out!AD240,Results_Ind!AD240,Results_Com!AD240)</f>
        <v>2.4052373141065798E-4</v>
      </c>
      <c r="AE240" s="854">
        <f>SUM(Results_Res!AE240,Results_Out!AE240,Results_Ind!AE240,Results_Com!AE240)</f>
        <v>2.4225628770504731E-4</v>
      </c>
      <c r="AF240" s="854">
        <f>SUM(Results_Res!AF240,Results_Out!AF240,Results_Ind!AF240,Results_Com!AF240)</f>
        <v>2.4378540126015975E-4</v>
      </c>
    </row>
    <row r="241" spans="1:32" s="221" customFormat="1" x14ac:dyDescent="0.25">
      <c r="A241" s="839"/>
      <c r="B241" s="550"/>
      <c r="C241" s="539"/>
      <c r="D241" s="539"/>
      <c r="E241" s="539"/>
      <c r="F241" s="539"/>
      <c r="G241" s="549"/>
      <c r="H241" s="549"/>
      <c r="I241" s="549"/>
      <c r="J241" s="549"/>
      <c r="K241" s="549"/>
      <c r="L241" s="549"/>
      <c r="M241" s="549"/>
      <c r="N241" s="549"/>
      <c r="O241" s="549"/>
      <c r="P241" s="549"/>
      <c r="Q241" s="549"/>
      <c r="R241" s="549"/>
      <c r="S241" s="549"/>
      <c r="T241" s="549"/>
      <c r="U241" s="549"/>
      <c r="V241" s="549"/>
      <c r="W241" s="549"/>
      <c r="X241" s="549"/>
      <c r="Y241" s="549"/>
      <c r="Z241" s="549"/>
      <c r="AA241" s="549"/>
      <c r="AB241" s="549"/>
      <c r="AC241" s="549"/>
      <c r="AD241" s="549"/>
      <c r="AE241" s="549"/>
      <c r="AF241" s="549"/>
    </row>
    <row r="242" spans="1:32" s="202" customFormat="1" ht="12.75" x14ac:dyDescent="0.2">
      <c r="A242" s="843" t="s">
        <v>36</v>
      </c>
      <c r="B242" s="556"/>
      <c r="C242" s="556"/>
      <c r="D242" s="556"/>
      <c r="E242" s="556"/>
      <c r="F242" s="556"/>
      <c r="G242" s="632"/>
      <c r="H242" s="632"/>
      <c r="I242" s="632"/>
      <c r="J242" s="632"/>
      <c r="K242" s="632"/>
      <c r="L242" s="632"/>
      <c r="M242" s="632"/>
      <c r="N242" s="632"/>
      <c r="O242" s="632"/>
      <c r="P242" s="632"/>
      <c r="Q242" s="632"/>
      <c r="R242" s="632"/>
      <c r="S242" s="632"/>
      <c r="T242" s="632"/>
      <c r="U242" s="632"/>
      <c r="V242" s="632"/>
      <c r="W242" s="632"/>
      <c r="X242" s="632"/>
      <c r="Y242" s="632"/>
      <c r="Z242" s="632"/>
      <c r="AA242" s="632"/>
      <c r="AB242" s="632"/>
      <c r="AC242" s="632"/>
      <c r="AD242" s="632"/>
      <c r="AE242" s="632"/>
      <c r="AF242" s="632"/>
    </row>
    <row r="243" spans="1:32" s="221" customFormat="1" x14ac:dyDescent="0.25">
      <c r="A243" s="839"/>
      <c r="B243" s="550" t="s">
        <v>37</v>
      </c>
      <c r="C243" s="539"/>
      <c r="D243" s="539"/>
      <c r="E243" s="539"/>
      <c r="F243" s="201"/>
      <c r="G243" s="854">
        <f>SUM(Results_Res!G243,Results_Out!G243,Results_Ind!G243,Results_Com!G243)</f>
        <v>0.48326605494943126</v>
      </c>
      <c r="H243" s="854">
        <f>SUM(Results_Res!H243,Results_Out!H243,Results_Ind!H243,Results_Com!H243)</f>
        <v>0.42178397022036701</v>
      </c>
      <c r="I243" s="854">
        <f>SUM(Results_Res!I243,Results_Out!I243,Results_Ind!I243,Results_Com!I243)</f>
        <v>0.34868302660922801</v>
      </c>
      <c r="J243" s="854">
        <f>SUM(Results_Res!J243,Results_Out!J243,Results_Ind!J243,Results_Com!J243)</f>
        <v>0.27241112373707826</v>
      </c>
      <c r="K243" s="854">
        <f>SUM(Results_Res!K243,Results_Out!K243,Results_Ind!K243,Results_Com!K243)</f>
        <v>0.20069325041080449</v>
      </c>
      <c r="L243" s="854">
        <f>SUM(Results_Res!L243,Results_Out!L243,Results_Ind!L243,Results_Com!L243)</f>
        <v>0.14955330035522807</v>
      </c>
      <c r="M243" s="854">
        <f>SUM(Results_Res!M243,Results_Out!M243,Results_Ind!M243,Results_Com!M243)</f>
        <v>0.11284755279132724</v>
      </c>
      <c r="N243" s="854">
        <f>SUM(Results_Res!N243,Results_Out!N243,Results_Ind!N243,Results_Com!N243)</f>
        <v>8.6277862690037163E-2</v>
      </c>
      <c r="O243" s="854">
        <f>SUM(Results_Res!O243,Results_Out!O243,Results_Ind!O243,Results_Com!O243)</f>
        <v>6.7005229373750821E-2</v>
      </c>
      <c r="P243" s="854">
        <f>SUM(Results_Res!P243,Results_Out!P243,Results_Ind!P243,Results_Com!P243)</f>
        <v>5.2945065797272789E-2</v>
      </c>
      <c r="Q243" s="854">
        <f>SUM(Results_Res!Q243,Results_Out!Q243,Results_Ind!Q243,Results_Com!Q243)</f>
        <v>4.2580328241256675E-2</v>
      </c>
      <c r="R243" s="854">
        <f>SUM(Results_Res!R243,Results_Out!R243,Results_Ind!R243,Results_Com!R243)</f>
        <v>3.4872241198952374E-2</v>
      </c>
      <c r="S243" s="854">
        <f>SUM(Results_Res!S243,Results_Out!S243,Results_Ind!S243,Results_Com!S243)</f>
        <v>2.9063128393830802E-2</v>
      </c>
      <c r="T243" s="854">
        <f>SUM(Results_Res!T243,Results_Out!T243,Results_Ind!T243,Results_Com!T243)</f>
        <v>2.4628299158853902E-2</v>
      </c>
      <c r="U243" s="854">
        <f>SUM(Results_Res!U243,Results_Out!U243,Results_Ind!U243,Results_Com!U243)</f>
        <v>2.1191999271150265E-2</v>
      </c>
      <c r="V243" s="854">
        <f>SUM(Results_Res!V243,Results_Out!V243,Results_Ind!V243,Results_Com!V243)</f>
        <v>1.8488502578059333E-2</v>
      </c>
      <c r="W243" s="854">
        <f>SUM(Results_Res!W243,Results_Out!W243,Results_Ind!W243,Results_Com!W243)</f>
        <v>1.6327918972938702E-2</v>
      </c>
      <c r="X243" s="854">
        <f>SUM(Results_Res!X243,Results_Out!X243,Results_Ind!X243,Results_Com!X243)</f>
        <v>1.4576820252234553E-2</v>
      </c>
      <c r="Y243" s="854">
        <f>SUM(Results_Res!Y243,Results_Out!Y243,Results_Ind!Y243,Results_Com!Y243)</f>
        <v>1.3136091541815675E-2</v>
      </c>
      <c r="Z243" s="854">
        <f>SUM(Results_Res!Z243,Results_Out!Z243,Results_Ind!Z243,Results_Com!Z243)</f>
        <v>1.193242334419016E-2</v>
      </c>
      <c r="AA243" s="854">
        <f>SUM(Results_Res!AA243,Results_Out!AA243,Results_Ind!AA243,Results_Com!AA243)</f>
        <v>1.0914028870565126E-2</v>
      </c>
      <c r="AB243" s="854">
        <f>SUM(Results_Res!AB243,Results_Out!AB243,Results_Ind!AB243,Results_Com!AB243)</f>
        <v>1.0038517859260047E-2</v>
      </c>
      <c r="AC243" s="854">
        <f>SUM(Results_Res!AC243,Results_Out!AC243,Results_Ind!AC243,Results_Com!AC243)</f>
        <v>9.2802833949633071E-3</v>
      </c>
      <c r="AD243" s="854">
        <f>SUM(Results_Res!AD243,Results_Out!AD243,Results_Ind!AD243,Results_Com!AD243)</f>
        <v>8.6199203576450521E-3</v>
      </c>
      <c r="AE243" s="854">
        <f>SUM(Results_Res!AE243,Results_Out!AE243,Results_Ind!AE243,Results_Com!AE243)</f>
        <v>8.0379309393315938E-3</v>
      </c>
      <c r="AF243" s="854">
        <f>SUM(Results_Res!AF243,Results_Out!AF243,Results_Ind!AF243,Results_Com!AF243)</f>
        <v>7.5229417587104816E-3</v>
      </c>
    </row>
    <row r="244" spans="1:32" s="221" customFormat="1" x14ac:dyDescent="0.25">
      <c r="A244" s="839"/>
      <c r="B244" s="550" t="s">
        <v>39</v>
      </c>
      <c r="C244" s="539"/>
      <c r="D244" s="539"/>
      <c r="E244" s="203"/>
      <c r="F244" s="539"/>
      <c r="G244" s="854">
        <f>SUM(Results_Res!G244,Results_Out!G244,Results_Ind!G244,Results_Com!G244)</f>
        <v>0.80252654720144423</v>
      </c>
      <c r="H244" s="854">
        <f>SUM(Results_Res!H244,Results_Out!H244,Results_Ind!H244,Results_Com!H244)</f>
        <v>0.83237017494950605</v>
      </c>
      <c r="I244" s="854">
        <f>SUM(Results_Res!I244,Results_Out!I244,Results_Ind!I244,Results_Com!I244)</f>
        <v>0.86969440266105613</v>
      </c>
      <c r="J244" s="854">
        <f>SUM(Results_Res!J244,Results_Out!J244,Results_Ind!J244,Results_Com!J244)</f>
        <v>0.90943343360712947</v>
      </c>
      <c r="K244" s="854">
        <f>SUM(Results_Res!K244,Results_Out!K244,Results_Ind!K244,Results_Com!K244)</f>
        <v>0.94477647846638968</v>
      </c>
      <c r="L244" s="854">
        <f>SUM(Results_Res!L244,Results_Out!L244,Results_Ind!L244,Results_Com!L244)</f>
        <v>0.96557266545837683</v>
      </c>
      <c r="M244" s="854">
        <f>SUM(Results_Res!M244,Results_Out!M244,Results_Ind!M244,Results_Com!M244)</f>
        <v>0.97678690459188355</v>
      </c>
      <c r="N244" s="854">
        <f>SUM(Results_Res!N244,Results_Out!N244,Results_Ind!N244,Results_Com!N244)</f>
        <v>0.98248229512241714</v>
      </c>
      <c r="O244" s="854">
        <f>SUM(Results_Res!O244,Results_Out!O244,Results_Ind!O244,Results_Com!O244)</f>
        <v>0.98446358609367535</v>
      </c>
      <c r="P244" s="854">
        <f>SUM(Results_Res!P244,Results_Out!P244,Results_Ind!P244,Results_Com!P244)</f>
        <v>0.98416779981488767</v>
      </c>
      <c r="Q244" s="854">
        <f>SUM(Results_Res!Q244,Results_Out!Q244,Results_Ind!Q244,Results_Com!Q244)</f>
        <v>0.98259713720122854</v>
      </c>
      <c r="R244" s="854">
        <f>SUM(Results_Res!R244,Results_Out!R244,Results_Ind!R244,Results_Com!R244)</f>
        <v>0.98070759488728543</v>
      </c>
      <c r="S244" s="854">
        <f>SUM(Results_Res!S244,Results_Out!S244,Results_Ind!S244,Results_Com!S244)</f>
        <v>0.97884838139765051</v>
      </c>
      <c r="T244" s="854">
        <f>SUM(Results_Res!T244,Results_Out!T244,Results_Ind!T244,Results_Com!T244)</f>
        <v>0.97692439639702999</v>
      </c>
      <c r="U244" s="854">
        <f>SUM(Results_Res!U244,Results_Out!U244,Results_Ind!U244,Results_Com!U244)</f>
        <v>0.97461873284348888</v>
      </c>
      <c r="V244" s="854">
        <f>SUM(Results_Res!V244,Results_Out!V244,Results_Ind!V244,Results_Com!V244)</f>
        <v>0.97205371023708353</v>
      </c>
      <c r="W244" s="854">
        <f>SUM(Results_Res!W244,Results_Out!W244,Results_Ind!W244,Results_Com!W244)</f>
        <v>0.96931560120812899</v>
      </c>
      <c r="X244" s="854">
        <f>SUM(Results_Res!X244,Results_Out!X244,Results_Ind!X244,Results_Com!X244)</f>
        <v>0.96645663622058231</v>
      </c>
      <c r="Y244" s="854">
        <f>SUM(Results_Res!Y244,Results_Out!Y244,Results_Ind!Y244,Results_Com!Y244)</f>
        <v>0.9635185784607383</v>
      </c>
      <c r="Z244" s="854">
        <f>SUM(Results_Res!Z244,Results_Out!Z244,Results_Ind!Z244,Results_Com!Z244)</f>
        <v>0.96053424443331137</v>
      </c>
      <c r="AA244" s="854">
        <f>SUM(Results_Res!AA244,Results_Out!AA244,Results_Ind!AA244,Results_Com!AA244)</f>
        <v>0.95752701811689156</v>
      </c>
      <c r="AB244" s="854">
        <f>SUM(Results_Res!AB244,Results_Out!AB244,Results_Ind!AB244,Results_Com!AB244)</f>
        <v>0.95451133973667457</v>
      </c>
      <c r="AC244" s="854">
        <f>SUM(Results_Res!AC244,Results_Out!AC244,Results_Ind!AC244,Results_Com!AC244)</f>
        <v>0.9514947653514263</v>
      </c>
      <c r="AD244" s="854">
        <f>SUM(Results_Res!AD244,Results_Out!AD244,Results_Ind!AD244,Results_Com!AD244)</f>
        <v>0.94848509445666851</v>
      </c>
      <c r="AE244" s="854">
        <f>SUM(Results_Res!AE244,Results_Out!AE244,Results_Ind!AE244,Results_Com!AE244)</f>
        <v>0.94548713744437829</v>
      </c>
      <c r="AF244" s="854">
        <f>SUM(Results_Res!AF244,Results_Out!AF244,Results_Ind!AF244,Results_Com!AF244)</f>
        <v>0.94250497373851438</v>
      </c>
    </row>
    <row r="245" spans="1:32" s="221" customFormat="1" x14ac:dyDescent="0.25">
      <c r="A245" s="839"/>
      <c r="B245" s="550" t="s">
        <v>40</v>
      </c>
      <c r="C245" s="539"/>
      <c r="D245" s="539"/>
      <c r="E245" s="539"/>
      <c r="F245" s="539"/>
      <c r="G245" s="854">
        <f>SUM(Results_Res!G245,Results_Out!G245,Results_Ind!G245,Results_Com!G245)</f>
        <v>0.11110447974455093</v>
      </c>
      <c r="H245" s="854">
        <f>SUM(Results_Res!H245,Results_Out!H245,Results_Ind!H245,Results_Com!H245)</f>
        <v>0.11880632707157306</v>
      </c>
      <c r="I245" s="854">
        <f>SUM(Results_Res!I245,Results_Out!I245,Results_Ind!I245,Results_Com!I245)</f>
        <v>0.12709225861130419</v>
      </c>
      <c r="J245" s="854">
        <f>SUM(Results_Res!J245,Results_Out!J245,Results_Ind!J245,Results_Com!J245)</f>
        <v>0.13523871334551854</v>
      </c>
      <c r="K245" s="854">
        <f>SUM(Results_Res!K245,Results_Out!K245,Results_Ind!K245,Results_Com!K245)</f>
        <v>0.14303653316900988</v>
      </c>
      <c r="L245" s="854">
        <f>SUM(Results_Res!L245,Results_Out!L245,Results_Ind!L245,Results_Com!L245)</f>
        <v>0.14854120448116376</v>
      </c>
      <c r="M245" s="854">
        <f>SUM(Results_Res!M245,Results_Out!M245,Results_Ind!M245,Results_Com!M245)</f>
        <v>0.15241682789118433</v>
      </c>
      <c r="N245" s="854">
        <f>SUM(Results_Res!N245,Results_Out!N245,Results_Ind!N245,Results_Com!N245)</f>
        <v>0.15476921498131652</v>
      </c>
      <c r="O245" s="854">
        <f>SUM(Results_Res!O245,Results_Out!O245,Results_Ind!O245,Results_Com!O245)</f>
        <v>0.15640113577590389</v>
      </c>
      <c r="P245" s="854">
        <f>SUM(Results_Res!P245,Results_Out!P245,Results_Ind!P245,Results_Com!P245)</f>
        <v>0.15749799853004293</v>
      </c>
      <c r="Q245" s="854">
        <f>SUM(Results_Res!Q245,Results_Out!Q245,Results_Ind!Q245,Results_Com!Q245)</f>
        <v>0.15820936722136669</v>
      </c>
      <c r="R245" s="854">
        <f>SUM(Results_Res!R245,Results_Out!R245,Results_Ind!R245,Results_Com!R245)</f>
        <v>0.15863122715945294</v>
      </c>
      <c r="S245" s="854">
        <f>SUM(Results_Res!S245,Results_Out!S245,Results_Ind!S245,Results_Com!S245)</f>
        <v>0.15884175452707477</v>
      </c>
      <c r="T245" s="854">
        <f>SUM(Results_Res!T245,Results_Out!T245,Results_Ind!T245,Results_Com!T245)</f>
        <v>0.15889806146073515</v>
      </c>
      <c r="U245" s="854">
        <f>SUM(Results_Res!U245,Results_Out!U245,Results_Ind!U245,Results_Com!U245)</f>
        <v>0.15883684364680312</v>
      </c>
      <c r="V245" s="854">
        <f>SUM(Results_Res!V245,Results_Out!V245,Results_Ind!V245,Results_Com!V245)</f>
        <v>0.1586906811561164</v>
      </c>
      <c r="W245" s="854">
        <f>SUM(Results_Res!W245,Results_Out!W245,Results_Ind!W245,Results_Com!W245)</f>
        <v>0.15847886938263192</v>
      </c>
      <c r="X245" s="854">
        <f>SUM(Results_Res!X245,Results_Out!X245,Results_Ind!X245,Results_Com!X245)</f>
        <v>0.15821572806574558</v>
      </c>
      <c r="Y245" s="854">
        <f>SUM(Results_Res!Y245,Results_Out!Y245,Results_Ind!Y245,Results_Com!Y245)</f>
        <v>0.1579165293225358</v>
      </c>
      <c r="Z245" s="854">
        <f>SUM(Results_Res!Z245,Results_Out!Z245,Results_Ind!Z245,Results_Com!Z245)</f>
        <v>0.15758855757201506</v>
      </c>
      <c r="AA245" s="854">
        <f>SUM(Results_Res!AA245,Results_Out!AA245,Results_Ind!AA245,Results_Com!AA245)</f>
        <v>0.15723419394784283</v>
      </c>
      <c r="AB245" s="854">
        <f>SUM(Results_Res!AB245,Results_Out!AB245,Results_Ind!AB245,Results_Com!AB245)</f>
        <v>0.15686280696751953</v>
      </c>
      <c r="AC245" s="854">
        <f>SUM(Results_Res!AC245,Results_Out!AC245,Results_Ind!AC245,Results_Com!AC245)</f>
        <v>0.1564780769516308</v>
      </c>
      <c r="AD245" s="854">
        <f>SUM(Results_Res!AD245,Results_Out!AD245,Results_Ind!AD245,Results_Com!AD245)</f>
        <v>0.1560798378776253</v>
      </c>
      <c r="AE245" s="854">
        <f>SUM(Results_Res!AE245,Results_Out!AE245,Results_Ind!AE245,Results_Com!AE245)</f>
        <v>0.1556739523642664</v>
      </c>
      <c r="AF245" s="854">
        <f>SUM(Results_Res!AF245,Results_Out!AF245,Results_Ind!AF245,Results_Com!AF245)</f>
        <v>0.15526049043557072</v>
      </c>
    </row>
    <row r="246" spans="1:32" s="221" customFormat="1" x14ac:dyDescent="0.25">
      <c r="A246" s="839"/>
      <c r="B246" s="550" t="s">
        <v>29</v>
      </c>
      <c r="C246" s="539"/>
      <c r="D246" s="539"/>
      <c r="E246" s="539"/>
      <c r="F246" s="539"/>
      <c r="G246" s="854">
        <f>SUM(Results_Res!G246,Results_Out!G246,Results_Ind!G246,Results_Com!G246)</f>
        <v>0</v>
      </c>
      <c r="H246" s="854">
        <f>SUM(Results_Res!H246,Results_Out!H246,Results_Ind!H246,Results_Com!H246)</f>
        <v>2.0041141661501329E-9</v>
      </c>
      <c r="I246" s="854">
        <f>SUM(Results_Res!I246,Results_Out!I246,Results_Ind!I246,Results_Com!I246)</f>
        <v>3.5764597231255477E-9</v>
      </c>
      <c r="J246" s="854">
        <f>SUM(Results_Res!J246,Results_Out!J246,Results_Ind!J246,Results_Com!J246)</f>
        <v>4.7894345116888217E-9</v>
      </c>
      <c r="K246" s="854">
        <f>SUM(Results_Res!K246,Results_Out!K246,Results_Ind!K246,Results_Com!K246)</f>
        <v>5.7330030307465409E-9</v>
      </c>
      <c r="L246" s="854">
        <f>SUM(Results_Res!L246,Results_Out!L246,Results_Ind!L246,Results_Com!L246)</f>
        <v>6.4942735913505219E-9</v>
      </c>
      <c r="M246" s="854">
        <f>SUM(Results_Res!M246,Results_Out!M246,Results_Ind!M246,Results_Com!M246)</f>
        <v>7.0995034520472029E-9</v>
      </c>
      <c r="N246" s="854">
        <f>SUM(Results_Res!N246,Results_Out!N246,Results_Ind!N246,Results_Com!N246)</f>
        <v>7.5841837247408755E-9</v>
      </c>
      <c r="O246" s="854">
        <f>SUM(Results_Res!O246,Results_Out!O246,Results_Ind!O246,Results_Com!O246)</f>
        <v>7.970437841776628E-9</v>
      </c>
      <c r="P246" s="854">
        <f>SUM(Results_Res!P246,Results_Out!P246,Results_Ind!P246,Results_Com!P246)</f>
        <v>8.2565686649121405E-9</v>
      </c>
      <c r="Q246" s="854">
        <f>SUM(Results_Res!Q246,Results_Out!Q246,Results_Ind!Q246,Results_Com!Q246)</f>
        <v>8.4772341511815793E-9</v>
      </c>
      <c r="R246" s="854">
        <f>SUM(Results_Res!R246,Results_Out!R246,Results_Ind!R246,Results_Com!R246)</f>
        <v>8.630540714158095E-9</v>
      </c>
      <c r="S246" s="854">
        <f>SUM(Results_Res!S246,Results_Out!S246,Results_Ind!S246,Results_Com!S246)</f>
        <v>8.7370408745645805E-9</v>
      </c>
      <c r="T246" s="854">
        <f>SUM(Results_Res!T246,Results_Out!T246,Results_Ind!T246,Results_Com!T246)</f>
        <v>8.8087090993900283E-9</v>
      </c>
      <c r="U246" s="854">
        <f>SUM(Results_Res!U246,Results_Out!U246,Results_Ind!U246,Results_Com!U246)</f>
        <v>8.8556219635887505E-9</v>
      </c>
      <c r="V246" s="854">
        <f>SUM(Results_Res!V246,Results_Out!V246,Results_Ind!V246,Results_Com!V246)</f>
        <v>8.8834221268523289E-9</v>
      </c>
      <c r="W246" s="854">
        <f>SUM(Results_Res!W246,Results_Out!W246,Results_Ind!W246,Results_Com!W246)</f>
        <v>8.8909284375840351E-9</v>
      </c>
      <c r="X246" s="854">
        <f>SUM(Results_Res!X246,Results_Out!X246,Results_Ind!X246,Results_Com!X246)</f>
        <v>8.8951872088934999E-9</v>
      </c>
      <c r="Y246" s="854">
        <f>SUM(Results_Res!Y246,Results_Out!Y246,Results_Ind!Y246,Results_Com!Y246)</f>
        <v>8.8980499299608067E-9</v>
      </c>
      <c r="Z246" s="854">
        <f>SUM(Results_Res!Z246,Results_Out!Z246,Results_Ind!Z246,Results_Com!Z246)</f>
        <v>8.894588773501485E-9</v>
      </c>
      <c r="AA246" s="854">
        <f>SUM(Results_Res!AA246,Results_Out!AA246,Results_Ind!AA246,Results_Com!AA246)</f>
        <v>8.8820612065340231E-9</v>
      </c>
      <c r="AB246" s="854">
        <f>SUM(Results_Res!AB246,Results_Out!AB246,Results_Ind!AB246,Results_Com!AB246)</f>
        <v>8.8642822176226443E-9</v>
      </c>
      <c r="AC246" s="854">
        <f>SUM(Results_Res!AC246,Results_Out!AC246,Results_Ind!AC246,Results_Com!AC246)</f>
        <v>8.8442003374967562E-9</v>
      </c>
      <c r="AD246" s="854">
        <f>SUM(Results_Res!AD246,Results_Out!AD246,Results_Ind!AD246,Results_Com!AD246)</f>
        <v>8.8224976602017444E-9</v>
      </c>
      <c r="AE246" s="854">
        <f>SUM(Results_Res!AE246,Results_Out!AE246,Results_Ind!AE246,Results_Com!AE246)</f>
        <v>8.7996920909792733E-9</v>
      </c>
      <c r="AF246" s="854">
        <f>SUM(Results_Res!AF246,Results_Out!AF246,Results_Ind!AF246,Results_Com!AF246)</f>
        <v>8.7761755573884112E-9</v>
      </c>
    </row>
    <row r="247" spans="1:32" s="221" customFormat="1" x14ac:dyDescent="0.25">
      <c r="A247" s="839"/>
      <c r="B247" s="550"/>
      <c r="C247" s="539"/>
      <c r="D247" s="539"/>
      <c r="E247" s="539"/>
      <c r="F247" s="539"/>
      <c r="G247" s="549"/>
      <c r="H247" s="549"/>
      <c r="I247" s="549"/>
      <c r="J247" s="549"/>
      <c r="K247" s="549"/>
      <c r="L247" s="549"/>
      <c r="M247" s="549"/>
      <c r="N247" s="549"/>
      <c r="O247" s="549"/>
      <c r="P247" s="549"/>
      <c r="Q247" s="549"/>
      <c r="R247" s="549"/>
      <c r="S247" s="549"/>
      <c r="T247" s="549"/>
      <c r="U247" s="549"/>
      <c r="V247" s="549"/>
      <c r="W247" s="549"/>
      <c r="X247" s="549"/>
      <c r="Y247" s="549"/>
      <c r="Z247" s="549"/>
      <c r="AA247" s="549"/>
      <c r="AB247" s="549"/>
      <c r="AC247" s="549"/>
      <c r="AD247" s="549"/>
      <c r="AE247" s="549"/>
      <c r="AF247" s="549"/>
    </row>
    <row r="248" spans="1:32" s="202" customFormat="1" ht="12.75" x14ac:dyDescent="0.2">
      <c r="A248" s="843" t="s">
        <v>42</v>
      </c>
      <c r="B248" s="556"/>
      <c r="C248" s="556"/>
      <c r="D248" s="556"/>
      <c r="E248" s="556"/>
      <c r="F248" s="556"/>
      <c r="G248" s="632"/>
      <c r="H248" s="632"/>
      <c r="I248" s="632"/>
      <c r="J248" s="632"/>
      <c r="K248" s="632"/>
      <c r="L248" s="632"/>
      <c r="M248" s="632"/>
      <c r="N248" s="632"/>
      <c r="O248" s="632"/>
      <c r="P248" s="632"/>
      <c r="Q248" s="632"/>
      <c r="R248" s="632"/>
      <c r="S248" s="632"/>
      <c r="T248" s="632"/>
      <c r="U248" s="632"/>
      <c r="V248" s="632"/>
      <c r="W248" s="632"/>
      <c r="X248" s="632"/>
      <c r="Y248" s="632"/>
      <c r="Z248" s="632"/>
      <c r="AA248" s="632"/>
      <c r="AB248" s="632"/>
      <c r="AC248" s="632"/>
      <c r="AD248" s="632"/>
      <c r="AE248" s="632"/>
      <c r="AF248" s="632"/>
    </row>
    <row r="249" spans="1:32" s="221" customFormat="1" x14ac:dyDescent="0.25">
      <c r="A249" s="839"/>
      <c r="B249" s="552" t="s">
        <v>43</v>
      </c>
      <c r="C249" s="539"/>
      <c r="D249" s="539"/>
      <c r="E249" s="539"/>
      <c r="F249" s="539"/>
      <c r="G249" s="854">
        <f>SUM(Results_Res!G249,Results_Out!G249,Results_Ind!G249,Results_Com!G249)</f>
        <v>7.3190529250886538E-2</v>
      </c>
      <c r="H249" s="854">
        <f>SUM(Results_Res!H249,Results_Out!H249,Results_Ind!H249,Results_Com!H249)</f>
        <v>6.5370279633706244E-2</v>
      </c>
      <c r="I249" s="854">
        <f>SUM(Results_Res!I249,Results_Out!I249,Results_Ind!I249,Results_Com!I249)</f>
        <v>5.8541970220255403E-2</v>
      </c>
      <c r="J249" s="854">
        <f>SUM(Results_Res!J249,Results_Out!J249,Results_Ind!J249,Results_Com!J249)</f>
        <v>5.2578093514827992E-2</v>
      </c>
      <c r="K249" s="854">
        <f>SUM(Results_Res!K249,Results_Out!K249,Results_Ind!K249,Results_Com!K249)</f>
        <v>4.7365298809233347E-2</v>
      </c>
      <c r="L249" s="854">
        <f>SUM(Results_Res!L249,Results_Out!L249,Results_Ind!L249,Results_Com!L249)</f>
        <v>4.2802992058857368E-2</v>
      </c>
      <c r="M249" s="854">
        <f>SUM(Results_Res!M249,Results_Out!M249,Results_Ind!M249,Results_Com!M249)</f>
        <v>3.8807456208833337E-2</v>
      </c>
      <c r="N249" s="854">
        <f>SUM(Results_Res!N249,Results_Out!N249,Results_Ind!N249,Results_Com!N249)</f>
        <v>3.5301817370422393E-2</v>
      </c>
      <c r="O249" s="854">
        <f>SUM(Results_Res!O249,Results_Out!O249,Results_Ind!O249,Results_Com!O249)</f>
        <v>3.2220220092081267E-2</v>
      </c>
      <c r="P249" s="854">
        <f>SUM(Results_Res!P249,Results_Out!P249,Results_Ind!P249,Results_Com!P249)</f>
        <v>2.9510615843103459E-2</v>
      </c>
      <c r="Q249" s="854">
        <f>SUM(Results_Res!Q249,Results_Out!Q249,Results_Ind!Q249,Results_Com!Q249)</f>
        <v>2.7124288172935485E-2</v>
      </c>
      <c r="R249" s="854">
        <f>SUM(Results_Res!R249,Results_Out!R249,Results_Ind!R249,Results_Com!R249)</f>
        <v>2.5021349587860384E-2</v>
      </c>
      <c r="S249" s="854">
        <f>SUM(Results_Res!S249,Results_Out!S249,Results_Ind!S249,Results_Com!S249)</f>
        <v>2.3165369993044561E-2</v>
      </c>
      <c r="T249" s="854">
        <f>SUM(Results_Res!T249,Results_Out!T249,Results_Ind!T249,Results_Com!T249)</f>
        <v>2.1525070613818514E-2</v>
      </c>
      <c r="U249" s="854">
        <f>SUM(Results_Res!U249,Results_Out!U249,Results_Ind!U249,Results_Com!U249)</f>
        <v>2.0078573086768164E-2</v>
      </c>
      <c r="V249" s="854">
        <f>SUM(Results_Res!V249,Results_Out!V249,Results_Ind!V249,Results_Com!V249)</f>
        <v>1.8795726970781777E-2</v>
      </c>
      <c r="W249" s="854">
        <f>SUM(Results_Res!W249,Results_Out!W249,Results_Ind!W249,Results_Com!W249)</f>
        <v>1.7660526584634195E-2</v>
      </c>
      <c r="X249" s="854">
        <f>SUM(Results_Res!X249,Results_Out!X249,Results_Ind!X249,Results_Com!X249)</f>
        <v>1.6653341223473193E-2</v>
      </c>
      <c r="Y249" s="854">
        <f>SUM(Results_Res!Y249,Results_Out!Y249,Results_Ind!Y249,Results_Com!Y249)</f>
        <v>1.5757729508726073E-2</v>
      </c>
      <c r="Z249" s="854">
        <f>SUM(Results_Res!Z249,Results_Out!Z249,Results_Ind!Z249,Results_Com!Z249)</f>
        <v>1.495965985073737E-2</v>
      </c>
      <c r="AA249" s="854">
        <f>SUM(Results_Res!AA249,Results_Out!AA249,Results_Ind!AA249,Results_Com!AA249)</f>
        <v>1.4244650233367392E-2</v>
      </c>
      <c r="AB249" s="854">
        <f>SUM(Results_Res!AB249,Results_Out!AB249,Results_Ind!AB249,Results_Com!AB249)</f>
        <v>1.3604905531645287E-2</v>
      </c>
      <c r="AC249" s="854">
        <f>SUM(Results_Res!AC249,Results_Out!AC249,Results_Ind!AC249,Results_Com!AC249)</f>
        <v>1.3031018588242472E-2</v>
      </c>
      <c r="AD249" s="854">
        <f>SUM(Results_Res!AD249,Results_Out!AD249,Results_Ind!AD249,Results_Com!AD249)</f>
        <v>1.2514809880564212E-2</v>
      </c>
      <c r="AE249" s="854">
        <f>SUM(Results_Res!AE249,Results_Out!AE249,Results_Ind!AE249,Results_Com!AE249)</f>
        <v>1.2049299324855127E-2</v>
      </c>
      <c r="AF249" s="854">
        <f>SUM(Results_Res!AF249,Results_Out!AF249,Results_Ind!AF249,Results_Com!AF249)</f>
        <v>1.1628355909356139E-2</v>
      </c>
    </row>
    <row r="250" spans="1:32" s="221" customFormat="1" x14ac:dyDescent="0.25">
      <c r="A250" s="839"/>
      <c r="B250" s="552" t="s">
        <v>44</v>
      </c>
      <c r="C250" s="539"/>
      <c r="D250" s="539"/>
      <c r="E250" s="539"/>
      <c r="F250" s="539"/>
      <c r="G250" s="854">
        <f>SUM(Results_Res!G250,Results_Out!G250,Results_Ind!G250,Results_Com!G250)</f>
        <v>0.62315632342446592</v>
      </c>
      <c r="H250" s="854">
        <f>SUM(Results_Res!H250,Results_Out!H250,Results_Ind!H250,Results_Com!H250)</f>
        <v>0.62932938928934223</v>
      </c>
      <c r="I250" s="854">
        <f>SUM(Results_Res!I250,Results_Out!I250,Results_Ind!I250,Results_Com!I250)</f>
        <v>0.6379492225633292</v>
      </c>
      <c r="J250" s="854">
        <f>SUM(Results_Res!J250,Results_Out!J250,Results_Ind!J250,Results_Com!J250)</f>
        <v>0.64507782675236114</v>
      </c>
      <c r="K250" s="854">
        <f>SUM(Results_Res!K250,Results_Out!K250,Results_Ind!K250,Results_Com!K250)</f>
        <v>0.6508364264981813</v>
      </c>
      <c r="L250" s="854">
        <f>SUM(Results_Res!L250,Results_Out!L250,Results_Ind!L250,Results_Com!L250)</f>
        <v>0.655360914781844</v>
      </c>
      <c r="M250" s="854">
        <f>SUM(Results_Res!M250,Results_Out!M250,Results_Ind!M250,Results_Com!M250)</f>
        <v>0.65877118685084746</v>
      </c>
      <c r="N250" s="854">
        <f>SUM(Results_Res!N250,Results_Out!N250,Results_Ind!N250,Results_Com!N250)</f>
        <v>0.66119919364403845</v>
      </c>
      <c r="O250" s="854">
        <f>SUM(Results_Res!O250,Results_Out!O250,Results_Ind!O250,Results_Com!O250)</f>
        <v>0.66276479864344695</v>
      </c>
      <c r="P250" s="854">
        <f>SUM(Results_Res!P250,Results_Out!P250,Results_Ind!P250,Results_Com!P250)</f>
        <v>0.66355860836125591</v>
      </c>
      <c r="Q250" s="854">
        <f>SUM(Results_Res!Q250,Results_Out!Q250,Results_Ind!Q250,Results_Com!Q250)</f>
        <v>0.6636774360912856</v>
      </c>
      <c r="R250" s="854">
        <f>SUM(Results_Res!R250,Results_Out!R250,Results_Ind!R250,Results_Com!R250)</f>
        <v>0.66319933770156037</v>
      </c>
      <c r="S250" s="854">
        <f>SUM(Results_Res!S250,Results_Out!S250,Results_Ind!S250,Results_Com!S250)</f>
        <v>0.66220148968184178</v>
      </c>
      <c r="T250" s="854">
        <f>SUM(Results_Res!T250,Results_Out!T250,Results_Ind!T250,Results_Com!T250)</f>
        <v>0.66075119797098258</v>
      </c>
      <c r="U250" s="854">
        <f>SUM(Results_Res!U250,Results_Out!U250,Results_Ind!U250,Results_Com!U250)</f>
        <v>0.65890604388959395</v>
      </c>
      <c r="V250" s="854">
        <f>SUM(Results_Res!V250,Results_Out!V250,Results_Ind!V250,Results_Com!V250)</f>
        <v>0.65672078977817361</v>
      </c>
      <c r="W250" s="854">
        <f>SUM(Results_Res!W250,Results_Out!W250,Results_Ind!W250,Results_Com!W250)</f>
        <v>0.65424131623879311</v>
      </c>
      <c r="X250" s="854">
        <f>SUM(Results_Res!X250,Results_Out!X250,Results_Ind!X250,Results_Com!X250)</f>
        <v>0.65151077577451522</v>
      </c>
      <c r="Y250" s="854">
        <f>SUM(Results_Res!Y250,Results_Out!Y250,Results_Ind!Y250,Results_Com!Y250)</f>
        <v>0.64856519955859604</v>
      </c>
      <c r="Z250" s="854">
        <f>SUM(Results_Res!Z250,Results_Out!Z250,Results_Ind!Z250,Results_Com!Z250)</f>
        <v>0.64543557417343078</v>
      </c>
      <c r="AA250" s="854">
        <f>SUM(Results_Res!AA250,Results_Out!AA250,Results_Ind!AA250,Results_Com!AA250)</f>
        <v>0.64214637466996205</v>
      </c>
      <c r="AB250" s="854">
        <f>SUM(Results_Res!AB250,Results_Out!AB250,Results_Ind!AB250,Results_Com!AB250)</f>
        <v>0.63872598312254736</v>
      </c>
      <c r="AC250" s="854">
        <f>SUM(Results_Res!AC250,Results_Out!AC250,Results_Ind!AC250,Results_Com!AC250)</f>
        <v>0.63519545932595611</v>
      </c>
      <c r="AD250" s="854">
        <f>SUM(Results_Res!AD250,Results_Out!AD250,Results_Ind!AD250,Results_Com!AD250)</f>
        <v>0.63157337600357566</v>
      </c>
      <c r="AE250" s="854">
        <f>SUM(Results_Res!AE250,Results_Out!AE250,Results_Ind!AE250,Results_Com!AE250)</f>
        <v>0.62787551335367364</v>
      </c>
      <c r="AF250" s="854">
        <f>SUM(Results_Res!AF250,Results_Out!AF250,Results_Ind!AF250,Results_Com!AF250)</f>
        <v>0.6241159224065379</v>
      </c>
    </row>
    <row r="251" spans="1:32" s="221" customFormat="1" x14ac:dyDescent="0.25">
      <c r="A251" s="839"/>
      <c r="B251" s="552" t="s">
        <v>45</v>
      </c>
      <c r="C251" s="539"/>
      <c r="D251" s="539"/>
      <c r="E251" s="539"/>
      <c r="F251" s="539"/>
      <c r="G251" s="854">
        <f>SUM(Results_Res!G251,Results_Out!G251,Results_Ind!G251,Results_Com!G251)</f>
        <v>9.0928317096859487E-2</v>
      </c>
      <c r="H251" s="854">
        <f>SUM(Results_Res!H251,Results_Out!H251,Results_Ind!H251,Results_Com!H251)</f>
        <v>8.0059718738236876E-2</v>
      </c>
      <c r="I251" s="854">
        <f>SUM(Results_Res!I251,Results_Out!I251,Results_Ind!I251,Results_Com!I251)</f>
        <v>7.0575374975157076E-2</v>
      </c>
      <c r="J251" s="854">
        <f>SUM(Results_Res!J251,Results_Out!J251,Results_Ind!J251,Results_Com!J251)</f>
        <v>6.230374256589559E-2</v>
      </c>
      <c r="K251" s="854">
        <f>SUM(Results_Res!K251,Results_Out!K251,Results_Ind!K251,Results_Com!K251)</f>
        <v>5.5088628179980365E-2</v>
      </c>
      <c r="L251" s="854">
        <f>SUM(Results_Res!L251,Results_Out!L251,Results_Ind!L251,Results_Com!L251)</f>
        <v>4.8788118422184217E-2</v>
      </c>
      <c r="M251" s="854">
        <f>SUM(Results_Res!M251,Results_Out!M251,Results_Ind!M251,Results_Com!M251)</f>
        <v>4.3286463916575271E-2</v>
      </c>
      <c r="N251" s="854">
        <f>SUM(Results_Res!N251,Results_Out!N251,Results_Ind!N251,Results_Com!N251)</f>
        <v>3.8473265605762058E-2</v>
      </c>
      <c r="O251" s="854">
        <f>SUM(Results_Res!O251,Results_Out!O251,Results_Ind!O251,Results_Com!O251)</f>
        <v>3.4254185301234856E-2</v>
      </c>
      <c r="P251" s="854">
        <f>SUM(Results_Res!P251,Results_Out!P251,Results_Ind!P251,Results_Com!P251)</f>
        <v>3.0558531033312148E-2</v>
      </c>
      <c r="Q251" s="854">
        <f>SUM(Results_Res!Q251,Results_Out!Q251,Results_Ind!Q251,Results_Com!Q251)</f>
        <v>2.7316873878158114E-2</v>
      </c>
      <c r="R251" s="854">
        <f>SUM(Results_Res!R251,Results_Out!R251,Results_Ind!R251,Results_Com!R251)</f>
        <v>2.4474254150314873E-2</v>
      </c>
      <c r="S251" s="854">
        <f>SUM(Results_Res!S251,Results_Out!S251,Results_Ind!S251,Results_Com!S251)</f>
        <v>2.1978804785450001E-2</v>
      </c>
      <c r="T251" s="854">
        <f>SUM(Results_Res!T251,Results_Out!T251,Results_Ind!T251,Results_Com!T251)</f>
        <v>1.978630828120672E-2</v>
      </c>
      <c r="U251" s="854">
        <f>SUM(Results_Res!U251,Results_Out!U251,Results_Ind!U251,Results_Com!U251)</f>
        <v>1.7865189570651599E-2</v>
      </c>
      <c r="V251" s="854">
        <f>SUM(Results_Res!V251,Results_Out!V251,Results_Ind!V251,Results_Com!V251)</f>
        <v>1.6173680982071215E-2</v>
      </c>
      <c r="W251" s="854">
        <f>SUM(Results_Res!W251,Results_Out!W251,Results_Ind!W251,Results_Com!W251)</f>
        <v>1.4688865396962394E-2</v>
      </c>
      <c r="X251" s="854">
        <f>SUM(Results_Res!X251,Results_Out!X251,Results_Ind!X251,Results_Com!X251)</f>
        <v>1.3382817030892086E-2</v>
      </c>
      <c r="Y251" s="854">
        <f>SUM(Results_Res!Y251,Results_Out!Y251,Results_Ind!Y251,Results_Com!Y251)</f>
        <v>1.2232510990396517E-2</v>
      </c>
      <c r="Z251" s="854">
        <f>SUM(Results_Res!Z251,Results_Out!Z251,Results_Ind!Z251,Results_Com!Z251)</f>
        <v>1.1218403784006098E-2</v>
      </c>
      <c r="AA251" s="854">
        <f>SUM(Results_Res!AA251,Results_Out!AA251,Results_Ind!AA251,Results_Com!AA251)</f>
        <v>1.0320540780665905E-2</v>
      </c>
      <c r="AB251" s="854">
        <f>SUM(Results_Res!AB251,Results_Out!AB251,Results_Ind!AB251,Results_Com!AB251)</f>
        <v>9.5275490515666049E-3</v>
      </c>
      <c r="AC251" s="854">
        <f>SUM(Results_Res!AC251,Results_Out!AC251,Results_Ind!AC251,Results_Com!AC251)</f>
        <v>8.826189255669234E-3</v>
      </c>
      <c r="AD251" s="854">
        <f>SUM(Results_Res!AD251,Results_Out!AD251,Results_Ind!AD251,Results_Com!AD251)</f>
        <v>8.2049042477105993E-3</v>
      </c>
      <c r="AE251" s="854">
        <f>SUM(Results_Res!AE251,Results_Out!AE251,Results_Ind!AE251,Results_Com!AE251)</f>
        <v>7.653936523466515E-3</v>
      </c>
      <c r="AF251" s="854">
        <f>SUM(Results_Res!AF251,Results_Out!AF251,Results_Ind!AF251,Results_Com!AF251)</f>
        <v>7.1646589699113509E-3</v>
      </c>
    </row>
    <row r="252" spans="1:32" s="221" customFormat="1" x14ac:dyDescent="0.25">
      <c r="A252" s="839"/>
      <c r="B252" s="552" t="s">
        <v>46</v>
      </c>
      <c r="C252" s="539"/>
      <c r="D252" s="539"/>
      <c r="E252" s="539"/>
      <c r="F252" s="539"/>
      <c r="G252" s="854">
        <f>SUM(Results_Res!G252,Results_Out!G252,Results_Ind!G252,Results_Com!G252)</f>
        <v>1.2661197128309735E-4</v>
      </c>
      <c r="H252" s="854">
        <f>SUM(Results_Res!H252,Results_Out!H252,Results_Ind!H252,Results_Com!H252)</f>
        <v>1.0955738859085266E-4</v>
      </c>
      <c r="I252" s="854">
        <f>SUM(Results_Res!I252,Results_Out!I252,Results_Ind!I252,Results_Com!I252)</f>
        <v>9.4715880821461142E-5</v>
      </c>
      <c r="J252" s="854">
        <f>SUM(Results_Res!J252,Results_Out!J252,Results_Ind!J252,Results_Com!J252)</f>
        <v>8.1919620245250017E-5</v>
      </c>
      <c r="K252" s="854">
        <f>SUM(Results_Res!K252,Results_Out!K252,Results_Ind!K252,Results_Com!K252)</f>
        <v>7.0927575218533863E-5</v>
      </c>
      <c r="L252" s="854">
        <f>SUM(Results_Res!L252,Results_Out!L252,Results_Ind!L252,Results_Com!L252)</f>
        <v>6.1458689048456049E-5</v>
      </c>
      <c r="M252" s="854">
        <f>SUM(Results_Res!M252,Results_Out!M252,Results_Ind!M252,Results_Com!M252)</f>
        <v>5.3347656175241193E-5</v>
      </c>
      <c r="N252" s="854">
        <f>SUM(Results_Res!N252,Results_Out!N252,Results_Ind!N252,Results_Com!N252)</f>
        <v>4.6333236535263061E-5</v>
      </c>
      <c r="O252" s="854">
        <f>SUM(Results_Res!O252,Results_Out!O252,Results_Ind!O252,Results_Com!O252)</f>
        <v>4.0206052866215801E-5</v>
      </c>
      <c r="P252" s="854">
        <f>SUM(Results_Res!P252,Results_Out!P252,Results_Ind!P252,Results_Com!P252)</f>
        <v>3.4912710773391445E-5</v>
      </c>
      <c r="Q252" s="854">
        <f>SUM(Results_Res!Q252,Results_Out!Q252,Results_Ind!Q252,Results_Com!Q252)</f>
        <v>3.0313508668089816E-5</v>
      </c>
      <c r="R252" s="854">
        <f>SUM(Results_Res!R252,Results_Out!R252,Results_Ind!R252,Results_Com!R252)</f>
        <v>2.634811432646244E-5</v>
      </c>
      <c r="S252" s="854">
        <f>SUM(Results_Res!S252,Results_Out!S252,Results_Ind!S252,Results_Com!S252)</f>
        <v>2.2918407645888907E-5</v>
      </c>
      <c r="T252" s="854">
        <f>SUM(Results_Res!T252,Results_Out!T252,Results_Ind!T252,Results_Com!T252)</f>
        <v>1.9948518438404416E-5</v>
      </c>
      <c r="U252" s="854">
        <f>SUM(Results_Res!U252,Results_Out!U252,Results_Ind!U252,Results_Com!U252)</f>
        <v>1.7372813571143399E-5</v>
      </c>
      <c r="V252" s="854">
        <f>SUM(Results_Res!V252,Results_Out!V252,Results_Ind!V252,Results_Com!V252)</f>
        <v>1.5138053168415842E-5</v>
      </c>
      <c r="W252" s="854">
        <f>SUM(Results_Res!W252,Results_Out!W252,Results_Ind!W252,Results_Com!W252)</f>
        <v>1.3203451784420723E-5</v>
      </c>
      <c r="X252" s="854">
        <f>SUM(Results_Res!X252,Results_Out!X252,Results_Ind!X252,Results_Com!X252)</f>
        <v>1.1517016473675043E-5</v>
      </c>
      <c r="Y252" s="854">
        <f>SUM(Results_Res!Y252,Results_Out!Y252,Results_Ind!Y252,Results_Com!Y252)</f>
        <v>1.0046056229157215E-5</v>
      </c>
      <c r="Z252" s="854">
        <f>SUM(Results_Res!Z252,Results_Out!Z252,Results_Ind!Z252,Results_Com!Z252)</f>
        <v>8.7664416654071894E-6</v>
      </c>
      <c r="AA252" s="854">
        <f>SUM(Results_Res!AA252,Results_Out!AA252,Results_Ind!AA252,Results_Com!AA252)</f>
        <v>7.6552655713029336E-6</v>
      </c>
      <c r="AB252" s="854">
        <f>SUM(Results_Res!AB252,Results_Out!AB252,Results_Ind!AB252,Results_Com!AB252)</f>
        <v>6.6910366348672183E-6</v>
      </c>
      <c r="AC252" s="854">
        <f>SUM(Results_Res!AC252,Results_Out!AC252,Results_Ind!AC252,Results_Com!AC252)</f>
        <v>5.8527938508845036E-6</v>
      </c>
      <c r="AD252" s="854">
        <f>SUM(Results_Res!AD252,Results_Out!AD252,Results_Ind!AD252,Results_Com!AD252)</f>
        <v>5.1219195899912241E-6</v>
      </c>
      <c r="AE252" s="854">
        <f>SUM(Results_Res!AE252,Results_Out!AE252,Results_Ind!AE252,Results_Com!AE252)</f>
        <v>4.4856782131127339E-6</v>
      </c>
      <c r="AF252" s="854">
        <f>SUM(Results_Res!AF252,Results_Out!AF252,Results_Ind!AF252,Results_Com!AF252)</f>
        <v>3.9313565761020711E-6</v>
      </c>
    </row>
    <row r="253" spans="1:32" s="221" customFormat="1" x14ac:dyDescent="0.25">
      <c r="A253" s="839"/>
      <c r="B253" s="550" t="s">
        <v>29</v>
      </c>
      <c r="C253" s="539"/>
      <c r="D253" s="539"/>
      <c r="E253" s="539"/>
      <c r="F253" s="539"/>
      <c r="G253" s="854">
        <f>SUM(Results_Res!G253,Results_Out!G253,Results_Ind!G253,Results_Com!G253)</f>
        <v>0</v>
      </c>
      <c r="H253" s="854">
        <f>SUM(Results_Res!H253,Results_Out!H253,Results_Ind!H253,Results_Com!H253)</f>
        <v>2.0087089230737907E-3</v>
      </c>
      <c r="I253" s="854">
        <f>SUM(Results_Res!I253,Results_Out!I253,Results_Ind!I253,Results_Com!I253)</f>
        <v>3.4593017599526235E-3</v>
      </c>
      <c r="J253" s="854">
        <f>SUM(Results_Res!J253,Results_Out!J253,Results_Ind!J253,Results_Com!J253)</f>
        <v>4.4991893299738692E-3</v>
      </c>
      <c r="K253" s="854">
        <f>SUM(Results_Res!K253,Results_Out!K253,Results_Ind!K253,Results_Com!K253)</f>
        <v>5.2369535065926297E-3</v>
      </c>
      <c r="L253" s="854">
        <f>SUM(Results_Res!L253,Results_Out!L253,Results_Ind!L253,Results_Com!L253)</f>
        <v>5.7526049737732709E-3</v>
      </c>
      <c r="M253" s="854">
        <f>SUM(Results_Res!M253,Results_Out!M253,Results_Ind!M253,Results_Com!M253)</f>
        <v>6.1050747562997913E-3</v>
      </c>
      <c r="N253" s="854">
        <f>SUM(Results_Res!N253,Results_Out!N253,Results_Ind!N253,Results_Com!N253)</f>
        <v>6.3377717934589139E-3</v>
      </c>
      <c r="O253" s="854">
        <f>SUM(Results_Res!O253,Results_Out!O253,Results_Ind!O253,Results_Com!O253)</f>
        <v>6.4826764884629816E-3</v>
      </c>
      <c r="P253" s="854">
        <f>SUM(Results_Res!P253,Results_Out!P253,Results_Ind!P253,Results_Com!P253)</f>
        <v>6.5633443454073724E-3</v>
      </c>
      <c r="Q253" s="854">
        <f>SUM(Results_Res!Q253,Results_Out!Q253,Results_Ind!Q253,Results_Com!Q253)</f>
        <v>6.5971228384527304E-3</v>
      </c>
      <c r="R253" s="854">
        <f>SUM(Results_Res!R253,Results_Out!R253,Results_Ind!R253,Results_Com!R253)</f>
        <v>6.5967841760047321E-3</v>
      </c>
      <c r="S253" s="854">
        <f>SUM(Results_Res!S253,Results_Out!S253,Results_Ind!S253,Results_Com!S253)</f>
        <v>6.5717367538562022E-3</v>
      </c>
      <c r="T253" s="854">
        <f>SUM(Results_Res!T253,Results_Out!T253,Results_Ind!T253,Results_Com!T253)</f>
        <v>6.5289021924233442E-3</v>
      </c>
      <c r="U253" s="854">
        <f>SUM(Results_Res!U253,Results_Out!U253,Results_Ind!U253,Results_Com!U253)</f>
        <v>6.4663038838425361E-3</v>
      </c>
      <c r="V253" s="854">
        <f>SUM(Results_Res!V253,Results_Out!V253,Results_Ind!V253,Results_Com!V253)</f>
        <v>6.3967853497464873E-3</v>
      </c>
      <c r="W253" s="854">
        <f>SUM(Results_Res!W253,Results_Out!W253,Results_Ind!W253,Results_Com!W253)</f>
        <v>6.3159213978741212E-3</v>
      </c>
      <c r="X253" s="854">
        <f>SUM(Results_Res!X253,Results_Out!X253,Results_Ind!X253,Results_Com!X253)</f>
        <v>6.2274845831379912E-3</v>
      </c>
      <c r="Y253" s="854">
        <f>SUM(Results_Res!Y253,Results_Out!Y253,Results_Ind!Y253,Results_Com!Y253)</f>
        <v>6.1342246844027712E-3</v>
      </c>
      <c r="Z253" s="854">
        <f>SUM(Results_Res!Z253,Results_Out!Z253,Results_Ind!Z253,Results_Com!Z253)</f>
        <v>6.0381404791419388E-3</v>
      </c>
      <c r="AA253" s="854">
        <f>SUM(Results_Res!AA253,Results_Out!AA253,Results_Ind!AA253,Results_Com!AA253)</f>
        <v>5.94639088568943E-3</v>
      </c>
      <c r="AB253" s="854">
        <f>SUM(Results_Res!AB253,Results_Out!AB253,Results_Ind!AB253,Results_Com!AB253)</f>
        <v>5.8525979342662253E-3</v>
      </c>
      <c r="AC253" s="854">
        <f>SUM(Results_Res!AC253,Results_Out!AC253,Results_Ind!AC253,Results_Com!AC253)</f>
        <v>5.7579566467089293E-3</v>
      </c>
      <c r="AD253" s="854">
        <f>SUM(Results_Res!AD253,Results_Out!AD253,Results_Ind!AD253,Results_Com!AD253)</f>
        <v>5.6633258060046227E-3</v>
      </c>
      <c r="AE253" s="854">
        <f>SUM(Results_Res!AE253,Results_Out!AE253,Results_Ind!AE253,Results_Com!AE253)</f>
        <v>5.5693154819299031E-3</v>
      </c>
      <c r="AF253" s="854">
        <f>SUM(Results_Res!AF253,Results_Out!AF253,Results_Ind!AF253,Results_Com!AF253)</f>
        <v>5.4763535446391738E-3</v>
      </c>
    </row>
    <row r="254" spans="1:32" s="221" customFormat="1" x14ac:dyDescent="0.25">
      <c r="A254" s="839"/>
      <c r="B254" s="550"/>
      <c r="C254" s="539"/>
      <c r="D254" s="539"/>
      <c r="E254" s="539"/>
      <c r="F254" s="539"/>
      <c r="G254" s="549"/>
      <c r="H254" s="549"/>
      <c r="I254" s="549"/>
      <c r="J254" s="549"/>
      <c r="K254" s="549"/>
      <c r="L254" s="549"/>
      <c r="M254" s="549"/>
      <c r="N254" s="549"/>
      <c r="O254" s="549"/>
      <c r="P254" s="549"/>
      <c r="Q254" s="549"/>
      <c r="R254" s="549"/>
      <c r="S254" s="549"/>
      <c r="T254" s="549"/>
      <c r="U254" s="549"/>
      <c r="V254" s="549"/>
      <c r="W254" s="549"/>
      <c r="X254" s="549"/>
      <c r="Y254" s="549"/>
      <c r="Z254" s="549"/>
      <c r="AA254" s="549"/>
      <c r="AB254" s="549"/>
      <c r="AC254" s="549"/>
      <c r="AD254" s="549"/>
      <c r="AE254" s="549"/>
      <c r="AF254" s="549"/>
    </row>
    <row r="255" spans="1:32" s="202" customFormat="1" ht="12.75" x14ac:dyDescent="0.2">
      <c r="A255" s="843" t="s">
        <v>47</v>
      </c>
      <c r="B255" s="556"/>
      <c r="C255" s="556"/>
      <c r="D255" s="556"/>
      <c r="E255" s="556"/>
      <c r="F255" s="556"/>
      <c r="G255" s="632"/>
      <c r="H255" s="632"/>
      <c r="I255" s="632"/>
      <c r="J255" s="632"/>
      <c r="K255" s="632"/>
      <c r="L255" s="632"/>
      <c r="M255" s="632"/>
      <c r="N255" s="632"/>
      <c r="O255" s="632"/>
      <c r="P255" s="632"/>
      <c r="Q255" s="632"/>
      <c r="R255" s="632"/>
      <c r="S255" s="632"/>
      <c r="T255" s="632"/>
      <c r="U255" s="632"/>
      <c r="V255" s="632"/>
      <c r="W255" s="632"/>
      <c r="X255" s="632"/>
      <c r="Y255" s="632"/>
      <c r="Z255" s="632"/>
      <c r="AA255" s="632"/>
      <c r="AB255" s="632"/>
      <c r="AC255" s="632"/>
      <c r="AD255" s="632"/>
      <c r="AE255" s="632"/>
      <c r="AF255" s="632"/>
    </row>
    <row r="256" spans="1:32" s="221" customFormat="1" x14ac:dyDescent="0.25">
      <c r="A256" s="839"/>
      <c r="B256" s="550" t="s">
        <v>48</v>
      </c>
      <c r="C256" s="539"/>
      <c r="D256" s="539"/>
      <c r="E256" s="539"/>
      <c r="F256" s="539"/>
      <c r="G256" s="854">
        <f>SUM(Results_Res!G256,Results_Out!G256,Results_Ind!G256,Results_Com!G256)</f>
        <v>0.21947122408686928</v>
      </c>
      <c r="H256" s="854">
        <f>SUM(Results_Res!H256,Results_Out!H256,Results_Ind!H256,Results_Com!H256)</f>
        <v>0.21789213150279255</v>
      </c>
      <c r="I256" s="854">
        <f>SUM(Results_Res!I256,Results_Out!I256,Results_Ind!I256,Results_Com!I256)</f>
        <v>0.21465999746002415</v>
      </c>
      <c r="J256" s="854">
        <f>SUM(Results_Res!J256,Results_Out!J256,Results_Ind!J256,Results_Com!J256)</f>
        <v>0.20994596828152651</v>
      </c>
      <c r="K256" s="854">
        <f>SUM(Results_Res!K256,Results_Out!K256,Results_Ind!K256,Results_Com!K256)</f>
        <v>0.20545747300898179</v>
      </c>
      <c r="L256" s="854">
        <f>SUM(Results_Res!L256,Results_Out!L256,Results_Ind!L256,Results_Com!L256)</f>
        <v>0.20263913628710339</v>
      </c>
      <c r="M256" s="854">
        <f>SUM(Results_Res!M256,Results_Out!M256,Results_Ind!M256,Results_Com!M256)</f>
        <v>0.20137369644560268</v>
      </c>
      <c r="N256" s="854">
        <f>SUM(Results_Res!N256,Results_Out!N256,Results_Ind!N256,Results_Com!N256)</f>
        <v>0.20012623761321297</v>
      </c>
      <c r="O256" s="854">
        <f>SUM(Results_Res!O256,Results_Out!O256,Results_Ind!O256,Results_Com!O256)</f>
        <v>0.19889539766503109</v>
      </c>
      <c r="P256" s="854">
        <f>SUM(Results_Res!P256,Results_Out!P256,Results_Ind!P256,Results_Com!P256)</f>
        <v>0.19767994420231688</v>
      </c>
      <c r="Q256" s="854">
        <f>SUM(Results_Res!Q256,Results_Out!Q256,Results_Ind!Q256,Results_Com!Q256)</f>
        <v>0.19647963323224338</v>
      </c>
      <c r="R256" s="854">
        <f>SUM(Results_Res!R256,Results_Out!R256,Results_Ind!R256,Results_Com!R256)</f>
        <v>0.19529668363160338</v>
      </c>
      <c r="S256" s="854">
        <f>SUM(Results_Res!S256,Results_Out!S256,Results_Ind!S256,Results_Com!S256)</f>
        <v>0.19412700890723122</v>
      </c>
      <c r="T256" s="854">
        <f>SUM(Results_Res!T256,Results_Out!T256,Results_Ind!T256,Results_Com!T256)</f>
        <v>0.19297069214350268</v>
      </c>
      <c r="U256" s="854">
        <f>SUM(Results_Res!U256,Results_Out!U256,Results_Ind!U256,Results_Com!U256)</f>
        <v>0.19182777674116508</v>
      </c>
      <c r="V256" s="854">
        <f>SUM(Results_Res!V256,Results_Out!V256,Results_Ind!V256,Results_Com!V256)</f>
        <v>0.19069646985133237</v>
      </c>
      <c r="W256" s="854">
        <f>SUM(Results_Res!W256,Results_Out!W256,Results_Ind!W256,Results_Com!W256)</f>
        <v>0.18957804307754714</v>
      </c>
      <c r="X256" s="854">
        <f>SUM(Results_Res!X256,Results_Out!X256,Results_Ind!X256,Results_Com!X256)</f>
        <v>0.18847377546148303</v>
      </c>
      <c r="Y256" s="854">
        <f>SUM(Results_Res!Y256,Results_Out!Y256,Results_Ind!Y256,Results_Com!Y256)</f>
        <v>0.18738415261336747</v>
      </c>
      <c r="Z256" s="854">
        <f>SUM(Results_Res!Z256,Results_Out!Z256,Results_Ind!Z256,Results_Com!Z256)</f>
        <v>0.18630746891658492</v>
      </c>
      <c r="AA256" s="854">
        <f>SUM(Results_Res!AA256,Results_Out!AA256,Results_Ind!AA256,Results_Com!AA256)</f>
        <v>0.18524157192028912</v>
      </c>
      <c r="AB256" s="854">
        <f>SUM(Results_Res!AB256,Results_Out!AB256,Results_Ind!AB256,Results_Com!AB256)</f>
        <v>0.18418358481082789</v>
      </c>
      <c r="AC256" s="854">
        <f>SUM(Results_Res!AC256,Results_Out!AC256,Results_Ind!AC256,Results_Com!AC256)</f>
        <v>0.18313735691558972</v>
      </c>
      <c r="AD256" s="854">
        <f>SUM(Results_Res!AD256,Results_Out!AD256,Results_Ind!AD256,Results_Com!AD256)</f>
        <v>0.18210274287076425</v>
      </c>
      <c r="AE256" s="854">
        <f>SUM(Results_Res!AE256,Results_Out!AE256,Results_Ind!AE256,Results_Com!AE256)</f>
        <v>0.18107959986170388</v>
      </c>
      <c r="AF256" s="854">
        <f>SUM(Results_Res!AF256,Results_Out!AF256,Results_Ind!AF256,Results_Com!AF256)</f>
        <v>0.18006778756767525</v>
      </c>
    </row>
    <row r="257" spans="1:32" s="221" customFormat="1" x14ac:dyDescent="0.25">
      <c r="A257" s="839"/>
      <c r="B257" s="552" t="s">
        <v>50</v>
      </c>
      <c r="C257" s="539"/>
      <c r="D257" s="539"/>
      <c r="E257" s="539"/>
      <c r="F257" s="539"/>
      <c r="G257" s="854">
        <f>SUM(Results_Res!G257,Results_Out!G257,Results_Ind!G257,Results_Com!G257)</f>
        <v>5.93319153131006E-2</v>
      </c>
      <c r="H257" s="854">
        <f>SUM(Results_Res!H257,Results_Out!H257,Results_Ind!H257,Results_Com!H257)</f>
        <v>5.8858441202065015E-2</v>
      </c>
      <c r="I257" s="854">
        <f>SUM(Results_Res!I257,Results_Out!I257,Results_Ind!I257,Results_Com!I257)</f>
        <v>5.8390883076116021E-2</v>
      </c>
      <c r="J257" s="854">
        <f>SUM(Results_Res!J257,Results_Out!J257,Results_Ind!J257,Results_Com!J257)</f>
        <v>5.7929410855719697E-2</v>
      </c>
      <c r="K257" s="854">
        <f>SUM(Results_Res!K257,Results_Out!K257,Results_Ind!K257,Results_Com!K257)</f>
        <v>5.7474315706271387E-2</v>
      </c>
      <c r="L257" s="854">
        <f>SUM(Results_Res!L257,Results_Out!L257,Results_Ind!L257,Results_Com!L257)</f>
        <v>5.702530454589002E-2</v>
      </c>
      <c r="M257" s="854">
        <f>SUM(Results_Res!M257,Results_Out!M257,Results_Ind!M257,Results_Com!M257)</f>
        <v>5.6582442515275728E-2</v>
      </c>
      <c r="N257" s="854">
        <f>SUM(Results_Res!N257,Results_Out!N257,Results_Ind!N257,Results_Com!N257)</f>
        <v>5.6145614372721482E-2</v>
      </c>
      <c r="O257" s="854">
        <f>SUM(Results_Res!O257,Results_Out!O257,Results_Ind!O257,Results_Com!O257)</f>
        <v>5.5714557874273221E-2</v>
      </c>
      <c r="P257" s="854">
        <f>SUM(Results_Res!P257,Results_Out!P257,Results_Ind!P257,Results_Com!P257)</f>
        <v>5.5289331712212286E-2</v>
      </c>
      <c r="Q257" s="854">
        <f>SUM(Results_Res!Q257,Results_Out!Q257,Results_Ind!Q257,Results_Com!Q257)</f>
        <v>5.4869777526657476E-2</v>
      </c>
      <c r="R257" s="854">
        <f>SUM(Results_Res!R257,Results_Out!R257,Results_Ind!R257,Results_Com!R257)</f>
        <v>5.4456004083676728E-2</v>
      </c>
      <c r="S257" s="854">
        <f>SUM(Results_Res!S257,Results_Out!S257,Results_Ind!S257,Results_Com!S257)</f>
        <v>5.4047792756484421E-2</v>
      </c>
      <c r="T257" s="854">
        <f>SUM(Results_Res!T257,Results_Out!T257,Results_Ind!T257,Results_Com!T257)</f>
        <v>5.3645067817332456E-2</v>
      </c>
      <c r="U257" s="854">
        <f>SUM(Results_Res!U257,Results_Out!U257,Results_Ind!U257,Results_Com!U257)</f>
        <v>5.3247747717497781E-2</v>
      </c>
      <c r="V257" s="854">
        <f>SUM(Results_Res!V257,Results_Out!V257,Results_Ind!V257,Results_Com!V257)</f>
        <v>5.2855714627230516E-2</v>
      </c>
      <c r="W257" s="854">
        <f>SUM(Results_Res!W257,Results_Out!W257,Results_Ind!W257,Results_Com!W257)</f>
        <v>5.2468975313734935E-2</v>
      </c>
      <c r="X257" s="854">
        <f>SUM(Results_Res!X257,Results_Out!X257,Results_Ind!X257,Results_Com!X257)</f>
        <v>5.2087416706417894E-2</v>
      </c>
      <c r="Y257" s="854">
        <f>SUM(Results_Res!Y257,Results_Out!Y257,Results_Ind!Y257,Results_Com!Y257)</f>
        <v>5.1710982910714298E-2</v>
      </c>
      <c r="Z257" s="854">
        <f>SUM(Results_Res!Z257,Results_Out!Z257,Results_Ind!Z257,Results_Com!Z257)</f>
        <v>5.1339597723809791E-2</v>
      </c>
      <c r="AA257" s="854">
        <f>SUM(Results_Res!AA257,Results_Out!AA257,Results_Ind!AA257,Results_Com!AA257)</f>
        <v>5.0973163429929816E-2</v>
      </c>
      <c r="AB257" s="854">
        <f>SUM(Results_Res!AB257,Results_Out!AB257,Results_Ind!AB257,Results_Com!AB257)</f>
        <v>5.0611521509658947E-2</v>
      </c>
      <c r="AC257" s="854">
        <f>SUM(Results_Res!AC257,Results_Out!AC257,Results_Ind!AC257,Results_Com!AC257)</f>
        <v>5.0254710643620332E-2</v>
      </c>
      <c r="AD257" s="854">
        <f>SUM(Results_Res!AD257,Results_Out!AD257,Results_Ind!AD257,Results_Com!AD257)</f>
        <v>4.9902665186992393E-2</v>
      </c>
      <c r="AE257" s="854">
        <f>SUM(Results_Res!AE257,Results_Out!AE257,Results_Ind!AE257,Results_Com!AE257)</f>
        <v>4.9555320427470816E-2</v>
      </c>
      <c r="AF257" s="854">
        <f>SUM(Results_Res!AF257,Results_Out!AF257,Results_Ind!AF257,Results_Com!AF257)</f>
        <v>4.9212612571674447E-2</v>
      </c>
    </row>
    <row r="258" spans="1:32" s="221" customFormat="1" x14ac:dyDescent="0.25">
      <c r="A258" s="839"/>
      <c r="B258" s="550" t="s">
        <v>51</v>
      </c>
      <c r="C258" s="539"/>
      <c r="D258" s="539"/>
      <c r="E258" s="539"/>
      <c r="F258" s="539"/>
      <c r="G258" s="854">
        <f>SUM(Results_Res!G258,Results_Out!G258,Results_Ind!G258,Results_Com!G258)</f>
        <v>3.7423424375315512E-2</v>
      </c>
      <c r="H258" s="854">
        <f>SUM(Results_Res!H258,Results_Out!H258,Results_Ind!H258,Results_Com!H258)</f>
        <v>3.7071219086936821E-2</v>
      </c>
      <c r="I258" s="854">
        <f>SUM(Results_Res!I258,Results_Out!I258,Results_Ind!I258,Results_Com!I258)</f>
        <v>3.6722410990472777E-2</v>
      </c>
      <c r="J258" s="854">
        <f>SUM(Results_Res!J258,Results_Out!J258,Results_Ind!J258,Results_Com!J258)</f>
        <v>3.6377864632503296E-2</v>
      </c>
      <c r="K258" s="854">
        <f>SUM(Results_Res!K258,Results_Out!K258,Results_Ind!K258,Results_Com!K258)</f>
        <v>3.60379850838351E-2</v>
      </c>
      <c r="L258" s="854">
        <f>SUM(Results_Res!L258,Results_Out!L258,Results_Ind!L258,Results_Com!L258)</f>
        <v>3.5702504167769246E-2</v>
      </c>
      <c r="M258" s="854">
        <f>SUM(Results_Res!M258,Results_Out!M258,Results_Ind!M258,Results_Com!M258)</f>
        <v>3.5371995884894002E-2</v>
      </c>
      <c r="N258" s="854">
        <f>SUM(Results_Res!N258,Results_Out!N258,Results_Ind!N258,Results_Com!N258)</f>
        <v>3.5045630869594925E-2</v>
      </c>
      <c r="O258" s="854">
        <f>SUM(Results_Res!O258,Results_Out!O258,Results_Ind!O258,Results_Com!O258)</f>
        <v>3.4722447831528488E-2</v>
      </c>
      <c r="P258" s="854">
        <f>SUM(Results_Res!P258,Results_Out!P258,Results_Ind!P258,Results_Com!P258)</f>
        <v>3.4403386228691421E-2</v>
      </c>
      <c r="Q258" s="854">
        <f>SUM(Results_Res!Q258,Results_Out!Q258,Results_Ind!Q258,Results_Com!Q258)</f>
        <v>3.4087920150298379E-2</v>
      </c>
      <c r="R258" s="854">
        <f>SUM(Results_Res!R258,Results_Out!R258,Results_Ind!R258,Results_Com!R258)</f>
        <v>3.3776721100014145E-2</v>
      </c>
      <c r="S258" s="854">
        <f>SUM(Results_Res!S258,Results_Out!S258,Results_Ind!S258,Results_Com!S258)</f>
        <v>3.3469522806500493E-2</v>
      </c>
      <c r="T258" s="854">
        <f>SUM(Results_Res!T258,Results_Out!T258,Results_Ind!T258,Results_Com!T258)</f>
        <v>3.3166231163420393E-2</v>
      </c>
      <c r="U258" s="854">
        <f>SUM(Results_Res!U258,Results_Out!U258,Results_Ind!U258,Results_Com!U258)</f>
        <v>3.2866716889549764E-2</v>
      </c>
      <c r="V258" s="854">
        <f>SUM(Results_Res!V258,Results_Out!V258,Results_Ind!V258,Results_Com!V258)</f>
        <v>3.2570935914935331E-2</v>
      </c>
      <c r="W258" s="854">
        <f>SUM(Results_Res!W258,Results_Out!W258,Results_Ind!W258,Results_Com!W258)</f>
        <v>3.2279080054743406E-2</v>
      </c>
      <c r="X258" s="854">
        <f>SUM(Results_Res!X258,Results_Out!X258,Results_Ind!X258,Results_Com!X258)</f>
        <v>3.1990597699706656E-2</v>
      </c>
      <c r="Y258" s="854">
        <f>SUM(Results_Res!Y258,Results_Out!Y258,Results_Ind!Y258,Results_Com!Y258)</f>
        <v>3.1705412406450806E-2</v>
      </c>
      <c r="Z258" s="854">
        <f>SUM(Results_Res!Z258,Results_Out!Z258,Results_Ind!Z258,Results_Com!Z258)</f>
        <v>3.142369972000171E-2</v>
      </c>
      <c r="AA258" s="854">
        <f>SUM(Results_Res!AA258,Results_Out!AA258,Results_Ind!AA258,Results_Com!AA258)</f>
        <v>3.1145583547033038E-2</v>
      </c>
      <c r="AB258" s="854">
        <f>SUM(Results_Res!AB258,Results_Out!AB258,Results_Ind!AB258,Results_Com!AB258)</f>
        <v>3.0870943730039863E-2</v>
      </c>
      <c r="AC258" s="854">
        <f>SUM(Results_Res!AC258,Results_Out!AC258,Results_Ind!AC258,Results_Com!AC258)</f>
        <v>3.0599681890938996E-2</v>
      </c>
      <c r="AD258" s="854">
        <f>SUM(Results_Res!AD258,Results_Out!AD258,Results_Ind!AD258,Results_Com!AD258)</f>
        <v>3.0331753176757181E-2</v>
      </c>
      <c r="AE258" s="854">
        <f>SUM(Results_Res!AE258,Results_Out!AE258,Results_Ind!AE258,Results_Com!AE258)</f>
        <v>3.00671134016674E-2</v>
      </c>
      <c r="AF258" s="854">
        <f>SUM(Results_Res!AF258,Results_Out!AF258,Results_Ind!AF258,Results_Com!AF258)</f>
        <v>2.9805719035619523E-2</v>
      </c>
    </row>
    <row r="259" spans="1:32" s="221" customFormat="1" x14ac:dyDescent="0.25">
      <c r="A259" s="839"/>
      <c r="B259" s="550" t="s">
        <v>52</v>
      </c>
      <c r="C259" s="539"/>
      <c r="D259" s="539"/>
      <c r="E259" s="539"/>
      <c r="F259" s="539"/>
      <c r="G259" s="854">
        <f>SUM(Results_Res!G259,Results_Out!G259,Results_Ind!G259,Results_Com!G259)</f>
        <v>1.8799199800981527E-2</v>
      </c>
      <c r="H259" s="854">
        <f>SUM(Results_Res!H259,Results_Out!H259,Results_Ind!H259,Results_Com!H259)</f>
        <v>1.8751712973294261E-2</v>
      </c>
      <c r="I259" s="854">
        <f>SUM(Results_Res!I259,Results_Out!I259,Results_Ind!I259,Results_Com!I259)</f>
        <v>1.8704656086546562E-2</v>
      </c>
      <c r="J259" s="854">
        <f>SUM(Results_Res!J259,Results_Out!J259,Results_Ind!J259,Results_Com!J259)</f>
        <v>1.8658146337331566E-2</v>
      </c>
      <c r="K259" s="854">
        <f>SUM(Results_Res!K259,Results_Out!K259,Results_Ind!K259,Results_Com!K259)</f>
        <v>1.8612308901361257E-2</v>
      </c>
      <c r="L259" s="854">
        <f>SUM(Results_Res!L259,Results_Out!L259,Results_Ind!L259,Results_Com!L259)</f>
        <v>1.8564542216288213E-2</v>
      </c>
      <c r="M259" s="854">
        <f>SUM(Results_Res!M259,Results_Out!M259,Results_Ind!M259,Results_Com!M259)</f>
        <v>1.8516287603612763E-2</v>
      </c>
      <c r="N259" s="854">
        <f>SUM(Results_Res!N259,Results_Out!N259,Results_Ind!N259,Results_Com!N259)</f>
        <v>1.8468051969467048E-2</v>
      </c>
      <c r="O259" s="854">
        <f>SUM(Results_Res!O259,Results_Out!O259,Results_Ind!O259,Results_Com!O259)</f>
        <v>1.8421431191664558E-2</v>
      </c>
      <c r="P259" s="854">
        <f>SUM(Results_Res!P259,Results_Out!P259,Results_Ind!P259,Results_Com!P259)</f>
        <v>1.8376130408466515E-2</v>
      </c>
      <c r="Q259" s="854">
        <f>SUM(Results_Res!Q259,Results_Out!Q259,Results_Ind!Q259,Results_Com!Q259)</f>
        <v>1.8331841969790978E-2</v>
      </c>
      <c r="R259" s="854">
        <f>SUM(Results_Res!R259,Results_Out!R259,Results_Ind!R259,Results_Com!R259)</f>
        <v>1.8288515318303031E-2</v>
      </c>
      <c r="S259" s="854">
        <f>SUM(Results_Res!S259,Results_Out!S259,Results_Ind!S259,Results_Com!S259)</f>
        <v>1.8245983774148565E-2</v>
      </c>
      <c r="T259" s="854">
        <f>SUM(Results_Res!T259,Results_Out!T259,Results_Ind!T259,Results_Com!T259)</f>
        <v>1.8204214743256879E-2</v>
      </c>
      <c r="U259" s="854">
        <f>SUM(Results_Res!U259,Results_Out!U259,Results_Ind!U259,Results_Com!U259)</f>
        <v>1.816308678481849E-2</v>
      </c>
      <c r="V259" s="854">
        <f>SUM(Results_Res!V259,Results_Out!V259,Results_Ind!V259,Results_Com!V259)</f>
        <v>1.812264779353814E-2</v>
      </c>
      <c r="W259" s="854">
        <f>SUM(Results_Res!W259,Results_Out!W259,Results_Ind!W259,Results_Com!W259)</f>
        <v>1.8082892802857704E-2</v>
      </c>
      <c r="X259" s="854">
        <f>SUM(Results_Res!X259,Results_Out!X259,Results_Ind!X259,Results_Com!X259)</f>
        <v>1.8043636798836856E-2</v>
      </c>
      <c r="Y259" s="854">
        <f>SUM(Results_Res!Y259,Results_Out!Y259,Results_Ind!Y259,Results_Com!Y259)</f>
        <v>1.8004942921521126E-2</v>
      </c>
      <c r="Z259" s="854">
        <f>SUM(Results_Res!Z259,Results_Out!Z259,Results_Ind!Z259,Results_Com!Z259)</f>
        <v>1.7966749734620972E-2</v>
      </c>
      <c r="AA259" s="854">
        <f>SUM(Results_Res!AA259,Results_Out!AA259,Results_Ind!AA259,Results_Com!AA259)</f>
        <v>1.7929065167575267E-2</v>
      </c>
      <c r="AB259" s="854">
        <f>SUM(Results_Res!AB259,Results_Out!AB259,Results_Ind!AB259,Results_Com!AB259)</f>
        <v>1.7891864727002951E-2</v>
      </c>
      <c r="AC259" s="854">
        <f>SUM(Results_Res!AC259,Results_Out!AC259,Results_Ind!AC259,Results_Com!AC259)</f>
        <v>1.7855109968755785E-2</v>
      </c>
      <c r="AD259" s="854">
        <f>SUM(Results_Res!AD259,Results_Out!AD259,Results_Ind!AD259,Results_Com!AD259)</f>
        <v>1.7818805758998663E-2</v>
      </c>
      <c r="AE259" s="854">
        <f>SUM(Results_Res!AE259,Results_Out!AE259,Results_Ind!AE259,Results_Com!AE259)</f>
        <v>1.7782960092812019E-2</v>
      </c>
      <c r="AF259" s="854">
        <f>SUM(Results_Res!AF259,Results_Out!AF259,Results_Ind!AF259,Results_Com!AF259)</f>
        <v>1.7747520590081878E-2</v>
      </c>
    </row>
    <row r="260" spans="1:32" s="221" customFormat="1" x14ac:dyDescent="0.25">
      <c r="A260" s="839"/>
      <c r="B260" s="552" t="s">
        <v>29</v>
      </c>
      <c r="C260" s="539"/>
      <c r="D260" s="539"/>
      <c r="E260" s="539"/>
      <c r="F260" s="539"/>
      <c r="G260" s="854">
        <f>SUM(Results_Res!G260,Results_Out!G260,Results_Ind!G260,Results_Com!G260)</f>
        <v>3.5238249188647837E-4</v>
      </c>
      <c r="H260" s="854">
        <f>SUM(Results_Res!H260,Results_Out!H260,Results_Ind!H260,Results_Com!H260)</f>
        <v>1.2553043980578788E-3</v>
      </c>
      <c r="I260" s="854">
        <f>SUM(Results_Res!I260,Results_Out!I260,Results_Ind!I260,Results_Com!I260)</f>
        <v>2.1318779590635195E-3</v>
      </c>
      <c r="J260" s="854">
        <f>SUM(Results_Res!J260,Results_Out!J260,Results_Ind!J260,Results_Com!J260)</f>
        <v>2.9816746353683071E-3</v>
      </c>
      <c r="K260" s="854">
        <f>SUM(Results_Res!K260,Results_Out!K260,Results_Ind!K260,Results_Com!K260)</f>
        <v>3.8021984722514338E-3</v>
      </c>
      <c r="L260" s="854">
        <f>SUM(Results_Res!L260,Results_Out!L260,Results_Ind!L260,Results_Com!L260)</f>
        <v>4.6133381890741103E-3</v>
      </c>
      <c r="M260" s="854">
        <f>SUM(Results_Res!M260,Results_Out!M260,Results_Ind!M260,Results_Com!M260)</f>
        <v>5.4140696353219449E-3</v>
      </c>
      <c r="N260" s="854">
        <f>SUM(Results_Res!N260,Results_Out!N260,Results_Ind!N260,Results_Com!N260)</f>
        <v>6.2040567656191812E-3</v>
      </c>
      <c r="O260" s="854">
        <f>SUM(Results_Res!O260,Results_Out!O260,Results_Ind!O260,Results_Com!O260)</f>
        <v>6.9846858157153451E-3</v>
      </c>
      <c r="P260" s="854">
        <f>SUM(Results_Res!P260,Results_Out!P260,Results_Ind!P260,Results_Com!P260)</f>
        <v>7.7554759715821875E-3</v>
      </c>
      <c r="Q260" s="854">
        <f>SUM(Results_Res!Q260,Results_Out!Q260,Results_Ind!Q260,Results_Com!Q260)</f>
        <v>8.5170265114709112E-3</v>
      </c>
      <c r="R260" s="854">
        <f>SUM(Results_Res!R260,Results_Out!R260,Results_Ind!R260,Results_Com!R260)</f>
        <v>9.2679546730689583E-3</v>
      </c>
      <c r="S260" s="854">
        <f>SUM(Results_Res!S260,Results_Out!S260,Results_Ind!S260,Results_Com!S260)</f>
        <v>1.000989597716188E-2</v>
      </c>
      <c r="T260" s="854">
        <f>SUM(Results_Res!T260,Results_Out!T260,Results_Ind!T260,Results_Com!T260)</f>
        <v>1.0742891063193385E-2</v>
      </c>
      <c r="U260" s="854">
        <f>SUM(Results_Res!U260,Results_Out!U260,Results_Ind!U260,Results_Com!U260)</f>
        <v>1.1467092269212911E-2</v>
      </c>
      <c r="V260" s="854">
        <f>SUM(Results_Res!V260,Results_Out!V260,Results_Ind!V260,Results_Com!V260)</f>
        <v>1.2183077700343211E-2</v>
      </c>
      <c r="W260" s="854">
        <f>SUM(Results_Res!W260,Results_Out!W260,Results_Ind!W260,Results_Com!W260)</f>
        <v>1.2890250517112557E-2</v>
      </c>
      <c r="X260" s="854">
        <f>SUM(Results_Res!X260,Results_Out!X260,Results_Ind!X260,Results_Com!X260)</f>
        <v>1.3588797217388699E-2</v>
      </c>
      <c r="Y260" s="854">
        <f>SUM(Results_Res!Y260,Results_Out!Y260,Results_Ind!Y260,Results_Com!Y260)</f>
        <v>1.427857399936484E-2</v>
      </c>
      <c r="Z260" s="854">
        <f>SUM(Results_Res!Z260,Results_Out!Z260,Results_Ind!Z260,Results_Com!Z260)</f>
        <v>1.4960033817702908E-2</v>
      </c>
      <c r="AA260" s="854">
        <f>SUM(Results_Res!AA260,Results_Out!AA260,Results_Ind!AA260,Results_Com!AA260)</f>
        <v>1.5633771848477234E-2</v>
      </c>
      <c r="AB260" s="854">
        <f>SUM(Results_Res!AB260,Results_Out!AB260,Results_Ind!AB260,Results_Com!AB260)</f>
        <v>1.6300863620635802E-2</v>
      </c>
      <c r="AC260" s="854">
        <f>SUM(Results_Res!AC260,Results_Out!AC260,Results_Ind!AC260,Results_Com!AC260)</f>
        <v>1.6960155251671549E-2</v>
      </c>
      <c r="AD260" s="854">
        <f>SUM(Results_Res!AD260,Results_Out!AD260,Results_Ind!AD260,Results_Com!AD260)</f>
        <v>1.7611732877489142E-2</v>
      </c>
      <c r="AE260" s="854">
        <f>SUM(Results_Res!AE260,Results_Out!AE260,Results_Ind!AE260,Results_Com!AE260)</f>
        <v>1.8255680277516666E-2</v>
      </c>
      <c r="AF260" s="854">
        <f>SUM(Results_Res!AF260,Results_Out!AF260,Results_Ind!AF260,Results_Com!AF260)</f>
        <v>1.8892125162121708E-2</v>
      </c>
    </row>
    <row r="261" spans="1:32" s="221" customFormat="1" x14ac:dyDescent="0.25">
      <c r="A261" s="839"/>
      <c r="B261" s="552" t="s">
        <v>53</v>
      </c>
      <c r="C261" s="539"/>
      <c r="D261" s="539"/>
      <c r="E261" s="539"/>
      <c r="F261" s="539"/>
      <c r="G261" s="854">
        <f>SUM(Results_Res!G261,Results_Out!G261,Results_Ind!G261,Results_Com!G261)</f>
        <v>3.5191948950646484E-4</v>
      </c>
      <c r="H261" s="854">
        <f>SUM(Results_Res!H261,Results_Out!H261,Results_Ind!H261,Results_Com!H261)</f>
        <v>3.5176109509281646E-4</v>
      </c>
      <c r="I261" s="854">
        <f>SUM(Results_Res!I261,Results_Out!I261,Results_Ind!I261,Results_Com!I261)</f>
        <v>3.516020069157539E-4</v>
      </c>
      <c r="J261" s="854">
        <f>SUM(Results_Res!J261,Results_Out!J261,Results_Ind!J261,Results_Com!J261)</f>
        <v>3.514428234629359E-4</v>
      </c>
      <c r="K261" s="854">
        <f>SUM(Results_Res!K261,Results_Out!K261,Results_Ind!K261,Results_Com!K261)</f>
        <v>3.5128535818503172E-4</v>
      </c>
      <c r="L261" s="854">
        <f>SUM(Results_Res!L261,Results_Out!L261,Results_Ind!L261,Results_Com!L261)</f>
        <v>3.5112856325805953E-4</v>
      </c>
      <c r="M261" s="854">
        <f>SUM(Results_Res!M261,Results_Out!M261,Results_Ind!M261,Results_Com!M261)</f>
        <v>3.5097269665517464E-4</v>
      </c>
      <c r="N261" s="854">
        <f>SUM(Results_Res!N261,Results_Out!N261,Results_Ind!N261,Results_Com!N261)</f>
        <v>3.5081835630417716E-4</v>
      </c>
      <c r="O261" s="854">
        <f>SUM(Results_Res!O261,Results_Out!O261,Results_Ind!O261,Results_Com!O261)</f>
        <v>3.5066536632379319E-4</v>
      </c>
      <c r="P261" s="854">
        <f>SUM(Results_Res!P261,Results_Out!P261,Results_Ind!P261,Results_Com!P261)</f>
        <v>3.5051355176885955E-4</v>
      </c>
      <c r="Q261" s="854">
        <f>SUM(Results_Res!Q261,Results_Out!Q261,Results_Ind!Q261,Results_Com!Q261)</f>
        <v>3.503629100794196E-4</v>
      </c>
      <c r="R261" s="854">
        <f>SUM(Results_Res!R261,Results_Out!R261,Results_Ind!R261,Results_Com!R261)</f>
        <v>3.5021384092294786E-4</v>
      </c>
      <c r="S261" s="854">
        <f>SUM(Results_Res!S261,Results_Out!S261,Results_Ind!S261,Results_Com!S261)</f>
        <v>3.5006569774205049E-4</v>
      </c>
      <c r="T261" s="854">
        <f>SUM(Results_Res!T261,Results_Out!T261,Results_Ind!T261,Results_Com!T261)</f>
        <v>3.499185238592257E-4</v>
      </c>
      <c r="U261" s="854">
        <f>SUM(Results_Res!U261,Results_Out!U261,Results_Ind!U261,Results_Com!U261)</f>
        <v>3.4977235648646961E-4</v>
      </c>
      <c r="V261" s="854">
        <f>SUM(Results_Res!V261,Results_Out!V261,Results_Ind!V261,Results_Com!V261)</f>
        <v>3.4962691816634077E-4</v>
      </c>
      <c r="W261" s="854">
        <f>SUM(Results_Res!W261,Results_Out!W261,Results_Ind!W261,Results_Com!W261)</f>
        <v>3.4948245058365657E-4</v>
      </c>
      <c r="X261" s="854">
        <f>SUM(Results_Res!X261,Results_Out!X261,Results_Ind!X261,Results_Com!X261)</f>
        <v>3.4933920681572974E-4</v>
      </c>
      <c r="Y261" s="854">
        <f>SUM(Results_Res!Y261,Results_Out!Y261,Results_Ind!Y261,Results_Com!Y261)</f>
        <v>3.4919730319217074E-4</v>
      </c>
      <c r="Z261" s="854">
        <f>SUM(Results_Res!Z261,Results_Out!Z261,Results_Ind!Z261,Results_Com!Z261)</f>
        <v>3.4905647314478695E-4</v>
      </c>
      <c r="AA261" s="854">
        <f>SUM(Results_Res!AA261,Results_Out!AA261,Results_Ind!AA261,Results_Com!AA261)</f>
        <v>3.4891636592805343E-4</v>
      </c>
      <c r="AB261" s="854">
        <f>SUM(Results_Res!AB261,Results_Out!AB261,Results_Ind!AB261,Results_Com!AB261)</f>
        <v>3.4877649681430424E-4</v>
      </c>
      <c r="AC261" s="854">
        <f>SUM(Results_Res!AC261,Results_Out!AC261,Results_Ind!AC261,Results_Com!AC261)</f>
        <v>3.4863756456394426E-4</v>
      </c>
      <c r="AD261" s="854">
        <f>SUM(Results_Res!AD261,Results_Out!AD261,Results_Ind!AD261,Results_Com!AD261)</f>
        <v>3.4849956887912198E-4</v>
      </c>
      <c r="AE261" s="854">
        <f>SUM(Results_Res!AE261,Results_Out!AE261,Results_Ind!AE261,Results_Com!AE261)</f>
        <v>3.4836250946931066E-4</v>
      </c>
      <c r="AF261" s="854">
        <f>SUM(Results_Res!AF261,Results_Out!AF261,Results_Ind!AF261,Results_Com!AF261)</f>
        <v>3.4822638605131487E-4</v>
      </c>
    </row>
  </sheetData>
  <pageMargins left="0.7" right="0.7" top="0.75" bottom="0.75" header="0.3" footer="0.3"/>
  <pageSetup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5" tint="0.39997558519241921"/>
  </sheetPr>
  <dimension ref="A1:AF49"/>
  <sheetViews>
    <sheetView topLeftCell="C1" zoomScale="59" zoomScaleNormal="59" workbookViewId="0">
      <selection activeCell="F37" sqref="F37"/>
    </sheetView>
  </sheetViews>
  <sheetFormatPr defaultRowHeight="15" x14ac:dyDescent="0.25"/>
  <sheetData>
    <row r="1" spans="1:32" ht="18" x14ac:dyDescent="0.4">
      <c r="A1" s="268" t="s">
        <v>300</v>
      </c>
    </row>
    <row r="4" spans="1:32" s="539" customFormat="1" ht="14.45" x14ac:dyDescent="0.35">
      <c r="A4" s="550"/>
      <c r="B4" s="550"/>
      <c r="C4" s="550"/>
      <c r="D4" s="277"/>
      <c r="E4" s="208"/>
      <c r="F4" s="208"/>
      <c r="G4" s="208">
        <v>2010</v>
      </c>
      <c r="H4" s="208">
        <v>2011</v>
      </c>
      <c r="I4" s="208">
        <v>2012</v>
      </c>
      <c r="J4" s="208">
        <v>2013</v>
      </c>
      <c r="K4" s="208">
        <v>2014</v>
      </c>
      <c r="L4" s="208">
        <v>2015</v>
      </c>
      <c r="M4" s="208">
        <v>2016</v>
      </c>
      <c r="N4" s="208">
        <v>2017</v>
      </c>
      <c r="O4" s="208">
        <v>2018</v>
      </c>
      <c r="P4" s="208">
        <v>2019</v>
      </c>
      <c r="Q4" s="208">
        <v>2020</v>
      </c>
      <c r="R4" s="208">
        <v>2021</v>
      </c>
      <c r="S4" s="208">
        <v>2022</v>
      </c>
      <c r="T4" s="208">
        <v>2023</v>
      </c>
      <c r="U4" s="208">
        <v>2024</v>
      </c>
      <c r="V4" s="208">
        <v>2025</v>
      </c>
      <c r="W4" s="208">
        <v>2026</v>
      </c>
      <c r="X4" s="208">
        <v>2027</v>
      </c>
      <c r="Y4" s="208">
        <v>2028</v>
      </c>
      <c r="Z4" s="208">
        <v>2029</v>
      </c>
      <c r="AA4" s="208">
        <v>2030</v>
      </c>
      <c r="AB4" s="208">
        <v>2031</v>
      </c>
      <c r="AC4" s="208">
        <v>2032</v>
      </c>
      <c r="AD4" s="208">
        <v>2033</v>
      </c>
      <c r="AE4" s="208">
        <v>2034</v>
      </c>
      <c r="AF4" s="208">
        <v>2035</v>
      </c>
    </row>
    <row r="5" spans="1:32" s="539" customFormat="1" ht="14.45" x14ac:dyDescent="0.35">
      <c r="A5" s="554" t="s">
        <v>488</v>
      </c>
      <c r="B5" s="555"/>
      <c r="C5" s="554"/>
      <c r="D5" s="553"/>
      <c r="E5" s="553"/>
      <c r="F5" s="553"/>
      <c r="G5" s="553">
        <f>SUM(G6:G10)</f>
        <v>3443.3059469022337</v>
      </c>
      <c r="H5" s="1046">
        <f t="shared" ref="H5:AF5" si="0">SUM(H6:H10)</f>
        <v>3405.8752724239798</v>
      </c>
      <c r="I5" s="1046">
        <f t="shared" si="0"/>
        <v>3394.0995871669102</v>
      </c>
      <c r="J5" s="1046">
        <f t="shared" si="0"/>
        <v>3369.5933820063619</v>
      </c>
      <c r="K5" s="1046">
        <f t="shared" si="0"/>
        <v>3352.756350541239</v>
      </c>
      <c r="L5" s="1046">
        <f t="shared" si="0"/>
        <v>3340.0029597950429</v>
      </c>
      <c r="M5" s="1046">
        <f t="shared" si="0"/>
        <v>3325.8229761857378</v>
      </c>
      <c r="N5" s="1046">
        <f t="shared" si="0"/>
        <v>3329.2136763716626</v>
      </c>
      <c r="O5" s="1046">
        <f t="shared" si="0"/>
        <v>3347.4186321196034</v>
      </c>
      <c r="P5" s="1046">
        <f t="shared" si="0"/>
        <v>3373.3334703359251</v>
      </c>
      <c r="Q5" s="1046">
        <f t="shared" si="0"/>
        <v>3406.1466583152619</v>
      </c>
      <c r="R5" s="1046">
        <f t="shared" si="0"/>
        <v>3441.2950717651779</v>
      </c>
      <c r="S5" s="1046">
        <f t="shared" si="0"/>
        <v>3478.7497741781945</v>
      </c>
      <c r="T5" s="1046">
        <f t="shared" si="0"/>
        <v>3517.879839040666</v>
      </c>
      <c r="U5" s="1046">
        <f t="shared" si="0"/>
        <v>3557.6920101314931</v>
      </c>
      <c r="V5" s="1046">
        <f t="shared" si="0"/>
        <v>3597.9373928033328</v>
      </c>
      <c r="W5" s="1046">
        <f t="shared" si="0"/>
        <v>3637.2231328792127</v>
      </c>
      <c r="X5" s="1046">
        <f t="shared" si="0"/>
        <v>3677.4323040819313</v>
      </c>
      <c r="Y5" s="1046">
        <f t="shared" si="0"/>
        <v>3718.5847045661162</v>
      </c>
      <c r="Z5" s="1046">
        <f t="shared" si="0"/>
        <v>3759.7463602226617</v>
      </c>
      <c r="AA5" s="1046">
        <f t="shared" si="0"/>
        <v>3800.2069191487794</v>
      </c>
      <c r="AB5" s="1046">
        <f t="shared" si="0"/>
        <v>3840.4484858585465</v>
      </c>
      <c r="AC5" s="1046">
        <f t="shared" si="0"/>
        <v>3880.3596423727154</v>
      </c>
      <c r="AD5" s="1046">
        <f t="shared" si="0"/>
        <v>3919.9056416880844</v>
      </c>
      <c r="AE5" s="1046">
        <f t="shared" si="0"/>
        <v>3959.0586955873523</v>
      </c>
      <c r="AF5" s="1046">
        <f t="shared" si="0"/>
        <v>3997.7884802978278</v>
      </c>
    </row>
    <row r="6" spans="1:32" s="221" customFormat="1" ht="14.45" x14ac:dyDescent="0.35">
      <c r="A6" s="277" t="s">
        <v>237</v>
      </c>
      <c r="B6" s="715"/>
      <c r="C6" s="277"/>
      <c r="D6" s="7"/>
      <c r="E6" s="7"/>
      <c r="F6" s="7"/>
      <c r="G6" s="7"/>
      <c r="H6" s="716"/>
      <c r="I6" s="716"/>
      <c r="J6" s="716"/>
      <c r="K6" s="716"/>
      <c r="L6" s="716"/>
      <c r="M6" s="716"/>
      <c r="N6" s="716"/>
      <c r="O6" s="716"/>
      <c r="P6" s="716"/>
      <c r="Q6" s="716"/>
      <c r="R6" s="716"/>
      <c r="S6" s="716"/>
      <c r="T6" s="716"/>
      <c r="U6" s="716"/>
      <c r="V6" s="716"/>
      <c r="W6" s="716"/>
      <c r="X6" s="716"/>
      <c r="Y6" s="716"/>
      <c r="Z6" s="716"/>
      <c r="AA6" s="716"/>
      <c r="AB6" s="716"/>
      <c r="AC6" s="716"/>
      <c r="AD6" s="716"/>
      <c r="AE6" s="716"/>
      <c r="AF6" s="716"/>
    </row>
    <row r="7" spans="1:32" s="539" customFormat="1" ht="14.45" x14ac:dyDescent="0.35">
      <c r="B7" s="96" t="s">
        <v>55</v>
      </c>
      <c r="G7" s="714">
        <f>SUM(Results_Com!G83:G113)</f>
        <v>1653.700174848829</v>
      </c>
      <c r="H7" s="887">
        <f>SUM(Results_Com!H83:H113)</f>
        <v>1636.5891894222491</v>
      </c>
      <c r="I7" s="887">
        <f>SUM(Results_Com!I83:I113)</f>
        <v>1631.4485695405867</v>
      </c>
      <c r="J7" s="887">
        <f>SUM(Results_Com!J83:J113)</f>
        <v>1624.04708747528</v>
      </c>
      <c r="K7" s="887">
        <f>SUM(Results_Com!K83:K113)</f>
        <v>1619.4488866145598</v>
      </c>
      <c r="L7" s="887">
        <f>SUM(Results_Com!L83:L113)</f>
        <v>1617.7938166400884</v>
      </c>
      <c r="M7" s="887">
        <f>SUM(Results_Com!M83:M113)</f>
        <v>1617.7559840076456</v>
      </c>
      <c r="N7" s="887">
        <f>SUM(Results_Com!N83:N113)</f>
        <v>1623.4724860424396</v>
      </c>
      <c r="O7" s="887">
        <f>SUM(Results_Com!O83:O113)</f>
        <v>1633.8963460614254</v>
      </c>
      <c r="P7" s="887">
        <f>SUM(Results_Com!P83:P113)</f>
        <v>1646.167464933279</v>
      </c>
      <c r="Q7" s="887">
        <f>SUM(Results_Com!Q83:Q113)</f>
        <v>1660.8946950837603</v>
      </c>
      <c r="R7" s="887">
        <f>SUM(Results_Com!R83:R113)</f>
        <v>1676.5135957777682</v>
      </c>
      <c r="S7" s="887">
        <f>SUM(Results_Com!S83:S113)</f>
        <v>1693.2648938331729</v>
      </c>
      <c r="T7" s="887">
        <f>SUM(Results_Com!T83:T113)</f>
        <v>1711.0726397027388</v>
      </c>
      <c r="U7" s="887">
        <f>SUM(Results_Com!U83:U113)</f>
        <v>1729.2045900993014</v>
      </c>
      <c r="V7" s="887">
        <f>SUM(Results_Com!V83:V113)</f>
        <v>1747.5155447818295</v>
      </c>
      <c r="W7" s="887">
        <f>SUM(Results_Com!W83:W113)</f>
        <v>1765.187180592106</v>
      </c>
      <c r="X7" s="887">
        <f>SUM(Results_Com!X83:X113)</f>
        <v>1783.6981374721586</v>
      </c>
      <c r="Y7" s="887">
        <f>SUM(Results_Com!Y83:Y113)</f>
        <v>1803.1491237852752</v>
      </c>
      <c r="Z7" s="887">
        <f>SUM(Results_Com!Z83:Z113)</f>
        <v>1822.8091415389288</v>
      </c>
      <c r="AA7" s="887">
        <f>SUM(Results_Com!AA83:AA113)</f>
        <v>1842.0628003039383</v>
      </c>
      <c r="AB7" s="887">
        <f>SUM(Results_Com!AB83:AB113)</f>
        <v>1861.0836771292222</v>
      </c>
      <c r="AC7" s="887">
        <f>SUM(Results_Com!AC83:AC113)</f>
        <v>1880.0722262668442</v>
      </c>
      <c r="AD7" s="887">
        <f>SUM(Results_Com!AD83:AD113)</f>
        <v>1899.0116942852469</v>
      </c>
      <c r="AE7" s="887">
        <f>SUM(Results_Com!AE83:AE113)</f>
        <v>1917.8880111572678</v>
      </c>
      <c r="AF7" s="887">
        <f>SUM(Results_Com!AF83:AF113)</f>
        <v>1936.6887558901888</v>
      </c>
    </row>
    <row r="8" spans="1:32" s="539" customFormat="1" ht="14.45" x14ac:dyDescent="0.35">
      <c r="B8" s="96" t="s">
        <v>56</v>
      </c>
      <c r="G8" s="714">
        <f>SUM(Results_Ind!G83:G113)</f>
        <v>291.45193498011133</v>
      </c>
      <c r="H8" s="887">
        <f>SUM(Results_Ind!H83:H113)</f>
        <v>286.17729320024142</v>
      </c>
      <c r="I8" s="887">
        <f>SUM(Results_Ind!I83:I113)</f>
        <v>281.61763151320781</v>
      </c>
      <c r="J8" s="887">
        <f>SUM(Results_Ind!J83:J113)</f>
        <v>276.98238534349218</v>
      </c>
      <c r="K8" s="887">
        <f>SUM(Results_Ind!K83:K113)</f>
        <v>272.36535771128871</v>
      </c>
      <c r="L8" s="887">
        <f>SUM(Results_Ind!L83:L113)</f>
        <v>268.08357804319598</v>
      </c>
      <c r="M8" s="887">
        <f>SUM(Results_Ind!M83:M113)</f>
        <v>264.09668800145624</v>
      </c>
      <c r="N8" s="887">
        <f>SUM(Results_Ind!N83:N113)</f>
        <v>260.34479597137357</v>
      </c>
      <c r="O8" s="887">
        <f>SUM(Results_Ind!O83:O113)</f>
        <v>256.88783874206285</v>
      </c>
      <c r="P8" s="887">
        <f>SUM(Results_Ind!P83:P113)</f>
        <v>253.64283381110766</v>
      </c>
      <c r="Q8" s="887">
        <f>SUM(Results_Ind!Q83:Q113)</f>
        <v>250.62588560332219</v>
      </c>
      <c r="R8" s="887">
        <f>SUM(Results_Ind!R83:R113)</f>
        <v>247.79866654617169</v>
      </c>
      <c r="S8" s="887">
        <f>SUM(Results_Ind!S83:S113)</f>
        <v>245.13534239742441</v>
      </c>
      <c r="T8" s="887">
        <f>SUM(Results_Ind!T83:T113)</f>
        <v>242.54432521616832</v>
      </c>
      <c r="U8" s="887">
        <f>SUM(Results_Ind!U83:U113)</f>
        <v>240.01250073530153</v>
      </c>
      <c r="V8" s="887">
        <f>SUM(Results_Ind!V83:V113)</f>
        <v>237.52995882997669</v>
      </c>
      <c r="W8" s="887">
        <f>SUM(Results_Ind!W83:W113)</f>
        <v>235.09065212261945</v>
      </c>
      <c r="X8" s="887">
        <f>SUM(Results_Ind!X83:X113)</f>
        <v>232.68914623437817</v>
      </c>
      <c r="Y8" s="887">
        <f>SUM(Results_Ind!Y83:Y113)</f>
        <v>230.32189816452515</v>
      </c>
      <c r="Z8" s="887">
        <f>SUM(Results_Ind!Z83:Z113)</f>
        <v>227.98604695833833</v>
      </c>
      <c r="AA8" s="887">
        <f>SUM(Results_Ind!AA83:AA113)</f>
        <v>225.67865719108903</v>
      </c>
      <c r="AB8" s="887">
        <f>SUM(Results_Ind!AB83:AB113)</f>
        <v>223.3990948795398</v>
      </c>
      <c r="AC8" s="887">
        <f>SUM(Results_Ind!AC83:AC113)</f>
        <v>221.14602293927757</v>
      </c>
      <c r="AD8" s="887">
        <f>SUM(Results_Ind!AD83:AD113)</f>
        <v>218.9183558469889</v>
      </c>
      <c r="AE8" s="887">
        <f>SUM(Results_Ind!AE83:AE113)</f>
        <v>216.7152746728419</v>
      </c>
      <c r="AF8" s="887">
        <f>SUM(Results_Ind!AF83:AF113)</f>
        <v>214.53608410122735</v>
      </c>
    </row>
    <row r="9" spans="1:32" s="539" customFormat="1" ht="14.45" x14ac:dyDescent="0.35">
      <c r="B9" s="96" t="s">
        <v>57</v>
      </c>
      <c r="G9" s="714">
        <f>SUM(Results_Out!G83:G113)</f>
        <v>525.30883853820546</v>
      </c>
      <c r="H9" s="887">
        <f>SUM(Results_Out!H83:H113)</f>
        <v>524.68366148919188</v>
      </c>
      <c r="I9" s="887">
        <f>SUM(Results_Out!I83:I113)</f>
        <v>540.10022862986989</v>
      </c>
      <c r="J9" s="887">
        <f>SUM(Results_Out!J83:J113)</f>
        <v>556.6547932508679</v>
      </c>
      <c r="K9" s="887">
        <f>SUM(Results_Out!K83:K113)</f>
        <v>572.47401874352181</v>
      </c>
      <c r="L9" s="887">
        <f>SUM(Results_Out!L83:L113)</f>
        <v>587.47215705844872</v>
      </c>
      <c r="M9" s="887">
        <f>SUM(Results_Out!M83:M113)</f>
        <v>601.0392296576058</v>
      </c>
      <c r="N9" s="887">
        <f>SUM(Results_Out!N83:N113)</f>
        <v>613.97781605677176</v>
      </c>
      <c r="O9" s="887">
        <f>SUM(Results_Out!O83:O113)</f>
        <v>627.33705084225949</v>
      </c>
      <c r="P9" s="887">
        <f>SUM(Results_Out!P83:P113)</f>
        <v>640.14242121036136</v>
      </c>
      <c r="Q9" s="887">
        <f>SUM(Results_Out!Q83:Q113)</f>
        <v>652.95013326479716</v>
      </c>
      <c r="R9" s="887">
        <f>SUM(Results_Out!R83:R113)</f>
        <v>665.01389741193361</v>
      </c>
      <c r="S9" s="887">
        <f>SUM(Results_Out!S83:S113)</f>
        <v>676.57674679901288</v>
      </c>
      <c r="T9" s="887">
        <f>SUM(Results_Out!T83:T113)</f>
        <v>687.7118742135309</v>
      </c>
      <c r="U9" s="887">
        <f>SUM(Results_Out!U83:U113)</f>
        <v>698.53780390592237</v>
      </c>
      <c r="V9" s="887">
        <f>SUM(Results_Out!V83:V113)</f>
        <v>709.06455670759408</v>
      </c>
      <c r="W9" s="887">
        <f>SUM(Results_Out!W83:W113)</f>
        <v>719.01139611789756</v>
      </c>
      <c r="X9" s="887">
        <f>SUM(Results_Out!X83:X113)</f>
        <v>729.0383321451493</v>
      </c>
      <c r="Y9" s="887">
        <f>SUM(Results_Out!Y83:Y113)</f>
        <v>739.22000675207994</v>
      </c>
      <c r="Z9" s="887">
        <f>SUM(Results_Out!Z83:Z113)</f>
        <v>749.28772879649796</v>
      </c>
      <c r="AA9" s="887">
        <f>SUM(Results_Out!AA83:AA113)</f>
        <v>759.01719977395737</v>
      </c>
      <c r="AB9" s="887">
        <f>SUM(Results_Out!AB83:AB113)</f>
        <v>768.49618946021724</v>
      </c>
      <c r="AC9" s="887">
        <f>SUM(Results_Out!AC83:AC113)</f>
        <v>777.82721174895721</v>
      </c>
      <c r="AD9" s="887">
        <f>SUM(Results_Out!AD83:AD113)</f>
        <v>787.01997826819445</v>
      </c>
      <c r="AE9" s="887">
        <f>SUM(Results_Out!AE83:AE113)</f>
        <v>796.08505357403487</v>
      </c>
      <c r="AF9" s="887">
        <f>SUM(Results_Out!AF83:AF113)</f>
        <v>805.02647136821008</v>
      </c>
    </row>
    <row r="10" spans="1:32" s="539" customFormat="1" ht="14.45" x14ac:dyDescent="0.35">
      <c r="B10" s="96" t="s">
        <v>54</v>
      </c>
      <c r="G10" s="714">
        <f>SUM(Results_Res!G83:G113)</f>
        <v>972.84499853508805</v>
      </c>
      <c r="H10" s="887">
        <f>SUM(Results_Res!H83:H113)</f>
        <v>958.42512831229772</v>
      </c>
      <c r="I10" s="887">
        <f>SUM(Results_Res!I83:I113)</f>
        <v>940.93315748324608</v>
      </c>
      <c r="J10" s="887">
        <f>SUM(Results_Res!J83:J113)</f>
        <v>911.90911593672172</v>
      </c>
      <c r="K10" s="887">
        <f>SUM(Results_Res!K83:K113)</f>
        <v>888.4680874718689</v>
      </c>
      <c r="L10" s="887">
        <f>SUM(Results_Res!L83:L113)</f>
        <v>866.65340805330959</v>
      </c>
      <c r="M10" s="887">
        <f>SUM(Results_Res!M83:M113)</f>
        <v>842.93107451903006</v>
      </c>
      <c r="N10" s="887">
        <f>SUM(Results_Res!N83:N113)</f>
        <v>831.41857830107779</v>
      </c>
      <c r="O10" s="887">
        <f>SUM(Results_Res!O83:O113)</f>
        <v>829.29739647385566</v>
      </c>
      <c r="P10" s="887">
        <f>SUM(Results_Res!P83:P113)</f>
        <v>833.38075038117688</v>
      </c>
      <c r="Q10" s="887">
        <f>SUM(Results_Res!Q83:Q113)</f>
        <v>841.6759443633822</v>
      </c>
      <c r="R10" s="887">
        <f>SUM(Results_Res!R83:R113)</f>
        <v>851.96891202930465</v>
      </c>
      <c r="S10" s="887">
        <f>SUM(Results_Res!S83:S113)</f>
        <v>863.7727911485847</v>
      </c>
      <c r="T10" s="887">
        <f>SUM(Results_Res!T83:T113)</f>
        <v>876.55099990822782</v>
      </c>
      <c r="U10" s="887">
        <f>SUM(Results_Res!U83:U113)</f>
        <v>889.93711539096796</v>
      </c>
      <c r="V10" s="887">
        <f>SUM(Results_Res!V83:V113)</f>
        <v>903.8273324839322</v>
      </c>
      <c r="W10" s="887">
        <f>SUM(Results_Res!W83:W113)</f>
        <v>917.93390404658987</v>
      </c>
      <c r="X10" s="887">
        <f>SUM(Results_Res!X83:X113)</f>
        <v>932.00668823024535</v>
      </c>
      <c r="Y10" s="887">
        <f>SUM(Results_Res!Y83:Y113)</f>
        <v>945.89367586423577</v>
      </c>
      <c r="Z10" s="887">
        <f>SUM(Results_Res!Z83:Z113)</f>
        <v>959.66344292889642</v>
      </c>
      <c r="AA10" s="887">
        <f>SUM(Results_Res!AA83:AA113)</f>
        <v>973.44826187979504</v>
      </c>
      <c r="AB10" s="887">
        <f>SUM(Results_Res!AB83:AB113)</f>
        <v>987.4695243895676</v>
      </c>
      <c r="AC10" s="887">
        <f>SUM(Results_Res!AC83:AC113)</f>
        <v>1001.3141814176364</v>
      </c>
      <c r="AD10" s="887">
        <f>SUM(Results_Res!AD83:AD113)</f>
        <v>1014.9556132876543</v>
      </c>
      <c r="AE10" s="887">
        <f>SUM(Results_Res!AE83:AE113)</f>
        <v>1028.3703561832078</v>
      </c>
      <c r="AF10" s="887">
        <f>SUM(Results_Res!AF83:AF113)</f>
        <v>1041.5371689382021</v>
      </c>
    </row>
    <row r="12" spans="1:32" s="539" customFormat="1" ht="14.45" x14ac:dyDescent="0.35">
      <c r="A12" s="554" t="s">
        <v>531</v>
      </c>
      <c r="B12" s="555"/>
      <c r="C12" s="554"/>
      <c r="D12" s="553"/>
      <c r="E12" s="553"/>
      <c r="F12" s="553"/>
      <c r="G12" s="553"/>
      <c r="H12" s="560"/>
      <c r="I12" s="560"/>
      <c r="J12" s="560"/>
      <c r="K12" s="560"/>
      <c r="L12" s="560"/>
      <c r="M12" s="560"/>
      <c r="N12" s="560"/>
      <c r="O12" s="560"/>
      <c r="P12" s="560"/>
      <c r="Q12" s="560"/>
      <c r="R12" s="560"/>
      <c r="S12" s="560"/>
      <c r="T12" s="560"/>
      <c r="U12" s="560"/>
      <c r="V12" s="560"/>
      <c r="W12" s="560"/>
      <c r="X12" s="560"/>
      <c r="Y12" s="560"/>
      <c r="Z12" s="560"/>
      <c r="AA12" s="560"/>
      <c r="AB12" s="560"/>
      <c r="AC12" s="560"/>
      <c r="AD12" s="560"/>
      <c r="AE12" s="560"/>
      <c r="AF12" s="560"/>
    </row>
    <row r="13" spans="1:32" s="539" customFormat="1" ht="14.45" x14ac:dyDescent="0.35">
      <c r="A13" s="551"/>
      <c r="B13" s="806" t="s">
        <v>37</v>
      </c>
      <c r="G13" s="714"/>
      <c r="H13" s="714">
        <f>SUM(Results_Com!H132,Results_Ind!H132)</f>
        <v>3222.4954008688205</v>
      </c>
      <c r="I13" s="887">
        <f>SUM(Results_Com!I132,Results_Ind!I132)</f>
        <v>2024.9340083994266</v>
      </c>
      <c r="J13" s="887">
        <f>SUM(Results_Com!J132,Results_Ind!J132)</f>
        <v>1001.6375716551788</v>
      </c>
      <c r="K13" s="887">
        <f>SUM(Results_Com!K132,Results_Ind!K132)</f>
        <v>236.60869361111878</v>
      </c>
      <c r="L13" s="887">
        <f>SUM(Results_Com!L132,Results_Ind!L132)</f>
        <v>179.36207687213795</v>
      </c>
      <c r="M13" s="887">
        <f>SUM(Results_Com!M132,Results_Ind!M132)</f>
        <v>135.25383585789689</v>
      </c>
      <c r="N13" s="887">
        <f>SUM(Results_Com!N132,Results_Ind!N132)</f>
        <v>103.81929382236805</v>
      </c>
      <c r="O13" s="887">
        <f>SUM(Results_Com!O132,Results_Ind!O132)</f>
        <v>87.027967160689442</v>
      </c>
      <c r="P13" s="887">
        <f>SUM(Results_Com!P132,Results_Ind!P132)</f>
        <v>74.864548130072166</v>
      </c>
      <c r="Q13" s="887">
        <f>SUM(Results_Com!Q132,Results_Ind!Q132)</f>
        <v>66.428056412791449</v>
      </c>
      <c r="R13" s="887">
        <f>SUM(Results_Com!R132,Results_Ind!R132)</f>
        <v>60.21274371633438</v>
      </c>
      <c r="S13" s="887">
        <f>SUM(Results_Com!S132,Results_Ind!S132)</f>
        <v>55.842116142704754</v>
      </c>
      <c r="T13" s="887">
        <f>SUM(Results_Com!T132,Results_Ind!T132)</f>
        <v>52.732253498997665</v>
      </c>
      <c r="U13" s="887">
        <f>SUM(Results_Com!U132,Results_Ind!U132)</f>
        <v>50.579190221073731</v>
      </c>
      <c r="V13" s="887">
        <f>SUM(Results_Com!V132,Results_Ind!V132)</f>
        <v>48.801099325197399</v>
      </c>
      <c r="W13" s="887">
        <f>SUM(Results_Com!W132,Results_Ind!W132)</f>
        <v>47.383561821311261</v>
      </c>
      <c r="X13" s="887">
        <f>SUM(Results_Com!X132,Results_Ind!X132)</f>
        <v>46.791138866077716</v>
      </c>
      <c r="Y13" s="887">
        <f>SUM(Results_Com!Y132,Results_Ind!Y132)</f>
        <v>46.2426261312308</v>
      </c>
      <c r="Z13" s="887">
        <f>SUM(Results_Com!Z132,Results_Ind!Z132)</f>
        <v>45.786547785825846</v>
      </c>
      <c r="AA13" s="887">
        <f>SUM(Results_Com!AA132,Results_Ind!AA132)</f>
        <v>45.589174617048748</v>
      </c>
      <c r="AB13" s="887">
        <f>SUM(Results_Com!AB132,Results_Ind!AB132)</f>
        <v>45.291460431866476</v>
      </c>
      <c r="AC13" s="887">
        <f>SUM(Results_Com!AC132,Results_Ind!AC132)</f>
        <v>45.10035549797157</v>
      </c>
      <c r="AD13" s="887">
        <f>SUM(Results_Com!AD132,Results_Ind!AD132)</f>
        <v>45.159423557911765</v>
      </c>
      <c r="AE13" s="887">
        <f>SUM(Results_Com!AE132,Results_Ind!AE132)</f>
        <v>45.062407556358828</v>
      </c>
      <c r="AF13" s="887">
        <f>SUM(Results_Com!AF132,Results_Ind!AF132)</f>
        <v>45.171016827292306</v>
      </c>
    </row>
    <row r="14" spans="1:32" s="539" customFormat="1" ht="14.45" x14ac:dyDescent="0.35">
      <c r="A14" s="551"/>
      <c r="B14" s="806" t="s">
        <v>39</v>
      </c>
      <c r="G14" s="714"/>
      <c r="H14" s="887">
        <f>SUM(Results_Com!H133,Results_Ind!H133)</f>
        <v>17595.537411326393</v>
      </c>
      <c r="I14" s="887">
        <f>SUM(Results_Com!I133,Results_Ind!I133)</f>
        <v>18915.34488115133</v>
      </c>
      <c r="J14" s="887">
        <f>SUM(Results_Com!J133,Results_Ind!J133)</f>
        <v>20017.365778049414</v>
      </c>
      <c r="K14" s="887">
        <f>SUM(Results_Com!K133,Results_Ind!K133)</f>
        <v>20803.870664823589</v>
      </c>
      <c r="L14" s="887">
        <f>SUM(Results_Com!L133,Results_Ind!L133)</f>
        <v>20946.310525201894</v>
      </c>
      <c r="M14" s="887">
        <f>SUM(Results_Com!M133,Results_Ind!M133)</f>
        <v>21024.085351650989</v>
      </c>
      <c r="N14" s="887">
        <f>SUM(Results_Com!N133,Results_Ind!N133)</f>
        <v>21185.652165792948</v>
      </c>
      <c r="O14" s="887">
        <f>SUM(Results_Com!O133,Results_Ind!O133)</f>
        <v>21411.32348844461</v>
      </c>
      <c r="P14" s="887">
        <f>SUM(Results_Com!P133,Results_Ind!P133)</f>
        <v>21564.5238131683</v>
      </c>
      <c r="Q14" s="887">
        <f>SUM(Results_Com!Q133,Results_Ind!Q133)</f>
        <v>21769.306308601084</v>
      </c>
      <c r="R14" s="887">
        <f>SUM(Results_Com!R133,Results_Ind!R133)</f>
        <v>21909.348480220771</v>
      </c>
      <c r="S14" s="887">
        <f>SUM(Results_Com!S133,Results_Ind!S133)</f>
        <v>22061.585837953979</v>
      </c>
      <c r="T14" s="887">
        <f>SUM(Results_Com!T133,Results_Ind!T133)</f>
        <v>22210.970595873358</v>
      </c>
      <c r="U14" s="887">
        <f>SUM(Results_Com!U133,Results_Ind!U133)</f>
        <v>22371.526721943937</v>
      </c>
      <c r="V14" s="887">
        <f>SUM(Results_Com!V133,Results_Ind!V133)</f>
        <v>22473.442822053272</v>
      </c>
      <c r="W14" s="887">
        <f>SUM(Results_Com!W133,Results_Ind!W133)</f>
        <v>22548.802166211739</v>
      </c>
      <c r="X14" s="887">
        <f>SUM(Results_Com!X133,Results_Ind!X133)</f>
        <v>22734.904979170904</v>
      </c>
      <c r="Y14" s="887">
        <f>SUM(Results_Com!Y133,Results_Ind!Y133)</f>
        <v>22885.557932937747</v>
      </c>
      <c r="Z14" s="887">
        <f>SUM(Results_Com!Z133,Results_Ind!Z133)</f>
        <v>23021.041573361355</v>
      </c>
      <c r="AA14" s="887">
        <f>SUM(Results_Com!AA133,Results_Ind!AA133)</f>
        <v>23182.820272553487</v>
      </c>
      <c r="AB14" s="887">
        <f>SUM(Results_Com!AB133,Results_Ind!AB133)</f>
        <v>23302.849465775293</v>
      </c>
      <c r="AC14" s="887">
        <f>SUM(Results_Com!AC133,Results_Ind!AC133)</f>
        <v>23431.997231134104</v>
      </c>
      <c r="AD14" s="887">
        <f>SUM(Results_Com!AD133,Results_Ind!AD133)</f>
        <v>23604.180353517564</v>
      </c>
      <c r="AE14" s="887">
        <f>SUM(Results_Com!AE133,Results_Ind!AE133)</f>
        <v>23735.539811770494</v>
      </c>
      <c r="AF14" s="887">
        <f>SUM(Results_Com!AF133,Results_Ind!AF133)</f>
        <v>23905.023579457764</v>
      </c>
    </row>
    <row r="15" spans="1:32" s="539" customFormat="1" ht="14.45" x14ac:dyDescent="0.35">
      <c r="A15" s="551"/>
      <c r="B15" s="806" t="s">
        <v>406</v>
      </c>
      <c r="G15" s="714"/>
      <c r="H15" s="887">
        <f>SUM(Results_Com!H134,Results_Ind!H134)</f>
        <v>2017.9434697522836</v>
      </c>
      <c r="I15" s="887">
        <f>SUM(Results_Com!I134,Results_Ind!I134)</f>
        <v>2214.7021870527756</v>
      </c>
      <c r="J15" s="887">
        <f>SUM(Results_Com!J134,Results_Ind!J134)</f>
        <v>2376.9892519234131</v>
      </c>
      <c r="K15" s="887">
        <f>SUM(Results_Com!K134,Results_Ind!K134)</f>
        <v>2521.9829987282315</v>
      </c>
      <c r="L15" s="887">
        <f>SUM(Results_Com!L134,Results_Ind!L134)</f>
        <v>2563.2067915179673</v>
      </c>
      <c r="M15" s="887">
        <f>SUM(Results_Com!M134,Results_Ind!M134)</f>
        <v>2592.6477520027456</v>
      </c>
      <c r="N15" s="887">
        <f>SUM(Results_Com!N134,Results_Ind!N134)</f>
        <v>2605.8156661596986</v>
      </c>
      <c r="O15" s="887">
        <f>SUM(Results_Com!O134,Results_Ind!O134)</f>
        <v>2647.555281736787</v>
      </c>
      <c r="P15" s="887">
        <f>SUM(Results_Com!P134,Results_Ind!P134)</f>
        <v>2678.0688864418398</v>
      </c>
      <c r="Q15" s="887">
        <f>SUM(Results_Com!Q134,Results_Ind!Q134)</f>
        <v>2714.0807413981138</v>
      </c>
      <c r="R15" s="887">
        <f>SUM(Results_Com!R134,Results_Ind!R134)</f>
        <v>2740.3463998663569</v>
      </c>
      <c r="S15" s="887">
        <f>SUM(Results_Com!S134,Results_Ind!S134)</f>
        <v>2767.2677832430054</v>
      </c>
      <c r="T15" s="887">
        <f>SUM(Results_Com!T134,Results_Ind!T134)</f>
        <v>2793.1573021711561</v>
      </c>
      <c r="U15" s="887">
        <f>SUM(Results_Com!U134,Results_Ind!U134)</f>
        <v>2819.6438977136104</v>
      </c>
      <c r="V15" s="887">
        <f>SUM(Results_Com!V134,Results_Ind!V134)</f>
        <v>2838.3660984658331</v>
      </c>
      <c r="W15" s="887">
        <f>SUM(Results_Com!W134,Results_Ind!W134)</f>
        <v>2853.025382757658</v>
      </c>
      <c r="X15" s="887">
        <f>SUM(Results_Com!X134,Results_Ind!X134)</f>
        <v>2881.360621426933</v>
      </c>
      <c r="Y15" s="887">
        <f>SUM(Results_Com!Y134,Results_Ind!Y134)</f>
        <v>2905.1413217294667</v>
      </c>
      <c r="Z15" s="887">
        <f>SUM(Results_Com!Z134,Results_Ind!Z134)</f>
        <v>2926.5509025602582</v>
      </c>
      <c r="AA15" s="887">
        <f>SUM(Results_Com!AA134,Results_Ind!AA134)</f>
        <v>2950.6467145825909</v>
      </c>
      <c r="AB15" s="887">
        <f>SUM(Results_Com!AB134,Results_Ind!AB134)</f>
        <v>2969.4378906256575</v>
      </c>
      <c r="AC15" s="887">
        <f>SUM(Results_Com!AC134,Results_Ind!AC134)</f>
        <v>2989.2165142200779</v>
      </c>
      <c r="AD15" s="887">
        <f>SUM(Results_Com!AD134,Results_Ind!AD134)</f>
        <v>3014.0611578420844</v>
      </c>
      <c r="AE15" s="887">
        <f>SUM(Results_Com!AE134,Results_Ind!AE134)</f>
        <v>3033.7487486369782</v>
      </c>
      <c r="AF15" s="887">
        <f>SUM(Results_Com!AF134,Results_Ind!AF134)</f>
        <v>3058.0102586710805</v>
      </c>
    </row>
    <row r="16" spans="1:32" ht="14.45" x14ac:dyDescent="0.35">
      <c r="B16" s="806" t="s">
        <v>29</v>
      </c>
      <c r="G16" s="714"/>
      <c r="H16" s="887">
        <f>SUM(Results_Com!H135,Results_Ind!H135)</f>
        <v>1.0348730537991106E-4</v>
      </c>
      <c r="I16" s="887">
        <f>SUM(Results_Com!I135,Results_Ind!I135)</f>
        <v>1.0614309303231851E-4</v>
      </c>
      <c r="J16" s="887">
        <f>SUM(Results_Com!J135,Results_Ind!J135)</f>
        <v>1.0746017640384612E-4</v>
      </c>
      <c r="K16" s="887">
        <f>SUM(Results_Com!K135,Results_Ind!K135)</f>
        <v>1.0907607007839653E-4</v>
      </c>
      <c r="L16" s="887">
        <f>SUM(Results_Com!L135,Results_Ind!L135)</f>
        <v>1.1212012678998273E-4</v>
      </c>
      <c r="M16" s="887">
        <f>SUM(Results_Com!M135,Results_Ind!M135)</f>
        <v>1.1393325623959097E-4</v>
      </c>
      <c r="N16" s="887">
        <f>SUM(Results_Com!N135,Results_Ind!N135)</f>
        <v>1.160595183852487E-4</v>
      </c>
      <c r="O16" s="887">
        <f>SUM(Results_Com!O135,Results_Ind!O135)</f>
        <v>1.1855200449285199E-4</v>
      </c>
      <c r="P16" s="887">
        <f>SUM(Results_Com!P135,Results_Ind!P135)</f>
        <v>1.1915900635160559E-4</v>
      </c>
      <c r="Q16" s="887">
        <f>SUM(Results_Com!Q135,Results_Ind!Q135)</f>
        <v>1.2080794559300193E-4</v>
      </c>
      <c r="R16" s="887">
        <f>SUM(Results_Com!R135,Results_Ind!R135)</f>
        <v>1.2096797542176685E-4</v>
      </c>
      <c r="S16" s="887">
        <f>SUM(Results_Com!S135,Results_Ind!S135)</f>
        <v>1.2150509917809515E-4</v>
      </c>
      <c r="T16" s="887">
        <f>SUM(Results_Com!T135,Results_Ind!T135)</f>
        <v>1.2211392302203625E-4</v>
      </c>
      <c r="U16" s="887">
        <f>SUM(Results_Com!U135,Results_Ind!U135)</f>
        <v>1.228925688648843E-4</v>
      </c>
      <c r="V16" s="887">
        <f>SUM(Results_Com!V135,Results_Ind!V135)</f>
        <v>1.2364563795161628E-4</v>
      </c>
      <c r="W16" s="887">
        <f>SUM(Results_Com!W135,Results_Ind!W135)</f>
        <v>1.2380454527227954E-4</v>
      </c>
      <c r="X16" s="887">
        <f>SUM(Results_Com!X135,Results_Ind!X135)</f>
        <v>1.2517027029546889E-4</v>
      </c>
      <c r="Y16" s="887">
        <f>SUM(Results_Com!Y135,Results_Ind!Y135)</f>
        <v>1.2670184132666852E-4</v>
      </c>
      <c r="Z16" s="887">
        <f>SUM(Results_Com!Z135,Results_Ind!Z135)</f>
        <v>1.2772875428362641E-4</v>
      </c>
      <c r="AA16" s="887">
        <f>SUM(Results_Com!AA135,Results_Ind!AA135)</f>
        <v>1.2829518853753997E-4</v>
      </c>
      <c r="AB16" s="887">
        <f>SUM(Results_Com!AB135,Results_Ind!AB135)</f>
        <v>1.2899303368049041E-4</v>
      </c>
      <c r="AC16" s="887">
        <f>SUM(Results_Com!AC135,Results_Ind!AC135)</f>
        <v>1.298528546243879E-4</v>
      </c>
      <c r="AD16" s="887">
        <f>SUM(Results_Com!AD135,Results_Ind!AD135)</f>
        <v>1.3071099334093932E-4</v>
      </c>
      <c r="AE16" s="887">
        <f>SUM(Results_Com!AE135,Results_Ind!AE135)</f>
        <v>1.3156645499241105E-4</v>
      </c>
      <c r="AF16" s="887">
        <f>SUM(Results_Com!AF135,Results_Ind!AF135)</f>
        <v>1.3241830476903036E-4</v>
      </c>
    </row>
    <row r="18" spans="1:32" s="539" customFormat="1" ht="14.45" x14ac:dyDescent="0.35">
      <c r="A18" s="554" t="s">
        <v>532</v>
      </c>
      <c r="B18" s="555"/>
      <c r="C18" s="554"/>
      <c r="D18" s="553"/>
      <c r="E18" s="553"/>
      <c r="F18" s="553"/>
      <c r="G18" s="553"/>
      <c r="H18" s="560"/>
      <c r="I18" s="560"/>
      <c r="J18" s="560"/>
      <c r="K18" s="560"/>
      <c r="L18" s="560"/>
      <c r="M18" s="560"/>
      <c r="N18" s="560"/>
      <c r="O18" s="560"/>
      <c r="P18" s="560"/>
      <c r="Q18" s="560"/>
      <c r="R18" s="560"/>
      <c r="S18" s="560"/>
      <c r="T18" s="560"/>
      <c r="U18" s="560"/>
      <c r="V18" s="560"/>
      <c r="W18" s="560"/>
      <c r="X18" s="560"/>
      <c r="Y18" s="560"/>
      <c r="Z18" s="560"/>
      <c r="AA18" s="560"/>
      <c r="AB18" s="560"/>
      <c r="AC18" s="560"/>
      <c r="AD18" s="560"/>
      <c r="AE18" s="560"/>
      <c r="AF18" s="560"/>
    </row>
    <row r="19" spans="1:32" s="539" customFormat="1" ht="14.45" x14ac:dyDescent="0.35">
      <c r="A19" s="812"/>
      <c r="B19" s="808" t="s">
        <v>43</v>
      </c>
      <c r="G19" s="714"/>
      <c r="H19" s="887">
        <f>SUM(Results_Com!H138,Results_Ind!H138)</f>
        <v>23.86440978642986</v>
      </c>
      <c r="I19" s="887">
        <f>SUM(Results_Com!I138,Results_Ind!I138)</f>
        <v>21.436999994782276</v>
      </c>
      <c r="J19" s="887">
        <f>SUM(Results_Com!J138,Results_Ind!J138)</f>
        <v>19.312087785578555</v>
      </c>
      <c r="K19" s="887">
        <f>SUM(Results_Com!K138,Results_Ind!K138)</f>
        <v>17.450497375074139</v>
      </c>
      <c r="L19" s="887">
        <f>SUM(Results_Com!L138,Results_Ind!L138)</f>
        <v>15.8196327140395</v>
      </c>
      <c r="M19" s="887">
        <f>SUM(Results_Com!M138,Results_Ind!M138)</f>
        <v>14.386702193507539</v>
      </c>
      <c r="N19" s="887">
        <f>SUM(Results_Com!N138,Results_Ind!N138)</f>
        <v>13.130750159093036</v>
      </c>
      <c r="O19" s="887">
        <f>SUM(Results_Com!O138,Results_Ind!O138)</f>
        <v>12.031107306594084</v>
      </c>
      <c r="P19" s="887">
        <f>SUM(Results_Com!P138,Results_Ind!P138)</f>
        <v>11.061610975226662</v>
      </c>
      <c r="Q19" s="714">
        <f>SUM(Results_Com!Q138,Results_Ind!Q138)</f>
        <v>10.210354997724087</v>
      </c>
      <c r="R19" s="887">
        <f>SUM(Results_Com!R138,Results_Ind!R138)</f>
        <v>9.4580627108564741</v>
      </c>
      <c r="S19" s="887">
        <f>SUM(Results_Com!S138,Results_Ind!S138)</f>
        <v>8.7950582938882977</v>
      </c>
      <c r="T19" s="887">
        <f>SUM(Results_Com!T138,Results_Ind!T138)</f>
        <v>8.2098201173930754</v>
      </c>
      <c r="U19" s="887">
        <f>SUM(Results_Com!U138,Results_Ind!U138)</f>
        <v>7.6914931508331623</v>
      </c>
      <c r="V19" s="887">
        <f>SUM(Results_Com!V138,Results_Ind!V138)</f>
        <v>7.2352868576297205</v>
      </c>
      <c r="W19" s="887">
        <f>SUM(Results_Com!W138,Results_Ind!W138)</f>
        <v>6.8282815163354051</v>
      </c>
      <c r="X19" s="887">
        <f>SUM(Results_Com!X138,Results_Ind!X138)</f>
        <v>6.4699618781637582</v>
      </c>
      <c r="Y19" s="887">
        <f>SUM(Results_Com!Y138,Results_Ind!Y138)</f>
        <v>6.1528919642506814</v>
      </c>
      <c r="Z19" s="887">
        <f>SUM(Results_Com!Z138,Results_Ind!Z138)</f>
        <v>5.8706556168144663</v>
      </c>
      <c r="AA19" s="887">
        <f>SUM(Results_Com!AA138,Results_Ind!AA138)</f>
        <v>5.6203628537938863</v>
      </c>
      <c r="AB19" s="887">
        <f>SUM(Results_Com!AB138,Results_Ind!AB138)</f>
        <v>5.3947507445736731</v>
      </c>
      <c r="AC19" s="887">
        <f>SUM(Results_Com!AC138,Results_Ind!AC138)</f>
        <v>5.1936269516027931</v>
      </c>
      <c r="AD19" s="887">
        <f>SUM(Results_Com!AD138,Results_Ind!AD138)</f>
        <v>5.0143655847625599</v>
      </c>
      <c r="AE19" s="887">
        <f>SUM(Results_Com!AE138,Results_Ind!AE138)</f>
        <v>4.8530642515661482</v>
      </c>
      <c r="AF19" s="887">
        <f>SUM(Results_Com!AF138,Results_Ind!AF138)</f>
        <v>4.7082015938257893</v>
      </c>
    </row>
    <row r="20" spans="1:32" s="539" customFormat="1" ht="14.45" x14ac:dyDescent="0.35">
      <c r="A20" s="812"/>
      <c r="B20" s="808" t="s">
        <v>44</v>
      </c>
      <c r="G20" s="714"/>
      <c r="H20" s="887">
        <f>SUM(Results_Com!H139,Results_Ind!H139)</f>
        <v>621.36432702461047</v>
      </c>
      <c r="I20" s="887">
        <f>SUM(Results_Com!I139,Results_Ind!I139)</f>
        <v>634.28299554252953</v>
      </c>
      <c r="J20" s="887">
        <f>SUM(Results_Com!J139,Results_Ind!J139)</f>
        <v>645.10932709883627</v>
      </c>
      <c r="K20" s="887">
        <f>SUM(Results_Com!K139,Results_Ind!K139)</f>
        <v>654.27205556746594</v>
      </c>
      <c r="L20" s="887">
        <f>SUM(Results_Com!L139,Results_Ind!L139)</f>
        <v>662.92996218441635</v>
      </c>
      <c r="M20" s="887">
        <f>SUM(Results_Com!M139,Results_Ind!M139)</f>
        <v>669.33963284205481</v>
      </c>
      <c r="N20" s="887">
        <f>SUM(Results_Com!N139,Results_Ind!N139)</f>
        <v>676.4667502625714</v>
      </c>
      <c r="O20" s="887">
        <f>SUM(Results_Com!O139,Results_Ind!O139)</f>
        <v>685.41809900448686</v>
      </c>
      <c r="P20" s="887">
        <f>SUM(Results_Com!P139,Results_Ind!P139)</f>
        <v>692.21056435906746</v>
      </c>
      <c r="Q20" s="887">
        <f>SUM(Results_Com!Q139,Results_Ind!Q139)</f>
        <v>699.83375589154548</v>
      </c>
      <c r="R20" s="887">
        <f>SUM(Results_Com!R139,Results_Ind!R139)</f>
        <v>705.56736552185771</v>
      </c>
      <c r="S20" s="887">
        <f>SUM(Results_Com!S139,Results_Ind!S139)</f>
        <v>711.26352973347775</v>
      </c>
      <c r="T20" s="887">
        <f>SUM(Results_Com!T139,Results_Ind!T139)</f>
        <v>716.70553591786427</v>
      </c>
      <c r="U20" s="887">
        <f>SUM(Results_Com!U139,Results_Ind!U139)</f>
        <v>721.9173433329147</v>
      </c>
      <c r="V20" s="887">
        <f>SUM(Results_Com!V139,Results_Ind!V139)</f>
        <v>727.04019380373416</v>
      </c>
      <c r="W20" s="887">
        <f>SUM(Results_Com!W139,Results_Ind!W139)</f>
        <v>731.09226070508566</v>
      </c>
      <c r="X20" s="887">
        <f>SUM(Results_Com!X139,Results_Ind!X139)</f>
        <v>736.29808350999417</v>
      </c>
      <c r="Y20" s="887">
        <f>SUM(Results_Com!Y139,Results_Ind!Y139)</f>
        <v>741.75008742453213</v>
      </c>
      <c r="Z20" s="887">
        <f>SUM(Results_Com!Z139,Results_Ind!Z139)</f>
        <v>746.66309695876282</v>
      </c>
      <c r="AA20" s="887">
        <f>SUM(Results_Com!AA139,Results_Ind!AA139)</f>
        <v>751.06087437839665</v>
      </c>
      <c r="AB20" s="887">
        <f>SUM(Results_Com!AB139,Results_Ind!AB139)</f>
        <v>754.90285813081084</v>
      </c>
      <c r="AC20" s="887">
        <f>SUM(Results_Com!AC139,Results_Ind!AC139)</f>
        <v>758.82315884449793</v>
      </c>
      <c r="AD20" s="887">
        <f>SUM(Results_Com!AD139,Results_Ind!AD139)</f>
        <v>763.07072978603128</v>
      </c>
      <c r="AE20" s="887">
        <f>SUM(Results_Com!AE139,Results_Ind!AE139)</f>
        <v>766.85494040287585</v>
      </c>
      <c r="AF20" s="887">
        <f>SUM(Results_Com!AF139,Results_Ind!AF139)</f>
        <v>770.5812725416738</v>
      </c>
    </row>
    <row r="21" spans="1:32" s="539" customFormat="1" ht="14.45" x14ac:dyDescent="0.35">
      <c r="A21" s="812"/>
      <c r="B21" s="808" t="s">
        <v>45</v>
      </c>
      <c r="G21" s="714"/>
      <c r="H21" s="887">
        <f>SUM(Results_Com!H140,Results_Ind!H140)</f>
        <v>33.787679153157789</v>
      </c>
      <c r="I21" s="887">
        <f>SUM(Results_Com!I140,Results_Ind!I140)</f>
        <v>30.214088654967185</v>
      </c>
      <c r="J21" s="887">
        <f>SUM(Results_Com!J140,Results_Ind!J140)</f>
        <v>27.08525814116944</v>
      </c>
      <c r="K21" s="887">
        <f>SUM(Results_Com!K140,Results_Ind!K140)</f>
        <v>24.345886349960281</v>
      </c>
      <c r="L21" s="887">
        <f>SUM(Results_Com!L140,Results_Ind!L140)</f>
        <v>21.954801502367772</v>
      </c>
      <c r="M21" s="887">
        <f>SUM(Results_Com!M140,Results_Ind!M140)</f>
        <v>19.850561109612684</v>
      </c>
      <c r="N21" s="887">
        <f>SUM(Results_Com!N140,Results_Ind!N140)</f>
        <v>18.021690635249627</v>
      </c>
      <c r="O21" s="887">
        <f>SUM(Results_Com!O140,Results_Ind!O140)</f>
        <v>16.44294584529608</v>
      </c>
      <c r="P21" s="887">
        <f>SUM(Results_Com!P140,Results_Ind!P140)</f>
        <v>15.047110204812601</v>
      </c>
      <c r="Q21" s="887">
        <f>SUM(Results_Com!Q140,Results_Ind!Q140)</f>
        <v>13.836956380369925</v>
      </c>
      <c r="R21" s="887">
        <f>SUM(Results_Com!R140,Results_Ind!R140)</f>
        <v>12.764637262917361</v>
      </c>
      <c r="S21" s="887">
        <f>SUM(Results_Com!S140,Results_Ind!S140)</f>
        <v>11.828531155684463</v>
      </c>
      <c r="T21" s="887">
        <f>SUM(Results_Com!T140,Results_Ind!T140)</f>
        <v>11.00935569466095</v>
      </c>
      <c r="U21" s="887">
        <f>SUM(Results_Com!U140,Results_Ind!U140)</f>
        <v>10.294796134063461</v>
      </c>
      <c r="V21" s="887">
        <f>SUM(Results_Com!V140,Results_Ind!V140)</f>
        <v>9.6698156394401238</v>
      </c>
      <c r="W21" s="887">
        <f>SUM(Results_Com!W140,Results_Ind!W140)</f>
        <v>9.1166404595073836</v>
      </c>
      <c r="X21" s="887">
        <f>SUM(Results_Com!X140,Results_Ind!X140)</f>
        <v>8.6450536403101506</v>
      </c>
      <c r="Y21" s="887">
        <f>SUM(Results_Com!Y140,Results_Ind!Y140)</f>
        <v>8.2369822271310085</v>
      </c>
      <c r="Z21" s="887">
        <f>SUM(Results_Com!Z140,Results_Ind!Z140)</f>
        <v>7.8774952301567751</v>
      </c>
      <c r="AA21" s="887">
        <f>SUM(Results_Com!AA140,Results_Ind!AA140)</f>
        <v>7.5593556780691813</v>
      </c>
      <c r="AB21" s="887">
        <f>SUM(Results_Com!AB140,Results_Ind!AB140)</f>
        <v>7.2781717055104558</v>
      </c>
      <c r="AC21" s="887">
        <f>SUM(Results_Com!AC140,Results_Ind!AC140)</f>
        <v>7.0344236771822164</v>
      </c>
      <c r="AD21" s="887">
        <f>SUM(Results_Com!AD140,Results_Ind!AD140)</f>
        <v>6.8259131050540098</v>
      </c>
      <c r="AE21" s="887">
        <f>SUM(Results_Com!AE140,Results_Ind!AE140)</f>
        <v>6.6409288280911474</v>
      </c>
      <c r="AF21" s="887">
        <f>SUM(Results_Com!AF140,Results_Ind!AF140)</f>
        <v>6.4801172123909225</v>
      </c>
    </row>
    <row r="22" spans="1:32" s="539" customFormat="1" ht="14.45" x14ac:dyDescent="0.35">
      <c r="B22" s="808" t="s">
        <v>46</v>
      </c>
      <c r="G22" s="714"/>
      <c r="H22" s="887">
        <f>SUM(Results_Com!H141,Results_Ind!H141)</f>
        <v>0.27129979897226009</v>
      </c>
      <c r="I22" s="887">
        <f>SUM(Results_Com!I141,Results_Ind!I141)</f>
        <v>0.2379729196660875</v>
      </c>
      <c r="J22" s="887">
        <f>SUM(Results_Com!J141,Results_Ind!J141)</f>
        <v>0.20882773658012924</v>
      </c>
      <c r="K22" s="887">
        <f>SUM(Results_Com!K141,Results_Ind!K141)</f>
        <v>0.18332786104418153</v>
      </c>
      <c r="L22" s="887">
        <f>SUM(Results_Com!L141,Results_Ind!L141)</f>
        <v>0.16100729412866163</v>
      </c>
      <c r="M22" s="887">
        <f>SUM(Results_Com!M141,Results_Ind!M141)</f>
        <v>0.14146096979922582</v>
      </c>
      <c r="N22" s="887">
        <f>SUM(Results_Com!N141,Results_Ind!N141)</f>
        <v>0.12433659962158609</v>
      </c>
      <c r="O22" s="887">
        <f>SUM(Results_Com!O141,Results_Ind!O141)</f>
        <v>0.10932763541105978</v>
      </c>
      <c r="P22" s="887">
        <f>SUM(Results_Com!P141,Results_Ind!P141)</f>
        <v>9.6167192780356542E-2</v>
      </c>
      <c r="Q22" s="887">
        <f>SUM(Results_Com!Q141,Results_Ind!Q141)</f>
        <v>8.4622801157268071E-2</v>
      </c>
      <c r="R22" s="887">
        <f>SUM(Results_Com!R141,Results_Ind!R141)</f>
        <v>7.4491865121226311E-2</v>
      </c>
      <c r="S22" s="887">
        <f>SUM(Results_Com!S141,Results_Ind!S141)</f>
        <v>6.5597738350351681E-2</v>
      </c>
      <c r="T22" s="887">
        <f>SUM(Results_Com!T141,Results_Ind!T141)</f>
        <v>5.7786325506151752E-2</v>
      </c>
      <c r="U22" s="887">
        <f>SUM(Results_Com!U141,Results_Ind!U141)</f>
        <v>5.0923139372823598E-2</v>
      </c>
      <c r="V22" s="887">
        <f>SUM(Results_Com!V141,Results_Ind!V141)</f>
        <v>4.489075081789607E-2</v>
      </c>
      <c r="W22" s="887">
        <f>SUM(Results_Com!W141,Results_Ind!W141)</f>
        <v>3.9586577909595071E-2</v>
      </c>
      <c r="X22" s="887">
        <f>SUM(Results_Com!X141,Results_Ind!X141)</f>
        <v>3.4920968033204401E-2</v>
      </c>
      <c r="Y22" s="887">
        <f>SUM(Results_Com!Y141,Results_Ind!Y141)</f>
        <v>3.0815533279902385E-2</v>
      </c>
      <c r="Z22" s="887">
        <f>SUM(Results_Com!Z141,Results_Ind!Z141)</f>
        <v>2.7201704895015919E-2</v>
      </c>
      <c r="AA22" s="887">
        <f>SUM(Results_Com!AA141,Results_Ind!AA141)</f>
        <v>2.4019477302528285E-2</v>
      </c>
      <c r="AB22" s="887">
        <f>SUM(Results_Com!AB141,Results_Ind!AB141)</f>
        <v>2.1223012726528486E-2</v>
      </c>
      <c r="AC22" s="887">
        <f>SUM(Results_Com!AC141,Results_Ind!AC141)</f>
        <v>1.8763719932539384E-2</v>
      </c>
      <c r="AD22" s="887">
        <f>SUM(Results_Com!AD141,Results_Ind!AD141)</f>
        <v>1.6594428471330889E-2</v>
      </c>
      <c r="AE22" s="887">
        <f>SUM(Results_Com!AE141,Results_Ind!AE141)</f>
        <v>1.468463709292726E-2</v>
      </c>
      <c r="AF22" s="887">
        <f>SUM(Results_Com!AF141,Results_Ind!AF141)</f>
        <v>1.3002139390055324E-2</v>
      </c>
    </row>
    <row r="23" spans="1:32" s="539" customFormat="1" ht="14.45" x14ac:dyDescent="0.35">
      <c r="B23" s="806" t="s">
        <v>29</v>
      </c>
      <c r="H23" s="887">
        <f>SUM(Results_Com!H142,Results_Ind!H142)</f>
        <v>2.6772021025173065</v>
      </c>
      <c r="I23" s="887">
        <f>SUM(Results_Com!I142,Results_Ind!I142)</f>
        <v>2.6549460435526386</v>
      </c>
      <c r="J23" s="887">
        <f>SUM(Results_Com!J142,Results_Ind!J142)</f>
        <v>2.6285884707319527</v>
      </c>
      <c r="K23" s="887">
        <f>SUM(Results_Com!K142,Results_Ind!K142)</f>
        <v>2.599375217364011</v>
      </c>
      <c r="L23" s="887">
        <f>SUM(Results_Com!L142,Results_Ind!L142)</f>
        <v>2.5682239929793504</v>
      </c>
      <c r="M23" s="887">
        <f>SUM(Results_Com!M142,Results_Ind!M142)</f>
        <v>2.5358086625844294</v>
      </c>
      <c r="N23" s="887">
        <f>SUM(Results_Com!N142,Results_Ind!N142)</f>
        <v>2.5026253553585036</v>
      </c>
      <c r="O23" s="887">
        <f>SUM(Results_Com!O142,Results_Ind!O142)</f>
        <v>2.4690366582816785</v>
      </c>
      <c r="P23" s="887">
        <f>SUM(Results_Com!P142,Results_Ind!P142)</f>
        <v>2.435305406408792</v>
      </c>
      <c r="Q23" s="887">
        <f>SUM(Results_Com!Q142,Results_Ind!Q142)</f>
        <v>2.4016247469836531</v>
      </c>
      <c r="R23" s="887">
        <f>SUM(Results_Com!R142,Results_Ind!R142)</f>
        <v>2.368132189961174</v>
      </c>
      <c r="S23" s="887">
        <f>SUM(Results_Com!S142,Results_Ind!S142)</f>
        <v>2.334927586702304</v>
      </c>
      <c r="T23" s="887">
        <f>SUM(Results_Com!T142,Results_Ind!T142)</f>
        <v>2.3020808473098819</v>
      </c>
      <c r="U23" s="887">
        <f>SUM(Results_Com!U142,Results_Ind!U142)</f>
        <v>2.2602104041921587</v>
      </c>
      <c r="V23" s="887">
        <f>SUM(Results_Com!V142,Results_Ind!V142)</f>
        <v>2.2283722685482794</v>
      </c>
      <c r="W23" s="887">
        <f>SUM(Results_Com!W142,Results_Ind!W142)</f>
        <v>2.1881519156790685</v>
      </c>
      <c r="X23" s="887">
        <f>SUM(Results_Com!X142,Results_Ind!X142)</f>
        <v>2.1488930229706606</v>
      </c>
      <c r="Y23" s="887">
        <f>SUM(Results_Com!Y142,Results_Ind!Y142)</f>
        <v>2.1105865636787589</v>
      </c>
      <c r="Z23" s="887">
        <f>SUM(Results_Com!Z142,Results_Ind!Z142)</f>
        <v>2.0732170368009117</v>
      </c>
      <c r="AA23" s="887">
        <f>SUM(Results_Com!AA142,Results_Ind!AA142)</f>
        <v>2.0443860043727851</v>
      </c>
      <c r="AB23" s="887">
        <f>SUM(Results_Com!AB142,Results_Ind!AB142)</f>
        <v>2.0086094122004869</v>
      </c>
      <c r="AC23" s="887">
        <f>SUM(Results_Com!AC142,Results_Ind!AC142)</f>
        <v>1.9736998271348352</v>
      </c>
      <c r="AD23" s="887">
        <f>SUM(Results_Com!AD142,Results_Ind!AD142)</f>
        <v>1.9396352930290659</v>
      </c>
      <c r="AE23" s="887">
        <f>SUM(Results_Com!AE142,Results_Ind!AE142)</f>
        <v>1.9063925262620043</v>
      </c>
      <c r="AF23" s="887">
        <f>SUM(Results_Com!AF142,Results_Ind!AF142)</f>
        <v>1.8739475423354577</v>
      </c>
    </row>
    <row r="24" spans="1:32" s="539" customFormat="1" ht="14.45" x14ac:dyDescent="0.35">
      <c r="B24" s="806"/>
    </row>
    <row r="25" spans="1:32" s="539" customFormat="1" ht="14.45" x14ac:dyDescent="0.35">
      <c r="A25" s="554" t="s">
        <v>533</v>
      </c>
      <c r="B25" s="555"/>
      <c r="C25" s="554"/>
      <c r="D25" s="553"/>
      <c r="E25" s="553"/>
      <c r="F25" s="553"/>
      <c r="G25" s="553"/>
      <c r="H25" s="560"/>
      <c r="I25" s="560"/>
      <c r="J25" s="560"/>
      <c r="K25" s="560"/>
      <c r="L25" s="560"/>
      <c r="M25" s="560"/>
      <c r="N25" s="560"/>
      <c r="O25" s="560"/>
      <c r="P25" s="560"/>
      <c r="Q25" s="560"/>
      <c r="R25" s="560"/>
      <c r="S25" s="560"/>
      <c r="T25" s="560"/>
      <c r="U25" s="560"/>
      <c r="V25" s="560"/>
      <c r="W25" s="560"/>
      <c r="X25" s="560"/>
      <c r="Y25" s="560"/>
      <c r="Z25" s="560"/>
      <c r="AA25" s="560"/>
      <c r="AB25" s="560"/>
      <c r="AC25" s="560"/>
      <c r="AD25" s="560"/>
      <c r="AE25" s="560"/>
      <c r="AF25" s="560"/>
    </row>
    <row r="26" spans="1:32" s="539" customFormat="1" ht="14.45" x14ac:dyDescent="0.35">
      <c r="A26" s="812"/>
      <c r="B26" s="806" t="s">
        <v>400</v>
      </c>
      <c r="G26" s="714"/>
      <c r="H26" s="714">
        <f>SUM(Results_Res!H120,Results_Res!H120)</f>
        <v>89675.829225314272</v>
      </c>
      <c r="I26" s="887">
        <f>SUM(Results_Res!I120,Results_Res!I120)</f>
        <v>77999.01415383954</v>
      </c>
      <c r="J26" s="887">
        <f>SUM(Results_Res!J120,Results_Res!J120)</f>
        <v>53134.445165239165</v>
      </c>
      <c r="K26" s="887">
        <f>SUM(Results_Res!K120,Results_Res!K120)</f>
        <v>37967.136583389161</v>
      </c>
      <c r="L26" s="887">
        <f>SUM(Results_Res!L120,Results_Res!L120)</f>
        <v>25287.282562507375</v>
      </c>
      <c r="M26" s="887">
        <f>SUM(Results_Res!M120,Results_Res!M120)</f>
        <v>10086.339401797577</v>
      </c>
      <c r="N26" s="887">
        <f>SUM(Results_Res!N120,Results_Res!N120)</f>
        <v>9141.0679052301002</v>
      </c>
      <c r="O26" s="887">
        <f>SUM(Results_Res!O120,Results_Res!O120)</f>
        <v>8578.466756304073</v>
      </c>
      <c r="P26" s="887">
        <f>SUM(Results_Res!P120,Results_Res!P120)</f>
        <v>8255.8003837208762</v>
      </c>
      <c r="Q26" s="887">
        <f>SUM(Results_Res!Q120,Results_Res!Q120)</f>
        <v>8086.177177660129</v>
      </c>
      <c r="R26" s="887">
        <f>SUM(Results_Res!R120,Results_Res!R120)</f>
        <v>8012.7687798865309</v>
      </c>
      <c r="S26" s="887">
        <f>SUM(Results_Res!S120,Results_Res!S120)</f>
        <v>8007.9857924870348</v>
      </c>
      <c r="T26" s="887">
        <f>SUM(Results_Res!T120,Results_Res!T120)</f>
        <v>8047.717442754456</v>
      </c>
      <c r="U26" s="887">
        <f>SUM(Results_Res!U120,Results_Res!U120)</f>
        <v>8117.0295578164405</v>
      </c>
      <c r="V26" s="887">
        <f>SUM(Results_Res!V120,Results_Res!V120)</f>
        <v>8208.5674191379658</v>
      </c>
      <c r="W26" s="887">
        <f>SUM(Results_Res!W120,Results_Res!W120)</f>
        <v>8312.626020067597</v>
      </c>
      <c r="X26" s="887">
        <f>SUM(Results_Res!X120,Results_Res!X120)</f>
        <v>8422.8712133056761</v>
      </c>
      <c r="Y26" s="887">
        <f>SUM(Results_Res!Y120,Results_Res!Y120)</f>
        <v>8535.7370113177785</v>
      </c>
      <c r="Z26" s="887">
        <f>SUM(Results_Res!Z120,Results_Res!Z120)</f>
        <v>8651.869415261026</v>
      </c>
      <c r="AA26" s="887">
        <f>SUM(Results_Res!AA120,Results_Res!AA120)</f>
        <v>8772.2436050829165</v>
      </c>
      <c r="AB26" s="887">
        <f>SUM(Results_Res!AB120,Results_Res!AB120)</f>
        <v>8899.2661680422243</v>
      </c>
      <c r="AC26" s="887">
        <f>SUM(Results_Res!AC120,Results_Res!AC120)</f>
        <v>9023.4880620827134</v>
      </c>
      <c r="AD26" s="887">
        <f>SUM(Results_Res!AD120,Results_Res!AD120)</f>
        <v>9146.3291147105101</v>
      </c>
      <c r="AE26" s="887">
        <f>SUM(Results_Res!AE120,Results_Res!AE120)</f>
        <v>9267.3734430644745</v>
      </c>
      <c r="AF26" s="887">
        <f>SUM(Results_Res!AF120,Results_Res!AF120)</f>
        <v>9386.2908533282007</v>
      </c>
    </row>
    <row r="27" spans="1:32" s="539" customFormat="1" ht="14.45" x14ac:dyDescent="0.35">
      <c r="A27" s="812"/>
      <c r="B27" s="806" t="s">
        <v>401</v>
      </c>
      <c r="G27" s="714"/>
      <c r="H27" s="887">
        <f>SUM(Results_Res!H121,Results_Res!H121)</f>
        <v>1666.1327994684505</v>
      </c>
      <c r="I27" s="887">
        <f>SUM(Results_Res!I121,Results_Res!I121)</f>
        <v>7070.1821098990922</v>
      </c>
      <c r="J27" s="887">
        <f>SUM(Results_Res!J121,Results_Res!J121)</f>
        <v>21251.265332667506</v>
      </c>
      <c r="K27" s="887">
        <f>SUM(Results_Res!K121,Results_Res!K121)</f>
        <v>30211.587853544897</v>
      </c>
      <c r="L27" s="887">
        <f>SUM(Results_Res!L121,Results_Res!L121)</f>
        <v>33009.729278444902</v>
      </c>
      <c r="M27" s="887">
        <f>SUM(Results_Res!M121,Results_Res!M121)</f>
        <v>36714.875983919148</v>
      </c>
      <c r="N27" s="887">
        <f>SUM(Results_Res!N121,Results_Res!N121)</f>
        <v>33813.529975158592</v>
      </c>
      <c r="O27" s="887">
        <f>SUM(Results_Res!O121,Results_Res!O121)</f>
        <v>32116.580244072175</v>
      </c>
      <c r="P27" s="887">
        <f>SUM(Results_Res!P121,Results_Res!P121)</f>
        <v>31176.599738735076</v>
      </c>
      <c r="Q27" s="887">
        <f>SUM(Results_Res!Q121,Results_Res!Q121)</f>
        <v>30714.900049867982</v>
      </c>
      <c r="R27" s="887">
        <f>SUM(Results_Res!R121,Results_Res!R121)</f>
        <v>30537.164377756857</v>
      </c>
      <c r="S27" s="887">
        <f>SUM(Results_Res!S121,Results_Res!S121)</f>
        <v>30596.511560027218</v>
      </c>
      <c r="T27" s="887">
        <f>SUM(Results_Res!T121,Results_Res!T121)</f>
        <v>30792.236699190427</v>
      </c>
      <c r="U27" s="887">
        <f>SUM(Results_Res!U121,Results_Res!U121)</f>
        <v>31077.390247763236</v>
      </c>
      <c r="V27" s="887">
        <f>SUM(Results_Res!V121,Results_Res!V121)</f>
        <v>31441.914799713308</v>
      </c>
      <c r="W27" s="887">
        <f>SUM(Results_Res!W121,Results_Res!W121)</f>
        <v>31834.301856466907</v>
      </c>
      <c r="X27" s="887">
        <f>SUM(Results_Res!X121,Results_Res!X121)</f>
        <v>32232.834218949425</v>
      </c>
      <c r="Y27" s="887">
        <f>SUM(Results_Res!Y121,Results_Res!Y121)</f>
        <v>32631.012907208544</v>
      </c>
      <c r="Z27" s="887">
        <f>SUM(Results_Res!Z121,Results_Res!Z121)</f>
        <v>33047.510559035843</v>
      </c>
      <c r="AA27" s="887">
        <f>SUM(Results_Res!AA121,Results_Res!AA121)</f>
        <v>33490.525731190697</v>
      </c>
      <c r="AB27" s="887">
        <f>SUM(Results_Res!AB121,Results_Res!AB121)</f>
        <v>33975.608510395447</v>
      </c>
      <c r="AC27" s="887">
        <f>SUM(Results_Res!AC121,Results_Res!AC121)</f>
        <v>34419.37647684291</v>
      </c>
      <c r="AD27" s="887">
        <f>SUM(Results_Res!AD121,Results_Res!AD121)</f>
        <v>34856.281067686054</v>
      </c>
      <c r="AE27" s="887">
        <f>SUM(Results_Res!AE121,Results_Res!AE121)</f>
        <v>35284.939719735288</v>
      </c>
      <c r="AF27" s="887">
        <f>SUM(Results_Res!AF121,Results_Res!AF121)</f>
        <v>35704.241890150312</v>
      </c>
    </row>
    <row r="28" spans="1:32" s="539" customFormat="1" ht="14.45" x14ac:dyDescent="0.35">
      <c r="A28" s="812"/>
      <c r="B28" s="806" t="s">
        <v>402</v>
      </c>
      <c r="G28" s="714"/>
      <c r="H28" s="887">
        <f>SUM(Results_Res!H122,Results_Res!H122)</f>
        <v>35682.269368646383</v>
      </c>
      <c r="I28" s="887">
        <f>SUM(Results_Res!I122,Results_Res!I122)</f>
        <v>37855.471161249618</v>
      </c>
      <c r="J28" s="887">
        <f>SUM(Results_Res!J122,Results_Res!J122)</f>
        <v>44810.293152191625</v>
      </c>
      <c r="K28" s="887">
        <f>SUM(Results_Res!K122,Results_Res!K122)</f>
        <v>44635.122258523021</v>
      </c>
      <c r="L28" s="887">
        <f>SUM(Results_Res!L122,Results_Res!L122)</f>
        <v>48687.238981212024</v>
      </c>
      <c r="M28" s="887">
        <f>SUM(Results_Res!M122,Results_Res!M122)</f>
        <v>53915.476657805608</v>
      </c>
      <c r="N28" s="887">
        <f>SUM(Results_Res!N122,Results_Res!N122)</f>
        <v>50421.685906929204</v>
      </c>
      <c r="O28" s="887">
        <f>SUM(Results_Res!O122,Results_Res!O122)</f>
        <v>48428.551902266205</v>
      </c>
      <c r="P28" s="887">
        <f>SUM(Results_Res!P122,Results_Res!P122)</f>
        <v>47381.565823324301</v>
      </c>
      <c r="Q28" s="887">
        <f>SUM(Results_Res!Q122,Results_Res!Q122)</f>
        <v>46924.921695012148</v>
      </c>
      <c r="R28" s="887">
        <f>SUM(Results_Res!R122,Results_Res!R122)</f>
        <v>46791.093153561844</v>
      </c>
      <c r="S28" s="887">
        <f>SUM(Results_Res!S122,Results_Res!S122)</f>
        <v>46987.342517319077</v>
      </c>
      <c r="T28" s="887">
        <f>SUM(Results_Res!T122,Results_Res!T122)</f>
        <v>47347.393028385428</v>
      </c>
      <c r="U28" s="887">
        <f>SUM(Results_Res!U122,Results_Res!U122)</f>
        <v>47812.834271464373</v>
      </c>
      <c r="V28" s="887">
        <f>SUM(Results_Res!V122,Results_Res!V122)</f>
        <v>48392.653599832571</v>
      </c>
      <c r="W28" s="887">
        <f>SUM(Results_Res!W122,Results_Res!W122)</f>
        <v>48988.211542568897</v>
      </c>
      <c r="X28" s="887">
        <f>SUM(Results_Res!X122,Results_Res!X122)</f>
        <v>49569.520429302705</v>
      </c>
      <c r="Y28" s="887">
        <f>SUM(Results_Res!Y122,Results_Res!Y122)</f>
        <v>50136.248874001583</v>
      </c>
      <c r="Z28" s="887">
        <f>SUM(Results_Res!Z122,Results_Res!Z122)</f>
        <v>50739.015389138302</v>
      </c>
      <c r="AA28" s="887">
        <f>SUM(Results_Res!AA122,Results_Res!AA122)</f>
        <v>51396.467070305924</v>
      </c>
      <c r="AB28" s="887">
        <f>SUM(Results_Res!AB122,Results_Res!AB122)</f>
        <v>52141.089932935902</v>
      </c>
      <c r="AC28" s="887">
        <f>SUM(Results_Res!AC122,Results_Res!AC122)</f>
        <v>52780.809959636099</v>
      </c>
      <c r="AD28" s="887">
        <f>SUM(Results_Res!AD122,Results_Res!AD122)</f>
        <v>53407.840134229329</v>
      </c>
      <c r="AE28" s="887">
        <f>SUM(Results_Res!AE122,Results_Res!AE122)</f>
        <v>54020.336761311395</v>
      </c>
      <c r="AF28" s="887">
        <f>SUM(Results_Res!AF122,Results_Res!AF122)</f>
        <v>54616.798903671195</v>
      </c>
    </row>
    <row r="29" spans="1:32" s="539" customFormat="1" ht="14.45" x14ac:dyDescent="0.35">
      <c r="B29" s="806" t="s">
        <v>29</v>
      </c>
      <c r="G29" s="714"/>
      <c r="H29" s="887">
        <f>SUM(Results_Res!H123,Results_Res!H123)</f>
        <v>45.902830767643401</v>
      </c>
      <c r="I29" s="887">
        <f>SUM(Results_Res!I123,Results_Res!I123)</f>
        <v>48.625317332301357</v>
      </c>
      <c r="J29" s="887">
        <f>SUM(Results_Res!J123,Results_Res!J123)</f>
        <v>38.689136214295687</v>
      </c>
      <c r="K29" s="887">
        <f>SUM(Results_Res!K123,Results_Res!K123)</f>
        <v>38.76977912191338</v>
      </c>
      <c r="L29" s="887">
        <f>SUM(Results_Res!L123,Results_Res!L123)</f>
        <v>41.841963840482613</v>
      </c>
      <c r="M29" s="887">
        <f>SUM(Results_Res!M123,Results_Res!M123)</f>
        <v>45.213955265681761</v>
      </c>
      <c r="N29" s="887">
        <f>SUM(Results_Res!N123,Results_Res!N123)</f>
        <v>45.807469352822821</v>
      </c>
      <c r="O29" s="887">
        <f>SUM(Results_Res!O123,Results_Res!O123)</f>
        <v>46.428058998279859</v>
      </c>
      <c r="P29" s="887">
        <f>SUM(Results_Res!P123,Results_Res!P123)</f>
        <v>47.081843992461422</v>
      </c>
      <c r="Q29" s="887">
        <f>SUM(Results_Res!Q123,Results_Res!Q123)</f>
        <v>47.716020630329474</v>
      </c>
      <c r="R29" s="887">
        <f>SUM(Results_Res!R123,Results_Res!R123)</f>
        <v>48.188148997856935</v>
      </c>
      <c r="S29" s="887">
        <f>SUM(Results_Res!S123,Results_Res!S123)</f>
        <v>48.854024600718446</v>
      </c>
      <c r="T29" s="887">
        <f>SUM(Results_Res!T123,Results_Res!T123)</f>
        <v>49.489694344473186</v>
      </c>
      <c r="U29" s="887">
        <f>SUM(Results_Res!U123,Results_Res!U123)</f>
        <v>50.094580391022141</v>
      </c>
      <c r="V29" s="887">
        <f>SUM(Results_Res!V123,Results_Res!V123)</f>
        <v>50.785379180338438</v>
      </c>
      <c r="W29" s="887">
        <f>SUM(Results_Res!W123,Results_Res!W123)</f>
        <v>51.37368907985514</v>
      </c>
      <c r="X29" s="887">
        <f>SUM(Results_Res!X123,Results_Res!X123)</f>
        <v>51.843110219321545</v>
      </c>
      <c r="Y29" s="887">
        <f>SUM(Results_Res!Y123,Results_Res!Y123)</f>
        <v>52.235694540463847</v>
      </c>
      <c r="Z29" s="887">
        <f>SUM(Results_Res!Z123,Results_Res!Z123)</f>
        <v>52.700483707817071</v>
      </c>
      <c r="AA29" s="887">
        <f>SUM(Results_Res!AA123,Results_Res!AA123)</f>
        <v>53.28347667021886</v>
      </c>
      <c r="AB29" s="887">
        <f>SUM(Results_Res!AB123,Results_Res!AB123)</f>
        <v>54.056261358033964</v>
      </c>
      <c r="AC29" s="887">
        <f>SUM(Results_Res!AC123,Results_Res!AC123)</f>
        <v>54.537829283832842</v>
      </c>
      <c r="AD29" s="887">
        <f>SUM(Results_Res!AD123,Results_Res!AD123)</f>
        <v>54.996757850388853</v>
      </c>
      <c r="AE29" s="887">
        <f>SUM(Results_Res!AE123,Results_Res!AE123)</f>
        <v>55.43235827086724</v>
      </c>
      <c r="AF29" s="887">
        <f>SUM(Results_Res!AF123,Results_Res!AF123)</f>
        <v>55.843968660043522</v>
      </c>
    </row>
    <row r="30" spans="1:32" s="539" customFormat="1" ht="14.45" x14ac:dyDescent="0.35"/>
    <row r="31" spans="1:32" s="539" customFormat="1" ht="14.45" x14ac:dyDescent="0.35">
      <c r="A31" s="554" t="s">
        <v>403</v>
      </c>
      <c r="B31" s="555"/>
      <c r="C31" s="554"/>
      <c r="D31" s="553"/>
      <c r="E31" s="553"/>
      <c r="F31" s="553"/>
      <c r="G31" s="553"/>
      <c r="H31" s="560"/>
      <c r="I31" s="560"/>
      <c r="J31" s="560"/>
      <c r="K31" s="560"/>
      <c r="L31" s="560"/>
      <c r="M31" s="560"/>
      <c r="N31" s="560"/>
      <c r="O31" s="560"/>
      <c r="P31" s="560"/>
      <c r="Q31" s="560"/>
      <c r="R31" s="560"/>
      <c r="S31" s="560"/>
      <c r="T31" s="560"/>
      <c r="U31" s="560"/>
      <c r="V31" s="560"/>
      <c r="W31" s="560"/>
      <c r="X31" s="560"/>
      <c r="Y31" s="560"/>
      <c r="Z31" s="560"/>
      <c r="AA31" s="560"/>
      <c r="AB31" s="560"/>
      <c r="AC31" s="560"/>
      <c r="AD31" s="560"/>
      <c r="AE31" s="560"/>
      <c r="AF31" s="560"/>
    </row>
    <row r="32" spans="1:32" s="221" customFormat="1" ht="14.45" x14ac:dyDescent="0.35">
      <c r="A32" s="824" t="s">
        <v>237</v>
      </c>
      <c r="B32" s="715"/>
      <c r="C32" s="824"/>
      <c r="D32" s="7"/>
      <c r="E32" s="7"/>
      <c r="F32" s="7"/>
      <c r="G32" s="7"/>
      <c r="H32" s="716"/>
      <c r="I32" s="716"/>
      <c r="J32" s="716"/>
      <c r="K32" s="716"/>
      <c r="L32" s="716"/>
      <c r="M32" s="716"/>
      <c r="N32" s="716"/>
      <c r="O32" s="716"/>
      <c r="P32" s="716"/>
      <c r="Q32" s="716"/>
      <c r="R32" s="716"/>
      <c r="S32" s="716"/>
      <c r="T32" s="716"/>
      <c r="U32" s="716"/>
      <c r="V32" s="716"/>
      <c r="W32" s="716"/>
      <c r="X32" s="716"/>
      <c r="Y32" s="716"/>
      <c r="Z32" s="716"/>
      <c r="AA32" s="716"/>
      <c r="AB32" s="716"/>
      <c r="AC32" s="716"/>
      <c r="AD32" s="716"/>
      <c r="AE32" s="716"/>
      <c r="AF32" s="716"/>
    </row>
    <row r="33" spans="1:32" s="539" customFormat="1" ht="14.45" x14ac:dyDescent="0.35">
      <c r="B33" s="96" t="s">
        <v>55</v>
      </c>
      <c r="G33" s="853">
        <f>SUM(Results_Com!G194:G224)</f>
        <v>4.5057859829374411</v>
      </c>
      <c r="H33" s="853">
        <f>SUM(Results_Com!H194:H224)</f>
        <v>4.4007619294678006</v>
      </c>
      <c r="I33" s="853">
        <f>SUM(Results_Com!I194:I224)</f>
        <v>4.3237905481660377</v>
      </c>
      <c r="J33" s="853">
        <f>SUM(Results_Com!J194:J224)</f>
        <v>4.2422314857097163</v>
      </c>
      <c r="K33" s="853">
        <f>SUM(Results_Com!K194:K224)</f>
        <v>4.1720536427975912</v>
      </c>
      <c r="L33" s="853">
        <f>SUM(Results_Com!L194:L224)</f>
        <v>4.1120360077661271</v>
      </c>
      <c r="M33" s="853">
        <f>SUM(Results_Com!M194:M224)</f>
        <v>4.0624471511717442</v>
      </c>
      <c r="N33" s="853">
        <f>SUM(Results_Com!N194:N224)</f>
        <v>4.0284185012915854</v>
      </c>
      <c r="O33" s="853">
        <f>SUM(Results_Com!O194:O224)</f>
        <v>4.0011237403409066</v>
      </c>
      <c r="P33" s="853">
        <f>SUM(Results_Com!P194:P224)</f>
        <v>3.9794828994260132</v>
      </c>
      <c r="Q33" s="853">
        <f>SUM(Results_Com!Q194:Q224)</f>
        <v>3.9617485249804916</v>
      </c>
      <c r="R33" s="853">
        <f>SUM(Results_Com!R194:R224)</f>
        <v>3.9486056954159592</v>
      </c>
      <c r="S33" s="853">
        <f>SUM(Results_Com!S194:S224)</f>
        <v>3.9392765875253128</v>
      </c>
      <c r="T33" s="853">
        <f>SUM(Results_Com!T194:T224)</f>
        <v>3.9332360473388057</v>
      </c>
      <c r="U33" s="853">
        <f>SUM(Results_Com!U194:U224)</f>
        <v>3.9282341432419714</v>
      </c>
      <c r="V33" s="853">
        <f>SUM(Results_Com!V194:V224)</f>
        <v>3.924010868365424</v>
      </c>
      <c r="W33" s="853">
        <f>SUM(Results_Com!W194:W224)</f>
        <v>3.9203630304669437</v>
      </c>
      <c r="X33" s="853">
        <f>SUM(Results_Com!X194:X224)</f>
        <v>3.9171578225089907</v>
      </c>
      <c r="Y33" s="853">
        <f>SUM(Results_Com!Y194:Y224)</f>
        <v>3.9142950524701203</v>
      </c>
      <c r="Z33" s="853">
        <f>SUM(Results_Com!Z194:Z224)</f>
        <v>3.9116898877611801</v>
      </c>
      <c r="AA33" s="853">
        <f>SUM(Results_Com!AA194:AA224)</f>
        <v>3.9092832473007726</v>
      </c>
      <c r="AB33" s="853">
        <f>SUM(Results_Com!AB194:AB224)</f>
        <v>3.9070437131963041</v>
      </c>
      <c r="AC33" s="853">
        <f>SUM(Results_Com!AC194:AC224)</f>
        <v>3.9049440542379754</v>
      </c>
      <c r="AD33" s="853">
        <f>SUM(Results_Com!AD194:AD224)</f>
        <v>3.9029599313078451</v>
      </c>
      <c r="AE33" s="853">
        <f>SUM(Results_Com!AE194:AE224)</f>
        <v>3.9010735525700726</v>
      </c>
      <c r="AF33" s="853">
        <f>SUM(Results_Com!AF194:AF224)</f>
        <v>3.8992712424189087</v>
      </c>
    </row>
    <row r="34" spans="1:32" s="539" customFormat="1" ht="14.45" x14ac:dyDescent="0.35">
      <c r="B34" s="96" t="s">
        <v>56</v>
      </c>
      <c r="G34" s="853">
        <f>SUM(Results_Ind!G194:G224)</f>
        <v>5.814079713964813</v>
      </c>
      <c r="H34" s="853">
        <f>SUM(Results_Ind!H194:H224)</f>
        <v>5.7088576032491467</v>
      </c>
      <c r="I34" s="853">
        <f>SUM(Results_Ind!I194:I224)</f>
        <v>5.6178983975093271</v>
      </c>
      <c r="J34" s="853">
        <f>SUM(Results_Ind!J194:J224)</f>
        <v>5.5254313815452161</v>
      </c>
      <c r="K34" s="853">
        <f>SUM(Results_Ind!K194:K224)</f>
        <v>5.4333278012514663</v>
      </c>
      <c r="L34" s="853">
        <f>SUM(Results_Ind!L194:L224)</f>
        <v>5.3479119733907803</v>
      </c>
      <c r="M34" s="853">
        <f>SUM(Results_Ind!M194:M224)</f>
        <v>5.2683788026294724</v>
      </c>
      <c r="N34" s="853">
        <f>SUM(Results_Ind!N194:N224)</f>
        <v>5.1935335306549391</v>
      </c>
      <c r="O34" s="853">
        <f>SUM(Results_Ind!O194:O224)</f>
        <v>5.1245718169495538</v>
      </c>
      <c r="P34" s="853">
        <f>SUM(Results_Ind!P194:P224)</f>
        <v>5.0598382706031551</v>
      </c>
      <c r="Q34" s="853">
        <f>SUM(Results_Ind!Q194:Q224)</f>
        <v>4.9996541535405434</v>
      </c>
      <c r="R34" s="853">
        <f>SUM(Results_Ind!R194:R224)</f>
        <v>4.9432548815019626</v>
      </c>
      <c r="S34" s="853">
        <f>SUM(Results_Ind!S194:S224)</f>
        <v>4.890125095604331</v>
      </c>
      <c r="T34" s="853">
        <f>SUM(Results_Ind!T194:T224)</f>
        <v>4.838437737848059</v>
      </c>
      <c r="U34" s="853">
        <f>SUM(Results_Ind!U194:U224)</f>
        <v>4.7879311959905406</v>
      </c>
      <c r="V34" s="853">
        <f>SUM(Results_Ind!V194:V224)</f>
        <v>4.7384077761793062</v>
      </c>
      <c r="W34" s="853">
        <f>SUM(Results_Ind!W194:W224)</f>
        <v>4.6897468412489829</v>
      </c>
      <c r="X34" s="853">
        <f>SUM(Results_Ind!X194:X224)</f>
        <v>4.6418399825460437</v>
      </c>
      <c r="Y34" s="853">
        <f>SUM(Results_Ind!Y194:Y224)</f>
        <v>4.5946165219030588</v>
      </c>
      <c r="Z34" s="853">
        <f>SUM(Results_Ind!Z194:Z224)</f>
        <v>4.5480193870662022</v>
      </c>
      <c r="AA34" s="853">
        <f>SUM(Results_Ind!AA194:AA224)</f>
        <v>4.5019900202037375</v>
      </c>
      <c r="AB34" s="853">
        <f>SUM(Results_Ind!AB194:AB224)</f>
        <v>4.4565157741905796</v>
      </c>
      <c r="AC34" s="853">
        <f>SUM(Results_Ind!AC194:AC224)</f>
        <v>4.4115699759653033</v>
      </c>
      <c r="AD34" s="853">
        <f>SUM(Results_Ind!AD194:AD224)</f>
        <v>4.367130970776933</v>
      </c>
      <c r="AE34" s="853">
        <f>SUM(Results_Ind!AE194:AE224)</f>
        <v>4.3231824220610013</v>
      </c>
      <c r="AF34" s="853">
        <f>SUM(Results_Ind!AF194:AF224)</f>
        <v>4.2797104591929109</v>
      </c>
    </row>
    <row r="35" spans="1:32" s="539" customFormat="1" ht="14.45" x14ac:dyDescent="0.35">
      <c r="B35" s="96" t="s">
        <v>54</v>
      </c>
      <c r="G35" s="853">
        <f>SUM(Results_Res!G194:G224)</f>
        <v>0.80002015999550691</v>
      </c>
      <c r="H35" s="853">
        <f>SUM(Results_Res!H194:H224)</f>
        <v>0.76918176449249298</v>
      </c>
      <c r="I35" s="853">
        <f>SUM(Results_Res!I194:I224)</f>
        <v>0.73667531074298331</v>
      </c>
      <c r="J35" s="853">
        <f>SUM(Results_Res!J194:J224)</f>
        <v>0.69643234919101682</v>
      </c>
      <c r="K35" s="853">
        <f>SUM(Results_Res!K194:K224)</f>
        <v>0.66242809557130933</v>
      </c>
      <c r="L35" s="853">
        <f>SUM(Results_Res!L194:L224)</f>
        <v>0.63101962680315127</v>
      </c>
      <c r="M35" s="853">
        <f>SUM(Results_Res!M194:M224)</f>
        <v>0.59962183226204979</v>
      </c>
      <c r="N35" s="853">
        <f>SUM(Results_Res!N194:N224)</f>
        <v>0.57824409486662631</v>
      </c>
      <c r="O35" s="853">
        <f>SUM(Results_Res!O194:O224)</f>
        <v>0.56427116867534621</v>
      </c>
      <c r="P35" s="853">
        <f>SUM(Results_Res!P194:P224)</f>
        <v>0.55507170593516253</v>
      </c>
      <c r="Q35" s="853">
        <f>SUM(Results_Res!Q194:Q224)</f>
        <v>0.54906053000912214</v>
      </c>
      <c r="R35" s="853">
        <f>SUM(Results_Res!R194:R224)</f>
        <v>0.54475060580370038</v>
      </c>
      <c r="S35" s="853">
        <f>SUM(Results_Res!S194:S224)</f>
        <v>0.54157713774070315</v>
      </c>
      <c r="T35" s="853">
        <f>SUM(Results_Res!T194:T224)</f>
        <v>0.53916612527073648</v>
      </c>
      <c r="U35" s="853">
        <f>SUM(Results_Res!U194:U224)</f>
        <v>0.53727346596717196</v>
      </c>
      <c r="V35" s="853">
        <f>SUM(Results_Res!V194:V224)</f>
        <v>0.53574474896623059</v>
      </c>
      <c r="W35" s="853">
        <f>SUM(Results_Res!W194:W224)</f>
        <v>0.53446443268815325</v>
      </c>
      <c r="X35" s="853">
        <f>SUM(Results_Res!X194:X224)</f>
        <v>0.53335367202193673</v>
      </c>
      <c r="Y35" s="853">
        <f>SUM(Results_Res!Y194:Y224)</f>
        <v>0.53236180848179715</v>
      </c>
      <c r="Z35" s="853">
        <f>SUM(Results_Res!Z194:Z224)</f>
        <v>0.53146337564096258</v>
      </c>
      <c r="AA35" s="853">
        <f>SUM(Results_Res!AA194:AA224)</f>
        <v>0.53064283220741182</v>
      </c>
      <c r="AB35" s="853">
        <f>SUM(Results_Res!AB194:AB224)</f>
        <v>0.52989256683628749</v>
      </c>
      <c r="AC35" s="853">
        <f>SUM(Results_Res!AC194:AC224)</f>
        <v>0.52917740877870989</v>
      </c>
      <c r="AD35" s="853">
        <f>SUM(Results_Res!AD194:AD224)</f>
        <v>0.52849023756010161</v>
      </c>
      <c r="AE35" s="853">
        <f>SUM(Results_Res!AE194:AE224)</f>
        <v>0.52782594509013059</v>
      </c>
      <c r="AF35" s="853">
        <f>SUM(Results_Res!AF194:AF224)</f>
        <v>0.52718079727498157</v>
      </c>
    </row>
    <row r="36" spans="1:32" ht="14.45" x14ac:dyDescent="0.35">
      <c r="G36" s="853"/>
      <c r="H36" s="853"/>
      <c r="I36" s="853"/>
      <c r="J36" s="853"/>
      <c r="K36" s="853"/>
      <c r="L36" s="853"/>
      <c r="M36" s="853"/>
      <c r="N36" s="853"/>
      <c r="O36" s="853"/>
      <c r="P36" s="853"/>
      <c r="Q36" s="853"/>
      <c r="R36" s="853"/>
      <c r="S36" s="853"/>
      <c r="T36" s="853"/>
      <c r="U36" s="853"/>
      <c r="V36" s="853"/>
      <c r="W36" s="853"/>
      <c r="X36" s="853"/>
      <c r="Y36" s="853"/>
      <c r="Z36" s="853"/>
      <c r="AA36" s="853"/>
      <c r="AB36" s="853"/>
      <c r="AC36" s="853"/>
      <c r="AD36" s="853"/>
      <c r="AE36" s="853"/>
      <c r="AF36" s="853"/>
    </row>
    <row r="37" spans="1:32" s="539" customFormat="1" x14ac:dyDescent="0.25">
      <c r="A37" s="554" t="s">
        <v>404</v>
      </c>
      <c r="B37" s="555"/>
      <c r="C37" s="554"/>
      <c r="D37" s="553"/>
      <c r="E37" s="553"/>
      <c r="F37" s="553"/>
      <c r="G37" s="834"/>
      <c r="H37" s="834"/>
      <c r="I37" s="834"/>
      <c r="J37" s="834"/>
      <c r="K37" s="834"/>
      <c r="L37" s="834"/>
      <c r="M37" s="834"/>
      <c r="N37" s="834"/>
      <c r="O37" s="834"/>
      <c r="P37" s="834"/>
      <c r="Q37" s="834"/>
      <c r="R37" s="834"/>
      <c r="S37" s="834"/>
      <c r="T37" s="834"/>
      <c r="U37" s="834"/>
      <c r="V37" s="834"/>
      <c r="W37" s="834"/>
      <c r="X37" s="834"/>
      <c r="Y37" s="834"/>
      <c r="Z37" s="834"/>
      <c r="AA37" s="834"/>
      <c r="AB37" s="834"/>
      <c r="AC37" s="834"/>
      <c r="AD37" s="834"/>
      <c r="AE37" s="834"/>
      <c r="AF37" s="834"/>
    </row>
    <row r="38" spans="1:32" s="221" customFormat="1" x14ac:dyDescent="0.25">
      <c r="A38" s="824" t="s">
        <v>237</v>
      </c>
      <c r="B38" s="715"/>
      <c r="C38" s="824"/>
      <c r="D38" s="7"/>
      <c r="E38" s="7"/>
      <c r="F38" s="7"/>
      <c r="G38" s="833"/>
      <c r="H38" s="833"/>
      <c r="I38" s="833"/>
      <c r="J38" s="833"/>
      <c r="K38" s="833"/>
      <c r="L38" s="833"/>
      <c r="M38" s="833"/>
      <c r="N38" s="833"/>
      <c r="O38" s="833"/>
      <c r="P38" s="833"/>
      <c r="Q38" s="833"/>
      <c r="R38" s="833"/>
      <c r="S38" s="833"/>
      <c r="T38" s="833"/>
      <c r="U38" s="833"/>
      <c r="V38" s="833"/>
      <c r="W38" s="833"/>
      <c r="X38" s="833"/>
      <c r="Y38" s="833"/>
      <c r="Z38" s="833"/>
      <c r="AA38" s="833"/>
      <c r="AB38" s="833"/>
      <c r="AC38" s="833"/>
      <c r="AD38" s="833"/>
      <c r="AE38" s="833"/>
      <c r="AF38" s="833"/>
    </row>
    <row r="39" spans="1:32" s="539" customFormat="1" x14ac:dyDescent="0.25">
      <c r="B39" s="96" t="s">
        <v>55</v>
      </c>
      <c r="G39" s="853">
        <f>SUM(Results_Com!G231:G261)</f>
        <v>1.1844191909170325</v>
      </c>
      <c r="H39" s="853">
        <f>SUM(Results_Com!H231:H261)</f>
        <v>1.1562767217569587</v>
      </c>
      <c r="I39" s="853">
        <f>SUM(Results_Com!I231:I261)</f>
        <v>1.1358813498857852</v>
      </c>
      <c r="J39" s="853">
        <f>SUM(Results_Com!J231:J261)</f>
        <v>1.1142737812785126</v>
      </c>
      <c r="K39" s="853">
        <f>SUM(Results_Com!K231:K261)</f>
        <v>1.0957790982079079</v>
      </c>
      <c r="L39" s="853">
        <f>SUM(Results_Com!L231:L261)</f>
        <v>1.0799449806556929</v>
      </c>
      <c r="M39" s="853">
        <f>SUM(Results_Com!M231:M261)</f>
        <v>1.0668567621809226</v>
      </c>
      <c r="N39" s="853">
        <f>SUM(Results_Com!N231:N261)</f>
        <v>1.0579333801004847</v>
      </c>
      <c r="O39" s="853">
        <f>SUM(Results_Com!O231:O261)</f>
        <v>1.0507827137935799</v>
      </c>
      <c r="P39" s="853">
        <f>SUM(Results_Com!P231:P261)</f>
        <v>1.0451127882500817</v>
      </c>
      <c r="Q39" s="853">
        <f>SUM(Results_Com!Q231:Q261)</f>
        <v>1.0404654854137647</v>
      </c>
      <c r="R39" s="853">
        <f>SUM(Results_Com!R231:R261)</f>
        <v>1.037019533034881</v>
      </c>
      <c r="S39" s="853">
        <f>SUM(Results_Com!S231:S261)</f>
        <v>1.0345716011808224</v>
      </c>
      <c r="T39" s="853">
        <f>SUM(Results_Com!T231:T261)</f>
        <v>1.032984290556074</v>
      </c>
      <c r="U39" s="853">
        <f>SUM(Results_Com!U231:U261)</f>
        <v>1.0316689038710416</v>
      </c>
      <c r="V39" s="853">
        <f>SUM(Results_Com!V231:V261)</f>
        <v>1.0305573756110731</v>
      </c>
      <c r="W39" s="853">
        <f>SUM(Results_Com!W231:W261)</f>
        <v>1.0295964282746042</v>
      </c>
      <c r="X39" s="853">
        <f>SUM(Results_Com!X231:X261)</f>
        <v>1.0287515865818746</v>
      </c>
      <c r="Y39" s="853">
        <f>SUM(Results_Com!Y231:Y261)</f>
        <v>1.0279965339982897</v>
      </c>
      <c r="Z39" s="853">
        <f>SUM(Results_Com!Z231:Z261)</f>
        <v>1.0273089193613025</v>
      </c>
      <c r="AA39" s="853">
        <f>SUM(Results_Com!AA231:AA261)</f>
        <v>1.0266732460140617</v>
      </c>
      <c r="AB39" s="853">
        <f>SUM(Results_Com!AB231:AB261)</f>
        <v>1.026081383531714</v>
      </c>
      <c r="AC39" s="853">
        <f>SUM(Results_Com!AC231:AC261)</f>
        <v>1.0255262388554856</v>
      </c>
      <c r="AD39" s="853">
        <f>SUM(Results_Com!AD231:AD261)</f>
        <v>1.0250014240184002</v>
      </c>
      <c r="AE39" s="853">
        <f>SUM(Results_Com!AE231:AE261)</f>
        <v>1.0245022759507101</v>
      </c>
      <c r="AF39" s="853">
        <f>SUM(Results_Com!AF231:AF261)</f>
        <v>1.024025212473757</v>
      </c>
    </row>
    <row r="40" spans="1:32" s="539" customFormat="1" x14ac:dyDescent="0.25">
      <c r="B40" s="96" t="s">
        <v>56</v>
      </c>
      <c r="G40" s="853">
        <f>SUM(Results_Ind!G231:G261)</f>
        <v>1.1370015017927477</v>
      </c>
      <c r="H40" s="853">
        <f>SUM(Results_Ind!H231:H261)</f>
        <v>1.1160343316032983</v>
      </c>
      <c r="I40" s="853">
        <f>SUM(Results_Ind!I231:I261)</f>
        <v>1.0972362049528392</v>
      </c>
      <c r="J40" s="853">
        <f>SUM(Results_Ind!J231:J261)</f>
        <v>1.078012450865397</v>
      </c>
      <c r="K40" s="853">
        <f>SUM(Results_Ind!K231:K261)</f>
        <v>1.0588106087295532</v>
      </c>
      <c r="L40" s="853">
        <f>SUM(Results_Ind!L231:L261)</f>
        <v>1.0411051711893413</v>
      </c>
      <c r="M40" s="853">
        <f>SUM(Results_Ind!M231:M261)</f>
        <v>1.0247186466860356</v>
      </c>
      <c r="N40" s="853">
        <f>SUM(Results_Ind!N231:N261)</f>
        <v>1.0093794269806418</v>
      </c>
      <c r="O40" s="853">
        <f>SUM(Results_Ind!O231:O261)</f>
        <v>0.99536944444026587</v>
      </c>
      <c r="P40" s="853">
        <f>SUM(Results_Ind!P231:P261)</f>
        <v>0.98230964311078584</v>
      </c>
      <c r="Q40" s="853">
        <f>SUM(Results_Ind!Q231:Q261)</f>
        <v>0.97027671820208417</v>
      </c>
      <c r="R40" s="853">
        <f>SUM(Results_Ind!R231:R261)</f>
        <v>0.95909585045624834</v>
      </c>
      <c r="S40" s="853">
        <f>SUM(Results_Ind!S231:S261)</f>
        <v>0.9486493428905941</v>
      </c>
      <c r="T40" s="853">
        <f>SUM(Results_Ind!T231:T261)</f>
        <v>0.93851610224218474</v>
      </c>
      <c r="U40" s="853">
        <f>SUM(Results_Ind!U231:U261)</f>
        <v>0.92863549544173807</v>
      </c>
      <c r="V40" s="853">
        <f>SUM(Results_Ind!V231:V261)</f>
        <v>0.91896372526484749</v>
      </c>
      <c r="W40" s="853">
        <f>SUM(Results_Ind!W231:W261)</f>
        <v>0.90947240080432268</v>
      </c>
      <c r="X40" s="853">
        <f>SUM(Results_Ind!X231:X261)</f>
        <v>0.90013710744744979</v>
      </c>
      <c r="Y40" s="853">
        <f>SUM(Results_Ind!Y231:Y261)</f>
        <v>0.8909420119684297</v>
      </c>
      <c r="Z40" s="853">
        <f>SUM(Results_Ind!Z231:Z261)</f>
        <v>0.88187432550690292</v>
      </c>
      <c r="AA40" s="853">
        <f>SUM(Results_Ind!AA231:AA261)</f>
        <v>0.8729216468310218</v>
      </c>
      <c r="AB40" s="853">
        <f>SUM(Results_Ind!AB231:AB261)</f>
        <v>0.86408028337037868</v>
      </c>
      <c r="AC40" s="853">
        <f>SUM(Results_Ind!AC231:AC261)</f>
        <v>0.85534437198239499</v>
      </c>
      <c r="AD40" s="853">
        <f>SUM(Results_Ind!AD231:AD261)</f>
        <v>0.84670916434618293</v>
      </c>
      <c r="AE40" s="853">
        <f>SUM(Results_Ind!AE231:AE261)</f>
        <v>0.83817110845047937</v>
      </c>
      <c r="AF40" s="853">
        <f>SUM(Results_Ind!AF231:AF261)</f>
        <v>0.82972719838118736</v>
      </c>
    </row>
    <row r="41" spans="1:32" s="539" customFormat="1" x14ac:dyDescent="0.25">
      <c r="B41" s="96" t="s">
        <v>54</v>
      </c>
      <c r="G41" s="853">
        <f>SUM(Results_Res!G231:G261)</f>
        <v>1.2090565133066407</v>
      </c>
      <c r="H41" s="853">
        <f>SUM(Results_Res!H231:H261)</f>
        <v>1.1621572122938444</v>
      </c>
      <c r="I41" s="853">
        <f>SUM(Results_Res!I231:I261)</f>
        <v>1.1127395680682997</v>
      </c>
      <c r="J41" s="853">
        <f>SUM(Results_Res!J231:J261)</f>
        <v>1.0516158459561784</v>
      </c>
      <c r="K41" s="853">
        <f>SUM(Results_Res!K231:K261)</f>
        <v>0.99999381798453013</v>
      </c>
      <c r="L41" s="853">
        <f>SUM(Results_Res!L231:L261)</f>
        <v>0.95230107017271426</v>
      </c>
      <c r="M41" s="853">
        <f>SUM(Results_Res!M231:M261)</f>
        <v>0.90459980265036644</v>
      </c>
      <c r="N41" s="853">
        <f>SUM(Results_Res!N231:N261)</f>
        <v>0.87210376471538487</v>
      </c>
      <c r="O41" s="853">
        <f>SUM(Results_Res!O231:O261)</f>
        <v>0.85087769534333257</v>
      </c>
      <c r="P41" s="853">
        <f>SUM(Results_Res!P231:P261)</f>
        <v>0.83691993140507559</v>
      </c>
      <c r="Q41" s="853">
        <f>SUM(Results_Res!Q231:Q261)</f>
        <v>0.82781932446853268</v>
      </c>
      <c r="R41" s="853">
        <f>SUM(Results_Res!R231:R261)</f>
        <v>0.82130311387509625</v>
      </c>
      <c r="S41" s="853">
        <f>SUM(Results_Res!S231:S261)</f>
        <v>0.81651292021979993</v>
      </c>
      <c r="T41" s="853">
        <f>SUM(Results_Res!T231:T261)</f>
        <v>0.81288029388107852</v>
      </c>
      <c r="U41" s="853">
        <f>SUM(Results_Res!U231:U261)</f>
        <v>0.81003425345498248</v>
      </c>
      <c r="V41" s="853">
        <f>SUM(Results_Res!V231:V261)</f>
        <v>0.80774020463889684</v>
      </c>
      <c r="W41" s="853">
        <f>SUM(Results_Res!W231:W261)</f>
        <v>0.80582256710886413</v>
      </c>
      <c r="X41" s="853">
        <f>SUM(Results_Res!X231:X261)</f>
        <v>0.80416154015084695</v>
      </c>
      <c r="Y41" s="853">
        <f>SUM(Results_Res!Y231:Y261)</f>
        <v>0.8026801838347396</v>
      </c>
      <c r="Z41" s="853">
        <f>SUM(Results_Res!Z231:Z261)</f>
        <v>0.80133989394195093</v>
      </c>
      <c r="AA41" s="853">
        <f>SUM(Results_Res!AA231:AA261)</f>
        <v>0.80011715757115009</v>
      </c>
      <c r="AB41" s="853">
        <f>SUM(Results_Res!AB231:AB261)</f>
        <v>0.79900052454148918</v>
      </c>
      <c r="AC41" s="853">
        <f>SUM(Results_Res!AC231:AC261)</f>
        <v>0.79793651841813162</v>
      </c>
      <c r="AD41" s="853">
        <f>SUM(Results_Res!AD231:AD261)</f>
        <v>0.79691436701350082</v>
      </c>
      <c r="AE41" s="853">
        <f>SUM(Results_Res!AE231:AE261)</f>
        <v>0.79592635324633376</v>
      </c>
      <c r="AF41" s="853">
        <f>SUM(Results_Res!AF231:AF261)</f>
        <v>0.79496684481017355</v>
      </c>
    </row>
    <row r="42" spans="1:32" s="539" customFormat="1" x14ac:dyDescent="0.25"/>
    <row r="43" spans="1:32" s="539" customFormat="1" x14ac:dyDescent="0.25">
      <c r="A43" s="554" t="s">
        <v>405</v>
      </c>
      <c r="B43" s="555"/>
      <c r="C43" s="554"/>
      <c r="D43" s="553"/>
      <c r="E43" s="553"/>
      <c r="F43" s="553"/>
      <c r="G43" s="553"/>
      <c r="H43" s="560"/>
      <c r="I43" s="560"/>
      <c r="J43" s="560"/>
      <c r="K43" s="560"/>
      <c r="L43" s="560"/>
      <c r="M43" s="560"/>
      <c r="N43" s="560"/>
      <c r="O43" s="560"/>
      <c r="P43" s="560"/>
      <c r="Q43" s="560"/>
      <c r="R43" s="560"/>
      <c r="S43" s="560"/>
      <c r="T43" s="560"/>
      <c r="U43" s="560"/>
      <c r="V43" s="560"/>
      <c r="W43" s="560"/>
      <c r="X43" s="560"/>
      <c r="Y43" s="560"/>
      <c r="Z43" s="560"/>
      <c r="AA43" s="560"/>
      <c r="AB43" s="560"/>
      <c r="AC43" s="560"/>
      <c r="AD43" s="560"/>
      <c r="AE43" s="560"/>
      <c r="AF43" s="560"/>
    </row>
    <row r="44" spans="1:32" s="539" customFormat="1" x14ac:dyDescent="0.25">
      <c r="B44" s="806" t="s">
        <v>400</v>
      </c>
      <c r="G44" s="714">
        <f>SUM(Results_Total!G9,Results_Total!G15,Results_Total!G34)</f>
        <v>95.813329813793132</v>
      </c>
      <c r="H44" s="714">
        <f>SUM(Results_Total!H9,Results_Total!H15,Results_Total!H34)</f>
        <v>86.012115745753519</v>
      </c>
      <c r="I44" s="714">
        <f>SUM(Results_Total!I9,Results_Total!I15,Results_Total!I34)</f>
        <v>79.531719650498587</v>
      </c>
      <c r="J44" s="714">
        <f>SUM(Results_Total!J9,Results_Total!J15,Results_Total!J34)</f>
        <v>69.33900320999355</v>
      </c>
      <c r="K44" s="714">
        <f>SUM(Results_Total!K9,Results_Total!K15,Results_Total!K34)</f>
        <v>60.695974221258112</v>
      </c>
      <c r="L44" s="714">
        <f>SUM(Results_Total!L9,Results_Total!L15,Results_Total!L34)</f>
        <v>53.005288253983466</v>
      </c>
      <c r="M44" s="714">
        <f>SUM(Results_Total!M9,Results_Total!M15,Results_Total!M34)</f>
        <v>45.081653411154861</v>
      </c>
      <c r="N44" s="714">
        <f>SUM(Results_Total!N9,Results_Total!N15,Results_Total!N34)</f>
        <v>41.42409465952322</v>
      </c>
      <c r="O44" s="714">
        <f>SUM(Results_Total!O9,Results_Total!O15,Results_Total!O34)</f>
        <v>39.748447340840315</v>
      </c>
      <c r="P44" s="714">
        <f>SUM(Results_Total!P9,Results_Total!P15,Results_Total!P34)</f>
        <v>39.100857865320975</v>
      </c>
      <c r="Q44" s="714">
        <f>SUM(Results_Total!Q9,Results_Total!Q15,Results_Total!Q34)</f>
        <v>38.997234366906575</v>
      </c>
      <c r="R44" s="714">
        <f>SUM(Results_Total!R9,Results_Total!R15,Results_Total!R34)</f>
        <v>39.175604939231988</v>
      </c>
      <c r="S44" s="714">
        <f>SUM(Results_Total!S9,Results_Total!S15,Results_Total!S34)</f>
        <v>39.513167905014342</v>
      </c>
      <c r="T44" s="714">
        <f>SUM(Results_Total!T9,Results_Total!T15,Results_Total!T34)</f>
        <v>39.938485794769676</v>
      </c>
      <c r="U44" s="714">
        <f>SUM(Results_Total!U9,Results_Total!U15,Results_Total!U34)</f>
        <v>40.412013300953056</v>
      </c>
      <c r="V44" s="714">
        <f>SUM(Results_Total!V9,Results_Total!V15,Results_Total!V34)</f>
        <v>40.915934239578071</v>
      </c>
      <c r="W44" s="714">
        <f>SUM(Results_Total!W9,Results_Total!W15,Results_Total!W34)</f>
        <v>41.431479403556139</v>
      </c>
      <c r="X44" s="714">
        <f>SUM(Results_Total!X9,Results_Total!X15,Results_Total!X34)</f>
        <v>41.949006488385862</v>
      </c>
      <c r="Y44" s="714">
        <f>SUM(Results_Total!Y9,Results_Total!Y15,Results_Total!Y34)</f>
        <v>42.461834666109162</v>
      </c>
      <c r="Z44" s="714">
        <f>SUM(Results_Total!Z9,Results_Total!Z15,Results_Total!Z34)</f>
        <v>42.969238993101783</v>
      </c>
      <c r="AA44" s="714">
        <f>SUM(Results_Total!AA9,Results_Total!AA15,Results_Total!AA34)</f>
        <v>43.473486429508725</v>
      </c>
      <c r="AB44" s="714">
        <f>SUM(Results_Total!AB9,Results_Total!AB15,Results_Total!AB34)</f>
        <v>43.982247127016109</v>
      </c>
      <c r="AC44" s="714">
        <f>SUM(Results_Total!AC9,Results_Total!AC15,Results_Total!AC34)</f>
        <v>44.482598353103796</v>
      </c>
      <c r="AD44" s="714">
        <f>SUM(Results_Total!AD9,Results_Total!AD15,Results_Total!AD34)</f>
        <v>44.973213689671354</v>
      </c>
      <c r="AE44" s="714">
        <f>SUM(Results_Total!AE9,Results_Total!AE15,Results_Total!AE34)</f>
        <v>45.452995459775615</v>
      </c>
      <c r="AF44" s="714">
        <f>SUM(Results_Total!AF9,Results_Total!AF15,Results_Total!AF34)</f>
        <v>45.9210571863021</v>
      </c>
    </row>
    <row r="45" spans="1:32" s="539" customFormat="1" x14ac:dyDescent="0.25">
      <c r="B45" s="806" t="s">
        <v>401</v>
      </c>
      <c r="G45" s="714">
        <f>SUM(Results_Total!G10,Results_Total!G16,Results_Total!G35)</f>
        <v>23.567344732629707</v>
      </c>
      <c r="H45" s="714">
        <f>SUM(Results_Total!H10,Results_Total!H16,Results_Total!H35)</f>
        <v>26.168981142651305</v>
      </c>
      <c r="I45" s="714">
        <f>SUM(Results_Total!I10,Results_Total!I16,Results_Total!I35)</f>
        <v>28.827584321963666</v>
      </c>
      <c r="J45" s="714">
        <f>SUM(Results_Total!J10,Results_Total!J16,Results_Total!J35)</f>
        <v>34.20604328645868</v>
      </c>
      <c r="K45" s="714">
        <f>SUM(Results_Total!K10,Results_Total!K16,Results_Total!K35)</f>
        <v>39.29287232160025</v>
      </c>
      <c r="L45" s="714">
        <f>SUM(Results_Total!L10,Results_Total!L16,Results_Total!L35)</f>
        <v>42.932740612749619</v>
      </c>
      <c r="M45" s="714">
        <f>SUM(Results_Total!M10,Results_Total!M16,Results_Total!M35)</f>
        <v>46.016453145823107</v>
      </c>
      <c r="N45" s="714">
        <f>SUM(Results_Total!N10,Results_Total!N16,Results_Total!N35)</f>
        <v>47.066523026084695</v>
      </c>
      <c r="O45" s="714">
        <f>SUM(Results_Total!O10,Results_Total!O16,Results_Total!O35)</f>
        <v>47.438906188820923</v>
      </c>
      <c r="P45" s="714">
        <f>SUM(Results_Total!P10,Results_Total!P16,Results_Total!P35)</f>
        <v>47.602773862590858</v>
      </c>
      <c r="Q45" s="714">
        <f>SUM(Results_Total!Q10,Results_Total!Q16,Results_Total!Q35)</f>
        <v>47.782573356282874</v>
      </c>
      <c r="R45" s="714">
        <f>SUM(Results_Total!R10,Results_Total!R16,Results_Total!R35)</f>
        <v>48.01867917088375</v>
      </c>
      <c r="S45" s="714">
        <f>SUM(Results_Total!S10,Results_Total!S16,Results_Total!S35)</f>
        <v>48.348562410402387</v>
      </c>
      <c r="T45" s="714">
        <f>SUM(Results_Total!T10,Results_Total!T16,Results_Total!T35)</f>
        <v>48.759905927407956</v>
      </c>
      <c r="U45" s="714">
        <f>SUM(Results_Total!U10,Results_Total!U16,Results_Total!U35)</f>
        <v>49.235979974116056</v>
      </c>
      <c r="V45" s="714">
        <f>SUM(Results_Total!V10,Results_Total!V16,Results_Total!V35)</f>
        <v>49.766698511386473</v>
      </c>
      <c r="W45" s="714">
        <f>SUM(Results_Total!W10,Results_Total!W16,Results_Total!W35)</f>
        <v>50.322707685636807</v>
      </c>
      <c r="X45" s="714">
        <f>SUM(Results_Total!X10,Results_Total!X16,Results_Total!X35)</f>
        <v>50.90146202492457</v>
      </c>
      <c r="Y45" s="714">
        <f>SUM(Results_Total!Y10,Results_Total!Y16,Results_Total!Y35)</f>
        <v>51.490696653759684</v>
      </c>
      <c r="Z45" s="714">
        <f>SUM(Results_Total!Z10,Results_Total!Z16,Results_Total!Z35)</f>
        <v>52.085102892143489</v>
      </c>
      <c r="AA45" s="714">
        <f>SUM(Results_Total!AA10,Results_Total!AA16,Results_Total!AA35)</f>
        <v>52.685148916520333</v>
      </c>
      <c r="AB45" s="714">
        <f>SUM(Results_Total!AB10,Results_Total!AB16,Results_Total!AB35)</f>
        <v>53.303736298032021</v>
      </c>
      <c r="AC45" s="714">
        <f>SUM(Results_Total!AC10,Results_Total!AC16,Results_Total!AC35)</f>
        <v>53.915931161071683</v>
      </c>
      <c r="AD45" s="714">
        <f>SUM(Results_Total!AD10,Results_Total!AD16,Results_Total!AD35)</f>
        <v>54.519974899633006</v>
      </c>
      <c r="AE45" s="714">
        <f>SUM(Results_Total!AE10,Results_Total!AE16,Results_Total!AE35)</f>
        <v>55.114531636622374</v>
      </c>
      <c r="AF45" s="714">
        <f>SUM(Results_Total!AF10,Results_Total!AF16,Results_Total!AF35)</f>
        <v>55.698442185938546</v>
      </c>
    </row>
    <row r="46" spans="1:32" s="539" customFormat="1" x14ac:dyDescent="0.25">
      <c r="B46" s="806" t="s">
        <v>402</v>
      </c>
      <c r="G46" s="714">
        <f>SUM(Results_Total!G11,Results_Total!G17,Results_Total!G36)</f>
        <v>75.121979339638813</v>
      </c>
      <c r="H46" s="714">
        <f>SUM(Results_Total!H11,Results_Total!H17,Results_Total!H36)</f>
        <v>83.658962154981992</v>
      </c>
      <c r="I46" s="714">
        <f>SUM(Results_Total!I11,Results_Total!I17,Results_Total!I36)</f>
        <v>90.905275193460881</v>
      </c>
      <c r="J46" s="714">
        <f>SUM(Results_Total!J11,Results_Total!J17,Results_Total!J36)</f>
        <v>99.530432261884158</v>
      </c>
      <c r="K46" s="714">
        <f>SUM(Results_Total!K11,Results_Total!K17,Results_Total!K36)</f>
        <v>106.90812641802917</v>
      </c>
      <c r="L46" s="714">
        <f>SUM(Results_Total!L11,Results_Total!L17,Results_Total!L36)</f>
        <v>114.8341699247766</v>
      </c>
      <c r="M46" s="714">
        <f>SUM(Results_Total!M11,Results_Total!M17,Results_Total!M36)</f>
        <v>123.51403411481515</v>
      </c>
      <c r="N46" s="714">
        <f>SUM(Results_Total!N11,Results_Total!N17,Results_Total!N36)</f>
        <v>129.92947841571748</v>
      </c>
      <c r="O46" s="714">
        <f>SUM(Results_Total!O11,Results_Total!O17,Results_Total!O36)</f>
        <v>135.08928912876578</v>
      </c>
      <c r="P46" s="714">
        <f>SUM(Results_Total!P11,Results_Total!P17,Results_Total!P36)</f>
        <v>139.40330545717748</v>
      </c>
      <c r="Q46" s="714">
        <f>SUM(Results_Total!Q11,Results_Total!Q17,Results_Total!Q36)</f>
        <v>143.16653525475974</v>
      </c>
      <c r="R46" s="714">
        <f>SUM(Results_Total!R11,Results_Total!R17,Results_Total!R36)</f>
        <v>146.49733861281578</v>
      </c>
      <c r="S46" s="714">
        <f>SUM(Results_Total!S11,Results_Total!S17,Results_Total!S36)</f>
        <v>149.5491772969128</v>
      </c>
      <c r="T46" s="714">
        <f>SUM(Results_Total!T11,Results_Total!T17,Results_Total!T36)</f>
        <v>152.40151283523596</v>
      </c>
      <c r="U46" s="714">
        <f>SUM(Results_Total!U11,Results_Total!U17,Results_Total!U36)</f>
        <v>155.11031695081942</v>
      </c>
      <c r="V46" s="714">
        <f>SUM(Results_Total!V11,Results_Total!V17,Results_Total!V36)</f>
        <v>157.7248470912279</v>
      </c>
      <c r="W46" s="714">
        <f>SUM(Results_Total!W11,Results_Total!W17,Results_Total!W36)</f>
        <v>160.24399703306241</v>
      </c>
      <c r="X46" s="714">
        <f>SUM(Results_Total!X11,Results_Total!X17,Results_Total!X36)</f>
        <v>162.70013858195864</v>
      </c>
      <c r="Y46" s="714">
        <f>SUM(Results_Total!Y11,Results_Total!Y17,Results_Total!Y36)</f>
        <v>165.09981923205379</v>
      </c>
      <c r="Z46" s="714">
        <f>SUM(Results_Total!Z11,Results_Total!Z17,Results_Total!Z36)</f>
        <v>167.44875391580129</v>
      </c>
      <c r="AA46" s="714">
        <f>SUM(Results_Total!AA11,Results_Total!AA17,Results_Total!AA36)</f>
        <v>169.75802815005486</v>
      </c>
      <c r="AB46" s="714">
        <f>SUM(Results_Total!AB11,Results_Total!AB17,Results_Total!AB36)</f>
        <v>172.0615887190923</v>
      </c>
      <c r="AC46" s="714">
        <f>SUM(Results_Total!AC11,Results_Total!AC17,Results_Total!AC36)</f>
        <v>174.32930192579275</v>
      </c>
      <c r="AD46" s="714">
        <f>SUM(Results_Total!AD11,Results_Total!AD17,Results_Total!AD36)</f>
        <v>176.56068509825255</v>
      </c>
      <c r="AE46" s="714">
        <f>SUM(Results_Total!AE11,Results_Total!AE17,Results_Total!AE36)</f>
        <v>178.75461981849872</v>
      </c>
      <c r="AF46" s="714">
        <f>SUM(Results_Total!AF11,Results_Total!AF17,Results_Total!AF36)</f>
        <v>180.90962150320598</v>
      </c>
    </row>
    <row r="47" spans="1:32" s="539" customFormat="1" x14ac:dyDescent="0.25">
      <c r="B47" s="806" t="s">
        <v>29</v>
      </c>
      <c r="G47" s="714">
        <f>SUM(Results_Total!G12,Results_Total!G18,Results_Total!G24,Results_Total!G31,Results_Total!G38)</f>
        <v>4.0476134408202613</v>
      </c>
      <c r="H47" s="714">
        <f>SUM(Results_Total!H12,Results_Total!H18,Results_Total!H24,Results_Total!H31,Results_Total!H38)</f>
        <v>7.3998102767336915</v>
      </c>
      <c r="I47" s="714">
        <f>SUM(Results_Total!I12,Results_Total!I18,Results_Total!I24,Results_Total!I31,Results_Total!I38)</f>
        <v>8.7908067230076572</v>
      </c>
      <c r="J47" s="714">
        <f>SUM(Results_Total!J12,Results_Total!J18,Results_Total!J24,Results_Total!J31,Results_Total!J38)</f>
        <v>9.8313441501802767</v>
      </c>
      <c r="K47" s="714">
        <f>SUM(Results_Total!K12,Results_Total!K18,Results_Total!K24,Results_Total!K31,Results_Total!K38)</f>
        <v>10.739156583382698</v>
      </c>
      <c r="L47" s="714">
        <f>SUM(Results_Total!L12,Results_Total!L18,Results_Total!L24,Results_Total!L31,Results_Total!L38)</f>
        <v>11.578822587114677</v>
      </c>
      <c r="M47" s="714">
        <f>SUM(Results_Total!M12,Results_Total!M18,Results_Total!M24,Results_Total!M31,Results_Total!M38)</f>
        <v>12.363847080168235</v>
      </c>
      <c r="N47" s="714">
        <f>SUM(Results_Total!N12,Results_Total!N18,Results_Total!N24,Results_Total!N31,Results_Total!N38)</f>
        <v>13.121871991362584</v>
      </c>
      <c r="O47" s="714">
        <f>SUM(Results_Total!O12,Results_Total!O18,Results_Total!O24,Results_Total!O31,Results_Total!O38)</f>
        <v>13.882355064603274</v>
      </c>
      <c r="P47" s="714">
        <f>SUM(Results_Total!P12,Results_Total!P18,Results_Total!P24,Results_Total!P31,Results_Total!P38)</f>
        <v>14.632749978990949</v>
      </c>
      <c r="Q47" s="714">
        <f>SUM(Results_Total!Q12,Results_Total!Q18,Results_Total!Q24,Results_Total!Q31,Results_Total!Q38)</f>
        <v>15.388496789187002</v>
      </c>
      <c r="R47" s="714">
        <f>SUM(Results_Total!R12,Results_Total!R18,Results_Total!R24,Results_Total!R31,Results_Total!R38)</f>
        <v>16.135476996648933</v>
      </c>
      <c r="S47" s="714">
        <f>SUM(Results_Total!S12,Results_Total!S18,Results_Total!S24,Results_Total!S31,Results_Total!S38)</f>
        <v>16.881063753725602</v>
      </c>
      <c r="T47" s="714">
        <f>SUM(Results_Total!T12,Results_Total!T18,Results_Total!T24,Results_Total!T31,Results_Total!T38)</f>
        <v>17.627345856126624</v>
      </c>
      <c r="U47" s="714">
        <f>SUM(Results_Total!U12,Results_Total!U18,Results_Total!U24,Results_Total!U31,Results_Total!U38)</f>
        <v>18.37566128427126</v>
      </c>
      <c r="V47" s="714">
        <f>SUM(Results_Total!V12,Results_Total!V18,Results_Total!V24,Results_Total!V31,Results_Total!V38)</f>
        <v>19.128522799333215</v>
      </c>
      <c r="W47" s="714">
        <f>SUM(Results_Total!W12,Results_Total!W18,Results_Total!W24,Results_Total!W31,Results_Total!W38)</f>
        <v>19.876836952013111</v>
      </c>
      <c r="X47" s="714">
        <f>SUM(Results_Total!X12,Results_Total!X18,Results_Total!X24,Results_Total!X31,Results_Total!X38)</f>
        <v>20.63601379043866</v>
      </c>
      <c r="Y47" s="714">
        <f>SUM(Results_Total!Y12,Results_Total!Y18,Results_Total!Y24,Results_Total!Y31,Results_Total!Y38)</f>
        <v>21.407979976160835</v>
      </c>
      <c r="Z47" s="714">
        <f>SUM(Results_Total!Z12,Results_Total!Z18,Results_Total!Z24,Results_Total!Z31,Results_Total!Z38)</f>
        <v>22.186132557239677</v>
      </c>
      <c r="AA47" s="714">
        <f>SUM(Results_Total!AA12,Results_Total!AA18,Results_Total!AA24,Results_Total!AA31,Results_Total!AA38)</f>
        <v>22.965926466081665</v>
      </c>
      <c r="AB47" s="714">
        <f>SUM(Results_Total!AB12,Results_Total!AB18,Results_Total!AB24,Results_Total!AB31,Results_Total!AB38)</f>
        <v>23.749655476881649</v>
      </c>
      <c r="AC47" s="714">
        <f>SUM(Results_Total!AC12,Results_Total!AC18,Results_Total!AC24,Results_Total!AC31,Results_Total!AC38)</f>
        <v>24.537512191508682</v>
      </c>
      <c r="AD47" s="714">
        <f>SUM(Results_Total!AD12,Results_Total!AD18,Results_Total!AD24,Results_Total!AD31,Results_Total!AD38)</f>
        <v>25.329243371451945</v>
      </c>
      <c r="AE47" s="714">
        <f>SUM(Results_Total!AE12,Results_Total!AE18,Results_Total!AE24,Results_Total!AE31,Results_Total!AE38)</f>
        <v>26.12479157727536</v>
      </c>
      <c r="AF47" s="714">
        <f>SUM(Results_Total!AF12,Results_Total!AF18,Results_Total!AF24,Results_Total!AF31,Results_Total!AF38)</f>
        <v>26.923617262829087</v>
      </c>
    </row>
    <row r="48" spans="1:32" x14ac:dyDescent="0.25">
      <c r="B48" s="808" t="s">
        <v>42</v>
      </c>
      <c r="G48" s="714">
        <f>SUM(Results_Total!G27:G30)</f>
        <v>337.57422114652496</v>
      </c>
      <c r="H48" s="714">
        <f>SUM(Results_Total!H27:H30)</f>
        <v>340.01891542268214</v>
      </c>
      <c r="I48" s="714">
        <f>SUM(Results_Total!I27:I30)</f>
        <v>342.98539340176831</v>
      </c>
      <c r="J48" s="714">
        <f>SUM(Results_Total!J27:J30)</f>
        <v>346.09623503991014</v>
      </c>
      <c r="K48" s="714">
        <f>SUM(Results_Total!K27:K30)</f>
        <v>349.14914296920961</v>
      </c>
      <c r="L48" s="714">
        <f>SUM(Results_Total!L27:L30)</f>
        <v>352.19953165096126</v>
      </c>
      <c r="M48" s="714">
        <f>SUM(Results_Total!M27:M30)</f>
        <v>354.949142887167</v>
      </c>
      <c r="N48" s="714">
        <f>SUM(Results_Total!N27:N30)</f>
        <v>357.72221448319448</v>
      </c>
      <c r="O48" s="714">
        <f>SUM(Results_Total!O27:O30)</f>
        <v>360.93416007223323</v>
      </c>
      <c r="P48" s="714">
        <f>SUM(Results_Total!P27:P30)</f>
        <v>364.12996471308168</v>
      </c>
      <c r="Q48" s="714">
        <f>SUM(Results_Total!Q27:Q30)</f>
        <v>367.53426956500033</v>
      </c>
      <c r="R48" s="714">
        <f>SUM(Results_Total!R27:R30)</f>
        <v>370.79440487445942</v>
      </c>
      <c r="S48" s="714">
        <f>SUM(Results_Total!S27:S30)</f>
        <v>373.99895918394958</v>
      </c>
      <c r="T48" s="714">
        <f>SUM(Results_Total!T27:T30)</f>
        <v>377.16287858169193</v>
      </c>
      <c r="U48" s="714">
        <f>SUM(Results_Total!U27:U30)</f>
        <v>380.3240561763065</v>
      </c>
      <c r="V48" s="714">
        <f>SUM(Results_Total!V27:V30)</f>
        <v>383.47173695363784</v>
      </c>
      <c r="W48" s="714">
        <f>SUM(Results_Total!W27:W30)</f>
        <v>386.46968956654126</v>
      </c>
      <c r="X48" s="714">
        <f>SUM(Results_Total!X27:X30)</f>
        <v>389.59973537293814</v>
      </c>
      <c r="Y48" s="714">
        <f>SUM(Results_Total!Y27:Y30)</f>
        <v>392.88764692067144</v>
      </c>
      <c r="Z48" s="714">
        <f>SUM(Results_Total!Z27:Z30)</f>
        <v>396.20431807646833</v>
      </c>
      <c r="AA48" s="714">
        <f>SUM(Results_Total!AA27:AA30)</f>
        <v>399.438836666344</v>
      </c>
      <c r="AB48" s="714">
        <f>SUM(Results_Total!AB27:AB30)</f>
        <v>402.62642882548323</v>
      </c>
      <c r="AC48" s="714">
        <f>SUM(Results_Total!AC27:AC30)</f>
        <v>405.80567144272203</v>
      </c>
      <c r="AD48" s="714">
        <f>SUM(Results_Total!AD27:AD30)</f>
        <v>408.97499177087013</v>
      </c>
      <c r="AE48" s="714">
        <f>SUM(Results_Total!AE27:AE30)</f>
        <v>412.13283024987555</v>
      </c>
      <c r="AF48" s="714">
        <f>SUM(Results_Total!AF27:AF30)</f>
        <v>415.27771644913292</v>
      </c>
    </row>
    <row r="49" spans="2:32" x14ac:dyDescent="0.25">
      <c r="B49" s="808" t="s">
        <v>36</v>
      </c>
      <c r="G49" s="714">
        <f>SUM(Results_Total!G21:G23)</f>
        <v>586.44995330933114</v>
      </c>
      <c r="H49" s="714">
        <f>SUM(Results_Total!H21:H23)</f>
        <v>593.31205607324853</v>
      </c>
      <c r="I49" s="714">
        <f>SUM(Results_Total!I21:I23)</f>
        <v>600.98541094157235</v>
      </c>
      <c r="J49" s="714">
        <f>SUM(Results_Total!J21:J23)</f>
        <v>608.78983959415007</v>
      </c>
      <c r="K49" s="714">
        <f>SUM(Results_Total!K21:K23)</f>
        <v>616.35334293874757</v>
      </c>
      <c r="L49" s="714">
        <f>SUM(Results_Total!L21:L23)</f>
        <v>623.8248441758742</v>
      </c>
      <c r="M49" s="714">
        <f>SUM(Results_Total!M21:M23)</f>
        <v>630.64852048094633</v>
      </c>
      <c r="N49" s="714">
        <f>SUM(Results_Total!N21:N23)</f>
        <v>637.45716742754064</v>
      </c>
      <c r="O49" s="714">
        <f>SUM(Results_Total!O21:O23)</f>
        <v>645.06427415455062</v>
      </c>
      <c r="P49" s="714">
        <f>SUM(Results_Total!P21:P23)</f>
        <v>652.60362513924406</v>
      </c>
      <c r="Q49" s="714">
        <f>SUM(Results_Total!Q21:Q23)</f>
        <v>660.51404833804349</v>
      </c>
      <c r="R49" s="714">
        <f>SUM(Results_Total!R21:R23)</f>
        <v>668.11468343426168</v>
      </c>
      <c r="S49" s="714">
        <f>SUM(Results_Total!S21:S23)</f>
        <v>675.58881606401758</v>
      </c>
      <c r="T49" s="714">
        <f>SUM(Results_Total!T21:T23)</f>
        <v>682.96701724877448</v>
      </c>
      <c r="U49" s="714">
        <f>SUM(Results_Total!U21:U23)</f>
        <v>690.32110781843573</v>
      </c>
      <c r="V49" s="714">
        <f>SUM(Results_Total!V21:V23)</f>
        <v>697.63860326422241</v>
      </c>
      <c r="W49" s="714">
        <f>SUM(Results_Total!W21:W23)</f>
        <v>704.65189473846283</v>
      </c>
      <c r="X49" s="714">
        <f>SUM(Results_Total!X21:X23)</f>
        <v>711.90062208334382</v>
      </c>
      <c r="Y49" s="714">
        <f>SUM(Results_Total!Y21:Y23)</f>
        <v>719.43246241766951</v>
      </c>
      <c r="Z49" s="714">
        <f>SUM(Results_Total!Z21:Z23)</f>
        <v>727.00300498883928</v>
      </c>
      <c r="AA49" s="714">
        <f>SUM(Results_Total!AA21:AA23)</f>
        <v>734.40648686710097</v>
      </c>
      <c r="AB49" s="714">
        <f>SUM(Results_Total!AB21:AB23)</f>
        <v>741.71703615324293</v>
      </c>
      <c r="AC49" s="714">
        <f>SUM(Results_Total!AC21:AC23)</f>
        <v>748.99715395676128</v>
      </c>
      <c r="AD49" s="714">
        <f>SUM(Results_Total!AD21:AD23)</f>
        <v>756.24362385809513</v>
      </c>
      <c r="AE49" s="714">
        <f>SUM(Results_Total!AE21:AE23)</f>
        <v>763.45321705834544</v>
      </c>
      <c r="AF49" s="714">
        <f>SUM(Results_Total!AF21:AF23)</f>
        <v>770.62269493372878</v>
      </c>
    </row>
  </sheetData>
  <pageMargins left="0.7" right="0.7" top="0.75" bottom="0.75" header="0.3" footer="0.3"/>
  <pageSetup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theme="5" tint="0.39997558519241921"/>
  </sheetPr>
  <dimension ref="A1:AA70"/>
  <sheetViews>
    <sheetView topLeftCell="B1" zoomScale="59" zoomScaleNormal="59" workbookViewId="0">
      <selection activeCell="X22" sqref="X22"/>
    </sheetView>
  </sheetViews>
  <sheetFormatPr defaultRowHeight="15" x14ac:dyDescent="0.25"/>
  <cols>
    <col min="1" max="1" width="18.42578125" customWidth="1"/>
    <col min="2" max="3" width="12.5703125" customWidth="1"/>
    <col min="4" max="4" width="14.5703125" bestFit="1" customWidth="1"/>
    <col min="5" max="8" width="12.5703125" customWidth="1"/>
    <col min="9" max="9" width="13.42578125" customWidth="1"/>
    <col min="10" max="10" width="11.85546875" customWidth="1"/>
    <col min="11" max="11" width="13.42578125" customWidth="1"/>
    <col min="12" max="22" width="12.5703125" customWidth="1"/>
    <col min="23" max="27" width="9.28515625" bestFit="1" customWidth="1"/>
  </cols>
  <sheetData>
    <row r="1" spans="1:11" ht="18" x14ac:dyDescent="0.4">
      <c r="A1" s="268" t="s">
        <v>398</v>
      </c>
    </row>
    <row r="2" spans="1:11" s="539" customFormat="1" ht="15" customHeight="1" x14ac:dyDescent="0.4">
      <c r="A2" s="268"/>
      <c r="B2" s="268"/>
      <c r="D2" s="221"/>
      <c r="E2" s="1247" t="s">
        <v>410</v>
      </c>
      <c r="F2" s="1247"/>
      <c r="G2" s="1247"/>
      <c r="H2" s="1247"/>
      <c r="I2" s="1247"/>
      <c r="J2" s="1247"/>
      <c r="K2" s="1247"/>
    </row>
    <row r="3" spans="1:11" ht="52.5" x14ac:dyDescent="0.35">
      <c r="B3" s="539"/>
      <c r="D3" s="764" t="s">
        <v>411</v>
      </c>
      <c r="E3" s="748" t="s">
        <v>213</v>
      </c>
      <c r="F3" s="748" t="s">
        <v>214</v>
      </c>
      <c r="G3" s="748" t="s">
        <v>43</v>
      </c>
      <c r="H3" s="748" t="s">
        <v>44</v>
      </c>
      <c r="I3" s="748" t="s">
        <v>215</v>
      </c>
      <c r="J3" s="748" t="s">
        <v>257</v>
      </c>
      <c r="K3" s="748" t="s">
        <v>216</v>
      </c>
    </row>
    <row r="4" spans="1:11" ht="14.45" x14ac:dyDescent="0.35">
      <c r="D4" t="s">
        <v>255</v>
      </c>
      <c r="E4" t="s">
        <v>25</v>
      </c>
      <c r="F4" t="s">
        <v>25</v>
      </c>
      <c r="G4" t="s">
        <v>25</v>
      </c>
      <c r="H4" t="s">
        <v>25</v>
      </c>
      <c r="I4" t="s">
        <v>25</v>
      </c>
      <c r="J4" t="s">
        <v>25</v>
      </c>
      <c r="K4" t="s">
        <v>25</v>
      </c>
    </row>
    <row r="37" spans="1:27" x14ac:dyDescent="0.25">
      <c r="A37" s="858" t="s">
        <v>728</v>
      </c>
    </row>
    <row r="39" spans="1:27" x14ac:dyDescent="0.25">
      <c r="A39" t="s">
        <v>735</v>
      </c>
      <c r="B39" t="s">
        <v>729</v>
      </c>
    </row>
    <row r="40" spans="1:27" x14ac:dyDescent="0.25">
      <c r="B40">
        <v>2010</v>
      </c>
      <c r="C40">
        <v>2011</v>
      </c>
      <c r="D40">
        <v>2012</v>
      </c>
      <c r="E40">
        <v>2013</v>
      </c>
      <c r="F40">
        <v>2014</v>
      </c>
      <c r="G40">
        <v>2015</v>
      </c>
      <c r="H40">
        <v>2016</v>
      </c>
      <c r="I40">
        <v>2017</v>
      </c>
      <c r="J40">
        <v>2018</v>
      </c>
      <c r="K40">
        <v>2019</v>
      </c>
      <c r="L40">
        <v>2020</v>
      </c>
      <c r="M40">
        <v>2021</v>
      </c>
      <c r="N40">
        <v>2022</v>
      </c>
      <c r="O40">
        <v>2023</v>
      </c>
      <c r="P40">
        <v>2024</v>
      </c>
      <c r="Q40">
        <v>2025</v>
      </c>
      <c r="R40">
        <v>2026</v>
      </c>
      <c r="S40">
        <v>2027</v>
      </c>
      <c r="T40">
        <v>2028</v>
      </c>
      <c r="U40">
        <v>2029</v>
      </c>
      <c r="V40">
        <v>2030</v>
      </c>
      <c r="W40">
        <v>2031</v>
      </c>
      <c r="X40">
        <v>2032</v>
      </c>
      <c r="Y40">
        <v>2033</v>
      </c>
      <c r="Z40">
        <v>2034</v>
      </c>
      <c r="AA40">
        <v>2035</v>
      </c>
    </row>
    <row r="41" spans="1:27" x14ac:dyDescent="0.25">
      <c r="A41" t="s">
        <v>719</v>
      </c>
      <c r="B41" s="1069">
        <v>3447.5660055569865</v>
      </c>
      <c r="C41" s="1069">
        <v>3414.309608084126</v>
      </c>
      <c r="D41" s="1069">
        <v>3416.2093613388056</v>
      </c>
      <c r="E41" s="1069">
        <v>3412.039950856687</v>
      </c>
      <c r="F41" s="1069">
        <v>3417.2964974145139</v>
      </c>
      <c r="G41" s="1069">
        <v>3421.7709928496556</v>
      </c>
      <c r="H41" s="1069">
        <v>3420.0150666231675</v>
      </c>
      <c r="I41" s="1069">
        <v>3435.4307516588792</v>
      </c>
      <c r="J41" s="1069">
        <v>3463.2947136154489</v>
      </c>
      <c r="K41" s="1069">
        <v>3496.5008697453682</v>
      </c>
      <c r="L41" s="1069">
        <v>3534.8282070055825</v>
      </c>
      <c r="M41" s="1069">
        <v>3574.0112792956761</v>
      </c>
      <c r="N41" s="1069">
        <v>3614.2680275442735</v>
      </c>
      <c r="O41" s="1069">
        <v>3655.1645868285027</v>
      </c>
      <c r="P41" s="1069">
        <v>3696.6117494054301</v>
      </c>
      <c r="Q41" s="1069">
        <v>3738.4388043361446</v>
      </c>
      <c r="R41" s="1069">
        <v>3779.2445353611383</v>
      </c>
      <c r="S41" s="1069">
        <v>3821.0070184169995</v>
      </c>
      <c r="T41" s="1069">
        <v>3863.7702085208648</v>
      </c>
      <c r="U41" s="1069">
        <v>3906.573720516566</v>
      </c>
      <c r="V41" s="1069">
        <v>3948.681066963456</v>
      </c>
      <c r="W41" s="1069">
        <v>3990.602392066372</v>
      </c>
      <c r="X41" s="1069">
        <v>4032.2168819867175</v>
      </c>
      <c r="Y41" s="1069">
        <v>4073.4823081572604</v>
      </c>
      <c r="Z41" s="1069">
        <v>4114.3711351916772</v>
      </c>
      <c r="AA41" s="1069">
        <v>4154.8458561269517</v>
      </c>
    </row>
    <row r="42" spans="1:27" x14ac:dyDescent="0.25">
      <c r="A42" t="s">
        <v>720</v>
      </c>
      <c r="B42" s="1069">
        <v>3447.5660055569865</v>
      </c>
      <c r="C42" s="1069">
        <v>3410.7037204009957</v>
      </c>
      <c r="D42" s="1069">
        <v>3399.8847628677627</v>
      </c>
      <c r="E42" s="1069">
        <v>3376.3928414422817</v>
      </c>
      <c r="F42" s="1069">
        <v>3360.4304326291049</v>
      </c>
      <c r="G42" s="1069">
        <v>3348.4244749580193</v>
      </c>
      <c r="H42" s="1069">
        <v>3334.8839402932535</v>
      </c>
      <c r="I42" s="1069">
        <v>3338.8506506117255</v>
      </c>
      <c r="J42" s="1069">
        <v>3357.6023353203805</v>
      </c>
      <c r="K42" s="1069">
        <v>3384.0378215823439</v>
      </c>
      <c r="L42" s="1069">
        <v>3417.3557907067011</v>
      </c>
      <c r="M42" s="1069">
        <v>3453.0084316397392</v>
      </c>
      <c r="N42" s="1069">
        <v>3490.9801266864761</v>
      </c>
      <c r="O42" s="1069">
        <v>3530.6450066215948</v>
      </c>
      <c r="P42" s="1069">
        <v>3570.9831902887554</v>
      </c>
      <c r="Q42" s="1069">
        <v>3611.7481154534466</v>
      </c>
      <c r="R42" s="1069">
        <v>3651.5433404402729</v>
      </c>
      <c r="S42" s="1069">
        <v>3692.2610331918922</v>
      </c>
      <c r="T42" s="1069">
        <v>3733.9215598828309</v>
      </c>
      <c r="U42" s="1069">
        <v>3775.588671650481</v>
      </c>
      <c r="V42" s="1069">
        <v>3816.5510813038022</v>
      </c>
      <c r="W42" s="1069">
        <v>3857.2951545853311</v>
      </c>
      <c r="X42" s="1069">
        <v>3897.7074310121798</v>
      </c>
      <c r="Y42" s="1069">
        <v>3937.7532385669992</v>
      </c>
      <c r="Z42" s="1069">
        <v>3977.4048481276809</v>
      </c>
      <c r="AA42" s="1069">
        <v>4016.6317476927816</v>
      </c>
    </row>
    <row r="43" spans="1:27" x14ac:dyDescent="0.25">
      <c r="A43" t="s">
        <v>731</v>
      </c>
      <c r="B43" s="1068">
        <f t="shared" ref="B43:AA43" si="0">(B41-B42)*Busbar</f>
        <v>0</v>
      </c>
      <c r="C43" s="1068">
        <f t="shared" si="0"/>
        <v>3.9324368717145548</v>
      </c>
      <c r="D43" s="1068">
        <f t="shared" si="0"/>
        <v>17.802954108580565</v>
      </c>
      <c r="E43" s="1068">
        <f t="shared" si="0"/>
        <v>38.875311642973898</v>
      </c>
      <c r="F43" s="1068">
        <f t="shared" si="0"/>
        <v>62.015855612375617</v>
      </c>
      <c r="G43" s="1068">
        <f t="shared" si="0"/>
        <v>79.98877855190284</v>
      </c>
      <c r="H43" s="1068">
        <f t="shared" si="0"/>
        <v>92.840601130350976</v>
      </c>
      <c r="I43" s="1068">
        <f t="shared" si="0"/>
        <v>105.32639499798391</v>
      </c>
      <c r="J43" s="1068">
        <f t="shared" si="0"/>
        <v>115.26388007346986</v>
      </c>
      <c r="K43" s="1068">
        <f t="shared" si="0"/>
        <v>122.64770180466775</v>
      </c>
      <c r="L43" s="1068">
        <f t="shared" si="0"/>
        <v>128.11071831890808</v>
      </c>
      <c r="M43" s="1068">
        <f t="shared" si="0"/>
        <v>131.96086553965853</v>
      </c>
      <c r="N43" s="1068">
        <f t="shared" si="0"/>
        <v>134.45285315947962</v>
      </c>
      <c r="O43" s="1068">
        <f t="shared" si="0"/>
        <v>135.79607339044549</v>
      </c>
      <c r="P43" s="1068">
        <f t="shared" si="0"/>
        <v>137.00548143028081</v>
      </c>
      <c r="Q43" s="1068">
        <f t="shared" si="0"/>
        <v>138.16379766791508</v>
      </c>
      <c r="R43" s="1068">
        <f t="shared" si="0"/>
        <v>139.26581513289898</v>
      </c>
      <c r="S43" s="1068">
        <f t="shared" si="0"/>
        <v>140.40522164709293</v>
      </c>
      <c r="T43" s="1068">
        <f t="shared" si="0"/>
        <v>141.6077422586942</v>
      </c>
      <c r="U43" s="1068">
        <f t="shared" si="0"/>
        <v>142.84705489139762</v>
      </c>
      <c r="V43" s="1068">
        <f t="shared" si="0"/>
        <v>144.09567716099207</v>
      </c>
      <c r="W43" s="1068">
        <f t="shared" si="0"/>
        <v>145.37954090732387</v>
      </c>
      <c r="X43" s="1068">
        <f t="shared" si="0"/>
        <v>146.69062685479182</v>
      </c>
      <c r="Y43" s="1068">
        <f t="shared" si="0"/>
        <v>148.02069413235517</v>
      </c>
      <c r="Z43" s="1068">
        <f t="shared" si="0"/>
        <v>149.36995402051184</v>
      </c>
      <c r="AA43" s="1068">
        <f t="shared" si="0"/>
        <v>150.73077809396861</v>
      </c>
    </row>
    <row r="44" spans="1:27" s="858" customFormat="1" x14ac:dyDescent="0.25">
      <c r="A44" s="858" t="s">
        <v>717</v>
      </c>
      <c r="B44" s="1073"/>
      <c r="C44" s="1073">
        <f>C43-B43</f>
        <v>3.9324368717145548</v>
      </c>
      <c r="D44" s="1073">
        <f>D43-C43</f>
        <v>13.870517236866011</v>
      </c>
      <c r="E44" s="1073">
        <f t="shared" ref="E44:AA44" si="1">E43-D43</f>
        <v>21.072357534393333</v>
      </c>
      <c r="F44" s="1073">
        <f t="shared" si="1"/>
        <v>23.140543969401719</v>
      </c>
      <c r="G44" s="1073">
        <f t="shared" si="1"/>
        <v>17.972922939527223</v>
      </c>
      <c r="H44" s="1073">
        <f t="shared" si="1"/>
        <v>12.851822578448136</v>
      </c>
      <c r="I44" s="1073">
        <f t="shared" si="1"/>
        <v>12.485793867632935</v>
      </c>
      <c r="J44" s="1073">
        <f t="shared" si="1"/>
        <v>9.9374850754859523</v>
      </c>
      <c r="K44" s="1073">
        <f t="shared" si="1"/>
        <v>7.3838217311978838</v>
      </c>
      <c r="L44" s="1073">
        <f t="shared" si="1"/>
        <v>5.4630165142403371</v>
      </c>
      <c r="M44" s="1073">
        <f t="shared" si="1"/>
        <v>3.8501472207504435</v>
      </c>
      <c r="N44" s="1073">
        <f t="shared" si="1"/>
        <v>2.4919876198210886</v>
      </c>
      <c r="O44" s="1073">
        <f t="shared" si="1"/>
        <v>1.3432202309658692</v>
      </c>
      <c r="P44" s="1073">
        <f t="shared" si="1"/>
        <v>1.2094080398353242</v>
      </c>
      <c r="Q44" s="1073">
        <f t="shared" si="1"/>
        <v>1.1583162376342671</v>
      </c>
      <c r="R44" s="1073">
        <f t="shared" si="1"/>
        <v>1.1020174649839021</v>
      </c>
      <c r="S44" s="1073">
        <f t="shared" si="1"/>
        <v>1.1394065141939507</v>
      </c>
      <c r="T44" s="1073">
        <f t="shared" si="1"/>
        <v>1.2025206116012725</v>
      </c>
      <c r="U44" s="1073">
        <f t="shared" si="1"/>
        <v>1.2393126327034167</v>
      </c>
      <c r="V44" s="1073">
        <f t="shared" si="1"/>
        <v>1.2486222695944491</v>
      </c>
      <c r="W44" s="1073">
        <f t="shared" si="1"/>
        <v>1.2838637463318037</v>
      </c>
      <c r="X44" s="1073">
        <f t="shared" si="1"/>
        <v>1.3110859474679444</v>
      </c>
      <c r="Y44" s="1073">
        <f t="shared" si="1"/>
        <v>1.3300672775633586</v>
      </c>
      <c r="Z44" s="1073">
        <f t="shared" si="1"/>
        <v>1.3492598881566664</v>
      </c>
      <c r="AA44" s="1073">
        <f t="shared" si="1"/>
        <v>1.3608240734567687</v>
      </c>
    </row>
    <row r="45" spans="1:27" x14ac:dyDescent="0.25">
      <c r="B45" s="1067" t="s">
        <v>726</v>
      </c>
      <c r="C45" s="1067" t="s">
        <v>721</v>
      </c>
      <c r="D45" s="1067" t="s">
        <v>722</v>
      </c>
      <c r="E45" s="1067" t="s">
        <v>723</v>
      </c>
      <c r="F45" s="1067" t="s">
        <v>724</v>
      </c>
      <c r="G45" s="1071" t="s">
        <v>725</v>
      </c>
    </row>
    <row r="46" spans="1:27" x14ac:dyDescent="0.25">
      <c r="B46" s="1070" t="s">
        <v>732</v>
      </c>
      <c r="C46" s="1072">
        <f>SUM(B44:G44)</f>
        <v>79.98877855190284</v>
      </c>
      <c r="D46" s="1072">
        <f>SUM(H44:L44)</f>
        <v>48.121939767005244</v>
      </c>
      <c r="E46" s="1072">
        <f>SUM(M44:Q44)</f>
        <v>10.053079349006993</v>
      </c>
      <c r="F46" s="1072">
        <f>SUM(R44:V44)</f>
        <v>5.9318794930769911</v>
      </c>
      <c r="G46" s="1072">
        <f>SUM(W44:AA44)</f>
        <v>6.6351009329765418</v>
      </c>
    </row>
    <row r="48" spans="1:27" x14ac:dyDescent="0.25">
      <c r="A48" s="1059" t="s">
        <v>736</v>
      </c>
      <c r="B48" s="1059" t="s">
        <v>733</v>
      </c>
    </row>
    <row r="49" spans="1:27" x14ac:dyDescent="0.25">
      <c r="A49" s="1059"/>
      <c r="B49" s="1059">
        <v>2010</v>
      </c>
      <c r="C49" s="1059">
        <v>2011</v>
      </c>
      <c r="D49" s="1059">
        <v>2012</v>
      </c>
      <c r="E49" s="1059">
        <v>2013</v>
      </c>
      <c r="F49" s="1059">
        <v>2014</v>
      </c>
      <c r="G49" s="1059">
        <v>2015</v>
      </c>
      <c r="H49" s="1059">
        <v>2016</v>
      </c>
      <c r="I49" s="1059">
        <v>2017</v>
      </c>
      <c r="J49" s="1059">
        <v>2018</v>
      </c>
      <c r="K49" s="1059">
        <v>2019</v>
      </c>
      <c r="L49" s="1059">
        <v>2020</v>
      </c>
      <c r="M49" s="1059">
        <v>2021</v>
      </c>
      <c r="N49" s="1059">
        <v>2022</v>
      </c>
      <c r="O49" s="1059">
        <v>2023</v>
      </c>
      <c r="P49" s="1059">
        <v>2024</v>
      </c>
      <c r="Q49" s="1059">
        <v>2025</v>
      </c>
      <c r="R49" s="1059">
        <v>2026</v>
      </c>
      <c r="S49" s="1059">
        <v>2027</v>
      </c>
      <c r="T49" s="1059">
        <v>2028</v>
      </c>
      <c r="U49" s="1059">
        <v>2029</v>
      </c>
      <c r="V49" s="1059">
        <v>2030</v>
      </c>
      <c r="W49" s="1059">
        <v>2031</v>
      </c>
      <c r="X49" s="1059">
        <v>2032</v>
      </c>
      <c r="Y49" s="1059">
        <v>2033</v>
      </c>
      <c r="Z49" s="1059">
        <v>2034</v>
      </c>
      <c r="AA49" s="1059">
        <v>2035</v>
      </c>
    </row>
    <row r="50" spans="1:27" x14ac:dyDescent="0.25">
      <c r="A50" s="1059" t="s">
        <v>730</v>
      </c>
      <c r="B50" s="1068">
        <v>3447.5660055569861</v>
      </c>
      <c r="C50" s="1068">
        <v>3384.8248663505115</v>
      </c>
      <c r="D50" s="1068">
        <v>3344.5642141689623</v>
      </c>
      <c r="E50" s="1068">
        <v>3272.8590616623806</v>
      </c>
      <c r="F50" s="1068">
        <v>3199.544049865312</v>
      </c>
      <c r="G50" s="1068">
        <v>3127.8270061824651</v>
      </c>
      <c r="H50" s="1068">
        <v>3048.8437525124223</v>
      </c>
      <c r="I50" s="1068">
        <v>2981.3105847782786</v>
      </c>
      <c r="J50" s="1068">
        <v>2916.7150084865461</v>
      </c>
      <c r="K50" s="1068">
        <v>2851.4667266528359</v>
      </c>
      <c r="L50" s="1068">
        <v>2785.0138083463407</v>
      </c>
      <c r="M50" s="1068">
        <v>2716.0603026423855</v>
      </c>
      <c r="N50" s="1068">
        <v>2646.1898378904325</v>
      </c>
      <c r="O50" s="1068">
        <v>2576.439819348675</v>
      </c>
      <c r="P50" s="1068">
        <v>2507.8743588155744</v>
      </c>
      <c r="Q50" s="1068">
        <v>2441.731281154739</v>
      </c>
      <c r="R50" s="1068">
        <v>2378.3427217049402</v>
      </c>
      <c r="S50" s="1068">
        <v>2320.5066897139668</v>
      </c>
      <c r="T50" s="1068">
        <v>2265.1719470564344</v>
      </c>
      <c r="U50" s="1068">
        <v>2213.6867950756232</v>
      </c>
      <c r="V50" s="1068">
        <v>2165.9833286310682</v>
      </c>
      <c r="W50" s="1068">
        <v>2121.9921624117378</v>
      </c>
      <c r="X50" s="1068">
        <v>2081.7845510976881</v>
      </c>
      <c r="Y50" s="1068">
        <v>2045.4911878891558</v>
      </c>
      <c r="Z50" s="1068">
        <v>2012.2253852125459</v>
      </c>
      <c r="AA50" s="1068">
        <v>1981.1770928334706</v>
      </c>
    </row>
    <row r="51" spans="1:27" x14ac:dyDescent="0.25">
      <c r="A51" s="1059" t="s">
        <v>727</v>
      </c>
      <c r="B51" s="1068">
        <v>3447.5660055569861</v>
      </c>
      <c r="C51" s="1068">
        <v>3381.2494647823869</v>
      </c>
      <c r="D51" s="1068">
        <v>3330.2404699893286</v>
      </c>
      <c r="E51" s="1068">
        <v>3243.8957875067836</v>
      </c>
      <c r="F51" s="1068">
        <v>3155.3440330049148</v>
      </c>
      <c r="G51" s="1068">
        <v>3072.6618871800347</v>
      </c>
      <c r="H51" s="1068">
        <v>2987.1118718415564</v>
      </c>
      <c r="I51" s="1068">
        <v>2913.8817085509008</v>
      </c>
      <c r="J51" s="1068">
        <v>2847.403816703576</v>
      </c>
      <c r="K51" s="1068">
        <v>2782.6869602235042</v>
      </c>
      <c r="L51" s="1068">
        <v>2718.2815691409232</v>
      </c>
      <c r="M51" s="1068">
        <v>2651.4257011537156</v>
      </c>
      <c r="N51" s="1068">
        <v>2583.4123005733381</v>
      </c>
      <c r="O51" s="1068">
        <v>2515.1974579434377</v>
      </c>
      <c r="P51" s="1068">
        <v>2448.1982780361072</v>
      </c>
      <c r="Q51" s="1068">
        <v>2383.5983117363107</v>
      </c>
      <c r="R51" s="1068">
        <v>2321.7223814471481</v>
      </c>
      <c r="S51" s="1068">
        <v>2265.3395677787194</v>
      </c>
      <c r="T51" s="1068">
        <v>2211.3858442793917</v>
      </c>
      <c r="U51" s="1068">
        <v>2161.2204537078183</v>
      </c>
      <c r="V51" s="1068">
        <v>2114.7785755842051</v>
      </c>
      <c r="W51" s="1068">
        <v>2072.005629861987</v>
      </c>
      <c r="X51" s="1068">
        <v>2032.9783924921728</v>
      </c>
      <c r="Y51" s="1068">
        <v>1997.8381513014253</v>
      </c>
      <c r="Z51" s="1068">
        <v>1965.7115942829018</v>
      </c>
      <c r="AA51" s="1068">
        <v>1935.8135561631498</v>
      </c>
    </row>
    <row r="52" spans="1:27" x14ac:dyDescent="0.25">
      <c r="A52" s="1059" t="s">
        <v>731</v>
      </c>
      <c r="B52" s="1068">
        <f t="shared" ref="B52:AA52" si="2">(B50-B51)*Busbar</f>
        <v>0</v>
      </c>
      <c r="C52" s="1068">
        <f t="shared" si="2"/>
        <v>3.899189934133922</v>
      </c>
      <c r="D52" s="1068">
        <f t="shared" si="2"/>
        <v>15.620902452541273</v>
      </c>
      <c r="E52" s="1068">
        <f t="shared" si="2"/>
        <v>31.586188263127855</v>
      </c>
      <c r="F52" s="1068">
        <f t="shared" si="2"/>
        <v>48.202770387274796</v>
      </c>
      <c r="G52" s="1068">
        <f t="shared" si="2"/>
        <v>60.1608721792905</v>
      </c>
      <c r="H52" s="1068">
        <f t="shared" si="2"/>
        <v>67.322319784419463</v>
      </c>
      <c r="I52" s="1068">
        <f t="shared" si="2"/>
        <v>73.535235258529042</v>
      </c>
      <c r="J52" s="1068">
        <f t="shared" si="2"/>
        <v>75.588013310835905</v>
      </c>
      <c r="K52" s="1068">
        <f t="shared" si="2"/>
        <v>75.008462077171899</v>
      </c>
      <c r="L52" s="1068">
        <f t="shared" si="2"/>
        <v>72.775510787860114</v>
      </c>
      <c r="M52" s="1068">
        <f t="shared" si="2"/>
        <v>70.48791099948383</v>
      </c>
      <c r="N52" s="1068">
        <f t="shared" si="2"/>
        <v>68.462671096530414</v>
      </c>
      <c r="O52" s="1068">
        <f t="shared" si="2"/>
        <v>66.78846965409555</v>
      </c>
      <c r="P52" s="1068">
        <f t="shared" si="2"/>
        <v>65.080346654855703</v>
      </c>
      <c r="Q52" s="1068">
        <f t="shared" si="2"/>
        <v>63.397491128961136</v>
      </c>
      <c r="R52" s="1068">
        <f t="shared" si="2"/>
        <v>61.747878271537779</v>
      </c>
      <c r="S52" s="1068">
        <f t="shared" si="2"/>
        <v>60.163056497703458</v>
      </c>
      <c r="T52" s="1068">
        <f t="shared" si="2"/>
        <v>58.65697224453173</v>
      </c>
      <c r="U52" s="1068">
        <f t="shared" si="2"/>
        <v>57.217693242073359</v>
      </c>
      <c r="V52" s="1068">
        <f t="shared" si="2"/>
        <v>55.841855482786976</v>
      </c>
      <c r="W52" s="1068">
        <f t="shared" si="2"/>
        <v>54.51331293745622</v>
      </c>
      <c r="X52" s="1068">
        <f t="shared" si="2"/>
        <v>53.22604432883076</v>
      </c>
      <c r="Y52" s="1068">
        <f t="shared" si="2"/>
        <v>51.968495581115278</v>
      </c>
      <c r="Z52" s="1068">
        <f t="shared" si="2"/>
        <v>50.726079836232643</v>
      </c>
      <c r="AA52" s="1068">
        <f t="shared" si="2"/>
        <v>49.471658551185108</v>
      </c>
    </row>
    <row r="53" spans="1:27" s="858" customFormat="1" x14ac:dyDescent="0.25">
      <c r="A53" s="858" t="s">
        <v>717</v>
      </c>
      <c r="B53" s="1073"/>
      <c r="C53" s="1073">
        <f t="shared" ref="C53:AA53" si="3">C52-B52</f>
        <v>3.899189934133922</v>
      </c>
      <c r="D53" s="1073">
        <f t="shared" si="3"/>
        <v>11.721712518407351</v>
      </c>
      <c r="E53" s="1073">
        <f t="shared" si="3"/>
        <v>15.965285810586582</v>
      </c>
      <c r="F53" s="1073">
        <f t="shared" si="3"/>
        <v>16.616582124146941</v>
      </c>
      <c r="G53" s="1073">
        <f t="shared" si="3"/>
        <v>11.958101792015704</v>
      </c>
      <c r="H53" s="1073">
        <f t="shared" si="3"/>
        <v>7.1614476051289628</v>
      </c>
      <c r="I53" s="1073">
        <f t="shared" si="3"/>
        <v>6.2129154741095789</v>
      </c>
      <c r="J53" s="1073">
        <f t="shared" si="3"/>
        <v>2.0527780523068628</v>
      </c>
      <c r="K53" s="1073">
        <f t="shared" si="3"/>
        <v>-0.57955123366400585</v>
      </c>
      <c r="L53" s="1073">
        <f t="shared" si="3"/>
        <v>-2.2329512893117851</v>
      </c>
      <c r="M53" s="1073">
        <f t="shared" si="3"/>
        <v>-2.2875997883762835</v>
      </c>
      <c r="N53" s="1073">
        <f t="shared" si="3"/>
        <v>-2.025239902953416</v>
      </c>
      <c r="O53" s="1073">
        <f t="shared" si="3"/>
        <v>-1.6742014424348639</v>
      </c>
      <c r="P53" s="1073">
        <f t="shared" si="3"/>
        <v>-1.7081229992398477</v>
      </c>
      <c r="Q53" s="1073">
        <f t="shared" si="3"/>
        <v>-1.682855525894567</v>
      </c>
      <c r="R53" s="1073">
        <f t="shared" si="3"/>
        <v>-1.6496128574233566</v>
      </c>
      <c r="S53" s="1073">
        <f t="shared" si="3"/>
        <v>-1.5848217738343209</v>
      </c>
      <c r="T53" s="1073">
        <f t="shared" si="3"/>
        <v>-1.5060842531717284</v>
      </c>
      <c r="U53" s="1073">
        <f t="shared" si="3"/>
        <v>-1.4392790024583704</v>
      </c>
      <c r="V53" s="1073">
        <f t="shared" si="3"/>
        <v>-1.3758377592863837</v>
      </c>
      <c r="W53" s="1073">
        <f t="shared" si="3"/>
        <v>-1.3285425453307553</v>
      </c>
      <c r="X53" s="1073">
        <f t="shared" si="3"/>
        <v>-1.2872686086254603</v>
      </c>
      <c r="Y53" s="1073">
        <f t="shared" si="3"/>
        <v>-1.2575487477154823</v>
      </c>
      <c r="Z53" s="1073">
        <f t="shared" si="3"/>
        <v>-1.242415744882635</v>
      </c>
      <c r="AA53" s="1073">
        <f t="shared" si="3"/>
        <v>-1.2544212850475347</v>
      </c>
    </row>
    <row r="54" spans="1:27" x14ac:dyDescent="0.25">
      <c r="A54" s="1059"/>
      <c r="B54" s="1067" t="s">
        <v>726</v>
      </c>
      <c r="C54" s="1067" t="s">
        <v>721</v>
      </c>
      <c r="D54" s="1067" t="s">
        <v>722</v>
      </c>
      <c r="E54" s="1067" t="s">
        <v>723</v>
      </c>
      <c r="F54" s="1067" t="s">
        <v>724</v>
      </c>
      <c r="G54" s="1071" t="s">
        <v>725</v>
      </c>
      <c r="H54" s="1059"/>
      <c r="I54" s="1059"/>
      <c r="J54" s="1059"/>
      <c r="K54" s="1059"/>
      <c r="L54" s="1059"/>
      <c r="M54" s="1059"/>
      <c r="N54" s="1059"/>
      <c r="O54" s="1059"/>
      <c r="P54" s="1059"/>
      <c r="Q54" s="1059"/>
      <c r="R54" s="1059"/>
      <c r="S54" s="1059"/>
      <c r="T54" s="1059"/>
      <c r="U54" s="1059"/>
      <c r="V54" s="1059"/>
      <c r="W54" s="1059"/>
      <c r="X54" s="1059"/>
      <c r="Y54" s="1059"/>
      <c r="Z54" s="1059"/>
      <c r="AA54" s="1059"/>
    </row>
    <row r="55" spans="1:27" x14ac:dyDescent="0.25">
      <c r="A55" s="1059"/>
      <c r="B55" s="1070" t="s">
        <v>732</v>
      </c>
      <c r="C55" s="1072">
        <f>SUM(B53:G53)</f>
        <v>60.1608721792905</v>
      </c>
      <c r="D55" s="1072">
        <f>SUM(H53:L53)</f>
        <v>12.614638608569614</v>
      </c>
      <c r="E55" s="1072">
        <f>SUM(M53:Q53)</f>
        <v>-9.3780196588989782</v>
      </c>
      <c r="F55" s="1072">
        <f>SUM(R53:V53)</f>
        <v>-7.5556356461741601</v>
      </c>
      <c r="G55" s="1072">
        <f>SUM(W53:AA53)</f>
        <v>-6.3701969316018676</v>
      </c>
      <c r="H55" s="1059"/>
      <c r="I55" s="1059"/>
      <c r="J55" s="1059"/>
      <c r="K55" s="1059"/>
      <c r="L55" s="1059"/>
      <c r="M55" s="1059"/>
      <c r="N55" s="1059"/>
      <c r="O55" s="1059"/>
      <c r="P55" s="1059"/>
      <c r="Q55" s="1059"/>
      <c r="R55" s="1059"/>
      <c r="S55" s="1059"/>
      <c r="T55" s="1059"/>
      <c r="U55" s="1059"/>
      <c r="V55" s="1059"/>
      <c r="W55" s="1059"/>
      <c r="X55" s="1059"/>
      <c r="Y55" s="1059"/>
      <c r="Z55" s="1059"/>
      <c r="AA55" s="1059"/>
    </row>
    <row r="58" spans="1:27" x14ac:dyDescent="0.25">
      <c r="A58" s="1059" t="s">
        <v>737</v>
      </c>
      <c r="B58" s="1059" t="s">
        <v>734</v>
      </c>
      <c r="C58" s="1059"/>
      <c r="D58" s="1059"/>
      <c r="E58" s="1059"/>
      <c r="F58" s="1059"/>
      <c r="G58" s="1059"/>
      <c r="H58" s="1059"/>
      <c r="I58" s="1059"/>
      <c r="J58" s="1059"/>
      <c r="K58" s="1059"/>
      <c r="L58" s="1059"/>
      <c r="M58" s="1059"/>
      <c r="N58" s="1059"/>
      <c r="O58" s="1059"/>
      <c r="P58" s="1059"/>
      <c r="Q58" s="1059"/>
      <c r="R58" s="1059"/>
      <c r="S58" s="1059"/>
      <c r="T58" s="1059"/>
      <c r="U58" s="1059"/>
      <c r="V58" s="1059"/>
      <c r="W58" s="1059"/>
      <c r="X58" s="1059"/>
      <c r="Y58" s="1059"/>
      <c r="Z58" s="1059"/>
      <c r="AA58" s="1059"/>
    </row>
    <row r="59" spans="1:27" x14ac:dyDescent="0.25">
      <c r="B59" s="1059">
        <v>2010</v>
      </c>
      <c r="C59" s="1059">
        <v>2011</v>
      </c>
      <c r="D59" s="1059">
        <v>2012</v>
      </c>
      <c r="E59" s="1059">
        <v>2013</v>
      </c>
      <c r="F59" s="1059">
        <v>2014</v>
      </c>
      <c r="G59" s="1059">
        <v>2015</v>
      </c>
      <c r="H59" s="1059">
        <v>2016</v>
      </c>
      <c r="I59" s="1059">
        <v>2017</v>
      </c>
      <c r="J59" s="1059">
        <v>2018</v>
      </c>
      <c r="K59" s="1059">
        <v>2019</v>
      </c>
      <c r="L59" s="1059">
        <v>2020</v>
      </c>
      <c r="M59" s="1059">
        <v>2021</v>
      </c>
      <c r="N59" s="1059">
        <v>2022</v>
      </c>
      <c r="O59" s="1059">
        <v>2023</v>
      </c>
      <c r="P59" s="1059">
        <v>2024</v>
      </c>
      <c r="Q59" s="1059">
        <v>2025</v>
      </c>
      <c r="R59" s="1059">
        <v>2026</v>
      </c>
      <c r="S59" s="1059">
        <v>2027</v>
      </c>
      <c r="T59" s="1059">
        <v>2028</v>
      </c>
      <c r="U59" s="1059">
        <v>2029</v>
      </c>
      <c r="V59" s="1059">
        <v>2030</v>
      </c>
      <c r="W59" s="1059">
        <v>2031</v>
      </c>
      <c r="X59" s="1059">
        <v>2032</v>
      </c>
      <c r="Y59" s="1059">
        <v>2033</v>
      </c>
      <c r="Z59" s="1059">
        <v>2034</v>
      </c>
      <c r="AA59" s="1059">
        <v>2035</v>
      </c>
    </row>
    <row r="60" spans="1:27" x14ac:dyDescent="0.25">
      <c r="A60" s="1059" t="s">
        <v>719</v>
      </c>
      <c r="B60" s="1068">
        <v>3447.5660055569865</v>
      </c>
      <c r="C60" s="1068">
        <v>3414.309608084126</v>
      </c>
      <c r="D60" s="1068">
        <v>3416.2093613388056</v>
      </c>
      <c r="E60" s="1068">
        <v>3412.039950856687</v>
      </c>
      <c r="F60" s="1068">
        <v>3417.2964974145139</v>
      </c>
      <c r="G60" s="1068">
        <v>3421.7709928496556</v>
      </c>
      <c r="H60" s="1068">
        <v>3420.0150666231675</v>
      </c>
      <c r="I60" s="1068">
        <v>3435.4307516588792</v>
      </c>
      <c r="J60" s="1068">
        <v>3463.2947136154489</v>
      </c>
      <c r="K60" s="1068">
        <v>3496.5008697453682</v>
      </c>
      <c r="L60" s="1068">
        <v>3534.8282070055825</v>
      </c>
      <c r="M60" s="1068">
        <v>3574.0112792956761</v>
      </c>
      <c r="N60" s="1068">
        <v>3614.2680275442735</v>
      </c>
      <c r="O60" s="1068">
        <v>3655.1645868285027</v>
      </c>
      <c r="P60" s="1068">
        <v>3696.6117494054301</v>
      </c>
      <c r="Q60" s="1068">
        <v>3738.4388043361446</v>
      </c>
      <c r="R60" s="1068">
        <v>3779.2445353611383</v>
      </c>
      <c r="S60" s="1068">
        <v>3821.0070184169995</v>
      </c>
      <c r="T60" s="1068">
        <v>3863.7702085208648</v>
      </c>
      <c r="U60" s="1068">
        <v>3906.573720516566</v>
      </c>
      <c r="V60" s="1068">
        <v>3948.681066963456</v>
      </c>
      <c r="W60" s="1068">
        <v>3990.602392066372</v>
      </c>
      <c r="X60" s="1068">
        <v>4032.2168819867175</v>
      </c>
      <c r="Y60" s="1068">
        <v>4073.4823081572604</v>
      </c>
      <c r="Z60" s="1068">
        <v>4114.3711351916772</v>
      </c>
      <c r="AA60" s="1068">
        <v>4154.8458561269517</v>
      </c>
    </row>
    <row r="61" spans="1:27" x14ac:dyDescent="0.25">
      <c r="A61" s="1059" t="s">
        <v>727</v>
      </c>
      <c r="B61" s="1068">
        <v>3447.5660055569861</v>
      </c>
      <c r="C61" s="1068">
        <v>3381.2494647823869</v>
      </c>
      <c r="D61" s="1068">
        <v>3330.2404699893286</v>
      </c>
      <c r="E61" s="1068">
        <v>3243.8957875067836</v>
      </c>
      <c r="F61" s="1068">
        <v>3155.3440330049148</v>
      </c>
      <c r="G61" s="1068">
        <v>3072.6618871800347</v>
      </c>
      <c r="H61" s="1068">
        <v>2987.1118718415564</v>
      </c>
      <c r="I61" s="1068">
        <v>2913.8817085509008</v>
      </c>
      <c r="J61" s="1068">
        <v>2847.403816703576</v>
      </c>
      <c r="K61" s="1068">
        <v>2782.6869602235042</v>
      </c>
      <c r="L61" s="1068">
        <v>2718.2815691409232</v>
      </c>
      <c r="M61" s="1068">
        <v>2651.4257011537156</v>
      </c>
      <c r="N61" s="1068">
        <v>2583.4123005733381</v>
      </c>
      <c r="O61" s="1068">
        <v>2515.1974579434377</v>
      </c>
      <c r="P61" s="1068">
        <v>2448.1982780361072</v>
      </c>
      <c r="Q61" s="1068">
        <v>2383.5983117363107</v>
      </c>
      <c r="R61" s="1068">
        <v>2321.7223814471481</v>
      </c>
      <c r="S61" s="1068">
        <v>2265.3395677787194</v>
      </c>
      <c r="T61" s="1068">
        <v>2211.3858442793917</v>
      </c>
      <c r="U61" s="1068">
        <v>2161.2204537078183</v>
      </c>
      <c r="V61" s="1068">
        <v>2114.7785755842051</v>
      </c>
      <c r="W61" s="1068">
        <v>2072.005629861987</v>
      </c>
      <c r="X61" s="1068">
        <v>2032.9783924921728</v>
      </c>
      <c r="Y61" s="1068">
        <v>1997.8381513014253</v>
      </c>
      <c r="Z61" s="1068">
        <v>1965.7115942829018</v>
      </c>
      <c r="AA61" s="1068">
        <v>1935.8135561631498</v>
      </c>
    </row>
    <row r="62" spans="1:27" x14ac:dyDescent="0.25">
      <c r="A62" s="1059" t="s">
        <v>731</v>
      </c>
      <c r="B62" s="1068">
        <f t="shared" ref="B62:AA62" si="4">(B60-B61)*Busbar</f>
        <v>4.959292709827423E-13</v>
      </c>
      <c r="C62" s="1068">
        <f t="shared" si="4"/>
        <v>36.054069879144613</v>
      </c>
      <c r="D62" s="1068">
        <f t="shared" si="4"/>
        <v>93.754234150085594</v>
      </c>
      <c r="E62" s="1068">
        <f t="shared" si="4"/>
        <v>183.37129878287072</v>
      </c>
      <c r="F62" s="1068">
        <f t="shared" si="4"/>
        <v>285.67487958653237</v>
      </c>
      <c r="G62" s="1068">
        <f t="shared" si="4"/>
        <v>380.72442627906179</v>
      </c>
      <c r="H62" s="1068">
        <f t="shared" si="4"/>
        <v>472.10690810103375</v>
      </c>
      <c r="I62" s="1068">
        <f t="shared" si="4"/>
        <v>568.78052445183687</v>
      </c>
      <c r="J62" s="1068">
        <f t="shared" si="4"/>
        <v>671.66597653621216</v>
      </c>
      <c r="K62" s="1068">
        <f t="shared" si="4"/>
        <v>778.45689716816389</v>
      </c>
      <c r="L62" s="1068">
        <f t="shared" si="4"/>
        <v>890.49310138968281</v>
      </c>
      <c r="M62" s="1068">
        <f t="shared" si="4"/>
        <v>1006.1349280984964</v>
      </c>
      <c r="N62" s="1068">
        <f t="shared" si="4"/>
        <v>1124.2100216054232</v>
      </c>
      <c r="O62" s="1068">
        <f t="shared" si="4"/>
        <v>1243.2025520768964</v>
      </c>
      <c r="P62" s="1068">
        <f t="shared" si="4"/>
        <v>1361.4697953365287</v>
      </c>
      <c r="Q62" s="1068">
        <f t="shared" si="4"/>
        <v>1477.5348476096747</v>
      </c>
      <c r="R62" s="1068">
        <f t="shared" si="4"/>
        <v>1589.5153601724412</v>
      </c>
      <c r="S62" s="1068">
        <f t="shared" si="4"/>
        <v>1696.5486949680828</v>
      </c>
      <c r="T62" s="1068">
        <f t="shared" si="4"/>
        <v>1802.024292267181</v>
      </c>
      <c r="U62" s="1068">
        <f t="shared" si="4"/>
        <v>1903.4124586509479</v>
      </c>
      <c r="V62" s="1068">
        <f t="shared" si="4"/>
        <v>1999.9807009985559</v>
      </c>
      <c r="W62" s="1068">
        <f t="shared" si="4"/>
        <v>2092.344884989614</v>
      </c>
      <c r="X62" s="1068">
        <f t="shared" si="4"/>
        <v>2180.2895271031707</v>
      </c>
      <c r="Y62" s="1068">
        <f t="shared" si="4"/>
        <v>2263.6144917006991</v>
      </c>
      <c r="Z62" s="1068">
        <f t="shared" si="4"/>
        <v>2343.2421489334743</v>
      </c>
      <c r="AA62" s="1068">
        <f t="shared" si="4"/>
        <v>2419.9878650485239</v>
      </c>
    </row>
    <row r="63" spans="1:27" s="858" customFormat="1" x14ac:dyDescent="0.25">
      <c r="A63" s="858" t="s">
        <v>717</v>
      </c>
      <c r="B63" s="1073"/>
      <c r="C63" s="1073">
        <f t="shared" ref="C63:AA63" si="5">C62-B62</f>
        <v>36.054069879144116</v>
      </c>
      <c r="D63" s="1073">
        <f t="shared" si="5"/>
        <v>57.700164270940981</v>
      </c>
      <c r="E63" s="1073">
        <f t="shared" si="5"/>
        <v>89.61706463278513</v>
      </c>
      <c r="F63" s="1073">
        <f t="shared" si="5"/>
        <v>102.30358080366165</v>
      </c>
      <c r="G63" s="1073">
        <f t="shared" si="5"/>
        <v>95.049546692529418</v>
      </c>
      <c r="H63" s="1073">
        <f t="shared" si="5"/>
        <v>91.382481821971965</v>
      </c>
      <c r="I63" s="1073">
        <f t="shared" si="5"/>
        <v>96.673616350803115</v>
      </c>
      <c r="J63" s="1073">
        <f t="shared" si="5"/>
        <v>102.88545208437529</v>
      </c>
      <c r="K63" s="1073">
        <f t="shared" si="5"/>
        <v>106.79092063195174</v>
      </c>
      <c r="L63" s="1073">
        <f t="shared" si="5"/>
        <v>112.03620422151891</v>
      </c>
      <c r="M63" s="1073">
        <f t="shared" si="5"/>
        <v>115.6418267088136</v>
      </c>
      <c r="N63" s="1073">
        <f t="shared" si="5"/>
        <v>118.07509350692681</v>
      </c>
      <c r="O63" s="1073">
        <f t="shared" si="5"/>
        <v>118.99253047147317</v>
      </c>
      <c r="P63" s="1073">
        <f t="shared" si="5"/>
        <v>118.26724325963232</v>
      </c>
      <c r="Q63" s="1073">
        <f t="shared" si="5"/>
        <v>116.06505227314597</v>
      </c>
      <c r="R63" s="1073">
        <f t="shared" si="5"/>
        <v>111.98051256276653</v>
      </c>
      <c r="S63" s="1073">
        <f t="shared" si="5"/>
        <v>107.03333479564162</v>
      </c>
      <c r="T63" s="1073">
        <f t="shared" si="5"/>
        <v>105.47559729909813</v>
      </c>
      <c r="U63" s="1073">
        <f t="shared" si="5"/>
        <v>101.38816638376693</v>
      </c>
      <c r="V63" s="1073">
        <f t="shared" si="5"/>
        <v>96.56824234760802</v>
      </c>
      <c r="W63" s="1073">
        <f t="shared" si="5"/>
        <v>92.364183991058098</v>
      </c>
      <c r="X63" s="1073">
        <f t="shared" si="5"/>
        <v>87.944642113556711</v>
      </c>
      <c r="Y63" s="1073">
        <f t="shared" si="5"/>
        <v>83.324964597528378</v>
      </c>
      <c r="Z63" s="1073">
        <f t="shared" si="5"/>
        <v>79.627657232775164</v>
      </c>
      <c r="AA63" s="1073">
        <f t="shared" si="5"/>
        <v>76.745716115049618</v>
      </c>
    </row>
    <row r="64" spans="1:27" x14ac:dyDescent="0.25">
      <c r="A64" s="1059"/>
      <c r="B64" s="1067" t="s">
        <v>726</v>
      </c>
      <c r="C64" s="1067" t="s">
        <v>721</v>
      </c>
      <c r="D64" s="1067" t="s">
        <v>722</v>
      </c>
      <c r="E64" s="1067" t="s">
        <v>723</v>
      </c>
      <c r="F64" s="1067" t="s">
        <v>724</v>
      </c>
      <c r="G64" s="1071" t="s">
        <v>725</v>
      </c>
      <c r="H64" s="1059"/>
      <c r="I64" s="1059"/>
      <c r="J64" s="1059"/>
      <c r="K64" s="1059"/>
      <c r="L64" s="1059"/>
      <c r="M64" s="1059"/>
      <c r="N64" s="1059"/>
      <c r="O64" s="1059"/>
      <c r="P64" s="1059"/>
      <c r="Q64" s="1059"/>
      <c r="R64" s="1059"/>
      <c r="S64" s="1059"/>
      <c r="T64" s="1059"/>
      <c r="U64" s="1059"/>
      <c r="V64" s="1059"/>
      <c r="W64" s="1059"/>
      <c r="X64" s="1059"/>
      <c r="Y64" s="1059"/>
      <c r="Z64" s="1059"/>
      <c r="AA64" s="1059"/>
    </row>
    <row r="65" spans="1:27" x14ac:dyDescent="0.25">
      <c r="A65" s="1059"/>
      <c r="B65" s="1067" t="s">
        <v>732</v>
      </c>
      <c r="C65" s="1072">
        <f>SUM(B63:G63)</f>
        <v>380.72442627906128</v>
      </c>
      <c r="D65" s="1072">
        <f>SUM(H63:L63)</f>
        <v>509.76867511062102</v>
      </c>
      <c r="E65" s="1072">
        <f>SUM(M63:Q63)</f>
        <v>587.04174621999186</v>
      </c>
      <c r="F65" s="1072">
        <f>SUM(R63:V63)</f>
        <v>522.44585338888123</v>
      </c>
      <c r="G65" s="1072">
        <f>SUM(W63:AA63)</f>
        <v>420.00716404996797</v>
      </c>
      <c r="H65" s="1059"/>
      <c r="I65" s="1059"/>
      <c r="J65" s="1059"/>
      <c r="K65" s="1059"/>
      <c r="L65" s="1059"/>
      <c r="M65" s="1059"/>
      <c r="N65" s="1059"/>
      <c r="O65" s="1059"/>
      <c r="P65" s="1059"/>
      <c r="Q65" s="1059"/>
      <c r="R65" s="1059"/>
      <c r="S65" s="1059"/>
      <c r="T65" s="1059"/>
      <c r="U65" s="1059"/>
      <c r="V65" s="1059"/>
      <c r="W65" s="1059"/>
      <c r="X65" s="1059"/>
      <c r="Y65" s="1059"/>
      <c r="Z65" s="1059"/>
      <c r="AA65" s="1059"/>
    </row>
    <row r="66" spans="1:27" x14ac:dyDescent="0.25">
      <c r="A66" s="1059"/>
      <c r="B66" s="1059"/>
      <c r="C66" s="1059"/>
      <c r="D66" s="1059"/>
      <c r="E66" s="1059"/>
      <c r="F66" s="1059"/>
      <c r="G66" s="1059"/>
      <c r="H66" s="1059"/>
      <c r="I66" s="1059"/>
      <c r="J66" s="1059"/>
      <c r="K66" s="1059"/>
      <c r="L66" s="1059"/>
      <c r="M66" s="1059"/>
      <c r="N66" s="1059"/>
      <c r="O66" s="1059"/>
      <c r="P66" s="1059"/>
      <c r="Q66" s="1059"/>
      <c r="R66" s="1059"/>
      <c r="S66" s="1059"/>
      <c r="T66" s="1059"/>
      <c r="U66" s="1059"/>
      <c r="V66" s="1059"/>
      <c r="W66" s="1059"/>
      <c r="X66" s="1059"/>
      <c r="Y66" s="1059"/>
      <c r="Z66" s="1059"/>
      <c r="AA66" s="1059"/>
    </row>
    <row r="68" spans="1:27" x14ac:dyDescent="0.25">
      <c r="C68" s="858" t="s">
        <v>738</v>
      </c>
    </row>
    <row r="69" spans="1:27" x14ac:dyDescent="0.25">
      <c r="A69" s="1059"/>
      <c r="C69" s="1059">
        <v>2010</v>
      </c>
      <c r="D69" s="1059">
        <v>2011</v>
      </c>
      <c r="E69" s="1059">
        <v>2012</v>
      </c>
      <c r="F69" s="1059">
        <v>2013</v>
      </c>
      <c r="G69" s="1059">
        <v>2014</v>
      </c>
      <c r="H69" s="1059">
        <v>2015</v>
      </c>
      <c r="I69" s="1059">
        <v>2016</v>
      </c>
      <c r="J69" s="1059">
        <v>2017</v>
      </c>
      <c r="K69" s="1059"/>
    </row>
    <row r="70" spans="1:27" x14ac:dyDescent="0.25">
      <c r="B70" s="1073"/>
      <c r="C70" s="1073">
        <v>3.9324368717145548</v>
      </c>
      <c r="D70" s="1073">
        <v>13.870517236866011</v>
      </c>
      <c r="E70" s="1073">
        <v>21.072357534393333</v>
      </c>
      <c r="F70" s="1073">
        <v>23.140543969401719</v>
      </c>
      <c r="G70" s="1073">
        <v>17.972922939527223</v>
      </c>
      <c r="H70" s="1073">
        <v>12.851822578448136</v>
      </c>
      <c r="I70" s="1073">
        <v>12.485793867632935</v>
      </c>
      <c r="J70" s="1073">
        <v>9.9374850754859523</v>
      </c>
    </row>
  </sheetData>
  <mergeCells count="1">
    <mergeCell ref="E2:K2"/>
  </mergeCell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theme="5" tint="0.39997558519241921"/>
  </sheetPr>
  <dimension ref="A1:K4"/>
  <sheetViews>
    <sheetView topLeftCell="B1" zoomScale="59" zoomScaleNormal="59" workbookViewId="0">
      <selection activeCell="E4" sqref="E4:K4"/>
    </sheetView>
  </sheetViews>
  <sheetFormatPr defaultRowHeight="15" x14ac:dyDescent="0.25"/>
  <cols>
    <col min="1" max="3" width="12.5703125" customWidth="1"/>
    <col min="4" max="4" width="14.42578125" bestFit="1" customWidth="1"/>
    <col min="5" max="19" width="12.5703125" customWidth="1"/>
  </cols>
  <sheetData>
    <row r="1" spans="1:11" ht="18" x14ac:dyDescent="0.4">
      <c r="A1" s="268" t="s">
        <v>399</v>
      </c>
    </row>
    <row r="2" spans="1:11" s="539" customFormat="1" ht="15" customHeight="1" x14ac:dyDescent="0.4">
      <c r="A2" s="268"/>
      <c r="B2" s="268"/>
      <c r="D2" s="221"/>
      <c r="E2" s="1247" t="s">
        <v>410</v>
      </c>
      <c r="F2" s="1247"/>
      <c r="G2" s="1247"/>
      <c r="H2" s="1247"/>
      <c r="I2" s="1247"/>
      <c r="J2" s="1247"/>
      <c r="K2" s="1247"/>
    </row>
    <row r="3" spans="1:11" s="539" customFormat="1" ht="52.5" x14ac:dyDescent="0.35">
      <c r="D3" s="764" t="s">
        <v>411</v>
      </c>
      <c r="E3" s="748" t="s">
        <v>213</v>
      </c>
      <c r="F3" s="748" t="s">
        <v>214</v>
      </c>
      <c r="G3" s="748" t="s">
        <v>43</v>
      </c>
      <c r="H3" s="748" t="s">
        <v>44</v>
      </c>
      <c r="I3" s="748" t="s">
        <v>215</v>
      </c>
      <c r="J3" s="748" t="s">
        <v>257</v>
      </c>
      <c r="K3" s="748" t="s">
        <v>216</v>
      </c>
    </row>
    <row r="4" spans="1:11" s="539" customFormat="1" ht="14.45" x14ac:dyDescent="0.35">
      <c r="D4" s="539" t="s">
        <v>255</v>
      </c>
      <c r="E4" s="539" t="s">
        <v>25</v>
      </c>
      <c r="F4" s="539" t="s">
        <v>25</v>
      </c>
      <c r="G4" s="539" t="s">
        <v>25</v>
      </c>
      <c r="H4" s="539" t="s">
        <v>25</v>
      </c>
      <c r="I4" s="539" t="s">
        <v>25</v>
      </c>
      <c r="J4" s="539" t="s">
        <v>25</v>
      </c>
      <c r="K4" s="539" t="s">
        <v>25</v>
      </c>
    </row>
  </sheetData>
  <mergeCells count="1">
    <mergeCell ref="E2:K2"/>
  </mergeCells>
  <pageMargins left="0.7" right="0.7" top="0.75" bottom="0.75" header="0.3" footer="0.3"/>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theme="5" tint="0.39997558519241921"/>
  </sheetPr>
  <dimension ref="A1:K4"/>
  <sheetViews>
    <sheetView zoomScale="59" zoomScaleNormal="59" workbookViewId="0">
      <selection activeCell="E4" sqref="E4:K4"/>
    </sheetView>
  </sheetViews>
  <sheetFormatPr defaultRowHeight="15" x14ac:dyDescent="0.25"/>
  <cols>
    <col min="3" max="3" width="12.5703125" customWidth="1"/>
    <col min="4" max="4" width="14.42578125" bestFit="1" customWidth="1"/>
    <col min="5" max="16" width="12.5703125" customWidth="1"/>
  </cols>
  <sheetData>
    <row r="1" spans="1:11" ht="18" x14ac:dyDescent="0.4">
      <c r="A1" s="268" t="s">
        <v>407</v>
      </c>
    </row>
    <row r="2" spans="1:11" s="539" customFormat="1" ht="15" customHeight="1" x14ac:dyDescent="0.4">
      <c r="A2" s="268"/>
      <c r="B2" s="268"/>
      <c r="D2" s="221"/>
      <c r="E2" s="1247" t="s">
        <v>410</v>
      </c>
      <c r="F2" s="1247"/>
      <c r="G2" s="1247"/>
      <c r="H2" s="1247"/>
      <c r="I2" s="1247"/>
      <c r="J2" s="1247"/>
      <c r="K2" s="1247"/>
    </row>
    <row r="3" spans="1:11" s="539" customFormat="1" ht="52.5" x14ac:dyDescent="0.35">
      <c r="D3" s="764" t="s">
        <v>411</v>
      </c>
      <c r="E3" s="748" t="s">
        <v>213</v>
      </c>
      <c r="F3" s="748" t="s">
        <v>214</v>
      </c>
      <c r="G3" s="748" t="s">
        <v>43</v>
      </c>
      <c r="H3" s="748" t="s">
        <v>44</v>
      </c>
      <c r="I3" s="748" t="s">
        <v>215</v>
      </c>
      <c r="J3" s="748" t="s">
        <v>257</v>
      </c>
      <c r="K3" s="748" t="s">
        <v>216</v>
      </c>
    </row>
    <row r="4" spans="1:11" s="539" customFormat="1" ht="14.45" x14ac:dyDescent="0.35">
      <c r="D4" s="539" t="s">
        <v>255</v>
      </c>
      <c r="E4" s="539" t="s">
        <v>25</v>
      </c>
      <c r="F4" s="539" t="s">
        <v>25</v>
      </c>
      <c r="G4" s="539" t="s">
        <v>25</v>
      </c>
      <c r="H4" s="539" t="s">
        <v>25</v>
      </c>
      <c r="I4" s="539" t="s">
        <v>25</v>
      </c>
      <c r="J4" s="539" t="s">
        <v>25</v>
      </c>
      <c r="K4" s="539" t="s">
        <v>25</v>
      </c>
    </row>
  </sheetData>
  <mergeCells count="1">
    <mergeCell ref="E2:K2"/>
  </mergeCells>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theme="5" tint="0.39997558519241921"/>
  </sheetPr>
  <dimension ref="A1:K4"/>
  <sheetViews>
    <sheetView topLeftCell="B1" zoomScale="59" zoomScaleNormal="59" workbookViewId="0">
      <selection activeCell="E4" sqref="E4:K4"/>
    </sheetView>
  </sheetViews>
  <sheetFormatPr defaultRowHeight="15" x14ac:dyDescent="0.25"/>
  <cols>
    <col min="1" max="3" width="12.5703125" customWidth="1"/>
    <col min="4" max="4" width="14.42578125" bestFit="1" customWidth="1"/>
    <col min="5" max="18" width="12.5703125" customWidth="1"/>
  </cols>
  <sheetData>
    <row r="1" spans="1:11" ht="18" x14ac:dyDescent="0.4">
      <c r="A1" s="268" t="s">
        <v>408</v>
      </c>
    </row>
    <row r="2" spans="1:11" s="539" customFormat="1" ht="15" customHeight="1" x14ac:dyDescent="0.4">
      <c r="A2" s="268"/>
      <c r="B2" s="268"/>
      <c r="D2" s="221"/>
      <c r="E2" s="1247" t="s">
        <v>410</v>
      </c>
      <c r="F2" s="1247"/>
      <c r="G2" s="1247"/>
      <c r="H2" s="1247"/>
      <c r="I2" s="1247"/>
      <c r="J2" s="1247"/>
      <c r="K2" s="1247"/>
    </row>
    <row r="3" spans="1:11" s="539" customFormat="1" ht="52.5" x14ac:dyDescent="0.35">
      <c r="D3" s="764" t="s">
        <v>411</v>
      </c>
      <c r="E3" s="748" t="s">
        <v>213</v>
      </c>
      <c r="F3" s="748" t="s">
        <v>214</v>
      </c>
      <c r="G3" s="748" t="s">
        <v>43</v>
      </c>
      <c r="H3" s="748" t="s">
        <v>44</v>
      </c>
      <c r="I3" s="748" t="s">
        <v>215</v>
      </c>
      <c r="J3" s="748" t="s">
        <v>257</v>
      </c>
      <c r="K3" s="748" t="s">
        <v>216</v>
      </c>
    </row>
    <row r="4" spans="1:11" s="539" customFormat="1" ht="14.45" x14ac:dyDescent="0.35">
      <c r="D4" s="539" t="s">
        <v>255</v>
      </c>
      <c r="E4" s="539" t="s">
        <v>25</v>
      </c>
      <c r="F4" s="539" t="s">
        <v>25</v>
      </c>
      <c r="G4" s="539" t="s">
        <v>25</v>
      </c>
      <c r="H4" s="539" t="s">
        <v>25</v>
      </c>
      <c r="I4" s="539" t="s">
        <v>25</v>
      </c>
      <c r="J4" s="539" t="s">
        <v>25</v>
      </c>
      <c r="K4" s="539" t="s">
        <v>25</v>
      </c>
    </row>
  </sheetData>
  <mergeCells count="1">
    <mergeCell ref="E2:K2"/>
  </mergeCell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0070C0"/>
  </sheetPr>
  <dimension ref="A1:AF309"/>
  <sheetViews>
    <sheetView topLeftCell="A249" zoomScale="59" zoomScaleNormal="59" workbookViewId="0">
      <selection activeCell="G269" sqref="G269:AL299"/>
    </sheetView>
  </sheetViews>
  <sheetFormatPr defaultColWidth="9.140625" defaultRowHeight="15" x14ac:dyDescent="0.25"/>
  <cols>
    <col min="1" max="6" width="9.140625" style="539"/>
    <col min="7" max="7" width="11.42578125" style="539" bestFit="1" customWidth="1"/>
    <col min="8" max="32" width="10.140625" style="539" bestFit="1" customWidth="1"/>
    <col min="33" max="16384" width="9.140625" style="539"/>
  </cols>
  <sheetData>
    <row r="1" spans="1:32" ht="18" x14ac:dyDescent="0.4">
      <c r="A1" s="268" t="s">
        <v>289</v>
      </c>
      <c r="B1" s="550"/>
      <c r="C1" s="550"/>
      <c r="D1" s="550"/>
      <c r="E1" s="550"/>
      <c r="F1" s="550"/>
      <c r="G1" s="550"/>
      <c r="H1" s="207"/>
      <c r="I1" s="550"/>
      <c r="J1" s="550"/>
      <c r="K1" s="550"/>
      <c r="L1" s="550"/>
      <c r="M1" s="550"/>
      <c r="N1" s="550"/>
      <c r="O1" s="550"/>
      <c r="P1" s="550"/>
      <c r="Q1" s="550"/>
      <c r="R1" s="550"/>
      <c r="S1" s="550"/>
      <c r="T1" s="550"/>
      <c r="U1" s="550"/>
      <c r="V1" s="550"/>
      <c r="W1" s="550"/>
      <c r="X1" s="550"/>
      <c r="Y1" s="550"/>
      <c r="Z1" s="550"/>
      <c r="AA1" s="550"/>
      <c r="AB1" s="550"/>
      <c r="AC1" s="550"/>
      <c r="AD1" s="550"/>
      <c r="AE1" s="550"/>
      <c r="AF1" s="550"/>
    </row>
    <row r="2" spans="1:32" ht="15.6" x14ac:dyDescent="0.35">
      <c r="A2" s="269" t="s">
        <v>287</v>
      </c>
      <c r="B2" s="550"/>
      <c r="C2" s="550"/>
      <c r="D2" s="550"/>
      <c r="E2" s="550"/>
      <c r="F2" s="550"/>
      <c r="G2" s="550"/>
      <c r="H2" s="207"/>
      <c r="I2" s="550"/>
      <c r="J2" s="550"/>
      <c r="K2" s="550"/>
      <c r="L2" s="550"/>
      <c r="M2" s="550"/>
      <c r="N2" s="550"/>
      <c r="O2" s="550"/>
      <c r="P2" s="550"/>
      <c r="Q2" s="550"/>
      <c r="R2" s="550"/>
      <c r="S2" s="550"/>
      <c r="T2" s="550"/>
      <c r="U2" s="550"/>
      <c r="V2" s="550"/>
      <c r="W2" s="550"/>
      <c r="X2" s="550"/>
      <c r="Y2" s="550"/>
      <c r="Z2" s="550"/>
      <c r="AA2" s="550"/>
      <c r="AB2" s="550"/>
      <c r="AC2" s="550"/>
      <c r="AD2" s="550"/>
      <c r="AE2" s="550"/>
      <c r="AF2" s="550"/>
    </row>
    <row r="3" spans="1:32" ht="14.45" x14ac:dyDescent="0.35">
      <c r="A3" s="550"/>
      <c r="B3" s="550"/>
      <c r="C3" s="550"/>
      <c r="D3" s="277"/>
      <c r="E3" s="208"/>
      <c r="F3" s="208"/>
      <c r="G3" s="208">
        <v>2010</v>
      </c>
      <c r="H3" s="208">
        <v>2011</v>
      </c>
      <c r="I3" s="208">
        <v>2012</v>
      </c>
      <c r="J3" s="208">
        <v>2013</v>
      </c>
      <c r="K3" s="208">
        <v>2014</v>
      </c>
      <c r="L3" s="208">
        <v>2015</v>
      </c>
      <c r="M3" s="208">
        <v>2016</v>
      </c>
      <c r="N3" s="208">
        <v>2017</v>
      </c>
      <c r="O3" s="208">
        <v>2018</v>
      </c>
      <c r="P3" s="208">
        <v>2019</v>
      </c>
      <c r="Q3" s="208">
        <v>2020</v>
      </c>
      <c r="R3" s="208">
        <v>2021</v>
      </c>
      <c r="S3" s="208">
        <v>2022</v>
      </c>
      <c r="T3" s="208">
        <v>2023</v>
      </c>
      <c r="U3" s="208">
        <v>2024</v>
      </c>
      <c r="V3" s="208">
        <v>2025</v>
      </c>
      <c r="W3" s="208">
        <v>2026</v>
      </c>
      <c r="X3" s="208">
        <v>2027</v>
      </c>
      <c r="Y3" s="208">
        <v>2028</v>
      </c>
      <c r="Z3" s="208">
        <v>2029</v>
      </c>
      <c r="AA3" s="208">
        <v>2030</v>
      </c>
      <c r="AB3" s="208">
        <v>2031</v>
      </c>
      <c r="AC3" s="208">
        <v>2032</v>
      </c>
      <c r="AD3" s="208">
        <v>2033</v>
      </c>
      <c r="AE3" s="208">
        <v>2034</v>
      </c>
      <c r="AF3" s="208">
        <v>2035</v>
      </c>
    </row>
    <row r="4" spans="1:32" ht="14.45" x14ac:dyDescent="0.35">
      <c r="A4" s="767" t="s">
        <v>534</v>
      </c>
      <c r="B4" s="780"/>
      <c r="C4" s="767"/>
      <c r="D4" s="765"/>
      <c r="E4" s="765"/>
      <c r="F4" s="765"/>
      <c r="G4" s="765"/>
      <c r="H4" s="750"/>
      <c r="I4" s="750"/>
      <c r="J4" s="750"/>
      <c r="K4" s="750"/>
      <c r="L4" s="750"/>
      <c r="M4" s="750"/>
      <c r="N4" s="750"/>
      <c r="O4" s="750"/>
      <c r="P4" s="750"/>
      <c r="Q4" s="750"/>
      <c r="R4" s="750"/>
      <c r="S4" s="750"/>
      <c r="T4" s="750"/>
      <c r="U4" s="750"/>
      <c r="V4" s="750"/>
      <c r="W4" s="750"/>
      <c r="X4" s="750"/>
      <c r="Y4" s="750"/>
      <c r="Z4" s="750"/>
      <c r="AA4" s="750"/>
      <c r="AB4" s="750"/>
      <c r="AC4" s="750"/>
      <c r="AD4" s="750"/>
      <c r="AE4" s="750"/>
      <c r="AF4" s="750"/>
    </row>
    <row r="5" spans="1:32" ht="14.45" x14ac:dyDescent="0.35">
      <c r="A5" s="554" t="s">
        <v>55</v>
      </c>
      <c r="B5" s="555"/>
      <c r="C5" s="554"/>
      <c r="D5" s="553"/>
      <c r="E5" s="553"/>
      <c r="F5" s="553"/>
      <c r="G5" s="553"/>
      <c r="H5" s="560"/>
      <c r="I5" s="560"/>
      <c r="J5" s="560"/>
      <c r="K5" s="560"/>
      <c r="L5" s="560"/>
      <c r="M5" s="560"/>
      <c r="N5" s="560"/>
      <c r="O5" s="560"/>
      <c r="P5" s="560"/>
      <c r="Q5" s="560"/>
      <c r="R5" s="560"/>
      <c r="S5" s="560"/>
      <c r="T5" s="560"/>
      <c r="U5" s="560"/>
      <c r="V5" s="560"/>
      <c r="W5" s="560"/>
      <c r="X5" s="560"/>
      <c r="Y5" s="560"/>
      <c r="Z5" s="560"/>
      <c r="AA5" s="560"/>
      <c r="AB5" s="560"/>
      <c r="AC5" s="560"/>
      <c r="AD5" s="560"/>
      <c r="AE5" s="560"/>
      <c r="AF5" s="560"/>
    </row>
    <row r="6" spans="1:32" ht="14.45" x14ac:dyDescent="0.35">
      <c r="A6" s="551" t="s">
        <v>12</v>
      </c>
      <c r="B6" s="550"/>
    </row>
    <row r="7" spans="1:32" ht="14.45" x14ac:dyDescent="0.35">
      <c r="A7" s="550"/>
      <c r="B7" s="550" t="s">
        <v>20</v>
      </c>
    </row>
    <row r="8" spans="1:32" s="202" customFormat="1" ht="12.95" x14ac:dyDescent="0.3">
      <c r="A8" s="556" t="s">
        <v>21</v>
      </c>
      <c r="B8" s="556"/>
      <c r="C8" s="556"/>
      <c r="D8" s="556"/>
      <c r="E8" s="556"/>
      <c r="F8" s="556"/>
      <c r="G8" s="556"/>
      <c r="H8" s="556"/>
      <c r="I8" s="556"/>
      <c r="J8" s="556"/>
      <c r="K8" s="556"/>
      <c r="L8" s="556"/>
      <c r="M8" s="556"/>
      <c r="N8" s="556"/>
      <c r="O8" s="556"/>
      <c r="P8" s="556"/>
      <c r="Q8" s="556"/>
      <c r="R8" s="556"/>
      <c r="S8" s="556"/>
      <c r="T8" s="556"/>
      <c r="U8" s="556"/>
      <c r="V8" s="556"/>
      <c r="W8" s="556"/>
      <c r="X8" s="556"/>
      <c r="Y8" s="556"/>
      <c r="Z8" s="556"/>
      <c r="AA8" s="556"/>
      <c r="AB8" s="556"/>
      <c r="AC8" s="556"/>
      <c r="AD8" s="556"/>
      <c r="AE8" s="556"/>
      <c r="AF8" s="556"/>
    </row>
    <row r="9" spans="1:32" s="221" customFormat="1" ht="14.45" x14ac:dyDescent="0.35">
      <c r="A9" s="550"/>
      <c r="B9" s="550" t="s">
        <v>22</v>
      </c>
      <c r="C9" s="539"/>
      <c r="D9" s="539"/>
      <c r="E9" s="539"/>
      <c r="F9" s="539"/>
      <c r="G9" s="200">
        <v>0.51119778838008634</v>
      </c>
      <c r="H9" s="200">
        <v>0.30754076809089587</v>
      </c>
      <c r="I9" s="200">
        <v>0.22492766347927831</v>
      </c>
      <c r="J9" s="200">
        <v>0.13206449180062119</v>
      </c>
      <c r="K9" s="200">
        <v>8.7670048727636327E-2</v>
      </c>
      <c r="L9" s="200">
        <v>5.3457411239684838E-2</v>
      </c>
      <c r="M9" s="200">
        <v>1.7856685420129033E-2</v>
      </c>
      <c r="N9" s="200">
        <v>1.5158665749059577E-2</v>
      </c>
      <c r="O9" s="200">
        <v>1.310806506413259E-2</v>
      </c>
      <c r="P9" s="200">
        <v>1.1258644102074169E-2</v>
      </c>
      <c r="Q9" s="200">
        <v>9.4334737670395841E-3</v>
      </c>
      <c r="R9" s="200">
        <v>7.6993541916609981E-3</v>
      </c>
      <c r="S9" s="200">
        <v>6.205966466926365E-3</v>
      </c>
      <c r="T9" s="200">
        <v>4.9835494193274568E-3</v>
      </c>
      <c r="U9" s="200">
        <v>3.9856569374614025E-3</v>
      </c>
      <c r="V9" s="200">
        <v>3.2249567240755887E-3</v>
      </c>
      <c r="W9" s="200">
        <v>2.6369733437580155E-3</v>
      </c>
      <c r="X9" s="200">
        <v>2.1831359476397858E-3</v>
      </c>
      <c r="Y9" s="200">
        <v>1.8344361996769554E-3</v>
      </c>
      <c r="Z9" s="200">
        <v>1.5644472916738433E-3</v>
      </c>
      <c r="AA9" s="200">
        <v>1.3578909943597534E-3</v>
      </c>
      <c r="AB9" s="200">
        <v>1.1888523505146104E-3</v>
      </c>
      <c r="AC9" s="200">
        <v>1.0540002774928824E-3</v>
      </c>
      <c r="AD9" s="200">
        <v>9.4062592084139397E-4</v>
      </c>
      <c r="AE9" s="200">
        <v>8.4292703232083854E-4</v>
      </c>
      <c r="AF9" s="200">
        <v>7.4619955645693523E-4</v>
      </c>
    </row>
    <row r="10" spans="1:32" s="221" customFormat="1" ht="14.45" x14ac:dyDescent="0.35">
      <c r="A10" s="550"/>
      <c r="B10" s="550" t="s">
        <v>26</v>
      </c>
      <c r="C10" s="539"/>
      <c r="D10" s="539"/>
      <c r="E10" s="539"/>
      <c r="F10" s="539"/>
      <c r="G10" s="200">
        <v>9.0362267241207387E-3</v>
      </c>
      <c r="H10" s="200">
        <v>5.3314413408693234E-3</v>
      </c>
      <c r="I10" s="200">
        <v>1.926581726157774E-2</v>
      </c>
      <c r="J10" s="200">
        <v>5.1339258394665174E-2</v>
      </c>
      <c r="K10" s="200">
        <v>6.925149299119826E-2</v>
      </c>
      <c r="L10" s="200">
        <v>7.0537190239936778E-2</v>
      </c>
      <c r="M10" s="200">
        <v>6.7756275528291984E-2</v>
      </c>
      <c r="N10" s="200">
        <v>5.9134699892780723E-2</v>
      </c>
      <c r="O10" s="200">
        <v>5.2483398559275321E-2</v>
      </c>
      <c r="P10" s="200">
        <v>4.6113957799231615E-2</v>
      </c>
      <c r="Q10" s="200">
        <v>3.9664915902656805E-2</v>
      </c>
      <c r="R10" s="200">
        <v>3.3336030349743341E-2</v>
      </c>
      <c r="S10" s="200">
        <v>2.7703097149737878E-2</v>
      </c>
      <c r="T10" s="200">
        <v>2.2968012434645357E-2</v>
      </c>
      <c r="U10" s="200">
        <v>1.9008643753967359E-2</v>
      </c>
      <c r="V10" s="200">
        <v>1.5911244828744259E-2</v>
      </c>
      <c r="W10" s="200">
        <v>1.3472537772950807E-2</v>
      </c>
      <c r="X10" s="200">
        <v>1.157649805656231E-2</v>
      </c>
      <c r="Y10" s="200">
        <v>1.0108202613757137E-2</v>
      </c>
      <c r="Z10" s="200">
        <v>8.9544567635441909E-3</v>
      </c>
      <c r="AA10" s="200">
        <v>8.0628214830604991E-3</v>
      </c>
      <c r="AB10" s="200">
        <v>7.3329782919717718E-3</v>
      </c>
      <c r="AC10" s="200">
        <v>6.752619700155893E-3</v>
      </c>
      <c r="AD10" s="200">
        <v>6.2626187511382577E-3</v>
      </c>
      <c r="AE10" s="200">
        <v>5.8376334905032787E-3</v>
      </c>
      <c r="AF10" s="200">
        <v>5.4035723227872515E-3</v>
      </c>
    </row>
    <row r="11" spans="1:32" s="221" customFormat="1" ht="14.45" x14ac:dyDescent="0.35">
      <c r="A11" s="550"/>
      <c r="B11" s="550" t="s">
        <v>27</v>
      </c>
      <c r="C11" s="539"/>
      <c r="D11" s="539"/>
      <c r="E11" s="539"/>
      <c r="F11" s="539"/>
      <c r="G11" s="200">
        <v>9.7575338501076803E-2</v>
      </c>
      <c r="H11" s="200">
        <v>0.14681096107200889</v>
      </c>
      <c r="I11" s="200">
        <v>0.16382024699815187</v>
      </c>
      <c r="J11" s="200">
        <v>0.17753753683974147</v>
      </c>
      <c r="K11" s="200">
        <v>0.18259387004017186</v>
      </c>
      <c r="L11" s="200">
        <v>0.18679665878483265</v>
      </c>
      <c r="M11" s="200">
        <v>0.18874155906767356</v>
      </c>
      <c r="N11" s="200">
        <v>0.18176542026736739</v>
      </c>
      <c r="O11" s="200">
        <v>0.17103410630362095</v>
      </c>
      <c r="P11" s="200">
        <v>0.15756238543354223</v>
      </c>
      <c r="Q11" s="200">
        <v>0.14253415468978528</v>
      </c>
      <c r="R11" s="200">
        <v>0.12684416840830956</v>
      </c>
      <c r="S11" s="200">
        <v>0.11126592833339745</v>
      </c>
      <c r="T11" s="200">
        <v>9.664339364792221E-2</v>
      </c>
      <c r="U11" s="200">
        <v>8.3415246425077305E-2</v>
      </c>
      <c r="V11" s="200">
        <v>7.1860477156193009E-2</v>
      </c>
      <c r="W11" s="200">
        <v>6.2081928421754119E-2</v>
      </c>
      <c r="X11" s="200">
        <v>5.3975148489702578E-2</v>
      </c>
      <c r="Y11" s="200">
        <v>4.7445139590348469E-2</v>
      </c>
      <c r="Z11" s="200">
        <v>4.2212269144117527E-2</v>
      </c>
      <c r="AA11" s="200">
        <v>3.8049688390938925E-2</v>
      </c>
      <c r="AB11" s="200">
        <v>3.4763592667698795E-2</v>
      </c>
      <c r="AC11" s="200">
        <v>3.2192163465595128E-2</v>
      </c>
      <c r="AD11" s="200">
        <v>3.0171707651981999E-2</v>
      </c>
      <c r="AE11" s="200">
        <v>2.8578920607984174E-2</v>
      </c>
      <c r="AF11" s="200">
        <v>2.7301656150696973E-2</v>
      </c>
    </row>
    <row r="12" spans="1:32" s="221" customFormat="1" ht="14.45" x14ac:dyDescent="0.35">
      <c r="A12" s="550"/>
      <c r="B12" s="550" t="s">
        <v>29</v>
      </c>
      <c r="C12" s="539"/>
      <c r="D12" s="539"/>
      <c r="E12" s="539"/>
      <c r="F12" s="539"/>
      <c r="G12" s="200">
        <v>0</v>
      </c>
      <c r="H12" s="200">
        <v>3.6037367488748074E-4</v>
      </c>
      <c r="I12" s="200">
        <v>1.0068120811530525E-3</v>
      </c>
      <c r="J12" s="200">
        <v>1.8892402438830638E-3</v>
      </c>
      <c r="K12" s="200">
        <v>3.3511050405869206E-3</v>
      </c>
      <c r="L12" s="200">
        <v>5.7264769789820225E-3</v>
      </c>
      <c r="M12" s="200">
        <v>9.1885826827325587E-3</v>
      </c>
      <c r="N12" s="200">
        <v>1.3428040774910872E-2</v>
      </c>
      <c r="O12" s="200">
        <v>1.8457743193852544E-2</v>
      </c>
      <c r="P12" s="200">
        <v>2.3932532319473586E-2</v>
      </c>
      <c r="Q12" s="200">
        <v>2.9590654010188733E-2</v>
      </c>
      <c r="R12" s="200">
        <v>3.528044536530528E-2</v>
      </c>
      <c r="S12" s="200">
        <v>4.0779853918891155E-2</v>
      </c>
      <c r="T12" s="200">
        <v>4.5855233313642364E-2</v>
      </c>
      <c r="U12" s="200">
        <v>5.0436761866745734E-2</v>
      </c>
      <c r="V12" s="200">
        <v>5.4452284430384065E-2</v>
      </c>
      <c r="W12" s="200">
        <v>5.7831378513676028E-2</v>
      </c>
      <c r="X12" s="200">
        <v>6.0686275684872636E-2</v>
      </c>
      <c r="Y12" s="200">
        <v>6.306172584714323E-2</v>
      </c>
      <c r="Z12" s="200">
        <v>6.4984868531146212E-2</v>
      </c>
      <c r="AA12" s="200">
        <v>6.6476001793256911E-2</v>
      </c>
      <c r="AB12" s="200">
        <v>6.7619973437860623E-2</v>
      </c>
      <c r="AC12" s="200">
        <v>6.8541832628701477E-2</v>
      </c>
      <c r="AD12" s="200">
        <v>6.9336535993399201E-2</v>
      </c>
      <c r="AE12" s="200">
        <v>7.0091224520354156E-2</v>
      </c>
      <c r="AF12" s="200">
        <v>7.0877751256891802E-2</v>
      </c>
    </row>
    <row r="13" spans="1:32" s="221" customFormat="1" ht="14.45" x14ac:dyDescent="0.35">
      <c r="A13" s="550"/>
      <c r="B13" s="550"/>
      <c r="C13" s="539"/>
      <c r="D13" s="539"/>
      <c r="E13" s="539"/>
      <c r="F13" s="539"/>
      <c r="G13" s="200" t="s">
        <v>73</v>
      </c>
      <c r="H13" s="539" t="s">
        <v>73</v>
      </c>
      <c r="I13" s="539" t="s">
        <v>73</v>
      </c>
      <c r="J13" s="539" t="s">
        <v>73</v>
      </c>
      <c r="K13" s="539" t="s">
        <v>73</v>
      </c>
      <c r="L13" s="539" t="s">
        <v>73</v>
      </c>
      <c r="M13" s="539" t="s">
        <v>73</v>
      </c>
      <c r="N13" s="539" t="s">
        <v>73</v>
      </c>
      <c r="O13" s="539" t="s">
        <v>73</v>
      </c>
      <c r="P13" s="539" t="s">
        <v>73</v>
      </c>
      <c r="Q13" s="539" t="s">
        <v>73</v>
      </c>
      <c r="R13" s="539" t="s">
        <v>73</v>
      </c>
      <c r="S13" s="539" t="s">
        <v>73</v>
      </c>
      <c r="T13" s="539" t="s">
        <v>73</v>
      </c>
      <c r="U13" s="539" t="s">
        <v>73</v>
      </c>
      <c r="V13" s="539" t="s">
        <v>73</v>
      </c>
      <c r="W13" s="539" t="s">
        <v>73</v>
      </c>
      <c r="X13" s="539" t="s">
        <v>73</v>
      </c>
      <c r="Y13" s="539" t="s">
        <v>73</v>
      </c>
      <c r="Z13" s="539" t="s">
        <v>73</v>
      </c>
      <c r="AA13" s="539" t="s">
        <v>73</v>
      </c>
      <c r="AB13" s="539" t="s">
        <v>73</v>
      </c>
      <c r="AC13" s="539" t="s">
        <v>73</v>
      </c>
      <c r="AD13" s="539" t="s">
        <v>73</v>
      </c>
      <c r="AE13" s="539" t="s">
        <v>73</v>
      </c>
      <c r="AF13" s="539" t="s">
        <v>73</v>
      </c>
    </row>
    <row r="14" spans="1:32" s="202" customFormat="1" ht="12.95" x14ac:dyDescent="0.3">
      <c r="A14" s="556" t="s">
        <v>32</v>
      </c>
      <c r="B14" s="556"/>
      <c r="C14" s="556"/>
      <c r="D14" s="556"/>
      <c r="E14" s="556"/>
      <c r="F14" s="556"/>
      <c r="G14" s="241" t="s">
        <v>73</v>
      </c>
      <c r="H14" s="556" t="s">
        <v>73</v>
      </c>
      <c r="I14" s="556" t="s">
        <v>73</v>
      </c>
      <c r="J14" s="556" t="s">
        <v>73</v>
      </c>
      <c r="K14" s="556" t="s">
        <v>73</v>
      </c>
      <c r="L14" s="556" t="s">
        <v>73</v>
      </c>
      <c r="M14" s="556" t="s">
        <v>73</v>
      </c>
      <c r="N14" s="556" t="s">
        <v>73</v>
      </c>
      <c r="O14" s="556" t="s">
        <v>73</v>
      </c>
      <c r="P14" s="556" t="s">
        <v>73</v>
      </c>
      <c r="Q14" s="556" t="s">
        <v>73</v>
      </c>
      <c r="R14" s="556" t="s">
        <v>73</v>
      </c>
      <c r="S14" s="556" t="s">
        <v>73</v>
      </c>
      <c r="T14" s="556" t="s">
        <v>73</v>
      </c>
      <c r="U14" s="556" t="s">
        <v>73</v>
      </c>
      <c r="V14" s="556" t="s">
        <v>73</v>
      </c>
      <c r="W14" s="556" t="s">
        <v>73</v>
      </c>
      <c r="X14" s="556" t="s">
        <v>73</v>
      </c>
      <c r="Y14" s="556" t="s">
        <v>73</v>
      </c>
      <c r="Z14" s="556" t="s">
        <v>73</v>
      </c>
      <c r="AA14" s="556" t="s">
        <v>73</v>
      </c>
      <c r="AB14" s="556" t="s">
        <v>73</v>
      </c>
      <c r="AC14" s="556" t="s">
        <v>73</v>
      </c>
      <c r="AD14" s="556" t="s">
        <v>73</v>
      </c>
      <c r="AE14" s="556" t="s">
        <v>73</v>
      </c>
      <c r="AF14" s="556" t="s">
        <v>73</v>
      </c>
    </row>
    <row r="15" spans="1:32" s="221" customFormat="1" ht="14.45" x14ac:dyDescent="0.35">
      <c r="A15" s="550"/>
      <c r="B15" s="550" t="s">
        <v>33</v>
      </c>
      <c r="C15" s="539"/>
      <c r="D15" s="539"/>
      <c r="E15" s="539"/>
      <c r="F15" s="539"/>
      <c r="G15" s="200">
        <v>0.31945171451147941</v>
      </c>
      <c r="H15" s="200">
        <v>0.24804618097215866</v>
      </c>
      <c r="I15" s="200">
        <v>0.27188796001688026</v>
      </c>
      <c r="J15" s="200">
        <v>0.28242828521842861</v>
      </c>
      <c r="K15" s="200">
        <v>0.2758354077365931</v>
      </c>
      <c r="L15" s="200">
        <v>0.24407528958513852</v>
      </c>
      <c r="M15" s="200">
        <v>0.20304003051912642</v>
      </c>
      <c r="N15" s="200">
        <v>0.16273416638240129</v>
      </c>
      <c r="O15" s="200">
        <v>0.12584464588283353</v>
      </c>
      <c r="P15" s="200">
        <v>9.5384589990924709E-2</v>
      </c>
      <c r="Q15" s="200">
        <v>7.1018387145138279E-2</v>
      </c>
      <c r="R15" s="200">
        <v>5.2121934618391985E-2</v>
      </c>
      <c r="S15" s="200">
        <v>3.8675522589820092E-2</v>
      </c>
      <c r="T15" s="200">
        <v>2.9062452230159273E-2</v>
      </c>
      <c r="U15" s="200">
        <v>2.2346727048372563E-2</v>
      </c>
      <c r="V15" s="200">
        <v>1.7610349059107574E-2</v>
      </c>
      <c r="W15" s="200">
        <v>1.4206813908754343E-2</v>
      </c>
      <c r="X15" s="200">
        <v>1.1702400107356872E-2</v>
      </c>
      <c r="Y15" s="200">
        <v>9.8348309324367018E-3</v>
      </c>
      <c r="Z15" s="200">
        <v>8.4484049169755368E-3</v>
      </c>
      <c r="AA15" s="200">
        <v>7.3798417647924358E-3</v>
      </c>
      <c r="AB15" s="200">
        <v>6.5091648021601027E-3</v>
      </c>
      <c r="AC15" s="200">
        <v>5.8111281651260201E-3</v>
      </c>
      <c r="AD15" s="200">
        <v>5.2321225041709876E-3</v>
      </c>
      <c r="AE15" s="200">
        <v>4.7241845123567761E-3</v>
      </c>
      <c r="AF15" s="200">
        <v>4.2075951963072332E-3</v>
      </c>
    </row>
    <row r="16" spans="1:32" s="221" customFormat="1" ht="14.45" x14ac:dyDescent="0.35">
      <c r="A16" s="552"/>
      <c r="B16" s="552" t="s">
        <v>34</v>
      </c>
      <c r="C16" s="539"/>
      <c r="D16" s="539"/>
      <c r="E16" s="539"/>
      <c r="F16" s="539"/>
      <c r="G16" s="200">
        <v>0.31545011671262307</v>
      </c>
      <c r="H16" s="200">
        <v>0.41199986865213378</v>
      </c>
      <c r="I16" s="200">
        <v>0.39743360319091275</v>
      </c>
      <c r="J16" s="200">
        <v>0.35269214830337214</v>
      </c>
      <c r="K16" s="200">
        <v>0.29932412052556978</v>
      </c>
      <c r="L16" s="200">
        <v>0.26183485397199313</v>
      </c>
      <c r="M16" s="200">
        <v>0.22749703095903723</v>
      </c>
      <c r="N16" s="200">
        <v>0.18933773239525306</v>
      </c>
      <c r="O16" s="200">
        <v>0.15189930134670737</v>
      </c>
      <c r="P16" s="200">
        <v>0.1187092770147558</v>
      </c>
      <c r="Q16" s="200">
        <v>9.1793647214314614E-2</v>
      </c>
      <c r="R16" s="200">
        <v>7.0483536068274968E-2</v>
      </c>
      <c r="S16" s="200">
        <v>5.4716722006115964E-2</v>
      </c>
      <c r="T16" s="200">
        <v>4.3077121273809943E-2</v>
      </c>
      <c r="U16" s="200">
        <v>3.4748949458588765E-2</v>
      </c>
      <c r="V16" s="200">
        <v>2.8638992987701284E-2</v>
      </c>
      <c r="W16" s="200">
        <v>2.4176177493898398E-2</v>
      </c>
      <c r="X16" s="200">
        <v>2.089318586677338E-2</v>
      </c>
      <c r="Y16" s="200">
        <v>1.845330399905587E-2</v>
      </c>
      <c r="Z16" s="200">
        <v>1.6628843218557666E-2</v>
      </c>
      <c r="AA16" s="200">
        <v>1.5206760518363185E-2</v>
      </c>
      <c r="AB16" s="200">
        <v>1.4084242771768481E-2</v>
      </c>
      <c r="AC16" s="200">
        <v>1.320647076355393E-2</v>
      </c>
      <c r="AD16" s="200">
        <v>1.2500946443398719E-2</v>
      </c>
      <c r="AE16" s="200">
        <v>1.1894596277849218E-2</v>
      </c>
      <c r="AF16" s="200">
        <v>1.1285544628437703E-2</v>
      </c>
    </row>
    <row r="17" spans="1:32" s="221" customFormat="1" ht="14.45" x14ac:dyDescent="0.35">
      <c r="A17" s="550"/>
      <c r="B17" s="552" t="s">
        <v>35</v>
      </c>
      <c r="C17" s="539"/>
      <c r="D17" s="539"/>
      <c r="E17" s="539"/>
      <c r="F17" s="539"/>
      <c r="G17" s="200">
        <v>9.3893711822017764E-2</v>
      </c>
      <c r="H17" s="200">
        <v>8.0468058657324662E-2</v>
      </c>
      <c r="I17" s="200">
        <v>7.4134187156068232E-2</v>
      </c>
      <c r="J17" s="200">
        <v>7.1615905590392687E-2</v>
      </c>
      <c r="K17" s="200">
        <v>7.0870956019911294E-2</v>
      </c>
      <c r="L17" s="200">
        <v>6.7875641624355679E-2</v>
      </c>
      <c r="M17" s="200">
        <v>6.3423551171753273E-2</v>
      </c>
      <c r="N17" s="200">
        <v>5.7387220967127679E-2</v>
      </c>
      <c r="O17" s="200">
        <v>5.0275608431148693E-2</v>
      </c>
      <c r="P17" s="200">
        <v>4.2753950784374765E-2</v>
      </c>
      <c r="Q17" s="200">
        <v>3.5611541375807645E-2</v>
      </c>
      <c r="R17" s="200">
        <v>2.9238011977841337E-2</v>
      </c>
      <c r="S17" s="200">
        <v>2.3834234298883133E-2</v>
      </c>
      <c r="T17" s="200">
        <v>1.9405937742904385E-2</v>
      </c>
      <c r="U17" s="200">
        <v>1.5891365002283601E-2</v>
      </c>
      <c r="V17" s="200">
        <v>1.3134778038530736E-2</v>
      </c>
      <c r="W17" s="200">
        <v>1.1004598968559322E-2</v>
      </c>
      <c r="X17" s="200">
        <v>9.3794904414815673E-3</v>
      </c>
      <c r="Y17" s="200">
        <v>8.1504283955840581E-3</v>
      </c>
      <c r="Z17" s="200">
        <v>7.223742576207364E-3</v>
      </c>
      <c r="AA17" s="200">
        <v>6.52006135110116E-3</v>
      </c>
      <c r="AB17" s="200">
        <v>5.9885718112353808E-3</v>
      </c>
      <c r="AC17" s="200">
        <v>5.5894099173411579E-3</v>
      </c>
      <c r="AD17" s="200">
        <v>5.2912715085407366E-3</v>
      </c>
      <c r="AE17" s="200">
        <v>5.0674236983055286E-3</v>
      </c>
      <c r="AF17" s="200">
        <v>4.8963105694628476E-3</v>
      </c>
    </row>
    <row r="18" spans="1:32" s="221" customFormat="1" ht="14.45" x14ac:dyDescent="0.35">
      <c r="A18" s="550"/>
      <c r="B18" s="552" t="s">
        <v>29</v>
      </c>
      <c r="C18" s="539"/>
      <c r="D18" s="539"/>
      <c r="E18" s="539"/>
      <c r="F18" s="539"/>
      <c r="G18" s="200">
        <v>0</v>
      </c>
      <c r="H18" s="200">
        <v>1.0114772919769155E-3</v>
      </c>
      <c r="I18" s="200">
        <v>4.1963412877122075E-3</v>
      </c>
      <c r="J18" s="200">
        <v>1.0037266099810753E-2</v>
      </c>
      <c r="K18" s="200">
        <v>1.8135167262492639E-2</v>
      </c>
      <c r="L18" s="200">
        <v>2.7286024480516403E-2</v>
      </c>
      <c r="M18" s="200">
        <v>3.6900787643398283E-2</v>
      </c>
      <c r="N18" s="200">
        <v>4.6136102782448146E-2</v>
      </c>
      <c r="O18" s="200">
        <v>5.4505830015646184E-2</v>
      </c>
      <c r="P18" s="200">
        <v>6.1375129814421489E-2</v>
      </c>
      <c r="Q18" s="200">
        <v>6.6711745899248442E-2</v>
      </c>
      <c r="R18" s="200">
        <v>7.0932358672427545E-2</v>
      </c>
      <c r="S18" s="200">
        <v>7.4071281844341849E-2</v>
      </c>
      <c r="T18" s="200">
        <v>7.6430333204675932E-2</v>
      </c>
      <c r="U18" s="200">
        <v>7.8173458116528802E-2</v>
      </c>
      <c r="V18" s="200">
        <v>7.9409554617634548E-2</v>
      </c>
      <c r="W18" s="200">
        <v>8.0061385998321008E-2</v>
      </c>
      <c r="X18" s="200">
        <v>8.0202556783530513E-2</v>
      </c>
      <c r="Y18" s="200">
        <v>7.9948122667695368E-2</v>
      </c>
      <c r="Z18" s="200">
        <v>7.9490822720952301E-2</v>
      </c>
      <c r="AA18" s="200">
        <v>7.8979424238908608E-2</v>
      </c>
      <c r="AB18" s="200">
        <v>7.8578768710172844E-2</v>
      </c>
      <c r="AC18" s="200">
        <v>7.8393691884597161E-2</v>
      </c>
      <c r="AD18" s="200">
        <v>7.8470338917029897E-2</v>
      </c>
      <c r="AE18" s="200">
        <v>7.8810167511743023E-2</v>
      </c>
      <c r="AF18" s="200">
        <v>7.929909333624699E-2</v>
      </c>
    </row>
    <row r="19" spans="1:32" s="221" customFormat="1" ht="14.45" x14ac:dyDescent="0.35">
      <c r="A19" s="550"/>
      <c r="B19" s="550"/>
      <c r="C19" s="539"/>
      <c r="D19" s="539"/>
      <c r="E19" s="539"/>
      <c r="F19" s="539"/>
      <c r="G19" s="200" t="s">
        <v>73</v>
      </c>
      <c r="H19" s="539" t="s">
        <v>73</v>
      </c>
      <c r="I19" s="539" t="s">
        <v>73</v>
      </c>
      <c r="J19" s="539" t="s">
        <v>73</v>
      </c>
      <c r="K19" s="539" t="s">
        <v>73</v>
      </c>
      <c r="L19" s="539" t="s">
        <v>73</v>
      </c>
      <c r="M19" s="539" t="s">
        <v>73</v>
      </c>
      <c r="N19" s="539" t="s">
        <v>73</v>
      </c>
      <c r="O19" s="539" t="s">
        <v>73</v>
      </c>
      <c r="P19" s="539" t="s">
        <v>73</v>
      </c>
      <c r="Q19" s="539" t="s">
        <v>73</v>
      </c>
      <c r="R19" s="539" t="s">
        <v>73</v>
      </c>
      <c r="S19" s="539" t="s">
        <v>73</v>
      </c>
      <c r="T19" s="539" t="s">
        <v>73</v>
      </c>
      <c r="U19" s="539" t="s">
        <v>73</v>
      </c>
      <c r="V19" s="539" t="s">
        <v>73</v>
      </c>
      <c r="W19" s="539" t="s">
        <v>73</v>
      </c>
      <c r="X19" s="539" t="s">
        <v>73</v>
      </c>
      <c r="Y19" s="539" t="s">
        <v>73</v>
      </c>
      <c r="Z19" s="539" t="s">
        <v>73</v>
      </c>
      <c r="AA19" s="539" t="s">
        <v>73</v>
      </c>
      <c r="AB19" s="539" t="s">
        <v>73</v>
      </c>
      <c r="AC19" s="539" t="s">
        <v>73</v>
      </c>
      <c r="AD19" s="539" t="s">
        <v>73</v>
      </c>
      <c r="AE19" s="539" t="s">
        <v>73</v>
      </c>
      <c r="AF19" s="539" t="s">
        <v>73</v>
      </c>
    </row>
    <row r="20" spans="1:32" s="202" customFormat="1" ht="12.95" x14ac:dyDescent="0.3">
      <c r="A20" s="556" t="s">
        <v>36</v>
      </c>
      <c r="B20" s="556"/>
      <c r="C20" s="556"/>
      <c r="D20" s="556"/>
      <c r="E20" s="556"/>
      <c r="F20" s="556"/>
      <c r="G20" s="241" t="s">
        <v>73</v>
      </c>
      <c r="H20" s="556" t="s">
        <v>73</v>
      </c>
      <c r="I20" s="556" t="s">
        <v>73</v>
      </c>
      <c r="J20" s="556" t="s">
        <v>73</v>
      </c>
      <c r="K20" s="556" t="s">
        <v>73</v>
      </c>
      <c r="L20" s="556" t="s">
        <v>73</v>
      </c>
      <c r="M20" s="556" t="s">
        <v>73</v>
      </c>
      <c r="N20" s="556" t="s">
        <v>73</v>
      </c>
      <c r="O20" s="556" t="s">
        <v>73</v>
      </c>
      <c r="P20" s="556" t="s">
        <v>73</v>
      </c>
      <c r="Q20" s="556" t="s">
        <v>73</v>
      </c>
      <c r="R20" s="556" t="s">
        <v>73</v>
      </c>
      <c r="S20" s="556" t="s">
        <v>73</v>
      </c>
      <c r="T20" s="556" t="s">
        <v>73</v>
      </c>
      <c r="U20" s="556" t="s">
        <v>73</v>
      </c>
      <c r="V20" s="556" t="s">
        <v>73</v>
      </c>
      <c r="W20" s="556" t="s">
        <v>73</v>
      </c>
      <c r="X20" s="556" t="s">
        <v>73</v>
      </c>
      <c r="Y20" s="556" t="s">
        <v>73</v>
      </c>
      <c r="Z20" s="556" t="s">
        <v>73</v>
      </c>
      <c r="AA20" s="556" t="s">
        <v>73</v>
      </c>
      <c r="AB20" s="556" t="s">
        <v>73</v>
      </c>
      <c r="AC20" s="556" t="s">
        <v>73</v>
      </c>
      <c r="AD20" s="556" t="s">
        <v>73</v>
      </c>
      <c r="AE20" s="556" t="s">
        <v>73</v>
      </c>
      <c r="AF20" s="556" t="s">
        <v>73</v>
      </c>
    </row>
    <row r="21" spans="1:32" s="221" customFormat="1" ht="14.45" x14ac:dyDescent="0.35">
      <c r="A21" s="550"/>
      <c r="B21" s="550" t="s">
        <v>37</v>
      </c>
      <c r="C21" s="539"/>
      <c r="D21" s="539"/>
      <c r="E21" s="539"/>
      <c r="F21" s="201"/>
      <c r="G21" s="200">
        <v>3.1698890093633176</v>
      </c>
      <c r="H21" s="200">
        <v>2.7534042952318032</v>
      </c>
      <c r="I21" s="200">
        <v>2.254210615207263</v>
      </c>
      <c r="J21" s="200">
        <v>1.7293794097953845</v>
      </c>
      <c r="K21" s="200">
        <v>1.2340782847965475</v>
      </c>
      <c r="L21" s="200">
        <v>0.8815128040602338</v>
      </c>
      <c r="M21" s="200">
        <v>0.62982896560155921</v>
      </c>
      <c r="N21" s="200">
        <v>0.45003073984591652</v>
      </c>
      <c r="O21" s="200">
        <v>0.3220351301581223</v>
      </c>
      <c r="P21" s="200">
        <v>0.23078200401799626</v>
      </c>
      <c r="Q21" s="200">
        <v>0.16563213454500711</v>
      </c>
      <c r="R21" s="200">
        <v>0.1190507741438297</v>
      </c>
      <c r="S21" s="200">
        <v>8.5700943004177355E-2</v>
      </c>
      <c r="T21" s="200">
        <v>6.179172853897389E-2</v>
      </c>
      <c r="U21" s="200">
        <v>4.4627857446584866E-2</v>
      </c>
      <c r="V21" s="200">
        <v>3.2322355946044608E-2</v>
      </c>
      <c r="W21" s="200">
        <v>2.3476917906658477E-2</v>
      </c>
      <c r="X21" s="200">
        <v>1.7088647603467448E-2</v>
      </c>
      <c r="Y21" s="200">
        <v>1.2479294235013004E-2</v>
      </c>
      <c r="Z21" s="200">
        <v>9.1456084265483066E-3</v>
      </c>
      <c r="AA21" s="200">
        <v>6.7243192087332549E-3</v>
      </c>
      <c r="AB21" s="200">
        <v>4.9663861592058375E-3</v>
      </c>
      <c r="AC21" s="200">
        <v>3.6870660629203461E-3</v>
      </c>
      <c r="AD21" s="200">
        <v>2.7520978341838858E-3</v>
      </c>
      <c r="AE21" s="200">
        <v>2.068523550152072E-3</v>
      </c>
      <c r="AF21" s="200">
        <v>1.5657958782492353E-3</v>
      </c>
    </row>
    <row r="22" spans="1:32" s="221" customFormat="1" ht="14.45" x14ac:dyDescent="0.35">
      <c r="A22" s="550"/>
      <c r="B22" s="550" t="s">
        <v>39</v>
      </c>
      <c r="C22" s="539"/>
      <c r="D22" s="539"/>
      <c r="E22" s="203"/>
      <c r="F22" s="539"/>
      <c r="G22" s="200">
        <v>5.4653301806186718</v>
      </c>
      <c r="H22" s="200">
        <v>5.69167285066397</v>
      </c>
      <c r="I22" s="200">
        <v>5.9404778224507853</v>
      </c>
      <c r="J22" s="200">
        <v>6.1545037419346054</v>
      </c>
      <c r="K22" s="200">
        <v>6.2956446705977394</v>
      </c>
      <c r="L22" s="200">
        <v>6.3093820300180212</v>
      </c>
      <c r="M22" s="200">
        <v>6.2231818107485486</v>
      </c>
      <c r="N22" s="200">
        <v>6.0765367180733252</v>
      </c>
      <c r="O22" s="200">
        <v>5.8815730790387324</v>
      </c>
      <c r="P22" s="200">
        <v>5.6568487529179832</v>
      </c>
      <c r="Q22" s="200">
        <v>5.414554951344841</v>
      </c>
      <c r="R22" s="200">
        <v>5.1560093757086793</v>
      </c>
      <c r="S22" s="200">
        <v>4.8899223365512956</v>
      </c>
      <c r="T22" s="200">
        <v>4.6217603342519542</v>
      </c>
      <c r="U22" s="200">
        <v>4.3595502460282987</v>
      </c>
      <c r="V22" s="200">
        <v>4.1082776407368247</v>
      </c>
      <c r="W22" s="200">
        <v>3.8695090753361567</v>
      </c>
      <c r="X22" s="200">
        <v>3.644193362490324</v>
      </c>
      <c r="Y22" s="200">
        <v>3.434794889009499</v>
      </c>
      <c r="Z22" s="200">
        <v>3.241046166203144</v>
      </c>
      <c r="AA22" s="200">
        <v>3.0615112709694654</v>
      </c>
      <c r="AB22" s="200">
        <v>2.8966877711411261</v>
      </c>
      <c r="AC22" s="200">
        <v>2.745993400300057</v>
      </c>
      <c r="AD22" s="200">
        <v>2.6075039377275377</v>
      </c>
      <c r="AE22" s="200">
        <v>2.4811951486468473</v>
      </c>
      <c r="AF22" s="200">
        <v>2.3642685250567621</v>
      </c>
    </row>
    <row r="23" spans="1:32" s="221" customFormat="1" ht="14.45" x14ac:dyDescent="0.35">
      <c r="A23" s="550"/>
      <c r="B23" s="550" t="s">
        <v>40</v>
      </c>
      <c r="C23" s="539"/>
      <c r="D23" s="539"/>
      <c r="E23" s="539"/>
      <c r="F23" s="539"/>
      <c r="G23" s="200">
        <v>0.61628537207279677</v>
      </c>
      <c r="H23" s="200">
        <v>0.73736548155514403</v>
      </c>
      <c r="I23" s="200">
        <v>0.90878760326537567</v>
      </c>
      <c r="J23" s="200">
        <v>1.1199366766217396</v>
      </c>
      <c r="K23" s="200">
        <v>1.3653283676528307</v>
      </c>
      <c r="L23" s="200">
        <v>1.6061298233273618</v>
      </c>
      <c r="M23" s="200">
        <v>1.8341950982000528</v>
      </c>
      <c r="N23" s="200">
        <v>2.0352253072356667</v>
      </c>
      <c r="O23" s="200">
        <v>2.2127655595514053</v>
      </c>
      <c r="P23" s="200">
        <v>2.360762898106612</v>
      </c>
      <c r="Q23" s="200">
        <v>2.4786424180629463</v>
      </c>
      <c r="R23" s="200">
        <v>2.5627585402031889</v>
      </c>
      <c r="S23" s="200">
        <v>2.6157174593781725</v>
      </c>
      <c r="T23" s="200">
        <v>2.6400650642463801</v>
      </c>
      <c r="U23" s="200">
        <v>2.6403871217267674</v>
      </c>
      <c r="V23" s="200">
        <v>2.6210123969798431</v>
      </c>
      <c r="W23" s="200">
        <v>2.5861623727669198</v>
      </c>
      <c r="X23" s="200">
        <v>2.540707448330326</v>
      </c>
      <c r="Y23" s="200">
        <v>2.4887969588771113</v>
      </c>
      <c r="Z23" s="200">
        <v>2.4328212912249469</v>
      </c>
      <c r="AA23" s="200">
        <v>2.3743024139369751</v>
      </c>
      <c r="AB23" s="200">
        <v>2.3153895175200763</v>
      </c>
      <c r="AC23" s="200">
        <v>2.2575340416114891</v>
      </c>
      <c r="AD23" s="200">
        <v>2.2008902364954714</v>
      </c>
      <c r="AE23" s="200">
        <v>2.1465948653884088</v>
      </c>
      <c r="AF23" s="200">
        <v>2.0935843400232232</v>
      </c>
    </row>
    <row r="24" spans="1:32" s="221" customFormat="1" ht="14.45" x14ac:dyDescent="0.35">
      <c r="A24" s="550"/>
      <c r="B24" s="550" t="s">
        <v>29</v>
      </c>
      <c r="C24" s="539"/>
      <c r="D24" s="539"/>
      <c r="E24" s="539"/>
      <c r="F24" s="539"/>
      <c r="G24" s="200">
        <v>0</v>
      </c>
      <c r="H24" s="200">
        <v>3.8028725491886167E-5</v>
      </c>
      <c r="I24" s="200">
        <v>6.4335860326210359E-4</v>
      </c>
      <c r="J24" s="200">
        <v>3.4767973839209625E-3</v>
      </c>
      <c r="K24" s="200">
        <v>1.1135012143230011E-2</v>
      </c>
      <c r="L24" s="200">
        <v>2.6400406529909184E-2</v>
      </c>
      <c r="M24" s="200">
        <v>5.1776225734454964E-2</v>
      </c>
      <c r="N24" s="200">
        <v>8.8964365489164032E-2</v>
      </c>
      <c r="O24" s="200">
        <v>0.13928927154245138</v>
      </c>
      <c r="P24" s="200">
        <v>0.20142593717816265</v>
      </c>
      <c r="Q24" s="200">
        <v>0.27544154752998851</v>
      </c>
      <c r="R24" s="200">
        <v>0.36092615156282165</v>
      </c>
      <c r="S24" s="200">
        <v>0.4561546041716556</v>
      </c>
      <c r="T24" s="200">
        <v>0.55966914020022274</v>
      </c>
      <c r="U24" s="200">
        <v>0.66920686172366217</v>
      </c>
      <c r="V24" s="200">
        <v>0.78194691255716708</v>
      </c>
      <c r="W24" s="200">
        <v>0.89478951415226071</v>
      </c>
      <c r="X24" s="200">
        <v>1.0083198874277919</v>
      </c>
      <c r="Y24" s="200">
        <v>1.1202485924152301</v>
      </c>
      <c r="Z24" s="200">
        <v>1.228505523313959</v>
      </c>
      <c r="AA24" s="200">
        <v>1.3321520689729356</v>
      </c>
      <c r="AB24" s="200">
        <v>1.4309021324230664</v>
      </c>
      <c r="AC24" s="200">
        <v>1.5251739858051494</v>
      </c>
      <c r="AD24" s="200">
        <v>1.6160184453161752</v>
      </c>
      <c r="AE24" s="200">
        <v>1.7033349497104244</v>
      </c>
      <c r="AF24" s="200">
        <v>1.7878013250225717</v>
      </c>
    </row>
    <row r="25" spans="1:32" s="221" customFormat="1" ht="14.45" x14ac:dyDescent="0.35">
      <c r="A25" s="550"/>
      <c r="B25" s="550"/>
      <c r="C25" s="539"/>
      <c r="D25" s="539"/>
      <c r="E25" s="539"/>
      <c r="F25" s="539"/>
      <c r="G25" s="200" t="s">
        <v>73</v>
      </c>
      <c r="H25" s="539" t="s">
        <v>73</v>
      </c>
      <c r="I25" s="539" t="s">
        <v>73</v>
      </c>
      <c r="J25" s="539" t="s">
        <v>73</v>
      </c>
      <c r="K25" s="539" t="s">
        <v>73</v>
      </c>
      <c r="L25" s="539" t="s">
        <v>73</v>
      </c>
      <c r="M25" s="539" t="s">
        <v>73</v>
      </c>
      <c r="N25" s="539" t="s">
        <v>73</v>
      </c>
      <c r="O25" s="539" t="s">
        <v>73</v>
      </c>
      <c r="P25" s="539" t="s">
        <v>73</v>
      </c>
      <c r="Q25" s="539" t="s">
        <v>73</v>
      </c>
      <c r="R25" s="539" t="s">
        <v>73</v>
      </c>
      <c r="S25" s="539" t="s">
        <v>73</v>
      </c>
      <c r="T25" s="539" t="s">
        <v>73</v>
      </c>
      <c r="U25" s="539" t="s">
        <v>73</v>
      </c>
      <c r="V25" s="539" t="s">
        <v>73</v>
      </c>
      <c r="W25" s="539" t="s">
        <v>73</v>
      </c>
      <c r="X25" s="539" t="s">
        <v>73</v>
      </c>
      <c r="Y25" s="539" t="s">
        <v>73</v>
      </c>
      <c r="Z25" s="539" t="s">
        <v>73</v>
      </c>
      <c r="AA25" s="539" t="s">
        <v>73</v>
      </c>
      <c r="AB25" s="539" t="s">
        <v>73</v>
      </c>
      <c r="AC25" s="539" t="s">
        <v>73</v>
      </c>
      <c r="AD25" s="539" t="s">
        <v>73</v>
      </c>
      <c r="AE25" s="539" t="s">
        <v>73</v>
      </c>
      <c r="AF25" s="539" t="s">
        <v>73</v>
      </c>
    </row>
    <row r="26" spans="1:32" s="202" customFormat="1" ht="12.95" x14ac:dyDescent="0.3">
      <c r="A26" s="556" t="s">
        <v>42</v>
      </c>
      <c r="B26" s="556"/>
      <c r="C26" s="556"/>
      <c r="D26" s="556"/>
      <c r="E26" s="556"/>
      <c r="F26" s="556"/>
      <c r="G26" s="241" t="s">
        <v>73</v>
      </c>
      <c r="H26" s="556" t="s">
        <v>73</v>
      </c>
      <c r="I26" s="556" t="s">
        <v>73</v>
      </c>
      <c r="J26" s="556" t="s">
        <v>73</v>
      </c>
      <c r="K26" s="556" t="s">
        <v>73</v>
      </c>
      <c r="L26" s="556" t="s">
        <v>73</v>
      </c>
      <c r="M26" s="556" t="s">
        <v>73</v>
      </c>
      <c r="N26" s="556" t="s">
        <v>73</v>
      </c>
      <c r="O26" s="556" t="s">
        <v>73</v>
      </c>
      <c r="P26" s="556" t="s">
        <v>73</v>
      </c>
      <c r="Q26" s="556" t="s">
        <v>73</v>
      </c>
      <c r="R26" s="556" t="s">
        <v>73</v>
      </c>
      <c r="S26" s="556" t="s">
        <v>73</v>
      </c>
      <c r="T26" s="556" t="s">
        <v>73</v>
      </c>
      <c r="U26" s="556" t="s">
        <v>73</v>
      </c>
      <c r="V26" s="556" t="s">
        <v>73</v>
      </c>
      <c r="W26" s="556" t="s">
        <v>73</v>
      </c>
      <c r="X26" s="556" t="s">
        <v>73</v>
      </c>
      <c r="Y26" s="556" t="s">
        <v>73</v>
      </c>
      <c r="Z26" s="556" t="s">
        <v>73</v>
      </c>
      <c r="AA26" s="556" t="s">
        <v>73</v>
      </c>
      <c r="AB26" s="556" t="s">
        <v>73</v>
      </c>
      <c r="AC26" s="556" t="s">
        <v>73</v>
      </c>
      <c r="AD26" s="556" t="s">
        <v>73</v>
      </c>
      <c r="AE26" s="556" t="s">
        <v>73</v>
      </c>
      <c r="AF26" s="556" t="s">
        <v>73</v>
      </c>
    </row>
    <row r="27" spans="1:32" s="221" customFormat="1" ht="14.45" x14ac:dyDescent="0.35">
      <c r="A27" s="550"/>
      <c r="B27" s="552" t="s">
        <v>43</v>
      </c>
      <c r="C27" s="539"/>
      <c r="D27" s="539"/>
      <c r="E27" s="539"/>
      <c r="F27" s="539"/>
      <c r="G27" s="200">
        <v>5.8610202272146819E-2</v>
      </c>
      <c r="H27" s="200">
        <v>5.1838558457329209E-2</v>
      </c>
      <c r="I27" s="200">
        <v>4.5946553131674769E-2</v>
      </c>
      <c r="J27" s="200">
        <v>4.0790456805205239E-2</v>
      </c>
      <c r="K27" s="200">
        <v>3.6245616304485896E-2</v>
      </c>
      <c r="L27" s="200">
        <v>3.2233791668725698E-2</v>
      </c>
      <c r="M27" s="200">
        <v>2.8666033918114668E-2</v>
      </c>
      <c r="N27" s="200">
        <v>2.5495139591595196E-2</v>
      </c>
      <c r="O27" s="200">
        <v>2.2677638383432099E-2</v>
      </c>
      <c r="P27" s="200">
        <v>2.0173769392252849E-2</v>
      </c>
      <c r="Q27" s="200">
        <v>1.7946750939935988E-2</v>
      </c>
      <c r="R27" s="200">
        <v>1.5962598337386023E-2</v>
      </c>
      <c r="S27" s="200">
        <v>1.4196654430773148E-2</v>
      </c>
      <c r="T27" s="200">
        <v>1.2625279834753799E-2</v>
      </c>
      <c r="U27" s="200">
        <v>1.122785827128721E-2</v>
      </c>
      <c r="V27" s="200">
        <v>9.9862223115550486E-3</v>
      </c>
      <c r="W27" s="200">
        <v>8.8829626609589658E-3</v>
      </c>
      <c r="X27" s="200">
        <v>7.9033063662442005E-3</v>
      </c>
      <c r="Y27" s="200">
        <v>7.0332725433928864E-3</v>
      </c>
      <c r="Z27" s="200">
        <v>6.2607160241023975E-3</v>
      </c>
      <c r="AA27" s="200">
        <v>5.5749158012114684E-3</v>
      </c>
      <c r="AB27" s="200">
        <v>4.9672770378919187E-3</v>
      </c>
      <c r="AC27" s="200">
        <v>4.4286489730466635E-3</v>
      </c>
      <c r="AD27" s="200">
        <v>3.9497104104813984E-3</v>
      </c>
      <c r="AE27" s="200">
        <v>3.5246316751734027E-3</v>
      </c>
      <c r="AF27" s="200">
        <v>3.1464956719036482E-3</v>
      </c>
    </row>
    <row r="28" spans="1:32" s="221" customFormat="1" ht="14.45" x14ac:dyDescent="0.35">
      <c r="A28" s="550"/>
      <c r="B28" s="552" t="s">
        <v>44</v>
      </c>
      <c r="C28" s="539"/>
      <c r="D28" s="539"/>
      <c r="E28" s="539"/>
      <c r="F28" s="539"/>
      <c r="G28" s="200">
        <v>1.7248347060573332</v>
      </c>
      <c r="H28" s="200">
        <v>1.7521929617842567</v>
      </c>
      <c r="I28" s="200">
        <v>1.7949716664665589</v>
      </c>
      <c r="J28" s="200">
        <v>1.8293114459254098</v>
      </c>
      <c r="K28" s="200">
        <v>1.848930252186173</v>
      </c>
      <c r="L28" s="200">
        <v>1.8513061506787765</v>
      </c>
      <c r="M28" s="200">
        <v>1.833517172279054</v>
      </c>
      <c r="N28" s="200">
        <v>1.7922466808315807</v>
      </c>
      <c r="O28" s="200">
        <v>1.737668018650472</v>
      </c>
      <c r="P28" s="200">
        <v>1.6714426297132978</v>
      </c>
      <c r="Q28" s="200">
        <v>1.5970615537378257</v>
      </c>
      <c r="R28" s="200">
        <v>1.5161360660097685</v>
      </c>
      <c r="S28" s="200">
        <v>1.4321749674355877</v>
      </c>
      <c r="T28" s="200">
        <v>1.3472677995550861</v>
      </c>
      <c r="U28" s="200">
        <v>1.263624055863922</v>
      </c>
      <c r="V28" s="200">
        <v>1.1826491362513036</v>
      </c>
      <c r="W28" s="200">
        <v>1.1051603044579108</v>
      </c>
      <c r="X28" s="200">
        <v>1.0323228734853167</v>
      </c>
      <c r="Y28" s="200">
        <v>0.96430394466546165</v>
      </c>
      <c r="Z28" s="200">
        <v>0.90116258172648389</v>
      </c>
      <c r="AA28" s="200">
        <v>0.84290439361224656</v>
      </c>
      <c r="AB28" s="200">
        <v>0.7894089382378352</v>
      </c>
      <c r="AC28" s="200">
        <v>0.74047440405926024</v>
      </c>
      <c r="AD28" s="200">
        <v>0.69818398619233168</v>
      </c>
      <c r="AE28" s="200">
        <v>0.65702880795351937</v>
      </c>
      <c r="AF28" s="200">
        <v>0.61913996303550378</v>
      </c>
    </row>
    <row r="29" spans="1:32" s="221" customFormat="1" ht="14.45" x14ac:dyDescent="0.35">
      <c r="A29" s="550"/>
      <c r="B29" s="552" t="s">
        <v>45</v>
      </c>
      <c r="C29" s="539"/>
      <c r="D29" s="539"/>
      <c r="E29" s="539"/>
      <c r="F29" s="539"/>
      <c r="G29" s="200">
        <v>0.14153717369138527</v>
      </c>
      <c r="H29" s="200">
        <v>0.12624494064818706</v>
      </c>
      <c r="I29" s="200">
        <v>0.11302540285505008</v>
      </c>
      <c r="J29" s="200">
        <v>0.10142605556286481</v>
      </c>
      <c r="K29" s="200">
        <v>9.1198279104456645E-2</v>
      </c>
      <c r="L29" s="200">
        <v>8.2114401838534093E-2</v>
      </c>
      <c r="M29" s="200">
        <v>7.4002457091660048E-2</v>
      </c>
      <c r="N29" s="200">
        <v>6.6731944125221432E-2</v>
      </c>
      <c r="O29" s="200">
        <v>6.0203017322314145E-2</v>
      </c>
      <c r="P29" s="200">
        <v>5.4228125733960193E-2</v>
      </c>
      <c r="Q29" s="200">
        <v>4.8847532549989733E-2</v>
      </c>
      <c r="R29" s="200">
        <v>4.4062480894075655E-2</v>
      </c>
      <c r="S29" s="200">
        <v>3.9682729602235123E-2</v>
      </c>
      <c r="T29" s="200">
        <v>3.5739890942249004E-2</v>
      </c>
      <c r="U29" s="200">
        <v>3.2198336430127796E-2</v>
      </c>
      <c r="V29" s="200">
        <v>2.9020833628386537E-2</v>
      </c>
      <c r="W29" s="200">
        <v>2.6172675989144027E-2</v>
      </c>
      <c r="X29" s="200">
        <v>2.3627560855122173E-2</v>
      </c>
      <c r="Y29" s="200">
        <v>2.1355042956897077E-2</v>
      </c>
      <c r="Z29" s="200">
        <v>1.9327040867000874E-2</v>
      </c>
      <c r="AA29" s="200">
        <v>1.7518647272169896E-2</v>
      </c>
      <c r="AB29" s="200">
        <v>1.5910424520928595E-2</v>
      </c>
      <c r="AC29" s="200">
        <v>1.4480502259773523E-2</v>
      </c>
      <c r="AD29" s="200">
        <v>1.3205203436727504E-2</v>
      </c>
      <c r="AE29" s="200">
        <v>1.2070517408670118E-2</v>
      </c>
      <c r="AF29" s="200">
        <v>1.105845127886621E-2</v>
      </c>
    </row>
    <row r="30" spans="1:32" s="221" customFormat="1" ht="14.45" x14ac:dyDescent="0.35">
      <c r="A30" s="550"/>
      <c r="B30" s="552" t="s">
        <v>46</v>
      </c>
      <c r="C30" s="539"/>
      <c r="D30" s="539"/>
      <c r="E30" s="539"/>
      <c r="F30" s="539"/>
      <c r="G30" s="200">
        <v>1.4295487026834528E-3</v>
      </c>
      <c r="H30" s="200">
        <v>1.2440745124087768E-3</v>
      </c>
      <c r="I30" s="200">
        <v>1.0874752576052714E-3</v>
      </c>
      <c r="J30" s="200">
        <v>9.5115503433135327E-4</v>
      </c>
      <c r="K30" s="200">
        <v>8.3241053780779201E-4</v>
      </c>
      <c r="L30" s="200">
        <v>7.2890926279552354E-4</v>
      </c>
      <c r="M30" s="200">
        <v>6.3863724394294056E-4</v>
      </c>
      <c r="N30" s="200">
        <v>5.5985434997771135E-4</v>
      </c>
      <c r="O30" s="200">
        <v>4.9106010366940908E-4</v>
      </c>
      <c r="P30" s="200">
        <v>4.2882154296522711E-4</v>
      </c>
      <c r="Q30" s="200">
        <v>3.74634034082202E-4</v>
      </c>
      <c r="R30" s="200">
        <v>3.2743322841379804E-4</v>
      </c>
      <c r="S30" s="200">
        <v>2.8629855140392278E-4</v>
      </c>
      <c r="T30" s="200">
        <v>2.5043334530049527E-4</v>
      </c>
      <c r="U30" s="200">
        <v>2.1914781639772039E-4</v>
      </c>
      <c r="V30" s="200">
        <v>1.9184438137351853E-4</v>
      </c>
      <c r="W30" s="200">
        <v>1.6800859239082507E-4</v>
      </c>
      <c r="X30" s="200">
        <v>1.4719122249366349E-4</v>
      </c>
      <c r="Y30" s="200">
        <v>1.2900150492980758E-4</v>
      </c>
      <c r="Z30" s="200">
        <v>1.1310227948659315E-4</v>
      </c>
      <c r="AA30" s="200">
        <v>9.9654721398459285E-5</v>
      </c>
      <c r="AB30" s="200">
        <v>8.746155621609927E-5</v>
      </c>
      <c r="AC30" s="200">
        <v>7.6811260977836313E-5</v>
      </c>
      <c r="AD30" s="200">
        <v>6.7481392850773925E-5</v>
      </c>
      <c r="AE30" s="200">
        <v>5.9322659855626118E-5</v>
      </c>
      <c r="AF30" s="200">
        <v>5.2182844405815835E-5</v>
      </c>
    </row>
    <row r="31" spans="1:32" s="221" customFormat="1" ht="14.45" x14ac:dyDescent="0.35">
      <c r="A31" s="550"/>
      <c r="B31" s="550" t="s">
        <v>29</v>
      </c>
      <c r="C31" s="539"/>
      <c r="D31" s="539"/>
      <c r="E31" s="539"/>
      <c r="F31" s="539"/>
      <c r="G31" s="200">
        <v>0</v>
      </c>
      <c r="H31" s="200">
        <v>5.455934073811496E-5</v>
      </c>
      <c r="I31" s="200">
        <v>8.2017693288269052E-4</v>
      </c>
      <c r="J31" s="200">
        <v>3.8972351940250167E-3</v>
      </c>
      <c r="K31" s="200">
        <v>1.0766930505036812E-2</v>
      </c>
      <c r="L31" s="200">
        <v>2.1865785802644821E-2</v>
      </c>
      <c r="M31" s="200">
        <v>3.7024423796706653E-2</v>
      </c>
      <c r="N31" s="200">
        <v>5.5684229958091747E-2</v>
      </c>
      <c r="O31" s="200">
        <v>7.751183148546964E-2</v>
      </c>
      <c r="P31" s="200">
        <v>0.10112271526096855</v>
      </c>
      <c r="Q31" s="200">
        <v>0.12608460438216645</v>
      </c>
      <c r="R31" s="200">
        <v>0.15215945742408329</v>
      </c>
      <c r="S31" s="200">
        <v>0.17870357690823863</v>
      </c>
      <c r="T31" s="200">
        <v>0.20532869797411282</v>
      </c>
      <c r="U31" s="200">
        <v>0.23159002392970351</v>
      </c>
      <c r="V31" s="200">
        <v>0.25717287823758755</v>
      </c>
      <c r="W31" s="200">
        <v>0.28155568113628571</v>
      </c>
      <c r="X31" s="200">
        <v>0.30472617912363931</v>
      </c>
      <c r="Y31" s="200">
        <v>0.326604460785484</v>
      </c>
      <c r="Z31" s="200">
        <v>0.34707582896749029</v>
      </c>
      <c r="AA31" s="200">
        <v>0.36612960009892137</v>
      </c>
      <c r="AB31" s="200">
        <v>0.38402300136272699</v>
      </c>
      <c r="AC31" s="200">
        <v>0.40100197467907867</v>
      </c>
      <c r="AD31" s="200">
        <v>0.41731579658416723</v>
      </c>
      <c r="AE31" s="200">
        <v>0.43307443240786114</v>
      </c>
      <c r="AF31" s="200">
        <v>0.44818057965059976</v>
      </c>
    </row>
    <row r="32" spans="1:32" s="221" customFormat="1" ht="14.45" x14ac:dyDescent="0.35">
      <c r="A32" s="550"/>
      <c r="B32" s="550"/>
      <c r="C32" s="539"/>
      <c r="D32" s="539"/>
      <c r="E32" s="539"/>
      <c r="F32" s="539"/>
      <c r="G32" s="200" t="s">
        <v>73</v>
      </c>
      <c r="H32" s="539" t="s">
        <v>73</v>
      </c>
      <c r="I32" s="539" t="s">
        <v>73</v>
      </c>
      <c r="J32" s="539" t="s">
        <v>73</v>
      </c>
      <c r="K32" s="539" t="s">
        <v>73</v>
      </c>
      <c r="L32" s="539" t="s">
        <v>73</v>
      </c>
      <c r="M32" s="539" t="s">
        <v>73</v>
      </c>
      <c r="N32" s="539" t="s">
        <v>73</v>
      </c>
      <c r="O32" s="539" t="s">
        <v>73</v>
      </c>
      <c r="P32" s="539" t="s">
        <v>73</v>
      </c>
      <c r="Q32" s="539" t="s">
        <v>73</v>
      </c>
      <c r="R32" s="539" t="s">
        <v>73</v>
      </c>
      <c r="S32" s="539" t="s">
        <v>73</v>
      </c>
      <c r="T32" s="539" t="s">
        <v>73</v>
      </c>
      <c r="U32" s="539" t="s">
        <v>73</v>
      </c>
      <c r="V32" s="539" t="s">
        <v>73</v>
      </c>
      <c r="W32" s="539" t="s">
        <v>73</v>
      </c>
      <c r="X32" s="539" t="s">
        <v>73</v>
      </c>
      <c r="Y32" s="539" t="s">
        <v>73</v>
      </c>
      <c r="Z32" s="539" t="s">
        <v>73</v>
      </c>
      <c r="AA32" s="539" t="s">
        <v>73</v>
      </c>
      <c r="AB32" s="539" t="s">
        <v>73</v>
      </c>
      <c r="AC32" s="539" t="s">
        <v>73</v>
      </c>
      <c r="AD32" s="539" t="s">
        <v>73</v>
      </c>
      <c r="AE32" s="539" t="s">
        <v>73</v>
      </c>
      <c r="AF32" s="539" t="s">
        <v>73</v>
      </c>
    </row>
    <row r="33" spans="1:32" s="202" customFormat="1" ht="12.95" x14ac:dyDescent="0.3">
      <c r="A33" s="556" t="s">
        <v>47</v>
      </c>
      <c r="B33" s="556"/>
      <c r="C33" s="556"/>
      <c r="D33" s="556"/>
      <c r="E33" s="556"/>
      <c r="F33" s="556"/>
      <c r="G33" s="241" t="s">
        <v>73</v>
      </c>
      <c r="H33" s="556" t="s">
        <v>73</v>
      </c>
      <c r="I33" s="556" t="s">
        <v>73</v>
      </c>
      <c r="J33" s="556" t="s">
        <v>73</v>
      </c>
      <c r="K33" s="556" t="s">
        <v>73</v>
      </c>
      <c r="L33" s="556" t="s">
        <v>73</v>
      </c>
      <c r="M33" s="556" t="s">
        <v>73</v>
      </c>
      <c r="N33" s="556" t="s">
        <v>73</v>
      </c>
      <c r="O33" s="556" t="s">
        <v>73</v>
      </c>
      <c r="P33" s="556" t="s">
        <v>73</v>
      </c>
      <c r="Q33" s="556" t="s">
        <v>73</v>
      </c>
      <c r="R33" s="556" t="s">
        <v>73</v>
      </c>
      <c r="S33" s="556" t="s">
        <v>73</v>
      </c>
      <c r="T33" s="556" t="s">
        <v>73</v>
      </c>
      <c r="U33" s="556" t="s">
        <v>73</v>
      </c>
      <c r="V33" s="556" t="s">
        <v>73</v>
      </c>
      <c r="W33" s="556" t="s">
        <v>73</v>
      </c>
      <c r="X33" s="556" t="s">
        <v>73</v>
      </c>
      <c r="Y33" s="556" t="s">
        <v>73</v>
      </c>
      <c r="Z33" s="556" t="s">
        <v>73</v>
      </c>
      <c r="AA33" s="556" t="s">
        <v>73</v>
      </c>
      <c r="AB33" s="556" t="s">
        <v>73</v>
      </c>
      <c r="AC33" s="556" t="s">
        <v>73</v>
      </c>
      <c r="AD33" s="556" t="s">
        <v>73</v>
      </c>
      <c r="AE33" s="556" t="s">
        <v>73</v>
      </c>
      <c r="AF33" s="556" t="s">
        <v>73</v>
      </c>
    </row>
    <row r="34" spans="1:32" s="221" customFormat="1" ht="14.45" x14ac:dyDescent="0.35">
      <c r="A34" s="550"/>
      <c r="B34" s="550" t="s">
        <v>48</v>
      </c>
      <c r="C34" s="539"/>
      <c r="D34" s="539"/>
      <c r="E34" s="539"/>
      <c r="F34" s="539"/>
      <c r="G34" s="200">
        <v>2.3480384751678043E-2</v>
      </c>
      <c r="H34" s="200">
        <v>2.1921132477424783E-2</v>
      </c>
      <c r="I34" s="200">
        <v>1.9261566989845009E-2</v>
      </c>
      <c r="J34" s="200">
        <v>1.5733624152551202E-2</v>
      </c>
      <c r="K34" s="200">
        <v>1.1774895750796047E-2</v>
      </c>
      <c r="L34" s="200">
        <v>8.0232939844866267E-3</v>
      </c>
      <c r="M34" s="200">
        <v>4.9235017851545146E-3</v>
      </c>
      <c r="N34" s="200">
        <v>2.7255597079706463E-3</v>
      </c>
      <c r="O34" s="200">
        <v>1.369995829085329E-3</v>
      </c>
      <c r="P34" s="200">
        <v>6.3014162141199453E-4</v>
      </c>
      <c r="Q34" s="200">
        <v>2.6788462081568952E-4</v>
      </c>
      <c r="R34" s="200">
        <v>1.0618343939410878E-4</v>
      </c>
      <c r="S34" s="200">
        <v>3.9656399639920482E-5</v>
      </c>
      <c r="T34" s="200">
        <v>1.4088862261136234E-5</v>
      </c>
      <c r="U34" s="200">
        <v>4.8034762550567408E-6</v>
      </c>
      <c r="V34" s="200">
        <v>1.58488357250521E-6</v>
      </c>
      <c r="W34" s="200">
        <v>5.092869976763289E-7</v>
      </c>
      <c r="X34" s="200">
        <v>1.6038982333255325E-7</v>
      </c>
      <c r="Y34" s="200">
        <v>4.9726243016170222E-8</v>
      </c>
      <c r="Z34" s="200">
        <v>1.5230093295642601E-8</v>
      </c>
      <c r="AA34" s="200">
        <v>4.6212167088769666E-9</v>
      </c>
      <c r="AB34" s="200">
        <v>1.3917001985769041E-9</v>
      </c>
      <c r="AC34" s="200">
        <v>4.1667804751398172E-10</v>
      </c>
      <c r="AD34" s="200">
        <v>1.2415840843282094E-10</v>
      </c>
      <c r="AE34" s="200">
        <v>3.6841561975203144E-11</v>
      </c>
      <c r="AF34" s="200">
        <v>1.0878922676322624E-11</v>
      </c>
    </row>
    <row r="35" spans="1:32" s="221" customFormat="1" ht="14.45" x14ac:dyDescent="0.35">
      <c r="A35" s="550"/>
      <c r="B35" s="552" t="s">
        <v>50</v>
      </c>
      <c r="C35" s="539"/>
      <c r="D35" s="539"/>
      <c r="E35" s="539"/>
      <c r="F35" s="539"/>
      <c r="G35" s="200">
        <v>0.35369806616412891</v>
      </c>
      <c r="H35" s="200">
        <v>0.34538588075281812</v>
      </c>
      <c r="I35" s="200">
        <v>0.32917037708011981</v>
      </c>
      <c r="J35" s="200">
        <v>0.30269660593151015</v>
      </c>
      <c r="K35" s="200">
        <v>0.26659154839137283</v>
      </c>
      <c r="L35" s="200">
        <v>0.2234460907470808</v>
      </c>
      <c r="M35" s="200">
        <v>0.17715719049678147</v>
      </c>
      <c r="N35" s="200">
        <v>0.13280905039882715</v>
      </c>
      <c r="O35" s="200">
        <v>9.4402546500877121E-2</v>
      </c>
      <c r="P35" s="200">
        <v>6.3781241998132815E-2</v>
      </c>
      <c r="Q35" s="200">
        <v>4.1188100580188763E-2</v>
      </c>
      <c r="R35" s="200">
        <v>2.55372652347312E-2</v>
      </c>
      <c r="S35" s="200">
        <v>1.5296961263815398E-2</v>
      </c>
      <c r="T35" s="200">
        <v>8.9043629995322199E-3</v>
      </c>
      <c r="U35" s="200">
        <v>5.0647944420771623E-3</v>
      </c>
      <c r="V35" s="200">
        <v>2.8294438864669698E-3</v>
      </c>
      <c r="W35" s="200">
        <v>1.5584958099088627E-3</v>
      </c>
      <c r="X35" s="200">
        <v>8.500540409455983E-4</v>
      </c>
      <c r="Y35" s="200">
        <v>4.6045069722893924E-4</v>
      </c>
      <c r="Z35" s="200">
        <v>2.4818662009864296E-4</v>
      </c>
      <c r="AA35" s="200">
        <v>1.3332523056425814E-4</v>
      </c>
      <c r="AB35" s="200">
        <v>7.1472553486291978E-5</v>
      </c>
      <c r="AC35" s="200">
        <v>3.827621736247572E-5</v>
      </c>
      <c r="AD35" s="200">
        <v>2.0491535287456139E-5</v>
      </c>
      <c r="AE35" s="200">
        <v>1.097148622192662E-5</v>
      </c>
      <c r="AF35" s="200">
        <v>5.8744828875596013E-6</v>
      </c>
    </row>
    <row r="36" spans="1:32" s="221" customFormat="1" ht="14.45" x14ac:dyDescent="0.35">
      <c r="A36" s="550"/>
      <c r="B36" s="550" t="s">
        <v>51</v>
      </c>
      <c r="C36" s="539"/>
      <c r="D36" s="539"/>
      <c r="E36" s="539"/>
      <c r="F36" s="539"/>
      <c r="G36" s="200">
        <v>0.31784672103776357</v>
      </c>
      <c r="H36" s="200">
        <v>0.31375513802781102</v>
      </c>
      <c r="I36" s="200">
        <v>0.30661919666035908</v>
      </c>
      <c r="J36" s="200">
        <v>0.2955609350881534</v>
      </c>
      <c r="K36" s="200">
        <v>0.28051633603799669</v>
      </c>
      <c r="L36" s="200">
        <v>0.26167032805361568</v>
      </c>
      <c r="M36" s="200">
        <v>0.23994935406635304</v>
      </c>
      <c r="N36" s="200">
        <v>0.21660878886226492</v>
      </c>
      <c r="O36" s="200">
        <v>0.19290149298088605</v>
      </c>
      <c r="P36" s="200">
        <v>0.16951082748687787</v>
      </c>
      <c r="Q36" s="200">
        <v>0.14729441953715852</v>
      </c>
      <c r="R36" s="200">
        <v>0.12666400991152413</v>
      </c>
      <c r="S36" s="200">
        <v>0.1079860923690521</v>
      </c>
      <c r="T36" s="200">
        <v>9.1412281348703717E-2</v>
      </c>
      <c r="U36" s="200">
        <v>7.6946443157588446E-2</v>
      </c>
      <c r="V36" s="200">
        <v>6.4485379644818708E-2</v>
      </c>
      <c r="W36" s="200">
        <v>5.3848528750193164E-2</v>
      </c>
      <c r="X36" s="200">
        <v>4.4868207220237911E-2</v>
      </c>
      <c r="Y36" s="200">
        <v>3.7331745479334225E-2</v>
      </c>
      <c r="Z36" s="200">
        <v>3.1026643060456986E-2</v>
      </c>
      <c r="AA36" s="200">
        <v>2.5803762206135721E-2</v>
      </c>
      <c r="AB36" s="200">
        <v>2.1416801157462258E-2</v>
      </c>
      <c r="AC36" s="200">
        <v>1.777245557322359E-2</v>
      </c>
      <c r="AD36" s="200">
        <v>1.4748037478493152E-2</v>
      </c>
      <c r="AE36" s="200">
        <v>1.2239668340373083E-2</v>
      </c>
      <c r="AF36" s="200">
        <v>1.015978015333063E-2</v>
      </c>
    </row>
    <row r="37" spans="1:32" s="221" customFormat="1" ht="14.45" x14ac:dyDescent="0.35">
      <c r="A37" s="550"/>
      <c r="B37" s="550" t="s">
        <v>52</v>
      </c>
      <c r="C37" s="539"/>
      <c r="D37" s="539"/>
      <c r="E37" s="539"/>
      <c r="F37" s="539"/>
      <c r="G37" s="200">
        <v>6.3916850848701606E-2</v>
      </c>
      <c r="H37" s="200">
        <v>6.4251875544395973E-2</v>
      </c>
      <c r="I37" s="200">
        <v>6.449230566557862E-2</v>
      </c>
      <c r="J37" s="200">
        <v>6.441140912760164E-2</v>
      </c>
      <c r="K37" s="200">
        <v>6.3916249854064064E-2</v>
      </c>
      <c r="L37" s="200">
        <v>6.2993023076632487E-2</v>
      </c>
      <c r="M37" s="200">
        <v>6.1596086140019574E-2</v>
      </c>
      <c r="N37" s="200">
        <v>5.9826598953611435E-2</v>
      </c>
      <c r="O37" s="200">
        <v>5.7733240556897922E-2</v>
      </c>
      <c r="P37" s="200">
        <v>5.5397487067605791E-2</v>
      </c>
      <c r="Q37" s="200">
        <v>5.2922967488436924E-2</v>
      </c>
      <c r="R37" s="200">
        <v>5.0338578784162917E-2</v>
      </c>
      <c r="S37" s="200">
        <v>4.7716645691325173E-2</v>
      </c>
      <c r="T37" s="200">
        <v>4.5108612620236563E-2</v>
      </c>
      <c r="U37" s="200">
        <v>4.2555439095668862E-2</v>
      </c>
      <c r="V37" s="200">
        <v>4.0101269506691774E-2</v>
      </c>
      <c r="W37" s="200">
        <v>3.7752432688717266E-2</v>
      </c>
      <c r="X37" s="200">
        <v>3.5520589955183361E-2</v>
      </c>
      <c r="Y37" s="200">
        <v>3.3424237175251212E-2</v>
      </c>
      <c r="Z37" s="200">
        <v>3.144212230779312E-2</v>
      </c>
      <c r="AA37" s="200">
        <v>2.95789764278457E-2</v>
      </c>
      <c r="AB37" s="200">
        <v>2.783140313322954E-2</v>
      </c>
      <c r="AC37" s="200">
        <v>2.6186361229781845E-2</v>
      </c>
      <c r="AD37" s="200">
        <v>2.4647137209225751E-2</v>
      </c>
      <c r="AE37" s="200">
        <v>2.32067278477203E-2</v>
      </c>
      <c r="AF37" s="200">
        <v>2.1851882887446071E-2</v>
      </c>
    </row>
    <row r="38" spans="1:32" s="221" customFormat="1" ht="14.45" x14ac:dyDescent="0.35">
      <c r="A38" s="550"/>
      <c r="B38" s="552" t="s">
        <v>29</v>
      </c>
      <c r="C38" s="539"/>
      <c r="D38" s="539"/>
      <c r="E38" s="539"/>
      <c r="F38" s="539"/>
      <c r="G38" s="200">
        <v>0</v>
      </c>
      <c r="H38" s="200">
        <v>8.2376756068800443E-3</v>
      </c>
      <c r="I38" s="200">
        <v>1.9146782075067686E-2</v>
      </c>
      <c r="J38" s="200">
        <v>3.1926479590848954E-2</v>
      </c>
      <c r="K38" s="200">
        <v>4.5960382348321921E-2</v>
      </c>
      <c r="L38" s="200">
        <v>6.0527646070915132E-2</v>
      </c>
      <c r="M38" s="200">
        <v>7.4949688173229681E-2</v>
      </c>
      <c r="N38" s="200">
        <v>8.8547189751412944E-2</v>
      </c>
      <c r="O38" s="200">
        <v>0.10094292703410479</v>
      </c>
      <c r="P38" s="200">
        <v>0.11181564975069666</v>
      </c>
      <c r="Q38" s="200">
        <v>0.12121035768743516</v>
      </c>
      <c r="R38" s="200">
        <v>0.12959958410168759</v>
      </c>
      <c r="S38" s="200">
        <v>0.13705206378573237</v>
      </c>
      <c r="T38" s="200">
        <v>0.14366784062175889</v>
      </c>
      <c r="U38" s="200">
        <v>0.14956820959244915</v>
      </c>
      <c r="V38" s="200">
        <v>0.15430515135712641</v>
      </c>
      <c r="W38" s="200">
        <v>0.15817235805649735</v>
      </c>
      <c r="X38" s="200">
        <v>0.16147954994066066</v>
      </c>
      <c r="Y38" s="200">
        <v>0.16441298386070088</v>
      </c>
      <c r="Z38" s="200">
        <v>0.16707214058843758</v>
      </c>
      <c r="AA38" s="200">
        <v>0.16953493951076096</v>
      </c>
      <c r="AB38" s="200">
        <v>0.17191035867347024</v>
      </c>
      <c r="AC38" s="200">
        <v>0.17428623433454105</v>
      </c>
      <c r="AD38" s="200">
        <v>0.17673356296338197</v>
      </c>
      <c r="AE38" s="200">
        <v>0.17928779554808399</v>
      </c>
      <c r="AF38" s="200">
        <v>0.18180227909581456</v>
      </c>
    </row>
    <row r="39" spans="1:32" s="221" customFormat="1" ht="14.45" x14ac:dyDescent="0.35">
      <c r="A39" s="550"/>
      <c r="B39" s="552" t="s">
        <v>53</v>
      </c>
      <c r="C39" s="539"/>
      <c r="D39" s="539"/>
      <c r="E39" s="539"/>
      <c r="F39" s="539"/>
      <c r="G39" s="200">
        <v>0</v>
      </c>
      <c r="H39" s="200">
        <v>0</v>
      </c>
      <c r="I39" s="200">
        <v>0</v>
      </c>
      <c r="J39" s="200">
        <v>0</v>
      </c>
      <c r="K39" s="200">
        <v>0</v>
      </c>
      <c r="L39" s="200">
        <v>0</v>
      </c>
      <c r="M39" s="200">
        <v>0</v>
      </c>
      <c r="N39" s="200">
        <v>0</v>
      </c>
      <c r="O39" s="200">
        <v>0</v>
      </c>
      <c r="P39" s="200">
        <v>0</v>
      </c>
      <c r="Q39" s="200">
        <v>0</v>
      </c>
      <c r="R39" s="200">
        <v>0</v>
      </c>
      <c r="S39" s="200">
        <v>0</v>
      </c>
      <c r="T39" s="200">
        <v>0</v>
      </c>
      <c r="U39" s="200">
        <v>0</v>
      </c>
      <c r="V39" s="200">
        <v>0</v>
      </c>
      <c r="W39" s="200">
        <v>0</v>
      </c>
      <c r="X39" s="200">
        <v>0</v>
      </c>
      <c r="Y39" s="200">
        <v>0</v>
      </c>
      <c r="Z39" s="200">
        <v>0</v>
      </c>
      <c r="AA39" s="200">
        <v>0</v>
      </c>
      <c r="AB39" s="200">
        <v>0</v>
      </c>
      <c r="AC39" s="200">
        <v>0</v>
      </c>
      <c r="AD39" s="200">
        <v>0</v>
      </c>
      <c r="AE39" s="200">
        <v>0</v>
      </c>
      <c r="AF39" s="200">
        <v>0</v>
      </c>
    </row>
    <row r="42" spans="1:32" ht="14.45" x14ac:dyDescent="0.35">
      <c r="A42" s="554" t="s">
        <v>56</v>
      </c>
      <c r="B42" s="555"/>
      <c r="C42" s="554"/>
      <c r="D42" s="553"/>
      <c r="E42" s="553"/>
      <c r="F42" s="553"/>
      <c r="G42" s="553"/>
      <c r="H42" s="560"/>
      <c r="I42" s="560"/>
      <c r="J42" s="560"/>
      <c r="K42" s="560"/>
      <c r="L42" s="560"/>
      <c r="M42" s="560"/>
      <c r="N42" s="560"/>
      <c r="O42" s="560"/>
      <c r="P42" s="560"/>
      <c r="Q42" s="560"/>
      <c r="R42" s="560"/>
      <c r="S42" s="560"/>
      <c r="T42" s="560"/>
      <c r="U42" s="560"/>
      <c r="V42" s="560"/>
      <c r="W42" s="560"/>
      <c r="X42" s="560"/>
      <c r="Y42" s="560"/>
      <c r="Z42" s="560"/>
      <c r="AA42" s="560"/>
      <c r="AB42" s="560"/>
      <c r="AC42" s="560"/>
      <c r="AD42" s="560"/>
      <c r="AE42" s="560"/>
      <c r="AF42" s="560"/>
    </row>
    <row r="43" spans="1:32" ht="14.45" x14ac:dyDescent="0.35">
      <c r="A43" s="812" t="s">
        <v>12</v>
      </c>
      <c r="B43" s="806"/>
    </row>
    <row r="44" spans="1:32" ht="14.45" x14ac:dyDescent="0.35">
      <c r="A44" s="806"/>
      <c r="B44" s="806" t="s">
        <v>20</v>
      </c>
    </row>
    <row r="45" spans="1:32" s="202" customFormat="1" ht="12.95" x14ac:dyDescent="0.3">
      <c r="A45" s="556" t="s">
        <v>21</v>
      </c>
      <c r="B45" s="556"/>
      <c r="C45" s="556"/>
      <c r="D45" s="556"/>
      <c r="E45" s="556"/>
      <c r="F45" s="556"/>
      <c r="G45" s="556"/>
      <c r="H45" s="556"/>
      <c r="I45" s="556"/>
      <c r="J45" s="556"/>
      <c r="K45" s="556"/>
      <c r="L45" s="556"/>
      <c r="M45" s="556"/>
      <c r="N45" s="556"/>
      <c r="O45" s="556"/>
      <c r="P45" s="556"/>
      <c r="Q45" s="556"/>
      <c r="R45" s="556"/>
      <c r="S45" s="556"/>
      <c r="T45" s="556"/>
      <c r="U45" s="556"/>
      <c r="V45" s="556"/>
      <c r="W45" s="556"/>
      <c r="X45" s="556"/>
      <c r="Y45" s="556"/>
      <c r="Z45" s="556"/>
      <c r="AA45" s="556"/>
      <c r="AB45" s="556"/>
      <c r="AC45" s="556"/>
      <c r="AD45" s="556"/>
      <c r="AE45" s="556"/>
      <c r="AF45" s="556"/>
    </row>
    <row r="46" spans="1:32" s="221" customFormat="1" ht="14.45" x14ac:dyDescent="0.35">
      <c r="A46" s="806"/>
      <c r="B46" s="806" t="s">
        <v>22</v>
      </c>
      <c r="C46" s="539"/>
      <c r="D46" s="539"/>
      <c r="E46" s="539"/>
      <c r="F46" s="539"/>
      <c r="G46" s="200">
        <v>4.5178087284057887E-3</v>
      </c>
      <c r="H46" s="200">
        <v>2.3032641070819628E-3</v>
      </c>
      <c r="I46" s="200">
        <v>1.5386141267017079E-3</v>
      </c>
      <c r="J46" s="200">
        <v>8.8301134618631936E-4</v>
      </c>
      <c r="K46" s="200">
        <v>5.7379545701803528E-4</v>
      </c>
      <c r="L46" s="200">
        <v>3.3851647275572402E-4</v>
      </c>
      <c r="M46" s="200">
        <v>1.1055550342132111E-4</v>
      </c>
      <c r="N46" s="200">
        <v>9.062996283315682E-5</v>
      </c>
      <c r="O46" s="200">
        <v>7.5791482323969616E-5</v>
      </c>
      <c r="P46" s="200">
        <v>6.2739014716634592E-5</v>
      </c>
      <c r="Q46" s="200">
        <v>5.0506656680637745E-5</v>
      </c>
      <c r="R46" s="200">
        <v>3.9777094939977533E-5</v>
      </c>
      <c r="S46" s="200">
        <v>3.0964762812867915E-5</v>
      </c>
      <c r="T46" s="200">
        <v>2.4089315024645834E-5</v>
      </c>
      <c r="U46" s="200">
        <v>1.8717802409116996E-5</v>
      </c>
      <c r="V46" s="200">
        <v>1.4758336036114338E-5</v>
      </c>
      <c r="W46" s="200">
        <v>1.1829414072999309E-5</v>
      </c>
      <c r="X46" s="200">
        <v>9.6154257647115053E-6</v>
      </c>
      <c r="Y46" s="200">
        <v>7.9535313322786475E-6</v>
      </c>
      <c r="Z46" s="200">
        <v>6.7136273469134931E-6</v>
      </c>
      <c r="AA46" s="200">
        <v>5.7820695760534713E-6</v>
      </c>
      <c r="AB46" s="200">
        <v>5.0415533814029661E-6</v>
      </c>
      <c r="AC46" s="200">
        <v>4.4439025290981323E-6</v>
      </c>
      <c r="AD46" s="200">
        <v>3.9525244046898421E-6</v>
      </c>
      <c r="AE46" s="200">
        <v>3.5338025615231172E-6</v>
      </c>
      <c r="AF46" s="200">
        <v>3.1329253969774988E-6</v>
      </c>
    </row>
    <row r="47" spans="1:32" s="221" customFormat="1" ht="14.45" x14ac:dyDescent="0.35">
      <c r="A47" s="806"/>
      <c r="B47" s="806" t="s">
        <v>26</v>
      </c>
      <c r="C47" s="539"/>
      <c r="D47" s="539"/>
      <c r="E47" s="539"/>
      <c r="F47" s="539"/>
      <c r="G47" s="200">
        <v>2.7451564495069224E-5</v>
      </c>
      <c r="H47" s="200">
        <v>2.5383932665697468E-5</v>
      </c>
      <c r="I47" s="200">
        <v>8.3820581402993126E-5</v>
      </c>
      <c r="J47" s="200">
        <v>2.1919758391737503E-4</v>
      </c>
      <c r="K47" s="200">
        <v>2.9003561367735948E-4</v>
      </c>
      <c r="L47" s="200">
        <v>2.8682730624208754E-4</v>
      </c>
      <c r="M47" s="200">
        <v>2.698947305782933E-4</v>
      </c>
      <c r="N47" s="200">
        <v>2.2749895624019602E-4</v>
      </c>
      <c r="O47" s="200">
        <v>1.9525938022203388E-4</v>
      </c>
      <c r="P47" s="200">
        <v>1.6552840570818584E-4</v>
      </c>
      <c r="Q47" s="200">
        <v>1.3680502455623315E-4</v>
      </c>
      <c r="R47" s="200">
        <v>1.109447357893288E-4</v>
      </c>
      <c r="S47" s="200">
        <v>8.8998029739214012E-5</v>
      </c>
      <c r="T47" s="200">
        <v>7.1416623429777578E-5</v>
      </c>
      <c r="U47" s="200">
        <v>5.7344986944019794E-5</v>
      </c>
      <c r="V47" s="200">
        <v>4.6708084533004193E-5</v>
      </c>
      <c r="W47" s="200">
        <v>3.8719237973509374E-5</v>
      </c>
      <c r="X47" s="200">
        <v>3.2588217234884886E-5</v>
      </c>
      <c r="Y47" s="200">
        <v>2.7934718443300596E-5</v>
      </c>
      <c r="Z47" s="200">
        <v>2.4429144758553414E-5</v>
      </c>
      <c r="AA47" s="200">
        <v>2.1778757306502854E-5</v>
      </c>
      <c r="AB47" s="200">
        <v>1.967347015356179E-5</v>
      </c>
      <c r="AC47" s="200">
        <v>1.7966903313316133E-5</v>
      </c>
      <c r="AD47" s="200">
        <v>1.6560218300320526E-5</v>
      </c>
      <c r="AE47" s="200">
        <v>1.5355228161568934E-5</v>
      </c>
      <c r="AF47" s="200">
        <v>1.4180537786576886E-5</v>
      </c>
    </row>
    <row r="48" spans="1:32" s="221" customFormat="1" ht="14.45" x14ac:dyDescent="0.35">
      <c r="A48" s="806"/>
      <c r="B48" s="806" t="s">
        <v>27</v>
      </c>
      <c r="C48" s="539"/>
      <c r="D48" s="539"/>
      <c r="E48" s="539"/>
      <c r="F48" s="539"/>
      <c r="G48" s="200">
        <v>2.2834958047819083E-4</v>
      </c>
      <c r="H48" s="200">
        <v>7.0634922753311019E-4</v>
      </c>
      <c r="I48" s="200">
        <v>8.4313449068038374E-4</v>
      </c>
      <c r="J48" s="200">
        <v>9.2955402674858119E-4</v>
      </c>
      <c r="K48" s="200">
        <v>9.4342381479258245E-4</v>
      </c>
      <c r="L48" s="200">
        <v>9.4488156828619648E-4</v>
      </c>
      <c r="M48" s="200">
        <v>9.2898625397823441E-4</v>
      </c>
      <c r="N48" s="200">
        <v>8.6098108479336442E-4</v>
      </c>
      <c r="O48" s="200">
        <v>7.7706028747601716E-4</v>
      </c>
      <c r="P48" s="200">
        <v>6.8535976267130596E-4</v>
      </c>
      <c r="Q48" s="200">
        <v>5.9201122131306741E-4</v>
      </c>
      <c r="R48" s="200">
        <v>5.0268359072635268E-4</v>
      </c>
      <c r="S48" s="200">
        <v>4.2066516290228918E-4</v>
      </c>
      <c r="T48" s="200">
        <v>3.4888382738358691E-4</v>
      </c>
      <c r="U48" s="200">
        <v>2.8879337355582313E-4</v>
      </c>
      <c r="V48" s="200">
        <v>2.3847860235508693E-4</v>
      </c>
      <c r="W48" s="200">
        <v>1.9824738581026289E-4</v>
      </c>
      <c r="X48" s="200">
        <v>1.6648519554328403E-4</v>
      </c>
      <c r="Y48" s="200">
        <v>1.417318950388895E-4</v>
      </c>
      <c r="Z48" s="200">
        <v>1.2260001785133553E-4</v>
      </c>
      <c r="AA48" s="200">
        <v>1.0787075516204262E-4</v>
      </c>
      <c r="AB48" s="200">
        <v>9.6542529381435862E-5</v>
      </c>
      <c r="AC48" s="200">
        <v>8.7741122470626331E-5</v>
      </c>
      <c r="AD48" s="200">
        <v>8.0839440279133223E-5</v>
      </c>
      <c r="AE48" s="200">
        <v>7.5354774544828947E-5</v>
      </c>
      <c r="AF48" s="200">
        <v>7.0893669100534148E-5</v>
      </c>
    </row>
    <row r="49" spans="1:32" s="221" customFormat="1" ht="14.45" x14ac:dyDescent="0.35">
      <c r="A49" s="806"/>
      <c r="B49" s="806" t="s">
        <v>29</v>
      </c>
      <c r="C49" s="539"/>
      <c r="D49" s="539"/>
      <c r="E49" s="539"/>
      <c r="F49" s="539"/>
      <c r="G49" s="200">
        <v>0</v>
      </c>
      <c r="H49" s="200">
        <v>1.0764089379454765E-6</v>
      </c>
      <c r="I49" s="200">
        <v>3.7931367451367487E-6</v>
      </c>
      <c r="J49" s="200">
        <v>9.0322759005618583E-6</v>
      </c>
      <c r="K49" s="200">
        <v>1.8898514547058743E-5</v>
      </c>
      <c r="L49" s="200">
        <v>3.4704981289396621E-5</v>
      </c>
      <c r="M49" s="200">
        <v>5.6190347257340331E-5</v>
      </c>
      <c r="N49" s="200">
        <v>8.0307802710515084E-5</v>
      </c>
      <c r="O49" s="200">
        <v>1.0623859072735367E-4</v>
      </c>
      <c r="P49" s="200">
        <v>1.3230016210095851E-4</v>
      </c>
      <c r="Q49" s="200">
        <v>1.5720859145056045E-4</v>
      </c>
      <c r="R49" s="200">
        <v>1.8018000371329936E-4</v>
      </c>
      <c r="S49" s="200">
        <v>2.0042696681864627E-4</v>
      </c>
      <c r="T49" s="200">
        <v>2.1707039589166944E-4</v>
      </c>
      <c r="U49" s="200">
        <v>2.3007883018578829E-4</v>
      </c>
      <c r="V49" s="200">
        <v>2.3939944853490291E-4</v>
      </c>
      <c r="W49" s="200">
        <v>2.4507330760430238E-4</v>
      </c>
      <c r="X49" s="200">
        <v>2.476280868238862E-4</v>
      </c>
      <c r="Y49" s="200">
        <v>2.4777929479678421E-4</v>
      </c>
      <c r="Z49" s="200">
        <v>2.4653837257656842E-4</v>
      </c>
      <c r="AA49" s="200">
        <v>2.4450032462502188E-4</v>
      </c>
      <c r="AB49" s="200">
        <v>2.421986912367533E-4</v>
      </c>
      <c r="AC49" s="200">
        <v>2.4001685524906901E-4</v>
      </c>
      <c r="AD49" s="200">
        <v>2.3778655619767028E-4</v>
      </c>
      <c r="AE49" s="200">
        <v>2.3558124003102276E-4</v>
      </c>
      <c r="AF49" s="200">
        <v>2.3344207850600247E-4</v>
      </c>
    </row>
    <row r="50" spans="1:32" s="221" customFormat="1" ht="14.45" x14ac:dyDescent="0.35">
      <c r="A50" s="806"/>
      <c r="B50" s="806"/>
      <c r="C50" s="539"/>
      <c r="D50" s="539"/>
      <c r="E50" s="539"/>
      <c r="F50" s="539"/>
      <c r="G50" s="200" t="s">
        <v>73</v>
      </c>
      <c r="H50" s="539" t="s">
        <v>73</v>
      </c>
      <c r="I50" s="539" t="s">
        <v>73</v>
      </c>
      <c r="J50" s="539" t="s">
        <v>73</v>
      </c>
      <c r="K50" s="539" t="s">
        <v>73</v>
      </c>
      <c r="L50" s="539" t="s">
        <v>73</v>
      </c>
      <c r="M50" s="539" t="s">
        <v>73</v>
      </c>
      <c r="N50" s="539" t="s">
        <v>73</v>
      </c>
      <c r="O50" s="539" t="s">
        <v>73</v>
      </c>
      <c r="P50" s="539" t="s">
        <v>73</v>
      </c>
      <c r="Q50" s="539" t="s">
        <v>73</v>
      </c>
      <c r="R50" s="539" t="s">
        <v>73</v>
      </c>
      <c r="S50" s="539" t="s">
        <v>73</v>
      </c>
      <c r="T50" s="539" t="s">
        <v>73</v>
      </c>
      <c r="U50" s="539" t="s">
        <v>73</v>
      </c>
      <c r="V50" s="539" t="s">
        <v>73</v>
      </c>
      <c r="W50" s="539" t="s">
        <v>73</v>
      </c>
      <c r="X50" s="539" t="s">
        <v>73</v>
      </c>
      <c r="Y50" s="539" t="s">
        <v>73</v>
      </c>
      <c r="Z50" s="539" t="s">
        <v>73</v>
      </c>
      <c r="AA50" s="539" t="s">
        <v>73</v>
      </c>
      <c r="AB50" s="539" t="s">
        <v>73</v>
      </c>
      <c r="AC50" s="539" t="s">
        <v>73</v>
      </c>
      <c r="AD50" s="539" t="s">
        <v>73</v>
      </c>
      <c r="AE50" s="539" t="s">
        <v>73</v>
      </c>
      <c r="AF50" s="539" t="s">
        <v>73</v>
      </c>
    </row>
    <row r="51" spans="1:32" s="202" customFormat="1" ht="12.95" x14ac:dyDescent="0.3">
      <c r="A51" s="556" t="s">
        <v>32</v>
      </c>
      <c r="B51" s="556"/>
      <c r="C51" s="556"/>
      <c r="D51" s="556"/>
      <c r="E51" s="556"/>
      <c r="F51" s="556"/>
      <c r="G51" s="241" t="s">
        <v>73</v>
      </c>
      <c r="H51" s="556" t="s">
        <v>73</v>
      </c>
      <c r="I51" s="556" t="s">
        <v>73</v>
      </c>
      <c r="J51" s="556" t="s">
        <v>73</v>
      </c>
      <c r="K51" s="556" t="s">
        <v>73</v>
      </c>
      <c r="L51" s="556" t="s">
        <v>73</v>
      </c>
      <c r="M51" s="556" t="s">
        <v>73</v>
      </c>
      <c r="N51" s="556" t="s">
        <v>73</v>
      </c>
      <c r="O51" s="556" t="s">
        <v>73</v>
      </c>
      <c r="P51" s="556" t="s">
        <v>73</v>
      </c>
      <c r="Q51" s="556" t="s">
        <v>73</v>
      </c>
      <c r="R51" s="556" t="s">
        <v>73</v>
      </c>
      <c r="S51" s="556" t="s">
        <v>73</v>
      </c>
      <c r="T51" s="556" t="s">
        <v>73</v>
      </c>
      <c r="U51" s="556" t="s">
        <v>73</v>
      </c>
      <c r="V51" s="556" t="s">
        <v>73</v>
      </c>
      <c r="W51" s="556" t="s">
        <v>73</v>
      </c>
      <c r="X51" s="556" t="s">
        <v>73</v>
      </c>
      <c r="Y51" s="556" t="s">
        <v>73</v>
      </c>
      <c r="Z51" s="556" t="s">
        <v>73</v>
      </c>
      <c r="AA51" s="556" t="s">
        <v>73</v>
      </c>
      <c r="AB51" s="556" t="s">
        <v>73</v>
      </c>
      <c r="AC51" s="556" t="s">
        <v>73</v>
      </c>
      <c r="AD51" s="556" t="s">
        <v>73</v>
      </c>
      <c r="AE51" s="556" t="s">
        <v>73</v>
      </c>
      <c r="AF51" s="556" t="s">
        <v>73</v>
      </c>
    </row>
    <row r="52" spans="1:32" s="221" customFormat="1" ht="14.45" x14ac:dyDescent="0.35">
      <c r="A52" s="806"/>
      <c r="B52" s="806" t="s">
        <v>33</v>
      </c>
      <c r="C52" s="539"/>
      <c r="D52" s="539"/>
      <c r="E52" s="539"/>
      <c r="F52" s="539"/>
      <c r="G52" s="200">
        <v>2.4089147496284422E-4</v>
      </c>
      <c r="H52" s="200">
        <v>7.0491081903181567E-4</v>
      </c>
      <c r="I52" s="200">
        <v>7.8627778653682162E-4</v>
      </c>
      <c r="J52" s="200">
        <v>8.1407559906695114E-4</v>
      </c>
      <c r="K52" s="200">
        <v>7.8728925893306351E-4</v>
      </c>
      <c r="L52" s="200">
        <v>6.7371392883048837E-4</v>
      </c>
      <c r="M52" s="200">
        <v>5.449473878685494E-4</v>
      </c>
      <c r="N52" s="200">
        <v>4.2090745039339249E-4</v>
      </c>
      <c r="O52" s="200">
        <v>3.1261429277402108E-4</v>
      </c>
      <c r="P52" s="200">
        <v>2.2624731442685283E-4</v>
      </c>
      <c r="Q52" s="200">
        <v>1.5988250448729073E-4</v>
      </c>
      <c r="R52" s="200">
        <v>1.1262442120493195E-4</v>
      </c>
      <c r="S52" s="200">
        <v>7.9979884770501223E-5</v>
      </c>
      <c r="T52" s="200">
        <v>5.8296925593244423E-5</v>
      </c>
      <c r="U52" s="200">
        <v>4.3363095864098037E-5</v>
      </c>
      <c r="V52" s="200">
        <v>3.3237887787105665E-5</v>
      </c>
      <c r="W52" s="200">
        <v>2.6272745065521691E-5</v>
      </c>
      <c r="X52" s="200">
        <v>2.120559311127856E-5</v>
      </c>
      <c r="Y52" s="200">
        <v>1.750057590989948E-5</v>
      </c>
      <c r="Z52" s="200">
        <v>1.4782433306553651E-5</v>
      </c>
      <c r="AA52" s="200">
        <v>1.2788279387390202E-5</v>
      </c>
      <c r="AB52" s="200">
        <v>1.1190144062051999E-5</v>
      </c>
      <c r="AC52" s="200">
        <v>9.9213070307477468E-6</v>
      </c>
      <c r="AD52" s="200">
        <v>8.8852143557242095E-6</v>
      </c>
      <c r="AE52" s="200">
        <v>8.0045455211858242E-6</v>
      </c>
      <c r="AF52" s="200">
        <v>7.1533648994983135E-6</v>
      </c>
    </row>
    <row r="53" spans="1:32" s="221" customFormat="1" ht="14.45" x14ac:dyDescent="0.35">
      <c r="A53" s="808"/>
      <c r="B53" s="808" t="s">
        <v>34</v>
      </c>
      <c r="C53" s="539"/>
      <c r="D53" s="539"/>
      <c r="E53" s="539"/>
      <c r="F53" s="539"/>
      <c r="G53" s="200">
        <v>9.9462237000812561E-4</v>
      </c>
      <c r="H53" s="200">
        <v>8.2222036496905446E-4</v>
      </c>
      <c r="I53" s="200">
        <v>7.6531771848522298E-4</v>
      </c>
      <c r="J53" s="200">
        <v>6.2830397450311013E-4</v>
      </c>
      <c r="K53" s="200">
        <v>4.8632613850967409E-4</v>
      </c>
      <c r="L53" s="200">
        <v>4.0722613993578871E-4</v>
      </c>
      <c r="M53" s="200">
        <v>3.4151476666299975E-4</v>
      </c>
      <c r="N53" s="200">
        <v>2.721911736801708E-4</v>
      </c>
      <c r="O53" s="200">
        <v>2.0829608792709709E-4</v>
      </c>
      <c r="P53" s="200">
        <v>1.5468533262039507E-4</v>
      </c>
      <c r="Q53" s="200">
        <v>1.127457425669317E-4</v>
      </c>
      <c r="R53" s="200">
        <v>8.2377181172244512E-5</v>
      </c>
      <c r="S53" s="200">
        <v>6.0706905314404447E-5</v>
      </c>
      <c r="T53" s="200">
        <v>4.5931231129955769E-5</v>
      </c>
      <c r="U53" s="200">
        <v>3.5526219143534026E-5</v>
      </c>
      <c r="V53" s="200">
        <v>2.8246227914775218E-5</v>
      </c>
      <c r="W53" s="200">
        <v>2.3174735144664323E-5</v>
      </c>
      <c r="X53" s="200">
        <v>1.9440993963634937E-5</v>
      </c>
      <c r="Y53" s="200">
        <v>1.6693387944158637E-5</v>
      </c>
      <c r="Z53" s="200">
        <v>1.4660853611768354E-5</v>
      </c>
      <c r="AA53" s="200">
        <v>1.3164995757448691E-5</v>
      </c>
      <c r="AB53" s="200">
        <v>1.1983524758453225E-5</v>
      </c>
      <c r="AC53" s="200">
        <v>1.1054149146840936E-5</v>
      </c>
      <c r="AD53" s="200">
        <v>1.0305816772880838E-5</v>
      </c>
      <c r="AE53" s="200">
        <v>9.680231568171089E-6</v>
      </c>
      <c r="AF53" s="200">
        <v>9.091131686463981E-6</v>
      </c>
    </row>
    <row r="54" spans="1:32" s="221" customFormat="1" ht="14.45" x14ac:dyDescent="0.35">
      <c r="A54" s="806"/>
      <c r="B54" s="808" t="s">
        <v>35</v>
      </c>
      <c r="C54" s="539"/>
      <c r="D54" s="539"/>
      <c r="E54" s="539"/>
      <c r="F54" s="539"/>
      <c r="G54" s="200">
        <v>2.6423794808094384E-4</v>
      </c>
      <c r="H54" s="200">
        <v>1.9180274625856119E-4</v>
      </c>
      <c r="I54" s="200">
        <v>1.5694515287246794E-4</v>
      </c>
      <c r="J54" s="200">
        <v>1.4029235709018693E-4</v>
      </c>
      <c r="K54" s="200">
        <v>1.3145873001803998E-4</v>
      </c>
      <c r="L54" s="200">
        <v>1.2015432062907658E-4</v>
      </c>
      <c r="M54" s="200">
        <v>1.0726897934617397E-4</v>
      </c>
      <c r="N54" s="200">
        <v>9.2512207858258991E-5</v>
      </c>
      <c r="O54" s="200">
        <v>7.7048308370737757E-5</v>
      </c>
      <c r="P54" s="200">
        <v>6.2139799214711917E-5</v>
      </c>
      <c r="Q54" s="200">
        <v>4.8897097890439776E-5</v>
      </c>
      <c r="R54" s="200">
        <v>3.7929560070049537E-5</v>
      </c>
      <c r="S54" s="200">
        <v>2.9201987123316539E-5</v>
      </c>
      <c r="T54" s="200">
        <v>2.2592515793730918E-5</v>
      </c>
      <c r="U54" s="200">
        <v>1.7554219441830001E-5</v>
      </c>
      <c r="V54" s="200">
        <v>1.3810332985522246E-5</v>
      </c>
      <c r="W54" s="200">
        <v>1.1065346731008375E-5</v>
      </c>
      <c r="X54" s="200">
        <v>9.0477189611988065E-6</v>
      </c>
      <c r="Y54" s="200">
        <v>7.5638889386448377E-6</v>
      </c>
      <c r="Z54" s="200">
        <v>6.4699587127457287E-6</v>
      </c>
      <c r="AA54" s="200">
        <v>5.6632194082957301E-6</v>
      </c>
      <c r="AB54" s="200">
        <v>5.0623711924729117E-6</v>
      </c>
      <c r="AC54" s="200">
        <v>4.6111627543672584E-6</v>
      </c>
      <c r="AD54" s="200">
        <v>4.2691700925556706E-6</v>
      </c>
      <c r="AE54" s="200">
        <v>4.0066439171408242E-6</v>
      </c>
      <c r="AF54" s="200">
        <v>3.8001937570541578E-6</v>
      </c>
    </row>
    <row r="55" spans="1:32" s="221" customFormat="1" ht="14.45" x14ac:dyDescent="0.35">
      <c r="A55" s="806"/>
      <c r="B55" s="808" t="s">
        <v>29</v>
      </c>
      <c r="C55" s="539"/>
      <c r="D55" s="539"/>
      <c r="E55" s="539"/>
      <c r="F55" s="539"/>
      <c r="G55" s="200">
        <v>0</v>
      </c>
      <c r="H55" s="200">
        <v>3.5058552815420228E-6</v>
      </c>
      <c r="I55" s="200">
        <v>1.316686648658666E-5</v>
      </c>
      <c r="J55" s="200">
        <v>2.8139208007455193E-5</v>
      </c>
      <c r="K55" s="200">
        <v>4.6397374734868085E-5</v>
      </c>
      <c r="L55" s="200">
        <v>6.5140598076598882E-5</v>
      </c>
      <c r="M55" s="200">
        <v>8.3236695416037744E-5</v>
      </c>
      <c r="N55" s="200">
        <v>9.9558909977399976E-5</v>
      </c>
      <c r="O55" s="200">
        <v>1.126263289673571E-4</v>
      </c>
      <c r="P55" s="200">
        <v>1.2201111260505494E-4</v>
      </c>
      <c r="Q55" s="200">
        <v>1.2813207797183606E-4</v>
      </c>
      <c r="R55" s="200">
        <v>1.3165817306124629E-4</v>
      </c>
      <c r="S55" s="200">
        <v>1.3329776478132474E-4</v>
      </c>
      <c r="T55" s="200">
        <v>1.3347756289050868E-4</v>
      </c>
      <c r="U55" s="200">
        <v>1.3242368135486007E-4</v>
      </c>
      <c r="V55" s="200">
        <v>1.3002650962218112E-4</v>
      </c>
      <c r="W55" s="200">
        <v>1.2650863436809617E-4</v>
      </c>
      <c r="X55" s="200">
        <v>1.2234929387987161E-4</v>
      </c>
      <c r="Y55" s="200">
        <v>1.1806751031769506E-4</v>
      </c>
      <c r="Z55" s="200">
        <v>1.1396548627837936E-4</v>
      </c>
      <c r="AA55" s="200">
        <v>1.103024500049507E-4</v>
      </c>
      <c r="AB55" s="200">
        <v>1.072257703721355E-4</v>
      </c>
      <c r="AC55" s="200">
        <v>1.0475305041177827E-4</v>
      </c>
      <c r="AD55" s="200">
        <v>1.028359001747481E-4</v>
      </c>
      <c r="AE55" s="200">
        <v>1.012076787804605E-4</v>
      </c>
      <c r="AF55" s="200">
        <v>9.9803048210157119E-5</v>
      </c>
    </row>
    <row r="56" spans="1:32" s="221" customFormat="1" ht="14.45" x14ac:dyDescent="0.35">
      <c r="A56" s="806"/>
      <c r="B56" s="806"/>
      <c r="C56" s="539"/>
      <c r="D56" s="539"/>
      <c r="E56" s="539"/>
      <c r="F56" s="539"/>
      <c r="G56" s="200" t="s">
        <v>73</v>
      </c>
      <c r="H56" s="539" t="s">
        <v>73</v>
      </c>
      <c r="I56" s="539" t="s">
        <v>73</v>
      </c>
      <c r="J56" s="539" t="s">
        <v>73</v>
      </c>
      <c r="K56" s="539" t="s">
        <v>73</v>
      </c>
      <c r="L56" s="539" t="s">
        <v>73</v>
      </c>
      <c r="M56" s="539" t="s">
        <v>73</v>
      </c>
      <c r="N56" s="539" t="s">
        <v>73</v>
      </c>
      <c r="O56" s="539" t="s">
        <v>73</v>
      </c>
      <c r="P56" s="539" t="s">
        <v>73</v>
      </c>
      <c r="Q56" s="539" t="s">
        <v>73</v>
      </c>
      <c r="R56" s="539" t="s">
        <v>73</v>
      </c>
      <c r="S56" s="539" t="s">
        <v>73</v>
      </c>
      <c r="T56" s="539" t="s">
        <v>73</v>
      </c>
      <c r="U56" s="539" t="s">
        <v>73</v>
      </c>
      <c r="V56" s="539" t="s">
        <v>73</v>
      </c>
      <c r="W56" s="539" t="s">
        <v>73</v>
      </c>
      <c r="X56" s="539" t="s">
        <v>73</v>
      </c>
      <c r="Y56" s="539" t="s">
        <v>73</v>
      </c>
      <c r="Z56" s="539" t="s">
        <v>73</v>
      </c>
      <c r="AA56" s="539" t="s">
        <v>73</v>
      </c>
      <c r="AB56" s="539" t="s">
        <v>73</v>
      </c>
      <c r="AC56" s="539" t="s">
        <v>73</v>
      </c>
      <c r="AD56" s="539" t="s">
        <v>73</v>
      </c>
      <c r="AE56" s="539" t="s">
        <v>73</v>
      </c>
      <c r="AF56" s="539" t="s">
        <v>73</v>
      </c>
    </row>
    <row r="57" spans="1:32" s="202" customFormat="1" ht="12.95" x14ac:dyDescent="0.3">
      <c r="A57" s="556" t="s">
        <v>36</v>
      </c>
      <c r="B57" s="556"/>
      <c r="C57" s="556"/>
      <c r="D57" s="556"/>
      <c r="E57" s="556"/>
      <c r="F57" s="556"/>
      <c r="G57" s="241" t="s">
        <v>73</v>
      </c>
      <c r="H57" s="556" t="s">
        <v>73</v>
      </c>
      <c r="I57" s="556" t="s">
        <v>73</v>
      </c>
      <c r="J57" s="556" t="s">
        <v>73</v>
      </c>
      <c r="K57" s="556" t="s">
        <v>73</v>
      </c>
      <c r="L57" s="556" t="s">
        <v>73</v>
      </c>
      <c r="M57" s="556" t="s">
        <v>73</v>
      </c>
      <c r="N57" s="556" t="s">
        <v>73</v>
      </c>
      <c r="O57" s="556" t="s">
        <v>73</v>
      </c>
      <c r="P57" s="556" t="s">
        <v>73</v>
      </c>
      <c r="Q57" s="556" t="s">
        <v>73</v>
      </c>
      <c r="R57" s="556" t="s">
        <v>73</v>
      </c>
      <c r="S57" s="556" t="s">
        <v>73</v>
      </c>
      <c r="T57" s="556" t="s">
        <v>73</v>
      </c>
      <c r="U57" s="556" t="s">
        <v>73</v>
      </c>
      <c r="V57" s="556" t="s">
        <v>73</v>
      </c>
      <c r="W57" s="556" t="s">
        <v>73</v>
      </c>
      <c r="X57" s="556" t="s">
        <v>73</v>
      </c>
      <c r="Y57" s="556" t="s">
        <v>73</v>
      </c>
      <c r="Z57" s="556" t="s">
        <v>73</v>
      </c>
      <c r="AA57" s="556" t="s">
        <v>73</v>
      </c>
      <c r="AB57" s="556" t="s">
        <v>73</v>
      </c>
      <c r="AC57" s="556" t="s">
        <v>73</v>
      </c>
      <c r="AD57" s="556" t="s">
        <v>73</v>
      </c>
      <c r="AE57" s="556" t="s">
        <v>73</v>
      </c>
      <c r="AF57" s="556" t="s">
        <v>73</v>
      </c>
    </row>
    <row r="58" spans="1:32" s="221" customFormat="1" ht="14.45" x14ac:dyDescent="0.35">
      <c r="A58" s="806"/>
      <c r="B58" s="806" t="s">
        <v>37</v>
      </c>
      <c r="C58" s="539"/>
      <c r="D58" s="539"/>
      <c r="E58" s="539"/>
      <c r="F58" s="201"/>
      <c r="G58" s="200">
        <v>0.26078291601899312</v>
      </c>
      <c r="H58" s="200">
        <v>0.22998474847418512</v>
      </c>
      <c r="I58" s="200">
        <v>0.18962672527601515</v>
      </c>
      <c r="J58" s="200">
        <v>0.14524086068651598</v>
      </c>
      <c r="K58" s="200">
        <v>0.1024979860355176</v>
      </c>
      <c r="L58" s="200">
        <v>7.2426461289967312E-2</v>
      </c>
      <c r="M58" s="200">
        <v>5.1210043883662487E-2</v>
      </c>
      <c r="N58" s="200">
        <v>3.6223607367243831E-2</v>
      </c>
      <c r="O58" s="200">
        <v>2.5665241074037344E-2</v>
      </c>
      <c r="P58" s="200">
        <v>1.8214323424851069E-2</v>
      </c>
      <c r="Q58" s="200">
        <v>1.2947692739995456E-2</v>
      </c>
      <c r="R58" s="200">
        <v>9.2190533171424057E-3</v>
      </c>
      <c r="S58" s="200">
        <v>6.5751705705786711E-3</v>
      </c>
      <c r="T58" s="200">
        <v>4.703348662068149E-3</v>
      </c>
      <c r="U58" s="200">
        <v>3.370241916270454E-3</v>
      </c>
      <c r="V58" s="200">
        <v>2.4220940027378447E-3</v>
      </c>
      <c r="W58" s="200">
        <v>1.7458307811796803E-3</v>
      </c>
      <c r="X58" s="200">
        <v>1.2609920894140097E-3</v>
      </c>
      <c r="Y58" s="200">
        <v>9.1371572391962255E-4</v>
      </c>
      <c r="Z58" s="200">
        <v>6.6433079057079424E-4</v>
      </c>
      <c r="AA58" s="200">
        <v>4.8442933488248262E-4</v>
      </c>
      <c r="AB58" s="200">
        <v>3.5469847918674082E-4</v>
      </c>
      <c r="AC58" s="200">
        <v>2.609013606613658E-4</v>
      </c>
      <c r="AD58" s="200">
        <v>1.9278291757518265E-4</v>
      </c>
      <c r="AE58" s="200">
        <v>1.4329114600090462E-4</v>
      </c>
      <c r="AF58" s="200">
        <v>1.0718667055660892E-4</v>
      </c>
    </row>
    <row r="59" spans="1:32" s="221" customFormat="1" ht="14.45" x14ac:dyDescent="0.35">
      <c r="A59" s="806"/>
      <c r="B59" s="806" t="s">
        <v>39</v>
      </c>
      <c r="C59" s="539"/>
      <c r="D59" s="539"/>
      <c r="E59" s="203"/>
      <c r="F59" s="539"/>
      <c r="G59" s="200">
        <v>0.53742228642879963</v>
      </c>
      <c r="H59" s="200">
        <v>0.54197111203463033</v>
      </c>
      <c r="I59" s="200">
        <v>0.54894155009251455</v>
      </c>
      <c r="J59" s="200">
        <v>0.55405512589564898</v>
      </c>
      <c r="K59" s="200">
        <v>0.55433197621494423</v>
      </c>
      <c r="L59" s="200">
        <v>0.54509643514588424</v>
      </c>
      <c r="M59" s="200">
        <v>0.52948981264464479</v>
      </c>
      <c r="N59" s="200">
        <v>0.50960770577989034</v>
      </c>
      <c r="O59" s="200">
        <v>0.48772760468045118</v>
      </c>
      <c r="P59" s="200">
        <v>0.46477059102988277</v>
      </c>
      <c r="Q59" s="200">
        <v>0.4410671232728533</v>
      </c>
      <c r="R59" s="200">
        <v>0.41715033102351695</v>
      </c>
      <c r="S59" s="200">
        <v>0.39340786607938705</v>
      </c>
      <c r="T59" s="200">
        <v>0.37059358372187123</v>
      </c>
      <c r="U59" s="200">
        <v>0.34866294750741844</v>
      </c>
      <c r="V59" s="200">
        <v>0.32791212473664227</v>
      </c>
      <c r="W59" s="200">
        <v>0.30838357336555505</v>
      </c>
      <c r="X59" s="200">
        <v>0.29074859585409396</v>
      </c>
      <c r="Y59" s="200">
        <v>0.27347114298551711</v>
      </c>
      <c r="Z59" s="200">
        <v>0.25738214298610229</v>
      </c>
      <c r="AA59" s="200">
        <v>0.24234809332932336</v>
      </c>
      <c r="AB59" s="200">
        <v>0.22840804691209723</v>
      </c>
      <c r="AC59" s="200">
        <v>0.2154952214245498</v>
      </c>
      <c r="AD59" s="200">
        <v>0.20346083356522393</v>
      </c>
      <c r="AE59" s="200">
        <v>0.19232192351954772</v>
      </c>
      <c r="AF59" s="200">
        <v>0.18196915009655931</v>
      </c>
    </row>
    <row r="60" spans="1:32" s="221" customFormat="1" ht="14.45" x14ac:dyDescent="0.35">
      <c r="A60" s="806"/>
      <c r="B60" s="806" t="s">
        <v>40</v>
      </c>
      <c r="C60" s="539"/>
      <c r="D60" s="539"/>
      <c r="E60" s="539"/>
      <c r="F60" s="539"/>
      <c r="G60" s="200">
        <v>9.8304041800373068E-2</v>
      </c>
      <c r="H60" s="200">
        <v>0.10278018706464705</v>
      </c>
      <c r="I60" s="200">
        <v>0.11217808201663843</v>
      </c>
      <c r="J60" s="200">
        <v>0.12541893956893807</v>
      </c>
      <c r="K60" s="200">
        <v>0.14202383383016984</v>
      </c>
      <c r="L60" s="200">
        <v>0.15811630273959751</v>
      </c>
      <c r="M60" s="200">
        <v>0.17347328289236477</v>
      </c>
      <c r="N60" s="200">
        <v>0.18641654988533132</v>
      </c>
      <c r="O60" s="200">
        <v>0.19776656686439681</v>
      </c>
      <c r="P60" s="200">
        <v>0.20721151550566055</v>
      </c>
      <c r="Q60" s="200">
        <v>0.21455089383576545</v>
      </c>
      <c r="R60" s="200">
        <v>0.21976008816951154</v>
      </c>
      <c r="S60" s="200">
        <v>0.22287617326938342</v>
      </c>
      <c r="T60" s="200">
        <v>0.22403220192981826</v>
      </c>
      <c r="U60" s="200">
        <v>0.22349359398694443</v>
      </c>
      <c r="V60" s="200">
        <v>0.22152274135240435</v>
      </c>
      <c r="W60" s="200">
        <v>0.21842889103915855</v>
      </c>
      <c r="X60" s="200">
        <v>0.21493538912386767</v>
      </c>
      <c r="Y60" s="200">
        <v>0.2102962249119967</v>
      </c>
      <c r="Z60" s="200">
        <v>0.20521921328837361</v>
      </c>
      <c r="AA60" s="200">
        <v>0.19984471890632627</v>
      </c>
      <c r="AB60" s="200">
        <v>0.1943249245647965</v>
      </c>
      <c r="AC60" s="200">
        <v>0.18876079791940933</v>
      </c>
      <c r="AD60" s="200">
        <v>0.18318023254457269</v>
      </c>
      <c r="AE60" s="200">
        <v>0.17768360864888108</v>
      </c>
      <c r="AF60" s="200">
        <v>0.17227444340137751</v>
      </c>
    </row>
    <row r="61" spans="1:32" s="221" customFormat="1" ht="14.45" x14ac:dyDescent="0.35">
      <c r="A61" s="806"/>
      <c r="B61" s="806" t="s">
        <v>29</v>
      </c>
      <c r="C61" s="539"/>
      <c r="D61" s="539"/>
      <c r="E61" s="539"/>
      <c r="F61" s="539"/>
      <c r="G61" s="200">
        <v>0</v>
      </c>
      <c r="H61" s="200">
        <v>7.3941851585383322E-8</v>
      </c>
      <c r="I61" s="200">
        <v>3.1151101671218145E-6</v>
      </c>
      <c r="J61" s="200">
        <v>2.773471930649901E-5</v>
      </c>
      <c r="K61" s="200">
        <v>1.2551716117191453E-4</v>
      </c>
      <c r="L61" s="200">
        <v>3.8772522193684478E-4</v>
      </c>
      <c r="M61" s="200">
        <v>9.4283268771570242E-4</v>
      </c>
      <c r="N61" s="200">
        <v>1.9143286282517545E-3</v>
      </c>
      <c r="O61" s="200">
        <v>3.3565854069410252E-3</v>
      </c>
      <c r="P61" s="200">
        <v>5.3063330455617019E-3</v>
      </c>
      <c r="Q61" s="200">
        <v>7.7849479587321054E-3</v>
      </c>
      <c r="R61" s="200">
        <v>1.0799850468751832E-2</v>
      </c>
      <c r="S61" s="200">
        <v>1.4313616402509888E-2</v>
      </c>
      <c r="T61" s="200">
        <v>1.8197213490866875E-2</v>
      </c>
      <c r="U61" s="200">
        <v>2.2417016708938638E-2</v>
      </c>
      <c r="V61" s="200">
        <v>2.6805915898055858E-2</v>
      </c>
      <c r="W61" s="200">
        <v>3.1269620315618439E-2</v>
      </c>
      <c r="X61" s="200">
        <v>3.5757416568007766E-2</v>
      </c>
      <c r="Y61" s="200">
        <v>4.0136902584972184E-2</v>
      </c>
      <c r="Z61" s="200">
        <v>4.4339919031470283E-2</v>
      </c>
      <c r="AA61" s="200">
        <v>4.8367716741252557E-2</v>
      </c>
      <c r="AB61" s="200">
        <v>5.2166962422681901E-2</v>
      </c>
      <c r="AC61" s="200">
        <v>5.5737250279331366E-2</v>
      </c>
      <c r="AD61" s="200">
        <v>5.9132579445364694E-2</v>
      </c>
      <c r="AE61" s="200">
        <v>6.2284122304699707E-2</v>
      </c>
      <c r="AF61" s="200">
        <v>6.5224459028027079E-2</v>
      </c>
    </row>
    <row r="62" spans="1:32" s="221" customFormat="1" ht="14.45" x14ac:dyDescent="0.35">
      <c r="A62" s="806"/>
      <c r="B62" s="806"/>
      <c r="C62" s="539"/>
      <c r="D62" s="539"/>
      <c r="E62" s="539"/>
      <c r="F62" s="539"/>
      <c r="G62" s="200" t="s">
        <v>73</v>
      </c>
      <c r="H62" s="539" t="s">
        <v>73</v>
      </c>
      <c r="I62" s="539" t="s">
        <v>73</v>
      </c>
      <c r="J62" s="539" t="s">
        <v>73</v>
      </c>
      <c r="K62" s="539" t="s">
        <v>73</v>
      </c>
      <c r="L62" s="539" t="s">
        <v>73</v>
      </c>
      <c r="M62" s="539" t="s">
        <v>73</v>
      </c>
      <c r="N62" s="539" t="s">
        <v>73</v>
      </c>
      <c r="O62" s="539" t="s">
        <v>73</v>
      </c>
      <c r="P62" s="539" t="s">
        <v>73</v>
      </c>
      <c r="Q62" s="539" t="s">
        <v>73</v>
      </c>
      <c r="R62" s="539" t="s">
        <v>73</v>
      </c>
      <c r="S62" s="539" t="s">
        <v>73</v>
      </c>
      <c r="T62" s="539" t="s">
        <v>73</v>
      </c>
      <c r="U62" s="539" t="s">
        <v>73</v>
      </c>
      <c r="V62" s="539" t="s">
        <v>73</v>
      </c>
      <c r="W62" s="539" t="s">
        <v>73</v>
      </c>
      <c r="X62" s="539" t="s">
        <v>73</v>
      </c>
      <c r="Y62" s="539" t="s">
        <v>73</v>
      </c>
      <c r="Z62" s="539" t="s">
        <v>73</v>
      </c>
      <c r="AA62" s="539" t="s">
        <v>73</v>
      </c>
      <c r="AB62" s="539" t="s">
        <v>73</v>
      </c>
      <c r="AC62" s="539" t="s">
        <v>73</v>
      </c>
      <c r="AD62" s="539" t="s">
        <v>73</v>
      </c>
      <c r="AE62" s="539" t="s">
        <v>73</v>
      </c>
      <c r="AF62" s="539" t="s">
        <v>73</v>
      </c>
    </row>
    <row r="63" spans="1:32" s="202" customFormat="1" ht="12.95" x14ac:dyDescent="0.3">
      <c r="A63" s="556" t="s">
        <v>42</v>
      </c>
      <c r="B63" s="556"/>
      <c r="C63" s="556"/>
      <c r="D63" s="556"/>
      <c r="E63" s="556"/>
      <c r="F63" s="556"/>
      <c r="G63" s="241" t="s">
        <v>73</v>
      </c>
      <c r="H63" s="556" t="s">
        <v>73</v>
      </c>
      <c r="I63" s="556" t="s">
        <v>73</v>
      </c>
      <c r="J63" s="556" t="s">
        <v>73</v>
      </c>
      <c r="K63" s="556" t="s">
        <v>73</v>
      </c>
      <c r="L63" s="556" t="s">
        <v>73</v>
      </c>
      <c r="M63" s="556" t="s">
        <v>73</v>
      </c>
      <c r="N63" s="556" t="s">
        <v>73</v>
      </c>
      <c r="O63" s="556" t="s">
        <v>73</v>
      </c>
      <c r="P63" s="556" t="s">
        <v>73</v>
      </c>
      <c r="Q63" s="556" t="s">
        <v>73</v>
      </c>
      <c r="R63" s="556" t="s">
        <v>73</v>
      </c>
      <c r="S63" s="556" t="s">
        <v>73</v>
      </c>
      <c r="T63" s="556" t="s">
        <v>73</v>
      </c>
      <c r="U63" s="556" t="s">
        <v>73</v>
      </c>
      <c r="V63" s="556" t="s">
        <v>73</v>
      </c>
      <c r="W63" s="556" t="s">
        <v>73</v>
      </c>
      <c r="X63" s="556" t="s">
        <v>73</v>
      </c>
      <c r="Y63" s="556" t="s">
        <v>73</v>
      </c>
      <c r="Z63" s="556" t="s">
        <v>73</v>
      </c>
      <c r="AA63" s="556" t="s">
        <v>73</v>
      </c>
      <c r="AB63" s="556" t="s">
        <v>73</v>
      </c>
      <c r="AC63" s="556" t="s">
        <v>73</v>
      </c>
      <c r="AD63" s="556" t="s">
        <v>73</v>
      </c>
      <c r="AE63" s="556" t="s">
        <v>73</v>
      </c>
      <c r="AF63" s="556" t="s">
        <v>73</v>
      </c>
    </row>
    <row r="64" spans="1:32" s="221" customFormat="1" ht="14.45" x14ac:dyDescent="0.35">
      <c r="A64" s="806"/>
      <c r="B64" s="808" t="s">
        <v>43</v>
      </c>
      <c r="C64" s="539"/>
      <c r="D64" s="539"/>
      <c r="E64" s="539"/>
      <c r="F64" s="539"/>
      <c r="G64" s="200">
        <v>0.15787983843978989</v>
      </c>
      <c r="H64" s="200">
        <v>0.14115982779444372</v>
      </c>
      <c r="I64" s="200">
        <v>0.12647674905126499</v>
      </c>
      <c r="J64" s="200">
        <v>0.11354745746351484</v>
      </c>
      <c r="K64" s="200">
        <v>0.10213233234611807</v>
      </c>
      <c r="L64" s="200">
        <v>9.203170936771575E-2</v>
      </c>
      <c r="M64" s="200">
        <v>8.3064921686482718E-2</v>
      </c>
      <c r="N64" s="200">
        <v>7.5100699529063494E-2</v>
      </c>
      <c r="O64" s="200">
        <v>6.8011556072491472E-2</v>
      </c>
      <c r="P64" s="200">
        <v>6.1702254996376757E-2</v>
      </c>
      <c r="Q64" s="200">
        <v>5.607817718826829E-2</v>
      </c>
      <c r="R64" s="200">
        <v>5.1064754457728255E-2</v>
      </c>
      <c r="S64" s="200">
        <v>4.6601202587644115E-2</v>
      </c>
      <c r="T64" s="200">
        <v>4.2625156062367886E-2</v>
      </c>
      <c r="U64" s="200">
        <v>3.9101478359758753E-2</v>
      </c>
      <c r="V64" s="200">
        <v>3.5964973060045452E-2</v>
      </c>
      <c r="W64" s="200">
        <v>3.3188608040800836E-2</v>
      </c>
      <c r="X64" s="200">
        <v>3.0728284010543436E-2</v>
      </c>
      <c r="Y64" s="200">
        <v>2.8546936357301423E-2</v>
      </c>
      <c r="Z64" s="200">
        <v>2.6611659694278231E-2</v>
      </c>
      <c r="AA64" s="200">
        <v>2.488532905532401E-2</v>
      </c>
      <c r="AB64" s="200">
        <v>2.3351504468064669E-2</v>
      </c>
      <c r="AC64" s="200">
        <v>2.1986917995526815E-2</v>
      </c>
      <c r="AD64" s="200">
        <v>2.077104321753994E-2</v>
      </c>
      <c r="AE64" s="200">
        <v>1.9685769823271172E-2</v>
      </c>
      <c r="AF64" s="200">
        <v>1.8714786846659212E-2</v>
      </c>
    </row>
    <row r="65" spans="1:32" s="221" customFormat="1" ht="14.45" x14ac:dyDescent="0.35">
      <c r="A65" s="806"/>
      <c r="B65" s="808" t="s">
        <v>44</v>
      </c>
      <c r="C65" s="539"/>
      <c r="D65" s="539"/>
      <c r="E65" s="539"/>
      <c r="F65" s="539"/>
      <c r="G65" s="200">
        <v>1.094294035111709</v>
      </c>
      <c r="H65" s="200">
        <v>1.0923321412949822</v>
      </c>
      <c r="I65" s="200">
        <v>1.0947322995050548</v>
      </c>
      <c r="J65" s="200">
        <v>1.0906478861828093</v>
      </c>
      <c r="K65" s="200">
        <v>1.0805759118857048</v>
      </c>
      <c r="L65" s="200">
        <v>1.0613331053591739</v>
      </c>
      <c r="M65" s="200">
        <v>1.037260674148307</v>
      </c>
      <c r="N65" s="200">
        <v>1.0098397076440984</v>
      </c>
      <c r="O65" s="200">
        <v>0.97964584306343927</v>
      </c>
      <c r="P65" s="200">
        <v>0.94795822628059545</v>
      </c>
      <c r="Q65" s="200">
        <v>0.91529622416038492</v>
      </c>
      <c r="R65" s="200">
        <v>0.88247913294103619</v>
      </c>
      <c r="S65" s="200">
        <v>0.85039061663551407</v>
      </c>
      <c r="T65" s="200">
        <v>0.81930585707460202</v>
      </c>
      <c r="U65" s="200">
        <v>0.78979363778106382</v>
      </c>
      <c r="V65" s="200">
        <v>0.76192190200345644</v>
      </c>
      <c r="W65" s="200">
        <v>0.73605986261438483</v>
      </c>
      <c r="X65" s="200">
        <v>0.71460679156711659</v>
      </c>
      <c r="Y65" s="200">
        <v>0.69238656068430615</v>
      </c>
      <c r="Z65" s="200">
        <v>0.67191564954232841</v>
      </c>
      <c r="AA65" s="200">
        <v>0.65293899125514698</v>
      </c>
      <c r="AB65" s="200">
        <v>0.63546679960216501</v>
      </c>
      <c r="AC65" s="200">
        <v>0.61935229924442559</v>
      </c>
      <c r="AD65" s="200">
        <v>0.60445234527459668</v>
      </c>
      <c r="AE65" s="200">
        <v>0.5906318406703811</v>
      </c>
      <c r="AF65" s="200">
        <v>0.57776350486501116</v>
      </c>
    </row>
    <row r="66" spans="1:32" s="221" customFormat="1" ht="14.45" x14ac:dyDescent="0.35">
      <c r="A66" s="806"/>
      <c r="B66" s="808" t="s">
        <v>45</v>
      </c>
      <c r="C66" s="539"/>
      <c r="D66" s="539"/>
      <c r="E66" s="539"/>
      <c r="F66" s="539"/>
      <c r="G66" s="200">
        <v>0.18097584535586639</v>
      </c>
      <c r="H66" s="200">
        <v>0.15881778762186732</v>
      </c>
      <c r="I66" s="200">
        <v>0.13969373380672298</v>
      </c>
      <c r="J66" s="200">
        <v>0.1229969941788937</v>
      </c>
      <c r="K66" s="200">
        <v>0.10840437084970865</v>
      </c>
      <c r="L66" s="200">
        <v>9.5637784480702662E-2</v>
      </c>
      <c r="M66" s="200">
        <v>8.4456236801587828E-2</v>
      </c>
      <c r="N66" s="200">
        <v>7.4538402038309221E-2</v>
      </c>
      <c r="O66" s="200">
        <v>6.5846918863128615E-2</v>
      </c>
      <c r="P66" s="200">
        <v>5.8225691057284104E-2</v>
      </c>
      <c r="Q66" s="200">
        <v>5.1537380080609055E-2</v>
      </c>
      <c r="R66" s="200">
        <v>4.5664441824414329E-2</v>
      </c>
      <c r="S66" s="200">
        <v>4.0505711444874894E-2</v>
      </c>
      <c r="T66" s="200">
        <v>3.5971463519931357E-2</v>
      </c>
      <c r="U66" s="200">
        <v>3.2000669394902016E-2</v>
      </c>
      <c r="V66" s="200">
        <v>2.8505602523744372E-2</v>
      </c>
      <c r="W66" s="200">
        <v>2.5440552836239611E-2</v>
      </c>
      <c r="X66" s="200">
        <v>2.2749374765321864E-2</v>
      </c>
      <c r="Y66" s="200">
        <v>2.0383947567714358E-2</v>
      </c>
      <c r="Z66" s="200">
        <v>1.8302599493633366E-2</v>
      </c>
      <c r="AA66" s="200">
        <v>1.6462341017707251E-2</v>
      </c>
      <c r="AB66" s="200">
        <v>1.4840445414649763E-2</v>
      </c>
      <c r="AC66" s="200">
        <v>1.3409386518661259E-2</v>
      </c>
      <c r="AD66" s="200">
        <v>1.2145269802945025E-2</v>
      </c>
      <c r="AE66" s="200">
        <v>1.1027331185033148E-2</v>
      </c>
      <c r="AF66" s="200">
        <v>1.0037484996179713E-2</v>
      </c>
    </row>
    <row r="67" spans="1:32" s="221" customFormat="1" ht="14.45" x14ac:dyDescent="0.35">
      <c r="A67" s="806"/>
      <c r="B67" s="808" t="s">
        <v>46</v>
      </c>
      <c r="C67" s="539"/>
      <c r="D67" s="539"/>
      <c r="E67" s="539"/>
      <c r="F67" s="539"/>
      <c r="G67" s="200">
        <v>0</v>
      </c>
      <c r="H67" s="200">
        <v>0</v>
      </c>
      <c r="I67" s="200">
        <v>0</v>
      </c>
      <c r="J67" s="200">
        <v>0</v>
      </c>
      <c r="K67" s="200">
        <v>0</v>
      </c>
      <c r="L67" s="200">
        <v>0</v>
      </c>
      <c r="M67" s="200">
        <v>0</v>
      </c>
      <c r="N67" s="200">
        <v>0</v>
      </c>
      <c r="O67" s="200">
        <v>0</v>
      </c>
      <c r="P67" s="200">
        <v>0</v>
      </c>
      <c r="Q67" s="200">
        <v>0</v>
      </c>
      <c r="R67" s="200">
        <v>0</v>
      </c>
      <c r="S67" s="200">
        <v>0</v>
      </c>
      <c r="T67" s="200">
        <v>0</v>
      </c>
      <c r="U67" s="200">
        <v>0</v>
      </c>
      <c r="V67" s="200">
        <v>0</v>
      </c>
      <c r="W67" s="200">
        <v>0</v>
      </c>
      <c r="X67" s="200">
        <v>0</v>
      </c>
      <c r="Y67" s="200">
        <v>0</v>
      </c>
      <c r="Z67" s="200">
        <v>0</v>
      </c>
      <c r="AA67" s="200">
        <v>0</v>
      </c>
      <c r="AB67" s="200">
        <v>0</v>
      </c>
      <c r="AC67" s="200">
        <v>0</v>
      </c>
      <c r="AD67" s="200">
        <v>0</v>
      </c>
      <c r="AE67" s="200">
        <v>0</v>
      </c>
      <c r="AF67" s="200">
        <v>0</v>
      </c>
    </row>
    <row r="68" spans="1:32" s="221" customFormat="1" ht="14.45" x14ac:dyDescent="0.35">
      <c r="A68" s="806"/>
      <c r="B68" s="806" t="s">
        <v>29</v>
      </c>
      <c r="C68" s="539"/>
      <c r="D68" s="539"/>
      <c r="E68" s="539"/>
      <c r="F68" s="539"/>
      <c r="G68" s="200">
        <v>0</v>
      </c>
      <c r="H68" s="200">
        <v>6.4422294169206801E-3</v>
      </c>
      <c r="I68" s="200">
        <v>1.2744556104117809E-2</v>
      </c>
      <c r="J68" s="200">
        <v>1.89763198491428E-2</v>
      </c>
      <c r="K68" s="200">
        <v>2.5206680374477014E-2</v>
      </c>
      <c r="L68" s="200">
        <v>3.1440390521441978E-2</v>
      </c>
      <c r="M68" s="200">
        <v>3.7907215382484219E-2</v>
      </c>
      <c r="N68" s="200">
        <v>4.4265102822725451E-2</v>
      </c>
      <c r="O68" s="200">
        <v>5.0580880625024138E-2</v>
      </c>
      <c r="P68" s="200">
        <v>5.66055386655843E-2</v>
      </c>
      <c r="Q68" s="200">
        <v>6.1581691003636946E-2</v>
      </c>
      <c r="R68" s="200">
        <v>6.7268133589203097E-2</v>
      </c>
      <c r="S68" s="200">
        <v>7.1743729026175193E-2</v>
      </c>
      <c r="T68" s="200">
        <v>7.5856193883349465E-2</v>
      </c>
      <c r="U68" s="200">
        <v>7.952200536209833E-2</v>
      </c>
      <c r="V68" s="200">
        <v>8.2807949352638244E-2</v>
      </c>
      <c r="W68" s="200">
        <v>8.5652479082044111E-2</v>
      </c>
      <c r="X68" s="200">
        <v>8.8119791894674712E-2</v>
      </c>
      <c r="Y68" s="200">
        <v>9.0255344408419175E-2</v>
      </c>
      <c r="Z68" s="200">
        <v>9.2098119478160961E-2</v>
      </c>
      <c r="AA68" s="200">
        <v>9.3736872735836169E-2</v>
      </c>
      <c r="AB68" s="200">
        <v>9.5038917149235166E-2</v>
      </c>
      <c r="AC68" s="200">
        <v>9.6033269342263874E-2</v>
      </c>
      <c r="AD68" s="200">
        <v>9.6750713071171127E-2</v>
      </c>
      <c r="AE68" s="200">
        <v>9.7220240704678593E-2</v>
      </c>
      <c r="AF68" s="200">
        <v>9.7470792393544309E-2</v>
      </c>
    </row>
    <row r="69" spans="1:32" s="221" customFormat="1" ht="14.45" x14ac:dyDescent="0.35">
      <c r="A69" s="806"/>
      <c r="B69" s="806"/>
      <c r="C69" s="539"/>
      <c r="D69" s="539"/>
      <c r="E69" s="539"/>
      <c r="F69" s="539"/>
      <c r="G69" s="200" t="s">
        <v>73</v>
      </c>
      <c r="H69" s="539" t="s">
        <v>73</v>
      </c>
      <c r="I69" s="539" t="s">
        <v>73</v>
      </c>
      <c r="J69" s="539" t="s">
        <v>73</v>
      </c>
      <c r="K69" s="539" t="s">
        <v>73</v>
      </c>
      <c r="L69" s="539" t="s">
        <v>73</v>
      </c>
      <c r="M69" s="539" t="s">
        <v>73</v>
      </c>
      <c r="N69" s="539" t="s">
        <v>73</v>
      </c>
      <c r="O69" s="539" t="s">
        <v>73</v>
      </c>
      <c r="P69" s="539" t="s">
        <v>73</v>
      </c>
      <c r="Q69" s="539" t="s">
        <v>73</v>
      </c>
      <c r="R69" s="539" t="s">
        <v>73</v>
      </c>
      <c r="S69" s="539" t="s">
        <v>73</v>
      </c>
      <c r="T69" s="539" t="s">
        <v>73</v>
      </c>
      <c r="U69" s="539" t="s">
        <v>73</v>
      </c>
      <c r="V69" s="539" t="s">
        <v>73</v>
      </c>
      <c r="W69" s="539" t="s">
        <v>73</v>
      </c>
      <c r="X69" s="539" t="s">
        <v>73</v>
      </c>
      <c r="Y69" s="539" t="s">
        <v>73</v>
      </c>
      <c r="Z69" s="539" t="s">
        <v>73</v>
      </c>
      <c r="AA69" s="539" t="s">
        <v>73</v>
      </c>
      <c r="AB69" s="539" t="s">
        <v>73</v>
      </c>
      <c r="AC69" s="539" t="s">
        <v>73</v>
      </c>
      <c r="AD69" s="539" t="s">
        <v>73</v>
      </c>
      <c r="AE69" s="539" t="s">
        <v>73</v>
      </c>
      <c r="AF69" s="539" t="s">
        <v>73</v>
      </c>
    </row>
    <row r="70" spans="1:32" s="202" customFormat="1" ht="12.95" x14ac:dyDescent="0.3">
      <c r="A70" s="556" t="s">
        <v>47</v>
      </c>
      <c r="B70" s="556"/>
      <c r="C70" s="556"/>
      <c r="D70" s="556"/>
      <c r="E70" s="556"/>
      <c r="F70" s="556"/>
      <c r="G70" s="241" t="s">
        <v>73</v>
      </c>
      <c r="H70" s="556" t="s">
        <v>73</v>
      </c>
      <c r="I70" s="556" t="s">
        <v>73</v>
      </c>
      <c r="J70" s="556" t="s">
        <v>73</v>
      </c>
      <c r="K70" s="556" t="s">
        <v>73</v>
      </c>
      <c r="L70" s="556" t="s">
        <v>73</v>
      </c>
      <c r="M70" s="556" t="s">
        <v>73</v>
      </c>
      <c r="N70" s="556" t="s">
        <v>73</v>
      </c>
      <c r="O70" s="556" t="s">
        <v>73</v>
      </c>
      <c r="P70" s="556" t="s">
        <v>73</v>
      </c>
      <c r="Q70" s="556" t="s">
        <v>73</v>
      </c>
      <c r="R70" s="556" t="s">
        <v>73</v>
      </c>
      <c r="S70" s="556" t="s">
        <v>73</v>
      </c>
      <c r="T70" s="556" t="s">
        <v>73</v>
      </c>
      <c r="U70" s="556" t="s">
        <v>73</v>
      </c>
      <c r="V70" s="556" t="s">
        <v>73</v>
      </c>
      <c r="W70" s="556" t="s">
        <v>73</v>
      </c>
      <c r="X70" s="556" t="s">
        <v>73</v>
      </c>
      <c r="Y70" s="556" t="s">
        <v>73</v>
      </c>
      <c r="Z70" s="556" t="s">
        <v>73</v>
      </c>
      <c r="AA70" s="556" t="s">
        <v>73</v>
      </c>
      <c r="AB70" s="556" t="s">
        <v>73</v>
      </c>
      <c r="AC70" s="556" t="s">
        <v>73</v>
      </c>
      <c r="AD70" s="556" t="s">
        <v>73</v>
      </c>
      <c r="AE70" s="556" t="s">
        <v>73</v>
      </c>
      <c r="AF70" s="556" t="s">
        <v>73</v>
      </c>
    </row>
    <row r="71" spans="1:32" s="221" customFormat="1" ht="14.45" x14ac:dyDescent="0.35">
      <c r="A71" s="806"/>
      <c r="B71" s="806" t="s">
        <v>48</v>
      </c>
      <c r="C71" s="539"/>
      <c r="D71" s="539"/>
      <c r="E71" s="539"/>
      <c r="F71" s="539"/>
      <c r="G71" s="200">
        <v>0</v>
      </c>
      <c r="H71" s="200">
        <v>0</v>
      </c>
      <c r="I71" s="200">
        <v>0</v>
      </c>
      <c r="J71" s="200">
        <v>0</v>
      </c>
      <c r="K71" s="200">
        <v>0</v>
      </c>
      <c r="L71" s="200">
        <v>0</v>
      </c>
      <c r="M71" s="200">
        <v>0</v>
      </c>
      <c r="N71" s="200">
        <v>0</v>
      </c>
      <c r="O71" s="200">
        <v>0</v>
      </c>
      <c r="P71" s="200">
        <v>0</v>
      </c>
      <c r="Q71" s="200">
        <v>0</v>
      </c>
      <c r="R71" s="200">
        <v>0</v>
      </c>
      <c r="S71" s="200">
        <v>0</v>
      </c>
      <c r="T71" s="200">
        <v>0</v>
      </c>
      <c r="U71" s="200">
        <v>0</v>
      </c>
      <c r="V71" s="200">
        <v>0</v>
      </c>
      <c r="W71" s="200">
        <v>0</v>
      </c>
      <c r="X71" s="200">
        <v>0</v>
      </c>
      <c r="Y71" s="200">
        <v>0</v>
      </c>
      <c r="Z71" s="200">
        <v>0</v>
      </c>
      <c r="AA71" s="200">
        <v>0</v>
      </c>
      <c r="AB71" s="200">
        <v>0</v>
      </c>
      <c r="AC71" s="200">
        <v>0</v>
      </c>
      <c r="AD71" s="200">
        <v>0</v>
      </c>
      <c r="AE71" s="200">
        <v>0</v>
      </c>
      <c r="AF71" s="200">
        <v>0</v>
      </c>
    </row>
    <row r="72" spans="1:32" s="221" customFormat="1" ht="14.45" x14ac:dyDescent="0.35">
      <c r="A72" s="806"/>
      <c r="B72" s="808" t="s">
        <v>50</v>
      </c>
      <c r="C72" s="539"/>
      <c r="D72" s="539"/>
      <c r="E72" s="539"/>
      <c r="F72" s="539"/>
      <c r="G72" s="200">
        <v>1.8138265961499634E-4</v>
      </c>
      <c r="H72" s="200">
        <v>1.7218013356382487E-4</v>
      </c>
      <c r="I72" s="200">
        <v>1.5941092226590567E-4</v>
      </c>
      <c r="J72" s="200">
        <v>1.4250589254255383E-4</v>
      </c>
      <c r="K72" s="200">
        <v>1.2220065227210803E-4</v>
      </c>
      <c r="L72" s="200">
        <v>9.9808814955374374E-5</v>
      </c>
      <c r="M72" s="200">
        <v>7.7236648035531856E-5</v>
      </c>
      <c r="N72" s="200">
        <v>5.6486900396631583E-5</v>
      </c>
      <c r="O72" s="200">
        <v>3.9055160154084897E-5</v>
      </c>
      <c r="P72" s="200">
        <v>2.5596084938002907E-5</v>
      </c>
      <c r="Q72" s="200">
        <v>1.5967461901226131E-5</v>
      </c>
      <c r="R72" s="200">
        <v>9.5288999410279327E-6</v>
      </c>
      <c r="S72" s="200">
        <v>5.4697556419481814E-6</v>
      </c>
      <c r="T72" s="200">
        <v>3.036957340007496E-6</v>
      </c>
      <c r="U72" s="200">
        <v>1.6399445711014495E-6</v>
      </c>
      <c r="V72" s="200">
        <v>8.6572728334944842E-7</v>
      </c>
      <c r="W72" s="200">
        <v>4.4883491685063879E-7</v>
      </c>
      <c r="X72" s="200">
        <v>2.2963667013564309E-7</v>
      </c>
      <c r="Y72" s="200">
        <v>1.1646167006423322E-7</v>
      </c>
      <c r="Z72" s="200">
        <v>5.8827298736079503E-8</v>
      </c>
      <c r="AA72" s="200">
        <v>2.9656850464689833E-8</v>
      </c>
      <c r="AB72" s="200">
        <v>1.4944432812152174E-8</v>
      </c>
      <c r="AC72" s="200">
        <v>7.5358416857216049E-9</v>
      </c>
      <c r="AD72" s="200">
        <v>3.8057056932600992E-9</v>
      </c>
      <c r="AE72" s="200">
        <v>1.9259201071975061E-9</v>
      </c>
      <c r="AF72" s="200">
        <v>9.7698999271464951E-10</v>
      </c>
    </row>
    <row r="73" spans="1:32" s="221" customFormat="1" ht="14.45" x14ac:dyDescent="0.35">
      <c r="A73" s="806"/>
      <c r="B73" s="806" t="s">
        <v>51</v>
      </c>
      <c r="C73" s="539"/>
      <c r="D73" s="539"/>
      <c r="E73" s="539"/>
      <c r="F73" s="539"/>
      <c r="G73" s="200">
        <v>1.3113676150037783E-3</v>
      </c>
      <c r="H73" s="200">
        <v>1.2589276753232448E-3</v>
      </c>
      <c r="I73" s="200">
        <v>1.1955749031019836E-3</v>
      </c>
      <c r="J73" s="200">
        <v>1.1204533942251256E-3</v>
      </c>
      <c r="K73" s="200">
        <v>1.0351138885616677E-3</v>
      </c>
      <c r="L73" s="200">
        <v>9.4056648875080794E-4</v>
      </c>
      <c r="M73" s="200">
        <v>8.4150129377702227E-4</v>
      </c>
      <c r="N73" s="200">
        <v>7.4157295655688862E-4</v>
      </c>
      <c r="O73" s="200">
        <v>6.443356791696746E-4</v>
      </c>
      <c r="P73" s="200">
        <v>5.5274372336998475E-4</v>
      </c>
      <c r="Q73" s="200">
        <v>4.6887787487849054E-4</v>
      </c>
      <c r="R73" s="200">
        <v>3.9391979808750657E-4</v>
      </c>
      <c r="S73" s="200">
        <v>3.2827664390473087E-4</v>
      </c>
      <c r="T73" s="200">
        <v>2.7176682753971828E-4</v>
      </c>
      <c r="U73" s="200">
        <v>2.2380593328902225E-4</v>
      </c>
      <c r="V73" s="200">
        <v>1.8356933773193751E-4</v>
      </c>
      <c r="W73" s="200">
        <v>1.5012196776371589E-4</v>
      </c>
      <c r="X73" s="200">
        <v>1.2251487664196903E-4</v>
      </c>
      <c r="Y73" s="200">
        <v>9.9848946247451173E-5</v>
      </c>
      <c r="Z73" s="200">
        <v>8.1311177039633016E-5</v>
      </c>
      <c r="AA73" s="200">
        <v>6.6161459112977567E-5</v>
      </c>
      <c r="AB73" s="200">
        <v>5.383137189940686E-5</v>
      </c>
      <c r="AC73" s="200">
        <v>4.380696998593821E-5</v>
      </c>
      <c r="AD73" s="200">
        <v>3.5661727465626051E-5</v>
      </c>
      <c r="AE73" s="200">
        <v>2.9044640111214819E-5</v>
      </c>
      <c r="AF73" s="200">
        <v>2.3668536050789211E-5</v>
      </c>
    </row>
    <row r="74" spans="1:32" s="221" customFormat="1" ht="14.45" x14ac:dyDescent="0.35">
      <c r="A74" s="806"/>
      <c r="B74" s="806" t="s">
        <v>52</v>
      </c>
      <c r="C74" s="539"/>
      <c r="D74" s="539"/>
      <c r="E74" s="539"/>
      <c r="F74" s="539"/>
      <c r="G74" s="200">
        <v>3.6831174153139738E-3</v>
      </c>
      <c r="H74" s="200">
        <v>3.6196716471478662E-3</v>
      </c>
      <c r="I74" s="200">
        <v>3.5512202081973863E-3</v>
      </c>
      <c r="J74" s="200">
        <v>3.4714290408955377E-3</v>
      </c>
      <c r="K74" s="200">
        <v>3.3790915091332732E-3</v>
      </c>
      <c r="L74" s="200">
        <v>3.270126844831505E-3</v>
      </c>
      <c r="M74" s="200">
        <v>3.147823819465725E-3</v>
      </c>
      <c r="N74" s="200">
        <v>3.0112811373800867E-3</v>
      </c>
      <c r="O74" s="200">
        <v>2.8697372192602252E-3</v>
      </c>
      <c r="P74" s="200">
        <v>2.72546422259366E-3</v>
      </c>
      <c r="Q74" s="200">
        <v>2.5808075654311664E-3</v>
      </c>
      <c r="R74" s="200">
        <v>2.4378585672131378E-3</v>
      </c>
      <c r="S74" s="200">
        <v>2.2983337949355142E-3</v>
      </c>
      <c r="T74" s="200">
        <v>2.1646592782914574E-3</v>
      </c>
      <c r="U74" s="200">
        <v>2.0365160835308389E-3</v>
      </c>
      <c r="V74" s="200">
        <v>1.9154570372904006E-3</v>
      </c>
      <c r="W74" s="200">
        <v>1.8015859720650635E-3</v>
      </c>
      <c r="X74" s="200">
        <v>1.6940461116800069E-3</v>
      </c>
      <c r="Y74" s="200">
        <v>1.5934994757029698E-3</v>
      </c>
      <c r="Z74" s="200">
        <v>1.49960912189998E-3</v>
      </c>
      <c r="AA74" s="200">
        <v>1.4114301273392808E-3</v>
      </c>
      <c r="AB74" s="200">
        <v>1.3292122450774707E-3</v>
      </c>
      <c r="AC74" s="200">
        <v>1.2525346303719185E-3</v>
      </c>
      <c r="AD74" s="200">
        <v>1.180583620813466E-3</v>
      </c>
      <c r="AE74" s="200">
        <v>1.1134547488896353E-3</v>
      </c>
      <c r="AF74" s="200">
        <v>1.0507784634070897E-3</v>
      </c>
    </row>
    <row r="75" spans="1:32" s="221" customFormat="1" ht="14.45" x14ac:dyDescent="0.35">
      <c r="A75" s="806"/>
      <c r="B75" s="808" t="s">
        <v>29</v>
      </c>
      <c r="C75" s="539"/>
      <c r="D75" s="539"/>
      <c r="E75" s="539"/>
      <c r="F75" s="539"/>
      <c r="G75" s="200">
        <v>0</v>
      </c>
      <c r="H75" s="200">
        <v>4.1995176641076292E-5</v>
      </c>
      <c r="I75" s="200">
        <v>9.1415657172823881E-5</v>
      </c>
      <c r="J75" s="200">
        <v>1.4531679424298338E-4</v>
      </c>
      <c r="K75" s="200">
        <v>2.0222757331464706E-4</v>
      </c>
      <c r="L75" s="200">
        <v>2.6093398096353938E-4</v>
      </c>
      <c r="M75" s="200">
        <v>3.2041948417772706E-4</v>
      </c>
      <c r="N75" s="200">
        <v>3.790277485274594E-4</v>
      </c>
      <c r="O75" s="200">
        <v>4.3514598375367846E-4</v>
      </c>
      <c r="P75" s="200">
        <v>4.8752050603818382E-4</v>
      </c>
      <c r="Q75" s="200">
        <v>5.3531659578449084E-4</v>
      </c>
      <c r="R75" s="200">
        <v>5.8011252241177013E-4</v>
      </c>
      <c r="S75" s="200">
        <v>6.2133753735213741E-4</v>
      </c>
      <c r="T75" s="200">
        <v>6.5440964220004E-4</v>
      </c>
      <c r="U75" s="200">
        <v>6.8791729362638083E-4</v>
      </c>
      <c r="V75" s="200">
        <v>7.1226603518501021E-4</v>
      </c>
      <c r="W75" s="200">
        <v>7.322504109506955E-4</v>
      </c>
      <c r="X75" s="200">
        <v>7.4894789112452272E-4</v>
      </c>
      <c r="Y75" s="200">
        <v>7.6290659410613553E-4</v>
      </c>
      <c r="Z75" s="200">
        <v>7.7478433240853466E-4</v>
      </c>
      <c r="AA75" s="200">
        <v>7.8535890173653993E-4</v>
      </c>
      <c r="AB75" s="200">
        <v>7.9489703742723961E-4</v>
      </c>
      <c r="AC75" s="200">
        <v>8.0376849455665784E-4</v>
      </c>
      <c r="AD75" s="200">
        <v>8.1237919240846341E-4</v>
      </c>
      <c r="AE75" s="200">
        <v>8.1986812144204334E-4</v>
      </c>
      <c r="AF75" s="200">
        <v>8.263128315640823E-4</v>
      </c>
    </row>
    <row r="76" spans="1:32" s="221" customFormat="1" ht="14.45" x14ac:dyDescent="0.35">
      <c r="A76" s="806"/>
      <c r="B76" s="808" t="s">
        <v>53</v>
      </c>
      <c r="C76" s="539"/>
      <c r="D76" s="539"/>
      <c r="E76" s="539"/>
      <c r="F76" s="539"/>
      <c r="G76" s="200">
        <v>0</v>
      </c>
      <c r="H76" s="200">
        <v>0</v>
      </c>
      <c r="I76" s="200">
        <v>0</v>
      </c>
      <c r="J76" s="200">
        <v>0</v>
      </c>
      <c r="K76" s="200">
        <v>0</v>
      </c>
      <c r="L76" s="200">
        <v>0</v>
      </c>
      <c r="M76" s="200">
        <v>0</v>
      </c>
      <c r="N76" s="200">
        <v>0</v>
      </c>
      <c r="O76" s="200">
        <v>0</v>
      </c>
      <c r="P76" s="200">
        <v>0</v>
      </c>
      <c r="Q76" s="200">
        <v>0</v>
      </c>
      <c r="R76" s="200">
        <v>0</v>
      </c>
      <c r="S76" s="200">
        <v>0</v>
      </c>
      <c r="T76" s="200">
        <v>0</v>
      </c>
      <c r="U76" s="200">
        <v>0</v>
      </c>
      <c r="V76" s="200">
        <v>0</v>
      </c>
      <c r="W76" s="200">
        <v>0</v>
      </c>
      <c r="X76" s="200">
        <v>0</v>
      </c>
      <c r="Y76" s="200">
        <v>0</v>
      </c>
      <c r="Z76" s="200">
        <v>0</v>
      </c>
      <c r="AA76" s="200">
        <v>0</v>
      </c>
      <c r="AB76" s="200">
        <v>0</v>
      </c>
      <c r="AC76" s="200">
        <v>0</v>
      </c>
      <c r="AD76" s="200">
        <v>0</v>
      </c>
      <c r="AE76" s="200">
        <v>0</v>
      </c>
      <c r="AF76" s="200">
        <v>0</v>
      </c>
    </row>
    <row r="79" spans="1:32" ht="14.45" x14ac:dyDescent="0.35">
      <c r="A79" s="554" t="s">
        <v>57</v>
      </c>
      <c r="B79" s="555"/>
      <c r="C79" s="554"/>
      <c r="D79" s="553"/>
      <c r="E79" s="553"/>
      <c r="F79" s="553"/>
      <c r="G79" s="553"/>
      <c r="H79" s="560"/>
      <c r="I79" s="560"/>
      <c r="J79" s="560"/>
      <c r="K79" s="560"/>
      <c r="L79" s="560"/>
      <c r="M79" s="560"/>
      <c r="N79" s="560"/>
      <c r="O79" s="560"/>
      <c r="P79" s="560"/>
      <c r="Q79" s="560"/>
      <c r="R79" s="560"/>
      <c r="S79" s="560"/>
      <c r="T79" s="560"/>
      <c r="U79" s="560"/>
      <c r="V79" s="560"/>
      <c r="W79" s="560"/>
      <c r="X79" s="560"/>
      <c r="Y79" s="560"/>
      <c r="Z79" s="560"/>
      <c r="AA79" s="560"/>
      <c r="AB79" s="560"/>
      <c r="AC79" s="560"/>
      <c r="AD79" s="560"/>
      <c r="AE79" s="560"/>
      <c r="AF79" s="560"/>
    </row>
    <row r="80" spans="1:32" ht="14.45" x14ac:dyDescent="0.35">
      <c r="A80" s="812" t="s">
        <v>12</v>
      </c>
      <c r="B80" s="806"/>
    </row>
    <row r="81" spans="1:32" ht="14.45" x14ac:dyDescent="0.35">
      <c r="A81" s="806"/>
      <c r="B81" s="806" t="s">
        <v>20</v>
      </c>
    </row>
    <row r="82" spans="1:32" s="202" customFormat="1" ht="12.95" x14ac:dyDescent="0.3">
      <c r="A82" s="556" t="s">
        <v>21</v>
      </c>
      <c r="B82" s="556"/>
      <c r="C82" s="556"/>
      <c r="D82" s="556"/>
      <c r="E82" s="556"/>
      <c r="F82" s="556"/>
      <c r="G82" s="556"/>
      <c r="H82" s="556"/>
      <c r="I82" s="556"/>
      <c r="J82" s="556"/>
      <c r="K82" s="556"/>
      <c r="L82" s="556"/>
      <c r="M82" s="556"/>
      <c r="N82" s="556"/>
      <c r="O82" s="556"/>
      <c r="P82" s="556"/>
      <c r="Q82" s="556"/>
      <c r="R82" s="556"/>
      <c r="S82" s="556"/>
      <c r="T82" s="556"/>
      <c r="U82" s="556"/>
      <c r="V82" s="556"/>
      <c r="W82" s="556"/>
      <c r="X82" s="556"/>
      <c r="Y82" s="556"/>
      <c r="Z82" s="556"/>
      <c r="AA82" s="556"/>
      <c r="AB82" s="556"/>
      <c r="AC82" s="556"/>
      <c r="AD82" s="556"/>
      <c r="AE82" s="556"/>
      <c r="AF82" s="556"/>
    </row>
    <row r="83" spans="1:32" s="221" customFormat="1" ht="14.45" x14ac:dyDescent="0.35">
      <c r="A83" s="806"/>
      <c r="B83" s="806" t="s">
        <v>22</v>
      </c>
      <c r="C83" s="539"/>
      <c r="D83" s="539"/>
      <c r="E83" s="539"/>
      <c r="F83" s="539"/>
      <c r="G83" s="200">
        <v>0</v>
      </c>
      <c r="H83" s="200">
        <v>0</v>
      </c>
      <c r="I83" s="200">
        <v>0</v>
      </c>
      <c r="J83" s="200">
        <v>0</v>
      </c>
      <c r="K83" s="200">
        <v>0</v>
      </c>
      <c r="L83" s="200">
        <v>0</v>
      </c>
      <c r="M83" s="200">
        <v>0</v>
      </c>
      <c r="N83" s="200">
        <v>0</v>
      </c>
      <c r="O83" s="200">
        <v>0</v>
      </c>
      <c r="P83" s="200">
        <v>0</v>
      </c>
      <c r="Q83" s="200">
        <v>0</v>
      </c>
      <c r="R83" s="200">
        <v>0</v>
      </c>
      <c r="S83" s="200">
        <v>0</v>
      </c>
      <c r="T83" s="200">
        <v>0</v>
      </c>
      <c r="U83" s="200">
        <v>0</v>
      </c>
      <c r="V83" s="200">
        <v>0</v>
      </c>
      <c r="W83" s="200">
        <v>0</v>
      </c>
      <c r="X83" s="200">
        <v>0</v>
      </c>
      <c r="Y83" s="200">
        <v>0</v>
      </c>
      <c r="Z83" s="200">
        <v>0</v>
      </c>
      <c r="AA83" s="200">
        <v>0</v>
      </c>
      <c r="AB83" s="200">
        <v>0</v>
      </c>
      <c r="AC83" s="200">
        <v>0</v>
      </c>
      <c r="AD83" s="200">
        <v>0</v>
      </c>
      <c r="AE83" s="200">
        <v>0</v>
      </c>
      <c r="AF83" s="200">
        <v>0</v>
      </c>
    </row>
    <row r="84" spans="1:32" s="221" customFormat="1" ht="14.45" x14ac:dyDescent="0.35">
      <c r="A84" s="806"/>
      <c r="B84" s="806" t="s">
        <v>26</v>
      </c>
      <c r="C84" s="539"/>
      <c r="D84" s="539"/>
      <c r="E84" s="539"/>
      <c r="F84" s="539"/>
      <c r="G84" s="200">
        <v>0</v>
      </c>
      <c r="H84" s="200">
        <v>0</v>
      </c>
      <c r="I84" s="200">
        <v>0</v>
      </c>
      <c r="J84" s="200">
        <v>0</v>
      </c>
      <c r="K84" s="200">
        <v>0</v>
      </c>
      <c r="L84" s="200">
        <v>0</v>
      </c>
      <c r="M84" s="200">
        <v>0</v>
      </c>
      <c r="N84" s="200">
        <v>0</v>
      </c>
      <c r="O84" s="200">
        <v>0</v>
      </c>
      <c r="P84" s="200">
        <v>0</v>
      </c>
      <c r="Q84" s="200">
        <v>0</v>
      </c>
      <c r="R84" s="200">
        <v>0</v>
      </c>
      <c r="S84" s="200">
        <v>0</v>
      </c>
      <c r="T84" s="200">
        <v>0</v>
      </c>
      <c r="U84" s="200">
        <v>0</v>
      </c>
      <c r="V84" s="200">
        <v>0</v>
      </c>
      <c r="W84" s="200">
        <v>0</v>
      </c>
      <c r="X84" s="200">
        <v>0</v>
      </c>
      <c r="Y84" s="200">
        <v>0</v>
      </c>
      <c r="Z84" s="200">
        <v>0</v>
      </c>
      <c r="AA84" s="200">
        <v>0</v>
      </c>
      <c r="AB84" s="200">
        <v>0</v>
      </c>
      <c r="AC84" s="200">
        <v>0</v>
      </c>
      <c r="AD84" s="200">
        <v>0</v>
      </c>
      <c r="AE84" s="200">
        <v>0</v>
      </c>
      <c r="AF84" s="200">
        <v>0</v>
      </c>
    </row>
    <row r="85" spans="1:32" s="221" customFormat="1" ht="14.45" x14ac:dyDescent="0.35">
      <c r="A85" s="806"/>
      <c r="B85" s="806" t="s">
        <v>27</v>
      </c>
      <c r="C85" s="539"/>
      <c r="D85" s="539"/>
      <c r="E85" s="539"/>
      <c r="F85" s="539"/>
      <c r="G85" s="200">
        <v>0</v>
      </c>
      <c r="H85" s="200">
        <v>0</v>
      </c>
      <c r="I85" s="200">
        <v>0</v>
      </c>
      <c r="J85" s="200">
        <v>0</v>
      </c>
      <c r="K85" s="200">
        <v>0</v>
      </c>
      <c r="L85" s="200">
        <v>0</v>
      </c>
      <c r="M85" s="200">
        <v>0</v>
      </c>
      <c r="N85" s="200">
        <v>0</v>
      </c>
      <c r="O85" s="200">
        <v>0</v>
      </c>
      <c r="P85" s="200">
        <v>0</v>
      </c>
      <c r="Q85" s="200">
        <v>0</v>
      </c>
      <c r="R85" s="200">
        <v>0</v>
      </c>
      <c r="S85" s="200">
        <v>0</v>
      </c>
      <c r="T85" s="200">
        <v>0</v>
      </c>
      <c r="U85" s="200">
        <v>0</v>
      </c>
      <c r="V85" s="200">
        <v>0</v>
      </c>
      <c r="W85" s="200">
        <v>0</v>
      </c>
      <c r="X85" s="200">
        <v>0</v>
      </c>
      <c r="Y85" s="200">
        <v>0</v>
      </c>
      <c r="Z85" s="200">
        <v>0</v>
      </c>
      <c r="AA85" s="200">
        <v>0</v>
      </c>
      <c r="AB85" s="200">
        <v>0</v>
      </c>
      <c r="AC85" s="200">
        <v>0</v>
      </c>
      <c r="AD85" s="200">
        <v>0</v>
      </c>
      <c r="AE85" s="200">
        <v>0</v>
      </c>
      <c r="AF85" s="200">
        <v>0</v>
      </c>
    </row>
    <row r="86" spans="1:32" s="221" customFormat="1" ht="14.45" x14ac:dyDescent="0.35">
      <c r="A86" s="806"/>
      <c r="B86" s="806" t="s">
        <v>29</v>
      </c>
      <c r="C86" s="539"/>
      <c r="D86" s="539"/>
      <c r="E86" s="539"/>
      <c r="F86" s="539"/>
      <c r="G86" s="200">
        <v>0</v>
      </c>
      <c r="H86" s="200">
        <v>0</v>
      </c>
      <c r="I86" s="200">
        <v>0</v>
      </c>
      <c r="J86" s="200">
        <v>0</v>
      </c>
      <c r="K86" s="200">
        <v>0</v>
      </c>
      <c r="L86" s="200">
        <v>0</v>
      </c>
      <c r="M86" s="200">
        <v>0</v>
      </c>
      <c r="N86" s="200">
        <v>0</v>
      </c>
      <c r="O86" s="200">
        <v>0</v>
      </c>
      <c r="P86" s="200">
        <v>0</v>
      </c>
      <c r="Q86" s="200">
        <v>0</v>
      </c>
      <c r="R86" s="200">
        <v>0</v>
      </c>
      <c r="S86" s="200">
        <v>0</v>
      </c>
      <c r="T86" s="200">
        <v>0</v>
      </c>
      <c r="U86" s="200">
        <v>0</v>
      </c>
      <c r="V86" s="200">
        <v>0</v>
      </c>
      <c r="W86" s="200">
        <v>0</v>
      </c>
      <c r="X86" s="200">
        <v>0</v>
      </c>
      <c r="Y86" s="200">
        <v>0</v>
      </c>
      <c r="Z86" s="200">
        <v>0</v>
      </c>
      <c r="AA86" s="200">
        <v>0</v>
      </c>
      <c r="AB86" s="200">
        <v>0</v>
      </c>
      <c r="AC86" s="200">
        <v>0</v>
      </c>
      <c r="AD86" s="200">
        <v>0</v>
      </c>
      <c r="AE86" s="200">
        <v>0</v>
      </c>
      <c r="AF86" s="200">
        <v>0</v>
      </c>
    </row>
    <row r="87" spans="1:32" s="221" customFormat="1" ht="14.45" x14ac:dyDescent="0.35">
      <c r="A87" s="806"/>
      <c r="B87" s="806"/>
      <c r="C87" s="539"/>
      <c r="D87" s="539"/>
      <c r="E87" s="539"/>
      <c r="F87" s="539"/>
      <c r="G87" s="200" t="s">
        <v>73</v>
      </c>
      <c r="H87" s="539" t="s">
        <v>73</v>
      </c>
      <c r="I87" s="539" t="s">
        <v>73</v>
      </c>
      <c r="J87" s="539" t="s">
        <v>73</v>
      </c>
      <c r="K87" s="539" t="s">
        <v>73</v>
      </c>
      <c r="L87" s="539" t="s">
        <v>73</v>
      </c>
      <c r="M87" s="539" t="s">
        <v>73</v>
      </c>
      <c r="N87" s="539" t="s">
        <v>73</v>
      </c>
      <c r="O87" s="539" t="s">
        <v>73</v>
      </c>
      <c r="P87" s="539" t="s">
        <v>73</v>
      </c>
      <c r="Q87" s="539" t="s">
        <v>73</v>
      </c>
      <c r="R87" s="539" t="s">
        <v>73</v>
      </c>
      <c r="S87" s="539" t="s">
        <v>73</v>
      </c>
      <c r="T87" s="539" t="s">
        <v>73</v>
      </c>
      <c r="U87" s="539" t="s">
        <v>73</v>
      </c>
      <c r="V87" s="539" t="s">
        <v>73</v>
      </c>
      <c r="W87" s="539" t="s">
        <v>73</v>
      </c>
      <c r="X87" s="539" t="s">
        <v>73</v>
      </c>
      <c r="Y87" s="539" t="s">
        <v>73</v>
      </c>
      <c r="Z87" s="539" t="s">
        <v>73</v>
      </c>
      <c r="AA87" s="539" t="s">
        <v>73</v>
      </c>
      <c r="AB87" s="539" t="s">
        <v>73</v>
      </c>
      <c r="AC87" s="539" t="s">
        <v>73</v>
      </c>
      <c r="AD87" s="539" t="s">
        <v>73</v>
      </c>
      <c r="AE87" s="539" t="s">
        <v>73</v>
      </c>
      <c r="AF87" s="539" t="s">
        <v>73</v>
      </c>
    </row>
    <row r="88" spans="1:32" s="202" customFormat="1" ht="12.95" x14ac:dyDescent="0.3">
      <c r="A88" s="556" t="s">
        <v>32</v>
      </c>
      <c r="B88" s="556"/>
      <c r="C88" s="556"/>
      <c r="D88" s="556"/>
      <c r="E88" s="556"/>
      <c r="F88" s="556"/>
      <c r="G88" s="241" t="s">
        <v>73</v>
      </c>
      <c r="H88" s="556" t="s">
        <v>73</v>
      </c>
      <c r="I88" s="556" t="s">
        <v>73</v>
      </c>
      <c r="J88" s="556" t="s">
        <v>73</v>
      </c>
      <c r="K88" s="556" t="s">
        <v>73</v>
      </c>
      <c r="L88" s="556" t="s">
        <v>73</v>
      </c>
      <c r="M88" s="556" t="s">
        <v>73</v>
      </c>
      <c r="N88" s="556" t="s">
        <v>73</v>
      </c>
      <c r="O88" s="556" t="s">
        <v>73</v>
      </c>
      <c r="P88" s="556" t="s">
        <v>73</v>
      </c>
      <c r="Q88" s="556" t="s">
        <v>73</v>
      </c>
      <c r="R88" s="556" t="s">
        <v>73</v>
      </c>
      <c r="S88" s="556" t="s">
        <v>73</v>
      </c>
      <c r="T88" s="556" t="s">
        <v>73</v>
      </c>
      <c r="U88" s="556" t="s">
        <v>73</v>
      </c>
      <c r="V88" s="556" t="s">
        <v>73</v>
      </c>
      <c r="W88" s="556" t="s">
        <v>73</v>
      </c>
      <c r="X88" s="556" t="s">
        <v>73</v>
      </c>
      <c r="Y88" s="556" t="s">
        <v>73</v>
      </c>
      <c r="Z88" s="556" t="s">
        <v>73</v>
      </c>
      <c r="AA88" s="556" t="s">
        <v>73</v>
      </c>
      <c r="AB88" s="556" t="s">
        <v>73</v>
      </c>
      <c r="AC88" s="556" t="s">
        <v>73</v>
      </c>
      <c r="AD88" s="556" t="s">
        <v>73</v>
      </c>
      <c r="AE88" s="556" t="s">
        <v>73</v>
      </c>
      <c r="AF88" s="556" t="s">
        <v>73</v>
      </c>
    </row>
    <row r="89" spans="1:32" s="221" customFormat="1" ht="14.45" x14ac:dyDescent="0.35">
      <c r="A89" s="806"/>
      <c r="B89" s="806" t="s">
        <v>33</v>
      </c>
      <c r="C89" s="539"/>
      <c r="D89" s="539"/>
      <c r="E89" s="539"/>
      <c r="F89" s="539"/>
      <c r="G89" s="200">
        <v>0</v>
      </c>
      <c r="H89" s="200">
        <v>0</v>
      </c>
      <c r="I89" s="200">
        <v>0</v>
      </c>
      <c r="J89" s="200">
        <v>0</v>
      </c>
      <c r="K89" s="200">
        <v>0</v>
      </c>
      <c r="L89" s="200">
        <v>0</v>
      </c>
      <c r="M89" s="200">
        <v>0</v>
      </c>
      <c r="N89" s="200">
        <v>0</v>
      </c>
      <c r="O89" s="200">
        <v>0</v>
      </c>
      <c r="P89" s="200">
        <v>0</v>
      </c>
      <c r="Q89" s="200">
        <v>0</v>
      </c>
      <c r="R89" s="200">
        <v>0</v>
      </c>
      <c r="S89" s="200">
        <v>0</v>
      </c>
      <c r="T89" s="200">
        <v>0</v>
      </c>
      <c r="U89" s="200">
        <v>0</v>
      </c>
      <c r="V89" s="200">
        <v>0</v>
      </c>
      <c r="W89" s="200">
        <v>0</v>
      </c>
      <c r="X89" s="200">
        <v>0</v>
      </c>
      <c r="Y89" s="200">
        <v>0</v>
      </c>
      <c r="Z89" s="200">
        <v>0</v>
      </c>
      <c r="AA89" s="200">
        <v>0</v>
      </c>
      <c r="AB89" s="200">
        <v>0</v>
      </c>
      <c r="AC89" s="200">
        <v>0</v>
      </c>
      <c r="AD89" s="200">
        <v>0</v>
      </c>
      <c r="AE89" s="200">
        <v>0</v>
      </c>
      <c r="AF89" s="200">
        <v>0</v>
      </c>
    </row>
    <row r="90" spans="1:32" s="221" customFormat="1" ht="14.45" x14ac:dyDescent="0.35">
      <c r="A90" s="808"/>
      <c r="B90" s="808" t="s">
        <v>34</v>
      </c>
      <c r="C90" s="539"/>
      <c r="D90" s="539"/>
      <c r="E90" s="539"/>
      <c r="F90" s="539"/>
      <c r="G90" s="200">
        <v>0</v>
      </c>
      <c r="H90" s="200">
        <v>0</v>
      </c>
      <c r="I90" s="200">
        <v>0</v>
      </c>
      <c r="J90" s="200">
        <v>0</v>
      </c>
      <c r="K90" s="200">
        <v>0</v>
      </c>
      <c r="L90" s="200">
        <v>0</v>
      </c>
      <c r="M90" s="200">
        <v>0</v>
      </c>
      <c r="N90" s="200">
        <v>0</v>
      </c>
      <c r="O90" s="200">
        <v>0</v>
      </c>
      <c r="P90" s="200">
        <v>0</v>
      </c>
      <c r="Q90" s="200">
        <v>0</v>
      </c>
      <c r="R90" s="200">
        <v>0</v>
      </c>
      <c r="S90" s="200">
        <v>0</v>
      </c>
      <c r="T90" s="200">
        <v>0</v>
      </c>
      <c r="U90" s="200">
        <v>0</v>
      </c>
      <c r="V90" s="200">
        <v>0</v>
      </c>
      <c r="W90" s="200">
        <v>0</v>
      </c>
      <c r="X90" s="200">
        <v>0</v>
      </c>
      <c r="Y90" s="200">
        <v>0</v>
      </c>
      <c r="Z90" s="200">
        <v>0</v>
      </c>
      <c r="AA90" s="200">
        <v>0</v>
      </c>
      <c r="AB90" s="200">
        <v>0</v>
      </c>
      <c r="AC90" s="200">
        <v>0</v>
      </c>
      <c r="AD90" s="200">
        <v>0</v>
      </c>
      <c r="AE90" s="200">
        <v>0</v>
      </c>
      <c r="AF90" s="200">
        <v>0</v>
      </c>
    </row>
    <row r="91" spans="1:32" s="221" customFormat="1" ht="14.45" x14ac:dyDescent="0.35">
      <c r="A91" s="806"/>
      <c r="B91" s="808" t="s">
        <v>35</v>
      </c>
      <c r="C91" s="539"/>
      <c r="D91" s="539"/>
      <c r="E91" s="539"/>
      <c r="F91" s="539"/>
      <c r="G91" s="200">
        <v>0</v>
      </c>
      <c r="H91" s="200">
        <v>0</v>
      </c>
      <c r="I91" s="200">
        <v>0</v>
      </c>
      <c r="J91" s="200">
        <v>0</v>
      </c>
      <c r="K91" s="200">
        <v>0</v>
      </c>
      <c r="L91" s="200">
        <v>0</v>
      </c>
      <c r="M91" s="200">
        <v>0</v>
      </c>
      <c r="N91" s="200">
        <v>0</v>
      </c>
      <c r="O91" s="200">
        <v>0</v>
      </c>
      <c r="P91" s="200">
        <v>0</v>
      </c>
      <c r="Q91" s="200">
        <v>0</v>
      </c>
      <c r="R91" s="200">
        <v>0</v>
      </c>
      <c r="S91" s="200">
        <v>0</v>
      </c>
      <c r="T91" s="200">
        <v>0</v>
      </c>
      <c r="U91" s="200">
        <v>0</v>
      </c>
      <c r="V91" s="200">
        <v>0</v>
      </c>
      <c r="W91" s="200">
        <v>0</v>
      </c>
      <c r="X91" s="200">
        <v>0</v>
      </c>
      <c r="Y91" s="200">
        <v>0</v>
      </c>
      <c r="Z91" s="200">
        <v>0</v>
      </c>
      <c r="AA91" s="200">
        <v>0</v>
      </c>
      <c r="AB91" s="200">
        <v>0</v>
      </c>
      <c r="AC91" s="200">
        <v>0</v>
      </c>
      <c r="AD91" s="200">
        <v>0</v>
      </c>
      <c r="AE91" s="200">
        <v>0</v>
      </c>
      <c r="AF91" s="200">
        <v>0</v>
      </c>
    </row>
    <row r="92" spans="1:32" s="221" customFormat="1" ht="14.45" x14ac:dyDescent="0.35">
      <c r="A92" s="806"/>
      <c r="B92" s="808" t="s">
        <v>29</v>
      </c>
      <c r="C92" s="539"/>
      <c r="D92" s="539"/>
      <c r="E92" s="539"/>
      <c r="F92" s="539"/>
      <c r="G92" s="200">
        <v>0</v>
      </c>
      <c r="H92" s="200">
        <v>0</v>
      </c>
      <c r="I92" s="200">
        <v>0</v>
      </c>
      <c r="J92" s="200">
        <v>0</v>
      </c>
      <c r="K92" s="200">
        <v>0</v>
      </c>
      <c r="L92" s="200">
        <v>0</v>
      </c>
      <c r="M92" s="200">
        <v>0</v>
      </c>
      <c r="N92" s="200">
        <v>0</v>
      </c>
      <c r="O92" s="200">
        <v>0</v>
      </c>
      <c r="P92" s="200">
        <v>0</v>
      </c>
      <c r="Q92" s="200">
        <v>0</v>
      </c>
      <c r="R92" s="200">
        <v>0</v>
      </c>
      <c r="S92" s="200">
        <v>0</v>
      </c>
      <c r="T92" s="200">
        <v>0</v>
      </c>
      <c r="U92" s="200">
        <v>0</v>
      </c>
      <c r="V92" s="200">
        <v>0</v>
      </c>
      <c r="W92" s="200">
        <v>0</v>
      </c>
      <c r="X92" s="200">
        <v>0</v>
      </c>
      <c r="Y92" s="200">
        <v>0</v>
      </c>
      <c r="Z92" s="200">
        <v>0</v>
      </c>
      <c r="AA92" s="200">
        <v>0</v>
      </c>
      <c r="AB92" s="200">
        <v>0</v>
      </c>
      <c r="AC92" s="200">
        <v>0</v>
      </c>
      <c r="AD92" s="200">
        <v>0</v>
      </c>
      <c r="AE92" s="200">
        <v>0</v>
      </c>
      <c r="AF92" s="200">
        <v>0</v>
      </c>
    </row>
    <row r="93" spans="1:32" s="221" customFormat="1" ht="14.45" x14ac:dyDescent="0.35">
      <c r="A93" s="806"/>
      <c r="B93" s="806"/>
      <c r="C93" s="539"/>
      <c r="D93" s="539"/>
      <c r="E93" s="539"/>
      <c r="F93" s="539"/>
      <c r="G93" s="200" t="s">
        <v>73</v>
      </c>
      <c r="H93" s="539" t="s">
        <v>73</v>
      </c>
      <c r="I93" s="539" t="s">
        <v>73</v>
      </c>
      <c r="J93" s="539" t="s">
        <v>73</v>
      </c>
      <c r="K93" s="539" t="s">
        <v>73</v>
      </c>
      <c r="L93" s="539" t="s">
        <v>73</v>
      </c>
      <c r="M93" s="539" t="s">
        <v>73</v>
      </c>
      <c r="N93" s="539" t="s">
        <v>73</v>
      </c>
      <c r="O93" s="539" t="s">
        <v>73</v>
      </c>
      <c r="P93" s="539" t="s">
        <v>73</v>
      </c>
      <c r="Q93" s="539" t="s">
        <v>73</v>
      </c>
      <c r="R93" s="539" t="s">
        <v>73</v>
      </c>
      <c r="S93" s="539" t="s">
        <v>73</v>
      </c>
      <c r="T93" s="539" t="s">
        <v>73</v>
      </c>
      <c r="U93" s="539" t="s">
        <v>73</v>
      </c>
      <c r="V93" s="539" t="s">
        <v>73</v>
      </c>
      <c r="W93" s="539" t="s">
        <v>73</v>
      </c>
      <c r="X93" s="539" t="s">
        <v>73</v>
      </c>
      <c r="Y93" s="539" t="s">
        <v>73</v>
      </c>
      <c r="Z93" s="539" t="s">
        <v>73</v>
      </c>
      <c r="AA93" s="539" t="s">
        <v>73</v>
      </c>
      <c r="AB93" s="539" t="s">
        <v>73</v>
      </c>
      <c r="AC93" s="539" t="s">
        <v>73</v>
      </c>
      <c r="AD93" s="539" t="s">
        <v>73</v>
      </c>
      <c r="AE93" s="539" t="s">
        <v>73</v>
      </c>
      <c r="AF93" s="539" t="s">
        <v>73</v>
      </c>
    </row>
    <row r="94" spans="1:32" s="202" customFormat="1" ht="12.95" x14ac:dyDescent="0.3">
      <c r="A94" s="556" t="s">
        <v>36</v>
      </c>
      <c r="B94" s="556"/>
      <c r="C94" s="556"/>
      <c r="D94" s="556"/>
      <c r="E94" s="556"/>
      <c r="F94" s="556"/>
      <c r="G94" s="241" t="s">
        <v>73</v>
      </c>
      <c r="H94" s="556" t="s">
        <v>73</v>
      </c>
      <c r="I94" s="556" t="s">
        <v>73</v>
      </c>
      <c r="J94" s="556" t="s">
        <v>73</v>
      </c>
      <c r="K94" s="556" t="s">
        <v>73</v>
      </c>
      <c r="L94" s="556" t="s">
        <v>73</v>
      </c>
      <c r="M94" s="556" t="s">
        <v>73</v>
      </c>
      <c r="N94" s="556" t="s">
        <v>73</v>
      </c>
      <c r="O94" s="556" t="s">
        <v>73</v>
      </c>
      <c r="P94" s="556" t="s">
        <v>73</v>
      </c>
      <c r="Q94" s="556" t="s">
        <v>73</v>
      </c>
      <c r="R94" s="556" t="s">
        <v>73</v>
      </c>
      <c r="S94" s="556" t="s">
        <v>73</v>
      </c>
      <c r="T94" s="556" t="s">
        <v>73</v>
      </c>
      <c r="U94" s="556" t="s">
        <v>73</v>
      </c>
      <c r="V94" s="556" t="s">
        <v>73</v>
      </c>
      <c r="W94" s="556" t="s">
        <v>73</v>
      </c>
      <c r="X94" s="556" t="s">
        <v>73</v>
      </c>
      <c r="Y94" s="556" t="s">
        <v>73</v>
      </c>
      <c r="Z94" s="556" t="s">
        <v>73</v>
      </c>
      <c r="AA94" s="556" t="s">
        <v>73</v>
      </c>
      <c r="AB94" s="556" t="s">
        <v>73</v>
      </c>
      <c r="AC94" s="556" t="s">
        <v>73</v>
      </c>
      <c r="AD94" s="556" t="s">
        <v>73</v>
      </c>
      <c r="AE94" s="556" t="s">
        <v>73</v>
      </c>
      <c r="AF94" s="556" t="s">
        <v>73</v>
      </c>
    </row>
    <row r="95" spans="1:32" s="221" customFormat="1" ht="14.45" x14ac:dyDescent="0.35">
      <c r="A95" s="806"/>
      <c r="B95" s="806" t="s">
        <v>37</v>
      </c>
      <c r="C95" s="539"/>
      <c r="D95" s="539"/>
      <c r="E95" s="539"/>
      <c r="F95" s="201"/>
      <c r="G95" s="200">
        <v>0</v>
      </c>
      <c r="H95" s="200">
        <v>0</v>
      </c>
      <c r="I95" s="200">
        <v>0</v>
      </c>
      <c r="J95" s="200">
        <v>0</v>
      </c>
      <c r="K95" s="200">
        <v>0</v>
      </c>
      <c r="L95" s="200">
        <v>0</v>
      </c>
      <c r="M95" s="200">
        <v>0</v>
      </c>
      <c r="N95" s="200">
        <v>0</v>
      </c>
      <c r="O95" s="200">
        <v>0</v>
      </c>
      <c r="P95" s="200">
        <v>0</v>
      </c>
      <c r="Q95" s="200">
        <v>0</v>
      </c>
      <c r="R95" s="200">
        <v>0</v>
      </c>
      <c r="S95" s="200">
        <v>0</v>
      </c>
      <c r="T95" s="200">
        <v>0</v>
      </c>
      <c r="U95" s="200">
        <v>0</v>
      </c>
      <c r="V95" s="200">
        <v>0</v>
      </c>
      <c r="W95" s="200">
        <v>0</v>
      </c>
      <c r="X95" s="200">
        <v>0</v>
      </c>
      <c r="Y95" s="200">
        <v>0</v>
      </c>
      <c r="Z95" s="200">
        <v>0</v>
      </c>
      <c r="AA95" s="200">
        <v>0</v>
      </c>
      <c r="AB95" s="200">
        <v>0</v>
      </c>
      <c r="AC95" s="200">
        <v>0</v>
      </c>
      <c r="AD95" s="200">
        <v>0</v>
      </c>
      <c r="AE95" s="200">
        <v>0</v>
      </c>
      <c r="AF95" s="200">
        <v>0</v>
      </c>
    </row>
    <row r="96" spans="1:32" s="221" customFormat="1" ht="14.45" x14ac:dyDescent="0.35">
      <c r="A96" s="806"/>
      <c r="B96" s="806" t="s">
        <v>39</v>
      </c>
      <c r="C96" s="539"/>
      <c r="D96" s="539"/>
      <c r="E96" s="203"/>
      <c r="F96" s="539"/>
      <c r="G96" s="200">
        <v>0</v>
      </c>
      <c r="H96" s="200">
        <v>0</v>
      </c>
      <c r="I96" s="200">
        <v>0</v>
      </c>
      <c r="J96" s="200">
        <v>0</v>
      </c>
      <c r="K96" s="200">
        <v>0</v>
      </c>
      <c r="L96" s="200">
        <v>0</v>
      </c>
      <c r="M96" s="200">
        <v>0</v>
      </c>
      <c r="N96" s="200">
        <v>0</v>
      </c>
      <c r="O96" s="200">
        <v>0</v>
      </c>
      <c r="P96" s="200">
        <v>0</v>
      </c>
      <c r="Q96" s="200">
        <v>0</v>
      </c>
      <c r="R96" s="200">
        <v>0</v>
      </c>
      <c r="S96" s="200">
        <v>0</v>
      </c>
      <c r="T96" s="200">
        <v>0</v>
      </c>
      <c r="U96" s="200">
        <v>0</v>
      </c>
      <c r="V96" s="200">
        <v>0</v>
      </c>
      <c r="W96" s="200">
        <v>0</v>
      </c>
      <c r="X96" s="200">
        <v>0</v>
      </c>
      <c r="Y96" s="200">
        <v>0</v>
      </c>
      <c r="Z96" s="200">
        <v>0</v>
      </c>
      <c r="AA96" s="200">
        <v>0</v>
      </c>
      <c r="AB96" s="200">
        <v>0</v>
      </c>
      <c r="AC96" s="200">
        <v>0</v>
      </c>
      <c r="AD96" s="200">
        <v>0</v>
      </c>
      <c r="AE96" s="200">
        <v>0</v>
      </c>
      <c r="AF96" s="200">
        <v>0</v>
      </c>
    </row>
    <row r="97" spans="1:32" s="221" customFormat="1" ht="14.45" x14ac:dyDescent="0.35">
      <c r="A97" s="806"/>
      <c r="B97" s="806" t="s">
        <v>40</v>
      </c>
      <c r="C97" s="539"/>
      <c r="D97" s="539"/>
      <c r="E97" s="539"/>
      <c r="F97" s="539"/>
      <c r="G97" s="200">
        <v>0</v>
      </c>
      <c r="H97" s="200">
        <v>0</v>
      </c>
      <c r="I97" s="200">
        <v>0</v>
      </c>
      <c r="J97" s="200">
        <v>0</v>
      </c>
      <c r="K97" s="200">
        <v>0</v>
      </c>
      <c r="L97" s="200">
        <v>0</v>
      </c>
      <c r="M97" s="200">
        <v>0</v>
      </c>
      <c r="N97" s="200">
        <v>0</v>
      </c>
      <c r="O97" s="200">
        <v>0</v>
      </c>
      <c r="P97" s="200">
        <v>0</v>
      </c>
      <c r="Q97" s="200">
        <v>0</v>
      </c>
      <c r="R97" s="200">
        <v>0</v>
      </c>
      <c r="S97" s="200">
        <v>0</v>
      </c>
      <c r="T97" s="200">
        <v>0</v>
      </c>
      <c r="U97" s="200">
        <v>0</v>
      </c>
      <c r="V97" s="200">
        <v>0</v>
      </c>
      <c r="W97" s="200">
        <v>0</v>
      </c>
      <c r="X97" s="200">
        <v>0</v>
      </c>
      <c r="Y97" s="200">
        <v>0</v>
      </c>
      <c r="Z97" s="200">
        <v>0</v>
      </c>
      <c r="AA97" s="200">
        <v>0</v>
      </c>
      <c r="AB97" s="200">
        <v>0</v>
      </c>
      <c r="AC97" s="200">
        <v>0</v>
      </c>
      <c r="AD97" s="200">
        <v>0</v>
      </c>
      <c r="AE97" s="200">
        <v>0</v>
      </c>
      <c r="AF97" s="200">
        <v>0</v>
      </c>
    </row>
    <row r="98" spans="1:32" s="221" customFormat="1" ht="14.45" x14ac:dyDescent="0.35">
      <c r="A98" s="806"/>
      <c r="B98" s="806" t="s">
        <v>29</v>
      </c>
      <c r="C98" s="539"/>
      <c r="D98" s="539"/>
      <c r="E98" s="539"/>
      <c r="F98" s="539"/>
      <c r="G98" s="200">
        <v>0</v>
      </c>
      <c r="H98" s="200">
        <v>0</v>
      </c>
      <c r="I98" s="200">
        <v>0</v>
      </c>
      <c r="J98" s="200">
        <v>0</v>
      </c>
      <c r="K98" s="200">
        <v>0</v>
      </c>
      <c r="L98" s="200">
        <v>0</v>
      </c>
      <c r="M98" s="200">
        <v>0</v>
      </c>
      <c r="N98" s="200">
        <v>0</v>
      </c>
      <c r="O98" s="200">
        <v>0</v>
      </c>
      <c r="P98" s="200">
        <v>0</v>
      </c>
      <c r="Q98" s="200">
        <v>0</v>
      </c>
      <c r="R98" s="200">
        <v>0</v>
      </c>
      <c r="S98" s="200">
        <v>0</v>
      </c>
      <c r="T98" s="200">
        <v>0</v>
      </c>
      <c r="U98" s="200">
        <v>0</v>
      </c>
      <c r="V98" s="200">
        <v>0</v>
      </c>
      <c r="W98" s="200">
        <v>0</v>
      </c>
      <c r="X98" s="200">
        <v>0</v>
      </c>
      <c r="Y98" s="200">
        <v>0</v>
      </c>
      <c r="Z98" s="200">
        <v>0</v>
      </c>
      <c r="AA98" s="200">
        <v>0</v>
      </c>
      <c r="AB98" s="200">
        <v>0</v>
      </c>
      <c r="AC98" s="200">
        <v>0</v>
      </c>
      <c r="AD98" s="200">
        <v>0</v>
      </c>
      <c r="AE98" s="200">
        <v>0</v>
      </c>
      <c r="AF98" s="200">
        <v>0</v>
      </c>
    </row>
    <row r="99" spans="1:32" s="221" customFormat="1" ht="14.45" x14ac:dyDescent="0.35">
      <c r="A99" s="806"/>
      <c r="B99" s="806"/>
      <c r="C99" s="539"/>
      <c r="D99" s="539"/>
      <c r="E99" s="539"/>
      <c r="F99" s="539"/>
      <c r="G99" s="200" t="s">
        <v>73</v>
      </c>
      <c r="H99" s="539" t="s">
        <v>73</v>
      </c>
      <c r="I99" s="539" t="s">
        <v>73</v>
      </c>
      <c r="J99" s="539" t="s">
        <v>73</v>
      </c>
      <c r="K99" s="539" t="s">
        <v>73</v>
      </c>
      <c r="L99" s="539" t="s">
        <v>73</v>
      </c>
      <c r="M99" s="539" t="s">
        <v>73</v>
      </c>
      <c r="N99" s="539" t="s">
        <v>73</v>
      </c>
      <c r="O99" s="539" t="s">
        <v>73</v>
      </c>
      <c r="P99" s="539" t="s">
        <v>73</v>
      </c>
      <c r="Q99" s="539" t="s">
        <v>73</v>
      </c>
      <c r="R99" s="539" t="s">
        <v>73</v>
      </c>
      <c r="S99" s="539" t="s">
        <v>73</v>
      </c>
      <c r="T99" s="539" t="s">
        <v>73</v>
      </c>
      <c r="U99" s="539" t="s">
        <v>73</v>
      </c>
      <c r="V99" s="539" t="s">
        <v>73</v>
      </c>
      <c r="W99" s="539" t="s">
        <v>73</v>
      </c>
      <c r="X99" s="539" t="s">
        <v>73</v>
      </c>
      <c r="Y99" s="539" t="s">
        <v>73</v>
      </c>
      <c r="Z99" s="539" t="s">
        <v>73</v>
      </c>
      <c r="AA99" s="539" t="s">
        <v>73</v>
      </c>
      <c r="AB99" s="539" t="s">
        <v>73</v>
      </c>
      <c r="AC99" s="539" t="s">
        <v>73</v>
      </c>
      <c r="AD99" s="539" t="s">
        <v>73</v>
      </c>
      <c r="AE99" s="539" t="s">
        <v>73</v>
      </c>
      <c r="AF99" s="539" t="s">
        <v>73</v>
      </c>
    </row>
    <row r="100" spans="1:32" s="202" customFormat="1" ht="12.95" x14ac:dyDescent="0.3">
      <c r="A100" s="556" t="s">
        <v>42</v>
      </c>
      <c r="B100" s="556"/>
      <c r="C100" s="556"/>
      <c r="D100" s="556"/>
      <c r="E100" s="556"/>
      <c r="F100" s="556"/>
      <c r="G100" s="241" t="s">
        <v>73</v>
      </c>
      <c r="H100" s="556" t="s">
        <v>73</v>
      </c>
      <c r="I100" s="556" t="s">
        <v>73</v>
      </c>
      <c r="J100" s="556" t="s">
        <v>73</v>
      </c>
      <c r="K100" s="556" t="s">
        <v>73</v>
      </c>
      <c r="L100" s="556" t="s">
        <v>73</v>
      </c>
      <c r="M100" s="556" t="s">
        <v>73</v>
      </c>
      <c r="N100" s="556" t="s">
        <v>73</v>
      </c>
      <c r="O100" s="556" t="s">
        <v>73</v>
      </c>
      <c r="P100" s="556" t="s">
        <v>73</v>
      </c>
      <c r="Q100" s="556" t="s">
        <v>73</v>
      </c>
      <c r="R100" s="556" t="s">
        <v>73</v>
      </c>
      <c r="S100" s="556" t="s">
        <v>73</v>
      </c>
      <c r="T100" s="556" t="s">
        <v>73</v>
      </c>
      <c r="U100" s="556" t="s">
        <v>73</v>
      </c>
      <c r="V100" s="556" t="s">
        <v>73</v>
      </c>
      <c r="W100" s="556" t="s">
        <v>73</v>
      </c>
      <c r="X100" s="556" t="s">
        <v>73</v>
      </c>
      <c r="Y100" s="556" t="s">
        <v>73</v>
      </c>
      <c r="Z100" s="556" t="s">
        <v>73</v>
      </c>
      <c r="AA100" s="556" t="s">
        <v>73</v>
      </c>
      <c r="AB100" s="556" t="s">
        <v>73</v>
      </c>
      <c r="AC100" s="556" t="s">
        <v>73</v>
      </c>
      <c r="AD100" s="556" t="s">
        <v>73</v>
      </c>
      <c r="AE100" s="556" t="s">
        <v>73</v>
      </c>
      <c r="AF100" s="556" t="s">
        <v>73</v>
      </c>
    </row>
    <row r="101" spans="1:32" s="221" customFormat="1" ht="14.45" x14ac:dyDescent="0.35">
      <c r="A101" s="806"/>
      <c r="B101" s="808" t="s">
        <v>43</v>
      </c>
      <c r="C101" s="539"/>
      <c r="D101" s="539"/>
      <c r="E101" s="539"/>
      <c r="F101" s="539"/>
      <c r="G101" s="200">
        <v>0.1488389255569075</v>
      </c>
      <c r="H101" s="200">
        <v>0.13446039928026929</v>
      </c>
      <c r="I101" s="200">
        <v>0.12166010595339805</v>
      </c>
      <c r="J101" s="200">
        <v>0.11020831985538629</v>
      </c>
      <c r="K101" s="200">
        <v>9.9918055346903706E-2</v>
      </c>
      <c r="L101" s="200">
        <v>9.0659373092860471E-2</v>
      </c>
      <c r="M101" s="200">
        <v>8.229136907261525E-2</v>
      </c>
      <c r="N101" s="200">
        <v>7.4725383970472514E-2</v>
      </c>
      <c r="O101" s="200">
        <v>6.7892061654224609E-2</v>
      </c>
      <c r="P101" s="200">
        <v>6.1708788876871888E-2</v>
      </c>
      <c r="Q101" s="200">
        <v>5.6110245816177483E-2</v>
      </c>
      <c r="R101" s="200">
        <v>5.1035965923389846E-2</v>
      </c>
      <c r="S101" s="200">
        <v>4.6437785256578712E-2</v>
      </c>
      <c r="T101" s="200">
        <v>4.2273965011166023E-2</v>
      </c>
      <c r="U101" s="200">
        <v>3.8507952698700415E-2</v>
      </c>
      <c r="V101" s="200">
        <v>3.5103769494429123E-2</v>
      </c>
      <c r="W101" s="200">
        <v>3.2027051569988176E-2</v>
      </c>
      <c r="X101" s="200">
        <v>2.9251100979561184E-2</v>
      </c>
      <c r="Y101" s="200">
        <v>2.6756232935433586E-2</v>
      </c>
      <c r="Z101" s="200">
        <v>2.451291121678164E-2</v>
      </c>
      <c r="AA101" s="200">
        <v>2.248721627648512E-2</v>
      </c>
      <c r="AB101" s="200">
        <v>2.0664442752203166E-2</v>
      </c>
      <c r="AC101" s="200">
        <v>1.9023630013608562E-2</v>
      </c>
      <c r="AD101" s="200">
        <v>1.7545438265651775E-2</v>
      </c>
      <c r="AE101" s="200">
        <v>1.6207536016522778E-2</v>
      </c>
      <c r="AF101" s="200">
        <v>1.4998230459371452E-2</v>
      </c>
    </row>
    <row r="102" spans="1:32" s="221" customFormat="1" ht="14.45" x14ac:dyDescent="0.35">
      <c r="A102" s="806"/>
      <c r="B102" s="808" t="s">
        <v>44</v>
      </c>
      <c r="C102" s="539"/>
      <c r="D102" s="539"/>
      <c r="E102" s="539"/>
      <c r="F102" s="539"/>
      <c r="G102" s="200">
        <v>1.1852934338074761</v>
      </c>
      <c r="H102" s="200">
        <v>1.5510121430988011</v>
      </c>
      <c r="I102" s="200">
        <v>1.8731805190468398</v>
      </c>
      <c r="J102" s="200">
        <v>2.1361351823361181</v>
      </c>
      <c r="K102" s="200">
        <v>2.340866414141348</v>
      </c>
      <c r="L102" s="200">
        <v>2.4930426654956199</v>
      </c>
      <c r="M102" s="200">
        <v>2.586914894648904</v>
      </c>
      <c r="N102" s="200">
        <v>2.6373813932131793</v>
      </c>
      <c r="O102" s="200">
        <v>2.6556895242677752</v>
      </c>
      <c r="P102" s="200">
        <v>2.6441925021887842</v>
      </c>
      <c r="Q102" s="200">
        <v>2.6091699806108077</v>
      </c>
      <c r="R102" s="200">
        <v>2.555318235840955</v>
      </c>
      <c r="S102" s="200">
        <v>2.4877267709960944</v>
      </c>
      <c r="T102" s="200">
        <v>2.4113793286146725</v>
      </c>
      <c r="U102" s="200">
        <v>2.3310365088810214</v>
      </c>
      <c r="V102" s="200">
        <v>2.2493174322219938</v>
      </c>
      <c r="W102" s="200">
        <v>2.1681380064798481</v>
      </c>
      <c r="X102" s="200">
        <v>2.0979897824647931</v>
      </c>
      <c r="Y102" s="200">
        <v>2.0248562493856004</v>
      </c>
      <c r="Z102" s="200">
        <v>1.9567615488523455</v>
      </c>
      <c r="AA102" s="200">
        <v>1.8932520654926026</v>
      </c>
      <c r="AB102" s="200">
        <v>1.8349241894468336</v>
      </c>
      <c r="AC102" s="200">
        <v>1.7817769833343333</v>
      </c>
      <c r="AD102" s="200">
        <v>1.7335368715145283</v>
      </c>
      <c r="AE102" s="200">
        <v>1.6895160301744132</v>
      </c>
      <c r="AF102" s="200">
        <v>1.6495167207150789</v>
      </c>
    </row>
    <row r="103" spans="1:32" s="221" customFormat="1" ht="14.45" x14ac:dyDescent="0.35">
      <c r="A103" s="806"/>
      <c r="B103" s="808" t="s">
        <v>45</v>
      </c>
      <c r="C103" s="539"/>
      <c r="D103" s="539"/>
      <c r="E103" s="539"/>
      <c r="F103" s="539"/>
      <c r="G103" s="200">
        <v>2.273146990126341</v>
      </c>
      <c r="H103" s="200">
        <v>2.0283189634066008</v>
      </c>
      <c r="I103" s="200">
        <v>1.8133879003847688</v>
      </c>
      <c r="J103" s="200">
        <v>1.6222725303660648</v>
      </c>
      <c r="K103" s="200">
        <v>1.4521901013703327</v>
      </c>
      <c r="L103" s="200">
        <v>1.300709789391524</v>
      </c>
      <c r="M103" s="200">
        <v>1.1656807468850423</v>
      </c>
      <c r="N103" s="200">
        <v>1.0452364071082183</v>
      </c>
      <c r="O103" s="200">
        <v>0.93628346885673175</v>
      </c>
      <c r="P103" s="200">
        <v>0.83909434468248323</v>
      </c>
      <c r="Q103" s="200">
        <v>0.75235528151398046</v>
      </c>
      <c r="R103" s="200">
        <v>0.67490067106102614</v>
      </c>
      <c r="S103" s="200">
        <v>0.60570580657136841</v>
      </c>
      <c r="T103" s="200">
        <v>0.54386867166549402</v>
      </c>
      <c r="U103" s="200">
        <v>0.48859331840140108</v>
      </c>
      <c r="V103" s="200">
        <v>0.43916632232713271</v>
      </c>
      <c r="W103" s="200">
        <v>0.39495327966603089</v>
      </c>
      <c r="X103" s="200">
        <v>0.35594396684651564</v>
      </c>
      <c r="Y103" s="200">
        <v>0.32061490649512386</v>
      </c>
      <c r="Z103" s="200">
        <v>0.28908179145004587</v>
      </c>
      <c r="AA103" s="200">
        <v>0.26081893636462111</v>
      </c>
      <c r="AB103" s="200">
        <v>0.23556330529348751</v>
      </c>
      <c r="AC103" s="200">
        <v>0.21297813043329675</v>
      </c>
      <c r="AD103" s="200">
        <v>0.1927656611387005</v>
      </c>
      <c r="AE103" s="200">
        <v>0.17460619818160189</v>
      </c>
      <c r="AF103" s="200">
        <v>0.15833557703109696</v>
      </c>
    </row>
    <row r="104" spans="1:32" s="221" customFormat="1" ht="14.45" x14ac:dyDescent="0.35">
      <c r="A104" s="806"/>
      <c r="B104" s="808" t="s">
        <v>46</v>
      </c>
      <c r="C104" s="539"/>
      <c r="D104" s="539"/>
      <c r="E104" s="539"/>
      <c r="F104" s="539"/>
      <c r="G104" s="200">
        <v>2.5401684173521167E-2</v>
      </c>
      <c r="H104" s="200">
        <v>2.2519399399021811E-2</v>
      </c>
      <c r="I104" s="200">
        <v>2.0053738983737888E-2</v>
      </c>
      <c r="J104" s="200">
        <v>1.7869655329648317E-2</v>
      </c>
      <c r="K104" s="200">
        <v>1.5933616627618562E-2</v>
      </c>
      <c r="L104" s="200">
        <v>1.4216249121817763E-2</v>
      </c>
      <c r="M104" s="200">
        <v>1.269180144345507E-2</v>
      </c>
      <c r="N104" s="200">
        <v>1.133778369349845E-2</v>
      </c>
      <c r="O104" s="200">
        <v>1.0087180616357891E-2</v>
      </c>
      <c r="P104" s="200">
        <v>8.9790904499585933E-3</v>
      </c>
      <c r="Q104" s="200">
        <v>7.9967050704606215E-3</v>
      </c>
      <c r="R104" s="200">
        <v>7.1252652482127277E-3</v>
      </c>
      <c r="S104" s="200">
        <v>6.3518023970664094E-3</v>
      </c>
      <c r="T104" s="200">
        <v>5.6649139436538744E-3</v>
      </c>
      <c r="U104" s="200">
        <v>5.0546688726035667E-3</v>
      </c>
      <c r="V104" s="200">
        <v>4.5122398068849229E-3</v>
      </c>
      <c r="W104" s="200">
        <v>4.0298490696923728E-3</v>
      </c>
      <c r="X104" s="200">
        <v>3.6006397932707877E-3</v>
      </c>
      <c r="Y104" s="200">
        <v>3.2197860466488225E-3</v>
      </c>
      <c r="Z104" s="200">
        <v>2.881540783233496E-3</v>
      </c>
      <c r="AA104" s="200">
        <v>2.5799092379511007E-3</v>
      </c>
      <c r="AB104" s="200">
        <v>2.3116431377236063E-3</v>
      </c>
      <c r="AC104" s="200">
        <v>2.0728374130681159E-3</v>
      </c>
      <c r="AD104" s="200">
        <v>1.8678355133989034E-3</v>
      </c>
      <c r="AE104" s="200">
        <v>1.6766988443540059E-3</v>
      </c>
      <c r="AF104" s="200">
        <v>1.5061917882604938E-3</v>
      </c>
    </row>
    <row r="105" spans="1:32" s="221" customFormat="1" ht="14.45" x14ac:dyDescent="0.35">
      <c r="A105" s="806"/>
      <c r="B105" s="806" t="s">
        <v>29</v>
      </c>
      <c r="C105" s="539"/>
      <c r="D105" s="539"/>
      <c r="E105" s="539"/>
      <c r="F105" s="539"/>
      <c r="G105" s="200">
        <v>0</v>
      </c>
      <c r="H105" s="200">
        <v>7.9017996363500553E-3</v>
      </c>
      <c r="I105" s="200">
        <v>2.3108828944739947E-2</v>
      </c>
      <c r="J105" s="200">
        <v>4.4376706557442525E-2</v>
      </c>
      <c r="K105" s="200">
        <v>7.0316447629713993E-2</v>
      </c>
      <c r="L105" s="200">
        <v>9.9856526008392454E-2</v>
      </c>
      <c r="M105" s="200">
        <v>0.13201545596421635</v>
      </c>
      <c r="N105" s="200">
        <v>0.16694130816825808</v>
      </c>
      <c r="O105" s="200">
        <v>0.20409494209638906</v>
      </c>
      <c r="P105" s="200">
        <v>0.24209775354851334</v>
      </c>
      <c r="Q105" s="200">
        <v>0.28112952550520703</v>
      </c>
      <c r="R105" s="200">
        <v>0.32079148961706033</v>
      </c>
      <c r="S105" s="200">
        <v>0.36083342764814907</v>
      </c>
      <c r="T105" s="200">
        <v>0.39913959242141517</v>
      </c>
      <c r="U105" s="200">
        <v>0.43550742695664602</v>
      </c>
      <c r="V105" s="200">
        <v>0.4701076142294276</v>
      </c>
      <c r="W105" s="200">
        <v>0.50268935543394067</v>
      </c>
      <c r="X105" s="200">
        <v>0.53399310460464366</v>
      </c>
      <c r="Y105" s="200">
        <v>0.56419053251604945</v>
      </c>
      <c r="Z105" s="200">
        <v>0.5930953978210125</v>
      </c>
      <c r="AA105" s="200">
        <v>0.62064939005852782</v>
      </c>
      <c r="AB105" s="200">
        <v>0.64707080506929282</v>
      </c>
      <c r="AC105" s="200">
        <v>0.67265784408704987</v>
      </c>
      <c r="AD105" s="200">
        <v>0.69695315729857155</v>
      </c>
      <c r="AE105" s="200">
        <v>0.72012423984776441</v>
      </c>
      <c r="AF105" s="200">
        <v>0.74218359759030239</v>
      </c>
    </row>
    <row r="106" spans="1:32" s="221" customFormat="1" ht="14.45" x14ac:dyDescent="0.35">
      <c r="A106" s="806"/>
      <c r="B106" s="806"/>
      <c r="C106" s="539"/>
      <c r="D106" s="539"/>
      <c r="E106" s="539"/>
      <c r="F106" s="539"/>
      <c r="G106" s="200" t="s">
        <v>73</v>
      </c>
      <c r="H106" s="539" t="s">
        <v>73</v>
      </c>
      <c r="I106" s="539" t="s">
        <v>73</v>
      </c>
      <c r="J106" s="539" t="s">
        <v>73</v>
      </c>
      <c r="K106" s="539" t="s">
        <v>73</v>
      </c>
      <c r="L106" s="539" t="s">
        <v>73</v>
      </c>
      <c r="M106" s="539" t="s">
        <v>73</v>
      </c>
      <c r="N106" s="539" t="s">
        <v>73</v>
      </c>
      <c r="O106" s="539" t="s">
        <v>73</v>
      </c>
      <c r="P106" s="539" t="s">
        <v>73</v>
      </c>
      <c r="Q106" s="539" t="s">
        <v>73</v>
      </c>
      <c r="R106" s="539" t="s">
        <v>73</v>
      </c>
      <c r="S106" s="539" t="s">
        <v>73</v>
      </c>
      <c r="T106" s="539" t="s">
        <v>73</v>
      </c>
      <c r="U106" s="539" t="s">
        <v>73</v>
      </c>
      <c r="V106" s="539" t="s">
        <v>73</v>
      </c>
      <c r="W106" s="539" t="s">
        <v>73</v>
      </c>
      <c r="X106" s="539" t="s">
        <v>73</v>
      </c>
      <c r="Y106" s="539" t="s">
        <v>73</v>
      </c>
      <c r="Z106" s="539" t="s">
        <v>73</v>
      </c>
      <c r="AA106" s="539" t="s">
        <v>73</v>
      </c>
      <c r="AB106" s="539" t="s">
        <v>73</v>
      </c>
      <c r="AC106" s="539" t="s">
        <v>73</v>
      </c>
      <c r="AD106" s="539" t="s">
        <v>73</v>
      </c>
      <c r="AE106" s="539" t="s">
        <v>73</v>
      </c>
      <c r="AF106" s="539" t="s">
        <v>73</v>
      </c>
    </row>
    <row r="107" spans="1:32" s="202" customFormat="1" ht="12.95" x14ac:dyDescent="0.3">
      <c r="A107" s="556" t="s">
        <v>47</v>
      </c>
      <c r="B107" s="556"/>
      <c r="C107" s="556"/>
      <c r="D107" s="556"/>
      <c r="E107" s="556"/>
      <c r="F107" s="556"/>
      <c r="G107" s="241" t="s">
        <v>73</v>
      </c>
      <c r="H107" s="556" t="s">
        <v>73</v>
      </c>
      <c r="I107" s="556" t="s">
        <v>73</v>
      </c>
      <c r="J107" s="556" t="s">
        <v>73</v>
      </c>
      <c r="K107" s="556" t="s">
        <v>73</v>
      </c>
      <c r="L107" s="556" t="s">
        <v>73</v>
      </c>
      <c r="M107" s="556" t="s">
        <v>73</v>
      </c>
      <c r="N107" s="556" t="s">
        <v>73</v>
      </c>
      <c r="O107" s="556" t="s">
        <v>73</v>
      </c>
      <c r="P107" s="556" t="s">
        <v>73</v>
      </c>
      <c r="Q107" s="556" t="s">
        <v>73</v>
      </c>
      <c r="R107" s="556" t="s">
        <v>73</v>
      </c>
      <c r="S107" s="556" t="s">
        <v>73</v>
      </c>
      <c r="T107" s="556" t="s">
        <v>73</v>
      </c>
      <c r="U107" s="556" t="s">
        <v>73</v>
      </c>
      <c r="V107" s="556" t="s">
        <v>73</v>
      </c>
      <c r="W107" s="556" t="s">
        <v>73</v>
      </c>
      <c r="X107" s="556" t="s">
        <v>73</v>
      </c>
      <c r="Y107" s="556" t="s">
        <v>73</v>
      </c>
      <c r="Z107" s="556" t="s">
        <v>73</v>
      </c>
      <c r="AA107" s="556" t="s">
        <v>73</v>
      </c>
      <c r="AB107" s="556" t="s">
        <v>73</v>
      </c>
      <c r="AC107" s="556" t="s">
        <v>73</v>
      </c>
      <c r="AD107" s="556" t="s">
        <v>73</v>
      </c>
      <c r="AE107" s="556" t="s">
        <v>73</v>
      </c>
      <c r="AF107" s="556" t="s">
        <v>73</v>
      </c>
    </row>
    <row r="108" spans="1:32" s="221" customFormat="1" ht="14.45" x14ac:dyDescent="0.35">
      <c r="A108" s="806"/>
      <c r="B108" s="806" t="s">
        <v>48</v>
      </c>
      <c r="C108" s="539"/>
      <c r="D108" s="539"/>
      <c r="E108" s="539"/>
      <c r="F108" s="539"/>
      <c r="G108" s="200">
        <v>0.17506121711372921</v>
      </c>
      <c r="H108" s="200">
        <v>9.8111705241033884E-3</v>
      </c>
      <c r="I108" s="200">
        <v>3.4767661358985356E-4</v>
      </c>
      <c r="J108" s="200">
        <v>8.2406132692029399E-6</v>
      </c>
      <c r="K108" s="200">
        <v>1.3794450117329156E-7</v>
      </c>
      <c r="L108" s="200">
        <v>1.6695027878907365E-9</v>
      </c>
      <c r="M108" s="200">
        <v>1.5556101516473296E-11</v>
      </c>
      <c r="N108" s="200">
        <v>1.16213794767449E-13</v>
      </c>
      <c r="O108" s="200">
        <v>7.2288772400408639E-16</v>
      </c>
      <c r="P108" s="200">
        <v>3.858587851603877E-18</v>
      </c>
      <c r="Q108" s="200">
        <v>1.8189161241328874E-20</v>
      </c>
      <c r="R108" s="200">
        <v>7.7423487631045131E-23</v>
      </c>
      <c r="S108" s="200">
        <v>3.0382007808648207E-25</v>
      </c>
      <c r="T108" s="200">
        <v>1.1186173709686763E-27</v>
      </c>
      <c r="U108" s="200">
        <v>3.9236523399648748E-30</v>
      </c>
      <c r="V108" s="200">
        <v>1.3281250880187785E-32</v>
      </c>
      <c r="W108" s="200">
        <v>4.3828946658878992E-35</v>
      </c>
      <c r="X108" s="200">
        <v>1.4241003797880133E-37</v>
      </c>
      <c r="Y108" s="200">
        <v>4.5879711487113492E-40</v>
      </c>
      <c r="Z108" s="200">
        <v>1.4727088591956147E-42</v>
      </c>
      <c r="AA108" s="200">
        <v>4.727444184188243E-45</v>
      </c>
      <c r="AB108" s="200">
        <v>1.5223528916279601E-47</v>
      </c>
      <c r="AC108" s="200">
        <v>4.9296517204572771E-50</v>
      </c>
      <c r="AD108" s="200">
        <v>1.607776459144571E-52</v>
      </c>
      <c r="AE108" s="200">
        <v>5.2873439128888108E-55</v>
      </c>
      <c r="AF108" s="200">
        <v>1.7545527437682349E-57</v>
      </c>
    </row>
    <row r="109" spans="1:32" s="221" customFormat="1" ht="14.45" x14ac:dyDescent="0.35">
      <c r="A109" s="806"/>
      <c r="B109" s="808" t="s">
        <v>50</v>
      </c>
      <c r="C109" s="539"/>
      <c r="D109" s="539"/>
      <c r="E109" s="539"/>
      <c r="F109" s="539"/>
      <c r="G109" s="200">
        <v>5.2376358900660634E-2</v>
      </c>
      <c r="H109" s="200">
        <v>2.0414568153781291E-2</v>
      </c>
      <c r="I109" s="200">
        <v>5.6910524357724011E-3</v>
      </c>
      <c r="J109" s="200">
        <v>1.1720397483562402E-3</v>
      </c>
      <c r="K109" s="200">
        <v>1.858097144090856E-4</v>
      </c>
      <c r="L109" s="200">
        <v>2.3751717091703261E-5</v>
      </c>
      <c r="M109" s="200">
        <v>2.5682702923080187E-6</v>
      </c>
      <c r="N109" s="200">
        <v>2.4649802828879735E-7</v>
      </c>
      <c r="O109" s="200">
        <v>2.190608536027994E-8</v>
      </c>
      <c r="P109" s="200">
        <v>1.8616716265649936E-9</v>
      </c>
      <c r="Q109" s="200">
        <v>1.5521733152698666E-10</v>
      </c>
      <c r="R109" s="200">
        <v>1.2922397337123666E-11</v>
      </c>
      <c r="S109" s="200">
        <v>1.0884114458149328E-12</v>
      </c>
      <c r="T109" s="200">
        <v>9.3583061579486267E-14</v>
      </c>
      <c r="U109" s="200">
        <v>8.2644823566495311E-15</v>
      </c>
      <c r="V109" s="200">
        <v>7.5261085801135054E-16</v>
      </c>
      <c r="W109" s="200">
        <v>7.0835703468698542E-17</v>
      </c>
      <c r="X109" s="200">
        <v>6.9012455753704865E-18</v>
      </c>
      <c r="Y109" s="200">
        <v>6.9630227527752041E-19</v>
      </c>
      <c r="Z109" s="200">
        <v>7.2738419289867993E-20</v>
      </c>
      <c r="AA109" s="200">
        <v>7.8627597959285977E-21</v>
      </c>
      <c r="AB109" s="200">
        <v>8.7886142589560545E-22</v>
      </c>
      <c r="AC109" s="200">
        <v>1.0149090404319451E-22</v>
      </c>
      <c r="AD109" s="200">
        <v>1.2096889758023397E-23</v>
      </c>
      <c r="AE109" s="200">
        <v>1.4867006307142936E-24</v>
      </c>
      <c r="AF109" s="200">
        <v>1.8820666293636923E-25</v>
      </c>
    </row>
    <row r="110" spans="1:32" s="221" customFormat="1" ht="14.45" x14ac:dyDescent="0.35">
      <c r="A110" s="806"/>
      <c r="B110" s="806" t="s">
        <v>51</v>
      </c>
      <c r="C110" s="539"/>
      <c r="D110" s="539"/>
      <c r="E110" s="539"/>
      <c r="F110" s="539"/>
      <c r="G110" s="200">
        <v>3.7854159849964583E-2</v>
      </c>
      <c r="H110" s="200">
        <v>3.7210173904814951E-2</v>
      </c>
      <c r="I110" s="200">
        <v>3.623964106037577E-2</v>
      </c>
      <c r="J110" s="200">
        <v>3.484168584175984E-2</v>
      </c>
      <c r="K110" s="200">
        <v>3.3009894440502022E-2</v>
      </c>
      <c r="L110" s="200">
        <v>3.0764195578935404E-2</v>
      </c>
      <c r="M110" s="200">
        <v>2.8209522327975627E-2</v>
      </c>
      <c r="N110" s="200">
        <v>2.5485889031405994E-2</v>
      </c>
      <c r="O110" s="200">
        <v>2.2732451454620026E-2</v>
      </c>
      <c r="P110" s="200">
        <v>2.0021499152142509E-2</v>
      </c>
      <c r="Q110" s="200">
        <v>1.7448331707506544E-2</v>
      </c>
      <c r="R110" s="200">
        <v>1.5056742967436212E-2</v>
      </c>
      <c r="S110" s="200">
        <v>1.28873306267549E-2</v>
      </c>
      <c r="T110" s="200">
        <v>1.0957302453785929E-2</v>
      </c>
      <c r="U110" s="200">
        <v>9.2673745969421868E-3</v>
      </c>
      <c r="V110" s="200">
        <v>7.8062961991560847E-3</v>
      </c>
      <c r="W110" s="200">
        <v>6.5539881730980942E-3</v>
      </c>
      <c r="X110" s="200">
        <v>5.4921691601873546E-3</v>
      </c>
      <c r="Y110" s="200">
        <v>4.5970049886622675E-3</v>
      </c>
      <c r="Z110" s="200">
        <v>3.8444196576003478E-3</v>
      </c>
      <c r="AA110" s="200">
        <v>3.2130297599541986E-3</v>
      </c>
      <c r="AB110" s="200">
        <v>2.684611583830395E-3</v>
      </c>
      <c r="AC110" s="200">
        <v>2.2431413587423086E-3</v>
      </c>
      <c r="AD110" s="200">
        <v>1.8746213350173963E-3</v>
      </c>
      <c r="AE110" s="200">
        <v>1.567137420310424E-3</v>
      </c>
      <c r="AF110" s="200">
        <v>1.3106098509527643E-3</v>
      </c>
    </row>
    <row r="111" spans="1:32" s="221" customFormat="1" ht="14.45" x14ac:dyDescent="0.35">
      <c r="A111" s="806"/>
      <c r="B111" s="806" t="s">
        <v>52</v>
      </c>
      <c r="C111" s="539"/>
      <c r="D111" s="539"/>
      <c r="E111" s="539"/>
      <c r="F111" s="539"/>
      <c r="G111" s="200">
        <v>0.26513092630240315</v>
      </c>
      <c r="H111" s="200">
        <v>0.26652051703346413</v>
      </c>
      <c r="I111" s="200">
        <v>0.26768815962880904</v>
      </c>
      <c r="J111" s="200">
        <v>0.26774972839029715</v>
      </c>
      <c r="K111" s="200">
        <v>0.26636483072553652</v>
      </c>
      <c r="L111" s="200">
        <v>0.26300786911787905</v>
      </c>
      <c r="M111" s="200">
        <v>0.25777760121171334</v>
      </c>
      <c r="N111" s="200">
        <v>0.25086958918620855</v>
      </c>
      <c r="O111" s="200">
        <v>0.24336109781932858</v>
      </c>
      <c r="P111" s="200">
        <v>0.23512391982413125</v>
      </c>
      <c r="Q111" s="200">
        <v>0.22647130492770792</v>
      </c>
      <c r="R111" s="200">
        <v>0.21742433719534168</v>
      </c>
      <c r="S111" s="200">
        <v>0.20821310659760664</v>
      </c>
      <c r="T111" s="200">
        <v>0.19899794058727224</v>
      </c>
      <c r="U111" s="200">
        <v>0.19000233879590298</v>
      </c>
      <c r="V111" s="200">
        <v>0.18121746305345887</v>
      </c>
      <c r="W111" s="200">
        <v>0.17274543175878709</v>
      </c>
      <c r="X111" s="200">
        <v>0.16469851588885467</v>
      </c>
      <c r="Y111" s="200">
        <v>0.15702313900164064</v>
      </c>
      <c r="Z111" s="200">
        <v>0.14975245434068182</v>
      </c>
      <c r="AA111" s="200">
        <v>0.14304084145514509</v>
      </c>
      <c r="AB111" s="200">
        <v>0.13644623160709829</v>
      </c>
      <c r="AC111" s="200">
        <v>0.13021451830267747</v>
      </c>
      <c r="AD111" s="200">
        <v>0.12432532588680913</v>
      </c>
      <c r="AE111" s="200">
        <v>0.11872070629878854</v>
      </c>
      <c r="AF111" s="200">
        <v>0.11342235321113318</v>
      </c>
    </row>
    <row r="112" spans="1:32" s="221" customFormat="1" ht="14.45" x14ac:dyDescent="0.35">
      <c r="A112" s="806"/>
      <c r="B112" s="808" t="s">
        <v>29</v>
      </c>
      <c r="C112" s="539"/>
      <c r="D112" s="539"/>
      <c r="E112" s="539"/>
      <c r="F112" s="539"/>
      <c r="G112" s="200">
        <v>5.647654330730735E-2</v>
      </c>
      <c r="H112" s="200">
        <v>7.9349794081230079E-2</v>
      </c>
      <c r="I112" s="200">
        <v>7.9576577685159827E-2</v>
      </c>
      <c r="J112" s="200">
        <v>7.7490610004704599E-2</v>
      </c>
      <c r="K112" s="200">
        <v>7.5927537517882504E-2</v>
      </c>
      <c r="L112" s="200">
        <v>7.5312229902134264E-2</v>
      </c>
      <c r="M112" s="200">
        <v>7.5638809069717636E-2</v>
      </c>
      <c r="N112" s="200">
        <v>7.6724229819767939E-2</v>
      </c>
      <c r="O112" s="200">
        <v>7.8457712356744341E-2</v>
      </c>
      <c r="P112" s="200">
        <v>8.0618767056328838E-2</v>
      </c>
      <c r="Q112" s="200">
        <v>8.3098226655633115E-2</v>
      </c>
      <c r="R112" s="200">
        <v>8.595852658304462E-2</v>
      </c>
      <c r="S112" s="200">
        <v>8.9055094290654835E-2</v>
      </c>
      <c r="T112" s="200">
        <v>9.22812299390567E-2</v>
      </c>
      <c r="U112" s="200">
        <v>9.3728070185670032E-2</v>
      </c>
      <c r="V112" s="200">
        <v>9.535308336526277E-2</v>
      </c>
      <c r="W112" s="200">
        <v>9.8708503088677194E-2</v>
      </c>
      <c r="X112" s="200">
        <v>0.10054508714277278</v>
      </c>
      <c r="Y112" s="200">
        <v>0.10262857754920587</v>
      </c>
      <c r="Z112" s="200">
        <v>0.10486823106677054</v>
      </c>
      <c r="AA112" s="200">
        <v>0.10721357233260403</v>
      </c>
      <c r="AB112" s="200">
        <v>0.10966117917525062</v>
      </c>
      <c r="AC112" s="200">
        <v>0.11219090046475592</v>
      </c>
      <c r="AD112" s="200">
        <v>0.11481905290072299</v>
      </c>
      <c r="AE112" s="200">
        <v>0.11755268358664749</v>
      </c>
      <c r="AF112" s="200">
        <v>0.12026713366553268</v>
      </c>
    </row>
    <row r="113" spans="1:32" s="221" customFormat="1" ht="14.45" x14ac:dyDescent="0.35">
      <c r="A113" s="806"/>
      <c r="B113" s="808" t="s">
        <v>53</v>
      </c>
      <c r="C113" s="539"/>
      <c r="D113" s="539"/>
      <c r="E113" s="539"/>
      <c r="F113" s="539"/>
      <c r="G113" s="200">
        <v>0</v>
      </c>
      <c r="H113" s="200">
        <v>0</v>
      </c>
      <c r="I113" s="200">
        <v>0</v>
      </c>
      <c r="J113" s="200">
        <v>0</v>
      </c>
      <c r="K113" s="200">
        <v>0</v>
      </c>
      <c r="L113" s="200">
        <v>0</v>
      </c>
      <c r="M113" s="200">
        <v>0</v>
      </c>
      <c r="N113" s="200">
        <v>0</v>
      </c>
      <c r="O113" s="200">
        <v>0</v>
      </c>
      <c r="P113" s="200">
        <v>0</v>
      </c>
      <c r="Q113" s="200">
        <v>0</v>
      </c>
      <c r="R113" s="200">
        <v>0</v>
      </c>
      <c r="S113" s="200">
        <v>0</v>
      </c>
      <c r="T113" s="200">
        <v>0</v>
      </c>
      <c r="U113" s="200">
        <v>0</v>
      </c>
      <c r="V113" s="200">
        <v>0</v>
      </c>
      <c r="W113" s="200">
        <v>0</v>
      </c>
      <c r="X113" s="200">
        <v>0</v>
      </c>
      <c r="Y113" s="200">
        <v>0</v>
      </c>
      <c r="Z113" s="200">
        <v>0</v>
      </c>
      <c r="AA113" s="200">
        <v>0</v>
      </c>
      <c r="AB113" s="200">
        <v>0</v>
      </c>
      <c r="AC113" s="200">
        <v>0</v>
      </c>
      <c r="AD113" s="200">
        <v>0</v>
      </c>
      <c r="AE113" s="200">
        <v>0</v>
      </c>
      <c r="AF113" s="200">
        <v>0</v>
      </c>
    </row>
    <row r="116" spans="1:32" ht="14.45" x14ac:dyDescent="0.35">
      <c r="A116" s="554" t="s">
        <v>54</v>
      </c>
      <c r="B116" s="555"/>
      <c r="C116" s="554"/>
      <c r="D116" s="553"/>
      <c r="E116" s="553"/>
      <c r="F116" s="553"/>
      <c r="G116" s="553"/>
      <c r="H116" s="560"/>
      <c r="I116" s="560"/>
      <c r="J116" s="560"/>
      <c r="K116" s="560"/>
      <c r="L116" s="560"/>
      <c r="M116" s="560"/>
      <c r="N116" s="560"/>
      <c r="O116" s="560"/>
      <c r="P116" s="560"/>
      <c r="Q116" s="560"/>
      <c r="R116" s="560"/>
      <c r="S116" s="560"/>
      <c r="T116" s="560"/>
      <c r="U116" s="560"/>
      <c r="V116" s="560"/>
      <c r="W116" s="560"/>
      <c r="X116" s="560"/>
      <c r="Y116" s="560"/>
      <c r="Z116" s="560"/>
      <c r="AA116" s="560"/>
      <c r="AB116" s="560"/>
      <c r="AC116" s="560"/>
      <c r="AD116" s="560"/>
      <c r="AE116" s="560"/>
      <c r="AF116" s="560"/>
    </row>
    <row r="117" spans="1:32" ht="14.45" x14ac:dyDescent="0.35">
      <c r="A117" s="812" t="s">
        <v>12</v>
      </c>
      <c r="B117" s="806"/>
    </row>
    <row r="118" spans="1:32" ht="14.45" x14ac:dyDescent="0.35">
      <c r="A118" s="806"/>
      <c r="B118" s="806" t="s">
        <v>20</v>
      </c>
    </row>
    <row r="119" spans="1:32" s="202" customFormat="1" ht="12.95" x14ac:dyDescent="0.3">
      <c r="A119" s="556" t="s">
        <v>21</v>
      </c>
      <c r="B119" s="556"/>
      <c r="C119" s="556"/>
      <c r="D119" s="556"/>
      <c r="E119" s="556"/>
      <c r="F119" s="556"/>
      <c r="G119" s="556"/>
      <c r="H119" s="556"/>
      <c r="I119" s="556"/>
      <c r="J119" s="556"/>
      <c r="K119" s="556"/>
      <c r="L119" s="556"/>
      <c r="M119" s="556"/>
      <c r="N119" s="556"/>
      <c r="O119" s="556"/>
      <c r="P119" s="556"/>
      <c r="Q119" s="556"/>
      <c r="R119" s="556"/>
      <c r="S119" s="556"/>
      <c r="T119" s="556"/>
      <c r="U119" s="556"/>
      <c r="V119" s="556"/>
      <c r="W119" s="556"/>
      <c r="X119" s="556"/>
      <c r="Y119" s="556"/>
      <c r="Z119" s="556"/>
      <c r="AA119" s="556"/>
      <c r="AB119" s="556"/>
      <c r="AC119" s="556"/>
      <c r="AD119" s="556"/>
      <c r="AE119" s="556"/>
      <c r="AF119" s="556"/>
    </row>
    <row r="120" spans="1:32" s="221" customFormat="1" ht="14.45" x14ac:dyDescent="0.35">
      <c r="A120" s="806"/>
      <c r="B120" s="806" t="s">
        <v>22</v>
      </c>
      <c r="C120" s="539"/>
      <c r="D120" s="539"/>
      <c r="E120" s="539"/>
      <c r="F120" s="539"/>
      <c r="G120" s="200">
        <v>3.6427408476007375</v>
      </c>
      <c r="H120" s="200">
        <v>3.3750391963540092</v>
      </c>
      <c r="I120" s="200">
        <v>3.045502582735109</v>
      </c>
      <c r="J120" s="200">
        <v>2.4319163917461371</v>
      </c>
      <c r="K120" s="200">
        <v>1.8410529579721109</v>
      </c>
      <c r="L120" s="200">
        <v>1.3177168997953852</v>
      </c>
      <c r="M120" s="200">
        <v>0.79581745491324218</v>
      </c>
      <c r="N120" s="200">
        <v>0.51582176310215333</v>
      </c>
      <c r="O120" s="200">
        <v>0.35956798003806001</v>
      </c>
      <c r="P120" s="200">
        <v>0.26748939185201964</v>
      </c>
      <c r="Q120" s="200">
        <v>0.20805456461005378</v>
      </c>
      <c r="R120" s="200">
        <v>0.1655772236750393</v>
      </c>
      <c r="S120" s="200">
        <v>0.13315866740238053</v>
      </c>
      <c r="T120" s="200">
        <v>0.10733298413737928</v>
      </c>
      <c r="U120" s="200">
        <v>8.6346216738149489E-2</v>
      </c>
      <c r="V120" s="200">
        <v>6.9486766781053921E-2</v>
      </c>
      <c r="W120" s="200">
        <v>5.5940073717207509E-2</v>
      </c>
      <c r="X120" s="200">
        <v>4.5102779239510574E-2</v>
      </c>
      <c r="Y120" s="200">
        <v>3.648660852098292E-2</v>
      </c>
      <c r="Z120" s="200">
        <v>2.9727479169251281E-2</v>
      </c>
      <c r="AA120" s="200">
        <v>2.4487035983091224E-2</v>
      </c>
      <c r="AB120" s="200">
        <v>2.0375357809335339E-2</v>
      </c>
      <c r="AC120" s="200">
        <v>1.713307512825573E-2</v>
      </c>
      <c r="AD120" s="200">
        <v>1.45440701274917E-2</v>
      </c>
      <c r="AE120" s="200">
        <v>1.2442091645669484E-2</v>
      </c>
      <c r="AF120" s="200">
        <v>1.063856317294456E-2</v>
      </c>
    </row>
    <row r="121" spans="1:32" s="221" customFormat="1" ht="14.45" x14ac:dyDescent="0.35">
      <c r="A121" s="806"/>
      <c r="B121" s="806" t="s">
        <v>26</v>
      </c>
      <c r="C121" s="539"/>
      <c r="D121" s="539"/>
      <c r="E121" s="539"/>
      <c r="F121" s="539"/>
      <c r="G121" s="200">
        <v>5.4122202645031502E-2</v>
      </c>
      <c r="H121" s="200">
        <v>5.2400418958181962E-2</v>
      </c>
      <c r="I121" s="200">
        <v>0.1294940610531459</v>
      </c>
      <c r="J121" s="200">
        <v>0.3759179089057294</v>
      </c>
      <c r="K121" s="200">
        <v>0.63139164920933255</v>
      </c>
      <c r="L121" s="200">
        <v>0.79871291817207679</v>
      </c>
      <c r="M121" s="200">
        <v>0.91108383227133172</v>
      </c>
      <c r="N121" s="200">
        <v>0.90668435993844299</v>
      </c>
      <c r="O121" s="200">
        <v>0.85282360590677564</v>
      </c>
      <c r="P121" s="200">
        <v>0.78037033020582436</v>
      </c>
      <c r="Q121" s="200">
        <v>0.7004600802974108</v>
      </c>
      <c r="R121" s="200">
        <v>0.61803578274696991</v>
      </c>
      <c r="S121" s="200">
        <v>0.5381238179427521</v>
      </c>
      <c r="T121" s="200">
        <v>0.46346241129874538</v>
      </c>
      <c r="U121" s="200">
        <v>0.3957556500361511</v>
      </c>
      <c r="V121" s="200">
        <v>0.33675958320392158</v>
      </c>
      <c r="W121" s="200">
        <v>0.28625263581264582</v>
      </c>
      <c r="X121" s="200">
        <v>0.24365032745584017</v>
      </c>
      <c r="Y121" s="200">
        <v>0.2081722268535543</v>
      </c>
      <c r="Z121" s="200">
        <v>0.17915482893390058</v>
      </c>
      <c r="AA121" s="200">
        <v>0.15622551503698467</v>
      </c>
      <c r="AB121" s="200">
        <v>0.1373130966365029</v>
      </c>
      <c r="AC121" s="200">
        <v>0.12192892000087349</v>
      </c>
      <c r="AD121" s="200">
        <v>0.10929468891375994</v>
      </c>
      <c r="AE121" s="200">
        <v>9.8758396176767169E-2</v>
      </c>
      <c r="AF121" s="200">
        <v>8.9464657879111717E-2</v>
      </c>
    </row>
    <row r="122" spans="1:32" s="221" customFormat="1" ht="14.45" x14ac:dyDescent="0.35">
      <c r="A122" s="806"/>
      <c r="B122" s="806" t="s">
        <v>27</v>
      </c>
      <c r="C122" s="539"/>
      <c r="D122" s="539"/>
      <c r="E122" s="539"/>
      <c r="F122" s="539"/>
      <c r="G122" s="200">
        <v>0.61583584632403054</v>
      </c>
      <c r="H122" s="200">
        <v>0.71365376165649008</v>
      </c>
      <c r="I122" s="200">
        <v>0.80426195096040154</v>
      </c>
      <c r="J122" s="200">
        <v>0.91317015020309644</v>
      </c>
      <c r="K122" s="200">
        <v>1.0089075583267482</v>
      </c>
      <c r="L122" s="200">
        <v>1.107036689999976</v>
      </c>
      <c r="M122" s="200">
        <v>1.2106521716945717</v>
      </c>
      <c r="N122" s="200">
        <v>1.2786518787806265</v>
      </c>
      <c r="O122" s="200">
        <v>1.3183060139357925</v>
      </c>
      <c r="P122" s="200">
        <v>1.3340359263275809</v>
      </c>
      <c r="Q122" s="200">
        <v>1.3301006334992067</v>
      </c>
      <c r="R122" s="200">
        <v>1.3098153234452534</v>
      </c>
      <c r="S122" s="200">
        <v>1.2761549387389197</v>
      </c>
      <c r="T122" s="200">
        <v>1.2320827699831278</v>
      </c>
      <c r="U122" s="200">
        <v>1.1805299933544158</v>
      </c>
      <c r="V122" s="200">
        <v>1.1242277140271872</v>
      </c>
      <c r="W122" s="200">
        <v>1.0655159750305254</v>
      </c>
      <c r="X122" s="200">
        <v>1.006368570641252</v>
      </c>
      <c r="Y122" s="200">
        <v>0.94819574006254548</v>
      </c>
      <c r="Z122" s="200">
        <v>0.89005991788266725</v>
      </c>
      <c r="AA122" s="200">
        <v>0.83493812169472548</v>
      </c>
      <c r="AB122" s="200">
        <v>0.78299060405758603</v>
      </c>
      <c r="AC122" s="200">
        <v>0.73447390831782067</v>
      </c>
      <c r="AD122" s="200">
        <v>0.68932547247991238</v>
      </c>
      <c r="AE122" s="200">
        <v>0.64984146508485707</v>
      </c>
      <c r="AF122" s="200">
        <v>0.61109354632393786</v>
      </c>
    </row>
    <row r="123" spans="1:32" s="221" customFormat="1" ht="14.45" x14ac:dyDescent="0.35">
      <c r="A123" s="806"/>
      <c r="B123" s="806" t="s">
        <v>29</v>
      </c>
      <c r="C123" s="539"/>
      <c r="D123" s="539"/>
      <c r="E123" s="539"/>
      <c r="F123" s="539"/>
      <c r="G123" s="200">
        <v>0</v>
      </c>
      <c r="H123" s="200">
        <v>1.797635243151491E-3</v>
      </c>
      <c r="I123" s="200">
        <v>5.1894778523385076E-3</v>
      </c>
      <c r="J123" s="200">
        <v>9.3087878781072005E-3</v>
      </c>
      <c r="K123" s="200">
        <v>1.4610349964009206E-2</v>
      </c>
      <c r="L123" s="200">
        <v>2.1592176508139552E-2</v>
      </c>
      <c r="M123" s="200">
        <v>3.1089948645393852E-2</v>
      </c>
      <c r="N123" s="200">
        <v>4.3251805444947784E-2</v>
      </c>
      <c r="O123" s="200">
        <v>5.8491673857148471E-2</v>
      </c>
      <c r="P123" s="200">
        <v>7.6910073908290966E-2</v>
      </c>
      <c r="Q123" s="200">
        <v>9.8373135032588155E-2</v>
      </c>
      <c r="R123" s="200">
        <v>0.12301620522613602</v>
      </c>
      <c r="S123" s="200">
        <v>0.15021308572687109</v>
      </c>
      <c r="T123" s="200">
        <v>0.17916742122943183</v>
      </c>
      <c r="U123" s="200">
        <v>0.2090851385448701</v>
      </c>
      <c r="V123" s="200">
        <v>0.23924429780743056</v>
      </c>
      <c r="W123" s="200">
        <v>0.26904586382884932</v>
      </c>
      <c r="X123" s="200">
        <v>0.29798837121242272</v>
      </c>
      <c r="Y123" s="200">
        <v>0.32575771714517854</v>
      </c>
      <c r="Z123" s="200">
        <v>0.35221482700719303</v>
      </c>
      <c r="AA123" s="200">
        <v>0.37733931572115126</v>
      </c>
      <c r="AB123" s="200">
        <v>0.40126338434380104</v>
      </c>
      <c r="AC123" s="200">
        <v>0.42387419972195223</v>
      </c>
      <c r="AD123" s="200">
        <v>0.44519793547328135</v>
      </c>
      <c r="AE123" s="200">
        <v>0.46530565481602826</v>
      </c>
      <c r="AF123" s="200">
        <v>0.48432000732500718</v>
      </c>
    </row>
    <row r="124" spans="1:32" s="221" customFormat="1" ht="14.45" x14ac:dyDescent="0.35">
      <c r="A124" s="806"/>
      <c r="B124" s="806"/>
      <c r="C124" s="539"/>
      <c r="D124" s="539"/>
      <c r="E124" s="539"/>
      <c r="F124" s="539"/>
      <c r="G124" s="200" t="s">
        <v>73</v>
      </c>
      <c r="H124" s="539" t="s">
        <v>73</v>
      </c>
      <c r="I124" s="539" t="s">
        <v>73</v>
      </c>
      <c r="J124" s="539" t="s">
        <v>73</v>
      </c>
      <c r="K124" s="539" t="s">
        <v>73</v>
      </c>
      <c r="L124" s="539" t="s">
        <v>73</v>
      </c>
      <c r="M124" s="539" t="s">
        <v>73</v>
      </c>
      <c r="N124" s="539" t="s">
        <v>73</v>
      </c>
      <c r="O124" s="539" t="s">
        <v>73</v>
      </c>
      <c r="P124" s="539" t="s">
        <v>73</v>
      </c>
      <c r="Q124" s="539" t="s">
        <v>73</v>
      </c>
      <c r="R124" s="539" t="s">
        <v>73</v>
      </c>
      <c r="S124" s="539" t="s">
        <v>73</v>
      </c>
      <c r="T124" s="539" t="s">
        <v>73</v>
      </c>
      <c r="U124" s="539" t="s">
        <v>73</v>
      </c>
      <c r="V124" s="539" t="s">
        <v>73</v>
      </c>
      <c r="W124" s="539" t="s">
        <v>73</v>
      </c>
      <c r="X124" s="539" t="s">
        <v>73</v>
      </c>
      <c r="Y124" s="539" t="s">
        <v>73</v>
      </c>
      <c r="Z124" s="539" t="s">
        <v>73</v>
      </c>
      <c r="AA124" s="539" t="s">
        <v>73</v>
      </c>
      <c r="AB124" s="539" t="s">
        <v>73</v>
      </c>
      <c r="AC124" s="539" t="s">
        <v>73</v>
      </c>
      <c r="AD124" s="539" t="s">
        <v>73</v>
      </c>
      <c r="AE124" s="539" t="s">
        <v>73</v>
      </c>
      <c r="AF124" s="539" t="s">
        <v>73</v>
      </c>
    </row>
    <row r="125" spans="1:32" s="202" customFormat="1" ht="12.95" x14ac:dyDescent="0.3">
      <c r="A125" s="556" t="s">
        <v>32</v>
      </c>
      <c r="B125" s="556"/>
      <c r="C125" s="556"/>
      <c r="D125" s="556"/>
      <c r="E125" s="556"/>
      <c r="F125" s="556"/>
      <c r="G125" s="241" t="s">
        <v>73</v>
      </c>
      <c r="H125" s="556" t="s">
        <v>73</v>
      </c>
      <c r="I125" s="556" t="s">
        <v>73</v>
      </c>
      <c r="J125" s="556" t="s">
        <v>73</v>
      </c>
      <c r="K125" s="556" t="s">
        <v>73</v>
      </c>
      <c r="L125" s="556" t="s">
        <v>73</v>
      </c>
      <c r="M125" s="556" t="s">
        <v>73</v>
      </c>
      <c r="N125" s="556" t="s">
        <v>73</v>
      </c>
      <c r="O125" s="556" t="s">
        <v>73</v>
      </c>
      <c r="P125" s="556" t="s">
        <v>73</v>
      </c>
      <c r="Q125" s="556" t="s">
        <v>73</v>
      </c>
      <c r="R125" s="556" t="s">
        <v>73</v>
      </c>
      <c r="S125" s="556" t="s">
        <v>73</v>
      </c>
      <c r="T125" s="556" t="s">
        <v>73</v>
      </c>
      <c r="U125" s="556" t="s">
        <v>73</v>
      </c>
      <c r="V125" s="556" t="s">
        <v>73</v>
      </c>
      <c r="W125" s="556" t="s">
        <v>73</v>
      </c>
      <c r="X125" s="556" t="s">
        <v>73</v>
      </c>
      <c r="Y125" s="556" t="s">
        <v>73</v>
      </c>
      <c r="Z125" s="556" t="s">
        <v>73</v>
      </c>
      <c r="AA125" s="556" t="s">
        <v>73</v>
      </c>
      <c r="AB125" s="556" t="s">
        <v>73</v>
      </c>
      <c r="AC125" s="556" t="s">
        <v>73</v>
      </c>
      <c r="AD125" s="556" t="s">
        <v>73</v>
      </c>
      <c r="AE125" s="556" t="s">
        <v>73</v>
      </c>
      <c r="AF125" s="556" t="s">
        <v>73</v>
      </c>
    </row>
    <row r="126" spans="1:32" s="221" customFormat="1" ht="14.45" x14ac:dyDescent="0.35">
      <c r="A126" s="806"/>
      <c r="B126" s="806" t="s">
        <v>33</v>
      </c>
      <c r="C126" s="539"/>
      <c r="D126" s="539"/>
      <c r="E126" s="539"/>
      <c r="F126" s="539"/>
      <c r="G126" s="200">
        <v>0.82421848468494552</v>
      </c>
      <c r="H126" s="200">
        <v>0.7245554385892371</v>
      </c>
      <c r="I126" s="200">
        <v>0.66574976512918538</v>
      </c>
      <c r="J126" s="200">
        <v>0.6327788011226444</v>
      </c>
      <c r="K126" s="200">
        <v>0.61228628798254514</v>
      </c>
      <c r="L126" s="200">
        <v>0.58640264870345182</v>
      </c>
      <c r="M126" s="200">
        <v>0.55142822975346006</v>
      </c>
      <c r="N126" s="200">
        <v>0.50932158690545659</v>
      </c>
      <c r="O126" s="200">
        <v>0.46207826520932749</v>
      </c>
      <c r="P126" s="200">
        <v>0.41235477436467588</v>
      </c>
      <c r="Q126" s="200">
        <v>0.36174431640342014</v>
      </c>
      <c r="R126" s="200">
        <v>0.31195189343121299</v>
      </c>
      <c r="S126" s="200">
        <v>0.26505290784142327</v>
      </c>
      <c r="T126" s="200">
        <v>0.22235422073335964</v>
      </c>
      <c r="U126" s="200">
        <v>0.18458653412617237</v>
      </c>
      <c r="V126" s="200">
        <v>0.15218431700065813</v>
      </c>
      <c r="W126" s="200">
        <v>0.12491983810984642</v>
      </c>
      <c r="X126" s="200">
        <v>0.10235119031331444</v>
      </c>
      <c r="Y126" s="200">
        <v>8.3905328082820071E-2</v>
      </c>
      <c r="Z126" s="200">
        <v>6.902318615506671E-2</v>
      </c>
      <c r="AA126" s="200">
        <v>5.7149385425277331E-2</v>
      </c>
      <c r="AB126" s="200">
        <v>4.7696552491350748E-2</v>
      </c>
      <c r="AC126" s="200">
        <v>4.0160303311755637E-2</v>
      </c>
      <c r="AD126" s="200">
        <v>3.4138214863901326E-2</v>
      </c>
      <c r="AE126" s="200">
        <v>2.9287279383178436E-2</v>
      </c>
      <c r="AF126" s="200">
        <v>2.5271442862566648E-2</v>
      </c>
    </row>
    <row r="127" spans="1:32" s="221" customFormat="1" ht="14.45" x14ac:dyDescent="0.35">
      <c r="A127" s="808"/>
      <c r="B127" s="808" t="s">
        <v>34</v>
      </c>
      <c r="C127" s="539"/>
      <c r="D127" s="539"/>
      <c r="E127" s="539"/>
      <c r="F127" s="539"/>
      <c r="G127" s="200">
        <v>0.45221057428580463</v>
      </c>
      <c r="H127" s="200">
        <v>0.54171282790580211</v>
      </c>
      <c r="I127" s="200">
        <v>0.57935042444146256</v>
      </c>
      <c r="J127" s="200">
        <v>0.58938325630763366</v>
      </c>
      <c r="K127" s="200">
        <v>0.57807553985479632</v>
      </c>
      <c r="L127" s="200">
        <v>0.565460070667128</v>
      </c>
      <c r="M127" s="200">
        <v>0.54855015781768091</v>
      </c>
      <c r="N127" s="200">
        <v>0.5110230647741042</v>
      </c>
      <c r="O127" s="200">
        <v>0.47310323827305584</v>
      </c>
      <c r="P127" s="200">
        <v>0.43554492100490794</v>
      </c>
      <c r="Q127" s="200">
        <v>0.39941278641340444</v>
      </c>
      <c r="R127" s="200">
        <v>0.36110884102901775</v>
      </c>
      <c r="S127" s="200">
        <v>0.32252740235345051</v>
      </c>
      <c r="T127" s="200">
        <v>0.28516578744401927</v>
      </c>
      <c r="U127" s="200">
        <v>0.25016319502779327</v>
      </c>
      <c r="V127" s="200">
        <v>0.21837414634648489</v>
      </c>
      <c r="W127" s="200">
        <v>0.19014520289906747</v>
      </c>
      <c r="X127" s="200">
        <v>0.16553393612570269</v>
      </c>
      <c r="Y127" s="200">
        <v>0.14439273435649622</v>
      </c>
      <c r="Z127" s="200">
        <v>0.12649837298731306</v>
      </c>
      <c r="AA127" s="200">
        <v>0.11155390387688949</v>
      </c>
      <c r="AB127" s="200">
        <v>9.9176216735600148E-2</v>
      </c>
      <c r="AC127" s="200">
        <v>8.8921970047769056E-2</v>
      </c>
      <c r="AD127" s="200">
        <v>8.040625801466797E-2</v>
      </c>
      <c r="AE127" s="200">
        <v>7.3353827122533924E-2</v>
      </c>
      <c r="AF127" s="200">
        <v>6.740765488096663E-2</v>
      </c>
    </row>
    <row r="128" spans="1:32" s="221" customFormat="1" ht="14.45" x14ac:dyDescent="0.35">
      <c r="A128" s="806"/>
      <c r="B128" s="808" t="s">
        <v>35</v>
      </c>
      <c r="C128" s="539"/>
      <c r="D128" s="539"/>
      <c r="E128" s="539"/>
      <c r="F128" s="539"/>
      <c r="G128" s="200">
        <v>6.3588977834793461E-2</v>
      </c>
      <c r="H128" s="200">
        <v>6.6013774467197583E-2</v>
      </c>
      <c r="I128" s="200">
        <v>6.8540275603549874E-2</v>
      </c>
      <c r="J128" s="200">
        <v>7.1247894831878669E-2</v>
      </c>
      <c r="K128" s="200">
        <v>7.4185666758573979E-2</v>
      </c>
      <c r="L128" s="200">
        <v>7.640555312667828E-2</v>
      </c>
      <c r="M128" s="200">
        <v>7.7994534095133114E-2</v>
      </c>
      <c r="N128" s="200">
        <v>7.8722438021780444E-2</v>
      </c>
      <c r="O128" s="200">
        <v>7.8516606596312669E-2</v>
      </c>
      <c r="P128" s="200">
        <v>7.736988468590196E-2</v>
      </c>
      <c r="Q128" s="200">
        <v>7.5419024572753041E-2</v>
      </c>
      <c r="R128" s="200">
        <v>7.2817059272065623E-2</v>
      </c>
      <c r="S128" s="200">
        <v>6.9718354057800899E-2</v>
      </c>
      <c r="T128" s="200">
        <v>6.6276732400029223E-2</v>
      </c>
      <c r="U128" s="200">
        <v>6.2639890305152698E-2</v>
      </c>
      <c r="V128" s="200">
        <v>5.8935994621289518E-2</v>
      </c>
      <c r="W128" s="200">
        <v>5.5269149772571802E-2</v>
      </c>
      <c r="X128" s="200">
        <v>5.1723660902151913E-2</v>
      </c>
      <c r="Y128" s="200">
        <v>4.8351921873750342E-2</v>
      </c>
      <c r="Z128" s="200">
        <v>4.5073995932550764E-2</v>
      </c>
      <c r="AA128" s="200">
        <v>4.2036603291617118E-2</v>
      </c>
      <c r="AB128" s="200">
        <v>3.9245453484945445E-2</v>
      </c>
      <c r="AC128" s="200">
        <v>3.668437876697668E-2</v>
      </c>
      <c r="AD128" s="200">
        <v>3.4351853078875304E-2</v>
      </c>
      <c r="AE128" s="200">
        <v>3.2231840246573905E-2</v>
      </c>
      <c r="AF128" s="200">
        <v>3.0304404658683129E-2</v>
      </c>
    </row>
    <row r="129" spans="1:32" s="221" customFormat="1" ht="14.45" x14ac:dyDescent="0.35">
      <c r="A129" s="806"/>
      <c r="B129" s="808" t="s">
        <v>29</v>
      </c>
      <c r="C129" s="539"/>
      <c r="D129" s="539"/>
      <c r="E129" s="539"/>
      <c r="F129" s="539"/>
      <c r="G129" s="200">
        <v>0</v>
      </c>
      <c r="H129" s="200">
        <v>6.2304737006079586E-4</v>
      </c>
      <c r="I129" s="200">
        <v>2.1274510779105893E-3</v>
      </c>
      <c r="J129" s="200">
        <v>4.928211534014874E-3</v>
      </c>
      <c r="K129" s="200">
        <v>9.154182472789504E-3</v>
      </c>
      <c r="L129" s="200">
        <v>1.4523449260209143E-2</v>
      </c>
      <c r="M129" s="200">
        <v>2.0971582571497626E-2</v>
      </c>
      <c r="N129" s="200">
        <v>2.8271284807289507E-2</v>
      </c>
      <c r="O129" s="200">
        <v>3.6184510078013529E-2</v>
      </c>
      <c r="P129" s="200">
        <v>4.4435702101484155E-2</v>
      </c>
      <c r="Q129" s="200">
        <v>5.2783110808042481E-2</v>
      </c>
      <c r="R129" s="200">
        <v>6.1240174190380053E-2</v>
      </c>
      <c r="S129" s="200">
        <v>6.9569517066214462E-2</v>
      </c>
      <c r="T129" s="200">
        <v>7.757244248975384E-2</v>
      </c>
      <c r="U129" s="200">
        <v>8.5106668951170431E-2</v>
      </c>
      <c r="V129" s="200">
        <v>9.2084802122058024E-2</v>
      </c>
      <c r="W129" s="200">
        <v>9.8464745061876385E-2</v>
      </c>
      <c r="X129" s="200">
        <v>0.10423727463033479</v>
      </c>
      <c r="Y129" s="200">
        <v>0.10942826215788408</v>
      </c>
      <c r="Z129" s="200">
        <v>0.11409447510160824</v>
      </c>
      <c r="AA129" s="200">
        <v>0.11830695291358055</v>
      </c>
      <c r="AB129" s="200">
        <v>0.12215799950193788</v>
      </c>
      <c r="AC129" s="200">
        <v>0.12566628823511211</v>
      </c>
      <c r="AD129" s="200">
        <v>0.12888514404726392</v>
      </c>
      <c r="AE129" s="200">
        <v>0.13185559976156766</v>
      </c>
      <c r="AF129" s="200">
        <v>0.13462837912385761</v>
      </c>
    </row>
    <row r="130" spans="1:32" s="221" customFormat="1" ht="14.45" x14ac:dyDescent="0.35">
      <c r="A130" s="806"/>
      <c r="B130" s="806"/>
      <c r="C130" s="539"/>
      <c r="D130" s="539"/>
      <c r="E130" s="539"/>
      <c r="F130" s="539"/>
      <c r="G130" s="200" t="s">
        <v>73</v>
      </c>
      <c r="H130" s="539" t="s">
        <v>73</v>
      </c>
      <c r="I130" s="539" t="s">
        <v>73</v>
      </c>
      <c r="J130" s="539" t="s">
        <v>73</v>
      </c>
      <c r="K130" s="539" t="s">
        <v>73</v>
      </c>
      <c r="L130" s="539" t="s">
        <v>73</v>
      </c>
      <c r="M130" s="539" t="s">
        <v>73</v>
      </c>
      <c r="N130" s="539" t="s">
        <v>73</v>
      </c>
      <c r="O130" s="539" t="s">
        <v>73</v>
      </c>
      <c r="P130" s="539" t="s">
        <v>73</v>
      </c>
      <c r="Q130" s="539" t="s">
        <v>73</v>
      </c>
      <c r="R130" s="539" t="s">
        <v>73</v>
      </c>
      <c r="S130" s="539" t="s">
        <v>73</v>
      </c>
      <c r="T130" s="539" t="s">
        <v>73</v>
      </c>
      <c r="U130" s="539" t="s">
        <v>73</v>
      </c>
      <c r="V130" s="539" t="s">
        <v>73</v>
      </c>
      <c r="W130" s="539" t="s">
        <v>73</v>
      </c>
      <c r="X130" s="539" t="s">
        <v>73</v>
      </c>
      <c r="Y130" s="539" t="s">
        <v>73</v>
      </c>
      <c r="Z130" s="539" t="s">
        <v>73</v>
      </c>
      <c r="AA130" s="539" t="s">
        <v>73</v>
      </c>
      <c r="AB130" s="539" t="s">
        <v>73</v>
      </c>
      <c r="AC130" s="539" t="s">
        <v>73</v>
      </c>
      <c r="AD130" s="539" t="s">
        <v>73</v>
      </c>
      <c r="AE130" s="539" t="s">
        <v>73</v>
      </c>
      <c r="AF130" s="539" t="s">
        <v>73</v>
      </c>
    </row>
    <row r="131" spans="1:32" s="202" customFormat="1" ht="12.95" x14ac:dyDescent="0.3">
      <c r="A131" s="556" t="s">
        <v>36</v>
      </c>
      <c r="B131" s="556"/>
      <c r="C131" s="556"/>
      <c r="D131" s="556"/>
      <c r="E131" s="556"/>
      <c r="F131" s="556"/>
      <c r="G131" s="241" t="s">
        <v>73</v>
      </c>
      <c r="H131" s="556" t="s">
        <v>73</v>
      </c>
      <c r="I131" s="556" t="s">
        <v>73</v>
      </c>
      <c r="J131" s="556" t="s">
        <v>73</v>
      </c>
      <c r="K131" s="556" t="s">
        <v>73</v>
      </c>
      <c r="L131" s="556" t="s">
        <v>73</v>
      </c>
      <c r="M131" s="556" t="s">
        <v>73</v>
      </c>
      <c r="N131" s="556" t="s">
        <v>73</v>
      </c>
      <c r="O131" s="556" t="s">
        <v>73</v>
      </c>
      <c r="P131" s="556" t="s">
        <v>73</v>
      </c>
      <c r="Q131" s="556" t="s">
        <v>73</v>
      </c>
      <c r="R131" s="556" t="s">
        <v>73</v>
      </c>
      <c r="S131" s="556" t="s">
        <v>73</v>
      </c>
      <c r="T131" s="556" t="s">
        <v>73</v>
      </c>
      <c r="U131" s="556" t="s">
        <v>73</v>
      </c>
      <c r="V131" s="556" t="s">
        <v>73</v>
      </c>
      <c r="W131" s="556" t="s">
        <v>73</v>
      </c>
      <c r="X131" s="556" t="s">
        <v>73</v>
      </c>
      <c r="Y131" s="556" t="s">
        <v>73</v>
      </c>
      <c r="Z131" s="556" t="s">
        <v>73</v>
      </c>
      <c r="AA131" s="556" t="s">
        <v>73</v>
      </c>
      <c r="AB131" s="556" t="s">
        <v>73</v>
      </c>
      <c r="AC131" s="556" t="s">
        <v>73</v>
      </c>
      <c r="AD131" s="556" t="s">
        <v>73</v>
      </c>
      <c r="AE131" s="556" t="s">
        <v>73</v>
      </c>
      <c r="AF131" s="556" t="s">
        <v>73</v>
      </c>
    </row>
    <row r="132" spans="1:32" s="221" customFormat="1" ht="14.45" x14ac:dyDescent="0.35">
      <c r="A132" s="806"/>
      <c r="B132" s="806" t="s">
        <v>37</v>
      </c>
      <c r="C132" s="539"/>
      <c r="D132" s="539"/>
      <c r="E132" s="539"/>
      <c r="F132" s="201"/>
      <c r="G132" s="200">
        <v>0.35419438147372145</v>
      </c>
      <c r="H132" s="200">
        <v>0.33304828762403688</v>
      </c>
      <c r="I132" s="200">
        <v>0.31131902758602914</v>
      </c>
      <c r="J132" s="200">
        <v>0.28924284156333391</v>
      </c>
      <c r="K132" s="200">
        <v>0.26706383488393798</v>
      </c>
      <c r="L132" s="200">
        <v>0.24647205081603807</v>
      </c>
      <c r="M132" s="200">
        <v>0.22736571525303445</v>
      </c>
      <c r="N132" s="200">
        <v>0.20969230988495433</v>
      </c>
      <c r="O132" s="200">
        <v>0.19343415779452955</v>
      </c>
      <c r="P132" s="200">
        <v>0.17847410234456057</v>
      </c>
      <c r="Q132" s="200">
        <v>0.16470477914570653</v>
      </c>
      <c r="R132" s="200">
        <v>0.15202800263101568</v>
      </c>
      <c r="S132" s="200">
        <v>0.14035418503614527</v>
      </c>
      <c r="T132" s="200">
        <v>0.12960125536797074</v>
      </c>
      <c r="U132" s="200">
        <v>0.1196941075021189</v>
      </c>
      <c r="V132" s="200">
        <v>0.11056408455992196</v>
      </c>
      <c r="W132" s="200">
        <v>0.10214822515816631</v>
      </c>
      <c r="X132" s="200">
        <v>9.438887586009595E-2</v>
      </c>
      <c r="Y132" s="200">
        <v>8.7233221125635793E-2</v>
      </c>
      <c r="Z132" s="200">
        <v>8.0632896762654352E-2</v>
      </c>
      <c r="AA132" s="200">
        <v>7.4543566836502637E-2</v>
      </c>
      <c r="AB132" s="200">
        <v>6.8924528209099362E-2</v>
      </c>
      <c r="AC132" s="200">
        <v>6.3738406497623148E-2</v>
      </c>
      <c r="AD132" s="200">
        <v>5.895092259031439E-2</v>
      </c>
      <c r="AE132" s="200">
        <v>5.4530595723275711E-2</v>
      </c>
      <c r="AF132" s="200">
        <v>5.0448464510753188E-2</v>
      </c>
    </row>
    <row r="133" spans="1:32" s="221" customFormat="1" ht="14.45" x14ac:dyDescent="0.35">
      <c r="A133" s="806"/>
      <c r="B133" s="806" t="s">
        <v>39</v>
      </c>
      <c r="C133" s="539"/>
      <c r="D133" s="539"/>
      <c r="E133" s="203"/>
      <c r="F133" s="539"/>
      <c r="G133" s="200">
        <v>6.1526008171317356E-2</v>
      </c>
      <c r="H133" s="200">
        <v>8.1677202308913358E-2</v>
      </c>
      <c r="I133" s="200">
        <v>0.1007317737110752</v>
      </c>
      <c r="J133" s="200">
        <v>0.11806267615905705</v>
      </c>
      <c r="K133" s="200">
        <v>0.1326263195756075</v>
      </c>
      <c r="L133" s="200">
        <v>0.14391274491503267</v>
      </c>
      <c r="M133" s="200">
        <v>0.15212663950294994</v>
      </c>
      <c r="N133" s="200">
        <v>0.15785663567908531</v>
      </c>
      <c r="O133" s="200">
        <v>0.16138909684919209</v>
      </c>
      <c r="P133" s="200">
        <v>0.16311309773639712</v>
      </c>
      <c r="Q133" s="200">
        <v>0.16334398940242362</v>
      </c>
      <c r="R133" s="200">
        <v>0.1623549854228914</v>
      </c>
      <c r="S133" s="200">
        <v>0.16044664938286041</v>
      </c>
      <c r="T133" s="200">
        <v>0.1578313285556924</v>
      </c>
      <c r="U133" s="200">
        <v>0.15468132524544428</v>
      </c>
      <c r="V133" s="200">
        <v>0.15116623871676066</v>
      </c>
      <c r="W133" s="200">
        <v>0.14739035568921621</v>
      </c>
      <c r="X133" s="200">
        <v>0.14343870887392157</v>
      </c>
      <c r="Y133" s="200">
        <v>0.13938069442337442</v>
      </c>
      <c r="Z133" s="200">
        <v>0.13528739759100952</v>
      </c>
      <c r="AA133" s="200">
        <v>0.13121940366157966</v>
      </c>
      <c r="AB133" s="200">
        <v>0.12721357649646906</v>
      </c>
      <c r="AC133" s="200">
        <v>0.12327813921685296</v>
      </c>
      <c r="AD133" s="200">
        <v>0.11942921086787887</v>
      </c>
      <c r="AE133" s="200">
        <v>0.11567449775017649</v>
      </c>
      <c r="AF133" s="200">
        <v>0.11199868240412891</v>
      </c>
    </row>
    <row r="134" spans="1:32" s="221" customFormat="1" ht="14.45" x14ac:dyDescent="0.35">
      <c r="A134" s="806"/>
      <c r="B134" s="806" t="s">
        <v>40</v>
      </c>
      <c r="C134" s="539"/>
      <c r="D134" s="539"/>
      <c r="E134" s="539"/>
      <c r="F134" s="539"/>
      <c r="G134" s="200">
        <v>0</v>
      </c>
      <c r="H134" s="200">
        <v>5.6150672125443966E-3</v>
      </c>
      <c r="I134" s="200">
        <v>1.2547757201878767E-2</v>
      </c>
      <c r="J134" s="200">
        <v>2.0816845658276004E-2</v>
      </c>
      <c r="K134" s="200">
        <v>3.027174702752141E-2</v>
      </c>
      <c r="L134" s="200">
        <v>4.0271810602246848E-2</v>
      </c>
      <c r="M134" s="200">
        <v>5.0538640627543964E-2</v>
      </c>
      <c r="N134" s="200">
        <v>6.0652242504479814E-2</v>
      </c>
      <c r="O134" s="200">
        <v>7.0292495947055639E-2</v>
      </c>
      <c r="P134" s="200">
        <v>7.9210744707586087E-2</v>
      </c>
      <c r="Q134" s="200">
        <v>8.7223874623013772E-2</v>
      </c>
      <c r="R134" s="200">
        <v>9.4209534554751242E-2</v>
      </c>
      <c r="S134" s="200">
        <v>0.10016190527950332</v>
      </c>
      <c r="T134" s="200">
        <v>0.10508760923347639</v>
      </c>
      <c r="U134" s="200">
        <v>0.10903804531098207</v>
      </c>
      <c r="V134" s="200">
        <v>0.11211808112672708</v>
      </c>
      <c r="W134" s="200">
        <v>0.11441581567039388</v>
      </c>
      <c r="X134" s="200">
        <v>0.11602533553141205</v>
      </c>
      <c r="Y134" s="200">
        <v>0.11704321930001206</v>
      </c>
      <c r="Z134" s="200">
        <v>0.11757800933679492</v>
      </c>
      <c r="AA134" s="200">
        <v>0.11773120054095766</v>
      </c>
      <c r="AB134" s="200">
        <v>0.11758712415737815</v>
      </c>
      <c r="AC134" s="200">
        <v>0.1171779336603295</v>
      </c>
      <c r="AD134" s="200">
        <v>0.11655210191430224</v>
      </c>
      <c r="AE134" s="200">
        <v>0.11574716961761661</v>
      </c>
      <c r="AF134" s="200">
        <v>0.11477838273284577</v>
      </c>
    </row>
    <row r="135" spans="1:32" s="221" customFormat="1" ht="14.45" x14ac:dyDescent="0.35">
      <c r="A135" s="806"/>
      <c r="B135" s="806" t="s">
        <v>29</v>
      </c>
      <c r="C135" s="539"/>
      <c r="D135" s="539"/>
      <c r="E135" s="539"/>
      <c r="F135" s="539"/>
      <c r="G135" s="200">
        <v>0</v>
      </c>
      <c r="H135" s="200">
        <v>6.3973038297889097E-7</v>
      </c>
      <c r="I135" s="200">
        <v>1.3646580096415403E-5</v>
      </c>
      <c r="J135" s="200">
        <v>8.5245236011671755E-5</v>
      </c>
      <c r="K135" s="200">
        <v>2.9710073916482214E-4</v>
      </c>
      <c r="L135" s="200">
        <v>7.4182997189871955E-4</v>
      </c>
      <c r="M135" s="200">
        <v>1.5093556277582165E-3</v>
      </c>
      <c r="N135" s="200">
        <v>2.653200594050803E-3</v>
      </c>
      <c r="O135" s="200">
        <v>4.2027238000774091E-3</v>
      </c>
      <c r="P135" s="200">
        <v>6.1604327876970269E-3</v>
      </c>
      <c r="Q135" s="200">
        <v>8.5170650104627217E-3</v>
      </c>
      <c r="R135" s="200">
        <v>1.128802458078672E-2</v>
      </c>
      <c r="S135" s="200">
        <v>1.4454566734814059E-2</v>
      </c>
      <c r="T135" s="200">
        <v>1.7974858220230934E-2</v>
      </c>
      <c r="U135" s="200">
        <v>2.1799433531106738E-2</v>
      </c>
      <c r="V135" s="200">
        <v>2.5877599694973035E-2</v>
      </c>
      <c r="W135" s="200">
        <v>3.0146947000612472E-2</v>
      </c>
      <c r="X135" s="200">
        <v>3.4544051534188012E-2</v>
      </c>
      <c r="Y135" s="200">
        <v>3.9015458781642844E-2</v>
      </c>
      <c r="Z135" s="200">
        <v>4.3527722132367212E-2</v>
      </c>
      <c r="AA135" s="200">
        <v>4.8058759796013713E-2</v>
      </c>
      <c r="AB135" s="200">
        <v>5.2610101243601604E-2</v>
      </c>
      <c r="AC135" s="200">
        <v>5.7123456883174668E-2</v>
      </c>
      <c r="AD135" s="200">
        <v>6.1581279544334198E-2</v>
      </c>
      <c r="AE135" s="200">
        <v>6.5971830213757784E-2</v>
      </c>
      <c r="AF135" s="200">
        <v>7.0298263301381225E-2</v>
      </c>
    </row>
    <row r="136" spans="1:32" s="221" customFormat="1" ht="14.45" x14ac:dyDescent="0.35">
      <c r="A136" s="806"/>
      <c r="B136" s="806"/>
      <c r="C136" s="539"/>
      <c r="D136" s="539"/>
      <c r="E136" s="539"/>
      <c r="F136" s="539"/>
      <c r="G136" s="200" t="s">
        <v>73</v>
      </c>
      <c r="H136" s="539" t="s">
        <v>73</v>
      </c>
      <c r="I136" s="539" t="s">
        <v>73</v>
      </c>
      <c r="J136" s="539" t="s">
        <v>73</v>
      </c>
      <c r="K136" s="539" t="s">
        <v>73</v>
      </c>
      <c r="L136" s="539" t="s">
        <v>73</v>
      </c>
      <c r="M136" s="539" t="s">
        <v>73</v>
      </c>
      <c r="N136" s="539" t="s">
        <v>73</v>
      </c>
      <c r="O136" s="539" t="s">
        <v>73</v>
      </c>
      <c r="P136" s="539" t="s">
        <v>73</v>
      </c>
      <c r="Q136" s="539" t="s">
        <v>73</v>
      </c>
      <c r="R136" s="539" t="s">
        <v>73</v>
      </c>
      <c r="S136" s="539" t="s">
        <v>73</v>
      </c>
      <c r="T136" s="539" t="s">
        <v>73</v>
      </c>
      <c r="U136" s="539" t="s">
        <v>73</v>
      </c>
      <c r="V136" s="539" t="s">
        <v>73</v>
      </c>
      <c r="W136" s="539" t="s">
        <v>73</v>
      </c>
      <c r="X136" s="539" t="s">
        <v>73</v>
      </c>
      <c r="Y136" s="539" t="s">
        <v>73</v>
      </c>
      <c r="Z136" s="539" t="s">
        <v>73</v>
      </c>
      <c r="AA136" s="539" t="s">
        <v>73</v>
      </c>
      <c r="AB136" s="539" t="s">
        <v>73</v>
      </c>
      <c r="AC136" s="539" t="s">
        <v>73</v>
      </c>
      <c r="AD136" s="539" t="s">
        <v>73</v>
      </c>
      <c r="AE136" s="539" t="s">
        <v>73</v>
      </c>
      <c r="AF136" s="539" t="s">
        <v>73</v>
      </c>
    </row>
    <row r="137" spans="1:32" s="202" customFormat="1" ht="12.95" x14ac:dyDescent="0.3">
      <c r="A137" s="556" t="s">
        <v>42</v>
      </c>
      <c r="B137" s="556"/>
      <c r="C137" s="556"/>
      <c r="D137" s="556"/>
      <c r="E137" s="556"/>
      <c r="F137" s="556"/>
      <c r="G137" s="241" t="s">
        <v>73</v>
      </c>
      <c r="H137" s="556" t="s">
        <v>73</v>
      </c>
      <c r="I137" s="556" t="s">
        <v>73</v>
      </c>
      <c r="J137" s="556" t="s">
        <v>73</v>
      </c>
      <c r="K137" s="556" t="s">
        <v>73</v>
      </c>
      <c r="L137" s="556" t="s">
        <v>73</v>
      </c>
      <c r="M137" s="556" t="s">
        <v>73</v>
      </c>
      <c r="N137" s="556" t="s">
        <v>73</v>
      </c>
      <c r="O137" s="556" t="s">
        <v>73</v>
      </c>
      <c r="P137" s="556" t="s">
        <v>73</v>
      </c>
      <c r="Q137" s="556" t="s">
        <v>73</v>
      </c>
      <c r="R137" s="556" t="s">
        <v>73</v>
      </c>
      <c r="S137" s="556" t="s">
        <v>73</v>
      </c>
      <c r="T137" s="556" t="s">
        <v>73</v>
      </c>
      <c r="U137" s="556" t="s">
        <v>73</v>
      </c>
      <c r="V137" s="556" t="s">
        <v>73</v>
      </c>
      <c r="W137" s="556" t="s">
        <v>73</v>
      </c>
      <c r="X137" s="556" t="s">
        <v>73</v>
      </c>
      <c r="Y137" s="556" t="s">
        <v>73</v>
      </c>
      <c r="Z137" s="556" t="s">
        <v>73</v>
      </c>
      <c r="AA137" s="556" t="s">
        <v>73</v>
      </c>
      <c r="AB137" s="556" t="s">
        <v>73</v>
      </c>
      <c r="AC137" s="556" t="s">
        <v>73</v>
      </c>
      <c r="AD137" s="556" t="s">
        <v>73</v>
      </c>
      <c r="AE137" s="556" t="s">
        <v>73</v>
      </c>
      <c r="AF137" s="556" t="s">
        <v>73</v>
      </c>
    </row>
    <row r="138" spans="1:32" s="221" customFormat="1" ht="14.45" x14ac:dyDescent="0.35">
      <c r="A138" s="806"/>
      <c r="B138" s="808" t="s">
        <v>43</v>
      </c>
      <c r="C138" s="539"/>
      <c r="D138" s="539"/>
      <c r="E138" s="539"/>
      <c r="F138" s="539"/>
      <c r="G138" s="200">
        <v>1.1930903795424124E-3</v>
      </c>
      <c r="H138" s="200">
        <v>1.1314253745713452E-3</v>
      </c>
      <c r="I138" s="200">
        <v>1.0735817864639136E-3</v>
      </c>
      <c r="J138" s="200">
        <v>1.0191969405150758E-3</v>
      </c>
      <c r="K138" s="200">
        <v>9.6786016436317863E-4</v>
      </c>
      <c r="L138" s="200">
        <v>9.1939487181811501E-4</v>
      </c>
      <c r="M138" s="200">
        <v>8.7357304000961801E-4</v>
      </c>
      <c r="N138" s="200">
        <v>8.301872112026602E-4</v>
      </c>
      <c r="O138" s="200">
        <v>7.8910591969657802E-4</v>
      </c>
      <c r="P138" s="200">
        <v>7.5022147774077221E-4</v>
      </c>
      <c r="Q138" s="200">
        <v>7.1343394080192321E-4</v>
      </c>
      <c r="R138" s="200">
        <v>6.7863729145062953E-4</v>
      </c>
      <c r="S138" s="200">
        <v>6.4579062133429481E-4</v>
      </c>
      <c r="T138" s="200">
        <v>6.1482119636345998E-4</v>
      </c>
      <c r="U138" s="200">
        <v>5.8565696747688825E-4</v>
      </c>
      <c r="V138" s="200">
        <v>5.5824031871011526E-4</v>
      </c>
      <c r="W138" s="200">
        <v>5.3248453618006731E-4</v>
      </c>
      <c r="X138" s="200">
        <v>5.0829964120096291E-4</v>
      </c>
      <c r="Y138" s="200">
        <v>4.856003441043651E-4</v>
      </c>
      <c r="Z138" s="200">
        <v>4.6432028329221743E-4</v>
      </c>
      <c r="AA138" s="200">
        <v>4.4439873758833306E-4</v>
      </c>
      <c r="AB138" s="200">
        <v>4.2578357422179273E-4</v>
      </c>
      <c r="AC138" s="200">
        <v>4.0836492690444267E-4</v>
      </c>
      <c r="AD138" s="200">
        <v>3.920704229256021E-4</v>
      </c>
      <c r="AE138" s="200">
        <v>3.7683051732324819E-4</v>
      </c>
      <c r="AF138" s="200">
        <v>3.6257758908825571E-4</v>
      </c>
    </row>
    <row r="139" spans="1:32" s="221" customFormat="1" ht="14.45" x14ac:dyDescent="0.35">
      <c r="A139" s="806"/>
      <c r="B139" s="808" t="s">
        <v>44</v>
      </c>
      <c r="C139" s="539"/>
      <c r="D139" s="539"/>
      <c r="E139" s="539"/>
      <c r="F139" s="539"/>
      <c r="G139" s="200">
        <v>1.0646068561744558E-4</v>
      </c>
      <c r="H139" s="200">
        <v>7.4971077325353662E-4</v>
      </c>
      <c r="I139" s="200">
        <v>1.3452800406137976E-3</v>
      </c>
      <c r="J139" s="200">
        <v>1.8897747993612871E-3</v>
      </c>
      <c r="K139" s="200">
        <v>2.3765809797895573E-3</v>
      </c>
      <c r="L139" s="200">
        <v>2.8106959922300895E-3</v>
      </c>
      <c r="M139" s="200">
        <v>3.1936051915071482E-3</v>
      </c>
      <c r="N139" s="200">
        <v>3.5268042341431959E-3</v>
      </c>
      <c r="O139" s="200">
        <v>3.8150868364754311E-3</v>
      </c>
      <c r="P139" s="200">
        <v>4.0636920897555977E-3</v>
      </c>
      <c r="Q139" s="200">
        <v>4.2775916429776918E-3</v>
      </c>
      <c r="R139" s="200">
        <v>4.4607325594970383E-3</v>
      </c>
      <c r="S139" s="200">
        <v>4.6197880019886468E-3</v>
      </c>
      <c r="T139" s="200">
        <v>4.7591312910855062E-3</v>
      </c>
      <c r="U139" s="200">
        <v>4.8826020840643273E-3</v>
      </c>
      <c r="V139" s="200">
        <v>4.9942311129175286E-3</v>
      </c>
      <c r="W139" s="200">
        <v>5.0960707907364627E-3</v>
      </c>
      <c r="X139" s="200">
        <v>5.1895586998589732E-3</v>
      </c>
      <c r="Y139" s="200">
        <v>5.2759695663240815E-3</v>
      </c>
      <c r="Z139" s="200">
        <v>5.3571575815904134E-3</v>
      </c>
      <c r="AA139" s="200">
        <v>5.4349001780654212E-3</v>
      </c>
      <c r="AB139" s="200">
        <v>5.5111285222722555E-3</v>
      </c>
      <c r="AC139" s="200">
        <v>5.5844624004630795E-3</v>
      </c>
      <c r="AD139" s="200">
        <v>5.6552242480448047E-3</v>
      </c>
      <c r="AE139" s="200">
        <v>5.7236040777220712E-3</v>
      </c>
      <c r="AF139" s="200">
        <v>5.7896981670114223E-3</v>
      </c>
    </row>
    <row r="140" spans="1:32" s="221" customFormat="1" ht="14.45" x14ac:dyDescent="0.35">
      <c r="A140" s="806"/>
      <c r="B140" s="808" t="s">
        <v>45</v>
      </c>
      <c r="C140" s="539"/>
      <c r="D140" s="539"/>
      <c r="E140" s="539"/>
      <c r="F140" s="539"/>
      <c r="G140" s="200">
        <v>5.2963367559136386E-3</v>
      </c>
      <c r="H140" s="200">
        <v>4.9611308649756703E-3</v>
      </c>
      <c r="I140" s="200">
        <v>4.6537307166067549E-3</v>
      </c>
      <c r="J140" s="200">
        <v>4.3660287076376647E-3</v>
      </c>
      <c r="K140" s="200">
        <v>4.0966810132491149E-3</v>
      </c>
      <c r="L140" s="200">
        <v>3.8444792192955501E-3</v>
      </c>
      <c r="M140" s="200">
        <v>3.6082852447650786E-3</v>
      </c>
      <c r="N140" s="200">
        <v>3.3870383796625421E-3</v>
      </c>
      <c r="O140" s="200">
        <v>3.1797635986466405E-3</v>
      </c>
      <c r="P140" s="200">
        <v>2.985555110089078E-3</v>
      </c>
      <c r="Q140" s="200">
        <v>2.8035688975124491E-3</v>
      </c>
      <c r="R140" s="200">
        <v>2.6330151070413387E-3</v>
      </c>
      <c r="S140" s="200">
        <v>2.4731693044208088E-3</v>
      </c>
      <c r="T140" s="200">
        <v>2.3233482503707431E-3</v>
      </c>
      <c r="U140" s="200">
        <v>2.1829135549859958E-3</v>
      </c>
      <c r="V140" s="200">
        <v>2.0512713881246439E-3</v>
      </c>
      <c r="W140" s="200">
        <v>1.927860498711402E-3</v>
      </c>
      <c r="X140" s="200">
        <v>1.812154959369076E-3</v>
      </c>
      <c r="Y140" s="200">
        <v>1.7036634434338394E-3</v>
      </c>
      <c r="Z140" s="200">
        <v>1.6019299273505691E-3</v>
      </c>
      <c r="AA140" s="200">
        <v>1.5065287264656464E-3</v>
      </c>
      <c r="AB140" s="200">
        <v>1.417063319511739E-3</v>
      </c>
      <c r="AC140" s="200">
        <v>1.3331499140297465E-3</v>
      </c>
      <c r="AD140" s="200">
        <v>1.2544364600087544E-3</v>
      </c>
      <c r="AE140" s="200">
        <v>1.1805935609624154E-3</v>
      </c>
      <c r="AF140" s="200">
        <v>1.1113129941966845E-3</v>
      </c>
    </row>
    <row r="141" spans="1:32" s="221" customFormat="1" ht="14.45" x14ac:dyDescent="0.35">
      <c r="A141" s="806"/>
      <c r="B141" s="808" t="s">
        <v>46</v>
      </c>
      <c r="C141" s="539"/>
      <c r="D141" s="539"/>
      <c r="E141" s="539"/>
      <c r="F141" s="539"/>
      <c r="G141" s="200">
        <v>0</v>
      </c>
      <c r="H141" s="200">
        <v>0</v>
      </c>
      <c r="I141" s="200">
        <v>0</v>
      </c>
      <c r="J141" s="200">
        <v>0</v>
      </c>
      <c r="K141" s="200">
        <v>0</v>
      </c>
      <c r="L141" s="200">
        <v>0</v>
      </c>
      <c r="M141" s="200">
        <v>0</v>
      </c>
      <c r="N141" s="200">
        <v>0</v>
      </c>
      <c r="O141" s="200">
        <v>0</v>
      </c>
      <c r="P141" s="200">
        <v>0</v>
      </c>
      <c r="Q141" s="200">
        <v>0</v>
      </c>
      <c r="R141" s="200">
        <v>0</v>
      </c>
      <c r="S141" s="200">
        <v>0</v>
      </c>
      <c r="T141" s="200">
        <v>0</v>
      </c>
      <c r="U141" s="200">
        <v>0</v>
      </c>
      <c r="V141" s="200">
        <v>0</v>
      </c>
      <c r="W141" s="200">
        <v>0</v>
      </c>
      <c r="X141" s="200">
        <v>0</v>
      </c>
      <c r="Y141" s="200">
        <v>0</v>
      </c>
      <c r="Z141" s="200">
        <v>0</v>
      </c>
      <c r="AA141" s="200">
        <v>0</v>
      </c>
      <c r="AB141" s="200">
        <v>0</v>
      </c>
      <c r="AC141" s="200">
        <v>0</v>
      </c>
      <c r="AD141" s="200">
        <v>0</v>
      </c>
      <c r="AE141" s="200">
        <v>0</v>
      </c>
      <c r="AF141" s="200">
        <v>0</v>
      </c>
    </row>
    <row r="142" spans="1:32" s="221" customFormat="1" ht="14.45" x14ac:dyDescent="0.35">
      <c r="A142" s="806"/>
      <c r="B142" s="806" t="s">
        <v>29</v>
      </c>
      <c r="C142" s="539"/>
      <c r="D142" s="539"/>
      <c r="E142" s="539"/>
      <c r="F142" s="539"/>
      <c r="G142" s="200">
        <v>0</v>
      </c>
      <c r="H142" s="200">
        <v>2.1457111534188357E-5</v>
      </c>
      <c r="I142" s="200">
        <v>4.5915395783435041E-5</v>
      </c>
      <c r="J142" s="200">
        <v>7.2931755582063859E-5</v>
      </c>
      <c r="K142" s="200">
        <v>1.0217137103613428E-4</v>
      </c>
      <c r="L142" s="200">
        <v>1.3377928102703752E-4</v>
      </c>
      <c r="M142" s="200">
        <v>1.6778276238986421E-4</v>
      </c>
      <c r="N142" s="200">
        <v>2.0377022270869665E-4</v>
      </c>
      <c r="O142" s="200">
        <v>2.4143003324096599E-4</v>
      </c>
      <c r="P142" s="200">
        <v>2.8038549905772843E-4</v>
      </c>
      <c r="Q142" s="200">
        <v>3.2015361932125329E-4</v>
      </c>
      <c r="R142" s="200">
        <v>3.6130716286228545E-4</v>
      </c>
      <c r="S142" s="200">
        <v>4.0347419390167452E-4</v>
      </c>
      <c r="T142" s="200">
        <v>4.4608748762067112E-4</v>
      </c>
      <c r="U142" s="200">
        <v>4.8865230107556293E-4</v>
      </c>
      <c r="V142" s="200">
        <v>5.3090384327289606E-4</v>
      </c>
      <c r="W142" s="200">
        <v>5.7242370305347044E-4</v>
      </c>
      <c r="X142" s="200">
        <v>6.1285322949963285E-4</v>
      </c>
      <c r="Y142" s="200">
        <v>6.5196129834567992E-4</v>
      </c>
      <c r="Z142" s="200">
        <v>6.8976996262803719E-4</v>
      </c>
      <c r="AA142" s="200">
        <v>7.2639952478798474E-4</v>
      </c>
      <c r="AB142" s="200">
        <v>7.6209105123972937E-4</v>
      </c>
      <c r="AC142" s="200">
        <v>7.9645677778786793E-4</v>
      </c>
      <c r="AD142" s="200">
        <v>8.2950204761854504E-4</v>
      </c>
      <c r="AE142" s="200">
        <v>8.6124366938303742E-4</v>
      </c>
      <c r="AF142" s="200">
        <v>8.9170920820382459E-4</v>
      </c>
    </row>
    <row r="143" spans="1:32" s="221" customFormat="1" ht="14.45" x14ac:dyDescent="0.35">
      <c r="A143" s="806"/>
      <c r="B143" s="806"/>
      <c r="C143" s="539"/>
      <c r="D143" s="539"/>
      <c r="E143" s="539"/>
      <c r="F143" s="539"/>
      <c r="G143" s="200" t="s">
        <v>73</v>
      </c>
      <c r="H143" s="539" t="s">
        <v>73</v>
      </c>
      <c r="I143" s="539" t="s">
        <v>73</v>
      </c>
      <c r="J143" s="539" t="s">
        <v>73</v>
      </c>
      <c r="K143" s="539" t="s">
        <v>73</v>
      </c>
      <c r="L143" s="539" t="s">
        <v>73</v>
      </c>
      <c r="M143" s="539" t="s">
        <v>73</v>
      </c>
      <c r="N143" s="539" t="s">
        <v>73</v>
      </c>
      <c r="O143" s="539" t="s">
        <v>73</v>
      </c>
      <c r="P143" s="539" t="s">
        <v>73</v>
      </c>
      <c r="Q143" s="539" t="s">
        <v>73</v>
      </c>
      <c r="R143" s="539" t="s">
        <v>73</v>
      </c>
      <c r="S143" s="539" t="s">
        <v>73</v>
      </c>
      <c r="T143" s="539" t="s">
        <v>73</v>
      </c>
      <c r="U143" s="539" t="s">
        <v>73</v>
      </c>
      <c r="V143" s="539" t="s">
        <v>73</v>
      </c>
      <c r="W143" s="539" t="s">
        <v>73</v>
      </c>
      <c r="X143" s="539" t="s">
        <v>73</v>
      </c>
      <c r="Y143" s="539" t="s">
        <v>73</v>
      </c>
      <c r="Z143" s="539" t="s">
        <v>73</v>
      </c>
      <c r="AA143" s="539" t="s">
        <v>73</v>
      </c>
      <c r="AB143" s="539" t="s">
        <v>73</v>
      </c>
      <c r="AC143" s="539" t="s">
        <v>73</v>
      </c>
      <c r="AD143" s="539" t="s">
        <v>73</v>
      </c>
      <c r="AE143" s="539" t="s">
        <v>73</v>
      </c>
      <c r="AF143" s="539" t="s">
        <v>73</v>
      </c>
    </row>
    <row r="144" spans="1:32" s="202" customFormat="1" ht="12.95" x14ac:dyDescent="0.3">
      <c r="A144" s="556" t="s">
        <v>47</v>
      </c>
      <c r="B144" s="556"/>
      <c r="C144" s="556"/>
      <c r="D144" s="556"/>
      <c r="E144" s="556"/>
      <c r="F144" s="556"/>
      <c r="G144" s="241" t="s">
        <v>73</v>
      </c>
      <c r="H144" s="556" t="s">
        <v>73</v>
      </c>
      <c r="I144" s="556" t="s">
        <v>73</v>
      </c>
      <c r="J144" s="556" t="s">
        <v>73</v>
      </c>
      <c r="K144" s="556" t="s">
        <v>73</v>
      </c>
      <c r="L144" s="556" t="s">
        <v>73</v>
      </c>
      <c r="M144" s="556" t="s">
        <v>73</v>
      </c>
      <c r="N144" s="556" t="s">
        <v>73</v>
      </c>
      <c r="O144" s="556" t="s">
        <v>73</v>
      </c>
      <c r="P144" s="556" t="s">
        <v>73</v>
      </c>
      <c r="Q144" s="556" t="s">
        <v>73</v>
      </c>
      <c r="R144" s="556" t="s">
        <v>73</v>
      </c>
      <c r="S144" s="556" t="s">
        <v>73</v>
      </c>
      <c r="T144" s="556" t="s">
        <v>73</v>
      </c>
      <c r="U144" s="556" t="s">
        <v>73</v>
      </c>
      <c r="V144" s="556" t="s">
        <v>73</v>
      </c>
      <c r="W144" s="556" t="s">
        <v>73</v>
      </c>
      <c r="X144" s="556" t="s">
        <v>73</v>
      </c>
      <c r="Y144" s="556" t="s">
        <v>73</v>
      </c>
      <c r="Z144" s="556" t="s">
        <v>73</v>
      </c>
      <c r="AA144" s="556" t="s">
        <v>73</v>
      </c>
      <c r="AB144" s="556" t="s">
        <v>73</v>
      </c>
      <c r="AC144" s="556" t="s">
        <v>73</v>
      </c>
      <c r="AD144" s="556" t="s">
        <v>73</v>
      </c>
      <c r="AE144" s="556" t="s">
        <v>73</v>
      </c>
      <c r="AF144" s="556" t="s">
        <v>73</v>
      </c>
    </row>
    <row r="145" spans="1:32" s="221" customFormat="1" ht="14.45" x14ac:dyDescent="0.35">
      <c r="A145" s="806"/>
      <c r="B145" s="806" t="s">
        <v>48</v>
      </c>
      <c r="C145" s="539"/>
      <c r="D145" s="539"/>
      <c r="E145" s="539"/>
      <c r="F145" s="539"/>
      <c r="G145" s="200">
        <v>1.431115176063237</v>
      </c>
      <c r="H145" s="200">
        <v>1.3568432586713723</v>
      </c>
      <c r="I145" s="200">
        <v>1.1085490566113889</v>
      </c>
      <c r="J145" s="200">
        <v>0.74571465871326859</v>
      </c>
      <c r="K145" s="200">
        <v>0.40791074823915946</v>
      </c>
      <c r="L145" s="200">
        <v>0.1918314742092174</v>
      </c>
      <c r="M145" s="200">
        <v>8.0465061673661298E-2</v>
      </c>
      <c r="N145" s="200">
        <v>3.1714473146333778E-2</v>
      </c>
      <c r="O145" s="200">
        <v>1.1996579997926776E-2</v>
      </c>
      <c r="P145" s="200">
        <v>4.4383991084430939E-3</v>
      </c>
      <c r="Q145" s="200">
        <v>1.6198938570183567E-3</v>
      </c>
      <c r="R145" s="200">
        <v>5.8650535214361957E-4</v>
      </c>
      <c r="S145" s="200">
        <v>2.1164000904937399E-4</v>
      </c>
      <c r="T145" s="200">
        <v>7.6326136719288005E-5</v>
      </c>
      <c r="U145" s="200">
        <v>2.7559210617682259E-5</v>
      </c>
      <c r="V145" s="200">
        <v>9.9795093147538344E-6</v>
      </c>
      <c r="W145" s="200">
        <v>3.6265821589274418E-6</v>
      </c>
      <c r="X145" s="200">
        <v>1.3233123086075893E-6</v>
      </c>
      <c r="Y145" s="200">
        <v>4.8500247035483658E-7</v>
      </c>
      <c r="Z145" s="200">
        <v>1.7861376712208716E-7</v>
      </c>
      <c r="AA145" s="200">
        <v>6.6118861305683891E-8</v>
      </c>
      <c r="AB145" s="200">
        <v>2.4602861422628655E-8</v>
      </c>
      <c r="AC145" s="200">
        <v>9.203512444773246E-9</v>
      </c>
      <c r="AD145" s="200">
        <v>3.461431585256388E-9</v>
      </c>
      <c r="AE145" s="200">
        <v>1.3088627166490848E-9</v>
      </c>
      <c r="AF145" s="200">
        <v>4.974701466872228E-10</v>
      </c>
    </row>
    <row r="146" spans="1:32" s="221" customFormat="1" ht="14.45" x14ac:dyDescent="0.35">
      <c r="A146" s="806"/>
      <c r="B146" s="808" t="s">
        <v>50</v>
      </c>
      <c r="C146" s="539"/>
      <c r="D146" s="539"/>
      <c r="E146" s="539"/>
      <c r="F146" s="539"/>
      <c r="G146" s="200">
        <v>0.17954016567386025</v>
      </c>
      <c r="H146" s="200">
        <v>0.1814977219966277</v>
      </c>
      <c r="I146" s="200">
        <v>0.17969898916243399</v>
      </c>
      <c r="J146" s="200">
        <v>0.17196329561953197</v>
      </c>
      <c r="K146" s="200">
        <v>0.15804926121762253</v>
      </c>
      <c r="L146" s="200">
        <v>0.14031202268292711</v>
      </c>
      <c r="M146" s="200">
        <v>0.12092871407246665</v>
      </c>
      <c r="N146" s="200">
        <v>0.10213572636489238</v>
      </c>
      <c r="O146" s="200">
        <v>8.49588191022356E-2</v>
      </c>
      <c r="P146" s="200">
        <v>7.0051073377071629E-2</v>
      </c>
      <c r="Q146" s="200">
        <v>5.7372208109080308E-2</v>
      </c>
      <c r="R146" s="200">
        <v>4.6774319686153767E-2</v>
      </c>
      <c r="S146" s="200">
        <v>3.8015753802093287E-2</v>
      </c>
      <c r="T146" s="200">
        <v>3.0831910213800346E-2</v>
      </c>
      <c r="U146" s="200">
        <v>2.4968578816462673E-2</v>
      </c>
      <c r="V146" s="200">
        <v>2.0202548807149747E-2</v>
      </c>
      <c r="W146" s="200">
        <v>1.633584163409757E-2</v>
      </c>
      <c r="X146" s="200">
        <v>1.320355070504255E-2</v>
      </c>
      <c r="Y146" s="200">
        <v>1.0669044755549056E-2</v>
      </c>
      <c r="Z146" s="200">
        <v>8.6201503881048799E-3</v>
      </c>
      <c r="AA146" s="200">
        <v>6.9790838285617362E-3</v>
      </c>
      <c r="AB146" s="200">
        <v>5.6394372707501729E-3</v>
      </c>
      <c r="AC146" s="200">
        <v>4.5576132597751418E-3</v>
      </c>
      <c r="AD146" s="200">
        <v>3.6839588950812723E-3</v>
      </c>
      <c r="AE146" s="200">
        <v>2.9783674436592925E-3</v>
      </c>
      <c r="AF146" s="200">
        <v>2.4082230085464575E-3</v>
      </c>
    </row>
    <row r="147" spans="1:32" s="221" customFormat="1" ht="14.45" x14ac:dyDescent="0.35">
      <c r="A147" s="806"/>
      <c r="B147" s="806" t="s">
        <v>51</v>
      </c>
      <c r="C147" s="539"/>
      <c r="D147" s="539"/>
      <c r="E147" s="539"/>
      <c r="F147" s="539"/>
      <c r="G147" s="200">
        <v>5.2331726209826575E-2</v>
      </c>
      <c r="H147" s="200">
        <v>5.3337511395022109E-2</v>
      </c>
      <c r="I147" s="200">
        <v>5.4205504598128916E-2</v>
      </c>
      <c r="J147" s="200">
        <v>5.4741925332819338E-2</v>
      </c>
      <c r="K147" s="200">
        <v>5.4818497819502515E-2</v>
      </c>
      <c r="L147" s="200">
        <v>5.4421197070127519E-2</v>
      </c>
      <c r="M147" s="200">
        <v>5.3541878071689683E-2</v>
      </c>
      <c r="N147" s="200">
        <v>5.2221695256675561E-2</v>
      </c>
      <c r="O147" s="200">
        <v>5.0542342188799098E-2</v>
      </c>
      <c r="P147" s="200">
        <v>4.8597077538261493E-2</v>
      </c>
      <c r="Q147" s="200">
        <v>4.6464493712342424E-2</v>
      </c>
      <c r="R147" s="200">
        <v>4.4213989638679868E-2</v>
      </c>
      <c r="S147" s="200">
        <v>4.1911963064109034E-2</v>
      </c>
      <c r="T147" s="200">
        <v>3.9604186358056966E-2</v>
      </c>
      <c r="U147" s="200">
        <v>3.7325357088722817E-2</v>
      </c>
      <c r="V147" s="200">
        <v>3.5105279247648072E-2</v>
      </c>
      <c r="W147" s="200">
        <v>3.2959733131642181E-2</v>
      </c>
      <c r="X147" s="200">
        <v>3.0899087283533664E-2</v>
      </c>
      <c r="Y147" s="200">
        <v>2.8929883561125212E-2</v>
      </c>
      <c r="Z147" s="200">
        <v>2.7060097330435764E-2</v>
      </c>
      <c r="AA147" s="200">
        <v>2.5292404730344751E-2</v>
      </c>
      <c r="AB147" s="200">
        <v>2.3626243246031863E-2</v>
      </c>
      <c r="AC147" s="200">
        <v>2.2014735061601221E-2</v>
      </c>
      <c r="AD147" s="200">
        <v>2.0498806612516199E-2</v>
      </c>
      <c r="AE147" s="200">
        <v>1.9074776507187557E-2</v>
      </c>
      <c r="AF147" s="200">
        <v>1.7737710199843604E-2</v>
      </c>
    </row>
    <row r="148" spans="1:32" s="221" customFormat="1" ht="14.45" x14ac:dyDescent="0.35">
      <c r="A148" s="806"/>
      <c r="B148" s="806" t="s">
        <v>52</v>
      </c>
      <c r="C148" s="539"/>
      <c r="D148" s="539"/>
      <c r="E148" s="539"/>
      <c r="F148" s="539"/>
      <c r="G148" s="200">
        <v>7.1788280105141614E-2</v>
      </c>
      <c r="H148" s="200">
        <v>7.2972756544624831E-2</v>
      </c>
      <c r="I148" s="200">
        <v>7.3661780385589917E-2</v>
      </c>
      <c r="J148" s="200">
        <v>7.3556937937209424E-2</v>
      </c>
      <c r="K148" s="200">
        <v>7.2597876130877897E-2</v>
      </c>
      <c r="L148" s="200">
        <v>7.0943777851839598E-2</v>
      </c>
      <c r="M148" s="200">
        <v>6.8759656535914551E-2</v>
      </c>
      <c r="N148" s="200">
        <v>6.6226169131804111E-2</v>
      </c>
      <c r="O148" s="200">
        <v>6.3496377152414629E-2</v>
      </c>
      <c r="P148" s="200">
        <v>6.0683138676592613E-2</v>
      </c>
      <c r="Q148" s="200">
        <v>5.7857379187830765E-2</v>
      </c>
      <c r="R148" s="200">
        <v>5.5066422967336194E-2</v>
      </c>
      <c r="S148" s="200">
        <v>5.2345164951611567E-2</v>
      </c>
      <c r="T148" s="200">
        <v>4.9712746425046084E-2</v>
      </c>
      <c r="U148" s="200">
        <v>4.7180349290721353E-2</v>
      </c>
      <c r="V148" s="200">
        <v>4.475573742497118E-2</v>
      </c>
      <c r="W148" s="200">
        <v>4.2440247759761303E-2</v>
      </c>
      <c r="X148" s="200">
        <v>4.0233072316565574E-2</v>
      </c>
      <c r="Y148" s="200">
        <v>3.8132110767585985E-2</v>
      </c>
      <c r="Z148" s="200">
        <v>3.6135276826973449E-2</v>
      </c>
      <c r="AA148" s="200">
        <v>3.4239853372840856E-2</v>
      </c>
      <c r="AB148" s="200">
        <v>3.2442134070245487E-2</v>
      </c>
      <c r="AC148" s="200">
        <v>3.0736773259447923E-2</v>
      </c>
      <c r="AD148" s="200">
        <v>2.9119490397516695E-2</v>
      </c>
      <c r="AE148" s="200">
        <v>2.7585943627559346E-2</v>
      </c>
      <c r="AF148" s="200">
        <v>2.6131267998562115E-2</v>
      </c>
    </row>
    <row r="149" spans="1:32" s="221" customFormat="1" ht="14.45" x14ac:dyDescent="0.35">
      <c r="A149" s="806"/>
      <c r="B149" s="808" t="s">
        <v>29</v>
      </c>
      <c r="C149" s="539"/>
      <c r="D149" s="539"/>
      <c r="E149" s="539"/>
      <c r="F149" s="539"/>
      <c r="G149" s="200">
        <v>2.3202253205165699E-3</v>
      </c>
      <c r="H149" s="200">
        <v>2.7177775504027279E-2</v>
      </c>
      <c r="I149" s="200">
        <v>7.8324856376694035E-2</v>
      </c>
      <c r="J149" s="200">
        <v>0.13565297029306547</v>
      </c>
      <c r="K149" s="200">
        <v>0.17830359702872342</v>
      </c>
      <c r="L149" s="200">
        <v>0.20166775110531321</v>
      </c>
      <c r="M149" s="200">
        <v>0.21223946590647336</v>
      </c>
      <c r="N149" s="200">
        <v>0.21597613495744619</v>
      </c>
      <c r="O149" s="200">
        <v>0.21659531970632351</v>
      </c>
      <c r="P149" s="200">
        <v>0.21591307155685754</v>
      </c>
      <c r="Q149" s="200">
        <v>0.21477387466459594</v>
      </c>
      <c r="R149" s="200">
        <v>0.21397536906739509</v>
      </c>
      <c r="S149" s="200">
        <v>0.21360921036974692</v>
      </c>
      <c r="T149" s="200">
        <v>0.21365251318749584</v>
      </c>
      <c r="U149" s="200">
        <v>0.2140567958495207</v>
      </c>
      <c r="V149" s="200">
        <v>0.21479246552712714</v>
      </c>
      <c r="W149" s="200">
        <v>0.21578918227778646</v>
      </c>
      <c r="X149" s="200">
        <v>0.21697797323027715</v>
      </c>
      <c r="Y149" s="200">
        <v>0.21830649972048169</v>
      </c>
      <c r="Z149" s="200">
        <v>0.21976289395899354</v>
      </c>
      <c r="AA149" s="200">
        <v>0.22135115873492428</v>
      </c>
      <c r="AB149" s="200">
        <v>0.22309588130211236</v>
      </c>
      <c r="AC149" s="200">
        <v>0.22490810270921333</v>
      </c>
      <c r="AD149" s="200">
        <v>0.22676872125809827</v>
      </c>
      <c r="AE149" s="200">
        <v>0.2286618544000282</v>
      </c>
      <c r="AF149" s="200">
        <v>0.2305742739743829</v>
      </c>
    </row>
    <row r="150" spans="1:32" s="221" customFormat="1" ht="14.45" x14ac:dyDescent="0.35">
      <c r="A150" s="806"/>
      <c r="B150" s="808" t="s">
        <v>53</v>
      </c>
      <c r="C150" s="539"/>
      <c r="D150" s="539"/>
      <c r="E150" s="539"/>
      <c r="F150" s="539"/>
      <c r="G150" s="200">
        <v>2.3171767302196567E-3</v>
      </c>
      <c r="H150" s="200">
        <v>2.3612500239572308E-3</v>
      </c>
      <c r="I150" s="200">
        <v>2.3995389850020848E-3</v>
      </c>
      <c r="J150" s="200">
        <v>2.4246292597790565E-3</v>
      </c>
      <c r="K150" s="200">
        <v>2.4322025804465837E-3</v>
      </c>
      <c r="L150" s="200">
        <v>2.4227596970842545E-3</v>
      </c>
      <c r="M150" s="200">
        <v>2.3965818769182789E-3</v>
      </c>
      <c r="N150" s="200">
        <v>2.3554654099683008E-3</v>
      </c>
      <c r="O150" s="200">
        <v>2.302358534319491E-3</v>
      </c>
      <c r="P150" s="200">
        <v>2.2403260841775442E-3</v>
      </c>
      <c r="Q150" s="200">
        <v>2.1717484351564792E-3</v>
      </c>
      <c r="R150" s="200">
        <v>2.0986058175163449E-3</v>
      </c>
      <c r="S150" s="200">
        <v>2.0229180609918863E-3</v>
      </c>
      <c r="T150" s="200">
        <v>1.9460030204721237E-3</v>
      </c>
      <c r="U150" s="200">
        <v>1.8688738642397345E-3</v>
      </c>
      <c r="V150" s="200">
        <v>1.7924714970269609E-3</v>
      </c>
      <c r="W150" s="200">
        <v>1.7172807744944044E-3</v>
      </c>
      <c r="X150" s="200">
        <v>1.6436494736482591E-3</v>
      </c>
      <c r="Y150" s="200">
        <v>1.5718387433121712E-3</v>
      </c>
      <c r="Z150" s="200">
        <v>1.5021293745495605E-3</v>
      </c>
      <c r="AA150" s="200">
        <v>1.4347379061601306E-3</v>
      </c>
      <c r="AB150" s="200">
        <v>1.3697789021923994E-3</v>
      </c>
      <c r="AC150" s="200">
        <v>1.3071388997671035E-3</v>
      </c>
      <c r="AD150" s="200">
        <v>1.2468123328399233E-3</v>
      </c>
      <c r="AE150" s="200">
        <v>1.1887646226606977E-3</v>
      </c>
      <c r="AF150" s="200">
        <v>1.1328872070032543E-3</v>
      </c>
    </row>
    <row r="153" spans="1:32" ht="14.45" x14ac:dyDescent="0.35">
      <c r="A153" s="767" t="s">
        <v>535</v>
      </c>
      <c r="B153" s="780"/>
      <c r="C153" s="767"/>
      <c r="D153" s="765"/>
      <c r="E153" s="765"/>
      <c r="F153" s="765"/>
      <c r="G153" s="765"/>
      <c r="H153" s="750"/>
      <c r="I153" s="750"/>
      <c r="J153" s="750"/>
      <c r="K153" s="750"/>
      <c r="L153" s="750"/>
      <c r="M153" s="750"/>
      <c r="N153" s="750"/>
      <c r="O153" s="750"/>
      <c r="P153" s="750"/>
      <c r="Q153" s="750"/>
      <c r="R153" s="750"/>
      <c r="S153" s="750"/>
      <c r="T153" s="750"/>
      <c r="U153" s="750"/>
      <c r="V153" s="750"/>
      <c r="W153" s="750"/>
      <c r="X153" s="750"/>
      <c r="Y153" s="750"/>
      <c r="Z153" s="750"/>
      <c r="AA153" s="750"/>
      <c r="AB153" s="750"/>
      <c r="AC153" s="750"/>
      <c r="AD153" s="750"/>
      <c r="AE153" s="750"/>
      <c r="AF153" s="750"/>
    </row>
    <row r="154" spans="1:32" ht="14.45" x14ac:dyDescent="0.35">
      <c r="A154" s="554" t="s">
        <v>55</v>
      </c>
      <c r="B154" s="555"/>
      <c r="C154" s="554"/>
      <c r="D154" s="553"/>
      <c r="E154" s="553"/>
      <c r="F154" s="553"/>
      <c r="G154" s="553"/>
      <c r="H154" s="560"/>
      <c r="I154" s="560"/>
      <c r="J154" s="560"/>
      <c r="K154" s="560"/>
      <c r="L154" s="560"/>
      <c r="M154" s="560"/>
      <c r="N154" s="560"/>
      <c r="O154" s="560"/>
      <c r="P154" s="560"/>
      <c r="Q154" s="560"/>
      <c r="R154" s="560"/>
      <c r="S154" s="560"/>
      <c r="T154" s="560"/>
      <c r="U154" s="560"/>
      <c r="V154" s="560"/>
      <c r="W154" s="560"/>
      <c r="X154" s="560"/>
      <c r="Y154" s="560"/>
      <c r="Z154" s="560"/>
      <c r="AA154" s="560"/>
      <c r="AB154" s="560"/>
      <c r="AC154" s="560"/>
      <c r="AD154" s="560"/>
      <c r="AE154" s="560"/>
      <c r="AF154" s="560"/>
    </row>
    <row r="155" spans="1:32" ht="14.45" x14ac:dyDescent="0.35">
      <c r="A155" s="812" t="s">
        <v>12</v>
      </c>
      <c r="B155" s="806"/>
    </row>
    <row r="156" spans="1:32" ht="14.45" x14ac:dyDescent="0.35">
      <c r="A156" s="806"/>
      <c r="B156" s="806" t="s">
        <v>20</v>
      </c>
    </row>
    <row r="157" spans="1:32" s="202" customFormat="1" ht="12.95" x14ac:dyDescent="0.3">
      <c r="A157" s="556" t="s">
        <v>21</v>
      </c>
      <c r="B157" s="556"/>
      <c r="C157" s="556"/>
      <c r="D157" s="556"/>
      <c r="E157" s="556"/>
      <c r="F157" s="556"/>
      <c r="G157" s="556"/>
      <c r="H157" s="556"/>
      <c r="I157" s="556"/>
      <c r="J157" s="556"/>
      <c r="K157" s="556"/>
      <c r="L157" s="556"/>
      <c r="M157" s="556"/>
      <c r="N157" s="556"/>
      <c r="O157" s="556"/>
      <c r="P157" s="556"/>
      <c r="Q157" s="556"/>
      <c r="R157" s="556"/>
      <c r="S157" s="556"/>
      <c r="T157" s="556"/>
      <c r="U157" s="556"/>
      <c r="V157" s="556"/>
      <c r="W157" s="556"/>
      <c r="X157" s="556"/>
      <c r="Y157" s="556"/>
      <c r="Z157" s="556"/>
      <c r="AA157" s="556"/>
      <c r="AB157" s="556"/>
      <c r="AC157" s="556"/>
      <c r="AD157" s="556"/>
      <c r="AE157" s="556"/>
      <c r="AF157" s="556"/>
    </row>
    <row r="158" spans="1:32" s="221" customFormat="1" ht="14.45" x14ac:dyDescent="0.35">
      <c r="A158" s="806"/>
      <c r="B158" s="806" t="s">
        <v>22</v>
      </c>
      <c r="C158" s="539"/>
      <c r="D158" s="539"/>
      <c r="E158" s="539"/>
      <c r="F158" s="539"/>
      <c r="G158" s="200">
        <v>0.51119778838008634</v>
      </c>
      <c r="H158" s="200">
        <v>0.30754076809089587</v>
      </c>
      <c r="I158" s="200">
        <v>0.22492766347927831</v>
      </c>
      <c r="J158" s="200">
        <v>0.13206449180062119</v>
      </c>
      <c r="K158" s="200">
        <v>8.7670048727636327E-2</v>
      </c>
      <c r="L158" s="200">
        <v>5.3457411239684838E-2</v>
      </c>
      <c r="M158" s="200">
        <v>1.7856685420129033E-2</v>
      </c>
      <c r="N158" s="200">
        <v>1.5158665749059577E-2</v>
      </c>
      <c r="O158" s="200">
        <v>1.310806506413259E-2</v>
      </c>
      <c r="P158" s="200">
        <v>1.1258644102074169E-2</v>
      </c>
      <c r="Q158" s="200">
        <v>9.4334737670395841E-3</v>
      </c>
      <c r="R158" s="200">
        <v>7.6993541916609981E-3</v>
      </c>
      <c r="S158" s="200">
        <v>6.205966466926365E-3</v>
      </c>
      <c r="T158" s="200">
        <v>4.9835494193274568E-3</v>
      </c>
      <c r="U158" s="200">
        <v>3.9856569374614025E-3</v>
      </c>
      <c r="V158" s="200">
        <v>3.2249567240755887E-3</v>
      </c>
      <c r="W158" s="200">
        <v>2.6369733437580155E-3</v>
      </c>
      <c r="X158" s="200">
        <v>2.1831359476397858E-3</v>
      </c>
      <c r="Y158" s="200">
        <v>1.8344361996769554E-3</v>
      </c>
      <c r="Z158" s="200">
        <v>1.5644472916738433E-3</v>
      </c>
      <c r="AA158" s="200">
        <v>1.3578909943597534E-3</v>
      </c>
      <c r="AB158" s="200">
        <v>1.1888523505146104E-3</v>
      </c>
      <c r="AC158" s="200">
        <v>1.0540002774928824E-3</v>
      </c>
      <c r="AD158" s="200">
        <v>9.4062592084139397E-4</v>
      </c>
      <c r="AE158" s="200">
        <v>8.4292703232083854E-4</v>
      </c>
      <c r="AF158" s="200">
        <v>7.4619955645693523E-4</v>
      </c>
    </row>
    <row r="159" spans="1:32" s="221" customFormat="1" ht="14.45" x14ac:dyDescent="0.35">
      <c r="A159" s="806"/>
      <c r="B159" s="806" t="s">
        <v>26</v>
      </c>
      <c r="C159" s="539"/>
      <c r="D159" s="539"/>
      <c r="E159" s="539"/>
      <c r="F159" s="539"/>
      <c r="G159" s="200">
        <v>9.0362267241207387E-3</v>
      </c>
      <c r="H159" s="200">
        <v>5.3314413408693234E-3</v>
      </c>
      <c r="I159" s="200">
        <v>1.926581726157774E-2</v>
      </c>
      <c r="J159" s="200">
        <v>5.1339258394665174E-2</v>
      </c>
      <c r="K159" s="200">
        <v>6.925149299119826E-2</v>
      </c>
      <c r="L159" s="200">
        <v>7.0537190239936778E-2</v>
      </c>
      <c r="M159" s="200">
        <v>6.7756275528291984E-2</v>
      </c>
      <c r="N159" s="200">
        <v>5.9134699892780723E-2</v>
      </c>
      <c r="O159" s="200">
        <v>5.2483398559275321E-2</v>
      </c>
      <c r="P159" s="200">
        <v>4.6113957799231615E-2</v>
      </c>
      <c r="Q159" s="200">
        <v>3.9664915902656805E-2</v>
      </c>
      <c r="R159" s="200">
        <v>3.3336030349743341E-2</v>
      </c>
      <c r="S159" s="200">
        <v>2.7703097149737878E-2</v>
      </c>
      <c r="T159" s="200">
        <v>2.2968012434645357E-2</v>
      </c>
      <c r="U159" s="200">
        <v>1.9008643753967359E-2</v>
      </c>
      <c r="V159" s="200">
        <v>1.5911244828744259E-2</v>
      </c>
      <c r="W159" s="200">
        <v>1.3472537772950807E-2</v>
      </c>
      <c r="X159" s="200">
        <v>1.157649805656231E-2</v>
      </c>
      <c r="Y159" s="200">
        <v>1.0108202613757137E-2</v>
      </c>
      <c r="Z159" s="200">
        <v>8.9544567635441909E-3</v>
      </c>
      <c r="AA159" s="200">
        <v>8.0628214830604991E-3</v>
      </c>
      <c r="AB159" s="200">
        <v>7.3329782919717718E-3</v>
      </c>
      <c r="AC159" s="200">
        <v>6.752619700155893E-3</v>
      </c>
      <c r="AD159" s="200">
        <v>6.2626187511382577E-3</v>
      </c>
      <c r="AE159" s="200">
        <v>5.8376334905032787E-3</v>
      </c>
      <c r="AF159" s="200">
        <v>5.4035723227872515E-3</v>
      </c>
    </row>
    <row r="160" spans="1:32" s="221" customFormat="1" ht="14.45" x14ac:dyDescent="0.35">
      <c r="A160" s="806"/>
      <c r="B160" s="806" t="s">
        <v>27</v>
      </c>
      <c r="C160" s="539"/>
      <c r="D160" s="539"/>
      <c r="E160" s="539"/>
      <c r="F160" s="539"/>
      <c r="G160" s="200">
        <v>9.7575338501076803E-2</v>
      </c>
      <c r="H160" s="200">
        <v>0.14681096107200889</v>
      </c>
      <c r="I160" s="200">
        <v>0.16382024699815187</v>
      </c>
      <c r="J160" s="200">
        <v>0.17753753683974147</v>
      </c>
      <c r="K160" s="200">
        <v>0.18259387004017186</v>
      </c>
      <c r="L160" s="200">
        <v>0.18679665878483265</v>
      </c>
      <c r="M160" s="200">
        <v>0.18874155906767356</v>
      </c>
      <c r="N160" s="200">
        <v>0.18176542026736739</v>
      </c>
      <c r="O160" s="200">
        <v>0.17103410630362095</v>
      </c>
      <c r="P160" s="200">
        <v>0.15756238543354223</v>
      </c>
      <c r="Q160" s="200">
        <v>0.14253415468978528</v>
      </c>
      <c r="R160" s="200">
        <v>0.12684416840830956</v>
      </c>
      <c r="S160" s="200">
        <v>0.11126592833339745</v>
      </c>
      <c r="T160" s="200">
        <v>9.664339364792221E-2</v>
      </c>
      <c r="U160" s="200">
        <v>8.3415246425077305E-2</v>
      </c>
      <c r="V160" s="200">
        <v>7.1860477156193009E-2</v>
      </c>
      <c r="W160" s="200">
        <v>6.2081928421754119E-2</v>
      </c>
      <c r="X160" s="200">
        <v>5.3975148489702578E-2</v>
      </c>
      <c r="Y160" s="200">
        <v>4.7445139590348469E-2</v>
      </c>
      <c r="Z160" s="200">
        <v>4.2212269144117527E-2</v>
      </c>
      <c r="AA160" s="200">
        <v>3.8049688390938925E-2</v>
      </c>
      <c r="AB160" s="200">
        <v>3.4763592667698795E-2</v>
      </c>
      <c r="AC160" s="200">
        <v>3.2192163465595128E-2</v>
      </c>
      <c r="AD160" s="200">
        <v>3.0171707651981999E-2</v>
      </c>
      <c r="AE160" s="200">
        <v>2.8578920607984174E-2</v>
      </c>
      <c r="AF160" s="200">
        <v>2.7301656150696973E-2</v>
      </c>
    </row>
    <row r="161" spans="1:32" s="221" customFormat="1" ht="14.45" x14ac:dyDescent="0.35">
      <c r="A161" s="806"/>
      <c r="B161" s="806" t="s">
        <v>29</v>
      </c>
      <c r="C161" s="539"/>
      <c r="D161" s="539"/>
      <c r="E161" s="539"/>
      <c r="F161" s="539"/>
      <c r="G161" s="200">
        <v>0</v>
      </c>
      <c r="H161" s="200">
        <v>3.6037367488748074E-4</v>
      </c>
      <c r="I161" s="200">
        <v>1.0068120811530525E-3</v>
      </c>
      <c r="J161" s="200">
        <v>1.8892402438830638E-3</v>
      </c>
      <c r="K161" s="200">
        <v>3.3511050405869206E-3</v>
      </c>
      <c r="L161" s="200">
        <v>5.7264769789820225E-3</v>
      </c>
      <c r="M161" s="200">
        <v>9.1885826827325587E-3</v>
      </c>
      <c r="N161" s="200">
        <v>1.3428040774910872E-2</v>
      </c>
      <c r="O161" s="200">
        <v>1.8457743193852544E-2</v>
      </c>
      <c r="P161" s="200">
        <v>2.3932532319473586E-2</v>
      </c>
      <c r="Q161" s="200">
        <v>2.9590654010188733E-2</v>
      </c>
      <c r="R161" s="200">
        <v>3.528044536530528E-2</v>
      </c>
      <c r="S161" s="200">
        <v>4.0779853918891155E-2</v>
      </c>
      <c r="T161" s="200">
        <v>4.5855233313642364E-2</v>
      </c>
      <c r="U161" s="200">
        <v>5.0436761866745734E-2</v>
      </c>
      <c r="V161" s="200">
        <v>5.4452284430384065E-2</v>
      </c>
      <c r="W161" s="200">
        <v>5.7831378513676028E-2</v>
      </c>
      <c r="X161" s="200">
        <v>6.0686275684872636E-2</v>
      </c>
      <c r="Y161" s="200">
        <v>6.306172584714323E-2</v>
      </c>
      <c r="Z161" s="200">
        <v>6.4984868531146212E-2</v>
      </c>
      <c r="AA161" s="200">
        <v>6.6476001793256911E-2</v>
      </c>
      <c r="AB161" s="200">
        <v>6.7619973437860623E-2</v>
      </c>
      <c r="AC161" s="200">
        <v>6.8541832628701477E-2</v>
      </c>
      <c r="AD161" s="200">
        <v>6.9336535993399201E-2</v>
      </c>
      <c r="AE161" s="200">
        <v>7.0091224520354156E-2</v>
      </c>
      <c r="AF161" s="200">
        <v>7.0877751256891802E-2</v>
      </c>
    </row>
    <row r="162" spans="1:32" s="221" customFormat="1" ht="14.45" x14ac:dyDescent="0.35">
      <c r="A162" s="806"/>
      <c r="B162" s="806"/>
      <c r="C162" s="539"/>
      <c r="D162" s="539"/>
      <c r="E162" s="539"/>
      <c r="F162" s="539"/>
      <c r="G162" s="200" t="s">
        <v>73</v>
      </c>
      <c r="H162" s="539" t="s">
        <v>73</v>
      </c>
      <c r="I162" s="539" t="s">
        <v>73</v>
      </c>
      <c r="J162" s="539" t="s">
        <v>73</v>
      </c>
      <c r="K162" s="539" t="s">
        <v>73</v>
      </c>
      <c r="L162" s="539" t="s">
        <v>73</v>
      </c>
      <c r="M162" s="539" t="s">
        <v>73</v>
      </c>
      <c r="N162" s="539" t="s">
        <v>73</v>
      </c>
      <c r="O162" s="539" t="s">
        <v>73</v>
      </c>
      <c r="P162" s="539" t="s">
        <v>73</v>
      </c>
      <c r="Q162" s="539" t="s">
        <v>73</v>
      </c>
      <c r="R162" s="539" t="s">
        <v>73</v>
      </c>
      <c r="S162" s="539" t="s">
        <v>73</v>
      </c>
      <c r="T162" s="539" t="s">
        <v>73</v>
      </c>
      <c r="U162" s="539" t="s">
        <v>73</v>
      </c>
      <c r="V162" s="539" t="s">
        <v>73</v>
      </c>
      <c r="W162" s="539" t="s">
        <v>73</v>
      </c>
      <c r="X162" s="539" t="s">
        <v>73</v>
      </c>
      <c r="Y162" s="539" t="s">
        <v>73</v>
      </c>
      <c r="Z162" s="539" t="s">
        <v>73</v>
      </c>
      <c r="AA162" s="539" t="s">
        <v>73</v>
      </c>
      <c r="AB162" s="539" t="s">
        <v>73</v>
      </c>
      <c r="AC162" s="539" t="s">
        <v>73</v>
      </c>
      <c r="AD162" s="539" t="s">
        <v>73</v>
      </c>
      <c r="AE162" s="539" t="s">
        <v>73</v>
      </c>
      <c r="AF162" s="539" t="s">
        <v>73</v>
      </c>
    </row>
    <row r="163" spans="1:32" s="202" customFormat="1" ht="12.95" x14ac:dyDescent="0.3">
      <c r="A163" s="556" t="s">
        <v>32</v>
      </c>
      <c r="B163" s="556"/>
      <c r="C163" s="556"/>
      <c r="D163" s="556"/>
      <c r="E163" s="556"/>
      <c r="F163" s="556"/>
      <c r="G163" s="241" t="s">
        <v>73</v>
      </c>
      <c r="H163" s="556" t="s">
        <v>73</v>
      </c>
      <c r="I163" s="556" t="s">
        <v>73</v>
      </c>
      <c r="J163" s="556" t="s">
        <v>73</v>
      </c>
      <c r="K163" s="556" t="s">
        <v>73</v>
      </c>
      <c r="L163" s="556" t="s">
        <v>73</v>
      </c>
      <c r="M163" s="556" t="s">
        <v>73</v>
      </c>
      <c r="N163" s="556" t="s">
        <v>73</v>
      </c>
      <c r="O163" s="556" t="s">
        <v>73</v>
      </c>
      <c r="P163" s="556" t="s">
        <v>73</v>
      </c>
      <c r="Q163" s="556" t="s">
        <v>73</v>
      </c>
      <c r="R163" s="556" t="s">
        <v>73</v>
      </c>
      <c r="S163" s="556" t="s">
        <v>73</v>
      </c>
      <c r="T163" s="556" t="s">
        <v>73</v>
      </c>
      <c r="U163" s="556" t="s">
        <v>73</v>
      </c>
      <c r="V163" s="556" t="s">
        <v>73</v>
      </c>
      <c r="W163" s="556" t="s">
        <v>73</v>
      </c>
      <c r="X163" s="556" t="s">
        <v>73</v>
      </c>
      <c r="Y163" s="556" t="s">
        <v>73</v>
      </c>
      <c r="Z163" s="556" t="s">
        <v>73</v>
      </c>
      <c r="AA163" s="556" t="s">
        <v>73</v>
      </c>
      <c r="AB163" s="556" t="s">
        <v>73</v>
      </c>
      <c r="AC163" s="556" t="s">
        <v>73</v>
      </c>
      <c r="AD163" s="556" t="s">
        <v>73</v>
      </c>
      <c r="AE163" s="556" t="s">
        <v>73</v>
      </c>
      <c r="AF163" s="556" t="s">
        <v>73</v>
      </c>
    </row>
    <row r="164" spans="1:32" s="221" customFormat="1" ht="14.45" x14ac:dyDescent="0.35">
      <c r="A164" s="806"/>
      <c r="B164" s="806" t="s">
        <v>33</v>
      </c>
      <c r="C164" s="539"/>
      <c r="D164" s="539"/>
      <c r="E164" s="539"/>
      <c r="F164" s="539"/>
      <c r="G164" s="200">
        <v>0.31945171451147941</v>
      </c>
      <c r="H164" s="200">
        <v>0.24804618097215866</v>
      </c>
      <c r="I164" s="200">
        <v>0.27188796001688026</v>
      </c>
      <c r="J164" s="200">
        <v>0.28242828521842861</v>
      </c>
      <c r="K164" s="200">
        <v>0.2758354077365931</v>
      </c>
      <c r="L164" s="200">
        <v>0.24407528958513852</v>
      </c>
      <c r="M164" s="200">
        <v>0.20304003051912642</v>
      </c>
      <c r="N164" s="200">
        <v>0.16273416638240129</v>
      </c>
      <c r="O164" s="200">
        <v>0.12584464588283353</v>
      </c>
      <c r="P164" s="200">
        <v>9.5384589990924709E-2</v>
      </c>
      <c r="Q164" s="200">
        <v>7.1018387145138279E-2</v>
      </c>
      <c r="R164" s="200">
        <v>5.2121934618391985E-2</v>
      </c>
      <c r="S164" s="200">
        <v>3.8675522589820092E-2</v>
      </c>
      <c r="T164" s="200">
        <v>2.9062452230159273E-2</v>
      </c>
      <c r="U164" s="200">
        <v>2.2346727048372563E-2</v>
      </c>
      <c r="V164" s="200">
        <v>1.7610349059107574E-2</v>
      </c>
      <c r="W164" s="200">
        <v>1.4206813908754343E-2</v>
      </c>
      <c r="X164" s="200">
        <v>1.1702400107356872E-2</v>
      </c>
      <c r="Y164" s="200">
        <v>9.8348309324367018E-3</v>
      </c>
      <c r="Z164" s="200">
        <v>8.4484049169755368E-3</v>
      </c>
      <c r="AA164" s="200">
        <v>7.3798417647924358E-3</v>
      </c>
      <c r="AB164" s="200">
        <v>6.5091648021601027E-3</v>
      </c>
      <c r="AC164" s="200">
        <v>5.8111281651260201E-3</v>
      </c>
      <c r="AD164" s="200">
        <v>5.2321225041709876E-3</v>
      </c>
      <c r="AE164" s="200">
        <v>4.7241845123567761E-3</v>
      </c>
      <c r="AF164" s="200">
        <v>4.2075951963072332E-3</v>
      </c>
    </row>
    <row r="165" spans="1:32" s="221" customFormat="1" ht="14.45" x14ac:dyDescent="0.35">
      <c r="A165" s="808"/>
      <c r="B165" s="808" t="s">
        <v>34</v>
      </c>
      <c r="C165" s="539"/>
      <c r="D165" s="539"/>
      <c r="E165" s="539"/>
      <c r="F165" s="539"/>
      <c r="G165" s="200">
        <v>0.31545011671262307</v>
      </c>
      <c r="H165" s="200">
        <v>0.41199986865213378</v>
      </c>
      <c r="I165" s="200">
        <v>0.39743360319091275</v>
      </c>
      <c r="J165" s="200">
        <v>0.35269214830337214</v>
      </c>
      <c r="K165" s="200">
        <v>0.29932412052556978</v>
      </c>
      <c r="L165" s="200">
        <v>0.26183485397199313</v>
      </c>
      <c r="M165" s="200">
        <v>0.22749703095903723</v>
      </c>
      <c r="N165" s="200">
        <v>0.18933773239525306</v>
      </c>
      <c r="O165" s="200">
        <v>0.15189930134670737</v>
      </c>
      <c r="P165" s="200">
        <v>0.1187092770147558</v>
      </c>
      <c r="Q165" s="200">
        <v>9.1793647214314614E-2</v>
      </c>
      <c r="R165" s="200">
        <v>7.0483536068274968E-2</v>
      </c>
      <c r="S165" s="200">
        <v>5.4716722006115964E-2</v>
      </c>
      <c r="T165" s="200">
        <v>4.3077121273809943E-2</v>
      </c>
      <c r="U165" s="200">
        <v>3.4748949458588765E-2</v>
      </c>
      <c r="V165" s="200">
        <v>2.8638992987701284E-2</v>
      </c>
      <c r="W165" s="200">
        <v>2.4176177493898398E-2</v>
      </c>
      <c r="X165" s="200">
        <v>2.089318586677338E-2</v>
      </c>
      <c r="Y165" s="200">
        <v>1.845330399905587E-2</v>
      </c>
      <c r="Z165" s="200">
        <v>1.6628843218557666E-2</v>
      </c>
      <c r="AA165" s="200">
        <v>1.5206760518363185E-2</v>
      </c>
      <c r="AB165" s="200">
        <v>1.4084242771768481E-2</v>
      </c>
      <c r="AC165" s="200">
        <v>1.320647076355393E-2</v>
      </c>
      <c r="AD165" s="200">
        <v>1.2500946443398719E-2</v>
      </c>
      <c r="AE165" s="200">
        <v>1.1894596277849218E-2</v>
      </c>
      <c r="AF165" s="200">
        <v>1.1285544628437703E-2</v>
      </c>
    </row>
    <row r="166" spans="1:32" s="221" customFormat="1" ht="14.45" x14ac:dyDescent="0.35">
      <c r="A166" s="806"/>
      <c r="B166" s="808" t="s">
        <v>35</v>
      </c>
      <c r="C166" s="539"/>
      <c r="D166" s="539"/>
      <c r="E166" s="539"/>
      <c r="F166" s="539"/>
      <c r="G166" s="200">
        <v>9.3893711822017764E-2</v>
      </c>
      <c r="H166" s="200">
        <v>8.0468058657324662E-2</v>
      </c>
      <c r="I166" s="200">
        <v>7.4134187156068232E-2</v>
      </c>
      <c r="J166" s="200">
        <v>7.1615905590392687E-2</v>
      </c>
      <c r="K166" s="200">
        <v>7.0870956019911294E-2</v>
      </c>
      <c r="L166" s="200">
        <v>6.7875641624355679E-2</v>
      </c>
      <c r="M166" s="200">
        <v>6.3423551171753273E-2</v>
      </c>
      <c r="N166" s="200">
        <v>5.7387220967127679E-2</v>
      </c>
      <c r="O166" s="200">
        <v>5.0275608431148693E-2</v>
      </c>
      <c r="P166" s="200">
        <v>4.2753950784374765E-2</v>
      </c>
      <c r="Q166" s="200">
        <v>3.5611541375807645E-2</v>
      </c>
      <c r="R166" s="200">
        <v>2.9238011977841337E-2</v>
      </c>
      <c r="S166" s="200">
        <v>2.3834234298883133E-2</v>
      </c>
      <c r="T166" s="200">
        <v>1.9405937742904385E-2</v>
      </c>
      <c r="U166" s="200">
        <v>1.5891365002283601E-2</v>
      </c>
      <c r="V166" s="200">
        <v>1.3134778038530736E-2</v>
      </c>
      <c r="W166" s="200">
        <v>1.1004598968559322E-2</v>
      </c>
      <c r="X166" s="200">
        <v>9.3794904414815673E-3</v>
      </c>
      <c r="Y166" s="200">
        <v>8.1504283955840581E-3</v>
      </c>
      <c r="Z166" s="200">
        <v>7.223742576207364E-3</v>
      </c>
      <c r="AA166" s="200">
        <v>6.52006135110116E-3</v>
      </c>
      <c r="AB166" s="200">
        <v>5.9885718112353808E-3</v>
      </c>
      <c r="AC166" s="200">
        <v>5.5894099173411579E-3</v>
      </c>
      <c r="AD166" s="200">
        <v>5.2912715085407366E-3</v>
      </c>
      <c r="AE166" s="200">
        <v>5.0674236983055286E-3</v>
      </c>
      <c r="AF166" s="200">
        <v>4.8963105694628476E-3</v>
      </c>
    </row>
    <row r="167" spans="1:32" s="221" customFormat="1" ht="14.45" x14ac:dyDescent="0.35">
      <c r="A167" s="806"/>
      <c r="B167" s="808" t="s">
        <v>29</v>
      </c>
      <c r="C167" s="539"/>
      <c r="D167" s="539"/>
      <c r="E167" s="539"/>
      <c r="F167" s="539"/>
      <c r="G167" s="200">
        <v>0</v>
      </c>
      <c r="H167" s="200">
        <v>1.0114772919769155E-3</v>
      </c>
      <c r="I167" s="200">
        <v>4.1963412877122075E-3</v>
      </c>
      <c r="J167" s="200">
        <v>1.0037266099810753E-2</v>
      </c>
      <c r="K167" s="200">
        <v>1.8135167262492639E-2</v>
      </c>
      <c r="L167" s="200">
        <v>2.7286024480516403E-2</v>
      </c>
      <c r="M167" s="200">
        <v>3.6900787643398283E-2</v>
      </c>
      <c r="N167" s="200">
        <v>4.6136102782448146E-2</v>
      </c>
      <c r="O167" s="200">
        <v>5.4505830015646184E-2</v>
      </c>
      <c r="P167" s="200">
        <v>6.1375129814421489E-2</v>
      </c>
      <c r="Q167" s="200">
        <v>6.6711745899248442E-2</v>
      </c>
      <c r="R167" s="200">
        <v>7.0932358672427545E-2</v>
      </c>
      <c r="S167" s="200">
        <v>7.4071281844341849E-2</v>
      </c>
      <c r="T167" s="200">
        <v>7.6430333204675932E-2</v>
      </c>
      <c r="U167" s="200">
        <v>7.8173458116528802E-2</v>
      </c>
      <c r="V167" s="200">
        <v>7.9409554617634548E-2</v>
      </c>
      <c r="W167" s="200">
        <v>8.0061385998321008E-2</v>
      </c>
      <c r="X167" s="200">
        <v>8.0202556783530513E-2</v>
      </c>
      <c r="Y167" s="200">
        <v>7.9948122667695368E-2</v>
      </c>
      <c r="Z167" s="200">
        <v>7.9490822720952301E-2</v>
      </c>
      <c r="AA167" s="200">
        <v>7.8979424238908608E-2</v>
      </c>
      <c r="AB167" s="200">
        <v>7.8578768710172844E-2</v>
      </c>
      <c r="AC167" s="200">
        <v>7.8393691884597161E-2</v>
      </c>
      <c r="AD167" s="200">
        <v>7.8470338917029897E-2</v>
      </c>
      <c r="AE167" s="200">
        <v>7.8810167511743023E-2</v>
      </c>
      <c r="AF167" s="200">
        <v>7.929909333624699E-2</v>
      </c>
    </row>
    <row r="168" spans="1:32" s="221" customFormat="1" ht="14.45" x14ac:dyDescent="0.35">
      <c r="A168" s="806"/>
      <c r="B168" s="806"/>
      <c r="C168" s="539"/>
      <c r="D168" s="539"/>
      <c r="E168" s="539"/>
      <c r="F168" s="539"/>
      <c r="G168" s="200" t="s">
        <v>73</v>
      </c>
      <c r="H168" s="539" t="s">
        <v>73</v>
      </c>
      <c r="I168" s="539" t="s">
        <v>73</v>
      </c>
      <c r="J168" s="539" t="s">
        <v>73</v>
      </c>
      <c r="K168" s="539" t="s">
        <v>73</v>
      </c>
      <c r="L168" s="539" t="s">
        <v>73</v>
      </c>
      <c r="M168" s="539" t="s">
        <v>73</v>
      </c>
      <c r="N168" s="539" t="s">
        <v>73</v>
      </c>
      <c r="O168" s="539" t="s">
        <v>73</v>
      </c>
      <c r="P168" s="539" t="s">
        <v>73</v>
      </c>
      <c r="Q168" s="539" t="s">
        <v>73</v>
      </c>
      <c r="R168" s="539" t="s">
        <v>73</v>
      </c>
      <c r="S168" s="539" t="s">
        <v>73</v>
      </c>
      <c r="T168" s="539" t="s">
        <v>73</v>
      </c>
      <c r="U168" s="539" t="s">
        <v>73</v>
      </c>
      <c r="V168" s="539" t="s">
        <v>73</v>
      </c>
      <c r="W168" s="539" t="s">
        <v>73</v>
      </c>
      <c r="X168" s="539" t="s">
        <v>73</v>
      </c>
      <c r="Y168" s="539" t="s">
        <v>73</v>
      </c>
      <c r="Z168" s="539" t="s">
        <v>73</v>
      </c>
      <c r="AA168" s="539" t="s">
        <v>73</v>
      </c>
      <c r="AB168" s="539" t="s">
        <v>73</v>
      </c>
      <c r="AC168" s="539" t="s">
        <v>73</v>
      </c>
      <c r="AD168" s="539" t="s">
        <v>73</v>
      </c>
      <c r="AE168" s="539" t="s">
        <v>73</v>
      </c>
      <c r="AF168" s="539" t="s">
        <v>73</v>
      </c>
    </row>
    <row r="169" spans="1:32" s="202" customFormat="1" ht="12.95" x14ac:dyDescent="0.3">
      <c r="A169" s="556" t="s">
        <v>36</v>
      </c>
      <c r="B169" s="556"/>
      <c r="C169" s="556"/>
      <c r="D169" s="556"/>
      <c r="E169" s="556"/>
      <c r="F169" s="556"/>
      <c r="G169" s="241" t="s">
        <v>73</v>
      </c>
      <c r="H169" s="556" t="s">
        <v>73</v>
      </c>
      <c r="I169" s="556" t="s">
        <v>73</v>
      </c>
      <c r="J169" s="556" t="s">
        <v>73</v>
      </c>
      <c r="K169" s="556" t="s">
        <v>73</v>
      </c>
      <c r="L169" s="556" t="s">
        <v>73</v>
      </c>
      <c r="M169" s="556" t="s">
        <v>73</v>
      </c>
      <c r="N169" s="556" t="s">
        <v>73</v>
      </c>
      <c r="O169" s="556" t="s">
        <v>73</v>
      </c>
      <c r="P169" s="556" t="s">
        <v>73</v>
      </c>
      <c r="Q169" s="556" t="s">
        <v>73</v>
      </c>
      <c r="R169" s="556" t="s">
        <v>73</v>
      </c>
      <c r="S169" s="556" t="s">
        <v>73</v>
      </c>
      <c r="T169" s="556" t="s">
        <v>73</v>
      </c>
      <c r="U169" s="556" t="s">
        <v>73</v>
      </c>
      <c r="V169" s="556" t="s">
        <v>73</v>
      </c>
      <c r="W169" s="556" t="s">
        <v>73</v>
      </c>
      <c r="X169" s="556" t="s">
        <v>73</v>
      </c>
      <c r="Y169" s="556" t="s">
        <v>73</v>
      </c>
      <c r="Z169" s="556" t="s">
        <v>73</v>
      </c>
      <c r="AA169" s="556" t="s">
        <v>73</v>
      </c>
      <c r="AB169" s="556" t="s">
        <v>73</v>
      </c>
      <c r="AC169" s="556" t="s">
        <v>73</v>
      </c>
      <c r="AD169" s="556" t="s">
        <v>73</v>
      </c>
      <c r="AE169" s="556" t="s">
        <v>73</v>
      </c>
      <c r="AF169" s="556" t="s">
        <v>73</v>
      </c>
    </row>
    <row r="170" spans="1:32" s="221" customFormat="1" ht="14.45" x14ac:dyDescent="0.35">
      <c r="A170" s="806"/>
      <c r="B170" s="806" t="s">
        <v>37</v>
      </c>
      <c r="C170" s="539"/>
      <c r="D170" s="539"/>
      <c r="E170" s="539"/>
      <c r="F170" s="201"/>
      <c r="G170" s="200">
        <v>3.1698890093633176</v>
      </c>
      <c r="H170" s="200">
        <v>2.7534042952318032</v>
      </c>
      <c r="I170" s="200">
        <v>2.254210615207263</v>
      </c>
      <c r="J170" s="200">
        <v>1.7293794097953845</v>
      </c>
      <c r="K170" s="200">
        <v>1.2340782847965475</v>
      </c>
      <c r="L170" s="200">
        <v>0.8815128040602338</v>
      </c>
      <c r="M170" s="200">
        <v>0.62982896560155921</v>
      </c>
      <c r="N170" s="200">
        <v>0.45003073984591652</v>
      </c>
      <c r="O170" s="200">
        <v>0.3220351301581223</v>
      </c>
      <c r="P170" s="200">
        <v>0.23078200401799626</v>
      </c>
      <c r="Q170" s="200">
        <v>0.16563213454500711</v>
      </c>
      <c r="R170" s="200">
        <v>0.1190507741438297</v>
      </c>
      <c r="S170" s="200">
        <v>8.5700943004177355E-2</v>
      </c>
      <c r="T170" s="200">
        <v>6.179172853897389E-2</v>
      </c>
      <c r="U170" s="200">
        <v>4.4627857446584866E-2</v>
      </c>
      <c r="V170" s="200">
        <v>3.2322355946044608E-2</v>
      </c>
      <c r="W170" s="200">
        <v>2.3476917906658477E-2</v>
      </c>
      <c r="X170" s="200">
        <v>1.7088647603467448E-2</v>
      </c>
      <c r="Y170" s="200">
        <v>1.2479294235013004E-2</v>
      </c>
      <c r="Z170" s="200">
        <v>9.1456084265483066E-3</v>
      </c>
      <c r="AA170" s="200">
        <v>6.7243192087332549E-3</v>
      </c>
      <c r="AB170" s="200">
        <v>4.9663861592058375E-3</v>
      </c>
      <c r="AC170" s="200">
        <v>3.6870660629203461E-3</v>
      </c>
      <c r="AD170" s="200">
        <v>2.7520978341838858E-3</v>
      </c>
      <c r="AE170" s="200">
        <v>2.068523550152072E-3</v>
      </c>
      <c r="AF170" s="200">
        <v>1.5657958782492353E-3</v>
      </c>
    </row>
    <row r="171" spans="1:32" s="221" customFormat="1" ht="14.45" x14ac:dyDescent="0.35">
      <c r="A171" s="806"/>
      <c r="B171" s="806" t="s">
        <v>39</v>
      </c>
      <c r="C171" s="539"/>
      <c r="D171" s="539"/>
      <c r="E171" s="203"/>
      <c r="F171" s="539"/>
      <c r="G171" s="200">
        <v>5.4653301806186718</v>
      </c>
      <c r="H171" s="200">
        <v>5.69167285066397</v>
      </c>
      <c r="I171" s="200">
        <v>5.9404778224507853</v>
      </c>
      <c r="J171" s="200">
        <v>6.1545037419346054</v>
      </c>
      <c r="K171" s="200">
        <v>6.2956446705977394</v>
      </c>
      <c r="L171" s="200">
        <v>6.3093820300180212</v>
      </c>
      <c r="M171" s="200">
        <v>6.2231818107485486</v>
      </c>
      <c r="N171" s="200">
        <v>6.0765367180733252</v>
      </c>
      <c r="O171" s="200">
        <v>5.8815730790387324</v>
      </c>
      <c r="P171" s="200">
        <v>5.6568487529179832</v>
      </c>
      <c r="Q171" s="200">
        <v>5.414554951344841</v>
      </c>
      <c r="R171" s="200">
        <v>5.1560093757086793</v>
      </c>
      <c r="S171" s="200">
        <v>4.8899223365512956</v>
      </c>
      <c r="T171" s="200">
        <v>4.6217603342519542</v>
      </c>
      <c r="U171" s="200">
        <v>4.3595502460282987</v>
      </c>
      <c r="V171" s="200">
        <v>4.1082776407368247</v>
      </c>
      <c r="W171" s="200">
        <v>3.8695090753361567</v>
      </c>
      <c r="X171" s="200">
        <v>3.644193362490324</v>
      </c>
      <c r="Y171" s="200">
        <v>3.434794889009499</v>
      </c>
      <c r="Z171" s="200">
        <v>3.241046166203144</v>
      </c>
      <c r="AA171" s="200">
        <v>3.0615112709694654</v>
      </c>
      <c r="AB171" s="200">
        <v>2.8966877711411261</v>
      </c>
      <c r="AC171" s="200">
        <v>2.745993400300057</v>
      </c>
      <c r="AD171" s="200">
        <v>2.6075039377275377</v>
      </c>
      <c r="AE171" s="200">
        <v>2.4811951486468473</v>
      </c>
      <c r="AF171" s="200">
        <v>2.3642685250567621</v>
      </c>
    </row>
    <row r="172" spans="1:32" s="221" customFormat="1" ht="14.45" x14ac:dyDescent="0.35">
      <c r="A172" s="806"/>
      <c r="B172" s="806" t="s">
        <v>40</v>
      </c>
      <c r="C172" s="539"/>
      <c r="D172" s="539"/>
      <c r="E172" s="539"/>
      <c r="F172" s="539"/>
      <c r="G172" s="200">
        <v>0.61628537207279677</v>
      </c>
      <c r="H172" s="200">
        <v>0.73736548155514403</v>
      </c>
      <c r="I172" s="200">
        <v>0.90878760326537567</v>
      </c>
      <c r="J172" s="200">
        <v>1.1199366766217396</v>
      </c>
      <c r="K172" s="200">
        <v>1.3653283676528307</v>
      </c>
      <c r="L172" s="200">
        <v>1.6061298233273618</v>
      </c>
      <c r="M172" s="200">
        <v>1.8341950982000528</v>
      </c>
      <c r="N172" s="200">
        <v>2.0352253072356667</v>
      </c>
      <c r="O172" s="200">
        <v>2.2127655595514053</v>
      </c>
      <c r="P172" s="200">
        <v>2.360762898106612</v>
      </c>
      <c r="Q172" s="200">
        <v>2.4786424180629463</v>
      </c>
      <c r="R172" s="200">
        <v>2.5627585402031889</v>
      </c>
      <c r="S172" s="200">
        <v>2.6157174593781725</v>
      </c>
      <c r="T172" s="200">
        <v>2.6400650642463801</v>
      </c>
      <c r="U172" s="200">
        <v>2.6403871217267674</v>
      </c>
      <c r="V172" s="200">
        <v>2.6210123969798431</v>
      </c>
      <c r="W172" s="200">
        <v>2.5861623727669198</v>
      </c>
      <c r="X172" s="200">
        <v>2.540707448330326</v>
      </c>
      <c r="Y172" s="200">
        <v>2.4887969588771113</v>
      </c>
      <c r="Z172" s="200">
        <v>2.4328212912249469</v>
      </c>
      <c r="AA172" s="200">
        <v>2.3743024139369751</v>
      </c>
      <c r="AB172" s="200">
        <v>2.3153895175200763</v>
      </c>
      <c r="AC172" s="200">
        <v>2.2575340416114891</v>
      </c>
      <c r="AD172" s="200">
        <v>2.2008902364954714</v>
      </c>
      <c r="AE172" s="200">
        <v>2.1465948653884088</v>
      </c>
      <c r="AF172" s="200">
        <v>2.0935843400232232</v>
      </c>
    </row>
    <row r="173" spans="1:32" s="221" customFormat="1" ht="14.45" x14ac:dyDescent="0.35">
      <c r="A173" s="806"/>
      <c r="B173" s="806" t="s">
        <v>29</v>
      </c>
      <c r="C173" s="539"/>
      <c r="D173" s="539"/>
      <c r="E173" s="539"/>
      <c r="F173" s="539"/>
      <c r="G173" s="200">
        <v>0</v>
      </c>
      <c r="H173" s="200">
        <v>3.8028725491886167E-5</v>
      </c>
      <c r="I173" s="200">
        <v>6.4335860326210359E-4</v>
      </c>
      <c r="J173" s="200">
        <v>3.4767973839209625E-3</v>
      </c>
      <c r="K173" s="200">
        <v>1.1135012143230011E-2</v>
      </c>
      <c r="L173" s="200">
        <v>2.6400406529909184E-2</v>
      </c>
      <c r="M173" s="200">
        <v>5.1776225734454964E-2</v>
      </c>
      <c r="N173" s="200">
        <v>8.8964365489164032E-2</v>
      </c>
      <c r="O173" s="200">
        <v>0.13928927154245138</v>
      </c>
      <c r="P173" s="200">
        <v>0.20142593717816265</v>
      </c>
      <c r="Q173" s="200">
        <v>0.27544154752998851</v>
      </c>
      <c r="R173" s="200">
        <v>0.36092615156282165</v>
      </c>
      <c r="S173" s="200">
        <v>0.4561546041716556</v>
      </c>
      <c r="T173" s="200">
        <v>0.55966914020022274</v>
      </c>
      <c r="U173" s="200">
        <v>0.66920686172366217</v>
      </c>
      <c r="V173" s="200">
        <v>0.78194691255716708</v>
      </c>
      <c r="W173" s="200">
        <v>0.89478951415226071</v>
      </c>
      <c r="X173" s="200">
        <v>1.0083198874277919</v>
      </c>
      <c r="Y173" s="200">
        <v>1.1202485924152301</v>
      </c>
      <c r="Z173" s="200">
        <v>1.228505523313959</v>
      </c>
      <c r="AA173" s="200">
        <v>1.3321520689729356</v>
      </c>
      <c r="AB173" s="200">
        <v>1.4309021324230664</v>
      </c>
      <c r="AC173" s="200">
        <v>1.5251739858051494</v>
      </c>
      <c r="AD173" s="200">
        <v>1.6160184453161752</v>
      </c>
      <c r="AE173" s="200">
        <v>1.7033349497104244</v>
      </c>
      <c r="AF173" s="200">
        <v>1.7878013250225717</v>
      </c>
    </row>
    <row r="174" spans="1:32" s="221" customFormat="1" ht="14.45" x14ac:dyDescent="0.35">
      <c r="A174" s="806"/>
      <c r="B174" s="806"/>
      <c r="C174" s="539"/>
      <c r="D174" s="539"/>
      <c r="E174" s="539"/>
      <c r="F174" s="539"/>
      <c r="G174" s="200" t="s">
        <v>73</v>
      </c>
      <c r="H174" s="539" t="s">
        <v>73</v>
      </c>
      <c r="I174" s="539" t="s">
        <v>73</v>
      </c>
      <c r="J174" s="539" t="s">
        <v>73</v>
      </c>
      <c r="K174" s="539" t="s">
        <v>73</v>
      </c>
      <c r="L174" s="539" t="s">
        <v>73</v>
      </c>
      <c r="M174" s="539" t="s">
        <v>73</v>
      </c>
      <c r="N174" s="539" t="s">
        <v>73</v>
      </c>
      <c r="O174" s="539" t="s">
        <v>73</v>
      </c>
      <c r="P174" s="539" t="s">
        <v>73</v>
      </c>
      <c r="Q174" s="539" t="s">
        <v>73</v>
      </c>
      <c r="R174" s="539" t="s">
        <v>73</v>
      </c>
      <c r="S174" s="539" t="s">
        <v>73</v>
      </c>
      <c r="T174" s="539" t="s">
        <v>73</v>
      </c>
      <c r="U174" s="539" t="s">
        <v>73</v>
      </c>
      <c r="V174" s="539" t="s">
        <v>73</v>
      </c>
      <c r="W174" s="539" t="s">
        <v>73</v>
      </c>
      <c r="X174" s="539" t="s">
        <v>73</v>
      </c>
      <c r="Y174" s="539" t="s">
        <v>73</v>
      </c>
      <c r="Z174" s="539" t="s">
        <v>73</v>
      </c>
      <c r="AA174" s="539" t="s">
        <v>73</v>
      </c>
      <c r="AB174" s="539" t="s">
        <v>73</v>
      </c>
      <c r="AC174" s="539" t="s">
        <v>73</v>
      </c>
      <c r="AD174" s="539" t="s">
        <v>73</v>
      </c>
      <c r="AE174" s="539" t="s">
        <v>73</v>
      </c>
      <c r="AF174" s="539" t="s">
        <v>73</v>
      </c>
    </row>
    <row r="175" spans="1:32" s="202" customFormat="1" ht="12.95" x14ac:dyDescent="0.3">
      <c r="A175" s="556" t="s">
        <v>42</v>
      </c>
      <c r="B175" s="556"/>
      <c r="C175" s="556"/>
      <c r="D175" s="556"/>
      <c r="E175" s="556"/>
      <c r="F175" s="556"/>
      <c r="G175" s="241" t="s">
        <v>73</v>
      </c>
      <c r="H175" s="556" t="s">
        <v>73</v>
      </c>
      <c r="I175" s="556" t="s">
        <v>73</v>
      </c>
      <c r="J175" s="556" t="s">
        <v>73</v>
      </c>
      <c r="K175" s="556" t="s">
        <v>73</v>
      </c>
      <c r="L175" s="556" t="s">
        <v>73</v>
      </c>
      <c r="M175" s="556" t="s">
        <v>73</v>
      </c>
      <c r="N175" s="556" t="s">
        <v>73</v>
      </c>
      <c r="O175" s="556" t="s">
        <v>73</v>
      </c>
      <c r="P175" s="556" t="s">
        <v>73</v>
      </c>
      <c r="Q175" s="556" t="s">
        <v>73</v>
      </c>
      <c r="R175" s="556" t="s">
        <v>73</v>
      </c>
      <c r="S175" s="556" t="s">
        <v>73</v>
      </c>
      <c r="T175" s="556" t="s">
        <v>73</v>
      </c>
      <c r="U175" s="556" t="s">
        <v>73</v>
      </c>
      <c r="V175" s="556" t="s">
        <v>73</v>
      </c>
      <c r="W175" s="556" t="s">
        <v>73</v>
      </c>
      <c r="X175" s="556" t="s">
        <v>73</v>
      </c>
      <c r="Y175" s="556" t="s">
        <v>73</v>
      </c>
      <c r="Z175" s="556" t="s">
        <v>73</v>
      </c>
      <c r="AA175" s="556" t="s">
        <v>73</v>
      </c>
      <c r="AB175" s="556" t="s">
        <v>73</v>
      </c>
      <c r="AC175" s="556" t="s">
        <v>73</v>
      </c>
      <c r="AD175" s="556" t="s">
        <v>73</v>
      </c>
      <c r="AE175" s="556" t="s">
        <v>73</v>
      </c>
      <c r="AF175" s="556" t="s">
        <v>73</v>
      </c>
    </row>
    <row r="176" spans="1:32" s="221" customFormat="1" ht="14.45" x14ac:dyDescent="0.35">
      <c r="A176" s="806"/>
      <c r="B176" s="808" t="s">
        <v>43</v>
      </c>
      <c r="C176" s="539"/>
      <c r="D176" s="539"/>
      <c r="E176" s="539"/>
      <c r="F176" s="539"/>
      <c r="G176" s="200">
        <v>5.8610202272146819E-2</v>
      </c>
      <c r="H176" s="200">
        <v>5.1838558457329209E-2</v>
      </c>
      <c r="I176" s="200">
        <v>4.5946553131674769E-2</v>
      </c>
      <c r="J176" s="200">
        <v>4.0790456805205239E-2</v>
      </c>
      <c r="K176" s="200">
        <v>3.6245616304485896E-2</v>
      </c>
      <c r="L176" s="200">
        <v>3.2233791668725698E-2</v>
      </c>
      <c r="M176" s="200">
        <v>2.8666033918114668E-2</v>
      </c>
      <c r="N176" s="200">
        <v>2.5495139591595196E-2</v>
      </c>
      <c r="O176" s="200">
        <v>2.2677638383432099E-2</v>
      </c>
      <c r="P176" s="200">
        <v>2.0173769392252849E-2</v>
      </c>
      <c r="Q176" s="200">
        <v>1.7946750939935988E-2</v>
      </c>
      <c r="R176" s="200">
        <v>1.5962598337386023E-2</v>
      </c>
      <c r="S176" s="200">
        <v>1.4196654430773148E-2</v>
      </c>
      <c r="T176" s="200">
        <v>1.2625279834753799E-2</v>
      </c>
      <c r="U176" s="200">
        <v>1.122785827128721E-2</v>
      </c>
      <c r="V176" s="200">
        <v>9.9862223115550486E-3</v>
      </c>
      <c r="W176" s="200">
        <v>8.8829626609589658E-3</v>
      </c>
      <c r="X176" s="200">
        <v>7.9033063662442005E-3</v>
      </c>
      <c r="Y176" s="200">
        <v>7.0332725433928864E-3</v>
      </c>
      <c r="Z176" s="200">
        <v>6.2607160241023975E-3</v>
      </c>
      <c r="AA176" s="200">
        <v>5.5749158012114684E-3</v>
      </c>
      <c r="AB176" s="200">
        <v>4.9672770378919187E-3</v>
      </c>
      <c r="AC176" s="200">
        <v>4.4286489730466635E-3</v>
      </c>
      <c r="AD176" s="200">
        <v>3.9497104104813984E-3</v>
      </c>
      <c r="AE176" s="200">
        <v>3.5246316751734027E-3</v>
      </c>
      <c r="AF176" s="200">
        <v>3.1464956719036482E-3</v>
      </c>
    </row>
    <row r="177" spans="1:32" s="221" customFormat="1" ht="14.45" x14ac:dyDescent="0.35">
      <c r="A177" s="806"/>
      <c r="B177" s="808" t="s">
        <v>44</v>
      </c>
      <c r="C177" s="539"/>
      <c r="D177" s="539"/>
      <c r="E177" s="539"/>
      <c r="F177" s="539"/>
      <c r="G177" s="200">
        <v>1.7248347060573332</v>
      </c>
      <c r="H177" s="200">
        <v>1.7521929617842567</v>
      </c>
      <c r="I177" s="200">
        <v>1.7949716664665589</v>
      </c>
      <c r="J177" s="200">
        <v>1.8293114459254098</v>
      </c>
      <c r="K177" s="200">
        <v>1.848930252186173</v>
      </c>
      <c r="L177" s="200">
        <v>1.8513061506787765</v>
      </c>
      <c r="M177" s="200">
        <v>1.833517172279054</v>
      </c>
      <c r="N177" s="200">
        <v>1.7922466808315807</v>
      </c>
      <c r="O177" s="200">
        <v>1.737668018650472</v>
      </c>
      <c r="P177" s="200">
        <v>1.6714426297132978</v>
      </c>
      <c r="Q177" s="200">
        <v>1.5970615537378257</v>
      </c>
      <c r="R177" s="200">
        <v>1.5161360660097685</v>
      </c>
      <c r="S177" s="200">
        <v>1.4321749674355877</v>
      </c>
      <c r="T177" s="200">
        <v>1.3472677995550861</v>
      </c>
      <c r="U177" s="200">
        <v>1.263624055863922</v>
      </c>
      <c r="V177" s="200">
        <v>1.1826491362513036</v>
      </c>
      <c r="W177" s="200">
        <v>1.1051603044579108</v>
      </c>
      <c r="X177" s="200">
        <v>1.0323228734853167</v>
      </c>
      <c r="Y177" s="200">
        <v>0.96430394466546165</v>
      </c>
      <c r="Z177" s="200">
        <v>0.90116258172648389</v>
      </c>
      <c r="AA177" s="200">
        <v>0.84290439361224656</v>
      </c>
      <c r="AB177" s="200">
        <v>0.7894089382378352</v>
      </c>
      <c r="AC177" s="200">
        <v>0.74047440405926024</v>
      </c>
      <c r="AD177" s="200">
        <v>0.69818398619233168</v>
      </c>
      <c r="AE177" s="200">
        <v>0.65702880795351937</v>
      </c>
      <c r="AF177" s="200">
        <v>0.61913996303550378</v>
      </c>
    </row>
    <row r="178" spans="1:32" s="221" customFormat="1" ht="14.45" x14ac:dyDescent="0.35">
      <c r="A178" s="806"/>
      <c r="B178" s="808" t="s">
        <v>45</v>
      </c>
      <c r="C178" s="539"/>
      <c r="D178" s="539"/>
      <c r="E178" s="539"/>
      <c r="F178" s="539"/>
      <c r="G178" s="200">
        <v>0.14153717369138527</v>
      </c>
      <c r="H178" s="200">
        <v>0.12624494064818706</v>
      </c>
      <c r="I178" s="200">
        <v>0.11302540285505008</v>
      </c>
      <c r="J178" s="200">
        <v>0.10142605556286481</v>
      </c>
      <c r="K178" s="200">
        <v>9.1198279104456645E-2</v>
      </c>
      <c r="L178" s="200">
        <v>8.2114401838534093E-2</v>
      </c>
      <c r="M178" s="200">
        <v>7.4002457091660048E-2</v>
      </c>
      <c r="N178" s="200">
        <v>6.6731944125221432E-2</v>
      </c>
      <c r="O178" s="200">
        <v>6.0203017322314145E-2</v>
      </c>
      <c r="P178" s="200">
        <v>5.4228125733960193E-2</v>
      </c>
      <c r="Q178" s="200">
        <v>4.8847532549989733E-2</v>
      </c>
      <c r="R178" s="200">
        <v>4.4062480894075655E-2</v>
      </c>
      <c r="S178" s="200">
        <v>3.9682729602235123E-2</v>
      </c>
      <c r="T178" s="200">
        <v>3.5739890942249004E-2</v>
      </c>
      <c r="U178" s="200">
        <v>3.2198336430127796E-2</v>
      </c>
      <c r="V178" s="200">
        <v>2.9020833628386537E-2</v>
      </c>
      <c r="W178" s="200">
        <v>2.6172675989144027E-2</v>
      </c>
      <c r="X178" s="200">
        <v>2.3627560855122173E-2</v>
      </c>
      <c r="Y178" s="200">
        <v>2.1355042956897077E-2</v>
      </c>
      <c r="Z178" s="200">
        <v>1.9327040867000874E-2</v>
      </c>
      <c r="AA178" s="200">
        <v>1.7518647272169896E-2</v>
      </c>
      <c r="AB178" s="200">
        <v>1.5910424520928595E-2</v>
      </c>
      <c r="AC178" s="200">
        <v>1.4480502259773523E-2</v>
      </c>
      <c r="AD178" s="200">
        <v>1.3205203436727504E-2</v>
      </c>
      <c r="AE178" s="200">
        <v>1.2070517408670118E-2</v>
      </c>
      <c r="AF178" s="200">
        <v>1.105845127886621E-2</v>
      </c>
    </row>
    <row r="179" spans="1:32" s="221" customFormat="1" ht="14.45" x14ac:dyDescent="0.35">
      <c r="A179" s="806"/>
      <c r="B179" s="808" t="s">
        <v>46</v>
      </c>
      <c r="C179" s="539"/>
      <c r="D179" s="539"/>
      <c r="E179" s="539"/>
      <c r="F179" s="539"/>
      <c r="G179" s="200">
        <v>1.4295487026834528E-3</v>
      </c>
      <c r="H179" s="200">
        <v>1.2440745124087768E-3</v>
      </c>
      <c r="I179" s="200">
        <v>1.0874752576052714E-3</v>
      </c>
      <c r="J179" s="200">
        <v>9.5115503433135327E-4</v>
      </c>
      <c r="K179" s="200">
        <v>8.3241053780779201E-4</v>
      </c>
      <c r="L179" s="200">
        <v>7.2890926279552354E-4</v>
      </c>
      <c r="M179" s="200">
        <v>6.3863724394294056E-4</v>
      </c>
      <c r="N179" s="200">
        <v>5.5985434997771135E-4</v>
      </c>
      <c r="O179" s="200">
        <v>4.9106010366940908E-4</v>
      </c>
      <c r="P179" s="200">
        <v>4.2882154296522711E-4</v>
      </c>
      <c r="Q179" s="200">
        <v>3.74634034082202E-4</v>
      </c>
      <c r="R179" s="200">
        <v>3.2743322841379804E-4</v>
      </c>
      <c r="S179" s="200">
        <v>2.8629855140392278E-4</v>
      </c>
      <c r="T179" s="200">
        <v>2.5043334530049527E-4</v>
      </c>
      <c r="U179" s="200">
        <v>2.1914781639772039E-4</v>
      </c>
      <c r="V179" s="200">
        <v>1.9184438137351853E-4</v>
      </c>
      <c r="W179" s="200">
        <v>1.6800859239082507E-4</v>
      </c>
      <c r="X179" s="200">
        <v>1.4719122249366349E-4</v>
      </c>
      <c r="Y179" s="200">
        <v>1.2900150492980758E-4</v>
      </c>
      <c r="Z179" s="200">
        <v>1.1310227948659315E-4</v>
      </c>
      <c r="AA179" s="200">
        <v>9.9654721398459285E-5</v>
      </c>
      <c r="AB179" s="200">
        <v>8.746155621609927E-5</v>
      </c>
      <c r="AC179" s="200">
        <v>7.6811260977836313E-5</v>
      </c>
      <c r="AD179" s="200">
        <v>6.7481392850773925E-5</v>
      </c>
      <c r="AE179" s="200">
        <v>5.9322659855626118E-5</v>
      </c>
      <c r="AF179" s="200">
        <v>5.2182844405815835E-5</v>
      </c>
    </row>
    <row r="180" spans="1:32" s="221" customFormat="1" ht="14.45" x14ac:dyDescent="0.35">
      <c r="A180" s="806"/>
      <c r="B180" s="806" t="s">
        <v>29</v>
      </c>
      <c r="C180" s="539"/>
      <c r="D180" s="539"/>
      <c r="E180" s="539"/>
      <c r="F180" s="539"/>
      <c r="G180" s="200">
        <v>0</v>
      </c>
      <c r="H180" s="200">
        <v>5.455934073811496E-5</v>
      </c>
      <c r="I180" s="200">
        <v>8.2017693288269052E-4</v>
      </c>
      <c r="J180" s="200">
        <v>3.8972351940250167E-3</v>
      </c>
      <c r="K180" s="200">
        <v>1.0766930505036812E-2</v>
      </c>
      <c r="L180" s="200">
        <v>2.1865785802644821E-2</v>
      </c>
      <c r="M180" s="200">
        <v>3.7024423796706653E-2</v>
      </c>
      <c r="N180" s="200">
        <v>5.5684229958091747E-2</v>
      </c>
      <c r="O180" s="200">
        <v>7.751183148546964E-2</v>
      </c>
      <c r="P180" s="200">
        <v>0.10112271526096855</v>
      </c>
      <c r="Q180" s="200">
        <v>0.12608460438216645</v>
      </c>
      <c r="R180" s="200">
        <v>0.15215945742408329</v>
      </c>
      <c r="S180" s="200">
        <v>0.17870357690823863</v>
      </c>
      <c r="T180" s="200">
        <v>0.20532869797411282</v>
      </c>
      <c r="U180" s="200">
        <v>0.23159002392970351</v>
      </c>
      <c r="V180" s="200">
        <v>0.25717287823758755</v>
      </c>
      <c r="W180" s="200">
        <v>0.28155568113628571</v>
      </c>
      <c r="X180" s="200">
        <v>0.30472617912363931</v>
      </c>
      <c r="Y180" s="200">
        <v>0.326604460785484</v>
      </c>
      <c r="Z180" s="200">
        <v>0.34707582896749029</v>
      </c>
      <c r="AA180" s="200">
        <v>0.36612960009892137</v>
      </c>
      <c r="AB180" s="200">
        <v>0.38402300136272699</v>
      </c>
      <c r="AC180" s="200">
        <v>0.40100197467907867</v>
      </c>
      <c r="AD180" s="200">
        <v>0.41731579658416723</v>
      </c>
      <c r="AE180" s="200">
        <v>0.43307443240786114</v>
      </c>
      <c r="AF180" s="200">
        <v>0.44818057965059976</v>
      </c>
    </row>
    <row r="181" spans="1:32" s="221" customFormat="1" ht="14.45" x14ac:dyDescent="0.35">
      <c r="A181" s="806"/>
      <c r="B181" s="806"/>
      <c r="C181" s="539"/>
      <c r="D181" s="539"/>
      <c r="E181" s="539"/>
      <c r="F181" s="539"/>
      <c r="G181" s="200" t="s">
        <v>73</v>
      </c>
      <c r="H181" s="539" t="s">
        <v>73</v>
      </c>
      <c r="I181" s="539" t="s">
        <v>73</v>
      </c>
      <c r="J181" s="539" t="s">
        <v>73</v>
      </c>
      <c r="K181" s="539" t="s">
        <v>73</v>
      </c>
      <c r="L181" s="539" t="s">
        <v>73</v>
      </c>
      <c r="M181" s="539" t="s">
        <v>73</v>
      </c>
      <c r="N181" s="539" t="s">
        <v>73</v>
      </c>
      <c r="O181" s="539" t="s">
        <v>73</v>
      </c>
      <c r="P181" s="539" t="s">
        <v>73</v>
      </c>
      <c r="Q181" s="539" t="s">
        <v>73</v>
      </c>
      <c r="R181" s="539" t="s">
        <v>73</v>
      </c>
      <c r="S181" s="539" t="s">
        <v>73</v>
      </c>
      <c r="T181" s="539" t="s">
        <v>73</v>
      </c>
      <c r="U181" s="539" t="s">
        <v>73</v>
      </c>
      <c r="V181" s="539" t="s">
        <v>73</v>
      </c>
      <c r="W181" s="539" t="s">
        <v>73</v>
      </c>
      <c r="X181" s="539" t="s">
        <v>73</v>
      </c>
      <c r="Y181" s="539" t="s">
        <v>73</v>
      </c>
      <c r="Z181" s="539" t="s">
        <v>73</v>
      </c>
      <c r="AA181" s="539" t="s">
        <v>73</v>
      </c>
      <c r="AB181" s="539" t="s">
        <v>73</v>
      </c>
      <c r="AC181" s="539" t="s">
        <v>73</v>
      </c>
      <c r="AD181" s="539" t="s">
        <v>73</v>
      </c>
      <c r="AE181" s="539" t="s">
        <v>73</v>
      </c>
      <c r="AF181" s="539" t="s">
        <v>73</v>
      </c>
    </row>
    <row r="182" spans="1:32" s="202" customFormat="1" ht="12.95" x14ac:dyDescent="0.3">
      <c r="A182" s="556" t="s">
        <v>47</v>
      </c>
      <c r="B182" s="556"/>
      <c r="C182" s="556"/>
      <c r="D182" s="556"/>
      <c r="E182" s="556"/>
      <c r="F182" s="556"/>
      <c r="G182" s="241" t="s">
        <v>73</v>
      </c>
      <c r="H182" s="556" t="s">
        <v>73</v>
      </c>
      <c r="I182" s="556" t="s">
        <v>73</v>
      </c>
      <c r="J182" s="556" t="s">
        <v>73</v>
      </c>
      <c r="K182" s="556" t="s">
        <v>73</v>
      </c>
      <c r="L182" s="556" t="s">
        <v>73</v>
      </c>
      <c r="M182" s="556" t="s">
        <v>73</v>
      </c>
      <c r="N182" s="556" t="s">
        <v>73</v>
      </c>
      <c r="O182" s="556" t="s">
        <v>73</v>
      </c>
      <c r="P182" s="556" t="s">
        <v>73</v>
      </c>
      <c r="Q182" s="556" t="s">
        <v>73</v>
      </c>
      <c r="R182" s="556" t="s">
        <v>73</v>
      </c>
      <c r="S182" s="556" t="s">
        <v>73</v>
      </c>
      <c r="T182" s="556" t="s">
        <v>73</v>
      </c>
      <c r="U182" s="556" t="s">
        <v>73</v>
      </c>
      <c r="V182" s="556" t="s">
        <v>73</v>
      </c>
      <c r="W182" s="556" t="s">
        <v>73</v>
      </c>
      <c r="X182" s="556" t="s">
        <v>73</v>
      </c>
      <c r="Y182" s="556" t="s">
        <v>73</v>
      </c>
      <c r="Z182" s="556" t="s">
        <v>73</v>
      </c>
      <c r="AA182" s="556" t="s">
        <v>73</v>
      </c>
      <c r="AB182" s="556" t="s">
        <v>73</v>
      </c>
      <c r="AC182" s="556" t="s">
        <v>73</v>
      </c>
      <c r="AD182" s="556" t="s">
        <v>73</v>
      </c>
      <c r="AE182" s="556" t="s">
        <v>73</v>
      </c>
      <c r="AF182" s="556" t="s">
        <v>73</v>
      </c>
    </row>
    <row r="183" spans="1:32" s="221" customFormat="1" ht="14.45" x14ac:dyDescent="0.35">
      <c r="A183" s="806"/>
      <c r="B183" s="806" t="s">
        <v>48</v>
      </c>
      <c r="C183" s="539"/>
      <c r="D183" s="539"/>
      <c r="E183" s="539"/>
      <c r="F183" s="539"/>
      <c r="G183" s="200">
        <v>2.3480384751678043E-2</v>
      </c>
      <c r="H183" s="200">
        <v>2.1921132477424783E-2</v>
      </c>
      <c r="I183" s="200">
        <v>1.9261566989845009E-2</v>
      </c>
      <c r="J183" s="200">
        <v>1.5733624152551202E-2</v>
      </c>
      <c r="K183" s="200">
        <v>1.1774895750796047E-2</v>
      </c>
      <c r="L183" s="200">
        <v>8.0232939844866267E-3</v>
      </c>
      <c r="M183" s="200">
        <v>4.9235017851545146E-3</v>
      </c>
      <c r="N183" s="200">
        <v>2.7255597079706463E-3</v>
      </c>
      <c r="O183" s="200">
        <v>1.369995829085329E-3</v>
      </c>
      <c r="P183" s="200">
        <v>6.3014162141199453E-4</v>
      </c>
      <c r="Q183" s="200">
        <v>2.6788462081568952E-4</v>
      </c>
      <c r="R183" s="200">
        <v>1.0618343939410878E-4</v>
      </c>
      <c r="S183" s="200">
        <v>3.9656399639920482E-5</v>
      </c>
      <c r="T183" s="200">
        <v>1.4088862261136234E-5</v>
      </c>
      <c r="U183" s="200">
        <v>4.8034762550567408E-6</v>
      </c>
      <c r="V183" s="200">
        <v>1.58488357250521E-6</v>
      </c>
      <c r="W183" s="200">
        <v>5.092869976763289E-7</v>
      </c>
      <c r="X183" s="200">
        <v>1.6038982333255325E-7</v>
      </c>
      <c r="Y183" s="200">
        <v>4.9726243016170222E-8</v>
      </c>
      <c r="Z183" s="200">
        <v>1.5230093295642601E-8</v>
      </c>
      <c r="AA183" s="200">
        <v>4.6212167088769666E-9</v>
      </c>
      <c r="AB183" s="200">
        <v>1.3917001985769041E-9</v>
      </c>
      <c r="AC183" s="200">
        <v>4.1667804751398172E-10</v>
      </c>
      <c r="AD183" s="200">
        <v>1.2415840843282094E-10</v>
      </c>
      <c r="AE183" s="200">
        <v>3.6841561975203144E-11</v>
      </c>
      <c r="AF183" s="200">
        <v>1.0878922676322624E-11</v>
      </c>
    </row>
    <row r="184" spans="1:32" s="221" customFormat="1" ht="14.45" x14ac:dyDescent="0.35">
      <c r="A184" s="806"/>
      <c r="B184" s="808" t="s">
        <v>50</v>
      </c>
      <c r="C184" s="539"/>
      <c r="D184" s="539"/>
      <c r="E184" s="539"/>
      <c r="F184" s="539"/>
      <c r="G184" s="200">
        <v>0.35369806616412891</v>
      </c>
      <c r="H184" s="200">
        <v>0.34538588075281812</v>
      </c>
      <c r="I184" s="200">
        <v>0.32917037708011981</v>
      </c>
      <c r="J184" s="200">
        <v>0.30269660593151015</v>
      </c>
      <c r="K184" s="200">
        <v>0.26659154839137283</v>
      </c>
      <c r="L184" s="200">
        <v>0.2234460907470808</v>
      </c>
      <c r="M184" s="200">
        <v>0.17715719049678147</v>
      </c>
      <c r="N184" s="200">
        <v>0.13280905039882715</v>
      </c>
      <c r="O184" s="200">
        <v>9.4402546500877121E-2</v>
      </c>
      <c r="P184" s="200">
        <v>6.3781241998132815E-2</v>
      </c>
      <c r="Q184" s="200">
        <v>4.1188100580188763E-2</v>
      </c>
      <c r="R184" s="200">
        <v>2.55372652347312E-2</v>
      </c>
      <c r="S184" s="200">
        <v>1.5296961263815398E-2</v>
      </c>
      <c r="T184" s="200">
        <v>8.9043629995322199E-3</v>
      </c>
      <c r="U184" s="200">
        <v>5.0647944420771623E-3</v>
      </c>
      <c r="V184" s="200">
        <v>2.8294438864669698E-3</v>
      </c>
      <c r="W184" s="200">
        <v>1.5584958099088627E-3</v>
      </c>
      <c r="X184" s="200">
        <v>8.500540409455983E-4</v>
      </c>
      <c r="Y184" s="200">
        <v>4.6045069722893924E-4</v>
      </c>
      <c r="Z184" s="200">
        <v>2.4818662009864296E-4</v>
      </c>
      <c r="AA184" s="200">
        <v>1.3332523056425814E-4</v>
      </c>
      <c r="AB184" s="200">
        <v>7.1472553486291978E-5</v>
      </c>
      <c r="AC184" s="200">
        <v>3.827621736247572E-5</v>
      </c>
      <c r="AD184" s="200">
        <v>2.0491535287456139E-5</v>
      </c>
      <c r="AE184" s="200">
        <v>1.097148622192662E-5</v>
      </c>
      <c r="AF184" s="200">
        <v>5.8744828875596013E-6</v>
      </c>
    </row>
    <row r="185" spans="1:32" s="221" customFormat="1" ht="14.45" x14ac:dyDescent="0.35">
      <c r="A185" s="806"/>
      <c r="B185" s="806" t="s">
        <v>51</v>
      </c>
      <c r="C185" s="539"/>
      <c r="D185" s="539"/>
      <c r="E185" s="539"/>
      <c r="F185" s="539"/>
      <c r="G185" s="200">
        <v>0.31784672103776357</v>
      </c>
      <c r="H185" s="200">
        <v>0.31375513802781102</v>
      </c>
      <c r="I185" s="200">
        <v>0.30661919666035908</v>
      </c>
      <c r="J185" s="200">
        <v>0.2955609350881534</v>
      </c>
      <c r="K185" s="200">
        <v>0.28051633603799669</v>
      </c>
      <c r="L185" s="200">
        <v>0.26167032805361568</v>
      </c>
      <c r="M185" s="200">
        <v>0.23994935406635304</v>
      </c>
      <c r="N185" s="200">
        <v>0.21660878886226492</v>
      </c>
      <c r="O185" s="200">
        <v>0.19290149298088605</v>
      </c>
      <c r="P185" s="200">
        <v>0.16951082748687787</v>
      </c>
      <c r="Q185" s="200">
        <v>0.14729441953715852</v>
      </c>
      <c r="R185" s="200">
        <v>0.12666400991152413</v>
      </c>
      <c r="S185" s="200">
        <v>0.1079860923690521</v>
      </c>
      <c r="T185" s="200">
        <v>9.1412281348703717E-2</v>
      </c>
      <c r="U185" s="200">
        <v>7.6946443157588446E-2</v>
      </c>
      <c r="V185" s="200">
        <v>6.4485379644818708E-2</v>
      </c>
      <c r="W185" s="200">
        <v>5.3848528750193164E-2</v>
      </c>
      <c r="X185" s="200">
        <v>4.4868207220237911E-2</v>
      </c>
      <c r="Y185" s="200">
        <v>3.7331745479334225E-2</v>
      </c>
      <c r="Z185" s="200">
        <v>3.1026643060456986E-2</v>
      </c>
      <c r="AA185" s="200">
        <v>2.5803762206135721E-2</v>
      </c>
      <c r="AB185" s="200">
        <v>2.1416801157462258E-2</v>
      </c>
      <c r="AC185" s="200">
        <v>1.777245557322359E-2</v>
      </c>
      <c r="AD185" s="200">
        <v>1.4748037478493152E-2</v>
      </c>
      <c r="AE185" s="200">
        <v>1.2239668340373083E-2</v>
      </c>
      <c r="AF185" s="200">
        <v>1.015978015333063E-2</v>
      </c>
    </row>
    <row r="186" spans="1:32" s="221" customFormat="1" ht="14.45" x14ac:dyDescent="0.35">
      <c r="A186" s="806"/>
      <c r="B186" s="806" t="s">
        <v>52</v>
      </c>
      <c r="C186" s="539"/>
      <c r="D186" s="539"/>
      <c r="E186" s="539"/>
      <c r="F186" s="539"/>
      <c r="G186" s="200">
        <v>6.3916850848701606E-2</v>
      </c>
      <c r="H186" s="200">
        <v>6.4251875544395973E-2</v>
      </c>
      <c r="I186" s="200">
        <v>6.449230566557862E-2</v>
      </c>
      <c r="J186" s="200">
        <v>6.441140912760164E-2</v>
      </c>
      <c r="K186" s="200">
        <v>6.3916249854064064E-2</v>
      </c>
      <c r="L186" s="200">
        <v>6.2993023076632487E-2</v>
      </c>
      <c r="M186" s="200">
        <v>6.1596086140019574E-2</v>
      </c>
      <c r="N186" s="200">
        <v>5.9826598953611435E-2</v>
      </c>
      <c r="O186" s="200">
        <v>5.7733240556897922E-2</v>
      </c>
      <c r="P186" s="200">
        <v>5.5397487067605791E-2</v>
      </c>
      <c r="Q186" s="200">
        <v>5.2922967488436924E-2</v>
      </c>
      <c r="R186" s="200">
        <v>5.0338578784162917E-2</v>
      </c>
      <c r="S186" s="200">
        <v>4.7716645691325173E-2</v>
      </c>
      <c r="T186" s="200">
        <v>4.5108612620236563E-2</v>
      </c>
      <c r="U186" s="200">
        <v>4.2555439095668862E-2</v>
      </c>
      <c r="V186" s="200">
        <v>4.0101269506691774E-2</v>
      </c>
      <c r="W186" s="200">
        <v>3.7752432688717266E-2</v>
      </c>
      <c r="X186" s="200">
        <v>3.5520589955183361E-2</v>
      </c>
      <c r="Y186" s="200">
        <v>3.3424237175251212E-2</v>
      </c>
      <c r="Z186" s="200">
        <v>3.144212230779312E-2</v>
      </c>
      <c r="AA186" s="200">
        <v>2.95789764278457E-2</v>
      </c>
      <c r="AB186" s="200">
        <v>2.783140313322954E-2</v>
      </c>
      <c r="AC186" s="200">
        <v>2.6186361229781845E-2</v>
      </c>
      <c r="AD186" s="200">
        <v>2.4647137209225751E-2</v>
      </c>
      <c r="AE186" s="200">
        <v>2.32067278477203E-2</v>
      </c>
      <c r="AF186" s="200">
        <v>2.1851882887446071E-2</v>
      </c>
    </row>
    <row r="187" spans="1:32" s="221" customFormat="1" ht="14.45" x14ac:dyDescent="0.35">
      <c r="A187" s="806"/>
      <c r="B187" s="808" t="s">
        <v>29</v>
      </c>
      <c r="C187" s="539"/>
      <c r="D187" s="539"/>
      <c r="E187" s="539"/>
      <c r="F187" s="539"/>
      <c r="G187" s="200">
        <v>0</v>
      </c>
      <c r="H187" s="200">
        <v>8.2376756068800443E-3</v>
      </c>
      <c r="I187" s="200">
        <v>1.9146782075067686E-2</v>
      </c>
      <c r="J187" s="200">
        <v>3.1926479590848954E-2</v>
      </c>
      <c r="K187" s="200">
        <v>4.5960382348321921E-2</v>
      </c>
      <c r="L187" s="200">
        <v>6.0527646070915132E-2</v>
      </c>
      <c r="M187" s="200">
        <v>7.4949688173229681E-2</v>
      </c>
      <c r="N187" s="200">
        <v>8.8547189751412944E-2</v>
      </c>
      <c r="O187" s="200">
        <v>0.10094292703410479</v>
      </c>
      <c r="P187" s="200">
        <v>0.11181564975069666</v>
      </c>
      <c r="Q187" s="200">
        <v>0.12121035768743516</v>
      </c>
      <c r="R187" s="200">
        <v>0.12959958410168759</v>
      </c>
      <c r="S187" s="200">
        <v>0.13705206378573237</v>
      </c>
      <c r="T187" s="200">
        <v>0.14366784062175889</v>
      </c>
      <c r="U187" s="200">
        <v>0.14956820959244915</v>
      </c>
      <c r="V187" s="200">
        <v>0.15430515135712641</v>
      </c>
      <c r="W187" s="200">
        <v>0.15817235805649735</v>
      </c>
      <c r="X187" s="200">
        <v>0.16147954994066066</v>
      </c>
      <c r="Y187" s="200">
        <v>0.16441298386070088</v>
      </c>
      <c r="Z187" s="200">
        <v>0.16707214058843758</v>
      </c>
      <c r="AA187" s="200">
        <v>0.16953493951076096</v>
      </c>
      <c r="AB187" s="200">
        <v>0.17191035867347024</v>
      </c>
      <c r="AC187" s="200">
        <v>0.17428623433454105</v>
      </c>
      <c r="AD187" s="200">
        <v>0.17673356296338197</v>
      </c>
      <c r="AE187" s="200">
        <v>0.17928779554808399</v>
      </c>
      <c r="AF187" s="200">
        <v>0.18180227909581456</v>
      </c>
    </row>
    <row r="188" spans="1:32" s="221" customFormat="1" ht="14.45" x14ac:dyDescent="0.35">
      <c r="A188" s="806"/>
      <c r="B188" s="808" t="s">
        <v>53</v>
      </c>
      <c r="C188" s="539"/>
      <c r="D188" s="539"/>
      <c r="E188" s="539"/>
      <c r="F188" s="539"/>
      <c r="G188" s="200">
        <v>0</v>
      </c>
      <c r="H188" s="200">
        <v>0</v>
      </c>
      <c r="I188" s="200">
        <v>0</v>
      </c>
      <c r="J188" s="200">
        <v>0</v>
      </c>
      <c r="K188" s="200">
        <v>0</v>
      </c>
      <c r="L188" s="200">
        <v>0</v>
      </c>
      <c r="M188" s="200">
        <v>0</v>
      </c>
      <c r="N188" s="200">
        <v>0</v>
      </c>
      <c r="O188" s="200">
        <v>0</v>
      </c>
      <c r="P188" s="200">
        <v>0</v>
      </c>
      <c r="Q188" s="200">
        <v>0</v>
      </c>
      <c r="R188" s="200">
        <v>0</v>
      </c>
      <c r="S188" s="200">
        <v>0</v>
      </c>
      <c r="T188" s="200">
        <v>0</v>
      </c>
      <c r="U188" s="200">
        <v>0</v>
      </c>
      <c r="V188" s="200">
        <v>0</v>
      </c>
      <c r="W188" s="200">
        <v>0</v>
      </c>
      <c r="X188" s="200">
        <v>0</v>
      </c>
      <c r="Y188" s="200">
        <v>0</v>
      </c>
      <c r="Z188" s="200">
        <v>0</v>
      </c>
      <c r="AA188" s="200">
        <v>0</v>
      </c>
      <c r="AB188" s="200">
        <v>0</v>
      </c>
      <c r="AC188" s="200">
        <v>0</v>
      </c>
      <c r="AD188" s="200">
        <v>0</v>
      </c>
      <c r="AE188" s="200">
        <v>0</v>
      </c>
      <c r="AF188" s="200">
        <v>0</v>
      </c>
    </row>
    <row r="191" spans="1:32" ht="14.45" x14ac:dyDescent="0.35">
      <c r="A191" s="554" t="s">
        <v>56</v>
      </c>
      <c r="B191" s="555"/>
      <c r="C191" s="554"/>
      <c r="D191" s="553"/>
      <c r="E191" s="553"/>
      <c r="F191" s="553"/>
      <c r="G191" s="553"/>
      <c r="H191" s="560"/>
      <c r="I191" s="560"/>
      <c r="J191" s="560"/>
      <c r="K191" s="560"/>
      <c r="L191" s="560"/>
      <c r="M191" s="560"/>
      <c r="N191" s="560"/>
      <c r="O191" s="560"/>
      <c r="P191" s="560"/>
      <c r="Q191" s="560"/>
      <c r="R191" s="560"/>
      <c r="S191" s="560"/>
      <c r="T191" s="560"/>
      <c r="U191" s="560"/>
      <c r="V191" s="560"/>
      <c r="W191" s="560"/>
      <c r="X191" s="560"/>
      <c r="Y191" s="560"/>
      <c r="Z191" s="560"/>
      <c r="AA191" s="560"/>
      <c r="AB191" s="560"/>
      <c r="AC191" s="560"/>
      <c r="AD191" s="560"/>
      <c r="AE191" s="560"/>
      <c r="AF191" s="560"/>
    </row>
    <row r="192" spans="1:32" ht="14.45" x14ac:dyDescent="0.35">
      <c r="A192" s="812" t="s">
        <v>12</v>
      </c>
      <c r="B192" s="806"/>
    </row>
    <row r="193" spans="1:32" ht="14.45" x14ac:dyDescent="0.35">
      <c r="A193" s="806"/>
      <c r="B193" s="806" t="s">
        <v>20</v>
      </c>
    </row>
    <row r="194" spans="1:32" s="202" customFormat="1" ht="12.95" x14ac:dyDescent="0.3">
      <c r="A194" s="556" t="s">
        <v>21</v>
      </c>
      <c r="B194" s="556"/>
      <c r="C194" s="556"/>
      <c r="D194" s="556"/>
      <c r="E194" s="556"/>
      <c r="F194" s="556"/>
      <c r="G194" s="556"/>
      <c r="H194" s="556"/>
      <c r="I194" s="556"/>
      <c r="J194" s="556"/>
      <c r="K194" s="556"/>
      <c r="L194" s="556"/>
      <c r="M194" s="556"/>
      <c r="N194" s="556"/>
      <c r="O194" s="556"/>
      <c r="P194" s="556"/>
      <c r="Q194" s="556"/>
      <c r="R194" s="556"/>
      <c r="S194" s="556"/>
      <c r="T194" s="556"/>
      <c r="U194" s="556"/>
      <c r="V194" s="556"/>
      <c r="W194" s="556"/>
      <c r="X194" s="556"/>
      <c r="Y194" s="556"/>
      <c r="Z194" s="556"/>
      <c r="AA194" s="556"/>
      <c r="AB194" s="556"/>
      <c r="AC194" s="556"/>
      <c r="AD194" s="556"/>
      <c r="AE194" s="556"/>
      <c r="AF194" s="556"/>
    </row>
    <row r="195" spans="1:32" s="221" customFormat="1" ht="14.45" x14ac:dyDescent="0.35">
      <c r="A195" s="806"/>
      <c r="B195" s="806" t="s">
        <v>22</v>
      </c>
      <c r="C195" s="539"/>
      <c r="D195" s="539"/>
      <c r="E195" s="539"/>
      <c r="F195" s="539"/>
      <c r="G195" s="200">
        <v>4.5178087284057887E-3</v>
      </c>
      <c r="H195" s="200">
        <v>2.3032641070819628E-3</v>
      </c>
      <c r="I195" s="200">
        <v>1.5386141267017079E-3</v>
      </c>
      <c r="J195" s="200">
        <v>8.8301134618631936E-4</v>
      </c>
      <c r="K195" s="200">
        <v>5.7379545701803528E-4</v>
      </c>
      <c r="L195" s="200">
        <v>3.3851647275572402E-4</v>
      </c>
      <c r="M195" s="200">
        <v>1.1055550342132111E-4</v>
      </c>
      <c r="N195" s="200">
        <v>9.062996283315682E-5</v>
      </c>
      <c r="O195" s="200">
        <v>7.5791482323969616E-5</v>
      </c>
      <c r="P195" s="200">
        <v>6.2739014716634592E-5</v>
      </c>
      <c r="Q195" s="200">
        <v>5.0506656680637745E-5</v>
      </c>
      <c r="R195" s="200">
        <v>3.9777094939977533E-5</v>
      </c>
      <c r="S195" s="200">
        <v>3.0964762812867915E-5</v>
      </c>
      <c r="T195" s="200">
        <v>2.4089315024645834E-5</v>
      </c>
      <c r="U195" s="200">
        <v>1.8717802409116996E-5</v>
      </c>
      <c r="V195" s="200">
        <v>1.4758336036114338E-5</v>
      </c>
      <c r="W195" s="200">
        <v>1.1829414072999309E-5</v>
      </c>
      <c r="X195" s="200">
        <v>9.6154257647115053E-6</v>
      </c>
      <c r="Y195" s="200">
        <v>7.9535313322786475E-6</v>
      </c>
      <c r="Z195" s="200">
        <v>6.7136273469134931E-6</v>
      </c>
      <c r="AA195" s="200">
        <v>5.7820695760534713E-6</v>
      </c>
      <c r="AB195" s="200">
        <v>5.0415533814029661E-6</v>
      </c>
      <c r="AC195" s="200">
        <v>4.4439025290981323E-6</v>
      </c>
      <c r="AD195" s="200">
        <v>3.9525244046898421E-6</v>
      </c>
      <c r="AE195" s="200">
        <v>3.5338025615231172E-6</v>
      </c>
      <c r="AF195" s="200">
        <v>3.1329253969774988E-6</v>
      </c>
    </row>
    <row r="196" spans="1:32" s="221" customFormat="1" ht="14.45" x14ac:dyDescent="0.35">
      <c r="A196" s="806"/>
      <c r="B196" s="806" t="s">
        <v>26</v>
      </c>
      <c r="C196" s="539"/>
      <c r="D196" s="539"/>
      <c r="E196" s="539"/>
      <c r="F196" s="539"/>
      <c r="G196" s="200">
        <v>2.7451564495069224E-5</v>
      </c>
      <c r="H196" s="200">
        <v>2.5383932665697468E-5</v>
      </c>
      <c r="I196" s="200">
        <v>8.3820581402993126E-5</v>
      </c>
      <c r="J196" s="200">
        <v>2.1919758391737503E-4</v>
      </c>
      <c r="K196" s="200">
        <v>2.9003561367735948E-4</v>
      </c>
      <c r="L196" s="200">
        <v>2.8682730624208754E-4</v>
      </c>
      <c r="M196" s="200">
        <v>2.698947305782933E-4</v>
      </c>
      <c r="N196" s="200">
        <v>2.2749895624019602E-4</v>
      </c>
      <c r="O196" s="200">
        <v>1.9525938022203388E-4</v>
      </c>
      <c r="P196" s="200">
        <v>1.6552840570818584E-4</v>
      </c>
      <c r="Q196" s="200">
        <v>1.3680502455623315E-4</v>
      </c>
      <c r="R196" s="200">
        <v>1.109447357893288E-4</v>
      </c>
      <c r="S196" s="200">
        <v>8.8998029739214012E-5</v>
      </c>
      <c r="T196" s="200">
        <v>7.1416623429777578E-5</v>
      </c>
      <c r="U196" s="200">
        <v>5.7344986944019794E-5</v>
      </c>
      <c r="V196" s="200">
        <v>4.6708084533004193E-5</v>
      </c>
      <c r="W196" s="200">
        <v>3.8719237973509374E-5</v>
      </c>
      <c r="X196" s="200">
        <v>3.2588217234884886E-5</v>
      </c>
      <c r="Y196" s="200">
        <v>2.7934718443300596E-5</v>
      </c>
      <c r="Z196" s="200">
        <v>2.4429144758553414E-5</v>
      </c>
      <c r="AA196" s="200">
        <v>2.1778757306502854E-5</v>
      </c>
      <c r="AB196" s="200">
        <v>1.967347015356179E-5</v>
      </c>
      <c r="AC196" s="200">
        <v>1.7966903313316133E-5</v>
      </c>
      <c r="AD196" s="200">
        <v>1.6560218300320526E-5</v>
      </c>
      <c r="AE196" s="200">
        <v>1.5355228161568934E-5</v>
      </c>
      <c r="AF196" s="200">
        <v>1.4180537786576886E-5</v>
      </c>
    </row>
    <row r="197" spans="1:32" s="221" customFormat="1" ht="14.45" x14ac:dyDescent="0.35">
      <c r="A197" s="806"/>
      <c r="B197" s="806" t="s">
        <v>27</v>
      </c>
      <c r="C197" s="539"/>
      <c r="D197" s="539"/>
      <c r="E197" s="539"/>
      <c r="F197" s="539"/>
      <c r="G197" s="200">
        <v>2.2834958047819083E-4</v>
      </c>
      <c r="H197" s="200">
        <v>7.0634922753311019E-4</v>
      </c>
      <c r="I197" s="200">
        <v>8.4313449068038374E-4</v>
      </c>
      <c r="J197" s="200">
        <v>9.2955402674858119E-4</v>
      </c>
      <c r="K197" s="200">
        <v>9.4342381479258245E-4</v>
      </c>
      <c r="L197" s="200">
        <v>9.4488156828619648E-4</v>
      </c>
      <c r="M197" s="200">
        <v>9.2898625397823441E-4</v>
      </c>
      <c r="N197" s="200">
        <v>8.6098108479336442E-4</v>
      </c>
      <c r="O197" s="200">
        <v>7.7706028747601716E-4</v>
      </c>
      <c r="P197" s="200">
        <v>6.8535976267130596E-4</v>
      </c>
      <c r="Q197" s="200">
        <v>5.9201122131306741E-4</v>
      </c>
      <c r="R197" s="200">
        <v>5.0268359072635268E-4</v>
      </c>
      <c r="S197" s="200">
        <v>4.2066516290228918E-4</v>
      </c>
      <c r="T197" s="200">
        <v>3.4888382738358691E-4</v>
      </c>
      <c r="U197" s="200">
        <v>2.8879337355582313E-4</v>
      </c>
      <c r="V197" s="200">
        <v>2.3847860235508693E-4</v>
      </c>
      <c r="W197" s="200">
        <v>1.9824738581026289E-4</v>
      </c>
      <c r="X197" s="200">
        <v>1.6648519554328403E-4</v>
      </c>
      <c r="Y197" s="200">
        <v>1.417318950388895E-4</v>
      </c>
      <c r="Z197" s="200">
        <v>1.2260001785133553E-4</v>
      </c>
      <c r="AA197" s="200">
        <v>1.0787075516204262E-4</v>
      </c>
      <c r="AB197" s="200">
        <v>9.6542529381435862E-5</v>
      </c>
      <c r="AC197" s="200">
        <v>8.7741122470626331E-5</v>
      </c>
      <c r="AD197" s="200">
        <v>8.0839440279133223E-5</v>
      </c>
      <c r="AE197" s="200">
        <v>7.5354774544828947E-5</v>
      </c>
      <c r="AF197" s="200">
        <v>7.0893669100534148E-5</v>
      </c>
    </row>
    <row r="198" spans="1:32" s="221" customFormat="1" ht="14.45" x14ac:dyDescent="0.35">
      <c r="A198" s="806"/>
      <c r="B198" s="806" t="s">
        <v>29</v>
      </c>
      <c r="C198" s="539"/>
      <c r="D198" s="539"/>
      <c r="E198" s="539"/>
      <c r="F198" s="539"/>
      <c r="G198" s="200">
        <v>0</v>
      </c>
      <c r="H198" s="200">
        <v>1.0764089379454765E-6</v>
      </c>
      <c r="I198" s="200">
        <v>3.7931367451367487E-6</v>
      </c>
      <c r="J198" s="200">
        <v>9.0322759005618583E-6</v>
      </c>
      <c r="K198" s="200">
        <v>1.8898514547058743E-5</v>
      </c>
      <c r="L198" s="200">
        <v>3.4704981289396621E-5</v>
      </c>
      <c r="M198" s="200">
        <v>5.6190347257340331E-5</v>
      </c>
      <c r="N198" s="200">
        <v>8.0307802710515084E-5</v>
      </c>
      <c r="O198" s="200">
        <v>1.0623859072735367E-4</v>
      </c>
      <c r="P198" s="200">
        <v>1.3230016210095851E-4</v>
      </c>
      <c r="Q198" s="200">
        <v>1.5720859145056045E-4</v>
      </c>
      <c r="R198" s="200">
        <v>1.8018000371329936E-4</v>
      </c>
      <c r="S198" s="200">
        <v>2.0042696681864627E-4</v>
      </c>
      <c r="T198" s="200">
        <v>2.1707039589166944E-4</v>
      </c>
      <c r="U198" s="200">
        <v>2.3007883018578829E-4</v>
      </c>
      <c r="V198" s="200">
        <v>2.3939944853490291E-4</v>
      </c>
      <c r="W198" s="200">
        <v>2.4507330760430238E-4</v>
      </c>
      <c r="X198" s="200">
        <v>2.476280868238862E-4</v>
      </c>
      <c r="Y198" s="200">
        <v>2.4777929479678421E-4</v>
      </c>
      <c r="Z198" s="200">
        <v>2.4653837257656842E-4</v>
      </c>
      <c r="AA198" s="200">
        <v>2.4450032462502188E-4</v>
      </c>
      <c r="AB198" s="200">
        <v>2.421986912367533E-4</v>
      </c>
      <c r="AC198" s="200">
        <v>2.4001685524906901E-4</v>
      </c>
      <c r="AD198" s="200">
        <v>2.3778655619767028E-4</v>
      </c>
      <c r="AE198" s="200">
        <v>2.3558124003102276E-4</v>
      </c>
      <c r="AF198" s="200">
        <v>2.3344207850600247E-4</v>
      </c>
    </row>
    <row r="199" spans="1:32" s="221" customFormat="1" ht="14.45" x14ac:dyDescent="0.35">
      <c r="A199" s="806"/>
      <c r="B199" s="806"/>
      <c r="C199" s="539"/>
      <c r="D199" s="539"/>
      <c r="E199" s="539"/>
      <c r="F199" s="539"/>
      <c r="G199" s="200" t="s">
        <v>73</v>
      </c>
      <c r="H199" s="539" t="s">
        <v>73</v>
      </c>
      <c r="I199" s="539" t="s">
        <v>73</v>
      </c>
      <c r="J199" s="539" t="s">
        <v>73</v>
      </c>
      <c r="K199" s="539" t="s">
        <v>73</v>
      </c>
      <c r="L199" s="539" t="s">
        <v>73</v>
      </c>
      <c r="M199" s="539" t="s">
        <v>73</v>
      </c>
      <c r="N199" s="539" t="s">
        <v>73</v>
      </c>
      <c r="O199" s="539" t="s">
        <v>73</v>
      </c>
      <c r="P199" s="539" t="s">
        <v>73</v>
      </c>
      <c r="Q199" s="539" t="s">
        <v>73</v>
      </c>
      <c r="R199" s="539" t="s">
        <v>73</v>
      </c>
      <c r="S199" s="539" t="s">
        <v>73</v>
      </c>
      <c r="T199" s="539" t="s">
        <v>73</v>
      </c>
      <c r="U199" s="539" t="s">
        <v>73</v>
      </c>
      <c r="V199" s="539" t="s">
        <v>73</v>
      </c>
      <c r="W199" s="539" t="s">
        <v>73</v>
      </c>
      <c r="X199" s="539" t="s">
        <v>73</v>
      </c>
      <c r="Y199" s="539" t="s">
        <v>73</v>
      </c>
      <c r="Z199" s="539" t="s">
        <v>73</v>
      </c>
      <c r="AA199" s="539" t="s">
        <v>73</v>
      </c>
      <c r="AB199" s="539" t="s">
        <v>73</v>
      </c>
      <c r="AC199" s="539" t="s">
        <v>73</v>
      </c>
      <c r="AD199" s="539" t="s">
        <v>73</v>
      </c>
      <c r="AE199" s="539" t="s">
        <v>73</v>
      </c>
      <c r="AF199" s="539" t="s">
        <v>73</v>
      </c>
    </row>
    <row r="200" spans="1:32" s="202" customFormat="1" ht="12.95" x14ac:dyDescent="0.3">
      <c r="A200" s="556" t="s">
        <v>32</v>
      </c>
      <c r="B200" s="556"/>
      <c r="C200" s="556"/>
      <c r="D200" s="556"/>
      <c r="E200" s="556"/>
      <c r="F200" s="556"/>
      <c r="G200" s="241" t="s">
        <v>73</v>
      </c>
      <c r="H200" s="556" t="s">
        <v>73</v>
      </c>
      <c r="I200" s="556" t="s">
        <v>73</v>
      </c>
      <c r="J200" s="556" t="s">
        <v>73</v>
      </c>
      <c r="K200" s="556" t="s">
        <v>73</v>
      </c>
      <c r="L200" s="556" t="s">
        <v>73</v>
      </c>
      <c r="M200" s="556" t="s">
        <v>73</v>
      </c>
      <c r="N200" s="556" t="s">
        <v>73</v>
      </c>
      <c r="O200" s="556" t="s">
        <v>73</v>
      </c>
      <c r="P200" s="556" t="s">
        <v>73</v>
      </c>
      <c r="Q200" s="556" t="s">
        <v>73</v>
      </c>
      <c r="R200" s="556" t="s">
        <v>73</v>
      </c>
      <c r="S200" s="556" t="s">
        <v>73</v>
      </c>
      <c r="T200" s="556" t="s">
        <v>73</v>
      </c>
      <c r="U200" s="556" t="s">
        <v>73</v>
      </c>
      <c r="V200" s="556" t="s">
        <v>73</v>
      </c>
      <c r="W200" s="556" t="s">
        <v>73</v>
      </c>
      <c r="X200" s="556" t="s">
        <v>73</v>
      </c>
      <c r="Y200" s="556" t="s">
        <v>73</v>
      </c>
      <c r="Z200" s="556" t="s">
        <v>73</v>
      </c>
      <c r="AA200" s="556" t="s">
        <v>73</v>
      </c>
      <c r="AB200" s="556" t="s">
        <v>73</v>
      </c>
      <c r="AC200" s="556" t="s">
        <v>73</v>
      </c>
      <c r="AD200" s="556" t="s">
        <v>73</v>
      </c>
      <c r="AE200" s="556" t="s">
        <v>73</v>
      </c>
      <c r="AF200" s="556" t="s">
        <v>73</v>
      </c>
    </row>
    <row r="201" spans="1:32" s="221" customFormat="1" ht="14.45" x14ac:dyDescent="0.35">
      <c r="A201" s="806"/>
      <c r="B201" s="806" t="s">
        <v>33</v>
      </c>
      <c r="C201" s="539"/>
      <c r="D201" s="539"/>
      <c r="E201" s="539"/>
      <c r="F201" s="539"/>
      <c r="G201" s="200">
        <v>2.4089147496284422E-4</v>
      </c>
      <c r="H201" s="200">
        <v>7.0491081903181567E-4</v>
      </c>
      <c r="I201" s="200">
        <v>7.8627778653682162E-4</v>
      </c>
      <c r="J201" s="200">
        <v>8.1407559906695114E-4</v>
      </c>
      <c r="K201" s="200">
        <v>7.8728925893306351E-4</v>
      </c>
      <c r="L201" s="200">
        <v>6.7371392883048837E-4</v>
      </c>
      <c r="M201" s="200">
        <v>5.449473878685494E-4</v>
      </c>
      <c r="N201" s="200">
        <v>4.2090745039339249E-4</v>
      </c>
      <c r="O201" s="200">
        <v>3.1261429277402108E-4</v>
      </c>
      <c r="P201" s="200">
        <v>2.2624731442685283E-4</v>
      </c>
      <c r="Q201" s="200">
        <v>1.5988250448729073E-4</v>
      </c>
      <c r="R201" s="200">
        <v>1.1262442120493195E-4</v>
      </c>
      <c r="S201" s="200">
        <v>7.9979884770501223E-5</v>
      </c>
      <c r="T201" s="200">
        <v>5.8296925593244423E-5</v>
      </c>
      <c r="U201" s="200">
        <v>4.3363095864098037E-5</v>
      </c>
      <c r="V201" s="200">
        <v>3.3237887787105665E-5</v>
      </c>
      <c r="W201" s="200">
        <v>2.6272745065521691E-5</v>
      </c>
      <c r="X201" s="200">
        <v>2.120559311127856E-5</v>
      </c>
      <c r="Y201" s="200">
        <v>1.750057590989948E-5</v>
      </c>
      <c r="Z201" s="200">
        <v>1.4782433306553651E-5</v>
      </c>
      <c r="AA201" s="200">
        <v>1.2788279387390202E-5</v>
      </c>
      <c r="AB201" s="200">
        <v>1.1190144062051999E-5</v>
      </c>
      <c r="AC201" s="200">
        <v>9.9213070307477468E-6</v>
      </c>
      <c r="AD201" s="200">
        <v>8.8852143557242095E-6</v>
      </c>
      <c r="AE201" s="200">
        <v>8.0045455211858242E-6</v>
      </c>
      <c r="AF201" s="200">
        <v>7.1533648994983135E-6</v>
      </c>
    </row>
    <row r="202" spans="1:32" s="221" customFormat="1" ht="14.45" x14ac:dyDescent="0.35">
      <c r="A202" s="808"/>
      <c r="B202" s="808" t="s">
        <v>34</v>
      </c>
      <c r="C202" s="539"/>
      <c r="D202" s="539"/>
      <c r="E202" s="539"/>
      <c r="F202" s="539"/>
      <c r="G202" s="200">
        <v>9.9462237000812561E-4</v>
      </c>
      <c r="H202" s="200">
        <v>8.2222036496905446E-4</v>
      </c>
      <c r="I202" s="200">
        <v>7.6531771848522298E-4</v>
      </c>
      <c r="J202" s="200">
        <v>6.2830397450311013E-4</v>
      </c>
      <c r="K202" s="200">
        <v>4.8632613850967409E-4</v>
      </c>
      <c r="L202" s="200">
        <v>4.0722613993578871E-4</v>
      </c>
      <c r="M202" s="200">
        <v>3.4151476666299975E-4</v>
      </c>
      <c r="N202" s="200">
        <v>2.721911736801708E-4</v>
      </c>
      <c r="O202" s="200">
        <v>2.0829608792709709E-4</v>
      </c>
      <c r="P202" s="200">
        <v>1.5468533262039507E-4</v>
      </c>
      <c r="Q202" s="200">
        <v>1.127457425669317E-4</v>
      </c>
      <c r="R202" s="200">
        <v>8.2377181172244512E-5</v>
      </c>
      <c r="S202" s="200">
        <v>6.0706905314404447E-5</v>
      </c>
      <c r="T202" s="200">
        <v>4.5931231129955769E-5</v>
      </c>
      <c r="U202" s="200">
        <v>3.5526219143534026E-5</v>
      </c>
      <c r="V202" s="200">
        <v>2.8246227914775218E-5</v>
      </c>
      <c r="W202" s="200">
        <v>2.3174735144664323E-5</v>
      </c>
      <c r="X202" s="200">
        <v>1.9440993963634937E-5</v>
      </c>
      <c r="Y202" s="200">
        <v>1.6693387944158637E-5</v>
      </c>
      <c r="Z202" s="200">
        <v>1.4660853611768354E-5</v>
      </c>
      <c r="AA202" s="200">
        <v>1.3164995757448691E-5</v>
      </c>
      <c r="AB202" s="200">
        <v>1.1983524758453225E-5</v>
      </c>
      <c r="AC202" s="200">
        <v>1.1054149146840936E-5</v>
      </c>
      <c r="AD202" s="200">
        <v>1.0305816772880838E-5</v>
      </c>
      <c r="AE202" s="200">
        <v>9.680231568171089E-6</v>
      </c>
      <c r="AF202" s="200">
        <v>9.091131686463981E-6</v>
      </c>
    </row>
    <row r="203" spans="1:32" s="221" customFormat="1" ht="14.45" x14ac:dyDescent="0.35">
      <c r="A203" s="806"/>
      <c r="B203" s="808" t="s">
        <v>35</v>
      </c>
      <c r="C203" s="539"/>
      <c r="D203" s="539"/>
      <c r="E203" s="539"/>
      <c r="F203" s="539"/>
      <c r="G203" s="200">
        <v>2.6423794808094384E-4</v>
      </c>
      <c r="H203" s="200">
        <v>1.9180274625856119E-4</v>
      </c>
      <c r="I203" s="200">
        <v>1.5694515287246794E-4</v>
      </c>
      <c r="J203" s="200">
        <v>1.4029235709018693E-4</v>
      </c>
      <c r="K203" s="200">
        <v>1.3145873001803998E-4</v>
      </c>
      <c r="L203" s="200">
        <v>1.2015432062907658E-4</v>
      </c>
      <c r="M203" s="200">
        <v>1.0726897934617397E-4</v>
      </c>
      <c r="N203" s="200">
        <v>9.2512207858258991E-5</v>
      </c>
      <c r="O203" s="200">
        <v>7.7048308370737757E-5</v>
      </c>
      <c r="P203" s="200">
        <v>6.2139799214711917E-5</v>
      </c>
      <c r="Q203" s="200">
        <v>4.8897097890439776E-5</v>
      </c>
      <c r="R203" s="200">
        <v>3.7929560070049537E-5</v>
      </c>
      <c r="S203" s="200">
        <v>2.9201987123316539E-5</v>
      </c>
      <c r="T203" s="200">
        <v>2.2592515793730918E-5</v>
      </c>
      <c r="U203" s="200">
        <v>1.7554219441830001E-5</v>
      </c>
      <c r="V203" s="200">
        <v>1.3810332985522246E-5</v>
      </c>
      <c r="W203" s="200">
        <v>1.1065346731008375E-5</v>
      </c>
      <c r="X203" s="200">
        <v>9.0477189611988065E-6</v>
      </c>
      <c r="Y203" s="200">
        <v>7.5638889386448377E-6</v>
      </c>
      <c r="Z203" s="200">
        <v>6.4699587127457287E-6</v>
      </c>
      <c r="AA203" s="200">
        <v>5.6632194082957301E-6</v>
      </c>
      <c r="AB203" s="200">
        <v>5.0623711924729117E-6</v>
      </c>
      <c r="AC203" s="200">
        <v>4.6111627543672584E-6</v>
      </c>
      <c r="AD203" s="200">
        <v>4.2691700925556706E-6</v>
      </c>
      <c r="AE203" s="200">
        <v>4.0066439171408242E-6</v>
      </c>
      <c r="AF203" s="200">
        <v>3.8001937570541578E-6</v>
      </c>
    </row>
    <row r="204" spans="1:32" s="221" customFormat="1" ht="14.45" x14ac:dyDescent="0.35">
      <c r="A204" s="806"/>
      <c r="B204" s="808" t="s">
        <v>29</v>
      </c>
      <c r="C204" s="539"/>
      <c r="D204" s="539"/>
      <c r="E204" s="539"/>
      <c r="F204" s="539"/>
      <c r="G204" s="200">
        <v>0</v>
      </c>
      <c r="H204" s="200">
        <v>3.5058552815420228E-6</v>
      </c>
      <c r="I204" s="200">
        <v>1.316686648658666E-5</v>
      </c>
      <c r="J204" s="200">
        <v>2.8139208007455193E-5</v>
      </c>
      <c r="K204" s="200">
        <v>4.6397374734868085E-5</v>
      </c>
      <c r="L204" s="200">
        <v>6.5140598076598882E-5</v>
      </c>
      <c r="M204" s="200">
        <v>8.3236695416037744E-5</v>
      </c>
      <c r="N204" s="200">
        <v>9.9558909977399976E-5</v>
      </c>
      <c r="O204" s="200">
        <v>1.126263289673571E-4</v>
      </c>
      <c r="P204" s="200">
        <v>1.2201111260505494E-4</v>
      </c>
      <c r="Q204" s="200">
        <v>1.2813207797183606E-4</v>
      </c>
      <c r="R204" s="200">
        <v>1.3165817306124629E-4</v>
      </c>
      <c r="S204" s="200">
        <v>1.3329776478132474E-4</v>
      </c>
      <c r="T204" s="200">
        <v>1.3347756289050868E-4</v>
      </c>
      <c r="U204" s="200">
        <v>1.3242368135486007E-4</v>
      </c>
      <c r="V204" s="200">
        <v>1.3002650962218112E-4</v>
      </c>
      <c r="W204" s="200">
        <v>1.2650863436809617E-4</v>
      </c>
      <c r="X204" s="200">
        <v>1.2234929387987161E-4</v>
      </c>
      <c r="Y204" s="200">
        <v>1.1806751031769506E-4</v>
      </c>
      <c r="Z204" s="200">
        <v>1.1396548627837936E-4</v>
      </c>
      <c r="AA204" s="200">
        <v>1.103024500049507E-4</v>
      </c>
      <c r="AB204" s="200">
        <v>1.072257703721355E-4</v>
      </c>
      <c r="AC204" s="200">
        <v>1.0475305041177827E-4</v>
      </c>
      <c r="AD204" s="200">
        <v>1.028359001747481E-4</v>
      </c>
      <c r="AE204" s="200">
        <v>1.012076787804605E-4</v>
      </c>
      <c r="AF204" s="200">
        <v>9.9803048210157119E-5</v>
      </c>
    </row>
    <row r="205" spans="1:32" s="221" customFormat="1" ht="14.45" x14ac:dyDescent="0.35">
      <c r="A205" s="806"/>
      <c r="B205" s="806"/>
      <c r="C205" s="539"/>
      <c r="D205" s="539"/>
      <c r="E205" s="539"/>
      <c r="F205" s="539"/>
      <c r="G205" s="200" t="s">
        <v>73</v>
      </c>
      <c r="H205" s="539" t="s">
        <v>73</v>
      </c>
      <c r="I205" s="539" t="s">
        <v>73</v>
      </c>
      <c r="J205" s="539" t="s">
        <v>73</v>
      </c>
      <c r="K205" s="539" t="s">
        <v>73</v>
      </c>
      <c r="L205" s="539" t="s">
        <v>73</v>
      </c>
      <c r="M205" s="539" t="s">
        <v>73</v>
      </c>
      <c r="N205" s="539" t="s">
        <v>73</v>
      </c>
      <c r="O205" s="539" t="s">
        <v>73</v>
      </c>
      <c r="P205" s="539" t="s">
        <v>73</v>
      </c>
      <c r="Q205" s="539" t="s">
        <v>73</v>
      </c>
      <c r="R205" s="539" t="s">
        <v>73</v>
      </c>
      <c r="S205" s="539" t="s">
        <v>73</v>
      </c>
      <c r="T205" s="539" t="s">
        <v>73</v>
      </c>
      <c r="U205" s="539" t="s">
        <v>73</v>
      </c>
      <c r="V205" s="539" t="s">
        <v>73</v>
      </c>
      <c r="W205" s="539" t="s">
        <v>73</v>
      </c>
      <c r="X205" s="539" t="s">
        <v>73</v>
      </c>
      <c r="Y205" s="539" t="s">
        <v>73</v>
      </c>
      <c r="Z205" s="539" t="s">
        <v>73</v>
      </c>
      <c r="AA205" s="539" t="s">
        <v>73</v>
      </c>
      <c r="AB205" s="539" t="s">
        <v>73</v>
      </c>
      <c r="AC205" s="539" t="s">
        <v>73</v>
      </c>
      <c r="AD205" s="539" t="s">
        <v>73</v>
      </c>
      <c r="AE205" s="539" t="s">
        <v>73</v>
      </c>
      <c r="AF205" s="539" t="s">
        <v>73</v>
      </c>
    </row>
    <row r="206" spans="1:32" s="202" customFormat="1" ht="12.95" x14ac:dyDescent="0.3">
      <c r="A206" s="556" t="s">
        <v>36</v>
      </c>
      <c r="B206" s="556"/>
      <c r="C206" s="556"/>
      <c r="D206" s="556"/>
      <c r="E206" s="556"/>
      <c r="F206" s="556"/>
      <c r="G206" s="241" t="s">
        <v>73</v>
      </c>
      <c r="H206" s="556" t="s">
        <v>73</v>
      </c>
      <c r="I206" s="556" t="s">
        <v>73</v>
      </c>
      <c r="J206" s="556" t="s">
        <v>73</v>
      </c>
      <c r="K206" s="556" t="s">
        <v>73</v>
      </c>
      <c r="L206" s="556" t="s">
        <v>73</v>
      </c>
      <c r="M206" s="556" t="s">
        <v>73</v>
      </c>
      <c r="N206" s="556" t="s">
        <v>73</v>
      </c>
      <c r="O206" s="556" t="s">
        <v>73</v>
      </c>
      <c r="P206" s="556" t="s">
        <v>73</v>
      </c>
      <c r="Q206" s="556" t="s">
        <v>73</v>
      </c>
      <c r="R206" s="556" t="s">
        <v>73</v>
      </c>
      <c r="S206" s="556" t="s">
        <v>73</v>
      </c>
      <c r="T206" s="556" t="s">
        <v>73</v>
      </c>
      <c r="U206" s="556" t="s">
        <v>73</v>
      </c>
      <c r="V206" s="556" t="s">
        <v>73</v>
      </c>
      <c r="W206" s="556" t="s">
        <v>73</v>
      </c>
      <c r="X206" s="556" t="s">
        <v>73</v>
      </c>
      <c r="Y206" s="556" t="s">
        <v>73</v>
      </c>
      <c r="Z206" s="556" t="s">
        <v>73</v>
      </c>
      <c r="AA206" s="556" t="s">
        <v>73</v>
      </c>
      <c r="AB206" s="556" t="s">
        <v>73</v>
      </c>
      <c r="AC206" s="556" t="s">
        <v>73</v>
      </c>
      <c r="AD206" s="556" t="s">
        <v>73</v>
      </c>
      <c r="AE206" s="556" t="s">
        <v>73</v>
      </c>
      <c r="AF206" s="556" t="s">
        <v>73</v>
      </c>
    </row>
    <row r="207" spans="1:32" s="221" customFormat="1" ht="14.45" x14ac:dyDescent="0.35">
      <c r="A207" s="806"/>
      <c r="B207" s="806" t="s">
        <v>37</v>
      </c>
      <c r="C207" s="539"/>
      <c r="D207" s="539"/>
      <c r="E207" s="539"/>
      <c r="F207" s="201"/>
      <c r="G207" s="200">
        <v>0.26078291601899312</v>
      </c>
      <c r="H207" s="200">
        <v>0.22998474847418512</v>
      </c>
      <c r="I207" s="200">
        <v>0.18962672527601515</v>
      </c>
      <c r="J207" s="200">
        <v>0.14524086068651598</v>
      </c>
      <c r="K207" s="200">
        <v>0.1024979860355176</v>
      </c>
      <c r="L207" s="200">
        <v>7.2426461289967312E-2</v>
      </c>
      <c r="M207" s="200">
        <v>5.1210043883662487E-2</v>
      </c>
      <c r="N207" s="200">
        <v>3.6223607367243831E-2</v>
      </c>
      <c r="O207" s="200">
        <v>2.5665241074037344E-2</v>
      </c>
      <c r="P207" s="200">
        <v>1.8214323424851069E-2</v>
      </c>
      <c r="Q207" s="200">
        <v>1.2947692739995456E-2</v>
      </c>
      <c r="R207" s="200">
        <v>9.2190533171424057E-3</v>
      </c>
      <c r="S207" s="200">
        <v>6.5751705705786711E-3</v>
      </c>
      <c r="T207" s="200">
        <v>4.703348662068149E-3</v>
      </c>
      <c r="U207" s="200">
        <v>3.370241916270454E-3</v>
      </c>
      <c r="V207" s="200">
        <v>2.4220940027378447E-3</v>
      </c>
      <c r="W207" s="200">
        <v>1.7458307811796803E-3</v>
      </c>
      <c r="X207" s="200">
        <v>1.2609920894140097E-3</v>
      </c>
      <c r="Y207" s="200">
        <v>9.1371572391962255E-4</v>
      </c>
      <c r="Z207" s="200">
        <v>6.6433079057079424E-4</v>
      </c>
      <c r="AA207" s="200">
        <v>4.8442933488248262E-4</v>
      </c>
      <c r="AB207" s="200">
        <v>3.5469847918674082E-4</v>
      </c>
      <c r="AC207" s="200">
        <v>2.609013606613658E-4</v>
      </c>
      <c r="AD207" s="200">
        <v>1.9278291757518265E-4</v>
      </c>
      <c r="AE207" s="200">
        <v>1.4329114600090462E-4</v>
      </c>
      <c r="AF207" s="200">
        <v>1.0718667055660892E-4</v>
      </c>
    </row>
    <row r="208" spans="1:32" s="221" customFormat="1" ht="14.45" x14ac:dyDescent="0.35">
      <c r="A208" s="806"/>
      <c r="B208" s="806" t="s">
        <v>39</v>
      </c>
      <c r="C208" s="539"/>
      <c r="D208" s="539"/>
      <c r="E208" s="203"/>
      <c r="F208" s="539"/>
      <c r="G208" s="200">
        <v>0.53742228642879963</v>
      </c>
      <c r="H208" s="200">
        <v>0.54197111203463033</v>
      </c>
      <c r="I208" s="200">
        <v>0.54894155009251455</v>
      </c>
      <c r="J208" s="200">
        <v>0.55405512589564898</v>
      </c>
      <c r="K208" s="200">
        <v>0.55433197621494423</v>
      </c>
      <c r="L208" s="200">
        <v>0.54509643514588424</v>
      </c>
      <c r="M208" s="200">
        <v>0.52948981264464479</v>
      </c>
      <c r="N208" s="200">
        <v>0.50960770577989034</v>
      </c>
      <c r="O208" s="200">
        <v>0.48772760468045118</v>
      </c>
      <c r="P208" s="200">
        <v>0.46477059102988277</v>
      </c>
      <c r="Q208" s="200">
        <v>0.4410671232728533</v>
      </c>
      <c r="R208" s="200">
        <v>0.41715033102351695</v>
      </c>
      <c r="S208" s="200">
        <v>0.39340786607938705</v>
      </c>
      <c r="T208" s="200">
        <v>0.37059358372187123</v>
      </c>
      <c r="U208" s="200">
        <v>0.34866294750741844</v>
      </c>
      <c r="V208" s="200">
        <v>0.32791212473664227</v>
      </c>
      <c r="W208" s="200">
        <v>0.30838357336555505</v>
      </c>
      <c r="X208" s="200">
        <v>0.29074859585409396</v>
      </c>
      <c r="Y208" s="200">
        <v>0.27347114298551711</v>
      </c>
      <c r="Z208" s="200">
        <v>0.25738214298610229</v>
      </c>
      <c r="AA208" s="200">
        <v>0.24234809332932336</v>
      </c>
      <c r="AB208" s="200">
        <v>0.22840804691209723</v>
      </c>
      <c r="AC208" s="200">
        <v>0.2154952214245498</v>
      </c>
      <c r="AD208" s="200">
        <v>0.20346083356522393</v>
      </c>
      <c r="AE208" s="200">
        <v>0.19232192351954772</v>
      </c>
      <c r="AF208" s="200">
        <v>0.18196915009655931</v>
      </c>
    </row>
    <row r="209" spans="1:32" s="221" customFormat="1" ht="14.45" x14ac:dyDescent="0.35">
      <c r="A209" s="806"/>
      <c r="B209" s="806" t="s">
        <v>40</v>
      </c>
      <c r="C209" s="539"/>
      <c r="D209" s="539"/>
      <c r="E209" s="539"/>
      <c r="F209" s="539"/>
      <c r="G209" s="200">
        <v>9.8304041800373068E-2</v>
      </c>
      <c r="H209" s="200">
        <v>0.10278018706464705</v>
      </c>
      <c r="I209" s="200">
        <v>0.11217808201663843</v>
      </c>
      <c r="J209" s="200">
        <v>0.12541893956893807</v>
      </c>
      <c r="K209" s="200">
        <v>0.14202383383016984</v>
      </c>
      <c r="L209" s="200">
        <v>0.15811630273959751</v>
      </c>
      <c r="M209" s="200">
        <v>0.17347328289236477</v>
      </c>
      <c r="N209" s="200">
        <v>0.18641654988533132</v>
      </c>
      <c r="O209" s="200">
        <v>0.19776656686439681</v>
      </c>
      <c r="P209" s="200">
        <v>0.20721151550566055</v>
      </c>
      <c r="Q209" s="200">
        <v>0.21455089383576545</v>
      </c>
      <c r="R209" s="200">
        <v>0.21976008816951154</v>
      </c>
      <c r="S209" s="200">
        <v>0.22287617326938342</v>
      </c>
      <c r="T209" s="200">
        <v>0.22403220192981826</v>
      </c>
      <c r="U209" s="200">
        <v>0.22349359398694443</v>
      </c>
      <c r="V209" s="200">
        <v>0.22152274135240435</v>
      </c>
      <c r="W209" s="200">
        <v>0.21842889103915855</v>
      </c>
      <c r="X209" s="200">
        <v>0.21493538912386767</v>
      </c>
      <c r="Y209" s="200">
        <v>0.2102962249119967</v>
      </c>
      <c r="Z209" s="200">
        <v>0.20521921328837361</v>
      </c>
      <c r="AA209" s="200">
        <v>0.19984471890632627</v>
      </c>
      <c r="AB209" s="200">
        <v>0.1943249245647965</v>
      </c>
      <c r="AC209" s="200">
        <v>0.18876079791940933</v>
      </c>
      <c r="AD209" s="200">
        <v>0.18318023254457269</v>
      </c>
      <c r="AE209" s="200">
        <v>0.17768360864888108</v>
      </c>
      <c r="AF209" s="200">
        <v>0.17227444340137751</v>
      </c>
    </row>
    <row r="210" spans="1:32" s="221" customFormat="1" ht="14.45" x14ac:dyDescent="0.35">
      <c r="A210" s="806"/>
      <c r="B210" s="806" t="s">
        <v>29</v>
      </c>
      <c r="C210" s="539"/>
      <c r="D210" s="539"/>
      <c r="E210" s="539"/>
      <c r="F210" s="539"/>
      <c r="G210" s="200">
        <v>0</v>
      </c>
      <c r="H210" s="200">
        <v>7.3941851585383322E-8</v>
      </c>
      <c r="I210" s="200">
        <v>3.1151101671218145E-6</v>
      </c>
      <c r="J210" s="200">
        <v>2.773471930649901E-5</v>
      </c>
      <c r="K210" s="200">
        <v>1.2551716117191453E-4</v>
      </c>
      <c r="L210" s="200">
        <v>3.8772522193684478E-4</v>
      </c>
      <c r="M210" s="200">
        <v>9.4283268771570242E-4</v>
      </c>
      <c r="N210" s="200">
        <v>1.9143286282517545E-3</v>
      </c>
      <c r="O210" s="200">
        <v>3.3565854069410252E-3</v>
      </c>
      <c r="P210" s="200">
        <v>5.3063330455617019E-3</v>
      </c>
      <c r="Q210" s="200">
        <v>7.7849479587321054E-3</v>
      </c>
      <c r="R210" s="200">
        <v>1.0799850468751832E-2</v>
      </c>
      <c r="S210" s="200">
        <v>1.4313616402509888E-2</v>
      </c>
      <c r="T210" s="200">
        <v>1.8197213490866875E-2</v>
      </c>
      <c r="U210" s="200">
        <v>2.2417016708938638E-2</v>
      </c>
      <c r="V210" s="200">
        <v>2.6805915898055858E-2</v>
      </c>
      <c r="W210" s="200">
        <v>3.1269620315618439E-2</v>
      </c>
      <c r="X210" s="200">
        <v>3.5757416568007766E-2</v>
      </c>
      <c r="Y210" s="200">
        <v>4.0136902584972184E-2</v>
      </c>
      <c r="Z210" s="200">
        <v>4.4339919031470283E-2</v>
      </c>
      <c r="AA210" s="200">
        <v>4.8367716741252557E-2</v>
      </c>
      <c r="AB210" s="200">
        <v>5.2166962422681901E-2</v>
      </c>
      <c r="AC210" s="200">
        <v>5.5737250279331366E-2</v>
      </c>
      <c r="AD210" s="200">
        <v>5.9132579445364694E-2</v>
      </c>
      <c r="AE210" s="200">
        <v>6.2284122304699707E-2</v>
      </c>
      <c r="AF210" s="200">
        <v>6.5224459028027079E-2</v>
      </c>
    </row>
    <row r="211" spans="1:32" s="221" customFormat="1" ht="14.45" x14ac:dyDescent="0.35">
      <c r="A211" s="806"/>
      <c r="B211" s="806"/>
      <c r="C211" s="539"/>
      <c r="D211" s="539"/>
      <c r="E211" s="539"/>
      <c r="F211" s="539"/>
      <c r="G211" s="200" t="s">
        <v>73</v>
      </c>
      <c r="H211" s="539" t="s">
        <v>73</v>
      </c>
      <c r="I211" s="539" t="s">
        <v>73</v>
      </c>
      <c r="J211" s="539" t="s">
        <v>73</v>
      </c>
      <c r="K211" s="539" t="s">
        <v>73</v>
      </c>
      <c r="L211" s="539" t="s">
        <v>73</v>
      </c>
      <c r="M211" s="539" t="s">
        <v>73</v>
      </c>
      <c r="N211" s="539" t="s">
        <v>73</v>
      </c>
      <c r="O211" s="539" t="s">
        <v>73</v>
      </c>
      <c r="P211" s="539" t="s">
        <v>73</v>
      </c>
      <c r="Q211" s="539" t="s">
        <v>73</v>
      </c>
      <c r="R211" s="539" t="s">
        <v>73</v>
      </c>
      <c r="S211" s="539" t="s">
        <v>73</v>
      </c>
      <c r="T211" s="539" t="s">
        <v>73</v>
      </c>
      <c r="U211" s="539" t="s">
        <v>73</v>
      </c>
      <c r="V211" s="539" t="s">
        <v>73</v>
      </c>
      <c r="W211" s="539" t="s">
        <v>73</v>
      </c>
      <c r="X211" s="539" t="s">
        <v>73</v>
      </c>
      <c r="Y211" s="539" t="s">
        <v>73</v>
      </c>
      <c r="Z211" s="539" t="s">
        <v>73</v>
      </c>
      <c r="AA211" s="539" t="s">
        <v>73</v>
      </c>
      <c r="AB211" s="539" t="s">
        <v>73</v>
      </c>
      <c r="AC211" s="539" t="s">
        <v>73</v>
      </c>
      <c r="AD211" s="539" t="s">
        <v>73</v>
      </c>
      <c r="AE211" s="539" t="s">
        <v>73</v>
      </c>
      <c r="AF211" s="539" t="s">
        <v>73</v>
      </c>
    </row>
    <row r="212" spans="1:32" s="202" customFormat="1" ht="12.95" x14ac:dyDescent="0.3">
      <c r="A212" s="556" t="s">
        <v>42</v>
      </c>
      <c r="B212" s="556"/>
      <c r="C212" s="556"/>
      <c r="D212" s="556"/>
      <c r="E212" s="556"/>
      <c r="F212" s="556"/>
      <c r="G212" s="241" t="s">
        <v>73</v>
      </c>
      <c r="H212" s="556" t="s">
        <v>73</v>
      </c>
      <c r="I212" s="556" t="s">
        <v>73</v>
      </c>
      <c r="J212" s="556" t="s">
        <v>73</v>
      </c>
      <c r="K212" s="556" t="s">
        <v>73</v>
      </c>
      <c r="L212" s="556" t="s">
        <v>73</v>
      </c>
      <c r="M212" s="556" t="s">
        <v>73</v>
      </c>
      <c r="N212" s="556" t="s">
        <v>73</v>
      </c>
      <c r="O212" s="556" t="s">
        <v>73</v>
      </c>
      <c r="P212" s="556" t="s">
        <v>73</v>
      </c>
      <c r="Q212" s="556" t="s">
        <v>73</v>
      </c>
      <c r="R212" s="556" t="s">
        <v>73</v>
      </c>
      <c r="S212" s="556" t="s">
        <v>73</v>
      </c>
      <c r="T212" s="556" t="s">
        <v>73</v>
      </c>
      <c r="U212" s="556" t="s">
        <v>73</v>
      </c>
      <c r="V212" s="556" t="s">
        <v>73</v>
      </c>
      <c r="W212" s="556" t="s">
        <v>73</v>
      </c>
      <c r="X212" s="556" t="s">
        <v>73</v>
      </c>
      <c r="Y212" s="556" t="s">
        <v>73</v>
      </c>
      <c r="Z212" s="556" t="s">
        <v>73</v>
      </c>
      <c r="AA212" s="556" t="s">
        <v>73</v>
      </c>
      <c r="AB212" s="556" t="s">
        <v>73</v>
      </c>
      <c r="AC212" s="556" t="s">
        <v>73</v>
      </c>
      <c r="AD212" s="556" t="s">
        <v>73</v>
      </c>
      <c r="AE212" s="556" t="s">
        <v>73</v>
      </c>
      <c r="AF212" s="556" t="s">
        <v>73</v>
      </c>
    </row>
    <row r="213" spans="1:32" s="221" customFormat="1" ht="14.45" x14ac:dyDescent="0.35">
      <c r="A213" s="806"/>
      <c r="B213" s="808" t="s">
        <v>43</v>
      </c>
      <c r="C213" s="539"/>
      <c r="D213" s="539"/>
      <c r="E213" s="539"/>
      <c r="F213" s="539"/>
      <c r="G213" s="200">
        <v>0.15787983843978989</v>
      </c>
      <c r="H213" s="200">
        <v>0.14115982779444372</v>
      </c>
      <c r="I213" s="200">
        <v>0.12647674905126499</v>
      </c>
      <c r="J213" s="200">
        <v>0.11354745746351484</v>
      </c>
      <c r="K213" s="200">
        <v>0.10213233234611807</v>
      </c>
      <c r="L213" s="200">
        <v>9.203170936771575E-2</v>
      </c>
      <c r="M213" s="200">
        <v>8.3064921686482718E-2</v>
      </c>
      <c r="N213" s="200">
        <v>7.5100699529063494E-2</v>
      </c>
      <c r="O213" s="200">
        <v>6.8011556072491472E-2</v>
      </c>
      <c r="P213" s="200">
        <v>6.1702254996376757E-2</v>
      </c>
      <c r="Q213" s="200">
        <v>5.607817718826829E-2</v>
      </c>
      <c r="R213" s="200">
        <v>5.1064754457728255E-2</v>
      </c>
      <c r="S213" s="200">
        <v>4.6601202587644115E-2</v>
      </c>
      <c r="T213" s="200">
        <v>4.2625156062367886E-2</v>
      </c>
      <c r="U213" s="200">
        <v>3.9101478359758753E-2</v>
      </c>
      <c r="V213" s="200">
        <v>3.5964973060045452E-2</v>
      </c>
      <c r="W213" s="200">
        <v>3.3188608040800836E-2</v>
      </c>
      <c r="X213" s="200">
        <v>3.0728284010543436E-2</v>
      </c>
      <c r="Y213" s="200">
        <v>2.8546936357301423E-2</v>
      </c>
      <c r="Z213" s="200">
        <v>2.6611659694278231E-2</v>
      </c>
      <c r="AA213" s="200">
        <v>2.488532905532401E-2</v>
      </c>
      <c r="AB213" s="200">
        <v>2.3351504468064669E-2</v>
      </c>
      <c r="AC213" s="200">
        <v>2.1986917995526815E-2</v>
      </c>
      <c r="AD213" s="200">
        <v>2.077104321753994E-2</v>
      </c>
      <c r="AE213" s="200">
        <v>1.9685769823271172E-2</v>
      </c>
      <c r="AF213" s="200">
        <v>1.8714786846659212E-2</v>
      </c>
    </row>
    <row r="214" spans="1:32" s="221" customFormat="1" ht="14.45" x14ac:dyDescent="0.35">
      <c r="A214" s="806"/>
      <c r="B214" s="808" t="s">
        <v>44</v>
      </c>
      <c r="C214" s="539"/>
      <c r="D214" s="539"/>
      <c r="E214" s="539"/>
      <c r="F214" s="539"/>
      <c r="G214" s="200">
        <v>1.094294035111709</v>
      </c>
      <c r="H214" s="200">
        <v>1.0923321412949822</v>
      </c>
      <c r="I214" s="200">
        <v>1.0947322995050548</v>
      </c>
      <c r="J214" s="200">
        <v>1.0906478861828093</v>
      </c>
      <c r="K214" s="200">
        <v>1.0805759118857048</v>
      </c>
      <c r="L214" s="200">
        <v>1.0613331053591739</v>
      </c>
      <c r="M214" s="200">
        <v>1.037260674148307</v>
      </c>
      <c r="N214" s="200">
        <v>1.0098397076440984</v>
      </c>
      <c r="O214" s="200">
        <v>0.97964584306343927</v>
      </c>
      <c r="P214" s="200">
        <v>0.94795822628059545</v>
      </c>
      <c r="Q214" s="200">
        <v>0.91529622416038492</v>
      </c>
      <c r="R214" s="200">
        <v>0.88247913294103619</v>
      </c>
      <c r="S214" s="200">
        <v>0.85039061663551407</v>
      </c>
      <c r="T214" s="200">
        <v>0.81930585707460202</v>
      </c>
      <c r="U214" s="200">
        <v>0.78979363778106382</v>
      </c>
      <c r="V214" s="200">
        <v>0.76192190200345644</v>
      </c>
      <c r="W214" s="200">
        <v>0.73605986261438483</v>
      </c>
      <c r="X214" s="200">
        <v>0.71460679156711659</v>
      </c>
      <c r="Y214" s="200">
        <v>0.69238656068430615</v>
      </c>
      <c r="Z214" s="200">
        <v>0.67191564954232841</v>
      </c>
      <c r="AA214" s="200">
        <v>0.65293899125514698</v>
      </c>
      <c r="AB214" s="200">
        <v>0.63546679960216501</v>
      </c>
      <c r="AC214" s="200">
        <v>0.61935229924442559</v>
      </c>
      <c r="AD214" s="200">
        <v>0.60445234527459668</v>
      </c>
      <c r="AE214" s="200">
        <v>0.5906318406703811</v>
      </c>
      <c r="AF214" s="200">
        <v>0.57776350486501116</v>
      </c>
    </row>
    <row r="215" spans="1:32" s="221" customFormat="1" ht="14.45" x14ac:dyDescent="0.35">
      <c r="A215" s="806"/>
      <c r="B215" s="808" t="s">
        <v>45</v>
      </c>
      <c r="C215" s="539"/>
      <c r="D215" s="539"/>
      <c r="E215" s="539"/>
      <c r="F215" s="539"/>
      <c r="G215" s="200">
        <v>0.18097584535586639</v>
      </c>
      <c r="H215" s="200">
        <v>0.15881778762186732</v>
      </c>
      <c r="I215" s="200">
        <v>0.13969373380672298</v>
      </c>
      <c r="J215" s="200">
        <v>0.1229969941788937</v>
      </c>
      <c r="K215" s="200">
        <v>0.10840437084970865</v>
      </c>
      <c r="L215" s="200">
        <v>9.5637784480702662E-2</v>
      </c>
      <c r="M215" s="200">
        <v>8.4456236801587828E-2</v>
      </c>
      <c r="N215" s="200">
        <v>7.4538402038309221E-2</v>
      </c>
      <c r="O215" s="200">
        <v>6.5846918863128615E-2</v>
      </c>
      <c r="P215" s="200">
        <v>5.8225691057284104E-2</v>
      </c>
      <c r="Q215" s="200">
        <v>5.1537380080609055E-2</v>
      </c>
      <c r="R215" s="200">
        <v>4.5664441824414329E-2</v>
      </c>
      <c r="S215" s="200">
        <v>4.0505711444874894E-2</v>
      </c>
      <c r="T215" s="200">
        <v>3.5971463519931357E-2</v>
      </c>
      <c r="U215" s="200">
        <v>3.2000669394902016E-2</v>
      </c>
      <c r="V215" s="200">
        <v>2.8505602523744372E-2</v>
      </c>
      <c r="W215" s="200">
        <v>2.5440552836239611E-2</v>
      </c>
      <c r="X215" s="200">
        <v>2.2749374765321864E-2</v>
      </c>
      <c r="Y215" s="200">
        <v>2.0383947567714358E-2</v>
      </c>
      <c r="Z215" s="200">
        <v>1.8302599493633366E-2</v>
      </c>
      <c r="AA215" s="200">
        <v>1.6462341017707251E-2</v>
      </c>
      <c r="AB215" s="200">
        <v>1.4840445414649763E-2</v>
      </c>
      <c r="AC215" s="200">
        <v>1.3409386518661259E-2</v>
      </c>
      <c r="AD215" s="200">
        <v>1.2145269802945025E-2</v>
      </c>
      <c r="AE215" s="200">
        <v>1.1027331185033148E-2</v>
      </c>
      <c r="AF215" s="200">
        <v>1.0037484996179713E-2</v>
      </c>
    </row>
    <row r="216" spans="1:32" s="221" customFormat="1" ht="14.45" x14ac:dyDescent="0.35">
      <c r="A216" s="806"/>
      <c r="B216" s="808" t="s">
        <v>46</v>
      </c>
      <c r="C216" s="539"/>
      <c r="D216" s="539"/>
      <c r="E216" s="539"/>
      <c r="F216" s="539"/>
      <c r="G216" s="200">
        <v>0</v>
      </c>
      <c r="H216" s="200">
        <v>0</v>
      </c>
      <c r="I216" s="200">
        <v>0</v>
      </c>
      <c r="J216" s="200">
        <v>0</v>
      </c>
      <c r="K216" s="200">
        <v>0</v>
      </c>
      <c r="L216" s="200">
        <v>0</v>
      </c>
      <c r="M216" s="200">
        <v>0</v>
      </c>
      <c r="N216" s="200">
        <v>0</v>
      </c>
      <c r="O216" s="200">
        <v>0</v>
      </c>
      <c r="P216" s="200">
        <v>0</v>
      </c>
      <c r="Q216" s="200">
        <v>0</v>
      </c>
      <c r="R216" s="200">
        <v>0</v>
      </c>
      <c r="S216" s="200">
        <v>0</v>
      </c>
      <c r="T216" s="200">
        <v>0</v>
      </c>
      <c r="U216" s="200">
        <v>0</v>
      </c>
      <c r="V216" s="200">
        <v>0</v>
      </c>
      <c r="W216" s="200">
        <v>0</v>
      </c>
      <c r="X216" s="200">
        <v>0</v>
      </c>
      <c r="Y216" s="200">
        <v>0</v>
      </c>
      <c r="Z216" s="200">
        <v>0</v>
      </c>
      <c r="AA216" s="200">
        <v>0</v>
      </c>
      <c r="AB216" s="200">
        <v>0</v>
      </c>
      <c r="AC216" s="200">
        <v>0</v>
      </c>
      <c r="AD216" s="200">
        <v>0</v>
      </c>
      <c r="AE216" s="200">
        <v>0</v>
      </c>
      <c r="AF216" s="200">
        <v>0</v>
      </c>
    </row>
    <row r="217" spans="1:32" s="221" customFormat="1" ht="14.45" x14ac:dyDescent="0.35">
      <c r="A217" s="806"/>
      <c r="B217" s="806" t="s">
        <v>29</v>
      </c>
      <c r="C217" s="539"/>
      <c r="D217" s="539"/>
      <c r="E217" s="539"/>
      <c r="F217" s="539"/>
      <c r="G217" s="200">
        <v>0</v>
      </c>
      <c r="H217" s="200">
        <v>6.4422294169206801E-3</v>
      </c>
      <c r="I217" s="200">
        <v>1.2744556104117809E-2</v>
      </c>
      <c r="J217" s="200">
        <v>1.89763198491428E-2</v>
      </c>
      <c r="K217" s="200">
        <v>2.5206680374477014E-2</v>
      </c>
      <c r="L217" s="200">
        <v>3.1440390521441978E-2</v>
      </c>
      <c r="M217" s="200">
        <v>3.7907215382484219E-2</v>
      </c>
      <c r="N217" s="200">
        <v>4.4265102822725451E-2</v>
      </c>
      <c r="O217" s="200">
        <v>5.0580880625024138E-2</v>
      </c>
      <c r="P217" s="200">
        <v>5.66055386655843E-2</v>
      </c>
      <c r="Q217" s="200">
        <v>6.1581691003636946E-2</v>
      </c>
      <c r="R217" s="200">
        <v>6.7268133589203097E-2</v>
      </c>
      <c r="S217" s="200">
        <v>7.1743729026175193E-2</v>
      </c>
      <c r="T217" s="200">
        <v>7.5856193883349465E-2</v>
      </c>
      <c r="U217" s="200">
        <v>7.952200536209833E-2</v>
      </c>
      <c r="V217" s="200">
        <v>8.2807949352638244E-2</v>
      </c>
      <c r="W217" s="200">
        <v>8.5652479082044111E-2</v>
      </c>
      <c r="X217" s="200">
        <v>8.8119791894674712E-2</v>
      </c>
      <c r="Y217" s="200">
        <v>9.0255344408419175E-2</v>
      </c>
      <c r="Z217" s="200">
        <v>9.2098119478160961E-2</v>
      </c>
      <c r="AA217" s="200">
        <v>9.3736872735836169E-2</v>
      </c>
      <c r="AB217" s="200">
        <v>9.5038917149235166E-2</v>
      </c>
      <c r="AC217" s="200">
        <v>9.6033269342263874E-2</v>
      </c>
      <c r="AD217" s="200">
        <v>9.6750713071171127E-2</v>
      </c>
      <c r="AE217" s="200">
        <v>9.7220240704678593E-2</v>
      </c>
      <c r="AF217" s="200">
        <v>9.7470792393544309E-2</v>
      </c>
    </row>
    <row r="218" spans="1:32" s="221" customFormat="1" ht="14.45" x14ac:dyDescent="0.35">
      <c r="A218" s="806"/>
      <c r="B218" s="806"/>
      <c r="C218" s="539"/>
      <c r="D218" s="539"/>
      <c r="E218" s="539"/>
      <c r="F218" s="539"/>
      <c r="G218" s="200" t="s">
        <v>73</v>
      </c>
      <c r="H218" s="539" t="s">
        <v>73</v>
      </c>
      <c r="I218" s="539" t="s">
        <v>73</v>
      </c>
      <c r="J218" s="539" t="s">
        <v>73</v>
      </c>
      <c r="K218" s="539" t="s">
        <v>73</v>
      </c>
      <c r="L218" s="539" t="s">
        <v>73</v>
      </c>
      <c r="M218" s="539" t="s">
        <v>73</v>
      </c>
      <c r="N218" s="539" t="s">
        <v>73</v>
      </c>
      <c r="O218" s="539" t="s">
        <v>73</v>
      </c>
      <c r="P218" s="539" t="s">
        <v>73</v>
      </c>
      <c r="Q218" s="539" t="s">
        <v>73</v>
      </c>
      <c r="R218" s="539" t="s">
        <v>73</v>
      </c>
      <c r="S218" s="539" t="s">
        <v>73</v>
      </c>
      <c r="T218" s="539" t="s">
        <v>73</v>
      </c>
      <c r="U218" s="539" t="s">
        <v>73</v>
      </c>
      <c r="V218" s="539" t="s">
        <v>73</v>
      </c>
      <c r="W218" s="539" t="s">
        <v>73</v>
      </c>
      <c r="X218" s="539" t="s">
        <v>73</v>
      </c>
      <c r="Y218" s="539" t="s">
        <v>73</v>
      </c>
      <c r="Z218" s="539" t="s">
        <v>73</v>
      </c>
      <c r="AA218" s="539" t="s">
        <v>73</v>
      </c>
      <c r="AB218" s="539" t="s">
        <v>73</v>
      </c>
      <c r="AC218" s="539" t="s">
        <v>73</v>
      </c>
      <c r="AD218" s="539" t="s">
        <v>73</v>
      </c>
      <c r="AE218" s="539" t="s">
        <v>73</v>
      </c>
      <c r="AF218" s="539" t="s">
        <v>73</v>
      </c>
    </row>
    <row r="219" spans="1:32" s="202" customFormat="1" ht="12.95" x14ac:dyDescent="0.3">
      <c r="A219" s="556" t="s">
        <v>47</v>
      </c>
      <c r="B219" s="556"/>
      <c r="C219" s="556"/>
      <c r="D219" s="556"/>
      <c r="E219" s="556"/>
      <c r="F219" s="556"/>
      <c r="G219" s="241" t="s">
        <v>73</v>
      </c>
      <c r="H219" s="556" t="s">
        <v>73</v>
      </c>
      <c r="I219" s="556" t="s">
        <v>73</v>
      </c>
      <c r="J219" s="556" t="s">
        <v>73</v>
      </c>
      <c r="K219" s="556" t="s">
        <v>73</v>
      </c>
      <c r="L219" s="556" t="s">
        <v>73</v>
      </c>
      <c r="M219" s="556" t="s">
        <v>73</v>
      </c>
      <c r="N219" s="556" t="s">
        <v>73</v>
      </c>
      <c r="O219" s="556" t="s">
        <v>73</v>
      </c>
      <c r="P219" s="556" t="s">
        <v>73</v>
      </c>
      <c r="Q219" s="556" t="s">
        <v>73</v>
      </c>
      <c r="R219" s="556" t="s">
        <v>73</v>
      </c>
      <c r="S219" s="556" t="s">
        <v>73</v>
      </c>
      <c r="T219" s="556" t="s">
        <v>73</v>
      </c>
      <c r="U219" s="556" t="s">
        <v>73</v>
      </c>
      <c r="V219" s="556" t="s">
        <v>73</v>
      </c>
      <c r="W219" s="556" t="s">
        <v>73</v>
      </c>
      <c r="X219" s="556" t="s">
        <v>73</v>
      </c>
      <c r="Y219" s="556" t="s">
        <v>73</v>
      </c>
      <c r="Z219" s="556" t="s">
        <v>73</v>
      </c>
      <c r="AA219" s="556" t="s">
        <v>73</v>
      </c>
      <c r="AB219" s="556" t="s">
        <v>73</v>
      </c>
      <c r="AC219" s="556" t="s">
        <v>73</v>
      </c>
      <c r="AD219" s="556" t="s">
        <v>73</v>
      </c>
      <c r="AE219" s="556" t="s">
        <v>73</v>
      </c>
      <c r="AF219" s="556" t="s">
        <v>73</v>
      </c>
    </row>
    <row r="220" spans="1:32" s="221" customFormat="1" ht="14.45" x14ac:dyDescent="0.35">
      <c r="A220" s="806"/>
      <c r="B220" s="806" t="s">
        <v>48</v>
      </c>
      <c r="C220" s="539"/>
      <c r="D220" s="539"/>
      <c r="E220" s="539"/>
      <c r="F220" s="539"/>
      <c r="G220" s="200">
        <v>0</v>
      </c>
      <c r="H220" s="200">
        <v>0</v>
      </c>
      <c r="I220" s="200">
        <v>0</v>
      </c>
      <c r="J220" s="200">
        <v>0</v>
      </c>
      <c r="K220" s="200">
        <v>0</v>
      </c>
      <c r="L220" s="200">
        <v>0</v>
      </c>
      <c r="M220" s="200">
        <v>0</v>
      </c>
      <c r="N220" s="200">
        <v>0</v>
      </c>
      <c r="O220" s="200">
        <v>0</v>
      </c>
      <c r="P220" s="200">
        <v>0</v>
      </c>
      <c r="Q220" s="200">
        <v>0</v>
      </c>
      <c r="R220" s="200">
        <v>0</v>
      </c>
      <c r="S220" s="200">
        <v>0</v>
      </c>
      <c r="T220" s="200">
        <v>0</v>
      </c>
      <c r="U220" s="200">
        <v>0</v>
      </c>
      <c r="V220" s="200">
        <v>0</v>
      </c>
      <c r="W220" s="200">
        <v>0</v>
      </c>
      <c r="X220" s="200">
        <v>0</v>
      </c>
      <c r="Y220" s="200">
        <v>0</v>
      </c>
      <c r="Z220" s="200">
        <v>0</v>
      </c>
      <c r="AA220" s="200">
        <v>0</v>
      </c>
      <c r="AB220" s="200">
        <v>0</v>
      </c>
      <c r="AC220" s="200">
        <v>0</v>
      </c>
      <c r="AD220" s="200">
        <v>0</v>
      </c>
      <c r="AE220" s="200">
        <v>0</v>
      </c>
      <c r="AF220" s="200">
        <v>0</v>
      </c>
    </row>
    <row r="221" spans="1:32" s="221" customFormat="1" ht="14.45" x14ac:dyDescent="0.35">
      <c r="A221" s="806"/>
      <c r="B221" s="808" t="s">
        <v>50</v>
      </c>
      <c r="C221" s="539"/>
      <c r="D221" s="539"/>
      <c r="E221" s="539"/>
      <c r="F221" s="539"/>
      <c r="G221" s="200">
        <v>1.8138265961499634E-4</v>
      </c>
      <c r="H221" s="200">
        <v>1.7218013356382487E-4</v>
      </c>
      <c r="I221" s="200">
        <v>1.5941092226590567E-4</v>
      </c>
      <c r="J221" s="200">
        <v>1.4250589254255383E-4</v>
      </c>
      <c r="K221" s="200">
        <v>1.2220065227210803E-4</v>
      </c>
      <c r="L221" s="200">
        <v>9.9808814955374374E-5</v>
      </c>
      <c r="M221" s="200">
        <v>7.7236648035531856E-5</v>
      </c>
      <c r="N221" s="200">
        <v>5.6486900396631583E-5</v>
      </c>
      <c r="O221" s="200">
        <v>3.9055160154084897E-5</v>
      </c>
      <c r="P221" s="200">
        <v>2.5596084938002907E-5</v>
      </c>
      <c r="Q221" s="200">
        <v>1.5967461901226131E-5</v>
      </c>
      <c r="R221" s="200">
        <v>9.5288999410279327E-6</v>
      </c>
      <c r="S221" s="200">
        <v>5.4697556419481814E-6</v>
      </c>
      <c r="T221" s="200">
        <v>3.036957340007496E-6</v>
      </c>
      <c r="U221" s="200">
        <v>1.6399445711014495E-6</v>
      </c>
      <c r="V221" s="200">
        <v>8.6572728334944842E-7</v>
      </c>
      <c r="W221" s="200">
        <v>4.4883491685063879E-7</v>
      </c>
      <c r="X221" s="200">
        <v>2.2963667013564309E-7</v>
      </c>
      <c r="Y221" s="200">
        <v>1.1646167006423322E-7</v>
      </c>
      <c r="Z221" s="200">
        <v>5.8827298736079503E-8</v>
      </c>
      <c r="AA221" s="200">
        <v>2.9656850464689833E-8</v>
      </c>
      <c r="AB221" s="200">
        <v>1.4944432812152174E-8</v>
      </c>
      <c r="AC221" s="200">
        <v>7.5358416857216049E-9</v>
      </c>
      <c r="AD221" s="200">
        <v>3.8057056932600992E-9</v>
      </c>
      <c r="AE221" s="200">
        <v>1.9259201071975061E-9</v>
      </c>
      <c r="AF221" s="200">
        <v>9.7698999271464951E-10</v>
      </c>
    </row>
    <row r="222" spans="1:32" s="221" customFormat="1" ht="14.45" x14ac:dyDescent="0.35">
      <c r="A222" s="806"/>
      <c r="B222" s="806" t="s">
        <v>51</v>
      </c>
      <c r="C222" s="539"/>
      <c r="D222" s="539"/>
      <c r="E222" s="539"/>
      <c r="F222" s="539"/>
      <c r="G222" s="200">
        <v>1.3113676150037783E-3</v>
      </c>
      <c r="H222" s="200">
        <v>1.2589276753232448E-3</v>
      </c>
      <c r="I222" s="200">
        <v>1.1955749031019836E-3</v>
      </c>
      <c r="J222" s="200">
        <v>1.1204533942251256E-3</v>
      </c>
      <c r="K222" s="200">
        <v>1.0351138885616677E-3</v>
      </c>
      <c r="L222" s="200">
        <v>9.4056648875080794E-4</v>
      </c>
      <c r="M222" s="200">
        <v>8.4150129377702227E-4</v>
      </c>
      <c r="N222" s="200">
        <v>7.4157295655688862E-4</v>
      </c>
      <c r="O222" s="200">
        <v>6.443356791696746E-4</v>
      </c>
      <c r="P222" s="200">
        <v>5.5274372336998475E-4</v>
      </c>
      <c r="Q222" s="200">
        <v>4.6887787487849054E-4</v>
      </c>
      <c r="R222" s="200">
        <v>3.9391979808750657E-4</v>
      </c>
      <c r="S222" s="200">
        <v>3.2827664390473087E-4</v>
      </c>
      <c r="T222" s="200">
        <v>2.7176682753971828E-4</v>
      </c>
      <c r="U222" s="200">
        <v>2.2380593328902225E-4</v>
      </c>
      <c r="V222" s="200">
        <v>1.8356933773193751E-4</v>
      </c>
      <c r="W222" s="200">
        <v>1.5012196776371589E-4</v>
      </c>
      <c r="X222" s="200">
        <v>1.2251487664196903E-4</v>
      </c>
      <c r="Y222" s="200">
        <v>9.9848946247451173E-5</v>
      </c>
      <c r="Z222" s="200">
        <v>8.1311177039633016E-5</v>
      </c>
      <c r="AA222" s="200">
        <v>6.6161459112977567E-5</v>
      </c>
      <c r="AB222" s="200">
        <v>5.383137189940686E-5</v>
      </c>
      <c r="AC222" s="200">
        <v>4.380696998593821E-5</v>
      </c>
      <c r="AD222" s="200">
        <v>3.5661727465626051E-5</v>
      </c>
      <c r="AE222" s="200">
        <v>2.9044640111214819E-5</v>
      </c>
      <c r="AF222" s="200">
        <v>2.3668536050789211E-5</v>
      </c>
    </row>
    <row r="223" spans="1:32" s="221" customFormat="1" ht="14.45" x14ac:dyDescent="0.35">
      <c r="A223" s="806"/>
      <c r="B223" s="806" t="s">
        <v>52</v>
      </c>
      <c r="C223" s="539"/>
      <c r="D223" s="539"/>
      <c r="E223" s="539"/>
      <c r="F223" s="539"/>
      <c r="G223" s="200">
        <v>3.6831174153139738E-3</v>
      </c>
      <c r="H223" s="200">
        <v>3.6196716471478662E-3</v>
      </c>
      <c r="I223" s="200">
        <v>3.5512202081973863E-3</v>
      </c>
      <c r="J223" s="200">
        <v>3.4714290408955377E-3</v>
      </c>
      <c r="K223" s="200">
        <v>3.3790915091332732E-3</v>
      </c>
      <c r="L223" s="200">
        <v>3.270126844831505E-3</v>
      </c>
      <c r="M223" s="200">
        <v>3.147823819465725E-3</v>
      </c>
      <c r="N223" s="200">
        <v>3.0112811373800867E-3</v>
      </c>
      <c r="O223" s="200">
        <v>2.8697372192602252E-3</v>
      </c>
      <c r="P223" s="200">
        <v>2.72546422259366E-3</v>
      </c>
      <c r="Q223" s="200">
        <v>2.5808075654311664E-3</v>
      </c>
      <c r="R223" s="200">
        <v>2.4378585672131378E-3</v>
      </c>
      <c r="S223" s="200">
        <v>2.2983337949355142E-3</v>
      </c>
      <c r="T223" s="200">
        <v>2.1646592782914574E-3</v>
      </c>
      <c r="U223" s="200">
        <v>2.0365160835308389E-3</v>
      </c>
      <c r="V223" s="200">
        <v>1.9154570372904006E-3</v>
      </c>
      <c r="W223" s="200">
        <v>1.8015859720650635E-3</v>
      </c>
      <c r="X223" s="200">
        <v>1.6940461116800069E-3</v>
      </c>
      <c r="Y223" s="200">
        <v>1.5934994757029698E-3</v>
      </c>
      <c r="Z223" s="200">
        <v>1.49960912189998E-3</v>
      </c>
      <c r="AA223" s="200">
        <v>1.4114301273392808E-3</v>
      </c>
      <c r="AB223" s="200">
        <v>1.3292122450774707E-3</v>
      </c>
      <c r="AC223" s="200">
        <v>1.2525346303719185E-3</v>
      </c>
      <c r="AD223" s="200">
        <v>1.180583620813466E-3</v>
      </c>
      <c r="AE223" s="200">
        <v>1.1134547488896353E-3</v>
      </c>
      <c r="AF223" s="200">
        <v>1.0507784634070897E-3</v>
      </c>
    </row>
    <row r="224" spans="1:32" s="221" customFormat="1" ht="14.45" x14ac:dyDescent="0.35">
      <c r="A224" s="806"/>
      <c r="B224" s="808" t="s">
        <v>29</v>
      </c>
      <c r="C224" s="539"/>
      <c r="D224" s="539"/>
      <c r="E224" s="539"/>
      <c r="F224" s="539"/>
      <c r="G224" s="200">
        <v>0</v>
      </c>
      <c r="H224" s="200">
        <v>4.1995176641076292E-5</v>
      </c>
      <c r="I224" s="200">
        <v>9.1415657172823881E-5</v>
      </c>
      <c r="J224" s="200">
        <v>1.4531679424298338E-4</v>
      </c>
      <c r="K224" s="200">
        <v>2.0222757331464706E-4</v>
      </c>
      <c r="L224" s="200">
        <v>2.6093398096353938E-4</v>
      </c>
      <c r="M224" s="200">
        <v>3.2041948417772706E-4</v>
      </c>
      <c r="N224" s="200">
        <v>3.790277485274594E-4</v>
      </c>
      <c r="O224" s="200">
        <v>4.3514598375367846E-4</v>
      </c>
      <c r="P224" s="200">
        <v>4.8752050603818382E-4</v>
      </c>
      <c r="Q224" s="200">
        <v>5.3531659578449084E-4</v>
      </c>
      <c r="R224" s="200">
        <v>5.8011252241177013E-4</v>
      </c>
      <c r="S224" s="200">
        <v>6.2133753735213741E-4</v>
      </c>
      <c r="T224" s="200">
        <v>6.5440964220004E-4</v>
      </c>
      <c r="U224" s="200">
        <v>6.8791729362638083E-4</v>
      </c>
      <c r="V224" s="200">
        <v>7.1226603518501021E-4</v>
      </c>
      <c r="W224" s="200">
        <v>7.322504109506955E-4</v>
      </c>
      <c r="X224" s="200">
        <v>7.4894789112452272E-4</v>
      </c>
      <c r="Y224" s="200">
        <v>7.6290659410613553E-4</v>
      </c>
      <c r="Z224" s="200">
        <v>7.7478433240853466E-4</v>
      </c>
      <c r="AA224" s="200">
        <v>7.8535890173653993E-4</v>
      </c>
      <c r="AB224" s="200">
        <v>7.9489703742723961E-4</v>
      </c>
      <c r="AC224" s="200">
        <v>8.0376849455665784E-4</v>
      </c>
      <c r="AD224" s="200">
        <v>8.1237919240846341E-4</v>
      </c>
      <c r="AE224" s="200">
        <v>8.1986812144204334E-4</v>
      </c>
      <c r="AF224" s="200">
        <v>8.263128315640823E-4</v>
      </c>
    </row>
    <row r="225" spans="1:32" s="221" customFormat="1" ht="14.45" x14ac:dyDescent="0.35">
      <c r="A225" s="806"/>
      <c r="B225" s="808" t="s">
        <v>53</v>
      </c>
      <c r="C225" s="539"/>
      <c r="D225" s="539"/>
      <c r="E225" s="539"/>
      <c r="F225" s="539"/>
      <c r="G225" s="200">
        <v>0</v>
      </c>
      <c r="H225" s="200">
        <v>0</v>
      </c>
      <c r="I225" s="200">
        <v>0</v>
      </c>
      <c r="J225" s="200">
        <v>0</v>
      </c>
      <c r="K225" s="200">
        <v>0</v>
      </c>
      <c r="L225" s="200">
        <v>0</v>
      </c>
      <c r="M225" s="200">
        <v>0</v>
      </c>
      <c r="N225" s="200">
        <v>0</v>
      </c>
      <c r="O225" s="200">
        <v>0</v>
      </c>
      <c r="P225" s="200">
        <v>0</v>
      </c>
      <c r="Q225" s="200">
        <v>0</v>
      </c>
      <c r="R225" s="200">
        <v>0</v>
      </c>
      <c r="S225" s="200">
        <v>0</v>
      </c>
      <c r="T225" s="200">
        <v>0</v>
      </c>
      <c r="U225" s="200">
        <v>0</v>
      </c>
      <c r="V225" s="200">
        <v>0</v>
      </c>
      <c r="W225" s="200">
        <v>0</v>
      </c>
      <c r="X225" s="200">
        <v>0</v>
      </c>
      <c r="Y225" s="200">
        <v>0</v>
      </c>
      <c r="Z225" s="200">
        <v>0</v>
      </c>
      <c r="AA225" s="200">
        <v>0</v>
      </c>
      <c r="AB225" s="200">
        <v>0</v>
      </c>
      <c r="AC225" s="200">
        <v>0</v>
      </c>
      <c r="AD225" s="200">
        <v>0</v>
      </c>
      <c r="AE225" s="200">
        <v>0</v>
      </c>
      <c r="AF225" s="200">
        <v>0</v>
      </c>
    </row>
    <row r="228" spans="1:32" ht="14.45" x14ac:dyDescent="0.35">
      <c r="A228" s="554" t="s">
        <v>57</v>
      </c>
      <c r="B228" s="555"/>
      <c r="C228" s="554"/>
      <c r="D228" s="553"/>
      <c r="E228" s="553"/>
      <c r="F228" s="553"/>
      <c r="G228" s="553"/>
      <c r="H228" s="560"/>
      <c r="I228" s="560"/>
      <c r="J228" s="560"/>
      <c r="K228" s="560"/>
      <c r="L228" s="560"/>
      <c r="M228" s="560"/>
      <c r="N228" s="560"/>
      <c r="O228" s="560"/>
      <c r="P228" s="560"/>
      <c r="Q228" s="560"/>
      <c r="R228" s="560"/>
      <c r="S228" s="560"/>
      <c r="T228" s="560"/>
      <c r="U228" s="560"/>
      <c r="V228" s="560"/>
      <c r="W228" s="560"/>
      <c r="X228" s="560"/>
      <c r="Y228" s="560"/>
      <c r="Z228" s="560"/>
      <c r="AA228" s="560"/>
      <c r="AB228" s="560"/>
      <c r="AC228" s="560"/>
      <c r="AD228" s="560"/>
      <c r="AE228" s="560"/>
      <c r="AF228" s="560"/>
    </row>
    <row r="229" spans="1:32" ht="14.45" x14ac:dyDescent="0.35">
      <c r="A229" s="812" t="s">
        <v>12</v>
      </c>
      <c r="B229" s="806"/>
    </row>
    <row r="230" spans="1:32" ht="14.45" x14ac:dyDescent="0.35">
      <c r="A230" s="806"/>
      <c r="B230" s="806" t="s">
        <v>20</v>
      </c>
    </row>
    <row r="231" spans="1:32" s="202" customFormat="1" ht="12.95" x14ac:dyDescent="0.3">
      <c r="A231" s="556" t="s">
        <v>21</v>
      </c>
      <c r="B231" s="556"/>
      <c r="C231" s="556"/>
      <c r="D231" s="556"/>
      <c r="E231" s="556"/>
      <c r="F231" s="556"/>
      <c r="G231" s="556"/>
      <c r="H231" s="556"/>
      <c r="I231" s="556"/>
      <c r="J231" s="556"/>
      <c r="K231" s="556"/>
      <c r="L231" s="556"/>
      <c r="M231" s="556"/>
      <c r="N231" s="556"/>
      <c r="O231" s="556"/>
      <c r="P231" s="556"/>
      <c r="Q231" s="556"/>
      <c r="R231" s="556"/>
      <c r="S231" s="556"/>
      <c r="T231" s="556"/>
      <c r="U231" s="556"/>
      <c r="V231" s="556"/>
      <c r="W231" s="556"/>
      <c r="X231" s="556"/>
      <c r="Y231" s="556"/>
      <c r="Z231" s="556"/>
      <c r="AA231" s="556"/>
      <c r="AB231" s="556"/>
      <c r="AC231" s="556"/>
      <c r="AD231" s="556"/>
      <c r="AE231" s="556"/>
      <c r="AF231" s="556"/>
    </row>
    <row r="232" spans="1:32" s="221" customFormat="1" ht="14.45" x14ac:dyDescent="0.35">
      <c r="A232" s="806"/>
      <c r="B232" s="806" t="s">
        <v>22</v>
      </c>
      <c r="C232" s="539"/>
      <c r="D232" s="539"/>
      <c r="E232" s="539"/>
      <c r="F232" s="539"/>
      <c r="G232" s="200">
        <v>0</v>
      </c>
      <c r="H232" s="200">
        <v>0</v>
      </c>
      <c r="I232" s="200">
        <v>0</v>
      </c>
      <c r="J232" s="200">
        <v>0</v>
      </c>
      <c r="K232" s="200">
        <v>0</v>
      </c>
      <c r="L232" s="200">
        <v>0</v>
      </c>
      <c r="M232" s="200">
        <v>0</v>
      </c>
      <c r="N232" s="200">
        <v>0</v>
      </c>
      <c r="O232" s="200">
        <v>0</v>
      </c>
      <c r="P232" s="200">
        <v>0</v>
      </c>
      <c r="Q232" s="200">
        <v>0</v>
      </c>
      <c r="R232" s="200">
        <v>0</v>
      </c>
      <c r="S232" s="200">
        <v>0</v>
      </c>
      <c r="T232" s="200">
        <v>0</v>
      </c>
      <c r="U232" s="200">
        <v>0</v>
      </c>
      <c r="V232" s="200">
        <v>0</v>
      </c>
      <c r="W232" s="200">
        <v>0</v>
      </c>
      <c r="X232" s="200">
        <v>0</v>
      </c>
      <c r="Y232" s="200">
        <v>0</v>
      </c>
      <c r="Z232" s="200">
        <v>0</v>
      </c>
      <c r="AA232" s="200">
        <v>0</v>
      </c>
      <c r="AB232" s="200">
        <v>0</v>
      </c>
      <c r="AC232" s="200">
        <v>0</v>
      </c>
      <c r="AD232" s="200">
        <v>0</v>
      </c>
      <c r="AE232" s="200">
        <v>0</v>
      </c>
      <c r="AF232" s="200">
        <v>0</v>
      </c>
    </row>
    <row r="233" spans="1:32" s="221" customFormat="1" ht="14.45" x14ac:dyDescent="0.35">
      <c r="A233" s="806"/>
      <c r="B233" s="806" t="s">
        <v>26</v>
      </c>
      <c r="C233" s="539"/>
      <c r="D233" s="539"/>
      <c r="E233" s="539"/>
      <c r="F233" s="539"/>
      <c r="G233" s="200">
        <v>0</v>
      </c>
      <c r="H233" s="200">
        <v>0</v>
      </c>
      <c r="I233" s="200">
        <v>0</v>
      </c>
      <c r="J233" s="200">
        <v>0</v>
      </c>
      <c r="K233" s="200">
        <v>0</v>
      </c>
      <c r="L233" s="200">
        <v>0</v>
      </c>
      <c r="M233" s="200">
        <v>0</v>
      </c>
      <c r="N233" s="200">
        <v>0</v>
      </c>
      <c r="O233" s="200">
        <v>0</v>
      </c>
      <c r="P233" s="200">
        <v>0</v>
      </c>
      <c r="Q233" s="200">
        <v>0</v>
      </c>
      <c r="R233" s="200">
        <v>0</v>
      </c>
      <c r="S233" s="200">
        <v>0</v>
      </c>
      <c r="T233" s="200">
        <v>0</v>
      </c>
      <c r="U233" s="200">
        <v>0</v>
      </c>
      <c r="V233" s="200">
        <v>0</v>
      </c>
      <c r="W233" s="200">
        <v>0</v>
      </c>
      <c r="X233" s="200">
        <v>0</v>
      </c>
      <c r="Y233" s="200">
        <v>0</v>
      </c>
      <c r="Z233" s="200">
        <v>0</v>
      </c>
      <c r="AA233" s="200">
        <v>0</v>
      </c>
      <c r="AB233" s="200">
        <v>0</v>
      </c>
      <c r="AC233" s="200">
        <v>0</v>
      </c>
      <c r="AD233" s="200">
        <v>0</v>
      </c>
      <c r="AE233" s="200">
        <v>0</v>
      </c>
      <c r="AF233" s="200">
        <v>0</v>
      </c>
    </row>
    <row r="234" spans="1:32" s="221" customFormat="1" ht="14.45" x14ac:dyDescent="0.35">
      <c r="A234" s="806"/>
      <c r="B234" s="806" t="s">
        <v>27</v>
      </c>
      <c r="C234" s="539"/>
      <c r="D234" s="539"/>
      <c r="E234" s="539"/>
      <c r="F234" s="539"/>
      <c r="G234" s="200">
        <v>0</v>
      </c>
      <c r="H234" s="200">
        <v>0</v>
      </c>
      <c r="I234" s="200">
        <v>0</v>
      </c>
      <c r="J234" s="200">
        <v>0</v>
      </c>
      <c r="K234" s="200">
        <v>0</v>
      </c>
      <c r="L234" s="200">
        <v>0</v>
      </c>
      <c r="M234" s="200">
        <v>0</v>
      </c>
      <c r="N234" s="200">
        <v>0</v>
      </c>
      <c r="O234" s="200">
        <v>0</v>
      </c>
      <c r="P234" s="200">
        <v>0</v>
      </c>
      <c r="Q234" s="200">
        <v>0</v>
      </c>
      <c r="R234" s="200">
        <v>0</v>
      </c>
      <c r="S234" s="200">
        <v>0</v>
      </c>
      <c r="T234" s="200">
        <v>0</v>
      </c>
      <c r="U234" s="200">
        <v>0</v>
      </c>
      <c r="V234" s="200">
        <v>0</v>
      </c>
      <c r="W234" s="200">
        <v>0</v>
      </c>
      <c r="X234" s="200">
        <v>0</v>
      </c>
      <c r="Y234" s="200">
        <v>0</v>
      </c>
      <c r="Z234" s="200">
        <v>0</v>
      </c>
      <c r="AA234" s="200">
        <v>0</v>
      </c>
      <c r="AB234" s="200">
        <v>0</v>
      </c>
      <c r="AC234" s="200">
        <v>0</v>
      </c>
      <c r="AD234" s="200">
        <v>0</v>
      </c>
      <c r="AE234" s="200">
        <v>0</v>
      </c>
      <c r="AF234" s="200">
        <v>0</v>
      </c>
    </row>
    <row r="235" spans="1:32" s="221" customFormat="1" ht="14.45" x14ac:dyDescent="0.35">
      <c r="A235" s="806"/>
      <c r="B235" s="806" t="s">
        <v>29</v>
      </c>
      <c r="C235" s="539"/>
      <c r="D235" s="539"/>
      <c r="E235" s="539"/>
      <c r="F235" s="539"/>
      <c r="G235" s="200">
        <v>0</v>
      </c>
      <c r="H235" s="200">
        <v>0</v>
      </c>
      <c r="I235" s="200">
        <v>0</v>
      </c>
      <c r="J235" s="200">
        <v>0</v>
      </c>
      <c r="K235" s="200">
        <v>0</v>
      </c>
      <c r="L235" s="200">
        <v>0</v>
      </c>
      <c r="M235" s="200">
        <v>0</v>
      </c>
      <c r="N235" s="200">
        <v>0</v>
      </c>
      <c r="O235" s="200">
        <v>0</v>
      </c>
      <c r="P235" s="200">
        <v>0</v>
      </c>
      <c r="Q235" s="200">
        <v>0</v>
      </c>
      <c r="R235" s="200">
        <v>0</v>
      </c>
      <c r="S235" s="200">
        <v>0</v>
      </c>
      <c r="T235" s="200">
        <v>0</v>
      </c>
      <c r="U235" s="200">
        <v>0</v>
      </c>
      <c r="V235" s="200">
        <v>0</v>
      </c>
      <c r="W235" s="200">
        <v>0</v>
      </c>
      <c r="X235" s="200">
        <v>0</v>
      </c>
      <c r="Y235" s="200">
        <v>0</v>
      </c>
      <c r="Z235" s="200">
        <v>0</v>
      </c>
      <c r="AA235" s="200">
        <v>0</v>
      </c>
      <c r="AB235" s="200">
        <v>0</v>
      </c>
      <c r="AC235" s="200">
        <v>0</v>
      </c>
      <c r="AD235" s="200">
        <v>0</v>
      </c>
      <c r="AE235" s="200">
        <v>0</v>
      </c>
      <c r="AF235" s="200">
        <v>0</v>
      </c>
    </row>
    <row r="236" spans="1:32" s="221" customFormat="1" ht="14.45" x14ac:dyDescent="0.35">
      <c r="A236" s="806"/>
      <c r="B236" s="806"/>
      <c r="C236" s="539"/>
      <c r="D236" s="539"/>
      <c r="E236" s="539"/>
      <c r="F236" s="539"/>
      <c r="G236" s="200" t="s">
        <v>73</v>
      </c>
      <c r="H236" s="539" t="s">
        <v>73</v>
      </c>
      <c r="I236" s="539" t="s">
        <v>73</v>
      </c>
      <c r="J236" s="539" t="s">
        <v>73</v>
      </c>
      <c r="K236" s="539" t="s">
        <v>73</v>
      </c>
      <c r="L236" s="539" t="s">
        <v>73</v>
      </c>
      <c r="M236" s="539" t="s">
        <v>73</v>
      </c>
      <c r="N236" s="539" t="s">
        <v>73</v>
      </c>
      <c r="O236" s="539" t="s">
        <v>73</v>
      </c>
      <c r="P236" s="539" t="s">
        <v>73</v>
      </c>
      <c r="Q236" s="539" t="s">
        <v>73</v>
      </c>
      <c r="R236" s="539" t="s">
        <v>73</v>
      </c>
      <c r="S236" s="539" t="s">
        <v>73</v>
      </c>
      <c r="T236" s="539" t="s">
        <v>73</v>
      </c>
      <c r="U236" s="539" t="s">
        <v>73</v>
      </c>
      <c r="V236" s="539" t="s">
        <v>73</v>
      </c>
      <c r="W236" s="539" t="s">
        <v>73</v>
      </c>
      <c r="X236" s="539" t="s">
        <v>73</v>
      </c>
      <c r="Y236" s="539" t="s">
        <v>73</v>
      </c>
      <c r="Z236" s="539" t="s">
        <v>73</v>
      </c>
      <c r="AA236" s="539" t="s">
        <v>73</v>
      </c>
      <c r="AB236" s="539" t="s">
        <v>73</v>
      </c>
      <c r="AC236" s="539" t="s">
        <v>73</v>
      </c>
      <c r="AD236" s="539" t="s">
        <v>73</v>
      </c>
      <c r="AE236" s="539" t="s">
        <v>73</v>
      </c>
      <c r="AF236" s="539" t="s">
        <v>73</v>
      </c>
    </row>
    <row r="237" spans="1:32" s="202" customFormat="1" ht="12.95" x14ac:dyDescent="0.3">
      <c r="A237" s="556" t="s">
        <v>32</v>
      </c>
      <c r="B237" s="556"/>
      <c r="C237" s="556"/>
      <c r="D237" s="556"/>
      <c r="E237" s="556"/>
      <c r="F237" s="556"/>
      <c r="G237" s="241" t="s">
        <v>73</v>
      </c>
      <c r="H237" s="556" t="s">
        <v>73</v>
      </c>
      <c r="I237" s="556" t="s">
        <v>73</v>
      </c>
      <c r="J237" s="556" t="s">
        <v>73</v>
      </c>
      <c r="K237" s="556" t="s">
        <v>73</v>
      </c>
      <c r="L237" s="556" t="s">
        <v>73</v>
      </c>
      <c r="M237" s="556" t="s">
        <v>73</v>
      </c>
      <c r="N237" s="556" t="s">
        <v>73</v>
      </c>
      <c r="O237" s="556" t="s">
        <v>73</v>
      </c>
      <c r="P237" s="556" t="s">
        <v>73</v>
      </c>
      <c r="Q237" s="556" t="s">
        <v>73</v>
      </c>
      <c r="R237" s="556" t="s">
        <v>73</v>
      </c>
      <c r="S237" s="556" t="s">
        <v>73</v>
      </c>
      <c r="T237" s="556" t="s">
        <v>73</v>
      </c>
      <c r="U237" s="556" t="s">
        <v>73</v>
      </c>
      <c r="V237" s="556" t="s">
        <v>73</v>
      </c>
      <c r="W237" s="556" t="s">
        <v>73</v>
      </c>
      <c r="X237" s="556" t="s">
        <v>73</v>
      </c>
      <c r="Y237" s="556" t="s">
        <v>73</v>
      </c>
      <c r="Z237" s="556" t="s">
        <v>73</v>
      </c>
      <c r="AA237" s="556" t="s">
        <v>73</v>
      </c>
      <c r="AB237" s="556" t="s">
        <v>73</v>
      </c>
      <c r="AC237" s="556" t="s">
        <v>73</v>
      </c>
      <c r="AD237" s="556" t="s">
        <v>73</v>
      </c>
      <c r="AE237" s="556" t="s">
        <v>73</v>
      </c>
      <c r="AF237" s="556" t="s">
        <v>73</v>
      </c>
    </row>
    <row r="238" spans="1:32" s="221" customFormat="1" ht="14.45" x14ac:dyDescent="0.35">
      <c r="A238" s="806"/>
      <c r="B238" s="806" t="s">
        <v>33</v>
      </c>
      <c r="C238" s="539"/>
      <c r="D238" s="539"/>
      <c r="E238" s="539"/>
      <c r="F238" s="539"/>
      <c r="G238" s="200">
        <v>0</v>
      </c>
      <c r="H238" s="200">
        <v>0</v>
      </c>
      <c r="I238" s="200">
        <v>0</v>
      </c>
      <c r="J238" s="200">
        <v>0</v>
      </c>
      <c r="K238" s="200">
        <v>0</v>
      </c>
      <c r="L238" s="200">
        <v>0</v>
      </c>
      <c r="M238" s="200">
        <v>0</v>
      </c>
      <c r="N238" s="200">
        <v>0</v>
      </c>
      <c r="O238" s="200">
        <v>0</v>
      </c>
      <c r="P238" s="200">
        <v>0</v>
      </c>
      <c r="Q238" s="200">
        <v>0</v>
      </c>
      <c r="R238" s="200">
        <v>0</v>
      </c>
      <c r="S238" s="200">
        <v>0</v>
      </c>
      <c r="T238" s="200">
        <v>0</v>
      </c>
      <c r="U238" s="200">
        <v>0</v>
      </c>
      <c r="V238" s="200">
        <v>0</v>
      </c>
      <c r="W238" s="200">
        <v>0</v>
      </c>
      <c r="X238" s="200">
        <v>0</v>
      </c>
      <c r="Y238" s="200">
        <v>0</v>
      </c>
      <c r="Z238" s="200">
        <v>0</v>
      </c>
      <c r="AA238" s="200">
        <v>0</v>
      </c>
      <c r="AB238" s="200">
        <v>0</v>
      </c>
      <c r="AC238" s="200">
        <v>0</v>
      </c>
      <c r="AD238" s="200">
        <v>0</v>
      </c>
      <c r="AE238" s="200">
        <v>0</v>
      </c>
      <c r="AF238" s="200">
        <v>0</v>
      </c>
    </row>
    <row r="239" spans="1:32" s="221" customFormat="1" ht="14.45" x14ac:dyDescent="0.35">
      <c r="A239" s="808"/>
      <c r="B239" s="808" t="s">
        <v>34</v>
      </c>
      <c r="C239" s="539"/>
      <c r="D239" s="539"/>
      <c r="E239" s="539"/>
      <c r="F239" s="539"/>
      <c r="G239" s="200">
        <v>0</v>
      </c>
      <c r="H239" s="200">
        <v>0</v>
      </c>
      <c r="I239" s="200">
        <v>0</v>
      </c>
      <c r="J239" s="200">
        <v>0</v>
      </c>
      <c r="K239" s="200">
        <v>0</v>
      </c>
      <c r="L239" s="200">
        <v>0</v>
      </c>
      <c r="M239" s="200">
        <v>0</v>
      </c>
      <c r="N239" s="200">
        <v>0</v>
      </c>
      <c r="O239" s="200">
        <v>0</v>
      </c>
      <c r="P239" s="200">
        <v>0</v>
      </c>
      <c r="Q239" s="200">
        <v>0</v>
      </c>
      <c r="R239" s="200">
        <v>0</v>
      </c>
      <c r="S239" s="200">
        <v>0</v>
      </c>
      <c r="T239" s="200">
        <v>0</v>
      </c>
      <c r="U239" s="200">
        <v>0</v>
      </c>
      <c r="V239" s="200">
        <v>0</v>
      </c>
      <c r="W239" s="200">
        <v>0</v>
      </c>
      <c r="X239" s="200">
        <v>0</v>
      </c>
      <c r="Y239" s="200">
        <v>0</v>
      </c>
      <c r="Z239" s="200">
        <v>0</v>
      </c>
      <c r="AA239" s="200">
        <v>0</v>
      </c>
      <c r="AB239" s="200">
        <v>0</v>
      </c>
      <c r="AC239" s="200">
        <v>0</v>
      </c>
      <c r="AD239" s="200">
        <v>0</v>
      </c>
      <c r="AE239" s="200">
        <v>0</v>
      </c>
      <c r="AF239" s="200">
        <v>0</v>
      </c>
    </row>
    <row r="240" spans="1:32" s="221" customFormat="1" ht="14.45" x14ac:dyDescent="0.35">
      <c r="A240" s="806"/>
      <c r="B240" s="808" t="s">
        <v>35</v>
      </c>
      <c r="C240" s="539"/>
      <c r="D240" s="539"/>
      <c r="E240" s="539"/>
      <c r="F240" s="539"/>
      <c r="G240" s="200">
        <v>0</v>
      </c>
      <c r="H240" s="200">
        <v>0</v>
      </c>
      <c r="I240" s="200">
        <v>0</v>
      </c>
      <c r="J240" s="200">
        <v>0</v>
      </c>
      <c r="K240" s="200">
        <v>0</v>
      </c>
      <c r="L240" s="200">
        <v>0</v>
      </c>
      <c r="M240" s="200">
        <v>0</v>
      </c>
      <c r="N240" s="200">
        <v>0</v>
      </c>
      <c r="O240" s="200">
        <v>0</v>
      </c>
      <c r="P240" s="200">
        <v>0</v>
      </c>
      <c r="Q240" s="200">
        <v>0</v>
      </c>
      <c r="R240" s="200">
        <v>0</v>
      </c>
      <c r="S240" s="200">
        <v>0</v>
      </c>
      <c r="T240" s="200">
        <v>0</v>
      </c>
      <c r="U240" s="200">
        <v>0</v>
      </c>
      <c r="V240" s="200">
        <v>0</v>
      </c>
      <c r="W240" s="200">
        <v>0</v>
      </c>
      <c r="X240" s="200">
        <v>0</v>
      </c>
      <c r="Y240" s="200">
        <v>0</v>
      </c>
      <c r="Z240" s="200">
        <v>0</v>
      </c>
      <c r="AA240" s="200">
        <v>0</v>
      </c>
      <c r="AB240" s="200">
        <v>0</v>
      </c>
      <c r="AC240" s="200">
        <v>0</v>
      </c>
      <c r="AD240" s="200">
        <v>0</v>
      </c>
      <c r="AE240" s="200">
        <v>0</v>
      </c>
      <c r="AF240" s="200">
        <v>0</v>
      </c>
    </row>
    <row r="241" spans="1:32" s="221" customFormat="1" ht="14.45" x14ac:dyDescent="0.35">
      <c r="A241" s="806"/>
      <c r="B241" s="808" t="s">
        <v>29</v>
      </c>
      <c r="C241" s="539"/>
      <c r="D241" s="539"/>
      <c r="E241" s="539"/>
      <c r="F241" s="539"/>
      <c r="G241" s="200">
        <v>0</v>
      </c>
      <c r="H241" s="200">
        <v>0</v>
      </c>
      <c r="I241" s="200">
        <v>0</v>
      </c>
      <c r="J241" s="200">
        <v>0</v>
      </c>
      <c r="K241" s="200">
        <v>0</v>
      </c>
      <c r="L241" s="200">
        <v>0</v>
      </c>
      <c r="M241" s="200">
        <v>0</v>
      </c>
      <c r="N241" s="200">
        <v>0</v>
      </c>
      <c r="O241" s="200">
        <v>0</v>
      </c>
      <c r="P241" s="200">
        <v>0</v>
      </c>
      <c r="Q241" s="200">
        <v>0</v>
      </c>
      <c r="R241" s="200">
        <v>0</v>
      </c>
      <c r="S241" s="200">
        <v>0</v>
      </c>
      <c r="T241" s="200">
        <v>0</v>
      </c>
      <c r="U241" s="200">
        <v>0</v>
      </c>
      <c r="V241" s="200">
        <v>0</v>
      </c>
      <c r="W241" s="200">
        <v>0</v>
      </c>
      <c r="X241" s="200">
        <v>0</v>
      </c>
      <c r="Y241" s="200">
        <v>0</v>
      </c>
      <c r="Z241" s="200">
        <v>0</v>
      </c>
      <c r="AA241" s="200">
        <v>0</v>
      </c>
      <c r="AB241" s="200">
        <v>0</v>
      </c>
      <c r="AC241" s="200">
        <v>0</v>
      </c>
      <c r="AD241" s="200">
        <v>0</v>
      </c>
      <c r="AE241" s="200">
        <v>0</v>
      </c>
      <c r="AF241" s="200">
        <v>0</v>
      </c>
    </row>
    <row r="242" spans="1:32" s="221" customFormat="1" ht="14.45" x14ac:dyDescent="0.35">
      <c r="A242" s="806"/>
      <c r="B242" s="806"/>
      <c r="C242" s="539"/>
      <c r="D242" s="539"/>
      <c r="E242" s="539"/>
      <c r="F242" s="539"/>
      <c r="G242" s="200" t="s">
        <v>73</v>
      </c>
      <c r="H242" s="539" t="s">
        <v>73</v>
      </c>
      <c r="I242" s="539" t="s">
        <v>73</v>
      </c>
      <c r="J242" s="539" t="s">
        <v>73</v>
      </c>
      <c r="K242" s="539" t="s">
        <v>73</v>
      </c>
      <c r="L242" s="539" t="s">
        <v>73</v>
      </c>
      <c r="M242" s="539" t="s">
        <v>73</v>
      </c>
      <c r="N242" s="539" t="s">
        <v>73</v>
      </c>
      <c r="O242" s="539" t="s">
        <v>73</v>
      </c>
      <c r="P242" s="539" t="s">
        <v>73</v>
      </c>
      <c r="Q242" s="539" t="s">
        <v>73</v>
      </c>
      <c r="R242" s="539" t="s">
        <v>73</v>
      </c>
      <c r="S242" s="539" t="s">
        <v>73</v>
      </c>
      <c r="T242" s="539" t="s">
        <v>73</v>
      </c>
      <c r="U242" s="539" t="s">
        <v>73</v>
      </c>
      <c r="V242" s="539" t="s">
        <v>73</v>
      </c>
      <c r="W242" s="539" t="s">
        <v>73</v>
      </c>
      <c r="X242" s="539" t="s">
        <v>73</v>
      </c>
      <c r="Y242" s="539" t="s">
        <v>73</v>
      </c>
      <c r="Z242" s="539" t="s">
        <v>73</v>
      </c>
      <c r="AA242" s="539" t="s">
        <v>73</v>
      </c>
      <c r="AB242" s="539" t="s">
        <v>73</v>
      </c>
      <c r="AC242" s="539" t="s">
        <v>73</v>
      </c>
      <c r="AD242" s="539" t="s">
        <v>73</v>
      </c>
      <c r="AE242" s="539" t="s">
        <v>73</v>
      </c>
      <c r="AF242" s="539" t="s">
        <v>73</v>
      </c>
    </row>
    <row r="243" spans="1:32" s="202" customFormat="1" ht="12.95" x14ac:dyDescent="0.3">
      <c r="A243" s="556" t="s">
        <v>36</v>
      </c>
      <c r="B243" s="556"/>
      <c r="C243" s="556"/>
      <c r="D243" s="556"/>
      <c r="E243" s="556"/>
      <c r="F243" s="556"/>
      <c r="G243" s="241" t="s">
        <v>73</v>
      </c>
      <c r="H243" s="556" t="s">
        <v>73</v>
      </c>
      <c r="I243" s="556" t="s">
        <v>73</v>
      </c>
      <c r="J243" s="556" t="s">
        <v>73</v>
      </c>
      <c r="K243" s="556" t="s">
        <v>73</v>
      </c>
      <c r="L243" s="556" t="s">
        <v>73</v>
      </c>
      <c r="M243" s="556" t="s">
        <v>73</v>
      </c>
      <c r="N243" s="556" t="s">
        <v>73</v>
      </c>
      <c r="O243" s="556" t="s">
        <v>73</v>
      </c>
      <c r="P243" s="556" t="s">
        <v>73</v>
      </c>
      <c r="Q243" s="556" t="s">
        <v>73</v>
      </c>
      <c r="R243" s="556" t="s">
        <v>73</v>
      </c>
      <c r="S243" s="556" t="s">
        <v>73</v>
      </c>
      <c r="T243" s="556" t="s">
        <v>73</v>
      </c>
      <c r="U243" s="556" t="s">
        <v>73</v>
      </c>
      <c r="V243" s="556" t="s">
        <v>73</v>
      </c>
      <c r="W243" s="556" t="s">
        <v>73</v>
      </c>
      <c r="X243" s="556" t="s">
        <v>73</v>
      </c>
      <c r="Y243" s="556" t="s">
        <v>73</v>
      </c>
      <c r="Z243" s="556" t="s">
        <v>73</v>
      </c>
      <c r="AA243" s="556" t="s">
        <v>73</v>
      </c>
      <c r="AB243" s="556" t="s">
        <v>73</v>
      </c>
      <c r="AC243" s="556" t="s">
        <v>73</v>
      </c>
      <c r="AD243" s="556" t="s">
        <v>73</v>
      </c>
      <c r="AE243" s="556" t="s">
        <v>73</v>
      </c>
      <c r="AF243" s="556" t="s">
        <v>73</v>
      </c>
    </row>
    <row r="244" spans="1:32" s="221" customFormat="1" ht="14.45" x14ac:dyDescent="0.35">
      <c r="A244" s="806"/>
      <c r="B244" s="806" t="s">
        <v>37</v>
      </c>
      <c r="C244" s="539"/>
      <c r="D244" s="539"/>
      <c r="E244" s="539"/>
      <c r="F244" s="201"/>
      <c r="G244" s="200">
        <v>0</v>
      </c>
      <c r="H244" s="200">
        <v>0</v>
      </c>
      <c r="I244" s="200">
        <v>0</v>
      </c>
      <c r="J244" s="200">
        <v>0</v>
      </c>
      <c r="K244" s="200">
        <v>0</v>
      </c>
      <c r="L244" s="200">
        <v>0</v>
      </c>
      <c r="M244" s="200">
        <v>0</v>
      </c>
      <c r="N244" s="200">
        <v>0</v>
      </c>
      <c r="O244" s="200">
        <v>0</v>
      </c>
      <c r="P244" s="200">
        <v>0</v>
      </c>
      <c r="Q244" s="200">
        <v>0</v>
      </c>
      <c r="R244" s="200">
        <v>0</v>
      </c>
      <c r="S244" s="200">
        <v>0</v>
      </c>
      <c r="T244" s="200">
        <v>0</v>
      </c>
      <c r="U244" s="200">
        <v>0</v>
      </c>
      <c r="V244" s="200">
        <v>0</v>
      </c>
      <c r="W244" s="200">
        <v>0</v>
      </c>
      <c r="X244" s="200">
        <v>0</v>
      </c>
      <c r="Y244" s="200">
        <v>0</v>
      </c>
      <c r="Z244" s="200">
        <v>0</v>
      </c>
      <c r="AA244" s="200">
        <v>0</v>
      </c>
      <c r="AB244" s="200">
        <v>0</v>
      </c>
      <c r="AC244" s="200">
        <v>0</v>
      </c>
      <c r="AD244" s="200">
        <v>0</v>
      </c>
      <c r="AE244" s="200">
        <v>0</v>
      </c>
      <c r="AF244" s="200">
        <v>0</v>
      </c>
    </row>
    <row r="245" spans="1:32" s="221" customFormat="1" ht="14.45" x14ac:dyDescent="0.35">
      <c r="A245" s="806"/>
      <c r="B245" s="806" t="s">
        <v>39</v>
      </c>
      <c r="C245" s="539"/>
      <c r="D245" s="539"/>
      <c r="E245" s="203"/>
      <c r="F245" s="539"/>
      <c r="G245" s="200">
        <v>0</v>
      </c>
      <c r="H245" s="200">
        <v>0</v>
      </c>
      <c r="I245" s="200">
        <v>0</v>
      </c>
      <c r="J245" s="200">
        <v>0</v>
      </c>
      <c r="K245" s="200">
        <v>0</v>
      </c>
      <c r="L245" s="200">
        <v>0</v>
      </c>
      <c r="M245" s="200">
        <v>0</v>
      </c>
      <c r="N245" s="200">
        <v>0</v>
      </c>
      <c r="O245" s="200">
        <v>0</v>
      </c>
      <c r="P245" s="200">
        <v>0</v>
      </c>
      <c r="Q245" s="200">
        <v>0</v>
      </c>
      <c r="R245" s="200">
        <v>0</v>
      </c>
      <c r="S245" s="200">
        <v>0</v>
      </c>
      <c r="T245" s="200">
        <v>0</v>
      </c>
      <c r="U245" s="200">
        <v>0</v>
      </c>
      <c r="V245" s="200">
        <v>0</v>
      </c>
      <c r="W245" s="200">
        <v>0</v>
      </c>
      <c r="X245" s="200">
        <v>0</v>
      </c>
      <c r="Y245" s="200">
        <v>0</v>
      </c>
      <c r="Z245" s="200">
        <v>0</v>
      </c>
      <c r="AA245" s="200">
        <v>0</v>
      </c>
      <c r="AB245" s="200">
        <v>0</v>
      </c>
      <c r="AC245" s="200">
        <v>0</v>
      </c>
      <c r="AD245" s="200">
        <v>0</v>
      </c>
      <c r="AE245" s="200">
        <v>0</v>
      </c>
      <c r="AF245" s="200">
        <v>0</v>
      </c>
    </row>
    <row r="246" spans="1:32" s="221" customFormat="1" ht="14.45" x14ac:dyDescent="0.35">
      <c r="A246" s="806"/>
      <c r="B246" s="806" t="s">
        <v>40</v>
      </c>
      <c r="C246" s="539"/>
      <c r="D246" s="539"/>
      <c r="E246" s="539"/>
      <c r="F246" s="539"/>
      <c r="G246" s="200">
        <v>0</v>
      </c>
      <c r="H246" s="200">
        <v>0</v>
      </c>
      <c r="I246" s="200">
        <v>0</v>
      </c>
      <c r="J246" s="200">
        <v>0</v>
      </c>
      <c r="K246" s="200">
        <v>0</v>
      </c>
      <c r="L246" s="200">
        <v>0</v>
      </c>
      <c r="M246" s="200">
        <v>0</v>
      </c>
      <c r="N246" s="200">
        <v>0</v>
      </c>
      <c r="O246" s="200">
        <v>0</v>
      </c>
      <c r="P246" s="200">
        <v>0</v>
      </c>
      <c r="Q246" s="200">
        <v>0</v>
      </c>
      <c r="R246" s="200">
        <v>0</v>
      </c>
      <c r="S246" s="200">
        <v>0</v>
      </c>
      <c r="T246" s="200">
        <v>0</v>
      </c>
      <c r="U246" s="200">
        <v>0</v>
      </c>
      <c r="V246" s="200">
        <v>0</v>
      </c>
      <c r="W246" s="200">
        <v>0</v>
      </c>
      <c r="X246" s="200">
        <v>0</v>
      </c>
      <c r="Y246" s="200">
        <v>0</v>
      </c>
      <c r="Z246" s="200">
        <v>0</v>
      </c>
      <c r="AA246" s="200">
        <v>0</v>
      </c>
      <c r="AB246" s="200">
        <v>0</v>
      </c>
      <c r="AC246" s="200">
        <v>0</v>
      </c>
      <c r="AD246" s="200">
        <v>0</v>
      </c>
      <c r="AE246" s="200">
        <v>0</v>
      </c>
      <c r="AF246" s="200">
        <v>0</v>
      </c>
    </row>
    <row r="247" spans="1:32" s="221" customFormat="1" ht="14.45" x14ac:dyDescent="0.35">
      <c r="A247" s="806"/>
      <c r="B247" s="806" t="s">
        <v>29</v>
      </c>
      <c r="C247" s="539"/>
      <c r="D247" s="539"/>
      <c r="E247" s="539"/>
      <c r="F247" s="539"/>
      <c r="G247" s="200">
        <v>0</v>
      </c>
      <c r="H247" s="200">
        <v>0</v>
      </c>
      <c r="I247" s="200">
        <v>0</v>
      </c>
      <c r="J247" s="200">
        <v>0</v>
      </c>
      <c r="K247" s="200">
        <v>0</v>
      </c>
      <c r="L247" s="200">
        <v>0</v>
      </c>
      <c r="M247" s="200">
        <v>0</v>
      </c>
      <c r="N247" s="200">
        <v>0</v>
      </c>
      <c r="O247" s="200">
        <v>0</v>
      </c>
      <c r="P247" s="200">
        <v>0</v>
      </c>
      <c r="Q247" s="200">
        <v>0</v>
      </c>
      <c r="R247" s="200">
        <v>0</v>
      </c>
      <c r="S247" s="200">
        <v>0</v>
      </c>
      <c r="T247" s="200">
        <v>0</v>
      </c>
      <c r="U247" s="200">
        <v>0</v>
      </c>
      <c r="V247" s="200">
        <v>0</v>
      </c>
      <c r="W247" s="200">
        <v>0</v>
      </c>
      <c r="X247" s="200">
        <v>0</v>
      </c>
      <c r="Y247" s="200">
        <v>0</v>
      </c>
      <c r="Z247" s="200">
        <v>0</v>
      </c>
      <c r="AA247" s="200">
        <v>0</v>
      </c>
      <c r="AB247" s="200">
        <v>0</v>
      </c>
      <c r="AC247" s="200">
        <v>0</v>
      </c>
      <c r="AD247" s="200">
        <v>0</v>
      </c>
      <c r="AE247" s="200">
        <v>0</v>
      </c>
      <c r="AF247" s="200">
        <v>0</v>
      </c>
    </row>
    <row r="248" spans="1:32" s="221" customFormat="1" ht="14.45" x14ac:dyDescent="0.35">
      <c r="A248" s="806"/>
      <c r="B248" s="806"/>
      <c r="C248" s="539"/>
      <c r="D248" s="539"/>
      <c r="E248" s="539"/>
      <c r="F248" s="539"/>
      <c r="G248" s="200" t="s">
        <v>73</v>
      </c>
      <c r="H248" s="539" t="s">
        <v>73</v>
      </c>
      <c r="I248" s="539" t="s">
        <v>73</v>
      </c>
      <c r="J248" s="539" t="s">
        <v>73</v>
      </c>
      <c r="K248" s="539" t="s">
        <v>73</v>
      </c>
      <c r="L248" s="539" t="s">
        <v>73</v>
      </c>
      <c r="M248" s="539" t="s">
        <v>73</v>
      </c>
      <c r="N248" s="539" t="s">
        <v>73</v>
      </c>
      <c r="O248" s="539" t="s">
        <v>73</v>
      </c>
      <c r="P248" s="539" t="s">
        <v>73</v>
      </c>
      <c r="Q248" s="539" t="s">
        <v>73</v>
      </c>
      <c r="R248" s="539" t="s">
        <v>73</v>
      </c>
      <c r="S248" s="539" t="s">
        <v>73</v>
      </c>
      <c r="T248" s="539" t="s">
        <v>73</v>
      </c>
      <c r="U248" s="539" t="s">
        <v>73</v>
      </c>
      <c r="V248" s="539" t="s">
        <v>73</v>
      </c>
      <c r="W248" s="539" t="s">
        <v>73</v>
      </c>
      <c r="X248" s="539" t="s">
        <v>73</v>
      </c>
      <c r="Y248" s="539" t="s">
        <v>73</v>
      </c>
      <c r="Z248" s="539" t="s">
        <v>73</v>
      </c>
      <c r="AA248" s="539" t="s">
        <v>73</v>
      </c>
      <c r="AB248" s="539" t="s">
        <v>73</v>
      </c>
      <c r="AC248" s="539" t="s">
        <v>73</v>
      </c>
      <c r="AD248" s="539" t="s">
        <v>73</v>
      </c>
      <c r="AE248" s="539" t="s">
        <v>73</v>
      </c>
      <c r="AF248" s="539" t="s">
        <v>73</v>
      </c>
    </row>
    <row r="249" spans="1:32" s="202" customFormat="1" ht="12.95" x14ac:dyDescent="0.3">
      <c r="A249" s="556" t="s">
        <v>42</v>
      </c>
      <c r="B249" s="556"/>
      <c r="C249" s="556"/>
      <c r="D249" s="556"/>
      <c r="E249" s="556"/>
      <c r="F249" s="556"/>
      <c r="G249" s="241" t="s">
        <v>73</v>
      </c>
      <c r="H249" s="556" t="s">
        <v>73</v>
      </c>
      <c r="I249" s="556" t="s">
        <v>73</v>
      </c>
      <c r="J249" s="556" t="s">
        <v>73</v>
      </c>
      <c r="K249" s="556" t="s">
        <v>73</v>
      </c>
      <c r="L249" s="556" t="s">
        <v>73</v>
      </c>
      <c r="M249" s="556" t="s">
        <v>73</v>
      </c>
      <c r="N249" s="556" t="s">
        <v>73</v>
      </c>
      <c r="O249" s="556" t="s">
        <v>73</v>
      </c>
      <c r="P249" s="556" t="s">
        <v>73</v>
      </c>
      <c r="Q249" s="556" t="s">
        <v>73</v>
      </c>
      <c r="R249" s="556" t="s">
        <v>73</v>
      </c>
      <c r="S249" s="556" t="s">
        <v>73</v>
      </c>
      <c r="T249" s="556" t="s">
        <v>73</v>
      </c>
      <c r="U249" s="556" t="s">
        <v>73</v>
      </c>
      <c r="V249" s="556" t="s">
        <v>73</v>
      </c>
      <c r="W249" s="556" t="s">
        <v>73</v>
      </c>
      <c r="X249" s="556" t="s">
        <v>73</v>
      </c>
      <c r="Y249" s="556" t="s">
        <v>73</v>
      </c>
      <c r="Z249" s="556" t="s">
        <v>73</v>
      </c>
      <c r="AA249" s="556" t="s">
        <v>73</v>
      </c>
      <c r="AB249" s="556" t="s">
        <v>73</v>
      </c>
      <c r="AC249" s="556" t="s">
        <v>73</v>
      </c>
      <c r="AD249" s="556" t="s">
        <v>73</v>
      </c>
      <c r="AE249" s="556" t="s">
        <v>73</v>
      </c>
      <c r="AF249" s="556" t="s">
        <v>73</v>
      </c>
    </row>
    <row r="250" spans="1:32" s="221" customFormat="1" ht="14.45" x14ac:dyDescent="0.35">
      <c r="A250" s="806"/>
      <c r="B250" s="808" t="s">
        <v>43</v>
      </c>
      <c r="C250" s="539"/>
      <c r="D250" s="539"/>
      <c r="E250" s="539"/>
      <c r="F250" s="539"/>
      <c r="G250" s="200">
        <v>0.1488389255569075</v>
      </c>
      <c r="H250" s="200">
        <v>0.13446039928026929</v>
      </c>
      <c r="I250" s="200">
        <v>0.12166010595339805</v>
      </c>
      <c r="J250" s="200">
        <v>0.11020831985538629</v>
      </c>
      <c r="K250" s="200">
        <v>9.9918055346903706E-2</v>
      </c>
      <c r="L250" s="200">
        <v>9.0659373092860471E-2</v>
      </c>
      <c r="M250" s="200">
        <v>8.229136907261525E-2</v>
      </c>
      <c r="N250" s="200">
        <v>7.4725383970472514E-2</v>
      </c>
      <c r="O250" s="200">
        <v>6.7892061654224609E-2</v>
      </c>
      <c r="P250" s="200">
        <v>6.1708788876871888E-2</v>
      </c>
      <c r="Q250" s="200">
        <v>5.6110245816177483E-2</v>
      </c>
      <c r="R250" s="200">
        <v>5.1035965923389846E-2</v>
      </c>
      <c r="S250" s="200">
        <v>4.6437785256578712E-2</v>
      </c>
      <c r="T250" s="200">
        <v>4.2273965011166023E-2</v>
      </c>
      <c r="U250" s="200">
        <v>3.8507952698700415E-2</v>
      </c>
      <c r="V250" s="200">
        <v>3.5103769494429123E-2</v>
      </c>
      <c r="W250" s="200">
        <v>3.2027051569988176E-2</v>
      </c>
      <c r="X250" s="200">
        <v>2.9251100979561184E-2</v>
      </c>
      <c r="Y250" s="200">
        <v>2.6756232935433586E-2</v>
      </c>
      <c r="Z250" s="200">
        <v>2.451291121678164E-2</v>
      </c>
      <c r="AA250" s="200">
        <v>2.248721627648512E-2</v>
      </c>
      <c r="AB250" s="200">
        <v>2.0664442752203166E-2</v>
      </c>
      <c r="AC250" s="200">
        <v>1.9023630013608562E-2</v>
      </c>
      <c r="AD250" s="200">
        <v>1.7545438265651775E-2</v>
      </c>
      <c r="AE250" s="200">
        <v>1.6207536016522778E-2</v>
      </c>
      <c r="AF250" s="200">
        <v>1.4998230459371452E-2</v>
      </c>
    </row>
    <row r="251" spans="1:32" s="221" customFormat="1" ht="14.45" x14ac:dyDescent="0.35">
      <c r="A251" s="806"/>
      <c r="B251" s="808" t="s">
        <v>44</v>
      </c>
      <c r="C251" s="539"/>
      <c r="D251" s="539"/>
      <c r="E251" s="539"/>
      <c r="F251" s="539"/>
      <c r="G251" s="200">
        <v>1.1852934338074761</v>
      </c>
      <c r="H251" s="200">
        <v>1.5510121430988011</v>
      </c>
      <c r="I251" s="200">
        <v>1.8731805190468398</v>
      </c>
      <c r="J251" s="200">
        <v>2.1361351823361181</v>
      </c>
      <c r="K251" s="200">
        <v>2.340866414141348</v>
      </c>
      <c r="L251" s="200">
        <v>2.4930426654956199</v>
      </c>
      <c r="M251" s="200">
        <v>2.586914894648904</v>
      </c>
      <c r="N251" s="200">
        <v>2.6373813932131793</v>
      </c>
      <c r="O251" s="200">
        <v>2.6556895242677752</v>
      </c>
      <c r="P251" s="200">
        <v>2.6441925021887842</v>
      </c>
      <c r="Q251" s="200">
        <v>2.6091699806108077</v>
      </c>
      <c r="R251" s="200">
        <v>2.555318235840955</v>
      </c>
      <c r="S251" s="200">
        <v>2.4877267709960944</v>
      </c>
      <c r="T251" s="200">
        <v>2.4113793286146725</v>
      </c>
      <c r="U251" s="200">
        <v>2.3310365088810214</v>
      </c>
      <c r="V251" s="200">
        <v>2.2493174322219938</v>
      </c>
      <c r="W251" s="200">
        <v>2.1681380064798481</v>
      </c>
      <c r="X251" s="200">
        <v>2.0979897824647931</v>
      </c>
      <c r="Y251" s="200">
        <v>2.0248562493856004</v>
      </c>
      <c r="Z251" s="200">
        <v>1.9567615488523455</v>
      </c>
      <c r="AA251" s="200">
        <v>1.8932520654926026</v>
      </c>
      <c r="AB251" s="200">
        <v>1.8349241894468336</v>
      </c>
      <c r="AC251" s="200">
        <v>1.7817769833343333</v>
      </c>
      <c r="AD251" s="200">
        <v>1.7335368715145283</v>
      </c>
      <c r="AE251" s="200">
        <v>1.6895160301744132</v>
      </c>
      <c r="AF251" s="200">
        <v>1.6495167207150789</v>
      </c>
    </row>
    <row r="252" spans="1:32" s="221" customFormat="1" ht="14.45" x14ac:dyDescent="0.35">
      <c r="A252" s="806"/>
      <c r="B252" s="808" t="s">
        <v>45</v>
      </c>
      <c r="C252" s="539"/>
      <c r="D252" s="539"/>
      <c r="E252" s="539"/>
      <c r="F252" s="539"/>
      <c r="G252" s="200">
        <v>2.273146990126341</v>
      </c>
      <c r="H252" s="200">
        <v>2.0283189634066008</v>
      </c>
      <c r="I252" s="200">
        <v>1.8133879003847688</v>
      </c>
      <c r="J252" s="200">
        <v>1.6222725303660648</v>
      </c>
      <c r="K252" s="200">
        <v>1.4521901013703327</v>
      </c>
      <c r="L252" s="200">
        <v>1.300709789391524</v>
      </c>
      <c r="M252" s="200">
        <v>1.1656807468850423</v>
      </c>
      <c r="N252" s="200">
        <v>1.0452364071082183</v>
      </c>
      <c r="O252" s="200">
        <v>0.93628346885673175</v>
      </c>
      <c r="P252" s="200">
        <v>0.83909434468248323</v>
      </c>
      <c r="Q252" s="200">
        <v>0.75235528151398046</v>
      </c>
      <c r="R252" s="200">
        <v>0.67490067106102614</v>
      </c>
      <c r="S252" s="200">
        <v>0.60570580657136841</v>
      </c>
      <c r="T252" s="200">
        <v>0.54386867166549402</v>
      </c>
      <c r="U252" s="200">
        <v>0.48859331840140108</v>
      </c>
      <c r="V252" s="200">
        <v>0.43916632232713271</v>
      </c>
      <c r="W252" s="200">
        <v>0.39495327966603089</v>
      </c>
      <c r="X252" s="200">
        <v>0.35594396684651564</v>
      </c>
      <c r="Y252" s="200">
        <v>0.32061490649512386</v>
      </c>
      <c r="Z252" s="200">
        <v>0.28908179145004587</v>
      </c>
      <c r="AA252" s="200">
        <v>0.26081893636462111</v>
      </c>
      <c r="AB252" s="200">
        <v>0.23556330529348751</v>
      </c>
      <c r="AC252" s="200">
        <v>0.21297813043329675</v>
      </c>
      <c r="AD252" s="200">
        <v>0.1927656611387005</v>
      </c>
      <c r="AE252" s="200">
        <v>0.17460619818160189</v>
      </c>
      <c r="AF252" s="200">
        <v>0.15833557703109696</v>
      </c>
    </row>
    <row r="253" spans="1:32" s="221" customFormat="1" ht="14.45" x14ac:dyDescent="0.35">
      <c r="A253" s="806"/>
      <c r="B253" s="808" t="s">
        <v>46</v>
      </c>
      <c r="C253" s="539"/>
      <c r="D253" s="539"/>
      <c r="E253" s="539"/>
      <c r="F253" s="539"/>
      <c r="G253" s="200">
        <v>2.5401684173521167E-2</v>
      </c>
      <c r="H253" s="200">
        <v>2.2519399399021811E-2</v>
      </c>
      <c r="I253" s="200">
        <v>2.0053738983737888E-2</v>
      </c>
      <c r="J253" s="200">
        <v>1.7869655329648317E-2</v>
      </c>
      <c r="K253" s="200">
        <v>1.5933616627618562E-2</v>
      </c>
      <c r="L253" s="200">
        <v>1.4216249121817763E-2</v>
      </c>
      <c r="M253" s="200">
        <v>1.269180144345507E-2</v>
      </c>
      <c r="N253" s="200">
        <v>1.133778369349845E-2</v>
      </c>
      <c r="O253" s="200">
        <v>1.0087180616357891E-2</v>
      </c>
      <c r="P253" s="200">
        <v>8.9790904499585933E-3</v>
      </c>
      <c r="Q253" s="200">
        <v>7.9967050704606215E-3</v>
      </c>
      <c r="R253" s="200">
        <v>7.1252652482127277E-3</v>
      </c>
      <c r="S253" s="200">
        <v>6.3518023970664094E-3</v>
      </c>
      <c r="T253" s="200">
        <v>5.6649139436538744E-3</v>
      </c>
      <c r="U253" s="200">
        <v>5.0546688726035667E-3</v>
      </c>
      <c r="V253" s="200">
        <v>4.5122398068849229E-3</v>
      </c>
      <c r="W253" s="200">
        <v>4.0298490696923728E-3</v>
      </c>
      <c r="X253" s="200">
        <v>3.6006397932707877E-3</v>
      </c>
      <c r="Y253" s="200">
        <v>3.2197860466488225E-3</v>
      </c>
      <c r="Z253" s="200">
        <v>2.881540783233496E-3</v>
      </c>
      <c r="AA253" s="200">
        <v>2.5799092379511007E-3</v>
      </c>
      <c r="AB253" s="200">
        <v>2.3116431377236063E-3</v>
      </c>
      <c r="AC253" s="200">
        <v>2.0728374130681159E-3</v>
      </c>
      <c r="AD253" s="200">
        <v>1.8678355133989034E-3</v>
      </c>
      <c r="AE253" s="200">
        <v>1.6766988443540059E-3</v>
      </c>
      <c r="AF253" s="200">
        <v>1.5061917882604938E-3</v>
      </c>
    </row>
    <row r="254" spans="1:32" s="221" customFormat="1" ht="14.45" x14ac:dyDescent="0.35">
      <c r="A254" s="806"/>
      <c r="B254" s="806" t="s">
        <v>29</v>
      </c>
      <c r="C254" s="539"/>
      <c r="D254" s="539"/>
      <c r="E254" s="539"/>
      <c r="F254" s="539"/>
      <c r="G254" s="200">
        <v>0</v>
      </c>
      <c r="H254" s="200">
        <v>7.9017996363500553E-3</v>
      </c>
      <c r="I254" s="200">
        <v>2.3108828944739947E-2</v>
      </c>
      <c r="J254" s="200">
        <v>4.4376706557442525E-2</v>
      </c>
      <c r="K254" s="200">
        <v>7.0316447629713993E-2</v>
      </c>
      <c r="L254" s="200">
        <v>9.9856526008392454E-2</v>
      </c>
      <c r="M254" s="200">
        <v>0.13201545596421635</v>
      </c>
      <c r="N254" s="200">
        <v>0.16694130816825808</v>
      </c>
      <c r="O254" s="200">
        <v>0.20409494209638906</v>
      </c>
      <c r="P254" s="200">
        <v>0.24209775354851334</v>
      </c>
      <c r="Q254" s="200">
        <v>0.28112952550520703</v>
      </c>
      <c r="R254" s="200">
        <v>0.32079148961706033</v>
      </c>
      <c r="S254" s="200">
        <v>0.36083342764814907</v>
      </c>
      <c r="T254" s="200">
        <v>0.39913959242141517</v>
      </c>
      <c r="U254" s="200">
        <v>0.43550742695664602</v>
      </c>
      <c r="V254" s="200">
        <v>0.4701076142294276</v>
      </c>
      <c r="W254" s="200">
        <v>0.50268935543394067</v>
      </c>
      <c r="X254" s="200">
        <v>0.53399310460464366</v>
      </c>
      <c r="Y254" s="200">
        <v>0.56419053251604945</v>
      </c>
      <c r="Z254" s="200">
        <v>0.5930953978210125</v>
      </c>
      <c r="AA254" s="200">
        <v>0.62064939005852782</v>
      </c>
      <c r="AB254" s="200">
        <v>0.64707080506929282</v>
      </c>
      <c r="AC254" s="200">
        <v>0.67265784408704987</v>
      </c>
      <c r="AD254" s="200">
        <v>0.69695315729857155</v>
      </c>
      <c r="AE254" s="200">
        <v>0.72012423984776441</v>
      </c>
      <c r="AF254" s="200">
        <v>0.74218359759030239</v>
      </c>
    </row>
    <row r="255" spans="1:32" s="221" customFormat="1" ht="14.45" x14ac:dyDescent="0.35">
      <c r="A255" s="806"/>
      <c r="B255" s="806"/>
      <c r="C255" s="539"/>
      <c r="D255" s="539"/>
      <c r="E255" s="539"/>
      <c r="F255" s="539"/>
      <c r="G255" s="200" t="s">
        <v>73</v>
      </c>
      <c r="H255" s="539" t="s">
        <v>73</v>
      </c>
      <c r="I255" s="539" t="s">
        <v>73</v>
      </c>
      <c r="J255" s="539" t="s">
        <v>73</v>
      </c>
      <c r="K255" s="539" t="s">
        <v>73</v>
      </c>
      <c r="L255" s="539" t="s">
        <v>73</v>
      </c>
      <c r="M255" s="539" t="s">
        <v>73</v>
      </c>
      <c r="N255" s="539" t="s">
        <v>73</v>
      </c>
      <c r="O255" s="539" t="s">
        <v>73</v>
      </c>
      <c r="P255" s="539" t="s">
        <v>73</v>
      </c>
      <c r="Q255" s="539" t="s">
        <v>73</v>
      </c>
      <c r="R255" s="539" t="s">
        <v>73</v>
      </c>
      <c r="S255" s="539" t="s">
        <v>73</v>
      </c>
      <c r="T255" s="539" t="s">
        <v>73</v>
      </c>
      <c r="U255" s="539" t="s">
        <v>73</v>
      </c>
      <c r="V255" s="539" t="s">
        <v>73</v>
      </c>
      <c r="W255" s="539" t="s">
        <v>73</v>
      </c>
      <c r="X255" s="539" t="s">
        <v>73</v>
      </c>
      <c r="Y255" s="539" t="s">
        <v>73</v>
      </c>
      <c r="Z255" s="539" t="s">
        <v>73</v>
      </c>
      <c r="AA255" s="539" t="s">
        <v>73</v>
      </c>
      <c r="AB255" s="539" t="s">
        <v>73</v>
      </c>
      <c r="AC255" s="539" t="s">
        <v>73</v>
      </c>
      <c r="AD255" s="539" t="s">
        <v>73</v>
      </c>
      <c r="AE255" s="539" t="s">
        <v>73</v>
      </c>
      <c r="AF255" s="539" t="s">
        <v>73</v>
      </c>
    </row>
    <row r="256" spans="1:32" s="202" customFormat="1" ht="12.95" x14ac:dyDescent="0.3">
      <c r="A256" s="556" t="s">
        <v>47</v>
      </c>
      <c r="B256" s="556"/>
      <c r="C256" s="556"/>
      <c r="D256" s="556"/>
      <c r="E256" s="556"/>
      <c r="F256" s="556"/>
      <c r="G256" s="241" t="s">
        <v>73</v>
      </c>
      <c r="H256" s="556" t="s">
        <v>73</v>
      </c>
      <c r="I256" s="556" t="s">
        <v>73</v>
      </c>
      <c r="J256" s="556" t="s">
        <v>73</v>
      </c>
      <c r="K256" s="556" t="s">
        <v>73</v>
      </c>
      <c r="L256" s="556" t="s">
        <v>73</v>
      </c>
      <c r="M256" s="556" t="s">
        <v>73</v>
      </c>
      <c r="N256" s="556" t="s">
        <v>73</v>
      </c>
      <c r="O256" s="556" t="s">
        <v>73</v>
      </c>
      <c r="P256" s="556" t="s">
        <v>73</v>
      </c>
      <c r="Q256" s="556" t="s">
        <v>73</v>
      </c>
      <c r="R256" s="556" t="s">
        <v>73</v>
      </c>
      <c r="S256" s="556" t="s">
        <v>73</v>
      </c>
      <c r="T256" s="556" t="s">
        <v>73</v>
      </c>
      <c r="U256" s="556" t="s">
        <v>73</v>
      </c>
      <c r="V256" s="556" t="s">
        <v>73</v>
      </c>
      <c r="W256" s="556" t="s">
        <v>73</v>
      </c>
      <c r="X256" s="556" t="s">
        <v>73</v>
      </c>
      <c r="Y256" s="556" t="s">
        <v>73</v>
      </c>
      <c r="Z256" s="556" t="s">
        <v>73</v>
      </c>
      <c r="AA256" s="556" t="s">
        <v>73</v>
      </c>
      <c r="AB256" s="556" t="s">
        <v>73</v>
      </c>
      <c r="AC256" s="556" t="s">
        <v>73</v>
      </c>
      <c r="AD256" s="556" t="s">
        <v>73</v>
      </c>
      <c r="AE256" s="556" t="s">
        <v>73</v>
      </c>
      <c r="AF256" s="556" t="s">
        <v>73</v>
      </c>
    </row>
    <row r="257" spans="1:32" s="221" customFormat="1" ht="14.45" x14ac:dyDescent="0.35">
      <c r="A257" s="806"/>
      <c r="B257" s="806" t="s">
        <v>48</v>
      </c>
      <c r="C257" s="539"/>
      <c r="D257" s="539"/>
      <c r="E257" s="539"/>
      <c r="F257" s="539"/>
      <c r="G257" s="200">
        <v>0.17506121711372921</v>
      </c>
      <c r="H257" s="200">
        <v>9.8111705241033884E-3</v>
      </c>
      <c r="I257" s="200">
        <v>3.4767661358985356E-4</v>
      </c>
      <c r="J257" s="200">
        <v>8.2406132692029399E-6</v>
      </c>
      <c r="K257" s="200">
        <v>1.3794450117329156E-7</v>
      </c>
      <c r="L257" s="200">
        <v>1.6695027878907365E-9</v>
      </c>
      <c r="M257" s="200">
        <v>1.5556101516473296E-11</v>
      </c>
      <c r="N257" s="200">
        <v>1.16213794767449E-13</v>
      </c>
      <c r="O257" s="200">
        <v>7.2288772400408639E-16</v>
      </c>
      <c r="P257" s="200">
        <v>3.858587851603877E-18</v>
      </c>
      <c r="Q257" s="200">
        <v>1.8189161241328874E-20</v>
      </c>
      <c r="R257" s="200">
        <v>7.7423487631045131E-23</v>
      </c>
      <c r="S257" s="200">
        <v>3.0382007808648207E-25</v>
      </c>
      <c r="T257" s="200">
        <v>1.1186173709686763E-27</v>
      </c>
      <c r="U257" s="200">
        <v>3.9236523399648748E-30</v>
      </c>
      <c r="V257" s="200">
        <v>1.3281250880187785E-32</v>
      </c>
      <c r="W257" s="200">
        <v>4.3828946658878992E-35</v>
      </c>
      <c r="X257" s="200">
        <v>1.4241003797880133E-37</v>
      </c>
      <c r="Y257" s="200">
        <v>4.5879711487113492E-40</v>
      </c>
      <c r="Z257" s="200">
        <v>1.4727088591956147E-42</v>
      </c>
      <c r="AA257" s="200">
        <v>4.727444184188243E-45</v>
      </c>
      <c r="AB257" s="200">
        <v>1.5223528916279601E-47</v>
      </c>
      <c r="AC257" s="200">
        <v>4.9296517204572771E-50</v>
      </c>
      <c r="AD257" s="200">
        <v>1.607776459144571E-52</v>
      </c>
      <c r="AE257" s="200">
        <v>5.2873439128888108E-55</v>
      </c>
      <c r="AF257" s="200">
        <v>1.7545527437682349E-57</v>
      </c>
    </row>
    <row r="258" spans="1:32" s="221" customFormat="1" ht="14.45" x14ac:dyDescent="0.35">
      <c r="A258" s="806"/>
      <c r="B258" s="808" t="s">
        <v>50</v>
      </c>
      <c r="C258" s="539"/>
      <c r="D258" s="539"/>
      <c r="E258" s="539"/>
      <c r="F258" s="539"/>
      <c r="G258" s="200">
        <v>5.2376358900660634E-2</v>
      </c>
      <c r="H258" s="200">
        <v>2.0414568153781291E-2</v>
      </c>
      <c r="I258" s="200">
        <v>5.6910524357724011E-3</v>
      </c>
      <c r="J258" s="200">
        <v>1.1720397483562402E-3</v>
      </c>
      <c r="K258" s="200">
        <v>1.858097144090856E-4</v>
      </c>
      <c r="L258" s="200">
        <v>2.3751717091703261E-5</v>
      </c>
      <c r="M258" s="200">
        <v>2.5682702923080187E-6</v>
      </c>
      <c r="N258" s="200">
        <v>2.4649802828879735E-7</v>
      </c>
      <c r="O258" s="200">
        <v>2.190608536027994E-8</v>
      </c>
      <c r="P258" s="200">
        <v>1.8616716265649936E-9</v>
      </c>
      <c r="Q258" s="200">
        <v>1.5521733152698666E-10</v>
      </c>
      <c r="R258" s="200">
        <v>1.2922397337123666E-11</v>
      </c>
      <c r="S258" s="200">
        <v>1.0884114458149328E-12</v>
      </c>
      <c r="T258" s="200">
        <v>9.3583061579486267E-14</v>
      </c>
      <c r="U258" s="200">
        <v>8.2644823566495311E-15</v>
      </c>
      <c r="V258" s="200">
        <v>7.5261085801135054E-16</v>
      </c>
      <c r="W258" s="200">
        <v>7.0835703468698542E-17</v>
      </c>
      <c r="X258" s="200">
        <v>6.9012455753704865E-18</v>
      </c>
      <c r="Y258" s="200">
        <v>6.9630227527752041E-19</v>
      </c>
      <c r="Z258" s="200">
        <v>7.2738419289867993E-20</v>
      </c>
      <c r="AA258" s="200">
        <v>7.8627597959285977E-21</v>
      </c>
      <c r="AB258" s="200">
        <v>8.7886142589560545E-22</v>
      </c>
      <c r="AC258" s="200">
        <v>1.0149090404319451E-22</v>
      </c>
      <c r="AD258" s="200">
        <v>1.2096889758023397E-23</v>
      </c>
      <c r="AE258" s="200">
        <v>1.4867006307142936E-24</v>
      </c>
      <c r="AF258" s="200">
        <v>1.8820666293636923E-25</v>
      </c>
    </row>
    <row r="259" spans="1:32" s="221" customFormat="1" ht="14.45" x14ac:dyDescent="0.35">
      <c r="A259" s="806"/>
      <c r="B259" s="806" t="s">
        <v>51</v>
      </c>
      <c r="C259" s="539"/>
      <c r="D259" s="539"/>
      <c r="E259" s="539"/>
      <c r="F259" s="539"/>
      <c r="G259" s="200">
        <v>3.7854159849964583E-2</v>
      </c>
      <c r="H259" s="200">
        <v>3.7210173904814951E-2</v>
      </c>
      <c r="I259" s="200">
        <v>3.623964106037577E-2</v>
      </c>
      <c r="J259" s="200">
        <v>3.484168584175984E-2</v>
      </c>
      <c r="K259" s="200">
        <v>3.3009894440502022E-2</v>
      </c>
      <c r="L259" s="200">
        <v>3.0764195578935404E-2</v>
      </c>
      <c r="M259" s="200">
        <v>2.8209522327975627E-2</v>
      </c>
      <c r="N259" s="200">
        <v>2.5485889031405994E-2</v>
      </c>
      <c r="O259" s="200">
        <v>2.2732451454620026E-2</v>
      </c>
      <c r="P259" s="200">
        <v>2.0021499152142509E-2</v>
      </c>
      <c r="Q259" s="200">
        <v>1.7448331707506544E-2</v>
      </c>
      <c r="R259" s="200">
        <v>1.5056742967436212E-2</v>
      </c>
      <c r="S259" s="200">
        <v>1.28873306267549E-2</v>
      </c>
      <c r="T259" s="200">
        <v>1.0957302453785929E-2</v>
      </c>
      <c r="U259" s="200">
        <v>9.2673745969421868E-3</v>
      </c>
      <c r="V259" s="200">
        <v>7.8062961991560847E-3</v>
      </c>
      <c r="W259" s="200">
        <v>6.5539881730980942E-3</v>
      </c>
      <c r="X259" s="200">
        <v>5.4921691601873546E-3</v>
      </c>
      <c r="Y259" s="200">
        <v>4.5970049886622675E-3</v>
      </c>
      <c r="Z259" s="200">
        <v>3.8444196576003478E-3</v>
      </c>
      <c r="AA259" s="200">
        <v>3.2130297599541986E-3</v>
      </c>
      <c r="AB259" s="200">
        <v>2.684611583830395E-3</v>
      </c>
      <c r="AC259" s="200">
        <v>2.2431413587423086E-3</v>
      </c>
      <c r="AD259" s="200">
        <v>1.8746213350173963E-3</v>
      </c>
      <c r="AE259" s="200">
        <v>1.567137420310424E-3</v>
      </c>
      <c r="AF259" s="200">
        <v>1.3106098509527643E-3</v>
      </c>
    </row>
    <row r="260" spans="1:32" s="221" customFormat="1" ht="14.45" x14ac:dyDescent="0.35">
      <c r="A260" s="806"/>
      <c r="B260" s="806" t="s">
        <v>52</v>
      </c>
      <c r="C260" s="539"/>
      <c r="D260" s="539"/>
      <c r="E260" s="539"/>
      <c r="F260" s="539"/>
      <c r="G260" s="200">
        <v>0.26513092630240315</v>
      </c>
      <c r="H260" s="200">
        <v>0.26652051703346413</v>
      </c>
      <c r="I260" s="200">
        <v>0.26768815962880904</v>
      </c>
      <c r="J260" s="200">
        <v>0.26774972839029715</v>
      </c>
      <c r="K260" s="200">
        <v>0.26636483072553652</v>
      </c>
      <c r="L260" s="200">
        <v>0.26300786911787905</v>
      </c>
      <c r="M260" s="200">
        <v>0.25777760121171334</v>
      </c>
      <c r="N260" s="200">
        <v>0.25086958918620855</v>
      </c>
      <c r="O260" s="200">
        <v>0.24336109781932858</v>
      </c>
      <c r="P260" s="200">
        <v>0.23512391982413125</v>
      </c>
      <c r="Q260" s="200">
        <v>0.22647130492770792</v>
      </c>
      <c r="R260" s="200">
        <v>0.21742433719534168</v>
      </c>
      <c r="S260" s="200">
        <v>0.20821310659760664</v>
      </c>
      <c r="T260" s="200">
        <v>0.19899794058727224</v>
      </c>
      <c r="U260" s="200">
        <v>0.19000233879590298</v>
      </c>
      <c r="V260" s="200">
        <v>0.18121746305345887</v>
      </c>
      <c r="W260" s="200">
        <v>0.17274543175878709</v>
      </c>
      <c r="X260" s="200">
        <v>0.16469851588885467</v>
      </c>
      <c r="Y260" s="200">
        <v>0.15702313900164064</v>
      </c>
      <c r="Z260" s="200">
        <v>0.14975245434068182</v>
      </c>
      <c r="AA260" s="200">
        <v>0.14304084145514509</v>
      </c>
      <c r="AB260" s="200">
        <v>0.13644623160709829</v>
      </c>
      <c r="AC260" s="200">
        <v>0.13021451830267747</v>
      </c>
      <c r="AD260" s="200">
        <v>0.12432532588680913</v>
      </c>
      <c r="AE260" s="200">
        <v>0.11872070629878854</v>
      </c>
      <c r="AF260" s="200">
        <v>0.11342235321113318</v>
      </c>
    </row>
    <row r="261" spans="1:32" s="221" customFormat="1" ht="14.45" x14ac:dyDescent="0.35">
      <c r="A261" s="806"/>
      <c r="B261" s="808" t="s">
        <v>29</v>
      </c>
      <c r="C261" s="539"/>
      <c r="D261" s="539"/>
      <c r="E261" s="539"/>
      <c r="F261" s="539"/>
      <c r="G261" s="200">
        <v>5.647654330730735E-2</v>
      </c>
      <c r="H261" s="200">
        <v>7.9349794081230079E-2</v>
      </c>
      <c r="I261" s="200">
        <v>7.9576577685159827E-2</v>
      </c>
      <c r="J261" s="200">
        <v>7.7490610004704599E-2</v>
      </c>
      <c r="K261" s="200">
        <v>7.5927537517882504E-2</v>
      </c>
      <c r="L261" s="200">
        <v>7.5312229902134264E-2</v>
      </c>
      <c r="M261" s="200">
        <v>7.5638809069717636E-2</v>
      </c>
      <c r="N261" s="200">
        <v>7.6724229819767939E-2</v>
      </c>
      <c r="O261" s="200">
        <v>7.8457712356744341E-2</v>
      </c>
      <c r="P261" s="200">
        <v>8.0618767056328838E-2</v>
      </c>
      <c r="Q261" s="200">
        <v>8.3098226655633115E-2</v>
      </c>
      <c r="R261" s="200">
        <v>8.595852658304462E-2</v>
      </c>
      <c r="S261" s="200">
        <v>8.9055094290654835E-2</v>
      </c>
      <c r="T261" s="200">
        <v>9.22812299390567E-2</v>
      </c>
      <c r="U261" s="200">
        <v>9.3728070185670032E-2</v>
      </c>
      <c r="V261" s="200">
        <v>9.535308336526277E-2</v>
      </c>
      <c r="W261" s="200">
        <v>9.8708503088677194E-2</v>
      </c>
      <c r="X261" s="200">
        <v>0.10054508714277278</v>
      </c>
      <c r="Y261" s="200">
        <v>0.10262857754920587</v>
      </c>
      <c r="Z261" s="200">
        <v>0.10486823106677054</v>
      </c>
      <c r="AA261" s="200">
        <v>0.10721357233260403</v>
      </c>
      <c r="AB261" s="200">
        <v>0.10966117917525062</v>
      </c>
      <c r="AC261" s="200">
        <v>0.11219090046475592</v>
      </c>
      <c r="AD261" s="200">
        <v>0.11481905290072299</v>
      </c>
      <c r="AE261" s="200">
        <v>0.11755268358664749</v>
      </c>
      <c r="AF261" s="200">
        <v>0.12026713366553268</v>
      </c>
    </row>
    <row r="262" spans="1:32" s="221" customFormat="1" ht="14.45" x14ac:dyDescent="0.35">
      <c r="A262" s="806"/>
      <c r="B262" s="808" t="s">
        <v>53</v>
      </c>
      <c r="C262" s="539"/>
      <c r="D262" s="539"/>
      <c r="E262" s="539"/>
      <c r="F262" s="539"/>
      <c r="G262" s="200">
        <v>0</v>
      </c>
      <c r="H262" s="200">
        <v>0</v>
      </c>
      <c r="I262" s="200">
        <v>0</v>
      </c>
      <c r="J262" s="200">
        <v>0</v>
      </c>
      <c r="K262" s="200">
        <v>0</v>
      </c>
      <c r="L262" s="200">
        <v>0</v>
      </c>
      <c r="M262" s="200">
        <v>0</v>
      </c>
      <c r="N262" s="200">
        <v>0</v>
      </c>
      <c r="O262" s="200">
        <v>0</v>
      </c>
      <c r="P262" s="200">
        <v>0</v>
      </c>
      <c r="Q262" s="200">
        <v>0</v>
      </c>
      <c r="R262" s="200">
        <v>0</v>
      </c>
      <c r="S262" s="200">
        <v>0</v>
      </c>
      <c r="T262" s="200">
        <v>0</v>
      </c>
      <c r="U262" s="200">
        <v>0</v>
      </c>
      <c r="V262" s="200">
        <v>0</v>
      </c>
      <c r="W262" s="200">
        <v>0</v>
      </c>
      <c r="X262" s="200">
        <v>0</v>
      </c>
      <c r="Y262" s="200">
        <v>0</v>
      </c>
      <c r="Z262" s="200">
        <v>0</v>
      </c>
      <c r="AA262" s="200">
        <v>0</v>
      </c>
      <c r="AB262" s="200">
        <v>0</v>
      </c>
      <c r="AC262" s="200">
        <v>0</v>
      </c>
      <c r="AD262" s="200">
        <v>0</v>
      </c>
      <c r="AE262" s="200">
        <v>0</v>
      </c>
      <c r="AF262" s="200">
        <v>0</v>
      </c>
    </row>
    <row r="265" spans="1:32" ht="14.45" x14ac:dyDescent="0.35">
      <c r="A265" s="554" t="s">
        <v>54</v>
      </c>
      <c r="B265" s="555"/>
      <c r="C265" s="554"/>
      <c r="D265" s="553"/>
      <c r="E265" s="553"/>
      <c r="F265" s="553"/>
      <c r="G265" s="553"/>
      <c r="H265" s="560"/>
      <c r="I265" s="560"/>
      <c r="J265" s="560"/>
      <c r="K265" s="560"/>
      <c r="L265" s="560"/>
      <c r="M265" s="560"/>
      <c r="N265" s="560"/>
      <c r="O265" s="560"/>
      <c r="P265" s="560"/>
      <c r="Q265" s="560"/>
      <c r="R265" s="560"/>
      <c r="S265" s="560"/>
      <c r="T265" s="560"/>
      <c r="U265" s="560"/>
      <c r="V265" s="560"/>
      <c r="W265" s="560"/>
      <c r="X265" s="560"/>
      <c r="Y265" s="560"/>
      <c r="Z265" s="560"/>
      <c r="AA265" s="560"/>
      <c r="AB265" s="560"/>
      <c r="AC265" s="560"/>
      <c r="AD265" s="560"/>
      <c r="AE265" s="560"/>
      <c r="AF265" s="560"/>
    </row>
    <row r="266" spans="1:32" ht="14.45" x14ac:dyDescent="0.35">
      <c r="A266" s="812" t="s">
        <v>12</v>
      </c>
      <c r="B266" s="806"/>
    </row>
    <row r="267" spans="1:32" ht="14.45" x14ac:dyDescent="0.35">
      <c r="A267" s="806"/>
      <c r="B267" s="806" t="s">
        <v>20</v>
      </c>
    </row>
    <row r="268" spans="1:32" s="202" customFormat="1" ht="12.95" x14ac:dyDescent="0.3">
      <c r="A268" s="556" t="s">
        <v>21</v>
      </c>
      <c r="B268" s="556"/>
      <c r="C268" s="556"/>
      <c r="D268" s="556"/>
      <c r="E268" s="556"/>
      <c r="F268" s="556"/>
      <c r="G268" s="556"/>
      <c r="H268" s="556"/>
      <c r="I268" s="556"/>
      <c r="J268" s="556"/>
      <c r="K268" s="556"/>
      <c r="L268" s="556"/>
      <c r="M268" s="556"/>
      <c r="N268" s="556"/>
      <c r="O268" s="556"/>
      <c r="P268" s="556"/>
      <c r="Q268" s="556"/>
      <c r="R268" s="556"/>
      <c r="S268" s="556"/>
      <c r="T268" s="556"/>
      <c r="U268" s="556"/>
      <c r="V268" s="556"/>
      <c r="W268" s="556"/>
      <c r="X268" s="556"/>
      <c r="Y268" s="556"/>
      <c r="Z268" s="556"/>
      <c r="AA268" s="556"/>
      <c r="AB268" s="556"/>
      <c r="AC268" s="556"/>
      <c r="AD268" s="556"/>
      <c r="AE268" s="556"/>
      <c r="AF268" s="556"/>
    </row>
    <row r="269" spans="1:32" s="221" customFormat="1" ht="14.45" x14ac:dyDescent="0.35">
      <c r="A269" s="806"/>
      <c r="B269" s="806" t="s">
        <v>22</v>
      </c>
      <c r="C269" s="539"/>
      <c r="D269" s="539"/>
      <c r="E269" s="539"/>
      <c r="F269" s="539"/>
      <c r="G269" s="200">
        <v>3.6427408476007375</v>
      </c>
      <c r="H269" s="200">
        <v>3.3750391963540092</v>
      </c>
      <c r="I269" s="200">
        <v>3.045502582735109</v>
      </c>
      <c r="J269" s="200">
        <v>2.4319163917461371</v>
      </c>
      <c r="K269" s="200">
        <v>1.8410529579721109</v>
      </c>
      <c r="L269" s="200">
        <v>1.3177168997953852</v>
      </c>
      <c r="M269" s="200">
        <v>0.79581745491324218</v>
      </c>
      <c r="N269" s="200">
        <v>0.51582176310215333</v>
      </c>
      <c r="O269" s="200">
        <v>0.35956798003806001</v>
      </c>
      <c r="P269" s="200">
        <v>0.26748939185201964</v>
      </c>
      <c r="Q269" s="200">
        <v>0.20805456461005378</v>
      </c>
      <c r="R269" s="200">
        <v>0.1655772236750393</v>
      </c>
      <c r="S269" s="200">
        <v>0.13315866740238053</v>
      </c>
      <c r="T269" s="200">
        <v>0.10733298413737928</v>
      </c>
      <c r="U269" s="200">
        <v>8.6346216738149489E-2</v>
      </c>
      <c r="V269" s="200">
        <v>6.9486766781053921E-2</v>
      </c>
      <c r="W269" s="200">
        <v>5.5940073717207509E-2</v>
      </c>
      <c r="X269" s="200">
        <v>4.5102779239510574E-2</v>
      </c>
      <c r="Y269" s="200">
        <v>3.648660852098292E-2</v>
      </c>
      <c r="Z269" s="200">
        <v>2.9727479169251281E-2</v>
      </c>
      <c r="AA269" s="200">
        <v>2.4487035983091224E-2</v>
      </c>
      <c r="AB269" s="200">
        <v>2.0375357809335339E-2</v>
      </c>
      <c r="AC269" s="200">
        <v>1.713307512825573E-2</v>
      </c>
      <c r="AD269" s="200">
        <v>1.45440701274917E-2</v>
      </c>
      <c r="AE269" s="200">
        <v>1.2442091645669484E-2</v>
      </c>
      <c r="AF269" s="200">
        <v>1.063856317294456E-2</v>
      </c>
    </row>
    <row r="270" spans="1:32" s="221" customFormat="1" ht="14.45" x14ac:dyDescent="0.35">
      <c r="A270" s="806"/>
      <c r="B270" s="806" t="s">
        <v>26</v>
      </c>
      <c r="C270" s="539"/>
      <c r="D270" s="539"/>
      <c r="E270" s="539"/>
      <c r="F270" s="539"/>
      <c r="G270" s="200">
        <v>5.4122202645031502E-2</v>
      </c>
      <c r="H270" s="200">
        <v>5.2400418958181962E-2</v>
      </c>
      <c r="I270" s="200">
        <v>0.1294940610531459</v>
      </c>
      <c r="J270" s="200">
        <v>0.3759179089057294</v>
      </c>
      <c r="K270" s="200">
        <v>0.63139164920933255</v>
      </c>
      <c r="L270" s="200">
        <v>0.79871291817207679</v>
      </c>
      <c r="M270" s="200">
        <v>0.91108383227133172</v>
      </c>
      <c r="N270" s="200">
        <v>0.90668435993844299</v>
      </c>
      <c r="O270" s="200">
        <v>0.85282360590677564</v>
      </c>
      <c r="P270" s="200">
        <v>0.78037033020582436</v>
      </c>
      <c r="Q270" s="200">
        <v>0.7004600802974108</v>
      </c>
      <c r="R270" s="200">
        <v>0.61803578274696991</v>
      </c>
      <c r="S270" s="200">
        <v>0.5381238179427521</v>
      </c>
      <c r="T270" s="200">
        <v>0.46346241129874538</v>
      </c>
      <c r="U270" s="200">
        <v>0.3957556500361511</v>
      </c>
      <c r="V270" s="200">
        <v>0.33675958320392158</v>
      </c>
      <c r="W270" s="200">
        <v>0.28625263581264582</v>
      </c>
      <c r="X270" s="200">
        <v>0.24365032745584017</v>
      </c>
      <c r="Y270" s="200">
        <v>0.2081722268535543</v>
      </c>
      <c r="Z270" s="200">
        <v>0.17915482893390058</v>
      </c>
      <c r="AA270" s="200">
        <v>0.15622551503698467</v>
      </c>
      <c r="AB270" s="200">
        <v>0.1373130966365029</v>
      </c>
      <c r="AC270" s="200">
        <v>0.12192892000087349</v>
      </c>
      <c r="AD270" s="200">
        <v>0.10929468891375994</v>
      </c>
      <c r="AE270" s="200">
        <v>9.8758396176767169E-2</v>
      </c>
      <c r="AF270" s="200">
        <v>8.9464657879111717E-2</v>
      </c>
    </row>
    <row r="271" spans="1:32" s="221" customFormat="1" ht="14.45" x14ac:dyDescent="0.35">
      <c r="A271" s="806"/>
      <c r="B271" s="806" t="s">
        <v>27</v>
      </c>
      <c r="C271" s="539"/>
      <c r="D271" s="539"/>
      <c r="E271" s="539"/>
      <c r="F271" s="539"/>
      <c r="G271" s="200">
        <v>0.61583584632403054</v>
      </c>
      <c r="H271" s="200">
        <v>0.71365376165649008</v>
      </c>
      <c r="I271" s="200">
        <v>0.80426195096040154</v>
      </c>
      <c r="J271" s="200">
        <v>0.91317015020309644</v>
      </c>
      <c r="K271" s="200">
        <v>1.0089075583267482</v>
      </c>
      <c r="L271" s="200">
        <v>1.107036689999976</v>
      </c>
      <c r="M271" s="200">
        <v>1.2106521716945717</v>
      </c>
      <c r="N271" s="200">
        <v>1.2786518787806265</v>
      </c>
      <c r="O271" s="200">
        <v>1.3183060139357925</v>
      </c>
      <c r="P271" s="200">
        <v>1.3340359263275809</v>
      </c>
      <c r="Q271" s="200">
        <v>1.3301006334992067</v>
      </c>
      <c r="R271" s="200">
        <v>1.3098153234452534</v>
      </c>
      <c r="S271" s="200">
        <v>1.2761549387389197</v>
      </c>
      <c r="T271" s="200">
        <v>1.2320827699831278</v>
      </c>
      <c r="U271" s="200">
        <v>1.1805299933544158</v>
      </c>
      <c r="V271" s="200">
        <v>1.1242277140271872</v>
      </c>
      <c r="W271" s="200">
        <v>1.0655159750305254</v>
      </c>
      <c r="X271" s="200">
        <v>1.006368570641252</v>
      </c>
      <c r="Y271" s="200">
        <v>0.94819574006254548</v>
      </c>
      <c r="Z271" s="200">
        <v>0.89005991788266725</v>
      </c>
      <c r="AA271" s="200">
        <v>0.83493812169472548</v>
      </c>
      <c r="AB271" s="200">
        <v>0.78299060405758603</v>
      </c>
      <c r="AC271" s="200">
        <v>0.73447390831782067</v>
      </c>
      <c r="AD271" s="200">
        <v>0.68932547247991238</v>
      </c>
      <c r="AE271" s="200">
        <v>0.64984146508485707</v>
      </c>
      <c r="AF271" s="200">
        <v>0.61109354632393786</v>
      </c>
    </row>
    <row r="272" spans="1:32" s="221" customFormat="1" ht="14.45" x14ac:dyDescent="0.35">
      <c r="A272" s="806"/>
      <c r="B272" s="806" t="s">
        <v>29</v>
      </c>
      <c r="C272" s="539"/>
      <c r="D272" s="539"/>
      <c r="E272" s="539"/>
      <c r="F272" s="539"/>
      <c r="G272" s="200">
        <v>0</v>
      </c>
      <c r="H272" s="200">
        <v>1.797635243151491E-3</v>
      </c>
      <c r="I272" s="200">
        <v>5.1894778523385076E-3</v>
      </c>
      <c r="J272" s="200">
        <v>9.3087878781072005E-3</v>
      </c>
      <c r="K272" s="200">
        <v>1.4610349964009206E-2</v>
      </c>
      <c r="L272" s="200">
        <v>2.1592176508139552E-2</v>
      </c>
      <c r="M272" s="200">
        <v>3.1089948645393852E-2</v>
      </c>
      <c r="N272" s="200">
        <v>4.3251805444947784E-2</v>
      </c>
      <c r="O272" s="200">
        <v>5.8491673857148471E-2</v>
      </c>
      <c r="P272" s="200">
        <v>7.6910073908290966E-2</v>
      </c>
      <c r="Q272" s="200">
        <v>9.8373135032588155E-2</v>
      </c>
      <c r="R272" s="200">
        <v>0.12301620522613602</v>
      </c>
      <c r="S272" s="200">
        <v>0.15021308572687109</v>
      </c>
      <c r="T272" s="200">
        <v>0.17916742122943183</v>
      </c>
      <c r="U272" s="200">
        <v>0.2090851385448701</v>
      </c>
      <c r="V272" s="200">
        <v>0.23924429780743056</v>
      </c>
      <c r="W272" s="200">
        <v>0.26904586382884932</v>
      </c>
      <c r="X272" s="200">
        <v>0.29798837121242272</v>
      </c>
      <c r="Y272" s="200">
        <v>0.32575771714517854</v>
      </c>
      <c r="Z272" s="200">
        <v>0.35221482700719303</v>
      </c>
      <c r="AA272" s="200">
        <v>0.37733931572115126</v>
      </c>
      <c r="AB272" s="200">
        <v>0.40126338434380104</v>
      </c>
      <c r="AC272" s="200">
        <v>0.42387419972195223</v>
      </c>
      <c r="AD272" s="200">
        <v>0.44519793547328135</v>
      </c>
      <c r="AE272" s="200">
        <v>0.46530565481602826</v>
      </c>
      <c r="AF272" s="200">
        <v>0.48432000732500718</v>
      </c>
    </row>
    <row r="273" spans="1:32" s="221" customFormat="1" ht="14.45" x14ac:dyDescent="0.35">
      <c r="A273" s="806"/>
      <c r="B273" s="806"/>
      <c r="C273" s="539"/>
      <c r="D273" s="539"/>
      <c r="E273" s="539"/>
      <c r="F273" s="539"/>
      <c r="G273" s="200" t="s">
        <v>73</v>
      </c>
      <c r="H273" s="539" t="s">
        <v>73</v>
      </c>
      <c r="I273" s="539" t="s">
        <v>73</v>
      </c>
      <c r="J273" s="539" t="s">
        <v>73</v>
      </c>
      <c r="K273" s="539" t="s">
        <v>73</v>
      </c>
      <c r="L273" s="539" t="s">
        <v>73</v>
      </c>
      <c r="M273" s="539" t="s">
        <v>73</v>
      </c>
      <c r="N273" s="539" t="s">
        <v>73</v>
      </c>
      <c r="O273" s="539" t="s">
        <v>73</v>
      </c>
      <c r="P273" s="539" t="s">
        <v>73</v>
      </c>
      <c r="Q273" s="539" t="s">
        <v>73</v>
      </c>
      <c r="R273" s="539" t="s">
        <v>73</v>
      </c>
      <c r="S273" s="539" t="s">
        <v>73</v>
      </c>
      <c r="T273" s="539" t="s">
        <v>73</v>
      </c>
      <c r="U273" s="539" t="s">
        <v>73</v>
      </c>
      <c r="V273" s="539" t="s">
        <v>73</v>
      </c>
      <c r="W273" s="539" t="s">
        <v>73</v>
      </c>
      <c r="X273" s="539" t="s">
        <v>73</v>
      </c>
      <c r="Y273" s="539" t="s">
        <v>73</v>
      </c>
      <c r="Z273" s="539" t="s">
        <v>73</v>
      </c>
      <c r="AA273" s="539" t="s">
        <v>73</v>
      </c>
      <c r="AB273" s="539" t="s">
        <v>73</v>
      </c>
      <c r="AC273" s="539" t="s">
        <v>73</v>
      </c>
      <c r="AD273" s="539" t="s">
        <v>73</v>
      </c>
      <c r="AE273" s="539" t="s">
        <v>73</v>
      </c>
      <c r="AF273" s="539" t="s">
        <v>73</v>
      </c>
    </row>
    <row r="274" spans="1:32" s="202" customFormat="1" ht="12.95" x14ac:dyDescent="0.3">
      <c r="A274" s="556" t="s">
        <v>32</v>
      </c>
      <c r="B274" s="556"/>
      <c r="C274" s="556"/>
      <c r="D274" s="556"/>
      <c r="E274" s="556"/>
      <c r="F274" s="556"/>
      <c r="G274" s="241" t="s">
        <v>73</v>
      </c>
      <c r="H274" s="556" t="s">
        <v>73</v>
      </c>
      <c r="I274" s="556" t="s">
        <v>73</v>
      </c>
      <c r="J274" s="556" t="s">
        <v>73</v>
      </c>
      <c r="K274" s="556" t="s">
        <v>73</v>
      </c>
      <c r="L274" s="556" t="s">
        <v>73</v>
      </c>
      <c r="M274" s="556" t="s">
        <v>73</v>
      </c>
      <c r="N274" s="556" t="s">
        <v>73</v>
      </c>
      <c r="O274" s="556" t="s">
        <v>73</v>
      </c>
      <c r="P274" s="556" t="s">
        <v>73</v>
      </c>
      <c r="Q274" s="556" t="s">
        <v>73</v>
      </c>
      <c r="R274" s="556" t="s">
        <v>73</v>
      </c>
      <c r="S274" s="556" t="s">
        <v>73</v>
      </c>
      <c r="T274" s="556" t="s">
        <v>73</v>
      </c>
      <c r="U274" s="556" t="s">
        <v>73</v>
      </c>
      <c r="V274" s="556" t="s">
        <v>73</v>
      </c>
      <c r="W274" s="556" t="s">
        <v>73</v>
      </c>
      <c r="X274" s="556" t="s">
        <v>73</v>
      </c>
      <c r="Y274" s="556" t="s">
        <v>73</v>
      </c>
      <c r="Z274" s="556" t="s">
        <v>73</v>
      </c>
      <c r="AA274" s="556" t="s">
        <v>73</v>
      </c>
      <c r="AB274" s="556" t="s">
        <v>73</v>
      </c>
      <c r="AC274" s="556" t="s">
        <v>73</v>
      </c>
      <c r="AD274" s="556" t="s">
        <v>73</v>
      </c>
      <c r="AE274" s="556" t="s">
        <v>73</v>
      </c>
      <c r="AF274" s="556" t="s">
        <v>73</v>
      </c>
    </row>
    <row r="275" spans="1:32" s="221" customFormat="1" ht="14.45" x14ac:dyDescent="0.35">
      <c r="A275" s="806"/>
      <c r="B275" s="806" t="s">
        <v>33</v>
      </c>
      <c r="C275" s="539"/>
      <c r="D275" s="539"/>
      <c r="E275" s="539"/>
      <c r="F275" s="539"/>
      <c r="G275" s="200">
        <v>0.82421848468494552</v>
      </c>
      <c r="H275" s="200">
        <v>0.7245554385892371</v>
      </c>
      <c r="I275" s="200">
        <v>0.66574976512918538</v>
      </c>
      <c r="J275" s="200">
        <v>0.6327788011226444</v>
      </c>
      <c r="K275" s="200">
        <v>0.61228628798254514</v>
      </c>
      <c r="L275" s="200">
        <v>0.58640264870345182</v>
      </c>
      <c r="M275" s="200">
        <v>0.55142822975346006</v>
      </c>
      <c r="N275" s="200">
        <v>0.50932158690545659</v>
      </c>
      <c r="O275" s="200">
        <v>0.46207826520932749</v>
      </c>
      <c r="P275" s="200">
        <v>0.41235477436467588</v>
      </c>
      <c r="Q275" s="200">
        <v>0.36174431640342014</v>
      </c>
      <c r="R275" s="200">
        <v>0.31195189343121299</v>
      </c>
      <c r="S275" s="200">
        <v>0.26505290784142327</v>
      </c>
      <c r="T275" s="200">
        <v>0.22235422073335964</v>
      </c>
      <c r="U275" s="200">
        <v>0.18458653412617237</v>
      </c>
      <c r="V275" s="200">
        <v>0.15218431700065813</v>
      </c>
      <c r="W275" s="200">
        <v>0.12491983810984642</v>
      </c>
      <c r="X275" s="200">
        <v>0.10235119031331444</v>
      </c>
      <c r="Y275" s="200">
        <v>8.3905328082820071E-2</v>
      </c>
      <c r="Z275" s="200">
        <v>6.902318615506671E-2</v>
      </c>
      <c r="AA275" s="200">
        <v>5.7149385425277331E-2</v>
      </c>
      <c r="AB275" s="200">
        <v>4.7696552491350748E-2</v>
      </c>
      <c r="AC275" s="200">
        <v>4.0160303311755637E-2</v>
      </c>
      <c r="AD275" s="200">
        <v>3.4138214863901326E-2</v>
      </c>
      <c r="AE275" s="200">
        <v>2.9287279383178436E-2</v>
      </c>
      <c r="AF275" s="200">
        <v>2.5271442862566648E-2</v>
      </c>
    </row>
    <row r="276" spans="1:32" s="221" customFormat="1" ht="14.45" x14ac:dyDescent="0.35">
      <c r="A276" s="808"/>
      <c r="B276" s="808" t="s">
        <v>34</v>
      </c>
      <c r="C276" s="539"/>
      <c r="D276" s="539"/>
      <c r="E276" s="539"/>
      <c r="F276" s="539"/>
      <c r="G276" s="200">
        <v>0.45221057428580463</v>
      </c>
      <c r="H276" s="200">
        <v>0.54171282790580211</v>
      </c>
      <c r="I276" s="200">
        <v>0.57935042444146256</v>
      </c>
      <c r="J276" s="200">
        <v>0.58938325630763366</v>
      </c>
      <c r="K276" s="200">
        <v>0.57807553985479632</v>
      </c>
      <c r="L276" s="200">
        <v>0.565460070667128</v>
      </c>
      <c r="M276" s="200">
        <v>0.54855015781768091</v>
      </c>
      <c r="N276" s="200">
        <v>0.5110230647741042</v>
      </c>
      <c r="O276" s="200">
        <v>0.47310323827305584</v>
      </c>
      <c r="P276" s="200">
        <v>0.43554492100490794</v>
      </c>
      <c r="Q276" s="200">
        <v>0.39941278641340444</v>
      </c>
      <c r="R276" s="200">
        <v>0.36110884102901775</v>
      </c>
      <c r="S276" s="200">
        <v>0.32252740235345051</v>
      </c>
      <c r="T276" s="200">
        <v>0.28516578744401927</v>
      </c>
      <c r="U276" s="200">
        <v>0.25016319502779327</v>
      </c>
      <c r="V276" s="200">
        <v>0.21837414634648489</v>
      </c>
      <c r="W276" s="200">
        <v>0.19014520289906747</v>
      </c>
      <c r="X276" s="200">
        <v>0.16553393612570269</v>
      </c>
      <c r="Y276" s="200">
        <v>0.14439273435649622</v>
      </c>
      <c r="Z276" s="200">
        <v>0.12649837298731306</v>
      </c>
      <c r="AA276" s="200">
        <v>0.11155390387688949</v>
      </c>
      <c r="AB276" s="200">
        <v>9.9176216735600148E-2</v>
      </c>
      <c r="AC276" s="200">
        <v>8.8921970047769056E-2</v>
      </c>
      <c r="AD276" s="200">
        <v>8.040625801466797E-2</v>
      </c>
      <c r="AE276" s="200">
        <v>7.3353827122533924E-2</v>
      </c>
      <c r="AF276" s="200">
        <v>6.740765488096663E-2</v>
      </c>
    </row>
    <row r="277" spans="1:32" s="221" customFormat="1" ht="14.45" x14ac:dyDescent="0.35">
      <c r="A277" s="806"/>
      <c r="B277" s="808" t="s">
        <v>35</v>
      </c>
      <c r="C277" s="539"/>
      <c r="D277" s="539"/>
      <c r="E277" s="539"/>
      <c r="F277" s="539"/>
      <c r="G277" s="200">
        <v>6.3588977834793461E-2</v>
      </c>
      <c r="H277" s="200">
        <v>6.6013774467197583E-2</v>
      </c>
      <c r="I277" s="200">
        <v>6.8540275603549874E-2</v>
      </c>
      <c r="J277" s="200">
        <v>7.1247894831878669E-2</v>
      </c>
      <c r="K277" s="200">
        <v>7.4185666758573979E-2</v>
      </c>
      <c r="L277" s="200">
        <v>7.640555312667828E-2</v>
      </c>
      <c r="M277" s="200">
        <v>7.7994534095133114E-2</v>
      </c>
      <c r="N277" s="200">
        <v>7.8722438021780444E-2</v>
      </c>
      <c r="O277" s="200">
        <v>7.8516606596312669E-2</v>
      </c>
      <c r="P277" s="200">
        <v>7.736988468590196E-2</v>
      </c>
      <c r="Q277" s="200">
        <v>7.5419024572753041E-2</v>
      </c>
      <c r="R277" s="200">
        <v>7.2817059272065623E-2</v>
      </c>
      <c r="S277" s="200">
        <v>6.9718354057800899E-2</v>
      </c>
      <c r="T277" s="200">
        <v>6.6276732400029223E-2</v>
      </c>
      <c r="U277" s="200">
        <v>6.2639890305152698E-2</v>
      </c>
      <c r="V277" s="200">
        <v>5.8935994621289518E-2</v>
      </c>
      <c r="W277" s="200">
        <v>5.5269149772571802E-2</v>
      </c>
      <c r="X277" s="200">
        <v>5.1723660902151913E-2</v>
      </c>
      <c r="Y277" s="200">
        <v>4.8351921873750342E-2</v>
      </c>
      <c r="Z277" s="200">
        <v>4.5073995932550764E-2</v>
      </c>
      <c r="AA277" s="200">
        <v>4.2036603291617118E-2</v>
      </c>
      <c r="AB277" s="200">
        <v>3.9245453484945445E-2</v>
      </c>
      <c r="AC277" s="200">
        <v>3.668437876697668E-2</v>
      </c>
      <c r="AD277" s="200">
        <v>3.4351853078875304E-2</v>
      </c>
      <c r="AE277" s="200">
        <v>3.2231840246573905E-2</v>
      </c>
      <c r="AF277" s="200">
        <v>3.0304404658683129E-2</v>
      </c>
    </row>
    <row r="278" spans="1:32" s="221" customFormat="1" ht="14.45" x14ac:dyDescent="0.35">
      <c r="A278" s="806"/>
      <c r="B278" s="808" t="s">
        <v>29</v>
      </c>
      <c r="C278" s="539"/>
      <c r="D278" s="539"/>
      <c r="E278" s="539"/>
      <c r="F278" s="539"/>
      <c r="G278" s="200">
        <v>0</v>
      </c>
      <c r="H278" s="200">
        <v>6.2304737006079586E-4</v>
      </c>
      <c r="I278" s="200">
        <v>2.1274510779105893E-3</v>
      </c>
      <c r="J278" s="200">
        <v>4.928211534014874E-3</v>
      </c>
      <c r="K278" s="200">
        <v>9.154182472789504E-3</v>
      </c>
      <c r="L278" s="200">
        <v>1.4523449260209143E-2</v>
      </c>
      <c r="M278" s="200">
        <v>2.0971582571497626E-2</v>
      </c>
      <c r="N278" s="200">
        <v>2.8271284807289507E-2</v>
      </c>
      <c r="O278" s="200">
        <v>3.6184510078013529E-2</v>
      </c>
      <c r="P278" s="200">
        <v>4.4435702101484155E-2</v>
      </c>
      <c r="Q278" s="200">
        <v>5.2783110808042481E-2</v>
      </c>
      <c r="R278" s="200">
        <v>6.1240174190380053E-2</v>
      </c>
      <c r="S278" s="200">
        <v>6.9569517066214462E-2</v>
      </c>
      <c r="T278" s="200">
        <v>7.757244248975384E-2</v>
      </c>
      <c r="U278" s="200">
        <v>8.5106668951170431E-2</v>
      </c>
      <c r="V278" s="200">
        <v>9.2084802122058024E-2</v>
      </c>
      <c r="W278" s="200">
        <v>9.8464745061876385E-2</v>
      </c>
      <c r="X278" s="200">
        <v>0.10423727463033479</v>
      </c>
      <c r="Y278" s="200">
        <v>0.10942826215788408</v>
      </c>
      <c r="Z278" s="200">
        <v>0.11409447510160824</v>
      </c>
      <c r="AA278" s="200">
        <v>0.11830695291358055</v>
      </c>
      <c r="AB278" s="200">
        <v>0.12215799950193788</v>
      </c>
      <c r="AC278" s="200">
        <v>0.12566628823511211</v>
      </c>
      <c r="AD278" s="200">
        <v>0.12888514404726392</v>
      </c>
      <c r="AE278" s="200">
        <v>0.13185559976156766</v>
      </c>
      <c r="AF278" s="200">
        <v>0.13462837912385761</v>
      </c>
    </row>
    <row r="279" spans="1:32" s="221" customFormat="1" ht="14.45" x14ac:dyDescent="0.35">
      <c r="A279" s="806"/>
      <c r="B279" s="806"/>
      <c r="C279" s="539"/>
      <c r="D279" s="539"/>
      <c r="E279" s="539"/>
      <c r="F279" s="539"/>
      <c r="G279" s="200" t="s">
        <v>73</v>
      </c>
      <c r="H279" s="539" t="s">
        <v>73</v>
      </c>
      <c r="I279" s="539" t="s">
        <v>73</v>
      </c>
      <c r="J279" s="539" t="s">
        <v>73</v>
      </c>
      <c r="K279" s="539" t="s">
        <v>73</v>
      </c>
      <c r="L279" s="539" t="s">
        <v>73</v>
      </c>
      <c r="M279" s="539" t="s">
        <v>73</v>
      </c>
      <c r="N279" s="539" t="s">
        <v>73</v>
      </c>
      <c r="O279" s="539" t="s">
        <v>73</v>
      </c>
      <c r="P279" s="539" t="s">
        <v>73</v>
      </c>
      <c r="Q279" s="539" t="s">
        <v>73</v>
      </c>
      <c r="R279" s="539" t="s">
        <v>73</v>
      </c>
      <c r="S279" s="539" t="s">
        <v>73</v>
      </c>
      <c r="T279" s="539" t="s">
        <v>73</v>
      </c>
      <c r="U279" s="539" t="s">
        <v>73</v>
      </c>
      <c r="V279" s="539" t="s">
        <v>73</v>
      </c>
      <c r="W279" s="539" t="s">
        <v>73</v>
      </c>
      <c r="X279" s="539" t="s">
        <v>73</v>
      </c>
      <c r="Y279" s="539" t="s">
        <v>73</v>
      </c>
      <c r="Z279" s="539" t="s">
        <v>73</v>
      </c>
      <c r="AA279" s="539" t="s">
        <v>73</v>
      </c>
      <c r="AB279" s="539" t="s">
        <v>73</v>
      </c>
      <c r="AC279" s="539" t="s">
        <v>73</v>
      </c>
      <c r="AD279" s="539" t="s">
        <v>73</v>
      </c>
      <c r="AE279" s="539" t="s">
        <v>73</v>
      </c>
      <c r="AF279" s="539" t="s">
        <v>73</v>
      </c>
    </row>
    <row r="280" spans="1:32" s="202" customFormat="1" ht="12.95" x14ac:dyDescent="0.3">
      <c r="A280" s="556" t="s">
        <v>36</v>
      </c>
      <c r="B280" s="556"/>
      <c r="C280" s="556"/>
      <c r="D280" s="556"/>
      <c r="E280" s="556"/>
      <c r="F280" s="556"/>
      <c r="G280" s="241" t="s">
        <v>73</v>
      </c>
      <c r="H280" s="556" t="s">
        <v>73</v>
      </c>
      <c r="I280" s="556" t="s">
        <v>73</v>
      </c>
      <c r="J280" s="556" t="s">
        <v>73</v>
      </c>
      <c r="K280" s="556" t="s">
        <v>73</v>
      </c>
      <c r="L280" s="556" t="s">
        <v>73</v>
      </c>
      <c r="M280" s="556" t="s">
        <v>73</v>
      </c>
      <c r="N280" s="556" t="s">
        <v>73</v>
      </c>
      <c r="O280" s="556" t="s">
        <v>73</v>
      </c>
      <c r="P280" s="556" t="s">
        <v>73</v>
      </c>
      <c r="Q280" s="556" t="s">
        <v>73</v>
      </c>
      <c r="R280" s="556" t="s">
        <v>73</v>
      </c>
      <c r="S280" s="556" t="s">
        <v>73</v>
      </c>
      <c r="T280" s="556" t="s">
        <v>73</v>
      </c>
      <c r="U280" s="556" t="s">
        <v>73</v>
      </c>
      <c r="V280" s="556" t="s">
        <v>73</v>
      </c>
      <c r="W280" s="556" t="s">
        <v>73</v>
      </c>
      <c r="X280" s="556" t="s">
        <v>73</v>
      </c>
      <c r="Y280" s="556" t="s">
        <v>73</v>
      </c>
      <c r="Z280" s="556" t="s">
        <v>73</v>
      </c>
      <c r="AA280" s="556" t="s">
        <v>73</v>
      </c>
      <c r="AB280" s="556" t="s">
        <v>73</v>
      </c>
      <c r="AC280" s="556" t="s">
        <v>73</v>
      </c>
      <c r="AD280" s="556" t="s">
        <v>73</v>
      </c>
      <c r="AE280" s="556" t="s">
        <v>73</v>
      </c>
      <c r="AF280" s="556" t="s">
        <v>73</v>
      </c>
    </row>
    <row r="281" spans="1:32" s="221" customFormat="1" ht="14.45" x14ac:dyDescent="0.35">
      <c r="A281" s="806"/>
      <c r="B281" s="806" t="s">
        <v>37</v>
      </c>
      <c r="C281" s="539"/>
      <c r="D281" s="539"/>
      <c r="E281" s="539"/>
      <c r="F281" s="201"/>
      <c r="G281" s="200">
        <v>0.35419438147372145</v>
      </c>
      <c r="H281" s="200">
        <v>0.33304828762403688</v>
      </c>
      <c r="I281" s="200">
        <v>0.31131902758602914</v>
      </c>
      <c r="J281" s="200">
        <v>0.28924284156333391</v>
      </c>
      <c r="K281" s="200">
        <v>0.26706383488393798</v>
      </c>
      <c r="L281" s="200">
        <v>0.24647205081603807</v>
      </c>
      <c r="M281" s="200">
        <v>0.22736571525303445</v>
      </c>
      <c r="N281" s="200">
        <v>0.20969230988495433</v>
      </c>
      <c r="O281" s="200">
        <v>0.19343415779452955</v>
      </c>
      <c r="P281" s="200">
        <v>0.17847410234456057</v>
      </c>
      <c r="Q281" s="200">
        <v>0.16470477914570653</v>
      </c>
      <c r="R281" s="200">
        <v>0.15202800263101568</v>
      </c>
      <c r="S281" s="200">
        <v>0.14035418503614527</v>
      </c>
      <c r="T281" s="200">
        <v>0.12960125536797074</v>
      </c>
      <c r="U281" s="200">
        <v>0.1196941075021189</v>
      </c>
      <c r="V281" s="200">
        <v>0.11056408455992196</v>
      </c>
      <c r="W281" s="200">
        <v>0.10214822515816631</v>
      </c>
      <c r="X281" s="200">
        <v>9.438887586009595E-2</v>
      </c>
      <c r="Y281" s="200">
        <v>8.7233221125635793E-2</v>
      </c>
      <c r="Z281" s="200">
        <v>8.0632896762654352E-2</v>
      </c>
      <c r="AA281" s="200">
        <v>7.4543566836502637E-2</v>
      </c>
      <c r="AB281" s="200">
        <v>6.8924528209099362E-2</v>
      </c>
      <c r="AC281" s="200">
        <v>6.3738406497623148E-2</v>
      </c>
      <c r="AD281" s="200">
        <v>5.895092259031439E-2</v>
      </c>
      <c r="AE281" s="200">
        <v>5.4530595723275711E-2</v>
      </c>
      <c r="AF281" s="200">
        <v>5.0448464510753188E-2</v>
      </c>
    </row>
    <row r="282" spans="1:32" s="221" customFormat="1" ht="14.45" x14ac:dyDescent="0.35">
      <c r="A282" s="806"/>
      <c r="B282" s="806" t="s">
        <v>39</v>
      </c>
      <c r="C282" s="539"/>
      <c r="D282" s="539"/>
      <c r="E282" s="203"/>
      <c r="F282" s="539"/>
      <c r="G282" s="200">
        <v>6.1526008171317356E-2</v>
      </c>
      <c r="H282" s="200">
        <v>8.1677202308913358E-2</v>
      </c>
      <c r="I282" s="200">
        <v>0.1007317737110752</v>
      </c>
      <c r="J282" s="200">
        <v>0.11806267615905705</v>
      </c>
      <c r="K282" s="200">
        <v>0.1326263195756075</v>
      </c>
      <c r="L282" s="200">
        <v>0.14391274491503267</v>
      </c>
      <c r="M282" s="200">
        <v>0.15212663950294994</v>
      </c>
      <c r="N282" s="200">
        <v>0.15785663567908531</v>
      </c>
      <c r="O282" s="200">
        <v>0.16138909684919209</v>
      </c>
      <c r="P282" s="200">
        <v>0.16311309773639712</v>
      </c>
      <c r="Q282" s="200">
        <v>0.16334398940242362</v>
      </c>
      <c r="R282" s="200">
        <v>0.1623549854228914</v>
      </c>
      <c r="S282" s="200">
        <v>0.16044664938286041</v>
      </c>
      <c r="T282" s="200">
        <v>0.1578313285556924</v>
      </c>
      <c r="U282" s="200">
        <v>0.15468132524544428</v>
      </c>
      <c r="V282" s="200">
        <v>0.15116623871676066</v>
      </c>
      <c r="W282" s="200">
        <v>0.14739035568921621</v>
      </c>
      <c r="X282" s="200">
        <v>0.14343870887392157</v>
      </c>
      <c r="Y282" s="200">
        <v>0.13938069442337442</v>
      </c>
      <c r="Z282" s="200">
        <v>0.13528739759100952</v>
      </c>
      <c r="AA282" s="200">
        <v>0.13121940366157966</v>
      </c>
      <c r="AB282" s="200">
        <v>0.12721357649646906</v>
      </c>
      <c r="AC282" s="200">
        <v>0.12327813921685296</v>
      </c>
      <c r="AD282" s="200">
        <v>0.11942921086787887</v>
      </c>
      <c r="AE282" s="200">
        <v>0.11567449775017649</v>
      </c>
      <c r="AF282" s="200">
        <v>0.11199868240412891</v>
      </c>
    </row>
    <row r="283" spans="1:32" s="221" customFormat="1" ht="14.45" x14ac:dyDescent="0.35">
      <c r="A283" s="806"/>
      <c r="B283" s="806" t="s">
        <v>40</v>
      </c>
      <c r="C283" s="539"/>
      <c r="D283" s="539"/>
      <c r="E283" s="539"/>
      <c r="F283" s="539"/>
      <c r="G283" s="200">
        <v>0</v>
      </c>
      <c r="H283" s="200">
        <v>5.6150672125443966E-3</v>
      </c>
      <c r="I283" s="200">
        <v>1.2547757201878767E-2</v>
      </c>
      <c r="J283" s="200">
        <v>2.0816845658276004E-2</v>
      </c>
      <c r="K283" s="200">
        <v>3.027174702752141E-2</v>
      </c>
      <c r="L283" s="200">
        <v>4.0271810602246848E-2</v>
      </c>
      <c r="M283" s="200">
        <v>5.0538640627543964E-2</v>
      </c>
      <c r="N283" s="200">
        <v>6.0652242504479814E-2</v>
      </c>
      <c r="O283" s="200">
        <v>7.0292495947055639E-2</v>
      </c>
      <c r="P283" s="200">
        <v>7.9210744707586087E-2</v>
      </c>
      <c r="Q283" s="200">
        <v>8.7223874623013772E-2</v>
      </c>
      <c r="R283" s="200">
        <v>9.4209534554751242E-2</v>
      </c>
      <c r="S283" s="200">
        <v>0.10016190527950332</v>
      </c>
      <c r="T283" s="200">
        <v>0.10508760923347639</v>
      </c>
      <c r="U283" s="200">
        <v>0.10903804531098207</v>
      </c>
      <c r="V283" s="200">
        <v>0.11211808112672708</v>
      </c>
      <c r="W283" s="200">
        <v>0.11441581567039388</v>
      </c>
      <c r="X283" s="200">
        <v>0.11602533553141205</v>
      </c>
      <c r="Y283" s="200">
        <v>0.11704321930001206</v>
      </c>
      <c r="Z283" s="200">
        <v>0.11757800933679492</v>
      </c>
      <c r="AA283" s="200">
        <v>0.11773120054095766</v>
      </c>
      <c r="AB283" s="200">
        <v>0.11758712415737815</v>
      </c>
      <c r="AC283" s="200">
        <v>0.1171779336603295</v>
      </c>
      <c r="AD283" s="200">
        <v>0.11655210191430224</v>
      </c>
      <c r="AE283" s="200">
        <v>0.11574716961761661</v>
      </c>
      <c r="AF283" s="200">
        <v>0.11477838273284577</v>
      </c>
    </row>
    <row r="284" spans="1:32" s="221" customFormat="1" ht="14.45" x14ac:dyDescent="0.35">
      <c r="A284" s="806"/>
      <c r="B284" s="806" t="s">
        <v>29</v>
      </c>
      <c r="C284" s="539"/>
      <c r="D284" s="539"/>
      <c r="E284" s="539"/>
      <c r="F284" s="539"/>
      <c r="G284" s="200">
        <v>0</v>
      </c>
      <c r="H284" s="200">
        <v>6.3973038297889097E-7</v>
      </c>
      <c r="I284" s="200">
        <v>1.3646580096415403E-5</v>
      </c>
      <c r="J284" s="200">
        <v>8.5245236011671755E-5</v>
      </c>
      <c r="K284" s="200">
        <v>2.9710073916482214E-4</v>
      </c>
      <c r="L284" s="200">
        <v>7.4182997189871955E-4</v>
      </c>
      <c r="M284" s="200">
        <v>1.5093556277582165E-3</v>
      </c>
      <c r="N284" s="200">
        <v>2.653200594050803E-3</v>
      </c>
      <c r="O284" s="200">
        <v>4.2027238000774091E-3</v>
      </c>
      <c r="P284" s="200">
        <v>6.1604327876970269E-3</v>
      </c>
      <c r="Q284" s="200">
        <v>8.5170650104627217E-3</v>
      </c>
      <c r="R284" s="200">
        <v>1.128802458078672E-2</v>
      </c>
      <c r="S284" s="200">
        <v>1.4454566734814059E-2</v>
      </c>
      <c r="T284" s="200">
        <v>1.7974858220230934E-2</v>
      </c>
      <c r="U284" s="200">
        <v>2.1799433531106738E-2</v>
      </c>
      <c r="V284" s="200">
        <v>2.5877599694973035E-2</v>
      </c>
      <c r="W284" s="200">
        <v>3.0146947000612472E-2</v>
      </c>
      <c r="X284" s="200">
        <v>3.4544051534188012E-2</v>
      </c>
      <c r="Y284" s="200">
        <v>3.9015458781642844E-2</v>
      </c>
      <c r="Z284" s="200">
        <v>4.3527722132367212E-2</v>
      </c>
      <c r="AA284" s="200">
        <v>4.8058759796013713E-2</v>
      </c>
      <c r="AB284" s="200">
        <v>5.2610101243601604E-2</v>
      </c>
      <c r="AC284" s="200">
        <v>5.7123456883174668E-2</v>
      </c>
      <c r="AD284" s="200">
        <v>6.1581279544334198E-2</v>
      </c>
      <c r="AE284" s="200">
        <v>6.5971830213757784E-2</v>
      </c>
      <c r="AF284" s="200">
        <v>7.0298263301381225E-2</v>
      </c>
    </row>
    <row r="285" spans="1:32" s="221" customFormat="1" ht="14.45" x14ac:dyDescent="0.35">
      <c r="A285" s="806"/>
      <c r="B285" s="806"/>
      <c r="C285" s="539"/>
      <c r="D285" s="539"/>
      <c r="E285" s="539"/>
      <c r="F285" s="539"/>
      <c r="G285" s="200" t="s">
        <v>73</v>
      </c>
      <c r="H285" s="539" t="s">
        <v>73</v>
      </c>
      <c r="I285" s="539" t="s">
        <v>73</v>
      </c>
      <c r="J285" s="539" t="s">
        <v>73</v>
      </c>
      <c r="K285" s="539" t="s">
        <v>73</v>
      </c>
      <c r="L285" s="539" t="s">
        <v>73</v>
      </c>
      <c r="M285" s="539" t="s">
        <v>73</v>
      </c>
      <c r="N285" s="539" t="s">
        <v>73</v>
      </c>
      <c r="O285" s="539" t="s">
        <v>73</v>
      </c>
      <c r="P285" s="539" t="s">
        <v>73</v>
      </c>
      <c r="Q285" s="539" t="s">
        <v>73</v>
      </c>
      <c r="R285" s="539" t="s">
        <v>73</v>
      </c>
      <c r="S285" s="539" t="s">
        <v>73</v>
      </c>
      <c r="T285" s="539" t="s">
        <v>73</v>
      </c>
      <c r="U285" s="539" t="s">
        <v>73</v>
      </c>
      <c r="V285" s="539" t="s">
        <v>73</v>
      </c>
      <c r="W285" s="539" t="s">
        <v>73</v>
      </c>
      <c r="X285" s="539" t="s">
        <v>73</v>
      </c>
      <c r="Y285" s="539" t="s">
        <v>73</v>
      </c>
      <c r="Z285" s="539" t="s">
        <v>73</v>
      </c>
      <c r="AA285" s="539" t="s">
        <v>73</v>
      </c>
      <c r="AB285" s="539" t="s">
        <v>73</v>
      </c>
      <c r="AC285" s="539" t="s">
        <v>73</v>
      </c>
      <c r="AD285" s="539" t="s">
        <v>73</v>
      </c>
      <c r="AE285" s="539" t="s">
        <v>73</v>
      </c>
      <c r="AF285" s="539" t="s">
        <v>73</v>
      </c>
    </row>
    <row r="286" spans="1:32" s="202" customFormat="1" ht="12.75" x14ac:dyDescent="0.2">
      <c r="A286" s="556" t="s">
        <v>42</v>
      </c>
      <c r="B286" s="556"/>
      <c r="C286" s="556"/>
      <c r="D286" s="556"/>
      <c r="E286" s="556"/>
      <c r="F286" s="556"/>
      <c r="G286" s="241" t="s">
        <v>73</v>
      </c>
      <c r="H286" s="556" t="s">
        <v>73</v>
      </c>
      <c r="I286" s="556" t="s">
        <v>73</v>
      </c>
      <c r="J286" s="556" t="s">
        <v>73</v>
      </c>
      <c r="K286" s="556" t="s">
        <v>73</v>
      </c>
      <c r="L286" s="556" t="s">
        <v>73</v>
      </c>
      <c r="M286" s="556" t="s">
        <v>73</v>
      </c>
      <c r="N286" s="556" t="s">
        <v>73</v>
      </c>
      <c r="O286" s="556" t="s">
        <v>73</v>
      </c>
      <c r="P286" s="556" t="s">
        <v>73</v>
      </c>
      <c r="Q286" s="556" t="s">
        <v>73</v>
      </c>
      <c r="R286" s="556" t="s">
        <v>73</v>
      </c>
      <c r="S286" s="556" t="s">
        <v>73</v>
      </c>
      <c r="T286" s="556" t="s">
        <v>73</v>
      </c>
      <c r="U286" s="556" t="s">
        <v>73</v>
      </c>
      <c r="V286" s="556" t="s">
        <v>73</v>
      </c>
      <c r="W286" s="556" t="s">
        <v>73</v>
      </c>
      <c r="X286" s="556" t="s">
        <v>73</v>
      </c>
      <c r="Y286" s="556" t="s">
        <v>73</v>
      </c>
      <c r="Z286" s="556" t="s">
        <v>73</v>
      </c>
      <c r="AA286" s="556" t="s">
        <v>73</v>
      </c>
      <c r="AB286" s="556" t="s">
        <v>73</v>
      </c>
      <c r="AC286" s="556" t="s">
        <v>73</v>
      </c>
      <c r="AD286" s="556" t="s">
        <v>73</v>
      </c>
      <c r="AE286" s="556" t="s">
        <v>73</v>
      </c>
      <c r="AF286" s="556" t="s">
        <v>73</v>
      </c>
    </row>
    <row r="287" spans="1:32" s="221" customFormat="1" x14ac:dyDescent="0.25">
      <c r="A287" s="806"/>
      <c r="B287" s="808" t="s">
        <v>43</v>
      </c>
      <c r="C287" s="539"/>
      <c r="D287" s="539"/>
      <c r="E287" s="539"/>
      <c r="F287" s="539"/>
      <c r="G287" s="200">
        <v>1.1930903795424124E-3</v>
      </c>
      <c r="H287" s="200">
        <v>1.1314253745713452E-3</v>
      </c>
      <c r="I287" s="200">
        <v>1.0735817864639136E-3</v>
      </c>
      <c r="J287" s="200">
        <v>1.0191969405150758E-3</v>
      </c>
      <c r="K287" s="200">
        <v>9.6786016436317863E-4</v>
      </c>
      <c r="L287" s="200">
        <v>9.1939487181811501E-4</v>
      </c>
      <c r="M287" s="200">
        <v>8.7357304000961801E-4</v>
      </c>
      <c r="N287" s="200">
        <v>8.301872112026602E-4</v>
      </c>
      <c r="O287" s="200">
        <v>7.8910591969657802E-4</v>
      </c>
      <c r="P287" s="200">
        <v>7.5022147774077221E-4</v>
      </c>
      <c r="Q287" s="200">
        <v>7.1343394080192321E-4</v>
      </c>
      <c r="R287" s="200">
        <v>6.7863729145062953E-4</v>
      </c>
      <c r="S287" s="200">
        <v>6.4579062133429481E-4</v>
      </c>
      <c r="T287" s="200">
        <v>6.1482119636345998E-4</v>
      </c>
      <c r="U287" s="200">
        <v>5.8565696747688825E-4</v>
      </c>
      <c r="V287" s="200">
        <v>5.5824031871011526E-4</v>
      </c>
      <c r="W287" s="200">
        <v>5.3248453618006731E-4</v>
      </c>
      <c r="X287" s="200">
        <v>5.0829964120096291E-4</v>
      </c>
      <c r="Y287" s="200">
        <v>4.856003441043651E-4</v>
      </c>
      <c r="Z287" s="200">
        <v>4.6432028329221743E-4</v>
      </c>
      <c r="AA287" s="200">
        <v>4.4439873758833306E-4</v>
      </c>
      <c r="AB287" s="200">
        <v>4.2578357422179273E-4</v>
      </c>
      <c r="AC287" s="200">
        <v>4.0836492690444267E-4</v>
      </c>
      <c r="AD287" s="200">
        <v>3.920704229256021E-4</v>
      </c>
      <c r="AE287" s="200">
        <v>3.7683051732324819E-4</v>
      </c>
      <c r="AF287" s="200">
        <v>3.6257758908825571E-4</v>
      </c>
    </row>
    <row r="288" spans="1:32" s="221" customFormat="1" x14ac:dyDescent="0.25">
      <c r="A288" s="806"/>
      <c r="B288" s="808" t="s">
        <v>44</v>
      </c>
      <c r="C288" s="539"/>
      <c r="D288" s="539"/>
      <c r="E288" s="539"/>
      <c r="F288" s="539"/>
      <c r="G288" s="200">
        <v>1.0646068561744558E-4</v>
      </c>
      <c r="H288" s="200">
        <v>7.4971077325353662E-4</v>
      </c>
      <c r="I288" s="200">
        <v>1.3452800406137976E-3</v>
      </c>
      <c r="J288" s="200">
        <v>1.8897747993612871E-3</v>
      </c>
      <c r="K288" s="200">
        <v>2.3765809797895573E-3</v>
      </c>
      <c r="L288" s="200">
        <v>2.8106959922300895E-3</v>
      </c>
      <c r="M288" s="200">
        <v>3.1936051915071482E-3</v>
      </c>
      <c r="N288" s="200">
        <v>3.5268042341431959E-3</v>
      </c>
      <c r="O288" s="200">
        <v>3.8150868364754311E-3</v>
      </c>
      <c r="P288" s="200">
        <v>4.0636920897555977E-3</v>
      </c>
      <c r="Q288" s="200">
        <v>4.2775916429776918E-3</v>
      </c>
      <c r="R288" s="200">
        <v>4.4607325594970383E-3</v>
      </c>
      <c r="S288" s="200">
        <v>4.6197880019886468E-3</v>
      </c>
      <c r="T288" s="200">
        <v>4.7591312910855062E-3</v>
      </c>
      <c r="U288" s="200">
        <v>4.8826020840643273E-3</v>
      </c>
      <c r="V288" s="200">
        <v>4.9942311129175286E-3</v>
      </c>
      <c r="W288" s="200">
        <v>5.0960707907364627E-3</v>
      </c>
      <c r="X288" s="200">
        <v>5.1895586998589732E-3</v>
      </c>
      <c r="Y288" s="200">
        <v>5.2759695663240815E-3</v>
      </c>
      <c r="Z288" s="200">
        <v>5.3571575815904134E-3</v>
      </c>
      <c r="AA288" s="200">
        <v>5.4349001780654212E-3</v>
      </c>
      <c r="AB288" s="200">
        <v>5.5111285222722555E-3</v>
      </c>
      <c r="AC288" s="200">
        <v>5.5844624004630795E-3</v>
      </c>
      <c r="AD288" s="200">
        <v>5.6552242480448047E-3</v>
      </c>
      <c r="AE288" s="200">
        <v>5.7236040777220712E-3</v>
      </c>
      <c r="AF288" s="200">
        <v>5.7896981670114223E-3</v>
      </c>
    </row>
    <row r="289" spans="1:32" s="221" customFormat="1" x14ac:dyDescent="0.25">
      <c r="A289" s="806"/>
      <c r="B289" s="808" t="s">
        <v>45</v>
      </c>
      <c r="C289" s="539"/>
      <c r="D289" s="539"/>
      <c r="E289" s="539"/>
      <c r="F289" s="539"/>
      <c r="G289" s="200">
        <v>5.2963367559136386E-3</v>
      </c>
      <c r="H289" s="200">
        <v>4.9611308649756703E-3</v>
      </c>
      <c r="I289" s="200">
        <v>4.6537307166067549E-3</v>
      </c>
      <c r="J289" s="200">
        <v>4.3660287076376647E-3</v>
      </c>
      <c r="K289" s="200">
        <v>4.0966810132491149E-3</v>
      </c>
      <c r="L289" s="200">
        <v>3.8444792192955501E-3</v>
      </c>
      <c r="M289" s="200">
        <v>3.6082852447650786E-3</v>
      </c>
      <c r="N289" s="200">
        <v>3.3870383796625421E-3</v>
      </c>
      <c r="O289" s="200">
        <v>3.1797635986466405E-3</v>
      </c>
      <c r="P289" s="200">
        <v>2.985555110089078E-3</v>
      </c>
      <c r="Q289" s="200">
        <v>2.8035688975124491E-3</v>
      </c>
      <c r="R289" s="200">
        <v>2.6330151070413387E-3</v>
      </c>
      <c r="S289" s="200">
        <v>2.4731693044208088E-3</v>
      </c>
      <c r="T289" s="200">
        <v>2.3233482503707431E-3</v>
      </c>
      <c r="U289" s="200">
        <v>2.1829135549859958E-3</v>
      </c>
      <c r="V289" s="200">
        <v>2.0512713881246439E-3</v>
      </c>
      <c r="W289" s="200">
        <v>1.927860498711402E-3</v>
      </c>
      <c r="X289" s="200">
        <v>1.812154959369076E-3</v>
      </c>
      <c r="Y289" s="200">
        <v>1.7036634434338394E-3</v>
      </c>
      <c r="Z289" s="200">
        <v>1.6019299273505691E-3</v>
      </c>
      <c r="AA289" s="200">
        <v>1.5065287264656464E-3</v>
      </c>
      <c r="AB289" s="200">
        <v>1.417063319511739E-3</v>
      </c>
      <c r="AC289" s="200">
        <v>1.3331499140297465E-3</v>
      </c>
      <c r="AD289" s="200">
        <v>1.2544364600087544E-3</v>
      </c>
      <c r="AE289" s="200">
        <v>1.1805935609624154E-3</v>
      </c>
      <c r="AF289" s="200">
        <v>1.1113129941966845E-3</v>
      </c>
    </row>
    <row r="290" spans="1:32" s="221" customFormat="1" x14ac:dyDescent="0.25">
      <c r="A290" s="806"/>
      <c r="B290" s="808" t="s">
        <v>46</v>
      </c>
      <c r="C290" s="539"/>
      <c r="D290" s="539"/>
      <c r="E290" s="539"/>
      <c r="F290" s="539"/>
      <c r="G290" s="200">
        <v>0</v>
      </c>
      <c r="H290" s="200">
        <v>0</v>
      </c>
      <c r="I290" s="200">
        <v>0</v>
      </c>
      <c r="J290" s="200">
        <v>0</v>
      </c>
      <c r="K290" s="200">
        <v>0</v>
      </c>
      <c r="L290" s="200">
        <v>0</v>
      </c>
      <c r="M290" s="200">
        <v>0</v>
      </c>
      <c r="N290" s="200">
        <v>0</v>
      </c>
      <c r="O290" s="200">
        <v>0</v>
      </c>
      <c r="P290" s="200">
        <v>0</v>
      </c>
      <c r="Q290" s="200">
        <v>0</v>
      </c>
      <c r="R290" s="200">
        <v>0</v>
      </c>
      <c r="S290" s="200">
        <v>0</v>
      </c>
      <c r="T290" s="200">
        <v>0</v>
      </c>
      <c r="U290" s="200">
        <v>0</v>
      </c>
      <c r="V290" s="200">
        <v>0</v>
      </c>
      <c r="W290" s="200">
        <v>0</v>
      </c>
      <c r="X290" s="200">
        <v>0</v>
      </c>
      <c r="Y290" s="200">
        <v>0</v>
      </c>
      <c r="Z290" s="200">
        <v>0</v>
      </c>
      <c r="AA290" s="200">
        <v>0</v>
      </c>
      <c r="AB290" s="200">
        <v>0</v>
      </c>
      <c r="AC290" s="200">
        <v>0</v>
      </c>
      <c r="AD290" s="200">
        <v>0</v>
      </c>
      <c r="AE290" s="200">
        <v>0</v>
      </c>
      <c r="AF290" s="200">
        <v>0</v>
      </c>
    </row>
    <row r="291" spans="1:32" s="221" customFormat="1" x14ac:dyDescent="0.25">
      <c r="A291" s="806"/>
      <c r="B291" s="806" t="s">
        <v>29</v>
      </c>
      <c r="C291" s="539"/>
      <c r="D291" s="539"/>
      <c r="E291" s="539"/>
      <c r="F291" s="539"/>
      <c r="G291" s="200">
        <v>0</v>
      </c>
      <c r="H291" s="200">
        <v>2.1457111534188357E-5</v>
      </c>
      <c r="I291" s="200">
        <v>4.5915395783435041E-5</v>
      </c>
      <c r="J291" s="200">
        <v>7.2931755582063859E-5</v>
      </c>
      <c r="K291" s="200">
        <v>1.0217137103613428E-4</v>
      </c>
      <c r="L291" s="200">
        <v>1.3377928102703752E-4</v>
      </c>
      <c r="M291" s="200">
        <v>1.6778276238986421E-4</v>
      </c>
      <c r="N291" s="200">
        <v>2.0377022270869665E-4</v>
      </c>
      <c r="O291" s="200">
        <v>2.4143003324096599E-4</v>
      </c>
      <c r="P291" s="200">
        <v>2.8038549905772843E-4</v>
      </c>
      <c r="Q291" s="200">
        <v>3.2015361932125329E-4</v>
      </c>
      <c r="R291" s="200">
        <v>3.6130716286228545E-4</v>
      </c>
      <c r="S291" s="200">
        <v>4.0347419390167452E-4</v>
      </c>
      <c r="T291" s="200">
        <v>4.4608748762067112E-4</v>
      </c>
      <c r="U291" s="200">
        <v>4.8865230107556293E-4</v>
      </c>
      <c r="V291" s="200">
        <v>5.3090384327289606E-4</v>
      </c>
      <c r="W291" s="200">
        <v>5.7242370305347044E-4</v>
      </c>
      <c r="X291" s="200">
        <v>6.1285322949963285E-4</v>
      </c>
      <c r="Y291" s="200">
        <v>6.5196129834567992E-4</v>
      </c>
      <c r="Z291" s="200">
        <v>6.8976996262803719E-4</v>
      </c>
      <c r="AA291" s="200">
        <v>7.2639952478798474E-4</v>
      </c>
      <c r="AB291" s="200">
        <v>7.6209105123972937E-4</v>
      </c>
      <c r="AC291" s="200">
        <v>7.9645677778786793E-4</v>
      </c>
      <c r="AD291" s="200">
        <v>8.2950204761854504E-4</v>
      </c>
      <c r="AE291" s="200">
        <v>8.6124366938303742E-4</v>
      </c>
      <c r="AF291" s="200">
        <v>8.9170920820382459E-4</v>
      </c>
    </row>
    <row r="292" spans="1:32" s="221" customFormat="1" x14ac:dyDescent="0.25">
      <c r="A292" s="806"/>
      <c r="B292" s="806"/>
      <c r="C292" s="539"/>
      <c r="D292" s="539"/>
      <c r="E292" s="539"/>
      <c r="F292" s="539"/>
      <c r="G292" s="200" t="s">
        <v>73</v>
      </c>
      <c r="H292" s="539" t="s">
        <v>73</v>
      </c>
      <c r="I292" s="539" t="s">
        <v>73</v>
      </c>
      <c r="J292" s="539" t="s">
        <v>73</v>
      </c>
      <c r="K292" s="539" t="s">
        <v>73</v>
      </c>
      <c r="L292" s="539" t="s">
        <v>73</v>
      </c>
      <c r="M292" s="539" t="s">
        <v>73</v>
      </c>
      <c r="N292" s="539" t="s">
        <v>73</v>
      </c>
      <c r="O292" s="539" t="s">
        <v>73</v>
      </c>
      <c r="P292" s="539" t="s">
        <v>73</v>
      </c>
      <c r="Q292" s="539" t="s">
        <v>73</v>
      </c>
      <c r="R292" s="539" t="s">
        <v>73</v>
      </c>
      <c r="S292" s="539" t="s">
        <v>73</v>
      </c>
      <c r="T292" s="539" t="s">
        <v>73</v>
      </c>
      <c r="U292" s="539" t="s">
        <v>73</v>
      </c>
      <c r="V292" s="539" t="s">
        <v>73</v>
      </c>
      <c r="W292" s="539" t="s">
        <v>73</v>
      </c>
      <c r="X292" s="539" t="s">
        <v>73</v>
      </c>
      <c r="Y292" s="539" t="s">
        <v>73</v>
      </c>
      <c r="Z292" s="539" t="s">
        <v>73</v>
      </c>
      <c r="AA292" s="539" t="s">
        <v>73</v>
      </c>
      <c r="AB292" s="539" t="s">
        <v>73</v>
      </c>
      <c r="AC292" s="539" t="s">
        <v>73</v>
      </c>
      <c r="AD292" s="539" t="s">
        <v>73</v>
      </c>
      <c r="AE292" s="539" t="s">
        <v>73</v>
      </c>
      <c r="AF292" s="539" t="s">
        <v>73</v>
      </c>
    </row>
    <row r="293" spans="1:32" s="202" customFormat="1" ht="12.75" x14ac:dyDescent="0.2">
      <c r="A293" s="556" t="s">
        <v>47</v>
      </c>
      <c r="B293" s="556"/>
      <c r="C293" s="556"/>
      <c r="D293" s="556"/>
      <c r="E293" s="556"/>
      <c r="F293" s="556"/>
      <c r="G293" s="241" t="s">
        <v>73</v>
      </c>
      <c r="H293" s="556" t="s">
        <v>73</v>
      </c>
      <c r="I293" s="556" t="s">
        <v>73</v>
      </c>
      <c r="J293" s="556" t="s">
        <v>73</v>
      </c>
      <c r="K293" s="556" t="s">
        <v>73</v>
      </c>
      <c r="L293" s="556" t="s">
        <v>73</v>
      </c>
      <c r="M293" s="556" t="s">
        <v>73</v>
      </c>
      <c r="N293" s="556" t="s">
        <v>73</v>
      </c>
      <c r="O293" s="556" t="s">
        <v>73</v>
      </c>
      <c r="P293" s="556" t="s">
        <v>73</v>
      </c>
      <c r="Q293" s="556" t="s">
        <v>73</v>
      </c>
      <c r="R293" s="556" t="s">
        <v>73</v>
      </c>
      <c r="S293" s="556" t="s">
        <v>73</v>
      </c>
      <c r="T293" s="556" t="s">
        <v>73</v>
      </c>
      <c r="U293" s="556" t="s">
        <v>73</v>
      </c>
      <c r="V293" s="556" t="s">
        <v>73</v>
      </c>
      <c r="W293" s="556" t="s">
        <v>73</v>
      </c>
      <c r="X293" s="556" t="s">
        <v>73</v>
      </c>
      <c r="Y293" s="556" t="s">
        <v>73</v>
      </c>
      <c r="Z293" s="556" t="s">
        <v>73</v>
      </c>
      <c r="AA293" s="556" t="s">
        <v>73</v>
      </c>
      <c r="AB293" s="556" t="s">
        <v>73</v>
      </c>
      <c r="AC293" s="556" t="s">
        <v>73</v>
      </c>
      <c r="AD293" s="556" t="s">
        <v>73</v>
      </c>
      <c r="AE293" s="556" t="s">
        <v>73</v>
      </c>
      <c r="AF293" s="556" t="s">
        <v>73</v>
      </c>
    </row>
    <row r="294" spans="1:32" s="221" customFormat="1" x14ac:dyDescent="0.25">
      <c r="A294" s="806"/>
      <c r="B294" s="806" t="s">
        <v>48</v>
      </c>
      <c r="C294" s="539"/>
      <c r="D294" s="539"/>
      <c r="E294" s="539"/>
      <c r="F294" s="539"/>
      <c r="G294" s="200">
        <v>1.431115176063237</v>
      </c>
      <c r="H294" s="200">
        <v>1.3568432586713723</v>
      </c>
      <c r="I294" s="200">
        <v>1.1085490566113889</v>
      </c>
      <c r="J294" s="200">
        <v>0.74571465871326859</v>
      </c>
      <c r="K294" s="200">
        <v>0.40791074823915946</v>
      </c>
      <c r="L294" s="200">
        <v>0.1918314742092174</v>
      </c>
      <c r="M294" s="200">
        <v>8.0465061673661298E-2</v>
      </c>
      <c r="N294" s="200">
        <v>3.1714473146333778E-2</v>
      </c>
      <c r="O294" s="200">
        <v>1.1996579997926776E-2</v>
      </c>
      <c r="P294" s="200">
        <v>4.4383991084430939E-3</v>
      </c>
      <c r="Q294" s="200">
        <v>1.6198938570183567E-3</v>
      </c>
      <c r="R294" s="200">
        <v>5.8650535214361957E-4</v>
      </c>
      <c r="S294" s="200">
        <v>2.1164000904937399E-4</v>
      </c>
      <c r="T294" s="200">
        <v>7.6326136719288005E-5</v>
      </c>
      <c r="U294" s="200">
        <v>2.7559210617682259E-5</v>
      </c>
      <c r="V294" s="200">
        <v>9.9795093147538344E-6</v>
      </c>
      <c r="W294" s="200">
        <v>3.6265821589274418E-6</v>
      </c>
      <c r="X294" s="200">
        <v>1.3233123086075893E-6</v>
      </c>
      <c r="Y294" s="200">
        <v>4.8500247035483658E-7</v>
      </c>
      <c r="Z294" s="200">
        <v>1.7861376712208716E-7</v>
      </c>
      <c r="AA294" s="200">
        <v>6.6118861305683891E-8</v>
      </c>
      <c r="AB294" s="200">
        <v>2.4602861422628655E-8</v>
      </c>
      <c r="AC294" s="200">
        <v>9.203512444773246E-9</v>
      </c>
      <c r="AD294" s="200">
        <v>3.461431585256388E-9</v>
      </c>
      <c r="AE294" s="200">
        <v>1.3088627166490848E-9</v>
      </c>
      <c r="AF294" s="200">
        <v>4.974701466872228E-10</v>
      </c>
    </row>
    <row r="295" spans="1:32" s="221" customFormat="1" x14ac:dyDescent="0.25">
      <c r="A295" s="806"/>
      <c r="B295" s="808" t="s">
        <v>50</v>
      </c>
      <c r="C295" s="539"/>
      <c r="D295" s="539"/>
      <c r="E295" s="539"/>
      <c r="F295" s="539"/>
      <c r="G295" s="200">
        <v>0.17954016567386025</v>
      </c>
      <c r="H295" s="200">
        <v>0.1814977219966277</v>
      </c>
      <c r="I295" s="200">
        <v>0.17969898916243399</v>
      </c>
      <c r="J295" s="200">
        <v>0.17196329561953197</v>
      </c>
      <c r="K295" s="200">
        <v>0.15804926121762253</v>
      </c>
      <c r="L295" s="200">
        <v>0.14031202268292711</v>
      </c>
      <c r="M295" s="200">
        <v>0.12092871407246665</v>
      </c>
      <c r="N295" s="200">
        <v>0.10213572636489238</v>
      </c>
      <c r="O295" s="200">
        <v>8.49588191022356E-2</v>
      </c>
      <c r="P295" s="200">
        <v>7.0051073377071629E-2</v>
      </c>
      <c r="Q295" s="200">
        <v>5.7372208109080308E-2</v>
      </c>
      <c r="R295" s="200">
        <v>4.6774319686153767E-2</v>
      </c>
      <c r="S295" s="200">
        <v>3.8015753802093287E-2</v>
      </c>
      <c r="T295" s="200">
        <v>3.0831910213800346E-2</v>
      </c>
      <c r="U295" s="200">
        <v>2.4968578816462673E-2</v>
      </c>
      <c r="V295" s="200">
        <v>2.0202548807149747E-2</v>
      </c>
      <c r="W295" s="200">
        <v>1.633584163409757E-2</v>
      </c>
      <c r="X295" s="200">
        <v>1.320355070504255E-2</v>
      </c>
      <c r="Y295" s="200">
        <v>1.0669044755549056E-2</v>
      </c>
      <c r="Z295" s="200">
        <v>8.6201503881048799E-3</v>
      </c>
      <c r="AA295" s="200">
        <v>6.9790838285617362E-3</v>
      </c>
      <c r="AB295" s="200">
        <v>5.6394372707501729E-3</v>
      </c>
      <c r="AC295" s="200">
        <v>4.5576132597751418E-3</v>
      </c>
      <c r="AD295" s="200">
        <v>3.6839588950812723E-3</v>
      </c>
      <c r="AE295" s="200">
        <v>2.9783674436592925E-3</v>
      </c>
      <c r="AF295" s="200">
        <v>2.4082230085464575E-3</v>
      </c>
    </row>
    <row r="296" spans="1:32" s="221" customFormat="1" x14ac:dyDescent="0.25">
      <c r="A296" s="806"/>
      <c r="B296" s="806" t="s">
        <v>51</v>
      </c>
      <c r="C296" s="539"/>
      <c r="D296" s="539"/>
      <c r="E296" s="539"/>
      <c r="F296" s="539"/>
      <c r="G296" s="200">
        <v>5.2331726209826575E-2</v>
      </c>
      <c r="H296" s="200">
        <v>5.3337511395022109E-2</v>
      </c>
      <c r="I296" s="200">
        <v>5.4205504598128916E-2</v>
      </c>
      <c r="J296" s="200">
        <v>5.4741925332819338E-2</v>
      </c>
      <c r="K296" s="200">
        <v>5.4818497819502515E-2</v>
      </c>
      <c r="L296" s="200">
        <v>5.4421197070127519E-2</v>
      </c>
      <c r="M296" s="200">
        <v>5.3541878071689683E-2</v>
      </c>
      <c r="N296" s="200">
        <v>5.2221695256675561E-2</v>
      </c>
      <c r="O296" s="200">
        <v>5.0542342188799098E-2</v>
      </c>
      <c r="P296" s="200">
        <v>4.8597077538261493E-2</v>
      </c>
      <c r="Q296" s="200">
        <v>4.6464493712342424E-2</v>
      </c>
      <c r="R296" s="200">
        <v>4.4213989638679868E-2</v>
      </c>
      <c r="S296" s="200">
        <v>4.1911963064109034E-2</v>
      </c>
      <c r="T296" s="200">
        <v>3.9604186358056966E-2</v>
      </c>
      <c r="U296" s="200">
        <v>3.7325357088722817E-2</v>
      </c>
      <c r="V296" s="200">
        <v>3.5105279247648072E-2</v>
      </c>
      <c r="W296" s="200">
        <v>3.2959733131642181E-2</v>
      </c>
      <c r="X296" s="200">
        <v>3.0899087283533664E-2</v>
      </c>
      <c r="Y296" s="200">
        <v>2.8929883561125212E-2</v>
      </c>
      <c r="Z296" s="200">
        <v>2.7060097330435764E-2</v>
      </c>
      <c r="AA296" s="200">
        <v>2.5292404730344751E-2</v>
      </c>
      <c r="AB296" s="200">
        <v>2.3626243246031863E-2</v>
      </c>
      <c r="AC296" s="200">
        <v>2.2014735061601221E-2</v>
      </c>
      <c r="AD296" s="200">
        <v>2.0498806612516199E-2</v>
      </c>
      <c r="AE296" s="200">
        <v>1.9074776507187557E-2</v>
      </c>
      <c r="AF296" s="200">
        <v>1.7737710199843604E-2</v>
      </c>
    </row>
    <row r="297" spans="1:32" s="221" customFormat="1" x14ac:dyDescent="0.25">
      <c r="A297" s="806"/>
      <c r="B297" s="806" t="s">
        <v>52</v>
      </c>
      <c r="C297" s="539"/>
      <c r="D297" s="539"/>
      <c r="E297" s="539"/>
      <c r="F297" s="539"/>
      <c r="G297" s="200">
        <v>7.1788280105141614E-2</v>
      </c>
      <c r="H297" s="200">
        <v>7.2972756544624831E-2</v>
      </c>
      <c r="I297" s="200">
        <v>7.3661780385589917E-2</v>
      </c>
      <c r="J297" s="200">
        <v>7.3556937937209424E-2</v>
      </c>
      <c r="K297" s="200">
        <v>7.2597876130877897E-2</v>
      </c>
      <c r="L297" s="200">
        <v>7.0943777851839598E-2</v>
      </c>
      <c r="M297" s="200">
        <v>6.8759656535914551E-2</v>
      </c>
      <c r="N297" s="200">
        <v>6.6226169131804111E-2</v>
      </c>
      <c r="O297" s="200">
        <v>6.3496377152414629E-2</v>
      </c>
      <c r="P297" s="200">
        <v>6.0683138676592613E-2</v>
      </c>
      <c r="Q297" s="200">
        <v>5.7857379187830765E-2</v>
      </c>
      <c r="R297" s="200">
        <v>5.5066422967336194E-2</v>
      </c>
      <c r="S297" s="200">
        <v>5.2345164951611567E-2</v>
      </c>
      <c r="T297" s="200">
        <v>4.9712746425046084E-2</v>
      </c>
      <c r="U297" s="200">
        <v>4.7180349290721353E-2</v>
      </c>
      <c r="V297" s="200">
        <v>4.475573742497118E-2</v>
      </c>
      <c r="W297" s="200">
        <v>4.2440247759761303E-2</v>
      </c>
      <c r="X297" s="200">
        <v>4.0233072316565574E-2</v>
      </c>
      <c r="Y297" s="200">
        <v>3.8132110767585985E-2</v>
      </c>
      <c r="Z297" s="200">
        <v>3.6135276826973449E-2</v>
      </c>
      <c r="AA297" s="200">
        <v>3.4239853372840856E-2</v>
      </c>
      <c r="AB297" s="200">
        <v>3.2442134070245487E-2</v>
      </c>
      <c r="AC297" s="200">
        <v>3.0736773259447923E-2</v>
      </c>
      <c r="AD297" s="200">
        <v>2.9119490397516695E-2</v>
      </c>
      <c r="AE297" s="200">
        <v>2.7585943627559346E-2</v>
      </c>
      <c r="AF297" s="200">
        <v>2.6131267998562115E-2</v>
      </c>
    </row>
    <row r="298" spans="1:32" s="221" customFormat="1" x14ac:dyDescent="0.25">
      <c r="A298" s="806"/>
      <c r="B298" s="808" t="s">
        <v>29</v>
      </c>
      <c r="C298" s="539"/>
      <c r="D298" s="539"/>
      <c r="E298" s="539"/>
      <c r="F298" s="539"/>
      <c r="G298" s="200">
        <v>2.3202253205165699E-3</v>
      </c>
      <c r="H298" s="200">
        <v>2.7177775504027279E-2</v>
      </c>
      <c r="I298" s="200">
        <v>7.8324856376694035E-2</v>
      </c>
      <c r="J298" s="200">
        <v>0.13565297029306547</v>
      </c>
      <c r="K298" s="200">
        <v>0.17830359702872342</v>
      </c>
      <c r="L298" s="200">
        <v>0.20166775110531321</v>
      </c>
      <c r="M298" s="200">
        <v>0.21223946590647336</v>
      </c>
      <c r="N298" s="200">
        <v>0.21597613495744619</v>
      </c>
      <c r="O298" s="200">
        <v>0.21659531970632351</v>
      </c>
      <c r="P298" s="200">
        <v>0.21591307155685754</v>
      </c>
      <c r="Q298" s="200">
        <v>0.21477387466459594</v>
      </c>
      <c r="R298" s="200">
        <v>0.21397536906739509</v>
      </c>
      <c r="S298" s="200">
        <v>0.21360921036974692</v>
      </c>
      <c r="T298" s="200">
        <v>0.21365251318749584</v>
      </c>
      <c r="U298" s="200">
        <v>0.2140567958495207</v>
      </c>
      <c r="V298" s="200">
        <v>0.21479246552712714</v>
      </c>
      <c r="W298" s="200">
        <v>0.21578918227778646</v>
      </c>
      <c r="X298" s="200">
        <v>0.21697797323027715</v>
      </c>
      <c r="Y298" s="200">
        <v>0.21830649972048169</v>
      </c>
      <c r="Z298" s="200">
        <v>0.21976289395899354</v>
      </c>
      <c r="AA298" s="200">
        <v>0.22135115873492428</v>
      </c>
      <c r="AB298" s="200">
        <v>0.22309588130211236</v>
      </c>
      <c r="AC298" s="200">
        <v>0.22490810270921333</v>
      </c>
      <c r="AD298" s="200">
        <v>0.22676872125809827</v>
      </c>
      <c r="AE298" s="200">
        <v>0.2286618544000282</v>
      </c>
      <c r="AF298" s="200">
        <v>0.2305742739743829</v>
      </c>
    </row>
    <row r="299" spans="1:32" s="221" customFormat="1" x14ac:dyDescent="0.25">
      <c r="A299" s="806"/>
      <c r="B299" s="808" t="s">
        <v>53</v>
      </c>
      <c r="C299" s="539"/>
      <c r="D299" s="539"/>
      <c r="E299" s="539"/>
      <c r="F299" s="539"/>
      <c r="G299" s="200">
        <v>2.3171767302196567E-3</v>
      </c>
      <c r="H299" s="200">
        <v>2.3612500239572308E-3</v>
      </c>
      <c r="I299" s="200">
        <v>2.3995389850020848E-3</v>
      </c>
      <c r="J299" s="200">
        <v>2.4246292597790565E-3</v>
      </c>
      <c r="K299" s="200">
        <v>2.4322025804465837E-3</v>
      </c>
      <c r="L299" s="200">
        <v>2.4227596970842545E-3</v>
      </c>
      <c r="M299" s="200">
        <v>2.3965818769182789E-3</v>
      </c>
      <c r="N299" s="200">
        <v>2.3554654099683008E-3</v>
      </c>
      <c r="O299" s="200">
        <v>2.302358534319491E-3</v>
      </c>
      <c r="P299" s="200">
        <v>2.2403260841775442E-3</v>
      </c>
      <c r="Q299" s="200">
        <v>2.1717484351564792E-3</v>
      </c>
      <c r="R299" s="200">
        <v>2.0986058175163449E-3</v>
      </c>
      <c r="S299" s="200">
        <v>2.0229180609918863E-3</v>
      </c>
      <c r="T299" s="200">
        <v>1.9460030204721237E-3</v>
      </c>
      <c r="U299" s="200">
        <v>1.8688738642397345E-3</v>
      </c>
      <c r="V299" s="200">
        <v>1.7924714970269609E-3</v>
      </c>
      <c r="W299" s="200">
        <v>1.7172807744944044E-3</v>
      </c>
      <c r="X299" s="200">
        <v>1.6436494736482591E-3</v>
      </c>
      <c r="Y299" s="200">
        <v>1.5718387433121712E-3</v>
      </c>
      <c r="Z299" s="200">
        <v>1.5021293745495605E-3</v>
      </c>
      <c r="AA299" s="200">
        <v>1.4347379061601306E-3</v>
      </c>
      <c r="AB299" s="200">
        <v>1.3697789021923994E-3</v>
      </c>
      <c r="AC299" s="200">
        <v>1.3071388997671035E-3</v>
      </c>
      <c r="AD299" s="200">
        <v>1.2468123328399233E-3</v>
      </c>
      <c r="AE299" s="200">
        <v>1.1887646226606977E-3</v>
      </c>
      <c r="AF299" s="200">
        <v>1.1328872070032543E-3</v>
      </c>
    </row>
    <row r="301" spans="1:32" s="893" customFormat="1" x14ac:dyDescent="0.25">
      <c r="A301" s="897" t="s">
        <v>539</v>
      </c>
      <c r="B301" s="898"/>
      <c r="C301" s="897"/>
      <c r="D301" s="896"/>
      <c r="E301" s="896"/>
      <c r="F301" s="896"/>
      <c r="G301" s="896"/>
      <c r="H301" s="894"/>
      <c r="I301" s="894"/>
      <c r="J301" s="894"/>
      <c r="K301" s="894"/>
      <c r="L301" s="894"/>
      <c r="M301" s="894"/>
      <c r="N301" s="894"/>
      <c r="O301" s="894"/>
      <c r="P301" s="894"/>
      <c r="Q301" s="894"/>
      <c r="R301" s="894"/>
      <c r="S301" s="894"/>
      <c r="T301" s="894"/>
      <c r="U301" s="894"/>
      <c r="V301" s="894"/>
      <c r="W301" s="894"/>
      <c r="X301" s="894"/>
      <c r="Y301" s="894"/>
      <c r="Z301" s="894"/>
      <c r="AA301" s="894"/>
      <c r="AB301" s="894"/>
      <c r="AC301" s="894"/>
      <c r="AD301" s="894"/>
      <c r="AE301" s="894"/>
      <c r="AF301" s="894"/>
    </row>
    <row r="302" spans="1:32" s="838" customFormat="1" x14ac:dyDescent="0.25">
      <c r="A302" s="840"/>
      <c r="B302" s="839"/>
    </row>
    <row r="303" spans="1:32" s="838" customFormat="1" x14ac:dyDescent="0.25">
      <c r="B303" s="838" t="s">
        <v>419</v>
      </c>
      <c r="G303" s="854">
        <f t="shared" ref="G303:AF303" si="0">SUM(G9:G150)</f>
        <v>27.658597504826478</v>
      </c>
      <c r="H303" s="854">
        <f t="shared" si="0"/>
        <v>27.107226203017294</v>
      </c>
      <c r="I303" s="854">
        <f t="shared" si="0"/>
        <v>26.658639665354389</v>
      </c>
      <c r="J303" s="854">
        <f t="shared" si="0"/>
        <v>25.913434850224899</v>
      </c>
      <c r="K303" s="854">
        <f t="shared" si="0"/>
        <v>25.129557788549</v>
      </c>
      <c r="L303" s="854">
        <f t="shared" si="0"/>
        <v>24.36598537321203</v>
      </c>
      <c r="M303" s="854">
        <f t="shared" si="0"/>
        <v>23.556971380363894</v>
      </c>
      <c r="N303" s="854">
        <f t="shared" si="0"/>
        <v>22.831195541813603</v>
      </c>
      <c r="O303" s="854">
        <f t="shared" si="0"/>
        <v>22.148533925769851</v>
      </c>
      <c r="P303" s="854">
        <f t="shared" si="0"/>
        <v>21.478147268680381</v>
      </c>
      <c r="Q303" s="854">
        <f t="shared" si="0"/>
        <v>20.81195097354798</v>
      </c>
      <c r="R303" s="854">
        <f t="shared" si="0"/>
        <v>20.135502908280319</v>
      </c>
      <c r="S303" s="854">
        <f t="shared" si="0"/>
        <v>19.462001335691117</v>
      </c>
      <c r="T303" s="854">
        <f t="shared" si="0"/>
        <v>18.799772077352848</v>
      </c>
      <c r="U303" s="854">
        <f t="shared" si="0"/>
        <v>18.161604477181431</v>
      </c>
      <c r="V303" s="854">
        <f t="shared" si="0"/>
        <v>17.558366790030593</v>
      </c>
      <c r="W303" s="854">
        <f t="shared" si="0"/>
        <v>16.993091392759784</v>
      </c>
      <c r="X303" s="854">
        <f t="shared" si="0"/>
        <v>16.482403416795979</v>
      </c>
      <c r="Y303" s="854">
        <f t="shared" si="0"/>
        <v>16.006620104487041</v>
      </c>
      <c r="Z303" s="854">
        <f t="shared" si="0"/>
        <v>15.573059688089755</v>
      </c>
      <c r="AA303" s="854">
        <f t="shared" si="0"/>
        <v>15.180108364112291</v>
      </c>
      <c r="AB303" s="854">
        <f t="shared" si="0"/>
        <v>14.826438233472825</v>
      </c>
      <c r="AC303" s="854">
        <f t="shared" si="0"/>
        <v>14.511257921362933</v>
      </c>
      <c r="AD303" s="854">
        <f t="shared" si="0"/>
        <v>14.232616297322403</v>
      </c>
      <c r="AE303" s="854">
        <f t="shared" si="0"/>
        <v>13.985560119543271</v>
      </c>
      <c r="AF303" s="854">
        <f t="shared" si="0"/>
        <v>13.760871788497218</v>
      </c>
    </row>
    <row r="304" spans="1:32" s="838" customFormat="1" x14ac:dyDescent="0.25">
      <c r="B304" s="838" t="s">
        <v>266</v>
      </c>
      <c r="G304" s="854">
        <f t="shared" ref="G304:AF304" si="1">SUM(G158:G299)</f>
        <v>27.658597504826478</v>
      </c>
      <c r="H304" s="854">
        <f t="shared" si="1"/>
        <v>27.107226203017294</v>
      </c>
      <c r="I304" s="854">
        <f t="shared" si="1"/>
        <v>26.658639665354389</v>
      </c>
      <c r="J304" s="854">
        <f t="shared" si="1"/>
        <v>25.913434850224899</v>
      </c>
      <c r="K304" s="854">
        <f t="shared" si="1"/>
        <v>25.129557788549</v>
      </c>
      <c r="L304" s="854">
        <f t="shared" si="1"/>
        <v>24.36598537321203</v>
      </c>
      <c r="M304" s="854">
        <f t="shared" si="1"/>
        <v>23.556971380363894</v>
      </c>
      <c r="N304" s="854">
        <f t="shared" si="1"/>
        <v>22.831195541813603</v>
      </c>
      <c r="O304" s="854">
        <f t="shared" si="1"/>
        <v>22.148533925769851</v>
      </c>
      <c r="P304" s="854">
        <f t="shared" si="1"/>
        <v>21.478147268680381</v>
      </c>
      <c r="Q304" s="854">
        <f t="shared" si="1"/>
        <v>20.81195097354798</v>
      </c>
      <c r="R304" s="854">
        <f t="shared" si="1"/>
        <v>20.135502908280319</v>
      </c>
      <c r="S304" s="854">
        <f t="shared" si="1"/>
        <v>19.462001335691117</v>
      </c>
      <c r="T304" s="854">
        <f t="shared" si="1"/>
        <v>18.799772077352848</v>
      </c>
      <c r="U304" s="854">
        <f t="shared" si="1"/>
        <v>18.161604477181431</v>
      </c>
      <c r="V304" s="854">
        <f t="shared" si="1"/>
        <v>17.558366790030593</v>
      </c>
      <c r="W304" s="854">
        <f t="shared" si="1"/>
        <v>16.993091392759784</v>
      </c>
      <c r="X304" s="854">
        <f t="shared" si="1"/>
        <v>16.482403416795979</v>
      </c>
      <c r="Y304" s="854">
        <f t="shared" si="1"/>
        <v>16.006620104487041</v>
      </c>
      <c r="Z304" s="854">
        <f t="shared" si="1"/>
        <v>15.573059688089755</v>
      </c>
      <c r="AA304" s="854">
        <f t="shared" si="1"/>
        <v>15.180108364112291</v>
      </c>
      <c r="AB304" s="854">
        <f t="shared" si="1"/>
        <v>14.826438233472825</v>
      </c>
      <c r="AC304" s="854">
        <f t="shared" si="1"/>
        <v>14.511257921362933</v>
      </c>
      <c r="AD304" s="854">
        <f t="shared" si="1"/>
        <v>14.232616297322403</v>
      </c>
      <c r="AE304" s="854">
        <f t="shared" si="1"/>
        <v>13.985560119543271</v>
      </c>
      <c r="AF304" s="854">
        <f t="shared" si="1"/>
        <v>13.760871788497218</v>
      </c>
    </row>
    <row r="306" spans="1:32" s="893" customFormat="1" x14ac:dyDescent="0.25">
      <c r="A306" s="897" t="s">
        <v>707</v>
      </c>
      <c r="B306" s="898"/>
      <c r="C306" s="897"/>
      <c r="D306" s="896"/>
      <c r="E306" s="896"/>
      <c r="F306" s="896"/>
      <c r="G306" s="896"/>
      <c r="H306" s="894"/>
      <c r="I306" s="894"/>
      <c r="J306" s="894"/>
      <c r="K306" s="894"/>
      <c r="L306" s="894"/>
      <c r="M306" s="894"/>
      <c r="N306" s="894"/>
      <c r="O306" s="894"/>
      <c r="P306" s="894"/>
      <c r="Q306" s="894"/>
      <c r="R306" s="894"/>
      <c r="S306" s="894"/>
      <c r="T306" s="894"/>
      <c r="U306" s="894"/>
      <c r="V306" s="894"/>
      <c r="W306" s="894"/>
      <c r="X306" s="894"/>
      <c r="Y306" s="894"/>
      <c r="Z306" s="894"/>
      <c r="AA306" s="894"/>
      <c r="AB306" s="894"/>
      <c r="AC306" s="894"/>
      <c r="AD306" s="894"/>
      <c r="AE306" s="894"/>
      <c r="AF306" s="894"/>
    </row>
    <row r="307" spans="1:32" s="838" customFormat="1" x14ac:dyDescent="0.25">
      <c r="A307" s="840"/>
      <c r="B307" s="839"/>
    </row>
    <row r="308" spans="1:32" s="838" customFormat="1" x14ac:dyDescent="0.25">
      <c r="B308" s="838" t="s">
        <v>419</v>
      </c>
      <c r="G308" s="982">
        <f t="shared" ref="G308:AF308" si="2">G303*1000000*Busbar/(365*24)</f>
        <v>3443.3059469022332</v>
      </c>
      <c r="H308" s="982">
        <f t="shared" si="2"/>
        <v>3374.663996342756</v>
      </c>
      <c r="I308" s="982">
        <f t="shared" si="2"/>
        <v>3318.818044914256</v>
      </c>
      <c r="J308" s="982">
        <f t="shared" si="2"/>
        <v>3226.0451495732036</v>
      </c>
      <c r="K308" s="982">
        <f t="shared" si="2"/>
        <v>3128.457824415525</v>
      </c>
      <c r="L308" s="982">
        <f t="shared" si="2"/>
        <v>3033.3982886541226</v>
      </c>
      <c r="M308" s="982">
        <f t="shared" si="2"/>
        <v>2932.681587736261</v>
      </c>
      <c r="N308" s="982">
        <f t="shared" si="2"/>
        <v>2842.3274669041371</v>
      </c>
      <c r="O308" s="982">
        <f t="shared" si="2"/>
        <v>2757.3407714711834</v>
      </c>
      <c r="P308" s="982">
        <f t="shared" si="2"/>
        <v>2673.8822243529767</v>
      </c>
      <c r="Q308" s="982">
        <f t="shared" si="2"/>
        <v>2590.9453485973158</v>
      </c>
      <c r="R308" s="982">
        <f t="shared" si="2"/>
        <v>2506.7321976774183</v>
      </c>
      <c r="S308" s="982">
        <f t="shared" si="2"/>
        <v>2422.8858649145322</v>
      </c>
      <c r="T308" s="982">
        <f t="shared" si="2"/>
        <v>2340.4428580682561</v>
      </c>
      <c r="U308" s="982">
        <f t="shared" si="2"/>
        <v>2260.9953628578746</v>
      </c>
      <c r="V308" s="982">
        <f t="shared" si="2"/>
        <v>2185.8964025725759</v>
      </c>
      <c r="W308" s="982">
        <f t="shared" si="2"/>
        <v>2115.5234873616564</v>
      </c>
      <c r="X308" s="982">
        <f t="shared" si="2"/>
        <v>2051.9463322170118</v>
      </c>
      <c r="Y308" s="982">
        <f t="shared" si="2"/>
        <v>1992.7145686243593</v>
      </c>
      <c r="Z308" s="982">
        <f t="shared" si="2"/>
        <v>1938.7392663747901</v>
      </c>
      <c r="AA308" s="982">
        <f t="shared" si="2"/>
        <v>1889.8195179870206</v>
      </c>
      <c r="AB308" s="982">
        <f t="shared" si="2"/>
        <v>1845.790009120562</v>
      </c>
      <c r="AC308" s="982">
        <f t="shared" si="2"/>
        <v>1806.5522190321415</v>
      </c>
      <c r="AD308" s="982">
        <f t="shared" si="2"/>
        <v>1771.86324534337</v>
      </c>
      <c r="AE308" s="982">
        <f t="shared" si="2"/>
        <v>1741.1064433754691</v>
      </c>
      <c r="AF308" s="982">
        <f t="shared" si="2"/>
        <v>1713.1342851214067</v>
      </c>
    </row>
    <row r="309" spans="1:32" s="838" customFormat="1" x14ac:dyDescent="0.25">
      <c r="B309" s="838" t="s">
        <v>266</v>
      </c>
      <c r="G309" s="982">
        <f t="shared" ref="G309:AF309" si="3">G304*1000000*Busbar/(365*24)</f>
        <v>3443.3059469022332</v>
      </c>
      <c r="H309" s="982">
        <f t="shared" si="3"/>
        <v>3374.663996342756</v>
      </c>
      <c r="I309" s="982">
        <f t="shared" si="3"/>
        <v>3318.818044914256</v>
      </c>
      <c r="J309" s="982">
        <f t="shared" si="3"/>
        <v>3226.0451495732036</v>
      </c>
      <c r="K309" s="982">
        <f t="shared" si="3"/>
        <v>3128.457824415525</v>
      </c>
      <c r="L309" s="982">
        <f t="shared" si="3"/>
        <v>3033.3982886541226</v>
      </c>
      <c r="M309" s="982">
        <f t="shared" si="3"/>
        <v>2932.681587736261</v>
      </c>
      <c r="N309" s="982">
        <f t="shared" si="3"/>
        <v>2842.3274669041371</v>
      </c>
      <c r="O309" s="982">
        <f t="shared" si="3"/>
        <v>2757.3407714711834</v>
      </c>
      <c r="P309" s="982">
        <f t="shared" si="3"/>
        <v>2673.8822243529767</v>
      </c>
      <c r="Q309" s="982">
        <f t="shared" si="3"/>
        <v>2590.9453485973158</v>
      </c>
      <c r="R309" s="982">
        <f t="shared" si="3"/>
        <v>2506.7321976774183</v>
      </c>
      <c r="S309" s="982">
        <f t="shared" si="3"/>
        <v>2422.8858649145322</v>
      </c>
      <c r="T309" s="982">
        <f t="shared" si="3"/>
        <v>2340.4428580682561</v>
      </c>
      <c r="U309" s="982">
        <f t="shared" si="3"/>
        <v>2260.9953628578746</v>
      </c>
      <c r="V309" s="982">
        <f t="shared" si="3"/>
        <v>2185.8964025725759</v>
      </c>
      <c r="W309" s="982">
        <f t="shared" si="3"/>
        <v>2115.5234873616564</v>
      </c>
      <c r="X309" s="982">
        <f t="shared" si="3"/>
        <v>2051.9463322170118</v>
      </c>
      <c r="Y309" s="982">
        <f t="shared" si="3"/>
        <v>1992.7145686243593</v>
      </c>
      <c r="Z309" s="982">
        <f t="shared" si="3"/>
        <v>1938.7392663747901</v>
      </c>
      <c r="AA309" s="982">
        <f t="shared" si="3"/>
        <v>1889.8195179870206</v>
      </c>
      <c r="AB309" s="982">
        <f t="shared" si="3"/>
        <v>1845.790009120562</v>
      </c>
      <c r="AC309" s="982">
        <f t="shared" si="3"/>
        <v>1806.5522190321415</v>
      </c>
      <c r="AD309" s="982">
        <f t="shared" si="3"/>
        <v>1771.86324534337</v>
      </c>
      <c r="AE309" s="982">
        <f t="shared" si="3"/>
        <v>1741.1064433754691</v>
      </c>
      <c r="AF309" s="982">
        <f t="shared" si="3"/>
        <v>1713.1342851214067</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0070C0"/>
  </sheetPr>
  <dimension ref="A1:BM299"/>
  <sheetViews>
    <sheetView topLeftCell="AP1" zoomScale="44" zoomScaleNormal="44" workbookViewId="0">
      <selection activeCell="BP47" sqref="BP47"/>
    </sheetView>
  </sheetViews>
  <sheetFormatPr defaultColWidth="9.140625" defaultRowHeight="15" x14ac:dyDescent="0.25"/>
  <cols>
    <col min="1" max="6" width="9.140625" style="838"/>
    <col min="7" max="10" width="12.5703125" style="838" customWidth="1"/>
    <col min="11" max="32" width="11.5703125" style="838" bestFit="1" customWidth="1"/>
    <col min="33" max="40" width="9.140625" style="838"/>
    <col min="41" max="41" width="11" style="838" customWidth="1"/>
    <col min="42" max="16384" width="9.140625" style="838"/>
  </cols>
  <sheetData>
    <row r="1" spans="1:65" ht="18" x14ac:dyDescent="0.4">
      <c r="A1" s="268" t="s">
        <v>500</v>
      </c>
      <c r="B1" s="839"/>
      <c r="C1" s="839"/>
      <c r="D1" s="839"/>
      <c r="E1" s="839"/>
      <c r="F1" s="839"/>
      <c r="G1" s="839"/>
      <c r="H1" s="207"/>
      <c r="I1" s="839"/>
      <c r="J1" s="839"/>
      <c r="K1" s="839"/>
      <c r="L1" s="839"/>
      <c r="M1" s="839"/>
      <c r="N1" s="839"/>
      <c r="O1" s="839"/>
      <c r="P1" s="839"/>
      <c r="Q1" s="839"/>
      <c r="R1" s="839"/>
      <c r="S1" s="839"/>
      <c r="T1" s="839"/>
      <c r="U1" s="839"/>
      <c r="V1" s="839"/>
      <c r="W1" s="839"/>
      <c r="X1" s="839"/>
      <c r="Y1" s="839"/>
      <c r="Z1" s="839"/>
      <c r="AA1" s="839"/>
      <c r="AB1" s="839"/>
      <c r="AC1" s="839"/>
      <c r="AD1" s="839"/>
      <c r="AE1" s="839"/>
      <c r="AF1" s="839"/>
    </row>
    <row r="2" spans="1:65" ht="15.6" x14ac:dyDescent="0.35">
      <c r="A2" s="269" t="s">
        <v>287</v>
      </c>
      <c r="B2" s="839"/>
      <c r="C2" s="839"/>
      <c r="D2" s="839"/>
      <c r="E2" s="839"/>
      <c r="F2" s="839"/>
      <c r="G2" s="839"/>
      <c r="H2" s="207"/>
      <c r="I2" s="839"/>
      <c r="J2" s="839"/>
      <c r="K2" s="839"/>
      <c r="L2" s="839"/>
      <c r="M2" s="839"/>
      <c r="N2" s="839"/>
      <c r="O2" s="839"/>
      <c r="P2" s="839"/>
      <c r="Q2" s="839"/>
      <c r="R2" s="839"/>
      <c r="S2" s="839"/>
      <c r="T2" s="839"/>
      <c r="U2" s="839"/>
      <c r="V2" s="839"/>
      <c r="W2" s="839"/>
      <c r="X2" s="839"/>
      <c r="Y2" s="839"/>
      <c r="Z2" s="839"/>
      <c r="AA2" s="839"/>
      <c r="AB2" s="839"/>
      <c r="AC2" s="839"/>
      <c r="AD2" s="839"/>
      <c r="AE2" s="839"/>
      <c r="AF2" s="839"/>
    </row>
    <row r="3" spans="1:65" ht="14.45" x14ac:dyDescent="0.35">
      <c r="A3" s="839"/>
      <c r="B3" s="839"/>
      <c r="C3" s="839"/>
      <c r="D3" s="824"/>
      <c r="E3" s="208"/>
      <c r="F3" s="208"/>
      <c r="G3" s="208">
        <v>2010</v>
      </c>
      <c r="H3" s="208">
        <v>2011</v>
      </c>
      <c r="I3" s="208">
        <v>2012</v>
      </c>
      <c r="J3" s="208">
        <v>2013</v>
      </c>
      <c r="K3" s="208">
        <v>2014</v>
      </c>
      <c r="L3" s="208">
        <v>2015</v>
      </c>
      <c r="M3" s="208">
        <v>2016</v>
      </c>
      <c r="N3" s="208">
        <v>2017</v>
      </c>
      <c r="O3" s="208">
        <v>2018</v>
      </c>
      <c r="P3" s="208">
        <v>2019</v>
      </c>
      <c r="Q3" s="208">
        <v>2020</v>
      </c>
      <c r="R3" s="208">
        <v>2021</v>
      </c>
      <c r="S3" s="208">
        <v>2022</v>
      </c>
      <c r="T3" s="208">
        <v>2023</v>
      </c>
      <c r="U3" s="208">
        <v>2024</v>
      </c>
      <c r="V3" s="208">
        <v>2025</v>
      </c>
      <c r="W3" s="208">
        <v>2026</v>
      </c>
      <c r="X3" s="208">
        <v>2027</v>
      </c>
      <c r="Y3" s="208">
        <v>2028</v>
      </c>
      <c r="Z3" s="208">
        <v>2029</v>
      </c>
      <c r="AA3" s="208">
        <v>2030</v>
      </c>
      <c r="AB3" s="208">
        <v>2031</v>
      </c>
      <c r="AC3" s="208">
        <v>2032</v>
      </c>
      <c r="AD3" s="208">
        <v>2033</v>
      </c>
      <c r="AE3" s="208">
        <v>2034</v>
      </c>
      <c r="AF3" s="208">
        <v>2035</v>
      </c>
      <c r="AI3" s="1041"/>
      <c r="AJ3" s="1041"/>
      <c r="AK3" s="824"/>
      <c r="AL3" s="208"/>
      <c r="AM3" s="208"/>
      <c r="AN3" s="208">
        <v>2010</v>
      </c>
      <c r="AO3" s="208">
        <v>2011</v>
      </c>
      <c r="AP3" s="208">
        <v>2012</v>
      </c>
      <c r="AQ3" s="208">
        <v>2013</v>
      </c>
      <c r="AR3" s="208">
        <v>2014</v>
      </c>
      <c r="AS3" s="208">
        <v>2015</v>
      </c>
      <c r="AT3" s="208">
        <v>2016</v>
      </c>
      <c r="AU3" s="208">
        <v>2017</v>
      </c>
      <c r="AV3" s="208">
        <v>2018</v>
      </c>
      <c r="AW3" s="208">
        <v>2019</v>
      </c>
      <c r="AX3" s="1184">
        <v>2020</v>
      </c>
      <c r="AY3" s="208">
        <v>2021</v>
      </c>
      <c r="AZ3" s="208">
        <v>2022</v>
      </c>
      <c r="BA3" s="208">
        <v>2023</v>
      </c>
      <c r="BB3" s="208">
        <v>2024</v>
      </c>
      <c r="BC3" s="208">
        <v>2025</v>
      </c>
      <c r="BD3" s="208">
        <v>2026</v>
      </c>
      <c r="BE3" s="208">
        <v>2027</v>
      </c>
      <c r="BF3" s="208">
        <v>2028</v>
      </c>
      <c r="BG3" s="208">
        <v>2029</v>
      </c>
      <c r="BH3" s="208">
        <v>2030</v>
      </c>
      <c r="BI3" s="208">
        <v>2031</v>
      </c>
      <c r="BJ3" s="208">
        <v>2032</v>
      </c>
      <c r="BK3" s="208">
        <v>2033</v>
      </c>
      <c r="BL3" s="208">
        <v>2034</v>
      </c>
      <c r="BM3" s="208">
        <v>2035</v>
      </c>
    </row>
    <row r="4" spans="1:65" ht="14.45" x14ac:dyDescent="0.35">
      <c r="A4" s="897" t="s">
        <v>501</v>
      </c>
      <c r="B4" s="898"/>
      <c r="C4" s="897"/>
      <c r="D4" s="896"/>
      <c r="E4" s="896"/>
      <c r="F4" s="896"/>
      <c r="G4" s="896"/>
      <c r="H4" s="894"/>
      <c r="I4" s="894"/>
      <c r="J4" s="894"/>
      <c r="K4" s="894"/>
      <c r="L4" s="894"/>
      <c r="M4" s="894"/>
      <c r="N4" s="894"/>
      <c r="O4" s="894"/>
      <c r="P4" s="894"/>
      <c r="Q4" s="894"/>
      <c r="R4" s="894"/>
      <c r="S4" s="894"/>
      <c r="T4" s="894"/>
      <c r="U4" s="894"/>
      <c r="V4" s="894"/>
      <c r="W4" s="894"/>
      <c r="X4" s="894"/>
      <c r="Y4" s="894"/>
      <c r="Z4" s="894"/>
      <c r="AA4" s="894"/>
      <c r="AB4" s="894"/>
      <c r="AC4" s="894"/>
      <c r="AD4" s="894"/>
      <c r="AE4" s="894"/>
      <c r="AF4" s="894"/>
      <c r="AH4" s="1052" t="s">
        <v>501</v>
      </c>
      <c r="AI4" s="1053"/>
      <c r="AJ4" s="1052"/>
      <c r="AK4" s="1051"/>
      <c r="AL4" s="1051"/>
      <c r="AM4" s="1051"/>
      <c r="AN4" s="1051"/>
      <c r="AO4" s="894"/>
      <c r="AP4" s="894"/>
      <c r="AQ4" s="894"/>
      <c r="AR4" s="894"/>
      <c r="AS4" s="894"/>
      <c r="AT4" s="894"/>
      <c r="AU4" s="894"/>
      <c r="AV4" s="894"/>
      <c r="AW4" s="894"/>
      <c r="AX4" s="1157"/>
      <c r="AY4" s="894"/>
      <c r="AZ4" s="894"/>
      <c r="BA4" s="894"/>
      <c r="BB4" s="894"/>
      <c r="BC4" s="894"/>
      <c r="BD4" s="894"/>
      <c r="BE4" s="894"/>
      <c r="BF4" s="894"/>
      <c r="BG4" s="894"/>
      <c r="BH4" s="894"/>
      <c r="BI4" s="894"/>
      <c r="BJ4" s="894"/>
      <c r="BK4" s="894"/>
      <c r="BL4" s="894"/>
      <c r="BM4" s="894"/>
    </row>
    <row r="5" spans="1:65" ht="14.45" x14ac:dyDescent="0.35">
      <c r="A5" s="860" t="s">
        <v>55</v>
      </c>
      <c r="B5" s="861"/>
      <c r="C5" s="860"/>
      <c r="D5" s="859"/>
      <c r="E5" s="859"/>
      <c r="F5" s="859"/>
      <c r="G5" s="859"/>
      <c r="H5" s="862"/>
      <c r="I5" s="862"/>
      <c r="J5" s="862"/>
      <c r="K5" s="862"/>
      <c r="L5" s="862"/>
      <c r="M5" s="862"/>
      <c r="N5" s="862"/>
      <c r="O5" s="862"/>
      <c r="P5" s="862"/>
      <c r="Q5" s="862"/>
      <c r="R5" s="862"/>
      <c r="S5" s="862"/>
      <c r="T5" s="862"/>
      <c r="U5" s="862"/>
      <c r="V5" s="862"/>
      <c r="W5" s="862"/>
      <c r="X5" s="862"/>
      <c r="Y5" s="862"/>
      <c r="Z5" s="862"/>
      <c r="AA5" s="862"/>
      <c r="AB5" s="862"/>
      <c r="AC5" s="862"/>
      <c r="AD5" s="862"/>
      <c r="AE5" s="862"/>
      <c r="AF5" s="862"/>
      <c r="AH5" s="1145" t="s">
        <v>768</v>
      </c>
      <c r="AI5" s="1048"/>
      <c r="AJ5" s="1047"/>
      <c r="AK5" s="1046"/>
      <c r="AL5" s="1046"/>
      <c r="AM5" s="1046"/>
      <c r="AN5" s="1046"/>
      <c r="AO5" s="862"/>
      <c r="AP5" s="862"/>
      <c r="AQ5" s="862"/>
      <c r="AR5" s="862"/>
      <c r="AS5" s="862"/>
      <c r="AT5" s="862"/>
      <c r="AU5" s="862"/>
      <c r="AV5" s="862"/>
      <c r="AW5" s="862"/>
      <c r="AX5" s="1157"/>
      <c r="AY5" s="862"/>
      <c r="AZ5" s="862"/>
      <c r="BA5" s="862"/>
      <c r="BB5" s="862"/>
      <c r="BC5" s="862"/>
      <c r="BD5" s="862"/>
      <c r="BE5" s="862"/>
      <c r="BF5" s="862"/>
      <c r="BG5" s="862"/>
      <c r="BH5" s="862"/>
      <c r="BI5" s="862"/>
      <c r="BJ5" s="862"/>
      <c r="BK5" s="862"/>
      <c r="BL5" s="862"/>
      <c r="BM5" s="862"/>
    </row>
    <row r="6" spans="1:65" ht="14.45" x14ac:dyDescent="0.35">
      <c r="A6" s="840" t="s">
        <v>12</v>
      </c>
      <c r="B6" s="839"/>
      <c r="AH6" s="1042" t="s">
        <v>12</v>
      </c>
      <c r="AI6" s="1041"/>
      <c r="AJ6" s="1059"/>
      <c r="AK6" s="1059"/>
      <c r="AL6" s="1059"/>
      <c r="AM6" s="1059"/>
      <c r="AN6" s="1059"/>
      <c r="AO6" s="1059"/>
      <c r="AP6" s="1059"/>
      <c r="AQ6" s="1059"/>
      <c r="AR6" s="1059"/>
      <c r="AS6" s="1059"/>
      <c r="AT6" s="1059"/>
      <c r="AU6" s="1059"/>
      <c r="AV6" s="1059"/>
      <c r="AW6" s="1059"/>
      <c r="AX6" s="1158"/>
      <c r="AY6" s="1059"/>
      <c r="AZ6" s="1059"/>
      <c r="BA6" s="1059"/>
      <c r="BB6" s="1059"/>
      <c r="BC6" s="1059"/>
      <c r="BD6" s="1059"/>
      <c r="BE6" s="1059"/>
      <c r="BF6" s="1059"/>
      <c r="BG6" s="1059"/>
      <c r="BH6" s="1059"/>
      <c r="BI6" s="1059"/>
      <c r="BJ6" s="1059"/>
      <c r="BK6" s="1059"/>
      <c r="BL6" s="1059"/>
      <c r="BM6" s="1059"/>
    </row>
    <row r="7" spans="1:65" ht="14.45" x14ac:dyDescent="0.35">
      <c r="A7" s="839"/>
      <c r="B7" s="839" t="s">
        <v>20</v>
      </c>
      <c r="AH7" s="1041"/>
      <c r="AI7" s="1041" t="s">
        <v>20</v>
      </c>
      <c r="AJ7" s="1059"/>
      <c r="AK7" s="1059"/>
      <c r="AL7" s="1059"/>
      <c r="AM7" s="1059"/>
      <c r="AN7" s="1059"/>
      <c r="AO7" s="1059"/>
      <c r="AP7" s="1059"/>
      <c r="AQ7" s="1059"/>
      <c r="AR7" s="1059"/>
      <c r="AS7" s="1059"/>
      <c r="AT7" s="1059"/>
      <c r="AU7" s="1059"/>
      <c r="AV7" s="1059"/>
      <c r="AW7" s="1059"/>
      <c r="AX7" s="1158"/>
      <c r="AY7" s="1059"/>
      <c r="AZ7" s="1059"/>
      <c r="BA7" s="1059"/>
      <c r="BB7" s="1059"/>
      <c r="BC7" s="1059"/>
      <c r="BD7" s="1059"/>
      <c r="BE7" s="1059"/>
      <c r="BF7" s="1059"/>
      <c r="BG7" s="1059"/>
      <c r="BH7" s="1059"/>
      <c r="BI7" s="1059"/>
      <c r="BJ7" s="1059"/>
      <c r="BK7" s="1059"/>
      <c r="BL7" s="1059"/>
      <c r="BM7" s="1059"/>
    </row>
    <row r="8" spans="1:65" s="856" customFormat="1" ht="12.95" x14ac:dyDescent="0.3">
      <c r="A8" s="843" t="s">
        <v>21</v>
      </c>
      <c r="B8" s="843"/>
      <c r="C8" s="843"/>
      <c r="D8" s="843"/>
      <c r="E8" s="843"/>
      <c r="F8" s="843"/>
      <c r="G8" s="843"/>
      <c r="H8" s="843"/>
      <c r="I8" s="843"/>
      <c r="J8" s="843"/>
      <c r="K8" s="843"/>
      <c r="L8" s="843"/>
      <c r="M8" s="843"/>
      <c r="N8" s="843"/>
      <c r="O8" s="843"/>
      <c r="P8" s="843"/>
      <c r="Q8" s="843"/>
      <c r="R8" s="843"/>
      <c r="S8" s="843"/>
      <c r="T8" s="843"/>
      <c r="U8" s="843"/>
      <c r="V8" s="843"/>
      <c r="W8" s="843"/>
      <c r="X8" s="843"/>
      <c r="Y8" s="843"/>
      <c r="Z8" s="843"/>
      <c r="AA8" s="843"/>
      <c r="AB8" s="843"/>
      <c r="AC8" s="843"/>
      <c r="AD8" s="843"/>
      <c r="AE8" s="843"/>
      <c r="AF8" s="843"/>
      <c r="AH8" s="843" t="s">
        <v>21</v>
      </c>
      <c r="AI8" s="843"/>
      <c r="AJ8" s="843"/>
      <c r="AK8" s="843"/>
      <c r="AL8" s="843"/>
      <c r="AM8" s="843"/>
      <c r="AN8" s="843"/>
      <c r="AO8" s="843"/>
      <c r="AP8" s="843"/>
      <c r="AQ8" s="843"/>
      <c r="AR8" s="843"/>
      <c r="AS8" s="843"/>
      <c r="AT8" s="843"/>
      <c r="AU8" s="843"/>
      <c r="AV8" s="843"/>
      <c r="AW8" s="843"/>
      <c r="AX8" s="1159"/>
      <c r="AY8" s="843"/>
      <c r="AZ8" s="843"/>
      <c r="BA8" s="843"/>
      <c r="BB8" s="843"/>
      <c r="BC8" s="843"/>
      <c r="BD8" s="843"/>
      <c r="BE8" s="843"/>
      <c r="BF8" s="843"/>
      <c r="BG8" s="843"/>
      <c r="BH8" s="843"/>
      <c r="BI8" s="843"/>
      <c r="BJ8" s="843"/>
      <c r="BK8" s="843"/>
      <c r="BL8" s="843"/>
      <c r="BM8" s="843"/>
    </row>
    <row r="9" spans="1:65" s="864" customFormat="1" ht="14.45" x14ac:dyDescent="0.35">
      <c r="A9" s="839"/>
      <c r="B9" s="839" t="s">
        <v>22</v>
      </c>
      <c r="C9" s="838"/>
      <c r="D9" s="838"/>
      <c r="E9" s="838"/>
      <c r="F9" s="838"/>
      <c r="G9" s="854"/>
      <c r="H9" s="854">
        <v>3.813505524327109</v>
      </c>
      <c r="I9" s="854">
        <v>2.7891030271430512</v>
      </c>
      <c r="J9" s="854">
        <v>1.6375996983277028</v>
      </c>
      <c r="K9" s="854">
        <v>1.0871086042226905</v>
      </c>
      <c r="L9" s="854">
        <v>0.6628718993720919</v>
      </c>
      <c r="M9" s="854">
        <v>0.22142289920960001</v>
      </c>
      <c r="N9" s="854">
        <v>0.18796745528833872</v>
      </c>
      <c r="O9" s="854">
        <v>0.16254000679524411</v>
      </c>
      <c r="P9" s="854">
        <v>0.13960718686571968</v>
      </c>
      <c r="Q9" s="854">
        <v>0.11697507471129084</v>
      </c>
      <c r="R9" s="854">
        <v>9.5471991976596393E-2</v>
      </c>
      <c r="S9" s="854">
        <v>7.6953984189886929E-2</v>
      </c>
      <c r="T9" s="854">
        <v>6.1796012799660467E-2</v>
      </c>
      <c r="U9" s="854">
        <v>4.9422146024521399E-2</v>
      </c>
      <c r="V9" s="854">
        <v>3.9989463378537302E-2</v>
      </c>
      <c r="W9" s="854">
        <v>3.269846946259939E-2</v>
      </c>
      <c r="X9" s="854">
        <v>2.7070885750733346E-2</v>
      </c>
      <c r="Y9" s="854">
        <v>2.2747008875994248E-2</v>
      </c>
      <c r="Z9" s="854">
        <v>1.9399146416755657E-2</v>
      </c>
      <c r="AA9" s="854">
        <v>1.6837848330060943E-2</v>
      </c>
      <c r="AB9" s="854">
        <v>1.4741769146381169E-2</v>
      </c>
      <c r="AC9" s="854">
        <v>1.3069603440911744E-2</v>
      </c>
      <c r="AD9" s="854">
        <v>1.1663761418433286E-2</v>
      </c>
      <c r="AE9" s="854">
        <v>1.0452295200778398E-2</v>
      </c>
      <c r="AF9" s="854">
        <v>9.2528745000659968E-3</v>
      </c>
      <c r="AH9" s="1041"/>
      <c r="AI9" s="1041" t="s">
        <v>22</v>
      </c>
      <c r="AJ9" s="1059"/>
      <c r="AK9" s="1059"/>
      <c r="AL9" s="1059"/>
      <c r="AM9" s="1059"/>
      <c r="AN9" s="1045"/>
      <c r="AO9" s="1045">
        <f>H9+H46+H83+H120</f>
        <v>28.151765634254673</v>
      </c>
      <c r="AP9" s="1045">
        <f t="shared" ref="AP9:BM12" si="0">I9+I46+I83+I120</f>
        <v>24.0946764417921</v>
      </c>
      <c r="AQ9" s="1045">
        <f t="shared" si="0"/>
        <v>16.057712742733766</v>
      </c>
      <c r="AR9" s="1045">
        <f t="shared" si="0"/>
        <v>11.069118339265779</v>
      </c>
      <c r="AS9" s="1045">
        <f t="shared" si="0"/>
        <v>7.064623631010563</v>
      </c>
      <c r="AT9" s="1045">
        <f t="shared" si="0"/>
        <v>2.5659556589726762</v>
      </c>
      <c r="AU9" s="1045">
        <f t="shared" si="0"/>
        <v>2.1383892418632189</v>
      </c>
      <c r="AV9" s="1045">
        <f t="shared" si="0"/>
        <v>1.8098404563832484</v>
      </c>
      <c r="AW9" s="1045">
        <f t="shared" si="0"/>
        <v>1.5436312971565629</v>
      </c>
      <c r="AX9" s="1158">
        <f t="shared" si="0"/>
        <v>1.2990627626843554</v>
      </c>
      <c r="AY9" s="1045">
        <f t="shared" si="0"/>
        <v>1.0718438786526492</v>
      </c>
      <c r="AZ9" s="1045">
        <f t="shared" si="0"/>
        <v>0.87501824147364693</v>
      </c>
      <c r="BA9" s="1045">
        <f t="shared" si="0"/>
        <v>0.70732411042478927</v>
      </c>
      <c r="BB9" s="1045">
        <f t="shared" si="0"/>
        <v>0.56716554902336858</v>
      </c>
      <c r="BC9" s="1045">
        <f t="shared" si="0"/>
        <v>0.45685614875528235</v>
      </c>
      <c r="BD9" s="1045">
        <f t="shared" si="0"/>
        <v>0.36848657219202263</v>
      </c>
      <c r="BE9" s="1045">
        <f t="shared" si="0"/>
        <v>0.29843540842956706</v>
      </c>
      <c r="BF9" s="1045">
        <f t="shared" si="0"/>
        <v>0.24338796831731213</v>
      </c>
      <c r="BG9" s="1045">
        <f t="shared" si="0"/>
        <v>0.2010965999824722</v>
      </c>
      <c r="BH9" s="1045">
        <f t="shared" si="0"/>
        <v>0.16892508033341352</v>
      </c>
      <c r="BI9" s="1045">
        <f t="shared" si="0"/>
        <v>0.14313260145478901</v>
      </c>
      <c r="BJ9" s="1045">
        <f t="shared" si="0"/>
        <v>0.12262146870772744</v>
      </c>
      <c r="BK9" s="1045">
        <f t="shared" si="0"/>
        <v>0.1058698139161796</v>
      </c>
      <c r="BL9" s="1045">
        <f t="shared" si="0"/>
        <v>9.1878728952889649E-2</v>
      </c>
      <c r="BM9" s="1045">
        <f t="shared" si="0"/>
        <v>7.8831466877165177E-2</v>
      </c>
    </row>
    <row r="10" spans="1:65" s="864" customFormat="1" ht="14.45" x14ac:dyDescent="0.35">
      <c r="A10" s="839"/>
      <c r="B10" s="839" t="s">
        <v>26</v>
      </c>
      <c r="C10" s="838"/>
      <c r="D10" s="838"/>
      <c r="E10" s="838"/>
      <c r="F10" s="838"/>
      <c r="G10" s="854"/>
      <c r="H10" s="854">
        <v>7.8764048649332868E-2</v>
      </c>
      <c r="I10" s="854">
        <v>0.28603958888264486</v>
      </c>
      <c r="J10" s="854">
        <v>0.76600740487760199</v>
      </c>
      <c r="K10" s="854">
        <v>1.0383568859100267</v>
      </c>
      <c r="L10" s="854">
        <v>1.0628191139402472</v>
      </c>
      <c r="M10" s="854">
        <v>1.0258977677738683</v>
      </c>
      <c r="N10" s="854">
        <v>0.89970489151871158</v>
      </c>
      <c r="O10" s="854">
        <v>0.80236619717420166</v>
      </c>
      <c r="P10" s="854">
        <v>0.70837956273289682</v>
      </c>
      <c r="Q10" s="854">
        <v>0.61222797695750786</v>
      </c>
      <c r="R10" s="854">
        <v>0.51699182667899457</v>
      </c>
      <c r="S10" s="854">
        <v>0.43166965978721544</v>
      </c>
      <c r="T10" s="854">
        <v>0.35957571867059013</v>
      </c>
      <c r="U10" s="854">
        <v>0.29898695760615229</v>
      </c>
      <c r="V10" s="854">
        <v>0.25143744640623128</v>
      </c>
      <c r="W10" s="854">
        <v>0.21389000968336708</v>
      </c>
      <c r="X10" s="854">
        <v>0.18463935575314055</v>
      </c>
      <c r="Y10" s="854">
        <v>0.16196373048023058</v>
      </c>
      <c r="Z10" s="854">
        <v>0.144135413294389</v>
      </c>
      <c r="AA10" s="854">
        <v>0.13037582338108816</v>
      </c>
      <c r="AB10" s="854">
        <v>0.11911323288564335</v>
      </c>
      <c r="AC10" s="854">
        <v>0.11018249564744376</v>
      </c>
      <c r="AD10" s="854">
        <v>0.10264745264053163</v>
      </c>
      <c r="AE10" s="854">
        <v>9.6110797787645974E-2</v>
      </c>
      <c r="AF10" s="854">
        <v>8.9361577288094143E-2</v>
      </c>
      <c r="AH10" s="1041"/>
      <c r="AI10" s="1041" t="s">
        <v>26</v>
      </c>
      <c r="AJ10" s="1059"/>
      <c r="AK10" s="1059"/>
      <c r="AL10" s="1059"/>
      <c r="AM10" s="1059"/>
      <c r="AN10" s="1045"/>
      <c r="AO10" s="1045">
        <f t="shared" ref="AO10:AO12" si="1">H10+H47+H84+H121</f>
        <v>0.49931347347654637</v>
      </c>
      <c r="AP10" s="1045">
        <f t="shared" si="0"/>
        <v>2.0967525923651769</v>
      </c>
      <c r="AQ10" s="1045">
        <f t="shared" si="0"/>
        <v>6.2571266066764171</v>
      </c>
      <c r="AR10" s="1045">
        <f t="shared" si="0"/>
        <v>8.7626993217963154</v>
      </c>
      <c r="AS10" s="1045">
        <f t="shared" si="0"/>
        <v>9.3426109932072237</v>
      </c>
      <c r="AT10" s="1045">
        <f t="shared" si="0"/>
        <v>9.7263407315953021</v>
      </c>
      <c r="AU10" s="1045">
        <f t="shared" si="0"/>
        <v>8.4263777123823314</v>
      </c>
      <c r="AV10" s="1045">
        <f t="shared" si="0"/>
        <v>7.3906142134736017</v>
      </c>
      <c r="AW10" s="1045">
        <f t="shared" si="0"/>
        <v>6.5074756089644685</v>
      </c>
      <c r="AX10" s="1158">
        <f t="shared" si="0"/>
        <v>5.6648219796773223</v>
      </c>
      <c r="AY10" s="1045">
        <f t="shared" si="0"/>
        <v>4.8502577120740895</v>
      </c>
      <c r="AZ10" s="1045">
        <f t="shared" si="0"/>
        <v>4.1173601749874438</v>
      </c>
      <c r="BA10" s="1045">
        <f t="shared" si="0"/>
        <v>3.4698400083045349</v>
      </c>
      <c r="BB10" s="1045">
        <f t="shared" si="0"/>
        <v>2.9100645879224754</v>
      </c>
      <c r="BC10" s="1045">
        <f t="shared" si="0"/>
        <v>2.4554882396841973</v>
      </c>
      <c r="BD10" s="1045">
        <f t="shared" si="0"/>
        <v>2.0807113702929398</v>
      </c>
      <c r="BE10" s="1045">
        <f t="shared" si="0"/>
        <v>1.7752561157901054</v>
      </c>
      <c r="BF10" s="1045">
        <f t="shared" si="0"/>
        <v>1.5287872647038476</v>
      </c>
      <c r="BG10" s="1045">
        <f t="shared" si="0"/>
        <v>1.335151663132387</v>
      </c>
      <c r="BH10" s="1045">
        <f t="shared" si="0"/>
        <v>1.1854535207503685</v>
      </c>
      <c r="BI10" s="1045">
        <f t="shared" si="0"/>
        <v>1.0637622645797855</v>
      </c>
      <c r="BJ10" s="1045">
        <f t="shared" si="0"/>
        <v>0.9637642680103693</v>
      </c>
      <c r="BK10" s="1045">
        <f t="shared" si="0"/>
        <v>0.88001658658062087</v>
      </c>
      <c r="BL10" s="1045">
        <f t="shared" si="0"/>
        <v>0.80792712319472593</v>
      </c>
      <c r="BM10" s="1045">
        <f t="shared" si="0"/>
        <v>0.73661765732626883</v>
      </c>
    </row>
    <row r="11" spans="1:65" s="864" customFormat="1" ht="14.45" x14ac:dyDescent="0.35">
      <c r="A11" s="839"/>
      <c r="B11" s="839" t="s">
        <v>27</v>
      </c>
      <c r="C11" s="838"/>
      <c r="D11" s="838"/>
      <c r="E11" s="838"/>
      <c r="F11" s="838"/>
      <c r="G11" s="854"/>
      <c r="H11" s="854">
        <v>4.8594971223311303</v>
      </c>
      <c r="I11" s="854">
        <v>4.1816455396371639</v>
      </c>
      <c r="J11" s="854">
        <v>4.3823757603012368</v>
      </c>
      <c r="K11" s="854">
        <v>4.2043305997073874</v>
      </c>
      <c r="L11" s="854">
        <v>4.2922021033477451</v>
      </c>
      <c r="M11" s="854">
        <v>4.2627864483367262</v>
      </c>
      <c r="N11" s="854">
        <v>3.810853681228449</v>
      </c>
      <c r="O11" s="854">
        <v>3.4447552849349652</v>
      </c>
      <c r="P11" s="854">
        <v>3.0516873156132491</v>
      </c>
      <c r="Q11" s="854">
        <v>2.6635852119041608</v>
      </c>
      <c r="R11" s="854">
        <v>2.2890561536389362</v>
      </c>
      <c r="S11" s="854">
        <v>1.9434223958594907</v>
      </c>
      <c r="T11" s="854">
        <v>1.6483174294340359</v>
      </c>
      <c r="U11" s="854">
        <v>1.3999052718835592</v>
      </c>
      <c r="V11" s="854">
        <v>1.1991011541017937</v>
      </c>
      <c r="W11" s="854">
        <v>1.0421603748223403</v>
      </c>
      <c r="X11" s="854">
        <v>0.92203992302412252</v>
      </c>
      <c r="Y11" s="854">
        <v>0.83145271171332369</v>
      </c>
      <c r="Z11" s="854">
        <v>0.76034173158773211</v>
      </c>
      <c r="AA11" s="854">
        <v>0.70543038563624705</v>
      </c>
      <c r="AB11" s="854">
        <v>0.66348325322732304</v>
      </c>
      <c r="AC11" s="854">
        <v>0.63196187091799905</v>
      </c>
      <c r="AD11" s="854">
        <v>0.60698995167982539</v>
      </c>
      <c r="AE11" s="854">
        <v>0.5872215613600682</v>
      </c>
      <c r="AF11" s="854">
        <v>0.57047389304130958</v>
      </c>
      <c r="AH11" s="1041"/>
      <c r="AI11" s="1041" t="s">
        <v>27</v>
      </c>
      <c r="AJ11" s="1059"/>
      <c r="AK11" s="1059"/>
      <c r="AL11" s="1059"/>
      <c r="AM11" s="1059"/>
      <c r="AN11" s="1045"/>
      <c r="AO11" s="1045">
        <f t="shared" si="1"/>
        <v>15.463801837081935</v>
      </c>
      <c r="AP11" s="1045">
        <f t="shared" si="0"/>
        <v>14.955109281224058</v>
      </c>
      <c r="AQ11" s="1045">
        <f t="shared" si="0"/>
        <v>16.986131245478255</v>
      </c>
      <c r="AR11" s="1045">
        <f t="shared" si="0"/>
        <v>16.766614405189539</v>
      </c>
      <c r="AS11" s="1045">
        <f t="shared" si="0"/>
        <v>17.716488100651706</v>
      </c>
      <c r="AT11" s="1045">
        <f t="shared" si="0"/>
        <v>18.767473489483908</v>
      </c>
      <c r="AU11" s="1045">
        <f t="shared" si="0"/>
        <v>16.786886137242977</v>
      </c>
      <c r="AV11" s="1045">
        <f t="shared" si="0"/>
        <v>15.096748434551424</v>
      </c>
      <c r="AW11" s="1045">
        <f t="shared" si="0"/>
        <v>13.453311320629121</v>
      </c>
      <c r="AX11" s="1158">
        <f>Q11+Q48+Q85+Q122</f>
        <v>11.911541969036779</v>
      </c>
      <c r="AY11" s="1045">
        <f t="shared" si="0"/>
        <v>10.451188031361701</v>
      </c>
      <c r="AZ11" s="1045">
        <f t="shared" si="0"/>
        <v>9.09080529607545</v>
      </c>
      <c r="BA11" s="1045">
        <f t="shared" si="0"/>
        <v>7.8742536696496028</v>
      </c>
      <c r="BB11" s="1045">
        <f t="shared" si="0"/>
        <v>6.8183515836617037</v>
      </c>
      <c r="BC11" s="1045">
        <f t="shared" si="0"/>
        <v>5.9333265491842635</v>
      </c>
      <c r="BD11" s="1045">
        <f t="shared" si="0"/>
        <v>5.2105017514876186</v>
      </c>
      <c r="BE11" s="1045">
        <f t="shared" si="0"/>
        <v>4.6265767187408784</v>
      </c>
      <c r="BF11" s="1045">
        <f t="shared" si="0"/>
        <v>4.1629770860873139</v>
      </c>
      <c r="BG11" s="1045">
        <f t="shared" si="0"/>
        <v>3.7985806449952082</v>
      </c>
      <c r="BH11" s="1045">
        <f t="shared" si="0"/>
        <v>3.5170937038278858</v>
      </c>
      <c r="BI11" s="1045">
        <f t="shared" si="0"/>
        <v>3.3028734546523135</v>
      </c>
      <c r="BJ11" s="1045">
        <f t="shared" si="0"/>
        <v>3.1290393657266438</v>
      </c>
      <c r="BK11" s="1045">
        <f t="shared" si="0"/>
        <v>2.9888288131651422</v>
      </c>
      <c r="BL11" s="1045">
        <f t="shared" si="0"/>
        <v>2.8749529952398651</v>
      </c>
      <c r="BM11" s="1045">
        <f t="shared" si="0"/>
        <v>2.7766364781484332</v>
      </c>
    </row>
    <row r="12" spans="1:65" s="864" customFormat="1" ht="14.45" x14ac:dyDescent="0.35">
      <c r="A12" s="839"/>
      <c r="B12" s="839" t="s">
        <v>29</v>
      </c>
      <c r="C12" s="838"/>
      <c r="D12" s="838"/>
      <c r="E12" s="838"/>
      <c r="F12" s="838"/>
      <c r="G12" s="854"/>
      <c r="H12" s="854">
        <v>1.7393893986906574E-2</v>
      </c>
      <c r="I12" s="854">
        <v>4.4255824957658722E-2</v>
      </c>
      <c r="J12" s="854">
        <v>8.311828987421932E-2</v>
      </c>
      <c r="K12" s="854">
        <v>0.17065145955775884</v>
      </c>
      <c r="L12" s="854">
        <v>0.33144659680772115</v>
      </c>
      <c r="M12" s="854">
        <v>0.56813750021304865</v>
      </c>
      <c r="N12" s="854">
        <v>0.8237487048954002</v>
      </c>
      <c r="O12" s="854">
        <v>1.1173322109429795</v>
      </c>
      <c r="P12" s="854">
        <v>1.3995370752217384</v>
      </c>
      <c r="Q12" s="854">
        <v>1.6558837550994623</v>
      </c>
      <c r="R12" s="854">
        <v>1.8593186897910763</v>
      </c>
      <c r="S12" s="854">
        <v>2.0051194310379006</v>
      </c>
      <c r="T12" s="854">
        <v>2.1055802935959869</v>
      </c>
      <c r="U12" s="854">
        <v>2.1628750310618052</v>
      </c>
      <c r="V12" s="854">
        <v>2.1883820256208537</v>
      </c>
      <c r="W12" s="854">
        <v>2.1969337555984541</v>
      </c>
      <c r="X12" s="854">
        <v>2.200462471770634</v>
      </c>
      <c r="Y12" s="854">
        <v>2.2045606401517794</v>
      </c>
      <c r="Z12" s="854">
        <v>2.2016887334806383</v>
      </c>
      <c r="AA12" s="854">
        <v>2.197512199719144</v>
      </c>
      <c r="AB12" s="854">
        <v>2.1985911502216151</v>
      </c>
      <c r="AC12" s="854">
        <v>2.2059207327509154</v>
      </c>
      <c r="AD12" s="854">
        <v>2.2149077294966908</v>
      </c>
      <c r="AE12" s="854">
        <v>2.2271263578113132</v>
      </c>
      <c r="AF12" s="854">
        <v>2.2438494321392013</v>
      </c>
      <c r="AH12" s="1041"/>
      <c r="AI12" s="1041" t="s">
        <v>29</v>
      </c>
      <c r="AJ12" s="1059"/>
      <c r="AK12" s="1059"/>
      <c r="AL12" s="1059"/>
      <c r="AM12" s="1059"/>
      <c r="AN12" s="1045"/>
      <c r="AO12" s="1045">
        <f t="shared" si="1"/>
        <v>0.11952249819452518</v>
      </c>
      <c r="AP12" s="1045">
        <f t="shared" si="0"/>
        <v>0.30316168942765376</v>
      </c>
      <c r="AQ12" s="1045">
        <f t="shared" si="0"/>
        <v>0.50505547879995838</v>
      </c>
      <c r="AR12" s="1045">
        <f t="shared" si="0"/>
        <v>0.86244705476390049</v>
      </c>
      <c r="AS12" s="1045">
        <f t="shared" si="0"/>
        <v>1.4359693276159842</v>
      </c>
      <c r="AT12" s="1045">
        <f t="shared" si="0"/>
        <v>2.3006165082875567</v>
      </c>
      <c r="AU12" s="1045">
        <f t="shared" si="0"/>
        <v>3.3275108297242846</v>
      </c>
      <c r="AV12" s="1045">
        <f t="shared" si="0"/>
        <v>4.5815246133622187</v>
      </c>
      <c r="AW12" s="1045">
        <f t="shared" si="0"/>
        <v>5.9561702796255709</v>
      </c>
      <c r="AX12" s="1158">
        <f t="shared" si="0"/>
        <v>7.3777268810028049</v>
      </c>
      <c r="AY12" s="1045">
        <f t="shared" si="0"/>
        <v>8.7181210548217081</v>
      </c>
      <c r="AZ12" s="1045">
        <f t="shared" si="0"/>
        <v>9.912919912969258</v>
      </c>
      <c r="BA12" s="1045">
        <f t="shared" si="0"/>
        <v>10.912655240032837</v>
      </c>
      <c r="BB12" s="1045">
        <f t="shared" si="0"/>
        <v>11.700084885366532</v>
      </c>
      <c r="BC12" s="1045">
        <f t="shared" si="0"/>
        <v>12.288242226444764</v>
      </c>
      <c r="BD12" s="1045">
        <f t="shared" si="0"/>
        <v>12.709622757724865</v>
      </c>
      <c r="BE12" s="1045">
        <f t="shared" si="0"/>
        <v>12.99135218696113</v>
      </c>
      <c r="BF12" s="1045">
        <f t="shared" si="0"/>
        <v>13.177357217019058</v>
      </c>
      <c r="BG12" s="1045">
        <f t="shared" si="0"/>
        <v>13.298600490471339</v>
      </c>
      <c r="BH12" s="1045">
        <f t="shared" si="0"/>
        <v>13.388509394066991</v>
      </c>
      <c r="BI12" s="1045">
        <f t="shared" si="0"/>
        <v>13.490855725684835</v>
      </c>
      <c r="BJ12" s="1045">
        <f t="shared" si="0"/>
        <v>13.552123353592847</v>
      </c>
      <c r="BK12" s="1045">
        <f t="shared" si="0"/>
        <v>13.599481426712751</v>
      </c>
      <c r="BL12" s="1045">
        <f t="shared" si="0"/>
        <v>13.646082781076432</v>
      </c>
      <c r="BM12" s="1045">
        <f t="shared" si="0"/>
        <v>13.706899811452093</v>
      </c>
    </row>
    <row r="13" spans="1:65" s="864" customFormat="1" ht="14.45" x14ac:dyDescent="0.35">
      <c r="A13" s="839"/>
      <c r="B13" s="839"/>
      <c r="C13" s="838"/>
      <c r="D13" s="838"/>
      <c r="E13" s="838"/>
      <c r="F13" s="838"/>
      <c r="G13" s="854"/>
      <c r="H13" s="838"/>
      <c r="I13" s="838"/>
      <c r="J13" s="838"/>
      <c r="K13" s="838"/>
      <c r="L13" s="838"/>
      <c r="M13" s="838"/>
      <c r="N13" s="838"/>
      <c r="O13" s="838"/>
      <c r="P13" s="838"/>
      <c r="Q13" s="838"/>
      <c r="R13" s="838"/>
      <c r="S13" s="838"/>
      <c r="T13" s="838"/>
      <c r="U13" s="838"/>
      <c r="V13" s="838"/>
      <c r="W13" s="838"/>
      <c r="X13" s="838"/>
      <c r="Y13" s="838"/>
      <c r="Z13" s="838"/>
      <c r="AA13" s="838"/>
      <c r="AB13" s="838"/>
      <c r="AC13" s="838"/>
      <c r="AD13" s="838"/>
      <c r="AE13" s="838"/>
      <c r="AF13" s="838"/>
      <c r="AH13" s="1041"/>
      <c r="AI13" s="1041"/>
      <c r="AJ13" s="1059"/>
      <c r="AK13" s="1059"/>
      <c r="AL13" s="1059"/>
      <c r="AM13" s="1059"/>
      <c r="AN13" s="1045"/>
      <c r="AO13" s="1059"/>
      <c r="AP13" s="1059"/>
      <c r="AQ13" s="1059"/>
      <c r="AR13" s="1059"/>
      <c r="AS13" s="1059"/>
      <c r="AT13" s="1059"/>
      <c r="AU13" s="1059"/>
      <c r="AV13" s="1059"/>
      <c r="AW13" s="1059"/>
      <c r="AX13" s="1158"/>
      <c r="AY13" s="1059"/>
      <c r="AZ13" s="1059"/>
      <c r="BA13" s="1059"/>
      <c r="BB13" s="1059"/>
      <c r="BC13" s="1059"/>
      <c r="BD13" s="1059"/>
      <c r="BE13" s="1059"/>
      <c r="BF13" s="1059"/>
      <c r="BG13" s="1059"/>
      <c r="BH13" s="1059"/>
      <c r="BI13" s="1059"/>
      <c r="BJ13" s="1059"/>
      <c r="BK13" s="1059"/>
      <c r="BL13" s="1059"/>
      <c r="BM13" s="1059"/>
    </row>
    <row r="14" spans="1:65" s="856" customFormat="1" ht="12.95" x14ac:dyDescent="0.3">
      <c r="A14" s="843" t="s">
        <v>32</v>
      </c>
      <c r="B14" s="843"/>
      <c r="C14" s="843"/>
      <c r="D14" s="843"/>
      <c r="E14" s="843"/>
      <c r="F14" s="843"/>
      <c r="G14" s="865"/>
      <c r="H14" s="843"/>
      <c r="I14" s="843"/>
      <c r="J14" s="843"/>
      <c r="K14" s="843"/>
      <c r="L14" s="843"/>
      <c r="M14" s="843"/>
      <c r="N14" s="843"/>
      <c r="O14" s="843"/>
      <c r="P14" s="843"/>
      <c r="Q14" s="843"/>
      <c r="R14" s="843"/>
      <c r="S14" s="843"/>
      <c r="T14" s="843"/>
      <c r="U14" s="843"/>
      <c r="V14" s="843"/>
      <c r="W14" s="843"/>
      <c r="X14" s="843"/>
      <c r="Y14" s="843"/>
      <c r="Z14" s="843"/>
      <c r="AA14" s="843"/>
      <c r="AB14" s="843"/>
      <c r="AC14" s="843"/>
      <c r="AD14" s="843"/>
      <c r="AE14" s="843"/>
      <c r="AF14" s="843"/>
      <c r="AH14" s="843"/>
      <c r="AI14" s="843"/>
      <c r="AJ14" s="843"/>
      <c r="AK14" s="843"/>
      <c r="AL14" s="843"/>
      <c r="AM14" s="843"/>
      <c r="AN14" s="865"/>
      <c r="AO14" s="843"/>
      <c r="AP14" s="843"/>
      <c r="AQ14" s="843"/>
      <c r="AR14" s="843"/>
      <c r="AS14" s="843"/>
      <c r="AT14" s="843"/>
      <c r="AU14" s="843"/>
      <c r="AV14" s="843"/>
      <c r="AW14" s="843"/>
      <c r="AX14" s="1159"/>
      <c r="AY14" s="843"/>
      <c r="AZ14" s="843"/>
      <c r="BA14" s="843"/>
      <c r="BB14" s="843"/>
      <c r="BC14" s="843"/>
      <c r="BD14" s="843"/>
      <c r="BE14" s="843"/>
      <c r="BF14" s="843"/>
      <c r="BG14" s="843"/>
      <c r="BH14" s="843"/>
      <c r="BI14" s="843"/>
      <c r="BJ14" s="843"/>
      <c r="BK14" s="843"/>
      <c r="BL14" s="843"/>
      <c r="BM14" s="843"/>
    </row>
    <row r="15" spans="1:65" s="864" customFormat="1" ht="14.45" x14ac:dyDescent="0.35">
      <c r="A15" s="839"/>
      <c r="B15" s="839" t="s">
        <v>33</v>
      </c>
      <c r="C15" s="838"/>
      <c r="D15" s="838"/>
      <c r="E15" s="838"/>
      <c r="F15" s="838"/>
      <c r="G15" s="854"/>
      <c r="H15" s="854">
        <v>2.5796802821104503</v>
      </c>
      <c r="I15" s="854">
        <v>2.827634784175554</v>
      </c>
      <c r="J15" s="854">
        <v>2.9372541662716576</v>
      </c>
      <c r="K15" s="854">
        <v>2.8686882404605685</v>
      </c>
      <c r="L15" s="854">
        <v>2.5383830116854402</v>
      </c>
      <c r="M15" s="854">
        <v>2.1116163173989149</v>
      </c>
      <c r="N15" s="854">
        <v>1.6924353303769735</v>
      </c>
      <c r="O15" s="854">
        <v>1.3087843171814688</v>
      </c>
      <c r="P15" s="854">
        <v>0.99199973590561707</v>
      </c>
      <c r="Q15" s="854">
        <v>0.73859122630943808</v>
      </c>
      <c r="R15" s="854">
        <v>0.54206812003127669</v>
      </c>
      <c r="S15" s="854">
        <v>0.40222543493412899</v>
      </c>
      <c r="T15" s="854">
        <v>0.30224950319365651</v>
      </c>
      <c r="U15" s="854">
        <v>0.23240596130307467</v>
      </c>
      <c r="V15" s="854">
        <v>0.18314763021471878</v>
      </c>
      <c r="W15" s="854">
        <v>0.14775086465104514</v>
      </c>
      <c r="X15" s="854">
        <v>0.12170496111651147</v>
      </c>
      <c r="Y15" s="854">
        <v>0.10228224169734171</v>
      </c>
      <c r="Z15" s="854">
        <v>8.7863411136545583E-2</v>
      </c>
      <c r="AA15" s="854">
        <v>7.6750354353841338E-2</v>
      </c>
      <c r="AB15" s="854">
        <v>6.7695313942465057E-2</v>
      </c>
      <c r="AC15" s="854">
        <v>6.0435732917310608E-2</v>
      </c>
      <c r="AD15" s="854">
        <v>5.4414074043378273E-2</v>
      </c>
      <c r="AE15" s="854">
        <v>4.9131518928510469E-2</v>
      </c>
      <c r="AF15" s="854">
        <v>4.3758990041595225E-2</v>
      </c>
      <c r="AH15" s="1041"/>
      <c r="AI15" s="1041" t="s">
        <v>33</v>
      </c>
      <c r="AJ15" s="1059"/>
      <c r="AK15" s="1059"/>
      <c r="AL15" s="1059"/>
      <c r="AM15" s="1059"/>
      <c r="AN15" s="1045"/>
      <c r="AO15" s="1045">
        <f>H15+H52+H89+H126</f>
        <v>4.3239777597815028</v>
      </c>
      <c r="AP15" s="1045">
        <f t="shared" ref="AP15:AP18" si="2">I15+I52+I89+I126</f>
        <v>4.7083897557654542</v>
      </c>
      <c r="AQ15" s="1045">
        <f t="shared" ref="AQ15:AQ18" si="3">J15+J52+J89+J126</f>
        <v>4.9190433165009111</v>
      </c>
      <c r="AR15" s="1045">
        <f t="shared" ref="AR15:AR18" si="4">K15+K52+K89+K126</f>
        <v>4.8826151062693457</v>
      </c>
      <c r="AS15" s="1045">
        <f t="shared" ref="AS15:AS18" si="5">L15+L52+L89+L126</f>
        <v>4.4135332371828451</v>
      </c>
      <c r="AT15" s="1045">
        <f t="shared" ref="AT15:AT18" si="6">M15+M52+M89+M126</f>
        <v>3.7842542481058095</v>
      </c>
      <c r="AU15" s="1045">
        <f t="shared" ref="AU15:AU18" si="7">N15+N52+N89+N126</f>
        <v>3.1537613979359715</v>
      </c>
      <c r="AV15" s="1045">
        <f t="shared" ref="AV15:AV18" si="8">O15+O52+O89+O126</f>
        <v>2.5575249470286501</v>
      </c>
      <c r="AW15" s="1045">
        <f t="shared" ref="AW15:AW18" si="9">P15+P52+P89+P126</f>
        <v>2.0419773058611694</v>
      </c>
      <c r="AX15" s="1158">
        <f t="shared" ref="AX15:AX18" si="10">Q15+Q52+Q89+Q126</f>
        <v>1.6003022528192385</v>
      </c>
      <c r="AY15" s="1045">
        <f t="shared" ref="AY15:AY18" si="11">R15+R52+R89+R126</f>
        <v>1.2330111557499381</v>
      </c>
      <c r="AZ15" s="1045">
        <f t="shared" ref="AZ15:AZ18" si="12">S15+S52+S89+S126</f>
        <v>0.95036542611251507</v>
      </c>
      <c r="BA15" s="1045">
        <f t="shared" ref="BA15:BA18" si="13">T15+T52+T89+T126</f>
        <v>0.73367717752402251</v>
      </c>
      <c r="BB15" s="1045">
        <f t="shared" ref="BB15:BB18" si="14">U15+U52+U89+U126</f>
        <v>0.57090576652092018</v>
      </c>
      <c r="BC15" s="1045">
        <f t="shared" ref="BC15:BC18" si="15">V15+V52+V89+V126</f>
        <v>0.45152970065735931</v>
      </c>
      <c r="BD15" s="1045">
        <f t="shared" ref="BD15:BD18" si="16">W15+W52+W89+W126</f>
        <v>0.36240821798496625</v>
      </c>
      <c r="BE15" s="1045">
        <f t="shared" ref="BE15:BE18" si="17">X15+X52+X89+X126</f>
        <v>0.29563722669921305</v>
      </c>
      <c r="BF15" s="1045">
        <f t="shared" ref="BF15:BF18" si="18">Y15+Y52+Y89+Y126</f>
        <v>0.24533735172932589</v>
      </c>
      <c r="BG15" s="1045">
        <f t="shared" ref="BG15:BG18" si="19">Z15+Z52+Z89+Z126</f>
        <v>0.20801399349886618</v>
      </c>
      <c r="BH15" s="1045">
        <f t="shared" ref="BH15:BH18" si="20">AA15+AA52+AA89+AA126</f>
        <v>0.18002109971977959</v>
      </c>
      <c r="BI15" s="1045">
        <f t="shared" ref="BI15:BI18" si="21">AB15+AB52+AB89+AB126</f>
        <v>0.15774726401269468</v>
      </c>
      <c r="BJ15" s="1045">
        <f t="shared" ref="BJ15:BJ18" si="22">AC15+AC52+AC89+AC126</f>
        <v>0.13983489415444669</v>
      </c>
      <c r="BK15" s="1045">
        <f t="shared" ref="BK15:BK18" si="23">AD15+AD52+AD89+AD126</f>
        <v>0.12515409921195675</v>
      </c>
      <c r="BL15" s="1045">
        <f t="shared" ref="BL15:BL18" si="24">AE15+AE52+AE89+AE126</f>
        <v>0.11248619263143805</v>
      </c>
      <c r="BM15" s="1045">
        <f t="shared" ref="BM15:BM18" si="25">AF15+AF52+AF89+AF126</f>
        <v>9.9863629981300245E-2</v>
      </c>
    </row>
    <row r="16" spans="1:65" s="864" customFormat="1" ht="14.45" x14ac:dyDescent="0.35">
      <c r="A16" s="842"/>
      <c r="B16" s="842" t="s">
        <v>34</v>
      </c>
      <c r="C16" s="838"/>
      <c r="D16" s="838"/>
      <c r="E16" s="838"/>
      <c r="F16" s="838"/>
      <c r="G16" s="854"/>
      <c r="H16" s="854">
        <v>6.0452740727327594</v>
      </c>
      <c r="I16" s="854">
        <v>6.0548979451825797</v>
      </c>
      <c r="J16" s="854">
        <v>5.764341504457712</v>
      </c>
      <c r="K16" s="854">
        <v>5.2241407488278977</v>
      </c>
      <c r="L16" s="854">
        <v>4.7353270216089296</v>
      </c>
      <c r="M16" s="854">
        <v>4.1347012070671854</v>
      </c>
      <c r="N16" s="854">
        <v>3.4581869424412508</v>
      </c>
      <c r="O16" s="854">
        <v>2.7881327392657091</v>
      </c>
      <c r="P16" s="854">
        <v>2.1897492020983815</v>
      </c>
      <c r="Q16" s="854">
        <v>1.7016990748811678</v>
      </c>
      <c r="R16" s="854">
        <v>1.3131675390281763</v>
      </c>
      <c r="S16" s="854">
        <v>1.0245294319082769</v>
      </c>
      <c r="T16" s="854">
        <v>0.8106335901723607</v>
      </c>
      <c r="U16" s="854">
        <v>0.65720171890489598</v>
      </c>
      <c r="V16" s="854">
        <v>0.5443676703886029</v>
      </c>
      <c r="W16" s="854">
        <v>0.46185023367978972</v>
      </c>
      <c r="X16" s="854">
        <v>0.40114085161673685</v>
      </c>
      <c r="Y16" s="854">
        <v>0.35607719453093623</v>
      </c>
      <c r="Z16" s="854">
        <v>0.32248458693030191</v>
      </c>
      <c r="AA16" s="854">
        <v>0.29638596629630409</v>
      </c>
      <c r="AB16" s="854">
        <v>0.27588454249765587</v>
      </c>
      <c r="AC16" s="854">
        <v>0.25998804223850069</v>
      </c>
      <c r="AD16" s="854">
        <v>0.24733220318802351</v>
      </c>
      <c r="AE16" s="854">
        <v>0.23651372130351728</v>
      </c>
      <c r="AF16" s="854">
        <v>0.22552447282460847</v>
      </c>
      <c r="AH16" s="1043"/>
      <c r="AI16" s="1043" t="s">
        <v>34</v>
      </c>
      <c r="AJ16" s="1059"/>
      <c r="AK16" s="1059"/>
      <c r="AL16" s="1059"/>
      <c r="AM16" s="1059"/>
      <c r="AN16" s="1045"/>
      <c r="AO16" s="1045">
        <f t="shared" ref="AO16:AO18" si="26">H16+H53+H90+H127</f>
        <v>9.5018373757652377</v>
      </c>
      <c r="AP16" s="1045">
        <f t="shared" si="2"/>
        <v>9.354380908947677</v>
      </c>
      <c r="AQ16" s="1045">
        <f t="shared" si="3"/>
        <v>8.850727521338861</v>
      </c>
      <c r="AR16" s="1045">
        <f t="shared" si="4"/>
        <v>8.0403163991194404</v>
      </c>
      <c r="AS16" s="1045">
        <f t="shared" si="5"/>
        <v>7.424318766836401</v>
      </c>
      <c r="AT16" s="1045">
        <f t="shared" si="6"/>
        <v>6.653777484407934</v>
      </c>
      <c r="AU16" s="1045">
        <f t="shared" si="7"/>
        <v>5.7557246141836078</v>
      </c>
      <c r="AV16" s="1045">
        <f t="shared" si="8"/>
        <v>4.8355306309418182</v>
      </c>
      <c r="AW16" s="1045">
        <f t="shared" si="9"/>
        <v>3.9771033574218788</v>
      </c>
      <c r="AX16" s="1158">
        <f t="shared" si="10"/>
        <v>3.2358226391672456</v>
      </c>
      <c r="AY16" s="1045">
        <f t="shared" si="11"/>
        <v>2.610401646747067</v>
      </c>
      <c r="AZ16" s="1045">
        <f t="shared" si="12"/>
        <v>2.1128430363025998</v>
      </c>
      <c r="BA16" s="1045">
        <f t="shared" si="13"/>
        <v>1.7198631754891363</v>
      </c>
      <c r="BB16" s="1045">
        <f t="shared" si="14"/>
        <v>1.4178564453298816</v>
      </c>
      <c r="BC16" s="1045">
        <f t="shared" si="15"/>
        <v>1.1872312499962785</v>
      </c>
      <c r="BD16" s="1045">
        <f t="shared" si="16"/>
        <v>1.0115760059309093</v>
      </c>
      <c r="BE16" s="1045">
        <f t="shared" si="17"/>
        <v>0.8780902404892772</v>
      </c>
      <c r="BF16" s="1045">
        <f t="shared" si="18"/>
        <v>0.77656969023241751</v>
      </c>
      <c r="BG16" s="1045">
        <f t="shared" si="19"/>
        <v>0.70042878274249443</v>
      </c>
      <c r="BH16" s="1045">
        <f t="shared" si="20"/>
        <v>0.64289828236558788</v>
      </c>
      <c r="BI16" s="1045">
        <f t="shared" si="21"/>
        <v>0.59860512415684419</v>
      </c>
      <c r="BJ16" s="1045">
        <f t="shared" si="22"/>
        <v>0.56309840592125515</v>
      </c>
      <c r="BK16" s="1045">
        <f t="shared" si="23"/>
        <v>0.53471546380686741</v>
      </c>
      <c r="BL16" s="1045">
        <f t="shared" si="24"/>
        <v>0.51061268474263954</v>
      </c>
      <c r="BM16" s="1045">
        <f t="shared" si="25"/>
        <v>0.48635951416174317</v>
      </c>
    </row>
    <row r="17" spans="1:65" s="864" customFormat="1" ht="14.45" x14ac:dyDescent="0.35">
      <c r="A17" s="839"/>
      <c r="B17" s="842" t="s">
        <v>35</v>
      </c>
      <c r="C17" s="838"/>
      <c r="D17" s="838"/>
      <c r="E17" s="838"/>
      <c r="F17" s="838"/>
      <c r="G17" s="854"/>
      <c r="H17" s="854">
        <v>1.1816564808650731</v>
      </c>
      <c r="I17" s="854">
        <v>1.2410051107240159</v>
      </c>
      <c r="J17" s="854">
        <v>1.2938954479740494</v>
      </c>
      <c r="K17" s="854">
        <v>1.3243872343723306</v>
      </c>
      <c r="L17" s="854">
        <v>1.2121537127406354</v>
      </c>
      <c r="M17" s="854">
        <v>1.0882575110014014</v>
      </c>
      <c r="N17" s="854">
        <v>0.93018995818982986</v>
      </c>
      <c r="O17" s="854">
        <v>0.76502275158065236</v>
      </c>
      <c r="P17" s="854">
        <v>0.60941964459225284</v>
      </c>
      <c r="Q17" s="854">
        <v>0.48268182267696902</v>
      </c>
      <c r="R17" s="854">
        <v>0.38144255660984799</v>
      </c>
      <c r="S17" s="854">
        <v>0.30450210415548656</v>
      </c>
      <c r="T17" s="854">
        <v>0.24658311917575459</v>
      </c>
      <c r="U17" s="854">
        <v>0.20467535505939161</v>
      </c>
      <c r="V17" s="854">
        <v>0.17308112509359214</v>
      </c>
      <c r="W17" s="854">
        <v>0.14992893890899128</v>
      </c>
      <c r="X17" s="854">
        <v>0.13313537043997212</v>
      </c>
      <c r="Y17" s="854">
        <v>0.12092366554177178</v>
      </c>
      <c r="Z17" s="854">
        <v>0.11188692358507414</v>
      </c>
      <c r="AA17" s="854">
        <v>0.10487960396087828</v>
      </c>
      <c r="AB17" s="854">
        <v>9.9743159224914696E-2</v>
      </c>
      <c r="AC17" s="854">
        <v>9.601579023985185E-2</v>
      </c>
      <c r="AD17" s="854">
        <v>9.333344803722457E-2</v>
      </c>
      <c r="AE17" s="854">
        <v>9.1301194557738843E-2</v>
      </c>
      <c r="AF17" s="854">
        <v>8.964914486227514E-2</v>
      </c>
      <c r="AH17" s="1041"/>
      <c r="AI17" s="1043" t="s">
        <v>35</v>
      </c>
      <c r="AJ17" s="1059"/>
      <c r="AK17" s="1059"/>
      <c r="AL17" s="1059"/>
      <c r="AM17" s="1059"/>
      <c r="AN17" s="1045"/>
      <c r="AO17" s="1045">
        <f t="shared" si="26"/>
        <v>1.6833394297741708</v>
      </c>
      <c r="AP17" s="1045">
        <f t="shared" si="2"/>
        <v>1.7558005591875554</v>
      </c>
      <c r="AQ17" s="1045">
        <f t="shared" si="3"/>
        <v>1.8337235245753516</v>
      </c>
      <c r="AR17" s="1045">
        <f t="shared" si="4"/>
        <v>1.8928472863464485</v>
      </c>
      <c r="AS17" s="1045">
        <f t="shared" si="5"/>
        <v>1.7609127656994672</v>
      </c>
      <c r="AT17" s="1045">
        <f t="shared" si="6"/>
        <v>1.6175733684309415</v>
      </c>
      <c r="AU17" s="1045">
        <f t="shared" si="7"/>
        <v>1.4240696779380417</v>
      </c>
      <c r="AV17" s="1045">
        <f t="shared" si="8"/>
        <v>1.2143510319942197</v>
      </c>
      <c r="AW17" s="1045">
        <f t="shared" si="9"/>
        <v>1.0080851269814612</v>
      </c>
      <c r="AX17" s="1158">
        <f t="shared" si="10"/>
        <v>0.83216077262810484</v>
      </c>
      <c r="AY17" s="1045">
        <f t="shared" si="11"/>
        <v>0.68493098317650669</v>
      </c>
      <c r="AZ17" s="1045">
        <f t="shared" si="12"/>
        <v>0.56621437787631801</v>
      </c>
      <c r="BA17" s="1045">
        <f t="shared" si="13"/>
        <v>0.47167092802585364</v>
      </c>
      <c r="BB17" s="1045">
        <f t="shared" si="14"/>
        <v>0.39891839682971042</v>
      </c>
      <c r="BC17" s="1045">
        <f t="shared" si="15"/>
        <v>0.34213195619694214</v>
      </c>
      <c r="BD17" s="1045">
        <f t="shared" si="16"/>
        <v>0.29894506026040557</v>
      </c>
      <c r="BE17" s="1045">
        <f t="shared" si="17"/>
        <v>0.26643146366506287</v>
      </c>
      <c r="BF17" s="1045">
        <f t="shared" si="18"/>
        <v>0.24209782797085427</v>
      </c>
      <c r="BG17" s="1045">
        <f t="shared" si="19"/>
        <v>0.22399962748742602</v>
      </c>
      <c r="BH17" s="1045">
        <f t="shared" si="20"/>
        <v>0.21041692539779572</v>
      </c>
      <c r="BI17" s="1045">
        <f t="shared" si="21"/>
        <v>0.20073961087163517</v>
      </c>
      <c r="BJ17" s="1045">
        <f t="shared" si="22"/>
        <v>0.19333004254368685</v>
      </c>
      <c r="BK17" s="1045">
        <f t="shared" si="23"/>
        <v>0.18792709545371705</v>
      </c>
      <c r="BL17" s="1045">
        <f t="shared" si="24"/>
        <v>0.18384205731090894</v>
      </c>
      <c r="BM17" s="1045">
        <f t="shared" si="25"/>
        <v>0.18051220991666556</v>
      </c>
    </row>
    <row r="18" spans="1:65" s="864" customFormat="1" ht="14.45" x14ac:dyDescent="0.35">
      <c r="A18" s="839"/>
      <c r="B18" s="842" t="s">
        <v>29</v>
      </c>
      <c r="C18" s="838"/>
      <c r="D18" s="838"/>
      <c r="E18" s="838"/>
      <c r="F18" s="838"/>
      <c r="G18" s="854"/>
      <c r="H18" s="854">
        <v>4.882023858236325E-2</v>
      </c>
      <c r="I18" s="854">
        <v>0.2089045497272799</v>
      </c>
      <c r="J18" s="854">
        <v>0.51470644361733886</v>
      </c>
      <c r="K18" s="854">
        <v>0.93872853878225071</v>
      </c>
      <c r="L18" s="854">
        <v>1.3797633688948048</v>
      </c>
      <c r="M18" s="854">
        <v>1.8236850770300239</v>
      </c>
      <c r="N18" s="854">
        <v>2.1870002281931167</v>
      </c>
      <c r="O18" s="854">
        <v>2.430538192912274</v>
      </c>
      <c r="P18" s="854">
        <v>2.547651379164471</v>
      </c>
      <c r="Q18" s="854">
        <v>2.5820470753249474</v>
      </c>
      <c r="R18" s="854">
        <v>2.5497894963025383</v>
      </c>
      <c r="S18" s="854">
        <v>2.499738234420116</v>
      </c>
      <c r="T18" s="854">
        <v>2.4438635745518171</v>
      </c>
      <c r="U18" s="854">
        <v>2.4087412685802692</v>
      </c>
      <c r="V18" s="854">
        <v>2.3769811054082117</v>
      </c>
      <c r="W18" s="854">
        <v>2.3610055849163585</v>
      </c>
      <c r="X18" s="854">
        <v>2.3552172300879008</v>
      </c>
      <c r="Y18" s="854">
        <v>2.3602345237260507</v>
      </c>
      <c r="Z18" s="854">
        <v>2.3722210562600661</v>
      </c>
      <c r="AA18" s="854">
        <v>2.379221402652969</v>
      </c>
      <c r="AB18" s="854">
        <v>2.3912870006054394</v>
      </c>
      <c r="AC18" s="854">
        <v>2.4068666365757547</v>
      </c>
      <c r="AD18" s="854">
        <v>2.4268202765700257</v>
      </c>
      <c r="AE18" s="854">
        <v>2.4465320881800734</v>
      </c>
      <c r="AF18" s="854">
        <v>2.4697093429616377</v>
      </c>
      <c r="AH18" s="1041"/>
      <c r="AI18" s="1043" t="s">
        <v>29</v>
      </c>
      <c r="AJ18" s="1059"/>
      <c r="AK18" s="1059"/>
      <c r="AL18" s="1059"/>
      <c r="AM18" s="1059"/>
      <c r="AN18" s="1045"/>
      <c r="AO18" s="1045">
        <f t="shared" si="26"/>
        <v>8.4368481538768747E-2</v>
      </c>
      <c r="AP18" s="1045">
        <f t="shared" si="2"/>
        <v>0.32312949770114047</v>
      </c>
      <c r="AQ18" s="1045">
        <f t="shared" si="3"/>
        <v>0.79076726591737068</v>
      </c>
      <c r="AR18" s="1045">
        <f t="shared" si="4"/>
        <v>1.4637108069579368</v>
      </c>
      <c r="AS18" s="1045">
        <f t="shared" si="5"/>
        <v>2.1999407004631424</v>
      </c>
      <c r="AT18" s="1045">
        <f t="shared" si="6"/>
        <v>2.9908040613152784</v>
      </c>
      <c r="AU18" s="1045">
        <f t="shared" si="7"/>
        <v>3.714244607446493</v>
      </c>
      <c r="AV18" s="1045">
        <f t="shared" si="8"/>
        <v>4.3051272446945967</v>
      </c>
      <c r="AW18" s="1045">
        <f t="shared" si="9"/>
        <v>4.7284721567713817</v>
      </c>
      <c r="AX18" s="1158">
        <f t="shared" si="10"/>
        <v>5.0179258404218015</v>
      </c>
      <c r="AY18" s="1045">
        <f t="shared" si="11"/>
        <v>5.177880893210979</v>
      </c>
      <c r="AZ18" s="1045">
        <f t="shared" si="12"/>
        <v>5.2595434931632239</v>
      </c>
      <c r="BA18" s="1045">
        <f t="shared" si="13"/>
        <v>5.2790665980131752</v>
      </c>
      <c r="BB18" s="1045">
        <f t="shared" si="14"/>
        <v>5.27367056264998</v>
      </c>
      <c r="BC18" s="1045">
        <f t="shared" si="15"/>
        <v>5.2379631184729156</v>
      </c>
      <c r="BD18" s="1045">
        <f t="shared" si="16"/>
        <v>5.1951370406585688</v>
      </c>
      <c r="BE18" s="1045">
        <f t="shared" si="17"/>
        <v>5.1479499804751772</v>
      </c>
      <c r="BF18" s="1045">
        <f t="shared" si="18"/>
        <v>5.1061373363425542</v>
      </c>
      <c r="BG18" s="1045">
        <f t="shared" si="19"/>
        <v>5.0742621747805199</v>
      </c>
      <c r="BH18" s="1045">
        <f t="shared" si="20"/>
        <v>5.0451466803757716</v>
      </c>
      <c r="BI18" s="1045">
        <f t="shared" si="21"/>
        <v>5.0352611861511569</v>
      </c>
      <c r="BJ18" s="1045">
        <f t="shared" si="22"/>
        <v>5.0275834487076665</v>
      </c>
      <c r="BK18" s="1045">
        <f t="shared" si="23"/>
        <v>5.0314559093295141</v>
      </c>
      <c r="BL18" s="1045">
        <f t="shared" si="24"/>
        <v>5.04030488745539</v>
      </c>
      <c r="BM18" s="1045">
        <f t="shared" si="25"/>
        <v>5.0607727039337673</v>
      </c>
    </row>
    <row r="19" spans="1:65" s="864" customFormat="1" ht="14.45" x14ac:dyDescent="0.35">
      <c r="A19" s="839"/>
      <c r="B19" s="839"/>
      <c r="C19" s="838"/>
      <c r="D19" s="838"/>
      <c r="E19" s="838"/>
      <c r="F19" s="838"/>
      <c r="G19" s="854"/>
      <c r="H19" s="838"/>
      <c r="I19" s="838"/>
      <c r="J19" s="838"/>
      <c r="K19" s="838"/>
      <c r="L19" s="838"/>
      <c r="M19" s="838"/>
      <c r="N19" s="838"/>
      <c r="O19" s="838"/>
      <c r="P19" s="838"/>
      <c r="Q19" s="838"/>
      <c r="R19" s="838"/>
      <c r="S19" s="838"/>
      <c r="T19" s="838"/>
      <c r="U19" s="838"/>
      <c r="V19" s="838"/>
      <c r="W19" s="838"/>
      <c r="X19" s="838"/>
      <c r="Y19" s="838"/>
      <c r="Z19" s="838"/>
      <c r="AA19" s="838"/>
      <c r="AB19" s="838"/>
      <c r="AC19" s="838"/>
      <c r="AD19" s="838"/>
      <c r="AE19" s="838"/>
      <c r="AF19" s="838"/>
      <c r="AH19" s="1041"/>
      <c r="AI19" s="1041"/>
      <c r="AJ19" s="1059"/>
      <c r="AK19" s="1059"/>
      <c r="AL19" s="1059"/>
      <c r="AM19" s="1059"/>
      <c r="AN19" s="1045"/>
      <c r="AO19" s="1059"/>
      <c r="AP19" s="1059"/>
      <c r="AQ19" s="1059"/>
      <c r="AR19" s="1059"/>
      <c r="AS19" s="1059"/>
      <c r="AT19" s="1059"/>
      <c r="AU19" s="1059"/>
      <c r="AV19" s="1059"/>
      <c r="AW19" s="1059"/>
      <c r="AX19" s="1158"/>
      <c r="AY19" s="1059"/>
      <c r="AZ19" s="1059"/>
      <c r="BA19" s="1059"/>
      <c r="BB19" s="1059"/>
      <c r="BC19" s="1059"/>
      <c r="BD19" s="1059"/>
      <c r="BE19" s="1059"/>
      <c r="BF19" s="1059"/>
      <c r="BG19" s="1059"/>
      <c r="BH19" s="1059"/>
      <c r="BI19" s="1059"/>
      <c r="BJ19" s="1059"/>
      <c r="BK19" s="1059"/>
      <c r="BL19" s="1059"/>
      <c r="BM19" s="1059"/>
    </row>
    <row r="20" spans="1:65" s="856" customFormat="1" ht="12.95" x14ac:dyDescent="0.3">
      <c r="A20" s="843" t="s">
        <v>36</v>
      </c>
      <c r="B20" s="843"/>
      <c r="C20" s="843"/>
      <c r="D20" s="843"/>
      <c r="E20" s="843"/>
      <c r="F20" s="843"/>
      <c r="G20" s="865"/>
      <c r="H20" s="843"/>
      <c r="I20" s="843"/>
      <c r="J20" s="843"/>
      <c r="K20" s="843"/>
      <c r="L20" s="843"/>
      <c r="M20" s="843"/>
      <c r="N20" s="843"/>
      <c r="O20" s="843"/>
      <c r="P20" s="843"/>
      <c r="Q20" s="843"/>
      <c r="R20" s="843"/>
      <c r="S20" s="843"/>
      <c r="T20" s="843"/>
      <c r="U20" s="843"/>
      <c r="V20" s="843"/>
      <c r="W20" s="843"/>
      <c r="X20" s="843"/>
      <c r="Y20" s="843"/>
      <c r="Z20" s="843"/>
      <c r="AA20" s="843"/>
      <c r="AB20" s="843"/>
      <c r="AC20" s="843"/>
      <c r="AD20" s="843"/>
      <c r="AE20" s="843"/>
      <c r="AF20" s="843"/>
      <c r="AH20" s="843"/>
      <c r="AI20" s="843"/>
      <c r="AJ20" s="843"/>
      <c r="AK20" s="843"/>
      <c r="AL20" s="843"/>
      <c r="AM20" s="843"/>
      <c r="AN20" s="865"/>
      <c r="AO20" s="843"/>
      <c r="AP20" s="843"/>
      <c r="AQ20" s="843"/>
      <c r="AR20" s="843"/>
      <c r="AS20" s="843"/>
      <c r="AT20" s="843"/>
      <c r="AU20" s="843"/>
      <c r="AV20" s="843"/>
      <c r="AW20" s="843"/>
      <c r="AX20" s="1159"/>
      <c r="AY20" s="843"/>
      <c r="AZ20" s="843"/>
      <c r="BA20" s="843"/>
      <c r="BB20" s="843"/>
      <c r="BC20" s="843"/>
      <c r="BD20" s="843"/>
      <c r="BE20" s="843"/>
      <c r="BF20" s="843"/>
      <c r="BG20" s="843"/>
      <c r="BH20" s="843"/>
      <c r="BI20" s="843"/>
      <c r="BJ20" s="843"/>
      <c r="BK20" s="843"/>
      <c r="BL20" s="843"/>
      <c r="BM20" s="843"/>
    </row>
    <row r="21" spans="1:65" s="864" customFormat="1" ht="14.45" x14ac:dyDescent="0.35">
      <c r="A21" s="839"/>
      <c r="B21" s="839" t="s">
        <v>37</v>
      </c>
      <c r="C21" s="838"/>
      <c r="D21" s="838"/>
      <c r="E21" s="838"/>
      <c r="F21" s="855"/>
      <c r="G21" s="854"/>
      <c r="H21" s="1063">
        <v>24.115768792495206</v>
      </c>
      <c r="I21" s="1063">
        <v>14.944182823077849</v>
      </c>
      <c r="J21" s="1063">
        <v>7.1704174658237338</v>
      </c>
      <c r="K21" s="1063">
        <v>1.4674759003871807</v>
      </c>
      <c r="L21" s="1063">
        <v>1.0276338728651364</v>
      </c>
      <c r="M21" s="1063">
        <v>0.70159936838552195</v>
      </c>
      <c r="N21" s="1063">
        <v>0.47554043147501601</v>
      </c>
      <c r="O21" s="1063">
        <v>0.34158296198724664</v>
      </c>
      <c r="P21" s="1063">
        <v>0.24614408516658498</v>
      </c>
      <c r="Q21" s="1063">
        <v>0.17807626330523554</v>
      </c>
      <c r="R21" s="1063">
        <v>0.12926146579304901</v>
      </c>
      <c r="S21" s="1063">
        <v>9.4293037490780551E-2</v>
      </c>
      <c r="T21" s="1063">
        <v>6.9142199247008582E-2</v>
      </c>
      <c r="U21" s="1063">
        <v>5.1014072837892485E-2</v>
      </c>
      <c r="V21" s="1063">
        <v>3.7915710913299795E-2</v>
      </c>
      <c r="W21" s="1063">
        <v>2.8420598391345878E-2</v>
      </c>
      <c r="X21" s="1063">
        <v>2.1542653929844134E-2</v>
      </c>
      <c r="Y21" s="1063">
        <v>1.6500652709367153E-2</v>
      </c>
      <c r="Z21" s="1063">
        <v>1.2804050683798579E-2</v>
      </c>
      <c r="AA21" s="1063">
        <v>1.0095467590965527E-2</v>
      </c>
      <c r="AB21" s="1063">
        <v>8.0654632317635581E-3</v>
      </c>
      <c r="AC21" s="1063">
        <v>6.5529878839181918E-3</v>
      </c>
      <c r="AD21" s="1063">
        <v>5.4193444891186722E-3</v>
      </c>
      <c r="AE21" s="1063">
        <v>4.5448953048609578E-3</v>
      </c>
      <c r="AF21" s="1063">
        <v>3.847724181502307E-3</v>
      </c>
      <c r="AH21" s="1041"/>
      <c r="AI21" s="1041" t="s">
        <v>37</v>
      </c>
      <c r="AJ21" s="1059"/>
      <c r="AK21" s="1059"/>
      <c r="AL21" s="1059"/>
      <c r="AM21" s="855"/>
      <c r="AN21" s="1045"/>
      <c r="AO21" s="1045">
        <f>H21+H58+H95+H132</f>
        <v>27.06591839591367</v>
      </c>
      <c r="AP21" s="1045">
        <f t="shared" ref="AP21:AP24" si="27">I21+I58+I95+I132</f>
        <v>16.903928456052853</v>
      </c>
      <c r="AQ21" s="1045">
        <f t="shared" ref="AQ21:AQ24" si="28">J21+J58+J95+J132</f>
        <v>8.2611551076457523</v>
      </c>
      <c r="AR21" s="1045">
        <f t="shared" ref="AR21:AR24" si="29">K21+K58+K95+K132</f>
        <v>1.894035849293634</v>
      </c>
      <c r="AS21" s="1045">
        <f t="shared" ref="AS21:AS24" si="30">L21+L58+L95+L132</f>
        <v>1.3807380382430894</v>
      </c>
      <c r="AT21" s="1045">
        <f t="shared" ref="AT21:AT24" si="31">M21+M58+M95+M132</f>
        <v>0.99603038267058297</v>
      </c>
      <c r="AU21" s="1045">
        <f t="shared" ref="AU21:AU24" si="32">N21+N58+N95+N132</f>
        <v>0.72598096837146819</v>
      </c>
      <c r="AV21" s="1045">
        <f t="shared" ref="AV21:AV24" si="33">O21+O58+O95+O132</f>
        <v>0.56309316629190365</v>
      </c>
      <c r="AW21" s="1045">
        <f t="shared" ref="AW21:AW24" si="34">P21+P58+P95+P132</f>
        <v>0.4438347209072423</v>
      </c>
      <c r="AX21" s="1158">
        <f t="shared" ref="AX21:AX24" si="35">Q21+Q58+Q95+Q132</f>
        <v>0.35578750797083414</v>
      </c>
      <c r="AY21" s="1045">
        <f t="shared" ref="AY21:AY24" si="36">R21+R58+R95+R132</f>
        <v>0.28994262773982205</v>
      </c>
      <c r="AZ21" s="1045">
        <f t="shared" ref="AZ21:AZ24" si="37">S21+S58+S95+S132</f>
        <v>0.24026346969729426</v>
      </c>
      <c r="BA21" s="1045">
        <f t="shared" ref="BA21:BA24" si="38">T21+T58+T95+T132</f>
        <v>0.20224471875388267</v>
      </c>
      <c r="BB21" s="1045">
        <f t="shared" ref="BB21:BB24" si="39">U21+U58+U95+U132</f>
        <v>0.17274432383529911</v>
      </c>
      <c r="BC21" s="1045">
        <f t="shared" ref="BC21:BC24" si="40">V21+V58+V95+V132</f>
        <v>0.14950980612624312</v>
      </c>
      <c r="BD21" s="1045">
        <f t="shared" ref="BD21:BD24" si="41">W21+W58+W95+W132</f>
        <v>0.13091302862207987</v>
      </c>
      <c r="BE21" s="1045">
        <f t="shared" ref="BE21:BE24" si="42">X21+X58+X95+X132</f>
        <v>0.11581584060184537</v>
      </c>
      <c r="BF21" s="1045">
        <f t="shared" ref="BF21:BF24" si="43">Y21+Y58+Y95+Y132</f>
        <v>0.1033138285786693</v>
      </c>
      <c r="BG21" s="1045">
        <f t="shared" ref="BG21:BG24" si="44">Z21+Z58+Z95+Z132</f>
        <v>9.2826386187360874E-2</v>
      </c>
      <c r="BH21" s="1045">
        <f t="shared" ref="BH21:BH24" si="45">AA21+AA58+AA95+AA132</f>
        <v>8.3919704161652856E-2</v>
      </c>
      <c r="BI21" s="1045">
        <f t="shared" ref="BI21:BI24" si="46">AB21+AB58+AB95+AB132</f>
        <v>7.6213579050821628E-2</v>
      </c>
      <c r="BJ21" s="1045">
        <f t="shared" ref="BJ21:BJ24" si="47">AC21+AC58+AC95+AC132</f>
        <v>6.9493578651795659E-2</v>
      </c>
      <c r="BK21" s="1045">
        <f t="shared" ref="BK21:BK24" si="48">AD21+AD58+AD95+AD132</f>
        <v>6.3576655623460585E-2</v>
      </c>
      <c r="BL21" s="1045">
        <f t="shared" ref="BL21:BL24" si="49">AE21+AE58+AE95+AE132</f>
        <v>5.8300736003354198E-2</v>
      </c>
      <c r="BM21" s="1045">
        <f t="shared" ref="BM21:BM24" si="50">AF21+AF58+AF95+AF132</f>
        <v>5.3546176667567752E-2</v>
      </c>
    </row>
    <row r="22" spans="1:65" s="864" customFormat="1" ht="14.45" x14ac:dyDescent="0.35">
      <c r="A22" s="839"/>
      <c r="B22" s="839" t="s">
        <v>39</v>
      </c>
      <c r="C22" s="838"/>
      <c r="D22" s="838"/>
      <c r="E22" s="857"/>
      <c r="F22" s="838"/>
      <c r="G22" s="854"/>
      <c r="H22" s="1063">
        <v>113.57880338816466</v>
      </c>
      <c r="I22" s="1063">
        <v>118.20809666618808</v>
      </c>
      <c r="J22" s="1063">
        <v>120.30581755202829</v>
      </c>
      <c r="K22" s="1063">
        <v>119.03376506194189</v>
      </c>
      <c r="L22" s="1063">
        <v>113.88912171102508</v>
      </c>
      <c r="M22" s="1063">
        <v>107.93227040415258</v>
      </c>
      <c r="N22" s="1063">
        <v>102.61151939176702</v>
      </c>
      <c r="O22" s="1063">
        <v>97.139665086040907</v>
      </c>
      <c r="P22" s="1063">
        <v>91.458013337266863</v>
      </c>
      <c r="Q22" s="1063">
        <v>86.027790624690013</v>
      </c>
      <c r="R22" s="1063">
        <v>80.572505797826182</v>
      </c>
      <c r="S22" s="1063">
        <v>75.441091113242521</v>
      </c>
      <c r="T22" s="1063">
        <v>70.571796208456306</v>
      </c>
      <c r="U22" s="1063">
        <v>66.048084423900818</v>
      </c>
      <c r="V22" s="1063">
        <v>61.7564817429828</v>
      </c>
      <c r="W22" s="1063">
        <v>57.904952199553257</v>
      </c>
      <c r="X22" s="1063">
        <v>54.459430700154073</v>
      </c>
      <c r="Y22" s="1063">
        <v>51.273345775049471</v>
      </c>
      <c r="Z22" s="1063">
        <v>48.394623417772827</v>
      </c>
      <c r="AA22" s="1063">
        <v>45.856189269518325</v>
      </c>
      <c r="AB22" s="1063">
        <v>43.500290410721782</v>
      </c>
      <c r="AC22" s="1063">
        <v>41.39616780465844</v>
      </c>
      <c r="AD22" s="1063">
        <v>39.530347357942603</v>
      </c>
      <c r="AE22" s="1063">
        <v>37.800743410896288</v>
      </c>
      <c r="AF22" s="1063">
        <v>36.193317390762573</v>
      </c>
      <c r="AH22" s="1041"/>
      <c r="AI22" s="1041" t="s">
        <v>39</v>
      </c>
      <c r="AJ22" s="1059"/>
      <c r="AK22" s="1059"/>
      <c r="AL22" s="857"/>
      <c r="AM22" s="1059"/>
      <c r="AN22" s="1045"/>
      <c r="AO22" s="1045">
        <f t="shared" ref="AO22:AO24" si="51">H22+H59+H96+H133</f>
        <v>125.50872612498186</v>
      </c>
      <c r="AP22" s="1045">
        <f t="shared" si="27"/>
        <v>130.32510167155579</v>
      </c>
      <c r="AQ22" s="1045">
        <f t="shared" si="28"/>
        <v>132.41407398126773</v>
      </c>
      <c r="AR22" s="1045">
        <f t="shared" si="29"/>
        <v>130.83475305870661</v>
      </c>
      <c r="AS22" s="1045">
        <f t="shared" si="30"/>
        <v>125.01737174781491</v>
      </c>
      <c r="AT22" s="1045">
        <f t="shared" si="31"/>
        <v>118.37544692661319</v>
      </c>
      <c r="AU22" s="1045">
        <f t="shared" si="32"/>
        <v>112.43151399511211</v>
      </c>
      <c r="AV22" s="1045">
        <f t="shared" si="33"/>
        <v>106.32156268122824</v>
      </c>
      <c r="AW22" s="1045">
        <f t="shared" si="34"/>
        <v>100.03845704500752</v>
      </c>
      <c r="AX22" s="1158">
        <f t="shared" si="35"/>
        <v>94.039335940133171</v>
      </c>
      <c r="AY22" s="1045">
        <f t="shared" si="36"/>
        <v>88.050653773868177</v>
      </c>
      <c r="AZ22" s="1045">
        <f t="shared" si="37"/>
        <v>82.424572004042759</v>
      </c>
      <c r="BA22" s="1045">
        <f t="shared" si="38"/>
        <v>77.084956330065637</v>
      </c>
      <c r="BB22" s="1045">
        <f t="shared" si="39"/>
        <v>72.138359566367257</v>
      </c>
      <c r="BC22" s="1045">
        <f t="shared" si="40"/>
        <v>67.450003114034715</v>
      </c>
      <c r="BD22" s="1045">
        <f t="shared" si="41"/>
        <v>63.235831022229043</v>
      </c>
      <c r="BE22" s="1045">
        <f t="shared" si="42"/>
        <v>59.464018960671503</v>
      </c>
      <c r="BF22" s="1045">
        <f t="shared" si="43"/>
        <v>55.971229006275308</v>
      </c>
      <c r="BG22" s="1045">
        <f t="shared" si="44"/>
        <v>52.813724658228082</v>
      </c>
      <c r="BH22" s="1045">
        <f t="shared" si="45"/>
        <v>50.026921796308798</v>
      </c>
      <c r="BI22" s="1045">
        <f t="shared" si="46"/>
        <v>47.43792147269275</v>
      </c>
      <c r="BJ22" s="1045">
        <f t="shared" si="47"/>
        <v>45.119571974245325</v>
      </c>
      <c r="BK22" s="1045">
        <f t="shared" si="48"/>
        <v>43.059737900112985</v>
      </c>
      <c r="BL22" s="1045">
        <f t="shared" si="49"/>
        <v>41.147381724202461</v>
      </c>
      <c r="BM22" s="1045">
        <f t="shared" si="50"/>
        <v>39.367267260200833</v>
      </c>
    </row>
    <row r="23" spans="1:65" s="864" customFormat="1" ht="14.45" x14ac:dyDescent="0.35">
      <c r="A23" s="839"/>
      <c r="B23" s="839" t="s">
        <v>40</v>
      </c>
      <c r="C23" s="838"/>
      <c r="D23" s="838"/>
      <c r="E23" s="838"/>
      <c r="F23" s="838"/>
      <c r="G23" s="854"/>
      <c r="H23" s="1063">
        <v>22.239304693731142</v>
      </c>
      <c r="I23" s="1063">
        <v>28.450139754515391</v>
      </c>
      <c r="J23" s="1063">
        <v>35.057543762536255</v>
      </c>
      <c r="K23" s="1063">
        <v>42.123909686323586</v>
      </c>
      <c r="L23" s="1063">
        <v>47.129105217757314</v>
      </c>
      <c r="M23" s="1063">
        <v>51.415998306541695</v>
      </c>
      <c r="N23" s="1063">
        <v>54.296853695155335</v>
      </c>
      <c r="O23" s="1063">
        <v>57.018860194297567</v>
      </c>
      <c r="P23" s="1063">
        <v>58.613070034204313</v>
      </c>
      <c r="Q23" s="1063">
        <v>59.509512530363295</v>
      </c>
      <c r="R23" s="1063">
        <v>59.465159803289225</v>
      </c>
      <c r="S23" s="1063">
        <v>58.877123388732144</v>
      </c>
      <c r="T23" s="1063">
        <v>57.796388636705544</v>
      </c>
      <c r="U23" s="1063">
        <v>56.438783907036552</v>
      </c>
      <c r="V23" s="1063">
        <v>54.741914911801359</v>
      </c>
      <c r="W23" s="1063">
        <v>53.024605796152031</v>
      </c>
      <c r="X23" s="1063">
        <v>51.430632884608258</v>
      </c>
      <c r="Y23" s="1063">
        <v>49.804716456141875</v>
      </c>
      <c r="Z23" s="1063">
        <v>48.243421097502477</v>
      </c>
      <c r="AA23" s="1063">
        <v>46.837784350506382</v>
      </c>
      <c r="AB23" s="1063">
        <v>45.445832052934946</v>
      </c>
      <c r="AC23" s="1063">
        <v>44.175248301760419</v>
      </c>
      <c r="AD23" s="1063">
        <v>43.041771344999617</v>
      </c>
      <c r="AE23" s="1063">
        <v>41.942064902767562</v>
      </c>
      <c r="AF23" s="1063">
        <v>40.89687593267908</v>
      </c>
      <c r="AH23" s="1041"/>
      <c r="AI23" s="1041" t="s">
        <v>40</v>
      </c>
      <c r="AJ23" s="1059"/>
      <c r="AK23" s="1059"/>
      <c r="AL23" s="1059"/>
      <c r="AM23" s="1059"/>
      <c r="AN23" s="1045"/>
      <c r="AO23" s="1045">
        <f t="shared" si="51"/>
        <v>25.274870113953362</v>
      </c>
      <c r="AP23" s="1045">
        <f t="shared" si="27"/>
        <v>32.102294720283396</v>
      </c>
      <c r="AQ23" s="1045">
        <f t="shared" si="28"/>
        <v>39.385690369615709</v>
      </c>
      <c r="AR23" s="1045">
        <f t="shared" si="29"/>
        <v>47.178641653524757</v>
      </c>
      <c r="AS23" s="1045">
        <f t="shared" si="30"/>
        <v>52.661910620048012</v>
      </c>
      <c r="AT23" s="1045">
        <f t="shared" si="31"/>
        <v>57.376890969419868</v>
      </c>
      <c r="AU23" s="1045">
        <f t="shared" si="32"/>
        <v>60.527488450591427</v>
      </c>
      <c r="AV23" s="1045">
        <f t="shared" si="33"/>
        <v>63.469049671891717</v>
      </c>
      <c r="AW23" s="1045">
        <f t="shared" si="34"/>
        <v>65.194216003441056</v>
      </c>
      <c r="AX23" s="1158">
        <f t="shared" si="35"/>
        <v>66.138352074680839</v>
      </c>
      <c r="AY23" s="1045">
        <f t="shared" si="36"/>
        <v>66.071235879707629</v>
      </c>
      <c r="AZ23" s="1045">
        <f t="shared" si="37"/>
        <v>65.403924560198874</v>
      </c>
      <c r="BA23" s="1045">
        <f t="shared" si="38"/>
        <v>64.181299000101347</v>
      </c>
      <c r="BB23" s="1045">
        <f t="shared" si="39"/>
        <v>62.668356842834676</v>
      </c>
      <c r="BC23" s="1045">
        <f t="shared" si="40"/>
        <v>60.784631863319895</v>
      </c>
      <c r="BD23" s="1045">
        <f t="shared" si="41"/>
        <v>58.873732432538709</v>
      </c>
      <c r="BE23" s="1045">
        <f t="shared" si="42"/>
        <v>57.094067859739496</v>
      </c>
      <c r="BF23" s="1045">
        <f t="shared" si="43"/>
        <v>55.273148507444205</v>
      </c>
      <c r="BG23" s="1045">
        <f t="shared" si="44"/>
        <v>53.525257368217879</v>
      </c>
      <c r="BH23" s="1045">
        <f t="shared" si="45"/>
        <v>51.95126425628343</v>
      </c>
      <c r="BI23" s="1045">
        <f t="shared" si="46"/>
        <v>50.391476429491881</v>
      </c>
      <c r="BJ23" s="1045">
        <f t="shared" si="47"/>
        <v>48.959547366034506</v>
      </c>
      <c r="BK23" s="1045">
        <f t="shared" si="48"/>
        <v>47.677656936528898</v>
      </c>
      <c r="BL23" s="1045">
        <f t="shared" si="49"/>
        <v>46.431106836266324</v>
      </c>
      <c r="BM23" s="1045">
        <f t="shared" si="50"/>
        <v>45.241009688836925</v>
      </c>
    </row>
    <row r="24" spans="1:65" s="864" customFormat="1" ht="14.45" x14ac:dyDescent="0.35">
      <c r="A24" s="839"/>
      <c r="B24" s="839" t="s">
        <v>29</v>
      </c>
      <c r="C24" s="838"/>
      <c r="D24" s="838"/>
      <c r="E24" s="838"/>
      <c r="F24" s="838"/>
      <c r="G24" s="854"/>
      <c r="H24" s="1063">
        <v>3.2179047683698852E-3</v>
      </c>
      <c r="I24" s="1063">
        <v>6.1117654818165855E-2</v>
      </c>
      <c r="J24" s="1063">
        <v>0.34159391397487554</v>
      </c>
      <c r="K24" s="1063">
        <v>1.0831925192069825</v>
      </c>
      <c r="L24" s="1063">
        <v>2.4885110600240941</v>
      </c>
      <c r="M24" s="1063">
        <v>4.6703590028454194</v>
      </c>
      <c r="N24" s="1063">
        <v>7.6337036869905868</v>
      </c>
      <c r="O24" s="1063">
        <v>11.327226193195777</v>
      </c>
      <c r="P24" s="1063">
        <v>15.417436779377718</v>
      </c>
      <c r="Q24" s="1063">
        <v>20.05072352785427</v>
      </c>
      <c r="R24" s="1063">
        <v>24.644907266153133</v>
      </c>
      <c r="S24" s="1063">
        <v>29.348476099707735</v>
      </c>
      <c r="T24" s="1063">
        <v>33.92347304028678</v>
      </c>
      <c r="U24" s="1063">
        <v>38.398853875555055</v>
      </c>
      <c r="V24" s="1063">
        <v>42.344087779398222</v>
      </c>
      <c r="W24" s="1063">
        <v>45.885910701131991</v>
      </c>
      <c r="X24" s="1063">
        <v>49.456145652932818</v>
      </c>
      <c r="Y24" s="1063">
        <v>52.665304676845167</v>
      </c>
      <c r="Z24" s="1063">
        <v>55.456125160491716</v>
      </c>
      <c r="AA24" s="1063">
        <v>58.014239128322259</v>
      </c>
      <c r="AB24" s="1063">
        <v>60.246585929591738</v>
      </c>
      <c r="AC24" s="1063">
        <v>62.347934165838467</v>
      </c>
      <c r="AD24" s="1063">
        <v>64.428927609801406</v>
      </c>
      <c r="AE24" s="1063">
        <v>66.297073657069006</v>
      </c>
      <c r="AF24" s="1063">
        <v>68.300323109628181</v>
      </c>
      <c r="AH24" s="1041"/>
      <c r="AI24" s="1041" t="s">
        <v>29</v>
      </c>
      <c r="AJ24" s="1059"/>
      <c r="AK24" s="1059"/>
      <c r="AL24" s="1059"/>
      <c r="AM24" s="1059"/>
      <c r="AN24" s="1045"/>
      <c r="AO24" s="1045">
        <f t="shared" si="51"/>
        <v>3.2878469001754282E-3</v>
      </c>
      <c r="AP24" s="1045">
        <f t="shared" si="27"/>
        <v>6.2955468496793329E-2</v>
      </c>
      <c r="AQ24" s="1045">
        <f t="shared" si="28"/>
        <v>0.35441050878198638</v>
      </c>
      <c r="AR24" s="1045">
        <f t="shared" si="29"/>
        <v>1.1303006974279517</v>
      </c>
      <c r="AS24" s="1045">
        <f t="shared" si="30"/>
        <v>2.6092443075144152</v>
      </c>
      <c r="AT24" s="1045">
        <f t="shared" si="31"/>
        <v>4.9190154726558877</v>
      </c>
      <c r="AU24" s="1045">
        <f t="shared" si="32"/>
        <v>8.066585723342234</v>
      </c>
      <c r="AV24" s="1045">
        <f t="shared" si="33"/>
        <v>11.991889048826808</v>
      </c>
      <c r="AW24" s="1045">
        <f t="shared" si="34"/>
        <v>16.354089442590908</v>
      </c>
      <c r="AX24" s="1158">
        <f t="shared" si="35"/>
        <v>21.29189185119354</v>
      </c>
      <c r="AY24" s="1045">
        <f t="shared" si="36"/>
        <v>26.204023457403217</v>
      </c>
      <c r="AZ24" s="1045">
        <f t="shared" si="37"/>
        <v>31.232593214812571</v>
      </c>
      <c r="BA24" s="1045">
        <f t="shared" si="38"/>
        <v>36.120593735959872</v>
      </c>
      <c r="BB24" s="1045">
        <f t="shared" si="39"/>
        <v>40.900690363956066</v>
      </c>
      <c r="BC24" s="1045">
        <f t="shared" si="40"/>
        <v>45.119047448633005</v>
      </c>
      <c r="BD24" s="1045">
        <f t="shared" si="41"/>
        <v>48.908838486957627</v>
      </c>
      <c r="BE24" s="1045">
        <f t="shared" si="42"/>
        <v>52.706593584202842</v>
      </c>
      <c r="BF24" s="1045">
        <f t="shared" si="43"/>
        <v>56.107195517768815</v>
      </c>
      <c r="BG24" s="1045">
        <f t="shared" si="44"/>
        <v>59.066807791887825</v>
      </c>
      <c r="BH24" s="1045">
        <f t="shared" si="45"/>
        <v>61.785385162058375</v>
      </c>
      <c r="BI24" s="1045">
        <f t="shared" si="46"/>
        <v>64.157534283970548</v>
      </c>
      <c r="BJ24" s="1045">
        <f t="shared" si="47"/>
        <v>66.375174921435146</v>
      </c>
      <c r="BK24" s="1045">
        <f t="shared" si="48"/>
        <v>68.568481672491529</v>
      </c>
      <c r="BL24" s="1045">
        <f t="shared" si="49"/>
        <v>70.53004552283636</v>
      </c>
      <c r="BM24" s="1045">
        <f t="shared" si="50"/>
        <v>72.626012089110844</v>
      </c>
    </row>
    <row r="25" spans="1:65" s="864" customFormat="1" ht="14.45" x14ac:dyDescent="0.35">
      <c r="A25" s="839"/>
      <c r="B25" s="839"/>
      <c r="C25" s="838"/>
      <c r="D25" s="838"/>
      <c r="E25" s="838"/>
      <c r="F25" s="838"/>
      <c r="G25" s="854"/>
      <c r="H25" s="838"/>
      <c r="I25" s="838"/>
      <c r="J25" s="838"/>
      <c r="K25" s="838"/>
      <c r="L25" s="838"/>
      <c r="M25" s="838"/>
      <c r="N25" s="838"/>
      <c r="O25" s="838"/>
      <c r="P25" s="838"/>
      <c r="Q25" s="838"/>
      <c r="R25" s="838"/>
      <c r="S25" s="838"/>
      <c r="T25" s="838"/>
      <c r="U25" s="838"/>
      <c r="V25" s="838"/>
      <c r="W25" s="838"/>
      <c r="X25" s="838"/>
      <c r="Y25" s="838"/>
      <c r="Z25" s="838"/>
      <c r="AA25" s="838"/>
      <c r="AB25" s="838"/>
      <c r="AC25" s="838"/>
      <c r="AD25" s="838"/>
      <c r="AE25" s="838"/>
      <c r="AF25" s="838"/>
      <c r="AH25" s="1041"/>
      <c r="AI25" s="1041"/>
      <c r="AJ25" s="1059"/>
      <c r="AK25" s="1059"/>
      <c r="AL25" s="1059"/>
      <c r="AM25" s="1059"/>
      <c r="AN25" s="1045"/>
      <c r="AO25" s="1059"/>
      <c r="AP25" s="1059"/>
      <c r="AQ25" s="1059"/>
      <c r="AR25" s="1059"/>
      <c r="AS25" s="1059"/>
      <c r="AT25" s="1059"/>
      <c r="AU25" s="1059"/>
      <c r="AV25" s="1059"/>
      <c r="AW25" s="1059"/>
      <c r="AX25" s="1158"/>
      <c r="AY25" s="1059"/>
      <c r="AZ25" s="1059"/>
      <c r="BA25" s="1059"/>
      <c r="BB25" s="1059"/>
      <c r="BC25" s="1059"/>
      <c r="BD25" s="1059"/>
      <c r="BE25" s="1059"/>
      <c r="BF25" s="1059"/>
      <c r="BG25" s="1059"/>
      <c r="BH25" s="1059"/>
      <c r="BI25" s="1059"/>
      <c r="BJ25" s="1059"/>
      <c r="BK25" s="1059"/>
      <c r="BL25" s="1059"/>
      <c r="BM25" s="1059"/>
    </row>
    <row r="26" spans="1:65" s="856" customFormat="1" ht="12.95" x14ac:dyDescent="0.3">
      <c r="A26" s="843" t="s">
        <v>42</v>
      </c>
      <c r="B26" s="843"/>
      <c r="C26" s="843"/>
      <c r="D26" s="843"/>
      <c r="E26" s="843"/>
      <c r="F26" s="843"/>
      <c r="G26" s="865"/>
      <c r="H26" s="843"/>
      <c r="I26" s="843"/>
      <c r="J26" s="843"/>
      <c r="K26" s="843"/>
      <c r="L26" s="843"/>
      <c r="M26" s="843"/>
      <c r="N26" s="843"/>
      <c r="O26" s="843"/>
      <c r="P26" s="843"/>
      <c r="Q26" s="843"/>
      <c r="R26" s="843"/>
      <c r="S26" s="843"/>
      <c r="T26" s="843"/>
      <c r="U26" s="843"/>
      <c r="V26" s="843"/>
      <c r="W26" s="843"/>
      <c r="X26" s="843"/>
      <c r="Y26" s="843"/>
      <c r="Z26" s="843"/>
      <c r="AA26" s="843"/>
      <c r="AB26" s="843"/>
      <c r="AC26" s="843"/>
      <c r="AD26" s="843"/>
      <c r="AE26" s="843"/>
      <c r="AF26" s="843"/>
      <c r="AH26" s="843"/>
      <c r="AI26" s="843"/>
      <c r="AJ26" s="843"/>
      <c r="AK26" s="843"/>
      <c r="AL26" s="843"/>
      <c r="AM26" s="843"/>
      <c r="AN26" s="865"/>
      <c r="AO26" s="843"/>
      <c r="AP26" s="843"/>
      <c r="AQ26" s="843"/>
      <c r="AR26" s="843"/>
      <c r="AS26" s="843"/>
      <c r="AT26" s="843"/>
      <c r="AU26" s="843"/>
      <c r="AV26" s="843"/>
      <c r="AW26" s="843"/>
      <c r="AX26" s="1159"/>
      <c r="AY26" s="843"/>
      <c r="AZ26" s="843"/>
      <c r="BA26" s="843"/>
      <c r="BB26" s="843"/>
      <c r="BC26" s="843"/>
      <c r="BD26" s="843"/>
      <c r="BE26" s="843"/>
      <c r="BF26" s="843"/>
      <c r="BG26" s="843"/>
      <c r="BH26" s="843"/>
      <c r="BI26" s="843"/>
      <c r="BJ26" s="843"/>
      <c r="BK26" s="843"/>
      <c r="BL26" s="843"/>
      <c r="BM26" s="843"/>
    </row>
    <row r="27" spans="1:65" s="864" customFormat="1" ht="14.45" x14ac:dyDescent="0.35">
      <c r="A27" s="839"/>
      <c r="B27" s="842" t="s">
        <v>43</v>
      </c>
      <c r="C27" s="838"/>
      <c r="D27" s="838"/>
      <c r="E27" s="838"/>
      <c r="F27" s="838"/>
      <c r="G27" s="854"/>
      <c r="H27" s="854">
        <v>0.25367572373923553</v>
      </c>
      <c r="I27" s="854">
        <v>0.2263760426279291</v>
      </c>
      <c r="J27" s="854">
        <v>0.20193983424883155</v>
      </c>
      <c r="K27" s="854">
        <v>0.1797874601303012</v>
      </c>
      <c r="L27" s="854">
        <v>0.16015379315212921</v>
      </c>
      <c r="M27" s="854">
        <v>0.14220185350508832</v>
      </c>
      <c r="N27" s="854">
        <v>0.12631311666415487</v>
      </c>
      <c r="O27" s="854">
        <v>0.11223284263708581</v>
      </c>
      <c r="P27" s="854">
        <v>9.9733855389574605E-2</v>
      </c>
      <c r="Q27" s="854">
        <v>8.8598789098766895E-2</v>
      </c>
      <c r="R27" s="854">
        <v>7.8628225962147191E-2</v>
      </c>
      <c r="S27" s="854">
        <v>6.9804629901560875E-2</v>
      </c>
      <c r="T27" s="854">
        <v>6.1972940478868789E-2</v>
      </c>
      <c r="U27" s="854">
        <v>5.5035476240943362E-2</v>
      </c>
      <c r="V27" s="854">
        <v>4.8902524887072557E-2</v>
      </c>
      <c r="W27" s="854">
        <v>4.3460660460802672E-2</v>
      </c>
      <c r="X27" s="854">
        <v>3.8648619513808852E-2</v>
      </c>
      <c r="Y27" s="854">
        <v>3.4378820404550557E-2</v>
      </c>
      <c r="Z27" s="854">
        <v>3.0595400132760922E-2</v>
      </c>
      <c r="AA27" s="854">
        <v>2.7245686386014503E-2</v>
      </c>
      <c r="AB27" s="854">
        <v>2.4273714164266342E-2</v>
      </c>
      <c r="AC27" s="854">
        <v>2.1642469402820792E-2</v>
      </c>
      <c r="AD27" s="854">
        <v>1.930367004292818E-2</v>
      </c>
      <c r="AE27" s="854">
        <v>1.7225663377146212E-2</v>
      </c>
      <c r="AF27" s="854">
        <v>1.5365355881837845E-2</v>
      </c>
      <c r="AH27" s="1041"/>
      <c r="AI27" s="1043" t="s">
        <v>43</v>
      </c>
      <c r="AJ27" s="1059"/>
      <c r="AK27" s="1059"/>
      <c r="AL27" s="1059"/>
      <c r="AM27" s="1059"/>
      <c r="AN27" s="1045"/>
      <c r="AO27" s="1045">
        <f>H27+H64+H101+H138</f>
        <v>1.9545065187211965</v>
      </c>
      <c r="AP27" s="1045">
        <f t="shared" ref="AP27:AP31" si="52">I27+I64+I101+I138</f>
        <v>1.7610092649660332</v>
      </c>
      <c r="AQ27" s="1045">
        <f t="shared" ref="AQ27:AQ31" si="53">J27+J64+J101+J138</f>
        <v>1.5881599271191391</v>
      </c>
      <c r="AR27" s="1045">
        <f t="shared" ref="AR27:AR31" si="54">K27+K64+K101+K138</f>
        <v>1.4331394782390936</v>
      </c>
      <c r="AS27" s="1045">
        <f t="shared" ref="AS27:AS31" si="55">L27+L64+L101+L138</f>
        <v>1.2948347186563303</v>
      </c>
      <c r="AT27" s="1045">
        <f t="shared" ref="AT27:AT31" si="56">M27+M64+M101+M138</f>
        <v>1.1699179077857769</v>
      </c>
      <c r="AU27" s="1045">
        <f t="shared" ref="AU27:AU31" si="57">N27+N64+N101+N138</f>
        <v>1.0584274582651407</v>
      </c>
      <c r="AV27" s="1045">
        <f t="shared" ref="AV27:AV31" si="58">O27+O64+O101+O138</f>
        <v>0.95875738624895968</v>
      </c>
      <c r="AW27" s="1045">
        <f t="shared" ref="AW27:AW31" si="59">P27+P64+P101+P138</f>
        <v>0.86956171443174457</v>
      </c>
      <c r="AX27" s="1158">
        <f t="shared" ref="AX27:AX31" si="60">Q27+Q64+Q101+Q138</f>
        <v>0.7895433175818628</v>
      </c>
      <c r="AY27" s="1045">
        <f t="shared" ref="AY27:AY31" si="61">R27+R64+R101+R138</f>
        <v>0.71778294880982385</v>
      </c>
      <c r="AZ27" s="1045">
        <f t="shared" ref="AZ27:AZ31" si="62">S27+S64+S101+S138</f>
        <v>0.65375807934601526</v>
      </c>
      <c r="BA27" s="1045">
        <f t="shared" ref="BA27:BA31" si="63">T27+T64+T101+T138</f>
        <v>0.59651095467981519</v>
      </c>
      <c r="BB27" s="1045">
        <f t="shared" ref="BB27:BB31" si="64">U27+U64+U101+U138</f>
        <v>0.54550701669357393</v>
      </c>
      <c r="BC27" s="1045">
        <f t="shared" ref="BC27:BC31" si="65">V27+V64+V101+V138</f>
        <v>0.50010282667408545</v>
      </c>
      <c r="BD27" s="1045">
        <f t="shared" ref="BD27:BD31" si="66">W27+W64+W101+W138</f>
        <v>0.45963331217394116</v>
      </c>
      <c r="BE27" s="1045">
        <f t="shared" ref="BE27:BE31" si="67">X27+X64+X101+X138</f>
        <v>0.42363389861914391</v>
      </c>
      <c r="BF27" s="1045">
        <f t="shared" ref="BF27:BF31" si="68">Y27+Y64+Y101+Y138</f>
        <v>0.39157764831520309</v>
      </c>
      <c r="BG27" s="1045">
        <f t="shared" ref="BG27:BG31" si="69">Z27+Z64+Z101+Z138</f>
        <v>0.36302221798164969</v>
      </c>
      <c r="BH27" s="1045">
        <f t="shared" ref="BH27:BH31" si="70">AA27+AA64+AA101+AA138</f>
        <v>0.3375330233258389</v>
      </c>
      <c r="BI27" s="1045">
        <f t="shared" ref="BI27:BI31" si="71">AB27+AB64+AB101+AB138</f>
        <v>0.31471616305843808</v>
      </c>
      <c r="BJ27" s="1045">
        <f t="shared" ref="BJ27:BJ31" si="72">AC27+AC64+AC101+AC138</f>
        <v>0.2943325770257344</v>
      </c>
      <c r="BK27" s="1045">
        <f t="shared" ref="BK27:BK31" si="73">AD27+AD64+AD101+AD138</f>
        <v>0.27607837344468666</v>
      </c>
      <c r="BL27" s="1045">
        <f t="shared" ref="BL27:BL31" si="74">AE27+AE64+AE101+AE138</f>
        <v>0.25968515748166782</v>
      </c>
      <c r="BM27" s="1045">
        <f t="shared" ref="BM27:BM31" si="75">AF27+AF64+AF101+AF138</f>
        <v>0.24488277012046691</v>
      </c>
    </row>
    <row r="28" spans="1:65" s="864" customFormat="1" ht="14.45" x14ac:dyDescent="0.35">
      <c r="A28" s="839"/>
      <c r="B28" s="842" t="s">
        <v>44</v>
      </c>
      <c r="C28" s="838"/>
      <c r="D28" s="838"/>
      <c r="E28" s="838"/>
      <c r="F28" s="838"/>
      <c r="G28" s="854"/>
      <c r="H28" s="854">
        <v>27.754049242262539</v>
      </c>
      <c r="I28" s="854">
        <v>28.3498432940832</v>
      </c>
      <c r="J28" s="854">
        <v>28.606287572833395</v>
      </c>
      <c r="K28" s="854">
        <v>28.426259577747924</v>
      </c>
      <c r="L28" s="854">
        <v>27.895546988541536</v>
      </c>
      <c r="M28" s="854">
        <v>26.892351629441542</v>
      </c>
      <c r="N28" s="854">
        <v>25.731093823173424</v>
      </c>
      <c r="O28" s="854">
        <v>24.483350054351956</v>
      </c>
      <c r="P28" s="854">
        <v>23.105089381915533</v>
      </c>
      <c r="Q28" s="854">
        <v>21.71390057046527</v>
      </c>
      <c r="R28" s="854">
        <v>20.270240468076228</v>
      </c>
      <c r="S28" s="854">
        <v>18.895325501134579</v>
      </c>
      <c r="T28" s="854">
        <v>17.574984738962527</v>
      </c>
      <c r="U28" s="854">
        <v>16.350047611981189</v>
      </c>
      <c r="V28" s="854">
        <v>15.25274421922866</v>
      </c>
      <c r="W28" s="854">
        <v>14.194740428179761</v>
      </c>
      <c r="X28" s="854">
        <v>13.249531525293671</v>
      </c>
      <c r="Y28" s="854">
        <v>12.38407648309375</v>
      </c>
      <c r="Z28" s="854">
        <v>11.595411171352771</v>
      </c>
      <c r="AA28" s="854">
        <v>10.882368784291831</v>
      </c>
      <c r="AB28" s="854">
        <v>10.228701896237343</v>
      </c>
      <c r="AC28" s="854">
        <v>9.6393898955762669</v>
      </c>
      <c r="AD28" s="854">
        <v>9.1046402361936991</v>
      </c>
      <c r="AE28" s="854">
        <v>8.6151505871750658</v>
      </c>
      <c r="AF28" s="854">
        <v>8.1524327934838503</v>
      </c>
      <c r="AH28" s="1041"/>
      <c r="AI28" s="1043" t="s">
        <v>44</v>
      </c>
      <c r="AJ28" s="1059"/>
      <c r="AK28" s="1059"/>
      <c r="AL28" s="1059"/>
      <c r="AM28" s="1059"/>
      <c r="AN28" s="1045"/>
      <c r="AO28" s="1045">
        <f>H28+H65+H102+H139</f>
        <v>80.51844187386213</v>
      </c>
      <c r="AP28" s="1045">
        <f t="shared" si="52"/>
        <v>83.797784743536141</v>
      </c>
      <c r="AQ28" s="1045">
        <f t="shared" si="53"/>
        <v>85.72131625888224</v>
      </c>
      <c r="AR28" s="1045">
        <f t="shared" si="54"/>
        <v>86.343633277533186</v>
      </c>
      <c r="AS28" s="1045">
        <f t="shared" si="55"/>
        <v>85.914740464981534</v>
      </c>
      <c r="AT28" s="1045">
        <f t="shared" si="56"/>
        <v>84.20649142808692</v>
      </c>
      <c r="AU28" s="1045">
        <f t="shared" si="57"/>
        <v>81.942301944762576</v>
      </c>
      <c r="AV28" s="1045">
        <f t="shared" si="58"/>
        <v>79.414954972704038</v>
      </c>
      <c r="AW28" s="1045">
        <f t="shared" si="59"/>
        <v>76.415241101058044</v>
      </c>
      <c r="AX28" s="1158">
        <f t="shared" si="60"/>
        <v>73.245702250611131</v>
      </c>
      <c r="AY28" s="1045">
        <f t="shared" si="61"/>
        <v>69.911775638706345</v>
      </c>
      <c r="AZ28" s="1045">
        <f t="shared" si="62"/>
        <v>66.640138911530713</v>
      </c>
      <c r="BA28" s="1045">
        <f t="shared" si="63"/>
        <v>63.472706944464058</v>
      </c>
      <c r="BB28" s="1045">
        <f t="shared" si="64"/>
        <v>60.515462651069058</v>
      </c>
      <c r="BC28" s="1045">
        <f t="shared" si="65"/>
        <v>57.791623424913432</v>
      </c>
      <c r="BD28" s="1045">
        <f t="shared" si="66"/>
        <v>55.208249688372412</v>
      </c>
      <c r="BE28" s="1045">
        <f t="shared" si="67"/>
        <v>52.910215066851741</v>
      </c>
      <c r="BF28" s="1045">
        <f t="shared" si="68"/>
        <v>50.806980197643746</v>
      </c>
      <c r="BG28" s="1045">
        <f t="shared" si="69"/>
        <v>48.890850692566516</v>
      </c>
      <c r="BH28" s="1045">
        <f t="shared" si="70"/>
        <v>47.156254501495205</v>
      </c>
      <c r="BI28" s="1045">
        <f t="shared" si="71"/>
        <v>45.568749664612604</v>
      </c>
      <c r="BJ28" s="1045">
        <f t="shared" si="72"/>
        <v>44.140972369154937</v>
      </c>
      <c r="BK28" s="1045">
        <f t="shared" si="73"/>
        <v>42.848607341809021</v>
      </c>
      <c r="BL28" s="1045">
        <f t="shared" si="74"/>
        <v>41.675255841092415</v>
      </c>
      <c r="BM28" s="1045">
        <f t="shared" si="75"/>
        <v>40.574515977099331</v>
      </c>
    </row>
    <row r="29" spans="1:65" s="864" customFormat="1" ht="14.45" x14ac:dyDescent="0.35">
      <c r="A29" s="839"/>
      <c r="B29" s="842" t="s">
        <v>45</v>
      </c>
      <c r="C29" s="838"/>
      <c r="D29" s="838"/>
      <c r="E29" s="838"/>
      <c r="F29" s="838"/>
      <c r="G29" s="854"/>
      <c r="H29" s="854">
        <v>1.3589883918627987</v>
      </c>
      <c r="I29" s="854">
        <v>1.2300988451010417</v>
      </c>
      <c r="J29" s="854">
        <v>1.1151405841698236</v>
      </c>
      <c r="K29" s="854">
        <v>1.0110005867007115</v>
      </c>
      <c r="L29" s="854">
        <v>0.91478297142512333</v>
      </c>
      <c r="M29" s="854">
        <v>0.82642121750164477</v>
      </c>
      <c r="N29" s="854">
        <v>0.74582918474987081</v>
      </c>
      <c r="O29" s="854">
        <v>0.67287742779447213</v>
      </c>
      <c r="P29" s="854">
        <v>0.60505841286122009</v>
      </c>
      <c r="Q29" s="854">
        <v>0.5442022701409498</v>
      </c>
      <c r="R29" s="854">
        <v>0.4888483975853829</v>
      </c>
      <c r="S29" s="854">
        <v>0.43950900353425593</v>
      </c>
      <c r="T29" s="854">
        <v>0.39530112118311161</v>
      </c>
      <c r="U29" s="854">
        <v>0.35614304846035616</v>
      </c>
      <c r="V29" s="854">
        <v>0.32129160701611836</v>
      </c>
      <c r="W29" s="854">
        <v>0.29027876165555244</v>
      </c>
      <c r="X29" s="854">
        <v>0.26310324340551305</v>
      </c>
      <c r="Y29" s="854">
        <v>0.23899158069158682</v>
      </c>
      <c r="Z29" s="854">
        <v>0.21758673496088934</v>
      </c>
      <c r="AA29" s="854">
        <v>0.19862105753938017</v>
      </c>
      <c r="AB29" s="854">
        <v>0.18175072867827755</v>
      </c>
      <c r="AC29" s="854">
        <v>0.16682998224016721</v>
      </c>
      <c r="AD29" s="854">
        <v>0.15357391016867233</v>
      </c>
      <c r="AE29" s="854">
        <v>0.14175277646817991</v>
      </c>
      <c r="AF29" s="854">
        <v>0.13109126258508</v>
      </c>
      <c r="AH29" s="1041"/>
      <c r="AI29" s="1043" t="s">
        <v>45</v>
      </c>
      <c r="AJ29" s="1059"/>
      <c r="AK29" s="1059"/>
      <c r="AL29" s="1059"/>
      <c r="AM29" s="1059"/>
      <c r="AN29" s="1045"/>
      <c r="AO29" s="1045">
        <f t="shared" ref="AO29:AO31" si="76">H29+H66+H103+H140</f>
        <v>21.475569715443644</v>
      </c>
      <c r="AP29" s="1045">
        <f t="shared" si="52"/>
        <v>19.194037055264907</v>
      </c>
      <c r="AQ29" s="1045">
        <f t="shared" si="53"/>
        <v>17.165614943357827</v>
      </c>
      <c r="AR29" s="1045">
        <f t="shared" si="54"/>
        <v>15.359669481862847</v>
      </c>
      <c r="AS29" s="1045">
        <f t="shared" si="55"/>
        <v>13.749211003586893</v>
      </c>
      <c r="AT29" s="1045">
        <f t="shared" si="56"/>
        <v>12.310120493635363</v>
      </c>
      <c r="AU29" s="1045">
        <f t="shared" si="57"/>
        <v>11.026623691475907</v>
      </c>
      <c r="AV29" s="1045">
        <f t="shared" si="58"/>
        <v>9.8728609347554688</v>
      </c>
      <c r="AW29" s="1045">
        <f t="shared" si="59"/>
        <v>8.8415278537017148</v>
      </c>
      <c r="AX29" s="1158">
        <f t="shared" si="60"/>
        <v>7.9222620040774334</v>
      </c>
      <c r="AY29" s="1045">
        <f t="shared" si="61"/>
        <v>7.1016145558532067</v>
      </c>
      <c r="AZ29" s="1045">
        <f t="shared" si="62"/>
        <v>6.3700272175325567</v>
      </c>
      <c r="BA29" s="1045">
        <f t="shared" si="63"/>
        <v>5.7175673461905712</v>
      </c>
      <c r="BB29" s="1045">
        <f t="shared" si="64"/>
        <v>5.1364412883848081</v>
      </c>
      <c r="BC29" s="1045">
        <f t="shared" si="65"/>
        <v>4.6180580464480512</v>
      </c>
      <c r="BD29" s="1045">
        <f t="shared" si="66"/>
        <v>4.1555850603737614</v>
      </c>
      <c r="BE29" s="1045">
        <f t="shared" si="67"/>
        <v>3.7437792069166989</v>
      </c>
      <c r="BF29" s="1045">
        <f t="shared" si="68"/>
        <v>3.3772642147914471</v>
      </c>
      <c r="BG29" s="1045">
        <f t="shared" si="69"/>
        <v>3.0510808733091292</v>
      </c>
      <c r="BH29" s="1045">
        <f t="shared" si="70"/>
        <v>2.759155836668449</v>
      </c>
      <c r="BI29" s="1045">
        <f t="shared" si="71"/>
        <v>2.4987185580673263</v>
      </c>
      <c r="BJ29" s="1045">
        <f t="shared" si="72"/>
        <v>2.2663660118334223</v>
      </c>
      <c r="BK29" s="1045">
        <f t="shared" si="73"/>
        <v>2.05880482735598</v>
      </c>
      <c r="BL29" s="1045">
        <f t="shared" si="74"/>
        <v>1.8727468746575746</v>
      </c>
      <c r="BM29" s="1045">
        <f t="shared" si="75"/>
        <v>1.7060494302014524</v>
      </c>
    </row>
    <row r="30" spans="1:65" s="864" customFormat="1" ht="14.45" x14ac:dyDescent="0.35">
      <c r="A30" s="839"/>
      <c r="B30" s="842" t="s">
        <v>46</v>
      </c>
      <c r="C30" s="838"/>
      <c r="D30" s="838"/>
      <c r="E30" s="838"/>
      <c r="F30" s="838"/>
      <c r="G30" s="854"/>
      <c r="H30" s="854">
        <v>1.7922454537913711E-2</v>
      </c>
      <c r="I30" s="854">
        <v>1.5662100129650466E-2</v>
      </c>
      <c r="J30" s="854">
        <v>1.3692764598657871E-2</v>
      </c>
      <c r="K30" s="854">
        <v>1.1976170003146673E-2</v>
      </c>
      <c r="L30" s="854">
        <v>1.0479185412689145E-2</v>
      </c>
      <c r="M30" s="854">
        <v>9.1731189433041701E-3</v>
      </c>
      <c r="N30" s="854">
        <v>8.0331094614781405E-3</v>
      </c>
      <c r="O30" s="854">
        <v>7.0119812455782787E-3</v>
      </c>
      <c r="P30" s="854">
        <v>6.1233184897791825E-3</v>
      </c>
      <c r="Q30" s="854">
        <v>5.3495730477858489E-3</v>
      </c>
      <c r="R30" s="854">
        <v>4.6755721080608851E-3</v>
      </c>
      <c r="S30" s="854">
        <v>4.0881894808504045E-3</v>
      </c>
      <c r="T30" s="854">
        <v>3.576063412988449E-3</v>
      </c>
      <c r="U30" s="854">
        <v>3.1293541916381949E-3</v>
      </c>
      <c r="V30" s="854">
        <v>2.7395357971544648E-3</v>
      </c>
      <c r="W30" s="854">
        <v>2.3992167126449626E-3</v>
      </c>
      <c r="X30" s="854">
        <v>2.1019857171346011E-3</v>
      </c>
      <c r="Y30" s="854">
        <v>1.8485524684201818E-3</v>
      </c>
      <c r="Z30" s="854">
        <v>1.620729389135169E-3</v>
      </c>
      <c r="AA30" s="854">
        <v>1.4215105783221276E-3</v>
      </c>
      <c r="AB30" s="854">
        <v>1.2476286674565421E-3</v>
      </c>
      <c r="AC30" s="854">
        <v>1.0957421431533813E-3</v>
      </c>
      <c r="AD30" s="854">
        <v>9.6267994604862836E-4</v>
      </c>
      <c r="AE30" s="854">
        <v>8.4631470099623331E-4</v>
      </c>
      <c r="AF30" s="854">
        <v>7.4447671528850149E-4</v>
      </c>
      <c r="AH30" s="1041"/>
      <c r="AI30" s="1043" t="s">
        <v>46</v>
      </c>
      <c r="AJ30" s="1059"/>
      <c r="AK30" s="1059"/>
      <c r="AL30" s="1059"/>
      <c r="AM30" s="1059"/>
      <c r="AN30" s="1045"/>
      <c r="AO30" s="1045">
        <f t="shared" si="76"/>
        <v>0.25395579027186516</v>
      </c>
      <c r="AP30" s="1045">
        <f t="shared" si="52"/>
        <v>0.22580094574933626</v>
      </c>
      <c r="AQ30" s="1045">
        <f t="shared" si="53"/>
        <v>0.20087345807074566</v>
      </c>
      <c r="AR30" s="1045">
        <f t="shared" si="54"/>
        <v>0.17879072999524379</v>
      </c>
      <c r="AS30" s="1045">
        <f t="shared" si="55"/>
        <v>0.15921707458816201</v>
      </c>
      <c r="AT30" s="1045">
        <f t="shared" si="56"/>
        <v>0.14185776693468011</v>
      </c>
      <c r="AU30" s="1045">
        <f t="shared" si="57"/>
        <v>0.12602115672163486</v>
      </c>
      <c r="AV30" s="1045">
        <f t="shared" si="58"/>
        <v>0.11198498705300046</v>
      </c>
      <c r="AW30" s="1045">
        <f t="shared" si="59"/>
        <v>9.9564025727171671E-2</v>
      </c>
      <c r="AX30" s="1158">
        <f t="shared" si="60"/>
        <v>8.8566203192427528E-2</v>
      </c>
      <c r="AY30" s="1045">
        <f t="shared" si="61"/>
        <v>7.8823051753277806E-2</v>
      </c>
      <c r="AZ30" s="1045">
        <f t="shared" si="62"/>
        <v>7.0186708907545262E-2</v>
      </c>
      <c r="BA30" s="1045">
        <f t="shared" si="63"/>
        <v>6.2527313714246927E-2</v>
      </c>
      <c r="BB30" s="1045">
        <f t="shared" si="64"/>
        <v>5.5730742961886633E-2</v>
      </c>
      <c r="BC30" s="1045">
        <f t="shared" si="65"/>
        <v>4.9696641348038036E-2</v>
      </c>
      <c r="BD30" s="1045">
        <f t="shared" si="66"/>
        <v>4.4336706249197229E-2</v>
      </c>
      <c r="BE30" s="1045">
        <f t="shared" si="67"/>
        <v>3.9573193114392315E-2</v>
      </c>
      <c r="BF30" s="1045">
        <f t="shared" si="68"/>
        <v>3.5470619291761638E-2</v>
      </c>
      <c r="BG30" s="1045">
        <f t="shared" si="69"/>
        <v>3.1710582765072354E-2</v>
      </c>
      <c r="BH30" s="1045">
        <f t="shared" si="70"/>
        <v>2.8361483450522345E-2</v>
      </c>
      <c r="BI30" s="1045">
        <f t="shared" si="71"/>
        <v>2.5386132156675286E-2</v>
      </c>
      <c r="BJ30" s="1045">
        <f t="shared" si="72"/>
        <v>2.2740399302429447E-2</v>
      </c>
      <c r="BK30" s="1045">
        <f t="shared" si="73"/>
        <v>2.0385384112544223E-2</v>
      </c>
      <c r="BL30" s="1045">
        <f t="shared" si="74"/>
        <v>1.8281806715383923E-2</v>
      </c>
      <c r="BM30" s="1045">
        <f t="shared" si="75"/>
        <v>1.6407117541853932E-2</v>
      </c>
    </row>
    <row r="31" spans="1:65" s="864" customFormat="1" ht="14.45" x14ac:dyDescent="0.35">
      <c r="A31" s="839"/>
      <c r="B31" s="839" t="s">
        <v>29</v>
      </c>
      <c r="C31" s="838"/>
      <c r="D31" s="838"/>
      <c r="E31" s="838"/>
      <c r="F31" s="838"/>
      <c r="G31" s="854"/>
      <c r="H31" s="854">
        <v>4.6166880548693789E-3</v>
      </c>
      <c r="I31" s="854">
        <v>7.7408230192504368E-2</v>
      </c>
      <c r="J31" s="854">
        <v>0.3732370923338687</v>
      </c>
      <c r="K31" s="854">
        <v>0.98800681847514082</v>
      </c>
      <c r="L31" s="854">
        <v>1.8707710717933268</v>
      </c>
      <c r="M31" s="854">
        <v>2.9402840644304091</v>
      </c>
      <c r="N31" s="854">
        <v>4.1197971988927415</v>
      </c>
      <c r="O31" s="854">
        <v>5.3696170962010115</v>
      </c>
      <c r="P31" s="854">
        <v>6.5432068086567199</v>
      </c>
      <c r="Q31" s="854">
        <v>7.7182529253822576</v>
      </c>
      <c r="R31" s="854">
        <v>8.7245593280513667</v>
      </c>
      <c r="S31" s="854">
        <v>9.6734477260886536</v>
      </c>
      <c r="T31" s="854">
        <v>10.496991581295939</v>
      </c>
      <c r="U31" s="854">
        <v>11.271331611241996</v>
      </c>
      <c r="V31" s="854">
        <v>11.91717555771036</v>
      </c>
      <c r="W31" s="854">
        <v>12.458537492104812</v>
      </c>
      <c r="X31" s="854">
        <v>13.040501811724786</v>
      </c>
      <c r="Y31" s="854">
        <v>13.562968100007435</v>
      </c>
      <c r="Z31" s="854">
        <v>14.014616047520125</v>
      </c>
      <c r="AA31" s="854">
        <v>14.415437137877792</v>
      </c>
      <c r="AB31" s="854">
        <v>14.772198921054816</v>
      </c>
      <c r="AC31" s="854">
        <v>15.118353173127829</v>
      </c>
      <c r="AD31" s="854">
        <v>15.457765727029063</v>
      </c>
      <c r="AE31" s="854">
        <v>15.776355568095422</v>
      </c>
      <c r="AF31" s="854">
        <v>16.100033983259046</v>
      </c>
      <c r="AH31" s="1041"/>
      <c r="AI31" s="1041" t="s">
        <v>29</v>
      </c>
      <c r="AJ31" s="1059"/>
      <c r="AK31" s="1059"/>
      <c r="AL31" s="1059"/>
      <c r="AM31" s="1059"/>
      <c r="AN31" s="1045"/>
      <c r="AO31" s="1045">
        <f t="shared" si="76"/>
        <v>1.2205120562530245</v>
      </c>
      <c r="AP31" s="1045">
        <f t="shared" si="52"/>
        <v>2.5176708274533337</v>
      </c>
      <c r="AQ31" s="1045">
        <f t="shared" si="53"/>
        <v>4.3310358192091982</v>
      </c>
      <c r="AR31" s="1045">
        <f t="shared" si="54"/>
        <v>6.660417129697187</v>
      </c>
      <c r="AS31" s="1045">
        <f t="shared" si="55"/>
        <v>9.3936798506501535</v>
      </c>
      <c r="AT31" s="1045">
        <f t="shared" si="56"/>
        <v>12.322068781998187</v>
      </c>
      <c r="AU31" s="1045">
        <f t="shared" si="57"/>
        <v>15.386335354833248</v>
      </c>
      <c r="AV31" s="1045">
        <f t="shared" si="58"/>
        <v>18.638692361367799</v>
      </c>
      <c r="AW31" s="1045">
        <f t="shared" si="59"/>
        <v>21.624754048307295</v>
      </c>
      <c r="AX31" s="1158">
        <f t="shared" si="60"/>
        <v>24.515886437428296</v>
      </c>
      <c r="AY31" s="1045">
        <f t="shared" si="61"/>
        <v>27.028365595631769</v>
      </c>
      <c r="AZ31" s="1045">
        <f t="shared" si="62"/>
        <v>29.288453888948556</v>
      </c>
      <c r="BA31" s="1045">
        <f t="shared" si="63"/>
        <v>31.257559558242434</v>
      </c>
      <c r="BB31" s="1045">
        <f t="shared" si="64"/>
        <v>33.091607251798948</v>
      </c>
      <c r="BC31" s="1045">
        <f t="shared" si="65"/>
        <v>34.604919217851709</v>
      </c>
      <c r="BD31" s="1045">
        <f t="shared" si="66"/>
        <v>35.832978255801287</v>
      </c>
      <c r="BE31" s="1045">
        <f t="shared" si="67"/>
        <v>37.177133040535047</v>
      </c>
      <c r="BF31" s="1045">
        <f t="shared" si="68"/>
        <v>38.33930016138811</v>
      </c>
      <c r="BG31" s="1045">
        <f t="shared" si="69"/>
        <v>39.32081680348616</v>
      </c>
      <c r="BH31" s="1045">
        <f t="shared" si="70"/>
        <v>40.184638163683559</v>
      </c>
      <c r="BI31" s="1045">
        <f t="shared" si="71"/>
        <v>40.950713430427008</v>
      </c>
      <c r="BJ31" s="1045">
        <f t="shared" si="72"/>
        <v>41.69481631498121</v>
      </c>
      <c r="BK31" s="1045">
        <f t="shared" si="73"/>
        <v>42.408885946133807</v>
      </c>
      <c r="BL31" s="1045">
        <f t="shared" si="74"/>
        <v>43.112303426868245</v>
      </c>
      <c r="BM31" s="1045">
        <f t="shared" si="75"/>
        <v>43.784583148662392</v>
      </c>
    </row>
    <row r="32" spans="1:65" s="864" customFormat="1" ht="14.45" x14ac:dyDescent="0.35">
      <c r="A32" s="839"/>
      <c r="B32" s="839"/>
      <c r="C32" s="838"/>
      <c r="D32" s="838"/>
      <c r="E32" s="838"/>
      <c r="F32" s="838"/>
      <c r="G32" s="854"/>
      <c r="H32" s="838"/>
      <c r="I32" s="838"/>
      <c r="J32" s="838"/>
      <c r="K32" s="838"/>
      <c r="L32" s="838"/>
      <c r="M32" s="838"/>
      <c r="N32" s="838"/>
      <c r="O32" s="838"/>
      <c r="P32" s="838"/>
      <c r="Q32" s="838"/>
      <c r="R32" s="838"/>
      <c r="S32" s="838"/>
      <c r="T32" s="838"/>
      <c r="U32" s="838"/>
      <c r="V32" s="838"/>
      <c r="W32" s="838"/>
      <c r="X32" s="838"/>
      <c r="Y32" s="838"/>
      <c r="Z32" s="838"/>
      <c r="AA32" s="838"/>
      <c r="AB32" s="838"/>
      <c r="AC32" s="838"/>
      <c r="AD32" s="838"/>
      <c r="AE32" s="838"/>
      <c r="AF32" s="838"/>
      <c r="AH32" s="1041"/>
      <c r="AI32" s="1041"/>
      <c r="AJ32" s="1059"/>
      <c r="AK32" s="1059"/>
      <c r="AL32" s="1059"/>
      <c r="AM32" s="1059"/>
      <c r="AN32" s="1045"/>
      <c r="AO32" s="1059"/>
      <c r="AP32" s="1059"/>
      <c r="AQ32" s="1059"/>
      <c r="AR32" s="1059"/>
      <c r="AS32" s="1059"/>
      <c r="AT32" s="1059"/>
      <c r="AU32" s="1059"/>
      <c r="AV32" s="1059"/>
      <c r="AW32" s="1059"/>
      <c r="AX32" s="1158"/>
      <c r="AY32" s="1059"/>
      <c r="AZ32" s="1059"/>
      <c r="BA32" s="1059"/>
      <c r="BB32" s="1059"/>
      <c r="BC32" s="1059"/>
      <c r="BD32" s="1059"/>
      <c r="BE32" s="1059"/>
      <c r="BF32" s="1059"/>
      <c r="BG32" s="1059"/>
      <c r="BH32" s="1059"/>
      <c r="BI32" s="1059"/>
      <c r="BJ32" s="1059"/>
      <c r="BK32" s="1059"/>
      <c r="BL32" s="1059"/>
      <c r="BM32" s="1059"/>
    </row>
    <row r="33" spans="1:65" s="856" customFormat="1" ht="12.95" x14ac:dyDescent="0.3">
      <c r="A33" s="843" t="s">
        <v>47</v>
      </c>
      <c r="B33" s="843"/>
      <c r="C33" s="843"/>
      <c r="D33" s="843"/>
      <c r="E33" s="843"/>
      <c r="F33" s="843"/>
      <c r="G33" s="865"/>
      <c r="H33" s="843"/>
      <c r="I33" s="843"/>
      <c r="J33" s="843"/>
      <c r="K33" s="843"/>
      <c r="L33" s="843"/>
      <c r="M33" s="843"/>
      <c r="N33" s="843"/>
      <c r="O33" s="843"/>
      <c r="P33" s="843"/>
      <c r="Q33" s="843"/>
      <c r="R33" s="843"/>
      <c r="S33" s="843"/>
      <c r="T33" s="843"/>
      <c r="U33" s="843"/>
      <c r="V33" s="843"/>
      <c r="W33" s="843"/>
      <c r="X33" s="843"/>
      <c r="Y33" s="843"/>
      <c r="Z33" s="843"/>
      <c r="AA33" s="843"/>
      <c r="AB33" s="843"/>
      <c r="AC33" s="843"/>
      <c r="AD33" s="843"/>
      <c r="AE33" s="843"/>
      <c r="AF33" s="843"/>
      <c r="AH33" s="843"/>
      <c r="AI33" s="843"/>
      <c r="AJ33" s="843"/>
      <c r="AK33" s="843"/>
      <c r="AL33" s="843"/>
      <c r="AM33" s="843"/>
      <c r="AN33" s="865"/>
      <c r="AO33" s="843"/>
      <c r="AP33" s="843"/>
      <c r="AQ33" s="843"/>
      <c r="AR33" s="843"/>
      <c r="AS33" s="843"/>
      <c r="AT33" s="843"/>
      <c r="AU33" s="843"/>
      <c r="AV33" s="843"/>
      <c r="AW33" s="843"/>
      <c r="AX33" s="1159"/>
      <c r="AY33" s="843"/>
      <c r="AZ33" s="843"/>
      <c r="BA33" s="843"/>
      <c r="BB33" s="843"/>
      <c r="BC33" s="843"/>
      <c r="BD33" s="843"/>
      <c r="BE33" s="843"/>
      <c r="BF33" s="843"/>
      <c r="BG33" s="843"/>
      <c r="BH33" s="843"/>
      <c r="BI33" s="843"/>
      <c r="BJ33" s="843"/>
      <c r="BK33" s="843"/>
      <c r="BL33" s="843"/>
      <c r="BM33" s="843"/>
    </row>
    <row r="34" spans="1:65" s="864" customFormat="1" ht="14.45" x14ac:dyDescent="0.35">
      <c r="A34" s="839"/>
      <c r="B34" s="839" t="s">
        <v>48</v>
      </c>
      <c r="C34" s="838"/>
      <c r="D34" s="838"/>
      <c r="E34" s="838"/>
      <c r="F34" s="838"/>
      <c r="G34" s="854"/>
      <c r="H34" s="854">
        <v>0.24832806898738738</v>
      </c>
      <c r="I34" s="854">
        <v>0.21946346710718698</v>
      </c>
      <c r="J34" s="854">
        <v>0.1802987806810751</v>
      </c>
      <c r="K34" s="854">
        <v>0.13570637608733679</v>
      </c>
      <c r="L34" s="854">
        <v>9.2700114242753304E-2</v>
      </c>
      <c r="M34" s="854">
        <v>5.7027724745947389E-2</v>
      </c>
      <c r="N34" s="854">
        <v>3.164841951446893E-2</v>
      </c>
      <c r="O34" s="854">
        <v>1.5947769594509727E-2</v>
      </c>
      <c r="P34" s="854">
        <v>7.35365506943982E-3</v>
      </c>
      <c r="Q34" s="854">
        <v>3.1339874411260142E-3</v>
      </c>
      <c r="R34" s="854">
        <v>1.2453477486489401E-3</v>
      </c>
      <c r="S34" s="854">
        <v>4.6626360300278824E-4</v>
      </c>
      <c r="T34" s="854">
        <v>1.6606516348141213E-4</v>
      </c>
      <c r="U34" s="854">
        <v>5.6760033558914503E-5</v>
      </c>
      <c r="V34" s="854">
        <v>1.8774515597810246E-5</v>
      </c>
      <c r="W34" s="854">
        <v>6.0480914116540043E-6</v>
      </c>
      <c r="X34" s="854">
        <v>1.9094880651457362E-6</v>
      </c>
      <c r="Y34" s="854">
        <v>5.9348557629780386E-7</v>
      </c>
      <c r="Z34" s="854">
        <v>1.8222647135092651E-7</v>
      </c>
      <c r="AA34" s="854">
        <v>5.5430604911897766E-8</v>
      </c>
      <c r="AB34" s="854">
        <v>1.6734908941670841E-8</v>
      </c>
      <c r="AC34" s="854">
        <v>5.0229940782114798E-9</v>
      </c>
      <c r="AD34" s="854">
        <v>1.5004535790262345E-9</v>
      </c>
      <c r="AE34" s="854">
        <v>4.4634311808532749E-10</v>
      </c>
      <c r="AF34" s="854">
        <v>1.3212989185168965E-10</v>
      </c>
      <c r="AH34" s="1041"/>
      <c r="AI34" s="1041" t="s">
        <v>48</v>
      </c>
      <c r="AJ34" s="1059"/>
      <c r="AK34" s="1059"/>
      <c r="AL34" s="1059"/>
      <c r="AM34" s="1059"/>
      <c r="AN34" s="1045"/>
      <c r="AO34" s="1045">
        <f>H34+H71+H108+H145</f>
        <v>12.245354086859006</v>
      </c>
      <c r="AP34" s="1045">
        <f t="shared" ref="AP34:AP39" si="77">I34+I71+I108+I145</f>
        <v>9.2157054316013927</v>
      </c>
      <c r="AQ34" s="1045">
        <f t="shared" ref="AQ34:AQ39" si="78">J34+J71+J108+J145</f>
        <v>5.4069957608916379</v>
      </c>
      <c r="AR34" s="1045">
        <f t="shared" ref="AR34:AR39" si="79">K34+K71+K108+K145</f>
        <v>2.4539435782936541</v>
      </c>
      <c r="AS34" s="1045">
        <f t="shared" ref="AS34:AS39" si="80">L34+L71+L108+L145</f>
        <v>0.93668888388014793</v>
      </c>
      <c r="AT34" s="1045">
        <f t="shared" ref="AT34:AT39" si="81">M34+M71+M108+M145</f>
        <v>0.31576273318953985</v>
      </c>
      <c r="AU34" s="1045">
        <f t="shared" ref="AU34:AU39" si="82">N34+N71+N108+N145</f>
        <v>0.10673503556534948</v>
      </c>
      <c r="AV34" s="1045">
        <f t="shared" ref="AV34:AV39" si="83">O34+O71+O108+O145</f>
        <v>3.745874001263938E-2</v>
      </c>
      <c r="AW34" s="1045">
        <f t="shared" ref="AW34:AW39" si="84">P34+P71+P108+P145</f>
        <v>1.3662490346990732E-2</v>
      </c>
      <c r="AX34" s="1158">
        <f t="shared" ref="AX34:AX39" si="85">Q34+Q71+Q108+Q145</f>
        <v>4.9903249176828464E-3</v>
      </c>
      <c r="AY34" s="1045">
        <f t="shared" ref="AY34:AY39" si="86">R34+R71+R108+R145</f>
        <v>1.7945691817116056E-3</v>
      </c>
      <c r="AZ34" s="1045">
        <f t="shared" ref="AZ34:AZ39" si="87">S34+S71+S108+S145</f>
        <v>6.3239523003074771E-4</v>
      </c>
      <c r="BA34" s="1045">
        <f t="shared" ref="BA34:BA39" si="88">T34+T71+T108+T145</f>
        <v>2.1717630257983198E-4</v>
      </c>
      <c r="BB34" s="1045">
        <f t="shared" ref="BB34:BB39" si="89">U34+U71+U108+U145</f>
        <v>7.268559985181572E-5</v>
      </c>
      <c r="BC34" s="1045">
        <f t="shared" ref="BC34:BC39" si="90">V34+V71+V108+V145</f>
        <v>2.3859345617315051E-5</v>
      </c>
      <c r="BD34" s="1045">
        <f t="shared" ref="BD34:BD39" si="91">W34+W71+W108+W145</f>
        <v>7.685836273130731E-6</v>
      </c>
      <c r="BE34" s="1045">
        <f t="shared" ref="BE34:BE39" si="92">X34+X71+X108+X145</f>
        <v>2.4413683456156497E-6</v>
      </c>
      <c r="BF34" s="1045">
        <f t="shared" ref="BF34:BF39" si="93">Y34+Y71+Y108+Y145</f>
        <v>7.672058591604811E-7</v>
      </c>
      <c r="BG34" s="1045">
        <f t="shared" ref="BG34:BG39" si="94">Z34+Z71+Z108+Z145</f>
        <v>2.3961719152660811E-7</v>
      </c>
      <c r="BH34" s="1045">
        <f t="shared" ref="BH34:BH39" si="95">AA34+AA71+AA108+AA145</f>
        <v>7.4651367611658908E-8</v>
      </c>
      <c r="BI34" s="1045">
        <f t="shared" ref="BI34:BI39" si="96">AB34+AB71+AB108+AB145</f>
        <v>2.3175202644133076E-8</v>
      </c>
      <c r="BJ34" s="1045">
        <f t="shared" ref="BJ34:BJ39" si="97">AC34+AC71+AC108+AC145</f>
        <v>7.1953630997903238E-9</v>
      </c>
      <c r="BK34" s="1045">
        <f t="shared" ref="BK34:BK39" si="98">AD34+AD71+AD108+AD145</f>
        <v>2.2366833176745729E-9</v>
      </c>
      <c r="BL34" s="1045">
        <f t="shared" ref="BL34:BL39" si="99">AE34+AE71+AE108+AE145</f>
        <v>6.9616710710852341E-10</v>
      </c>
      <c r="BM34" s="1045">
        <f t="shared" ref="BM34:BM39" si="100">AF34+AF71+AF108+AF145</f>
        <v>2.1521790413099722E-10</v>
      </c>
    </row>
    <row r="35" spans="1:65" s="864" customFormat="1" ht="14.45" x14ac:dyDescent="0.35">
      <c r="A35" s="839"/>
      <c r="B35" s="842" t="s">
        <v>50</v>
      </c>
      <c r="C35" s="838"/>
      <c r="D35" s="838"/>
      <c r="E35" s="838"/>
      <c r="F35" s="838"/>
      <c r="G35" s="854"/>
      <c r="H35" s="854">
        <v>5.8743782117020737</v>
      </c>
      <c r="I35" s="854">
        <v>5.5830945142583417</v>
      </c>
      <c r="J35" s="854">
        <v>5.1093645594001647</v>
      </c>
      <c r="K35" s="854">
        <v>4.4731225979585219</v>
      </c>
      <c r="L35" s="854">
        <v>3.7223201068803378</v>
      </c>
      <c r="M35" s="854">
        <v>2.9257684968670907</v>
      </c>
      <c r="N35" s="854">
        <v>2.1720983769114928</v>
      </c>
      <c r="O35" s="854">
        <v>1.5277819686196015</v>
      </c>
      <c r="P35" s="854">
        <v>1.0205365975252263</v>
      </c>
      <c r="Q35" s="854">
        <v>0.65139297648930738</v>
      </c>
      <c r="R35" s="854">
        <v>0.39905936970297795</v>
      </c>
      <c r="S35" s="854">
        <v>0.23623364990379761</v>
      </c>
      <c r="T35" s="854">
        <v>0.13594435673971553</v>
      </c>
      <c r="U35" s="854">
        <v>7.648304149720668E-2</v>
      </c>
      <c r="V35" s="854">
        <v>4.2289346545723673E-2</v>
      </c>
      <c r="W35" s="854">
        <v>2.3067331540505005E-2</v>
      </c>
      <c r="X35" s="854">
        <v>1.2469908871360902E-2</v>
      </c>
      <c r="Y35" s="854">
        <v>6.6985176446187327E-3</v>
      </c>
      <c r="Z35" s="854">
        <v>3.5821040775051087E-3</v>
      </c>
      <c r="AA35" s="854">
        <v>1.9098467320535692E-3</v>
      </c>
      <c r="AB35" s="854">
        <v>1.0164796363601387E-3</v>
      </c>
      <c r="AC35" s="854">
        <v>5.4062785319196718E-4</v>
      </c>
      <c r="AD35" s="854">
        <v>2.8750469392820218E-4</v>
      </c>
      <c r="AE35" s="854">
        <v>1.5293295691313138E-4</v>
      </c>
      <c r="AF35" s="854">
        <v>8.1349891074319457E-5</v>
      </c>
      <c r="AH35" s="1041"/>
      <c r="AI35" s="1043" t="s">
        <v>50</v>
      </c>
      <c r="AJ35" s="1059"/>
      <c r="AK35" s="1059"/>
      <c r="AL35" s="1059"/>
      <c r="AM35" s="1059"/>
      <c r="AN35" s="1045"/>
      <c r="AO35" s="1045">
        <f>H35+H72+H109+H146</f>
        <v>6.9106384864482102</v>
      </c>
      <c r="AP35" s="1045">
        <f t="shared" si="77"/>
        <v>6.3144194406701493</v>
      </c>
      <c r="AQ35" s="1045">
        <f t="shared" si="78"/>
        <v>5.655262462797694</v>
      </c>
      <c r="AR35" s="1045">
        <f t="shared" si="79"/>
        <v>4.8652946911591544</v>
      </c>
      <c r="AS35" s="1045">
        <f t="shared" si="80"/>
        <v>3.9924710602238829</v>
      </c>
      <c r="AT35" s="1045">
        <f t="shared" si="81"/>
        <v>3.1002938675863918</v>
      </c>
      <c r="AU35" s="1045">
        <f t="shared" si="82"/>
        <v>2.2839488443061384</v>
      </c>
      <c r="AV35" s="1045">
        <f t="shared" si="83"/>
        <v>1.6003434624083162</v>
      </c>
      <c r="AW35" s="1045">
        <f t="shared" si="84"/>
        <v>1.0690513354600675</v>
      </c>
      <c r="AX35" s="1158">
        <f t="shared" si="85"/>
        <v>0.68426604145281111</v>
      </c>
      <c r="AY35" s="1045">
        <f t="shared" si="86"/>
        <v>0.4215241610321086</v>
      </c>
      <c r="AZ35" s="1045">
        <f t="shared" si="87"/>
        <v>0.25191878232352527</v>
      </c>
      <c r="BA35" s="1045">
        <f t="shared" si="88"/>
        <v>0.1470600208926858</v>
      </c>
      <c r="BB35" s="1045">
        <f t="shared" si="89"/>
        <v>8.44452727088425E-2</v>
      </c>
      <c r="BC35" s="1045">
        <f t="shared" si="90"/>
        <v>4.8100756253771727E-2</v>
      </c>
      <c r="BD35" s="1045">
        <f t="shared" si="91"/>
        <v>2.7332479629105878E-2</v>
      </c>
      <c r="BE35" s="1045">
        <f t="shared" si="92"/>
        <v>1.5614221528884335E-2</v>
      </c>
      <c r="BF35" s="1045">
        <f t="shared" si="93"/>
        <v>9.0217855111296638E-3</v>
      </c>
      <c r="BG35" s="1045">
        <f t="shared" si="94"/>
        <v>5.3103150325424621E-3</v>
      </c>
      <c r="BH35" s="1045">
        <f t="shared" si="95"/>
        <v>3.2059252200668572E-3</v>
      </c>
      <c r="BI35" s="1045">
        <f t="shared" si="96"/>
        <v>1.9871334983085354E-3</v>
      </c>
      <c r="BJ35" s="1045">
        <f t="shared" si="97"/>
        <v>1.2676197983833033E-3</v>
      </c>
      <c r="BK35" s="1045">
        <f t="shared" si="98"/>
        <v>8.3205500162366903E-4</v>
      </c>
      <c r="BL35" s="1045">
        <f t="shared" si="99"/>
        <v>5.5978452166938414E-4</v>
      </c>
      <c r="BM35" s="1045">
        <f t="shared" si="100"/>
        <v>3.7986214384624765E-4</v>
      </c>
    </row>
    <row r="36" spans="1:65" s="864" customFormat="1" ht="14.45" x14ac:dyDescent="0.35">
      <c r="A36" s="839"/>
      <c r="B36" s="839" t="s">
        <v>51</v>
      </c>
      <c r="C36" s="838"/>
      <c r="D36" s="838"/>
      <c r="E36" s="838"/>
      <c r="F36" s="838"/>
      <c r="G36" s="854"/>
      <c r="H36" s="854">
        <v>6.5867300943623279</v>
      </c>
      <c r="I36" s="854">
        <v>6.3003185881139911</v>
      </c>
      <c r="J36" s="854">
        <v>5.9112645324739272</v>
      </c>
      <c r="K36" s="854">
        <v>5.4339119340006992</v>
      </c>
      <c r="L36" s="854">
        <v>4.8907544604359057</v>
      </c>
      <c r="M36" s="854">
        <v>4.3070295077869911</v>
      </c>
      <c r="N36" s="854">
        <v>3.736885813147508</v>
      </c>
      <c r="O36" s="854">
        <v>3.2076468909143512</v>
      </c>
      <c r="P36" s="854">
        <v>2.7124795473939467</v>
      </c>
      <c r="Q36" s="854">
        <v>2.276572878053889</v>
      </c>
      <c r="R36" s="854">
        <v>1.8918937519841594</v>
      </c>
      <c r="S36" s="854">
        <v>1.564754716653183</v>
      </c>
      <c r="T36" s="854">
        <v>1.289692949222855</v>
      </c>
      <c r="U36" s="854">
        <v>1.0610801495809885</v>
      </c>
      <c r="V36" s="854">
        <v>0.87219289298400937</v>
      </c>
      <c r="W36" s="854">
        <v>0.71601070952282053</v>
      </c>
      <c r="X36" s="854">
        <v>0.5892940981125927</v>
      </c>
      <c r="Y36" s="854">
        <v>0.48553317471711127</v>
      </c>
      <c r="Z36" s="854">
        <v>0.40002912526745821</v>
      </c>
      <c r="AA36" s="854">
        <v>0.32956983191160372</v>
      </c>
      <c r="AB36" s="854">
        <v>0.2717647909456235</v>
      </c>
      <c r="AC36" s="854">
        <v>0.22431922849299227</v>
      </c>
      <c r="AD36" s="854">
        <v>0.18527918078155117</v>
      </c>
      <c r="AE36" s="854">
        <v>0.15312620959671328</v>
      </c>
      <c r="AF36" s="854">
        <v>0.12661036777130422</v>
      </c>
      <c r="AH36" s="1041"/>
      <c r="AI36" s="1041" t="s">
        <v>51</v>
      </c>
      <c r="AJ36" s="1059"/>
      <c r="AK36" s="1059"/>
      <c r="AL36" s="1059"/>
      <c r="AM36" s="1059"/>
      <c r="AN36" s="1045"/>
      <c r="AO36" s="1045">
        <f>H36+H73+H110+H147</f>
        <v>7.7487039237861746</v>
      </c>
      <c r="AP36" s="1045">
        <f t="shared" si="77"/>
        <v>7.4211727236315097</v>
      </c>
      <c r="AQ36" s="1045">
        <f t="shared" si="78"/>
        <v>6.9708291206781769</v>
      </c>
      <c r="AR36" s="1045">
        <f t="shared" si="79"/>
        <v>6.4126984038783021</v>
      </c>
      <c r="AS36" s="1045">
        <f t="shared" si="80"/>
        <v>5.7779956621834359</v>
      </c>
      <c r="AT36" s="1045">
        <f t="shared" si="81"/>
        <v>5.0950967158931011</v>
      </c>
      <c r="AU36" s="1045">
        <f t="shared" si="82"/>
        <v>4.4269932622107344</v>
      </c>
      <c r="AV36" s="1045">
        <f t="shared" si="83"/>
        <v>3.8067619606813698</v>
      </c>
      <c r="AW36" s="1045">
        <f t="shared" si="84"/>
        <v>3.2279801135814279</v>
      </c>
      <c r="AX36" s="1158">
        <f t="shared" si="85"/>
        <v>2.7183007262880765</v>
      </c>
      <c r="AY36" s="1045">
        <f t="shared" si="86"/>
        <v>2.2686871686823196</v>
      </c>
      <c r="AZ36" s="1045">
        <f t="shared" si="87"/>
        <v>1.8864410528133497</v>
      </c>
      <c r="BA36" s="1045">
        <f t="shared" si="88"/>
        <v>1.5646349929307493</v>
      </c>
      <c r="BB36" s="1045">
        <f t="shared" si="89"/>
        <v>1.2966334363250147</v>
      </c>
      <c r="BC36" s="1045">
        <f t="shared" si="90"/>
        <v>1.0748915683768854</v>
      </c>
      <c r="BD36" s="1045">
        <f t="shared" si="91"/>
        <v>0.89092387603495171</v>
      </c>
      <c r="BE36" s="1045">
        <f t="shared" si="92"/>
        <v>0.74090744697136279</v>
      </c>
      <c r="BF36" s="1045">
        <f t="shared" si="93"/>
        <v>0.61743035630300946</v>
      </c>
      <c r="BG36" s="1045">
        <f t="shared" si="94"/>
        <v>0.51517698126085631</v>
      </c>
      <c r="BH36" s="1045">
        <f t="shared" si="95"/>
        <v>0.4305482117008026</v>
      </c>
      <c r="BI36" s="1045">
        <f t="shared" si="96"/>
        <v>0.36069347685775455</v>
      </c>
      <c r="BJ36" s="1045">
        <f t="shared" si="97"/>
        <v>0.30280445167039155</v>
      </c>
      <c r="BK36" s="1045">
        <f t="shared" si="98"/>
        <v>0.25467659983942686</v>
      </c>
      <c r="BL36" s="1045">
        <f t="shared" si="99"/>
        <v>0.21461547741151921</v>
      </c>
      <c r="BM36" s="1045">
        <f t="shared" si="100"/>
        <v>0.18109498885225322</v>
      </c>
    </row>
    <row r="37" spans="1:65" s="864" customFormat="1" ht="14.45" x14ac:dyDescent="0.35">
      <c r="A37" s="839"/>
      <c r="B37" s="839" t="s">
        <v>52</v>
      </c>
      <c r="C37" s="838"/>
      <c r="D37" s="838"/>
      <c r="E37" s="838"/>
      <c r="F37" s="838"/>
      <c r="G37" s="854"/>
      <c r="H37" s="854">
        <v>1.0512129681192652</v>
      </c>
      <c r="I37" s="854">
        <v>1.0445927097846779</v>
      </c>
      <c r="J37" s="854">
        <v>1.027496163696219</v>
      </c>
      <c r="K37" s="854">
        <v>1.0004286660212816</v>
      </c>
      <c r="L37" s="854">
        <v>0.96612880903164233</v>
      </c>
      <c r="M37" s="854">
        <v>0.92273778179937382</v>
      </c>
      <c r="N37" s="854">
        <v>0.87610140179967033</v>
      </c>
      <c r="O37" s="854">
        <v>0.8303681086023541</v>
      </c>
      <c r="P37" s="854">
        <v>0.7812664292758511</v>
      </c>
      <c r="Q37" s="854">
        <v>0.7341622199564426</v>
      </c>
      <c r="R37" s="854">
        <v>0.68671923267896728</v>
      </c>
      <c r="S37" s="854">
        <v>0.64174324661251247</v>
      </c>
      <c r="T37" s="854">
        <v>0.59924184640480538</v>
      </c>
      <c r="U37" s="854">
        <v>0.55946740692192098</v>
      </c>
      <c r="V37" s="854">
        <v>0.52158150385831903</v>
      </c>
      <c r="W37" s="854">
        <v>0.48617298700859257</v>
      </c>
      <c r="X37" s="854">
        <v>0.45487326231720687</v>
      </c>
      <c r="Y37" s="854">
        <v>0.42541098608953298</v>
      </c>
      <c r="Z37" s="854">
        <v>0.39836683743530321</v>
      </c>
      <c r="AA37" s="854">
        <v>0.37254327936765641</v>
      </c>
      <c r="AB37" s="854">
        <v>0.3487056769736695</v>
      </c>
      <c r="AC37" s="854">
        <v>0.32699445996170479</v>
      </c>
      <c r="AD37" s="854">
        <v>0.30644401513352942</v>
      </c>
      <c r="AE37" s="854">
        <v>0.28736556377148992</v>
      </c>
      <c r="AF37" s="854">
        <v>0.26983844278783686</v>
      </c>
      <c r="AH37" s="1041"/>
      <c r="AI37" s="1041" t="s">
        <v>52</v>
      </c>
      <c r="AJ37" s="1059"/>
      <c r="AK37" s="1059"/>
      <c r="AL37" s="1059"/>
      <c r="AM37" s="1059"/>
      <c r="AN37" s="1045"/>
      <c r="AO37" s="1045">
        <f t="shared" ref="AO37:AO39" si="101">H37+H74+H111+H148</f>
        <v>5.7439899036588677</v>
      </c>
      <c r="AP37" s="1045">
        <f t="shared" si="77"/>
        <v>5.6899851291567085</v>
      </c>
      <c r="AQ37" s="1045">
        <f t="shared" si="78"/>
        <v>5.5744680389914736</v>
      </c>
      <c r="AR37" s="1045">
        <f t="shared" si="79"/>
        <v>5.4071760190650648</v>
      </c>
      <c r="AS37" s="1045">
        <f t="shared" si="80"/>
        <v>5.2127112567679683</v>
      </c>
      <c r="AT37" s="1045">
        <f t="shared" si="81"/>
        <v>4.9815572369011649</v>
      </c>
      <c r="AU37" s="1045">
        <f t="shared" si="82"/>
        <v>4.7430461030802933</v>
      </c>
      <c r="AV37" s="1045">
        <f t="shared" si="83"/>
        <v>4.5168664397244047</v>
      </c>
      <c r="AW37" s="1045">
        <f t="shared" si="84"/>
        <v>4.2776468690939504</v>
      </c>
      <c r="AX37" s="1158">
        <f t="shared" si="85"/>
        <v>4.0507555823464498</v>
      </c>
      <c r="AY37" s="1045">
        <f t="shared" si="86"/>
        <v>3.8219715717354052</v>
      </c>
      <c r="AZ37" s="1045">
        <f t="shared" si="87"/>
        <v>3.6052923302316993</v>
      </c>
      <c r="BA37" s="1045">
        <f t="shared" si="88"/>
        <v>3.399866380024378</v>
      </c>
      <c r="BB37" s="1045">
        <f t="shared" si="89"/>
        <v>3.2030469454652386</v>
      </c>
      <c r="BC37" s="1045">
        <f t="shared" si="90"/>
        <v>3.0223801734882598</v>
      </c>
      <c r="BD37" s="1045">
        <f t="shared" si="91"/>
        <v>2.8475865694801068</v>
      </c>
      <c r="BE37" s="1045">
        <f t="shared" si="92"/>
        <v>2.6906935488102204</v>
      </c>
      <c r="BF37" s="1045">
        <f t="shared" si="93"/>
        <v>2.5474555555587499</v>
      </c>
      <c r="BG37" s="1045">
        <f t="shared" si="94"/>
        <v>2.4099891282304413</v>
      </c>
      <c r="BH37" s="1045">
        <f t="shared" si="95"/>
        <v>2.2800197088726204</v>
      </c>
      <c r="BI37" s="1045">
        <f t="shared" si="96"/>
        <v>2.1608764774677782</v>
      </c>
      <c r="BJ37" s="1045">
        <f t="shared" si="97"/>
        <v>2.0479655900176628</v>
      </c>
      <c r="BK37" s="1045">
        <f t="shared" si="98"/>
        <v>1.9419855580951666</v>
      </c>
      <c r="BL37" s="1045">
        <f t="shared" si="99"/>
        <v>1.8440639818221289</v>
      </c>
      <c r="BM37" s="1045">
        <f t="shared" si="100"/>
        <v>1.7506399278486922</v>
      </c>
    </row>
    <row r="38" spans="1:65" s="864" customFormat="1" ht="14.45" x14ac:dyDescent="0.35">
      <c r="A38" s="839"/>
      <c r="B38" s="842" t="s">
        <v>29</v>
      </c>
      <c r="C38" s="838"/>
      <c r="D38" s="838"/>
      <c r="E38" s="838"/>
      <c r="F38" s="838"/>
      <c r="G38" s="854"/>
      <c r="H38" s="854">
        <v>0.69705348451184257</v>
      </c>
      <c r="I38" s="854">
        <v>1.2519366535154268</v>
      </c>
      <c r="J38" s="854">
        <v>1.8975668873767764</v>
      </c>
      <c r="K38" s="854">
        <v>2.593304544489988</v>
      </c>
      <c r="L38" s="854">
        <v>3.2757190817166242</v>
      </c>
      <c r="M38" s="854">
        <v>3.8710855887888393</v>
      </c>
      <c r="N38" s="854">
        <v>4.3539262447524321</v>
      </c>
      <c r="O38" s="854">
        <v>4.6773763534795245</v>
      </c>
      <c r="P38" s="854">
        <v>4.9208704587642629</v>
      </c>
      <c r="Q38" s="854">
        <v>5.1023835824710053</v>
      </c>
      <c r="R38" s="854">
        <v>5.1680284845338171</v>
      </c>
      <c r="S38" s="854">
        <v>5.2497973632873638</v>
      </c>
      <c r="T38" s="854">
        <v>5.2815342506982024</v>
      </c>
      <c r="U38" s="854">
        <v>5.3429476092388617</v>
      </c>
      <c r="V38" s="854">
        <v>5.3706566862620475</v>
      </c>
      <c r="W38" s="854">
        <v>5.41070449651051</v>
      </c>
      <c r="X38" s="854">
        <v>5.4548433072229896</v>
      </c>
      <c r="Y38" s="854">
        <v>5.5085577688452183</v>
      </c>
      <c r="Z38" s="854">
        <v>5.5692333549344957</v>
      </c>
      <c r="AA38" s="854">
        <v>5.607278868420007</v>
      </c>
      <c r="AB38" s="854">
        <v>5.6513268915022117</v>
      </c>
      <c r="AC38" s="854">
        <v>5.7021669219802513</v>
      </c>
      <c r="AD38" s="854">
        <v>5.7546557300412378</v>
      </c>
      <c r="AE38" s="854">
        <v>5.8086810075108275</v>
      </c>
      <c r="AF38" s="854">
        <v>5.8666312651448944</v>
      </c>
      <c r="AH38" s="1041"/>
      <c r="AI38" s="1043" t="s">
        <v>29</v>
      </c>
      <c r="AJ38" s="1059"/>
      <c r="AK38" s="1059"/>
      <c r="AL38" s="1059"/>
      <c r="AM38" s="1059"/>
      <c r="AN38" s="1045"/>
      <c r="AO38" s="1045">
        <f t="shared" si="101"/>
        <v>5.7135201298649383</v>
      </c>
      <c r="AP38" s="1045">
        <f t="shared" si="77"/>
        <v>7.0576390528091881</v>
      </c>
      <c r="AQ38" s="1045">
        <f t="shared" si="78"/>
        <v>9.5627198666990374</v>
      </c>
      <c r="AR38" s="1045">
        <f t="shared" si="79"/>
        <v>10.520297972554538</v>
      </c>
      <c r="AS38" s="1045">
        <f t="shared" si="80"/>
        <v>10.30654898760686</v>
      </c>
      <c r="AT38" s="1045">
        <f t="shared" si="81"/>
        <v>10.031547162111213</v>
      </c>
      <c r="AU38" s="1045">
        <f t="shared" si="82"/>
        <v>10.038874153367248</v>
      </c>
      <c r="AV38" s="1045">
        <f t="shared" si="83"/>
        <v>10.203520850191053</v>
      </c>
      <c r="AW38" s="1045">
        <f t="shared" si="84"/>
        <v>10.497099749297625</v>
      </c>
      <c r="AX38" s="1158">
        <f t="shared" si="85"/>
        <v>10.810047202929253</v>
      </c>
      <c r="AY38" s="1045">
        <f t="shared" si="86"/>
        <v>10.971002838030593</v>
      </c>
      <c r="AZ38" s="1045">
        <f t="shared" si="87"/>
        <v>11.190557809281433</v>
      </c>
      <c r="BA38" s="1045">
        <f t="shared" si="88"/>
        <v>11.330325444902023</v>
      </c>
      <c r="BB38" s="1045">
        <f t="shared" si="89"/>
        <v>11.493922821425258</v>
      </c>
      <c r="BC38" s="1045">
        <f t="shared" si="90"/>
        <v>11.644775522452699</v>
      </c>
      <c r="BD38" s="1045">
        <f t="shared" si="91"/>
        <v>11.770374425967312</v>
      </c>
      <c r="BE38" s="1045">
        <f t="shared" si="92"/>
        <v>11.922814232638027</v>
      </c>
      <c r="BF38" s="1045">
        <f t="shared" si="93"/>
        <v>12.074375050509463</v>
      </c>
      <c r="BG38" s="1045">
        <f t="shared" si="94"/>
        <v>12.226327441402001</v>
      </c>
      <c r="BH38" s="1045">
        <f t="shared" si="95"/>
        <v>12.354848771546825</v>
      </c>
      <c r="BI38" s="1045">
        <f t="shared" si="96"/>
        <v>12.50410790194873</v>
      </c>
      <c r="BJ38" s="1045">
        <f t="shared" si="97"/>
        <v>12.648718818089229</v>
      </c>
      <c r="BK38" s="1045">
        <f t="shared" si="98"/>
        <v>12.789316257281598</v>
      </c>
      <c r="BL38" s="1045">
        <f t="shared" si="99"/>
        <v>12.932172188562088</v>
      </c>
      <c r="BM38" s="1045">
        <f t="shared" si="100"/>
        <v>13.075474789490489</v>
      </c>
    </row>
    <row r="39" spans="1:65" s="864" customFormat="1" ht="14.45" x14ac:dyDescent="0.35">
      <c r="A39" s="839"/>
      <c r="B39" s="842" t="s">
        <v>53</v>
      </c>
      <c r="C39" s="838"/>
      <c r="D39" s="838"/>
      <c r="E39" s="838"/>
      <c r="F39" s="838"/>
      <c r="G39" s="854"/>
      <c r="H39" s="854">
        <v>0</v>
      </c>
      <c r="I39" s="854">
        <v>0</v>
      </c>
      <c r="J39" s="854">
        <v>0</v>
      </c>
      <c r="K39" s="854">
        <v>0</v>
      </c>
      <c r="L39" s="854">
        <v>0</v>
      </c>
      <c r="M39" s="854">
        <v>0</v>
      </c>
      <c r="N39" s="854">
        <v>0</v>
      </c>
      <c r="O39" s="854">
        <v>0</v>
      </c>
      <c r="P39" s="854">
        <v>0</v>
      </c>
      <c r="Q39" s="854">
        <v>0</v>
      </c>
      <c r="R39" s="854">
        <v>0</v>
      </c>
      <c r="S39" s="854">
        <v>0</v>
      </c>
      <c r="T39" s="854">
        <v>0</v>
      </c>
      <c r="U39" s="854">
        <v>0</v>
      </c>
      <c r="V39" s="854">
        <v>0</v>
      </c>
      <c r="W39" s="854">
        <v>0</v>
      </c>
      <c r="X39" s="854">
        <v>0</v>
      </c>
      <c r="Y39" s="854">
        <v>0</v>
      </c>
      <c r="Z39" s="854">
        <v>0</v>
      </c>
      <c r="AA39" s="854">
        <v>0</v>
      </c>
      <c r="AB39" s="854">
        <v>0</v>
      </c>
      <c r="AC39" s="854">
        <v>0</v>
      </c>
      <c r="AD39" s="854">
        <v>0</v>
      </c>
      <c r="AE39" s="854">
        <v>0</v>
      </c>
      <c r="AF39" s="854">
        <v>0</v>
      </c>
      <c r="AH39" s="1041"/>
      <c r="AI39" s="1043" t="s">
        <v>53</v>
      </c>
      <c r="AJ39" s="1059"/>
      <c r="AK39" s="1059"/>
      <c r="AL39" s="1059"/>
      <c r="AM39" s="1059"/>
      <c r="AN39" s="1045"/>
      <c r="AO39" s="1045">
        <f t="shared" si="101"/>
        <v>1.3513684097203769E-2</v>
      </c>
      <c r="AP39" s="1045">
        <f t="shared" si="77"/>
        <v>1.3247061854734638E-2</v>
      </c>
      <c r="AQ39" s="1045">
        <f t="shared" si="78"/>
        <v>1.2680014900910327E-2</v>
      </c>
      <c r="AR39" s="1045">
        <f t="shared" si="79"/>
        <v>1.1801266800148962E-2</v>
      </c>
      <c r="AS39" s="1045">
        <f t="shared" si="80"/>
        <v>1.086637372935103E-2</v>
      </c>
      <c r="AT39" s="1045">
        <f t="shared" si="81"/>
        <v>9.8643098361486624E-3</v>
      </c>
      <c r="AU39" s="1045">
        <f t="shared" si="82"/>
        <v>8.883661571436316E-3</v>
      </c>
      <c r="AV39" s="1045">
        <f t="shared" si="83"/>
        <v>7.9998855835690681E-3</v>
      </c>
      <c r="AW39" s="1045">
        <f t="shared" si="84"/>
        <v>7.2342961467744106E-3</v>
      </c>
      <c r="AX39" s="1158">
        <f t="shared" si="85"/>
        <v>6.5624234595732054E-3</v>
      </c>
      <c r="AY39" s="1045">
        <f t="shared" si="86"/>
        <v>5.9728874453017933E-3</v>
      </c>
      <c r="AZ39" s="1045">
        <f t="shared" si="87"/>
        <v>5.4779761446697725E-3</v>
      </c>
      <c r="BA39" s="1045">
        <f t="shared" si="88"/>
        <v>5.0468391523436195E-3</v>
      </c>
      <c r="BB39" s="1045">
        <f t="shared" si="89"/>
        <v>4.6683193832510418E-3</v>
      </c>
      <c r="BC39" s="1045">
        <f t="shared" si="90"/>
        <v>4.343284539631005E-3</v>
      </c>
      <c r="BD39" s="1045">
        <f t="shared" si="91"/>
        <v>4.0497775817238488E-3</v>
      </c>
      <c r="BE39" s="1045">
        <f t="shared" si="92"/>
        <v>3.7822328720550709E-3</v>
      </c>
      <c r="BF39" s="1045">
        <f t="shared" si="93"/>
        <v>3.537347704753468E-3</v>
      </c>
      <c r="BG39" s="1045">
        <f t="shared" si="94"/>
        <v>3.3175998594661589E-3</v>
      </c>
      <c r="BH39" s="1045">
        <f t="shared" si="95"/>
        <v>3.1206254528938823E-3</v>
      </c>
      <c r="BI39" s="1045">
        <f t="shared" si="96"/>
        <v>2.94153175967545E-3</v>
      </c>
      <c r="BJ39" s="1045">
        <f t="shared" si="97"/>
        <v>2.7674924449959159E-3</v>
      </c>
      <c r="BK39" s="1045">
        <f t="shared" si="98"/>
        <v>2.604322664484052E-3</v>
      </c>
      <c r="BL39" s="1045">
        <f t="shared" si="99"/>
        <v>2.4503039028711776E-3</v>
      </c>
      <c r="BM39" s="1045">
        <f t="shared" si="100"/>
        <v>2.3009388610029033E-3</v>
      </c>
    </row>
    <row r="40" spans="1:65" ht="14.45" x14ac:dyDescent="0.35">
      <c r="AX40" s="1158"/>
    </row>
    <row r="41" spans="1:65" ht="14.45" x14ac:dyDescent="0.35">
      <c r="B41" s="60" t="s">
        <v>769</v>
      </c>
      <c r="C41" s="858"/>
      <c r="D41" s="858"/>
      <c r="E41" s="858"/>
      <c r="F41" s="858"/>
      <c r="G41" s="858"/>
      <c r="H41" s="1149">
        <f t="shared" ref="H41:AF41" si="102">(H12+H18+H24+H31+H38)/SUM(H9:H39)</f>
        <v>3.4670514767978573E-3</v>
      </c>
      <c r="I41" s="1149">
        <f t="shared" si="102"/>
        <v>7.3508660851331299E-3</v>
      </c>
      <c r="J41" s="1149">
        <f t="shared" si="102"/>
        <v>1.4287279846855188E-2</v>
      </c>
      <c r="K41" s="1149">
        <f t="shared" si="102"/>
        <v>2.568245296771747E-2</v>
      </c>
      <c r="L41" s="1149">
        <f t="shared" si="102"/>
        <v>4.1622202114717899E-2</v>
      </c>
      <c r="M41" s="1149">
        <f t="shared" si="102"/>
        <v>6.2254882804249852E-2</v>
      </c>
      <c r="N41" s="1149">
        <f t="shared" si="102"/>
        <v>8.6543050560076579E-2</v>
      </c>
      <c r="O41" s="1149">
        <f t="shared" si="102"/>
        <v>0.11351389043558904</v>
      </c>
      <c r="P41" s="1149">
        <f t="shared" si="102"/>
        <v>0.14195365817389294</v>
      </c>
      <c r="Q41" s="1149">
        <f t="shared" si="102"/>
        <v>0.17247480935226117</v>
      </c>
      <c r="R41" s="1149">
        <f t="shared" si="102"/>
        <v>0.20250854842519089</v>
      </c>
      <c r="S41" s="1149">
        <f t="shared" si="102"/>
        <v>0.23313054673627773</v>
      </c>
      <c r="T41" s="1149">
        <f t="shared" si="102"/>
        <v>0.26312812646924072</v>
      </c>
      <c r="U41" s="1149">
        <f t="shared" si="102"/>
        <v>0.29290529502618418</v>
      </c>
      <c r="V41" s="1149">
        <f t="shared" si="102"/>
        <v>0.32068740616983976</v>
      </c>
      <c r="W41" s="1149">
        <f t="shared" si="102"/>
        <v>0.34663414275966747</v>
      </c>
      <c r="X41" s="1149">
        <f t="shared" si="102"/>
        <v>0.37217799303430299</v>
      </c>
      <c r="Y41" s="1149">
        <f t="shared" si="102"/>
        <v>0.39623093312756397</v>
      </c>
      <c r="Z41" s="1149">
        <f t="shared" si="102"/>
        <v>0.41823232604962729</v>
      </c>
      <c r="AA41" s="1149">
        <f t="shared" si="102"/>
        <v>0.43835704725565855</v>
      </c>
      <c r="AB41" s="1149">
        <f t="shared" si="102"/>
        <v>0.45712797430808144</v>
      </c>
      <c r="AC41" s="1149">
        <f t="shared" si="102"/>
        <v>0.47471984036255371</v>
      </c>
      <c r="AD41" s="1149">
        <f t="shared" si="102"/>
        <v>0.49134319300832657</v>
      </c>
      <c r="AE41" s="1149">
        <f t="shared" si="102"/>
        <v>0.50690637935002381</v>
      </c>
      <c r="AF41" s="1149">
        <f t="shared" si="102"/>
        <v>0.52244877933116429</v>
      </c>
      <c r="AX41" s="1158"/>
    </row>
    <row r="42" spans="1:65" ht="14.45" x14ac:dyDescent="0.35">
      <c r="A42" s="1047" t="s">
        <v>56</v>
      </c>
      <c r="B42" s="1048"/>
      <c r="C42" s="1047"/>
      <c r="D42" s="1046"/>
      <c r="E42" s="1046"/>
      <c r="F42" s="1046"/>
      <c r="G42" s="1046"/>
      <c r="H42" s="862"/>
      <c r="I42" s="862"/>
      <c r="J42" s="862"/>
      <c r="K42" s="862"/>
      <c r="L42" s="862"/>
      <c r="M42" s="862"/>
      <c r="N42" s="862"/>
      <c r="O42" s="862"/>
      <c r="P42" s="862"/>
      <c r="Q42" s="862"/>
      <c r="R42" s="862"/>
      <c r="S42" s="862"/>
      <c r="T42" s="862"/>
      <c r="U42" s="862"/>
      <c r="V42" s="862"/>
      <c r="W42" s="862"/>
      <c r="X42" s="862"/>
      <c r="Y42" s="862"/>
      <c r="Z42" s="862"/>
      <c r="AA42" s="862"/>
      <c r="AB42" s="862"/>
      <c r="AC42" s="862"/>
      <c r="AD42" s="862"/>
      <c r="AE42" s="862"/>
      <c r="AF42" s="862"/>
      <c r="AI42" s="1043" t="s">
        <v>769</v>
      </c>
      <c r="AX42" s="1158"/>
    </row>
    <row r="43" spans="1:65" ht="14.45" x14ac:dyDescent="0.35">
      <c r="A43" s="840" t="s">
        <v>12</v>
      </c>
      <c r="B43" s="839"/>
      <c r="AJ43" s="1117"/>
      <c r="AN43" s="856" t="s">
        <v>54</v>
      </c>
      <c r="AO43" s="1150">
        <f>H152</f>
        <v>2.7029080800808021E-2</v>
      </c>
      <c r="AP43" s="1150">
        <f t="shared" ref="AP43:BM43" si="103">I152</f>
        <v>7.5164310533741063E-2</v>
      </c>
      <c r="AQ43" s="1150">
        <f t="shared" si="103"/>
        <v>0.12252608729216109</v>
      </c>
      <c r="AR43" s="1150">
        <f t="shared" si="103"/>
        <v>0.14963025366051391</v>
      </c>
      <c r="AS43" s="1150">
        <f t="shared" si="103"/>
        <v>0.1583029270891079</v>
      </c>
      <c r="AT43" s="1150">
        <f t="shared" si="103"/>
        <v>0.17342800218629456</v>
      </c>
      <c r="AU43" s="1150">
        <f t="shared" si="103"/>
        <v>0.20437943923091884</v>
      </c>
      <c r="AV43" s="1150">
        <f t="shared" si="103"/>
        <v>0.24844783436351853</v>
      </c>
      <c r="AW43" s="1150">
        <f t="shared" si="103"/>
        <v>0.30114575190473492</v>
      </c>
      <c r="AX43" s="1160">
        <f t="shared" si="103"/>
        <v>0.35882275484923976</v>
      </c>
      <c r="AY43" s="1150">
        <f t="shared" si="103"/>
        <v>0.4176928878142433</v>
      </c>
      <c r="AZ43" s="1150">
        <f t="shared" si="103"/>
        <v>0.4750512777678817</v>
      </c>
      <c r="BA43" s="1150">
        <f t="shared" si="103"/>
        <v>0.52852672764548614</v>
      </c>
      <c r="BB43" s="1150">
        <f t="shared" si="103"/>
        <v>0.57677275041780585</v>
      </c>
      <c r="BC43" s="1150">
        <f t="shared" si="103"/>
        <v>0.61849789342615968</v>
      </c>
      <c r="BD43" s="1150">
        <f t="shared" si="103"/>
        <v>0.65407230841315334</v>
      </c>
      <c r="BE43" s="1150">
        <f t="shared" si="103"/>
        <v>0.68387976113216864</v>
      </c>
      <c r="BF43" s="1150">
        <f t="shared" si="103"/>
        <v>0.7086645635813752</v>
      </c>
      <c r="BG43" s="1150">
        <f t="shared" si="103"/>
        <v>0.72902207229872507</v>
      </c>
      <c r="BH43" s="1150">
        <f t="shared" si="103"/>
        <v>0.74564032079737774</v>
      </c>
      <c r="BI43" s="1150">
        <f t="shared" si="103"/>
        <v>0.75977958838228443</v>
      </c>
      <c r="BJ43" s="1150">
        <f t="shared" si="103"/>
        <v>0.77148944219708004</v>
      </c>
      <c r="BK43" s="1150">
        <f t="shared" si="103"/>
        <v>0.78149459127933585</v>
      </c>
      <c r="BL43" s="1150">
        <f t="shared" si="103"/>
        <v>0.79026324481867849</v>
      </c>
      <c r="BM43" s="1150">
        <f t="shared" si="103"/>
        <v>0.79881335451532476</v>
      </c>
    </row>
    <row r="44" spans="1:65" ht="14.45" x14ac:dyDescent="0.35">
      <c r="A44" s="839"/>
      <c r="B44" s="839" t="s">
        <v>20</v>
      </c>
      <c r="AJ44" s="465"/>
      <c r="AN44" s="864" t="s">
        <v>55</v>
      </c>
      <c r="AO44" s="1150">
        <f>H41</f>
        <v>3.4670514767978573E-3</v>
      </c>
      <c r="AP44" s="1150">
        <f t="shared" ref="AP44:BM44" si="104">I41</f>
        <v>7.3508660851331299E-3</v>
      </c>
      <c r="AQ44" s="1150">
        <f t="shared" si="104"/>
        <v>1.4287279846855188E-2</v>
      </c>
      <c r="AR44" s="1150">
        <f t="shared" si="104"/>
        <v>2.568245296771747E-2</v>
      </c>
      <c r="AS44" s="1150">
        <f t="shared" si="104"/>
        <v>4.1622202114717899E-2</v>
      </c>
      <c r="AT44" s="1150">
        <f t="shared" si="104"/>
        <v>6.2254882804249852E-2</v>
      </c>
      <c r="AU44" s="1150">
        <f t="shared" si="104"/>
        <v>8.6543050560076579E-2</v>
      </c>
      <c r="AV44" s="1150">
        <f t="shared" si="104"/>
        <v>0.11351389043558904</v>
      </c>
      <c r="AW44" s="1150">
        <f t="shared" si="104"/>
        <v>0.14195365817389294</v>
      </c>
      <c r="AX44" s="1160">
        <f t="shared" si="104"/>
        <v>0.17247480935226117</v>
      </c>
      <c r="AY44" s="1150">
        <f t="shared" si="104"/>
        <v>0.20250854842519089</v>
      </c>
      <c r="AZ44" s="1150">
        <f t="shared" si="104"/>
        <v>0.23313054673627773</v>
      </c>
      <c r="BA44" s="1150">
        <f t="shared" si="104"/>
        <v>0.26312812646924072</v>
      </c>
      <c r="BB44" s="1150">
        <f t="shared" si="104"/>
        <v>0.29290529502618418</v>
      </c>
      <c r="BC44" s="1150">
        <f t="shared" si="104"/>
        <v>0.32068740616983976</v>
      </c>
      <c r="BD44" s="1150">
        <f t="shared" si="104"/>
        <v>0.34663414275966747</v>
      </c>
      <c r="BE44" s="1150">
        <f t="shared" si="104"/>
        <v>0.37217799303430299</v>
      </c>
      <c r="BF44" s="1150">
        <f t="shared" si="104"/>
        <v>0.39623093312756397</v>
      </c>
      <c r="BG44" s="1150">
        <f t="shared" si="104"/>
        <v>0.41823232604962729</v>
      </c>
      <c r="BH44" s="1150">
        <f t="shared" si="104"/>
        <v>0.43835704725565855</v>
      </c>
      <c r="BI44" s="1150">
        <f t="shared" si="104"/>
        <v>0.45712797430808144</v>
      </c>
      <c r="BJ44" s="1150">
        <f t="shared" si="104"/>
        <v>0.47471984036255371</v>
      </c>
      <c r="BK44" s="1150">
        <f t="shared" si="104"/>
        <v>0.49134319300832657</v>
      </c>
      <c r="BL44" s="1150">
        <f t="shared" si="104"/>
        <v>0.50690637935002381</v>
      </c>
      <c r="BM44" s="1150">
        <f t="shared" si="104"/>
        <v>0.52244877933116429</v>
      </c>
    </row>
    <row r="45" spans="1:65" s="856" customFormat="1" ht="14.45" x14ac:dyDescent="0.35">
      <c r="A45" s="843" t="s">
        <v>21</v>
      </c>
      <c r="B45" s="843"/>
      <c r="C45" s="843"/>
      <c r="D45" s="843"/>
      <c r="E45" s="843"/>
      <c r="F45" s="843"/>
      <c r="G45" s="843"/>
      <c r="H45" s="843"/>
      <c r="I45" s="843"/>
      <c r="J45" s="843"/>
      <c r="K45" s="843"/>
      <c r="L45" s="843"/>
      <c r="M45" s="843"/>
      <c r="N45" s="843"/>
      <c r="O45" s="843"/>
      <c r="P45" s="843"/>
      <c r="Q45" s="843"/>
      <c r="R45" s="843"/>
      <c r="S45" s="843"/>
      <c r="T45" s="843"/>
      <c r="U45" s="843"/>
      <c r="V45" s="843"/>
      <c r="W45" s="843"/>
      <c r="X45" s="843"/>
      <c r="Y45" s="843"/>
      <c r="Z45" s="843"/>
      <c r="AA45" s="843"/>
      <c r="AB45" s="843"/>
      <c r="AC45" s="843"/>
      <c r="AD45" s="843"/>
      <c r="AE45" s="843"/>
      <c r="AF45" s="843"/>
      <c r="AJ45" s="465"/>
      <c r="AN45" s="864" t="s">
        <v>56</v>
      </c>
      <c r="AO45" s="1151">
        <f>H78</f>
        <v>1.3198332031494241E-2</v>
      </c>
      <c r="AP45" s="1151">
        <f t="shared" ref="AP45:BM45" si="105">I78</f>
        <v>1.9146288063901149E-2</v>
      </c>
      <c r="AQ45" s="1151">
        <f t="shared" si="105"/>
        <v>2.6066422705048477E-2</v>
      </c>
      <c r="AR45" s="1151">
        <f t="shared" si="105"/>
        <v>3.4007430040656483E-2</v>
      </c>
      <c r="AS45" s="1151">
        <f t="shared" si="105"/>
        <v>4.3032296162039893E-2</v>
      </c>
      <c r="AT45" s="1151">
        <f t="shared" si="105"/>
        <v>5.2982942934231086E-2</v>
      </c>
      <c r="AU45" s="1151">
        <f t="shared" si="105"/>
        <v>6.4143215899097675E-2</v>
      </c>
      <c r="AV45" s="1151">
        <f t="shared" si="105"/>
        <v>7.5904947026709385E-2</v>
      </c>
      <c r="AW45" s="1151">
        <f t="shared" si="105"/>
        <v>8.8457044691249084E-2</v>
      </c>
      <c r="AX45" s="1160">
        <f t="shared" si="105"/>
        <v>0.10123802184754627</v>
      </c>
      <c r="AY45" s="1151">
        <f t="shared" si="105"/>
        <v>0.11413377339179115</v>
      </c>
      <c r="AZ45" s="1151">
        <f t="shared" si="105"/>
        <v>0.12706633110110216</v>
      </c>
      <c r="BA45" s="1151">
        <f t="shared" si="105"/>
        <v>0.1394166590714907</v>
      </c>
      <c r="BB45" s="1151">
        <f t="shared" si="105"/>
        <v>0.15105896321891898</v>
      </c>
      <c r="BC45" s="1151">
        <f t="shared" si="105"/>
        <v>0.16213445230059575</v>
      </c>
      <c r="BD45" s="1151">
        <f t="shared" si="105"/>
        <v>0.1723951003849773</v>
      </c>
      <c r="BE45" s="1151">
        <f t="shared" si="105"/>
        <v>0.18194506316420903</v>
      </c>
      <c r="BF45" s="1151">
        <f t="shared" si="105"/>
        <v>0.19066754170441513</v>
      </c>
      <c r="BG45" s="1151">
        <f t="shared" si="105"/>
        <v>0.1986915670216213</v>
      </c>
      <c r="BH45" s="1151">
        <f t="shared" si="105"/>
        <v>0.2065003521361555</v>
      </c>
      <c r="BI45" s="1151">
        <f t="shared" si="105"/>
        <v>0.21338539842309304</v>
      </c>
      <c r="BJ45" s="1151">
        <f t="shared" si="105"/>
        <v>0.21976013275208603</v>
      </c>
      <c r="BK45" s="1151">
        <f t="shared" si="105"/>
        <v>0.22590709329517561</v>
      </c>
      <c r="BL45" s="1151">
        <f t="shared" si="105"/>
        <v>0.23149129012327979</v>
      </c>
      <c r="BM45" s="1151">
        <f t="shared" si="105"/>
        <v>0.23696489349010219</v>
      </c>
    </row>
    <row r="46" spans="1:65" s="864" customFormat="1" ht="14.45" x14ac:dyDescent="0.35">
      <c r="A46" s="839"/>
      <c r="B46" s="839" t="s">
        <v>22</v>
      </c>
      <c r="C46" s="838"/>
      <c r="D46" s="838"/>
      <c r="E46" s="838"/>
      <c r="F46" s="838"/>
      <c r="G46" s="854"/>
      <c r="H46" s="854">
        <v>2.740884287427536E-2</v>
      </c>
      <c r="I46" s="854">
        <v>1.8309508107750325E-2</v>
      </c>
      <c r="J46" s="854">
        <v>1.05078350196172E-2</v>
      </c>
      <c r="K46" s="854">
        <v>6.8281659385146199E-3</v>
      </c>
      <c r="L46" s="854">
        <v>4.0283460257931163E-3</v>
      </c>
      <c r="M46" s="854">
        <v>1.3156104907137212E-3</v>
      </c>
      <c r="N46" s="854">
        <v>1.0784965577145661E-3</v>
      </c>
      <c r="O46" s="854">
        <v>9.0191863965523864E-4</v>
      </c>
      <c r="P46" s="854">
        <v>7.4659427512795173E-4</v>
      </c>
      <c r="Q46" s="854">
        <v>6.010292144995892E-4</v>
      </c>
      <c r="R46" s="854">
        <v>4.7334742978573266E-4</v>
      </c>
      <c r="S46" s="854">
        <v>3.6848067747312818E-4</v>
      </c>
      <c r="T46" s="854">
        <v>2.8666284879328541E-4</v>
      </c>
      <c r="U46" s="854">
        <v>2.2274184866849224E-4</v>
      </c>
      <c r="V46" s="854">
        <v>1.7562419882976064E-4</v>
      </c>
      <c r="W46" s="854">
        <v>1.4077002746869179E-4</v>
      </c>
      <c r="X46" s="854">
        <v>1.1442356660006691E-4</v>
      </c>
      <c r="Y46" s="854">
        <v>9.4647022854115902E-5</v>
      </c>
      <c r="Z46" s="854">
        <v>7.989216542827057E-5</v>
      </c>
      <c r="AA46" s="854">
        <v>6.8806627955036309E-5</v>
      </c>
      <c r="AB46" s="854">
        <v>5.9994485238695296E-5</v>
      </c>
      <c r="AC46" s="854">
        <v>5.2882440096267778E-5</v>
      </c>
      <c r="AD46" s="854">
        <v>4.703504041580912E-5</v>
      </c>
      <c r="AE46" s="854">
        <v>4.2052250482125089E-5</v>
      </c>
      <c r="AF46" s="854">
        <v>3.7281812224032238E-5</v>
      </c>
      <c r="AJ46" s="465"/>
      <c r="AN46" s="864" t="s">
        <v>770</v>
      </c>
      <c r="AO46" s="1150">
        <f>H115</f>
        <v>7.2132159028112416E-2</v>
      </c>
      <c r="AP46" s="1150">
        <f t="shared" ref="AP46:BM46" si="106">I115</f>
        <v>6.0583638900493612E-2</v>
      </c>
      <c r="AQ46" s="1150">
        <f t="shared" si="106"/>
        <v>7.7983766942257005E-2</v>
      </c>
      <c r="AR46" s="1150">
        <f t="shared" si="106"/>
        <v>0.10123174795822516</v>
      </c>
      <c r="AS46" s="1150">
        <f t="shared" si="106"/>
        <v>0.12731767145508158</v>
      </c>
      <c r="AT46" s="1150">
        <f t="shared" si="106"/>
        <v>0.15469676926757978</v>
      </c>
      <c r="AU46" s="1150">
        <f t="shared" si="106"/>
        <v>0.18331637993960664</v>
      </c>
      <c r="AV46" s="1150">
        <f t="shared" si="106"/>
        <v>0.21351386250060778</v>
      </c>
      <c r="AW46" s="1150">
        <f t="shared" si="106"/>
        <v>0.24284697851935103</v>
      </c>
      <c r="AX46" s="1160">
        <f t="shared" si="106"/>
        <v>0.27203625194928011</v>
      </c>
      <c r="AY46" s="1150">
        <f t="shared" si="106"/>
        <v>0.29913621090843229</v>
      </c>
      <c r="AZ46" s="1150">
        <f t="shared" si="106"/>
        <v>0.32497213689211513</v>
      </c>
      <c r="BA46" s="1150">
        <f t="shared" si="106"/>
        <v>0.34915617136052696</v>
      </c>
      <c r="BB46" s="1150">
        <f t="shared" si="106"/>
        <v>0.37251058141119686</v>
      </c>
      <c r="BC46" s="1150">
        <f t="shared" si="106"/>
        <v>0.3938775969812931</v>
      </c>
      <c r="BD46" s="1150">
        <f t="shared" si="106"/>
        <v>0.41302136290451547</v>
      </c>
      <c r="BE46" s="1150">
        <f t="shared" si="106"/>
        <v>0.43252498636731729</v>
      </c>
      <c r="BF46" s="1150">
        <f t="shared" si="106"/>
        <v>0.45016504751264474</v>
      </c>
      <c r="BG46" s="1150">
        <f t="shared" si="106"/>
        <v>0.46606408909523256</v>
      </c>
      <c r="BH46" s="1150">
        <f t="shared" si="106"/>
        <v>0.48057308499106244</v>
      </c>
      <c r="BI46" s="1150">
        <f t="shared" si="106"/>
        <v>0.49404983150306137</v>
      </c>
      <c r="BJ46" s="1150">
        <f t="shared" si="106"/>
        <v>0.50674332911663778</v>
      </c>
      <c r="BK46" s="1150">
        <f t="shared" si="106"/>
        <v>0.518505162178581</v>
      </c>
      <c r="BL46" s="1150">
        <f t="shared" si="106"/>
        <v>0.52969821492022229</v>
      </c>
      <c r="BM46" s="1150">
        <f t="shared" si="106"/>
        <v>0.54011980715503294</v>
      </c>
    </row>
    <row r="47" spans="1:65" s="864" customFormat="1" ht="14.45" x14ac:dyDescent="0.35">
      <c r="A47" s="839"/>
      <c r="B47" s="839" t="s">
        <v>26</v>
      </c>
      <c r="C47" s="838"/>
      <c r="D47" s="838"/>
      <c r="E47" s="838"/>
      <c r="F47" s="838"/>
      <c r="G47" s="854"/>
      <c r="H47" s="854">
        <v>3.6480518830507108E-4</v>
      </c>
      <c r="I47" s="854">
        <v>1.2106206572034283E-3</v>
      </c>
      <c r="J47" s="854">
        <v>3.1815433317687394E-3</v>
      </c>
      <c r="K47" s="854">
        <v>4.2304594610979608E-3</v>
      </c>
      <c r="L47" s="854">
        <v>4.2041712412433981E-3</v>
      </c>
      <c r="M47" s="854">
        <v>3.975279486687678E-3</v>
      </c>
      <c r="N47" s="854">
        <v>3.367098301833021E-3</v>
      </c>
      <c r="O47" s="854">
        <v>2.903897502662085E-3</v>
      </c>
      <c r="P47" s="854">
        <v>2.4735737307002752E-3</v>
      </c>
      <c r="Q47" s="854">
        <v>2.0541274437118387E-3</v>
      </c>
      <c r="R47" s="854">
        <v>1.6737677564857092E-3</v>
      </c>
      <c r="S47" s="854">
        <v>1.3490321347870049E-3</v>
      </c>
      <c r="T47" s="854">
        <v>1.0876394665237979E-3</v>
      </c>
      <c r="U47" s="854">
        <v>8.774356452304462E-4</v>
      </c>
      <c r="V47" s="854">
        <v>7.1802002948360706E-4</v>
      </c>
      <c r="W47" s="854">
        <v>5.9797991126287831E-4</v>
      </c>
      <c r="X47" s="854">
        <v>5.0562248450785664E-4</v>
      </c>
      <c r="Y47" s="854">
        <v>4.3541845637572608E-4</v>
      </c>
      <c r="Z47" s="854">
        <v>3.8252376320180873E-4</v>
      </c>
      <c r="AA47" s="854">
        <v>3.425798524312897E-4</v>
      </c>
      <c r="AB47" s="854">
        <v>3.1087033863150672E-4</v>
      </c>
      <c r="AC47" s="854">
        <v>2.8518865629226681E-4</v>
      </c>
      <c r="AD47" s="854">
        <v>2.6404440068946073E-4</v>
      </c>
      <c r="AE47" s="854">
        <v>2.4592933423568794E-4</v>
      </c>
      <c r="AF47" s="854">
        <v>2.2812940164155572E-4</v>
      </c>
      <c r="AJ47" s="465"/>
      <c r="AN47" s="838" t="s">
        <v>620</v>
      </c>
      <c r="AO47" s="1146">
        <f t="shared" ref="AO47:BM47" si="107">(AO12+AO18+AO24+AO31+AO38)/SUM(AO9:AO39)</f>
        <v>1.8719779770341068E-2</v>
      </c>
      <c r="AP47" s="1146">
        <f t="shared" si="107"/>
        <v>2.6998196743602453E-2</v>
      </c>
      <c r="AQ47" s="1146">
        <f t="shared" si="107"/>
        <v>4.1034213943356511E-2</v>
      </c>
      <c r="AR47" s="1146">
        <f t="shared" si="107"/>
        <v>5.5116981385912263E-2</v>
      </c>
      <c r="AS47" s="1146">
        <f t="shared" si="107"/>
        <v>7.0165016496935059E-2</v>
      </c>
      <c r="AT47" s="1146">
        <f t="shared" si="107"/>
        <v>8.9521011649964732E-2</v>
      </c>
      <c r="AU47" s="1146">
        <f t="shared" si="107"/>
        <v>0.11334038522855668</v>
      </c>
      <c r="AV47" s="1146">
        <f t="shared" si="107"/>
        <v>0.14072958061697716</v>
      </c>
      <c r="AW47" s="1146">
        <f t="shared" si="107"/>
        <v>0.16990884475541987</v>
      </c>
      <c r="AX47" s="1160">
        <f>(AX12+AX18+AX24+AX31+AX38)/SUM(AX9:AX39)</f>
        <v>0.20085318346320258</v>
      </c>
      <c r="AY47" s="1146">
        <f t="shared" si="107"/>
        <v>0.23123925197767531</v>
      </c>
      <c r="AZ47" s="1146">
        <f t="shared" si="107"/>
        <v>0.26158136155142986</v>
      </c>
      <c r="BA47" s="1146">
        <f t="shared" si="107"/>
        <v>0.29082704710492918</v>
      </c>
      <c r="BB47" s="1146">
        <f t="shared" si="107"/>
        <v>0.31922505357412295</v>
      </c>
      <c r="BC47" s="1146">
        <f t="shared" si="107"/>
        <v>0.34546258938968349</v>
      </c>
      <c r="BD47" s="1146">
        <f t="shared" si="107"/>
        <v>0.36953065959471065</v>
      </c>
      <c r="BE47" s="1146">
        <f t="shared" si="107"/>
        <v>0.39284211096270638</v>
      </c>
      <c r="BF47" s="1146">
        <f t="shared" si="107"/>
        <v>0.41443974579607501</v>
      </c>
      <c r="BG47" s="1146">
        <f t="shared" si="107"/>
        <v>0.43407052676148733</v>
      </c>
      <c r="BH47" s="1146">
        <f t="shared" si="107"/>
        <v>0.45198448207514041</v>
      </c>
      <c r="BI47" s="1146">
        <f t="shared" si="107"/>
        <v>0.4687237384192981</v>
      </c>
      <c r="BJ47" s="1146">
        <f t="shared" si="107"/>
        <v>0.4842838862095345</v>
      </c>
      <c r="BK47" s="1146">
        <f t="shared" si="107"/>
        <v>0.49889666910292785</v>
      </c>
      <c r="BL47" s="1146">
        <f t="shared" si="107"/>
        <v>0.51262454530323731</v>
      </c>
      <c r="BM47" s="1146">
        <f t="shared" si="107"/>
        <v>0.52618774268599378</v>
      </c>
    </row>
    <row r="48" spans="1:65" s="864" customFormat="1" ht="14.45" x14ac:dyDescent="0.35">
      <c r="A48" s="839"/>
      <c r="B48" s="839" t="s">
        <v>27</v>
      </c>
      <c r="C48" s="838"/>
      <c r="D48" s="838"/>
      <c r="E48" s="838"/>
      <c r="F48" s="838"/>
      <c r="G48" s="854"/>
      <c r="H48" s="854">
        <v>3.1206545327014879E-2</v>
      </c>
      <c r="I48" s="854">
        <v>2.4613269602513036E-2</v>
      </c>
      <c r="J48" s="854">
        <v>2.5274590813351205E-2</v>
      </c>
      <c r="K48" s="854">
        <v>2.3584980372568114E-2</v>
      </c>
      <c r="L48" s="854">
        <v>2.3255535260421237E-2</v>
      </c>
      <c r="M48" s="854">
        <v>2.2360921660073585E-2</v>
      </c>
      <c r="N48" s="854">
        <v>1.91057004754667E-2</v>
      </c>
      <c r="O48" s="854">
        <v>1.6547971910806619E-2</v>
      </c>
      <c r="P48" s="854">
        <v>1.4044845962949646E-2</v>
      </c>
      <c r="Q48" s="854">
        <v>1.1678896050893138E-2</v>
      </c>
      <c r="R48" s="854">
        <v>9.5880585892805445E-3</v>
      </c>
      <c r="S48" s="854">
        <v>7.781082548966806E-3</v>
      </c>
      <c r="T48" s="854">
        <v>6.321432543128256E-3</v>
      </c>
      <c r="U48" s="854">
        <v>5.1525509580715905E-3</v>
      </c>
      <c r="V48" s="854">
        <v>4.2505411197410964E-3</v>
      </c>
      <c r="W48" s="854">
        <v>3.5779188238918057E-3</v>
      </c>
      <c r="X48" s="854">
        <v>3.0651157410495899E-3</v>
      </c>
      <c r="Y48" s="854">
        <v>2.6802523468292903E-3</v>
      </c>
      <c r="Z48" s="854">
        <v>2.3907465477691144E-3</v>
      </c>
      <c r="AA48" s="854">
        <v>2.1714390237697863E-3</v>
      </c>
      <c r="AB48" s="854">
        <v>2.0041231406106833E-3</v>
      </c>
      <c r="AC48" s="854">
        <v>1.8709138482030023E-3</v>
      </c>
      <c r="AD48" s="854">
        <v>1.7642312025154586E-3</v>
      </c>
      <c r="AE48" s="854">
        <v>1.6767246847658539E-3</v>
      </c>
      <c r="AF48" s="854">
        <v>1.6014515851495385E-3</v>
      </c>
      <c r="AJ48" s="1062"/>
      <c r="AX48" s="1160"/>
    </row>
    <row r="49" spans="1:65" s="864" customFormat="1" ht="14.45" x14ac:dyDescent="0.35">
      <c r="A49" s="839"/>
      <c r="B49" s="839" t="s">
        <v>29</v>
      </c>
      <c r="C49" s="838"/>
      <c r="D49" s="838"/>
      <c r="E49" s="838"/>
      <c r="F49" s="838"/>
      <c r="G49" s="854"/>
      <c r="H49" s="854">
        <v>5.1954247099287061E-5</v>
      </c>
      <c r="I49" s="854">
        <v>1.8078747638525407E-4</v>
      </c>
      <c r="J49" s="854">
        <v>4.6159239910365088E-4</v>
      </c>
      <c r="K49" s="854">
        <v>1.0867819753765402E-3</v>
      </c>
      <c r="L49" s="854">
        <v>2.1342667619630401E-3</v>
      </c>
      <c r="M49" s="854">
        <v>3.4940976415190205E-3</v>
      </c>
      <c r="N49" s="854">
        <v>4.702419313745744E-3</v>
      </c>
      <c r="O49" s="854">
        <v>5.9606967447223321E-3</v>
      </c>
      <c r="P49" s="854">
        <v>7.0222618402259827E-3</v>
      </c>
      <c r="Q49" s="854">
        <v>7.7903342815318997E-3</v>
      </c>
      <c r="R49" s="854">
        <v>8.2567775337774128E-3</v>
      </c>
      <c r="S49" s="854">
        <v>8.4204511225453825E-3</v>
      </c>
      <c r="T49" s="854">
        <v>8.3898449579516456E-3</v>
      </c>
      <c r="U49" s="854">
        <v>8.1971290007266679E-3</v>
      </c>
      <c r="V49" s="854">
        <v>7.9211648384192191E-3</v>
      </c>
      <c r="W49" s="854">
        <v>7.6438446129477172E-3</v>
      </c>
      <c r="X49" s="854">
        <v>7.3563799214828082E-3</v>
      </c>
      <c r="Y49" s="854">
        <v>7.0954185227304406E-3</v>
      </c>
      <c r="Z49" s="854">
        <v>6.8673753274257196E-3</v>
      </c>
      <c r="AA49" s="854">
        <v>6.6727140509158078E-3</v>
      </c>
      <c r="AB49" s="854">
        <v>6.5176134762326534E-3</v>
      </c>
      <c r="AC49" s="854">
        <v>6.3797655383727187E-3</v>
      </c>
      <c r="AD49" s="854">
        <v>6.2624328675992304E-3</v>
      </c>
      <c r="AE49" s="854">
        <v>6.1618356381778414E-3</v>
      </c>
      <c r="AF49" s="854">
        <v>6.0778998214191336E-3</v>
      </c>
      <c r="AM49" s="864" t="s">
        <v>771</v>
      </c>
      <c r="AX49" s="1160"/>
    </row>
    <row r="50" spans="1:65" s="864" customFormat="1" ht="14.45" x14ac:dyDescent="0.35">
      <c r="A50" s="839"/>
      <c r="B50" s="839"/>
      <c r="C50" s="838"/>
      <c r="D50" s="838"/>
      <c r="E50" s="838"/>
      <c r="F50" s="838"/>
      <c r="G50" s="854"/>
      <c r="H50" s="838"/>
      <c r="I50" s="838"/>
      <c r="J50" s="838"/>
      <c r="K50" s="838"/>
      <c r="L50" s="838"/>
      <c r="M50" s="838"/>
      <c r="N50" s="838"/>
      <c r="O50" s="838"/>
      <c r="P50" s="838"/>
      <c r="Q50" s="838"/>
      <c r="R50" s="838"/>
      <c r="S50" s="838"/>
      <c r="T50" s="838"/>
      <c r="U50" s="838"/>
      <c r="V50" s="838"/>
      <c r="W50" s="838"/>
      <c r="X50" s="838"/>
      <c r="Y50" s="838"/>
      <c r="Z50" s="838"/>
      <c r="AA50" s="838"/>
      <c r="AB50" s="838"/>
      <c r="AC50" s="838"/>
      <c r="AD50" s="838"/>
      <c r="AE50" s="838"/>
      <c r="AF50" s="838"/>
      <c r="AN50" s="1117" t="s">
        <v>760</v>
      </c>
      <c r="AO50" s="1152">
        <f>AO12/SUM(AO9:AO12)</f>
        <v>2.7020257738644515E-3</v>
      </c>
      <c r="AP50" s="1152">
        <f t="shared" ref="AP50:BM50" si="108">AP12/SUM(AP9:AP12)</f>
        <v>7.3139658282805661E-3</v>
      </c>
      <c r="AQ50" s="1152">
        <f t="shared" si="108"/>
        <v>1.2687915087655478E-2</v>
      </c>
      <c r="AR50" s="1152">
        <f t="shared" si="108"/>
        <v>2.3022605849099473E-2</v>
      </c>
      <c r="AS50" s="1152">
        <f t="shared" si="108"/>
        <v>4.0381939345720957E-2</v>
      </c>
      <c r="AT50" s="1152">
        <f t="shared" si="108"/>
        <v>6.8962525838480643E-2</v>
      </c>
      <c r="AU50" s="1152">
        <f t="shared" si="108"/>
        <v>0.10846158774957713</v>
      </c>
      <c r="AV50" s="1152">
        <f t="shared" si="108"/>
        <v>0.15864703799063082</v>
      </c>
      <c r="AW50" s="1152">
        <f t="shared" si="108"/>
        <v>0.21689885772996756</v>
      </c>
      <c r="AX50" s="1160">
        <f>AX12/SUM(AX9:AX12)</f>
        <v>0.28102250097444376</v>
      </c>
      <c r="AY50" s="1152">
        <f t="shared" si="108"/>
        <v>0.34745440051500887</v>
      </c>
      <c r="AZ50" s="1152">
        <f t="shared" si="108"/>
        <v>0.41310539692921955</v>
      </c>
      <c r="BA50" s="1152">
        <f t="shared" si="108"/>
        <v>0.47520556246844403</v>
      </c>
      <c r="BB50" s="1152">
        <f t="shared" si="108"/>
        <v>0.53192681517498352</v>
      </c>
      <c r="BC50" s="1152">
        <f t="shared" si="108"/>
        <v>0.5814466128940573</v>
      </c>
      <c r="BD50" s="1152">
        <f t="shared" si="108"/>
        <v>0.62395903387870066</v>
      </c>
      <c r="BE50" s="1152">
        <f t="shared" si="108"/>
        <v>0.65974012820298911</v>
      </c>
      <c r="BF50" s="1152">
        <f t="shared" si="108"/>
        <v>0.68946242732334451</v>
      </c>
      <c r="BG50" s="1152">
        <f t="shared" si="108"/>
        <v>0.71369581014881689</v>
      </c>
      <c r="BH50" s="1152">
        <f t="shared" si="108"/>
        <v>0.73321592621398157</v>
      </c>
      <c r="BI50" s="1152">
        <f t="shared" si="108"/>
        <v>0.7494660013414427</v>
      </c>
      <c r="BJ50" s="1152">
        <f t="shared" si="108"/>
        <v>0.76274582208822972</v>
      </c>
      <c r="BK50" s="1152">
        <f t="shared" si="108"/>
        <v>0.77383232388953171</v>
      </c>
      <c r="BL50" s="1152">
        <f t="shared" si="108"/>
        <v>0.78331937526945306</v>
      </c>
      <c r="BM50" s="1152">
        <f t="shared" si="108"/>
        <v>0.7923528162821899</v>
      </c>
    </row>
    <row r="51" spans="1:65" s="856" customFormat="1" ht="14.45" x14ac:dyDescent="0.35">
      <c r="A51" s="843" t="s">
        <v>32</v>
      </c>
      <c r="B51" s="843"/>
      <c r="C51" s="843"/>
      <c r="D51" s="843"/>
      <c r="E51" s="843"/>
      <c r="F51" s="843"/>
      <c r="G51" s="865"/>
      <c r="H51" s="843"/>
      <c r="I51" s="843"/>
      <c r="J51" s="843"/>
      <c r="K51" s="843"/>
      <c r="L51" s="843"/>
      <c r="M51" s="843"/>
      <c r="N51" s="843"/>
      <c r="O51" s="843"/>
      <c r="P51" s="843"/>
      <c r="Q51" s="843"/>
      <c r="R51" s="843"/>
      <c r="S51" s="843"/>
      <c r="T51" s="843"/>
      <c r="U51" s="843"/>
      <c r="V51" s="843"/>
      <c r="W51" s="843"/>
      <c r="X51" s="843"/>
      <c r="Y51" s="843"/>
      <c r="Z51" s="843"/>
      <c r="AA51" s="843"/>
      <c r="AB51" s="843"/>
      <c r="AC51" s="843"/>
      <c r="AD51" s="843"/>
      <c r="AE51" s="843"/>
      <c r="AF51" s="843"/>
      <c r="AN51" s="465" t="s">
        <v>761</v>
      </c>
      <c r="AO51" s="1153">
        <f>AO18/SUM(AO15:AO18)</f>
        <v>5.4104823704839034E-3</v>
      </c>
      <c r="AP51" s="1153">
        <f t="shared" ref="AP51:BM51" si="109">AP18/SUM(AP15:AP18)</f>
        <v>2.0018305584659276E-2</v>
      </c>
      <c r="AQ51" s="1153">
        <f t="shared" si="109"/>
        <v>4.8234393463062103E-2</v>
      </c>
      <c r="AR51" s="1153">
        <f t="shared" si="109"/>
        <v>8.991134507530478E-2</v>
      </c>
      <c r="AS51" s="1153">
        <f t="shared" si="109"/>
        <v>0.13924816211146313</v>
      </c>
      <c r="AT51" s="1153">
        <f t="shared" si="109"/>
        <v>0.19877194811483256</v>
      </c>
      <c r="AU51" s="1153">
        <f t="shared" si="109"/>
        <v>0.2644004419757025</v>
      </c>
      <c r="AV51" s="1153">
        <f t="shared" si="109"/>
        <v>0.33340685051843327</v>
      </c>
      <c r="AW51" s="1153">
        <f t="shared" si="109"/>
        <v>0.40223016207841239</v>
      </c>
      <c r="AX51" s="1161">
        <f t="shared" si="109"/>
        <v>0.46957014074228864</v>
      </c>
      <c r="AY51" s="1153">
        <f t="shared" si="109"/>
        <v>0.53345982238338818</v>
      </c>
      <c r="AZ51" s="1153">
        <f t="shared" si="109"/>
        <v>0.5916934878432738</v>
      </c>
      <c r="BA51" s="1153">
        <f t="shared" si="109"/>
        <v>0.64345292490544559</v>
      </c>
      <c r="BB51" s="1153">
        <f t="shared" si="109"/>
        <v>0.68834732212570526</v>
      </c>
      <c r="BC51" s="1153">
        <f t="shared" si="109"/>
        <v>0.72559462331681412</v>
      </c>
      <c r="BD51" s="1153">
        <f t="shared" si="109"/>
        <v>0.75641917170674544</v>
      </c>
      <c r="BE51" s="1153">
        <f t="shared" si="109"/>
        <v>0.78140025457425344</v>
      </c>
      <c r="BF51" s="1153">
        <f t="shared" si="109"/>
        <v>0.80157352394936465</v>
      </c>
      <c r="BG51" s="1153">
        <f t="shared" si="109"/>
        <v>0.81754530292131766</v>
      </c>
      <c r="BH51" s="1153">
        <f t="shared" si="109"/>
        <v>0.83000095425994724</v>
      </c>
      <c r="BI51" s="1153">
        <f t="shared" si="109"/>
        <v>0.84028111003099104</v>
      </c>
      <c r="BJ51" s="1153">
        <f t="shared" si="109"/>
        <v>0.84870247759756656</v>
      </c>
      <c r="BK51" s="1153">
        <f t="shared" si="109"/>
        <v>0.85579856475029992</v>
      </c>
      <c r="BL51" s="1153">
        <f t="shared" si="109"/>
        <v>0.86199640664506783</v>
      </c>
      <c r="BM51" s="1153">
        <f t="shared" si="109"/>
        <v>0.86842826360265712</v>
      </c>
    </row>
    <row r="52" spans="1:65" s="864" customFormat="1" x14ac:dyDescent="0.25">
      <c r="A52" s="839"/>
      <c r="B52" s="839" t="s">
        <v>33</v>
      </c>
      <c r="C52" s="838"/>
      <c r="D52" s="838"/>
      <c r="E52" s="838"/>
      <c r="F52" s="838"/>
      <c r="G52" s="854"/>
      <c r="H52" s="854">
        <v>7.1900903541245193E-3</v>
      </c>
      <c r="I52" s="854">
        <v>8.0200334226755796E-3</v>
      </c>
      <c r="J52" s="854">
        <v>8.3035711104829015E-3</v>
      </c>
      <c r="K52" s="854">
        <v>8.0303504411172472E-3</v>
      </c>
      <c r="L52" s="854">
        <v>6.8718820740709804E-3</v>
      </c>
      <c r="M52" s="854">
        <v>5.5584633562592032E-3</v>
      </c>
      <c r="N52" s="854">
        <v>4.2932559940126033E-3</v>
      </c>
      <c r="O52" s="854">
        <v>3.1886657862950155E-3</v>
      </c>
      <c r="P52" s="854">
        <v>2.3077226071538982E-3</v>
      </c>
      <c r="Q52" s="854">
        <v>1.6308015457703654E-3</v>
      </c>
      <c r="R52" s="854">
        <v>1.1487690962903058E-3</v>
      </c>
      <c r="S52" s="854">
        <v>8.1579482465911259E-4</v>
      </c>
      <c r="T52" s="854">
        <v>5.94628641051093E-4</v>
      </c>
      <c r="U52" s="854">
        <v>4.4230357781379996E-4</v>
      </c>
      <c r="V52" s="854">
        <v>3.3902645542847778E-4</v>
      </c>
      <c r="W52" s="854">
        <v>2.6798199966832125E-4</v>
      </c>
      <c r="X52" s="854">
        <v>2.1629704973504129E-4</v>
      </c>
      <c r="Y52" s="854">
        <v>1.7850587428097468E-4</v>
      </c>
      <c r="Z52" s="854">
        <v>1.5078081972684724E-4</v>
      </c>
      <c r="AA52" s="854">
        <v>1.3044044975138008E-4</v>
      </c>
      <c r="AB52" s="854">
        <v>1.1413946943293041E-4</v>
      </c>
      <c r="AC52" s="854">
        <v>1.0119733171362703E-4</v>
      </c>
      <c r="AD52" s="854">
        <v>9.0629186428386945E-5</v>
      </c>
      <c r="AE52" s="854">
        <v>8.1646364316095409E-5</v>
      </c>
      <c r="AF52" s="854">
        <v>7.2964321974882792E-5</v>
      </c>
      <c r="AN52" s="465" t="s">
        <v>716</v>
      </c>
      <c r="AO52" s="1152">
        <f>AO24/SUM(AO21:AO24)</f>
        <v>1.8486337321071007E-5</v>
      </c>
      <c r="AP52" s="1152">
        <f t="shared" ref="AP52:BM52" si="110">AP24/SUM(AP21:AP24)</f>
        <v>3.5093353247250624E-4</v>
      </c>
      <c r="AQ52" s="1152">
        <f t="shared" si="110"/>
        <v>1.9644146029397878E-3</v>
      </c>
      <c r="AR52" s="1152">
        <f t="shared" si="110"/>
        <v>6.243453724081369E-3</v>
      </c>
      <c r="AS52" s="1152">
        <f t="shared" si="110"/>
        <v>1.4362607299740947E-2</v>
      </c>
      <c r="AT52" s="1152">
        <f t="shared" si="110"/>
        <v>2.7077042510769769E-2</v>
      </c>
      <c r="AU52" s="1152">
        <f t="shared" si="110"/>
        <v>4.4382481876914723E-2</v>
      </c>
      <c r="AV52" s="1152">
        <f t="shared" si="110"/>
        <v>6.5764621718563746E-2</v>
      </c>
      <c r="AW52" s="1152">
        <f t="shared" si="110"/>
        <v>8.9842530283791119E-2</v>
      </c>
      <c r="AX52" s="1160">
        <f t="shared" si="110"/>
        <v>0.11710077729363461</v>
      </c>
      <c r="AY52" s="1152">
        <f t="shared" si="110"/>
        <v>0.14508152315990619</v>
      </c>
      <c r="AZ52" s="1152">
        <f t="shared" si="110"/>
        <v>0.1741905046945319</v>
      </c>
      <c r="BA52" s="1152">
        <f t="shared" si="110"/>
        <v>0.20339421169474453</v>
      </c>
      <c r="BB52" s="1152">
        <f t="shared" si="110"/>
        <v>0.2325486424070696</v>
      </c>
      <c r="BC52" s="1152">
        <f t="shared" si="110"/>
        <v>0.26004736205817131</v>
      </c>
      <c r="BD52" s="1152">
        <f t="shared" si="110"/>
        <v>0.28576707125840001</v>
      </c>
      <c r="BE52" s="1152">
        <f t="shared" si="110"/>
        <v>0.31117274274541273</v>
      </c>
      <c r="BF52" s="1152">
        <f t="shared" si="110"/>
        <v>0.33505857350496177</v>
      </c>
      <c r="BG52" s="1152">
        <f t="shared" si="110"/>
        <v>0.35690212490292839</v>
      </c>
      <c r="BH52" s="1152">
        <f t="shared" si="110"/>
        <v>0.37709082278637723</v>
      </c>
      <c r="BI52" s="1152">
        <f t="shared" si="110"/>
        <v>0.39587985276381565</v>
      </c>
      <c r="BJ52" s="1152">
        <f t="shared" si="110"/>
        <v>0.41349120784168192</v>
      </c>
      <c r="BK52" s="1152">
        <f t="shared" si="110"/>
        <v>0.43024858472473471</v>
      </c>
      <c r="BL52" s="1152">
        <f t="shared" si="110"/>
        <v>0.44592183692245374</v>
      </c>
      <c r="BM52" s="1152">
        <f t="shared" si="110"/>
        <v>0.46173953624526476</v>
      </c>
    </row>
    <row r="53" spans="1:65" s="864" customFormat="1" x14ac:dyDescent="0.25">
      <c r="A53" s="842"/>
      <c r="B53" s="842" t="s">
        <v>34</v>
      </c>
      <c r="C53" s="838"/>
      <c r="D53" s="838"/>
      <c r="E53" s="838"/>
      <c r="F53" s="838"/>
      <c r="G53" s="854"/>
      <c r="H53" s="854">
        <v>1.0659675921641283E-2</v>
      </c>
      <c r="I53" s="854">
        <v>1.0413373135943888E-2</v>
      </c>
      <c r="J53" s="854">
        <v>9.3482634201544033E-3</v>
      </c>
      <c r="K53" s="854">
        <v>7.857415871919092E-3</v>
      </c>
      <c r="L53" s="854">
        <v>6.8829525592719546E-3</v>
      </c>
      <c r="M53" s="854">
        <v>5.8008799266804608E-3</v>
      </c>
      <c r="N53" s="854">
        <v>4.6461922143306977E-3</v>
      </c>
      <c r="O53" s="854">
        <v>3.5731283265932594E-3</v>
      </c>
      <c r="P53" s="854">
        <v>2.666654499303589E-3</v>
      </c>
      <c r="Q53" s="854">
        <v>1.953322435244759E-3</v>
      </c>
      <c r="R53" s="854">
        <v>1.4343266741218691E-3</v>
      </c>
      <c r="S53" s="854">
        <v>1.0623065213490241E-3</v>
      </c>
      <c r="T53" s="854">
        <v>8.0779263789011106E-4</v>
      </c>
      <c r="U53" s="854">
        <v>6.279406346104111E-4</v>
      </c>
      <c r="V53" s="854">
        <v>5.0177710570780971E-4</v>
      </c>
      <c r="W53" s="854">
        <v>4.1375957610783031E-4</v>
      </c>
      <c r="X53" s="854">
        <v>3.4884277717329477E-4</v>
      </c>
      <c r="Y53" s="854">
        <v>3.0104704101705404E-4</v>
      </c>
      <c r="Z53" s="854">
        <v>2.6572189826592888E-4</v>
      </c>
      <c r="AA53" s="854">
        <v>2.3980976586665585E-4</v>
      </c>
      <c r="AB53" s="854">
        <v>2.1938357968921397E-4</v>
      </c>
      <c r="AC53" s="854">
        <v>2.0338462275943487E-4</v>
      </c>
      <c r="AD53" s="854">
        <v>1.905667031096814E-4</v>
      </c>
      <c r="AE53" s="854">
        <v>1.7989556386669936E-4</v>
      </c>
      <c r="AF53" s="854">
        <v>1.6979254739499521E-4</v>
      </c>
      <c r="AN53" s="465" t="s">
        <v>42</v>
      </c>
      <c r="AO53" s="1152">
        <f>AO31/SUM(AO27:AO31)</f>
        <v>1.1577285970435239E-2</v>
      </c>
      <c r="AP53" s="1152">
        <f t="shared" ref="AP53:BM53" si="111">AP31/SUM(AP27:AP31)</f>
        <v>2.3420999243775529E-2</v>
      </c>
      <c r="AQ53" s="1152">
        <f t="shared" si="111"/>
        <v>3.9731721844035013E-2</v>
      </c>
      <c r="AR53" s="1152">
        <f t="shared" si="111"/>
        <v>6.0562652949109841E-2</v>
      </c>
      <c r="AS53" s="1152">
        <f t="shared" si="111"/>
        <v>8.5001690193159049E-2</v>
      </c>
      <c r="AT53" s="1152">
        <f t="shared" si="111"/>
        <v>0.11186579871865071</v>
      </c>
      <c r="AU53" s="1152">
        <f t="shared" si="111"/>
        <v>0.14046353975346168</v>
      </c>
      <c r="AV53" s="1152">
        <f t="shared" si="111"/>
        <v>0.171001490877639</v>
      </c>
      <c r="AW53" s="1152">
        <f t="shared" si="111"/>
        <v>0.20050648095582765</v>
      </c>
      <c r="AX53" s="1160">
        <f t="shared" si="111"/>
        <v>0.23006226976727975</v>
      </c>
      <c r="AY53" s="1152">
        <f t="shared" si="111"/>
        <v>0.25780988117286063</v>
      </c>
      <c r="AZ53" s="1152">
        <f t="shared" si="111"/>
        <v>0.28429163983662892</v>
      </c>
      <c r="BA53" s="1152">
        <f t="shared" si="111"/>
        <v>0.30915365992117183</v>
      </c>
      <c r="BB53" s="1152">
        <f t="shared" si="111"/>
        <v>0.33309870527884006</v>
      </c>
      <c r="BC53" s="1152">
        <f t="shared" si="111"/>
        <v>0.35468797186353052</v>
      </c>
      <c r="BD53" s="1152">
        <f t="shared" si="111"/>
        <v>0.37442722121929212</v>
      </c>
      <c r="BE53" s="1152">
        <f t="shared" si="111"/>
        <v>0.39426688013351996</v>
      </c>
      <c r="BF53" s="1152">
        <f t="shared" si="111"/>
        <v>0.41246966791049205</v>
      </c>
      <c r="BG53" s="1152">
        <f t="shared" si="111"/>
        <v>0.42899735298758707</v>
      </c>
      <c r="BH53" s="1152">
        <f t="shared" si="111"/>
        <v>0.4441963110897213</v>
      </c>
      <c r="BI53" s="1152">
        <f t="shared" si="111"/>
        <v>0.45827551314783244</v>
      </c>
      <c r="BJ53" s="1152">
        <f t="shared" si="111"/>
        <v>0.47155825053699774</v>
      </c>
      <c r="BK53" s="1152">
        <f t="shared" si="111"/>
        <v>0.48404918461168639</v>
      </c>
      <c r="BL53" s="1152">
        <f t="shared" si="111"/>
        <v>0.4958955576895232</v>
      </c>
      <c r="BM53" s="1152">
        <f t="shared" si="111"/>
        <v>0.50719784040732108</v>
      </c>
    </row>
    <row r="54" spans="1:65" s="864" customFormat="1" x14ac:dyDescent="0.25">
      <c r="A54" s="839"/>
      <c r="B54" s="842" t="s">
        <v>35</v>
      </c>
      <c r="C54" s="838"/>
      <c r="D54" s="838"/>
      <c r="E54" s="838"/>
      <c r="F54" s="838"/>
      <c r="G54" s="854"/>
      <c r="H54" s="854">
        <v>2.0383352656568919E-3</v>
      </c>
      <c r="I54" s="854">
        <v>2.2128433906164618E-3</v>
      </c>
      <c r="J54" s="854">
        <v>2.3111285583404988E-3</v>
      </c>
      <c r="K54" s="854">
        <v>2.3287237820320641E-3</v>
      </c>
      <c r="L54" s="854">
        <v>2.0513271717663415E-3</v>
      </c>
      <c r="M54" s="854">
        <v>1.7639805869329897E-3</v>
      </c>
      <c r="N54" s="854">
        <v>1.4333507646512105E-3</v>
      </c>
      <c r="O54" s="854">
        <v>1.1155919128759116E-3</v>
      </c>
      <c r="P54" s="854">
        <v>8.3882132281082821E-4</v>
      </c>
      <c r="Q54" s="854">
        <v>6.2133812050360138E-4</v>
      </c>
      <c r="R54" s="854">
        <v>4.6328054796170655E-4</v>
      </c>
      <c r="S54" s="854">
        <v>3.4831158048618041E-4</v>
      </c>
      <c r="T54" s="854">
        <v>2.6883037852376085E-4</v>
      </c>
      <c r="U54" s="854">
        <v>2.1233625528839595E-4</v>
      </c>
      <c r="V54" s="854">
        <v>1.7202106668519779E-4</v>
      </c>
      <c r="W54" s="854">
        <v>1.4388385031055816E-4</v>
      </c>
      <c r="X54" s="854">
        <v>1.2316042523845028E-4</v>
      </c>
      <c r="Y54" s="854">
        <v>1.079873791848775E-4</v>
      </c>
      <c r="Z54" s="854">
        <v>9.6779774727947176E-5</v>
      </c>
      <c r="AA54" s="854">
        <v>8.856649548570137E-5</v>
      </c>
      <c r="AB54" s="854">
        <v>8.2281803372556516E-5</v>
      </c>
      <c r="AC54" s="854">
        <v>7.7464059906318556E-5</v>
      </c>
      <c r="AD54" s="854">
        <v>7.3726565018486132E-5</v>
      </c>
      <c r="AE54" s="854">
        <v>7.0761685135693671E-5</v>
      </c>
      <c r="AF54" s="854">
        <v>6.8272170860977533E-5</v>
      </c>
      <c r="AN54" s="465" t="s">
        <v>762</v>
      </c>
      <c r="AO54" s="1152">
        <f>AO38/SUM(AO34:AO39)</f>
        <v>0.1488837238206204</v>
      </c>
      <c r="AP54" s="1152">
        <f t="shared" ref="AP54:BM54" si="112">AP38/SUM(AP34:AP39)</f>
        <v>0.19762560724003891</v>
      </c>
      <c r="AQ54" s="1152">
        <f t="shared" si="112"/>
        <v>0.28818168214201323</v>
      </c>
      <c r="AR54" s="1152">
        <f t="shared" si="112"/>
        <v>0.35456246265751196</v>
      </c>
      <c r="AS54" s="1152">
        <f t="shared" si="112"/>
        <v>0.39282075404994937</v>
      </c>
      <c r="AT54" s="1152">
        <f t="shared" si="112"/>
        <v>0.42625542398540356</v>
      </c>
      <c r="AU54" s="1152">
        <f t="shared" si="112"/>
        <v>0.46458027870841156</v>
      </c>
      <c r="AV54" s="1152">
        <f t="shared" si="112"/>
        <v>0.50580208512506586</v>
      </c>
      <c r="AW54" s="1152">
        <f t="shared" si="112"/>
        <v>0.54979723006903158</v>
      </c>
      <c r="AX54" s="1160">
        <f t="shared" si="112"/>
        <v>0.59152356571741815</v>
      </c>
      <c r="AY54" s="1152">
        <f t="shared" si="112"/>
        <v>0.62723870534809711</v>
      </c>
      <c r="AZ54" s="1152">
        <f t="shared" si="112"/>
        <v>0.66058714243308048</v>
      </c>
      <c r="BA54" s="1152">
        <f t="shared" si="112"/>
        <v>0.68889289976965196</v>
      </c>
      <c r="BB54" s="1152">
        <f t="shared" si="112"/>
        <v>0.71467221747012044</v>
      </c>
      <c r="BC54" s="1152">
        <f t="shared" si="112"/>
        <v>0.73726704499657458</v>
      </c>
      <c r="BD54" s="1152">
        <f t="shared" si="112"/>
        <v>0.75741095742801989</v>
      </c>
      <c r="BE54" s="1152">
        <f t="shared" si="112"/>
        <v>0.77552740889971317</v>
      </c>
      <c r="BF54" s="1152">
        <f t="shared" si="112"/>
        <v>0.79166777259789844</v>
      </c>
      <c r="BG54" s="1152">
        <f t="shared" si="112"/>
        <v>0.80647950451776362</v>
      </c>
      <c r="BH54" s="1152">
        <f t="shared" si="112"/>
        <v>0.81973588000579067</v>
      </c>
      <c r="BI54" s="1152">
        <f t="shared" si="112"/>
        <v>0.83190973463087914</v>
      </c>
      <c r="BJ54" s="1152">
        <f t="shared" si="112"/>
        <v>0.84304986185986408</v>
      </c>
      <c r="BK54" s="1152">
        <f t="shared" si="112"/>
        <v>0.85322318663475749</v>
      </c>
      <c r="BL54" s="1152">
        <f t="shared" si="112"/>
        <v>0.8624977617821924</v>
      </c>
      <c r="BM54" s="1152">
        <f t="shared" si="112"/>
        <v>0.87112392878776512</v>
      </c>
    </row>
    <row r="55" spans="1:65" s="864" customFormat="1" x14ac:dyDescent="0.25">
      <c r="A55" s="839"/>
      <c r="B55" s="842" t="s">
        <v>29</v>
      </c>
      <c r="C55" s="838"/>
      <c r="D55" s="838"/>
      <c r="E55" s="838"/>
      <c r="F55" s="838"/>
      <c r="G55" s="854"/>
      <c r="H55" s="854">
        <v>1.692145662959936E-4</v>
      </c>
      <c r="I55" s="854">
        <v>6.3819491432094125E-4</v>
      </c>
      <c r="J55" s="854">
        <v>1.3492534099272698E-3</v>
      </c>
      <c r="K55" s="854">
        <v>2.1942127312596506E-3</v>
      </c>
      <c r="L55" s="854">
        <v>2.9695592603007268E-3</v>
      </c>
      <c r="M55" s="854">
        <v>3.6633296670975295E-3</v>
      </c>
      <c r="N55" s="854">
        <v>4.1201009247690988E-3</v>
      </c>
      <c r="O55" s="854">
        <v>4.3098730003537922E-3</v>
      </c>
      <c r="P55" s="854">
        <v>4.2599476310948969E-3</v>
      </c>
      <c r="Q55" s="854">
        <v>4.0480403344695711E-3</v>
      </c>
      <c r="R55" s="854">
        <v>3.7900109313570981E-3</v>
      </c>
      <c r="S55" s="854">
        <v>3.5223876412045314E-3</v>
      </c>
      <c r="T55" s="854">
        <v>3.3115383978536183E-3</v>
      </c>
      <c r="U55" s="854">
        <v>3.1342428014296845E-3</v>
      </c>
      <c r="V55" s="854">
        <v>2.9931732507171467E-3</v>
      </c>
      <c r="W55" s="854">
        <v>2.897640978236667E-3</v>
      </c>
      <c r="X55" s="854">
        <v>2.8138033236784783E-3</v>
      </c>
      <c r="Y55" s="854">
        <v>2.7453486721592964E-3</v>
      </c>
      <c r="Z55" s="854">
        <v>2.6885469671141778E-3</v>
      </c>
      <c r="AA55" s="854">
        <v>2.6449809536845999E-3</v>
      </c>
      <c r="AB55" s="854">
        <v>2.6040658282909628E-3</v>
      </c>
      <c r="AC55" s="854">
        <v>2.5670774306645514E-3</v>
      </c>
      <c r="AD55" s="854">
        <v>2.5338372367744505E-3</v>
      </c>
      <c r="AE55" s="854">
        <v>2.5036077798504478E-3</v>
      </c>
      <c r="AF55" s="854">
        <v>2.4772863081770589E-3</v>
      </c>
      <c r="AN55" s="1062" t="s">
        <v>242</v>
      </c>
      <c r="AO55" s="1152">
        <f>(AO12+AO18+AO24+AO31+AO38)/SUM(AO9:AO39)</f>
        <v>1.8719779770341068E-2</v>
      </c>
      <c r="AP55" s="1152">
        <f t="shared" ref="AP55:BM55" si="113">(AP12+AP18+AP24+AP31+AP38)/SUM(AP9:AP39)</f>
        <v>2.6998196743602453E-2</v>
      </c>
      <c r="AQ55" s="1152">
        <f t="shared" si="113"/>
        <v>4.1034213943356511E-2</v>
      </c>
      <c r="AR55" s="1152">
        <f t="shared" si="113"/>
        <v>5.5116981385912263E-2</v>
      </c>
      <c r="AS55" s="1152">
        <f t="shared" si="113"/>
        <v>7.0165016496935059E-2</v>
      </c>
      <c r="AT55" s="1152">
        <f t="shared" si="113"/>
        <v>8.9521011649964732E-2</v>
      </c>
      <c r="AU55" s="1152">
        <f t="shared" si="113"/>
        <v>0.11334038522855668</v>
      </c>
      <c r="AV55" s="1152">
        <f t="shared" si="113"/>
        <v>0.14072958061697716</v>
      </c>
      <c r="AW55" s="1152">
        <f t="shared" si="113"/>
        <v>0.16990884475541987</v>
      </c>
      <c r="AX55" s="1160">
        <f>(AX12+AX18+AX24+AX31+AX38)/SUM(AX9:AX39)</f>
        <v>0.20085318346320258</v>
      </c>
      <c r="AY55" s="1152">
        <f t="shared" si="113"/>
        <v>0.23123925197767531</v>
      </c>
      <c r="AZ55" s="1152">
        <f t="shared" si="113"/>
        <v>0.26158136155142986</v>
      </c>
      <c r="BA55" s="1152">
        <f t="shared" si="113"/>
        <v>0.29082704710492918</v>
      </c>
      <c r="BB55" s="1152">
        <f t="shared" si="113"/>
        <v>0.31922505357412295</v>
      </c>
      <c r="BC55" s="1152">
        <f t="shared" si="113"/>
        <v>0.34546258938968349</v>
      </c>
      <c r="BD55" s="1152">
        <f t="shared" si="113"/>
        <v>0.36953065959471065</v>
      </c>
      <c r="BE55" s="1152">
        <f t="shared" si="113"/>
        <v>0.39284211096270638</v>
      </c>
      <c r="BF55" s="1152">
        <f t="shared" si="113"/>
        <v>0.41443974579607501</v>
      </c>
      <c r="BG55" s="1152">
        <f t="shared" si="113"/>
        <v>0.43407052676148733</v>
      </c>
      <c r="BH55" s="1152">
        <f t="shared" si="113"/>
        <v>0.45198448207514041</v>
      </c>
      <c r="BI55" s="1152">
        <f t="shared" si="113"/>
        <v>0.4687237384192981</v>
      </c>
      <c r="BJ55" s="1152">
        <f t="shared" si="113"/>
        <v>0.4842838862095345</v>
      </c>
      <c r="BK55" s="1152">
        <f t="shared" si="113"/>
        <v>0.49889666910292785</v>
      </c>
      <c r="BL55" s="1152">
        <f t="shared" si="113"/>
        <v>0.51262454530323731</v>
      </c>
      <c r="BM55" s="1152">
        <f t="shared" si="113"/>
        <v>0.52618774268599378</v>
      </c>
    </row>
    <row r="56" spans="1:65" s="864" customFormat="1" x14ac:dyDescent="0.25">
      <c r="A56" s="839"/>
      <c r="B56" s="839"/>
      <c r="C56" s="838"/>
      <c r="D56" s="838"/>
      <c r="E56" s="838"/>
      <c r="F56" s="838"/>
      <c r="G56" s="854"/>
      <c r="H56" s="838"/>
      <c r="I56" s="838"/>
      <c r="J56" s="838"/>
      <c r="K56" s="838"/>
      <c r="L56" s="838"/>
      <c r="M56" s="838"/>
      <c r="N56" s="838"/>
      <c r="O56" s="838"/>
      <c r="P56" s="838"/>
      <c r="Q56" s="838"/>
      <c r="R56" s="838"/>
      <c r="S56" s="838"/>
      <c r="T56" s="838"/>
      <c r="U56" s="838"/>
      <c r="V56" s="838"/>
      <c r="W56" s="838"/>
      <c r="X56" s="838"/>
      <c r="Y56" s="838"/>
      <c r="Z56" s="838"/>
      <c r="AA56" s="838"/>
      <c r="AB56" s="838"/>
      <c r="AC56" s="838"/>
      <c r="AD56" s="838"/>
      <c r="AE56" s="838"/>
      <c r="AF56" s="838"/>
      <c r="AX56" s="1162"/>
    </row>
    <row r="57" spans="1:65" s="856" customFormat="1" ht="12.75" x14ac:dyDescent="0.2">
      <c r="A57" s="843" t="s">
        <v>36</v>
      </c>
      <c r="B57" s="843"/>
      <c r="C57" s="843"/>
      <c r="D57" s="843"/>
      <c r="E57" s="843"/>
      <c r="F57" s="843"/>
      <c r="G57" s="865"/>
      <c r="H57" s="843"/>
      <c r="I57" s="843"/>
      <c r="J57" s="843"/>
      <c r="K57" s="843"/>
      <c r="L57" s="843"/>
      <c r="M57" s="843"/>
      <c r="N57" s="843"/>
      <c r="O57" s="843"/>
      <c r="P57" s="843"/>
      <c r="Q57" s="843"/>
      <c r="R57" s="843"/>
      <c r="S57" s="843"/>
      <c r="T57" s="843"/>
      <c r="U57" s="843"/>
      <c r="V57" s="843"/>
      <c r="W57" s="843"/>
      <c r="X57" s="843"/>
      <c r="Y57" s="843"/>
      <c r="Z57" s="843"/>
      <c r="AA57" s="843"/>
      <c r="AB57" s="843"/>
      <c r="AC57" s="843"/>
      <c r="AD57" s="843"/>
      <c r="AE57" s="843"/>
      <c r="AF57" s="843"/>
    </row>
    <row r="58" spans="1:65" s="864" customFormat="1" x14ac:dyDescent="0.25">
      <c r="A58" s="839"/>
      <c r="B58" s="839" t="s">
        <v>37</v>
      </c>
      <c r="C58" s="838"/>
      <c r="D58" s="838"/>
      <c r="E58" s="838"/>
      <c r="F58" s="855"/>
      <c r="G58" s="854"/>
      <c r="H58" s="854">
        <v>2.2467925201782042</v>
      </c>
      <c r="I58" s="854">
        <v>1.4052505657255843</v>
      </c>
      <c r="J58" s="854">
        <v>0.67429342186929009</v>
      </c>
      <c r="K58" s="854">
        <v>0.1357119774911455</v>
      </c>
      <c r="L58" s="854">
        <v>9.4375906437334331E-2</v>
      </c>
      <c r="M58" s="854">
        <v>6.4447808026347406E-2</v>
      </c>
      <c r="N58" s="854">
        <v>4.3739530745538463E-2</v>
      </c>
      <c r="O58" s="854">
        <v>3.1067755759274032E-2</v>
      </c>
      <c r="P58" s="854">
        <v>2.2144307680637132E-2</v>
      </c>
      <c r="Q58" s="854">
        <v>1.583755383029643E-2</v>
      </c>
      <c r="R58" s="854">
        <v>1.1368651852906491E-2</v>
      </c>
      <c r="S58" s="854">
        <v>8.1955254275714907E-3</v>
      </c>
      <c r="T58" s="854">
        <v>5.9371761457640525E-3</v>
      </c>
      <c r="U58" s="854">
        <v>4.3270510659678693E-3</v>
      </c>
      <c r="V58" s="854">
        <v>3.1730637375290971E-3</v>
      </c>
      <c r="W58" s="854">
        <v>2.3444397495608733E-3</v>
      </c>
      <c r="X58" s="854">
        <v>1.7477009177234546E-3</v>
      </c>
      <c r="Y58" s="854">
        <v>1.3131235773540979E-3</v>
      </c>
      <c r="Z58" s="854">
        <v>9.9729809603223574E-4</v>
      </c>
      <c r="AA58" s="854">
        <v>7.6807803124838989E-4</v>
      </c>
      <c r="AB58" s="854">
        <v>5.9763893559681253E-4</v>
      </c>
      <c r="AC58" s="854">
        <v>4.7150483574952241E-4</v>
      </c>
      <c r="AD58" s="854">
        <v>3.7815197706786007E-4</v>
      </c>
      <c r="AE58" s="854">
        <v>3.0684079100781937E-4</v>
      </c>
      <c r="AF58" s="854">
        <v>2.5115687985027233E-4</v>
      </c>
      <c r="AN58" s="1181" t="s">
        <v>776</v>
      </c>
      <c r="AO58" s="1182">
        <f>AO9+AO10+AO15+AO16+AO34+AO35</f>
        <v>61.63288681658517</v>
      </c>
      <c r="AP58" s="1182">
        <f t="shared" ref="AP58:BL58" si="114">AP9+AP10+AP15+AP16+AP34+AP35</f>
        <v>55.784324571141951</v>
      </c>
      <c r="AQ58" s="1182">
        <f t="shared" si="114"/>
        <v>47.146868410939291</v>
      </c>
      <c r="AR58" s="1182">
        <f t="shared" si="114"/>
        <v>40.073987435903689</v>
      </c>
      <c r="AS58" s="1182">
        <f t="shared" si="114"/>
        <v>33.174246572341062</v>
      </c>
      <c r="AT58" s="1182">
        <f t="shared" si="114"/>
        <v>26.146384723857651</v>
      </c>
      <c r="AU58" s="1182">
        <f t="shared" si="114"/>
        <v>21.864936846236617</v>
      </c>
      <c r="AV58" s="1182">
        <f t="shared" si="114"/>
        <v>18.231312450248272</v>
      </c>
      <c r="AW58" s="1182">
        <f t="shared" si="114"/>
        <v>15.152901395211138</v>
      </c>
      <c r="AX58" s="1182">
        <f t="shared" si="114"/>
        <v>12.489266000718658</v>
      </c>
      <c r="AY58" s="1182">
        <f t="shared" si="114"/>
        <v>10.188833123437563</v>
      </c>
      <c r="AZ58" s="1182">
        <f t="shared" si="114"/>
        <v>8.3081380564297618</v>
      </c>
      <c r="BA58" s="1182">
        <f t="shared" si="114"/>
        <v>6.7779816689377483</v>
      </c>
      <c r="BB58" s="1182">
        <f t="shared" si="114"/>
        <v>5.5505103071053403</v>
      </c>
      <c r="BC58" s="1182">
        <f t="shared" si="114"/>
        <v>4.5992299546925066</v>
      </c>
      <c r="BD58" s="1182">
        <f t="shared" si="114"/>
        <v>3.850522331866217</v>
      </c>
      <c r="BE58" s="1182">
        <f t="shared" si="114"/>
        <v>3.2630356543053924</v>
      </c>
      <c r="BF58" s="1182">
        <f t="shared" si="114"/>
        <v>2.8031048276998924</v>
      </c>
      <c r="BG58" s="1182">
        <f t="shared" si="114"/>
        <v>2.4500015940059536</v>
      </c>
      <c r="BH58" s="1182">
        <f t="shared" si="114"/>
        <v>2.1805039830405839</v>
      </c>
      <c r="BI58" s="1182">
        <f t="shared" si="114"/>
        <v>1.9652344108776245</v>
      </c>
      <c r="BJ58" s="1182">
        <f t="shared" si="114"/>
        <v>1.7905866637875452</v>
      </c>
      <c r="BK58" s="1182">
        <f t="shared" si="114"/>
        <v>1.6465880207539314</v>
      </c>
      <c r="BL58" s="1182">
        <f t="shared" si="114"/>
        <v>1.5234645147395296</v>
      </c>
      <c r="BM58" s="1182">
        <f>BM9+BM10+BM15+BM16+BM34+BM35</f>
        <v>1.4020521307055416</v>
      </c>
    </row>
    <row r="59" spans="1:65" s="864" customFormat="1" x14ac:dyDescent="0.25">
      <c r="A59" s="839"/>
      <c r="B59" s="839" t="s">
        <v>39</v>
      </c>
      <c r="C59" s="838"/>
      <c r="D59" s="838"/>
      <c r="E59" s="857"/>
      <c r="F59" s="838"/>
      <c r="G59" s="854"/>
      <c r="H59" s="854">
        <v>10.35087436312126</v>
      </c>
      <c r="I59" s="854">
        <v>10.491381448480579</v>
      </c>
      <c r="J59" s="854">
        <v>10.4727056348117</v>
      </c>
      <c r="K59" s="854">
        <v>10.204029691302619</v>
      </c>
      <c r="L59" s="854">
        <v>9.6266934467099041</v>
      </c>
      <c r="M59" s="854">
        <v>9.0503709900312046</v>
      </c>
      <c r="N59" s="854">
        <v>8.537978023579555</v>
      </c>
      <c r="O59" s="854">
        <v>8.0068857921706496</v>
      </c>
      <c r="P59" s="854">
        <v>7.5008436775007343</v>
      </c>
      <c r="Q59" s="854">
        <v>7.0182594317886604</v>
      </c>
      <c r="R59" s="854">
        <v>6.5628641042385221</v>
      </c>
      <c r="S59" s="854">
        <v>6.134361577115631</v>
      </c>
      <c r="T59" s="854">
        <v>5.7221774416579905</v>
      </c>
      <c r="U59" s="854">
        <v>5.3506346658775694</v>
      </c>
      <c r="V59" s="854">
        <v>4.9974842214447506</v>
      </c>
      <c r="W59" s="854">
        <v>4.6738870551709253</v>
      </c>
      <c r="X59" s="854">
        <v>4.3826727074566953</v>
      </c>
      <c r="Y59" s="854">
        <v>4.1075531010447346</v>
      </c>
      <c r="Z59" s="854">
        <v>3.8563064723570939</v>
      </c>
      <c r="AA59" s="854">
        <v>3.6316599553531708</v>
      </c>
      <c r="AB59" s="854">
        <v>3.4196469364000652</v>
      </c>
      <c r="AC59" s="854">
        <v>3.225544224504755</v>
      </c>
      <c r="AD59" s="854">
        <v>3.0501131595645523</v>
      </c>
      <c r="AE59" s="854">
        <v>2.8848600715665618</v>
      </c>
      <c r="AF59" s="854">
        <v>2.7300722154211745</v>
      </c>
      <c r="AN59" s="1181" t="s">
        <v>402</v>
      </c>
      <c r="AO59" s="1182">
        <f>AO11+AO17+AO36</f>
        <v>24.89584519064228</v>
      </c>
      <c r="AP59" s="1182">
        <f t="shared" ref="AP59:BL59" si="115">AP11+AP17+AP36</f>
        <v>24.132082564043124</v>
      </c>
      <c r="AQ59" s="1182">
        <f t="shared" si="115"/>
        <v>25.790683890731785</v>
      </c>
      <c r="AR59" s="1182">
        <f t="shared" si="115"/>
        <v>25.07216009541429</v>
      </c>
      <c r="AS59" s="1182">
        <f t="shared" si="115"/>
        <v>25.255396528534607</v>
      </c>
      <c r="AT59" s="1182">
        <f t="shared" si="115"/>
        <v>25.48014357380795</v>
      </c>
      <c r="AU59" s="1182">
        <f t="shared" si="115"/>
        <v>22.637949077391752</v>
      </c>
      <c r="AV59" s="1182">
        <f t="shared" si="115"/>
        <v>20.117861427227016</v>
      </c>
      <c r="AW59" s="1182">
        <f t="shared" si="115"/>
        <v>17.68937656119201</v>
      </c>
      <c r="AX59" s="1182">
        <f t="shared" si="115"/>
        <v>15.462003467952961</v>
      </c>
      <c r="AY59" s="1182">
        <f t="shared" si="115"/>
        <v>13.404806183220527</v>
      </c>
      <c r="AZ59" s="1182">
        <f t="shared" si="115"/>
        <v>11.543460726765117</v>
      </c>
      <c r="BA59" s="1182">
        <f t="shared" si="115"/>
        <v>9.9105595906062049</v>
      </c>
      <c r="BB59" s="1182">
        <f t="shared" si="115"/>
        <v>8.5139034168164294</v>
      </c>
      <c r="BC59" s="1182">
        <f t="shared" si="115"/>
        <v>7.3503500737580909</v>
      </c>
      <c r="BD59" s="1182">
        <f t="shared" si="115"/>
        <v>6.400370687782976</v>
      </c>
      <c r="BE59" s="1182">
        <f t="shared" si="115"/>
        <v>5.6339156293773041</v>
      </c>
      <c r="BF59" s="1182">
        <f t="shared" si="115"/>
        <v>5.0225052703611777</v>
      </c>
      <c r="BG59" s="1182">
        <f t="shared" si="115"/>
        <v>4.5377572537434903</v>
      </c>
      <c r="BH59" s="1182">
        <f t="shared" si="115"/>
        <v>4.1580588409264845</v>
      </c>
      <c r="BI59" s="1182">
        <f t="shared" si="115"/>
        <v>3.8643065423817031</v>
      </c>
      <c r="BJ59" s="1182">
        <f t="shared" si="115"/>
        <v>3.6251738599407219</v>
      </c>
      <c r="BK59" s="1182">
        <f t="shared" si="115"/>
        <v>3.4314325084582862</v>
      </c>
      <c r="BL59" s="1182">
        <f t="shared" si="115"/>
        <v>3.2734105299622929</v>
      </c>
      <c r="BM59" s="1182">
        <f>BM11+BM17+BM36</f>
        <v>3.1382436769173521</v>
      </c>
    </row>
    <row r="60" spans="1:65" s="864" customFormat="1" x14ac:dyDescent="0.25">
      <c r="A60" s="839"/>
      <c r="B60" s="839" t="s">
        <v>40</v>
      </c>
      <c r="C60" s="838"/>
      <c r="D60" s="838"/>
      <c r="E60" s="838"/>
      <c r="F60" s="838"/>
      <c r="G60" s="854"/>
      <c r="H60" s="854">
        <v>2.5235000263703755</v>
      </c>
      <c r="I60" s="854">
        <v>2.9637480249160988</v>
      </c>
      <c r="J60" s="854">
        <v>3.4480578466037435</v>
      </c>
      <c r="K60" s="854">
        <v>3.9830735783478088</v>
      </c>
      <c r="L60" s="854">
        <v>4.316508357255989</v>
      </c>
      <c r="M60" s="854">
        <v>4.6202296602027095</v>
      </c>
      <c r="N60" s="854">
        <v>4.8021248110484205</v>
      </c>
      <c r="O60" s="854">
        <v>4.9654683013737833</v>
      </c>
      <c r="P60" s="854">
        <v>5.0685247333871279</v>
      </c>
      <c r="Q60" s="854">
        <v>5.1130766269324628</v>
      </c>
      <c r="R60" s="854">
        <v>5.1081035130585679</v>
      </c>
      <c r="S60" s="854">
        <v>5.0577017700925122</v>
      </c>
      <c r="T60" s="854">
        <v>4.9546468429623669</v>
      </c>
      <c r="U60" s="854">
        <v>4.8437316900957192</v>
      </c>
      <c r="V60" s="854">
        <v>4.7011742510191317</v>
      </c>
      <c r="W60" s="854">
        <v>4.5522823304374755</v>
      </c>
      <c r="X60" s="854">
        <v>4.4101782801555434</v>
      </c>
      <c r="Y60" s="854">
        <v>4.2564164789257708</v>
      </c>
      <c r="Z60" s="854">
        <v>4.1065262538623148</v>
      </c>
      <c r="AA60" s="854">
        <v>3.969887262894467</v>
      </c>
      <c r="AB60" s="854">
        <v>3.8293970692593153</v>
      </c>
      <c r="AC60" s="854">
        <v>3.6952825742832993</v>
      </c>
      <c r="AD60" s="854">
        <v>3.5720332274201034</v>
      </c>
      <c r="AE60" s="854">
        <v>3.4488587768783248</v>
      </c>
      <c r="AF60" s="854">
        <v>3.3289774660149649</v>
      </c>
      <c r="AN60" s="1181" t="s">
        <v>716</v>
      </c>
      <c r="AO60" s="1182">
        <f>AO21+AO22+AO23+AO37+AO39</f>
        <v>183.60701822260498</v>
      </c>
      <c r="AP60" s="1182">
        <f t="shared" ref="AP60:BL60" si="116">AP21+AP22+AP23+AP37+AP39</f>
        <v>185.03455703890347</v>
      </c>
      <c r="AQ60" s="1182">
        <f t="shared" si="116"/>
        <v>185.64806751242159</v>
      </c>
      <c r="AR60" s="1182">
        <f t="shared" si="116"/>
        <v>185.32640784739021</v>
      </c>
      <c r="AS60" s="1182">
        <f t="shared" si="116"/>
        <v>184.28359803660334</v>
      </c>
      <c r="AT60" s="1182">
        <f t="shared" si="116"/>
        <v>181.73978982544097</v>
      </c>
      <c r="AU60" s="1182">
        <f t="shared" si="116"/>
        <v>178.43691317872677</v>
      </c>
      <c r="AV60" s="1182">
        <f t="shared" si="116"/>
        <v>174.87857184471983</v>
      </c>
      <c r="AW60" s="1182">
        <f t="shared" si="116"/>
        <v>169.96138893459656</v>
      </c>
      <c r="AX60" s="1182">
        <f t="shared" si="116"/>
        <v>164.59079352859086</v>
      </c>
      <c r="AY60" s="1182">
        <f t="shared" si="116"/>
        <v>158.23977674049635</v>
      </c>
      <c r="AZ60" s="1182">
        <f t="shared" si="116"/>
        <v>151.6795303403153</v>
      </c>
      <c r="BA60" s="1182">
        <f t="shared" si="116"/>
        <v>144.87341326809761</v>
      </c>
      <c r="BB60" s="1182">
        <f t="shared" si="116"/>
        <v>138.18717599788573</v>
      </c>
      <c r="BC60" s="1182">
        <f t="shared" si="116"/>
        <v>131.41086824150875</v>
      </c>
      <c r="BD60" s="1182">
        <f t="shared" si="116"/>
        <v>125.09211283045167</v>
      </c>
      <c r="BE60" s="1182">
        <f t="shared" si="116"/>
        <v>119.36837844269512</v>
      </c>
      <c r="BF60" s="1182">
        <f t="shared" si="116"/>
        <v>113.8986842455617</v>
      </c>
      <c r="BG60" s="1182">
        <f t="shared" si="116"/>
        <v>108.84511514072324</v>
      </c>
      <c r="BH60" s="1182">
        <f t="shared" si="116"/>
        <v>104.34524609107939</v>
      </c>
      <c r="BI60" s="1182">
        <f t="shared" si="116"/>
        <v>100.06942949046291</v>
      </c>
      <c r="BJ60" s="1182">
        <f t="shared" si="116"/>
        <v>96.199346001394304</v>
      </c>
      <c r="BK60" s="1182">
        <f t="shared" si="116"/>
        <v>92.745561373024998</v>
      </c>
      <c r="BL60" s="1182">
        <f t="shared" si="116"/>
        <v>89.483303582197138</v>
      </c>
      <c r="BM60" s="1182">
        <f>BM21+BM22+BM23+BM37+BM39</f>
        <v>86.414763992415018</v>
      </c>
    </row>
    <row r="61" spans="1:65" s="864" customFormat="1" x14ac:dyDescent="0.25">
      <c r="A61" s="839"/>
      <c r="B61" s="839" t="s">
        <v>29</v>
      </c>
      <c r="C61" s="838"/>
      <c r="D61" s="838"/>
      <c r="E61" s="838"/>
      <c r="F61" s="838"/>
      <c r="G61" s="854"/>
      <c r="H61" s="854">
        <v>6.2567922990074972E-6</v>
      </c>
      <c r="I61" s="854">
        <v>3.0477906565618321E-4</v>
      </c>
      <c r="J61" s="854">
        <v>2.9130924248171181E-3</v>
      </c>
      <c r="K61" s="854">
        <v>1.3415390149013428E-2</v>
      </c>
      <c r="L61" s="854">
        <v>4.0952886607737028E-2</v>
      </c>
      <c r="M61" s="854">
        <v>9.664679239795744E-2</v>
      </c>
      <c r="N61" s="854">
        <v>0.18585788079951479</v>
      </c>
      <c r="O61" s="854">
        <v>0.30355856472767795</v>
      </c>
      <c r="P61" s="854">
        <v>0.44812395602753652</v>
      </c>
      <c r="Q61" s="854">
        <v>0.61530443138572477</v>
      </c>
      <c r="R61" s="854">
        <v>0.79521011371947758</v>
      </c>
      <c r="S61" s="854">
        <v>0.97971920677977553</v>
      </c>
      <c r="T61" s="854">
        <v>1.156005648309073</v>
      </c>
      <c r="U61" s="854">
        <v>1.3305816401221437</v>
      </c>
      <c r="V61" s="854">
        <v>1.4813785727107369</v>
      </c>
      <c r="W61" s="854">
        <v>1.6184689496549838</v>
      </c>
      <c r="X61" s="854">
        <v>1.7477859931829991</v>
      </c>
      <c r="Y61" s="854">
        <v>1.8522899942058899</v>
      </c>
      <c r="Z61" s="854">
        <v>1.941416081058478</v>
      </c>
      <c r="AA61" s="854">
        <v>2.027222910876616</v>
      </c>
      <c r="AB61" s="854">
        <v>2.0920289568975319</v>
      </c>
      <c r="AC61" s="854">
        <v>2.1471403185062812</v>
      </c>
      <c r="AD61" s="854">
        <v>2.2032501239579085</v>
      </c>
      <c r="AE61" s="854">
        <v>2.2442866282510003</v>
      </c>
      <c r="AF61" s="854">
        <v>2.2850424766470434</v>
      </c>
      <c r="AN61" s="1181" t="s">
        <v>42</v>
      </c>
      <c r="AO61" s="1183">
        <f>SUM(AO27:AO30)</f>
        <v>104.20247389829883</v>
      </c>
      <c r="AP61" s="1183">
        <f t="shared" ref="AP61:BL61" si="117">SUM(AP27:AP30)</f>
        <v>104.97863200951642</v>
      </c>
      <c r="AQ61" s="1183">
        <f t="shared" si="117"/>
        <v>104.67596458742995</v>
      </c>
      <c r="AR61" s="1183">
        <f t="shared" si="117"/>
        <v>103.31523296763038</v>
      </c>
      <c r="AS61" s="1183">
        <f t="shared" si="117"/>
        <v>101.11800326181292</v>
      </c>
      <c r="AT61" s="1183">
        <f t="shared" si="117"/>
        <v>97.828387596442738</v>
      </c>
      <c r="AU61" s="1183">
        <f t="shared" si="117"/>
        <v>94.153374251225259</v>
      </c>
      <c r="AV61" s="1183">
        <f t="shared" si="117"/>
        <v>90.358558280761471</v>
      </c>
      <c r="AW61" s="1183">
        <f t="shared" si="117"/>
        <v>86.225894694918679</v>
      </c>
      <c r="AX61" s="1183">
        <f t="shared" si="117"/>
        <v>82.046073775462858</v>
      </c>
      <c r="AY61" s="1183">
        <f t="shared" si="117"/>
        <v>77.80999619512265</v>
      </c>
      <c r="AZ61" s="1183">
        <f t="shared" si="117"/>
        <v>73.734110917316826</v>
      </c>
      <c r="BA61" s="1183">
        <f t="shared" si="117"/>
        <v>69.849312559048698</v>
      </c>
      <c r="BB61" s="1183">
        <f t="shared" si="117"/>
        <v>66.253141699109321</v>
      </c>
      <c r="BC61" s="1183">
        <f t="shared" si="117"/>
        <v>62.959480939383603</v>
      </c>
      <c r="BD61" s="1183">
        <f t="shared" si="117"/>
        <v>59.867804767169311</v>
      </c>
      <c r="BE61" s="1183">
        <f t="shared" si="117"/>
        <v>57.117201365501977</v>
      </c>
      <c r="BF61" s="1183">
        <f t="shared" si="117"/>
        <v>54.611292680042162</v>
      </c>
      <c r="BG61" s="1183">
        <f t="shared" si="117"/>
        <v>52.336664366622372</v>
      </c>
      <c r="BH61" s="1183">
        <f t="shared" si="117"/>
        <v>50.281304844940017</v>
      </c>
      <c r="BI61" s="1183">
        <f t="shared" si="117"/>
        <v>48.407570517895039</v>
      </c>
      <c r="BJ61" s="1183">
        <f t="shared" si="117"/>
        <v>46.724411357316519</v>
      </c>
      <c r="BK61" s="1183">
        <f t="shared" si="117"/>
        <v>45.203875926722226</v>
      </c>
      <c r="BL61" s="1183">
        <f t="shared" si="117"/>
        <v>43.825969679947043</v>
      </c>
      <c r="BM61" s="1183">
        <f>SUM(BM27:BM30)</f>
        <v>42.541855294963106</v>
      </c>
    </row>
    <row r="62" spans="1:65" s="864" customFormat="1" x14ac:dyDescent="0.25">
      <c r="A62" s="839"/>
      <c r="B62" s="839"/>
      <c r="C62" s="838"/>
      <c r="D62" s="838"/>
      <c r="E62" s="838"/>
      <c r="F62" s="838"/>
      <c r="G62" s="854"/>
      <c r="H62" s="838"/>
      <c r="I62" s="838"/>
      <c r="J62" s="838"/>
      <c r="K62" s="838"/>
      <c r="L62" s="838"/>
      <c r="M62" s="838"/>
      <c r="N62" s="838"/>
      <c r="O62" s="838"/>
      <c r="P62" s="838"/>
      <c r="Q62" s="838"/>
      <c r="R62" s="838"/>
      <c r="S62" s="838"/>
      <c r="T62" s="838"/>
      <c r="U62" s="838"/>
      <c r="V62" s="838"/>
      <c r="W62" s="838"/>
      <c r="X62" s="838"/>
      <c r="Y62" s="838"/>
      <c r="Z62" s="838"/>
      <c r="AA62" s="838"/>
      <c r="AB62" s="838"/>
      <c r="AC62" s="838"/>
      <c r="AD62" s="838"/>
      <c r="AE62" s="838"/>
      <c r="AF62" s="838"/>
      <c r="AN62" s="1181" t="s">
        <v>29</v>
      </c>
      <c r="AO62" s="1182">
        <f>AO12+AO18+AO24+AO31+AO38</f>
        <v>7.1412110127514321</v>
      </c>
      <c r="AP62" s="1182">
        <f t="shared" ref="AP62:BL62" si="118">AP12+AP18+AP24+AP31+AP38</f>
        <v>10.26455653588811</v>
      </c>
      <c r="AQ62" s="1182">
        <f t="shared" si="118"/>
        <v>15.543988939407551</v>
      </c>
      <c r="AR62" s="1182">
        <f t="shared" si="118"/>
        <v>20.637173661401512</v>
      </c>
      <c r="AS62" s="1182">
        <f t="shared" si="118"/>
        <v>25.945383173850555</v>
      </c>
      <c r="AT62" s="1182">
        <f t="shared" si="118"/>
        <v>32.564051986368128</v>
      </c>
      <c r="AU62" s="1182">
        <f t="shared" si="118"/>
        <v>40.533550668713509</v>
      </c>
      <c r="AV62" s="1182">
        <f t="shared" si="118"/>
        <v>49.720754118442471</v>
      </c>
      <c r="AW62" s="1182">
        <f t="shared" si="118"/>
        <v>59.160585676592781</v>
      </c>
      <c r="AX62" s="1182">
        <f t="shared" si="118"/>
        <v>69.013478212975699</v>
      </c>
      <c r="AY62" s="1182">
        <f t="shared" si="118"/>
        <v>78.099393839098269</v>
      </c>
      <c r="AZ62" s="1182">
        <f t="shared" si="118"/>
        <v>86.884068319175043</v>
      </c>
      <c r="BA62" s="1182">
        <f t="shared" si="118"/>
        <v>94.900200577150343</v>
      </c>
      <c r="BB62" s="1182">
        <f t="shared" si="118"/>
        <v>102.45997588519678</v>
      </c>
      <c r="BC62" s="1182">
        <f t="shared" si="118"/>
        <v>108.89494753385509</v>
      </c>
      <c r="BD62" s="1182">
        <f t="shared" si="118"/>
        <v>114.41695096710964</v>
      </c>
      <c r="BE62" s="1182">
        <f t="shared" si="118"/>
        <v>119.94584302481222</v>
      </c>
      <c r="BF62" s="1182">
        <f t="shared" si="118"/>
        <v>124.80436528302799</v>
      </c>
      <c r="BG62" s="1182">
        <f t="shared" si="118"/>
        <v>128.98681470202783</v>
      </c>
      <c r="BH62" s="1182">
        <f t="shared" si="118"/>
        <v>132.75852817173151</v>
      </c>
      <c r="BI62" s="1182">
        <f t="shared" si="118"/>
        <v>136.13847252818229</v>
      </c>
      <c r="BJ62" s="1182">
        <f t="shared" si="118"/>
        <v>139.29841685680611</v>
      </c>
      <c r="BK62" s="1182">
        <f t="shared" si="118"/>
        <v>142.3976212119492</v>
      </c>
      <c r="BL62" s="1182">
        <f t="shared" si="118"/>
        <v>145.26090880679851</v>
      </c>
      <c r="BM62" s="1182">
        <f>BM12+BM18+BM24+BM31+BM38</f>
        <v>148.2537425426496</v>
      </c>
    </row>
    <row r="63" spans="1:65" s="856" customFormat="1" ht="12.75" x14ac:dyDescent="0.2">
      <c r="A63" s="843" t="s">
        <v>42</v>
      </c>
      <c r="B63" s="843"/>
      <c r="C63" s="843"/>
      <c r="D63" s="843"/>
      <c r="E63" s="843"/>
      <c r="F63" s="843"/>
      <c r="G63" s="865"/>
      <c r="H63" s="843"/>
      <c r="I63" s="843"/>
      <c r="J63" s="843"/>
      <c r="K63" s="843"/>
      <c r="L63" s="843"/>
      <c r="M63" s="843"/>
      <c r="N63" s="843"/>
      <c r="O63" s="843"/>
      <c r="P63" s="843"/>
      <c r="Q63" s="843"/>
      <c r="R63" s="843"/>
      <c r="S63" s="843"/>
      <c r="T63" s="843"/>
      <c r="U63" s="843"/>
      <c r="V63" s="843"/>
      <c r="W63" s="843"/>
      <c r="X63" s="843"/>
      <c r="Y63" s="843"/>
      <c r="Z63" s="843"/>
      <c r="AA63" s="843"/>
      <c r="AB63" s="843"/>
      <c r="AC63" s="843"/>
      <c r="AD63" s="843"/>
      <c r="AE63" s="843"/>
      <c r="AF63" s="843"/>
    </row>
    <row r="64" spans="1:65" s="864" customFormat="1" x14ac:dyDescent="0.25">
      <c r="A64" s="839"/>
      <c r="B64" s="842" t="s">
        <v>43</v>
      </c>
      <c r="C64" s="838"/>
      <c r="D64" s="838"/>
      <c r="E64" s="838"/>
      <c r="F64" s="838"/>
      <c r="G64" s="854"/>
      <c r="H64" s="854">
        <v>1.0781805826845037</v>
      </c>
      <c r="I64" s="854">
        <v>0.96924081803730944</v>
      </c>
      <c r="J64" s="854">
        <v>0.87283778167678883</v>
      </c>
      <c r="K64" s="854">
        <v>0.78731764405150506</v>
      </c>
      <c r="L64" s="854">
        <v>0.71136174372637528</v>
      </c>
      <c r="M64" s="854">
        <v>0.64351162261788875</v>
      </c>
      <c r="N64" s="854">
        <v>0.58326408346202485</v>
      </c>
      <c r="O64" s="854">
        <v>0.52943955185505176</v>
      </c>
      <c r="P64" s="854">
        <v>0.48161806771351789</v>
      </c>
      <c r="Q64" s="854">
        <v>0.43889107435707198</v>
      </c>
      <c r="R64" s="854">
        <v>0.40085021607582416</v>
      </c>
      <c r="S64" s="854">
        <v>0.36712153901210548</v>
      </c>
      <c r="T64" s="854">
        <v>0.33707618339844375</v>
      </c>
      <c r="U64" s="854">
        <v>0.31043498962909538</v>
      </c>
      <c r="V64" s="854">
        <v>0.28686073127024636</v>
      </c>
      <c r="W64" s="854">
        <v>0.26599405123129966</v>
      </c>
      <c r="X64" s="854">
        <v>0.24749276496081471</v>
      </c>
      <c r="Y64" s="854">
        <v>0.2311019276512388</v>
      </c>
      <c r="Z64" s="854">
        <v>0.21656332469533529</v>
      </c>
      <c r="AA64" s="854">
        <v>0.20364463629875235</v>
      </c>
      <c r="AB64" s="854">
        <v>0.19210152541082903</v>
      </c>
      <c r="AC64" s="854">
        <v>0.18181335520350456</v>
      </c>
      <c r="AD64" s="854">
        <v>0.17262384864833014</v>
      </c>
      <c r="AE64" s="854">
        <v>0.16439561223522881</v>
      </c>
      <c r="AF64" s="854">
        <v>0.15699949576635291</v>
      </c>
      <c r="AN64" s="1181" t="s">
        <v>776</v>
      </c>
      <c r="AO64" s="1176">
        <f>AO58/SUM(AO$58:AO$62)</f>
        <v>0.16156280296950679</v>
      </c>
      <c r="AP64" s="1176">
        <f t="shared" ref="AP64:BM68" si="119">AP58/SUM(AP$58:AP$62)</f>
        <v>0.14672588773951917</v>
      </c>
      <c r="AQ64" s="1176">
        <f t="shared" si="119"/>
        <v>0.12446191853810577</v>
      </c>
      <c r="AR64" s="1176">
        <f t="shared" si="119"/>
        <v>0.10702808707255816</v>
      </c>
      <c r="AS64" s="1176">
        <f t="shared" si="119"/>
        <v>8.9714287217298877E-2</v>
      </c>
      <c r="AT64" s="1176">
        <f t="shared" si="119"/>
        <v>7.1878364905226075E-2</v>
      </c>
      <c r="AU64" s="1176">
        <f t="shared" si="119"/>
        <v>6.1138990398473654E-2</v>
      </c>
      <c r="AV64" s="1176">
        <f t="shared" si="119"/>
        <v>5.1601891417589092E-2</v>
      </c>
      <c r="AW64" s="1176">
        <f t="shared" si="119"/>
        <v>4.3519041289203697E-2</v>
      </c>
      <c r="AX64" s="1176">
        <f t="shared" si="119"/>
        <v>3.6348100404703848E-2</v>
      </c>
      <c r="AY64" s="1176">
        <f t="shared" si="119"/>
        <v>3.0167431962955491E-2</v>
      </c>
      <c r="AZ64" s="1176">
        <f t="shared" si="119"/>
        <v>2.501326315400584E-2</v>
      </c>
      <c r="BA64" s="1176">
        <f t="shared" si="119"/>
        <v>2.077150924993015E-2</v>
      </c>
      <c r="BB64" s="1176">
        <f t="shared" si="119"/>
        <v>1.7293210688774117E-2</v>
      </c>
      <c r="BC64" s="1176">
        <f t="shared" si="119"/>
        <v>1.4590776939882335E-2</v>
      </c>
      <c r="BD64" s="1176">
        <f t="shared" si="119"/>
        <v>1.2435972511518066E-2</v>
      </c>
      <c r="BE64" s="1176">
        <f t="shared" si="119"/>
        <v>1.0686971571984685E-2</v>
      </c>
      <c r="BF64" s="1176">
        <f t="shared" si="119"/>
        <v>9.3083126507408718E-3</v>
      </c>
      <c r="BG64" s="1176">
        <f t="shared" si="119"/>
        <v>8.2448232009866718E-3</v>
      </c>
      <c r="BH64" s="1176">
        <f t="shared" si="119"/>
        <v>7.4236584045471081E-3</v>
      </c>
      <c r="BI64" s="1176">
        <f t="shared" si="119"/>
        <v>6.7662873163654566E-3</v>
      </c>
      <c r="BJ64" s="1176">
        <f t="shared" si="119"/>
        <v>6.225140871668337E-3</v>
      </c>
      <c r="BK64" s="1176">
        <f t="shared" si="119"/>
        <v>5.7688974854165978E-3</v>
      </c>
      <c r="BL64" s="1176">
        <f t="shared" si="119"/>
        <v>5.3762936675047007E-3</v>
      </c>
      <c r="BM64" s="1176">
        <f t="shared" si="119"/>
        <v>4.9762160005627038E-3</v>
      </c>
    </row>
    <row r="65" spans="1:65" s="864" customFormat="1" x14ac:dyDescent="0.25">
      <c r="A65" s="839"/>
      <c r="B65" s="842" t="s">
        <v>44</v>
      </c>
      <c r="C65" s="838"/>
      <c r="D65" s="838"/>
      <c r="E65" s="838"/>
      <c r="F65" s="838"/>
      <c r="G65" s="854"/>
      <c r="H65" s="854">
        <v>22.398768257221409</v>
      </c>
      <c r="I65" s="854">
        <v>22.251698581813606</v>
      </c>
      <c r="J65" s="854">
        <v>21.978915212554575</v>
      </c>
      <c r="K65" s="854">
        <v>21.596766373489853</v>
      </c>
      <c r="L65" s="854">
        <v>21.069164332938584</v>
      </c>
      <c r="M65" s="854">
        <v>20.448979858141236</v>
      </c>
      <c r="N65" s="854">
        <v>19.802142273430334</v>
      </c>
      <c r="O65" s="854">
        <v>19.113174628086792</v>
      </c>
      <c r="P65" s="854">
        <v>18.430628731337254</v>
      </c>
      <c r="Q65" s="854">
        <v>17.74177877332319</v>
      </c>
      <c r="R65" s="854">
        <v>17.074126934600962</v>
      </c>
      <c r="S65" s="854">
        <v>16.448592530504463</v>
      </c>
      <c r="T65" s="854">
        <v>15.851773129595145</v>
      </c>
      <c r="U65" s="854">
        <v>15.290673795003951</v>
      </c>
      <c r="V65" s="854">
        <v>14.780604264178915</v>
      </c>
      <c r="W65" s="854">
        <v>14.311067569949332</v>
      </c>
      <c r="X65" s="854">
        <v>13.878044249347885</v>
      </c>
      <c r="Y65" s="854">
        <v>13.482362551693729</v>
      </c>
      <c r="Z65" s="854">
        <v>13.120341278574584</v>
      </c>
      <c r="AA65" s="854">
        <v>12.79200179203734</v>
      </c>
      <c r="AB65" s="854">
        <v>12.484550630206439</v>
      </c>
      <c r="AC65" s="854">
        <v>12.200709274096385</v>
      </c>
      <c r="AD65" s="854">
        <v>11.937540276718863</v>
      </c>
      <c r="AE65" s="854">
        <v>11.69241557022081</v>
      </c>
      <c r="AF65" s="854">
        <v>11.462817055607546</v>
      </c>
      <c r="AN65" s="1181" t="s">
        <v>402</v>
      </c>
      <c r="AO65" s="1176">
        <f t="shared" ref="AO65:BD68" si="120">AO59/SUM(AO$58:AO$62)</f>
        <v>6.5261303486642983E-2</v>
      </c>
      <c r="AP65" s="1176">
        <f t="shared" si="120"/>
        <v>6.3473050259791219E-2</v>
      </c>
      <c r="AQ65" s="1176">
        <f t="shared" si="120"/>
        <v>6.8084225010912977E-2</v>
      </c>
      <c r="AR65" s="1176">
        <f t="shared" si="120"/>
        <v>6.6961775093659484E-2</v>
      </c>
      <c r="AS65" s="1176">
        <f t="shared" si="120"/>
        <v>6.8299061231334987E-2</v>
      </c>
      <c r="AT65" s="1176">
        <f t="shared" si="120"/>
        <v>7.0046818211336362E-2</v>
      </c>
      <c r="AU65" s="1176">
        <f t="shared" si="120"/>
        <v>6.3300496178749027E-2</v>
      </c>
      <c r="AV65" s="1176">
        <f t="shared" si="120"/>
        <v>5.6941578054504539E-2</v>
      </c>
      <c r="AW65" s="1176">
        <f t="shared" si="120"/>
        <v>5.0803782646541833E-2</v>
      </c>
      <c r="AX65" s="1176">
        <f t="shared" si="120"/>
        <v>4.499979858533671E-2</v>
      </c>
      <c r="AY65" s="1176">
        <f t="shared" si="120"/>
        <v>3.968939068976287E-2</v>
      </c>
      <c r="AZ65" s="1176">
        <f t="shared" si="120"/>
        <v>3.4753830389595959E-2</v>
      </c>
      <c r="BA65" s="1176">
        <f t="shared" si="120"/>
        <v>3.037147196069695E-2</v>
      </c>
      <c r="BB65" s="1176">
        <f t="shared" si="120"/>
        <v>2.6525980031494447E-2</v>
      </c>
      <c r="BC65" s="1176">
        <f t="shared" si="120"/>
        <v>2.3318537975434254E-2</v>
      </c>
      <c r="BD65" s="1176">
        <f t="shared" si="120"/>
        <v>2.0671178369252093E-2</v>
      </c>
      <c r="BE65" s="1176">
        <f t="shared" si="119"/>
        <v>1.8451988439253615E-2</v>
      </c>
      <c r="BF65" s="1176">
        <f t="shared" si="119"/>
        <v>1.6678309310635932E-2</v>
      </c>
      <c r="BG65" s="1176">
        <f t="shared" si="119"/>
        <v>1.5270604875377472E-2</v>
      </c>
      <c r="BH65" s="1176">
        <f t="shared" si="119"/>
        <v>1.4156364171370001E-2</v>
      </c>
      <c r="BI65" s="1176">
        <f t="shared" si="119"/>
        <v>1.330477840177283E-2</v>
      </c>
      <c r="BJ65" s="1176">
        <f t="shared" si="119"/>
        <v>1.2603253681497471E-2</v>
      </c>
      <c r="BK65" s="1176">
        <f t="shared" si="119"/>
        <v>1.2022182913949462E-2</v>
      </c>
      <c r="BL65" s="1176">
        <f t="shared" si="119"/>
        <v>1.1551838676326762E-2</v>
      </c>
      <c r="BM65" s="1176">
        <f t="shared" si="119"/>
        <v>1.1138372145179992E-2</v>
      </c>
    </row>
    <row r="66" spans="1:65" s="864" customFormat="1" x14ac:dyDescent="0.25">
      <c r="A66" s="839"/>
      <c r="B66" s="842" t="s">
        <v>45</v>
      </c>
      <c r="C66" s="838"/>
      <c r="D66" s="838"/>
      <c r="E66" s="838"/>
      <c r="F66" s="838"/>
      <c r="G66" s="854"/>
      <c r="H66" s="854">
        <v>2.2665420865103609</v>
      </c>
      <c r="I66" s="854">
        <v>1.9958153204634563</v>
      </c>
      <c r="J66" s="854">
        <v>1.7591165558191575</v>
      </c>
      <c r="K66" s="854">
        <v>1.5519675198303473</v>
      </c>
      <c r="L66" s="854">
        <v>1.3705133524188866</v>
      </c>
      <c r="M66" s="854">
        <v>1.2098517788003171</v>
      </c>
      <c r="N66" s="854">
        <v>1.0691726090186908</v>
      </c>
      <c r="O66" s="854">
        <v>0.94574890337930473</v>
      </c>
      <c r="P66" s="854">
        <v>0.83754981411424301</v>
      </c>
      <c r="Q66" s="854">
        <v>0.74252482119075713</v>
      </c>
      <c r="R66" s="854">
        <v>0.65910418863563802</v>
      </c>
      <c r="S66" s="854">
        <v>0.58590193613750574</v>
      </c>
      <c r="T66" s="854">
        <v>0.52155361064973615</v>
      </c>
      <c r="U66" s="854">
        <v>0.46518938607789995</v>
      </c>
      <c r="V66" s="854">
        <v>0.41565669488425133</v>
      </c>
      <c r="W66" s="854">
        <v>0.37221875139364857</v>
      </c>
      <c r="X66" s="854">
        <v>0.33407360612069215</v>
      </c>
      <c r="Y66" s="854">
        <v>0.30055425504741634</v>
      </c>
      <c r="Z66" s="854">
        <v>0.27136823976131219</v>
      </c>
      <c r="AA66" s="854">
        <v>0.24529109285970419</v>
      </c>
      <c r="AB66" s="854">
        <v>0.22227102013236083</v>
      </c>
      <c r="AC66" s="854">
        <v>0.20194914382689946</v>
      </c>
      <c r="AD66" s="854">
        <v>0.18398543830543077</v>
      </c>
      <c r="AE66" s="854">
        <v>0.16808502312042428</v>
      </c>
      <c r="AF66" s="854">
        <v>0.15399143812182178</v>
      </c>
      <c r="AN66" s="1181" t="s">
        <v>716</v>
      </c>
      <c r="AO66" s="1176">
        <f t="shared" si="120"/>
        <v>0.48130253248067695</v>
      </c>
      <c r="AP66" s="1176">
        <f t="shared" si="119"/>
        <v>0.48668438405843079</v>
      </c>
      <c r="AQ66" s="1176">
        <f t="shared" si="119"/>
        <v>0.49008800444795947</v>
      </c>
      <c r="AR66" s="1176">
        <f t="shared" si="119"/>
        <v>0.49496274728488632</v>
      </c>
      <c r="AS66" s="1176">
        <f t="shared" si="119"/>
        <v>0.49836464582973605</v>
      </c>
      <c r="AT66" s="1176">
        <f t="shared" si="119"/>
        <v>0.49961625933517562</v>
      </c>
      <c r="AU66" s="1176">
        <f t="shared" si="119"/>
        <v>0.49894736940185502</v>
      </c>
      <c r="AV66" s="1176">
        <f t="shared" si="119"/>
        <v>0.4949761625895121</v>
      </c>
      <c r="AW66" s="1176">
        <f t="shared" si="119"/>
        <v>0.48812808251710088</v>
      </c>
      <c r="AX66" s="1176">
        <f t="shared" si="119"/>
        <v>0.47901635600705861</v>
      </c>
      <c r="AY66" s="1176">
        <f t="shared" si="119"/>
        <v>0.46852153144712788</v>
      </c>
      <c r="AZ66" s="1176">
        <f t="shared" si="119"/>
        <v>0.45666068398347087</v>
      </c>
      <c r="BA66" s="1176">
        <f t="shared" si="119"/>
        <v>0.44397279171733928</v>
      </c>
      <c r="BB66" s="1176">
        <f t="shared" si="119"/>
        <v>0.43053698070950991</v>
      </c>
      <c r="BC66" s="1176">
        <f t="shared" si="119"/>
        <v>0.41689297662358649</v>
      </c>
      <c r="BD66" s="1176">
        <f t="shared" si="119"/>
        <v>0.40400806500796133</v>
      </c>
      <c r="BE66" s="1176">
        <f t="shared" si="119"/>
        <v>0.39095082069599685</v>
      </c>
      <c r="BF66" s="1176">
        <f t="shared" si="119"/>
        <v>0.37822508562252394</v>
      </c>
      <c r="BG66" s="1176">
        <f t="shared" si="119"/>
        <v>0.36628903949362895</v>
      </c>
      <c r="BH66" s="1176">
        <f t="shared" si="119"/>
        <v>0.35524973544804589</v>
      </c>
      <c r="BI66" s="1176">
        <f t="shared" si="119"/>
        <v>0.3445382941441939</v>
      </c>
      <c r="BJ66" s="1176">
        <f t="shared" si="119"/>
        <v>0.33444596272950816</v>
      </c>
      <c r="BK66" s="1176">
        <f t="shared" si="119"/>
        <v>0.32493837501830813</v>
      </c>
      <c r="BL66" s="1176">
        <f t="shared" si="119"/>
        <v>0.31578583796460796</v>
      </c>
      <c r="BM66" s="1176">
        <f t="shared" si="119"/>
        <v>0.30670652099612816</v>
      </c>
    </row>
    <row r="67" spans="1:65" s="864" customFormat="1" x14ac:dyDescent="0.25">
      <c r="A67" s="839"/>
      <c r="B67" s="842" t="s">
        <v>46</v>
      </c>
      <c r="C67" s="838"/>
      <c r="D67" s="838"/>
      <c r="E67" s="838"/>
      <c r="F67" s="838"/>
      <c r="G67" s="854"/>
      <c r="H67" s="854">
        <v>0</v>
      </c>
      <c r="I67" s="854">
        <v>0</v>
      </c>
      <c r="J67" s="854">
        <v>0</v>
      </c>
      <c r="K67" s="854">
        <v>0</v>
      </c>
      <c r="L67" s="854">
        <v>0</v>
      </c>
      <c r="M67" s="854">
        <v>0</v>
      </c>
      <c r="N67" s="854">
        <v>0</v>
      </c>
      <c r="O67" s="854">
        <v>0</v>
      </c>
      <c r="P67" s="854">
        <v>0</v>
      </c>
      <c r="Q67" s="854">
        <v>0</v>
      </c>
      <c r="R67" s="854">
        <v>0</v>
      </c>
      <c r="S67" s="854">
        <v>0</v>
      </c>
      <c r="T67" s="854">
        <v>0</v>
      </c>
      <c r="U67" s="854">
        <v>0</v>
      </c>
      <c r="V67" s="854">
        <v>0</v>
      </c>
      <c r="W67" s="854">
        <v>0</v>
      </c>
      <c r="X67" s="854">
        <v>0</v>
      </c>
      <c r="Y67" s="854">
        <v>0</v>
      </c>
      <c r="Z67" s="854">
        <v>0</v>
      </c>
      <c r="AA67" s="854">
        <v>0</v>
      </c>
      <c r="AB67" s="854">
        <v>0</v>
      </c>
      <c r="AC67" s="854">
        <v>0</v>
      </c>
      <c r="AD67" s="854">
        <v>0</v>
      </c>
      <c r="AE67" s="854">
        <v>0</v>
      </c>
      <c r="AF67" s="854">
        <v>0</v>
      </c>
      <c r="AN67" s="1181" t="s">
        <v>42</v>
      </c>
      <c r="AO67" s="1176">
        <f t="shared" si="120"/>
        <v>0.27315358129283229</v>
      </c>
      <c r="AP67" s="1176">
        <f t="shared" si="119"/>
        <v>0.27611848119865628</v>
      </c>
      <c r="AQ67" s="1176">
        <f t="shared" si="119"/>
        <v>0.27633163805966543</v>
      </c>
      <c r="AR67" s="1176">
        <f t="shared" si="119"/>
        <v>0.27593040916298378</v>
      </c>
      <c r="AS67" s="1176">
        <f t="shared" si="119"/>
        <v>0.27345698922469514</v>
      </c>
      <c r="AT67" s="1176">
        <f t="shared" si="119"/>
        <v>0.26893754589829716</v>
      </c>
      <c r="AU67" s="1176">
        <f t="shared" si="119"/>
        <v>0.2632727587923655</v>
      </c>
      <c r="AV67" s="1176">
        <f t="shared" si="119"/>
        <v>0.25575078732141709</v>
      </c>
      <c r="AW67" s="1176">
        <f t="shared" si="119"/>
        <v>0.24764024879173374</v>
      </c>
      <c r="AX67" s="1176">
        <f t="shared" si="119"/>
        <v>0.23878256153969821</v>
      </c>
      <c r="AY67" s="1176">
        <f t="shared" si="119"/>
        <v>0.23038239392247836</v>
      </c>
      <c r="AZ67" s="1176">
        <f t="shared" si="119"/>
        <v>0.22199086092149761</v>
      </c>
      <c r="BA67" s="1176">
        <f t="shared" si="119"/>
        <v>0.21405717996710438</v>
      </c>
      <c r="BB67" s="1176">
        <f t="shared" si="119"/>
        <v>0.20641877499609865</v>
      </c>
      <c r="BC67" s="1176">
        <f t="shared" si="119"/>
        <v>0.19973511907141353</v>
      </c>
      <c r="BD67" s="1176">
        <f t="shared" si="119"/>
        <v>0.19335412451655801</v>
      </c>
      <c r="BE67" s="1176">
        <f t="shared" si="119"/>
        <v>0.18706810833005852</v>
      </c>
      <c r="BF67" s="1176">
        <f t="shared" si="119"/>
        <v>0.1813485466200242</v>
      </c>
      <c r="BG67" s="1176">
        <f t="shared" si="119"/>
        <v>0.17612500566851957</v>
      </c>
      <c r="BH67" s="1176">
        <f t="shared" si="119"/>
        <v>0.17118575990089663</v>
      </c>
      <c r="BI67" s="1176">
        <f t="shared" si="119"/>
        <v>0.1666669017183699</v>
      </c>
      <c r="BJ67" s="1176">
        <f t="shared" si="119"/>
        <v>0.16244175650779158</v>
      </c>
      <c r="BK67" s="1176">
        <f t="shared" si="119"/>
        <v>0.15837387547939813</v>
      </c>
      <c r="BL67" s="1176">
        <f t="shared" si="119"/>
        <v>0.15466148438832331</v>
      </c>
      <c r="BM67" s="1176">
        <f t="shared" si="119"/>
        <v>0.15099114817213541</v>
      </c>
    </row>
    <row r="68" spans="1:65" s="864" customFormat="1" x14ac:dyDescent="0.25">
      <c r="A68" s="839"/>
      <c r="B68" s="839" t="s">
        <v>29</v>
      </c>
      <c r="C68" s="838"/>
      <c r="D68" s="838"/>
      <c r="E68" s="838"/>
      <c r="F68" s="838"/>
      <c r="G68" s="854"/>
      <c r="H68" s="854">
        <v>0.5451268874121189</v>
      </c>
      <c r="I68" s="854">
        <v>0.77851228462781707</v>
      </c>
      <c r="J68" s="854">
        <v>1.0403402245384692</v>
      </c>
      <c r="K68" s="854">
        <v>1.3241907861005617</v>
      </c>
      <c r="L68" s="854">
        <v>1.6183928773849288</v>
      </c>
      <c r="M68" s="854">
        <v>1.902714301590529</v>
      </c>
      <c r="N68" s="854">
        <v>2.181994267238843</v>
      </c>
      <c r="O68" s="854">
        <v>2.432810805783145</v>
      </c>
      <c r="P68" s="854">
        <v>2.6652497661457675</v>
      </c>
      <c r="Q68" s="854">
        <v>2.8581037402279938</v>
      </c>
      <c r="R68" s="854">
        <v>3.0188826573532799</v>
      </c>
      <c r="S68" s="854">
        <v>3.1558783072262866</v>
      </c>
      <c r="T68" s="854">
        <v>3.2537764645236233</v>
      </c>
      <c r="U68" s="854">
        <v>3.3150733358259963</v>
      </c>
      <c r="V68" s="854">
        <v>3.3644799404898764</v>
      </c>
      <c r="W68" s="854">
        <v>3.390377255376575</v>
      </c>
      <c r="X68" s="854">
        <v>3.3968949151699341</v>
      </c>
      <c r="Y68" s="854">
        <v>3.3928303311332377</v>
      </c>
      <c r="Z68" s="854">
        <v>3.3805952179751388</v>
      </c>
      <c r="AA68" s="854">
        <v>3.3700930109232186</v>
      </c>
      <c r="AB68" s="854">
        <v>3.346821905558826</v>
      </c>
      <c r="AC68" s="854">
        <v>3.3199933819329117</v>
      </c>
      <c r="AD68" s="854">
        <v>3.2904951938698588</v>
      </c>
      <c r="AE68" s="854">
        <v>3.2590270583367054</v>
      </c>
      <c r="AF68" s="854">
        <v>3.2263416106214375</v>
      </c>
      <c r="AN68" s="1181" t="s">
        <v>29</v>
      </c>
      <c r="AO68" s="1176">
        <f t="shared" si="120"/>
        <v>1.8719779770341064E-2</v>
      </c>
      <c r="AP68" s="1176">
        <f t="shared" si="119"/>
        <v>2.6998196743602446E-2</v>
      </c>
      <c r="AQ68" s="1176">
        <f t="shared" si="119"/>
        <v>4.1034213943356511E-2</v>
      </c>
      <c r="AR68" s="1176">
        <f t="shared" si="119"/>
        <v>5.5116981385912249E-2</v>
      </c>
      <c r="AS68" s="1176">
        <f t="shared" si="119"/>
        <v>7.0165016496935073E-2</v>
      </c>
      <c r="AT68" s="1176">
        <f t="shared" si="119"/>
        <v>8.9521011649964718E-2</v>
      </c>
      <c r="AU68" s="1176">
        <f t="shared" si="119"/>
        <v>0.11334038522855665</v>
      </c>
      <c r="AV68" s="1176">
        <f t="shared" si="119"/>
        <v>0.14072958061697718</v>
      </c>
      <c r="AW68" s="1176">
        <f t="shared" si="119"/>
        <v>0.16990884475541984</v>
      </c>
      <c r="AX68" s="1176">
        <f t="shared" si="119"/>
        <v>0.20085318346320252</v>
      </c>
      <c r="AY68" s="1176">
        <f t="shared" si="119"/>
        <v>0.23123925197767523</v>
      </c>
      <c r="AZ68" s="1176">
        <f t="shared" si="119"/>
        <v>0.26158136155142986</v>
      </c>
      <c r="BA68" s="1176">
        <f t="shared" si="119"/>
        <v>0.29082704710492913</v>
      </c>
      <c r="BB68" s="1176">
        <f t="shared" si="119"/>
        <v>0.3192250535741229</v>
      </c>
      <c r="BC68" s="1176">
        <f t="shared" si="119"/>
        <v>0.34546258938968338</v>
      </c>
      <c r="BD68" s="1176">
        <f t="shared" si="119"/>
        <v>0.36953065959471054</v>
      </c>
      <c r="BE68" s="1176">
        <f t="shared" si="119"/>
        <v>0.39284211096270627</v>
      </c>
      <c r="BF68" s="1176">
        <f t="shared" si="119"/>
        <v>0.41443974579607512</v>
      </c>
      <c r="BG68" s="1176">
        <f t="shared" si="119"/>
        <v>0.43407052676148733</v>
      </c>
      <c r="BH68" s="1176">
        <f t="shared" si="119"/>
        <v>0.45198448207514025</v>
      </c>
      <c r="BI68" s="1176">
        <f t="shared" si="119"/>
        <v>0.4687237384192981</v>
      </c>
      <c r="BJ68" s="1176">
        <f t="shared" si="119"/>
        <v>0.48428388620953439</v>
      </c>
      <c r="BK68" s="1176">
        <f t="shared" si="119"/>
        <v>0.49889666910292785</v>
      </c>
      <c r="BL68" s="1176">
        <f t="shared" si="119"/>
        <v>0.51262454530323742</v>
      </c>
      <c r="BM68" s="1176">
        <f t="shared" si="119"/>
        <v>0.52618774268599366</v>
      </c>
    </row>
    <row r="69" spans="1:65" s="864" customFormat="1" x14ac:dyDescent="0.25">
      <c r="A69" s="839"/>
      <c r="B69" s="839"/>
      <c r="C69" s="838"/>
      <c r="D69" s="838"/>
      <c r="E69" s="838"/>
      <c r="F69" s="838"/>
      <c r="G69" s="854"/>
      <c r="H69" s="838"/>
      <c r="I69" s="838"/>
      <c r="J69" s="838"/>
      <c r="K69" s="838"/>
      <c r="L69" s="838"/>
      <c r="M69" s="838"/>
      <c r="N69" s="838"/>
      <c r="O69" s="838"/>
      <c r="P69" s="838"/>
      <c r="Q69" s="838"/>
      <c r="R69" s="838"/>
      <c r="S69" s="838"/>
      <c r="T69" s="838"/>
      <c r="U69" s="838"/>
      <c r="V69" s="838"/>
      <c r="W69" s="838"/>
      <c r="X69" s="838"/>
      <c r="Y69" s="838"/>
      <c r="Z69" s="838"/>
      <c r="AA69" s="838"/>
      <c r="AB69" s="838"/>
      <c r="AC69" s="838"/>
      <c r="AD69" s="838"/>
      <c r="AE69" s="838"/>
      <c r="AF69" s="838"/>
    </row>
    <row r="70" spans="1:65" s="856" customFormat="1" ht="12.75" x14ac:dyDescent="0.2">
      <c r="A70" s="843" t="s">
        <v>47</v>
      </c>
      <c r="B70" s="843"/>
      <c r="C70" s="843"/>
      <c r="D70" s="843"/>
      <c r="E70" s="843"/>
      <c r="F70" s="843"/>
      <c r="G70" s="865"/>
      <c r="H70" s="843"/>
      <c r="I70" s="843"/>
      <c r="J70" s="843"/>
      <c r="K70" s="843"/>
      <c r="L70" s="843"/>
      <c r="M70" s="843"/>
      <c r="N70" s="843"/>
      <c r="O70" s="843"/>
      <c r="P70" s="843"/>
      <c r="Q70" s="843"/>
      <c r="R70" s="843"/>
      <c r="S70" s="843"/>
      <c r="T70" s="843"/>
      <c r="U70" s="843"/>
      <c r="V70" s="843"/>
      <c r="W70" s="843"/>
      <c r="X70" s="843"/>
      <c r="Y70" s="843"/>
      <c r="Z70" s="843"/>
      <c r="AA70" s="843"/>
      <c r="AB70" s="843"/>
      <c r="AC70" s="843"/>
      <c r="AD70" s="843"/>
      <c r="AE70" s="843"/>
      <c r="AF70" s="843"/>
    </row>
    <row r="71" spans="1:65" s="864" customFormat="1" x14ac:dyDescent="0.25">
      <c r="A71" s="839"/>
      <c r="B71" s="839" t="s">
        <v>48</v>
      </c>
      <c r="C71" s="838"/>
      <c r="D71" s="838"/>
      <c r="E71" s="838"/>
      <c r="F71" s="838"/>
      <c r="G71" s="854"/>
      <c r="H71" s="854">
        <v>0</v>
      </c>
      <c r="I71" s="854">
        <v>0</v>
      </c>
      <c r="J71" s="854">
        <v>0</v>
      </c>
      <c r="K71" s="854">
        <v>0</v>
      </c>
      <c r="L71" s="854">
        <v>0</v>
      </c>
      <c r="M71" s="854">
        <v>0</v>
      </c>
      <c r="N71" s="854">
        <v>0</v>
      </c>
      <c r="O71" s="854">
        <v>0</v>
      </c>
      <c r="P71" s="854">
        <v>0</v>
      </c>
      <c r="Q71" s="854">
        <v>0</v>
      </c>
      <c r="R71" s="854">
        <v>0</v>
      </c>
      <c r="S71" s="854">
        <v>0</v>
      </c>
      <c r="T71" s="854">
        <v>0</v>
      </c>
      <c r="U71" s="854">
        <v>0</v>
      </c>
      <c r="V71" s="854">
        <v>0</v>
      </c>
      <c r="W71" s="854">
        <v>0</v>
      </c>
      <c r="X71" s="854">
        <v>0</v>
      </c>
      <c r="Y71" s="854">
        <v>0</v>
      </c>
      <c r="Z71" s="854">
        <v>0</v>
      </c>
      <c r="AA71" s="854">
        <v>0</v>
      </c>
      <c r="AB71" s="854">
        <v>0</v>
      </c>
      <c r="AC71" s="854">
        <v>0</v>
      </c>
      <c r="AD71" s="854">
        <v>0</v>
      </c>
      <c r="AE71" s="854">
        <v>0</v>
      </c>
      <c r="AF71" s="854">
        <v>0</v>
      </c>
    </row>
    <row r="72" spans="1:65" s="864" customFormat="1" x14ac:dyDescent="0.25">
      <c r="A72" s="839"/>
      <c r="B72" s="842" t="s">
        <v>50</v>
      </c>
      <c r="C72" s="838"/>
      <c r="D72" s="838"/>
      <c r="E72" s="838"/>
      <c r="F72" s="838"/>
      <c r="G72" s="854"/>
      <c r="H72" s="854">
        <v>2.2439375906705473E-3</v>
      </c>
      <c r="I72" s="854">
        <v>2.0800140036429989E-3</v>
      </c>
      <c r="J72" s="854">
        <v>1.8640272592469237E-3</v>
      </c>
      <c r="K72" s="854">
        <v>1.6023577851004848E-3</v>
      </c>
      <c r="L72" s="854">
        <v>1.3119490508188274E-3</v>
      </c>
      <c r="M72" s="854">
        <v>1.0177231881187223E-3</v>
      </c>
      <c r="N72" s="854">
        <v>7.461206887921472E-4</v>
      </c>
      <c r="O72" s="854">
        <v>5.171214026627154E-4</v>
      </c>
      <c r="P72" s="854">
        <v>3.3973373603442345E-4</v>
      </c>
      <c r="Q72" s="854">
        <v>2.1244705191798922E-4</v>
      </c>
      <c r="R72" s="854">
        <v>1.2708846152256715E-4</v>
      </c>
      <c r="S72" s="854">
        <v>7.3127167257979744E-5</v>
      </c>
      <c r="T72" s="854">
        <v>4.0700140765562916E-5</v>
      </c>
      <c r="U72" s="854">
        <v>2.2030869918780309E-5</v>
      </c>
      <c r="V72" s="854">
        <v>1.1658095491654535E-5</v>
      </c>
      <c r="W72" s="854">
        <v>6.0586486663120139E-6</v>
      </c>
      <c r="X72" s="854">
        <v>3.1014420507168185E-6</v>
      </c>
      <c r="Y72" s="854">
        <v>1.5698489473780515E-6</v>
      </c>
      <c r="Z72" s="854">
        <v>7.8796537407293471E-7</v>
      </c>
      <c r="AA72" s="854">
        <v>3.9472768334098974E-7</v>
      </c>
      <c r="AB72" s="854">
        <v>1.9765252021228187E-7</v>
      </c>
      <c r="AC72" s="854">
        <v>9.9042465030709008E-8</v>
      </c>
      <c r="AD72" s="854">
        <v>4.9706608453565626E-8</v>
      </c>
      <c r="AE72" s="854">
        <v>2.4999548246636566E-8</v>
      </c>
      <c r="AF72" s="854">
        <v>1.2604467491752276E-8</v>
      </c>
    </row>
    <row r="73" spans="1:65" s="864" customFormat="1" x14ac:dyDescent="0.25">
      <c r="A73" s="839"/>
      <c r="B73" s="839" t="s">
        <v>51</v>
      </c>
      <c r="C73" s="838"/>
      <c r="D73" s="838"/>
      <c r="E73" s="838"/>
      <c r="F73" s="838"/>
      <c r="G73" s="854"/>
      <c r="H73" s="854">
        <v>3.1851911275399832E-2</v>
      </c>
      <c r="I73" s="854">
        <v>2.9577199418866648E-2</v>
      </c>
      <c r="J73" s="854">
        <v>2.7018245583202694E-2</v>
      </c>
      <c r="K73" s="854">
        <v>2.4185058597098116E-2</v>
      </c>
      <c r="L73" s="854">
        <v>2.1249651289956706E-2</v>
      </c>
      <c r="M73" s="854">
        <v>1.8335687541268578E-2</v>
      </c>
      <c r="N73" s="854">
        <v>1.5563370401775726E-2</v>
      </c>
      <c r="O73" s="854">
        <v>1.3025581195686314E-2</v>
      </c>
      <c r="P73" s="854">
        <v>1.0776818977304965E-2</v>
      </c>
      <c r="Q73" s="854">
        <v>8.8353866008726439E-3</v>
      </c>
      <c r="R73" s="854">
        <v>7.1934956716443428E-3</v>
      </c>
      <c r="S73" s="854">
        <v>5.8273535958461957E-3</v>
      </c>
      <c r="T73" s="854">
        <v>4.7050815100896396E-3</v>
      </c>
      <c r="U73" s="854">
        <v>3.7919518627703742E-3</v>
      </c>
      <c r="V73" s="854">
        <v>3.0539260949486993E-3</v>
      </c>
      <c r="W73" s="854">
        <v>2.4598247924402694E-3</v>
      </c>
      <c r="X73" s="854">
        <v>1.9825355082416164E-3</v>
      </c>
      <c r="Y73" s="854">
        <v>1.5993013895895108E-3</v>
      </c>
      <c r="Z73" s="854">
        <v>1.2914806185497917E-3</v>
      </c>
      <c r="AA73" s="854">
        <v>1.0461516274749192E-3</v>
      </c>
      <c r="AB73" s="854">
        <v>8.4621328390124058E-4</v>
      </c>
      <c r="AC73" s="854">
        <v>6.8518757126002211E-4</v>
      </c>
      <c r="AD73" s="854">
        <v>5.5535014750153673E-4</v>
      </c>
      <c r="AE73" s="854">
        <v>4.505424203045414E-4</v>
      </c>
      <c r="AF73" s="854">
        <v>3.6584585811415932E-4</v>
      </c>
    </row>
    <row r="74" spans="1:65" s="864" customFormat="1" x14ac:dyDescent="0.25">
      <c r="A74" s="839"/>
      <c r="B74" s="839" t="s">
        <v>52</v>
      </c>
      <c r="C74" s="838"/>
      <c r="D74" s="838"/>
      <c r="E74" s="838"/>
      <c r="F74" s="838"/>
      <c r="G74" s="854"/>
      <c r="H74" s="854">
        <v>6.2653455217759405E-2</v>
      </c>
      <c r="I74" s="854">
        <v>6.0758633872362328E-2</v>
      </c>
      <c r="J74" s="854">
        <v>5.8614309424823111E-2</v>
      </c>
      <c r="K74" s="854">
        <v>5.6219577848038785E-2</v>
      </c>
      <c r="L74" s="854">
        <v>5.3600594336232245E-2</v>
      </c>
      <c r="M74" s="854">
        <v>5.0737561301459358E-2</v>
      </c>
      <c r="N74" s="854">
        <v>4.7801380650300082E-2</v>
      </c>
      <c r="O74" s="854">
        <v>4.4877869267448425E-2</v>
      </c>
      <c r="P74" s="854">
        <v>4.202365571013273E-2</v>
      </c>
      <c r="Q74" s="854">
        <v>3.9280655376043437E-2</v>
      </c>
      <c r="R74" s="854">
        <v>3.6674507601348091E-2</v>
      </c>
      <c r="S74" s="854">
        <v>3.4219044203261675E-2</v>
      </c>
      <c r="T74" s="854">
        <v>3.186734944728252E-2</v>
      </c>
      <c r="U74" s="854">
        <v>2.9746423628507459E-2</v>
      </c>
      <c r="V74" s="854">
        <v>2.7734882449216083E-2</v>
      </c>
      <c r="W74" s="854">
        <v>2.588760310700319E-2</v>
      </c>
      <c r="X74" s="854">
        <v>2.4219602745182922E-2</v>
      </c>
      <c r="Y74" s="854">
        <v>2.2644058088980769E-2</v>
      </c>
      <c r="Z74" s="854">
        <v>2.1193715050114095E-2</v>
      </c>
      <c r="AA74" s="854">
        <v>1.9877053142981004E-2</v>
      </c>
      <c r="AB74" s="854">
        <v>1.8632131794470423E-2</v>
      </c>
      <c r="AC74" s="854">
        <v>1.7513125676581632E-2</v>
      </c>
      <c r="AD74" s="854">
        <v>1.6460559468439395E-2</v>
      </c>
      <c r="AE74" s="854">
        <v>1.5463665906096973E-2</v>
      </c>
      <c r="AF74" s="854">
        <v>1.4538540926237645E-2</v>
      </c>
      <c r="AO74" s="1117"/>
      <c r="AP74" s="1117">
        <v>2011</v>
      </c>
      <c r="AQ74" s="1117">
        <v>2015</v>
      </c>
      <c r="AR74" s="1117">
        <v>2020</v>
      </c>
      <c r="AS74" s="1117">
        <v>2025</v>
      </c>
      <c r="AT74" s="1117">
        <v>2030</v>
      </c>
      <c r="AU74" s="1117">
        <v>2035</v>
      </c>
    </row>
    <row r="75" spans="1:65" s="864" customFormat="1" x14ac:dyDescent="0.25">
      <c r="A75" s="839"/>
      <c r="B75" s="842" t="s">
        <v>29</v>
      </c>
      <c r="C75" s="838"/>
      <c r="D75" s="838"/>
      <c r="E75" s="838"/>
      <c r="F75" s="838"/>
      <c r="G75" s="854"/>
      <c r="H75" s="854">
        <v>3.5535368964886259E-3</v>
      </c>
      <c r="I75" s="854">
        <v>5.7390488427925077E-3</v>
      </c>
      <c r="J75" s="854">
        <v>8.1647355968886507E-3</v>
      </c>
      <c r="K75" s="854">
        <v>1.075078087126642E-2</v>
      </c>
      <c r="L75" s="854">
        <v>1.3375265431390516E-2</v>
      </c>
      <c r="M75" s="854">
        <v>1.5874916332182281E-2</v>
      </c>
      <c r="N75" s="854">
        <v>1.7854812195041113E-2</v>
      </c>
      <c r="O75" s="854">
        <v>1.9698807910838008E-2</v>
      </c>
      <c r="P75" s="854">
        <v>2.1173548455180671E-2</v>
      </c>
      <c r="Q75" s="854">
        <v>2.2102767544706275E-2</v>
      </c>
      <c r="R75" s="854">
        <v>2.2938944847256008E-2</v>
      </c>
      <c r="S75" s="854">
        <v>2.3364181841510366E-2</v>
      </c>
      <c r="T75" s="854">
        <v>2.3726714509463634E-2</v>
      </c>
      <c r="U75" s="854">
        <v>2.3869095283708272E-2</v>
      </c>
      <c r="V75" s="854">
        <v>2.3891700508869185E-2</v>
      </c>
      <c r="W75" s="854">
        <v>2.3970279181477483E-2</v>
      </c>
      <c r="X75" s="854">
        <v>2.3960299429887675E-2</v>
      </c>
      <c r="Y75" s="854">
        <v>2.3899523753112877E-2</v>
      </c>
      <c r="Z75" s="854">
        <v>2.3838269994044002E-2</v>
      </c>
      <c r="AA75" s="854">
        <v>2.3851310220601458E-2</v>
      </c>
      <c r="AB75" s="854">
        <v>2.3781318710054171E-2</v>
      </c>
      <c r="AC75" s="854">
        <v>2.3714445846279415E-2</v>
      </c>
      <c r="AD75" s="854">
        <v>2.3673491797141878E-2</v>
      </c>
      <c r="AE75" s="854">
        <v>2.3607134943961303E-2</v>
      </c>
      <c r="AF75" s="854">
        <v>2.3539134362917082E-2</v>
      </c>
      <c r="AO75" s="465" t="s">
        <v>54</v>
      </c>
      <c r="AP75" s="1174">
        <f>AO43</f>
        <v>2.7029080800808021E-2</v>
      </c>
      <c r="AQ75" s="1174">
        <f>AS43</f>
        <v>0.1583029270891079</v>
      </c>
      <c r="AR75" s="1174">
        <f>AX43</f>
        <v>0.35882275484923976</v>
      </c>
      <c r="AS75" s="1174">
        <f>BC43</f>
        <v>0.61849789342615968</v>
      </c>
      <c r="AT75" s="1174">
        <f>BH43</f>
        <v>0.74564032079737774</v>
      </c>
      <c r="AU75" s="1174">
        <f>BM43</f>
        <v>0.79881335451532476</v>
      </c>
    </row>
    <row r="76" spans="1:65" s="864" customFormat="1" x14ac:dyDescent="0.25">
      <c r="A76" s="839"/>
      <c r="B76" s="842" t="s">
        <v>53</v>
      </c>
      <c r="C76" s="838"/>
      <c r="D76" s="838"/>
      <c r="E76" s="838"/>
      <c r="F76" s="838"/>
      <c r="G76" s="854"/>
      <c r="H76" s="854">
        <v>0</v>
      </c>
      <c r="I76" s="854">
        <v>0</v>
      </c>
      <c r="J76" s="854">
        <v>0</v>
      </c>
      <c r="K76" s="854">
        <v>0</v>
      </c>
      <c r="L76" s="854">
        <v>0</v>
      </c>
      <c r="M76" s="854">
        <v>0</v>
      </c>
      <c r="N76" s="854">
        <v>0</v>
      </c>
      <c r="O76" s="854">
        <v>0</v>
      </c>
      <c r="P76" s="854">
        <v>0</v>
      </c>
      <c r="Q76" s="854">
        <v>0</v>
      </c>
      <c r="R76" s="854">
        <v>0</v>
      </c>
      <c r="S76" s="854">
        <v>0</v>
      </c>
      <c r="T76" s="854">
        <v>0</v>
      </c>
      <c r="U76" s="854">
        <v>0</v>
      </c>
      <c r="V76" s="854">
        <v>0</v>
      </c>
      <c r="W76" s="854">
        <v>0</v>
      </c>
      <c r="X76" s="854">
        <v>0</v>
      </c>
      <c r="Y76" s="854">
        <v>0</v>
      </c>
      <c r="Z76" s="854">
        <v>0</v>
      </c>
      <c r="AA76" s="854">
        <v>0</v>
      </c>
      <c r="AB76" s="854">
        <v>0</v>
      </c>
      <c r="AC76" s="854">
        <v>0</v>
      </c>
      <c r="AD76" s="854">
        <v>0</v>
      </c>
      <c r="AE76" s="854">
        <v>0</v>
      </c>
      <c r="AF76" s="854">
        <v>0</v>
      </c>
      <c r="AO76" s="465" t="s">
        <v>55</v>
      </c>
      <c r="AP76" s="1174">
        <f>AO44</f>
        <v>3.4670514767978573E-3</v>
      </c>
      <c r="AQ76" s="1174">
        <f>AS44</f>
        <v>4.1622202114717899E-2</v>
      </c>
      <c r="AR76" s="1174">
        <f>AX44</f>
        <v>0.17247480935226117</v>
      </c>
      <c r="AS76" s="1174">
        <f>BC44</f>
        <v>0.32068740616983976</v>
      </c>
      <c r="AT76" s="1174">
        <f>BH44</f>
        <v>0.43835704725565855</v>
      </c>
      <c r="AU76" s="1174">
        <f>BM44</f>
        <v>0.52244877933116429</v>
      </c>
    </row>
    <row r="77" spans="1:65" x14ac:dyDescent="0.25">
      <c r="AO77" s="465" t="s">
        <v>56</v>
      </c>
      <c r="AP77" s="1174">
        <f>AO45</f>
        <v>1.3198332031494241E-2</v>
      </c>
      <c r="AQ77" s="1174">
        <f>AS45</f>
        <v>4.3032296162039893E-2</v>
      </c>
      <c r="AR77" s="1174">
        <f>AX45</f>
        <v>0.10123802184754627</v>
      </c>
      <c r="AS77" s="1174">
        <f>BC45</f>
        <v>0.16213445230059575</v>
      </c>
      <c r="AT77" s="1174">
        <f>BH45</f>
        <v>0.2065003521361555</v>
      </c>
      <c r="AU77" s="1174">
        <f>BM45</f>
        <v>0.23696489349010219</v>
      </c>
    </row>
    <row r="78" spans="1:65" x14ac:dyDescent="0.25">
      <c r="B78" s="60" t="s">
        <v>769</v>
      </c>
      <c r="C78" s="858"/>
      <c r="D78" s="858"/>
      <c r="E78" s="858"/>
      <c r="F78" s="858"/>
      <c r="G78" s="858"/>
      <c r="H78" s="1149">
        <f t="shared" ref="H78:AF78" si="121">(H49+H55+H61+H68+H75)/SUM(H46:H76)</f>
        <v>1.3198332031494241E-2</v>
      </c>
      <c r="I78" s="1149">
        <f t="shared" si="121"/>
        <v>1.9146288063901149E-2</v>
      </c>
      <c r="J78" s="1149">
        <f t="shared" si="121"/>
        <v>2.6066422705048477E-2</v>
      </c>
      <c r="K78" s="1149">
        <f t="shared" si="121"/>
        <v>3.4007430040656483E-2</v>
      </c>
      <c r="L78" s="1149">
        <f t="shared" si="121"/>
        <v>4.3032296162039893E-2</v>
      </c>
      <c r="M78" s="1149">
        <f t="shared" si="121"/>
        <v>5.2982942934231086E-2</v>
      </c>
      <c r="N78" s="1149">
        <f t="shared" si="121"/>
        <v>6.4143215899097675E-2</v>
      </c>
      <c r="O78" s="1149">
        <f t="shared" si="121"/>
        <v>7.5904947026709385E-2</v>
      </c>
      <c r="P78" s="1149">
        <f t="shared" si="121"/>
        <v>8.8457044691249084E-2</v>
      </c>
      <c r="Q78" s="1149">
        <f t="shared" si="121"/>
        <v>0.10123802184754627</v>
      </c>
      <c r="R78" s="1149">
        <f t="shared" si="121"/>
        <v>0.11413377339179115</v>
      </c>
      <c r="S78" s="1149">
        <f t="shared" si="121"/>
        <v>0.12706633110110216</v>
      </c>
      <c r="T78" s="1149">
        <f t="shared" si="121"/>
        <v>0.1394166590714907</v>
      </c>
      <c r="U78" s="1149">
        <f t="shared" si="121"/>
        <v>0.15105896321891898</v>
      </c>
      <c r="V78" s="1149">
        <f t="shared" si="121"/>
        <v>0.16213445230059575</v>
      </c>
      <c r="W78" s="1149">
        <f t="shared" si="121"/>
        <v>0.1723951003849773</v>
      </c>
      <c r="X78" s="1149">
        <f t="shared" si="121"/>
        <v>0.18194506316420903</v>
      </c>
      <c r="Y78" s="1149">
        <f t="shared" si="121"/>
        <v>0.19066754170441513</v>
      </c>
      <c r="Z78" s="1149">
        <f t="shared" si="121"/>
        <v>0.1986915670216213</v>
      </c>
      <c r="AA78" s="1149">
        <f t="shared" si="121"/>
        <v>0.2065003521361555</v>
      </c>
      <c r="AB78" s="1149">
        <f t="shared" si="121"/>
        <v>0.21338539842309304</v>
      </c>
      <c r="AC78" s="1149">
        <f t="shared" si="121"/>
        <v>0.21976013275208603</v>
      </c>
      <c r="AD78" s="1149">
        <f t="shared" si="121"/>
        <v>0.22590709329517561</v>
      </c>
      <c r="AE78" s="1149">
        <f t="shared" si="121"/>
        <v>0.23149129012327979</v>
      </c>
      <c r="AF78" s="1149">
        <f t="shared" si="121"/>
        <v>0.23696489349010219</v>
      </c>
      <c r="AO78" s="465" t="s">
        <v>770</v>
      </c>
      <c r="AP78" s="1174">
        <f>AO46</f>
        <v>7.2132159028112416E-2</v>
      </c>
      <c r="AQ78" s="1174">
        <f>AS46</f>
        <v>0.12731767145508158</v>
      </c>
      <c r="AR78" s="1174">
        <f>AX46</f>
        <v>0.27203625194928011</v>
      </c>
      <c r="AS78" s="1174">
        <f>BC46</f>
        <v>0.3938775969812931</v>
      </c>
      <c r="AT78" s="1174">
        <f>BH46</f>
        <v>0.48057308499106244</v>
      </c>
      <c r="AU78" s="1174">
        <f>BM46</f>
        <v>0.54011980715503294</v>
      </c>
    </row>
    <row r="79" spans="1:65" x14ac:dyDescent="0.25">
      <c r="A79" s="860" t="s">
        <v>57</v>
      </c>
      <c r="B79" s="861"/>
      <c r="C79" s="860"/>
      <c r="D79" s="859"/>
      <c r="E79" s="859"/>
      <c r="F79" s="859"/>
      <c r="G79" s="859"/>
      <c r="H79" s="862"/>
      <c r="I79" s="862"/>
      <c r="J79" s="862"/>
      <c r="K79" s="862"/>
      <c r="L79" s="862"/>
      <c r="M79" s="862"/>
      <c r="N79" s="862"/>
      <c r="O79" s="862"/>
      <c r="P79" s="862"/>
      <c r="Q79" s="862"/>
      <c r="R79" s="862"/>
      <c r="S79" s="862"/>
      <c r="T79" s="862"/>
      <c r="U79" s="862"/>
      <c r="V79" s="862"/>
      <c r="W79" s="862"/>
      <c r="X79" s="862"/>
      <c r="Y79" s="862"/>
      <c r="Z79" s="862"/>
      <c r="AA79" s="862"/>
      <c r="AB79" s="862"/>
      <c r="AC79" s="862"/>
      <c r="AD79" s="862"/>
      <c r="AE79" s="862"/>
      <c r="AF79" s="862"/>
      <c r="AO79" s="1062" t="s">
        <v>620</v>
      </c>
      <c r="AP79" s="1175">
        <f>AO47</f>
        <v>1.8719779770341068E-2</v>
      </c>
      <c r="AQ79" s="1175">
        <f>AS47</f>
        <v>7.0165016496935059E-2</v>
      </c>
      <c r="AR79" s="1175">
        <f>AX47</f>
        <v>0.20085318346320258</v>
      </c>
      <c r="AS79" s="1175">
        <f>BC47</f>
        <v>0.34546258938968349</v>
      </c>
      <c r="AT79" s="1175">
        <f>BH47</f>
        <v>0.45198448207514041</v>
      </c>
      <c r="AU79" s="1175">
        <f>BM47</f>
        <v>0.52618774268599378</v>
      </c>
    </row>
    <row r="80" spans="1:65" x14ac:dyDescent="0.25">
      <c r="A80" s="840" t="s">
        <v>12</v>
      </c>
      <c r="B80" s="839"/>
      <c r="AO80" s="1062"/>
      <c r="AP80" s="1176"/>
      <c r="AQ80" s="1176"/>
      <c r="AR80" s="1176"/>
      <c r="AS80" s="1176"/>
      <c r="AT80" s="1176"/>
      <c r="AU80" s="1176"/>
    </row>
    <row r="81" spans="1:47" x14ac:dyDescent="0.25">
      <c r="A81" s="839"/>
      <c r="B81" s="839" t="s">
        <v>20</v>
      </c>
      <c r="AO81" s="864"/>
      <c r="AP81" s="1176"/>
      <c r="AQ81" s="1176"/>
      <c r="AR81" s="1176"/>
      <c r="AS81" s="1176"/>
      <c r="AT81" s="1176"/>
      <c r="AU81" s="1176"/>
    </row>
    <row r="82" spans="1:47" s="856" customFormat="1" x14ac:dyDescent="0.25">
      <c r="A82" s="843" t="s">
        <v>21</v>
      </c>
      <c r="B82" s="843"/>
      <c r="C82" s="843"/>
      <c r="D82" s="843"/>
      <c r="E82" s="843"/>
      <c r="F82" s="843"/>
      <c r="G82" s="843"/>
      <c r="H82" s="843"/>
      <c r="I82" s="843"/>
      <c r="J82" s="843"/>
      <c r="K82" s="843"/>
      <c r="L82" s="843"/>
      <c r="M82" s="843"/>
      <c r="N82" s="843"/>
      <c r="O82" s="843"/>
      <c r="P82" s="843"/>
      <c r="Q82" s="843"/>
      <c r="R82" s="843"/>
      <c r="S82" s="843"/>
      <c r="T82" s="843"/>
      <c r="U82" s="843"/>
      <c r="V82" s="843"/>
      <c r="W82" s="843"/>
      <c r="X82" s="843"/>
      <c r="Y82" s="843"/>
      <c r="Z82" s="843"/>
      <c r="AA82" s="843"/>
      <c r="AB82" s="843"/>
      <c r="AC82" s="843"/>
      <c r="AD82" s="843"/>
      <c r="AE82" s="843"/>
      <c r="AF82" s="843"/>
      <c r="AO82" s="1117" t="s">
        <v>760</v>
      </c>
      <c r="AP82" s="1177">
        <f t="shared" ref="AP82:AP87" si="122">AO50</f>
        <v>2.7020257738644515E-3</v>
      </c>
      <c r="AQ82" s="1177">
        <f t="shared" ref="AQ82:AQ87" si="123">AS50</f>
        <v>4.0381939345720957E-2</v>
      </c>
      <c r="AR82" s="1177">
        <f t="shared" ref="AR82:AR87" si="124">AX50</f>
        <v>0.28102250097444376</v>
      </c>
      <c r="AS82" s="1177">
        <f t="shared" ref="AS82:AS87" si="125">BC50</f>
        <v>0.5814466128940573</v>
      </c>
      <c r="AT82" s="1177">
        <f t="shared" ref="AT82:AT87" si="126">BH50</f>
        <v>0.73321592621398157</v>
      </c>
      <c r="AU82" s="1177">
        <f t="shared" ref="AU82:AU87" si="127">BM50</f>
        <v>0.7923528162821899</v>
      </c>
    </row>
    <row r="83" spans="1:47" s="864" customFormat="1" x14ac:dyDescent="0.25">
      <c r="A83" s="839"/>
      <c r="B83" s="839" t="s">
        <v>22</v>
      </c>
      <c r="C83" s="838"/>
      <c r="D83" s="838"/>
      <c r="E83" s="838"/>
      <c r="F83" s="838"/>
      <c r="G83" s="854"/>
      <c r="H83" s="854">
        <v>0</v>
      </c>
      <c r="I83" s="854">
        <v>0</v>
      </c>
      <c r="J83" s="854">
        <v>0</v>
      </c>
      <c r="K83" s="854">
        <v>0</v>
      </c>
      <c r="L83" s="854">
        <v>0</v>
      </c>
      <c r="M83" s="854">
        <v>0</v>
      </c>
      <c r="N83" s="854">
        <v>0</v>
      </c>
      <c r="O83" s="854">
        <v>0</v>
      </c>
      <c r="P83" s="854">
        <v>0</v>
      </c>
      <c r="Q83" s="854">
        <v>0</v>
      </c>
      <c r="R83" s="854">
        <v>0</v>
      </c>
      <c r="S83" s="854">
        <v>0</v>
      </c>
      <c r="T83" s="854">
        <v>0</v>
      </c>
      <c r="U83" s="854">
        <v>0</v>
      </c>
      <c r="V83" s="854">
        <v>0</v>
      </c>
      <c r="W83" s="854">
        <v>0</v>
      </c>
      <c r="X83" s="854">
        <v>0</v>
      </c>
      <c r="Y83" s="854">
        <v>0</v>
      </c>
      <c r="Z83" s="854">
        <v>0</v>
      </c>
      <c r="AA83" s="854">
        <v>0</v>
      </c>
      <c r="AB83" s="854">
        <v>0</v>
      </c>
      <c r="AC83" s="854">
        <v>0</v>
      </c>
      <c r="AD83" s="854">
        <v>0</v>
      </c>
      <c r="AE83" s="854">
        <v>0</v>
      </c>
      <c r="AF83" s="854">
        <v>0</v>
      </c>
      <c r="AO83" s="465" t="s">
        <v>761</v>
      </c>
      <c r="AP83" s="1174">
        <f t="shared" si="122"/>
        <v>5.4104823704839034E-3</v>
      </c>
      <c r="AQ83" s="1174">
        <f t="shared" si="123"/>
        <v>0.13924816211146313</v>
      </c>
      <c r="AR83" s="1174">
        <f t="shared" si="124"/>
        <v>0.46957014074228864</v>
      </c>
      <c r="AS83" s="1174">
        <f t="shared" si="125"/>
        <v>0.72559462331681412</v>
      </c>
      <c r="AT83" s="1174">
        <f t="shared" si="126"/>
        <v>0.83000095425994724</v>
      </c>
      <c r="AU83" s="1174">
        <f t="shared" si="127"/>
        <v>0.86842826360265712</v>
      </c>
    </row>
    <row r="84" spans="1:47" s="864" customFormat="1" x14ac:dyDescent="0.25">
      <c r="A84" s="839"/>
      <c r="B84" s="839" t="s">
        <v>26</v>
      </c>
      <c r="C84" s="838"/>
      <c r="D84" s="838"/>
      <c r="E84" s="838"/>
      <c r="F84" s="838"/>
      <c r="G84" s="854"/>
      <c r="H84" s="854">
        <v>0</v>
      </c>
      <c r="I84" s="854">
        <v>0</v>
      </c>
      <c r="J84" s="854">
        <v>0</v>
      </c>
      <c r="K84" s="854">
        <v>0</v>
      </c>
      <c r="L84" s="854">
        <v>0</v>
      </c>
      <c r="M84" s="854">
        <v>0</v>
      </c>
      <c r="N84" s="854">
        <v>0</v>
      </c>
      <c r="O84" s="854">
        <v>0</v>
      </c>
      <c r="P84" s="854">
        <v>0</v>
      </c>
      <c r="Q84" s="854">
        <v>0</v>
      </c>
      <c r="R84" s="854">
        <v>0</v>
      </c>
      <c r="S84" s="854">
        <v>0</v>
      </c>
      <c r="T84" s="854">
        <v>0</v>
      </c>
      <c r="U84" s="854">
        <v>0</v>
      </c>
      <c r="V84" s="854">
        <v>0</v>
      </c>
      <c r="W84" s="854">
        <v>0</v>
      </c>
      <c r="X84" s="854">
        <v>0</v>
      </c>
      <c r="Y84" s="854">
        <v>0</v>
      </c>
      <c r="Z84" s="854">
        <v>0</v>
      </c>
      <c r="AA84" s="854">
        <v>0</v>
      </c>
      <c r="AB84" s="854">
        <v>0</v>
      </c>
      <c r="AC84" s="854">
        <v>0</v>
      </c>
      <c r="AD84" s="854">
        <v>0</v>
      </c>
      <c r="AE84" s="854">
        <v>0</v>
      </c>
      <c r="AF84" s="854">
        <v>0</v>
      </c>
      <c r="AO84" s="465" t="s">
        <v>716</v>
      </c>
      <c r="AP84" s="1174">
        <f t="shared" si="122"/>
        <v>1.8486337321071007E-5</v>
      </c>
      <c r="AQ84" s="1174">
        <f t="shared" si="123"/>
        <v>1.4362607299740947E-2</v>
      </c>
      <c r="AR84" s="1174">
        <f t="shared" si="124"/>
        <v>0.11710077729363461</v>
      </c>
      <c r="AS84" s="1174">
        <f t="shared" si="125"/>
        <v>0.26004736205817131</v>
      </c>
      <c r="AT84" s="1174">
        <f t="shared" si="126"/>
        <v>0.37709082278637723</v>
      </c>
      <c r="AU84" s="1174">
        <f t="shared" si="127"/>
        <v>0.46173953624526476</v>
      </c>
    </row>
    <row r="85" spans="1:47" s="864" customFormat="1" x14ac:dyDescent="0.25">
      <c r="A85" s="839"/>
      <c r="B85" s="839" t="s">
        <v>27</v>
      </c>
      <c r="C85" s="838"/>
      <c r="D85" s="838"/>
      <c r="E85" s="838"/>
      <c r="F85" s="838"/>
      <c r="G85" s="854"/>
      <c r="H85" s="854">
        <v>0</v>
      </c>
      <c r="I85" s="854">
        <v>0</v>
      </c>
      <c r="J85" s="854">
        <v>0</v>
      </c>
      <c r="K85" s="854">
        <v>0</v>
      </c>
      <c r="L85" s="854">
        <v>0</v>
      </c>
      <c r="M85" s="854">
        <v>0</v>
      </c>
      <c r="N85" s="854">
        <v>0</v>
      </c>
      <c r="O85" s="854">
        <v>0</v>
      </c>
      <c r="P85" s="854">
        <v>0</v>
      </c>
      <c r="Q85" s="854">
        <v>0</v>
      </c>
      <c r="R85" s="854">
        <v>0</v>
      </c>
      <c r="S85" s="854">
        <v>0</v>
      </c>
      <c r="T85" s="854">
        <v>0</v>
      </c>
      <c r="U85" s="854">
        <v>0</v>
      </c>
      <c r="V85" s="854">
        <v>0</v>
      </c>
      <c r="W85" s="854">
        <v>0</v>
      </c>
      <c r="X85" s="854">
        <v>0</v>
      </c>
      <c r="Y85" s="854">
        <v>0</v>
      </c>
      <c r="Z85" s="854">
        <v>0</v>
      </c>
      <c r="AA85" s="854">
        <v>0</v>
      </c>
      <c r="AB85" s="854">
        <v>0</v>
      </c>
      <c r="AC85" s="854">
        <v>0</v>
      </c>
      <c r="AD85" s="854">
        <v>0</v>
      </c>
      <c r="AE85" s="854">
        <v>0</v>
      </c>
      <c r="AF85" s="854">
        <v>0</v>
      </c>
      <c r="AO85" s="465" t="s">
        <v>42</v>
      </c>
      <c r="AP85" s="1174">
        <f t="shared" si="122"/>
        <v>1.1577285970435239E-2</v>
      </c>
      <c r="AQ85" s="1174">
        <f t="shared" si="123"/>
        <v>8.5001690193159049E-2</v>
      </c>
      <c r="AR85" s="1174">
        <f t="shared" si="124"/>
        <v>0.23006226976727975</v>
      </c>
      <c r="AS85" s="1174">
        <f t="shared" si="125"/>
        <v>0.35468797186353052</v>
      </c>
      <c r="AT85" s="1174">
        <f t="shared" si="126"/>
        <v>0.4441963110897213</v>
      </c>
      <c r="AU85" s="1174">
        <f t="shared" si="127"/>
        <v>0.50719784040732108</v>
      </c>
    </row>
    <row r="86" spans="1:47" s="864" customFormat="1" x14ac:dyDescent="0.25">
      <c r="A86" s="839"/>
      <c r="B86" s="839" t="s">
        <v>29</v>
      </c>
      <c r="C86" s="838"/>
      <c r="D86" s="838"/>
      <c r="E86" s="838"/>
      <c r="F86" s="838"/>
      <c r="G86" s="854"/>
      <c r="H86" s="854">
        <v>0</v>
      </c>
      <c r="I86" s="854">
        <v>0</v>
      </c>
      <c r="J86" s="854">
        <v>0</v>
      </c>
      <c r="K86" s="854">
        <v>0</v>
      </c>
      <c r="L86" s="854">
        <v>0</v>
      </c>
      <c r="M86" s="854">
        <v>0</v>
      </c>
      <c r="N86" s="854">
        <v>0</v>
      </c>
      <c r="O86" s="854">
        <v>0</v>
      </c>
      <c r="P86" s="854">
        <v>0</v>
      </c>
      <c r="Q86" s="854">
        <v>0</v>
      </c>
      <c r="R86" s="854">
        <v>0</v>
      </c>
      <c r="S86" s="854">
        <v>0</v>
      </c>
      <c r="T86" s="854">
        <v>0</v>
      </c>
      <c r="U86" s="854">
        <v>0</v>
      </c>
      <c r="V86" s="854">
        <v>0</v>
      </c>
      <c r="W86" s="854">
        <v>0</v>
      </c>
      <c r="X86" s="854">
        <v>0</v>
      </c>
      <c r="Y86" s="854">
        <v>0</v>
      </c>
      <c r="Z86" s="854">
        <v>0</v>
      </c>
      <c r="AA86" s="854">
        <v>0</v>
      </c>
      <c r="AB86" s="854">
        <v>0</v>
      </c>
      <c r="AC86" s="854">
        <v>0</v>
      </c>
      <c r="AD86" s="854">
        <v>0</v>
      </c>
      <c r="AE86" s="854">
        <v>0</v>
      </c>
      <c r="AF86" s="854">
        <v>0</v>
      </c>
      <c r="AO86" s="465" t="s">
        <v>762</v>
      </c>
      <c r="AP86" s="1174">
        <f t="shared" si="122"/>
        <v>0.1488837238206204</v>
      </c>
      <c r="AQ86" s="1174">
        <f t="shared" si="123"/>
        <v>0.39282075404994937</v>
      </c>
      <c r="AR86" s="1174">
        <f t="shared" si="124"/>
        <v>0.59152356571741815</v>
      </c>
      <c r="AS86" s="1174">
        <f t="shared" si="125"/>
        <v>0.73726704499657458</v>
      </c>
      <c r="AT86" s="1174">
        <f t="shared" si="126"/>
        <v>0.81973588000579067</v>
      </c>
      <c r="AU86" s="1174">
        <f t="shared" si="127"/>
        <v>0.87112392878776512</v>
      </c>
    </row>
    <row r="87" spans="1:47" s="864" customFormat="1" x14ac:dyDescent="0.25">
      <c r="A87" s="839"/>
      <c r="B87" s="839"/>
      <c r="C87" s="838"/>
      <c r="D87" s="838"/>
      <c r="E87" s="838"/>
      <c r="F87" s="838"/>
      <c r="G87" s="854"/>
      <c r="H87" s="838"/>
      <c r="I87" s="838"/>
      <c r="J87" s="838"/>
      <c r="K87" s="838"/>
      <c r="L87" s="838"/>
      <c r="M87" s="838"/>
      <c r="N87" s="838"/>
      <c r="O87" s="838"/>
      <c r="P87" s="838"/>
      <c r="Q87" s="838"/>
      <c r="R87" s="838"/>
      <c r="S87" s="838"/>
      <c r="T87" s="838"/>
      <c r="U87" s="838"/>
      <c r="V87" s="838"/>
      <c r="W87" s="838"/>
      <c r="X87" s="838"/>
      <c r="Y87" s="838"/>
      <c r="Z87" s="838"/>
      <c r="AA87" s="838"/>
      <c r="AB87" s="838"/>
      <c r="AC87" s="838"/>
      <c r="AD87" s="838"/>
      <c r="AE87" s="838"/>
      <c r="AF87" s="838"/>
      <c r="AO87" s="1062" t="s">
        <v>242</v>
      </c>
      <c r="AP87" s="1175">
        <f t="shared" si="122"/>
        <v>1.8719779770341068E-2</v>
      </c>
      <c r="AQ87" s="1175">
        <f t="shared" si="123"/>
        <v>7.0165016496935059E-2</v>
      </c>
      <c r="AR87" s="1175">
        <f t="shared" si="124"/>
        <v>0.20085318346320258</v>
      </c>
      <c r="AS87" s="1175">
        <f t="shared" si="125"/>
        <v>0.34546258938968349</v>
      </c>
      <c r="AT87" s="1175">
        <f t="shared" si="126"/>
        <v>0.45198448207514041</v>
      </c>
      <c r="AU87" s="1175">
        <f t="shared" si="127"/>
        <v>0.52618774268599378</v>
      </c>
    </row>
    <row r="88" spans="1:47" s="856" customFormat="1" ht="12.75" x14ac:dyDescent="0.2">
      <c r="A88" s="843" t="s">
        <v>32</v>
      </c>
      <c r="B88" s="843"/>
      <c r="C88" s="843"/>
      <c r="D88" s="843"/>
      <c r="E88" s="843"/>
      <c r="F88" s="843"/>
      <c r="G88" s="865"/>
      <c r="H88" s="843"/>
      <c r="I88" s="843"/>
      <c r="J88" s="843"/>
      <c r="K88" s="843"/>
      <c r="L88" s="843"/>
      <c r="M88" s="843"/>
      <c r="N88" s="843"/>
      <c r="O88" s="843"/>
      <c r="P88" s="843"/>
      <c r="Q88" s="843"/>
      <c r="R88" s="843"/>
      <c r="S88" s="843"/>
      <c r="T88" s="843"/>
      <c r="U88" s="843"/>
      <c r="V88" s="843"/>
      <c r="W88" s="843"/>
      <c r="X88" s="843"/>
      <c r="Y88" s="843"/>
      <c r="Z88" s="843"/>
      <c r="AA88" s="843"/>
      <c r="AB88" s="843"/>
      <c r="AC88" s="843"/>
      <c r="AD88" s="843"/>
      <c r="AE88" s="843"/>
      <c r="AF88" s="843"/>
    </row>
    <row r="89" spans="1:47" s="864" customFormat="1" x14ac:dyDescent="0.25">
      <c r="A89" s="839"/>
      <c r="B89" s="839" t="s">
        <v>33</v>
      </c>
      <c r="C89" s="838"/>
      <c r="D89" s="838"/>
      <c r="E89" s="838"/>
      <c r="F89" s="838"/>
      <c r="G89" s="854"/>
      <c r="H89" s="854">
        <v>0</v>
      </c>
      <c r="I89" s="854">
        <v>0</v>
      </c>
      <c r="J89" s="854">
        <v>0</v>
      </c>
      <c r="K89" s="854">
        <v>0</v>
      </c>
      <c r="L89" s="854">
        <v>0</v>
      </c>
      <c r="M89" s="854">
        <v>0</v>
      </c>
      <c r="N89" s="854">
        <v>0</v>
      </c>
      <c r="O89" s="854">
        <v>0</v>
      </c>
      <c r="P89" s="854">
        <v>0</v>
      </c>
      <c r="Q89" s="854">
        <v>0</v>
      </c>
      <c r="R89" s="854">
        <v>0</v>
      </c>
      <c r="S89" s="854">
        <v>0</v>
      </c>
      <c r="T89" s="854">
        <v>0</v>
      </c>
      <c r="U89" s="854">
        <v>0</v>
      </c>
      <c r="V89" s="854">
        <v>0</v>
      </c>
      <c r="W89" s="854">
        <v>0</v>
      </c>
      <c r="X89" s="854">
        <v>0</v>
      </c>
      <c r="Y89" s="854">
        <v>0</v>
      </c>
      <c r="Z89" s="854">
        <v>0</v>
      </c>
      <c r="AA89" s="854">
        <v>0</v>
      </c>
      <c r="AB89" s="854">
        <v>0</v>
      </c>
      <c r="AC89" s="854">
        <v>0</v>
      </c>
      <c r="AD89" s="854">
        <v>0</v>
      </c>
      <c r="AE89" s="854">
        <v>0</v>
      </c>
      <c r="AF89" s="854">
        <v>0</v>
      </c>
    </row>
    <row r="90" spans="1:47" s="864" customFormat="1" x14ac:dyDescent="0.25">
      <c r="A90" s="842"/>
      <c r="B90" s="842" t="s">
        <v>34</v>
      </c>
      <c r="C90" s="838"/>
      <c r="D90" s="838"/>
      <c r="E90" s="838"/>
      <c r="F90" s="838"/>
      <c r="G90" s="854"/>
      <c r="H90" s="854">
        <v>0</v>
      </c>
      <c r="I90" s="854">
        <v>0</v>
      </c>
      <c r="J90" s="854">
        <v>0</v>
      </c>
      <c r="K90" s="854">
        <v>0</v>
      </c>
      <c r="L90" s="854">
        <v>0</v>
      </c>
      <c r="M90" s="854">
        <v>0</v>
      </c>
      <c r="N90" s="854">
        <v>0</v>
      </c>
      <c r="O90" s="854">
        <v>0</v>
      </c>
      <c r="P90" s="854">
        <v>0</v>
      </c>
      <c r="Q90" s="854">
        <v>0</v>
      </c>
      <c r="R90" s="854">
        <v>0</v>
      </c>
      <c r="S90" s="854">
        <v>0</v>
      </c>
      <c r="T90" s="854">
        <v>0</v>
      </c>
      <c r="U90" s="854">
        <v>0</v>
      </c>
      <c r="V90" s="854">
        <v>0</v>
      </c>
      <c r="W90" s="854">
        <v>0</v>
      </c>
      <c r="X90" s="854">
        <v>0</v>
      </c>
      <c r="Y90" s="854">
        <v>0</v>
      </c>
      <c r="Z90" s="854">
        <v>0</v>
      </c>
      <c r="AA90" s="854">
        <v>0</v>
      </c>
      <c r="AB90" s="854">
        <v>0</v>
      </c>
      <c r="AC90" s="854">
        <v>0</v>
      </c>
      <c r="AD90" s="854">
        <v>0</v>
      </c>
      <c r="AE90" s="854">
        <v>0</v>
      </c>
      <c r="AF90" s="854">
        <v>0</v>
      </c>
    </row>
    <row r="91" spans="1:47" s="864" customFormat="1" x14ac:dyDescent="0.25">
      <c r="A91" s="839"/>
      <c r="B91" s="842" t="s">
        <v>35</v>
      </c>
      <c r="C91" s="838"/>
      <c r="D91" s="838"/>
      <c r="E91" s="838"/>
      <c r="F91" s="838"/>
      <c r="G91" s="854"/>
      <c r="H91" s="854">
        <v>0</v>
      </c>
      <c r="I91" s="854">
        <v>0</v>
      </c>
      <c r="J91" s="854">
        <v>0</v>
      </c>
      <c r="K91" s="854">
        <v>0</v>
      </c>
      <c r="L91" s="854">
        <v>0</v>
      </c>
      <c r="M91" s="854">
        <v>0</v>
      </c>
      <c r="N91" s="854">
        <v>0</v>
      </c>
      <c r="O91" s="854">
        <v>0</v>
      </c>
      <c r="P91" s="854">
        <v>0</v>
      </c>
      <c r="Q91" s="854">
        <v>0</v>
      </c>
      <c r="R91" s="854">
        <v>0</v>
      </c>
      <c r="S91" s="854">
        <v>0</v>
      </c>
      <c r="T91" s="854">
        <v>0</v>
      </c>
      <c r="U91" s="854">
        <v>0</v>
      </c>
      <c r="V91" s="854">
        <v>0</v>
      </c>
      <c r="W91" s="854">
        <v>0</v>
      </c>
      <c r="X91" s="854">
        <v>0</v>
      </c>
      <c r="Y91" s="854">
        <v>0</v>
      </c>
      <c r="Z91" s="854">
        <v>0</v>
      </c>
      <c r="AA91" s="854">
        <v>0</v>
      </c>
      <c r="AB91" s="854">
        <v>0</v>
      </c>
      <c r="AC91" s="854">
        <v>0</v>
      </c>
      <c r="AD91" s="854">
        <v>0</v>
      </c>
      <c r="AE91" s="854">
        <v>0</v>
      </c>
      <c r="AF91" s="854">
        <v>0</v>
      </c>
    </row>
    <row r="92" spans="1:47" s="864" customFormat="1" x14ac:dyDescent="0.25">
      <c r="A92" s="839"/>
      <c r="B92" s="842" t="s">
        <v>29</v>
      </c>
      <c r="C92" s="838"/>
      <c r="D92" s="838"/>
      <c r="E92" s="838"/>
      <c r="F92" s="838"/>
      <c r="G92" s="854"/>
      <c r="H92" s="854">
        <v>0</v>
      </c>
      <c r="I92" s="854">
        <v>0</v>
      </c>
      <c r="J92" s="854">
        <v>0</v>
      </c>
      <c r="K92" s="854">
        <v>0</v>
      </c>
      <c r="L92" s="854">
        <v>0</v>
      </c>
      <c r="M92" s="854">
        <v>0</v>
      </c>
      <c r="N92" s="854">
        <v>0</v>
      </c>
      <c r="O92" s="854">
        <v>0</v>
      </c>
      <c r="P92" s="854">
        <v>0</v>
      </c>
      <c r="Q92" s="854">
        <v>0</v>
      </c>
      <c r="R92" s="854">
        <v>0</v>
      </c>
      <c r="S92" s="854">
        <v>0</v>
      </c>
      <c r="T92" s="854">
        <v>0</v>
      </c>
      <c r="U92" s="854">
        <v>0</v>
      </c>
      <c r="V92" s="854">
        <v>0</v>
      </c>
      <c r="W92" s="854">
        <v>0</v>
      </c>
      <c r="X92" s="854">
        <v>0</v>
      </c>
      <c r="Y92" s="854">
        <v>0</v>
      </c>
      <c r="Z92" s="854">
        <v>0</v>
      </c>
      <c r="AA92" s="854">
        <v>0</v>
      </c>
      <c r="AB92" s="854">
        <v>0</v>
      </c>
      <c r="AC92" s="854">
        <v>0</v>
      </c>
      <c r="AD92" s="854">
        <v>0</v>
      </c>
      <c r="AE92" s="854">
        <v>0</v>
      </c>
      <c r="AF92" s="854">
        <v>0</v>
      </c>
    </row>
    <row r="93" spans="1:47" s="864" customFormat="1" x14ac:dyDescent="0.25">
      <c r="A93" s="839"/>
      <c r="B93" s="839"/>
      <c r="C93" s="838"/>
      <c r="D93" s="838"/>
      <c r="E93" s="838"/>
      <c r="F93" s="838"/>
      <c r="G93" s="854"/>
      <c r="H93" s="838"/>
      <c r="I93" s="838"/>
      <c r="J93" s="838"/>
      <c r="K93" s="838"/>
      <c r="L93" s="838"/>
      <c r="M93" s="838"/>
      <c r="N93" s="838"/>
      <c r="O93" s="838"/>
      <c r="P93" s="838"/>
      <c r="Q93" s="838"/>
      <c r="R93" s="838"/>
      <c r="S93" s="838"/>
      <c r="T93" s="838"/>
      <c r="U93" s="838"/>
      <c r="V93" s="838"/>
      <c r="W93" s="838"/>
      <c r="X93" s="838"/>
      <c r="Y93" s="838"/>
      <c r="Z93" s="838"/>
      <c r="AA93" s="838"/>
      <c r="AB93" s="838"/>
      <c r="AC93" s="838"/>
      <c r="AD93" s="838"/>
      <c r="AE93" s="838"/>
      <c r="AF93" s="838"/>
    </row>
    <row r="94" spans="1:47" s="856" customFormat="1" ht="12.75" x14ac:dyDescent="0.2">
      <c r="A94" s="843" t="s">
        <v>36</v>
      </c>
      <c r="B94" s="843"/>
      <c r="C94" s="843"/>
      <c r="D94" s="843"/>
      <c r="E94" s="843"/>
      <c r="F94" s="843"/>
      <c r="G94" s="865"/>
      <c r="H94" s="843"/>
      <c r="I94" s="843"/>
      <c r="J94" s="843"/>
      <c r="K94" s="843"/>
      <c r="L94" s="843"/>
      <c r="M94" s="843"/>
      <c r="N94" s="843"/>
      <c r="O94" s="843"/>
      <c r="P94" s="843"/>
      <c r="Q94" s="843"/>
      <c r="R94" s="843"/>
      <c r="S94" s="843"/>
      <c r="T94" s="843"/>
      <c r="U94" s="843"/>
      <c r="V94" s="843"/>
      <c r="W94" s="843"/>
      <c r="X94" s="843"/>
      <c r="Y94" s="843"/>
      <c r="Z94" s="843"/>
      <c r="AA94" s="843"/>
      <c r="AB94" s="843"/>
      <c r="AC94" s="843"/>
      <c r="AD94" s="843"/>
      <c r="AE94" s="843"/>
      <c r="AF94" s="843"/>
    </row>
    <row r="95" spans="1:47" s="864" customFormat="1" x14ac:dyDescent="0.25">
      <c r="A95" s="839"/>
      <c r="B95" s="839" t="s">
        <v>37</v>
      </c>
      <c r="C95" s="838"/>
      <c r="D95" s="838"/>
      <c r="E95" s="838"/>
      <c r="F95" s="855"/>
      <c r="G95" s="854"/>
      <c r="H95" s="854">
        <v>0</v>
      </c>
      <c r="I95" s="854">
        <v>0</v>
      </c>
      <c r="J95" s="854">
        <v>0</v>
      </c>
      <c r="K95" s="854">
        <v>0</v>
      </c>
      <c r="L95" s="854">
        <v>0</v>
      </c>
      <c r="M95" s="854">
        <v>0</v>
      </c>
      <c r="N95" s="854">
        <v>0</v>
      </c>
      <c r="O95" s="854">
        <v>0</v>
      </c>
      <c r="P95" s="854">
        <v>0</v>
      </c>
      <c r="Q95" s="854">
        <v>0</v>
      </c>
      <c r="R95" s="854">
        <v>0</v>
      </c>
      <c r="S95" s="854">
        <v>0</v>
      </c>
      <c r="T95" s="854">
        <v>0</v>
      </c>
      <c r="U95" s="854">
        <v>0</v>
      </c>
      <c r="V95" s="854">
        <v>0</v>
      </c>
      <c r="W95" s="854">
        <v>0</v>
      </c>
      <c r="X95" s="854">
        <v>0</v>
      </c>
      <c r="Y95" s="854">
        <v>0</v>
      </c>
      <c r="Z95" s="854">
        <v>0</v>
      </c>
      <c r="AA95" s="854">
        <v>0</v>
      </c>
      <c r="AB95" s="854">
        <v>0</v>
      </c>
      <c r="AC95" s="854">
        <v>0</v>
      </c>
      <c r="AD95" s="854">
        <v>0</v>
      </c>
      <c r="AE95" s="854">
        <v>0</v>
      </c>
      <c r="AF95" s="854">
        <v>0</v>
      </c>
    </row>
    <row r="96" spans="1:47" s="864" customFormat="1" x14ac:dyDescent="0.25">
      <c r="A96" s="839"/>
      <c r="B96" s="839" t="s">
        <v>39</v>
      </c>
      <c r="C96" s="838"/>
      <c r="D96" s="838"/>
      <c r="E96" s="857"/>
      <c r="F96" s="838"/>
      <c r="G96" s="854"/>
      <c r="H96" s="854">
        <v>0</v>
      </c>
      <c r="I96" s="854">
        <v>0</v>
      </c>
      <c r="J96" s="854">
        <v>0</v>
      </c>
      <c r="K96" s="854">
        <v>0</v>
      </c>
      <c r="L96" s="854">
        <v>0</v>
      </c>
      <c r="M96" s="854">
        <v>0</v>
      </c>
      <c r="N96" s="854">
        <v>0</v>
      </c>
      <c r="O96" s="854">
        <v>0</v>
      </c>
      <c r="P96" s="854">
        <v>0</v>
      </c>
      <c r="Q96" s="854">
        <v>0</v>
      </c>
      <c r="R96" s="854">
        <v>0</v>
      </c>
      <c r="S96" s="854">
        <v>0</v>
      </c>
      <c r="T96" s="854">
        <v>0</v>
      </c>
      <c r="U96" s="854">
        <v>0</v>
      </c>
      <c r="V96" s="854">
        <v>0</v>
      </c>
      <c r="W96" s="854">
        <v>0</v>
      </c>
      <c r="X96" s="854">
        <v>0</v>
      </c>
      <c r="Y96" s="854">
        <v>0</v>
      </c>
      <c r="Z96" s="854">
        <v>0</v>
      </c>
      <c r="AA96" s="854">
        <v>0</v>
      </c>
      <c r="AB96" s="854">
        <v>0</v>
      </c>
      <c r="AC96" s="854">
        <v>0</v>
      </c>
      <c r="AD96" s="854">
        <v>0</v>
      </c>
      <c r="AE96" s="854">
        <v>0</v>
      </c>
      <c r="AF96" s="854">
        <v>0</v>
      </c>
    </row>
    <row r="97" spans="1:32" s="864" customFormat="1" x14ac:dyDescent="0.25">
      <c r="A97" s="839"/>
      <c r="B97" s="839" t="s">
        <v>40</v>
      </c>
      <c r="C97" s="838"/>
      <c r="D97" s="838"/>
      <c r="E97" s="838"/>
      <c r="F97" s="838"/>
      <c r="G97" s="854"/>
      <c r="H97" s="854">
        <v>0</v>
      </c>
      <c r="I97" s="854">
        <v>0</v>
      </c>
      <c r="J97" s="854">
        <v>0</v>
      </c>
      <c r="K97" s="854">
        <v>0</v>
      </c>
      <c r="L97" s="854">
        <v>0</v>
      </c>
      <c r="M97" s="854">
        <v>0</v>
      </c>
      <c r="N97" s="854">
        <v>0</v>
      </c>
      <c r="O97" s="854">
        <v>0</v>
      </c>
      <c r="P97" s="854">
        <v>0</v>
      </c>
      <c r="Q97" s="854">
        <v>0</v>
      </c>
      <c r="R97" s="854">
        <v>0</v>
      </c>
      <c r="S97" s="854">
        <v>0</v>
      </c>
      <c r="T97" s="854">
        <v>0</v>
      </c>
      <c r="U97" s="854">
        <v>0</v>
      </c>
      <c r="V97" s="854">
        <v>0</v>
      </c>
      <c r="W97" s="854">
        <v>0</v>
      </c>
      <c r="X97" s="854">
        <v>0</v>
      </c>
      <c r="Y97" s="854">
        <v>0</v>
      </c>
      <c r="Z97" s="854">
        <v>0</v>
      </c>
      <c r="AA97" s="854">
        <v>0</v>
      </c>
      <c r="AB97" s="854">
        <v>0</v>
      </c>
      <c r="AC97" s="854">
        <v>0</v>
      </c>
      <c r="AD97" s="854">
        <v>0</v>
      </c>
      <c r="AE97" s="854">
        <v>0</v>
      </c>
      <c r="AF97" s="854">
        <v>0</v>
      </c>
    </row>
    <row r="98" spans="1:32" s="864" customFormat="1" x14ac:dyDescent="0.25">
      <c r="A98" s="839"/>
      <c r="B98" s="839" t="s">
        <v>29</v>
      </c>
      <c r="C98" s="838"/>
      <c r="D98" s="838"/>
      <c r="E98" s="838"/>
      <c r="F98" s="838"/>
      <c r="G98" s="854"/>
      <c r="H98" s="854">
        <v>0</v>
      </c>
      <c r="I98" s="854">
        <v>0</v>
      </c>
      <c r="J98" s="854">
        <v>0</v>
      </c>
      <c r="K98" s="854">
        <v>0</v>
      </c>
      <c r="L98" s="854">
        <v>0</v>
      </c>
      <c r="M98" s="854">
        <v>0</v>
      </c>
      <c r="N98" s="854">
        <v>0</v>
      </c>
      <c r="O98" s="854">
        <v>0</v>
      </c>
      <c r="P98" s="854">
        <v>0</v>
      </c>
      <c r="Q98" s="854">
        <v>0</v>
      </c>
      <c r="R98" s="854">
        <v>0</v>
      </c>
      <c r="S98" s="854">
        <v>0</v>
      </c>
      <c r="T98" s="854">
        <v>0</v>
      </c>
      <c r="U98" s="854">
        <v>0</v>
      </c>
      <c r="V98" s="854">
        <v>0</v>
      </c>
      <c r="W98" s="854">
        <v>0</v>
      </c>
      <c r="X98" s="854">
        <v>0</v>
      </c>
      <c r="Y98" s="854">
        <v>0</v>
      </c>
      <c r="Z98" s="854">
        <v>0</v>
      </c>
      <c r="AA98" s="854">
        <v>0</v>
      </c>
      <c r="AB98" s="854">
        <v>0</v>
      </c>
      <c r="AC98" s="854">
        <v>0</v>
      </c>
      <c r="AD98" s="854">
        <v>0</v>
      </c>
      <c r="AE98" s="854">
        <v>0</v>
      </c>
      <c r="AF98" s="854">
        <v>0</v>
      </c>
    </row>
    <row r="99" spans="1:32" s="864" customFormat="1" x14ac:dyDescent="0.25">
      <c r="A99" s="839"/>
      <c r="B99" s="839"/>
      <c r="C99" s="838"/>
      <c r="D99" s="838"/>
      <c r="E99" s="838"/>
      <c r="F99" s="838"/>
      <c r="G99" s="854"/>
      <c r="H99" s="838"/>
      <c r="I99" s="838"/>
      <c r="J99" s="838"/>
      <c r="K99" s="838"/>
      <c r="L99" s="838"/>
      <c r="M99" s="838"/>
      <c r="N99" s="838"/>
      <c r="O99" s="838"/>
      <c r="P99" s="838"/>
      <c r="Q99" s="838"/>
      <c r="R99" s="838"/>
      <c r="S99" s="838"/>
      <c r="T99" s="838"/>
      <c r="U99" s="838"/>
      <c r="V99" s="838"/>
      <c r="W99" s="838"/>
      <c r="X99" s="838"/>
      <c r="Y99" s="838"/>
      <c r="Z99" s="838"/>
      <c r="AA99" s="838"/>
      <c r="AB99" s="838"/>
      <c r="AC99" s="838"/>
      <c r="AD99" s="838"/>
      <c r="AE99" s="838"/>
      <c r="AF99" s="838"/>
    </row>
    <row r="100" spans="1:32" s="856" customFormat="1" ht="12.75" x14ac:dyDescent="0.2">
      <c r="A100" s="843" t="s">
        <v>42</v>
      </c>
      <c r="B100" s="843"/>
      <c r="C100" s="843"/>
      <c r="D100" s="843"/>
      <c r="E100" s="843"/>
      <c r="F100" s="843"/>
      <c r="G100" s="865"/>
      <c r="H100" s="843"/>
      <c r="I100" s="843"/>
      <c r="J100" s="843"/>
      <c r="K100" s="843"/>
      <c r="L100" s="843"/>
      <c r="M100" s="843"/>
      <c r="N100" s="843"/>
      <c r="O100" s="843"/>
      <c r="P100" s="843"/>
      <c r="Q100" s="843"/>
      <c r="R100" s="843"/>
      <c r="S100" s="843"/>
      <c r="T100" s="843"/>
      <c r="U100" s="843"/>
      <c r="V100" s="843"/>
      <c r="W100" s="843"/>
      <c r="X100" s="843"/>
      <c r="Y100" s="843"/>
      <c r="Z100" s="843"/>
      <c r="AA100" s="843"/>
      <c r="AB100" s="843"/>
      <c r="AC100" s="843"/>
      <c r="AD100" s="843"/>
      <c r="AE100" s="843"/>
      <c r="AF100" s="843"/>
    </row>
    <row r="101" spans="1:32" s="864" customFormat="1" x14ac:dyDescent="0.25">
      <c r="A101" s="839"/>
      <c r="B101" s="842" t="s">
        <v>43</v>
      </c>
      <c r="C101" s="838"/>
      <c r="D101" s="838"/>
      <c r="E101" s="838"/>
      <c r="F101" s="838"/>
      <c r="G101" s="854"/>
      <c r="H101" s="854">
        <v>0.62125622533644509</v>
      </c>
      <c r="I101" s="854">
        <v>0.56405845272341926</v>
      </c>
      <c r="J101" s="854">
        <v>0.51210737317961796</v>
      </c>
      <c r="K101" s="854">
        <v>0.46481937283576674</v>
      </c>
      <c r="L101" s="854">
        <v>0.42216077303339045</v>
      </c>
      <c r="M101" s="854">
        <v>0.38310085477643224</v>
      </c>
      <c r="N101" s="854">
        <v>0.34779984006843351</v>
      </c>
      <c r="O101" s="854">
        <v>0.31608485533852715</v>
      </c>
      <c r="P101" s="854">
        <v>0.2872568475028906</v>
      </c>
      <c r="Q101" s="854">
        <v>0.26114470487335883</v>
      </c>
      <c r="R101" s="854">
        <v>0.23743733560561961</v>
      </c>
      <c r="S101" s="854">
        <v>0.21600250041127306</v>
      </c>
      <c r="T101" s="854">
        <v>0.19666718526460686</v>
      </c>
      <c r="U101" s="854">
        <v>0.17927383762155155</v>
      </c>
      <c r="V101" s="854">
        <v>0.16360581158485663</v>
      </c>
      <c r="W101" s="854">
        <v>0.14947161320195707</v>
      </c>
      <c r="X101" s="854">
        <v>0.13681039875079393</v>
      </c>
      <c r="Y101" s="854">
        <v>0.12543786830310991</v>
      </c>
      <c r="Z101" s="854">
        <v>0.11522553688704784</v>
      </c>
      <c r="AA101" s="854">
        <v>0.10602384655860451</v>
      </c>
      <c r="AB101" s="854">
        <v>9.7739152717113156E-2</v>
      </c>
      <c r="AC101" s="854">
        <v>9.0291466496539283E-2</v>
      </c>
      <c r="AD101" s="854">
        <v>8.3580873649043222E-2</v>
      </c>
      <c r="AE101" s="854">
        <v>7.7508134118970007E-2</v>
      </c>
      <c r="AF101" s="854">
        <v>7.1975454384465745E-2</v>
      </c>
    </row>
    <row r="102" spans="1:32" s="864" customFormat="1" x14ac:dyDescent="0.25">
      <c r="A102" s="839"/>
      <c r="B102" s="842" t="s">
        <v>44</v>
      </c>
      <c r="C102" s="838"/>
      <c r="D102" s="838"/>
      <c r="E102" s="838"/>
      <c r="F102" s="838"/>
      <c r="G102" s="854"/>
      <c r="H102" s="854">
        <v>30.340877737305995</v>
      </c>
      <c r="I102" s="854">
        <v>33.170500916541904</v>
      </c>
      <c r="J102" s="854">
        <v>35.109699045818189</v>
      </c>
      <c r="K102" s="854">
        <v>36.293999952490196</v>
      </c>
      <c r="L102" s="854">
        <v>36.92329218964997</v>
      </c>
      <c r="M102" s="854">
        <v>36.838471748587757</v>
      </c>
      <c r="N102" s="854">
        <v>36.382599054059703</v>
      </c>
      <c r="O102" s="854">
        <v>35.792221607008905</v>
      </c>
      <c r="P102" s="854">
        <v>34.853569505146993</v>
      </c>
      <c r="Q102" s="854">
        <v>33.764308052688413</v>
      </c>
      <c r="R102" s="854">
        <v>32.541933310356129</v>
      </c>
      <c r="S102" s="854">
        <v>31.270858813803791</v>
      </c>
      <c r="T102" s="854">
        <v>30.020633964874616</v>
      </c>
      <c r="U102" s="854">
        <v>28.849407968766876</v>
      </c>
      <c r="V102" s="854">
        <v>27.732832111930083</v>
      </c>
      <c r="W102" s="854">
        <v>26.676859561089458</v>
      </c>
      <c r="X102" s="854">
        <v>25.756903553415889</v>
      </c>
      <c r="Y102" s="854">
        <v>24.9146373217209</v>
      </c>
      <c r="Z102" s="854">
        <v>24.148981575608779</v>
      </c>
      <c r="AA102" s="854">
        <v>23.455503834173562</v>
      </c>
      <c r="AB102" s="854">
        <v>22.8288224274377</v>
      </c>
      <c r="AC102" s="854">
        <v>22.273933516933958</v>
      </c>
      <c r="AD102" s="854">
        <v>21.779256168286697</v>
      </c>
      <c r="AE102" s="854">
        <v>21.340291459482067</v>
      </c>
      <c r="AF102" s="854">
        <v>20.931646796269629</v>
      </c>
    </row>
    <row r="103" spans="1:32" s="864" customFormat="1" x14ac:dyDescent="0.25">
      <c r="A103" s="839"/>
      <c r="B103" s="842" t="s">
        <v>45</v>
      </c>
      <c r="C103" s="838"/>
      <c r="D103" s="838"/>
      <c r="E103" s="838"/>
      <c r="F103" s="838"/>
      <c r="G103" s="854"/>
      <c r="H103" s="854">
        <v>17.841302699599886</v>
      </c>
      <c r="I103" s="854">
        <v>15.959920518489151</v>
      </c>
      <c r="J103" s="854">
        <v>14.283656889547634</v>
      </c>
      <c r="K103" s="854">
        <v>12.789472350082979</v>
      </c>
      <c r="L103" s="854">
        <v>11.457127689869024</v>
      </c>
      <c r="M103" s="854">
        <v>10.267475307053502</v>
      </c>
      <c r="N103" s="854">
        <v>9.205639092072051</v>
      </c>
      <c r="O103" s="854">
        <v>8.2486166990897214</v>
      </c>
      <c r="P103" s="854">
        <v>7.3936435248874561</v>
      </c>
      <c r="Q103" s="854">
        <v>6.6305789361192167</v>
      </c>
      <c r="R103" s="854">
        <v>5.9490059476169028</v>
      </c>
      <c r="S103" s="854">
        <v>5.3402406190639091</v>
      </c>
      <c r="T103" s="854">
        <v>4.7965993086116976</v>
      </c>
      <c r="U103" s="854">
        <v>4.3112410391281095</v>
      </c>
      <c r="V103" s="854">
        <v>3.8774714783226192</v>
      </c>
      <c r="W103" s="854">
        <v>3.489664235365344</v>
      </c>
      <c r="X103" s="854">
        <v>3.1433804203861002</v>
      </c>
      <c r="Y103" s="854">
        <v>2.8346851007980853</v>
      </c>
      <c r="Z103" s="854">
        <v>2.5592691991192074</v>
      </c>
      <c r="AA103" s="854">
        <v>2.3125522098785831</v>
      </c>
      <c r="AB103" s="854">
        <v>2.0921598263544738</v>
      </c>
      <c r="AC103" s="854">
        <v>1.8951950565348923</v>
      </c>
      <c r="AD103" s="854">
        <v>1.7189897144949633</v>
      </c>
      <c r="AE103" s="854">
        <v>1.5607808783915758</v>
      </c>
      <c r="AF103" s="854">
        <v>1.4189581559659397</v>
      </c>
    </row>
    <row r="104" spans="1:32" s="864" customFormat="1" x14ac:dyDescent="0.25">
      <c r="A104" s="839"/>
      <c r="B104" s="842" t="s">
        <v>46</v>
      </c>
      <c r="C104" s="838"/>
      <c r="D104" s="838"/>
      <c r="E104" s="838"/>
      <c r="F104" s="838"/>
      <c r="G104" s="854"/>
      <c r="H104" s="854">
        <v>0.23603333573395144</v>
      </c>
      <c r="I104" s="854">
        <v>0.21013884561968579</v>
      </c>
      <c r="J104" s="854">
        <v>0.18718069347208779</v>
      </c>
      <c r="K104" s="854">
        <v>0.1668145599920971</v>
      </c>
      <c r="L104" s="854">
        <v>0.14873788917547287</v>
      </c>
      <c r="M104" s="854">
        <v>0.13268464799137594</v>
      </c>
      <c r="N104" s="854">
        <v>0.11798804726015673</v>
      </c>
      <c r="O104" s="854">
        <v>0.10497300580742218</v>
      </c>
      <c r="P104" s="854">
        <v>9.3440707237392492E-2</v>
      </c>
      <c r="Q104" s="854">
        <v>8.3216630144641673E-2</v>
      </c>
      <c r="R104" s="854">
        <v>7.4147479645216924E-2</v>
      </c>
      <c r="S104" s="854">
        <v>6.6098519426694854E-2</v>
      </c>
      <c r="T104" s="854">
        <v>5.895125030125848E-2</v>
      </c>
      <c r="U104" s="854">
        <v>5.260138877024844E-2</v>
      </c>
      <c r="V104" s="854">
        <v>4.6957105550883574E-2</v>
      </c>
      <c r="W104" s="854">
        <v>4.1937489536552269E-2</v>
      </c>
      <c r="X104" s="854">
        <v>3.7471207397257712E-2</v>
      </c>
      <c r="Y104" s="854">
        <v>3.3622066823341457E-2</v>
      </c>
      <c r="Z104" s="854">
        <v>3.0089853375937187E-2</v>
      </c>
      <c r="AA104" s="854">
        <v>2.6939972872200218E-2</v>
      </c>
      <c r="AB104" s="854">
        <v>2.4138503489218744E-2</v>
      </c>
      <c r="AC104" s="854">
        <v>2.1644657159276066E-2</v>
      </c>
      <c r="AD104" s="854">
        <v>1.9422704166495594E-2</v>
      </c>
      <c r="AE104" s="854">
        <v>1.7435492014387689E-2</v>
      </c>
      <c r="AF104" s="854">
        <v>1.5662640826565429E-2</v>
      </c>
    </row>
    <row r="105" spans="1:32" s="864" customFormat="1" x14ac:dyDescent="0.25">
      <c r="A105" s="839"/>
      <c r="B105" s="839" t="s">
        <v>29</v>
      </c>
      <c r="C105" s="838"/>
      <c r="D105" s="838"/>
      <c r="E105" s="838"/>
      <c r="F105" s="838"/>
      <c r="G105" s="854"/>
      <c r="H105" s="854">
        <v>0.66863241929944373</v>
      </c>
      <c r="I105" s="854">
        <v>1.6586614339061192</v>
      </c>
      <c r="J105" s="854">
        <v>2.9132409835178468</v>
      </c>
      <c r="K105" s="854">
        <v>4.3427681740144912</v>
      </c>
      <c r="L105" s="854">
        <v>5.8976988009143323</v>
      </c>
      <c r="M105" s="854">
        <v>7.4708399426908896</v>
      </c>
      <c r="N105" s="854">
        <v>9.074927184854932</v>
      </c>
      <c r="O105" s="854">
        <v>10.825294532860383</v>
      </c>
      <c r="P105" s="854">
        <v>12.404035768208034</v>
      </c>
      <c r="Q105" s="854">
        <v>13.926073075351777</v>
      </c>
      <c r="R105" s="854">
        <v>15.270424885067762</v>
      </c>
      <c r="S105" s="854">
        <v>16.443659993380621</v>
      </c>
      <c r="T105" s="854">
        <v>17.490481658148255</v>
      </c>
      <c r="U105" s="854">
        <v>18.488170271926879</v>
      </c>
      <c r="V105" s="854">
        <v>19.305582533688103</v>
      </c>
      <c r="W105" s="854">
        <v>19.965844886519214</v>
      </c>
      <c r="X105" s="854">
        <v>20.721083371762049</v>
      </c>
      <c r="Y105" s="854">
        <v>21.36449213676697</v>
      </c>
      <c r="Z105" s="854">
        <v>21.90625995589356</v>
      </c>
      <c r="AA105" s="854">
        <v>22.379422436941873</v>
      </c>
      <c r="AB105" s="854">
        <v>22.811631676993422</v>
      </c>
      <c r="AC105" s="854">
        <v>23.236141426483016</v>
      </c>
      <c r="AD105" s="854">
        <v>23.640050844974841</v>
      </c>
      <c r="AE105" s="854">
        <v>24.056119182409194</v>
      </c>
      <c r="AF105" s="854">
        <v>24.437193831093715</v>
      </c>
    </row>
    <row r="106" spans="1:32" s="864" customFormat="1" x14ac:dyDescent="0.25">
      <c r="A106" s="839"/>
      <c r="B106" s="839"/>
      <c r="C106" s="838"/>
      <c r="D106" s="838"/>
      <c r="E106" s="838"/>
      <c r="F106" s="838"/>
      <c r="G106" s="854"/>
      <c r="H106" s="838"/>
      <c r="I106" s="838"/>
      <c r="J106" s="838"/>
      <c r="K106" s="838"/>
      <c r="L106" s="838"/>
      <c r="M106" s="838"/>
      <c r="N106" s="838"/>
      <c r="O106" s="838"/>
      <c r="P106" s="838"/>
      <c r="Q106" s="838"/>
      <c r="R106" s="838"/>
      <c r="S106" s="838"/>
      <c r="T106" s="838"/>
      <c r="U106" s="838"/>
      <c r="V106" s="838"/>
      <c r="W106" s="838"/>
      <c r="X106" s="838"/>
      <c r="Y106" s="838"/>
      <c r="Z106" s="838"/>
      <c r="AA106" s="838"/>
      <c r="AB106" s="838"/>
      <c r="AC106" s="838"/>
      <c r="AD106" s="838"/>
      <c r="AE106" s="838"/>
      <c r="AF106" s="838"/>
    </row>
    <row r="107" spans="1:32" s="856" customFormat="1" ht="12.75" x14ac:dyDescent="0.2">
      <c r="A107" s="843" t="s">
        <v>47</v>
      </c>
      <c r="B107" s="843"/>
      <c r="C107" s="843"/>
      <c r="D107" s="843"/>
      <c r="E107" s="843"/>
      <c r="F107" s="843"/>
      <c r="G107" s="865"/>
      <c r="H107" s="843"/>
      <c r="I107" s="843"/>
      <c r="J107" s="843"/>
      <c r="K107" s="843"/>
      <c r="L107" s="843"/>
      <c r="M107" s="843"/>
      <c r="N107" s="843"/>
      <c r="O107" s="843"/>
      <c r="P107" s="843"/>
      <c r="Q107" s="843"/>
      <c r="R107" s="843"/>
      <c r="S107" s="843"/>
      <c r="T107" s="843"/>
      <c r="U107" s="843"/>
      <c r="V107" s="843"/>
      <c r="W107" s="843"/>
      <c r="X107" s="843"/>
      <c r="Y107" s="843"/>
      <c r="Z107" s="843"/>
      <c r="AA107" s="843"/>
      <c r="AB107" s="843"/>
      <c r="AC107" s="843"/>
      <c r="AD107" s="843"/>
      <c r="AE107" s="843"/>
      <c r="AF107" s="843"/>
    </row>
    <row r="108" spans="1:32" s="864" customFormat="1" x14ac:dyDescent="0.25">
      <c r="A108" s="839"/>
      <c r="B108" s="839" t="s">
        <v>48</v>
      </c>
      <c r="C108" s="838"/>
      <c r="D108" s="838"/>
      <c r="E108" s="838"/>
      <c r="F108" s="838"/>
      <c r="G108" s="854"/>
      <c r="H108" s="854">
        <v>0.11999552109504641</v>
      </c>
      <c r="I108" s="854">
        <v>4.1705037870241619E-3</v>
      </c>
      <c r="J108" s="854">
        <v>9.6911313270284274E-5</v>
      </c>
      <c r="K108" s="854">
        <v>1.5898186066010143E-6</v>
      </c>
      <c r="L108" s="854">
        <v>1.9289222040885866E-8</v>
      </c>
      <c r="M108" s="854">
        <v>1.8018254366766989E-10</v>
      </c>
      <c r="N108" s="854">
        <v>1.3494413347147378E-12</v>
      </c>
      <c r="O108" s="854">
        <v>8.4149503380704596E-15</v>
      </c>
      <c r="P108" s="854">
        <v>4.5029122266586479E-17</v>
      </c>
      <c r="Q108" s="854">
        <v>2.1279535466189069E-19</v>
      </c>
      <c r="R108" s="854">
        <v>9.080433499239298E-22</v>
      </c>
      <c r="S108" s="854">
        <v>3.5721912619265611E-24</v>
      </c>
      <c r="T108" s="854">
        <v>1.3185122626649859E-26</v>
      </c>
      <c r="U108" s="854">
        <v>4.636363888662316E-29</v>
      </c>
      <c r="V108" s="854">
        <v>1.5732957053392448E-31</v>
      </c>
      <c r="W108" s="854">
        <v>5.2049527492134557E-34</v>
      </c>
      <c r="X108" s="854">
        <v>1.6954334273044884E-36</v>
      </c>
      <c r="Y108" s="854">
        <v>5.4757700080925239E-39</v>
      </c>
      <c r="Z108" s="854">
        <v>1.7620807274716183E-41</v>
      </c>
      <c r="AA108" s="854">
        <v>5.6704783031148666E-44</v>
      </c>
      <c r="AB108" s="854">
        <v>1.8305980731003974E-46</v>
      </c>
      <c r="AC108" s="854">
        <v>5.9426244188376764E-49</v>
      </c>
      <c r="AD108" s="854">
        <v>1.9429968319083964E-51</v>
      </c>
      <c r="AE108" s="854">
        <v>6.4057261471614218E-54</v>
      </c>
      <c r="AF108" s="854">
        <v>2.1309910105965266E-56</v>
      </c>
    </row>
    <row r="109" spans="1:32" s="864" customFormat="1" x14ac:dyDescent="0.25">
      <c r="A109" s="839"/>
      <c r="B109" s="842" t="s">
        <v>50</v>
      </c>
      <c r="C109" s="838"/>
      <c r="D109" s="838"/>
      <c r="E109" s="838"/>
      <c r="F109" s="838"/>
      <c r="G109" s="854"/>
      <c r="H109" s="854">
        <v>0.33490312981171227</v>
      </c>
      <c r="I109" s="854">
        <v>9.2305649095071537E-2</v>
      </c>
      <c r="J109" s="854">
        <v>1.8476707600176036E-2</v>
      </c>
      <c r="K109" s="854">
        <v>2.8000610321697295E-3</v>
      </c>
      <c r="L109" s="854">
        <v>3.3567565093128252E-4</v>
      </c>
      <c r="M109" s="854">
        <v>3.3393600669848425E-5</v>
      </c>
      <c r="N109" s="854">
        <v>2.9035526474927469E-6</v>
      </c>
      <c r="O109" s="854">
        <v>2.3151147993615601E-7</v>
      </c>
      <c r="P109" s="854">
        <v>1.756631661948703E-8</v>
      </c>
      <c r="Q109" s="854">
        <v>1.3088204812633355E-9</v>
      </c>
      <c r="R109" s="854">
        <v>9.771535961371403E-11</v>
      </c>
      <c r="S109" s="854">
        <v>7.4296890132591449E-12</v>
      </c>
      <c r="T109" s="854">
        <v>5.8126378274844965E-13</v>
      </c>
      <c r="U109" s="854">
        <v>4.7113054299084918E-14</v>
      </c>
      <c r="V109" s="854">
        <v>3.9716992532323082E-15</v>
      </c>
      <c r="W109" s="854">
        <v>3.4876042881515769E-16</v>
      </c>
      <c r="X109" s="854">
        <v>3.1955772499665211E-17</v>
      </c>
      <c r="Y109" s="854">
        <v>3.0519281599979661E-18</v>
      </c>
      <c r="Z109" s="854">
        <v>3.0333953809282891E-19</v>
      </c>
      <c r="AA109" s="854">
        <v>3.133289425124958E-20</v>
      </c>
      <c r="AB109" s="854">
        <v>3.359615180108565E-21</v>
      </c>
      <c r="AC109" s="854">
        <v>3.733846862186686E-22</v>
      </c>
      <c r="AD109" s="854">
        <v>4.2944619999113841E-23</v>
      </c>
      <c r="AE109" s="854">
        <v>5.1041975179849459E-24</v>
      </c>
      <c r="AF109" s="854">
        <v>6.2605252053300612E-25</v>
      </c>
    </row>
    <row r="110" spans="1:32" s="864" customFormat="1" x14ac:dyDescent="0.25">
      <c r="A110" s="839"/>
      <c r="B110" s="839" t="s">
        <v>51</v>
      </c>
      <c r="C110" s="838"/>
      <c r="D110" s="838"/>
      <c r="E110" s="838"/>
      <c r="F110" s="838"/>
      <c r="G110" s="854"/>
      <c r="H110" s="854">
        <v>0.72554214981594467</v>
      </c>
      <c r="I110" s="854">
        <v>0.69233904513794942</v>
      </c>
      <c r="J110" s="854">
        <v>0.64863187048428605</v>
      </c>
      <c r="K110" s="854">
        <v>0.5959651996228551</v>
      </c>
      <c r="L110" s="854">
        <v>0.53655773380518013</v>
      </c>
      <c r="M110" s="854">
        <v>0.47317819743635159</v>
      </c>
      <c r="N110" s="854">
        <v>0.41150153276095935</v>
      </c>
      <c r="O110" s="854">
        <v>0.35434551424619865</v>
      </c>
      <c r="P110" s="854">
        <v>0.30078444807519228</v>
      </c>
      <c r="Q110" s="854">
        <v>0.25356313232981426</v>
      </c>
      <c r="R110" s="854">
        <v>0.21173829405759942</v>
      </c>
      <c r="S110" s="854">
        <v>0.17603650720881558</v>
      </c>
      <c r="T110" s="854">
        <v>0.14589119565468692</v>
      </c>
      <c r="U110" s="854">
        <v>0.12072442651233438</v>
      </c>
      <c r="V110" s="854">
        <v>9.982516946309257E-2</v>
      </c>
      <c r="W110" s="854">
        <v>8.2454234877563662E-2</v>
      </c>
      <c r="X110" s="854">
        <v>6.8293795514162356E-2</v>
      </c>
      <c r="Y110" s="854">
        <v>5.6638420702060141E-2</v>
      </c>
      <c r="Z110" s="854">
        <v>4.6977966592612767E-2</v>
      </c>
      <c r="AA110" s="854">
        <v>3.8968841652110016E-2</v>
      </c>
      <c r="AB110" s="854">
        <v>3.2360448827270218E-2</v>
      </c>
      <c r="AC110" s="854">
        <v>2.6903575421647431E-2</v>
      </c>
      <c r="AD110" s="854">
        <v>2.2385501514896749E-2</v>
      </c>
      <c r="AE110" s="854">
        <v>1.8640875288259497E-2</v>
      </c>
      <c r="AF110" s="854">
        <v>1.5534233205201585E-2</v>
      </c>
    </row>
    <row r="111" spans="1:32" s="864" customFormat="1" x14ac:dyDescent="0.25">
      <c r="A111" s="839"/>
      <c r="B111" s="839" t="s">
        <v>52</v>
      </c>
      <c r="C111" s="838"/>
      <c r="D111" s="838"/>
      <c r="E111" s="838"/>
      <c r="F111" s="838"/>
      <c r="G111" s="854"/>
      <c r="H111" s="854">
        <v>4.2095255156050158</v>
      </c>
      <c r="I111" s="854">
        <v>4.1889866515912235</v>
      </c>
      <c r="J111" s="854">
        <v>4.1315300923771945</v>
      </c>
      <c r="K111" s="854">
        <v>4.0396978141133237</v>
      </c>
      <c r="L111" s="854">
        <v>3.9240853017769433</v>
      </c>
      <c r="M111" s="854">
        <v>3.7759226821588925</v>
      </c>
      <c r="N111" s="854">
        <v>3.6168360099668306</v>
      </c>
      <c r="O111" s="854">
        <v>3.4627978398748063</v>
      </c>
      <c r="P111" s="854">
        <v>3.2939877586869057</v>
      </c>
      <c r="Q111" s="854">
        <v>3.132007393274959</v>
      </c>
      <c r="R111" s="854">
        <v>2.9658356263573702</v>
      </c>
      <c r="S111" s="854">
        <v>2.8070698457255556</v>
      </c>
      <c r="T111" s="854">
        <v>2.6555612395544439</v>
      </c>
      <c r="U111" s="854">
        <v>2.5086133697532365</v>
      </c>
      <c r="V111" s="854">
        <v>2.3748613427497309</v>
      </c>
      <c r="W111" s="854">
        <v>2.2436894015919422</v>
      </c>
      <c r="X111" s="854">
        <v>2.125590034192983</v>
      </c>
      <c r="Y111" s="854">
        <v>2.0187526056368563</v>
      </c>
      <c r="Z111" s="854">
        <v>1.9146936382957618</v>
      </c>
      <c r="AA111" s="854">
        <v>1.8163753701680749</v>
      </c>
      <c r="AB111" s="854">
        <v>1.7264933457872726</v>
      </c>
      <c r="AC111" s="854">
        <v>1.6403685326825255</v>
      </c>
      <c r="AD111" s="854">
        <v>1.5596968151617325</v>
      </c>
      <c r="AE111" s="854">
        <v>1.4853325201264524</v>
      </c>
      <c r="AF111" s="854">
        <v>1.4136711826677715</v>
      </c>
    </row>
    <row r="112" spans="1:32" s="864" customFormat="1" x14ac:dyDescent="0.25">
      <c r="A112" s="839"/>
      <c r="B112" s="842" t="s">
        <v>29</v>
      </c>
      <c r="C112" s="838"/>
      <c r="D112" s="838"/>
      <c r="E112" s="838"/>
      <c r="F112" s="838"/>
      <c r="G112" s="854"/>
      <c r="H112" s="854">
        <v>3.5626951282977632</v>
      </c>
      <c r="I112" s="854">
        <v>1.8807454662387819</v>
      </c>
      <c r="J112" s="854">
        <v>1.7294501092466263</v>
      </c>
      <c r="K112" s="854">
        <v>1.7792849553403258</v>
      </c>
      <c r="L112" s="854">
        <v>1.8947465063123381</v>
      </c>
      <c r="M112" s="854">
        <v>2.0219139310087755</v>
      </c>
      <c r="N112" s="854">
        <v>2.1667800030474087</v>
      </c>
      <c r="O112" s="854">
        <v>2.2814136009052151</v>
      </c>
      <c r="P112" s="854">
        <v>2.421288229440349</v>
      </c>
      <c r="Q112" s="854">
        <v>2.5631413535784224</v>
      </c>
      <c r="R112" s="854">
        <v>2.6471329098468814</v>
      </c>
      <c r="S112" s="854">
        <v>2.7536048044515242</v>
      </c>
      <c r="T112" s="854">
        <v>2.8278288889429435</v>
      </c>
      <c r="U112" s="854">
        <v>2.8962935469095883</v>
      </c>
      <c r="V112" s="854">
        <v>2.9807575574043104</v>
      </c>
      <c r="W112" s="854">
        <v>3.0319628409177537</v>
      </c>
      <c r="X112" s="854">
        <v>3.1114825205456551</v>
      </c>
      <c r="Y112" s="854">
        <v>3.1840504921596562</v>
      </c>
      <c r="Z112" s="854">
        <v>3.2460987242415209</v>
      </c>
      <c r="AA112" s="854">
        <v>3.3007283722898881</v>
      </c>
      <c r="AB112" s="854">
        <v>3.3596851131451464</v>
      </c>
      <c r="AC112" s="854">
        <v>3.4216766100636118</v>
      </c>
      <c r="AD112" s="854">
        <v>3.4790094266854945</v>
      </c>
      <c r="AE112" s="854">
        <v>3.5380789281693676</v>
      </c>
      <c r="AF112" s="854">
        <v>3.5946324181327083</v>
      </c>
    </row>
    <row r="113" spans="1:32" s="864" customFormat="1" x14ac:dyDescent="0.25">
      <c r="A113" s="839"/>
      <c r="B113" s="842" t="s">
        <v>53</v>
      </c>
      <c r="C113" s="838"/>
      <c r="D113" s="838"/>
      <c r="E113" s="838"/>
      <c r="F113" s="838"/>
      <c r="G113" s="854"/>
      <c r="H113" s="854">
        <v>0</v>
      </c>
      <c r="I113" s="854">
        <v>0</v>
      </c>
      <c r="J113" s="854">
        <v>0</v>
      </c>
      <c r="K113" s="854">
        <v>0</v>
      </c>
      <c r="L113" s="854">
        <v>0</v>
      </c>
      <c r="M113" s="854">
        <v>0</v>
      </c>
      <c r="N113" s="854">
        <v>0</v>
      </c>
      <c r="O113" s="854">
        <v>0</v>
      </c>
      <c r="P113" s="854">
        <v>0</v>
      </c>
      <c r="Q113" s="854">
        <v>0</v>
      </c>
      <c r="R113" s="854">
        <v>0</v>
      </c>
      <c r="S113" s="854">
        <v>0</v>
      </c>
      <c r="T113" s="854">
        <v>0</v>
      </c>
      <c r="U113" s="854">
        <v>0</v>
      </c>
      <c r="V113" s="854">
        <v>0</v>
      </c>
      <c r="W113" s="854">
        <v>0</v>
      </c>
      <c r="X113" s="854">
        <v>0</v>
      </c>
      <c r="Y113" s="854">
        <v>0</v>
      </c>
      <c r="Z113" s="854">
        <v>0</v>
      </c>
      <c r="AA113" s="854">
        <v>0</v>
      </c>
      <c r="AB113" s="854">
        <v>0</v>
      </c>
      <c r="AC113" s="854">
        <v>0</v>
      </c>
      <c r="AD113" s="854">
        <v>0</v>
      </c>
      <c r="AE113" s="854">
        <v>0</v>
      </c>
      <c r="AF113" s="854">
        <v>0</v>
      </c>
    </row>
    <row r="115" spans="1:32" x14ac:dyDescent="0.25">
      <c r="B115" s="60" t="s">
        <v>769</v>
      </c>
      <c r="C115" s="858"/>
      <c r="D115" s="858"/>
      <c r="E115" s="858"/>
      <c r="F115" s="858"/>
      <c r="G115" s="858"/>
      <c r="H115" s="1149">
        <f t="shared" ref="H115:AF115" si="128">(H86+H92+H98+H105+H112)/SUM(H83:H113)</f>
        <v>7.2132159028112416E-2</v>
      </c>
      <c r="I115" s="1149">
        <f t="shared" si="128"/>
        <v>6.0583638900493612E-2</v>
      </c>
      <c r="J115" s="1149">
        <f t="shared" si="128"/>
        <v>7.7983766942257005E-2</v>
      </c>
      <c r="K115" s="1149">
        <f t="shared" si="128"/>
        <v>0.10123174795822516</v>
      </c>
      <c r="L115" s="1149">
        <f t="shared" si="128"/>
        <v>0.12731767145508158</v>
      </c>
      <c r="M115" s="1149">
        <f t="shared" si="128"/>
        <v>0.15469676926757978</v>
      </c>
      <c r="N115" s="1149">
        <f t="shared" si="128"/>
        <v>0.18331637993960664</v>
      </c>
      <c r="O115" s="1149">
        <f t="shared" si="128"/>
        <v>0.21351386250060778</v>
      </c>
      <c r="P115" s="1149">
        <f t="shared" si="128"/>
        <v>0.24284697851935103</v>
      </c>
      <c r="Q115" s="1149">
        <f t="shared" si="128"/>
        <v>0.27203625194928011</v>
      </c>
      <c r="R115" s="1149">
        <f t="shared" si="128"/>
        <v>0.29913621090843229</v>
      </c>
      <c r="S115" s="1149">
        <f t="shared" si="128"/>
        <v>0.32497213689211513</v>
      </c>
      <c r="T115" s="1149">
        <f t="shared" si="128"/>
        <v>0.34915617136052696</v>
      </c>
      <c r="U115" s="1149">
        <f t="shared" si="128"/>
        <v>0.37251058141119686</v>
      </c>
      <c r="V115" s="1149">
        <f t="shared" si="128"/>
        <v>0.3938775969812931</v>
      </c>
      <c r="W115" s="1149">
        <f t="shared" si="128"/>
        <v>0.41302136290451547</v>
      </c>
      <c r="X115" s="1149">
        <f t="shared" si="128"/>
        <v>0.43252498636731729</v>
      </c>
      <c r="Y115" s="1149">
        <f t="shared" si="128"/>
        <v>0.45016504751264474</v>
      </c>
      <c r="Z115" s="1149">
        <f t="shared" si="128"/>
        <v>0.46606408909523256</v>
      </c>
      <c r="AA115" s="1149">
        <f t="shared" si="128"/>
        <v>0.48057308499106244</v>
      </c>
      <c r="AB115" s="1149">
        <f t="shared" si="128"/>
        <v>0.49404983150306137</v>
      </c>
      <c r="AC115" s="1149">
        <f t="shared" si="128"/>
        <v>0.50674332911663778</v>
      </c>
      <c r="AD115" s="1149">
        <f t="shared" si="128"/>
        <v>0.518505162178581</v>
      </c>
      <c r="AE115" s="1149">
        <f t="shared" si="128"/>
        <v>0.52969821492022229</v>
      </c>
      <c r="AF115" s="1149">
        <f t="shared" si="128"/>
        <v>0.54011980715503294</v>
      </c>
    </row>
    <row r="116" spans="1:32" x14ac:dyDescent="0.25">
      <c r="A116" s="860" t="s">
        <v>54</v>
      </c>
      <c r="B116" s="861"/>
      <c r="C116" s="860"/>
      <c r="D116" s="859"/>
      <c r="E116" s="859"/>
      <c r="F116" s="859"/>
      <c r="G116" s="859"/>
      <c r="H116" s="862"/>
      <c r="I116" s="862"/>
      <c r="J116" s="862"/>
      <c r="K116" s="862"/>
      <c r="L116" s="862"/>
      <c r="M116" s="862"/>
      <c r="N116" s="862"/>
      <c r="O116" s="862"/>
      <c r="P116" s="862"/>
      <c r="Q116" s="862"/>
      <c r="R116" s="862"/>
      <c r="S116" s="862"/>
      <c r="T116" s="862"/>
      <c r="U116" s="862"/>
      <c r="V116" s="862"/>
      <c r="W116" s="862"/>
      <c r="X116" s="862"/>
      <c r="Y116" s="862"/>
      <c r="Z116" s="862"/>
      <c r="AA116" s="862"/>
      <c r="AB116" s="862"/>
      <c r="AC116" s="862"/>
      <c r="AD116" s="862"/>
      <c r="AE116" s="862"/>
      <c r="AF116" s="862"/>
    </row>
    <row r="117" spans="1:32" x14ac:dyDescent="0.25">
      <c r="A117" s="840" t="s">
        <v>12</v>
      </c>
      <c r="B117" s="839"/>
    </row>
    <row r="118" spans="1:32" x14ac:dyDescent="0.25">
      <c r="A118" s="839"/>
      <c r="B118" s="839" t="s">
        <v>20</v>
      </c>
    </row>
    <row r="119" spans="1:32" s="856" customFormat="1" ht="12.75" x14ac:dyDescent="0.2">
      <c r="A119" s="843" t="s">
        <v>21</v>
      </c>
      <c r="B119" s="843"/>
      <c r="C119" s="843"/>
      <c r="D119" s="843"/>
      <c r="E119" s="843"/>
      <c r="F119" s="843"/>
      <c r="G119" s="843"/>
      <c r="H119" s="843"/>
      <c r="I119" s="843"/>
      <c r="J119" s="843"/>
      <c r="K119" s="843"/>
      <c r="L119" s="843"/>
      <c r="M119" s="843"/>
      <c r="N119" s="843"/>
      <c r="O119" s="843"/>
      <c r="P119" s="843"/>
      <c r="Q119" s="843"/>
      <c r="R119" s="843"/>
      <c r="S119" s="843"/>
      <c r="T119" s="843"/>
      <c r="U119" s="843"/>
      <c r="V119" s="843"/>
      <c r="W119" s="843"/>
      <c r="X119" s="843"/>
      <c r="Y119" s="843"/>
      <c r="Z119" s="843"/>
      <c r="AA119" s="843"/>
      <c r="AB119" s="843"/>
      <c r="AC119" s="843"/>
      <c r="AD119" s="843"/>
      <c r="AE119" s="843"/>
      <c r="AF119" s="843"/>
    </row>
    <row r="120" spans="1:32" s="864" customFormat="1" x14ac:dyDescent="0.25">
      <c r="A120" s="839"/>
      <c r="B120" s="839" t="s">
        <v>22</v>
      </c>
      <c r="C120" s="838"/>
      <c r="D120" s="838"/>
      <c r="E120" s="838"/>
      <c r="F120" s="838"/>
      <c r="G120" s="854"/>
      <c r="H120" s="854">
        <v>24.310851267053287</v>
      </c>
      <c r="I120" s="854">
        <v>21.287263906541298</v>
      </c>
      <c r="J120" s="854">
        <v>14.409605209386445</v>
      </c>
      <c r="K120" s="854">
        <v>9.9751815691045742</v>
      </c>
      <c r="L120" s="854">
        <v>6.3977233856126778</v>
      </c>
      <c r="M120" s="854">
        <v>2.3432171492723626</v>
      </c>
      <c r="N120" s="854">
        <v>1.9493432900171657</v>
      </c>
      <c r="O120" s="854">
        <v>1.6463985309483491</v>
      </c>
      <c r="P120" s="854">
        <v>1.4032775160157152</v>
      </c>
      <c r="Q120" s="854">
        <v>1.1814866587585648</v>
      </c>
      <c r="R120" s="854">
        <v>0.97589853924626713</v>
      </c>
      <c r="S120" s="854">
        <v>0.79769577660628688</v>
      </c>
      <c r="T120" s="854">
        <v>0.64524143477633555</v>
      </c>
      <c r="U120" s="854">
        <v>0.5175206611501787</v>
      </c>
      <c r="V120" s="854">
        <v>0.41669106117791532</v>
      </c>
      <c r="W120" s="854">
        <v>0.33564733270195457</v>
      </c>
      <c r="X120" s="854">
        <v>0.27125009911223363</v>
      </c>
      <c r="Y120" s="854">
        <v>0.22054631241846376</v>
      </c>
      <c r="Z120" s="854">
        <v>0.18161756140028829</v>
      </c>
      <c r="AA120" s="854">
        <v>0.15201842537539753</v>
      </c>
      <c r="AB120" s="854">
        <v>0.12833083782316915</v>
      </c>
      <c r="AC120" s="854">
        <v>0.10949898282671944</v>
      </c>
      <c r="AD120" s="854">
        <v>9.4159017457330504E-2</v>
      </c>
      <c r="AE120" s="854">
        <v>8.1384381501629133E-2</v>
      </c>
      <c r="AF120" s="854">
        <v>6.9541310564875142E-2</v>
      </c>
    </row>
    <row r="121" spans="1:32" s="864" customFormat="1" x14ac:dyDescent="0.25">
      <c r="A121" s="839"/>
      <c r="B121" s="839" t="s">
        <v>26</v>
      </c>
      <c r="C121" s="838"/>
      <c r="D121" s="838"/>
      <c r="E121" s="838"/>
      <c r="F121" s="838"/>
      <c r="G121" s="854"/>
      <c r="H121" s="854">
        <v>0.42018461963890841</v>
      </c>
      <c r="I121" s="854">
        <v>1.8095023828253285</v>
      </c>
      <c r="J121" s="854">
        <v>5.4879376584670458</v>
      </c>
      <c r="K121" s="854">
        <v>7.7201119764251906</v>
      </c>
      <c r="L121" s="854">
        <v>8.2755877080257321</v>
      </c>
      <c r="M121" s="854">
        <v>8.6964676843347455</v>
      </c>
      <c r="N121" s="854">
        <v>7.523305722561787</v>
      </c>
      <c r="O121" s="854">
        <v>6.5853441187967379</v>
      </c>
      <c r="P121" s="854">
        <v>5.7966224725008715</v>
      </c>
      <c r="Q121" s="854">
        <v>5.0505398752761028</v>
      </c>
      <c r="R121" s="854">
        <v>4.3315921176386087</v>
      </c>
      <c r="S121" s="854">
        <v>3.6843414830654417</v>
      </c>
      <c r="T121" s="854">
        <v>3.109176650167421</v>
      </c>
      <c r="U121" s="854">
        <v>2.6102001946710924</v>
      </c>
      <c r="V121" s="854">
        <v>2.2033327732484822</v>
      </c>
      <c r="W121" s="854">
        <v>1.8662233806983097</v>
      </c>
      <c r="X121" s="854">
        <v>1.590111137552457</v>
      </c>
      <c r="Y121" s="854">
        <v>1.3663881157672413</v>
      </c>
      <c r="Z121" s="854">
        <v>1.1906337260747961</v>
      </c>
      <c r="AA121" s="854">
        <v>1.0547351175168489</v>
      </c>
      <c r="AB121" s="854">
        <v>0.94433816135551063</v>
      </c>
      <c r="AC121" s="854">
        <v>0.8532965837066333</v>
      </c>
      <c r="AD121" s="854">
        <v>0.77710508953939983</v>
      </c>
      <c r="AE121" s="854">
        <v>0.71157039607284422</v>
      </c>
      <c r="AF121" s="854">
        <v>0.64702795063653307</v>
      </c>
    </row>
    <row r="122" spans="1:32" s="864" customFormat="1" x14ac:dyDescent="0.25">
      <c r="A122" s="839"/>
      <c r="B122" s="839" t="s">
        <v>27</v>
      </c>
      <c r="C122" s="838"/>
      <c r="D122" s="838"/>
      <c r="E122" s="838"/>
      <c r="F122" s="838"/>
      <c r="G122" s="854"/>
      <c r="H122" s="854">
        <v>10.57309816942379</v>
      </c>
      <c r="I122" s="854">
        <v>10.74885047198438</v>
      </c>
      <c r="J122" s="854">
        <v>12.578480894363668</v>
      </c>
      <c r="K122" s="854">
        <v>12.538698825109583</v>
      </c>
      <c r="L122" s="854">
        <v>13.40103046204354</v>
      </c>
      <c r="M122" s="854">
        <v>14.482326119487109</v>
      </c>
      <c r="N122" s="854">
        <v>12.95692675553906</v>
      </c>
      <c r="O122" s="854">
        <v>11.635445177705652</v>
      </c>
      <c r="P122" s="854">
        <v>10.387579159052923</v>
      </c>
      <c r="Q122" s="854">
        <v>9.2362778610817262</v>
      </c>
      <c r="R122" s="854">
        <v>8.1525438191334842</v>
      </c>
      <c r="S122" s="854">
        <v>7.1396018176669918</v>
      </c>
      <c r="T122" s="854">
        <v>6.2196148076724391</v>
      </c>
      <c r="U122" s="854">
        <v>5.4132937608200731</v>
      </c>
      <c r="V122" s="854">
        <v>4.7299748539627284</v>
      </c>
      <c r="W122" s="854">
        <v>4.1647634578413868</v>
      </c>
      <c r="X122" s="854">
        <v>3.7014716799757066</v>
      </c>
      <c r="Y122" s="854">
        <v>3.3288441220271605</v>
      </c>
      <c r="Z122" s="854">
        <v>3.035848166859707</v>
      </c>
      <c r="AA122" s="854">
        <v>2.8094918791678691</v>
      </c>
      <c r="AB122" s="854">
        <v>2.6373860782843797</v>
      </c>
      <c r="AC122" s="854">
        <v>2.4952065809604416</v>
      </c>
      <c r="AD122" s="854">
        <v>2.3800746302828015</v>
      </c>
      <c r="AE122" s="854">
        <v>2.2860547091950312</v>
      </c>
      <c r="AF122" s="854">
        <v>2.2045611335219739</v>
      </c>
    </row>
    <row r="123" spans="1:32" s="864" customFormat="1" x14ac:dyDescent="0.25">
      <c r="A123" s="839"/>
      <c r="B123" s="839" t="s">
        <v>29</v>
      </c>
      <c r="C123" s="838"/>
      <c r="D123" s="838"/>
      <c r="E123" s="838"/>
      <c r="F123" s="838"/>
      <c r="G123" s="854"/>
      <c r="H123" s="854">
        <v>0.10207664996051932</v>
      </c>
      <c r="I123" s="854">
        <v>0.2587250769936098</v>
      </c>
      <c r="J123" s="854">
        <v>0.42147559652663541</v>
      </c>
      <c r="K123" s="854">
        <v>0.69070881323076505</v>
      </c>
      <c r="L123" s="854">
        <v>1.1023884640463</v>
      </c>
      <c r="M123" s="854">
        <v>1.7289849104329891</v>
      </c>
      <c r="N123" s="854">
        <v>2.4990597055151387</v>
      </c>
      <c r="O123" s="854">
        <v>3.4582317056745171</v>
      </c>
      <c r="P123" s="854">
        <v>4.5496109425636062</v>
      </c>
      <c r="Q123" s="854">
        <v>5.7140527916218105</v>
      </c>
      <c r="R123" s="854">
        <v>6.850545587496855</v>
      </c>
      <c r="S123" s="854">
        <v>7.8993800308088122</v>
      </c>
      <c r="T123" s="854">
        <v>8.7986851014788989</v>
      </c>
      <c r="U123" s="854">
        <v>9.5290127253039998</v>
      </c>
      <c r="V123" s="854">
        <v>10.09193903598549</v>
      </c>
      <c r="W123" s="854">
        <v>10.505045157513463</v>
      </c>
      <c r="X123" s="854">
        <v>10.783533335269013</v>
      </c>
      <c r="Y123" s="854">
        <v>10.965701158344547</v>
      </c>
      <c r="Z123" s="854">
        <v>11.090044381663274</v>
      </c>
      <c r="AA123" s="854">
        <v>11.184324480296931</v>
      </c>
      <c r="AB123" s="854">
        <v>11.285746961986987</v>
      </c>
      <c r="AC123" s="854">
        <v>11.339822855303559</v>
      </c>
      <c r="AD123" s="854">
        <v>11.378311264348461</v>
      </c>
      <c r="AE123" s="854">
        <v>11.412794587626941</v>
      </c>
      <c r="AF123" s="854">
        <v>11.456972479491473</v>
      </c>
    </row>
    <row r="124" spans="1:32" s="864" customFormat="1" x14ac:dyDescent="0.25">
      <c r="A124" s="839"/>
      <c r="B124" s="839"/>
      <c r="C124" s="838"/>
      <c r="D124" s="838"/>
      <c r="E124" s="838"/>
      <c r="F124" s="838"/>
      <c r="G124" s="854"/>
      <c r="H124" s="838"/>
      <c r="I124" s="838"/>
      <c r="J124" s="838"/>
      <c r="K124" s="838"/>
      <c r="L124" s="838"/>
      <c r="M124" s="838"/>
      <c r="N124" s="838"/>
      <c r="O124" s="838"/>
      <c r="P124" s="838"/>
      <c r="Q124" s="838"/>
      <c r="R124" s="838"/>
      <c r="S124" s="838"/>
      <c r="T124" s="838"/>
      <c r="U124" s="838"/>
      <c r="V124" s="838"/>
      <c r="W124" s="838"/>
      <c r="X124" s="838"/>
      <c r="Y124" s="838"/>
      <c r="Z124" s="838"/>
      <c r="AA124" s="838"/>
      <c r="AB124" s="838"/>
      <c r="AC124" s="838"/>
      <c r="AD124" s="838"/>
      <c r="AE124" s="838"/>
      <c r="AF124" s="838"/>
    </row>
    <row r="125" spans="1:32" s="856" customFormat="1" ht="12.75" x14ac:dyDescent="0.2">
      <c r="A125" s="843" t="s">
        <v>32</v>
      </c>
      <c r="B125" s="843"/>
      <c r="C125" s="843"/>
      <c r="D125" s="843"/>
      <c r="E125" s="843"/>
      <c r="F125" s="843"/>
      <c r="G125" s="865"/>
      <c r="H125" s="843"/>
      <c r="I125" s="843"/>
      <c r="J125" s="843"/>
      <c r="K125" s="843"/>
      <c r="L125" s="843"/>
      <c r="M125" s="843"/>
      <c r="N125" s="843"/>
      <c r="O125" s="843"/>
      <c r="P125" s="843"/>
      <c r="Q125" s="843"/>
      <c r="R125" s="843"/>
      <c r="S125" s="843"/>
      <c r="T125" s="843"/>
      <c r="U125" s="843"/>
      <c r="V125" s="843"/>
      <c r="W125" s="843"/>
      <c r="X125" s="843"/>
      <c r="Y125" s="843"/>
      <c r="Z125" s="843"/>
      <c r="AA125" s="843"/>
      <c r="AB125" s="843"/>
      <c r="AC125" s="843"/>
      <c r="AD125" s="843"/>
      <c r="AE125" s="843"/>
      <c r="AF125" s="843"/>
    </row>
    <row r="126" spans="1:32" s="864" customFormat="1" x14ac:dyDescent="0.25">
      <c r="A126" s="839"/>
      <c r="B126" s="839" t="s">
        <v>33</v>
      </c>
      <c r="C126" s="838"/>
      <c r="D126" s="838"/>
      <c r="E126" s="838"/>
      <c r="F126" s="838"/>
      <c r="G126" s="854"/>
      <c r="H126" s="854">
        <v>1.7371073873169274</v>
      </c>
      <c r="I126" s="854">
        <v>1.8727349381672247</v>
      </c>
      <c r="J126" s="854">
        <v>1.9734855791187704</v>
      </c>
      <c r="K126" s="854">
        <v>2.00589651536766</v>
      </c>
      <c r="L126" s="854">
        <v>1.8682783434233339</v>
      </c>
      <c r="M126" s="854">
        <v>1.6670794673506351</v>
      </c>
      <c r="N126" s="854">
        <v>1.4570328115649853</v>
      </c>
      <c r="O126" s="854">
        <v>1.2455519640608865</v>
      </c>
      <c r="P126" s="854">
        <v>1.0476698473483985</v>
      </c>
      <c r="Q126" s="854">
        <v>0.86008022496403014</v>
      </c>
      <c r="R126" s="854">
        <v>0.68979426662237098</v>
      </c>
      <c r="S126" s="854">
        <v>0.54732419635372698</v>
      </c>
      <c r="T126" s="854">
        <v>0.43083304568931491</v>
      </c>
      <c r="U126" s="854">
        <v>0.33805750164003168</v>
      </c>
      <c r="V126" s="854">
        <v>0.26804304398721207</v>
      </c>
      <c r="W126" s="854">
        <v>0.21438937133425276</v>
      </c>
      <c r="X126" s="854">
        <v>0.17371596853296656</v>
      </c>
      <c r="Y126" s="854">
        <v>0.1428766041577032</v>
      </c>
      <c r="Z126" s="854">
        <v>0.11999980154259376</v>
      </c>
      <c r="AA126" s="854">
        <v>0.10314030491618688</v>
      </c>
      <c r="AB126" s="854">
        <v>8.9937810600796697E-2</v>
      </c>
      <c r="AC126" s="854">
        <v>7.9297963905422458E-2</v>
      </c>
      <c r="AD126" s="854">
        <v>7.0649395982150073E-2</v>
      </c>
      <c r="AE126" s="854">
        <v>6.3273027338611482E-2</v>
      </c>
      <c r="AF126" s="854">
        <v>5.6031675617730134E-2</v>
      </c>
    </row>
    <row r="127" spans="1:32" s="864" customFormat="1" x14ac:dyDescent="0.25">
      <c r="A127" s="842"/>
      <c r="B127" s="842" t="s">
        <v>34</v>
      </c>
      <c r="C127" s="838"/>
      <c r="D127" s="838"/>
      <c r="E127" s="838"/>
      <c r="F127" s="838"/>
      <c r="G127" s="854"/>
      <c r="H127" s="854">
        <v>3.4459036271108383</v>
      </c>
      <c r="I127" s="854">
        <v>3.2890695906291536</v>
      </c>
      <c r="J127" s="854">
        <v>3.0770377534609938</v>
      </c>
      <c r="K127" s="854">
        <v>2.8083182344196231</v>
      </c>
      <c r="L127" s="854">
        <v>2.6821087926681999</v>
      </c>
      <c r="M127" s="854">
        <v>2.5132753974140676</v>
      </c>
      <c r="N127" s="854">
        <v>2.2928914795280266</v>
      </c>
      <c r="O127" s="854">
        <v>2.0438247633495163</v>
      </c>
      <c r="P127" s="854">
        <v>1.7846875008241936</v>
      </c>
      <c r="Q127" s="854">
        <v>1.5321702418508329</v>
      </c>
      <c r="R127" s="854">
        <v>1.295799781044769</v>
      </c>
      <c r="S127" s="854">
        <v>1.087251297872974</v>
      </c>
      <c r="T127" s="854">
        <v>0.90842179267888556</v>
      </c>
      <c r="U127" s="854">
        <v>0.7600267857903753</v>
      </c>
      <c r="V127" s="854">
        <v>0.64236180250196773</v>
      </c>
      <c r="W127" s="854">
        <v>0.54931201267501173</v>
      </c>
      <c r="X127" s="854">
        <v>0.47660054609536706</v>
      </c>
      <c r="Y127" s="854">
        <v>0.42019144866046421</v>
      </c>
      <c r="Z127" s="854">
        <v>0.37767847391392662</v>
      </c>
      <c r="AA127" s="854">
        <v>0.3462725063034171</v>
      </c>
      <c r="AB127" s="854">
        <v>0.32250119807949912</v>
      </c>
      <c r="AC127" s="854">
        <v>0.30290697905999497</v>
      </c>
      <c r="AD127" s="854">
        <v>0.28719269391573415</v>
      </c>
      <c r="AE127" s="854">
        <v>0.27391906787525561</v>
      </c>
      <c r="AF127" s="854">
        <v>0.26066524878973973</v>
      </c>
    </row>
    <row r="128" spans="1:32" s="864" customFormat="1" x14ac:dyDescent="0.25">
      <c r="A128" s="839"/>
      <c r="B128" s="842" t="s">
        <v>35</v>
      </c>
      <c r="C128" s="838"/>
      <c r="D128" s="838"/>
      <c r="E128" s="838"/>
      <c r="F128" s="838"/>
      <c r="G128" s="854"/>
      <c r="H128" s="854">
        <v>0.4996446136434407</v>
      </c>
      <c r="I128" s="854">
        <v>0.51258260507292297</v>
      </c>
      <c r="J128" s="854">
        <v>0.53751694804296168</v>
      </c>
      <c r="K128" s="854">
        <v>0.56613132819208578</v>
      </c>
      <c r="L128" s="854">
        <v>0.54670772578706539</v>
      </c>
      <c r="M128" s="854">
        <v>0.52755187684260707</v>
      </c>
      <c r="N128" s="854">
        <v>0.4924463689835607</v>
      </c>
      <c r="O128" s="854">
        <v>0.4482126885006914</v>
      </c>
      <c r="P128" s="854">
        <v>0.39782666106639741</v>
      </c>
      <c r="Q128" s="854">
        <v>0.34885761183063224</v>
      </c>
      <c r="R128" s="854">
        <v>0.30302514601869707</v>
      </c>
      <c r="S128" s="854">
        <v>0.26136396214034519</v>
      </c>
      <c r="T128" s="854">
        <v>0.22481897847157531</v>
      </c>
      <c r="U128" s="854">
        <v>0.19403070551503038</v>
      </c>
      <c r="V128" s="854">
        <v>0.16887881003666477</v>
      </c>
      <c r="W128" s="854">
        <v>0.14887223750110373</v>
      </c>
      <c r="X128" s="854">
        <v>0.13317293279985232</v>
      </c>
      <c r="Y128" s="854">
        <v>0.1210661750498976</v>
      </c>
      <c r="Z128" s="854">
        <v>0.11201592412762391</v>
      </c>
      <c r="AA128" s="854">
        <v>0.10544875494143174</v>
      </c>
      <c r="AB128" s="854">
        <v>0.10091416984334792</v>
      </c>
      <c r="AC128" s="854">
        <v>9.7236788243928687E-2</v>
      </c>
      <c r="AD128" s="854">
        <v>9.451992085147401E-2</v>
      </c>
      <c r="AE128" s="854">
        <v>9.247010106803441E-2</v>
      </c>
      <c r="AF128" s="854">
        <v>9.0794792883529457E-2</v>
      </c>
    </row>
    <row r="129" spans="1:32" s="864" customFormat="1" x14ac:dyDescent="0.25">
      <c r="A129" s="839"/>
      <c r="B129" s="842" t="s">
        <v>29</v>
      </c>
      <c r="C129" s="838"/>
      <c r="D129" s="838"/>
      <c r="E129" s="838"/>
      <c r="F129" s="838"/>
      <c r="G129" s="854"/>
      <c r="H129" s="854">
        <v>3.5379028390109507E-2</v>
      </c>
      <c r="I129" s="854">
        <v>0.11358675305953964</v>
      </c>
      <c r="J129" s="854">
        <v>0.27471156889010451</v>
      </c>
      <c r="K129" s="854">
        <v>0.52278805544442652</v>
      </c>
      <c r="L129" s="854">
        <v>0.81720777230803665</v>
      </c>
      <c r="M129" s="854">
        <v>1.1634556546181569</v>
      </c>
      <c r="N129" s="854">
        <v>1.5231242783286074</v>
      </c>
      <c r="O129" s="854">
        <v>1.8702791787819688</v>
      </c>
      <c r="P129" s="854">
        <v>2.1765608299758163</v>
      </c>
      <c r="Q129" s="854">
        <v>2.4318307247623849</v>
      </c>
      <c r="R129" s="854">
        <v>2.6243013859770832</v>
      </c>
      <c r="S129" s="854">
        <v>2.7562828711019032</v>
      </c>
      <c r="T129" s="854">
        <v>2.8318914850635051</v>
      </c>
      <c r="U129" s="854">
        <v>2.861795051268281</v>
      </c>
      <c r="V129" s="854">
        <v>2.8579888398139861</v>
      </c>
      <c r="W129" s="854">
        <v>2.8312338147639737</v>
      </c>
      <c r="X129" s="854">
        <v>2.7899189470635983</v>
      </c>
      <c r="Y129" s="854">
        <v>2.7431574639443443</v>
      </c>
      <c r="Z129" s="854">
        <v>2.6993525715533391</v>
      </c>
      <c r="AA129" s="854">
        <v>2.663280296769118</v>
      </c>
      <c r="AB129" s="854">
        <v>2.6413701197174264</v>
      </c>
      <c r="AC129" s="854">
        <v>2.6181497347012468</v>
      </c>
      <c r="AD129" s="854">
        <v>2.6021017955227137</v>
      </c>
      <c r="AE129" s="854">
        <v>2.5912691914954662</v>
      </c>
      <c r="AF129" s="854">
        <v>2.5885860746639526</v>
      </c>
    </row>
    <row r="130" spans="1:32" s="864" customFormat="1" x14ac:dyDescent="0.25">
      <c r="A130" s="839"/>
      <c r="B130" s="839"/>
      <c r="C130" s="838"/>
      <c r="D130" s="838"/>
      <c r="E130" s="838"/>
      <c r="F130" s="838"/>
      <c r="G130" s="854"/>
      <c r="H130" s="838"/>
      <c r="I130" s="838"/>
      <c r="J130" s="838"/>
      <c r="K130" s="838"/>
      <c r="L130" s="838"/>
      <c r="M130" s="838"/>
      <c r="N130" s="838"/>
      <c r="O130" s="838"/>
      <c r="P130" s="838"/>
      <c r="Q130" s="838"/>
      <c r="R130" s="838"/>
      <c r="S130" s="838"/>
      <c r="T130" s="838"/>
      <c r="U130" s="838"/>
      <c r="V130" s="838"/>
      <c r="W130" s="838"/>
      <c r="X130" s="838"/>
      <c r="Y130" s="838"/>
      <c r="Z130" s="838"/>
      <c r="AA130" s="838"/>
      <c r="AB130" s="838"/>
      <c r="AC130" s="838"/>
      <c r="AD130" s="838"/>
      <c r="AE130" s="838"/>
      <c r="AF130" s="838"/>
    </row>
    <row r="131" spans="1:32" s="856" customFormat="1" ht="12.75" x14ac:dyDescent="0.2">
      <c r="A131" s="843" t="s">
        <v>36</v>
      </c>
      <c r="B131" s="843"/>
      <c r="C131" s="843"/>
      <c r="D131" s="843"/>
      <c r="E131" s="843"/>
      <c r="F131" s="843"/>
      <c r="G131" s="865"/>
      <c r="H131" s="843"/>
      <c r="I131" s="843"/>
      <c r="J131" s="843"/>
      <c r="K131" s="843"/>
      <c r="L131" s="843"/>
      <c r="M131" s="843"/>
      <c r="N131" s="843"/>
      <c r="O131" s="843"/>
      <c r="P131" s="843"/>
      <c r="Q131" s="843"/>
      <c r="R131" s="843"/>
      <c r="S131" s="843"/>
      <c r="T131" s="843"/>
      <c r="U131" s="843"/>
      <c r="V131" s="843"/>
      <c r="W131" s="843"/>
      <c r="X131" s="843"/>
      <c r="Y131" s="843"/>
      <c r="Z131" s="843"/>
      <c r="AA131" s="843"/>
      <c r="AB131" s="843"/>
      <c r="AC131" s="843"/>
      <c r="AD131" s="843"/>
      <c r="AE131" s="843"/>
      <c r="AF131" s="843"/>
    </row>
    <row r="132" spans="1:32" s="864" customFormat="1" x14ac:dyDescent="0.25">
      <c r="A132" s="839"/>
      <c r="B132" s="839" t="s">
        <v>37</v>
      </c>
      <c r="C132" s="838"/>
      <c r="D132" s="838"/>
      <c r="E132" s="838"/>
      <c r="F132" s="855"/>
      <c r="G132" s="854"/>
      <c r="H132" s="854">
        <v>0.7033570832402597</v>
      </c>
      <c r="I132" s="854">
        <v>0.55449506724942121</v>
      </c>
      <c r="J132" s="854">
        <v>0.41644421995272873</v>
      </c>
      <c r="K132" s="854">
        <v>0.29084797141530783</v>
      </c>
      <c r="L132" s="854">
        <v>0.25872825894061857</v>
      </c>
      <c r="M132" s="854">
        <v>0.22998320625871363</v>
      </c>
      <c r="N132" s="854">
        <v>0.20670100615091375</v>
      </c>
      <c r="O132" s="854">
        <v>0.19044244854538298</v>
      </c>
      <c r="P132" s="854">
        <v>0.17554632806002021</v>
      </c>
      <c r="Q132" s="854">
        <v>0.16187369083530215</v>
      </c>
      <c r="R132" s="854">
        <v>0.14931251009386656</v>
      </c>
      <c r="S132" s="854">
        <v>0.13777490677894222</v>
      </c>
      <c r="T132" s="854">
        <v>0.12716534336111002</v>
      </c>
      <c r="U132" s="854">
        <v>0.11740319993143876</v>
      </c>
      <c r="V132" s="854">
        <v>0.10842103147541424</v>
      </c>
      <c r="W132" s="854">
        <v>0.10014799048117312</v>
      </c>
      <c r="X132" s="854">
        <v>9.2525485754277784E-2</v>
      </c>
      <c r="Y132" s="854">
        <v>8.5500052291948056E-2</v>
      </c>
      <c r="Z132" s="854">
        <v>7.9025037407530058E-2</v>
      </c>
      <c r="AA132" s="854">
        <v>7.3056158539438934E-2</v>
      </c>
      <c r="AB132" s="854">
        <v>6.7550476883461261E-2</v>
      </c>
      <c r="AC132" s="854">
        <v>6.2469085932127945E-2</v>
      </c>
      <c r="AD132" s="854">
        <v>5.7779159157274058E-2</v>
      </c>
      <c r="AE132" s="854">
        <v>5.3448999907485424E-2</v>
      </c>
      <c r="AF132" s="854">
        <v>4.9447295606215171E-2</v>
      </c>
    </row>
    <row r="133" spans="1:32" s="864" customFormat="1" x14ac:dyDescent="0.25">
      <c r="A133" s="839"/>
      <c r="B133" s="839" t="s">
        <v>39</v>
      </c>
      <c r="C133" s="838"/>
      <c r="D133" s="838"/>
      <c r="E133" s="857"/>
      <c r="F133" s="838"/>
      <c r="G133" s="854"/>
      <c r="H133" s="854">
        <v>1.5790483736959349</v>
      </c>
      <c r="I133" s="854">
        <v>1.625623556887122</v>
      </c>
      <c r="J133" s="854">
        <v>1.6355507944277448</v>
      </c>
      <c r="K133" s="854">
        <v>1.5969583054620915</v>
      </c>
      <c r="L133" s="854">
        <v>1.5015565900799124</v>
      </c>
      <c r="M133" s="854">
        <v>1.3928055324294086</v>
      </c>
      <c r="N133" s="854">
        <v>1.2820165797655394</v>
      </c>
      <c r="O133" s="854">
        <v>1.1750118030166847</v>
      </c>
      <c r="P133" s="854">
        <v>1.079600030239912</v>
      </c>
      <c r="Q133" s="854">
        <v>0.99328588365449733</v>
      </c>
      <c r="R133" s="854">
        <v>0.91528387180346504</v>
      </c>
      <c r="S133" s="854">
        <v>0.84911931368461024</v>
      </c>
      <c r="T133" s="854">
        <v>0.7909826799513473</v>
      </c>
      <c r="U133" s="854">
        <v>0.7396404765888781</v>
      </c>
      <c r="V133" s="854">
        <v>0.69603714960716556</v>
      </c>
      <c r="W133" s="854">
        <v>0.65699176750486166</v>
      </c>
      <c r="X133" s="854">
        <v>0.62191555306073687</v>
      </c>
      <c r="Y133" s="854">
        <v>0.59033013018110392</v>
      </c>
      <c r="Z133" s="854">
        <v>0.56279476809815643</v>
      </c>
      <c r="AA133" s="854">
        <v>0.53907257143730325</v>
      </c>
      <c r="AB133" s="854">
        <v>0.5179841255709039</v>
      </c>
      <c r="AC133" s="854">
        <v>0.4978599450821326</v>
      </c>
      <c r="AD133" s="854">
        <v>0.47927738260582864</v>
      </c>
      <c r="AE133" s="854">
        <v>0.46177824173961057</v>
      </c>
      <c r="AF133" s="854">
        <v>0.44387765401708656</v>
      </c>
    </row>
    <row r="134" spans="1:32" s="864" customFormat="1" x14ac:dyDescent="0.25">
      <c r="A134" s="839"/>
      <c r="B134" s="839" t="s">
        <v>40</v>
      </c>
      <c r="C134" s="838"/>
      <c r="D134" s="838"/>
      <c r="E134" s="838"/>
      <c r="F134" s="838"/>
      <c r="G134" s="854"/>
      <c r="H134" s="854">
        <v>0.51206539385184369</v>
      </c>
      <c r="I134" s="854">
        <v>0.68840694085190324</v>
      </c>
      <c r="J134" s="854">
        <v>0.88008876047570839</v>
      </c>
      <c r="K134" s="854">
        <v>1.0716583888533675</v>
      </c>
      <c r="L134" s="854">
        <v>1.2162970450347081</v>
      </c>
      <c r="M134" s="854">
        <v>1.3406630026754613</v>
      </c>
      <c r="N134" s="854">
        <v>1.4285099443876697</v>
      </c>
      <c r="O134" s="854">
        <v>1.4847211762203718</v>
      </c>
      <c r="P134" s="854">
        <v>1.5126212358496172</v>
      </c>
      <c r="Q134" s="854">
        <v>1.5157629173850682</v>
      </c>
      <c r="R134" s="854">
        <v>1.497972563359834</v>
      </c>
      <c r="S134" s="854">
        <v>1.469099401374212</v>
      </c>
      <c r="T134" s="854">
        <v>1.4302635204334422</v>
      </c>
      <c r="U134" s="854">
        <v>1.385841245702405</v>
      </c>
      <c r="V134" s="854">
        <v>1.3415427004994032</v>
      </c>
      <c r="W134" s="854">
        <v>1.296844305949203</v>
      </c>
      <c r="X134" s="854">
        <v>1.2532566949756949</v>
      </c>
      <c r="Y134" s="854">
        <v>1.2120155723765555</v>
      </c>
      <c r="Z134" s="854">
        <v>1.1753100168530897</v>
      </c>
      <c r="AA134" s="854">
        <v>1.143592642882584</v>
      </c>
      <c r="AB134" s="854">
        <v>1.1162473072976211</v>
      </c>
      <c r="AC134" s="854">
        <v>1.0890164899907924</v>
      </c>
      <c r="AD134" s="854">
        <v>1.0638523641091715</v>
      </c>
      <c r="AE134" s="854">
        <v>1.0401831566204358</v>
      </c>
      <c r="AF134" s="854">
        <v>1.0151562901428859</v>
      </c>
    </row>
    <row r="135" spans="1:32" s="864" customFormat="1" x14ac:dyDescent="0.25">
      <c r="A135" s="839"/>
      <c r="B135" s="839" t="s">
        <v>29</v>
      </c>
      <c r="C135" s="838"/>
      <c r="D135" s="838"/>
      <c r="E135" s="838"/>
      <c r="F135" s="838"/>
      <c r="G135" s="854"/>
      <c r="H135" s="854">
        <v>6.3685339506535404E-5</v>
      </c>
      <c r="I135" s="854">
        <v>1.5330346129712978E-3</v>
      </c>
      <c r="J135" s="854">
        <v>9.9035023822937156E-3</v>
      </c>
      <c r="K135" s="854">
        <v>3.3692788071955741E-2</v>
      </c>
      <c r="L135" s="854">
        <v>7.9780360882584306E-2</v>
      </c>
      <c r="M135" s="854">
        <v>0.15200967741251048</v>
      </c>
      <c r="N135" s="854">
        <v>0.24702415555213181</v>
      </c>
      <c r="O135" s="854">
        <v>0.361104290903352</v>
      </c>
      <c r="P135" s="854">
        <v>0.48852870718565411</v>
      </c>
      <c r="Q135" s="854">
        <v>0.62586389195354775</v>
      </c>
      <c r="R135" s="854">
        <v>0.76390607753060613</v>
      </c>
      <c r="S135" s="854">
        <v>0.90439790832505795</v>
      </c>
      <c r="T135" s="854">
        <v>1.0411150473640145</v>
      </c>
      <c r="U135" s="854">
        <v>1.1712548482788714</v>
      </c>
      <c r="V135" s="854">
        <v>1.2935810965240404</v>
      </c>
      <c r="W135" s="854">
        <v>1.4044588361706518</v>
      </c>
      <c r="X135" s="854">
        <v>1.5026619380870208</v>
      </c>
      <c r="Y135" s="854">
        <v>1.5896008467177589</v>
      </c>
      <c r="Z135" s="854">
        <v>1.6692665503376343</v>
      </c>
      <c r="AA135" s="854">
        <v>1.7439231228595011</v>
      </c>
      <c r="AB135" s="854">
        <v>1.8189193974812787</v>
      </c>
      <c r="AC135" s="854">
        <v>1.8801004370904022</v>
      </c>
      <c r="AD135" s="854">
        <v>1.9363039387322138</v>
      </c>
      <c r="AE135" s="854">
        <v>1.9886852375163562</v>
      </c>
      <c r="AF135" s="854">
        <v>2.0406465028356138</v>
      </c>
    </row>
    <row r="136" spans="1:32" s="864" customFormat="1" x14ac:dyDescent="0.25">
      <c r="A136" s="839"/>
      <c r="B136" s="839"/>
      <c r="C136" s="838"/>
      <c r="D136" s="838"/>
      <c r="E136" s="838"/>
      <c r="F136" s="838"/>
      <c r="G136" s="854"/>
      <c r="H136" s="838"/>
      <c r="I136" s="838"/>
      <c r="J136" s="838"/>
      <c r="K136" s="838"/>
      <c r="L136" s="838"/>
      <c r="M136" s="838"/>
      <c r="N136" s="838"/>
      <c r="O136" s="838"/>
      <c r="P136" s="838"/>
      <c r="Q136" s="838"/>
      <c r="R136" s="838"/>
      <c r="S136" s="838"/>
      <c r="T136" s="838"/>
      <c r="U136" s="838"/>
      <c r="V136" s="838"/>
      <c r="W136" s="838"/>
      <c r="X136" s="838"/>
      <c r="Y136" s="838"/>
      <c r="Z136" s="838"/>
      <c r="AA136" s="838"/>
      <c r="AB136" s="838"/>
      <c r="AC136" s="838"/>
      <c r="AD136" s="838"/>
      <c r="AE136" s="838"/>
      <c r="AF136" s="838"/>
    </row>
    <row r="137" spans="1:32" s="856" customFormat="1" ht="12.75" x14ac:dyDescent="0.2">
      <c r="A137" s="843" t="s">
        <v>42</v>
      </c>
      <c r="B137" s="843"/>
      <c r="C137" s="843"/>
      <c r="D137" s="843"/>
      <c r="E137" s="843"/>
      <c r="F137" s="843"/>
      <c r="G137" s="865"/>
      <c r="H137" s="843"/>
      <c r="I137" s="843"/>
      <c r="J137" s="843"/>
      <c r="K137" s="843"/>
      <c r="L137" s="843"/>
      <c r="M137" s="843"/>
      <c r="N137" s="843"/>
      <c r="O137" s="843"/>
      <c r="P137" s="843"/>
      <c r="Q137" s="843"/>
      <c r="R137" s="843"/>
      <c r="S137" s="843"/>
      <c r="T137" s="843"/>
      <c r="U137" s="843"/>
      <c r="V137" s="843"/>
      <c r="W137" s="843"/>
      <c r="X137" s="843"/>
      <c r="Y137" s="843"/>
      <c r="Z137" s="843"/>
      <c r="AA137" s="843"/>
      <c r="AB137" s="843"/>
      <c r="AC137" s="843"/>
      <c r="AD137" s="843"/>
      <c r="AE137" s="843"/>
      <c r="AF137" s="843"/>
    </row>
    <row r="138" spans="1:32" s="864" customFormat="1" x14ac:dyDescent="0.25">
      <c r="A138" s="839"/>
      <c r="B138" s="842" t="s">
        <v>43</v>
      </c>
      <c r="C138" s="838"/>
      <c r="D138" s="838"/>
      <c r="E138" s="838"/>
      <c r="F138" s="838"/>
      <c r="G138" s="854"/>
      <c r="H138" s="854">
        <v>1.3939869610122388E-3</v>
      </c>
      <c r="I138" s="854">
        <v>1.3339515773753085E-3</v>
      </c>
      <c r="J138" s="854">
        <v>1.2749380139007534E-3</v>
      </c>
      <c r="K138" s="854">
        <v>1.215001221520537E-3</v>
      </c>
      <c r="L138" s="854">
        <v>1.1584087444354168E-3</v>
      </c>
      <c r="M138" s="854">
        <v>1.1035768863676171E-3</v>
      </c>
      <c r="N138" s="854">
        <v>1.0504180705275827E-3</v>
      </c>
      <c r="O138" s="854">
        <v>1.0001364182949909E-3</v>
      </c>
      <c r="P138" s="854">
        <v>9.5294382576148126E-4</v>
      </c>
      <c r="Q138" s="854">
        <v>9.0874925266503617E-4</v>
      </c>
      <c r="R138" s="854">
        <v>8.6717116623294583E-4</v>
      </c>
      <c r="S138" s="854">
        <v>8.2941002107579176E-4</v>
      </c>
      <c r="T138" s="854">
        <v>7.9464553789575362E-4</v>
      </c>
      <c r="U138" s="854">
        <v>7.6271320198356869E-4</v>
      </c>
      <c r="V138" s="854">
        <v>7.3375893190983732E-4</v>
      </c>
      <c r="W138" s="854">
        <v>7.0698727988175976E-4</v>
      </c>
      <c r="X138" s="854">
        <v>6.8211539372642739E-4</v>
      </c>
      <c r="Y138" s="854">
        <v>6.5903195630382012E-4</v>
      </c>
      <c r="Z138" s="854">
        <v>6.3795626650564206E-4</v>
      </c>
      <c r="AA138" s="854">
        <v>6.1885408246752983E-4</v>
      </c>
      <c r="AB138" s="854">
        <v>6.0177076622952629E-4</v>
      </c>
      <c r="AC138" s="854">
        <v>5.8528592286977545E-4</v>
      </c>
      <c r="AD138" s="854">
        <v>5.6998110438508131E-4</v>
      </c>
      <c r="AE138" s="854">
        <v>5.5574775032277721E-4</v>
      </c>
      <c r="AF138" s="854">
        <v>5.4246408781042071E-4</v>
      </c>
    </row>
    <row r="139" spans="1:32" s="864" customFormat="1" x14ac:dyDescent="0.25">
      <c r="A139" s="839"/>
      <c r="B139" s="842" t="s">
        <v>44</v>
      </c>
      <c r="C139" s="838"/>
      <c r="D139" s="838"/>
      <c r="E139" s="838"/>
      <c r="F139" s="838"/>
      <c r="G139" s="854"/>
      <c r="H139" s="854">
        <v>2.4746637072202621E-2</v>
      </c>
      <c r="I139" s="854">
        <v>2.5741951097433827E-2</v>
      </c>
      <c r="J139" s="854">
        <v>2.6414427676084363E-2</v>
      </c>
      <c r="K139" s="854">
        <v>2.6607373805219155E-2</v>
      </c>
      <c r="L139" s="854">
        <v>2.6736953851445595E-2</v>
      </c>
      <c r="M139" s="854">
        <v>2.6688191916398894E-2</v>
      </c>
      <c r="N139" s="854">
        <v>2.6466794099102898E-2</v>
      </c>
      <c r="O139" s="854">
        <v>2.6208683256383217E-2</v>
      </c>
      <c r="P139" s="854">
        <v>2.5953482658265498E-2</v>
      </c>
      <c r="Q139" s="854">
        <v>2.571485413425122E-2</v>
      </c>
      <c r="R139" s="854">
        <v>2.5474925673020021E-2</v>
      </c>
      <c r="S139" s="854">
        <v>2.5362066087874835E-2</v>
      </c>
      <c r="T139" s="854">
        <v>2.5315111031765411E-2</v>
      </c>
      <c r="U139" s="854">
        <v>2.5333275317036177E-2</v>
      </c>
      <c r="V139" s="854">
        <v>2.5442829575774501E-2</v>
      </c>
      <c r="W139" s="854">
        <v>2.5582129153859788E-2</v>
      </c>
      <c r="X139" s="854">
        <v>2.5735738794293941E-2</v>
      </c>
      <c r="Y139" s="854">
        <v>2.5903841135365611E-2</v>
      </c>
      <c r="Z139" s="854">
        <v>2.6116667030380143E-2</v>
      </c>
      <c r="AA139" s="854">
        <v>2.6380090992470552E-2</v>
      </c>
      <c r="AB139" s="854">
        <v>2.6674710731121085E-2</v>
      </c>
      <c r="AC139" s="854">
        <v>2.6939682548330995E-2</v>
      </c>
      <c r="AD139" s="854">
        <v>2.717066060976097E-2</v>
      </c>
      <c r="AE139" s="854">
        <v>2.739822421447051E-2</v>
      </c>
      <c r="AF139" s="854">
        <v>2.7619331738296986E-2</v>
      </c>
    </row>
    <row r="140" spans="1:32" s="864" customFormat="1" x14ac:dyDescent="0.25">
      <c r="A140" s="839"/>
      <c r="B140" s="842" t="s">
        <v>45</v>
      </c>
      <c r="C140" s="838"/>
      <c r="D140" s="838"/>
      <c r="E140" s="838"/>
      <c r="F140" s="838"/>
      <c r="G140" s="854"/>
      <c r="H140" s="854">
        <v>8.7365374705967152E-3</v>
      </c>
      <c r="I140" s="854">
        <v>8.2023712112596365E-3</v>
      </c>
      <c r="J140" s="854">
        <v>7.7009138212096543E-3</v>
      </c>
      <c r="K140" s="854">
        <v>7.2290252488086846E-3</v>
      </c>
      <c r="L140" s="854">
        <v>6.7869898738593124E-3</v>
      </c>
      <c r="M140" s="854">
        <v>6.3721902798983274E-3</v>
      </c>
      <c r="N140" s="854">
        <v>5.9828056352937784E-3</v>
      </c>
      <c r="O140" s="854">
        <v>5.6179044919696689E-3</v>
      </c>
      <c r="P140" s="854">
        <v>5.276101838795481E-3</v>
      </c>
      <c r="Q140" s="854">
        <v>4.9559766265099567E-3</v>
      </c>
      <c r="R140" s="854">
        <v>4.6560220152829452E-3</v>
      </c>
      <c r="S140" s="854">
        <v>4.3756587968858934E-3</v>
      </c>
      <c r="T140" s="854">
        <v>4.1133057460265255E-3</v>
      </c>
      <c r="U140" s="854">
        <v>3.8678147184424889E-3</v>
      </c>
      <c r="V140" s="854">
        <v>3.6382662250623145E-3</v>
      </c>
      <c r="W140" s="854">
        <v>3.4233119592160322E-3</v>
      </c>
      <c r="X140" s="854">
        <v>3.2219370043933457E-3</v>
      </c>
      <c r="Y140" s="854">
        <v>3.0332782543584366E-3</v>
      </c>
      <c r="Z140" s="854">
        <v>2.8566994677203107E-3</v>
      </c>
      <c r="AA140" s="854">
        <v>2.6914763907812927E-3</v>
      </c>
      <c r="AB140" s="854">
        <v>2.5369829022142717E-3</v>
      </c>
      <c r="AC140" s="854">
        <v>2.3918292314633891E-3</v>
      </c>
      <c r="AD140" s="854">
        <v>2.2557643869138572E-3</v>
      </c>
      <c r="AE140" s="854">
        <v>2.1281966773946531E-3</v>
      </c>
      <c r="AF140" s="854">
        <v>2.0085735286107867E-3</v>
      </c>
    </row>
    <row r="141" spans="1:32" s="864" customFormat="1" x14ac:dyDescent="0.25">
      <c r="A141" s="839"/>
      <c r="B141" s="842" t="s">
        <v>46</v>
      </c>
      <c r="C141" s="838"/>
      <c r="D141" s="838"/>
      <c r="E141" s="838"/>
      <c r="F141" s="838"/>
      <c r="G141" s="854"/>
      <c r="H141" s="854">
        <v>0</v>
      </c>
      <c r="I141" s="854">
        <v>0</v>
      </c>
      <c r="J141" s="854">
        <v>0</v>
      </c>
      <c r="K141" s="854">
        <v>0</v>
      </c>
      <c r="L141" s="854">
        <v>0</v>
      </c>
      <c r="M141" s="854">
        <v>0</v>
      </c>
      <c r="N141" s="854">
        <v>0</v>
      </c>
      <c r="O141" s="854">
        <v>0</v>
      </c>
      <c r="P141" s="854">
        <v>0</v>
      </c>
      <c r="Q141" s="854">
        <v>0</v>
      </c>
      <c r="R141" s="854">
        <v>0</v>
      </c>
      <c r="S141" s="854">
        <v>0</v>
      </c>
      <c r="T141" s="854">
        <v>0</v>
      </c>
      <c r="U141" s="854">
        <v>0</v>
      </c>
      <c r="V141" s="854">
        <v>0</v>
      </c>
      <c r="W141" s="854">
        <v>0</v>
      </c>
      <c r="X141" s="854">
        <v>0</v>
      </c>
      <c r="Y141" s="854">
        <v>0</v>
      </c>
      <c r="Z141" s="854">
        <v>0</v>
      </c>
      <c r="AA141" s="854">
        <v>0</v>
      </c>
      <c r="AB141" s="854">
        <v>0</v>
      </c>
      <c r="AC141" s="854">
        <v>0</v>
      </c>
      <c r="AD141" s="854">
        <v>0</v>
      </c>
      <c r="AE141" s="854">
        <v>0</v>
      </c>
      <c r="AF141" s="854">
        <v>0</v>
      </c>
    </row>
    <row r="142" spans="1:32" s="864" customFormat="1" x14ac:dyDescent="0.25">
      <c r="A142" s="839"/>
      <c r="B142" s="839" t="s">
        <v>29</v>
      </c>
      <c r="C142" s="838"/>
      <c r="D142" s="838"/>
      <c r="E142" s="838"/>
      <c r="F142" s="838"/>
      <c r="G142" s="854"/>
      <c r="H142" s="854">
        <v>2.136061486592661E-3</v>
      </c>
      <c r="I142" s="854">
        <v>3.0888787268928321E-3</v>
      </c>
      <c r="J142" s="854">
        <v>4.2175188190135418E-3</v>
      </c>
      <c r="K142" s="854">
        <v>5.4513511069927099E-3</v>
      </c>
      <c r="L142" s="854">
        <v>6.8171005575665107E-3</v>
      </c>
      <c r="M142" s="854">
        <v>8.2304732863600141E-3</v>
      </c>
      <c r="N142" s="854">
        <v>9.6167038467321695E-3</v>
      </c>
      <c r="O142" s="854">
        <v>1.0969926523258625E-2</v>
      </c>
      <c r="P142" s="854">
        <v>1.2261705296772183E-2</v>
      </c>
      <c r="Q142" s="854">
        <v>1.345669646626641E-2</v>
      </c>
      <c r="R142" s="854">
        <v>1.4498725159359259E-2</v>
      </c>
      <c r="S142" s="854">
        <v>1.5467862252991927E-2</v>
      </c>
      <c r="T142" s="854">
        <v>1.6309854274615593E-2</v>
      </c>
      <c r="U142" s="854">
        <v>1.703203280407509E-2</v>
      </c>
      <c r="V142" s="854">
        <v>1.7681185963368231E-2</v>
      </c>
      <c r="W142" s="854">
        <v>1.821862180068351E-2</v>
      </c>
      <c r="X142" s="854">
        <v>1.865294187828305E-2</v>
      </c>
      <c r="Y142" s="854">
        <v>1.9009593480469416E-2</v>
      </c>
      <c r="Z142" s="854">
        <v>1.934558209733404E-2</v>
      </c>
      <c r="AA142" s="854">
        <v>1.9685577940681022E-2</v>
      </c>
      <c r="AB142" s="854">
        <v>2.0060926819947238E-2</v>
      </c>
      <c r="AC142" s="854">
        <v>2.0328333437455957E-2</v>
      </c>
      <c r="AD142" s="854">
        <v>2.0574180260044688E-2</v>
      </c>
      <c r="AE142" s="854">
        <v>2.0801618026925268E-2</v>
      </c>
      <c r="AF142" s="854">
        <v>2.1013723688192831E-2</v>
      </c>
    </row>
    <row r="143" spans="1:32" s="864" customFormat="1" x14ac:dyDescent="0.25">
      <c r="A143" s="839"/>
      <c r="B143" s="839"/>
      <c r="C143" s="838"/>
      <c r="D143" s="838"/>
      <c r="E143" s="838"/>
      <c r="F143" s="838"/>
      <c r="G143" s="854"/>
      <c r="H143" s="838"/>
      <c r="I143" s="838"/>
      <c r="J143" s="838"/>
      <c r="K143" s="838"/>
      <c r="L143" s="838"/>
      <c r="M143" s="838"/>
      <c r="N143" s="838"/>
      <c r="O143" s="838"/>
      <c r="P143" s="838"/>
      <c r="Q143" s="838"/>
      <c r="R143" s="838"/>
      <c r="S143" s="838"/>
      <c r="T143" s="838"/>
      <c r="U143" s="838"/>
      <c r="V143" s="838"/>
      <c r="W143" s="838"/>
      <c r="X143" s="838"/>
      <c r="Y143" s="838"/>
      <c r="Z143" s="838"/>
      <c r="AA143" s="838"/>
      <c r="AB143" s="838"/>
      <c r="AC143" s="838"/>
      <c r="AD143" s="838"/>
      <c r="AE143" s="838"/>
      <c r="AF143" s="838"/>
    </row>
    <row r="144" spans="1:32" s="856" customFormat="1" ht="12.75" x14ac:dyDescent="0.2">
      <c r="A144" s="843" t="s">
        <v>47</v>
      </c>
      <c r="B144" s="843"/>
      <c r="C144" s="843"/>
      <c r="D144" s="843"/>
      <c r="E144" s="843"/>
      <c r="F144" s="843"/>
      <c r="G144" s="865"/>
      <c r="H144" s="843"/>
      <c r="I144" s="843"/>
      <c r="J144" s="843"/>
      <c r="K144" s="843"/>
      <c r="L144" s="843"/>
      <c r="M144" s="843"/>
      <c r="N144" s="843"/>
      <c r="O144" s="843"/>
      <c r="P144" s="843"/>
      <c r="Q144" s="843"/>
      <c r="R144" s="843"/>
      <c r="S144" s="843"/>
      <c r="T144" s="843"/>
      <c r="U144" s="843"/>
      <c r="V144" s="843"/>
      <c r="W144" s="843"/>
      <c r="X144" s="843"/>
      <c r="Y144" s="843"/>
      <c r="Z144" s="843"/>
      <c r="AA144" s="843"/>
      <c r="AB144" s="843"/>
      <c r="AC144" s="843"/>
      <c r="AD144" s="843"/>
      <c r="AE144" s="843"/>
      <c r="AF144" s="843"/>
    </row>
    <row r="145" spans="1:32" s="864" customFormat="1" x14ac:dyDescent="0.25">
      <c r="A145" s="839"/>
      <c r="B145" s="839" t="s">
        <v>48</v>
      </c>
      <c r="C145" s="838"/>
      <c r="D145" s="838"/>
      <c r="E145" s="838"/>
      <c r="F145" s="838"/>
      <c r="G145" s="854"/>
      <c r="H145" s="854">
        <v>11.877030496776571</v>
      </c>
      <c r="I145" s="854">
        <v>8.9920714607071819</v>
      </c>
      <c r="J145" s="854">
        <v>5.2266000688972927</v>
      </c>
      <c r="K145" s="854">
        <v>2.3182356123877108</v>
      </c>
      <c r="L145" s="854">
        <v>0.84398875034817256</v>
      </c>
      <c r="M145" s="854">
        <v>0.25873500826340989</v>
      </c>
      <c r="N145" s="854">
        <v>7.508661604953111E-2</v>
      </c>
      <c r="O145" s="854">
        <v>2.1510970418121236E-2</v>
      </c>
      <c r="P145" s="854">
        <v>6.3088352775508673E-3</v>
      </c>
      <c r="Q145" s="854">
        <v>1.856337476556832E-3</v>
      </c>
      <c r="R145" s="854">
        <v>5.4922143306266539E-4</v>
      </c>
      <c r="S145" s="854">
        <v>1.6613162702795953E-4</v>
      </c>
      <c r="T145" s="854">
        <v>5.1111139098419861E-5</v>
      </c>
      <c r="U145" s="854">
        <v>1.5925566292901224E-5</v>
      </c>
      <c r="V145" s="854">
        <v>5.084830019504806E-6</v>
      </c>
      <c r="W145" s="854">
        <v>1.6377448614767262E-6</v>
      </c>
      <c r="X145" s="854">
        <v>5.3188028046991374E-7</v>
      </c>
      <c r="Y145" s="854">
        <v>1.7372028286267721E-7</v>
      </c>
      <c r="Z145" s="854">
        <v>5.7390720175681626E-8</v>
      </c>
      <c r="AA145" s="854">
        <v>1.9220762699761139E-8</v>
      </c>
      <c r="AB145" s="854">
        <v>6.4402937024622349E-9</v>
      </c>
      <c r="AC145" s="854">
        <v>2.1723690215788444E-9</v>
      </c>
      <c r="AD145" s="854">
        <v>7.3622973864833852E-10</v>
      </c>
      <c r="AE145" s="854">
        <v>2.4982398902319597E-10</v>
      </c>
      <c r="AF145" s="854">
        <v>8.308801227930756E-11</v>
      </c>
    </row>
    <row r="146" spans="1:32" s="864" customFormat="1" x14ac:dyDescent="0.25">
      <c r="A146" s="839"/>
      <c r="B146" s="842" t="s">
        <v>50</v>
      </c>
      <c r="C146" s="838"/>
      <c r="D146" s="838"/>
      <c r="E146" s="838"/>
      <c r="F146" s="838"/>
      <c r="G146" s="854"/>
      <c r="H146" s="854">
        <v>0.69911320734375348</v>
      </c>
      <c r="I146" s="854">
        <v>0.6369392633130927</v>
      </c>
      <c r="J146" s="854">
        <v>0.52555716853810652</v>
      </c>
      <c r="K146" s="854">
        <v>0.38776967438336246</v>
      </c>
      <c r="L146" s="854">
        <v>0.26850332864179527</v>
      </c>
      <c r="M146" s="854">
        <v>0.17347425393051219</v>
      </c>
      <c r="N146" s="854">
        <v>0.11110144315320575</v>
      </c>
      <c r="O146" s="854">
        <v>7.2044140874571977E-2</v>
      </c>
      <c r="P146" s="854">
        <v>4.8174986632490154E-2</v>
      </c>
      <c r="Q146" s="854">
        <v>3.2660616602765195E-2</v>
      </c>
      <c r="R146" s="854">
        <v>2.2337702769892796E-2</v>
      </c>
      <c r="S146" s="854">
        <v>1.5612005245039948E-2</v>
      </c>
      <c r="T146" s="854">
        <v>1.1074964011623434E-2</v>
      </c>
      <c r="U146" s="854">
        <v>7.9402003416699212E-3</v>
      </c>
      <c r="V146" s="854">
        <v>5.7997516125524303E-3</v>
      </c>
      <c r="W146" s="854">
        <v>4.2590894399342121E-3</v>
      </c>
      <c r="X146" s="854">
        <v>3.1412112154726845E-3</v>
      </c>
      <c r="Y146" s="854">
        <v>2.3216980175635488E-3</v>
      </c>
      <c r="Z146" s="854">
        <v>1.7274229896632797E-3</v>
      </c>
      <c r="AA146" s="854">
        <v>1.2956837603299467E-3</v>
      </c>
      <c r="AB146" s="854">
        <v>9.704562094281844E-4</v>
      </c>
      <c r="AC146" s="854">
        <v>7.2689290272630542E-4</v>
      </c>
      <c r="AD146" s="854">
        <v>5.4450060108701334E-4</v>
      </c>
      <c r="AE146" s="854">
        <v>4.068265652080061E-4</v>
      </c>
      <c r="AF146" s="854">
        <v>2.9849964830443642E-4</v>
      </c>
    </row>
    <row r="147" spans="1:32" s="864" customFormat="1" x14ac:dyDescent="0.25">
      <c r="A147" s="839"/>
      <c r="B147" s="839" t="s">
        <v>51</v>
      </c>
      <c r="C147" s="838"/>
      <c r="D147" s="838"/>
      <c r="E147" s="838"/>
      <c r="F147" s="838"/>
      <c r="G147" s="854"/>
      <c r="H147" s="854">
        <v>0.40457976833250259</v>
      </c>
      <c r="I147" s="854">
        <v>0.39893789096070209</v>
      </c>
      <c r="J147" s="854">
        <v>0.38391447213676111</v>
      </c>
      <c r="K147" s="854">
        <v>0.35863621165765047</v>
      </c>
      <c r="L147" s="854">
        <v>0.32943381665239313</v>
      </c>
      <c r="M147" s="854">
        <v>0.2965533231284897</v>
      </c>
      <c r="N147" s="854">
        <v>0.26304254590049186</v>
      </c>
      <c r="O147" s="854">
        <v>0.23174397432513349</v>
      </c>
      <c r="P147" s="854">
        <v>0.20393929913498399</v>
      </c>
      <c r="Q147" s="854">
        <v>0.17932932930350065</v>
      </c>
      <c r="R147" s="854">
        <v>0.15786162696891648</v>
      </c>
      <c r="S147" s="854">
        <v>0.1398224753555049</v>
      </c>
      <c r="T147" s="854">
        <v>0.12434576654311759</v>
      </c>
      <c r="U147" s="854">
        <v>0.11103690836892124</v>
      </c>
      <c r="V147" s="854">
        <v>9.9819579834834693E-2</v>
      </c>
      <c r="W147" s="854">
        <v>8.9999106842127349E-2</v>
      </c>
      <c r="X147" s="854">
        <v>8.1337017836366154E-2</v>
      </c>
      <c r="Y147" s="854">
        <v>7.3659459494248514E-2</v>
      </c>
      <c r="Z147" s="854">
        <v>6.6878408782235582E-2</v>
      </c>
      <c r="AA147" s="854">
        <v>6.0963386509613957E-2</v>
      </c>
      <c r="AB147" s="854">
        <v>5.5722023800959586E-2</v>
      </c>
      <c r="AC147" s="854">
        <v>5.0896460184491857E-2</v>
      </c>
      <c r="AD147" s="854">
        <v>4.6456567395477384E-2</v>
      </c>
      <c r="AE147" s="854">
        <v>4.2397850106241891E-2</v>
      </c>
      <c r="AF147" s="854">
        <v>3.8584542017633242E-2</v>
      </c>
    </row>
    <row r="148" spans="1:32" s="864" customFormat="1" x14ac:dyDescent="0.25">
      <c r="A148" s="839"/>
      <c r="B148" s="839" t="s">
        <v>52</v>
      </c>
      <c r="C148" s="838"/>
      <c r="D148" s="838"/>
      <c r="E148" s="838"/>
      <c r="F148" s="838"/>
      <c r="G148" s="854"/>
      <c r="H148" s="854">
        <v>0.42059796471682714</v>
      </c>
      <c r="I148" s="854">
        <v>0.39564713390844497</v>
      </c>
      <c r="J148" s="854">
        <v>0.35682747349323768</v>
      </c>
      <c r="K148" s="854">
        <v>0.31082996108242084</v>
      </c>
      <c r="L148" s="854">
        <v>0.26889655162315029</v>
      </c>
      <c r="M148" s="854">
        <v>0.23215921164143904</v>
      </c>
      <c r="N148" s="854">
        <v>0.20230731066349211</v>
      </c>
      <c r="O148" s="854">
        <v>0.17882262197979565</v>
      </c>
      <c r="P148" s="854">
        <v>0.16036902542106074</v>
      </c>
      <c r="Q148" s="854">
        <v>0.14530531373900499</v>
      </c>
      <c r="R148" s="854">
        <v>0.13274220509771939</v>
      </c>
      <c r="S148" s="854">
        <v>0.12226019369036939</v>
      </c>
      <c r="T148" s="854">
        <v>0.11319594461784617</v>
      </c>
      <c r="U148" s="854">
        <v>0.10521974516157384</v>
      </c>
      <c r="V148" s="854">
        <v>9.8202444430994101E-2</v>
      </c>
      <c r="W148" s="854">
        <v>9.1836577772568748E-2</v>
      </c>
      <c r="X148" s="854">
        <v>8.601064955484744E-2</v>
      </c>
      <c r="Y148" s="854">
        <v>8.0647905743379905E-2</v>
      </c>
      <c r="Z148" s="854">
        <v>7.5734937449262518E-2</v>
      </c>
      <c r="AA148" s="854">
        <v>7.1224006193908118E-2</v>
      </c>
      <c r="AB148" s="854">
        <v>6.7045322912365618E-2</v>
      </c>
      <c r="AC148" s="854">
        <v>6.3089471696850988E-2</v>
      </c>
      <c r="AD148" s="854">
        <v>5.938416833146528E-2</v>
      </c>
      <c r="AE148" s="854">
        <v>5.5902232018089582E-2</v>
      </c>
      <c r="AF148" s="854">
        <v>5.2591761466846167E-2</v>
      </c>
    </row>
    <row r="149" spans="1:32" s="864" customFormat="1" x14ac:dyDescent="0.25">
      <c r="A149" s="839"/>
      <c r="B149" s="842" t="s">
        <v>29</v>
      </c>
      <c r="C149" s="838"/>
      <c r="D149" s="838"/>
      <c r="E149" s="838"/>
      <c r="F149" s="838"/>
      <c r="G149" s="854"/>
      <c r="H149" s="854">
        <v>1.4502179801588444</v>
      </c>
      <c r="I149" s="854">
        <v>3.9192178842121872</v>
      </c>
      <c r="J149" s="854">
        <v>5.9275381344787457</v>
      </c>
      <c r="K149" s="854">
        <v>6.1369576918529569</v>
      </c>
      <c r="L149" s="854">
        <v>5.1227081341465066</v>
      </c>
      <c r="M149" s="854">
        <v>4.1226727259814169</v>
      </c>
      <c r="N149" s="854">
        <v>3.5003130933723661</v>
      </c>
      <c r="O149" s="854">
        <v>3.2250320878954759</v>
      </c>
      <c r="P149" s="854">
        <v>3.1337675126378328</v>
      </c>
      <c r="Q149" s="854">
        <v>3.1224194993351189</v>
      </c>
      <c r="R149" s="854">
        <v>3.1329024988026375</v>
      </c>
      <c r="S149" s="854">
        <v>3.1637914597010348</v>
      </c>
      <c r="T149" s="854">
        <v>3.1972355907514132</v>
      </c>
      <c r="U149" s="854">
        <v>3.230812569993101</v>
      </c>
      <c r="V149" s="854">
        <v>3.2694695782774716</v>
      </c>
      <c r="W149" s="854">
        <v>3.3037368093575692</v>
      </c>
      <c r="X149" s="854">
        <v>3.3325281054394953</v>
      </c>
      <c r="Y149" s="854">
        <v>3.3578672657514756</v>
      </c>
      <c r="Z149" s="854">
        <v>3.3871570922319392</v>
      </c>
      <c r="AA149" s="854">
        <v>3.4229902206163287</v>
      </c>
      <c r="AB149" s="854">
        <v>3.4693145785913182</v>
      </c>
      <c r="AC149" s="854">
        <v>3.5011608401990872</v>
      </c>
      <c r="AD149" s="854">
        <v>3.5319776087577255</v>
      </c>
      <c r="AE149" s="854">
        <v>3.5618051179379324</v>
      </c>
      <c r="AF149" s="854">
        <v>3.5906719718499689</v>
      </c>
    </row>
    <row r="150" spans="1:32" s="864" customFormat="1" x14ac:dyDescent="0.25">
      <c r="A150" s="839"/>
      <c r="B150" s="842" t="s">
        <v>53</v>
      </c>
      <c r="C150" s="838"/>
      <c r="D150" s="838"/>
      <c r="E150" s="838"/>
      <c r="F150" s="838"/>
      <c r="G150" s="854"/>
      <c r="H150" s="854">
        <v>1.3513684097203769E-2</v>
      </c>
      <c r="I150" s="854">
        <v>1.3247061854734638E-2</v>
      </c>
      <c r="J150" s="854">
        <v>1.2680014900910327E-2</v>
      </c>
      <c r="K150" s="854">
        <v>1.1801266800148962E-2</v>
      </c>
      <c r="L150" s="854">
        <v>1.086637372935103E-2</v>
      </c>
      <c r="M150" s="854">
        <v>9.8643098361486624E-3</v>
      </c>
      <c r="N150" s="854">
        <v>8.883661571436316E-3</v>
      </c>
      <c r="O150" s="854">
        <v>7.9998855835690681E-3</v>
      </c>
      <c r="P150" s="854">
        <v>7.2342961467744106E-3</v>
      </c>
      <c r="Q150" s="854">
        <v>6.5624234595732054E-3</v>
      </c>
      <c r="R150" s="854">
        <v>5.9728874453017933E-3</v>
      </c>
      <c r="S150" s="854">
        <v>5.4779761446697725E-3</v>
      </c>
      <c r="T150" s="854">
        <v>5.0468391523436195E-3</v>
      </c>
      <c r="U150" s="854">
        <v>4.6683193832510418E-3</v>
      </c>
      <c r="V150" s="854">
        <v>4.343284539631005E-3</v>
      </c>
      <c r="W150" s="854">
        <v>4.0497775817238488E-3</v>
      </c>
      <c r="X150" s="854">
        <v>3.7822328720550709E-3</v>
      </c>
      <c r="Y150" s="854">
        <v>3.537347704753468E-3</v>
      </c>
      <c r="Z150" s="854">
        <v>3.3175998594661589E-3</v>
      </c>
      <c r="AA150" s="854">
        <v>3.1206254528938823E-3</v>
      </c>
      <c r="AB150" s="854">
        <v>2.94153175967545E-3</v>
      </c>
      <c r="AC150" s="854">
        <v>2.7674924449959159E-3</v>
      </c>
      <c r="AD150" s="854">
        <v>2.604322664484052E-3</v>
      </c>
      <c r="AE150" s="854">
        <v>2.4503039028711776E-3</v>
      </c>
      <c r="AF150" s="854">
        <v>2.3009388610029033E-3</v>
      </c>
    </row>
    <row r="152" spans="1:32" x14ac:dyDescent="0.25">
      <c r="B152" s="60" t="s">
        <v>769</v>
      </c>
      <c r="C152" s="858"/>
      <c r="D152" s="858"/>
      <c r="E152" s="858"/>
      <c r="F152" s="858"/>
      <c r="G152" s="858"/>
      <c r="H152" s="1149">
        <f t="shared" ref="H152:AF152" si="129">(H123+H129+H135+H142+H149)/SUM(H120:H150)</f>
        <v>2.7029080800808021E-2</v>
      </c>
      <c r="I152" s="1149">
        <f t="shared" si="129"/>
        <v>7.5164310533741063E-2</v>
      </c>
      <c r="J152" s="1149">
        <f t="shared" si="129"/>
        <v>0.12252608729216109</v>
      </c>
      <c r="K152" s="1149">
        <f t="shared" si="129"/>
        <v>0.14963025366051391</v>
      </c>
      <c r="L152" s="1149">
        <f t="shared" si="129"/>
        <v>0.1583029270891079</v>
      </c>
      <c r="M152" s="1149">
        <f t="shared" si="129"/>
        <v>0.17342800218629456</v>
      </c>
      <c r="N152" s="1149">
        <f t="shared" si="129"/>
        <v>0.20437943923091884</v>
      </c>
      <c r="O152" s="1149">
        <f t="shared" si="129"/>
        <v>0.24844783436351853</v>
      </c>
      <c r="P152" s="1149">
        <f t="shared" si="129"/>
        <v>0.30114575190473492</v>
      </c>
      <c r="Q152" s="1149">
        <f t="shared" si="129"/>
        <v>0.35882275484923976</v>
      </c>
      <c r="R152" s="1149">
        <f t="shared" si="129"/>
        <v>0.4176928878142433</v>
      </c>
      <c r="S152" s="1149">
        <f t="shared" si="129"/>
        <v>0.4750512777678817</v>
      </c>
      <c r="T152" s="1149">
        <f t="shared" si="129"/>
        <v>0.52852672764548614</v>
      </c>
      <c r="U152" s="1149">
        <f t="shared" si="129"/>
        <v>0.57677275041780585</v>
      </c>
      <c r="V152" s="1149">
        <f t="shared" si="129"/>
        <v>0.61849789342615968</v>
      </c>
      <c r="W152" s="1149">
        <f t="shared" si="129"/>
        <v>0.65407230841315334</v>
      </c>
      <c r="X152" s="1149">
        <f t="shared" si="129"/>
        <v>0.68387976113216864</v>
      </c>
      <c r="Y152" s="1149">
        <f t="shared" si="129"/>
        <v>0.7086645635813752</v>
      </c>
      <c r="Z152" s="1149">
        <f t="shared" si="129"/>
        <v>0.72902207229872507</v>
      </c>
      <c r="AA152" s="1149">
        <f t="shared" si="129"/>
        <v>0.74564032079737774</v>
      </c>
      <c r="AB152" s="1149">
        <f t="shared" si="129"/>
        <v>0.75977958838228443</v>
      </c>
      <c r="AC152" s="1149">
        <f t="shared" si="129"/>
        <v>0.77148944219708004</v>
      </c>
      <c r="AD152" s="1149">
        <f t="shared" si="129"/>
        <v>0.78149459127933585</v>
      </c>
      <c r="AE152" s="1149">
        <f t="shared" si="129"/>
        <v>0.79026324481867849</v>
      </c>
      <c r="AF152" s="1149">
        <f t="shared" si="129"/>
        <v>0.79881335451532476</v>
      </c>
    </row>
    <row r="153" spans="1:32" x14ac:dyDescent="0.25">
      <c r="A153" s="897" t="s">
        <v>502</v>
      </c>
      <c r="B153" s="898"/>
      <c r="C153" s="897"/>
      <c r="D153" s="896"/>
      <c r="E153" s="896"/>
      <c r="F153" s="896"/>
      <c r="G153" s="896"/>
      <c r="H153" s="894"/>
      <c r="I153" s="894"/>
      <c r="J153" s="894"/>
      <c r="K153" s="894"/>
      <c r="L153" s="894"/>
      <c r="M153" s="894"/>
      <c r="N153" s="894"/>
      <c r="O153" s="894"/>
      <c r="P153" s="894"/>
      <c r="Q153" s="894"/>
      <c r="R153" s="894"/>
      <c r="S153" s="894"/>
      <c r="T153" s="894"/>
      <c r="U153" s="894"/>
      <c r="V153" s="894"/>
      <c r="W153" s="894"/>
      <c r="X153" s="894"/>
      <c r="Y153" s="894"/>
      <c r="Z153" s="894"/>
      <c r="AA153" s="894"/>
      <c r="AB153" s="894"/>
      <c r="AC153" s="894"/>
      <c r="AD153" s="894"/>
      <c r="AE153" s="894"/>
      <c r="AF153" s="894"/>
    </row>
    <row r="154" spans="1:32" x14ac:dyDescent="0.25">
      <c r="A154" s="860" t="s">
        <v>55</v>
      </c>
      <c r="B154" s="861"/>
      <c r="C154" s="860"/>
      <c r="D154" s="859"/>
      <c r="E154" s="859"/>
      <c r="F154" s="859"/>
      <c r="G154" s="859"/>
      <c r="H154" s="862"/>
      <c r="I154" s="862"/>
      <c r="J154" s="862"/>
      <c r="K154" s="862"/>
      <c r="L154" s="862"/>
      <c r="M154" s="862"/>
      <c r="N154" s="862"/>
      <c r="O154" s="862"/>
      <c r="P154" s="862"/>
      <c r="Q154" s="862"/>
      <c r="R154" s="862"/>
      <c r="S154" s="862"/>
      <c r="T154" s="862"/>
      <c r="U154" s="862"/>
      <c r="V154" s="862"/>
      <c r="W154" s="862"/>
      <c r="X154" s="862"/>
      <c r="Y154" s="862"/>
      <c r="Z154" s="862"/>
      <c r="AA154" s="862"/>
      <c r="AB154" s="862"/>
      <c r="AC154" s="862"/>
      <c r="AD154" s="862"/>
      <c r="AE154" s="862"/>
      <c r="AF154" s="862"/>
    </row>
    <row r="155" spans="1:32" x14ac:dyDescent="0.25">
      <c r="A155" s="840" t="s">
        <v>12</v>
      </c>
      <c r="B155" s="839"/>
    </row>
    <row r="156" spans="1:32" x14ac:dyDescent="0.25">
      <c r="A156" s="839"/>
      <c r="B156" s="839" t="s">
        <v>20</v>
      </c>
    </row>
    <row r="157" spans="1:32" s="856" customFormat="1" ht="12.75" x14ac:dyDescent="0.2">
      <c r="A157" s="843" t="s">
        <v>21</v>
      </c>
      <c r="B157" s="843"/>
      <c r="C157" s="843"/>
      <c r="D157" s="843"/>
      <c r="E157" s="843"/>
      <c r="F157" s="843"/>
      <c r="G157" s="843"/>
      <c r="H157" s="843"/>
      <c r="I157" s="843"/>
      <c r="J157" s="843"/>
      <c r="K157" s="843"/>
      <c r="L157" s="843"/>
      <c r="M157" s="843"/>
      <c r="N157" s="843"/>
      <c r="O157" s="843"/>
      <c r="P157" s="843"/>
      <c r="Q157" s="843"/>
      <c r="R157" s="843"/>
      <c r="S157" s="843"/>
      <c r="T157" s="843"/>
      <c r="U157" s="843"/>
      <c r="V157" s="843"/>
      <c r="W157" s="843"/>
      <c r="X157" s="843"/>
      <c r="Y157" s="843"/>
      <c r="Z157" s="843"/>
      <c r="AA157" s="843"/>
      <c r="AB157" s="843"/>
      <c r="AC157" s="843"/>
      <c r="AD157" s="843"/>
      <c r="AE157" s="843"/>
      <c r="AF157" s="843"/>
    </row>
    <row r="158" spans="1:32" s="864" customFormat="1" x14ac:dyDescent="0.25">
      <c r="A158" s="839"/>
      <c r="B158" s="839" t="s">
        <v>22</v>
      </c>
      <c r="C158" s="838"/>
      <c r="D158" s="838"/>
      <c r="E158" s="838"/>
      <c r="F158" s="838"/>
      <c r="G158" s="854"/>
      <c r="H158" s="854">
        <v>3.813505524327109</v>
      </c>
      <c r="I158" s="854">
        <v>2.7891030271430512</v>
      </c>
      <c r="J158" s="854">
        <v>1.6375996983277028</v>
      </c>
      <c r="K158" s="854">
        <v>1.0871086042226905</v>
      </c>
      <c r="L158" s="854">
        <v>0.6628718993720919</v>
      </c>
      <c r="M158" s="854">
        <v>0.22142289920960001</v>
      </c>
      <c r="N158" s="854">
        <v>0.18796745528833872</v>
      </c>
      <c r="O158" s="854">
        <v>0.16254000679524411</v>
      </c>
      <c r="P158" s="854">
        <v>0.13960718686571968</v>
      </c>
      <c r="Q158" s="854">
        <v>0.11697507471129084</v>
      </c>
      <c r="R158" s="854">
        <v>9.5471991976596393E-2</v>
      </c>
      <c r="S158" s="854">
        <v>7.6953984189886929E-2</v>
      </c>
      <c r="T158" s="854">
        <v>6.1796012799660467E-2</v>
      </c>
      <c r="U158" s="854">
        <v>4.9422146024521399E-2</v>
      </c>
      <c r="V158" s="854">
        <v>3.9989463378537302E-2</v>
      </c>
      <c r="W158" s="854">
        <v>3.269846946259939E-2</v>
      </c>
      <c r="X158" s="854">
        <v>2.7070885750733346E-2</v>
      </c>
      <c r="Y158" s="854">
        <v>2.2747008875994248E-2</v>
      </c>
      <c r="Z158" s="854">
        <v>1.9399146416755657E-2</v>
      </c>
      <c r="AA158" s="854">
        <v>1.6837848330060943E-2</v>
      </c>
      <c r="AB158" s="854">
        <v>1.4741769146381169E-2</v>
      </c>
      <c r="AC158" s="854">
        <v>1.3069603440911744E-2</v>
      </c>
      <c r="AD158" s="854">
        <v>1.1663761418433286E-2</v>
      </c>
      <c r="AE158" s="854">
        <v>1.0452295200778398E-2</v>
      </c>
      <c r="AF158" s="854">
        <v>9.2528745000659968E-3</v>
      </c>
    </row>
    <row r="159" spans="1:32" s="864" customFormat="1" x14ac:dyDescent="0.25">
      <c r="A159" s="839"/>
      <c r="B159" s="839" t="s">
        <v>26</v>
      </c>
      <c r="C159" s="838"/>
      <c r="D159" s="838"/>
      <c r="E159" s="838"/>
      <c r="F159" s="838"/>
      <c r="G159" s="854"/>
      <c r="H159" s="854">
        <v>7.8764048649332868E-2</v>
      </c>
      <c r="I159" s="854">
        <v>0.28603958888264486</v>
      </c>
      <c r="J159" s="854">
        <v>0.76600740487760199</v>
      </c>
      <c r="K159" s="854">
        <v>1.0383568859100267</v>
      </c>
      <c r="L159" s="854">
        <v>1.0628191139402472</v>
      </c>
      <c r="M159" s="854">
        <v>1.0258977677738683</v>
      </c>
      <c r="N159" s="854">
        <v>0.89970489151871158</v>
      </c>
      <c r="O159" s="854">
        <v>0.80236619717420166</v>
      </c>
      <c r="P159" s="854">
        <v>0.70837956273289682</v>
      </c>
      <c r="Q159" s="854">
        <v>0.61222797695750786</v>
      </c>
      <c r="R159" s="854">
        <v>0.51699182667899457</v>
      </c>
      <c r="S159" s="854">
        <v>0.43166965978721544</v>
      </c>
      <c r="T159" s="854">
        <v>0.35957571867059013</v>
      </c>
      <c r="U159" s="854">
        <v>0.29898695760615229</v>
      </c>
      <c r="V159" s="854">
        <v>0.25143744640623128</v>
      </c>
      <c r="W159" s="854">
        <v>0.21389000968336708</v>
      </c>
      <c r="X159" s="854">
        <v>0.18463935575314055</v>
      </c>
      <c r="Y159" s="854">
        <v>0.16196373048023058</v>
      </c>
      <c r="Z159" s="854">
        <v>0.144135413294389</v>
      </c>
      <c r="AA159" s="854">
        <v>0.13037582338108816</v>
      </c>
      <c r="AB159" s="854">
        <v>0.11911323288564335</v>
      </c>
      <c r="AC159" s="854">
        <v>0.11018249564744376</v>
      </c>
      <c r="AD159" s="854">
        <v>0.10264745264053163</v>
      </c>
      <c r="AE159" s="854">
        <v>9.6110797787645974E-2</v>
      </c>
      <c r="AF159" s="854">
        <v>8.9361577288094143E-2</v>
      </c>
    </row>
    <row r="160" spans="1:32" s="864" customFormat="1" x14ac:dyDescent="0.25">
      <c r="A160" s="839"/>
      <c r="B160" s="839" t="s">
        <v>27</v>
      </c>
      <c r="C160" s="838"/>
      <c r="D160" s="838"/>
      <c r="E160" s="838"/>
      <c r="F160" s="838"/>
      <c r="G160" s="854"/>
      <c r="H160" s="854">
        <v>4.8594971223311303</v>
      </c>
      <c r="I160" s="854">
        <v>4.1816455396371639</v>
      </c>
      <c r="J160" s="854">
        <v>4.3823757603012368</v>
      </c>
      <c r="K160" s="854">
        <v>4.2043305997073874</v>
      </c>
      <c r="L160" s="854">
        <v>4.2922021033477451</v>
      </c>
      <c r="M160" s="854">
        <v>4.2627864483367262</v>
      </c>
      <c r="N160" s="854">
        <v>3.810853681228449</v>
      </c>
      <c r="O160" s="854">
        <v>3.4447552849349652</v>
      </c>
      <c r="P160" s="854">
        <v>3.0516873156132491</v>
      </c>
      <c r="Q160" s="854">
        <v>2.6635852119041608</v>
      </c>
      <c r="R160" s="854">
        <v>2.2890561536389362</v>
      </c>
      <c r="S160" s="854">
        <v>1.9434223958594907</v>
      </c>
      <c r="T160" s="854">
        <v>1.6483174294340359</v>
      </c>
      <c r="U160" s="854">
        <v>1.3999052718835592</v>
      </c>
      <c r="V160" s="854">
        <v>1.1991011541017937</v>
      </c>
      <c r="W160" s="854">
        <v>1.0421603748223403</v>
      </c>
      <c r="X160" s="854">
        <v>0.92203992302412252</v>
      </c>
      <c r="Y160" s="854">
        <v>0.83145271171332369</v>
      </c>
      <c r="Z160" s="854">
        <v>0.76034173158773211</v>
      </c>
      <c r="AA160" s="854">
        <v>0.70543038563624705</v>
      </c>
      <c r="AB160" s="854">
        <v>0.66348325322732304</v>
      </c>
      <c r="AC160" s="854">
        <v>0.63196187091799905</v>
      </c>
      <c r="AD160" s="854">
        <v>0.60698995167982539</v>
      </c>
      <c r="AE160" s="854">
        <v>0.5872215613600682</v>
      </c>
      <c r="AF160" s="854">
        <v>0.57047389304130958</v>
      </c>
    </row>
    <row r="161" spans="1:32" s="864" customFormat="1" x14ac:dyDescent="0.25">
      <c r="A161" s="839"/>
      <c r="B161" s="839" t="s">
        <v>29</v>
      </c>
      <c r="C161" s="838"/>
      <c r="D161" s="838"/>
      <c r="E161" s="838"/>
      <c r="F161" s="838"/>
      <c r="G161" s="854"/>
      <c r="H161" s="854">
        <v>1.7393893986906574E-2</v>
      </c>
      <c r="I161" s="854">
        <v>4.4255824957658722E-2</v>
      </c>
      <c r="J161" s="854">
        <v>8.311828987421932E-2</v>
      </c>
      <c r="K161" s="854">
        <v>0.17065145955775884</v>
      </c>
      <c r="L161" s="854">
        <v>0.33144659680772115</v>
      </c>
      <c r="M161" s="854">
        <v>0.56813750021304865</v>
      </c>
      <c r="N161" s="854">
        <v>0.8237487048954002</v>
      </c>
      <c r="O161" s="854">
        <v>1.1173322109429795</v>
      </c>
      <c r="P161" s="854">
        <v>1.3995370752217384</v>
      </c>
      <c r="Q161" s="854">
        <v>1.6558837550994623</v>
      </c>
      <c r="R161" s="854">
        <v>1.8593186897910763</v>
      </c>
      <c r="S161" s="854">
        <v>2.0051194310379006</v>
      </c>
      <c r="T161" s="854">
        <v>2.1055802935959869</v>
      </c>
      <c r="U161" s="854">
        <v>2.1628750310618052</v>
      </c>
      <c r="V161" s="854">
        <v>2.1883820256208537</v>
      </c>
      <c r="W161" s="854">
        <v>2.1969337555984541</v>
      </c>
      <c r="X161" s="854">
        <v>2.200462471770634</v>
      </c>
      <c r="Y161" s="854">
        <v>2.2045606401517794</v>
      </c>
      <c r="Z161" s="854">
        <v>2.2016887334806383</v>
      </c>
      <c r="AA161" s="854">
        <v>2.197512199719144</v>
      </c>
      <c r="AB161" s="854">
        <v>2.1985911502216151</v>
      </c>
      <c r="AC161" s="854">
        <v>2.2059207327509154</v>
      </c>
      <c r="AD161" s="854">
        <v>2.2149077294966908</v>
      </c>
      <c r="AE161" s="854">
        <v>2.2271263578113132</v>
      </c>
      <c r="AF161" s="854">
        <v>2.2438494321392013</v>
      </c>
    </row>
    <row r="162" spans="1:32" s="864" customFormat="1" x14ac:dyDescent="0.25">
      <c r="A162" s="839"/>
      <c r="B162" s="839"/>
      <c r="C162" s="838"/>
      <c r="D162" s="838"/>
      <c r="E162" s="838"/>
      <c r="F162" s="838"/>
      <c r="G162" s="854"/>
      <c r="H162" s="838"/>
      <c r="I162" s="838"/>
      <c r="J162" s="838"/>
      <c r="K162" s="838"/>
      <c r="L162" s="838"/>
      <c r="M162" s="838"/>
      <c r="N162" s="838"/>
      <c r="O162" s="838"/>
      <c r="P162" s="838"/>
      <c r="Q162" s="838"/>
      <c r="R162" s="838"/>
      <c r="S162" s="838"/>
      <c r="T162" s="838"/>
      <c r="U162" s="838"/>
      <c r="V162" s="838"/>
      <c r="W162" s="838"/>
      <c r="X162" s="838"/>
      <c r="Y162" s="838"/>
      <c r="Z162" s="838"/>
      <c r="AA162" s="838"/>
      <c r="AB162" s="838"/>
      <c r="AC162" s="838"/>
      <c r="AD162" s="838"/>
      <c r="AE162" s="838"/>
      <c r="AF162" s="838"/>
    </row>
    <row r="163" spans="1:32" s="856" customFormat="1" ht="12.75" x14ac:dyDescent="0.2">
      <c r="A163" s="843" t="s">
        <v>32</v>
      </c>
      <c r="B163" s="843"/>
      <c r="C163" s="843"/>
      <c r="D163" s="843"/>
      <c r="E163" s="843"/>
      <c r="F163" s="843"/>
      <c r="G163" s="865"/>
      <c r="H163" s="843"/>
      <c r="I163" s="843"/>
      <c r="J163" s="843"/>
      <c r="K163" s="843"/>
      <c r="L163" s="843"/>
      <c r="M163" s="843"/>
      <c r="N163" s="843"/>
      <c r="O163" s="843"/>
      <c r="P163" s="843"/>
      <c r="Q163" s="843"/>
      <c r="R163" s="843"/>
      <c r="S163" s="843"/>
      <c r="T163" s="843"/>
      <c r="U163" s="843"/>
      <c r="V163" s="843"/>
      <c r="W163" s="843"/>
      <c r="X163" s="843"/>
      <c r="Y163" s="843"/>
      <c r="Z163" s="843"/>
      <c r="AA163" s="843"/>
      <c r="AB163" s="843"/>
      <c r="AC163" s="843"/>
      <c r="AD163" s="843"/>
      <c r="AE163" s="843"/>
      <c r="AF163" s="843"/>
    </row>
    <row r="164" spans="1:32" s="864" customFormat="1" x14ac:dyDescent="0.25">
      <c r="A164" s="839"/>
      <c r="B164" s="839" t="s">
        <v>33</v>
      </c>
      <c r="C164" s="838"/>
      <c r="D164" s="838"/>
      <c r="E164" s="838"/>
      <c r="F164" s="838"/>
      <c r="G164" s="854"/>
      <c r="H164" s="854">
        <v>2.5796802821104503</v>
      </c>
      <c r="I164" s="854">
        <v>2.827634784175554</v>
      </c>
      <c r="J164" s="854">
        <v>2.9372541662716576</v>
      </c>
      <c r="K164" s="854">
        <v>2.8686882404605685</v>
      </c>
      <c r="L164" s="854">
        <v>2.5383830116854402</v>
      </c>
      <c r="M164" s="854">
        <v>2.1116163173989149</v>
      </c>
      <c r="N164" s="854">
        <v>1.6924353303769735</v>
      </c>
      <c r="O164" s="854">
        <v>1.3087843171814688</v>
      </c>
      <c r="P164" s="854">
        <v>0.99199973590561707</v>
      </c>
      <c r="Q164" s="854">
        <v>0.73859122630943808</v>
      </c>
      <c r="R164" s="854">
        <v>0.54206812003127669</v>
      </c>
      <c r="S164" s="854">
        <v>0.40222543493412899</v>
      </c>
      <c r="T164" s="854">
        <v>0.30224950319365651</v>
      </c>
      <c r="U164" s="854">
        <v>0.23240596130307467</v>
      </c>
      <c r="V164" s="854">
        <v>0.18314763021471878</v>
      </c>
      <c r="W164" s="854">
        <v>0.14775086465104514</v>
      </c>
      <c r="X164" s="854">
        <v>0.12170496111651147</v>
      </c>
      <c r="Y164" s="854">
        <v>0.10228224169734171</v>
      </c>
      <c r="Z164" s="854">
        <v>8.7863411136545583E-2</v>
      </c>
      <c r="AA164" s="854">
        <v>7.6750354353841338E-2</v>
      </c>
      <c r="AB164" s="854">
        <v>6.7695313942465057E-2</v>
      </c>
      <c r="AC164" s="854">
        <v>6.0435732917310608E-2</v>
      </c>
      <c r="AD164" s="854">
        <v>5.4414074043378273E-2</v>
      </c>
      <c r="AE164" s="854">
        <v>4.9131518928510469E-2</v>
      </c>
      <c r="AF164" s="854">
        <v>4.3758990041595225E-2</v>
      </c>
    </row>
    <row r="165" spans="1:32" s="864" customFormat="1" x14ac:dyDescent="0.25">
      <c r="A165" s="842"/>
      <c r="B165" s="842" t="s">
        <v>34</v>
      </c>
      <c r="C165" s="838"/>
      <c r="D165" s="838"/>
      <c r="E165" s="838"/>
      <c r="F165" s="838"/>
      <c r="G165" s="854"/>
      <c r="H165" s="854">
        <v>6.0452740727327594</v>
      </c>
      <c r="I165" s="854">
        <v>6.0548979451825797</v>
      </c>
      <c r="J165" s="854">
        <v>5.764341504457712</v>
      </c>
      <c r="K165" s="854">
        <v>5.2241407488278977</v>
      </c>
      <c r="L165" s="854">
        <v>4.7353270216089296</v>
      </c>
      <c r="M165" s="854">
        <v>4.1347012070671854</v>
      </c>
      <c r="N165" s="854">
        <v>3.4581869424412508</v>
      </c>
      <c r="O165" s="854">
        <v>2.7881327392657091</v>
      </c>
      <c r="P165" s="854">
        <v>2.1897492020983815</v>
      </c>
      <c r="Q165" s="854">
        <v>1.7016990748811678</v>
      </c>
      <c r="R165" s="854">
        <v>1.3131675390281763</v>
      </c>
      <c r="S165" s="854">
        <v>1.0245294319082769</v>
      </c>
      <c r="T165" s="854">
        <v>0.8106335901723607</v>
      </c>
      <c r="U165" s="854">
        <v>0.65720171890489598</v>
      </c>
      <c r="V165" s="854">
        <v>0.5443676703886029</v>
      </c>
      <c r="W165" s="854">
        <v>0.46185023367978972</v>
      </c>
      <c r="X165" s="854">
        <v>0.40114085161673685</v>
      </c>
      <c r="Y165" s="854">
        <v>0.35607719453093623</v>
      </c>
      <c r="Z165" s="854">
        <v>0.32248458693030191</v>
      </c>
      <c r="AA165" s="854">
        <v>0.29638596629630409</v>
      </c>
      <c r="AB165" s="854">
        <v>0.27588454249765587</v>
      </c>
      <c r="AC165" s="854">
        <v>0.25998804223850069</v>
      </c>
      <c r="AD165" s="854">
        <v>0.24733220318802351</v>
      </c>
      <c r="AE165" s="854">
        <v>0.23651372130351728</v>
      </c>
      <c r="AF165" s="854">
        <v>0.22552447282460847</v>
      </c>
    </row>
    <row r="166" spans="1:32" s="864" customFormat="1" x14ac:dyDescent="0.25">
      <c r="A166" s="839"/>
      <c r="B166" s="842" t="s">
        <v>35</v>
      </c>
      <c r="C166" s="838"/>
      <c r="D166" s="838"/>
      <c r="E166" s="838"/>
      <c r="F166" s="838"/>
      <c r="G166" s="854"/>
      <c r="H166" s="854">
        <v>1.1816564808650731</v>
      </c>
      <c r="I166" s="854">
        <v>1.2410051107240159</v>
      </c>
      <c r="J166" s="854">
        <v>1.2938954479740494</v>
      </c>
      <c r="K166" s="854">
        <v>1.3243872343723306</v>
      </c>
      <c r="L166" s="854">
        <v>1.2121537127406354</v>
      </c>
      <c r="M166" s="854">
        <v>1.0882575110014014</v>
      </c>
      <c r="N166" s="854">
        <v>0.93018995818982986</v>
      </c>
      <c r="O166" s="854">
        <v>0.76502275158065236</v>
      </c>
      <c r="P166" s="854">
        <v>0.60941964459225284</v>
      </c>
      <c r="Q166" s="854">
        <v>0.48268182267696902</v>
      </c>
      <c r="R166" s="854">
        <v>0.38144255660984799</v>
      </c>
      <c r="S166" s="854">
        <v>0.30450210415548656</v>
      </c>
      <c r="T166" s="854">
        <v>0.24658311917575459</v>
      </c>
      <c r="U166" s="854">
        <v>0.20467535505939161</v>
      </c>
      <c r="V166" s="854">
        <v>0.17308112509359214</v>
      </c>
      <c r="W166" s="854">
        <v>0.14992893890899128</v>
      </c>
      <c r="X166" s="854">
        <v>0.13313537043997212</v>
      </c>
      <c r="Y166" s="854">
        <v>0.12092366554177178</v>
      </c>
      <c r="Z166" s="854">
        <v>0.11188692358507414</v>
      </c>
      <c r="AA166" s="854">
        <v>0.10487960396087828</v>
      </c>
      <c r="AB166" s="854">
        <v>9.9743159224914696E-2</v>
      </c>
      <c r="AC166" s="854">
        <v>9.601579023985185E-2</v>
      </c>
      <c r="AD166" s="854">
        <v>9.333344803722457E-2</v>
      </c>
      <c r="AE166" s="854">
        <v>9.1301194557738843E-2</v>
      </c>
      <c r="AF166" s="854">
        <v>8.964914486227514E-2</v>
      </c>
    </row>
    <row r="167" spans="1:32" s="864" customFormat="1" x14ac:dyDescent="0.25">
      <c r="A167" s="839"/>
      <c r="B167" s="842" t="s">
        <v>29</v>
      </c>
      <c r="C167" s="838"/>
      <c r="D167" s="838"/>
      <c r="E167" s="838"/>
      <c r="F167" s="838"/>
      <c r="G167" s="854"/>
      <c r="H167" s="854">
        <v>4.882023858236325E-2</v>
      </c>
      <c r="I167" s="854">
        <v>0.2089045497272799</v>
      </c>
      <c r="J167" s="854">
        <v>0.51470644361733886</v>
      </c>
      <c r="K167" s="854">
        <v>0.93872853878225071</v>
      </c>
      <c r="L167" s="854">
        <v>1.3797633688948048</v>
      </c>
      <c r="M167" s="854">
        <v>1.8236850770300239</v>
      </c>
      <c r="N167" s="854">
        <v>2.1870002281931167</v>
      </c>
      <c r="O167" s="854">
        <v>2.430538192912274</v>
      </c>
      <c r="P167" s="854">
        <v>2.547651379164471</v>
      </c>
      <c r="Q167" s="854">
        <v>2.5820470753249474</v>
      </c>
      <c r="R167" s="854">
        <v>2.5497894963025383</v>
      </c>
      <c r="S167" s="854">
        <v>2.499738234420116</v>
      </c>
      <c r="T167" s="854">
        <v>2.4438635745518171</v>
      </c>
      <c r="U167" s="854">
        <v>2.4087412685802692</v>
      </c>
      <c r="V167" s="854">
        <v>2.3769811054082117</v>
      </c>
      <c r="W167" s="854">
        <v>2.3610055849163585</v>
      </c>
      <c r="X167" s="854">
        <v>2.3552172300879008</v>
      </c>
      <c r="Y167" s="854">
        <v>2.3602345237260507</v>
      </c>
      <c r="Z167" s="854">
        <v>2.3722210562600661</v>
      </c>
      <c r="AA167" s="854">
        <v>2.379221402652969</v>
      </c>
      <c r="AB167" s="854">
        <v>2.3912870006054394</v>
      </c>
      <c r="AC167" s="854">
        <v>2.4068666365757547</v>
      </c>
      <c r="AD167" s="854">
        <v>2.4268202765700257</v>
      </c>
      <c r="AE167" s="854">
        <v>2.4465320881800734</v>
      </c>
      <c r="AF167" s="854">
        <v>2.4697093429616377</v>
      </c>
    </row>
    <row r="168" spans="1:32" s="864" customFormat="1" x14ac:dyDescent="0.25">
      <c r="A168" s="839"/>
      <c r="B168" s="839"/>
      <c r="C168" s="838"/>
      <c r="D168" s="838"/>
      <c r="E168" s="838"/>
      <c r="F168" s="838"/>
      <c r="G168" s="854"/>
      <c r="H168" s="838"/>
      <c r="I168" s="838"/>
      <c r="J168" s="838"/>
      <c r="K168" s="838"/>
      <c r="L168" s="838"/>
      <c r="M168" s="838"/>
      <c r="N168" s="838"/>
      <c r="O168" s="838"/>
      <c r="P168" s="838"/>
      <c r="Q168" s="838"/>
      <c r="R168" s="838"/>
      <c r="S168" s="838"/>
      <c r="T168" s="838"/>
      <c r="U168" s="838"/>
      <c r="V168" s="838"/>
      <c r="W168" s="838"/>
      <c r="X168" s="838"/>
      <c r="Y168" s="838"/>
      <c r="Z168" s="838"/>
      <c r="AA168" s="838"/>
      <c r="AB168" s="838"/>
      <c r="AC168" s="838"/>
      <c r="AD168" s="838"/>
      <c r="AE168" s="838"/>
      <c r="AF168" s="838"/>
    </row>
    <row r="169" spans="1:32" s="856" customFormat="1" ht="12.75" x14ac:dyDescent="0.2">
      <c r="A169" s="843" t="s">
        <v>36</v>
      </c>
      <c r="B169" s="843"/>
      <c r="C169" s="843"/>
      <c r="D169" s="843"/>
      <c r="E169" s="843"/>
      <c r="F169" s="843"/>
      <c r="G169" s="865"/>
      <c r="H169" s="843"/>
      <c r="I169" s="843"/>
      <c r="J169" s="843"/>
      <c r="K169" s="843"/>
      <c r="L169" s="843"/>
      <c r="M169" s="843"/>
      <c r="N169" s="843"/>
      <c r="O169" s="843"/>
      <c r="P169" s="843"/>
      <c r="Q169" s="843"/>
      <c r="R169" s="843"/>
      <c r="S169" s="843"/>
      <c r="T169" s="843"/>
      <c r="U169" s="843"/>
      <c r="V169" s="843"/>
      <c r="W169" s="843"/>
      <c r="X169" s="843"/>
      <c r="Y169" s="843"/>
      <c r="Z169" s="843"/>
      <c r="AA169" s="843"/>
      <c r="AB169" s="843"/>
      <c r="AC169" s="843"/>
      <c r="AD169" s="843"/>
      <c r="AE169" s="843"/>
      <c r="AF169" s="843"/>
    </row>
    <row r="170" spans="1:32" s="864" customFormat="1" x14ac:dyDescent="0.25">
      <c r="A170" s="839"/>
      <c r="B170" s="839" t="s">
        <v>37</v>
      </c>
      <c r="C170" s="838"/>
      <c r="D170" s="838"/>
      <c r="E170" s="838"/>
      <c r="F170" s="855"/>
      <c r="G170" s="854"/>
      <c r="H170" s="1063">
        <v>24.115768792495206</v>
      </c>
      <c r="I170" s="1063">
        <v>14.944182823077849</v>
      </c>
      <c r="J170" s="1063">
        <v>7.1704174658237338</v>
      </c>
      <c r="K170" s="1063">
        <v>1.4674759003871807</v>
      </c>
      <c r="L170" s="1063">
        <v>1.0276338728651364</v>
      </c>
      <c r="M170" s="1063">
        <v>0.70159936838552195</v>
      </c>
      <c r="N170" s="1063">
        <v>0.47554043147501601</v>
      </c>
      <c r="O170" s="1063">
        <v>0.34158296198724664</v>
      </c>
      <c r="P170" s="1063">
        <v>0.24614408516658498</v>
      </c>
      <c r="Q170" s="1063">
        <v>0.17807626330523554</v>
      </c>
      <c r="R170" s="1063">
        <v>0.12926146579304901</v>
      </c>
      <c r="S170" s="1063">
        <v>9.4293037490780551E-2</v>
      </c>
      <c r="T170" s="1063">
        <v>6.9142199247008582E-2</v>
      </c>
      <c r="U170" s="1063">
        <v>5.1014072837892485E-2</v>
      </c>
      <c r="V170" s="1063">
        <v>3.7915710913299795E-2</v>
      </c>
      <c r="W170" s="1063">
        <v>2.8420598391345878E-2</v>
      </c>
      <c r="X170" s="1063">
        <v>2.1542653929844134E-2</v>
      </c>
      <c r="Y170" s="1063">
        <v>1.6500652709367153E-2</v>
      </c>
      <c r="Z170" s="1063">
        <v>1.2804050683798579E-2</v>
      </c>
      <c r="AA170" s="1063">
        <v>1.0095467590965527E-2</v>
      </c>
      <c r="AB170" s="1063">
        <v>8.0654632317635581E-3</v>
      </c>
      <c r="AC170" s="1063">
        <v>6.5529878839181918E-3</v>
      </c>
      <c r="AD170" s="1063">
        <v>5.4193444891186722E-3</v>
      </c>
      <c r="AE170" s="1063">
        <v>4.5448953048609578E-3</v>
      </c>
      <c r="AF170" s="1063">
        <v>3.847724181502307E-3</v>
      </c>
    </row>
    <row r="171" spans="1:32" s="864" customFormat="1" x14ac:dyDescent="0.25">
      <c r="A171" s="839"/>
      <c r="B171" s="839" t="s">
        <v>39</v>
      </c>
      <c r="C171" s="838"/>
      <c r="D171" s="838"/>
      <c r="E171" s="857"/>
      <c r="F171" s="838"/>
      <c r="G171" s="854"/>
      <c r="H171" s="1063">
        <v>113.57880338816466</v>
      </c>
      <c r="I171" s="1063">
        <v>118.20809666618808</v>
      </c>
      <c r="J171" s="1063">
        <v>120.30581755202829</v>
      </c>
      <c r="K171" s="1063">
        <v>119.03376506194189</v>
      </c>
      <c r="L171" s="1063">
        <v>113.88912171102508</v>
      </c>
      <c r="M171" s="1063">
        <v>107.93227040415258</v>
      </c>
      <c r="N171" s="1063">
        <v>102.61151939176702</v>
      </c>
      <c r="O171" s="1063">
        <v>97.139665086040907</v>
      </c>
      <c r="P171" s="1063">
        <v>91.458013337266863</v>
      </c>
      <c r="Q171" s="1063">
        <v>86.027790624690013</v>
      </c>
      <c r="R171" s="1063">
        <v>80.572505797826182</v>
      </c>
      <c r="S171" s="1063">
        <v>75.441091113242521</v>
      </c>
      <c r="T171" s="1063">
        <v>70.571796208456306</v>
      </c>
      <c r="U171" s="1063">
        <v>66.048084423900818</v>
      </c>
      <c r="V171" s="1063">
        <v>61.7564817429828</v>
      </c>
      <c r="W171" s="1063">
        <v>57.904952199553257</v>
      </c>
      <c r="X171" s="1063">
        <v>54.459430700154073</v>
      </c>
      <c r="Y171" s="1063">
        <v>51.273345775049471</v>
      </c>
      <c r="Z171" s="1063">
        <v>48.394623417772827</v>
      </c>
      <c r="AA171" s="1063">
        <v>45.856189269518325</v>
      </c>
      <c r="AB171" s="1063">
        <v>43.500290410721782</v>
      </c>
      <c r="AC171" s="1063">
        <v>41.39616780465844</v>
      </c>
      <c r="AD171" s="1063">
        <v>39.530347357942603</v>
      </c>
      <c r="AE171" s="1063">
        <v>37.800743410896288</v>
      </c>
      <c r="AF171" s="1063">
        <v>36.193317390762573</v>
      </c>
    </row>
    <row r="172" spans="1:32" s="864" customFormat="1" x14ac:dyDescent="0.25">
      <c r="A172" s="839"/>
      <c r="B172" s="839" t="s">
        <v>40</v>
      </c>
      <c r="C172" s="838"/>
      <c r="D172" s="838"/>
      <c r="E172" s="838"/>
      <c r="F172" s="838"/>
      <c r="G172" s="854"/>
      <c r="H172" s="1063">
        <v>22.239304693731142</v>
      </c>
      <c r="I172" s="1063">
        <v>28.450139754515391</v>
      </c>
      <c r="J172" s="1063">
        <v>35.057543762536255</v>
      </c>
      <c r="K172" s="1063">
        <v>42.123909686323586</v>
      </c>
      <c r="L172" s="1063">
        <v>47.129105217757314</v>
      </c>
      <c r="M172" s="1063">
        <v>51.415998306541695</v>
      </c>
      <c r="N172" s="1063">
        <v>54.296853695155335</v>
      </c>
      <c r="O172" s="1063">
        <v>57.018860194297567</v>
      </c>
      <c r="P172" s="1063">
        <v>58.613070034204313</v>
      </c>
      <c r="Q172" s="1063">
        <v>59.509512530363295</v>
      </c>
      <c r="R172" s="1063">
        <v>59.465159803289225</v>
      </c>
      <c r="S172" s="1063">
        <v>58.877123388732144</v>
      </c>
      <c r="T172" s="1063">
        <v>57.796388636705544</v>
      </c>
      <c r="U172" s="1063">
        <v>56.438783907036552</v>
      </c>
      <c r="V172" s="1063">
        <v>54.741914911801359</v>
      </c>
      <c r="W172" s="1063">
        <v>53.024605796152031</v>
      </c>
      <c r="X172" s="1063">
        <v>51.430632884608258</v>
      </c>
      <c r="Y172" s="1063">
        <v>49.804716456141875</v>
      </c>
      <c r="Z172" s="1063">
        <v>48.243421097502477</v>
      </c>
      <c r="AA172" s="1063">
        <v>46.837784350506382</v>
      </c>
      <c r="AB172" s="1063">
        <v>45.445832052934946</v>
      </c>
      <c r="AC172" s="1063">
        <v>44.175248301760419</v>
      </c>
      <c r="AD172" s="1063">
        <v>43.041771344999617</v>
      </c>
      <c r="AE172" s="1063">
        <v>41.942064902767562</v>
      </c>
      <c r="AF172" s="1063">
        <v>40.89687593267908</v>
      </c>
    </row>
    <row r="173" spans="1:32" s="864" customFormat="1" x14ac:dyDescent="0.25">
      <c r="A173" s="839"/>
      <c r="B173" s="839" t="s">
        <v>29</v>
      </c>
      <c r="C173" s="838"/>
      <c r="D173" s="838"/>
      <c r="E173" s="838"/>
      <c r="F173" s="838"/>
      <c r="G173" s="854"/>
      <c r="H173" s="1063">
        <v>3.2179047683698852E-3</v>
      </c>
      <c r="I173" s="1063">
        <v>6.1117654818165855E-2</v>
      </c>
      <c r="J173" s="1063">
        <v>0.34159391397487554</v>
      </c>
      <c r="K173" s="1063">
        <v>1.0831925192069825</v>
      </c>
      <c r="L173" s="1063">
        <v>2.4885110600240941</v>
      </c>
      <c r="M173" s="1063">
        <v>4.6703590028454194</v>
      </c>
      <c r="N173" s="1063">
        <v>7.6337036869905868</v>
      </c>
      <c r="O173" s="1063">
        <v>11.327226193195777</v>
      </c>
      <c r="P173" s="1063">
        <v>15.417436779377718</v>
      </c>
      <c r="Q173" s="1063">
        <v>20.05072352785427</v>
      </c>
      <c r="R173" s="1063">
        <v>24.644907266153133</v>
      </c>
      <c r="S173" s="1063">
        <v>29.348476099707735</v>
      </c>
      <c r="T173" s="1063">
        <v>33.92347304028678</v>
      </c>
      <c r="U173" s="1063">
        <v>38.398853875555055</v>
      </c>
      <c r="V173" s="1063">
        <v>42.344087779398222</v>
      </c>
      <c r="W173" s="1063">
        <v>45.885910701131991</v>
      </c>
      <c r="X173" s="1063">
        <v>49.456145652932818</v>
      </c>
      <c r="Y173" s="1063">
        <v>52.665304676845167</v>
      </c>
      <c r="Z173" s="1063">
        <v>55.456125160491716</v>
      </c>
      <c r="AA173" s="1063">
        <v>58.014239128322259</v>
      </c>
      <c r="AB173" s="1063">
        <v>60.246585929591738</v>
      </c>
      <c r="AC173" s="1063">
        <v>62.347934165838467</v>
      </c>
      <c r="AD173" s="1063">
        <v>64.428927609801406</v>
      </c>
      <c r="AE173" s="1063">
        <v>66.297073657069006</v>
      </c>
      <c r="AF173" s="1063">
        <v>68.300323109628181</v>
      </c>
    </row>
    <row r="174" spans="1:32" s="864" customFormat="1" x14ac:dyDescent="0.25">
      <c r="A174" s="839"/>
      <c r="B174" s="839"/>
      <c r="C174" s="838"/>
      <c r="D174" s="838"/>
      <c r="E174" s="838"/>
      <c r="F174" s="838"/>
      <c r="G174" s="854"/>
      <c r="H174" s="838"/>
      <c r="I174" s="838"/>
      <c r="J174" s="838"/>
      <c r="K174" s="838"/>
      <c r="L174" s="838"/>
      <c r="M174" s="838"/>
      <c r="N174" s="838"/>
      <c r="O174" s="838"/>
      <c r="P174" s="838"/>
      <c r="Q174" s="838"/>
      <c r="R174" s="838"/>
      <c r="S174" s="838"/>
      <c r="T174" s="838"/>
      <c r="U174" s="838"/>
      <c r="V174" s="838"/>
      <c r="W174" s="838"/>
      <c r="X174" s="838"/>
      <c r="Y174" s="838"/>
      <c r="Z174" s="838"/>
      <c r="AA174" s="838"/>
      <c r="AB174" s="838"/>
      <c r="AC174" s="838"/>
      <c r="AD174" s="838"/>
      <c r="AE174" s="838"/>
      <c r="AF174" s="838"/>
    </row>
    <row r="175" spans="1:32" s="856" customFormat="1" ht="12.75" x14ac:dyDescent="0.2">
      <c r="A175" s="843" t="s">
        <v>42</v>
      </c>
      <c r="B175" s="843"/>
      <c r="C175" s="843"/>
      <c r="D175" s="843"/>
      <c r="E175" s="843"/>
      <c r="F175" s="843"/>
      <c r="G175" s="865"/>
      <c r="H175" s="843"/>
      <c r="I175" s="843"/>
      <c r="J175" s="843"/>
      <c r="K175" s="843"/>
      <c r="L175" s="843"/>
      <c r="M175" s="843"/>
      <c r="N175" s="843"/>
      <c r="O175" s="843"/>
      <c r="P175" s="843"/>
      <c r="Q175" s="843"/>
      <c r="R175" s="843"/>
      <c r="S175" s="843"/>
      <c r="T175" s="843"/>
      <c r="U175" s="843"/>
      <c r="V175" s="843"/>
      <c r="W175" s="843"/>
      <c r="X175" s="843"/>
      <c r="Y175" s="843"/>
      <c r="Z175" s="843"/>
      <c r="AA175" s="843"/>
      <c r="AB175" s="843"/>
      <c r="AC175" s="843"/>
      <c r="AD175" s="843"/>
      <c r="AE175" s="843"/>
      <c r="AF175" s="843"/>
    </row>
    <row r="176" spans="1:32" s="864" customFormat="1" x14ac:dyDescent="0.25">
      <c r="A176" s="839"/>
      <c r="B176" s="842" t="s">
        <v>43</v>
      </c>
      <c r="C176" s="838"/>
      <c r="D176" s="838"/>
      <c r="E176" s="838"/>
      <c r="F176" s="838"/>
      <c r="G176" s="854"/>
      <c r="H176" s="854">
        <v>0.25367572373923553</v>
      </c>
      <c r="I176" s="854">
        <v>0.2263760426279291</v>
      </c>
      <c r="J176" s="854">
        <v>0.20193983424883155</v>
      </c>
      <c r="K176" s="854">
        <v>0.1797874601303012</v>
      </c>
      <c r="L176" s="854">
        <v>0.16015379315212921</v>
      </c>
      <c r="M176" s="854">
        <v>0.14220185350508832</v>
      </c>
      <c r="N176" s="854">
        <v>0.12631311666415487</v>
      </c>
      <c r="O176" s="854">
        <v>0.11223284263708581</v>
      </c>
      <c r="P176" s="854">
        <v>9.9733855389574605E-2</v>
      </c>
      <c r="Q176" s="854">
        <v>8.8598789098766895E-2</v>
      </c>
      <c r="R176" s="854">
        <v>7.8628225962147191E-2</v>
      </c>
      <c r="S176" s="854">
        <v>6.9804629901560875E-2</v>
      </c>
      <c r="T176" s="854">
        <v>6.1972940478868789E-2</v>
      </c>
      <c r="U176" s="854">
        <v>5.5035476240943362E-2</v>
      </c>
      <c r="V176" s="854">
        <v>4.8902524887072557E-2</v>
      </c>
      <c r="W176" s="854">
        <v>4.3460660460802672E-2</v>
      </c>
      <c r="X176" s="854">
        <v>3.8648619513808852E-2</v>
      </c>
      <c r="Y176" s="854">
        <v>3.4378820404550557E-2</v>
      </c>
      <c r="Z176" s="854">
        <v>3.0595400132760922E-2</v>
      </c>
      <c r="AA176" s="854">
        <v>2.7245686386014503E-2</v>
      </c>
      <c r="AB176" s="854">
        <v>2.4273714164266342E-2</v>
      </c>
      <c r="AC176" s="854">
        <v>2.1642469402820792E-2</v>
      </c>
      <c r="AD176" s="854">
        <v>1.930367004292818E-2</v>
      </c>
      <c r="AE176" s="854">
        <v>1.7225663377146212E-2</v>
      </c>
      <c r="AF176" s="854">
        <v>1.5365355881837845E-2</v>
      </c>
    </row>
    <row r="177" spans="1:32" s="864" customFormat="1" x14ac:dyDescent="0.25">
      <c r="A177" s="839"/>
      <c r="B177" s="842" t="s">
        <v>44</v>
      </c>
      <c r="C177" s="838"/>
      <c r="D177" s="838"/>
      <c r="E177" s="838"/>
      <c r="F177" s="838"/>
      <c r="G177" s="854"/>
      <c r="H177" s="854">
        <v>27.754049242262539</v>
      </c>
      <c r="I177" s="854">
        <v>28.3498432940832</v>
      </c>
      <c r="J177" s="854">
        <v>28.606287572833395</v>
      </c>
      <c r="K177" s="854">
        <v>28.426259577747924</v>
      </c>
      <c r="L177" s="854">
        <v>27.895546988541536</v>
      </c>
      <c r="M177" s="854">
        <v>26.892351629441542</v>
      </c>
      <c r="N177" s="854">
        <v>25.731093823173424</v>
      </c>
      <c r="O177" s="854">
        <v>24.483350054351956</v>
      </c>
      <c r="P177" s="854">
        <v>23.105089381915533</v>
      </c>
      <c r="Q177" s="854">
        <v>21.71390057046527</v>
      </c>
      <c r="R177" s="854">
        <v>20.270240468076228</v>
      </c>
      <c r="S177" s="854">
        <v>18.895325501134579</v>
      </c>
      <c r="T177" s="854">
        <v>17.574984738962527</v>
      </c>
      <c r="U177" s="854">
        <v>16.350047611981189</v>
      </c>
      <c r="V177" s="854">
        <v>15.25274421922866</v>
      </c>
      <c r="W177" s="854">
        <v>14.194740428179761</v>
      </c>
      <c r="X177" s="854">
        <v>13.249531525293671</v>
      </c>
      <c r="Y177" s="854">
        <v>12.38407648309375</v>
      </c>
      <c r="Z177" s="854">
        <v>11.595411171352771</v>
      </c>
      <c r="AA177" s="854">
        <v>10.882368784291831</v>
      </c>
      <c r="AB177" s="854">
        <v>10.228701896237343</v>
      </c>
      <c r="AC177" s="854">
        <v>9.6393898955762669</v>
      </c>
      <c r="AD177" s="854">
        <v>9.1046402361936991</v>
      </c>
      <c r="AE177" s="854">
        <v>8.6151505871750658</v>
      </c>
      <c r="AF177" s="854">
        <v>8.1524327934838503</v>
      </c>
    </row>
    <row r="178" spans="1:32" s="864" customFormat="1" x14ac:dyDescent="0.25">
      <c r="A178" s="839"/>
      <c r="B178" s="842" t="s">
        <v>45</v>
      </c>
      <c r="C178" s="838"/>
      <c r="D178" s="838"/>
      <c r="E178" s="838"/>
      <c r="F178" s="838"/>
      <c r="G178" s="854"/>
      <c r="H178" s="854">
        <v>1.3589883918627987</v>
      </c>
      <c r="I178" s="854">
        <v>1.2300988451010417</v>
      </c>
      <c r="J178" s="854">
        <v>1.1151405841698236</v>
      </c>
      <c r="K178" s="854">
        <v>1.0110005867007115</v>
      </c>
      <c r="L178" s="854">
        <v>0.91478297142512333</v>
      </c>
      <c r="M178" s="854">
        <v>0.82642121750164477</v>
      </c>
      <c r="N178" s="854">
        <v>0.74582918474987081</v>
      </c>
      <c r="O178" s="854">
        <v>0.67287742779447213</v>
      </c>
      <c r="P178" s="854">
        <v>0.60505841286122009</v>
      </c>
      <c r="Q178" s="854">
        <v>0.5442022701409498</v>
      </c>
      <c r="R178" s="854">
        <v>0.4888483975853829</v>
      </c>
      <c r="S178" s="854">
        <v>0.43950900353425593</v>
      </c>
      <c r="T178" s="854">
        <v>0.39530112118311161</v>
      </c>
      <c r="U178" s="854">
        <v>0.35614304846035616</v>
      </c>
      <c r="V178" s="854">
        <v>0.32129160701611836</v>
      </c>
      <c r="W178" s="854">
        <v>0.29027876165555244</v>
      </c>
      <c r="X178" s="854">
        <v>0.26310324340551305</v>
      </c>
      <c r="Y178" s="854">
        <v>0.23899158069158682</v>
      </c>
      <c r="Z178" s="854">
        <v>0.21758673496088934</v>
      </c>
      <c r="AA178" s="854">
        <v>0.19862105753938017</v>
      </c>
      <c r="AB178" s="854">
        <v>0.18175072867827755</v>
      </c>
      <c r="AC178" s="854">
        <v>0.16682998224016721</v>
      </c>
      <c r="AD178" s="854">
        <v>0.15357391016867233</v>
      </c>
      <c r="AE178" s="854">
        <v>0.14175277646817991</v>
      </c>
      <c r="AF178" s="854">
        <v>0.13109126258508</v>
      </c>
    </row>
    <row r="179" spans="1:32" s="864" customFormat="1" x14ac:dyDescent="0.25">
      <c r="A179" s="839"/>
      <c r="B179" s="842" t="s">
        <v>46</v>
      </c>
      <c r="C179" s="838"/>
      <c r="D179" s="838"/>
      <c r="E179" s="838"/>
      <c r="F179" s="838"/>
      <c r="G179" s="854"/>
      <c r="H179" s="854">
        <v>1.7922454537913711E-2</v>
      </c>
      <c r="I179" s="854">
        <v>1.5662100129650466E-2</v>
      </c>
      <c r="J179" s="854">
        <v>1.3692764598657871E-2</v>
      </c>
      <c r="K179" s="854">
        <v>1.1976170003146673E-2</v>
      </c>
      <c r="L179" s="854">
        <v>1.0479185412689145E-2</v>
      </c>
      <c r="M179" s="854">
        <v>9.1731189433041701E-3</v>
      </c>
      <c r="N179" s="854">
        <v>8.0331094614781405E-3</v>
      </c>
      <c r="O179" s="854">
        <v>7.0119812455782787E-3</v>
      </c>
      <c r="P179" s="854">
        <v>6.1233184897791825E-3</v>
      </c>
      <c r="Q179" s="854">
        <v>5.3495730477858489E-3</v>
      </c>
      <c r="R179" s="854">
        <v>4.6755721080608851E-3</v>
      </c>
      <c r="S179" s="854">
        <v>4.0881894808504045E-3</v>
      </c>
      <c r="T179" s="854">
        <v>3.576063412988449E-3</v>
      </c>
      <c r="U179" s="854">
        <v>3.1293541916381949E-3</v>
      </c>
      <c r="V179" s="854">
        <v>2.7395357971544648E-3</v>
      </c>
      <c r="W179" s="854">
        <v>2.3992167126449626E-3</v>
      </c>
      <c r="X179" s="854">
        <v>2.1019857171346011E-3</v>
      </c>
      <c r="Y179" s="854">
        <v>1.8485524684201818E-3</v>
      </c>
      <c r="Z179" s="854">
        <v>1.620729389135169E-3</v>
      </c>
      <c r="AA179" s="854">
        <v>1.4215105783221276E-3</v>
      </c>
      <c r="AB179" s="854">
        <v>1.2476286674565421E-3</v>
      </c>
      <c r="AC179" s="854">
        <v>1.0957421431533813E-3</v>
      </c>
      <c r="AD179" s="854">
        <v>9.6267994604862836E-4</v>
      </c>
      <c r="AE179" s="854">
        <v>8.4631470099623331E-4</v>
      </c>
      <c r="AF179" s="854">
        <v>7.4447671528850149E-4</v>
      </c>
    </row>
    <row r="180" spans="1:32" s="864" customFormat="1" x14ac:dyDescent="0.25">
      <c r="A180" s="839"/>
      <c r="B180" s="839" t="s">
        <v>29</v>
      </c>
      <c r="C180" s="838"/>
      <c r="D180" s="838"/>
      <c r="E180" s="838"/>
      <c r="F180" s="838"/>
      <c r="G180" s="854"/>
      <c r="H180" s="854">
        <v>4.6166880548693789E-3</v>
      </c>
      <c r="I180" s="854">
        <v>7.7408230192504368E-2</v>
      </c>
      <c r="J180" s="854">
        <v>0.3732370923338687</v>
      </c>
      <c r="K180" s="854">
        <v>0.98800681847514082</v>
      </c>
      <c r="L180" s="854">
        <v>1.8707710717933268</v>
      </c>
      <c r="M180" s="854">
        <v>2.9402840644304091</v>
      </c>
      <c r="N180" s="854">
        <v>4.1197971988927415</v>
      </c>
      <c r="O180" s="854">
        <v>5.3696170962010115</v>
      </c>
      <c r="P180" s="854">
        <v>6.5432068086567199</v>
      </c>
      <c r="Q180" s="854">
        <v>7.7182529253822576</v>
      </c>
      <c r="R180" s="854">
        <v>8.7245593280513667</v>
      </c>
      <c r="S180" s="854">
        <v>9.6734477260886536</v>
      </c>
      <c r="T180" s="854">
        <v>10.496991581295939</v>
      </c>
      <c r="U180" s="854">
        <v>11.271331611241996</v>
      </c>
      <c r="V180" s="854">
        <v>11.91717555771036</v>
      </c>
      <c r="W180" s="854">
        <v>12.458537492104812</v>
      </c>
      <c r="X180" s="854">
        <v>13.040501811724786</v>
      </c>
      <c r="Y180" s="854">
        <v>13.562968100007435</v>
      </c>
      <c r="Z180" s="854">
        <v>14.014616047520125</v>
      </c>
      <c r="AA180" s="854">
        <v>14.415437137877792</v>
      </c>
      <c r="AB180" s="854">
        <v>14.772198921054816</v>
      </c>
      <c r="AC180" s="854">
        <v>15.118353173127829</v>
      </c>
      <c r="AD180" s="854">
        <v>15.457765727029063</v>
      </c>
      <c r="AE180" s="854">
        <v>15.776355568095422</v>
      </c>
      <c r="AF180" s="854">
        <v>16.100033983259046</v>
      </c>
    </row>
    <row r="181" spans="1:32" s="864" customFormat="1" x14ac:dyDescent="0.25">
      <c r="A181" s="839"/>
      <c r="B181" s="839"/>
      <c r="C181" s="838"/>
      <c r="D181" s="838"/>
      <c r="E181" s="838"/>
      <c r="F181" s="838"/>
      <c r="G181" s="854"/>
      <c r="H181" s="838"/>
      <c r="I181" s="838"/>
      <c r="J181" s="838"/>
      <c r="K181" s="838"/>
      <c r="L181" s="838"/>
      <c r="M181" s="838"/>
      <c r="N181" s="838"/>
      <c r="O181" s="838"/>
      <c r="P181" s="838"/>
      <c r="Q181" s="838"/>
      <c r="R181" s="838"/>
      <c r="S181" s="838"/>
      <c r="T181" s="838"/>
      <c r="U181" s="838"/>
      <c r="V181" s="838"/>
      <c r="W181" s="838"/>
      <c r="X181" s="838"/>
      <c r="Y181" s="838"/>
      <c r="Z181" s="838"/>
      <c r="AA181" s="838"/>
      <c r="AB181" s="838"/>
      <c r="AC181" s="838"/>
      <c r="AD181" s="838"/>
      <c r="AE181" s="838"/>
      <c r="AF181" s="838"/>
    </row>
    <row r="182" spans="1:32" s="856" customFormat="1" ht="12.75" x14ac:dyDescent="0.2">
      <c r="A182" s="843" t="s">
        <v>47</v>
      </c>
      <c r="B182" s="843"/>
      <c r="C182" s="843"/>
      <c r="D182" s="843"/>
      <c r="E182" s="843"/>
      <c r="F182" s="843"/>
      <c r="G182" s="865"/>
      <c r="H182" s="843"/>
      <c r="I182" s="843"/>
      <c r="J182" s="843"/>
      <c r="K182" s="843"/>
      <c r="L182" s="843"/>
      <c r="M182" s="843"/>
      <c r="N182" s="843"/>
      <c r="O182" s="843"/>
      <c r="P182" s="843"/>
      <c r="Q182" s="843"/>
      <c r="R182" s="843"/>
      <c r="S182" s="843"/>
      <c r="T182" s="843"/>
      <c r="U182" s="843"/>
      <c r="V182" s="843"/>
      <c r="W182" s="843"/>
      <c r="X182" s="843"/>
      <c r="Y182" s="843"/>
      <c r="Z182" s="843"/>
      <c r="AA182" s="843"/>
      <c r="AB182" s="843"/>
      <c r="AC182" s="843"/>
      <c r="AD182" s="843"/>
      <c r="AE182" s="843"/>
      <c r="AF182" s="843"/>
    </row>
    <row r="183" spans="1:32" s="864" customFormat="1" x14ac:dyDescent="0.25">
      <c r="A183" s="839"/>
      <c r="B183" s="839" t="s">
        <v>48</v>
      </c>
      <c r="C183" s="838"/>
      <c r="D183" s="838"/>
      <c r="E183" s="838"/>
      <c r="F183" s="838"/>
      <c r="G183" s="854"/>
      <c r="H183" s="854">
        <v>0.24832806898738738</v>
      </c>
      <c r="I183" s="854">
        <v>0.21946346710718698</v>
      </c>
      <c r="J183" s="854">
        <v>0.1802987806810751</v>
      </c>
      <c r="K183" s="854">
        <v>0.13570637608733679</v>
      </c>
      <c r="L183" s="854">
        <v>9.2700114242753304E-2</v>
      </c>
      <c r="M183" s="854">
        <v>5.7027724745947389E-2</v>
      </c>
      <c r="N183" s="854">
        <v>3.164841951446893E-2</v>
      </c>
      <c r="O183" s="854">
        <v>1.5947769594509727E-2</v>
      </c>
      <c r="P183" s="854">
        <v>7.35365506943982E-3</v>
      </c>
      <c r="Q183" s="854">
        <v>3.1339874411260142E-3</v>
      </c>
      <c r="R183" s="854">
        <v>1.2453477486489401E-3</v>
      </c>
      <c r="S183" s="854">
        <v>4.6626360300278824E-4</v>
      </c>
      <c r="T183" s="854">
        <v>1.6606516348141213E-4</v>
      </c>
      <c r="U183" s="854">
        <v>5.6760033558914503E-5</v>
      </c>
      <c r="V183" s="854">
        <v>1.8774515597810246E-5</v>
      </c>
      <c r="W183" s="854">
        <v>6.0480914116540043E-6</v>
      </c>
      <c r="X183" s="854">
        <v>1.9094880651457362E-6</v>
      </c>
      <c r="Y183" s="854">
        <v>5.9348557629780386E-7</v>
      </c>
      <c r="Z183" s="854">
        <v>1.8222647135092651E-7</v>
      </c>
      <c r="AA183" s="854">
        <v>5.5430604911897766E-8</v>
      </c>
      <c r="AB183" s="854">
        <v>1.6734908941670841E-8</v>
      </c>
      <c r="AC183" s="854">
        <v>5.0229940782114798E-9</v>
      </c>
      <c r="AD183" s="854">
        <v>1.5004535790262345E-9</v>
      </c>
      <c r="AE183" s="854">
        <v>4.4634311808532749E-10</v>
      </c>
      <c r="AF183" s="854">
        <v>1.3212989185168965E-10</v>
      </c>
    </row>
    <row r="184" spans="1:32" s="864" customFormat="1" x14ac:dyDescent="0.25">
      <c r="A184" s="839"/>
      <c r="B184" s="842" t="s">
        <v>50</v>
      </c>
      <c r="C184" s="838"/>
      <c r="D184" s="838"/>
      <c r="E184" s="838"/>
      <c r="F184" s="838"/>
      <c r="G184" s="854"/>
      <c r="H184" s="854">
        <v>5.8743782117020737</v>
      </c>
      <c r="I184" s="854">
        <v>5.5830945142583417</v>
      </c>
      <c r="J184" s="854">
        <v>5.1093645594001647</v>
      </c>
      <c r="K184" s="854">
        <v>4.4731225979585219</v>
      </c>
      <c r="L184" s="854">
        <v>3.7223201068803378</v>
      </c>
      <c r="M184" s="854">
        <v>2.9257684968670907</v>
      </c>
      <c r="N184" s="854">
        <v>2.1720983769114928</v>
      </c>
      <c r="O184" s="854">
        <v>1.5277819686196015</v>
      </c>
      <c r="P184" s="854">
        <v>1.0205365975252263</v>
      </c>
      <c r="Q184" s="854">
        <v>0.65139297648930738</v>
      </c>
      <c r="R184" s="854">
        <v>0.39905936970297795</v>
      </c>
      <c r="S184" s="854">
        <v>0.23623364990379761</v>
      </c>
      <c r="T184" s="854">
        <v>0.13594435673971553</v>
      </c>
      <c r="U184" s="854">
        <v>7.648304149720668E-2</v>
      </c>
      <c r="V184" s="854">
        <v>4.2289346545723673E-2</v>
      </c>
      <c r="W184" s="854">
        <v>2.3067331540505005E-2</v>
      </c>
      <c r="X184" s="854">
        <v>1.2469908871360902E-2</v>
      </c>
      <c r="Y184" s="854">
        <v>6.6985176446187327E-3</v>
      </c>
      <c r="Z184" s="854">
        <v>3.5821040775051087E-3</v>
      </c>
      <c r="AA184" s="854">
        <v>1.9098467320535692E-3</v>
      </c>
      <c r="AB184" s="854">
        <v>1.0164796363601387E-3</v>
      </c>
      <c r="AC184" s="854">
        <v>5.4062785319196718E-4</v>
      </c>
      <c r="AD184" s="854">
        <v>2.8750469392820218E-4</v>
      </c>
      <c r="AE184" s="854">
        <v>1.5293295691313138E-4</v>
      </c>
      <c r="AF184" s="854">
        <v>8.1349891074319457E-5</v>
      </c>
    </row>
    <row r="185" spans="1:32" s="864" customFormat="1" x14ac:dyDescent="0.25">
      <c r="A185" s="839"/>
      <c r="B185" s="839" t="s">
        <v>51</v>
      </c>
      <c r="C185" s="838"/>
      <c r="D185" s="838"/>
      <c r="E185" s="838"/>
      <c r="F185" s="838"/>
      <c r="G185" s="854"/>
      <c r="H185" s="854">
        <v>6.5867300943623279</v>
      </c>
      <c r="I185" s="854">
        <v>6.3003185881139911</v>
      </c>
      <c r="J185" s="854">
        <v>5.9112645324739272</v>
      </c>
      <c r="K185" s="854">
        <v>5.4339119340006992</v>
      </c>
      <c r="L185" s="854">
        <v>4.8907544604359057</v>
      </c>
      <c r="M185" s="854">
        <v>4.3070295077869911</v>
      </c>
      <c r="N185" s="854">
        <v>3.736885813147508</v>
      </c>
      <c r="O185" s="854">
        <v>3.2076468909143512</v>
      </c>
      <c r="P185" s="854">
        <v>2.7124795473939467</v>
      </c>
      <c r="Q185" s="854">
        <v>2.276572878053889</v>
      </c>
      <c r="R185" s="854">
        <v>1.8918937519841594</v>
      </c>
      <c r="S185" s="854">
        <v>1.564754716653183</v>
      </c>
      <c r="T185" s="854">
        <v>1.289692949222855</v>
      </c>
      <c r="U185" s="854">
        <v>1.0610801495809885</v>
      </c>
      <c r="V185" s="854">
        <v>0.87219289298400937</v>
      </c>
      <c r="W185" s="854">
        <v>0.71601070952282053</v>
      </c>
      <c r="X185" s="854">
        <v>0.5892940981125927</v>
      </c>
      <c r="Y185" s="854">
        <v>0.48553317471711127</v>
      </c>
      <c r="Z185" s="854">
        <v>0.40002912526745821</v>
      </c>
      <c r="AA185" s="854">
        <v>0.32956983191160372</v>
      </c>
      <c r="AB185" s="854">
        <v>0.2717647909456235</v>
      </c>
      <c r="AC185" s="854">
        <v>0.22431922849299227</v>
      </c>
      <c r="AD185" s="854">
        <v>0.18527918078155117</v>
      </c>
      <c r="AE185" s="854">
        <v>0.15312620959671328</v>
      </c>
      <c r="AF185" s="854">
        <v>0.12661036777130422</v>
      </c>
    </row>
    <row r="186" spans="1:32" s="864" customFormat="1" x14ac:dyDescent="0.25">
      <c r="A186" s="839"/>
      <c r="B186" s="839" t="s">
        <v>52</v>
      </c>
      <c r="C186" s="838"/>
      <c r="D186" s="838"/>
      <c r="E186" s="838"/>
      <c r="F186" s="838"/>
      <c r="G186" s="854"/>
      <c r="H186" s="854">
        <v>1.0512129681192652</v>
      </c>
      <c r="I186" s="854">
        <v>1.0445927097846779</v>
      </c>
      <c r="J186" s="854">
        <v>1.027496163696219</v>
      </c>
      <c r="K186" s="854">
        <v>1.0004286660212816</v>
      </c>
      <c r="L186" s="854">
        <v>0.96612880903164233</v>
      </c>
      <c r="M186" s="854">
        <v>0.92273778179937382</v>
      </c>
      <c r="N186" s="854">
        <v>0.87610140179967033</v>
      </c>
      <c r="O186" s="854">
        <v>0.8303681086023541</v>
      </c>
      <c r="P186" s="854">
        <v>0.7812664292758511</v>
      </c>
      <c r="Q186" s="854">
        <v>0.7341622199564426</v>
      </c>
      <c r="R186" s="854">
        <v>0.68671923267896728</v>
      </c>
      <c r="S186" s="854">
        <v>0.64174324661251247</v>
      </c>
      <c r="T186" s="854">
        <v>0.59924184640480538</v>
      </c>
      <c r="U186" s="854">
        <v>0.55946740692192098</v>
      </c>
      <c r="V186" s="854">
        <v>0.52158150385831903</v>
      </c>
      <c r="W186" s="854">
        <v>0.48617298700859257</v>
      </c>
      <c r="X186" s="854">
        <v>0.45487326231720687</v>
      </c>
      <c r="Y186" s="854">
        <v>0.42541098608953298</v>
      </c>
      <c r="Z186" s="854">
        <v>0.39836683743530321</v>
      </c>
      <c r="AA186" s="854">
        <v>0.37254327936765641</v>
      </c>
      <c r="AB186" s="854">
        <v>0.3487056769736695</v>
      </c>
      <c r="AC186" s="854">
        <v>0.32699445996170479</v>
      </c>
      <c r="AD186" s="854">
        <v>0.30644401513352942</v>
      </c>
      <c r="AE186" s="854">
        <v>0.28736556377148992</v>
      </c>
      <c r="AF186" s="854">
        <v>0.26983844278783686</v>
      </c>
    </row>
    <row r="187" spans="1:32" s="864" customFormat="1" x14ac:dyDescent="0.25">
      <c r="A187" s="839"/>
      <c r="B187" s="842" t="s">
        <v>29</v>
      </c>
      <c r="C187" s="838"/>
      <c r="D187" s="838"/>
      <c r="E187" s="838"/>
      <c r="F187" s="838"/>
      <c r="G187" s="854"/>
      <c r="H187" s="854">
        <v>0.69705348451184257</v>
      </c>
      <c r="I187" s="854">
        <v>1.2519366535154268</v>
      </c>
      <c r="J187" s="854">
        <v>1.8975668873767764</v>
      </c>
      <c r="K187" s="854">
        <v>2.593304544489988</v>
      </c>
      <c r="L187" s="854">
        <v>3.2757190817166242</v>
      </c>
      <c r="M187" s="854">
        <v>3.8710855887888393</v>
      </c>
      <c r="N187" s="854">
        <v>4.3539262447524321</v>
      </c>
      <c r="O187" s="854">
        <v>4.6773763534795245</v>
      </c>
      <c r="P187" s="854">
        <v>4.9208704587642629</v>
      </c>
      <c r="Q187" s="854">
        <v>5.1023835824710053</v>
      </c>
      <c r="R187" s="854">
        <v>5.1680284845338171</v>
      </c>
      <c r="S187" s="854">
        <v>5.2497973632873638</v>
      </c>
      <c r="T187" s="854">
        <v>5.2815342506982024</v>
      </c>
      <c r="U187" s="854">
        <v>5.3429476092388617</v>
      </c>
      <c r="V187" s="854">
        <v>5.3706566862620475</v>
      </c>
      <c r="W187" s="854">
        <v>5.41070449651051</v>
      </c>
      <c r="X187" s="854">
        <v>5.4548433072229896</v>
      </c>
      <c r="Y187" s="854">
        <v>5.5085577688452183</v>
      </c>
      <c r="Z187" s="854">
        <v>5.5692333549344957</v>
      </c>
      <c r="AA187" s="854">
        <v>5.607278868420007</v>
      </c>
      <c r="AB187" s="854">
        <v>5.6513268915022117</v>
      </c>
      <c r="AC187" s="854">
        <v>5.7021669219802513</v>
      </c>
      <c r="AD187" s="854">
        <v>5.7546557300412378</v>
      </c>
      <c r="AE187" s="854">
        <v>5.8086810075108275</v>
      </c>
      <c r="AF187" s="854">
        <v>5.8666312651448944</v>
      </c>
    </row>
    <row r="188" spans="1:32" s="864" customFormat="1" x14ac:dyDescent="0.25">
      <c r="A188" s="839"/>
      <c r="B188" s="842" t="s">
        <v>53</v>
      </c>
      <c r="C188" s="838"/>
      <c r="D188" s="838"/>
      <c r="E188" s="838"/>
      <c r="F188" s="838"/>
      <c r="G188" s="854"/>
      <c r="H188" s="854">
        <v>0</v>
      </c>
      <c r="I188" s="854">
        <v>0</v>
      </c>
      <c r="J188" s="854">
        <v>0</v>
      </c>
      <c r="K188" s="854">
        <v>0</v>
      </c>
      <c r="L188" s="854">
        <v>0</v>
      </c>
      <c r="M188" s="854">
        <v>0</v>
      </c>
      <c r="N188" s="854">
        <v>0</v>
      </c>
      <c r="O188" s="854">
        <v>0</v>
      </c>
      <c r="P188" s="854">
        <v>0</v>
      </c>
      <c r="Q188" s="854">
        <v>0</v>
      </c>
      <c r="R188" s="854">
        <v>0</v>
      </c>
      <c r="S188" s="854">
        <v>0</v>
      </c>
      <c r="T188" s="854">
        <v>0</v>
      </c>
      <c r="U188" s="854">
        <v>0</v>
      </c>
      <c r="V188" s="854">
        <v>0</v>
      </c>
      <c r="W188" s="854">
        <v>0</v>
      </c>
      <c r="X188" s="854">
        <v>0</v>
      </c>
      <c r="Y188" s="854">
        <v>0</v>
      </c>
      <c r="Z188" s="854">
        <v>0</v>
      </c>
      <c r="AA188" s="854">
        <v>0</v>
      </c>
      <c r="AB188" s="854">
        <v>0</v>
      </c>
      <c r="AC188" s="854">
        <v>0</v>
      </c>
      <c r="AD188" s="854">
        <v>0</v>
      </c>
      <c r="AE188" s="854">
        <v>0</v>
      </c>
      <c r="AF188" s="854">
        <v>0</v>
      </c>
    </row>
    <row r="191" spans="1:32" x14ac:dyDescent="0.25">
      <c r="A191" s="860" t="s">
        <v>56</v>
      </c>
      <c r="B191" s="861"/>
      <c r="C191" s="860"/>
      <c r="D191" s="859"/>
      <c r="E191" s="859"/>
      <c r="F191" s="859"/>
      <c r="G191" s="859"/>
      <c r="H191" s="862"/>
      <c r="I191" s="862"/>
      <c r="J191" s="862"/>
      <c r="K191" s="862"/>
      <c r="L191" s="862"/>
      <c r="M191" s="862"/>
      <c r="N191" s="862"/>
      <c r="O191" s="862"/>
      <c r="P191" s="862"/>
      <c r="Q191" s="862"/>
      <c r="R191" s="862"/>
      <c r="S191" s="862"/>
      <c r="T191" s="862"/>
      <c r="U191" s="862"/>
      <c r="V191" s="862"/>
      <c r="W191" s="862"/>
      <c r="X191" s="862"/>
      <c r="Y191" s="862"/>
      <c r="Z191" s="862"/>
      <c r="AA191" s="862"/>
      <c r="AB191" s="862"/>
      <c r="AC191" s="862"/>
      <c r="AD191" s="862"/>
      <c r="AE191" s="862"/>
      <c r="AF191" s="862"/>
    </row>
    <row r="192" spans="1:32" x14ac:dyDescent="0.25">
      <c r="A192" s="840" t="s">
        <v>12</v>
      </c>
      <c r="B192" s="839"/>
    </row>
    <row r="193" spans="1:32" x14ac:dyDescent="0.25">
      <c r="A193" s="839"/>
      <c r="B193" s="839" t="s">
        <v>20</v>
      </c>
    </row>
    <row r="194" spans="1:32" s="856" customFormat="1" ht="12.75" x14ac:dyDescent="0.2">
      <c r="A194" s="843" t="s">
        <v>21</v>
      </c>
      <c r="B194" s="843"/>
      <c r="C194" s="843"/>
      <c r="D194" s="843"/>
      <c r="E194" s="843"/>
      <c r="F194" s="843"/>
      <c r="G194" s="843"/>
      <c r="H194" s="843"/>
      <c r="I194" s="843"/>
      <c r="J194" s="843"/>
      <c r="K194" s="843"/>
      <c r="L194" s="843"/>
      <c r="M194" s="843"/>
      <c r="N194" s="843"/>
      <c r="O194" s="843"/>
      <c r="P194" s="843"/>
      <c r="Q194" s="843"/>
      <c r="R194" s="843"/>
      <c r="S194" s="843"/>
      <c r="T194" s="843"/>
      <c r="U194" s="843"/>
      <c r="V194" s="843"/>
      <c r="W194" s="843"/>
      <c r="X194" s="843"/>
      <c r="Y194" s="843"/>
      <c r="Z194" s="843"/>
      <c r="AA194" s="843"/>
      <c r="AB194" s="843"/>
      <c r="AC194" s="843"/>
      <c r="AD194" s="843"/>
      <c r="AE194" s="843"/>
      <c r="AF194" s="843"/>
    </row>
    <row r="195" spans="1:32" s="864" customFormat="1" x14ac:dyDescent="0.25">
      <c r="A195" s="839"/>
      <c r="B195" s="839" t="s">
        <v>22</v>
      </c>
      <c r="C195" s="838"/>
      <c r="D195" s="838"/>
      <c r="E195" s="838"/>
      <c r="F195" s="838"/>
      <c r="G195" s="854"/>
      <c r="H195" s="854">
        <v>2.740884287427536E-2</v>
      </c>
      <c r="I195" s="854">
        <v>1.8309508107750325E-2</v>
      </c>
      <c r="J195" s="854">
        <v>1.05078350196172E-2</v>
      </c>
      <c r="K195" s="854">
        <v>6.8281659385146199E-3</v>
      </c>
      <c r="L195" s="854">
        <v>4.0283460257931163E-3</v>
      </c>
      <c r="M195" s="854">
        <v>1.3156104907137212E-3</v>
      </c>
      <c r="N195" s="854">
        <v>1.0784965577145661E-3</v>
      </c>
      <c r="O195" s="854">
        <v>9.0191863965523864E-4</v>
      </c>
      <c r="P195" s="854">
        <v>7.4659427512795173E-4</v>
      </c>
      <c r="Q195" s="854">
        <v>6.010292144995892E-4</v>
      </c>
      <c r="R195" s="854">
        <v>4.7334742978573266E-4</v>
      </c>
      <c r="S195" s="854">
        <v>3.6848067747312818E-4</v>
      </c>
      <c r="T195" s="854">
        <v>2.8666284879328541E-4</v>
      </c>
      <c r="U195" s="854">
        <v>2.2274184866849224E-4</v>
      </c>
      <c r="V195" s="854">
        <v>1.7562419882976064E-4</v>
      </c>
      <c r="W195" s="854">
        <v>1.4077002746869179E-4</v>
      </c>
      <c r="X195" s="854">
        <v>1.1442356660006691E-4</v>
      </c>
      <c r="Y195" s="854">
        <v>9.4647022854115902E-5</v>
      </c>
      <c r="Z195" s="854">
        <v>7.989216542827057E-5</v>
      </c>
      <c r="AA195" s="854">
        <v>6.8806627955036309E-5</v>
      </c>
      <c r="AB195" s="854">
        <v>5.9994485238695296E-5</v>
      </c>
      <c r="AC195" s="854">
        <v>5.2882440096267778E-5</v>
      </c>
      <c r="AD195" s="854">
        <v>4.703504041580912E-5</v>
      </c>
      <c r="AE195" s="854">
        <v>4.2052250482125089E-5</v>
      </c>
      <c r="AF195" s="854">
        <v>3.7281812224032238E-5</v>
      </c>
    </row>
    <row r="196" spans="1:32" s="864" customFormat="1" x14ac:dyDescent="0.25">
      <c r="A196" s="839"/>
      <c r="B196" s="839" t="s">
        <v>26</v>
      </c>
      <c r="C196" s="838"/>
      <c r="D196" s="838"/>
      <c r="E196" s="838"/>
      <c r="F196" s="838"/>
      <c r="G196" s="854"/>
      <c r="H196" s="854">
        <v>3.6480518830507108E-4</v>
      </c>
      <c r="I196" s="854">
        <v>1.2106206572034283E-3</v>
      </c>
      <c r="J196" s="854">
        <v>3.1815433317687394E-3</v>
      </c>
      <c r="K196" s="854">
        <v>4.2304594610979608E-3</v>
      </c>
      <c r="L196" s="854">
        <v>4.2041712412433981E-3</v>
      </c>
      <c r="M196" s="854">
        <v>3.975279486687678E-3</v>
      </c>
      <c r="N196" s="854">
        <v>3.367098301833021E-3</v>
      </c>
      <c r="O196" s="854">
        <v>2.903897502662085E-3</v>
      </c>
      <c r="P196" s="854">
        <v>2.4735737307002752E-3</v>
      </c>
      <c r="Q196" s="854">
        <v>2.0541274437118387E-3</v>
      </c>
      <c r="R196" s="854">
        <v>1.6737677564857092E-3</v>
      </c>
      <c r="S196" s="854">
        <v>1.3490321347870049E-3</v>
      </c>
      <c r="T196" s="854">
        <v>1.0876394665237979E-3</v>
      </c>
      <c r="U196" s="854">
        <v>8.774356452304462E-4</v>
      </c>
      <c r="V196" s="854">
        <v>7.1802002948360706E-4</v>
      </c>
      <c r="W196" s="854">
        <v>5.9797991126287831E-4</v>
      </c>
      <c r="X196" s="854">
        <v>5.0562248450785664E-4</v>
      </c>
      <c r="Y196" s="854">
        <v>4.3541845637572608E-4</v>
      </c>
      <c r="Z196" s="854">
        <v>3.8252376320180873E-4</v>
      </c>
      <c r="AA196" s="854">
        <v>3.425798524312897E-4</v>
      </c>
      <c r="AB196" s="854">
        <v>3.1087033863150672E-4</v>
      </c>
      <c r="AC196" s="854">
        <v>2.8518865629226681E-4</v>
      </c>
      <c r="AD196" s="854">
        <v>2.6404440068946073E-4</v>
      </c>
      <c r="AE196" s="854">
        <v>2.4592933423568794E-4</v>
      </c>
      <c r="AF196" s="854">
        <v>2.2812940164155572E-4</v>
      </c>
    </row>
    <row r="197" spans="1:32" s="864" customFormat="1" x14ac:dyDescent="0.25">
      <c r="A197" s="839"/>
      <c r="B197" s="839" t="s">
        <v>27</v>
      </c>
      <c r="C197" s="838"/>
      <c r="D197" s="838"/>
      <c r="E197" s="838"/>
      <c r="F197" s="838"/>
      <c r="G197" s="854"/>
      <c r="H197" s="854">
        <v>3.1206545327014879E-2</v>
      </c>
      <c r="I197" s="854">
        <v>2.4613269602513036E-2</v>
      </c>
      <c r="J197" s="854">
        <v>2.5274590813351205E-2</v>
      </c>
      <c r="K197" s="854">
        <v>2.3584980372568114E-2</v>
      </c>
      <c r="L197" s="854">
        <v>2.3255535260421237E-2</v>
      </c>
      <c r="M197" s="854">
        <v>2.2360921660073585E-2</v>
      </c>
      <c r="N197" s="854">
        <v>1.91057004754667E-2</v>
      </c>
      <c r="O197" s="854">
        <v>1.6547971910806619E-2</v>
      </c>
      <c r="P197" s="854">
        <v>1.4044845962949646E-2</v>
      </c>
      <c r="Q197" s="854">
        <v>1.1678896050893138E-2</v>
      </c>
      <c r="R197" s="854">
        <v>9.5880585892805445E-3</v>
      </c>
      <c r="S197" s="854">
        <v>7.781082548966806E-3</v>
      </c>
      <c r="T197" s="854">
        <v>6.321432543128256E-3</v>
      </c>
      <c r="U197" s="854">
        <v>5.1525509580715905E-3</v>
      </c>
      <c r="V197" s="854">
        <v>4.2505411197410964E-3</v>
      </c>
      <c r="W197" s="854">
        <v>3.5779188238918057E-3</v>
      </c>
      <c r="X197" s="854">
        <v>3.0651157410495899E-3</v>
      </c>
      <c r="Y197" s="854">
        <v>2.6802523468292903E-3</v>
      </c>
      <c r="Z197" s="854">
        <v>2.3907465477691144E-3</v>
      </c>
      <c r="AA197" s="854">
        <v>2.1714390237697863E-3</v>
      </c>
      <c r="AB197" s="854">
        <v>2.0041231406106833E-3</v>
      </c>
      <c r="AC197" s="854">
        <v>1.8709138482030023E-3</v>
      </c>
      <c r="AD197" s="854">
        <v>1.7642312025154586E-3</v>
      </c>
      <c r="AE197" s="854">
        <v>1.6767246847658539E-3</v>
      </c>
      <c r="AF197" s="854">
        <v>1.6014515851495385E-3</v>
      </c>
    </row>
    <row r="198" spans="1:32" s="864" customFormat="1" x14ac:dyDescent="0.25">
      <c r="A198" s="839"/>
      <c r="B198" s="839" t="s">
        <v>29</v>
      </c>
      <c r="C198" s="838"/>
      <c r="D198" s="838"/>
      <c r="E198" s="838"/>
      <c r="F198" s="838"/>
      <c r="G198" s="854"/>
      <c r="H198" s="854">
        <v>5.1954247099287061E-5</v>
      </c>
      <c r="I198" s="854">
        <v>1.8078747638525407E-4</v>
      </c>
      <c r="J198" s="854">
        <v>4.6159239910365088E-4</v>
      </c>
      <c r="K198" s="854">
        <v>1.0867819753765402E-3</v>
      </c>
      <c r="L198" s="854">
        <v>2.1342667619630401E-3</v>
      </c>
      <c r="M198" s="854">
        <v>3.4940976415190205E-3</v>
      </c>
      <c r="N198" s="854">
        <v>4.702419313745744E-3</v>
      </c>
      <c r="O198" s="854">
        <v>5.9606967447223321E-3</v>
      </c>
      <c r="P198" s="854">
        <v>7.0222618402259827E-3</v>
      </c>
      <c r="Q198" s="854">
        <v>7.7903342815318997E-3</v>
      </c>
      <c r="R198" s="854">
        <v>8.2567775337774128E-3</v>
      </c>
      <c r="S198" s="854">
        <v>8.4204511225453825E-3</v>
      </c>
      <c r="T198" s="854">
        <v>8.3898449579516456E-3</v>
      </c>
      <c r="U198" s="854">
        <v>8.1971290007266679E-3</v>
      </c>
      <c r="V198" s="854">
        <v>7.9211648384192191E-3</v>
      </c>
      <c r="W198" s="854">
        <v>7.6438446129477172E-3</v>
      </c>
      <c r="X198" s="854">
        <v>7.3563799214828082E-3</v>
      </c>
      <c r="Y198" s="854">
        <v>7.0954185227304406E-3</v>
      </c>
      <c r="Z198" s="854">
        <v>6.8673753274257196E-3</v>
      </c>
      <c r="AA198" s="854">
        <v>6.6727140509158078E-3</v>
      </c>
      <c r="AB198" s="854">
        <v>6.5176134762326534E-3</v>
      </c>
      <c r="AC198" s="854">
        <v>6.3797655383727187E-3</v>
      </c>
      <c r="AD198" s="854">
        <v>6.2624328675992304E-3</v>
      </c>
      <c r="AE198" s="854">
        <v>6.1618356381778414E-3</v>
      </c>
      <c r="AF198" s="854">
        <v>6.0778998214191336E-3</v>
      </c>
    </row>
    <row r="199" spans="1:32" s="864" customFormat="1" x14ac:dyDescent="0.25">
      <c r="A199" s="839"/>
      <c r="B199" s="839"/>
      <c r="C199" s="838"/>
      <c r="D199" s="838"/>
      <c r="E199" s="838"/>
      <c r="F199" s="838"/>
      <c r="G199" s="854"/>
      <c r="H199" s="838"/>
      <c r="I199" s="838"/>
      <c r="J199" s="838"/>
      <c r="K199" s="838"/>
      <c r="L199" s="838"/>
      <c r="M199" s="838"/>
      <c r="N199" s="838"/>
      <c r="O199" s="838"/>
      <c r="P199" s="838"/>
      <c r="Q199" s="838"/>
      <c r="R199" s="838"/>
      <c r="S199" s="838"/>
      <c r="T199" s="838"/>
      <c r="U199" s="838"/>
      <c r="V199" s="838"/>
      <c r="W199" s="838"/>
      <c r="X199" s="838"/>
      <c r="Y199" s="838"/>
      <c r="Z199" s="838"/>
      <c r="AA199" s="838"/>
      <c r="AB199" s="838"/>
      <c r="AC199" s="838"/>
      <c r="AD199" s="838"/>
      <c r="AE199" s="838"/>
      <c r="AF199" s="838"/>
    </row>
    <row r="200" spans="1:32" s="856" customFormat="1" ht="12.75" x14ac:dyDescent="0.2">
      <c r="A200" s="843" t="s">
        <v>32</v>
      </c>
      <c r="B200" s="843"/>
      <c r="C200" s="843"/>
      <c r="D200" s="843"/>
      <c r="E200" s="843"/>
      <c r="F200" s="843"/>
      <c r="G200" s="865"/>
      <c r="H200" s="843"/>
      <c r="I200" s="843"/>
      <c r="J200" s="843"/>
      <c r="K200" s="843"/>
      <c r="L200" s="843"/>
      <c r="M200" s="843"/>
      <c r="N200" s="843"/>
      <c r="O200" s="843"/>
      <c r="P200" s="843"/>
      <c r="Q200" s="843"/>
      <c r="R200" s="843"/>
      <c r="S200" s="843"/>
      <c r="T200" s="843"/>
      <c r="U200" s="843"/>
      <c r="V200" s="843"/>
      <c r="W200" s="843"/>
      <c r="X200" s="843"/>
      <c r="Y200" s="843"/>
      <c r="Z200" s="843"/>
      <c r="AA200" s="843"/>
      <c r="AB200" s="843"/>
      <c r="AC200" s="843"/>
      <c r="AD200" s="843"/>
      <c r="AE200" s="843"/>
      <c r="AF200" s="843"/>
    </row>
    <row r="201" spans="1:32" s="864" customFormat="1" x14ac:dyDescent="0.25">
      <c r="A201" s="839"/>
      <c r="B201" s="839" t="s">
        <v>33</v>
      </c>
      <c r="C201" s="838"/>
      <c r="D201" s="838"/>
      <c r="E201" s="838"/>
      <c r="F201" s="838"/>
      <c r="G201" s="854"/>
      <c r="H201" s="854">
        <v>7.1900903541245193E-3</v>
      </c>
      <c r="I201" s="854">
        <v>8.0200334226755796E-3</v>
      </c>
      <c r="J201" s="854">
        <v>8.3035711104829015E-3</v>
      </c>
      <c r="K201" s="854">
        <v>8.0303504411172472E-3</v>
      </c>
      <c r="L201" s="854">
        <v>6.8718820740709804E-3</v>
      </c>
      <c r="M201" s="854">
        <v>5.5584633562592032E-3</v>
      </c>
      <c r="N201" s="854">
        <v>4.2932559940126033E-3</v>
      </c>
      <c r="O201" s="854">
        <v>3.1886657862950155E-3</v>
      </c>
      <c r="P201" s="854">
        <v>2.3077226071538982E-3</v>
      </c>
      <c r="Q201" s="854">
        <v>1.6308015457703654E-3</v>
      </c>
      <c r="R201" s="854">
        <v>1.1487690962903058E-3</v>
      </c>
      <c r="S201" s="854">
        <v>8.1579482465911259E-4</v>
      </c>
      <c r="T201" s="854">
        <v>5.94628641051093E-4</v>
      </c>
      <c r="U201" s="854">
        <v>4.4230357781379996E-4</v>
      </c>
      <c r="V201" s="854">
        <v>3.3902645542847778E-4</v>
      </c>
      <c r="W201" s="854">
        <v>2.6798199966832125E-4</v>
      </c>
      <c r="X201" s="854">
        <v>2.1629704973504129E-4</v>
      </c>
      <c r="Y201" s="854">
        <v>1.7850587428097468E-4</v>
      </c>
      <c r="Z201" s="854">
        <v>1.5078081972684724E-4</v>
      </c>
      <c r="AA201" s="854">
        <v>1.3044044975138008E-4</v>
      </c>
      <c r="AB201" s="854">
        <v>1.1413946943293041E-4</v>
      </c>
      <c r="AC201" s="854">
        <v>1.0119733171362703E-4</v>
      </c>
      <c r="AD201" s="854">
        <v>9.0629186428386945E-5</v>
      </c>
      <c r="AE201" s="854">
        <v>8.1646364316095409E-5</v>
      </c>
      <c r="AF201" s="854">
        <v>7.2964321974882792E-5</v>
      </c>
    </row>
    <row r="202" spans="1:32" s="864" customFormat="1" x14ac:dyDescent="0.25">
      <c r="A202" s="842"/>
      <c r="B202" s="842" t="s">
        <v>34</v>
      </c>
      <c r="C202" s="838"/>
      <c r="D202" s="838"/>
      <c r="E202" s="838"/>
      <c r="F202" s="838"/>
      <c r="G202" s="854"/>
      <c r="H202" s="854">
        <v>1.0659675921641283E-2</v>
      </c>
      <c r="I202" s="854">
        <v>1.0413373135943888E-2</v>
      </c>
      <c r="J202" s="854">
        <v>9.3482634201544033E-3</v>
      </c>
      <c r="K202" s="854">
        <v>7.857415871919092E-3</v>
      </c>
      <c r="L202" s="854">
        <v>6.8829525592719546E-3</v>
      </c>
      <c r="M202" s="854">
        <v>5.8008799266804608E-3</v>
      </c>
      <c r="N202" s="854">
        <v>4.6461922143306977E-3</v>
      </c>
      <c r="O202" s="854">
        <v>3.5731283265932594E-3</v>
      </c>
      <c r="P202" s="854">
        <v>2.666654499303589E-3</v>
      </c>
      <c r="Q202" s="854">
        <v>1.953322435244759E-3</v>
      </c>
      <c r="R202" s="854">
        <v>1.4343266741218691E-3</v>
      </c>
      <c r="S202" s="854">
        <v>1.0623065213490241E-3</v>
      </c>
      <c r="T202" s="854">
        <v>8.0779263789011106E-4</v>
      </c>
      <c r="U202" s="854">
        <v>6.279406346104111E-4</v>
      </c>
      <c r="V202" s="854">
        <v>5.0177710570780971E-4</v>
      </c>
      <c r="W202" s="854">
        <v>4.1375957610783031E-4</v>
      </c>
      <c r="X202" s="854">
        <v>3.4884277717329477E-4</v>
      </c>
      <c r="Y202" s="854">
        <v>3.0104704101705404E-4</v>
      </c>
      <c r="Z202" s="854">
        <v>2.6572189826592888E-4</v>
      </c>
      <c r="AA202" s="854">
        <v>2.3980976586665585E-4</v>
      </c>
      <c r="AB202" s="854">
        <v>2.1938357968921397E-4</v>
      </c>
      <c r="AC202" s="854">
        <v>2.0338462275943487E-4</v>
      </c>
      <c r="AD202" s="854">
        <v>1.905667031096814E-4</v>
      </c>
      <c r="AE202" s="854">
        <v>1.7989556386669936E-4</v>
      </c>
      <c r="AF202" s="854">
        <v>1.6979254739499521E-4</v>
      </c>
    </row>
    <row r="203" spans="1:32" s="864" customFormat="1" x14ac:dyDescent="0.25">
      <c r="A203" s="839"/>
      <c r="B203" s="842" t="s">
        <v>35</v>
      </c>
      <c r="C203" s="838"/>
      <c r="D203" s="838"/>
      <c r="E203" s="838"/>
      <c r="F203" s="838"/>
      <c r="G203" s="854"/>
      <c r="H203" s="854">
        <v>2.0383352656568919E-3</v>
      </c>
      <c r="I203" s="854">
        <v>2.2128433906164618E-3</v>
      </c>
      <c r="J203" s="854">
        <v>2.3111285583404988E-3</v>
      </c>
      <c r="K203" s="854">
        <v>2.3287237820320641E-3</v>
      </c>
      <c r="L203" s="854">
        <v>2.0513271717663415E-3</v>
      </c>
      <c r="M203" s="854">
        <v>1.7639805869329897E-3</v>
      </c>
      <c r="N203" s="854">
        <v>1.4333507646512105E-3</v>
      </c>
      <c r="O203" s="854">
        <v>1.1155919128759116E-3</v>
      </c>
      <c r="P203" s="854">
        <v>8.3882132281082821E-4</v>
      </c>
      <c r="Q203" s="854">
        <v>6.2133812050360138E-4</v>
      </c>
      <c r="R203" s="854">
        <v>4.6328054796170655E-4</v>
      </c>
      <c r="S203" s="854">
        <v>3.4831158048618041E-4</v>
      </c>
      <c r="T203" s="854">
        <v>2.6883037852376085E-4</v>
      </c>
      <c r="U203" s="854">
        <v>2.1233625528839595E-4</v>
      </c>
      <c r="V203" s="854">
        <v>1.7202106668519779E-4</v>
      </c>
      <c r="W203" s="854">
        <v>1.4388385031055816E-4</v>
      </c>
      <c r="X203" s="854">
        <v>1.2316042523845028E-4</v>
      </c>
      <c r="Y203" s="854">
        <v>1.079873791848775E-4</v>
      </c>
      <c r="Z203" s="854">
        <v>9.6779774727947176E-5</v>
      </c>
      <c r="AA203" s="854">
        <v>8.856649548570137E-5</v>
      </c>
      <c r="AB203" s="854">
        <v>8.2281803372556516E-5</v>
      </c>
      <c r="AC203" s="854">
        <v>7.7464059906318556E-5</v>
      </c>
      <c r="AD203" s="854">
        <v>7.3726565018486132E-5</v>
      </c>
      <c r="AE203" s="854">
        <v>7.0761685135693671E-5</v>
      </c>
      <c r="AF203" s="854">
        <v>6.8272170860977533E-5</v>
      </c>
    </row>
    <row r="204" spans="1:32" s="864" customFormat="1" x14ac:dyDescent="0.25">
      <c r="A204" s="839"/>
      <c r="B204" s="842" t="s">
        <v>29</v>
      </c>
      <c r="C204" s="838"/>
      <c r="D204" s="838"/>
      <c r="E204" s="838"/>
      <c r="F204" s="838"/>
      <c r="G204" s="854"/>
      <c r="H204" s="854">
        <v>1.692145662959936E-4</v>
      </c>
      <c r="I204" s="854">
        <v>6.3819491432094125E-4</v>
      </c>
      <c r="J204" s="854">
        <v>1.3492534099272698E-3</v>
      </c>
      <c r="K204" s="854">
        <v>2.1942127312596506E-3</v>
      </c>
      <c r="L204" s="854">
        <v>2.9695592603007268E-3</v>
      </c>
      <c r="M204" s="854">
        <v>3.6633296670975295E-3</v>
      </c>
      <c r="N204" s="854">
        <v>4.1201009247690988E-3</v>
      </c>
      <c r="O204" s="854">
        <v>4.3098730003537922E-3</v>
      </c>
      <c r="P204" s="854">
        <v>4.2599476310948969E-3</v>
      </c>
      <c r="Q204" s="854">
        <v>4.0480403344695711E-3</v>
      </c>
      <c r="R204" s="854">
        <v>3.7900109313570981E-3</v>
      </c>
      <c r="S204" s="854">
        <v>3.5223876412045314E-3</v>
      </c>
      <c r="T204" s="854">
        <v>3.3115383978536183E-3</v>
      </c>
      <c r="U204" s="854">
        <v>3.1342428014296845E-3</v>
      </c>
      <c r="V204" s="854">
        <v>2.9931732507171467E-3</v>
      </c>
      <c r="W204" s="854">
        <v>2.897640978236667E-3</v>
      </c>
      <c r="X204" s="854">
        <v>2.8138033236784783E-3</v>
      </c>
      <c r="Y204" s="854">
        <v>2.7453486721592964E-3</v>
      </c>
      <c r="Z204" s="854">
        <v>2.6885469671141778E-3</v>
      </c>
      <c r="AA204" s="854">
        <v>2.6449809536845999E-3</v>
      </c>
      <c r="AB204" s="854">
        <v>2.6040658282909628E-3</v>
      </c>
      <c r="AC204" s="854">
        <v>2.5670774306645514E-3</v>
      </c>
      <c r="AD204" s="854">
        <v>2.5338372367744505E-3</v>
      </c>
      <c r="AE204" s="854">
        <v>2.5036077798504478E-3</v>
      </c>
      <c r="AF204" s="854">
        <v>2.4772863081770589E-3</v>
      </c>
    </row>
    <row r="205" spans="1:32" s="864" customFormat="1" x14ac:dyDescent="0.25">
      <c r="A205" s="839"/>
      <c r="B205" s="839"/>
      <c r="C205" s="838"/>
      <c r="D205" s="838"/>
      <c r="E205" s="838"/>
      <c r="F205" s="838"/>
      <c r="G205" s="854"/>
      <c r="H205" s="838"/>
      <c r="I205" s="838"/>
      <c r="J205" s="838"/>
      <c r="K205" s="838"/>
      <c r="L205" s="838"/>
      <c r="M205" s="838"/>
      <c r="N205" s="838"/>
      <c r="O205" s="838"/>
      <c r="P205" s="838"/>
      <c r="Q205" s="838"/>
      <c r="R205" s="838"/>
      <c r="S205" s="838"/>
      <c r="T205" s="838"/>
      <c r="U205" s="838"/>
      <c r="V205" s="838"/>
      <c r="W205" s="838"/>
      <c r="X205" s="838"/>
      <c r="Y205" s="838"/>
      <c r="Z205" s="838"/>
      <c r="AA205" s="838"/>
      <c r="AB205" s="838"/>
      <c r="AC205" s="838"/>
      <c r="AD205" s="838"/>
      <c r="AE205" s="838"/>
      <c r="AF205" s="838"/>
    </row>
    <row r="206" spans="1:32" s="856" customFormat="1" ht="12.75" x14ac:dyDescent="0.2">
      <c r="A206" s="843" t="s">
        <v>36</v>
      </c>
      <c r="B206" s="843"/>
      <c r="C206" s="843"/>
      <c r="D206" s="843"/>
      <c r="E206" s="843"/>
      <c r="F206" s="843"/>
      <c r="G206" s="865"/>
      <c r="H206" s="843"/>
      <c r="I206" s="843"/>
      <c r="J206" s="843"/>
      <c r="K206" s="843"/>
      <c r="L206" s="843"/>
      <c r="M206" s="843"/>
      <c r="N206" s="843"/>
      <c r="O206" s="843"/>
      <c r="P206" s="843"/>
      <c r="Q206" s="843"/>
      <c r="R206" s="843"/>
      <c r="S206" s="843"/>
      <c r="T206" s="843"/>
      <c r="U206" s="843"/>
      <c r="V206" s="843"/>
      <c r="W206" s="843"/>
      <c r="X206" s="843"/>
      <c r="Y206" s="843"/>
      <c r="Z206" s="843"/>
      <c r="AA206" s="843"/>
      <c r="AB206" s="843"/>
      <c r="AC206" s="843"/>
      <c r="AD206" s="843"/>
      <c r="AE206" s="843"/>
      <c r="AF206" s="843"/>
    </row>
    <row r="207" spans="1:32" s="864" customFormat="1" x14ac:dyDescent="0.25">
      <c r="A207" s="839"/>
      <c r="B207" s="839" t="s">
        <v>37</v>
      </c>
      <c r="C207" s="838"/>
      <c r="D207" s="838"/>
      <c r="E207" s="838"/>
      <c r="F207" s="855"/>
      <c r="G207" s="854"/>
      <c r="H207" s="854">
        <v>2.2467925201782042</v>
      </c>
      <c r="I207" s="854">
        <v>1.4052505657255843</v>
      </c>
      <c r="J207" s="854">
        <v>0.67429342186929009</v>
      </c>
      <c r="K207" s="854">
        <v>0.1357119774911455</v>
      </c>
      <c r="L207" s="854">
        <v>9.4375906437334331E-2</v>
      </c>
      <c r="M207" s="854">
        <v>6.4447808026347406E-2</v>
      </c>
      <c r="N207" s="854">
        <v>4.3739530745538463E-2</v>
      </c>
      <c r="O207" s="854">
        <v>3.1067755759274032E-2</v>
      </c>
      <c r="P207" s="854">
        <v>2.2144307680637132E-2</v>
      </c>
      <c r="Q207" s="854">
        <v>1.583755383029643E-2</v>
      </c>
      <c r="R207" s="854">
        <v>1.1368651852906491E-2</v>
      </c>
      <c r="S207" s="854">
        <v>8.1955254275714907E-3</v>
      </c>
      <c r="T207" s="854">
        <v>5.9371761457640525E-3</v>
      </c>
      <c r="U207" s="854">
        <v>4.3270510659678693E-3</v>
      </c>
      <c r="V207" s="854">
        <v>3.1730637375290971E-3</v>
      </c>
      <c r="W207" s="854">
        <v>2.3444397495608733E-3</v>
      </c>
      <c r="X207" s="854">
        <v>1.7477009177234546E-3</v>
      </c>
      <c r="Y207" s="854">
        <v>1.3131235773540979E-3</v>
      </c>
      <c r="Z207" s="854">
        <v>9.9729809603223574E-4</v>
      </c>
      <c r="AA207" s="854">
        <v>7.6807803124838989E-4</v>
      </c>
      <c r="AB207" s="854">
        <v>5.9763893559681253E-4</v>
      </c>
      <c r="AC207" s="854">
        <v>4.7150483574952241E-4</v>
      </c>
      <c r="AD207" s="854">
        <v>3.7815197706786007E-4</v>
      </c>
      <c r="AE207" s="854">
        <v>3.0684079100781937E-4</v>
      </c>
      <c r="AF207" s="854">
        <v>2.5115687985027233E-4</v>
      </c>
    </row>
    <row r="208" spans="1:32" s="864" customFormat="1" x14ac:dyDescent="0.25">
      <c r="A208" s="839"/>
      <c r="B208" s="839" t="s">
        <v>39</v>
      </c>
      <c r="C208" s="838"/>
      <c r="D208" s="838"/>
      <c r="E208" s="857"/>
      <c r="F208" s="838"/>
      <c r="G208" s="854"/>
      <c r="H208" s="854">
        <v>10.35087436312126</v>
      </c>
      <c r="I208" s="854">
        <v>10.491381448480579</v>
      </c>
      <c r="J208" s="854">
        <v>10.4727056348117</v>
      </c>
      <c r="K208" s="854">
        <v>10.204029691302619</v>
      </c>
      <c r="L208" s="854">
        <v>9.6266934467099041</v>
      </c>
      <c r="M208" s="854">
        <v>9.0503709900312046</v>
      </c>
      <c r="N208" s="854">
        <v>8.537978023579555</v>
      </c>
      <c r="O208" s="854">
        <v>8.0068857921706496</v>
      </c>
      <c r="P208" s="854">
        <v>7.5008436775007343</v>
      </c>
      <c r="Q208" s="854">
        <v>7.0182594317886604</v>
      </c>
      <c r="R208" s="854">
        <v>6.5628641042385221</v>
      </c>
      <c r="S208" s="854">
        <v>6.134361577115631</v>
      </c>
      <c r="T208" s="854">
        <v>5.7221774416579905</v>
      </c>
      <c r="U208" s="854">
        <v>5.3506346658775694</v>
      </c>
      <c r="V208" s="854">
        <v>4.9974842214447506</v>
      </c>
      <c r="W208" s="854">
        <v>4.6738870551709253</v>
      </c>
      <c r="X208" s="854">
        <v>4.3826727074566953</v>
      </c>
      <c r="Y208" s="854">
        <v>4.1075531010447346</v>
      </c>
      <c r="Z208" s="854">
        <v>3.8563064723570939</v>
      </c>
      <c r="AA208" s="854">
        <v>3.6316599553531708</v>
      </c>
      <c r="AB208" s="854">
        <v>3.4196469364000652</v>
      </c>
      <c r="AC208" s="854">
        <v>3.225544224504755</v>
      </c>
      <c r="AD208" s="854">
        <v>3.0501131595645523</v>
      </c>
      <c r="AE208" s="854">
        <v>2.8848600715665618</v>
      </c>
      <c r="AF208" s="854">
        <v>2.7300722154211745</v>
      </c>
    </row>
    <row r="209" spans="1:32" s="864" customFormat="1" x14ac:dyDescent="0.25">
      <c r="A209" s="839"/>
      <c r="B209" s="839" t="s">
        <v>40</v>
      </c>
      <c r="C209" s="838"/>
      <c r="D209" s="838"/>
      <c r="E209" s="838"/>
      <c r="F209" s="838"/>
      <c r="G209" s="854"/>
      <c r="H209" s="854">
        <v>2.5235000263703755</v>
      </c>
      <c r="I209" s="854">
        <v>2.9637480249160988</v>
      </c>
      <c r="J209" s="854">
        <v>3.4480578466037435</v>
      </c>
      <c r="K209" s="854">
        <v>3.9830735783478088</v>
      </c>
      <c r="L209" s="854">
        <v>4.316508357255989</v>
      </c>
      <c r="M209" s="854">
        <v>4.6202296602027095</v>
      </c>
      <c r="N209" s="854">
        <v>4.8021248110484205</v>
      </c>
      <c r="O209" s="854">
        <v>4.9654683013737833</v>
      </c>
      <c r="P209" s="854">
        <v>5.0685247333871279</v>
      </c>
      <c r="Q209" s="854">
        <v>5.1130766269324628</v>
      </c>
      <c r="R209" s="854">
        <v>5.1081035130585679</v>
      </c>
      <c r="S209" s="854">
        <v>5.0577017700925122</v>
      </c>
      <c r="T209" s="854">
        <v>4.9546468429623669</v>
      </c>
      <c r="U209" s="854">
        <v>4.8437316900957192</v>
      </c>
      <c r="V209" s="854">
        <v>4.7011742510191317</v>
      </c>
      <c r="W209" s="854">
        <v>4.5522823304374755</v>
      </c>
      <c r="X209" s="854">
        <v>4.4101782801555434</v>
      </c>
      <c r="Y209" s="854">
        <v>4.2564164789257708</v>
      </c>
      <c r="Z209" s="854">
        <v>4.1065262538623148</v>
      </c>
      <c r="AA209" s="854">
        <v>3.969887262894467</v>
      </c>
      <c r="AB209" s="854">
        <v>3.8293970692593153</v>
      </c>
      <c r="AC209" s="854">
        <v>3.6952825742832993</v>
      </c>
      <c r="AD209" s="854">
        <v>3.5720332274201034</v>
      </c>
      <c r="AE209" s="854">
        <v>3.4488587768783248</v>
      </c>
      <c r="AF209" s="854">
        <v>3.3289774660149649</v>
      </c>
    </row>
    <row r="210" spans="1:32" s="864" customFormat="1" x14ac:dyDescent="0.25">
      <c r="A210" s="839"/>
      <c r="B210" s="839" t="s">
        <v>29</v>
      </c>
      <c r="C210" s="838"/>
      <c r="D210" s="838"/>
      <c r="E210" s="838"/>
      <c r="F210" s="838"/>
      <c r="G210" s="854"/>
      <c r="H210" s="854">
        <v>6.2567922990074972E-6</v>
      </c>
      <c r="I210" s="854">
        <v>3.0477906565618321E-4</v>
      </c>
      <c r="J210" s="854">
        <v>2.9130924248171181E-3</v>
      </c>
      <c r="K210" s="854">
        <v>1.3415390149013428E-2</v>
      </c>
      <c r="L210" s="854">
        <v>4.0952886607737028E-2</v>
      </c>
      <c r="M210" s="854">
        <v>9.664679239795744E-2</v>
      </c>
      <c r="N210" s="854">
        <v>0.18585788079951479</v>
      </c>
      <c r="O210" s="854">
        <v>0.30355856472767795</v>
      </c>
      <c r="P210" s="854">
        <v>0.44812395602753652</v>
      </c>
      <c r="Q210" s="854">
        <v>0.61530443138572477</v>
      </c>
      <c r="R210" s="854">
        <v>0.79521011371947758</v>
      </c>
      <c r="S210" s="854">
        <v>0.97971920677977553</v>
      </c>
      <c r="T210" s="854">
        <v>1.156005648309073</v>
      </c>
      <c r="U210" s="854">
        <v>1.3305816401221437</v>
      </c>
      <c r="V210" s="854">
        <v>1.4813785727107369</v>
      </c>
      <c r="W210" s="854">
        <v>1.6184689496549838</v>
      </c>
      <c r="X210" s="854">
        <v>1.7477859931829991</v>
      </c>
      <c r="Y210" s="854">
        <v>1.8522899942058899</v>
      </c>
      <c r="Z210" s="854">
        <v>1.941416081058478</v>
      </c>
      <c r="AA210" s="854">
        <v>2.027222910876616</v>
      </c>
      <c r="AB210" s="854">
        <v>2.0920289568975319</v>
      </c>
      <c r="AC210" s="854">
        <v>2.1471403185062812</v>
      </c>
      <c r="AD210" s="854">
        <v>2.2032501239579085</v>
      </c>
      <c r="AE210" s="854">
        <v>2.2442866282510003</v>
      </c>
      <c r="AF210" s="854">
        <v>2.2850424766470434</v>
      </c>
    </row>
    <row r="211" spans="1:32" s="864" customFormat="1" x14ac:dyDescent="0.25">
      <c r="A211" s="839"/>
      <c r="B211" s="839"/>
      <c r="C211" s="838"/>
      <c r="D211" s="838"/>
      <c r="E211" s="838"/>
      <c r="F211" s="838"/>
      <c r="G211" s="854"/>
      <c r="H211" s="838"/>
      <c r="I211" s="838"/>
      <c r="J211" s="838"/>
      <c r="K211" s="838"/>
      <c r="L211" s="838"/>
      <c r="M211" s="838"/>
      <c r="N211" s="838"/>
      <c r="O211" s="838"/>
      <c r="P211" s="838"/>
      <c r="Q211" s="838"/>
      <c r="R211" s="838"/>
      <c r="S211" s="838"/>
      <c r="T211" s="838"/>
      <c r="U211" s="838"/>
      <c r="V211" s="838"/>
      <c r="W211" s="838"/>
      <c r="X211" s="838"/>
      <c r="Y211" s="838"/>
      <c r="Z211" s="838"/>
      <c r="AA211" s="838"/>
      <c r="AB211" s="838"/>
      <c r="AC211" s="838"/>
      <c r="AD211" s="838"/>
      <c r="AE211" s="838"/>
      <c r="AF211" s="838"/>
    </row>
    <row r="212" spans="1:32" s="856" customFormat="1" ht="12.75" x14ac:dyDescent="0.2">
      <c r="A212" s="843" t="s">
        <v>42</v>
      </c>
      <c r="B212" s="843"/>
      <c r="C212" s="843"/>
      <c r="D212" s="843"/>
      <c r="E212" s="843"/>
      <c r="F212" s="843"/>
      <c r="G212" s="865"/>
      <c r="H212" s="843"/>
      <c r="I212" s="843"/>
      <c r="J212" s="843"/>
      <c r="K212" s="843"/>
      <c r="L212" s="843"/>
      <c r="M212" s="843"/>
      <c r="N212" s="843"/>
      <c r="O212" s="843"/>
      <c r="P212" s="843"/>
      <c r="Q212" s="843"/>
      <c r="R212" s="843"/>
      <c r="S212" s="843"/>
      <c r="T212" s="843"/>
      <c r="U212" s="843"/>
      <c r="V212" s="843"/>
      <c r="W212" s="843"/>
      <c r="X212" s="843"/>
      <c r="Y212" s="843"/>
      <c r="Z212" s="843"/>
      <c r="AA212" s="843"/>
      <c r="AB212" s="843"/>
      <c r="AC212" s="843"/>
      <c r="AD212" s="843"/>
      <c r="AE212" s="843"/>
      <c r="AF212" s="843"/>
    </row>
    <row r="213" spans="1:32" s="864" customFormat="1" x14ac:dyDescent="0.25">
      <c r="A213" s="839"/>
      <c r="B213" s="842" t="s">
        <v>43</v>
      </c>
      <c r="C213" s="838"/>
      <c r="D213" s="838"/>
      <c r="E213" s="838"/>
      <c r="F213" s="838"/>
      <c r="G213" s="854"/>
      <c r="H213" s="854">
        <v>1.0781805826845037</v>
      </c>
      <c r="I213" s="854">
        <v>0.96924081803730944</v>
      </c>
      <c r="J213" s="854">
        <v>0.87283778167678883</v>
      </c>
      <c r="K213" s="854">
        <v>0.78731764405150506</v>
      </c>
      <c r="L213" s="854">
        <v>0.71136174372637528</v>
      </c>
      <c r="M213" s="854">
        <v>0.64351162261788875</v>
      </c>
      <c r="N213" s="854">
        <v>0.58326408346202485</v>
      </c>
      <c r="O213" s="854">
        <v>0.52943955185505176</v>
      </c>
      <c r="P213" s="854">
        <v>0.48161806771351789</v>
      </c>
      <c r="Q213" s="854">
        <v>0.43889107435707198</v>
      </c>
      <c r="R213" s="854">
        <v>0.40085021607582416</v>
      </c>
      <c r="S213" s="854">
        <v>0.36712153901210548</v>
      </c>
      <c r="T213" s="854">
        <v>0.33707618339844375</v>
      </c>
      <c r="U213" s="854">
        <v>0.31043498962909538</v>
      </c>
      <c r="V213" s="854">
        <v>0.28686073127024636</v>
      </c>
      <c r="W213" s="854">
        <v>0.26599405123129966</v>
      </c>
      <c r="X213" s="854">
        <v>0.24749276496081471</v>
      </c>
      <c r="Y213" s="854">
        <v>0.2311019276512388</v>
      </c>
      <c r="Z213" s="854">
        <v>0.21656332469533529</v>
      </c>
      <c r="AA213" s="854">
        <v>0.20364463629875235</v>
      </c>
      <c r="AB213" s="854">
        <v>0.19210152541082903</v>
      </c>
      <c r="AC213" s="854">
        <v>0.18181335520350456</v>
      </c>
      <c r="AD213" s="854">
        <v>0.17262384864833014</v>
      </c>
      <c r="AE213" s="854">
        <v>0.16439561223522881</v>
      </c>
      <c r="AF213" s="854">
        <v>0.15699949576635291</v>
      </c>
    </row>
    <row r="214" spans="1:32" s="864" customFormat="1" x14ac:dyDescent="0.25">
      <c r="A214" s="839"/>
      <c r="B214" s="842" t="s">
        <v>44</v>
      </c>
      <c r="C214" s="838"/>
      <c r="D214" s="838"/>
      <c r="E214" s="838"/>
      <c r="F214" s="838"/>
      <c r="G214" s="854"/>
      <c r="H214" s="854">
        <v>22.398768257221409</v>
      </c>
      <c r="I214" s="854">
        <v>22.251698581813606</v>
      </c>
      <c r="J214" s="854">
        <v>21.978915212554575</v>
      </c>
      <c r="K214" s="854">
        <v>21.596766373489853</v>
      </c>
      <c r="L214" s="854">
        <v>21.069164332938584</v>
      </c>
      <c r="M214" s="854">
        <v>20.448979858141236</v>
      </c>
      <c r="N214" s="854">
        <v>19.802142273430334</v>
      </c>
      <c r="O214" s="854">
        <v>19.113174628086792</v>
      </c>
      <c r="P214" s="854">
        <v>18.430628731337254</v>
      </c>
      <c r="Q214" s="854">
        <v>17.74177877332319</v>
      </c>
      <c r="R214" s="854">
        <v>17.074126934600962</v>
      </c>
      <c r="S214" s="854">
        <v>16.448592530504463</v>
      </c>
      <c r="T214" s="854">
        <v>15.851773129595145</v>
      </c>
      <c r="U214" s="854">
        <v>15.290673795003951</v>
      </c>
      <c r="V214" s="854">
        <v>14.780604264178915</v>
      </c>
      <c r="W214" s="854">
        <v>14.311067569949332</v>
      </c>
      <c r="X214" s="854">
        <v>13.878044249347885</v>
      </c>
      <c r="Y214" s="854">
        <v>13.482362551693729</v>
      </c>
      <c r="Z214" s="854">
        <v>13.120341278574584</v>
      </c>
      <c r="AA214" s="854">
        <v>12.79200179203734</v>
      </c>
      <c r="AB214" s="854">
        <v>12.484550630206439</v>
      </c>
      <c r="AC214" s="854">
        <v>12.200709274096385</v>
      </c>
      <c r="AD214" s="854">
        <v>11.937540276718863</v>
      </c>
      <c r="AE214" s="854">
        <v>11.69241557022081</v>
      </c>
      <c r="AF214" s="854">
        <v>11.462817055607546</v>
      </c>
    </row>
    <row r="215" spans="1:32" s="864" customFormat="1" x14ac:dyDescent="0.25">
      <c r="A215" s="839"/>
      <c r="B215" s="842" t="s">
        <v>45</v>
      </c>
      <c r="C215" s="838"/>
      <c r="D215" s="838"/>
      <c r="E215" s="838"/>
      <c r="F215" s="838"/>
      <c r="G215" s="854"/>
      <c r="H215" s="854">
        <v>2.2665420865103609</v>
      </c>
      <c r="I215" s="854">
        <v>1.9958153204634563</v>
      </c>
      <c r="J215" s="854">
        <v>1.7591165558191575</v>
      </c>
      <c r="K215" s="854">
        <v>1.5519675198303473</v>
      </c>
      <c r="L215" s="854">
        <v>1.3705133524188866</v>
      </c>
      <c r="M215" s="854">
        <v>1.2098517788003171</v>
      </c>
      <c r="N215" s="854">
        <v>1.0691726090186908</v>
      </c>
      <c r="O215" s="854">
        <v>0.94574890337930473</v>
      </c>
      <c r="P215" s="854">
        <v>0.83754981411424301</v>
      </c>
      <c r="Q215" s="854">
        <v>0.74252482119075713</v>
      </c>
      <c r="R215" s="854">
        <v>0.65910418863563802</v>
      </c>
      <c r="S215" s="854">
        <v>0.58590193613750574</v>
      </c>
      <c r="T215" s="854">
        <v>0.52155361064973615</v>
      </c>
      <c r="U215" s="854">
        <v>0.46518938607789995</v>
      </c>
      <c r="V215" s="854">
        <v>0.41565669488425133</v>
      </c>
      <c r="W215" s="854">
        <v>0.37221875139364857</v>
      </c>
      <c r="X215" s="854">
        <v>0.33407360612069215</v>
      </c>
      <c r="Y215" s="854">
        <v>0.30055425504741634</v>
      </c>
      <c r="Z215" s="854">
        <v>0.27136823976131219</v>
      </c>
      <c r="AA215" s="854">
        <v>0.24529109285970419</v>
      </c>
      <c r="AB215" s="854">
        <v>0.22227102013236083</v>
      </c>
      <c r="AC215" s="854">
        <v>0.20194914382689946</v>
      </c>
      <c r="AD215" s="854">
        <v>0.18398543830543077</v>
      </c>
      <c r="AE215" s="854">
        <v>0.16808502312042428</v>
      </c>
      <c r="AF215" s="854">
        <v>0.15399143812182178</v>
      </c>
    </row>
    <row r="216" spans="1:32" s="864" customFormat="1" x14ac:dyDescent="0.25">
      <c r="A216" s="839"/>
      <c r="B216" s="842" t="s">
        <v>46</v>
      </c>
      <c r="C216" s="838"/>
      <c r="D216" s="838"/>
      <c r="E216" s="838"/>
      <c r="F216" s="838"/>
      <c r="G216" s="854"/>
      <c r="H216" s="854">
        <v>0</v>
      </c>
      <c r="I216" s="854">
        <v>0</v>
      </c>
      <c r="J216" s="854">
        <v>0</v>
      </c>
      <c r="K216" s="854">
        <v>0</v>
      </c>
      <c r="L216" s="854">
        <v>0</v>
      </c>
      <c r="M216" s="854">
        <v>0</v>
      </c>
      <c r="N216" s="854">
        <v>0</v>
      </c>
      <c r="O216" s="854">
        <v>0</v>
      </c>
      <c r="P216" s="854">
        <v>0</v>
      </c>
      <c r="Q216" s="854">
        <v>0</v>
      </c>
      <c r="R216" s="854">
        <v>0</v>
      </c>
      <c r="S216" s="854">
        <v>0</v>
      </c>
      <c r="T216" s="854">
        <v>0</v>
      </c>
      <c r="U216" s="854">
        <v>0</v>
      </c>
      <c r="V216" s="854">
        <v>0</v>
      </c>
      <c r="W216" s="854">
        <v>0</v>
      </c>
      <c r="X216" s="854">
        <v>0</v>
      </c>
      <c r="Y216" s="854">
        <v>0</v>
      </c>
      <c r="Z216" s="854">
        <v>0</v>
      </c>
      <c r="AA216" s="854">
        <v>0</v>
      </c>
      <c r="AB216" s="854">
        <v>0</v>
      </c>
      <c r="AC216" s="854">
        <v>0</v>
      </c>
      <c r="AD216" s="854">
        <v>0</v>
      </c>
      <c r="AE216" s="854">
        <v>0</v>
      </c>
      <c r="AF216" s="854">
        <v>0</v>
      </c>
    </row>
    <row r="217" spans="1:32" s="864" customFormat="1" x14ac:dyDescent="0.25">
      <c r="A217" s="839"/>
      <c r="B217" s="839" t="s">
        <v>29</v>
      </c>
      <c r="C217" s="838"/>
      <c r="D217" s="838"/>
      <c r="E217" s="838"/>
      <c r="F217" s="838"/>
      <c r="G217" s="854"/>
      <c r="H217" s="854">
        <v>0.5451268874121189</v>
      </c>
      <c r="I217" s="854">
        <v>0.77851228462781707</v>
      </c>
      <c r="J217" s="854">
        <v>1.0403402245384692</v>
      </c>
      <c r="K217" s="854">
        <v>1.3241907861005617</v>
      </c>
      <c r="L217" s="854">
        <v>1.6183928773849288</v>
      </c>
      <c r="M217" s="854">
        <v>1.902714301590529</v>
      </c>
      <c r="N217" s="854">
        <v>2.181994267238843</v>
      </c>
      <c r="O217" s="854">
        <v>2.432810805783145</v>
      </c>
      <c r="P217" s="854">
        <v>2.6652497661457675</v>
      </c>
      <c r="Q217" s="854">
        <v>2.8581037402279938</v>
      </c>
      <c r="R217" s="854">
        <v>3.0188826573532799</v>
      </c>
      <c r="S217" s="854">
        <v>3.1558783072262866</v>
      </c>
      <c r="T217" s="854">
        <v>3.2537764645236233</v>
      </c>
      <c r="U217" s="854">
        <v>3.3150733358259963</v>
      </c>
      <c r="V217" s="854">
        <v>3.3644799404898764</v>
      </c>
      <c r="W217" s="854">
        <v>3.390377255376575</v>
      </c>
      <c r="X217" s="854">
        <v>3.3968949151699341</v>
      </c>
      <c r="Y217" s="854">
        <v>3.3928303311332377</v>
      </c>
      <c r="Z217" s="854">
        <v>3.3805952179751388</v>
      </c>
      <c r="AA217" s="854">
        <v>3.3700930109232186</v>
      </c>
      <c r="AB217" s="854">
        <v>3.346821905558826</v>
      </c>
      <c r="AC217" s="854">
        <v>3.3199933819329117</v>
      </c>
      <c r="AD217" s="854">
        <v>3.2904951938698588</v>
      </c>
      <c r="AE217" s="854">
        <v>3.2590270583367054</v>
      </c>
      <c r="AF217" s="854">
        <v>3.2263416106214375</v>
      </c>
    </row>
    <row r="218" spans="1:32" s="864" customFormat="1" x14ac:dyDescent="0.25">
      <c r="A218" s="839"/>
      <c r="B218" s="839"/>
      <c r="C218" s="838"/>
      <c r="D218" s="838"/>
      <c r="E218" s="838"/>
      <c r="F218" s="838"/>
      <c r="G218" s="854"/>
      <c r="H218" s="838"/>
      <c r="I218" s="838"/>
      <c r="J218" s="838"/>
      <c r="K218" s="838"/>
      <c r="L218" s="838"/>
      <c r="M218" s="838"/>
      <c r="N218" s="838"/>
      <c r="O218" s="838"/>
      <c r="P218" s="838"/>
      <c r="Q218" s="838"/>
      <c r="R218" s="838"/>
      <c r="S218" s="838"/>
      <c r="T218" s="838"/>
      <c r="U218" s="838"/>
      <c r="V218" s="838"/>
      <c r="W218" s="838"/>
      <c r="X218" s="838"/>
      <c r="Y218" s="838"/>
      <c r="Z218" s="838"/>
      <c r="AA218" s="838"/>
      <c r="AB218" s="838"/>
      <c r="AC218" s="838"/>
      <c r="AD218" s="838"/>
      <c r="AE218" s="838"/>
      <c r="AF218" s="838"/>
    </row>
    <row r="219" spans="1:32" s="856" customFormat="1" ht="12.75" x14ac:dyDescent="0.2">
      <c r="A219" s="843" t="s">
        <v>47</v>
      </c>
      <c r="B219" s="843"/>
      <c r="C219" s="843"/>
      <c r="D219" s="843"/>
      <c r="E219" s="843"/>
      <c r="F219" s="843"/>
      <c r="G219" s="865"/>
      <c r="H219" s="843"/>
      <c r="I219" s="843"/>
      <c r="J219" s="843"/>
      <c r="K219" s="843"/>
      <c r="L219" s="843"/>
      <c r="M219" s="843"/>
      <c r="N219" s="843"/>
      <c r="O219" s="843"/>
      <c r="P219" s="843"/>
      <c r="Q219" s="843"/>
      <c r="R219" s="843"/>
      <c r="S219" s="843"/>
      <c r="T219" s="843"/>
      <c r="U219" s="843"/>
      <c r="V219" s="843"/>
      <c r="W219" s="843"/>
      <c r="X219" s="843"/>
      <c r="Y219" s="843"/>
      <c r="Z219" s="843"/>
      <c r="AA219" s="843"/>
      <c r="AB219" s="843"/>
      <c r="AC219" s="843"/>
      <c r="AD219" s="843"/>
      <c r="AE219" s="843"/>
      <c r="AF219" s="843"/>
    </row>
    <row r="220" spans="1:32" s="864" customFormat="1" x14ac:dyDescent="0.25">
      <c r="A220" s="839"/>
      <c r="B220" s="839" t="s">
        <v>48</v>
      </c>
      <c r="C220" s="838"/>
      <c r="D220" s="838"/>
      <c r="E220" s="838"/>
      <c r="F220" s="838"/>
      <c r="G220" s="854"/>
      <c r="H220" s="854">
        <v>0</v>
      </c>
      <c r="I220" s="854">
        <v>0</v>
      </c>
      <c r="J220" s="854">
        <v>0</v>
      </c>
      <c r="K220" s="854">
        <v>0</v>
      </c>
      <c r="L220" s="854">
        <v>0</v>
      </c>
      <c r="M220" s="854">
        <v>0</v>
      </c>
      <c r="N220" s="854">
        <v>0</v>
      </c>
      <c r="O220" s="854">
        <v>0</v>
      </c>
      <c r="P220" s="854">
        <v>0</v>
      </c>
      <c r="Q220" s="854">
        <v>0</v>
      </c>
      <c r="R220" s="854">
        <v>0</v>
      </c>
      <c r="S220" s="854">
        <v>0</v>
      </c>
      <c r="T220" s="854">
        <v>0</v>
      </c>
      <c r="U220" s="854">
        <v>0</v>
      </c>
      <c r="V220" s="854">
        <v>0</v>
      </c>
      <c r="W220" s="854">
        <v>0</v>
      </c>
      <c r="X220" s="854">
        <v>0</v>
      </c>
      <c r="Y220" s="854">
        <v>0</v>
      </c>
      <c r="Z220" s="854">
        <v>0</v>
      </c>
      <c r="AA220" s="854">
        <v>0</v>
      </c>
      <c r="AB220" s="854">
        <v>0</v>
      </c>
      <c r="AC220" s="854">
        <v>0</v>
      </c>
      <c r="AD220" s="854">
        <v>0</v>
      </c>
      <c r="AE220" s="854">
        <v>0</v>
      </c>
      <c r="AF220" s="854">
        <v>0</v>
      </c>
    </row>
    <row r="221" spans="1:32" s="864" customFormat="1" x14ac:dyDescent="0.25">
      <c r="A221" s="839"/>
      <c r="B221" s="842" t="s">
        <v>50</v>
      </c>
      <c r="C221" s="838"/>
      <c r="D221" s="838"/>
      <c r="E221" s="838"/>
      <c r="F221" s="838"/>
      <c r="G221" s="854"/>
      <c r="H221" s="854">
        <v>2.2439375906705473E-3</v>
      </c>
      <c r="I221" s="854">
        <v>2.0800140036429989E-3</v>
      </c>
      <c r="J221" s="854">
        <v>1.8640272592469237E-3</v>
      </c>
      <c r="K221" s="854">
        <v>1.6023577851004848E-3</v>
      </c>
      <c r="L221" s="854">
        <v>1.3119490508188274E-3</v>
      </c>
      <c r="M221" s="854">
        <v>1.0177231881187223E-3</v>
      </c>
      <c r="N221" s="854">
        <v>7.461206887921472E-4</v>
      </c>
      <c r="O221" s="854">
        <v>5.171214026627154E-4</v>
      </c>
      <c r="P221" s="854">
        <v>3.3973373603442345E-4</v>
      </c>
      <c r="Q221" s="854">
        <v>2.1244705191798922E-4</v>
      </c>
      <c r="R221" s="854">
        <v>1.2708846152256715E-4</v>
      </c>
      <c r="S221" s="854">
        <v>7.3127167257979744E-5</v>
      </c>
      <c r="T221" s="854">
        <v>4.0700140765562916E-5</v>
      </c>
      <c r="U221" s="854">
        <v>2.2030869918780309E-5</v>
      </c>
      <c r="V221" s="854">
        <v>1.1658095491654535E-5</v>
      </c>
      <c r="W221" s="854">
        <v>6.0586486663120139E-6</v>
      </c>
      <c r="X221" s="854">
        <v>3.1014420507168185E-6</v>
      </c>
      <c r="Y221" s="854">
        <v>1.5698489473780515E-6</v>
      </c>
      <c r="Z221" s="854">
        <v>7.8796537407293471E-7</v>
      </c>
      <c r="AA221" s="854">
        <v>3.9472768334098974E-7</v>
      </c>
      <c r="AB221" s="854">
        <v>1.9765252021228187E-7</v>
      </c>
      <c r="AC221" s="854">
        <v>9.9042465030709008E-8</v>
      </c>
      <c r="AD221" s="854">
        <v>4.9706608453565626E-8</v>
      </c>
      <c r="AE221" s="854">
        <v>2.4999548246636566E-8</v>
      </c>
      <c r="AF221" s="854">
        <v>1.2604467491752276E-8</v>
      </c>
    </row>
    <row r="222" spans="1:32" s="864" customFormat="1" x14ac:dyDescent="0.25">
      <c r="A222" s="839"/>
      <c r="B222" s="839" t="s">
        <v>51</v>
      </c>
      <c r="C222" s="838"/>
      <c r="D222" s="838"/>
      <c r="E222" s="838"/>
      <c r="F222" s="838"/>
      <c r="G222" s="854"/>
      <c r="H222" s="854">
        <v>3.1851911275399832E-2</v>
      </c>
      <c r="I222" s="854">
        <v>2.9577199418866648E-2</v>
      </c>
      <c r="J222" s="854">
        <v>2.7018245583202694E-2</v>
      </c>
      <c r="K222" s="854">
        <v>2.4185058597098116E-2</v>
      </c>
      <c r="L222" s="854">
        <v>2.1249651289956706E-2</v>
      </c>
      <c r="M222" s="854">
        <v>1.8335687541268578E-2</v>
      </c>
      <c r="N222" s="854">
        <v>1.5563370401775726E-2</v>
      </c>
      <c r="O222" s="854">
        <v>1.3025581195686314E-2</v>
      </c>
      <c r="P222" s="854">
        <v>1.0776818977304965E-2</v>
      </c>
      <c r="Q222" s="854">
        <v>8.8353866008726439E-3</v>
      </c>
      <c r="R222" s="854">
        <v>7.1934956716443428E-3</v>
      </c>
      <c r="S222" s="854">
        <v>5.8273535958461957E-3</v>
      </c>
      <c r="T222" s="854">
        <v>4.7050815100896396E-3</v>
      </c>
      <c r="U222" s="854">
        <v>3.7919518627703742E-3</v>
      </c>
      <c r="V222" s="854">
        <v>3.0539260949486993E-3</v>
      </c>
      <c r="W222" s="854">
        <v>2.4598247924402694E-3</v>
      </c>
      <c r="X222" s="854">
        <v>1.9825355082416164E-3</v>
      </c>
      <c r="Y222" s="854">
        <v>1.5993013895895108E-3</v>
      </c>
      <c r="Z222" s="854">
        <v>1.2914806185497917E-3</v>
      </c>
      <c r="AA222" s="854">
        <v>1.0461516274749192E-3</v>
      </c>
      <c r="AB222" s="854">
        <v>8.4621328390124058E-4</v>
      </c>
      <c r="AC222" s="854">
        <v>6.8518757126002211E-4</v>
      </c>
      <c r="AD222" s="854">
        <v>5.5535014750153673E-4</v>
      </c>
      <c r="AE222" s="854">
        <v>4.505424203045414E-4</v>
      </c>
      <c r="AF222" s="854">
        <v>3.6584585811415932E-4</v>
      </c>
    </row>
    <row r="223" spans="1:32" s="864" customFormat="1" x14ac:dyDescent="0.25">
      <c r="A223" s="839"/>
      <c r="B223" s="839" t="s">
        <v>52</v>
      </c>
      <c r="C223" s="838"/>
      <c r="D223" s="838"/>
      <c r="E223" s="838"/>
      <c r="F223" s="838"/>
      <c r="G223" s="854"/>
      <c r="H223" s="854">
        <v>6.2653455217759405E-2</v>
      </c>
      <c r="I223" s="854">
        <v>6.0758633872362328E-2</v>
      </c>
      <c r="J223" s="854">
        <v>5.8614309424823111E-2</v>
      </c>
      <c r="K223" s="854">
        <v>5.6219577848038785E-2</v>
      </c>
      <c r="L223" s="854">
        <v>5.3600594336232245E-2</v>
      </c>
      <c r="M223" s="854">
        <v>5.0737561301459358E-2</v>
      </c>
      <c r="N223" s="854">
        <v>4.7801380650300082E-2</v>
      </c>
      <c r="O223" s="854">
        <v>4.4877869267448425E-2</v>
      </c>
      <c r="P223" s="854">
        <v>4.202365571013273E-2</v>
      </c>
      <c r="Q223" s="854">
        <v>3.9280655376043437E-2</v>
      </c>
      <c r="R223" s="854">
        <v>3.6674507601348091E-2</v>
      </c>
      <c r="S223" s="854">
        <v>3.4219044203261675E-2</v>
      </c>
      <c r="T223" s="854">
        <v>3.186734944728252E-2</v>
      </c>
      <c r="U223" s="854">
        <v>2.9746423628507459E-2</v>
      </c>
      <c r="V223" s="854">
        <v>2.7734882449216083E-2</v>
      </c>
      <c r="W223" s="854">
        <v>2.588760310700319E-2</v>
      </c>
      <c r="X223" s="854">
        <v>2.4219602745182922E-2</v>
      </c>
      <c r="Y223" s="854">
        <v>2.2644058088980769E-2</v>
      </c>
      <c r="Z223" s="854">
        <v>2.1193715050114095E-2</v>
      </c>
      <c r="AA223" s="854">
        <v>1.9877053142981004E-2</v>
      </c>
      <c r="AB223" s="854">
        <v>1.8632131794470423E-2</v>
      </c>
      <c r="AC223" s="854">
        <v>1.7513125676581632E-2</v>
      </c>
      <c r="AD223" s="854">
        <v>1.6460559468439395E-2</v>
      </c>
      <c r="AE223" s="854">
        <v>1.5463665906096973E-2</v>
      </c>
      <c r="AF223" s="854">
        <v>1.4538540926237645E-2</v>
      </c>
    </row>
    <row r="224" spans="1:32" s="864" customFormat="1" x14ac:dyDescent="0.25">
      <c r="A224" s="839"/>
      <c r="B224" s="842" t="s">
        <v>29</v>
      </c>
      <c r="C224" s="838"/>
      <c r="D224" s="838"/>
      <c r="E224" s="838"/>
      <c r="F224" s="838"/>
      <c r="G224" s="854"/>
      <c r="H224" s="854">
        <v>3.5535368964886259E-3</v>
      </c>
      <c r="I224" s="854">
        <v>5.7390488427925077E-3</v>
      </c>
      <c r="J224" s="854">
        <v>8.1647355968886507E-3</v>
      </c>
      <c r="K224" s="854">
        <v>1.075078087126642E-2</v>
      </c>
      <c r="L224" s="854">
        <v>1.3375265431390516E-2</v>
      </c>
      <c r="M224" s="854">
        <v>1.5874916332182281E-2</v>
      </c>
      <c r="N224" s="854">
        <v>1.7854812195041113E-2</v>
      </c>
      <c r="O224" s="854">
        <v>1.9698807910838008E-2</v>
      </c>
      <c r="P224" s="854">
        <v>2.1173548455180671E-2</v>
      </c>
      <c r="Q224" s="854">
        <v>2.2102767544706275E-2</v>
      </c>
      <c r="R224" s="854">
        <v>2.2938944847256008E-2</v>
      </c>
      <c r="S224" s="854">
        <v>2.3364181841510366E-2</v>
      </c>
      <c r="T224" s="854">
        <v>2.3726714509463634E-2</v>
      </c>
      <c r="U224" s="854">
        <v>2.3869095283708272E-2</v>
      </c>
      <c r="V224" s="854">
        <v>2.3891700508869185E-2</v>
      </c>
      <c r="W224" s="854">
        <v>2.3970279181477483E-2</v>
      </c>
      <c r="X224" s="854">
        <v>2.3960299429887675E-2</v>
      </c>
      <c r="Y224" s="854">
        <v>2.3899523753112877E-2</v>
      </c>
      <c r="Z224" s="854">
        <v>2.3838269994044002E-2</v>
      </c>
      <c r="AA224" s="854">
        <v>2.3851310220601458E-2</v>
      </c>
      <c r="AB224" s="854">
        <v>2.3781318710054171E-2</v>
      </c>
      <c r="AC224" s="854">
        <v>2.3714445846279415E-2</v>
      </c>
      <c r="AD224" s="854">
        <v>2.3673491797141878E-2</v>
      </c>
      <c r="AE224" s="854">
        <v>2.3607134943961303E-2</v>
      </c>
      <c r="AF224" s="854">
        <v>2.3539134362917082E-2</v>
      </c>
    </row>
    <row r="225" spans="1:32" s="864" customFormat="1" x14ac:dyDescent="0.25">
      <c r="A225" s="839"/>
      <c r="B225" s="842" t="s">
        <v>53</v>
      </c>
      <c r="C225" s="838"/>
      <c r="D225" s="838"/>
      <c r="E225" s="838"/>
      <c r="F225" s="838"/>
      <c r="G225" s="854"/>
      <c r="H225" s="854">
        <v>0</v>
      </c>
      <c r="I225" s="854">
        <v>0</v>
      </c>
      <c r="J225" s="854">
        <v>0</v>
      </c>
      <c r="K225" s="854">
        <v>0</v>
      </c>
      <c r="L225" s="854">
        <v>0</v>
      </c>
      <c r="M225" s="854">
        <v>0</v>
      </c>
      <c r="N225" s="854">
        <v>0</v>
      </c>
      <c r="O225" s="854">
        <v>0</v>
      </c>
      <c r="P225" s="854">
        <v>0</v>
      </c>
      <c r="Q225" s="854">
        <v>0</v>
      </c>
      <c r="R225" s="854">
        <v>0</v>
      </c>
      <c r="S225" s="854">
        <v>0</v>
      </c>
      <c r="T225" s="854">
        <v>0</v>
      </c>
      <c r="U225" s="854">
        <v>0</v>
      </c>
      <c r="V225" s="854">
        <v>0</v>
      </c>
      <c r="W225" s="854">
        <v>0</v>
      </c>
      <c r="X225" s="854">
        <v>0</v>
      </c>
      <c r="Y225" s="854">
        <v>0</v>
      </c>
      <c r="Z225" s="854">
        <v>0</v>
      </c>
      <c r="AA225" s="854">
        <v>0</v>
      </c>
      <c r="AB225" s="854">
        <v>0</v>
      </c>
      <c r="AC225" s="854">
        <v>0</v>
      </c>
      <c r="AD225" s="854">
        <v>0</v>
      </c>
      <c r="AE225" s="854">
        <v>0</v>
      </c>
      <c r="AF225" s="854">
        <v>0</v>
      </c>
    </row>
    <row r="228" spans="1:32" x14ac:dyDescent="0.25">
      <c r="A228" s="860" t="s">
        <v>57</v>
      </c>
      <c r="B228" s="861"/>
      <c r="C228" s="860"/>
      <c r="D228" s="859"/>
      <c r="E228" s="859"/>
      <c r="F228" s="859"/>
      <c r="G228" s="859"/>
      <c r="H228" s="862"/>
      <c r="I228" s="862"/>
      <c r="J228" s="862"/>
      <c r="K228" s="862"/>
      <c r="L228" s="862"/>
      <c r="M228" s="862"/>
      <c r="N228" s="862"/>
      <c r="O228" s="862"/>
      <c r="P228" s="862"/>
      <c r="Q228" s="862"/>
      <c r="R228" s="862"/>
      <c r="S228" s="862"/>
      <c r="T228" s="862"/>
      <c r="U228" s="862"/>
      <c r="V228" s="862"/>
      <c r="W228" s="862"/>
      <c r="X228" s="862"/>
      <c r="Y228" s="862"/>
      <c r="Z228" s="862"/>
      <c r="AA228" s="862"/>
      <c r="AB228" s="862"/>
      <c r="AC228" s="862"/>
      <c r="AD228" s="862"/>
      <c r="AE228" s="862"/>
      <c r="AF228" s="862"/>
    </row>
    <row r="229" spans="1:32" x14ac:dyDescent="0.25">
      <c r="A229" s="840" t="s">
        <v>12</v>
      </c>
      <c r="B229" s="839"/>
    </row>
    <row r="230" spans="1:32" x14ac:dyDescent="0.25">
      <c r="A230" s="839"/>
      <c r="B230" s="839" t="s">
        <v>20</v>
      </c>
    </row>
    <row r="231" spans="1:32" s="856" customFormat="1" ht="12.75" x14ac:dyDescent="0.2">
      <c r="A231" s="843" t="s">
        <v>21</v>
      </c>
      <c r="B231" s="843"/>
      <c r="C231" s="843"/>
      <c r="D231" s="843"/>
      <c r="E231" s="843"/>
      <c r="F231" s="843"/>
      <c r="G231" s="843"/>
      <c r="H231" s="843"/>
      <c r="I231" s="843"/>
      <c r="J231" s="843"/>
      <c r="K231" s="843"/>
      <c r="L231" s="843"/>
      <c r="M231" s="843"/>
      <c r="N231" s="843"/>
      <c r="O231" s="843"/>
      <c r="P231" s="843"/>
      <c r="Q231" s="843"/>
      <c r="R231" s="843"/>
      <c r="S231" s="843"/>
      <c r="T231" s="843"/>
      <c r="U231" s="843"/>
      <c r="V231" s="843"/>
      <c r="W231" s="843"/>
      <c r="X231" s="843"/>
      <c r="Y231" s="843"/>
      <c r="Z231" s="843"/>
      <c r="AA231" s="843"/>
      <c r="AB231" s="843"/>
      <c r="AC231" s="843"/>
      <c r="AD231" s="843"/>
      <c r="AE231" s="843"/>
      <c r="AF231" s="843"/>
    </row>
    <row r="232" spans="1:32" s="864" customFormat="1" x14ac:dyDescent="0.25">
      <c r="A232" s="839"/>
      <c r="B232" s="839" t="s">
        <v>22</v>
      </c>
      <c r="C232" s="838"/>
      <c r="D232" s="838"/>
      <c r="E232" s="838"/>
      <c r="F232" s="838"/>
      <c r="G232" s="854"/>
      <c r="H232" s="854">
        <v>0</v>
      </c>
      <c r="I232" s="854">
        <v>0</v>
      </c>
      <c r="J232" s="854">
        <v>0</v>
      </c>
      <c r="K232" s="854">
        <v>0</v>
      </c>
      <c r="L232" s="854">
        <v>0</v>
      </c>
      <c r="M232" s="854">
        <v>0</v>
      </c>
      <c r="N232" s="854">
        <v>0</v>
      </c>
      <c r="O232" s="854">
        <v>0</v>
      </c>
      <c r="P232" s="854">
        <v>0</v>
      </c>
      <c r="Q232" s="854">
        <v>0</v>
      </c>
      <c r="R232" s="854">
        <v>0</v>
      </c>
      <c r="S232" s="854">
        <v>0</v>
      </c>
      <c r="T232" s="854">
        <v>0</v>
      </c>
      <c r="U232" s="854">
        <v>0</v>
      </c>
      <c r="V232" s="854">
        <v>0</v>
      </c>
      <c r="W232" s="854">
        <v>0</v>
      </c>
      <c r="X232" s="854">
        <v>0</v>
      </c>
      <c r="Y232" s="854">
        <v>0</v>
      </c>
      <c r="Z232" s="854">
        <v>0</v>
      </c>
      <c r="AA232" s="854">
        <v>0</v>
      </c>
      <c r="AB232" s="854">
        <v>0</v>
      </c>
      <c r="AC232" s="854">
        <v>0</v>
      </c>
      <c r="AD232" s="854">
        <v>0</v>
      </c>
      <c r="AE232" s="854">
        <v>0</v>
      </c>
      <c r="AF232" s="854">
        <v>0</v>
      </c>
    </row>
    <row r="233" spans="1:32" s="864" customFormat="1" x14ac:dyDescent="0.25">
      <c r="A233" s="839"/>
      <c r="B233" s="839" t="s">
        <v>26</v>
      </c>
      <c r="C233" s="838"/>
      <c r="D233" s="838"/>
      <c r="E233" s="838"/>
      <c r="F233" s="838"/>
      <c r="G233" s="854"/>
      <c r="H233" s="854">
        <v>0</v>
      </c>
      <c r="I233" s="854">
        <v>0</v>
      </c>
      <c r="J233" s="854">
        <v>0</v>
      </c>
      <c r="K233" s="854">
        <v>0</v>
      </c>
      <c r="L233" s="854">
        <v>0</v>
      </c>
      <c r="M233" s="854">
        <v>0</v>
      </c>
      <c r="N233" s="854">
        <v>0</v>
      </c>
      <c r="O233" s="854">
        <v>0</v>
      </c>
      <c r="P233" s="854">
        <v>0</v>
      </c>
      <c r="Q233" s="854">
        <v>0</v>
      </c>
      <c r="R233" s="854">
        <v>0</v>
      </c>
      <c r="S233" s="854">
        <v>0</v>
      </c>
      <c r="T233" s="854">
        <v>0</v>
      </c>
      <c r="U233" s="854">
        <v>0</v>
      </c>
      <c r="V233" s="854">
        <v>0</v>
      </c>
      <c r="W233" s="854">
        <v>0</v>
      </c>
      <c r="X233" s="854">
        <v>0</v>
      </c>
      <c r="Y233" s="854">
        <v>0</v>
      </c>
      <c r="Z233" s="854">
        <v>0</v>
      </c>
      <c r="AA233" s="854">
        <v>0</v>
      </c>
      <c r="AB233" s="854">
        <v>0</v>
      </c>
      <c r="AC233" s="854">
        <v>0</v>
      </c>
      <c r="AD233" s="854">
        <v>0</v>
      </c>
      <c r="AE233" s="854">
        <v>0</v>
      </c>
      <c r="AF233" s="854">
        <v>0</v>
      </c>
    </row>
    <row r="234" spans="1:32" s="864" customFormat="1" x14ac:dyDescent="0.25">
      <c r="A234" s="839"/>
      <c r="B234" s="839" t="s">
        <v>27</v>
      </c>
      <c r="C234" s="838"/>
      <c r="D234" s="838"/>
      <c r="E234" s="838"/>
      <c r="F234" s="838"/>
      <c r="G234" s="854"/>
      <c r="H234" s="854">
        <v>0</v>
      </c>
      <c r="I234" s="854">
        <v>0</v>
      </c>
      <c r="J234" s="854">
        <v>0</v>
      </c>
      <c r="K234" s="854">
        <v>0</v>
      </c>
      <c r="L234" s="854">
        <v>0</v>
      </c>
      <c r="M234" s="854">
        <v>0</v>
      </c>
      <c r="N234" s="854">
        <v>0</v>
      </c>
      <c r="O234" s="854">
        <v>0</v>
      </c>
      <c r="P234" s="854">
        <v>0</v>
      </c>
      <c r="Q234" s="854">
        <v>0</v>
      </c>
      <c r="R234" s="854">
        <v>0</v>
      </c>
      <c r="S234" s="854">
        <v>0</v>
      </c>
      <c r="T234" s="854">
        <v>0</v>
      </c>
      <c r="U234" s="854">
        <v>0</v>
      </c>
      <c r="V234" s="854">
        <v>0</v>
      </c>
      <c r="W234" s="854">
        <v>0</v>
      </c>
      <c r="X234" s="854">
        <v>0</v>
      </c>
      <c r="Y234" s="854">
        <v>0</v>
      </c>
      <c r="Z234" s="854">
        <v>0</v>
      </c>
      <c r="AA234" s="854">
        <v>0</v>
      </c>
      <c r="AB234" s="854">
        <v>0</v>
      </c>
      <c r="AC234" s="854">
        <v>0</v>
      </c>
      <c r="AD234" s="854">
        <v>0</v>
      </c>
      <c r="AE234" s="854">
        <v>0</v>
      </c>
      <c r="AF234" s="854">
        <v>0</v>
      </c>
    </row>
    <row r="235" spans="1:32" s="864" customFormat="1" x14ac:dyDescent="0.25">
      <c r="A235" s="839"/>
      <c r="B235" s="839" t="s">
        <v>29</v>
      </c>
      <c r="C235" s="838"/>
      <c r="D235" s="838"/>
      <c r="E235" s="838"/>
      <c r="F235" s="838"/>
      <c r="G235" s="854"/>
      <c r="H235" s="854">
        <v>0</v>
      </c>
      <c r="I235" s="854">
        <v>0</v>
      </c>
      <c r="J235" s="854">
        <v>0</v>
      </c>
      <c r="K235" s="854">
        <v>0</v>
      </c>
      <c r="L235" s="854">
        <v>0</v>
      </c>
      <c r="M235" s="854">
        <v>0</v>
      </c>
      <c r="N235" s="854">
        <v>0</v>
      </c>
      <c r="O235" s="854">
        <v>0</v>
      </c>
      <c r="P235" s="854">
        <v>0</v>
      </c>
      <c r="Q235" s="854">
        <v>0</v>
      </c>
      <c r="R235" s="854">
        <v>0</v>
      </c>
      <c r="S235" s="854">
        <v>0</v>
      </c>
      <c r="T235" s="854">
        <v>0</v>
      </c>
      <c r="U235" s="854">
        <v>0</v>
      </c>
      <c r="V235" s="854">
        <v>0</v>
      </c>
      <c r="W235" s="854">
        <v>0</v>
      </c>
      <c r="X235" s="854">
        <v>0</v>
      </c>
      <c r="Y235" s="854">
        <v>0</v>
      </c>
      <c r="Z235" s="854">
        <v>0</v>
      </c>
      <c r="AA235" s="854">
        <v>0</v>
      </c>
      <c r="AB235" s="854">
        <v>0</v>
      </c>
      <c r="AC235" s="854">
        <v>0</v>
      </c>
      <c r="AD235" s="854">
        <v>0</v>
      </c>
      <c r="AE235" s="854">
        <v>0</v>
      </c>
      <c r="AF235" s="854">
        <v>0</v>
      </c>
    </row>
    <row r="236" spans="1:32" s="864" customFormat="1" x14ac:dyDescent="0.25">
      <c r="A236" s="839"/>
      <c r="B236" s="839"/>
      <c r="C236" s="838"/>
      <c r="D236" s="838"/>
      <c r="E236" s="838"/>
      <c r="F236" s="838"/>
      <c r="G236" s="854"/>
      <c r="H236" s="838"/>
      <c r="I236" s="838"/>
      <c r="J236" s="838"/>
      <c r="K236" s="838"/>
      <c r="L236" s="838"/>
      <c r="M236" s="838"/>
      <c r="N236" s="838"/>
      <c r="O236" s="838"/>
      <c r="P236" s="838"/>
      <c r="Q236" s="838"/>
      <c r="R236" s="838"/>
      <c r="S236" s="838"/>
      <c r="T236" s="838"/>
      <c r="U236" s="838"/>
      <c r="V236" s="838"/>
      <c r="W236" s="838"/>
      <c r="X236" s="838"/>
      <c r="Y236" s="838"/>
      <c r="Z236" s="838"/>
      <c r="AA236" s="838"/>
      <c r="AB236" s="838"/>
      <c r="AC236" s="838"/>
      <c r="AD236" s="838"/>
      <c r="AE236" s="838"/>
      <c r="AF236" s="838"/>
    </row>
    <row r="237" spans="1:32" s="856" customFormat="1" ht="12.75" x14ac:dyDescent="0.2">
      <c r="A237" s="843" t="s">
        <v>32</v>
      </c>
      <c r="B237" s="843"/>
      <c r="C237" s="843"/>
      <c r="D237" s="843"/>
      <c r="E237" s="843"/>
      <c r="F237" s="843"/>
      <c r="G237" s="865"/>
      <c r="H237" s="843"/>
      <c r="I237" s="843"/>
      <c r="J237" s="843"/>
      <c r="K237" s="843"/>
      <c r="L237" s="843"/>
      <c r="M237" s="843"/>
      <c r="N237" s="843"/>
      <c r="O237" s="843"/>
      <c r="P237" s="843"/>
      <c r="Q237" s="843"/>
      <c r="R237" s="843"/>
      <c r="S237" s="843"/>
      <c r="T237" s="843"/>
      <c r="U237" s="843"/>
      <c r="V237" s="843"/>
      <c r="W237" s="843"/>
      <c r="X237" s="843"/>
      <c r="Y237" s="843"/>
      <c r="Z237" s="843"/>
      <c r="AA237" s="843"/>
      <c r="AB237" s="843"/>
      <c r="AC237" s="843"/>
      <c r="AD237" s="843"/>
      <c r="AE237" s="843"/>
      <c r="AF237" s="843"/>
    </row>
    <row r="238" spans="1:32" s="864" customFormat="1" x14ac:dyDescent="0.25">
      <c r="A238" s="839"/>
      <c r="B238" s="839" t="s">
        <v>33</v>
      </c>
      <c r="C238" s="838"/>
      <c r="D238" s="838"/>
      <c r="E238" s="838"/>
      <c r="F238" s="838"/>
      <c r="G238" s="854"/>
      <c r="H238" s="854">
        <v>0</v>
      </c>
      <c r="I238" s="854">
        <v>0</v>
      </c>
      <c r="J238" s="854">
        <v>0</v>
      </c>
      <c r="K238" s="854">
        <v>0</v>
      </c>
      <c r="L238" s="854">
        <v>0</v>
      </c>
      <c r="M238" s="854">
        <v>0</v>
      </c>
      <c r="N238" s="854">
        <v>0</v>
      </c>
      <c r="O238" s="854">
        <v>0</v>
      </c>
      <c r="P238" s="854">
        <v>0</v>
      </c>
      <c r="Q238" s="854">
        <v>0</v>
      </c>
      <c r="R238" s="854">
        <v>0</v>
      </c>
      <c r="S238" s="854">
        <v>0</v>
      </c>
      <c r="T238" s="854">
        <v>0</v>
      </c>
      <c r="U238" s="854">
        <v>0</v>
      </c>
      <c r="V238" s="854">
        <v>0</v>
      </c>
      <c r="W238" s="854">
        <v>0</v>
      </c>
      <c r="X238" s="854">
        <v>0</v>
      </c>
      <c r="Y238" s="854">
        <v>0</v>
      </c>
      <c r="Z238" s="854">
        <v>0</v>
      </c>
      <c r="AA238" s="854">
        <v>0</v>
      </c>
      <c r="AB238" s="854">
        <v>0</v>
      </c>
      <c r="AC238" s="854">
        <v>0</v>
      </c>
      <c r="AD238" s="854">
        <v>0</v>
      </c>
      <c r="AE238" s="854">
        <v>0</v>
      </c>
      <c r="AF238" s="854">
        <v>0</v>
      </c>
    </row>
    <row r="239" spans="1:32" s="864" customFormat="1" x14ac:dyDescent="0.25">
      <c r="A239" s="842"/>
      <c r="B239" s="842" t="s">
        <v>34</v>
      </c>
      <c r="C239" s="838"/>
      <c r="D239" s="838"/>
      <c r="E239" s="838"/>
      <c r="F239" s="838"/>
      <c r="G239" s="854"/>
      <c r="H239" s="854">
        <v>0</v>
      </c>
      <c r="I239" s="854">
        <v>0</v>
      </c>
      <c r="J239" s="854">
        <v>0</v>
      </c>
      <c r="K239" s="854">
        <v>0</v>
      </c>
      <c r="L239" s="854">
        <v>0</v>
      </c>
      <c r="M239" s="854">
        <v>0</v>
      </c>
      <c r="N239" s="854">
        <v>0</v>
      </c>
      <c r="O239" s="854">
        <v>0</v>
      </c>
      <c r="P239" s="854">
        <v>0</v>
      </c>
      <c r="Q239" s="854">
        <v>0</v>
      </c>
      <c r="R239" s="854">
        <v>0</v>
      </c>
      <c r="S239" s="854">
        <v>0</v>
      </c>
      <c r="T239" s="854">
        <v>0</v>
      </c>
      <c r="U239" s="854">
        <v>0</v>
      </c>
      <c r="V239" s="854">
        <v>0</v>
      </c>
      <c r="W239" s="854">
        <v>0</v>
      </c>
      <c r="X239" s="854">
        <v>0</v>
      </c>
      <c r="Y239" s="854">
        <v>0</v>
      </c>
      <c r="Z239" s="854">
        <v>0</v>
      </c>
      <c r="AA239" s="854">
        <v>0</v>
      </c>
      <c r="AB239" s="854">
        <v>0</v>
      </c>
      <c r="AC239" s="854">
        <v>0</v>
      </c>
      <c r="AD239" s="854">
        <v>0</v>
      </c>
      <c r="AE239" s="854">
        <v>0</v>
      </c>
      <c r="AF239" s="854">
        <v>0</v>
      </c>
    </row>
    <row r="240" spans="1:32" s="864" customFormat="1" x14ac:dyDescent="0.25">
      <c r="A240" s="839"/>
      <c r="B240" s="842" t="s">
        <v>35</v>
      </c>
      <c r="C240" s="838"/>
      <c r="D240" s="838"/>
      <c r="E240" s="838"/>
      <c r="F240" s="838"/>
      <c r="G240" s="854"/>
      <c r="H240" s="854">
        <v>0</v>
      </c>
      <c r="I240" s="854">
        <v>0</v>
      </c>
      <c r="J240" s="854">
        <v>0</v>
      </c>
      <c r="K240" s="854">
        <v>0</v>
      </c>
      <c r="L240" s="854">
        <v>0</v>
      </c>
      <c r="M240" s="854">
        <v>0</v>
      </c>
      <c r="N240" s="854">
        <v>0</v>
      </c>
      <c r="O240" s="854">
        <v>0</v>
      </c>
      <c r="P240" s="854">
        <v>0</v>
      </c>
      <c r="Q240" s="854">
        <v>0</v>
      </c>
      <c r="R240" s="854">
        <v>0</v>
      </c>
      <c r="S240" s="854">
        <v>0</v>
      </c>
      <c r="T240" s="854">
        <v>0</v>
      </c>
      <c r="U240" s="854">
        <v>0</v>
      </c>
      <c r="V240" s="854">
        <v>0</v>
      </c>
      <c r="W240" s="854">
        <v>0</v>
      </c>
      <c r="X240" s="854">
        <v>0</v>
      </c>
      <c r="Y240" s="854">
        <v>0</v>
      </c>
      <c r="Z240" s="854">
        <v>0</v>
      </c>
      <c r="AA240" s="854">
        <v>0</v>
      </c>
      <c r="AB240" s="854">
        <v>0</v>
      </c>
      <c r="AC240" s="854">
        <v>0</v>
      </c>
      <c r="AD240" s="854">
        <v>0</v>
      </c>
      <c r="AE240" s="854">
        <v>0</v>
      </c>
      <c r="AF240" s="854">
        <v>0</v>
      </c>
    </row>
    <row r="241" spans="1:32" s="864" customFormat="1" x14ac:dyDescent="0.25">
      <c r="A241" s="839"/>
      <c r="B241" s="842" t="s">
        <v>29</v>
      </c>
      <c r="C241" s="838"/>
      <c r="D241" s="838"/>
      <c r="E241" s="838"/>
      <c r="F241" s="838"/>
      <c r="G241" s="854"/>
      <c r="H241" s="854">
        <v>0</v>
      </c>
      <c r="I241" s="854">
        <v>0</v>
      </c>
      <c r="J241" s="854">
        <v>0</v>
      </c>
      <c r="K241" s="854">
        <v>0</v>
      </c>
      <c r="L241" s="854">
        <v>0</v>
      </c>
      <c r="M241" s="854">
        <v>0</v>
      </c>
      <c r="N241" s="854">
        <v>0</v>
      </c>
      <c r="O241" s="854">
        <v>0</v>
      </c>
      <c r="P241" s="854">
        <v>0</v>
      </c>
      <c r="Q241" s="854">
        <v>0</v>
      </c>
      <c r="R241" s="854">
        <v>0</v>
      </c>
      <c r="S241" s="854">
        <v>0</v>
      </c>
      <c r="T241" s="854">
        <v>0</v>
      </c>
      <c r="U241" s="854">
        <v>0</v>
      </c>
      <c r="V241" s="854">
        <v>0</v>
      </c>
      <c r="W241" s="854">
        <v>0</v>
      </c>
      <c r="X241" s="854">
        <v>0</v>
      </c>
      <c r="Y241" s="854">
        <v>0</v>
      </c>
      <c r="Z241" s="854">
        <v>0</v>
      </c>
      <c r="AA241" s="854">
        <v>0</v>
      </c>
      <c r="AB241" s="854">
        <v>0</v>
      </c>
      <c r="AC241" s="854">
        <v>0</v>
      </c>
      <c r="AD241" s="854">
        <v>0</v>
      </c>
      <c r="AE241" s="854">
        <v>0</v>
      </c>
      <c r="AF241" s="854">
        <v>0</v>
      </c>
    </row>
    <row r="242" spans="1:32" s="864" customFormat="1" x14ac:dyDescent="0.25">
      <c r="A242" s="839"/>
      <c r="B242" s="839"/>
      <c r="C242" s="838"/>
      <c r="D242" s="838"/>
      <c r="E242" s="838"/>
      <c r="F242" s="838"/>
      <c r="G242" s="854"/>
      <c r="H242" s="838"/>
      <c r="I242" s="838"/>
      <c r="J242" s="838"/>
      <c r="K242" s="838"/>
      <c r="L242" s="838"/>
      <c r="M242" s="838"/>
      <c r="N242" s="838"/>
      <c r="O242" s="838"/>
      <c r="P242" s="838"/>
      <c r="Q242" s="838"/>
      <c r="R242" s="838"/>
      <c r="S242" s="838"/>
      <c r="T242" s="838"/>
      <c r="U242" s="838"/>
      <c r="V242" s="838"/>
      <c r="W242" s="838"/>
      <c r="X242" s="838"/>
      <c r="Y242" s="838"/>
      <c r="Z242" s="838"/>
      <c r="AA242" s="838"/>
      <c r="AB242" s="838"/>
      <c r="AC242" s="838"/>
      <c r="AD242" s="838"/>
      <c r="AE242" s="838"/>
      <c r="AF242" s="838"/>
    </row>
    <row r="243" spans="1:32" s="856" customFormat="1" ht="12.75" x14ac:dyDescent="0.2">
      <c r="A243" s="843" t="s">
        <v>36</v>
      </c>
      <c r="B243" s="843"/>
      <c r="C243" s="843"/>
      <c r="D243" s="843"/>
      <c r="E243" s="843"/>
      <c r="F243" s="843"/>
      <c r="G243" s="865"/>
      <c r="H243" s="843"/>
      <c r="I243" s="843"/>
      <c r="J243" s="843"/>
      <c r="K243" s="843"/>
      <c r="L243" s="843"/>
      <c r="M243" s="843"/>
      <c r="N243" s="843"/>
      <c r="O243" s="843"/>
      <c r="P243" s="843"/>
      <c r="Q243" s="843"/>
      <c r="R243" s="843"/>
      <c r="S243" s="843"/>
      <c r="T243" s="843"/>
      <c r="U243" s="843"/>
      <c r="V243" s="843"/>
      <c r="W243" s="843"/>
      <c r="X243" s="843"/>
      <c r="Y243" s="843"/>
      <c r="Z243" s="843"/>
      <c r="AA243" s="843"/>
      <c r="AB243" s="843"/>
      <c r="AC243" s="843"/>
      <c r="AD243" s="843"/>
      <c r="AE243" s="843"/>
      <c r="AF243" s="843"/>
    </row>
    <row r="244" spans="1:32" s="864" customFormat="1" x14ac:dyDescent="0.25">
      <c r="A244" s="839"/>
      <c r="B244" s="839" t="s">
        <v>37</v>
      </c>
      <c r="C244" s="838"/>
      <c r="D244" s="838"/>
      <c r="E244" s="838"/>
      <c r="F244" s="855"/>
      <c r="G244" s="854"/>
      <c r="H244" s="854">
        <v>0</v>
      </c>
      <c r="I244" s="854">
        <v>0</v>
      </c>
      <c r="J244" s="854">
        <v>0</v>
      </c>
      <c r="K244" s="854">
        <v>0</v>
      </c>
      <c r="L244" s="854">
        <v>0</v>
      </c>
      <c r="M244" s="854">
        <v>0</v>
      </c>
      <c r="N244" s="854">
        <v>0</v>
      </c>
      <c r="O244" s="854">
        <v>0</v>
      </c>
      <c r="P244" s="854">
        <v>0</v>
      </c>
      <c r="Q244" s="854">
        <v>0</v>
      </c>
      <c r="R244" s="854">
        <v>0</v>
      </c>
      <c r="S244" s="854">
        <v>0</v>
      </c>
      <c r="T244" s="854">
        <v>0</v>
      </c>
      <c r="U244" s="854">
        <v>0</v>
      </c>
      <c r="V244" s="854">
        <v>0</v>
      </c>
      <c r="W244" s="854">
        <v>0</v>
      </c>
      <c r="X244" s="854">
        <v>0</v>
      </c>
      <c r="Y244" s="854">
        <v>0</v>
      </c>
      <c r="Z244" s="854">
        <v>0</v>
      </c>
      <c r="AA244" s="854">
        <v>0</v>
      </c>
      <c r="AB244" s="854">
        <v>0</v>
      </c>
      <c r="AC244" s="854">
        <v>0</v>
      </c>
      <c r="AD244" s="854">
        <v>0</v>
      </c>
      <c r="AE244" s="854">
        <v>0</v>
      </c>
      <c r="AF244" s="854">
        <v>0</v>
      </c>
    </row>
    <row r="245" spans="1:32" s="864" customFormat="1" x14ac:dyDescent="0.25">
      <c r="A245" s="839"/>
      <c r="B245" s="839" t="s">
        <v>39</v>
      </c>
      <c r="C245" s="838"/>
      <c r="D245" s="838"/>
      <c r="E245" s="857"/>
      <c r="F245" s="838"/>
      <c r="G245" s="854"/>
      <c r="H245" s="854">
        <v>0</v>
      </c>
      <c r="I245" s="854">
        <v>0</v>
      </c>
      <c r="J245" s="854">
        <v>0</v>
      </c>
      <c r="K245" s="854">
        <v>0</v>
      </c>
      <c r="L245" s="854">
        <v>0</v>
      </c>
      <c r="M245" s="854">
        <v>0</v>
      </c>
      <c r="N245" s="854">
        <v>0</v>
      </c>
      <c r="O245" s="854">
        <v>0</v>
      </c>
      <c r="P245" s="854">
        <v>0</v>
      </c>
      <c r="Q245" s="854">
        <v>0</v>
      </c>
      <c r="R245" s="854">
        <v>0</v>
      </c>
      <c r="S245" s="854">
        <v>0</v>
      </c>
      <c r="T245" s="854">
        <v>0</v>
      </c>
      <c r="U245" s="854">
        <v>0</v>
      </c>
      <c r="V245" s="854">
        <v>0</v>
      </c>
      <c r="W245" s="854">
        <v>0</v>
      </c>
      <c r="X245" s="854">
        <v>0</v>
      </c>
      <c r="Y245" s="854">
        <v>0</v>
      </c>
      <c r="Z245" s="854">
        <v>0</v>
      </c>
      <c r="AA245" s="854">
        <v>0</v>
      </c>
      <c r="AB245" s="854">
        <v>0</v>
      </c>
      <c r="AC245" s="854">
        <v>0</v>
      </c>
      <c r="AD245" s="854">
        <v>0</v>
      </c>
      <c r="AE245" s="854">
        <v>0</v>
      </c>
      <c r="AF245" s="854">
        <v>0</v>
      </c>
    </row>
    <row r="246" spans="1:32" s="864" customFormat="1" x14ac:dyDescent="0.25">
      <c r="A246" s="839"/>
      <c r="B246" s="839" t="s">
        <v>40</v>
      </c>
      <c r="C246" s="838"/>
      <c r="D246" s="838"/>
      <c r="E246" s="838"/>
      <c r="F246" s="838"/>
      <c r="G246" s="854"/>
      <c r="H246" s="854">
        <v>0</v>
      </c>
      <c r="I246" s="854">
        <v>0</v>
      </c>
      <c r="J246" s="854">
        <v>0</v>
      </c>
      <c r="K246" s="854">
        <v>0</v>
      </c>
      <c r="L246" s="854">
        <v>0</v>
      </c>
      <c r="M246" s="854">
        <v>0</v>
      </c>
      <c r="N246" s="854">
        <v>0</v>
      </c>
      <c r="O246" s="854">
        <v>0</v>
      </c>
      <c r="P246" s="854">
        <v>0</v>
      </c>
      <c r="Q246" s="854">
        <v>0</v>
      </c>
      <c r="R246" s="854">
        <v>0</v>
      </c>
      <c r="S246" s="854">
        <v>0</v>
      </c>
      <c r="T246" s="854">
        <v>0</v>
      </c>
      <c r="U246" s="854">
        <v>0</v>
      </c>
      <c r="V246" s="854">
        <v>0</v>
      </c>
      <c r="W246" s="854">
        <v>0</v>
      </c>
      <c r="X246" s="854">
        <v>0</v>
      </c>
      <c r="Y246" s="854">
        <v>0</v>
      </c>
      <c r="Z246" s="854">
        <v>0</v>
      </c>
      <c r="AA246" s="854">
        <v>0</v>
      </c>
      <c r="AB246" s="854">
        <v>0</v>
      </c>
      <c r="AC246" s="854">
        <v>0</v>
      </c>
      <c r="AD246" s="854">
        <v>0</v>
      </c>
      <c r="AE246" s="854">
        <v>0</v>
      </c>
      <c r="AF246" s="854">
        <v>0</v>
      </c>
    </row>
    <row r="247" spans="1:32" s="864" customFormat="1" x14ac:dyDescent="0.25">
      <c r="A247" s="839"/>
      <c r="B247" s="839" t="s">
        <v>29</v>
      </c>
      <c r="C247" s="838"/>
      <c r="D247" s="838"/>
      <c r="E247" s="838"/>
      <c r="F247" s="838"/>
      <c r="G247" s="854"/>
      <c r="H247" s="854">
        <v>0</v>
      </c>
      <c r="I247" s="854">
        <v>0</v>
      </c>
      <c r="J247" s="854">
        <v>0</v>
      </c>
      <c r="K247" s="854">
        <v>0</v>
      </c>
      <c r="L247" s="854">
        <v>0</v>
      </c>
      <c r="M247" s="854">
        <v>0</v>
      </c>
      <c r="N247" s="854">
        <v>0</v>
      </c>
      <c r="O247" s="854">
        <v>0</v>
      </c>
      <c r="P247" s="854">
        <v>0</v>
      </c>
      <c r="Q247" s="854">
        <v>0</v>
      </c>
      <c r="R247" s="854">
        <v>0</v>
      </c>
      <c r="S247" s="854">
        <v>0</v>
      </c>
      <c r="T247" s="854">
        <v>0</v>
      </c>
      <c r="U247" s="854">
        <v>0</v>
      </c>
      <c r="V247" s="854">
        <v>0</v>
      </c>
      <c r="W247" s="854">
        <v>0</v>
      </c>
      <c r="X247" s="854">
        <v>0</v>
      </c>
      <c r="Y247" s="854">
        <v>0</v>
      </c>
      <c r="Z247" s="854">
        <v>0</v>
      </c>
      <c r="AA247" s="854">
        <v>0</v>
      </c>
      <c r="AB247" s="854">
        <v>0</v>
      </c>
      <c r="AC247" s="854">
        <v>0</v>
      </c>
      <c r="AD247" s="854">
        <v>0</v>
      </c>
      <c r="AE247" s="854">
        <v>0</v>
      </c>
      <c r="AF247" s="854">
        <v>0</v>
      </c>
    </row>
    <row r="248" spans="1:32" s="864" customFormat="1" x14ac:dyDescent="0.25">
      <c r="A248" s="839"/>
      <c r="B248" s="839"/>
      <c r="C248" s="838"/>
      <c r="D248" s="838"/>
      <c r="E248" s="838"/>
      <c r="F248" s="838"/>
      <c r="G248" s="854"/>
      <c r="H248" s="838"/>
      <c r="I248" s="838"/>
      <c r="J248" s="838"/>
      <c r="K248" s="838"/>
      <c r="L248" s="838"/>
      <c r="M248" s="838"/>
      <c r="N248" s="838"/>
      <c r="O248" s="838"/>
      <c r="P248" s="838"/>
      <c r="Q248" s="838"/>
      <c r="R248" s="838"/>
      <c r="S248" s="838"/>
      <c r="T248" s="838"/>
      <c r="U248" s="838"/>
      <c r="V248" s="838"/>
      <c r="W248" s="838"/>
      <c r="X248" s="838"/>
      <c r="Y248" s="838"/>
      <c r="Z248" s="838"/>
      <c r="AA248" s="838"/>
      <c r="AB248" s="838"/>
      <c r="AC248" s="838"/>
      <c r="AD248" s="838"/>
      <c r="AE248" s="838"/>
      <c r="AF248" s="838"/>
    </row>
    <row r="249" spans="1:32" s="856" customFormat="1" ht="12.75" x14ac:dyDescent="0.2">
      <c r="A249" s="843" t="s">
        <v>42</v>
      </c>
      <c r="B249" s="843"/>
      <c r="C249" s="843"/>
      <c r="D249" s="843"/>
      <c r="E249" s="843"/>
      <c r="F249" s="843"/>
      <c r="G249" s="865"/>
      <c r="H249" s="843"/>
      <c r="I249" s="843"/>
      <c r="J249" s="843"/>
      <c r="K249" s="843"/>
      <c r="L249" s="843"/>
      <c r="M249" s="843"/>
      <c r="N249" s="843"/>
      <c r="O249" s="843"/>
      <c r="P249" s="843"/>
      <c r="Q249" s="843"/>
      <c r="R249" s="843"/>
      <c r="S249" s="843"/>
      <c r="T249" s="843"/>
      <c r="U249" s="843"/>
      <c r="V249" s="843"/>
      <c r="W249" s="843"/>
      <c r="X249" s="843"/>
      <c r="Y249" s="843"/>
      <c r="Z249" s="843"/>
      <c r="AA249" s="843"/>
      <c r="AB249" s="843"/>
      <c r="AC249" s="843"/>
      <c r="AD249" s="843"/>
      <c r="AE249" s="843"/>
      <c r="AF249" s="843"/>
    </row>
    <row r="250" spans="1:32" s="864" customFormat="1" x14ac:dyDescent="0.25">
      <c r="A250" s="839"/>
      <c r="B250" s="842" t="s">
        <v>43</v>
      </c>
      <c r="C250" s="838"/>
      <c r="D250" s="838"/>
      <c r="E250" s="838"/>
      <c r="F250" s="838"/>
      <c r="G250" s="854"/>
      <c r="H250" s="854">
        <v>0.62125622533644509</v>
      </c>
      <c r="I250" s="854">
        <v>0.56405845272341926</v>
      </c>
      <c r="J250" s="854">
        <v>0.51210737317961796</v>
      </c>
      <c r="K250" s="854">
        <v>0.46481937283576674</v>
      </c>
      <c r="L250" s="854">
        <v>0.42216077303339045</v>
      </c>
      <c r="M250" s="854">
        <v>0.38310085477643224</v>
      </c>
      <c r="N250" s="854">
        <v>0.34779984006843351</v>
      </c>
      <c r="O250" s="854">
        <v>0.31608485533852715</v>
      </c>
      <c r="P250" s="854">
        <v>0.2872568475028906</v>
      </c>
      <c r="Q250" s="854">
        <v>0.26114470487335883</v>
      </c>
      <c r="R250" s="854">
        <v>0.23743733560561961</v>
      </c>
      <c r="S250" s="854">
        <v>0.21600250041127306</v>
      </c>
      <c r="T250" s="854">
        <v>0.19666718526460686</v>
      </c>
      <c r="U250" s="854">
        <v>0.17927383762155155</v>
      </c>
      <c r="V250" s="854">
        <v>0.16360581158485663</v>
      </c>
      <c r="W250" s="854">
        <v>0.14947161320195707</v>
      </c>
      <c r="X250" s="854">
        <v>0.13681039875079393</v>
      </c>
      <c r="Y250" s="854">
        <v>0.12543786830310991</v>
      </c>
      <c r="Z250" s="854">
        <v>0.11522553688704784</v>
      </c>
      <c r="AA250" s="854">
        <v>0.10602384655860451</v>
      </c>
      <c r="AB250" s="854">
        <v>9.7739152717113156E-2</v>
      </c>
      <c r="AC250" s="854">
        <v>9.0291466496539283E-2</v>
      </c>
      <c r="AD250" s="854">
        <v>8.3580873649043222E-2</v>
      </c>
      <c r="AE250" s="854">
        <v>7.7508134118970007E-2</v>
      </c>
      <c r="AF250" s="854">
        <v>7.1975454384465745E-2</v>
      </c>
    </row>
    <row r="251" spans="1:32" s="864" customFormat="1" x14ac:dyDescent="0.25">
      <c r="A251" s="839"/>
      <c r="B251" s="842" t="s">
        <v>44</v>
      </c>
      <c r="C251" s="838"/>
      <c r="D251" s="838"/>
      <c r="E251" s="838"/>
      <c r="F251" s="838"/>
      <c r="G251" s="854"/>
      <c r="H251" s="854">
        <v>30.340877737305995</v>
      </c>
      <c r="I251" s="854">
        <v>33.170500916541904</v>
      </c>
      <c r="J251" s="854">
        <v>35.109699045818189</v>
      </c>
      <c r="K251" s="854">
        <v>36.293999952490196</v>
      </c>
      <c r="L251" s="854">
        <v>36.92329218964997</v>
      </c>
      <c r="M251" s="854">
        <v>36.838471748587757</v>
      </c>
      <c r="N251" s="854">
        <v>36.382599054059703</v>
      </c>
      <c r="O251" s="854">
        <v>35.792221607008905</v>
      </c>
      <c r="P251" s="854">
        <v>34.853569505146993</v>
      </c>
      <c r="Q251" s="854">
        <v>33.764308052688413</v>
      </c>
      <c r="R251" s="854">
        <v>32.541933310356129</v>
      </c>
      <c r="S251" s="854">
        <v>31.270858813803791</v>
      </c>
      <c r="T251" s="854">
        <v>30.020633964874616</v>
      </c>
      <c r="U251" s="854">
        <v>28.849407968766876</v>
      </c>
      <c r="V251" s="854">
        <v>27.732832111930083</v>
      </c>
      <c r="W251" s="854">
        <v>26.676859561089458</v>
      </c>
      <c r="X251" s="854">
        <v>25.756903553415889</v>
      </c>
      <c r="Y251" s="854">
        <v>24.9146373217209</v>
      </c>
      <c r="Z251" s="854">
        <v>24.148981575608779</v>
      </c>
      <c r="AA251" s="854">
        <v>23.455503834173562</v>
      </c>
      <c r="AB251" s="854">
        <v>22.8288224274377</v>
      </c>
      <c r="AC251" s="854">
        <v>22.273933516933958</v>
      </c>
      <c r="AD251" s="854">
        <v>21.779256168286697</v>
      </c>
      <c r="AE251" s="854">
        <v>21.340291459482067</v>
      </c>
      <c r="AF251" s="854">
        <v>20.931646796269629</v>
      </c>
    </row>
    <row r="252" spans="1:32" s="864" customFormat="1" x14ac:dyDescent="0.25">
      <c r="A252" s="839"/>
      <c r="B252" s="842" t="s">
        <v>45</v>
      </c>
      <c r="C252" s="838"/>
      <c r="D252" s="838"/>
      <c r="E252" s="838"/>
      <c r="F252" s="838"/>
      <c r="G252" s="854"/>
      <c r="H252" s="854">
        <v>17.841302699599886</v>
      </c>
      <c r="I252" s="854">
        <v>15.959920518489151</v>
      </c>
      <c r="J252" s="854">
        <v>14.283656889547634</v>
      </c>
      <c r="K252" s="854">
        <v>12.789472350082979</v>
      </c>
      <c r="L252" s="854">
        <v>11.457127689869024</v>
      </c>
      <c r="M252" s="854">
        <v>10.267475307053502</v>
      </c>
      <c r="N252" s="854">
        <v>9.205639092072051</v>
      </c>
      <c r="O252" s="854">
        <v>8.2486166990897214</v>
      </c>
      <c r="P252" s="854">
        <v>7.3936435248874561</v>
      </c>
      <c r="Q252" s="854">
        <v>6.6305789361192167</v>
      </c>
      <c r="R252" s="854">
        <v>5.9490059476169028</v>
      </c>
      <c r="S252" s="854">
        <v>5.3402406190639091</v>
      </c>
      <c r="T252" s="854">
        <v>4.7965993086116976</v>
      </c>
      <c r="U252" s="854">
        <v>4.3112410391281095</v>
      </c>
      <c r="V252" s="854">
        <v>3.8774714783226192</v>
      </c>
      <c r="W252" s="854">
        <v>3.489664235365344</v>
      </c>
      <c r="X252" s="854">
        <v>3.1433804203861002</v>
      </c>
      <c r="Y252" s="854">
        <v>2.8346851007980853</v>
      </c>
      <c r="Z252" s="854">
        <v>2.5592691991192074</v>
      </c>
      <c r="AA252" s="854">
        <v>2.3125522098785831</v>
      </c>
      <c r="AB252" s="854">
        <v>2.0921598263544738</v>
      </c>
      <c r="AC252" s="854">
        <v>1.8951950565348923</v>
      </c>
      <c r="AD252" s="854">
        <v>1.7189897144949633</v>
      </c>
      <c r="AE252" s="854">
        <v>1.5607808783915758</v>
      </c>
      <c r="AF252" s="854">
        <v>1.4189581559659397</v>
      </c>
    </row>
    <row r="253" spans="1:32" s="864" customFormat="1" x14ac:dyDescent="0.25">
      <c r="A253" s="839"/>
      <c r="B253" s="842" t="s">
        <v>46</v>
      </c>
      <c r="C253" s="838"/>
      <c r="D253" s="838"/>
      <c r="E253" s="838"/>
      <c r="F253" s="838"/>
      <c r="G253" s="854"/>
      <c r="H253" s="854">
        <v>0.23603333573395144</v>
      </c>
      <c r="I253" s="854">
        <v>0.21013884561968579</v>
      </c>
      <c r="J253" s="854">
        <v>0.18718069347208779</v>
      </c>
      <c r="K253" s="854">
        <v>0.1668145599920971</v>
      </c>
      <c r="L253" s="854">
        <v>0.14873788917547287</v>
      </c>
      <c r="M253" s="854">
        <v>0.13268464799137594</v>
      </c>
      <c r="N253" s="854">
        <v>0.11798804726015673</v>
      </c>
      <c r="O253" s="854">
        <v>0.10497300580742218</v>
      </c>
      <c r="P253" s="854">
        <v>9.3440707237392492E-2</v>
      </c>
      <c r="Q253" s="854">
        <v>8.3216630144641673E-2</v>
      </c>
      <c r="R253" s="854">
        <v>7.4147479645216924E-2</v>
      </c>
      <c r="S253" s="854">
        <v>6.6098519426694854E-2</v>
      </c>
      <c r="T253" s="854">
        <v>5.895125030125848E-2</v>
      </c>
      <c r="U253" s="854">
        <v>5.260138877024844E-2</v>
      </c>
      <c r="V253" s="854">
        <v>4.6957105550883574E-2</v>
      </c>
      <c r="W253" s="854">
        <v>4.1937489536552269E-2</v>
      </c>
      <c r="X253" s="854">
        <v>3.7471207397257712E-2</v>
      </c>
      <c r="Y253" s="854">
        <v>3.3622066823341457E-2</v>
      </c>
      <c r="Z253" s="854">
        <v>3.0089853375937187E-2</v>
      </c>
      <c r="AA253" s="854">
        <v>2.6939972872200218E-2</v>
      </c>
      <c r="AB253" s="854">
        <v>2.4138503489218744E-2</v>
      </c>
      <c r="AC253" s="854">
        <v>2.1644657159276066E-2</v>
      </c>
      <c r="AD253" s="854">
        <v>1.9422704166495594E-2</v>
      </c>
      <c r="AE253" s="854">
        <v>1.7435492014387689E-2</v>
      </c>
      <c r="AF253" s="854">
        <v>1.5662640826565429E-2</v>
      </c>
    </row>
    <row r="254" spans="1:32" s="864" customFormat="1" x14ac:dyDescent="0.25">
      <c r="A254" s="839"/>
      <c r="B254" s="839" t="s">
        <v>29</v>
      </c>
      <c r="C254" s="838"/>
      <c r="D254" s="838"/>
      <c r="E254" s="838"/>
      <c r="F254" s="838"/>
      <c r="G254" s="854"/>
      <c r="H254" s="854">
        <v>0.66863241929944373</v>
      </c>
      <c r="I254" s="854">
        <v>1.6586614339061192</v>
      </c>
      <c r="J254" s="854">
        <v>2.9132409835178468</v>
      </c>
      <c r="K254" s="854">
        <v>4.3427681740144912</v>
      </c>
      <c r="L254" s="854">
        <v>5.8976988009143323</v>
      </c>
      <c r="M254" s="854">
        <v>7.4708399426908896</v>
      </c>
      <c r="N254" s="854">
        <v>9.074927184854932</v>
      </c>
      <c r="O254" s="854">
        <v>10.825294532860383</v>
      </c>
      <c r="P254" s="854">
        <v>12.404035768208034</v>
      </c>
      <c r="Q254" s="854">
        <v>13.926073075351777</v>
      </c>
      <c r="R254" s="854">
        <v>15.270424885067762</v>
      </c>
      <c r="S254" s="854">
        <v>16.443659993380621</v>
      </c>
      <c r="T254" s="854">
        <v>17.490481658148255</v>
      </c>
      <c r="U254" s="854">
        <v>18.488170271926879</v>
      </c>
      <c r="V254" s="854">
        <v>19.305582533688103</v>
      </c>
      <c r="W254" s="854">
        <v>19.965844886519214</v>
      </c>
      <c r="X254" s="854">
        <v>20.721083371762049</v>
      </c>
      <c r="Y254" s="854">
        <v>21.36449213676697</v>
      </c>
      <c r="Z254" s="854">
        <v>21.90625995589356</v>
      </c>
      <c r="AA254" s="854">
        <v>22.379422436941873</v>
      </c>
      <c r="AB254" s="854">
        <v>22.811631676993422</v>
      </c>
      <c r="AC254" s="854">
        <v>23.236141426483016</v>
      </c>
      <c r="AD254" s="854">
        <v>23.640050844974841</v>
      </c>
      <c r="AE254" s="854">
        <v>24.056119182409194</v>
      </c>
      <c r="AF254" s="854">
        <v>24.437193831093715</v>
      </c>
    </row>
    <row r="255" spans="1:32" s="864" customFormat="1" x14ac:dyDescent="0.25">
      <c r="A255" s="839"/>
      <c r="B255" s="839"/>
      <c r="C255" s="838"/>
      <c r="D255" s="838"/>
      <c r="E255" s="838"/>
      <c r="F255" s="838"/>
      <c r="G255" s="854"/>
      <c r="H255" s="838"/>
      <c r="I255" s="838"/>
      <c r="J255" s="838"/>
      <c r="K255" s="838"/>
      <c r="L255" s="838"/>
      <c r="M255" s="838"/>
      <c r="N255" s="838"/>
      <c r="O255" s="838"/>
      <c r="P255" s="838"/>
      <c r="Q255" s="838"/>
      <c r="R255" s="838"/>
      <c r="S255" s="838"/>
      <c r="T255" s="838"/>
      <c r="U255" s="838"/>
      <c r="V255" s="838"/>
      <c r="W255" s="838"/>
      <c r="X255" s="838"/>
      <c r="Y255" s="838"/>
      <c r="Z255" s="838"/>
      <c r="AA255" s="838"/>
      <c r="AB255" s="838"/>
      <c r="AC255" s="838"/>
      <c r="AD255" s="838"/>
      <c r="AE255" s="838"/>
      <c r="AF255" s="838"/>
    </row>
    <row r="256" spans="1:32" s="856" customFormat="1" ht="12.75" x14ac:dyDescent="0.2">
      <c r="A256" s="843" t="s">
        <v>47</v>
      </c>
      <c r="B256" s="843"/>
      <c r="C256" s="843"/>
      <c r="D256" s="843"/>
      <c r="E256" s="843"/>
      <c r="F256" s="843"/>
      <c r="G256" s="865"/>
      <c r="H256" s="843"/>
      <c r="I256" s="843"/>
      <c r="J256" s="843"/>
      <c r="K256" s="843"/>
      <c r="L256" s="843"/>
      <c r="M256" s="843"/>
      <c r="N256" s="843"/>
      <c r="O256" s="843"/>
      <c r="P256" s="843"/>
      <c r="Q256" s="843"/>
      <c r="R256" s="843"/>
      <c r="S256" s="843"/>
      <c r="T256" s="843"/>
      <c r="U256" s="843"/>
      <c r="V256" s="843"/>
      <c r="W256" s="843"/>
      <c r="X256" s="843"/>
      <c r="Y256" s="843"/>
      <c r="Z256" s="843"/>
      <c r="AA256" s="843"/>
      <c r="AB256" s="843"/>
      <c r="AC256" s="843"/>
      <c r="AD256" s="843"/>
      <c r="AE256" s="843"/>
      <c r="AF256" s="843"/>
    </row>
    <row r="257" spans="1:32" s="864" customFormat="1" x14ac:dyDescent="0.25">
      <c r="A257" s="839"/>
      <c r="B257" s="839" t="s">
        <v>48</v>
      </c>
      <c r="C257" s="838"/>
      <c r="D257" s="838"/>
      <c r="E257" s="838"/>
      <c r="F257" s="838"/>
      <c r="G257" s="854"/>
      <c r="H257" s="854">
        <v>0.11999552109504641</v>
      </c>
      <c r="I257" s="854">
        <v>4.1705037870241619E-3</v>
      </c>
      <c r="J257" s="854">
        <v>9.6911313270284274E-5</v>
      </c>
      <c r="K257" s="854">
        <v>1.5898186066010143E-6</v>
      </c>
      <c r="L257" s="854">
        <v>1.9289222040885866E-8</v>
      </c>
      <c r="M257" s="854">
        <v>1.8018254366766989E-10</v>
      </c>
      <c r="N257" s="854">
        <v>1.3494413347147378E-12</v>
      </c>
      <c r="O257" s="854">
        <v>8.4149503380704596E-15</v>
      </c>
      <c r="P257" s="854">
        <v>4.5029122266586479E-17</v>
      </c>
      <c r="Q257" s="854">
        <v>2.1279535466189069E-19</v>
      </c>
      <c r="R257" s="854">
        <v>9.080433499239298E-22</v>
      </c>
      <c r="S257" s="854">
        <v>3.5721912619265611E-24</v>
      </c>
      <c r="T257" s="854">
        <v>1.3185122626649859E-26</v>
      </c>
      <c r="U257" s="854">
        <v>4.636363888662316E-29</v>
      </c>
      <c r="V257" s="854">
        <v>1.5732957053392448E-31</v>
      </c>
      <c r="W257" s="854">
        <v>5.2049527492134557E-34</v>
      </c>
      <c r="X257" s="854">
        <v>1.6954334273044884E-36</v>
      </c>
      <c r="Y257" s="854">
        <v>5.4757700080925239E-39</v>
      </c>
      <c r="Z257" s="854">
        <v>1.7620807274716183E-41</v>
      </c>
      <c r="AA257" s="854">
        <v>5.6704783031148666E-44</v>
      </c>
      <c r="AB257" s="854">
        <v>1.8305980731003974E-46</v>
      </c>
      <c r="AC257" s="854">
        <v>5.9426244188376764E-49</v>
      </c>
      <c r="AD257" s="854">
        <v>1.9429968319083964E-51</v>
      </c>
      <c r="AE257" s="854">
        <v>6.4057261471614218E-54</v>
      </c>
      <c r="AF257" s="854">
        <v>2.1309910105965266E-56</v>
      </c>
    </row>
    <row r="258" spans="1:32" s="864" customFormat="1" x14ac:dyDescent="0.25">
      <c r="A258" s="839"/>
      <c r="B258" s="842" t="s">
        <v>50</v>
      </c>
      <c r="C258" s="838"/>
      <c r="D258" s="838"/>
      <c r="E258" s="838"/>
      <c r="F258" s="838"/>
      <c r="G258" s="854"/>
      <c r="H258" s="854">
        <v>0.33490312981171227</v>
      </c>
      <c r="I258" s="854">
        <v>9.2305649095071537E-2</v>
      </c>
      <c r="J258" s="854">
        <v>1.8476707600176036E-2</v>
      </c>
      <c r="K258" s="854">
        <v>2.8000610321697295E-3</v>
      </c>
      <c r="L258" s="854">
        <v>3.3567565093128252E-4</v>
      </c>
      <c r="M258" s="854">
        <v>3.3393600669848425E-5</v>
      </c>
      <c r="N258" s="854">
        <v>2.9035526474927469E-6</v>
      </c>
      <c r="O258" s="854">
        <v>2.3151147993615601E-7</v>
      </c>
      <c r="P258" s="854">
        <v>1.756631661948703E-8</v>
      </c>
      <c r="Q258" s="854">
        <v>1.3088204812633355E-9</v>
      </c>
      <c r="R258" s="854">
        <v>9.771535961371403E-11</v>
      </c>
      <c r="S258" s="854">
        <v>7.4296890132591449E-12</v>
      </c>
      <c r="T258" s="854">
        <v>5.8126378274844965E-13</v>
      </c>
      <c r="U258" s="854">
        <v>4.7113054299084918E-14</v>
      </c>
      <c r="V258" s="854">
        <v>3.9716992532323082E-15</v>
      </c>
      <c r="W258" s="854">
        <v>3.4876042881515769E-16</v>
      </c>
      <c r="X258" s="854">
        <v>3.1955772499665211E-17</v>
      </c>
      <c r="Y258" s="854">
        <v>3.0519281599979661E-18</v>
      </c>
      <c r="Z258" s="854">
        <v>3.0333953809282891E-19</v>
      </c>
      <c r="AA258" s="854">
        <v>3.133289425124958E-20</v>
      </c>
      <c r="AB258" s="854">
        <v>3.359615180108565E-21</v>
      </c>
      <c r="AC258" s="854">
        <v>3.733846862186686E-22</v>
      </c>
      <c r="AD258" s="854">
        <v>4.2944619999113841E-23</v>
      </c>
      <c r="AE258" s="854">
        <v>5.1041975179849459E-24</v>
      </c>
      <c r="AF258" s="854">
        <v>6.2605252053300612E-25</v>
      </c>
    </row>
    <row r="259" spans="1:32" s="864" customFormat="1" x14ac:dyDescent="0.25">
      <c r="A259" s="839"/>
      <c r="B259" s="839" t="s">
        <v>51</v>
      </c>
      <c r="C259" s="838"/>
      <c r="D259" s="838"/>
      <c r="E259" s="838"/>
      <c r="F259" s="838"/>
      <c r="G259" s="854"/>
      <c r="H259" s="854">
        <v>0.72554214981594467</v>
      </c>
      <c r="I259" s="854">
        <v>0.69233904513794942</v>
      </c>
      <c r="J259" s="854">
        <v>0.64863187048428605</v>
      </c>
      <c r="K259" s="854">
        <v>0.5959651996228551</v>
      </c>
      <c r="L259" s="854">
        <v>0.53655773380518013</v>
      </c>
      <c r="M259" s="854">
        <v>0.47317819743635159</v>
      </c>
      <c r="N259" s="854">
        <v>0.41150153276095935</v>
      </c>
      <c r="O259" s="854">
        <v>0.35434551424619865</v>
      </c>
      <c r="P259" s="854">
        <v>0.30078444807519228</v>
      </c>
      <c r="Q259" s="854">
        <v>0.25356313232981426</v>
      </c>
      <c r="R259" s="854">
        <v>0.21173829405759942</v>
      </c>
      <c r="S259" s="854">
        <v>0.17603650720881558</v>
      </c>
      <c r="T259" s="854">
        <v>0.14589119565468692</v>
      </c>
      <c r="U259" s="854">
        <v>0.12072442651233438</v>
      </c>
      <c r="V259" s="854">
        <v>9.982516946309257E-2</v>
      </c>
      <c r="W259" s="854">
        <v>8.2454234877563662E-2</v>
      </c>
      <c r="X259" s="854">
        <v>6.8293795514162356E-2</v>
      </c>
      <c r="Y259" s="854">
        <v>5.6638420702060141E-2</v>
      </c>
      <c r="Z259" s="854">
        <v>4.6977966592612767E-2</v>
      </c>
      <c r="AA259" s="854">
        <v>3.8968841652110016E-2</v>
      </c>
      <c r="AB259" s="854">
        <v>3.2360448827270218E-2</v>
      </c>
      <c r="AC259" s="854">
        <v>2.6903575421647431E-2</v>
      </c>
      <c r="AD259" s="854">
        <v>2.2385501514896749E-2</v>
      </c>
      <c r="AE259" s="854">
        <v>1.8640875288259497E-2</v>
      </c>
      <c r="AF259" s="854">
        <v>1.5534233205201585E-2</v>
      </c>
    </row>
    <row r="260" spans="1:32" s="864" customFormat="1" x14ac:dyDescent="0.25">
      <c r="A260" s="839"/>
      <c r="B260" s="839" t="s">
        <v>52</v>
      </c>
      <c r="C260" s="838"/>
      <c r="D260" s="838"/>
      <c r="E260" s="838"/>
      <c r="F260" s="838"/>
      <c r="G260" s="854"/>
      <c r="H260" s="854">
        <v>4.2095255156050158</v>
      </c>
      <c r="I260" s="854">
        <v>4.1889866515912235</v>
      </c>
      <c r="J260" s="854">
        <v>4.1315300923771945</v>
      </c>
      <c r="K260" s="854">
        <v>4.0396978141133237</v>
      </c>
      <c r="L260" s="854">
        <v>3.9240853017769433</v>
      </c>
      <c r="M260" s="854">
        <v>3.7759226821588925</v>
      </c>
      <c r="N260" s="854">
        <v>3.6168360099668306</v>
      </c>
      <c r="O260" s="854">
        <v>3.4627978398748063</v>
      </c>
      <c r="P260" s="854">
        <v>3.2939877586869057</v>
      </c>
      <c r="Q260" s="854">
        <v>3.132007393274959</v>
      </c>
      <c r="R260" s="854">
        <v>2.9658356263573702</v>
      </c>
      <c r="S260" s="854">
        <v>2.8070698457255556</v>
      </c>
      <c r="T260" s="854">
        <v>2.6555612395544439</v>
      </c>
      <c r="U260" s="854">
        <v>2.5086133697532365</v>
      </c>
      <c r="V260" s="854">
        <v>2.3748613427497309</v>
      </c>
      <c r="W260" s="854">
        <v>2.2436894015919422</v>
      </c>
      <c r="X260" s="854">
        <v>2.125590034192983</v>
      </c>
      <c r="Y260" s="854">
        <v>2.0187526056368563</v>
      </c>
      <c r="Z260" s="854">
        <v>1.9146936382957618</v>
      </c>
      <c r="AA260" s="854">
        <v>1.8163753701680749</v>
      </c>
      <c r="AB260" s="854">
        <v>1.7264933457872726</v>
      </c>
      <c r="AC260" s="854">
        <v>1.6403685326825255</v>
      </c>
      <c r="AD260" s="854">
        <v>1.5596968151617325</v>
      </c>
      <c r="AE260" s="854">
        <v>1.4853325201264524</v>
      </c>
      <c r="AF260" s="854">
        <v>1.4136711826677715</v>
      </c>
    </row>
    <row r="261" spans="1:32" s="864" customFormat="1" x14ac:dyDescent="0.25">
      <c r="A261" s="839"/>
      <c r="B261" s="842" t="s">
        <v>29</v>
      </c>
      <c r="C261" s="838"/>
      <c r="D261" s="838"/>
      <c r="E261" s="838"/>
      <c r="F261" s="838"/>
      <c r="G261" s="854"/>
      <c r="H261" s="854">
        <v>3.5626951282977632</v>
      </c>
      <c r="I261" s="854">
        <v>1.8807454662387819</v>
      </c>
      <c r="J261" s="854">
        <v>1.7294501092466263</v>
      </c>
      <c r="K261" s="854">
        <v>1.7792849553403258</v>
      </c>
      <c r="L261" s="854">
        <v>1.8947465063123381</v>
      </c>
      <c r="M261" s="854">
        <v>2.0219139310087755</v>
      </c>
      <c r="N261" s="854">
        <v>2.1667800030474087</v>
      </c>
      <c r="O261" s="854">
        <v>2.2814136009052151</v>
      </c>
      <c r="P261" s="854">
        <v>2.421288229440349</v>
      </c>
      <c r="Q261" s="854">
        <v>2.5631413535784224</v>
      </c>
      <c r="R261" s="854">
        <v>2.6471329098468814</v>
      </c>
      <c r="S261" s="854">
        <v>2.7536048044515242</v>
      </c>
      <c r="T261" s="854">
        <v>2.8278288889429435</v>
      </c>
      <c r="U261" s="854">
        <v>2.8962935469095883</v>
      </c>
      <c r="V261" s="854">
        <v>2.9807575574043104</v>
      </c>
      <c r="W261" s="854">
        <v>3.0319628409177537</v>
      </c>
      <c r="X261" s="854">
        <v>3.1114825205456551</v>
      </c>
      <c r="Y261" s="854">
        <v>3.1840504921596562</v>
      </c>
      <c r="Z261" s="854">
        <v>3.2460987242415209</v>
      </c>
      <c r="AA261" s="854">
        <v>3.3007283722898881</v>
      </c>
      <c r="AB261" s="854">
        <v>3.3596851131451464</v>
      </c>
      <c r="AC261" s="854">
        <v>3.4216766100636118</v>
      </c>
      <c r="AD261" s="854">
        <v>3.4790094266854945</v>
      </c>
      <c r="AE261" s="854">
        <v>3.5380789281693676</v>
      </c>
      <c r="AF261" s="854">
        <v>3.5946324181327083</v>
      </c>
    </row>
    <row r="262" spans="1:32" s="864" customFormat="1" x14ac:dyDescent="0.25">
      <c r="A262" s="839"/>
      <c r="B262" s="842" t="s">
        <v>53</v>
      </c>
      <c r="C262" s="838"/>
      <c r="D262" s="838"/>
      <c r="E262" s="838"/>
      <c r="F262" s="838"/>
      <c r="G262" s="854"/>
      <c r="H262" s="854">
        <v>0</v>
      </c>
      <c r="I262" s="854">
        <v>0</v>
      </c>
      <c r="J262" s="854">
        <v>0</v>
      </c>
      <c r="K262" s="854">
        <v>0</v>
      </c>
      <c r="L262" s="854">
        <v>0</v>
      </c>
      <c r="M262" s="854">
        <v>0</v>
      </c>
      <c r="N262" s="854">
        <v>0</v>
      </c>
      <c r="O262" s="854">
        <v>0</v>
      </c>
      <c r="P262" s="854">
        <v>0</v>
      </c>
      <c r="Q262" s="854">
        <v>0</v>
      </c>
      <c r="R262" s="854">
        <v>0</v>
      </c>
      <c r="S262" s="854">
        <v>0</v>
      </c>
      <c r="T262" s="854">
        <v>0</v>
      </c>
      <c r="U262" s="854">
        <v>0</v>
      </c>
      <c r="V262" s="854">
        <v>0</v>
      </c>
      <c r="W262" s="854">
        <v>0</v>
      </c>
      <c r="X262" s="854">
        <v>0</v>
      </c>
      <c r="Y262" s="854">
        <v>0</v>
      </c>
      <c r="Z262" s="854">
        <v>0</v>
      </c>
      <c r="AA262" s="854">
        <v>0</v>
      </c>
      <c r="AB262" s="854">
        <v>0</v>
      </c>
      <c r="AC262" s="854">
        <v>0</v>
      </c>
      <c r="AD262" s="854">
        <v>0</v>
      </c>
      <c r="AE262" s="854">
        <v>0</v>
      </c>
      <c r="AF262" s="854">
        <v>0</v>
      </c>
    </row>
    <row r="265" spans="1:32" x14ac:dyDescent="0.25">
      <c r="A265" s="860" t="s">
        <v>54</v>
      </c>
      <c r="B265" s="861"/>
      <c r="C265" s="860"/>
      <c r="D265" s="859"/>
      <c r="E265" s="859"/>
      <c r="F265" s="859"/>
      <c r="G265" s="859"/>
      <c r="H265" s="862"/>
      <c r="I265" s="862"/>
      <c r="J265" s="862"/>
      <c r="K265" s="862"/>
      <c r="L265" s="862"/>
      <c r="M265" s="862"/>
      <c r="N265" s="862"/>
      <c r="O265" s="862"/>
      <c r="P265" s="862"/>
      <c r="Q265" s="862"/>
      <c r="R265" s="862"/>
      <c r="S265" s="862"/>
      <c r="T265" s="862"/>
      <c r="U265" s="862"/>
      <c r="V265" s="862"/>
      <c r="W265" s="862"/>
      <c r="X265" s="862"/>
      <c r="Y265" s="862"/>
      <c r="Z265" s="862"/>
      <c r="AA265" s="862"/>
      <c r="AB265" s="862"/>
      <c r="AC265" s="862"/>
      <c r="AD265" s="862"/>
      <c r="AE265" s="862"/>
      <c r="AF265" s="862"/>
    </row>
    <row r="266" spans="1:32" x14ac:dyDescent="0.25">
      <c r="A266" s="840" t="s">
        <v>12</v>
      </c>
      <c r="B266" s="839"/>
    </row>
    <row r="267" spans="1:32" x14ac:dyDescent="0.25">
      <c r="A267" s="839"/>
      <c r="B267" s="839" t="s">
        <v>20</v>
      </c>
    </row>
    <row r="268" spans="1:32" s="856" customFormat="1" ht="12.75" x14ac:dyDescent="0.2">
      <c r="A268" s="843" t="s">
        <v>21</v>
      </c>
      <c r="B268" s="843"/>
      <c r="C268" s="843"/>
      <c r="D268" s="843"/>
      <c r="E268" s="843"/>
      <c r="F268" s="843"/>
      <c r="G268" s="843"/>
      <c r="H268" s="843"/>
      <c r="I268" s="843"/>
      <c r="J268" s="843"/>
      <c r="K268" s="843"/>
      <c r="L268" s="843"/>
      <c r="M268" s="843"/>
      <c r="N268" s="843"/>
      <c r="O268" s="843"/>
      <c r="P268" s="843"/>
      <c r="Q268" s="843"/>
      <c r="R268" s="843"/>
      <c r="S268" s="843"/>
      <c r="T268" s="843"/>
      <c r="U268" s="843"/>
      <c r="V268" s="843"/>
      <c r="W268" s="843"/>
      <c r="X268" s="843"/>
      <c r="Y268" s="843"/>
      <c r="Z268" s="843"/>
      <c r="AA268" s="843"/>
      <c r="AB268" s="843"/>
      <c r="AC268" s="843"/>
      <c r="AD268" s="843"/>
      <c r="AE268" s="843"/>
      <c r="AF268" s="843"/>
    </row>
    <row r="269" spans="1:32" s="864" customFormat="1" x14ac:dyDescent="0.25">
      <c r="A269" s="839"/>
      <c r="B269" s="839" t="s">
        <v>22</v>
      </c>
      <c r="C269" s="838"/>
      <c r="D269" s="838"/>
      <c r="E269" s="838"/>
      <c r="F269" s="838"/>
      <c r="G269" s="854"/>
      <c r="H269" s="854">
        <v>24.310851267053287</v>
      </c>
      <c r="I269" s="854">
        <v>21.287263906541298</v>
      </c>
      <c r="J269" s="854">
        <v>14.409605209386445</v>
      </c>
      <c r="K269" s="854">
        <v>9.9751815691045742</v>
      </c>
      <c r="L269" s="854">
        <v>6.3977233856126778</v>
      </c>
      <c r="M269" s="854">
        <v>2.3432171492723626</v>
      </c>
      <c r="N269" s="854">
        <v>1.9493432900171657</v>
      </c>
      <c r="O269" s="854">
        <v>1.6463985309483491</v>
      </c>
      <c r="P269" s="854">
        <v>1.4032775160157152</v>
      </c>
      <c r="Q269" s="854">
        <v>1.1814866587585648</v>
      </c>
      <c r="R269" s="854">
        <v>0.97589853924626713</v>
      </c>
      <c r="S269" s="854">
        <v>0.79769577660628688</v>
      </c>
      <c r="T269" s="854">
        <v>0.64524143477633555</v>
      </c>
      <c r="U269" s="854">
        <v>0.5175206611501787</v>
      </c>
      <c r="V269" s="854">
        <v>0.41669106117791532</v>
      </c>
      <c r="W269" s="854">
        <v>0.33564733270195457</v>
      </c>
      <c r="X269" s="854">
        <v>0.27125009911223363</v>
      </c>
      <c r="Y269" s="854">
        <v>0.22054631241846376</v>
      </c>
      <c r="Z269" s="854">
        <v>0.18161756140028829</v>
      </c>
      <c r="AA269" s="854">
        <v>0.15201842537539753</v>
      </c>
      <c r="AB269" s="854">
        <v>0.12833083782316915</v>
      </c>
      <c r="AC269" s="854">
        <v>0.10949898282671944</v>
      </c>
      <c r="AD269" s="854">
        <v>9.4159017457330504E-2</v>
      </c>
      <c r="AE269" s="854">
        <v>8.1384381501629133E-2</v>
      </c>
      <c r="AF269" s="854">
        <v>6.9541310564875142E-2</v>
      </c>
    </row>
    <row r="270" spans="1:32" s="864" customFormat="1" x14ac:dyDescent="0.25">
      <c r="A270" s="839"/>
      <c r="B270" s="839" t="s">
        <v>26</v>
      </c>
      <c r="C270" s="838"/>
      <c r="D270" s="838"/>
      <c r="E270" s="838"/>
      <c r="F270" s="838"/>
      <c r="G270" s="854"/>
      <c r="H270" s="854">
        <v>0.42018461963890841</v>
      </c>
      <c r="I270" s="854">
        <v>1.8095023828253285</v>
      </c>
      <c r="J270" s="854">
        <v>5.4879376584670458</v>
      </c>
      <c r="K270" s="854">
        <v>7.7201119764251906</v>
      </c>
      <c r="L270" s="854">
        <v>8.2755877080257321</v>
      </c>
      <c r="M270" s="854">
        <v>8.6964676843347455</v>
      </c>
      <c r="N270" s="854">
        <v>7.523305722561787</v>
      </c>
      <c r="O270" s="854">
        <v>6.5853441187967379</v>
      </c>
      <c r="P270" s="854">
        <v>5.7966224725008715</v>
      </c>
      <c r="Q270" s="854">
        <v>5.0505398752761028</v>
      </c>
      <c r="R270" s="854">
        <v>4.3315921176386087</v>
      </c>
      <c r="S270" s="854">
        <v>3.6843414830654417</v>
      </c>
      <c r="T270" s="854">
        <v>3.109176650167421</v>
      </c>
      <c r="U270" s="854">
        <v>2.6102001946710924</v>
      </c>
      <c r="V270" s="854">
        <v>2.2033327732484822</v>
      </c>
      <c r="W270" s="854">
        <v>1.8662233806983097</v>
      </c>
      <c r="X270" s="854">
        <v>1.590111137552457</v>
      </c>
      <c r="Y270" s="854">
        <v>1.3663881157672413</v>
      </c>
      <c r="Z270" s="854">
        <v>1.1906337260747961</v>
      </c>
      <c r="AA270" s="854">
        <v>1.0547351175168489</v>
      </c>
      <c r="AB270" s="854">
        <v>0.94433816135551063</v>
      </c>
      <c r="AC270" s="854">
        <v>0.8532965837066333</v>
      </c>
      <c r="AD270" s="854">
        <v>0.77710508953939983</v>
      </c>
      <c r="AE270" s="854">
        <v>0.71157039607284422</v>
      </c>
      <c r="AF270" s="854">
        <v>0.64702795063653307</v>
      </c>
    </row>
    <row r="271" spans="1:32" s="864" customFormat="1" x14ac:dyDescent="0.25">
      <c r="A271" s="839"/>
      <c r="B271" s="839" t="s">
        <v>27</v>
      </c>
      <c r="C271" s="838"/>
      <c r="D271" s="838"/>
      <c r="E271" s="838"/>
      <c r="F271" s="838"/>
      <c r="G271" s="854"/>
      <c r="H271" s="854">
        <v>10.57309816942379</v>
      </c>
      <c r="I271" s="854">
        <v>10.74885047198438</v>
      </c>
      <c r="J271" s="854">
        <v>12.578480894363668</v>
      </c>
      <c r="K271" s="854">
        <v>12.538698825109583</v>
      </c>
      <c r="L271" s="854">
        <v>13.40103046204354</v>
      </c>
      <c r="M271" s="854">
        <v>14.482326119487109</v>
      </c>
      <c r="N271" s="854">
        <v>12.95692675553906</v>
      </c>
      <c r="O271" s="854">
        <v>11.635445177705652</v>
      </c>
      <c r="P271" s="854">
        <v>10.387579159052923</v>
      </c>
      <c r="Q271" s="854">
        <v>9.2362778610817262</v>
      </c>
      <c r="R271" s="854">
        <v>8.1525438191334842</v>
      </c>
      <c r="S271" s="854">
        <v>7.1396018176669918</v>
      </c>
      <c r="T271" s="854">
        <v>6.2196148076724391</v>
      </c>
      <c r="U271" s="854">
        <v>5.4132937608200731</v>
      </c>
      <c r="V271" s="854">
        <v>4.7299748539627284</v>
      </c>
      <c r="W271" s="854">
        <v>4.1647634578413868</v>
      </c>
      <c r="X271" s="854">
        <v>3.7014716799757066</v>
      </c>
      <c r="Y271" s="854">
        <v>3.3288441220271605</v>
      </c>
      <c r="Z271" s="854">
        <v>3.035848166859707</v>
      </c>
      <c r="AA271" s="854">
        <v>2.8094918791678691</v>
      </c>
      <c r="AB271" s="854">
        <v>2.6373860782843797</v>
      </c>
      <c r="AC271" s="854">
        <v>2.4952065809604416</v>
      </c>
      <c r="AD271" s="854">
        <v>2.3800746302828015</v>
      </c>
      <c r="AE271" s="854">
        <v>2.2860547091950312</v>
      </c>
      <c r="AF271" s="854">
        <v>2.2045611335219739</v>
      </c>
    </row>
    <row r="272" spans="1:32" s="864" customFormat="1" x14ac:dyDescent="0.25">
      <c r="A272" s="839"/>
      <c r="B272" s="839" t="s">
        <v>29</v>
      </c>
      <c r="C272" s="838"/>
      <c r="D272" s="838"/>
      <c r="E272" s="838"/>
      <c r="F272" s="838"/>
      <c r="G272" s="854"/>
      <c r="H272" s="854">
        <v>0.10207664996051932</v>
      </c>
      <c r="I272" s="854">
        <v>0.2587250769936098</v>
      </c>
      <c r="J272" s="854">
        <v>0.42147559652663541</v>
      </c>
      <c r="K272" s="854">
        <v>0.69070881323076505</v>
      </c>
      <c r="L272" s="854">
        <v>1.1023884640463</v>
      </c>
      <c r="M272" s="854">
        <v>1.7289849104329891</v>
      </c>
      <c r="N272" s="854">
        <v>2.4990597055151387</v>
      </c>
      <c r="O272" s="854">
        <v>3.4582317056745171</v>
      </c>
      <c r="P272" s="854">
        <v>4.5496109425636062</v>
      </c>
      <c r="Q272" s="854">
        <v>5.7140527916218105</v>
      </c>
      <c r="R272" s="854">
        <v>6.850545587496855</v>
      </c>
      <c r="S272" s="854">
        <v>7.8993800308088122</v>
      </c>
      <c r="T272" s="854">
        <v>8.7986851014788989</v>
      </c>
      <c r="U272" s="854">
        <v>9.5290127253039998</v>
      </c>
      <c r="V272" s="854">
        <v>10.09193903598549</v>
      </c>
      <c r="W272" s="854">
        <v>10.505045157513463</v>
      </c>
      <c r="X272" s="854">
        <v>10.783533335269013</v>
      </c>
      <c r="Y272" s="854">
        <v>10.965701158344547</v>
      </c>
      <c r="Z272" s="854">
        <v>11.090044381663274</v>
      </c>
      <c r="AA272" s="854">
        <v>11.184324480296931</v>
      </c>
      <c r="AB272" s="854">
        <v>11.285746961986987</v>
      </c>
      <c r="AC272" s="854">
        <v>11.339822855303559</v>
      </c>
      <c r="AD272" s="854">
        <v>11.378311264348461</v>
      </c>
      <c r="AE272" s="854">
        <v>11.412794587626941</v>
      </c>
      <c r="AF272" s="854">
        <v>11.456972479491473</v>
      </c>
    </row>
    <row r="273" spans="1:32" s="864" customFormat="1" x14ac:dyDescent="0.25">
      <c r="A273" s="839"/>
      <c r="B273" s="839"/>
      <c r="C273" s="838"/>
      <c r="D273" s="838"/>
      <c r="E273" s="838"/>
      <c r="F273" s="838"/>
      <c r="G273" s="854"/>
      <c r="H273" s="838"/>
      <c r="I273" s="838"/>
      <c r="J273" s="838"/>
      <c r="K273" s="838"/>
      <c r="L273" s="838"/>
      <c r="M273" s="838"/>
      <c r="N273" s="838"/>
      <c r="O273" s="838"/>
      <c r="P273" s="838"/>
      <c r="Q273" s="838"/>
      <c r="R273" s="838"/>
      <c r="S273" s="838"/>
      <c r="T273" s="838"/>
      <c r="U273" s="838"/>
      <c r="V273" s="838"/>
      <c r="W273" s="838"/>
      <c r="X273" s="838"/>
      <c r="Y273" s="838"/>
      <c r="Z273" s="838"/>
      <c r="AA273" s="838"/>
      <c r="AB273" s="838"/>
      <c r="AC273" s="838"/>
      <c r="AD273" s="838"/>
      <c r="AE273" s="838"/>
      <c r="AF273" s="838"/>
    </row>
    <row r="274" spans="1:32" s="856" customFormat="1" ht="12.75" x14ac:dyDescent="0.2">
      <c r="A274" s="843" t="s">
        <v>32</v>
      </c>
      <c r="B274" s="843"/>
      <c r="C274" s="843"/>
      <c r="D274" s="843"/>
      <c r="E274" s="843"/>
      <c r="F274" s="843"/>
      <c r="G274" s="865"/>
      <c r="H274" s="843"/>
      <c r="I274" s="843"/>
      <c r="J274" s="843"/>
      <c r="K274" s="843"/>
      <c r="L274" s="843"/>
      <c r="M274" s="843"/>
      <c r="N274" s="843"/>
      <c r="O274" s="843"/>
      <c r="P274" s="843"/>
      <c r="Q274" s="843"/>
      <c r="R274" s="843"/>
      <c r="S274" s="843"/>
      <c r="T274" s="843"/>
      <c r="U274" s="843"/>
      <c r="V274" s="843"/>
      <c r="W274" s="843"/>
      <c r="X274" s="843"/>
      <c r="Y274" s="843"/>
      <c r="Z274" s="843"/>
      <c r="AA274" s="843"/>
      <c r="AB274" s="843"/>
      <c r="AC274" s="843"/>
      <c r="AD274" s="843"/>
      <c r="AE274" s="843"/>
      <c r="AF274" s="843"/>
    </row>
    <row r="275" spans="1:32" s="864" customFormat="1" x14ac:dyDescent="0.25">
      <c r="A275" s="839"/>
      <c r="B275" s="839" t="s">
        <v>33</v>
      </c>
      <c r="C275" s="838"/>
      <c r="D275" s="838"/>
      <c r="E275" s="838"/>
      <c r="F275" s="838"/>
      <c r="G275" s="854"/>
      <c r="H275" s="854">
        <v>1.7371073873169274</v>
      </c>
      <c r="I275" s="854">
        <v>1.8727349381672247</v>
      </c>
      <c r="J275" s="854">
        <v>1.9734855791187704</v>
      </c>
      <c r="K275" s="854">
        <v>2.00589651536766</v>
      </c>
      <c r="L275" s="854">
        <v>1.8682783434233339</v>
      </c>
      <c r="M275" s="854">
        <v>1.6670794673506351</v>
      </c>
      <c r="N275" s="854">
        <v>1.4570328115649853</v>
      </c>
      <c r="O275" s="854">
        <v>1.2455519640608865</v>
      </c>
      <c r="P275" s="854">
        <v>1.0476698473483985</v>
      </c>
      <c r="Q275" s="854">
        <v>0.86008022496403014</v>
      </c>
      <c r="R275" s="854">
        <v>0.68979426662237098</v>
      </c>
      <c r="S275" s="854">
        <v>0.54732419635372698</v>
      </c>
      <c r="T275" s="854">
        <v>0.43083304568931491</v>
      </c>
      <c r="U275" s="854">
        <v>0.33805750164003168</v>
      </c>
      <c r="V275" s="854">
        <v>0.26804304398721207</v>
      </c>
      <c r="W275" s="854">
        <v>0.21438937133425276</v>
      </c>
      <c r="X275" s="854">
        <v>0.17371596853296656</v>
      </c>
      <c r="Y275" s="854">
        <v>0.1428766041577032</v>
      </c>
      <c r="Z275" s="854">
        <v>0.11999980154259376</v>
      </c>
      <c r="AA275" s="854">
        <v>0.10314030491618688</v>
      </c>
      <c r="AB275" s="854">
        <v>8.9937810600796697E-2</v>
      </c>
      <c r="AC275" s="854">
        <v>7.9297963905422458E-2</v>
      </c>
      <c r="AD275" s="854">
        <v>7.0649395982150073E-2</v>
      </c>
      <c r="AE275" s="854">
        <v>6.3273027338611482E-2</v>
      </c>
      <c r="AF275" s="854">
        <v>5.6031675617730134E-2</v>
      </c>
    </row>
    <row r="276" spans="1:32" s="864" customFormat="1" x14ac:dyDescent="0.25">
      <c r="A276" s="842"/>
      <c r="B276" s="842" t="s">
        <v>34</v>
      </c>
      <c r="C276" s="838"/>
      <c r="D276" s="838"/>
      <c r="E276" s="838"/>
      <c r="F276" s="838"/>
      <c r="G276" s="854"/>
      <c r="H276" s="854">
        <v>3.4459036271108383</v>
      </c>
      <c r="I276" s="854">
        <v>3.2890695906291536</v>
      </c>
      <c r="J276" s="854">
        <v>3.0770377534609938</v>
      </c>
      <c r="K276" s="854">
        <v>2.8083182344196231</v>
      </c>
      <c r="L276" s="854">
        <v>2.6821087926681999</v>
      </c>
      <c r="M276" s="854">
        <v>2.5132753974140676</v>
      </c>
      <c r="N276" s="854">
        <v>2.2928914795280266</v>
      </c>
      <c r="O276" s="854">
        <v>2.0438247633495163</v>
      </c>
      <c r="P276" s="854">
        <v>1.7846875008241936</v>
      </c>
      <c r="Q276" s="854">
        <v>1.5321702418508329</v>
      </c>
      <c r="R276" s="854">
        <v>1.295799781044769</v>
      </c>
      <c r="S276" s="854">
        <v>1.087251297872974</v>
      </c>
      <c r="T276" s="854">
        <v>0.90842179267888556</v>
      </c>
      <c r="U276" s="854">
        <v>0.7600267857903753</v>
      </c>
      <c r="V276" s="854">
        <v>0.64236180250196773</v>
      </c>
      <c r="W276" s="854">
        <v>0.54931201267501173</v>
      </c>
      <c r="X276" s="854">
        <v>0.47660054609536706</v>
      </c>
      <c r="Y276" s="854">
        <v>0.42019144866046421</v>
      </c>
      <c r="Z276" s="854">
        <v>0.37767847391392662</v>
      </c>
      <c r="AA276" s="854">
        <v>0.3462725063034171</v>
      </c>
      <c r="AB276" s="854">
        <v>0.32250119807949912</v>
      </c>
      <c r="AC276" s="854">
        <v>0.30290697905999497</v>
      </c>
      <c r="AD276" s="854">
        <v>0.28719269391573415</v>
      </c>
      <c r="AE276" s="854">
        <v>0.27391906787525561</v>
      </c>
      <c r="AF276" s="854">
        <v>0.26066524878973973</v>
      </c>
    </row>
    <row r="277" spans="1:32" s="864" customFormat="1" x14ac:dyDescent="0.25">
      <c r="A277" s="839"/>
      <c r="B277" s="842" t="s">
        <v>35</v>
      </c>
      <c r="C277" s="838"/>
      <c r="D277" s="838"/>
      <c r="E277" s="838"/>
      <c r="F277" s="838"/>
      <c r="G277" s="854"/>
      <c r="H277" s="854">
        <v>0.4996446136434407</v>
      </c>
      <c r="I277" s="854">
        <v>0.51258260507292297</v>
      </c>
      <c r="J277" s="854">
        <v>0.53751694804296168</v>
      </c>
      <c r="K277" s="854">
        <v>0.56613132819208578</v>
      </c>
      <c r="L277" s="854">
        <v>0.54670772578706539</v>
      </c>
      <c r="M277" s="854">
        <v>0.52755187684260707</v>
      </c>
      <c r="N277" s="854">
        <v>0.4924463689835607</v>
      </c>
      <c r="O277" s="854">
        <v>0.4482126885006914</v>
      </c>
      <c r="P277" s="854">
        <v>0.39782666106639741</v>
      </c>
      <c r="Q277" s="854">
        <v>0.34885761183063224</v>
      </c>
      <c r="R277" s="854">
        <v>0.30302514601869707</v>
      </c>
      <c r="S277" s="854">
        <v>0.26136396214034519</v>
      </c>
      <c r="T277" s="854">
        <v>0.22481897847157531</v>
      </c>
      <c r="U277" s="854">
        <v>0.19403070551503038</v>
      </c>
      <c r="V277" s="854">
        <v>0.16887881003666477</v>
      </c>
      <c r="W277" s="854">
        <v>0.14887223750110373</v>
      </c>
      <c r="X277" s="854">
        <v>0.13317293279985232</v>
      </c>
      <c r="Y277" s="854">
        <v>0.1210661750498976</v>
      </c>
      <c r="Z277" s="854">
        <v>0.11201592412762391</v>
      </c>
      <c r="AA277" s="854">
        <v>0.10544875494143174</v>
      </c>
      <c r="AB277" s="854">
        <v>0.10091416984334792</v>
      </c>
      <c r="AC277" s="854">
        <v>9.7236788243928687E-2</v>
      </c>
      <c r="AD277" s="854">
        <v>9.451992085147401E-2</v>
      </c>
      <c r="AE277" s="854">
        <v>9.247010106803441E-2</v>
      </c>
      <c r="AF277" s="854">
        <v>9.0794792883529457E-2</v>
      </c>
    </row>
    <row r="278" spans="1:32" s="864" customFormat="1" x14ac:dyDescent="0.25">
      <c r="A278" s="839"/>
      <c r="B278" s="842" t="s">
        <v>29</v>
      </c>
      <c r="C278" s="838"/>
      <c r="D278" s="838"/>
      <c r="E278" s="838"/>
      <c r="F278" s="838"/>
      <c r="G278" s="854"/>
      <c r="H278" s="854">
        <v>3.5379028390109507E-2</v>
      </c>
      <c r="I278" s="854">
        <v>0.11358675305953964</v>
      </c>
      <c r="J278" s="854">
        <v>0.27471156889010451</v>
      </c>
      <c r="K278" s="854">
        <v>0.52278805544442652</v>
      </c>
      <c r="L278" s="854">
        <v>0.81720777230803665</v>
      </c>
      <c r="M278" s="854">
        <v>1.1634556546181569</v>
      </c>
      <c r="N278" s="854">
        <v>1.5231242783286074</v>
      </c>
      <c r="O278" s="854">
        <v>1.8702791787819688</v>
      </c>
      <c r="P278" s="854">
        <v>2.1765608299758163</v>
      </c>
      <c r="Q278" s="854">
        <v>2.4318307247623849</v>
      </c>
      <c r="R278" s="854">
        <v>2.6243013859770832</v>
      </c>
      <c r="S278" s="854">
        <v>2.7562828711019032</v>
      </c>
      <c r="T278" s="854">
        <v>2.8318914850635051</v>
      </c>
      <c r="U278" s="854">
        <v>2.861795051268281</v>
      </c>
      <c r="V278" s="854">
        <v>2.8579888398139861</v>
      </c>
      <c r="W278" s="854">
        <v>2.8312338147639737</v>
      </c>
      <c r="X278" s="854">
        <v>2.7899189470635983</v>
      </c>
      <c r="Y278" s="854">
        <v>2.7431574639443443</v>
      </c>
      <c r="Z278" s="854">
        <v>2.6993525715533391</v>
      </c>
      <c r="AA278" s="854">
        <v>2.663280296769118</v>
      </c>
      <c r="AB278" s="854">
        <v>2.6413701197174264</v>
      </c>
      <c r="AC278" s="854">
        <v>2.6181497347012468</v>
      </c>
      <c r="AD278" s="854">
        <v>2.6021017955227137</v>
      </c>
      <c r="AE278" s="854">
        <v>2.5912691914954662</v>
      </c>
      <c r="AF278" s="854">
        <v>2.5885860746639526</v>
      </c>
    </row>
    <row r="279" spans="1:32" s="864" customFormat="1" x14ac:dyDescent="0.25">
      <c r="A279" s="839"/>
      <c r="B279" s="839"/>
      <c r="C279" s="838"/>
      <c r="D279" s="838"/>
      <c r="E279" s="838"/>
      <c r="F279" s="838"/>
      <c r="G279" s="854"/>
      <c r="H279" s="838"/>
      <c r="I279" s="838"/>
      <c r="J279" s="838"/>
      <c r="K279" s="838"/>
      <c r="L279" s="838"/>
      <c r="M279" s="838"/>
      <c r="N279" s="838"/>
      <c r="O279" s="838"/>
      <c r="P279" s="838"/>
      <c r="Q279" s="838"/>
      <c r="R279" s="838"/>
      <c r="S279" s="838"/>
      <c r="T279" s="838"/>
      <c r="U279" s="838"/>
      <c r="V279" s="838"/>
      <c r="W279" s="838"/>
      <c r="X279" s="838"/>
      <c r="Y279" s="838"/>
      <c r="Z279" s="838"/>
      <c r="AA279" s="838"/>
      <c r="AB279" s="838"/>
      <c r="AC279" s="838"/>
      <c r="AD279" s="838"/>
      <c r="AE279" s="838"/>
      <c r="AF279" s="838"/>
    </row>
    <row r="280" spans="1:32" s="856" customFormat="1" ht="12.75" x14ac:dyDescent="0.2">
      <c r="A280" s="843" t="s">
        <v>36</v>
      </c>
      <c r="B280" s="843"/>
      <c r="C280" s="843"/>
      <c r="D280" s="843"/>
      <c r="E280" s="843"/>
      <c r="F280" s="843"/>
      <c r="G280" s="865"/>
      <c r="H280" s="843"/>
      <c r="I280" s="843"/>
      <c r="J280" s="843"/>
      <c r="K280" s="843"/>
      <c r="L280" s="843"/>
      <c r="M280" s="843"/>
      <c r="N280" s="843"/>
      <c r="O280" s="843"/>
      <c r="P280" s="843"/>
      <c r="Q280" s="843"/>
      <c r="R280" s="843"/>
      <c r="S280" s="843"/>
      <c r="T280" s="843"/>
      <c r="U280" s="843"/>
      <c r="V280" s="843"/>
      <c r="W280" s="843"/>
      <c r="X280" s="843"/>
      <c r="Y280" s="843"/>
      <c r="Z280" s="843"/>
      <c r="AA280" s="843"/>
      <c r="AB280" s="843"/>
      <c r="AC280" s="843"/>
      <c r="AD280" s="843"/>
      <c r="AE280" s="843"/>
      <c r="AF280" s="843"/>
    </row>
    <row r="281" spans="1:32" s="864" customFormat="1" x14ac:dyDescent="0.25">
      <c r="A281" s="839"/>
      <c r="B281" s="839" t="s">
        <v>37</v>
      </c>
      <c r="C281" s="838"/>
      <c r="D281" s="838"/>
      <c r="E281" s="838"/>
      <c r="F281" s="855"/>
      <c r="G281" s="854"/>
      <c r="H281" s="854">
        <v>0.7033570832402597</v>
      </c>
      <c r="I281" s="854">
        <v>0.55449506724942121</v>
      </c>
      <c r="J281" s="854">
        <v>0.41644421995272873</v>
      </c>
      <c r="K281" s="854">
        <v>0.29084797141530783</v>
      </c>
      <c r="L281" s="854">
        <v>0.25872825894061857</v>
      </c>
      <c r="M281" s="854">
        <v>0.22998320625871363</v>
      </c>
      <c r="N281" s="854">
        <v>0.20670100615091375</v>
      </c>
      <c r="O281" s="854">
        <v>0.19044244854538298</v>
      </c>
      <c r="P281" s="854">
        <v>0.17554632806002021</v>
      </c>
      <c r="Q281" s="854">
        <v>0.16187369083530215</v>
      </c>
      <c r="R281" s="854">
        <v>0.14931251009386656</v>
      </c>
      <c r="S281" s="854">
        <v>0.13777490677894222</v>
      </c>
      <c r="T281" s="854">
        <v>0.12716534336111002</v>
      </c>
      <c r="U281" s="854">
        <v>0.11740319993143876</v>
      </c>
      <c r="V281" s="854">
        <v>0.10842103147541424</v>
      </c>
      <c r="W281" s="854">
        <v>0.10014799048117312</v>
      </c>
      <c r="X281" s="854">
        <v>9.2525485754277784E-2</v>
      </c>
      <c r="Y281" s="854">
        <v>8.5500052291948056E-2</v>
      </c>
      <c r="Z281" s="854">
        <v>7.9025037407530058E-2</v>
      </c>
      <c r="AA281" s="854">
        <v>7.3056158539438934E-2</v>
      </c>
      <c r="AB281" s="854">
        <v>6.7550476883461261E-2</v>
      </c>
      <c r="AC281" s="854">
        <v>6.2469085932127945E-2</v>
      </c>
      <c r="AD281" s="854">
        <v>5.7779159157274058E-2</v>
      </c>
      <c r="AE281" s="854">
        <v>5.3448999907485424E-2</v>
      </c>
      <c r="AF281" s="854">
        <v>4.9447295606215171E-2</v>
      </c>
    </row>
    <row r="282" spans="1:32" s="864" customFormat="1" x14ac:dyDescent="0.25">
      <c r="A282" s="839"/>
      <c r="B282" s="839" t="s">
        <v>39</v>
      </c>
      <c r="C282" s="838"/>
      <c r="D282" s="838"/>
      <c r="E282" s="857"/>
      <c r="F282" s="838"/>
      <c r="G282" s="854"/>
      <c r="H282" s="854">
        <v>1.5790483736959349</v>
      </c>
      <c r="I282" s="854">
        <v>1.625623556887122</v>
      </c>
      <c r="J282" s="854">
        <v>1.6355507944277448</v>
      </c>
      <c r="K282" s="854">
        <v>1.5969583054620915</v>
      </c>
      <c r="L282" s="854">
        <v>1.5015565900799124</v>
      </c>
      <c r="M282" s="854">
        <v>1.3928055324294086</v>
      </c>
      <c r="N282" s="854">
        <v>1.2820165797655394</v>
      </c>
      <c r="O282" s="854">
        <v>1.1750118030166847</v>
      </c>
      <c r="P282" s="854">
        <v>1.079600030239912</v>
      </c>
      <c r="Q282" s="854">
        <v>0.99328588365449733</v>
      </c>
      <c r="R282" s="854">
        <v>0.91528387180346504</v>
      </c>
      <c r="S282" s="854">
        <v>0.84911931368461024</v>
      </c>
      <c r="T282" s="854">
        <v>0.7909826799513473</v>
      </c>
      <c r="U282" s="854">
        <v>0.7396404765888781</v>
      </c>
      <c r="V282" s="854">
        <v>0.69603714960716556</v>
      </c>
      <c r="W282" s="854">
        <v>0.65699176750486166</v>
      </c>
      <c r="X282" s="854">
        <v>0.62191555306073687</v>
      </c>
      <c r="Y282" s="854">
        <v>0.59033013018110392</v>
      </c>
      <c r="Z282" s="854">
        <v>0.56279476809815643</v>
      </c>
      <c r="AA282" s="854">
        <v>0.53907257143730325</v>
      </c>
      <c r="AB282" s="854">
        <v>0.5179841255709039</v>
      </c>
      <c r="AC282" s="854">
        <v>0.4978599450821326</v>
      </c>
      <c r="AD282" s="854">
        <v>0.47927738260582864</v>
      </c>
      <c r="AE282" s="854">
        <v>0.46177824173961057</v>
      </c>
      <c r="AF282" s="854">
        <v>0.44387765401708656</v>
      </c>
    </row>
    <row r="283" spans="1:32" s="864" customFormat="1" x14ac:dyDescent="0.25">
      <c r="A283" s="839"/>
      <c r="B283" s="839" t="s">
        <v>40</v>
      </c>
      <c r="C283" s="838"/>
      <c r="D283" s="838"/>
      <c r="E283" s="838"/>
      <c r="F283" s="838"/>
      <c r="G283" s="854"/>
      <c r="H283" s="854">
        <v>0.51206539385184369</v>
      </c>
      <c r="I283" s="854">
        <v>0.68840694085190324</v>
      </c>
      <c r="J283" s="854">
        <v>0.88008876047570839</v>
      </c>
      <c r="K283" s="854">
        <v>1.0716583888533675</v>
      </c>
      <c r="L283" s="854">
        <v>1.2162970450347081</v>
      </c>
      <c r="M283" s="854">
        <v>1.3406630026754613</v>
      </c>
      <c r="N283" s="854">
        <v>1.4285099443876697</v>
      </c>
      <c r="O283" s="854">
        <v>1.4847211762203718</v>
      </c>
      <c r="P283" s="854">
        <v>1.5126212358496172</v>
      </c>
      <c r="Q283" s="854">
        <v>1.5157629173850682</v>
      </c>
      <c r="R283" s="854">
        <v>1.497972563359834</v>
      </c>
      <c r="S283" s="854">
        <v>1.469099401374212</v>
      </c>
      <c r="T283" s="854">
        <v>1.4302635204334422</v>
      </c>
      <c r="U283" s="854">
        <v>1.385841245702405</v>
      </c>
      <c r="V283" s="854">
        <v>1.3415427004994032</v>
      </c>
      <c r="W283" s="854">
        <v>1.296844305949203</v>
      </c>
      <c r="X283" s="854">
        <v>1.2532566949756949</v>
      </c>
      <c r="Y283" s="854">
        <v>1.2120155723765555</v>
      </c>
      <c r="Z283" s="854">
        <v>1.1753100168530897</v>
      </c>
      <c r="AA283" s="854">
        <v>1.143592642882584</v>
      </c>
      <c r="AB283" s="854">
        <v>1.1162473072976211</v>
      </c>
      <c r="AC283" s="854">
        <v>1.0890164899907924</v>
      </c>
      <c r="AD283" s="854">
        <v>1.0638523641091715</v>
      </c>
      <c r="AE283" s="854">
        <v>1.0401831566204358</v>
      </c>
      <c r="AF283" s="854">
        <v>1.0151562901428859</v>
      </c>
    </row>
    <row r="284" spans="1:32" s="864" customFormat="1" x14ac:dyDescent="0.25">
      <c r="A284" s="839"/>
      <c r="B284" s="839" t="s">
        <v>29</v>
      </c>
      <c r="C284" s="838"/>
      <c r="D284" s="838"/>
      <c r="E284" s="838"/>
      <c r="F284" s="838"/>
      <c r="G284" s="854"/>
      <c r="H284" s="854">
        <v>6.3685339506535404E-5</v>
      </c>
      <c r="I284" s="854">
        <v>1.5330346129712978E-3</v>
      </c>
      <c r="J284" s="854">
        <v>9.9035023822937156E-3</v>
      </c>
      <c r="K284" s="854">
        <v>3.3692788071955741E-2</v>
      </c>
      <c r="L284" s="854">
        <v>7.9780360882584306E-2</v>
      </c>
      <c r="M284" s="854">
        <v>0.15200967741251048</v>
      </c>
      <c r="N284" s="854">
        <v>0.24702415555213181</v>
      </c>
      <c r="O284" s="854">
        <v>0.361104290903352</v>
      </c>
      <c r="P284" s="854">
        <v>0.48852870718565411</v>
      </c>
      <c r="Q284" s="854">
        <v>0.62586389195354775</v>
      </c>
      <c r="R284" s="854">
        <v>0.76390607753060613</v>
      </c>
      <c r="S284" s="854">
        <v>0.90439790832505795</v>
      </c>
      <c r="T284" s="854">
        <v>1.0411150473640145</v>
      </c>
      <c r="U284" s="854">
        <v>1.1712548482788714</v>
      </c>
      <c r="V284" s="854">
        <v>1.2935810965240404</v>
      </c>
      <c r="W284" s="854">
        <v>1.4044588361706518</v>
      </c>
      <c r="X284" s="854">
        <v>1.5026619380870208</v>
      </c>
      <c r="Y284" s="854">
        <v>1.5896008467177589</v>
      </c>
      <c r="Z284" s="854">
        <v>1.6692665503376343</v>
      </c>
      <c r="AA284" s="854">
        <v>1.7439231228595011</v>
      </c>
      <c r="AB284" s="854">
        <v>1.8189193974812787</v>
      </c>
      <c r="AC284" s="854">
        <v>1.8801004370904022</v>
      </c>
      <c r="AD284" s="854">
        <v>1.9363039387322138</v>
      </c>
      <c r="AE284" s="854">
        <v>1.9886852375163562</v>
      </c>
      <c r="AF284" s="854">
        <v>2.0406465028356138</v>
      </c>
    </row>
    <row r="285" spans="1:32" s="864" customFormat="1" x14ac:dyDescent="0.25">
      <c r="A285" s="839"/>
      <c r="B285" s="839"/>
      <c r="C285" s="838"/>
      <c r="D285" s="838"/>
      <c r="E285" s="838"/>
      <c r="F285" s="838"/>
      <c r="G285" s="854"/>
      <c r="H285" s="838"/>
      <c r="I285" s="838"/>
      <c r="J285" s="838"/>
      <c r="K285" s="838"/>
      <c r="L285" s="838"/>
      <c r="M285" s="838"/>
      <c r="N285" s="838"/>
      <c r="O285" s="838"/>
      <c r="P285" s="838"/>
      <c r="Q285" s="838"/>
      <c r="R285" s="838"/>
      <c r="S285" s="838"/>
      <c r="T285" s="838"/>
      <c r="U285" s="838"/>
      <c r="V285" s="838"/>
      <c r="W285" s="838"/>
      <c r="X285" s="838"/>
      <c r="Y285" s="838"/>
      <c r="Z285" s="838"/>
      <c r="AA285" s="838"/>
      <c r="AB285" s="838"/>
      <c r="AC285" s="838"/>
      <c r="AD285" s="838"/>
      <c r="AE285" s="838"/>
      <c r="AF285" s="838"/>
    </row>
    <row r="286" spans="1:32" s="856" customFormat="1" ht="12.75" x14ac:dyDescent="0.2">
      <c r="A286" s="843" t="s">
        <v>42</v>
      </c>
      <c r="B286" s="843"/>
      <c r="C286" s="843"/>
      <c r="D286" s="843"/>
      <c r="E286" s="843"/>
      <c r="F286" s="843"/>
      <c r="G286" s="865"/>
      <c r="H286" s="843"/>
      <c r="I286" s="843"/>
      <c r="J286" s="843"/>
      <c r="K286" s="843"/>
      <c r="L286" s="843"/>
      <c r="M286" s="843"/>
      <c r="N286" s="843"/>
      <c r="O286" s="843"/>
      <c r="P286" s="843"/>
      <c r="Q286" s="843"/>
      <c r="R286" s="843"/>
      <c r="S286" s="843"/>
      <c r="T286" s="843"/>
      <c r="U286" s="843"/>
      <c r="V286" s="843"/>
      <c r="W286" s="843"/>
      <c r="X286" s="843"/>
      <c r="Y286" s="843"/>
      <c r="Z286" s="843"/>
      <c r="AA286" s="843"/>
      <c r="AB286" s="843"/>
      <c r="AC286" s="843"/>
      <c r="AD286" s="843"/>
      <c r="AE286" s="843"/>
      <c r="AF286" s="843"/>
    </row>
    <row r="287" spans="1:32" s="864" customFormat="1" x14ac:dyDescent="0.25">
      <c r="A287" s="839"/>
      <c r="B287" s="842" t="s">
        <v>43</v>
      </c>
      <c r="C287" s="838"/>
      <c r="D287" s="838"/>
      <c r="E287" s="838"/>
      <c r="F287" s="838"/>
      <c r="G287" s="854"/>
      <c r="H287" s="854">
        <v>1.3939869610122388E-3</v>
      </c>
      <c r="I287" s="854">
        <v>1.3339515773753085E-3</v>
      </c>
      <c r="J287" s="854">
        <v>1.2749380139007534E-3</v>
      </c>
      <c r="K287" s="854">
        <v>1.215001221520537E-3</v>
      </c>
      <c r="L287" s="854">
        <v>1.1584087444354168E-3</v>
      </c>
      <c r="M287" s="854">
        <v>1.1035768863676171E-3</v>
      </c>
      <c r="N287" s="854">
        <v>1.0504180705275827E-3</v>
      </c>
      <c r="O287" s="854">
        <v>1.0001364182949909E-3</v>
      </c>
      <c r="P287" s="854">
        <v>9.5294382576148126E-4</v>
      </c>
      <c r="Q287" s="854">
        <v>9.0874925266503617E-4</v>
      </c>
      <c r="R287" s="854">
        <v>8.6717116623294583E-4</v>
      </c>
      <c r="S287" s="854">
        <v>8.2941002107579176E-4</v>
      </c>
      <c r="T287" s="854">
        <v>7.9464553789575362E-4</v>
      </c>
      <c r="U287" s="854">
        <v>7.6271320198356869E-4</v>
      </c>
      <c r="V287" s="854">
        <v>7.3375893190983732E-4</v>
      </c>
      <c r="W287" s="854">
        <v>7.0698727988175976E-4</v>
      </c>
      <c r="X287" s="854">
        <v>6.8211539372642739E-4</v>
      </c>
      <c r="Y287" s="854">
        <v>6.5903195630382012E-4</v>
      </c>
      <c r="Z287" s="854">
        <v>6.3795626650564206E-4</v>
      </c>
      <c r="AA287" s="854">
        <v>6.1885408246752983E-4</v>
      </c>
      <c r="AB287" s="854">
        <v>6.0177076622952629E-4</v>
      </c>
      <c r="AC287" s="854">
        <v>5.8528592286977545E-4</v>
      </c>
      <c r="AD287" s="854">
        <v>5.6998110438508131E-4</v>
      </c>
      <c r="AE287" s="854">
        <v>5.5574775032277721E-4</v>
      </c>
      <c r="AF287" s="854">
        <v>5.4246408781042071E-4</v>
      </c>
    </row>
    <row r="288" spans="1:32" s="864" customFormat="1" x14ac:dyDescent="0.25">
      <c r="A288" s="839"/>
      <c r="B288" s="842" t="s">
        <v>44</v>
      </c>
      <c r="C288" s="838"/>
      <c r="D288" s="838"/>
      <c r="E288" s="838"/>
      <c r="F288" s="838"/>
      <c r="G288" s="854"/>
      <c r="H288" s="854">
        <v>2.4746637072202621E-2</v>
      </c>
      <c r="I288" s="854">
        <v>2.5741951097433827E-2</v>
      </c>
      <c r="J288" s="854">
        <v>2.6414427676084363E-2</v>
      </c>
      <c r="K288" s="854">
        <v>2.6607373805219155E-2</v>
      </c>
      <c r="L288" s="854">
        <v>2.6736953851445595E-2</v>
      </c>
      <c r="M288" s="854">
        <v>2.6688191916398894E-2</v>
      </c>
      <c r="N288" s="854">
        <v>2.6466794099102898E-2</v>
      </c>
      <c r="O288" s="854">
        <v>2.6208683256383217E-2</v>
      </c>
      <c r="P288" s="854">
        <v>2.5953482658265498E-2</v>
      </c>
      <c r="Q288" s="854">
        <v>2.571485413425122E-2</v>
      </c>
      <c r="R288" s="854">
        <v>2.5474925673020021E-2</v>
      </c>
      <c r="S288" s="854">
        <v>2.5362066087874835E-2</v>
      </c>
      <c r="T288" s="854">
        <v>2.5315111031765411E-2</v>
      </c>
      <c r="U288" s="854">
        <v>2.5333275317036177E-2</v>
      </c>
      <c r="V288" s="854">
        <v>2.5442829575774501E-2</v>
      </c>
      <c r="W288" s="854">
        <v>2.5582129153859788E-2</v>
      </c>
      <c r="X288" s="854">
        <v>2.5735738794293941E-2</v>
      </c>
      <c r="Y288" s="854">
        <v>2.5903841135365611E-2</v>
      </c>
      <c r="Z288" s="854">
        <v>2.6116667030380143E-2</v>
      </c>
      <c r="AA288" s="854">
        <v>2.6380090992470552E-2</v>
      </c>
      <c r="AB288" s="854">
        <v>2.6674710731121085E-2</v>
      </c>
      <c r="AC288" s="854">
        <v>2.6939682548330995E-2</v>
      </c>
      <c r="AD288" s="854">
        <v>2.717066060976097E-2</v>
      </c>
      <c r="AE288" s="854">
        <v>2.739822421447051E-2</v>
      </c>
      <c r="AF288" s="854">
        <v>2.7619331738296986E-2</v>
      </c>
    </row>
    <row r="289" spans="1:32" s="864" customFormat="1" x14ac:dyDescent="0.25">
      <c r="A289" s="839"/>
      <c r="B289" s="842" t="s">
        <v>45</v>
      </c>
      <c r="C289" s="838"/>
      <c r="D289" s="838"/>
      <c r="E289" s="838"/>
      <c r="F289" s="838"/>
      <c r="G289" s="854"/>
      <c r="H289" s="854">
        <v>8.7365374705967152E-3</v>
      </c>
      <c r="I289" s="854">
        <v>8.2023712112596365E-3</v>
      </c>
      <c r="J289" s="854">
        <v>7.7009138212096543E-3</v>
      </c>
      <c r="K289" s="854">
        <v>7.2290252488086846E-3</v>
      </c>
      <c r="L289" s="854">
        <v>6.7869898738593124E-3</v>
      </c>
      <c r="M289" s="854">
        <v>6.3721902798983274E-3</v>
      </c>
      <c r="N289" s="854">
        <v>5.9828056352937784E-3</v>
      </c>
      <c r="O289" s="854">
        <v>5.6179044919696689E-3</v>
      </c>
      <c r="P289" s="854">
        <v>5.276101838795481E-3</v>
      </c>
      <c r="Q289" s="854">
        <v>4.9559766265099567E-3</v>
      </c>
      <c r="R289" s="854">
        <v>4.6560220152829452E-3</v>
      </c>
      <c r="S289" s="854">
        <v>4.3756587968858934E-3</v>
      </c>
      <c r="T289" s="854">
        <v>4.1133057460265255E-3</v>
      </c>
      <c r="U289" s="854">
        <v>3.8678147184424889E-3</v>
      </c>
      <c r="V289" s="854">
        <v>3.6382662250623145E-3</v>
      </c>
      <c r="W289" s="854">
        <v>3.4233119592160322E-3</v>
      </c>
      <c r="X289" s="854">
        <v>3.2219370043933457E-3</v>
      </c>
      <c r="Y289" s="854">
        <v>3.0332782543584366E-3</v>
      </c>
      <c r="Z289" s="854">
        <v>2.8566994677203107E-3</v>
      </c>
      <c r="AA289" s="854">
        <v>2.6914763907812927E-3</v>
      </c>
      <c r="AB289" s="854">
        <v>2.5369829022142717E-3</v>
      </c>
      <c r="AC289" s="854">
        <v>2.3918292314633891E-3</v>
      </c>
      <c r="AD289" s="854">
        <v>2.2557643869138572E-3</v>
      </c>
      <c r="AE289" s="854">
        <v>2.1281966773946531E-3</v>
      </c>
      <c r="AF289" s="854">
        <v>2.0085735286107867E-3</v>
      </c>
    </row>
    <row r="290" spans="1:32" s="864" customFormat="1" x14ac:dyDescent="0.25">
      <c r="A290" s="839"/>
      <c r="B290" s="842" t="s">
        <v>46</v>
      </c>
      <c r="C290" s="838"/>
      <c r="D290" s="838"/>
      <c r="E290" s="838"/>
      <c r="F290" s="838"/>
      <c r="G290" s="854"/>
      <c r="H290" s="854">
        <v>0</v>
      </c>
      <c r="I290" s="854">
        <v>0</v>
      </c>
      <c r="J290" s="854">
        <v>0</v>
      </c>
      <c r="K290" s="854">
        <v>0</v>
      </c>
      <c r="L290" s="854">
        <v>0</v>
      </c>
      <c r="M290" s="854">
        <v>0</v>
      </c>
      <c r="N290" s="854">
        <v>0</v>
      </c>
      <c r="O290" s="854">
        <v>0</v>
      </c>
      <c r="P290" s="854">
        <v>0</v>
      </c>
      <c r="Q290" s="854">
        <v>0</v>
      </c>
      <c r="R290" s="854">
        <v>0</v>
      </c>
      <c r="S290" s="854">
        <v>0</v>
      </c>
      <c r="T290" s="854">
        <v>0</v>
      </c>
      <c r="U290" s="854">
        <v>0</v>
      </c>
      <c r="V290" s="854">
        <v>0</v>
      </c>
      <c r="W290" s="854">
        <v>0</v>
      </c>
      <c r="X290" s="854">
        <v>0</v>
      </c>
      <c r="Y290" s="854">
        <v>0</v>
      </c>
      <c r="Z290" s="854">
        <v>0</v>
      </c>
      <c r="AA290" s="854">
        <v>0</v>
      </c>
      <c r="AB290" s="854">
        <v>0</v>
      </c>
      <c r="AC290" s="854">
        <v>0</v>
      </c>
      <c r="AD290" s="854">
        <v>0</v>
      </c>
      <c r="AE290" s="854">
        <v>0</v>
      </c>
      <c r="AF290" s="854">
        <v>0</v>
      </c>
    </row>
    <row r="291" spans="1:32" s="864" customFormat="1" x14ac:dyDescent="0.25">
      <c r="A291" s="839"/>
      <c r="B291" s="839" t="s">
        <v>29</v>
      </c>
      <c r="C291" s="838"/>
      <c r="D291" s="838"/>
      <c r="E291" s="838"/>
      <c r="F291" s="838"/>
      <c r="G291" s="854"/>
      <c r="H291" s="854">
        <v>2.136061486592661E-3</v>
      </c>
      <c r="I291" s="854">
        <v>3.0888787268928321E-3</v>
      </c>
      <c r="J291" s="854">
        <v>4.2175188190135418E-3</v>
      </c>
      <c r="K291" s="854">
        <v>5.4513511069927099E-3</v>
      </c>
      <c r="L291" s="854">
        <v>6.8171005575665107E-3</v>
      </c>
      <c r="M291" s="854">
        <v>8.2304732863600141E-3</v>
      </c>
      <c r="N291" s="854">
        <v>9.6167038467321695E-3</v>
      </c>
      <c r="O291" s="854">
        <v>1.0969926523258625E-2</v>
      </c>
      <c r="P291" s="854">
        <v>1.2261705296772183E-2</v>
      </c>
      <c r="Q291" s="854">
        <v>1.345669646626641E-2</v>
      </c>
      <c r="R291" s="854">
        <v>1.4498725159359259E-2</v>
      </c>
      <c r="S291" s="854">
        <v>1.5467862252991927E-2</v>
      </c>
      <c r="T291" s="854">
        <v>1.6309854274615593E-2</v>
      </c>
      <c r="U291" s="854">
        <v>1.703203280407509E-2</v>
      </c>
      <c r="V291" s="854">
        <v>1.7681185963368231E-2</v>
      </c>
      <c r="W291" s="854">
        <v>1.821862180068351E-2</v>
      </c>
      <c r="X291" s="854">
        <v>1.865294187828305E-2</v>
      </c>
      <c r="Y291" s="854">
        <v>1.9009593480469416E-2</v>
      </c>
      <c r="Z291" s="854">
        <v>1.934558209733404E-2</v>
      </c>
      <c r="AA291" s="854">
        <v>1.9685577940681022E-2</v>
      </c>
      <c r="AB291" s="854">
        <v>2.0060926819947238E-2</v>
      </c>
      <c r="AC291" s="854">
        <v>2.0328333437455957E-2</v>
      </c>
      <c r="AD291" s="854">
        <v>2.0574180260044688E-2</v>
      </c>
      <c r="AE291" s="854">
        <v>2.0801618026925268E-2</v>
      </c>
      <c r="AF291" s="854">
        <v>2.1013723688192831E-2</v>
      </c>
    </row>
    <row r="292" spans="1:32" s="864" customFormat="1" x14ac:dyDescent="0.25">
      <c r="A292" s="839"/>
      <c r="B292" s="839"/>
      <c r="C292" s="838"/>
      <c r="D292" s="838"/>
      <c r="E292" s="838"/>
      <c r="F292" s="838"/>
      <c r="G292" s="854"/>
      <c r="H292" s="838"/>
      <c r="I292" s="838"/>
      <c r="J292" s="838"/>
      <c r="K292" s="838"/>
      <c r="L292" s="838"/>
      <c r="M292" s="838"/>
      <c r="N292" s="838"/>
      <c r="O292" s="838"/>
      <c r="P292" s="838"/>
      <c r="Q292" s="838"/>
      <c r="R292" s="838"/>
      <c r="S292" s="838"/>
      <c r="T292" s="838"/>
      <c r="U292" s="838"/>
      <c r="V292" s="838"/>
      <c r="W292" s="838"/>
      <c r="X292" s="838"/>
      <c r="Y292" s="838"/>
      <c r="Z292" s="838"/>
      <c r="AA292" s="838"/>
      <c r="AB292" s="838"/>
      <c r="AC292" s="838"/>
      <c r="AD292" s="838"/>
      <c r="AE292" s="838"/>
      <c r="AF292" s="838"/>
    </row>
    <row r="293" spans="1:32" s="856" customFormat="1" ht="12.75" x14ac:dyDescent="0.2">
      <c r="A293" s="843" t="s">
        <v>47</v>
      </c>
      <c r="B293" s="843"/>
      <c r="C293" s="843"/>
      <c r="D293" s="843"/>
      <c r="E293" s="843"/>
      <c r="F293" s="843"/>
      <c r="G293" s="865"/>
      <c r="H293" s="843"/>
      <c r="I293" s="843"/>
      <c r="J293" s="843"/>
      <c r="K293" s="843"/>
      <c r="L293" s="843"/>
      <c r="M293" s="843"/>
      <c r="N293" s="843"/>
      <c r="O293" s="843"/>
      <c r="P293" s="843"/>
      <c r="Q293" s="843"/>
      <c r="R293" s="843"/>
      <c r="S293" s="843"/>
      <c r="T293" s="843"/>
      <c r="U293" s="843"/>
      <c r="V293" s="843"/>
      <c r="W293" s="843"/>
      <c r="X293" s="843"/>
      <c r="Y293" s="843"/>
      <c r="Z293" s="843"/>
      <c r="AA293" s="843"/>
      <c r="AB293" s="843"/>
      <c r="AC293" s="843"/>
      <c r="AD293" s="843"/>
      <c r="AE293" s="843"/>
      <c r="AF293" s="843"/>
    </row>
    <row r="294" spans="1:32" s="864" customFormat="1" x14ac:dyDescent="0.25">
      <c r="A294" s="839"/>
      <c r="B294" s="839" t="s">
        <v>48</v>
      </c>
      <c r="C294" s="838"/>
      <c r="D294" s="838"/>
      <c r="E294" s="838"/>
      <c r="F294" s="838"/>
      <c r="G294" s="854"/>
      <c r="H294" s="854">
        <v>11.877030496776571</v>
      </c>
      <c r="I294" s="854">
        <v>8.9920714607071819</v>
      </c>
      <c r="J294" s="854">
        <v>5.2266000688972927</v>
      </c>
      <c r="K294" s="854">
        <v>2.3182356123877108</v>
      </c>
      <c r="L294" s="854">
        <v>0.84398875034817256</v>
      </c>
      <c r="M294" s="854">
        <v>0.25873500826340989</v>
      </c>
      <c r="N294" s="854">
        <v>7.508661604953111E-2</v>
      </c>
      <c r="O294" s="854">
        <v>2.1510970418121236E-2</v>
      </c>
      <c r="P294" s="854">
        <v>6.3088352775508673E-3</v>
      </c>
      <c r="Q294" s="854">
        <v>1.856337476556832E-3</v>
      </c>
      <c r="R294" s="854">
        <v>5.4922143306266539E-4</v>
      </c>
      <c r="S294" s="854">
        <v>1.6613162702795953E-4</v>
      </c>
      <c r="T294" s="854">
        <v>5.1111139098419861E-5</v>
      </c>
      <c r="U294" s="854">
        <v>1.5925566292901224E-5</v>
      </c>
      <c r="V294" s="854">
        <v>5.084830019504806E-6</v>
      </c>
      <c r="W294" s="854">
        <v>1.6377448614767262E-6</v>
      </c>
      <c r="X294" s="854">
        <v>5.3188028046991374E-7</v>
      </c>
      <c r="Y294" s="854">
        <v>1.7372028286267721E-7</v>
      </c>
      <c r="Z294" s="854">
        <v>5.7390720175681626E-8</v>
      </c>
      <c r="AA294" s="854">
        <v>1.9220762699761139E-8</v>
      </c>
      <c r="AB294" s="854">
        <v>6.4402937024622349E-9</v>
      </c>
      <c r="AC294" s="854">
        <v>2.1723690215788444E-9</v>
      </c>
      <c r="AD294" s="854">
        <v>7.3622973864833852E-10</v>
      </c>
      <c r="AE294" s="854">
        <v>2.4982398902319597E-10</v>
      </c>
      <c r="AF294" s="854">
        <v>8.308801227930756E-11</v>
      </c>
    </row>
    <row r="295" spans="1:32" s="864" customFormat="1" x14ac:dyDescent="0.25">
      <c r="A295" s="839"/>
      <c r="B295" s="842" t="s">
        <v>50</v>
      </c>
      <c r="C295" s="838"/>
      <c r="D295" s="838"/>
      <c r="E295" s="838"/>
      <c r="F295" s="838"/>
      <c r="G295" s="854"/>
      <c r="H295" s="854">
        <v>0.69911320734375348</v>
      </c>
      <c r="I295" s="854">
        <v>0.6369392633130927</v>
      </c>
      <c r="J295" s="854">
        <v>0.52555716853810652</v>
      </c>
      <c r="K295" s="854">
        <v>0.38776967438336246</v>
      </c>
      <c r="L295" s="854">
        <v>0.26850332864179527</v>
      </c>
      <c r="M295" s="854">
        <v>0.17347425393051219</v>
      </c>
      <c r="N295" s="854">
        <v>0.11110144315320575</v>
      </c>
      <c r="O295" s="854">
        <v>7.2044140874571977E-2</v>
      </c>
      <c r="P295" s="854">
        <v>4.8174986632490154E-2</v>
      </c>
      <c r="Q295" s="854">
        <v>3.2660616602765195E-2</v>
      </c>
      <c r="R295" s="854">
        <v>2.2337702769892796E-2</v>
      </c>
      <c r="S295" s="854">
        <v>1.5612005245039948E-2</v>
      </c>
      <c r="T295" s="854">
        <v>1.1074964011623434E-2</v>
      </c>
      <c r="U295" s="854">
        <v>7.9402003416699212E-3</v>
      </c>
      <c r="V295" s="854">
        <v>5.7997516125524303E-3</v>
      </c>
      <c r="W295" s="854">
        <v>4.2590894399342121E-3</v>
      </c>
      <c r="X295" s="854">
        <v>3.1412112154726845E-3</v>
      </c>
      <c r="Y295" s="854">
        <v>2.3216980175635488E-3</v>
      </c>
      <c r="Z295" s="854">
        <v>1.7274229896632797E-3</v>
      </c>
      <c r="AA295" s="854">
        <v>1.2956837603299467E-3</v>
      </c>
      <c r="AB295" s="854">
        <v>9.704562094281844E-4</v>
      </c>
      <c r="AC295" s="854">
        <v>7.2689290272630542E-4</v>
      </c>
      <c r="AD295" s="854">
        <v>5.4450060108701334E-4</v>
      </c>
      <c r="AE295" s="854">
        <v>4.068265652080061E-4</v>
      </c>
      <c r="AF295" s="854">
        <v>2.9849964830443642E-4</v>
      </c>
    </row>
    <row r="296" spans="1:32" s="864" customFormat="1" x14ac:dyDescent="0.25">
      <c r="A296" s="839"/>
      <c r="B296" s="839" t="s">
        <v>51</v>
      </c>
      <c r="C296" s="838"/>
      <c r="D296" s="838"/>
      <c r="E296" s="838"/>
      <c r="F296" s="838"/>
      <c r="G296" s="854"/>
      <c r="H296" s="854">
        <v>0.40457976833250259</v>
      </c>
      <c r="I296" s="854">
        <v>0.39893789096070209</v>
      </c>
      <c r="J296" s="854">
        <v>0.38391447213676111</v>
      </c>
      <c r="K296" s="854">
        <v>0.35863621165765047</v>
      </c>
      <c r="L296" s="854">
        <v>0.32943381665239313</v>
      </c>
      <c r="M296" s="854">
        <v>0.2965533231284897</v>
      </c>
      <c r="N296" s="854">
        <v>0.26304254590049186</v>
      </c>
      <c r="O296" s="854">
        <v>0.23174397432513349</v>
      </c>
      <c r="P296" s="854">
        <v>0.20393929913498399</v>
      </c>
      <c r="Q296" s="854">
        <v>0.17932932930350065</v>
      </c>
      <c r="R296" s="854">
        <v>0.15786162696891648</v>
      </c>
      <c r="S296" s="854">
        <v>0.1398224753555049</v>
      </c>
      <c r="T296" s="854">
        <v>0.12434576654311759</v>
      </c>
      <c r="U296" s="854">
        <v>0.11103690836892124</v>
      </c>
      <c r="V296" s="854">
        <v>9.9819579834834693E-2</v>
      </c>
      <c r="W296" s="854">
        <v>8.9999106842127349E-2</v>
      </c>
      <c r="X296" s="854">
        <v>8.1337017836366154E-2</v>
      </c>
      <c r="Y296" s="854">
        <v>7.3659459494248514E-2</v>
      </c>
      <c r="Z296" s="854">
        <v>6.6878408782235582E-2</v>
      </c>
      <c r="AA296" s="854">
        <v>6.0963386509613957E-2</v>
      </c>
      <c r="AB296" s="854">
        <v>5.5722023800959586E-2</v>
      </c>
      <c r="AC296" s="854">
        <v>5.0896460184491857E-2</v>
      </c>
      <c r="AD296" s="854">
        <v>4.6456567395477384E-2</v>
      </c>
      <c r="AE296" s="854">
        <v>4.2397850106241891E-2</v>
      </c>
      <c r="AF296" s="854">
        <v>3.8584542017633242E-2</v>
      </c>
    </row>
    <row r="297" spans="1:32" s="864" customFormat="1" x14ac:dyDescent="0.25">
      <c r="A297" s="839"/>
      <c r="B297" s="839" t="s">
        <v>52</v>
      </c>
      <c r="C297" s="838"/>
      <c r="D297" s="838"/>
      <c r="E297" s="838"/>
      <c r="F297" s="838"/>
      <c r="G297" s="854"/>
      <c r="H297" s="854">
        <v>0.42059796471682714</v>
      </c>
      <c r="I297" s="854">
        <v>0.39564713390844497</v>
      </c>
      <c r="J297" s="854">
        <v>0.35682747349323768</v>
      </c>
      <c r="K297" s="854">
        <v>0.31082996108242084</v>
      </c>
      <c r="L297" s="854">
        <v>0.26889655162315029</v>
      </c>
      <c r="M297" s="854">
        <v>0.23215921164143904</v>
      </c>
      <c r="N297" s="854">
        <v>0.20230731066349211</v>
      </c>
      <c r="O297" s="854">
        <v>0.17882262197979565</v>
      </c>
      <c r="P297" s="854">
        <v>0.16036902542106074</v>
      </c>
      <c r="Q297" s="854">
        <v>0.14530531373900499</v>
      </c>
      <c r="R297" s="854">
        <v>0.13274220509771939</v>
      </c>
      <c r="S297" s="854">
        <v>0.12226019369036939</v>
      </c>
      <c r="T297" s="854">
        <v>0.11319594461784617</v>
      </c>
      <c r="U297" s="854">
        <v>0.10521974516157384</v>
      </c>
      <c r="V297" s="854">
        <v>9.8202444430994101E-2</v>
      </c>
      <c r="W297" s="854">
        <v>9.1836577772568748E-2</v>
      </c>
      <c r="X297" s="854">
        <v>8.601064955484744E-2</v>
      </c>
      <c r="Y297" s="854">
        <v>8.0647905743379905E-2</v>
      </c>
      <c r="Z297" s="854">
        <v>7.5734937449262518E-2</v>
      </c>
      <c r="AA297" s="854">
        <v>7.1224006193908118E-2</v>
      </c>
      <c r="AB297" s="854">
        <v>6.7045322912365618E-2</v>
      </c>
      <c r="AC297" s="854">
        <v>6.3089471696850988E-2</v>
      </c>
      <c r="AD297" s="854">
        <v>5.938416833146528E-2</v>
      </c>
      <c r="AE297" s="854">
        <v>5.5902232018089582E-2</v>
      </c>
      <c r="AF297" s="854">
        <v>5.2591761466846167E-2</v>
      </c>
    </row>
    <row r="298" spans="1:32" s="864" customFormat="1" x14ac:dyDescent="0.25">
      <c r="A298" s="839"/>
      <c r="B298" s="842" t="s">
        <v>29</v>
      </c>
      <c r="C298" s="838"/>
      <c r="D298" s="838"/>
      <c r="E298" s="838"/>
      <c r="F298" s="838"/>
      <c r="G298" s="854"/>
      <c r="H298" s="854">
        <v>1.4502179801588444</v>
      </c>
      <c r="I298" s="854">
        <v>3.9192178842121872</v>
      </c>
      <c r="J298" s="854">
        <v>5.9275381344787457</v>
      </c>
      <c r="K298" s="854">
        <v>6.1369576918529569</v>
      </c>
      <c r="L298" s="854">
        <v>5.1227081341465066</v>
      </c>
      <c r="M298" s="854">
        <v>4.1226727259814169</v>
      </c>
      <c r="N298" s="854">
        <v>3.5003130933723661</v>
      </c>
      <c r="O298" s="854">
        <v>3.2250320878954759</v>
      </c>
      <c r="P298" s="854">
        <v>3.1337675126378328</v>
      </c>
      <c r="Q298" s="854">
        <v>3.1224194993351189</v>
      </c>
      <c r="R298" s="854">
        <v>3.1329024988026375</v>
      </c>
      <c r="S298" s="854">
        <v>3.1637914597010348</v>
      </c>
      <c r="T298" s="854">
        <v>3.1972355907514132</v>
      </c>
      <c r="U298" s="854">
        <v>3.230812569993101</v>
      </c>
      <c r="V298" s="854">
        <v>3.2694695782774716</v>
      </c>
      <c r="W298" s="854">
        <v>3.3037368093575692</v>
      </c>
      <c r="X298" s="854">
        <v>3.3325281054394953</v>
      </c>
      <c r="Y298" s="854">
        <v>3.3578672657514756</v>
      </c>
      <c r="Z298" s="854">
        <v>3.3871570922319392</v>
      </c>
      <c r="AA298" s="854">
        <v>3.4229902206163287</v>
      </c>
      <c r="AB298" s="854">
        <v>3.4693145785913182</v>
      </c>
      <c r="AC298" s="854">
        <v>3.5011608401990872</v>
      </c>
      <c r="AD298" s="854">
        <v>3.5319776087577255</v>
      </c>
      <c r="AE298" s="854">
        <v>3.5618051179379324</v>
      </c>
      <c r="AF298" s="854">
        <v>3.5906719718499689</v>
      </c>
    </row>
    <row r="299" spans="1:32" s="864" customFormat="1" x14ac:dyDescent="0.25">
      <c r="A299" s="839"/>
      <c r="B299" s="842" t="s">
        <v>53</v>
      </c>
      <c r="C299" s="838"/>
      <c r="D299" s="838"/>
      <c r="E299" s="838"/>
      <c r="F299" s="838"/>
      <c r="G299" s="854"/>
      <c r="H299" s="854">
        <v>1.3513684097203769E-2</v>
      </c>
      <c r="I299" s="854">
        <v>1.3247061854734638E-2</v>
      </c>
      <c r="J299" s="854">
        <v>1.2680014900910327E-2</v>
      </c>
      <c r="K299" s="854">
        <v>1.1801266800148962E-2</v>
      </c>
      <c r="L299" s="854">
        <v>1.086637372935103E-2</v>
      </c>
      <c r="M299" s="854">
        <v>9.8643098361486624E-3</v>
      </c>
      <c r="N299" s="854">
        <v>8.883661571436316E-3</v>
      </c>
      <c r="O299" s="854">
        <v>7.9998855835690681E-3</v>
      </c>
      <c r="P299" s="854">
        <v>7.2342961467744106E-3</v>
      </c>
      <c r="Q299" s="854">
        <v>6.5624234595732054E-3</v>
      </c>
      <c r="R299" s="854">
        <v>5.9728874453017933E-3</v>
      </c>
      <c r="S299" s="854">
        <v>5.4779761446697725E-3</v>
      </c>
      <c r="T299" s="854">
        <v>5.0468391523436195E-3</v>
      </c>
      <c r="U299" s="854">
        <v>4.6683193832510418E-3</v>
      </c>
      <c r="V299" s="854">
        <v>4.343284539631005E-3</v>
      </c>
      <c r="W299" s="854">
        <v>4.0497775817238488E-3</v>
      </c>
      <c r="X299" s="854">
        <v>3.7822328720550709E-3</v>
      </c>
      <c r="Y299" s="854">
        <v>3.537347704753468E-3</v>
      </c>
      <c r="Z299" s="854">
        <v>3.3175998594661589E-3</v>
      </c>
      <c r="AA299" s="854">
        <v>3.1206254528938823E-3</v>
      </c>
      <c r="AB299" s="854">
        <v>2.94153175967545E-3</v>
      </c>
      <c r="AC299" s="854">
        <v>2.7674924449959159E-3</v>
      </c>
      <c r="AD299" s="854">
        <v>2.604322664484052E-3</v>
      </c>
      <c r="AE299" s="854">
        <v>2.4503039028711776E-3</v>
      </c>
      <c r="AF299" s="854">
        <v>2.3009388610029033E-3</v>
      </c>
    </row>
  </sheetData>
  <pageMargins left="0.7" right="0.7" top="0.75" bottom="0.75" header="0.3" footer="0.3"/>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0070C0"/>
  </sheetPr>
  <dimension ref="A1:AF299"/>
  <sheetViews>
    <sheetView topLeftCell="C249" zoomScale="59" zoomScaleNormal="59" workbookViewId="0">
      <selection activeCell="G269" sqref="G269:AL299"/>
    </sheetView>
  </sheetViews>
  <sheetFormatPr defaultColWidth="9.140625" defaultRowHeight="15" x14ac:dyDescent="0.25"/>
  <cols>
    <col min="1" max="16384" width="9.140625" style="838"/>
  </cols>
  <sheetData>
    <row r="1" spans="1:32" ht="18" x14ac:dyDescent="0.4">
      <c r="A1" s="268" t="s">
        <v>500</v>
      </c>
      <c r="B1" s="839"/>
      <c r="C1" s="839"/>
      <c r="D1" s="839"/>
      <c r="E1" s="839"/>
      <c r="F1" s="839"/>
      <c r="G1" s="839"/>
      <c r="H1" s="207"/>
      <c r="I1" s="839"/>
      <c r="J1" s="839"/>
      <c r="K1" s="839"/>
      <c r="L1" s="839"/>
      <c r="M1" s="839"/>
      <c r="N1" s="839"/>
      <c r="O1" s="839"/>
      <c r="P1" s="839"/>
      <c r="Q1" s="839"/>
      <c r="R1" s="839"/>
      <c r="S1" s="839"/>
      <c r="T1" s="839"/>
      <c r="U1" s="839"/>
      <c r="V1" s="839"/>
      <c r="W1" s="839"/>
      <c r="X1" s="839"/>
      <c r="Y1" s="839"/>
      <c r="Z1" s="839"/>
      <c r="AA1" s="839"/>
      <c r="AB1" s="839"/>
      <c r="AC1" s="839"/>
      <c r="AD1" s="839"/>
      <c r="AE1" s="839"/>
      <c r="AF1" s="839"/>
    </row>
    <row r="2" spans="1:32" ht="15.6" x14ac:dyDescent="0.35">
      <c r="A2" s="269" t="s">
        <v>287</v>
      </c>
      <c r="B2" s="839"/>
      <c r="C2" s="839"/>
      <c r="D2" s="839"/>
      <c r="E2" s="839"/>
      <c r="F2" s="839"/>
      <c r="G2" s="839"/>
      <c r="H2" s="207"/>
      <c r="I2" s="839"/>
      <c r="J2" s="839"/>
      <c r="K2" s="839"/>
      <c r="L2" s="839"/>
      <c r="M2" s="839"/>
      <c r="N2" s="839"/>
      <c r="O2" s="839"/>
      <c r="P2" s="839"/>
      <c r="Q2" s="839"/>
      <c r="R2" s="839"/>
      <c r="S2" s="839"/>
      <c r="T2" s="839"/>
      <c r="U2" s="839"/>
      <c r="V2" s="839"/>
      <c r="W2" s="839"/>
      <c r="X2" s="839"/>
      <c r="Y2" s="839"/>
      <c r="Z2" s="839"/>
      <c r="AA2" s="839"/>
      <c r="AB2" s="839"/>
      <c r="AC2" s="839"/>
      <c r="AD2" s="839"/>
      <c r="AE2" s="839"/>
      <c r="AF2" s="839"/>
    </row>
    <row r="3" spans="1:32" ht="14.45" x14ac:dyDescent="0.35">
      <c r="A3" s="839"/>
      <c r="B3" s="839"/>
      <c r="C3" s="839"/>
      <c r="D3" s="824"/>
      <c r="E3" s="208"/>
      <c r="F3" s="208"/>
      <c r="G3" s="208">
        <v>2010</v>
      </c>
      <c r="H3" s="208">
        <v>2011</v>
      </c>
      <c r="I3" s="208">
        <v>2012</v>
      </c>
      <c r="J3" s="208">
        <v>2013</v>
      </c>
      <c r="K3" s="208">
        <v>2014</v>
      </c>
      <c r="L3" s="208">
        <v>2015</v>
      </c>
      <c r="M3" s="208">
        <v>2016</v>
      </c>
      <c r="N3" s="208">
        <v>2017</v>
      </c>
      <c r="O3" s="208">
        <v>2018</v>
      </c>
      <c r="P3" s="208">
        <v>2019</v>
      </c>
      <c r="Q3" s="208">
        <v>2020</v>
      </c>
      <c r="R3" s="208">
        <v>2021</v>
      </c>
      <c r="S3" s="208">
        <v>2022</v>
      </c>
      <c r="T3" s="208">
        <v>2023</v>
      </c>
      <c r="U3" s="208">
        <v>2024</v>
      </c>
      <c r="V3" s="208">
        <v>2025</v>
      </c>
      <c r="W3" s="208">
        <v>2026</v>
      </c>
      <c r="X3" s="208">
        <v>2027</v>
      </c>
      <c r="Y3" s="208">
        <v>2028</v>
      </c>
      <c r="Z3" s="208">
        <v>2029</v>
      </c>
      <c r="AA3" s="208">
        <v>2030</v>
      </c>
      <c r="AB3" s="208">
        <v>2031</v>
      </c>
      <c r="AC3" s="208">
        <v>2032</v>
      </c>
      <c r="AD3" s="208">
        <v>2033</v>
      </c>
      <c r="AE3" s="208">
        <v>2034</v>
      </c>
      <c r="AF3" s="208">
        <v>2035</v>
      </c>
    </row>
    <row r="4" spans="1:32" ht="14.45" x14ac:dyDescent="0.35">
      <c r="A4" s="897" t="s">
        <v>507</v>
      </c>
      <c r="B4" s="898"/>
      <c r="C4" s="897"/>
      <c r="D4" s="896"/>
      <c r="E4" s="896"/>
      <c r="F4" s="896"/>
      <c r="G4" s="896"/>
      <c r="H4" s="894"/>
      <c r="I4" s="894"/>
      <c r="J4" s="894"/>
      <c r="K4" s="894"/>
      <c r="L4" s="894"/>
      <c r="M4" s="894"/>
      <c r="N4" s="894"/>
      <c r="O4" s="894"/>
      <c r="P4" s="894"/>
      <c r="Q4" s="894"/>
      <c r="R4" s="894"/>
      <c r="S4" s="894"/>
      <c r="T4" s="894"/>
      <c r="U4" s="894"/>
      <c r="V4" s="894"/>
      <c r="W4" s="894"/>
      <c r="X4" s="894"/>
      <c r="Y4" s="894"/>
      <c r="Z4" s="894"/>
      <c r="AA4" s="894"/>
      <c r="AB4" s="894"/>
      <c r="AC4" s="894"/>
      <c r="AD4" s="894"/>
      <c r="AE4" s="894"/>
      <c r="AF4" s="894"/>
    </row>
    <row r="5" spans="1:32" ht="14.45" x14ac:dyDescent="0.35">
      <c r="A5" s="860" t="s">
        <v>55</v>
      </c>
      <c r="B5" s="861"/>
      <c r="C5" s="860"/>
      <c r="D5" s="859"/>
      <c r="E5" s="859"/>
      <c r="F5" s="859"/>
      <c r="G5" s="859"/>
      <c r="H5" s="862"/>
      <c r="I5" s="862"/>
      <c r="J5" s="862"/>
      <c r="K5" s="862"/>
      <c r="L5" s="862"/>
      <c r="M5" s="862"/>
      <c r="N5" s="862"/>
      <c r="O5" s="862"/>
      <c r="P5" s="862"/>
      <c r="Q5" s="862"/>
      <c r="R5" s="862"/>
      <c r="S5" s="862"/>
      <c r="T5" s="862"/>
      <c r="U5" s="862"/>
      <c r="V5" s="862"/>
      <c r="W5" s="862"/>
      <c r="X5" s="862"/>
      <c r="Y5" s="862"/>
      <c r="Z5" s="862"/>
      <c r="AA5" s="862"/>
      <c r="AB5" s="862"/>
      <c r="AC5" s="862"/>
      <c r="AD5" s="862"/>
      <c r="AE5" s="862"/>
      <c r="AF5" s="862"/>
    </row>
    <row r="6" spans="1:32" ht="14.45" x14ac:dyDescent="0.35">
      <c r="A6" s="840" t="s">
        <v>12</v>
      </c>
      <c r="B6" s="839"/>
    </row>
    <row r="7" spans="1:32" ht="14.45" x14ac:dyDescent="0.35">
      <c r="A7" s="839"/>
      <c r="B7" s="839" t="s">
        <v>20</v>
      </c>
    </row>
    <row r="8" spans="1:32" s="856" customFormat="1" ht="12.95" x14ac:dyDescent="0.3">
      <c r="A8" s="843" t="s">
        <v>21</v>
      </c>
      <c r="B8" s="843"/>
      <c r="C8" s="843"/>
      <c r="D8" s="843"/>
      <c r="E8" s="843"/>
      <c r="F8" s="843"/>
      <c r="G8" s="843"/>
      <c r="H8" s="843"/>
      <c r="I8" s="843"/>
      <c r="J8" s="843"/>
      <c r="K8" s="843"/>
      <c r="L8" s="843"/>
      <c r="M8" s="843"/>
      <c r="N8" s="843"/>
      <c r="O8" s="843"/>
      <c r="P8" s="843"/>
      <c r="Q8" s="843"/>
      <c r="R8" s="843"/>
      <c r="S8" s="843"/>
      <c r="T8" s="843"/>
      <c r="U8" s="843"/>
      <c r="V8" s="843"/>
      <c r="W8" s="843"/>
      <c r="X8" s="843"/>
      <c r="Y8" s="843"/>
      <c r="Z8" s="843"/>
      <c r="AA8" s="843"/>
      <c r="AB8" s="843"/>
      <c r="AC8" s="843"/>
      <c r="AD8" s="843"/>
      <c r="AE8" s="843"/>
      <c r="AF8" s="843"/>
    </row>
    <row r="9" spans="1:32" s="864" customFormat="1" ht="14.45" x14ac:dyDescent="0.35">
      <c r="A9" s="839"/>
      <c r="B9" s="839" t="s">
        <v>22</v>
      </c>
      <c r="C9" s="838"/>
      <c r="D9" s="838"/>
      <c r="E9" s="838"/>
      <c r="F9" s="838"/>
      <c r="G9" s="854">
        <v>12.4</v>
      </c>
      <c r="H9" s="854">
        <v>12.4</v>
      </c>
      <c r="I9" s="854">
        <v>12.4</v>
      </c>
      <c r="J9" s="854">
        <v>12.4</v>
      </c>
      <c r="K9" s="854">
        <v>12.4</v>
      </c>
      <c r="L9" s="854">
        <v>12.4</v>
      </c>
      <c r="M9" s="854">
        <v>12.4</v>
      </c>
      <c r="N9" s="854">
        <v>12.4</v>
      </c>
      <c r="O9" s="854">
        <v>12.4</v>
      </c>
      <c r="P9" s="854">
        <v>12.4</v>
      </c>
      <c r="Q9" s="854">
        <v>12.4</v>
      </c>
      <c r="R9" s="854">
        <v>12.4</v>
      </c>
      <c r="S9" s="854">
        <v>12.4</v>
      </c>
      <c r="T9" s="854">
        <v>12.4</v>
      </c>
      <c r="U9" s="854">
        <v>12.4</v>
      </c>
      <c r="V9" s="854">
        <v>12.4</v>
      </c>
      <c r="W9" s="854">
        <v>12.4</v>
      </c>
      <c r="X9" s="854">
        <v>12.4</v>
      </c>
      <c r="Y9" s="854">
        <v>12.4</v>
      </c>
      <c r="Z9" s="854">
        <v>12.4</v>
      </c>
      <c r="AA9" s="854">
        <v>12.4</v>
      </c>
      <c r="AB9" s="854">
        <v>12.4</v>
      </c>
      <c r="AC9" s="854">
        <v>12.4</v>
      </c>
      <c r="AD9" s="854">
        <v>12.4</v>
      </c>
      <c r="AE9" s="854">
        <v>12.4</v>
      </c>
      <c r="AF9" s="854">
        <v>12.4</v>
      </c>
    </row>
    <row r="10" spans="1:32" s="864" customFormat="1" ht="14.45" x14ac:dyDescent="0.35">
      <c r="A10" s="839"/>
      <c r="B10" s="839" t="s">
        <v>26</v>
      </c>
      <c r="C10" s="838"/>
      <c r="D10" s="838"/>
      <c r="E10" s="838"/>
      <c r="F10" s="838"/>
      <c r="G10" s="854">
        <v>14.699999999999989</v>
      </c>
      <c r="H10" s="854">
        <v>14.773499999999984</v>
      </c>
      <c r="I10" s="854">
        <v>14.847000000000008</v>
      </c>
      <c r="J10" s="854">
        <v>14.920500000000004</v>
      </c>
      <c r="K10" s="854">
        <v>14.994</v>
      </c>
      <c r="L10" s="854">
        <v>15.067499999999995</v>
      </c>
      <c r="M10" s="854">
        <v>15.140999999999991</v>
      </c>
      <c r="N10" s="854">
        <v>15.214499999999987</v>
      </c>
      <c r="O10" s="854">
        <v>15.288000000000011</v>
      </c>
      <c r="P10" s="854">
        <v>15.361500000000007</v>
      </c>
      <c r="Q10" s="854">
        <v>15.435000000000002</v>
      </c>
      <c r="R10" s="854">
        <v>15.508499999999998</v>
      </c>
      <c r="S10" s="854">
        <v>15.581999999999994</v>
      </c>
      <c r="T10" s="854">
        <v>15.655499999999989</v>
      </c>
      <c r="U10" s="854">
        <v>15.728999999999985</v>
      </c>
      <c r="V10" s="854">
        <v>15.802500000000009</v>
      </c>
      <c r="W10" s="854">
        <v>15.876000000000005</v>
      </c>
      <c r="X10" s="854">
        <v>15.9495</v>
      </c>
      <c r="Y10" s="854">
        <v>16.022999999999996</v>
      </c>
      <c r="Z10" s="854">
        <v>16.096499999999992</v>
      </c>
      <c r="AA10" s="854">
        <v>16.169999999999987</v>
      </c>
      <c r="AB10" s="854">
        <v>16.243499999999983</v>
      </c>
      <c r="AC10" s="854">
        <v>16.317000000000007</v>
      </c>
      <c r="AD10" s="854">
        <v>16.390500000000003</v>
      </c>
      <c r="AE10" s="854">
        <v>16.463999999999999</v>
      </c>
      <c r="AF10" s="854">
        <v>16.537499999999994</v>
      </c>
    </row>
    <row r="11" spans="1:32" s="864" customFormat="1" ht="14.45" x14ac:dyDescent="0.35">
      <c r="A11" s="839"/>
      <c r="B11" s="839" t="s">
        <v>27</v>
      </c>
      <c r="C11" s="838"/>
      <c r="D11" s="838"/>
      <c r="E11" s="838"/>
      <c r="F11" s="838"/>
      <c r="G11" s="854">
        <v>54.400000000000034</v>
      </c>
      <c r="H11" s="854">
        <v>54.672000000000082</v>
      </c>
      <c r="I11" s="854">
        <v>54.944000000000017</v>
      </c>
      <c r="J11" s="854">
        <v>55.216000000000065</v>
      </c>
      <c r="K11" s="854">
        <v>55.488</v>
      </c>
      <c r="L11" s="854">
        <v>55.760000000000048</v>
      </c>
      <c r="M11" s="854">
        <v>56.032000000000096</v>
      </c>
      <c r="N11" s="854">
        <v>56.30400000000003</v>
      </c>
      <c r="O11" s="854">
        <v>56.576000000000079</v>
      </c>
      <c r="P11" s="854">
        <v>56.848000000000013</v>
      </c>
      <c r="Q11" s="854">
        <v>57.120000000000061</v>
      </c>
      <c r="R11" s="854">
        <v>57.391999999999996</v>
      </c>
      <c r="S11" s="854">
        <v>57.664000000000044</v>
      </c>
      <c r="T11" s="854">
        <v>57.936000000000092</v>
      </c>
      <c r="U11" s="854">
        <v>58.208000000000027</v>
      </c>
      <c r="V11" s="854">
        <v>58.480000000000075</v>
      </c>
      <c r="W11" s="854">
        <v>58.75200000000001</v>
      </c>
      <c r="X11" s="854">
        <v>59.024000000000058</v>
      </c>
      <c r="Y11" s="854">
        <v>59.296000000000106</v>
      </c>
      <c r="Z11" s="854">
        <v>59.56800000000004</v>
      </c>
      <c r="AA11" s="854">
        <v>59.840000000000089</v>
      </c>
      <c r="AB11" s="854">
        <v>60.112000000000023</v>
      </c>
      <c r="AC11" s="854">
        <v>60.384000000000071</v>
      </c>
      <c r="AD11" s="854">
        <v>60.656000000000006</v>
      </c>
      <c r="AE11" s="854">
        <v>60.928000000000054</v>
      </c>
      <c r="AF11" s="854">
        <v>61.200000000000102</v>
      </c>
    </row>
    <row r="12" spans="1:32" s="864" customFormat="1" ht="14.45" x14ac:dyDescent="0.35">
      <c r="A12" s="839"/>
      <c r="B12" s="839" t="s">
        <v>29</v>
      </c>
      <c r="C12" s="838"/>
      <c r="D12" s="838"/>
      <c r="E12" s="838"/>
      <c r="F12" s="838"/>
      <c r="G12" s="854">
        <v>36.873768202819726</v>
      </c>
      <c r="H12" s="854">
        <v>48.266272480467556</v>
      </c>
      <c r="I12" s="854">
        <v>61.701198700113544</v>
      </c>
      <c r="J12" s="854">
        <v>77.591734715380795</v>
      </c>
      <c r="K12" s="854">
        <v>94.800465488123137</v>
      </c>
      <c r="L12" s="854">
        <v>112.50003941617493</v>
      </c>
      <c r="M12" s="854">
        <v>129.3471504340618</v>
      </c>
      <c r="N12" s="854">
        <v>145.03095133963808</v>
      </c>
      <c r="O12" s="854">
        <v>159.127310954921</v>
      </c>
      <c r="P12" s="854">
        <v>171.48202098927979</v>
      </c>
      <c r="Q12" s="854">
        <v>182.15170200680319</v>
      </c>
      <c r="R12" s="854">
        <v>187.8607232688625</v>
      </c>
      <c r="S12" s="854">
        <v>192.15160570290442</v>
      </c>
      <c r="T12" s="854">
        <v>195.33034204073093</v>
      </c>
      <c r="U12" s="854">
        <v>197.66006127320361</v>
      </c>
      <c r="V12" s="854">
        <v>199.35413887963063</v>
      </c>
      <c r="W12" s="854">
        <v>200.57896356186501</v>
      </c>
      <c r="X12" s="854">
        <v>201.46085171629713</v>
      </c>
      <c r="Y12" s="854">
        <v>202.09392729485813</v>
      </c>
      <c r="Z12" s="854">
        <v>202.54741526513342</v>
      </c>
      <c r="AA12" s="854">
        <v>202.87176106409183</v>
      </c>
      <c r="AB12" s="854">
        <v>203.10348618652321</v>
      </c>
      <c r="AC12" s="854">
        <v>203.26890947460336</v>
      </c>
      <c r="AD12" s="854">
        <v>203.38693514979437</v>
      </c>
      <c r="AE12" s="854">
        <v>203.47111002115616</v>
      </c>
      <c r="AF12" s="854">
        <v>203.53112565740346</v>
      </c>
    </row>
    <row r="13" spans="1:32" s="864" customFormat="1" ht="14.45" x14ac:dyDescent="0.35">
      <c r="A13" s="839"/>
      <c r="B13" s="839"/>
      <c r="C13" s="838"/>
      <c r="D13" s="838"/>
      <c r="E13" s="838"/>
      <c r="F13" s="838"/>
      <c r="G13" s="854"/>
      <c r="H13" s="838"/>
      <c r="I13" s="838"/>
      <c r="J13" s="838"/>
      <c r="K13" s="838"/>
      <c r="L13" s="838"/>
      <c r="M13" s="838"/>
      <c r="N13" s="838"/>
      <c r="O13" s="838"/>
      <c r="P13" s="838"/>
      <c r="Q13" s="838"/>
      <c r="R13" s="838"/>
      <c r="S13" s="838"/>
      <c r="T13" s="838"/>
      <c r="U13" s="838"/>
      <c r="V13" s="838"/>
      <c r="W13" s="838"/>
      <c r="X13" s="838"/>
      <c r="Y13" s="838"/>
      <c r="Z13" s="838"/>
      <c r="AA13" s="838"/>
      <c r="AB13" s="838"/>
      <c r="AC13" s="838"/>
      <c r="AD13" s="838"/>
      <c r="AE13" s="838"/>
      <c r="AF13" s="838"/>
    </row>
    <row r="14" spans="1:32" s="856" customFormat="1" ht="12.95" x14ac:dyDescent="0.3">
      <c r="A14" s="843" t="s">
        <v>32</v>
      </c>
      <c r="B14" s="843"/>
      <c r="C14" s="843"/>
      <c r="D14" s="843"/>
      <c r="E14" s="843"/>
      <c r="F14" s="843"/>
      <c r="G14" s="865"/>
      <c r="H14" s="843"/>
      <c r="I14" s="843"/>
      <c r="J14" s="843"/>
      <c r="K14" s="843"/>
      <c r="L14" s="843"/>
      <c r="M14" s="843"/>
      <c r="N14" s="843"/>
      <c r="O14" s="843"/>
      <c r="P14" s="843"/>
      <c r="Q14" s="843"/>
      <c r="R14" s="843"/>
      <c r="S14" s="843"/>
      <c r="T14" s="843"/>
      <c r="U14" s="843"/>
      <c r="V14" s="843"/>
      <c r="W14" s="843"/>
      <c r="X14" s="843"/>
      <c r="Y14" s="843"/>
      <c r="Z14" s="843"/>
      <c r="AA14" s="843"/>
      <c r="AB14" s="843"/>
      <c r="AC14" s="843"/>
      <c r="AD14" s="843"/>
      <c r="AE14" s="843"/>
      <c r="AF14" s="843"/>
    </row>
    <row r="15" spans="1:32" s="864" customFormat="1" ht="14.45" x14ac:dyDescent="0.35">
      <c r="A15" s="839"/>
      <c r="B15" s="839" t="s">
        <v>33</v>
      </c>
      <c r="C15" s="838"/>
      <c r="D15" s="838"/>
      <c r="E15" s="838"/>
      <c r="F15" s="838"/>
      <c r="G15" s="854">
        <v>10.4</v>
      </c>
      <c r="H15" s="854">
        <v>10.4</v>
      </c>
      <c r="I15" s="854">
        <v>10.4</v>
      </c>
      <c r="J15" s="854">
        <v>10.4</v>
      </c>
      <c r="K15" s="854">
        <v>10.4</v>
      </c>
      <c r="L15" s="854">
        <v>10.4</v>
      </c>
      <c r="M15" s="854">
        <v>10.4</v>
      </c>
      <c r="N15" s="854">
        <v>10.4</v>
      </c>
      <c r="O15" s="854">
        <v>10.4</v>
      </c>
      <c r="P15" s="854">
        <v>10.4</v>
      </c>
      <c r="Q15" s="854">
        <v>10.4</v>
      </c>
      <c r="R15" s="854">
        <v>10.4</v>
      </c>
      <c r="S15" s="854">
        <v>10.4</v>
      </c>
      <c r="T15" s="854">
        <v>10.4</v>
      </c>
      <c r="U15" s="854">
        <v>10.4</v>
      </c>
      <c r="V15" s="854">
        <v>10.4</v>
      </c>
      <c r="W15" s="854">
        <v>10.4</v>
      </c>
      <c r="X15" s="854">
        <v>10.4</v>
      </c>
      <c r="Y15" s="854">
        <v>10.4</v>
      </c>
      <c r="Z15" s="854">
        <v>10.4</v>
      </c>
      <c r="AA15" s="854">
        <v>10.4</v>
      </c>
      <c r="AB15" s="854">
        <v>10.4</v>
      </c>
      <c r="AC15" s="854">
        <v>10.4</v>
      </c>
      <c r="AD15" s="854">
        <v>10.4</v>
      </c>
      <c r="AE15" s="854">
        <v>10.4</v>
      </c>
      <c r="AF15" s="854">
        <v>10.4</v>
      </c>
    </row>
    <row r="16" spans="1:32" s="864" customFormat="1" ht="14.45" x14ac:dyDescent="0.35">
      <c r="A16" s="842"/>
      <c r="B16" s="842" t="s">
        <v>34</v>
      </c>
      <c r="C16" s="838"/>
      <c r="D16" s="838"/>
      <c r="E16" s="838"/>
      <c r="F16" s="838"/>
      <c r="G16" s="854">
        <v>14.599999999999994</v>
      </c>
      <c r="H16" s="854">
        <v>14.673000000000002</v>
      </c>
      <c r="I16" s="854">
        <v>15.796091654995376</v>
      </c>
      <c r="J16" s="854">
        <v>16.91918330999075</v>
      </c>
      <c r="K16" s="854">
        <v>18.042274964986124</v>
      </c>
      <c r="L16" s="854">
        <v>18.132486339811052</v>
      </c>
      <c r="M16" s="854">
        <v>18.223148771510104</v>
      </c>
      <c r="N16" s="854">
        <v>18.314264515367654</v>
      </c>
      <c r="O16" s="854">
        <v>18.405835837944487</v>
      </c>
      <c r="P16" s="854">
        <v>18.497865017134206</v>
      </c>
      <c r="Q16" s="854">
        <v>18.590354342219875</v>
      </c>
      <c r="R16" s="854">
        <v>18.683306113930971</v>
      </c>
      <c r="S16" s="854">
        <v>18.776722644500623</v>
      </c>
      <c r="T16" s="854">
        <v>18.870606257723125</v>
      </c>
      <c r="U16" s="854">
        <v>18.964959289011738</v>
      </c>
      <c r="V16" s="854">
        <v>19.059784085456798</v>
      </c>
      <c r="W16" s="854">
        <v>19.155083005884073</v>
      </c>
      <c r="X16" s="854">
        <v>19.250858420913492</v>
      </c>
      <c r="Y16" s="854">
        <v>19.347112713018056</v>
      </c>
      <c r="Z16" s="854">
        <v>19.443848276583143</v>
      </c>
      <c r="AA16" s="854">
        <v>19.541067517966056</v>
      </c>
      <c r="AB16" s="854">
        <v>19.638772855555885</v>
      </c>
      <c r="AC16" s="854">
        <v>19.736966719833656</v>
      </c>
      <c r="AD16" s="854">
        <v>19.835651553432825</v>
      </c>
      <c r="AE16" s="854">
        <v>19.934829811199986</v>
      </c>
      <c r="AF16" s="854">
        <v>20.034503960255982</v>
      </c>
    </row>
    <row r="17" spans="1:32" s="864" customFormat="1" ht="14.45" x14ac:dyDescent="0.35">
      <c r="A17" s="839"/>
      <c r="B17" s="842" t="s">
        <v>35</v>
      </c>
      <c r="C17" s="838"/>
      <c r="D17" s="838"/>
      <c r="E17" s="838"/>
      <c r="F17" s="838"/>
      <c r="G17" s="854">
        <v>44.899999999999977</v>
      </c>
      <c r="H17" s="854">
        <v>45.124500000000012</v>
      </c>
      <c r="I17" s="854">
        <v>45.34899999999999</v>
      </c>
      <c r="J17" s="854">
        <v>45.573499999999967</v>
      </c>
      <c r="K17" s="854">
        <v>45.798000000000002</v>
      </c>
      <c r="L17" s="854">
        <v>46.02249999999998</v>
      </c>
      <c r="M17" s="854">
        <v>46.246999999999957</v>
      </c>
      <c r="N17" s="854">
        <v>46.471499999999992</v>
      </c>
      <c r="O17" s="854">
        <v>46.69599999999997</v>
      </c>
      <c r="P17" s="854">
        <v>46.920500000000004</v>
      </c>
      <c r="Q17" s="854">
        <v>47.144999999999982</v>
      </c>
      <c r="R17" s="854">
        <v>47.36949999999996</v>
      </c>
      <c r="S17" s="854">
        <v>47.593999999999994</v>
      </c>
      <c r="T17" s="854">
        <v>47.818499999999972</v>
      </c>
      <c r="U17" s="854">
        <v>48.043000000000006</v>
      </c>
      <c r="V17" s="854">
        <v>48.267499999999984</v>
      </c>
      <c r="W17" s="854">
        <v>48.491999999999962</v>
      </c>
      <c r="X17" s="854">
        <v>48.716499999999996</v>
      </c>
      <c r="Y17" s="854">
        <v>48.940999999999974</v>
      </c>
      <c r="Z17" s="854">
        <v>49.165500000000009</v>
      </c>
      <c r="AA17" s="854">
        <v>49.389999999999986</v>
      </c>
      <c r="AB17" s="854">
        <v>49.614499999999964</v>
      </c>
      <c r="AC17" s="854">
        <v>49.838999999999999</v>
      </c>
      <c r="AD17" s="854">
        <v>50.063499999999976</v>
      </c>
      <c r="AE17" s="854">
        <v>50.288000000000011</v>
      </c>
      <c r="AF17" s="854">
        <v>50.512499999999989</v>
      </c>
    </row>
    <row r="18" spans="1:32" s="864" customFormat="1" ht="14.45" x14ac:dyDescent="0.35">
      <c r="A18" s="839"/>
      <c r="B18" s="842" t="s">
        <v>29</v>
      </c>
      <c r="C18" s="838"/>
      <c r="D18" s="838"/>
      <c r="E18" s="838"/>
      <c r="F18" s="838"/>
      <c r="G18" s="854">
        <v>36.873768202819726</v>
      </c>
      <c r="H18" s="854">
        <v>48.266272480467556</v>
      </c>
      <c r="I18" s="854">
        <v>61.701198700113544</v>
      </c>
      <c r="J18" s="854">
        <v>77.591734715380795</v>
      </c>
      <c r="K18" s="854">
        <v>94.800465488123137</v>
      </c>
      <c r="L18" s="854">
        <v>112.50003941617493</v>
      </c>
      <c r="M18" s="854">
        <v>129.3471504340618</v>
      </c>
      <c r="N18" s="854">
        <v>145.03095133963808</v>
      </c>
      <c r="O18" s="854">
        <v>159.127310954921</v>
      </c>
      <c r="P18" s="854">
        <v>171.48202098927979</v>
      </c>
      <c r="Q18" s="854">
        <v>182.15170200680319</v>
      </c>
      <c r="R18" s="854">
        <v>187.8607232688625</v>
      </c>
      <c r="S18" s="854">
        <v>192.15160570290442</v>
      </c>
      <c r="T18" s="854">
        <v>195.33034204073093</v>
      </c>
      <c r="U18" s="854">
        <v>197.66006127320361</v>
      </c>
      <c r="V18" s="854">
        <v>199.35413887963063</v>
      </c>
      <c r="W18" s="854">
        <v>200.57896356186501</v>
      </c>
      <c r="X18" s="854">
        <v>201.46085171629713</v>
      </c>
      <c r="Y18" s="854">
        <v>202.09392729485813</v>
      </c>
      <c r="Z18" s="854">
        <v>202.54741526513342</v>
      </c>
      <c r="AA18" s="854">
        <v>202.87176106409183</v>
      </c>
      <c r="AB18" s="854">
        <v>203.10348618652321</v>
      </c>
      <c r="AC18" s="854">
        <v>203.26890947460336</v>
      </c>
      <c r="AD18" s="854">
        <v>203.38693514979437</v>
      </c>
      <c r="AE18" s="854">
        <v>203.47111002115616</v>
      </c>
      <c r="AF18" s="854">
        <v>203.53112565740346</v>
      </c>
    </row>
    <row r="19" spans="1:32" s="864" customFormat="1" ht="14.45" x14ac:dyDescent="0.35">
      <c r="A19" s="839"/>
      <c r="B19" s="839"/>
      <c r="C19" s="838"/>
      <c r="D19" s="838"/>
      <c r="E19" s="838"/>
      <c r="F19" s="838"/>
      <c r="G19" s="854"/>
      <c r="H19" s="838"/>
      <c r="I19" s="838"/>
      <c r="J19" s="838"/>
      <c r="K19" s="838"/>
      <c r="L19" s="838"/>
      <c r="M19" s="838"/>
      <c r="N19" s="838"/>
      <c r="O19" s="838"/>
      <c r="P19" s="838"/>
      <c r="Q19" s="838"/>
      <c r="R19" s="838"/>
      <c r="S19" s="838"/>
      <c r="T19" s="838"/>
      <c r="U19" s="838"/>
      <c r="V19" s="838"/>
      <c r="W19" s="838"/>
      <c r="X19" s="838"/>
      <c r="Y19" s="838"/>
      <c r="Z19" s="838"/>
      <c r="AA19" s="838"/>
      <c r="AB19" s="838"/>
      <c r="AC19" s="838"/>
      <c r="AD19" s="838"/>
      <c r="AE19" s="838"/>
      <c r="AF19" s="838"/>
    </row>
    <row r="20" spans="1:32" s="856" customFormat="1" ht="12.95" x14ac:dyDescent="0.3">
      <c r="A20" s="843" t="s">
        <v>36</v>
      </c>
      <c r="B20" s="843"/>
      <c r="C20" s="843"/>
      <c r="D20" s="843"/>
      <c r="E20" s="843"/>
      <c r="F20" s="843"/>
      <c r="G20" s="865"/>
      <c r="H20" s="843"/>
      <c r="I20" s="843"/>
      <c r="J20" s="843"/>
      <c r="K20" s="843"/>
      <c r="L20" s="843"/>
      <c r="M20" s="843"/>
      <c r="N20" s="843"/>
      <c r="O20" s="843"/>
      <c r="P20" s="843"/>
      <c r="Q20" s="843"/>
      <c r="R20" s="843"/>
      <c r="S20" s="843"/>
      <c r="T20" s="843"/>
      <c r="U20" s="843"/>
      <c r="V20" s="843"/>
      <c r="W20" s="843"/>
      <c r="X20" s="843"/>
      <c r="Y20" s="843"/>
      <c r="Z20" s="843"/>
      <c r="AA20" s="843"/>
      <c r="AB20" s="843"/>
      <c r="AC20" s="843"/>
      <c r="AD20" s="843"/>
      <c r="AE20" s="843"/>
      <c r="AF20" s="843"/>
    </row>
    <row r="21" spans="1:32" s="864" customFormat="1" ht="14.45" x14ac:dyDescent="0.35">
      <c r="A21" s="839"/>
      <c r="B21" s="839" t="s">
        <v>37</v>
      </c>
      <c r="C21" s="838"/>
      <c r="D21" s="838"/>
      <c r="E21" s="838"/>
      <c r="F21" s="855"/>
      <c r="G21" s="854">
        <v>42.629999999999995</v>
      </c>
      <c r="H21" s="854">
        <v>42.629999999999995</v>
      </c>
      <c r="I21" s="854">
        <v>42.629999999999995</v>
      </c>
      <c r="J21" s="854">
        <v>42.629999999999995</v>
      </c>
      <c r="K21" s="854">
        <v>42.629999999999995</v>
      </c>
      <c r="L21" s="854">
        <v>42.629999999999995</v>
      </c>
      <c r="M21" s="854">
        <v>42.629999999999995</v>
      </c>
      <c r="N21" s="854">
        <v>42.629999999999995</v>
      </c>
      <c r="O21" s="854">
        <v>42.629999999999995</v>
      </c>
      <c r="P21" s="854">
        <v>42.629999999999995</v>
      </c>
      <c r="Q21" s="854">
        <v>42.629999999999995</v>
      </c>
      <c r="R21" s="854">
        <v>42.629999999999995</v>
      </c>
      <c r="S21" s="854">
        <v>42.629999999999995</v>
      </c>
      <c r="T21" s="854">
        <v>42.629999999999995</v>
      </c>
      <c r="U21" s="854">
        <v>42.629999999999995</v>
      </c>
      <c r="V21" s="854">
        <v>42.629999999999995</v>
      </c>
      <c r="W21" s="854">
        <v>42.629999999999995</v>
      </c>
      <c r="X21" s="854">
        <v>42.629999999999995</v>
      </c>
      <c r="Y21" s="854">
        <v>42.629999999999995</v>
      </c>
      <c r="Z21" s="854">
        <v>42.629999999999995</v>
      </c>
      <c r="AA21" s="854">
        <v>42.629999999999995</v>
      </c>
      <c r="AB21" s="854">
        <v>42.629999999999995</v>
      </c>
      <c r="AC21" s="854">
        <v>42.629999999999995</v>
      </c>
      <c r="AD21" s="854">
        <v>42.629999999999995</v>
      </c>
      <c r="AE21" s="854">
        <v>42.629999999999995</v>
      </c>
      <c r="AF21" s="854">
        <v>42.629999999999995</v>
      </c>
    </row>
    <row r="22" spans="1:32" s="864" customFormat="1" ht="14.45" x14ac:dyDescent="0.35">
      <c r="A22" s="839"/>
      <c r="B22" s="839" t="s">
        <v>39</v>
      </c>
      <c r="C22" s="838"/>
      <c r="D22" s="838"/>
      <c r="E22" s="857"/>
      <c r="F22" s="838"/>
      <c r="G22" s="854">
        <v>60.830000000000013</v>
      </c>
      <c r="H22" s="854">
        <v>61.134149999999991</v>
      </c>
      <c r="I22" s="854">
        <v>61.438299999999977</v>
      </c>
      <c r="J22" s="854">
        <v>61.742449999999963</v>
      </c>
      <c r="K22" s="854">
        <v>61.813733333333303</v>
      </c>
      <c r="L22" s="854">
        <v>62.523241516267632</v>
      </c>
      <c r="M22" s="854">
        <v>63.234219999999993</v>
      </c>
      <c r="N22" s="854">
        <v>64.192545899999985</v>
      </c>
      <c r="O22" s="854">
        <v>64.513508629499981</v>
      </c>
      <c r="P22" s="854">
        <v>64.836076172647466</v>
      </c>
      <c r="Q22" s="854">
        <v>65.160256553510692</v>
      </c>
      <c r="R22" s="854">
        <v>65.486057836278235</v>
      </c>
      <c r="S22" s="854">
        <v>65.813488125459614</v>
      </c>
      <c r="T22" s="854">
        <v>66.142555566086912</v>
      </c>
      <c r="U22" s="854">
        <v>66.47326834391734</v>
      </c>
      <c r="V22" s="854">
        <v>66.805634685636917</v>
      </c>
      <c r="W22" s="854">
        <v>67.139662859065083</v>
      </c>
      <c r="X22" s="854">
        <v>67.475361173360412</v>
      </c>
      <c r="Y22" s="854">
        <v>67.812737979227194</v>
      </c>
      <c r="Z22" s="854">
        <v>68.15180166912333</v>
      </c>
      <c r="AA22" s="854">
        <v>68.49256067746893</v>
      </c>
      <c r="AB22" s="854">
        <v>68.83502348085625</v>
      </c>
      <c r="AC22" s="854">
        <v>69.179198598260527</v>
      </c>
      <c r="AD22" s="854">
        <v>69.525094591251829</v>
      </c>
      <c r="AE22" s="854">
        <v>69.872720064208067</v>
      </c>
      <c r="AF22" s="854">
        <v>70.222083664529109</v>
      </c>
    </row>
    <row r="23" spans="1:32" s="864" customFormat="1" ht="14.45" x14ac:dyDescent="0.35">
      <c r="A23" s="839"/>
      <c r="B23" s="839" t="s">
        <v>40</v>
      </c>
      <c r="C23" s="838"/>
      <c r="D23" s="838"/>
      <c r="E23" s="838"/>
      <c r="F23" s="838"/>
      <c r="G23" s="854">
        <v>72.539999999999992</v>
      </c>
      <c r="H23" s="854">
        <v>72.902699999999996</v>
      </c>
      <c r="I23" s="854">
        <v>73.265400000000014</v>
      </c>
      <c r="J23" s="854">
        <v>73.628100000000032</v>
      </c>
      <c r="K23" s="854">
        <v>73.990800000000036</v>
      </c>
      <c r="L23" s="854">
        <v>74.516199124726526</v>
      </c>
      <c r="M23" s="854">
        <v>75.043185557986831</v>
      </c>
      <c r="N23" s="854">
        <v>75.571759299781149</v>
      </c>
      <c r="O23" s="854">
        <v>75.936840262582038</v>
      </c>
      <c r="P23" s="854">
        <v>76.301921225382927</v>
      </c>
      <c r="Q23" s="854">
        <v>76.667002188183815</v>
      </c>
      <c r="R23" s="854">
        <v>77.03208315098469</v>
      </c>
      <c r="S23" s="854">
        <v>77.397164113785578</v>
      </c>
      <c r="T23" s="854">
        <v>77.762245076586467</v>
      </c>
      <c r="U23" s="854">
        <v>78.127326039387356</v>
      </c>
      <c r="V23" s="854">
        <v>78.492407002188145</v>
      </c>
      <c r="W23" s="854">
        <v>78.857487964989033</v>
      </c>
      <c r="X23" s="854">
        <v>79.222568927789922</v>
      </c>
      <c r="Y23" s="854">
        <v>79.587649890590797</v>
      </c>
      <c r="Z23" s="854">
        <v>79.952730853391685</v>
      </c>
      <c r="AA23" s="854">
        <v>80.317811816192574</v>
      </c>
      <c r="AB23" s="854">
        <v>80.682892778993462</v>
      </c>
      <c r="AC23" s="854">
        <v>81.047973741794337</v>
      </c>
      <c r="AD23" s="854">
        <v>81.413054704595226</v>
      </c>
      <c r="AE23" s="854">
        <v>81.778135667396114</v>
      </c>
      <c r="AF23" s="854">
        <v>82.143216630196903</v>
      </c>
    </row>
    <row r="24" spans="1:32" s="864" customFormat="1" ht="14.45" x14ac:dyDescent="0.35">
      <c r="A24" s="839"/>
      <c r="B24" s="839" t="s">
        <v>29</v>
      </c>
      <c r="C24" s="838"/>
      <c r="D24" s="838"/>
      <c r="E24" s="838"/>
      <c r="F24" s="838"/>
      <c r="G24" s="854">
        <v>69.886712931315586</v>
      </c>
      <c r="H24" s="854">
        <v>84.617739005122857</v>
      </c>
      <c r="I24" s="854">
        <v>99.77020761765985</v>
      </c>
      <c r="J24" s="854">
        <v>115.81072942703476</v>
      </c>
      <c r="K24" s="854">
        <v>131.19780938437214</v>
      </c>
      <c r="L24" s="854">
        <v>145.46220447607328</v>
      </c>
      <c r="M24" s="854">
        <v>157.75364681050067</v>
      </c>
      <c r="N24" s="854">
        <v>168.55506474700036</v>
      </c>
      <c r="O24" s="854">
        <v>177.96704120423578</v>
      </c>
      <c r="P24" s="854">
        <v>186.1654499682482</v>
      </c>
      <c r="Q24" s="854">
        <v>193.35230342395749</v>
      </c>
      <c r="R24" s="854">
        <v>196.11147215578865</v>
      </c>
      <c r="S24" s="854">
        <v>198.15456111208027</v>
      </c>
      <c r="T24" s="854">
        <v>199.65744029461996</v>
      </c>
      <c r="U24" s="854">
        <v>200.75757592848979</v>
      </c>
      <c r="V24" s="854">
        <v>201.56002861929591</v>
      </c>
      <c r="W24" s="854">
        <v>202.14382617150503</v>
      </c>
      <c r="X24" s="854">
        <v>202.5677447446416</v>
      </c>
      <c r="Y24" s="854">
        <v>202.87514562074011</v>
      </c>
      <c r="Z24" s="854">
        <v>203.09783237720012</v>
      </c>
      <c r="AA24" s="854">
        <v>203.25903410630769</v>
      </c>
      <c r="AB24" s="854">
        <v>203.37566609727986</v>
      </c>
      <c r="AC24" s="854">
        <v>203.46001922812226</v>
      </c>
      <c r="AD24" s="854">
        <v>203.52101022912549</v>
      </c>
      <c r="AE24" s="854">
        <v>203.56510065539746</v>
      </c>
      <c r="AF24" s="854">
        <v>203.59696908402657</v>
      </c>
    </row>
    <row r="25" spans="1:32" s="864" customFormat="1" ht="14.45" x14ac:dyDescent="0.35">
      <c r="A25" s="839"/>
      <c r="B25" s="839"/>
      <c r="C25" s="838"/>
      <c r="D25" s="838"/>
      <c r="E25" s="838"/>
      <c r="F25" s="838"/>
      <c r="G25" s="854"/>
      <c r="H25" s="838"/>
      <c r="I25" s="838"/>
      <c r="J25" s="838"/>
      <c r="K25" s="838"/>
      <c r="L25" s="838"/>
      <c r="M25" s="838"/>
      <c r="N25" s="838"/>
      <c r="O25" s="838"/>
      <c r="P25" s="838"/>
      <c r="Q25" s="838"/>
      <c r="R25" s="838"/>
      <c r="S25" s="838"/>
      <c r="T25" s="838"/>
      <c r="U25" s="838"/>
      <c r="V25" s="838"/>
      <c r="W25" s="838"/>
      <c r="X25" s="838"/>
      <c r="Y25" s="838"/>
      <c r="Z25" s="838"/>
      <c r="AA25" s="838"/>
      <c r="AB25" s="838"/>
      <c r="AC25" s="838"/>
      <c r="AD25" s="838"/>
      <c r="AE25" s="838"/>
      <c r="AF25" s="838"/>
    </row>
    <row r="26" spans="1:32" s="856" customFormat="1" ht="12.95" x14ac:dyDescent="0.3">
      <c r="A26" s="843" t="s">
        <v>42</v>
      </c>
      <c r="B26" s="843"/>
      <c r="C26" s="843"/>
      <c r="D26" s="843"/>
      <c r="E26" s="843"/>
      <c r="F26" s="843"/>
      <c r="G26" s="865"/>
      <c r="H26" s="843"/>
      <c r="I26" s="843"/>
      <c r="J26" s="843"/>
      <c r="K26" s="843"/>
      <c r="L26" s="843"/>
      <c r="M26" s="843"/>
      <c r="N26" s="843"/>
      <c r="O26" s="843"/>
      <c r="P26" s="843"/>
      <c r="Q26" s="843"/>
      <c r="R26" s="843"/>
      <c r="S26" s="843"/>
      <c r="T26" s="843"/>
      <c r="U26" s="843"/>
      <c r="V26" s="843"/>
      <c r="W26" s="843"/>
      <c r="X26" s="843"/>
      <c r="Y26" s="843"/>
      <c r="Z26" s="843"/>
      <c r="AA26" s="843"/>
      <c r="AB26" s="843"/>
      <c r="AC26" s="843"/>
      <c r="AD26" s="843"/>
      <c r="AE26" s="843"/>
      <c r="AF26" s="843"/>
    </row>
    <row r="27" spans="1:32" s="864" customFormat="1" ht="14.45" x14ac:dyDescent="0.35">
      <c r="A27" s="839"/>
      <c r="B27" s="842" t="s">
        <v>43</v>
      </c>
      <c r="C27" s="838"/>
      <c r="D27" s="838"/>
      <c r="E27" s="838"/>
      <c r="F27" s="838"/>
      <c r="G27" s="854">
        <v>24.635000000000002</v>
      </c>
      <c r="H27" s="854">
        <v>24.635000000000002</v>
      </c>
      <c r="I27" s="854">
        <v>24.635000000000002</v>
      </c>
      <c r="J27" s="854">
        <v>24.635000000000002</v>
      </c>
      <c r="K27" s="854">
        <v>24.635000000000002</v>
      </c>
      <c r="L27" s="854">
        <v>24.635000000000002</v>
      </c>
      <c r="M27" s="854">
        <v>24.635000000000002</v>
      </c>
      <c r="N27" s="854">
        <v>24.635000000000002</v>
      </c>
      <c r="O27" s="854">
        <v>24.635000000000002</v>
      </c>
      <c r="P27" s="854">
        <v>24.635000000000002</v>
      </c>
      <c r="Q27" s="854">
        <v>24.635000000000002</v>
      </c>
      <c r="R27" s="854">
        <v>24.635000000000002</v>
      </c>
      <c r="S27" s="854">
        <v>24.635000000000002</v>
      </c>
      <c r="T27" s="854">
        <v>24.635000000000002</v>
      </c>
      <c r="U27" s="854">
        <v>24.635000000000002</v>
      </c>
      <c r="V27" s="854">
        <v>24.635000000000002</v>
      </c>
      <c r="W27" s="854">
        <v>24.635000000000002</v>
      </c>
      <c r="X27" s="854">
        <v>24.635000000000002</v>
      </c>
      <c r="Y27" s="854">
        <v>24.635000000000002</v>
      </c>
      <c r="Z27" s="854">
        <v>24.635000000000002</v>
      </c>
      <c r="AA27" s="854">
        <v>24.635000000000002</v>
      </c>
      <c r="AB27" s="854">
        <v>24.635000000000002</v>
      </c>
      <c r="AC27" s="854">
        <v>24.635000000000002</v>
      </c>
      <c r="AD27" s="854">
        <v>24.635000000000002</v>
      </c>
      <c r="AE27" s="854">
        <v>24.635000000000002</v>
      </c>
      <c r="AF27" s="854">
        <v>24.635000000000002</v>
      </c>
    </row>
    <row r="28" spans="1:32" s="864" customFormat="1" ht="14.45" x14ac:dyDescent="0.35">
      <c r="A28" s="839"/>
      <c r="B28" s="842" t="s">
        <v>44</v>
      </c>
      <c r="C28" s="838"/>
      <c r="D28" s="838"/>
      <c r="E28" s="838"/>
      <c r="F28" s="838"/>
      <c r="G28" s="854">
        <v>47.320000000000022</v>
      </c>
      <c r="H28" s="854">
        <v>47.985380198938778</v>
      </c>
      <c r="I28" s="854">
        <v>48.342591465928471</v>
      </c>
      <c r="J28" s="854">
        <v>48.699802732918037</v>
      </c>
      <c r="K28" s="854">
        <v>49.057013999907731</v>
      </c>
      <c r="L28" s="854">
        <v>49.41422526689729</v>
      </c>
      <c r="M28" s="854">
        <v>49.771436533886984</v>
      </c>
      <c r="N28" s="854">
        <v>50.12864780087655</v>
      </c>
      <c r="O28" s="854">
        <v>50.485859067866116</v>
      </c>
      <c r="P28" s="854">
        <v>50.84307033485581</v>
      </c>
      <c r="Q28" s="854">
        <v>51.200281601845376</v>
      </c>
      <c r="R28" s="854">
        <v>51.55749286883507</v>
      </c>
      <c r="S28" s="854">
        <v>51.914704135824636</v>
      </c>
      <c r="T28" s="854">
        <v>52.271915402814329</v>
      </c>
      <c r="U28" s="854">
        <v>52.629126669803895</v>
      </c>
      <c r="V28" s="854">
        <v>52.986337936793461</v>
      </c>
      <c r="W28" s="854">
        <v>53.343549203783155</v>
      </c>
      <c r="X28" s="854">
        <v>53.700760470772714</v>
      </c>
      <c r="Y28" s="854">
        <v>54.057971737762408</v>
      </c>
      <c r="Z28" s="854">
        <v>54.415183004751974</v>
      </c>
      <c r="AA28" s="854">
        <v>54.772394271741533</v>
      </c>
      <c r="AB28" s="854">
        <v>55.129605538731234</v>
      </c>
      <c r="AC28" s="854">
        <v>55.486816805720792</v>
      </c>
      <c r="AD28" s="854">
        <v>55.844028072710493</v>
      </c>
      <c r="AE28" s="854">
        <v>56.201239339700052</v>
      </c>
      <c r="AF28" s="854">
        <v>56.558450606689753</v>
      </c>
    </row>
    <row r="29" spans="1:32" s="864" customFormat="1" ht="14.45" x14ac:dyDescent="0.35">
      <c r="A29" s="839"/>
      <c r="B29" s="842" t="s">
        <v>45</v>
      </c>
      <c r="C29" s="838"/>
      <c r="D29" s="838"/>
      <c r="E29" s="838"/>
      <c r="F29" s="838"/>
      <c r="G29" s="854">
        <v>69.875000000000028</v>
      </c>
      <c r="H29" s="854">
        <v>70.049687500000005</v>
      </c>
      <c r="I29" s="854">
        <v>70.224375000000023</v>
      </c>
      <c r="J29" s="854">
        <v>70.399062499999999</v>
      </c>
      <c r="K29" s="854">
        <v>70.573750000000032</v>
      </c>
      <c r="L29" s="854">
        <v>70.748437499999994</v>
      </c>
      <c r="M29" s="854">
        <v>70.923125000000027</v>
      </c>
      <c r="N29" s="854">
        <v>71.097812500000003</v>
      </c>
      <c r="O29" s="854">
        <v>71.272500000000022</v>
      </c>
      <c r="P29" s="854">
        <v>71.447187499999998</v>
      </c>
      <c r="Q29" s="854">
        <v>71.621875000000031</v>
      </c>
      <c r="R29" s="854">
        <v>71.796562500000007</v>
      </c>
      <c r="S29" s="854">
        <v>71.971250000000026</v>
      </c>
      <c r="T29" s="854">
        <v>72.145937500000002</v>
      </c>
      <c r="U29" s="854">
        <v>72.320625000000021</v>
      </c>
      <c r="V29" s="854">
        <v>72.495312499999997</v>
      </c>
      <c r="W29" s="854">
        <v>72.67000000000003</v>
      </c>
      <c r="X29" s="854">
        <v>72.844687499999992</v>
      </c>
      <c r="Y29" s="854">
        <v>73.019375000000025</v>
      </c>
      <c r="Z29" s="854">
        <v>73.194062500000001</v>
      </c>
      <c r="AA29" s="854">
        <v>73.368750000000034</v>
      </c>
      <c r="AB29" s="854">
        <v>73.543437499999996</v>
      </c>
      <c r="AC29" s="854">
        <v>73.718125000000029</v>
      </c>
      <c r="AD29" s="854">
        <v>73.892812499999991</v>
      </c>
      <c r="AE29" s="854">
        <v>74.067500000000024</v>
      </c>
      <c r="AF29" s="854">
        <v>74.2421875</v>
      </c>
    </row>
    <row r="30" spans="1:32" s="864" customFormat="1" ht="14.45" x14ac:dyDescent="0.35">
      <c r="A30" s="839"/>
      <c r="B30" s="842" t="s">
        <v>46</v>
      </c>
      <c r="C30" s="838"/>
      <c r="D30" s="838"/>
      <c r="E30" s="838"/>
      <c r="F30" s="838"/>
      <c r="G30" s="854">
        <v>93.274999999999807</v>
      </c>
      <c r="H30" s="854">
        <v>93.974562499999919</v>
      </c>
      <c r="I30" s="854">
        <v>94.674125000000018</v>
      </c>
      <c r="J30" s="854">
        <v>95.373687499999903</v>
      </c>
      <c r="K30" s="854">
        <v>96.073250000000002</v>
      </c>
      <c r="L30" s="854">
        <v>96.772812499999901</v>
      </c>
      <c r="M30" s="854">
        <v>97.472375000000014</v>
      </c>
      <c r="N30" s="854">
        <v>98.171937499999885</v>
      </c>
      <c r="O30" s="854">
        <v>98.871500000000012</v>
      </c>
      <c r="P30" s="854">
        <v>99.571062499999897</v>
      </c>
      <c r="Q30" s="854">
        <v>100.270625</v>
      </c>
      <c r="R30" s="854">
        <v>100.97018749999989</v>
      </c>
      <c r="S30" s="854">
        <v>101.66974999999999</v>
      </c>
      <c r="T30" s="854">
        <v>102.36931249999988</v>
      </c>
      <c r="U30" s="854">
        <v>103.06887499999998</v>
      </c>
      <c r="V30" s="854">
        <v>103.76843749999988</v>
      </c>
      <c r="W30" s="854">
        <v>104.46799999999999</v>
      </c>
      <c r="X30" s="854">
        <v>105.16756249999986</v>
      </c>
      <c r="Y30" s="854">
        <v>105.86712499999999</v>
      </c>
      <c r="Z30" s="854">
        <v>106.56668749999987</v>
      </c>
      <c r="AA30" s="854">
        <v>107.26624999999997</v>
      </c>
      <c r="AB30" s="854">
        <v>107.96581249999987</v>
      </c>
      <c r="AC30" s="854">
        <v>108.66537499999997</v>
      </c>
      <c r="AD30" s="854">
        <v>109.36493749999985</v>
      </c>
      <c r="AE30" s="854">
        <v>110.06449999999995</v>
      </c>
      <c r="AF30" s="854">
        <v>110.76406249999985</v>
      </c>
    </row>
    <row r="31" spans="1:32" s="864" customFormat="1" ht="14.45" x14ac:dyDescent="0.35">
      <c r="A31" s="839"/>
      <c r="B31" s="839" t="s">
        <v>29</v>
      </c>
      <c r="C31" s="838"/>
      <c r="D31" s="838"/>
      <c r="E31" s="838"/>
      <c r="F31" s="838"/>
      <c r="G31" s="854">
        <v>69.886712931315586</v>
      </c>
      <c r="H31" s="854">
        <v>84.617739005122857</v>
      </c>
      <c r="I31" s="854">
        <v>99.77020761765985</v>
      </c>
      <c r="J31" s="854">
        <v>115.81072942703476</v>
      </c>
      <c r="K31" s="854">
        <v>131.19780938437214</v>
      </c>
      <c r="L31" s="854">
        <v>145.46220447607328</v>
      </c>
      <c r="M31" s="854">
        <v>157.75364681050067</v>
      </c>
      <c r="N31" s="854">
        <v>168.55506474700036</v>
      </c>
      <c r="O31" s="854">
        <v>177.96704120423578</v>
      </c>
      <c r="P31" s="854">
        <v>186.1654499682482</v>
      </c>
      <c r="Q31" s="854">
        <v>193.35230342395749</v>
      </c>
      <c r="R31" s="854">
        <v>196.11147215578865</v>
      </c>
      <c r="S31" s="854">
        <v>198.15456111208027</v>
      </c>
      <c r="T31" s="854">
        <v>199.65744029461996</v>
      </c>
      <c r="U31" s="854">
        <v>200.75757592848979</v>
      </c>
      <c r="V31" s="854">
        <v>201.56002861929591</v>
      </c>
      <c r="W31" s="854">
        <v>202.14382617150503</v>
      </c>
      <c r="X31" s="854">
        <v>202.5677447446416</v>
      </c>
      <c r="Y31" s="854">
        <v>202.87514562074011</v>
      </c>
      <c r="Z31" s="854">
        <v>203.09783237720012</v>
      </c>
      <c r="AA31" s="854">
        <v>203.25903410630769</v>
      </c>
      <c r="AB31" s="854">
        <v>203.37566609727986</v>
      </c>
      <c r="AC31" s="854">
        <v>203.46001922812226</v>
      </c>
      <c r="AD31" s="854">
        <v>203.52101022912549</v>
      </c>
      <c r="AE31" s="854">
        <v>203.56510065539746</v>
      </c>
      <c r="AF31" s="854">
        <v>203.59696908402657</v>
      </c>
    </row>
    <row r="32" spans="1:32" s="864" customFormat="1" ht="14.45" x14ac:dyDescent="0.35">
      <c r="A32" s="839"/>
      <c r="B32" s="839"/>
      <c r="C32" s="838"/>
      <c r="D32" s="838"/>
      <c r="E32" s="838"/>
      <c r="F32" s="838"/>
      <c r="G32" s="854"/>
      <c r="H32" s="838"/>
      <c r="I32" s="838"/>
      <c r="J32" s="838"/>
      <c r="K32" s="838"/>
      <c r="L32" s="838"/>
      <c r="M32" s="838"/>
      <c r="N32" s="838"/>
      <c r="O32" s="838"/>
      <c r="P32" s="838"/>
      <c r="Q32" s="838"/>
      <c r="R32" s="838"/>
      <c r="S32" s="838"/>
      <c r="T32" s="838"/>
      <c r="U32" s="838"/>
      <c r="V32" s="838"/>
      <c r="W32" s="838"/>
      <c r="X32" s="838"/>
      <c r="Y32" s="838"/>
      <c r="Z32" s="838"/>
      <c r="AA32" s="838"/>
      <c r="AB32" s="838"/>
      <c r="AC32" s="838"/>
      <c r="AD32" s="838"/>
      <c r="AE32" s="838"/>
      <c r="AF32" s="838"/>
    </row>
    <row r="33" spans="1:32" s="856" customFormat="1" ht="12.95" x14ac:dyDescent="0.3">
      <c r="A33" s="843" t="s">
        <v>47</v>
      </c>
      <c r="B33" s="843"/>
      <c r="C33" s="843"/>
      <c r="D33" s="843"/>
      <c r="E33" s="843"/>
      <c r="F33" s="843"/>
      <c r="G33" s="865"/>
      <c r="H33" s="843"/>
      <c r="I33" s="843"/>
      <c r="J33" s="843"/>
      <c r="K33" s="843"/>
      <c r="L33" s="843"/>
      <c r="M33" s="843"/>
      <c r="N33" s="843"/>
      <c r="O33" s="843"/>
      <c r="P33" s="843"/>
      <c r="Q33" s="843"/>
      <c r="R33" s="843"/>
      <c r="S33" s="843"/>
      <c r="T33" s="843"/>
      <c r="U33" s="843"/>
      <c r="V33" s="843"/>
      <c r="W33" s="843"/>
      <c r="X33" s="843"/>
      <c r="Y33" s="843"/>
      <c r="Z33" s="843"/>
      <c r="AA33" s="843"/>
      <c r="AB33" s="843"/>
      <c r="AC33" s="843"/>
      <c r="AD33" s="843"/>
      <c r="AE33" s="843"/>
      <c r="AF33" s="843"/>
    </row>
    <row r="34" spans="1:32" s="864" customFormat="1" ht="14.45" x14ac:dyDescent="0.35">
      <c r="A34" s="839"/>
      <c r="B34" s="839" t="s">
        <v>48</v>
      </c>
      <c r="C34" s="838"/>
      <c r="D34" s="838"/>
      <c r="E34" s="838"/>
      <c r="F34" s="838"/>
      <c r="G34" s="854">
        <v>11.300000000000004</v>
      </c>
      <c r="H34" s="854">
        <v>11.328250000000004</v>
      </c>
      <c r="I34" s="854">
        <v>11.393853221957043</v>
      </c>
      <c r="J34" s="854">
        <v>11.459456443914082</v>
      </c>
      <c r="K34" s="854">
        <v>11.525059665871122</v>
      </c>
      <c r="L34" s="854">
        <v>11.5538723150358</v>
      </c>
      <c r="M34" s="854">
        <v>11.582756995823388</v>
      </c>
      <c r="N34" s="854">
        <v>11.611713888312945</v>
      </c>
      <c r="O34" s="854">
        <v>11.640743173033728</v>
      </c>
      <c r="P34" s="854">
        <v>11.669845030966313</v>
      </c>
      <c r="Q34" s="854">
        <v>11.699019643543727</v>
      </c>
      <c r="R34" s="854">
        <v>11.728267192652584</v>
      </c>
      <c r="S34" s="854">
        <v>11.757587860634217</v>
      </c>
      <c r="T34" s="854">
        <v>11.786981830285802</v>
      </c>
      <c r="U34" s="854">
        <v>11.816449284861516</v>
      </c>
      <c r="V34" s="854">
        <v>11.845990408073668</v>
      </c>
      <c r="W34" s="854">
        <v>11.875605384093852</v>
      </c>
      <c r="X34" s="854">
        <v>11.905294397554089</v>
      </c>
      <c r="Y34" s="854">
        <v>11.93505763354797</v>
      </c>
      <c r="Z34" s="854">
        <v>11.96489527763184</v>
      </c>
      <c r="AA34" s="854">
        <v>11.99480751582592</v>
      </c>
      <c r="AB34" s="854">
        <v>12.024794534615484</v>
      </c>
      <c r="AC34" s="854">
        <v>12.054856520952024</v>
      </c>
      <c r="AD34" s="854">
        <v>12.084993662254401</v>
      </c>
      <c r="AE34" s="854">
        <v>12.115206146410038</v>
      </c>
      <c r="AF34" s="854">
        <v>12.145494161776062</v>
      </c>
    </row>
    <row r="35" spans="1:32" s="864" customFormat="1" ht="14.45" x14ac:dyDescent="0.35">
      <c r="A35" s="839"/>
      <c r="B35" s="842" t="s">
        <v>50</v>
      </c>
      <c r="C35" s="838"/>
      <c r="D35" s="838"/>
      <c r="E35" s="838"/>
      <c r="F35" s="838"/>
      <c r="G35" s="854">
        <v>18</v>
      </c>
      <c r="H35" s="854">
        <v>18.044999999999987</v>
      </c>
      <c r="I35" s="854">
        <v>18.089999999999989</v>
      </c>
      <c r="J35" s="854">
        <v>18.134999999999991</v>
      </c>
      <c r="K35" s="854">
        <v>18.179999999999993</v>
      </c>
      <c r="L35" s="854">
        <v>18.224999999999994</v>
      </c>
      <c r="M35" s="854">
        <v>18.269999999999996</v>
      </c>
      <c r="N35" s="854">
        <v>18.314999999999998</v>
      </c>
      <c r="O35" s="854">
        <v>18.36</v>
      </c>
      <c r="P35" s="854">
        <v>18.404999999999987</v>
      </c>
      <c r="Q35" s="854">
        <v>18.449999999999989</v>
      </c>
      <c r="R35" s="854">
        <v>18.49499999999999</v>
      </c>
      <c r="S35" s="854">
        <v>18.539999999999992</v>
      </c>
      <c r="T35" s="854">
        <v>18.584999999999994</v>
      </c>
      <c r="U35" s="854">
        <v>18.629999999999995</v>
      </c>
      <c r="V35" s="854">
        <v>18.674999999999997</v>
      </c>
      <c r="W35" s="854">
        <v>18.72</v>
      </c>
      <c r="X35" s="854">
        <v>18.765000000000001</v>
      </c>
      <c r="Y35" s="854">
        <v>18.809999999999988</v>
      </c>
      <c r="Z35" s="854">
        <v>18.85499999999999</v>
      </c>
      <c r="AA35" s="854">
        <v>18.899999999999991</v>
      </c>
      <c r="AB35" s="854">
        <v>18.944999999999993</v>
      </c>
      <c r="AC35" s="854">
        <v>18.989999999999995</v>
      </c>
      <c r="AD35" s="854">
        <v>19.034999999999997</v>
      </c>
      <c r="AE35" s="854">
        <v>19.079999999999998</v>
      </c>
      <c r="AF35" s="854">
        <v>19.125</v>
      </c>
    </row>
    <row r="36" spans="1:32" s="864" customFormat="1" ht="14.45" x14ac:dyDescent="0.35">
      <c r="A36" s="839"/>
      <c r="B36" s="839" t="s">
        <v>51</v>
      </c>
      <c r="C36" s="838"/>
      <c r="D36" s="838"/>
      <c r="E36" s="838"/>
      <c r="F36" s="838"/>
      <c r="G36" s="854">
        <v>58.400000000000006</v>
      </c>
      <c r="H36" s="854">
        <v>58.546000000000021</v>
      </c>
      <c r="I36" s="854">
        <v>58.692000000000036</v>
      </c>
      <c r="J36" s="854">
        <v>58.837999999999994</v>
      </c>
      <c r="K36" s="854">
        <v>58.984000000000009</v>
      </c>
      <c r="L36" s="854">
        <v>59.130000000000024</v>
      </c>
      <c r="M36" s="854">
        <v>59.275999999999982</v>
      </c>
      <c r="N36" s="854">
        <v>59.421999999999997</v>
      </c>
      <c r="O36" s="854">
        <v>59.568000000000012</v>
      </c>
      <c r="P36" s="854">
        <v>59.714000000000027</v>
      </c>
      <c r="Q36" s="854">
        <v>59.859999999999985</v>
      </c>
      <c r="R36" s="854">
        <v>60.006</v>
      </c>
      <c r="S36" s="854">
        <v>60.152000000000015</v>
      </c>
      <c r="T36" s="854">
        <v>60.29800000000003</v>
      </c>
      <c r="U36" s="854">
        <v>60.443999999999988</v>
      </c>
      <c r="V36" s="854">
        <v>60.59</v>
      </c>
      <c r="W36" s="854">
        <v>60.736000000000018</v>
      </c>
      <c r="X36" s="854">
        <v>60.882000000000033</v>
      </c>
      <c r="Y36" s="854">
        <v>61.027999999999992</v>
      </c>
      <c r="Z36" s="854">
        <v>61.174000000000007</v>
      </c>
      <c r="AA36" s="854">
        <v>61.320000000000022</v>
      </c>
      <c r="AB36" s="854">
        <v>61.46599999999998</v>
      </c>
      <c r="AC36" s="854">
        <v>61.611999999999995</v>
      </c>
      <c r="AD36" s="854">
        <v>61.75800000000001</v>
      </c>
      <c r="AE36" s="854">
        <v>61.904000000000025</v>
      </c>
      <c r="AF36" s="854">
        <v>62.049999999999983</v>
      </c>
    </row>
    <row r="37" spans="1:32" s="864" customFormat="1" ht="14.45" x14ac:dyDescent="0.35">
      <c r="A37" s="839"/>
      <c r="B37" s="839" t="s">
        <v>52</v>
      </c>
      <c r="C37" s="838"/>
      <c r="D37" s="838"/>
      <c r="E37" s="838"/>
      <c r="F37" s="838"/>
      <c r="G37" s="854">
        <v>52.429999999999971</v>
      </c>
      <c r="H37" s="854">
        <v>52.561074999999953</v>
      </c>
      <c r="I37" s="854">
        <v>52.69214999999997</v>
      </c>
      <c r="J37" s="854">
        <v>52.823224999999951</v>
      </c>
      <c r="K37" s="854">
        <v>52.954299999999968</v>
      </c>
      <c r="L37" s="854">
        <v>53.085374999999949</v>
      </c>
      <c r="M37" s="854">
        <v>53.216449999999966</v>
      </c>
      <c r="N37" s="854">
        <v>53.347524999999948</v>
      </c>
      <c r="O37" s="854">
        <v>53.478599999999965</v>
      </c>
      <c r="P37" s="854">
        <v>53.609674999999946</v>
      </c>
      <c r="Q37" s="854">
        <v>53.74074999999997</v>
      </c>
      <c r="R37" s="854">
        <v>53.871824999999944</v>
      </c>
      <c r="S37" s="854">
        <v>54.002899999999968</v>
      </c>
      <c r="T37" s="854">
        <v>54.133974999999943</v>
      </c>
      <c r="U37" s="854">
        <v>54.265049999999967</v>
      </c>
      <c r="V37" s="854">
        <v>54.396124999999941</v>
      </c>
      <c r="W37" s="854">
        <v>54.527199999999965</v>
      </c>
      <c r="X37" s="854">
        <v>54.658274999999954</v>
      </c>
      <c r="Y37" s="854">
        <v>54.789349999999963</v>
      </c>
      <c r="Z37" s="854">
        <v>54.920424999999952</v>
      </c>
      <c r="AA37" s="854">
        <v>55.051499999999962</v>
      </c>
      <c r="AB37" s="854">
        <v>55.18257499999995</v>
      </c>
      <c r="AC37" s="854">
        <v>55.31364999999996</v>
      </c>
      <c r="AD37" s="854">
        <v>55.444724999999949</v>
      </c>
      <c r="AE37" s="854">
        <v>55.575799999999958</v>
      </c>
      <c r="AF37" s="854">
        <v>55.706874999999947</v>
      </c>
    </row>
    <row r="38" spans="1:32" s="864" customFormat="1" ht="14.45" x14ac:dyDescent="0.35">
      <c r="A38" s="839"/>
      <c r="B38" s="842" t="s">
        <v>29</v>
      </c>
      <c r="C38" s="838"/>
      <c r="D38" s="838"/>
      <c r="E38" s="838"/>
      <c r="F38" s="838"/>
      <c r="G38" s="854">
        <v>69.886712931315586</v>
      </c>
      <c r="H38" s="854">
        <v>84.617739005122857</v>
      </c>
      <c r="I38" s="854">
        <v>99.77020761765985</v>
      </c>
      <c r="J38" s="854">
        <v>115.81072942703476</v>
      </c>
      <c r="K38" s="854">
        <v>131.19780938437214</v>
      </c>
      <c r="L38" s="854">
        <v>145.46220447607328</v>
      </c>
      <c r="M38" s="854">
        <v>157.75364681050067</v>
      </c>
      <c r="N38" s="854">
        <v>168.55506474700036</v>
      </c>
      <c r="O38" s="854">
        <v>177.96704120423578</v>
      </c>
      <c r="P38" s="854">
        <v>186.1654499682482</v>
      </c>
      <c r="Q38" s="854">
        <v>193.35230342395749</v>
      </c>
      <c r="R38" s="854">
        <v>196.11147215578865</v>
      </c>
      <c r="S38" s="854">
        <v>198.15456111208027</v>
      </c>
      <c r="T38" s="854">
        <v>199.65744029461996</v>
      </c>
      <c r="U38" s="854">
        <v>200.75757592848979</v>
      </c>
      <c r="V38" s="854">
        <v>201.56002861929591</v>
      </c>
      <c r="W38" s="854">
        <v>202.14382617150503</v>
      </c>
      <c r="X38" s="854">
        <v>202.5677447446416</v>
      </c>
      <c r="Y38" s="854">
        <v>202.87514562074011</v>
      </c>
      <c r="Z38" s="854">
        <v>203.09783237720012</v>
      </c>
      <c r="AA38" s="854">
        <v>203.25903410630769</v>
      </c>
      <c r="AB38" s="854">
        <v>203.37566609727986</v>
      </c>
      <c r="AC38" s="854">
        <v>203.46001922812226</v>
      </c>
      <c r="AD38" s="854">
        <v>203.52101022912549</v>
      </c>
      <c r="AE38" s="854">
        <v>203.56510065539746</v>
      </c>
      <c r="AF38" s="854">
        <v>203.59696908402657</v>
      </c>
    </row>
    <row r="39" spans="1:32" s="864" customFormat="1" ht="14.45" x14ac:dyDescent="0.35">
      <c r="A39" s="839"/>
      <c r="B39" s="842" t="s">
        <v>53</v>
      </c>
      <c r="C39" s="838"/>
      <c r="D39" s="838"/>
      <c r="E39" s="838"/>
      <c r="F39" s="838"/>
      <c r="G39" s="854">
        <v>0</v>
      </c>
      <c r="H39" s="854">
        <v>0</v>
      </c>
      <c r="I39" s="854">
        <v>0</v>
      </c>
      <c r="J39" s="854">
        <v>0</v>
      </c>
      <c r="K39" s="854">
        <v>0</v>
      </c>
      <c r="L39" s="854">
        <v>0</v>
      </c>
      <c r="M39" s="854">
        <v>0</v>
      </c>
      <c r="N39" s="854">
        <v>0</v>
      </c>
      <c r="O39" s="854">
        <v>0</v>
      </c>
      <c r="P39" s="854">
        <v>0</v>
      </c>
      <c r="Q39" s="854">
        <v>0</v>
      </c>
      <c r="R39" s="854">
        <v>0</v>
      </c>
      <c r="S39" s="854">
        <v>0</v>
      </c>
      <c r="T39" s="854">
        <v>0</v>
      </c>
      <c r="U39" s="854">
        <v>0</v>
      </c>
      <c r="V39" s="854">
        <v>0</v>
      </c>
      <c r="W39" s="854">
        <v>0</v>
      </c>
      <c r="X39" s="854">
        <v>0</v>
      </c>
      <c r="Y39" s="854">
        <v>0</v>
      </c>
      <c r="Z39" s="854">
        <v>0</v>
      </c>
      <c r="AA39" s="854">
        <v>0</v>
      </c>
      <c r="AB39" s="854">
        <v>0</v>
      </c>
      <c r="AC39" s="854">
        <v>0</v>
      </c>
      <c r="AD39" s="854">
        <v>0</v>
      </c>
      <c r="AE39" s="854">
        <v>0</v>
      </c>
      <c r="AF39" s="854">
        <v>0</v>
      </c>
    </row>
    <row r="42" spans="1:32" ht="14.45" x14ac:dyDescent="0.35">
      <c r="A42" s="860" t="s">
        <v>56</v>
      </c>
      <c r="B42" s="861"/>
      <c r="C42" s="860"/>
      <c r="D42" s="859"/>
      <c r="E42" s="859"/>
      <c r="F42" s="859"/>
      <c r="G42" s="859"/>
      <c r="H42" s="862"/>
      <c r="I42" s="862"/>
      <c r="J42" s="862"/>
      <c r="K42" s="862"/>
      <c r="L42" s="862"/>
      <c r="M42" s="862"/>
      <c r="N42" s="862"/>
      <c r="O42" s="862"/>
      <c r="P42" s="862"/>
      <c r="Q42" s="862"/>
      <c r="R42" s="862"/>
      <c r="S42" s="862"/>
      <c r="T42" s="862"/>
      <c r="U42" s="862"/>
      <c r="V42" s="862"/>
      <c r="W42" s="862"/>
      <c r="X42" s="862"/>
      <c r="Y42" s="862"/>
      <c r="Z42" s="862"/>
      <c r="AA42" s="862"/>
      <c r="AB42" s="862"/>
      <c r="AC42" s="862"/>
      <c r="AD42" s="862"/>
      <c r="AE42" s="862"/>
      <c r="AF42" s="862"/>
    </row>
    <row r="43" spans="1:32" ht="14.45" x14ac:dyDescent="0.35">
      <c r="A43" s="840" t="s">
        <v>12</v>
      </c>
      <c r="B43" s="839"/>
    </row>
    <row r="44" spans="1:32" ht="14.45" x14ac:dyDescent="0.35">
      <c r="A44" s="839"/>
      <c r="B44" s="839" t="s">
        <v>20</v>
      </c>
    </row>
    <row r="45" spans="1:32" s="856" customFormat="1" ht="12.95" x14ac:dyDescent="0.3">
      <c r="A45" s="843" t="s">
        <v>21</v>
      </c>
      <c r="B45" s="843"/>
      <c r="C45" s="843"/>
      <c r="D45" s="843"/>
      <c r="E45" s="843"/>
      <c r="F45" s="843"/>
      <c r="G45" s="843"/>
      <c r="H45" s="843"/>
      <c r="I45" s="843"/>
      <c r="J45" s="843"/>
      <c r="K45" s="843"/>
      <c r="L45" s="843"/>
      <c r="M45" s="843"/>
      <c r="N45" s="843"/>
      <c r="O45" s="843"/>
      <c r="P45" s="843"/>
      <c r="Q45" s="843"/>
      <c r="R45" s="843"/>
      <c r="S45" s="843"/>
      <c r="T45" s="843"/>
      <c r="U45" s="843"/>
      <c r="V45" s="843"/>
      <c r="W45" s="843"/>
      <c r="X45" s="843"/>
      <c r="Y45" s="843"/>
      <c r="Z45" s="843"/>
      <c r="AA45" s="843"/>
      <c r="AB45" s="843"/>
      <c r="AC45" s="843"/>
      <c r="AD45" s="843"/>
      <c r="AE45" s="843"/>
      <c r="AF45" s="843"/>
    </row>
    <row r="46" spans="1:32" s="864" customFormat="1" ht="14.45" x14ac:dyDescent="0.35">
      <c r="A46" s="839"/>
      <c r="B46" s="839" t="s">
        <v>22</v>
      </c>
      <c r="C46" s="838"/>
      <c r="D46" s="838"/>
      <c r="E46" s="838"/>
      <c r="F46" s="838"/>
      <c r="G46" s="854">
        <v>11.9</v>
      </c>
      <c r="H46" s="854">
        <v>11.9</v>
      </c>
      <c r="I46" s="854">
        <v>11.9</v>
      </c>
      <c r="J46" s="854">
        <v>11.9</v>
      </c>
      <c r="K46" s="854">
        <v>11.9</v>
      </c>
      <c r="L46" s="854">
        <v>11.9</v>
      </c>
      <c r="M46" s="854">
        <v>11.9</v>
      </c>
      <c r="N46" s="854">
        <v>11.9</v>
      </c>
      <c r="O46" s="854">
        <v>11.9</v>
      </c>
      <c r="P46" s="854">
        <v>11.9</v>
      </c>
      <c r="Q46" s="854">
        <v>11.9</v>
      </c>
      <c r="R46" s="854">
        <v>11.9</v>
      </c>
      <c r="S46" s="854">
        <v>11.9</v>
      </c>
      <c r="T46" s="854">
        <v>11.9</v>
      </c>
      <c r="U46" s="854">
        <v>11.9</v>
      </c>
      <c r="V46" s="854">
        <v>11.9</v>
      </c>
      <c r="W46" s="854">
        <v>11.9</v>
      </c>
      <c r="X46" s="854">
        <v>11.9</v>
      </c>
      <c r="Y46" s="854">
        <v>11.9</v>
      </c>
      <c r="Z46" s="854">
        <v>11.9</v>
      </c>
      <c r="AA46" s="854">
        <v>11.9</v>
      </c>
      <c r="AB46" s="854">
        <v>11.9</v>
      </c>
      <c r="AC46" s="854">
        <v>11.9</v>
      </c>
      <c r="AD46" s="854">
        <v>11.9</v>
      </c>
      <c r="AE46" s="854">
        <v>11.9</v>
      </c>
      <c r="AF46" s="854">
        <v>11.9</v>
      </c>
    </row>
    <row r="47" spans="1:32" s="864" customFormat="1" ht="14.45" x14ac:dyDescent="0.35">
      <c r="A47" s="839"/>
      <c r="B47" s="839" t="s">
        <v>26</v>
      </c>
      <c r="C47" s="838"/>
      <c r="D47" s="838"/>
      <c r="E47" s="838"/>
      <c r="F47" s="838"/>
      <c r="G47" s="854">
        <v>14.299999999999983</v>
      </c>
      <c r="H47" s="854">
        <v>14.371499999999997</v>
      </c>
      <c r="I47" s="854">
        <v>14.442999999999984</v>
      </c>
      <c r="J47" s="854">
        <v>14.514499999999998</v>
      </c>
      <c r="K47" s="854">
        <v>14.585999999999984</v>
      </c>
      <c r="L47" s="854">
        <v>14.657499999999999</v>
      </c>
      <c r="M47" s="854">
        <v>14.728999999999985</v>
      </c>
      <c r="N47" s="854">
        <v>14.8005</v>
      </c>
      <c r="O47" s="854">
        <v>14.871999999999986</v>
      </c>
      <c r="P47" s="854">
        <v>14.9435</v>
      </c>
      <c r="Q47" s="854">
        <v>15.014999999999986</v>
      </c>
      <c r="R47" s="854">
        <v>15.086500000000001</v>
      </c>
      <c r="S47" s="854">
        <v>15.157999999999987</v>
      </c>
      <c r="T47" s="854">
        <v>15.229500000000002</v>
      </c>
      <c r="U47" s="854">
        <v>15.300999999999988</v>
      </c>
      <c r="V47" s="854">
        <v>15.372500000000002</v>
      </c>
      <c r="W47" s="854">
        <v>15.443999999999988</v>
      </c>
      <c r="X47" s="854">
        <v>15.515500000000003</v>
      </c>
      <c r="Y47" s="854">
        <v>15.586999999999989</v>
      </c>
      <c r="Z47" s="854">
        <v>15.658500000000004</v>
      </c>
      <c r="AA47" s="854">
        <v>15.72999999999999</v>
      </c>
      <c r="AB47" s="854">
        <v>15.801500000000004</v>
      </c>
      <c r="AC47" s="854">
        <v>15.87299999999999</v>
      </c>
      <c r="AD47" s="854">
        <v>15.944500000000005</v>
      </c>
      <c r="AE47" s="854">
        <v>16.015999999999991</v>
      </c>
      <c r="AF47" s="854">
        <v>16.087500000000006</v>
      </c>
    </row>
    <row r="48" spans="1:32" s="864" customFormat="1" ht="14.45" x14ac:dyDescent="0.35">
      <c r="A48" s="839"/>
      <c r="B48" s="839" t="s">
        <v>27</v>
      </c>
      <c r="C48" s="838"/>
      <c r="D48" s="838"/>
      <c r="E48" s="838"/>
      <c r="F48" s="838"/>
      <c r="G48" s="854">
        <v>53.300000000000068</v>
      </c>
      <c r="H48" s="854">
        <v>53.566500000000019</v>
      </c>
      <c r="I48" s="854">
        <v>53.83299999999997</v>
      </c>
      <c r="J48" s="854">
        <v>54.099500000000035</v>
      </c>
      <c r="K48" s="854">
        <v>54.365999999999985</v>
      </c>
      <c r="L48" s="854">
        <v>54.63250000000005</v>
      </c>
      <c r="M48" s="854">
        <v>54.899000000000001</v>
      </c>
      <c r="N48" s="854">
        <v>55.165500000000065</v>
      </c>
      <c r="O48" s="854">
        <v>55.432000000000016</v>
      </c>
      <c r="P48" s="854">
        <v>55.698499999999967</v>
      </c>
      <c r="Q48" s="854">
        <v>55.965000000000032</v>
      </c>
      <c r="R48" s="854">
        <v>56.231499999999983</v>
      </c>
      <c r="S48" s="854">
        <v>56.498000000000047</v>
      </c>
      <c r="T48" s="854">
        <v>56.764499999999998</v>
      </c>
      <c r="U48" s="854">
        <v>57.031000000000063</v>
      </c>
      <c r="V48" s="854">
        <v>57.297500000000014</v>
      </c>
      <c r="W48" s="854">
        <v>57.563999999999965</v>
      </c>
      <c r="X48" s="854">
        <v>57.830500000000029</v>
      </c>
      <c r="Y48" s="854">
        <v>58.09699999999998</v>
      </c>
      <c r="Z48" s="854">
        <v>58.363500000000045</v>
      </c>
      <c r="AA48" s="854">
        <v>58.629999999999995</v>
      </c>
      <c r="AB48" s="854">
        <v>58.89650000000006</v>
      </c>
      <c r="AC48" s="854">
        <v>59.163000000000011</v>
      </c>
      <c r="AD48" s="854">
        <v>59.429500000000075</v>
      </c>
      <c r="AE48" s="854">
        <v>59.696000000000026</v>
      </c>
      <c r="AF48" s="854">
        <v>59.962499999999977</v>
      </c>
    </row>
    <row r="49" spans="1:32" s="864" customFormat="1" ht="14.45" x14ac:dyDescent="0.35">
      <c r="A49" s="839"/>
      <c r="B49" s="839" t="s">
        <v>29</v>
      </c>
      <c r="C49" s="838"/>
      <c r="D49" s="838"/>
      <c r="E49" s="838"/>
      <c r="F49" s="838"/>
      <c r="G49" s="854">
        <v>36.873768202819726</v>
      </c>
      <c r="H49" s="854">
        <v>48.266272480467556</v>
      </c>
      <c r="I49" s="854">
        <v>61.701198700113544</v>
      </c>
      <c r="J49" s="854">
        <v>77.591734715380795</v>
      </c>
      <c r="K49" s="854">
        <v>94.800465488123137</v>
      </c>
      <c r="L49" s="854">
        <v>112.50003941617493</v>
      </c>
      <c r="M49" s="854">
        <v>129.3471504340618</v>
      </c>
      <c r="N49" s="854">
        <v>145.03095133963808</v>
      </c>
      <c r="O49" s="854">
        <v>159.127310954921</v>
      </c>
      <c r="P49" s="854">
        <v>171.48202098927979</v>
      </c>
      <c r="Q49" s="854">
        <v>182.15170200680319</v>
      </c>
      <c r="R49" s="854">
        <v>187.8607232688625</v>
      </c>
      <c r="S49" s="854">
        <v>192.15160570290442</v>
      </c>
      <c r="T49" s="854">
        <v>195.33034204073093</v>
      </c>
      <c r="U49" s="854">
        <v>197.66006127320361</v>
      </c>
      <c r="V49" s="854">
        <v>199.35413887963063</v>
      </c>
      <c r="W49" s="854">
        <v>200.57896356186501</v>
      </c>
      <c r="X49" s="854">
        <v>201.46085171629713</v>
      </c>
      <c r="Y49" s="854">
        <v>202.09392729485813</v>
      </c>
      <c r="Z49" s="854">
        <v>202.54741526513342</v>
      </c>
      <c r="AA49" s="854">
        <v>202.87176106409183</v>
      </c>
      <c r="AB49" s="854">
        <v>203.10348618652321</v>
      </c>
      <c r="AC49" s="854">
        <v>203.26890947460336</v>
      </c>
      <c r="AD49" s="854">
        <v>203.38693514979437</v>
      </c>
      <c r="AE49" s="854">
        <v>203.47111002115616</v>
      </c>
      <c r="AF49" s="854">
        <v>203.53112565740346</v>
      </c>
    </row>
    <row r="50" spans="1:32" s="864" customFormat="1" ht="14.45" x14ac:dyDescent="0.35">
      <c r="A50" s="839"/>
      <c r="B50" s="839"/>
      <c r="C50" s="838"/>
      <c r="D50" s="838"/>
      <c r="E50" s="838"/>
      <c r="F50" s="838"/>
      <c r="G50" s="854"/>
      <c r="H50" s="838"/>
      <c r="I50" s="838"/>
      <c r="J50" s="838"/>
      <c r="K50" s="838"/>
      <c r="L50" s="838"/>
      <c r="M50" s="838"/>
      <c r="N50" s="838"/>
      <c r="O50" s="838"/>
      <c r="P50" s="838"/>
      <c r="Q50" s="838"/>
      <c r="R50" s="838"/>
      <c r="S50" s="838"/>
      <c r="T50" s="838"/>
      <c r="U50" s="838"/>
      <c r="V50" s="838"/>
      <c r="W50" s="838"/>
      <c r="X50" s="838"/>
      <c r="Y50" s="838"/>
      <c r="Z50" s="838"/>
      <c r="AA50" s="838"/>
      <c r="AB50" s="838"/>
      <c r="AC50" s="838"/>
      <c r="AD50" s="838"/>
      <c r="AE50" s="838"/>
      <c r="AF50" s="838"/>
    </row>
    <row r="51" spans="1:32" s="856" customFormat="1" ht="12.95" x14ac:dyDescent="0.3">
      <c r="A51" s="843" t="s">
        <v>32</v>
      </c>
      <c r="B51" s="843"/>
      <c r="C51" s="843"/>
      <c r="D51" s="843"/>
      <c r="E51" s="843"/>
      <c r="F51" s="843"/>
      <c r="G51" s="865"/>
      <c r="H51" s="843"/>
      <c r="I51" s="843"/>
      <c r="J51" s="843"/>
      <c r="K51" s="843"/>
      <c r="L51" s="843"/>
      <c r="M51" s="843"/>
      <c r="N51" s="843"/>
      <c r="O51" s="843"/>
      <c r="P51" s="843"/>
      <c r="Q51" s="843"/>
      <c r="R51" s="843"/>
      <c r="S51" s="843"/>
      <c r="T51" s="843"/>
      <c r="U51" s="843"/>
      <c r="V51" s="843"/>
      <c r="W51" s="843"/>
      <c r="X51" s="843"/>
      <c r="Y51" s="843"/>
      <c r="Z51" s="843"/>
      <c r="AA51" s="843"/>
      <c r="AB51" s="843"/>
      <c r="AC51" s="843"/>
      <c r="AD51" s="843"/>
      <c r="AE51" s="843"/>
      <c r="AF51" s="843"/>
    </row>
    <row r="52" spans="1:32" s="864" customFormat="1" ht="14.45" x14ac:dyDescent="0.35">
      <c r="A52" s="839"/>
      <c r="B52" s="839" t="s">
        <v>33</v>
      </c>
      <c r="C52" s="838"/>
      <c r="D52" s="838"/>
      <c r="E52" s="838"/>
      <c r="F52" s="838"/>
      <c r="G52" s="854">
        <v>10.199999999999999</v>
      </c>
      <c r="H52" s="854">
        <v>10.199999999999999</v>
      </c>
      <c r="I52" s="854">
        <v>10.199999999999999</v>
      </c>
      <c r="J52" s="854">
        <v>10.199999999999999</v>
      </c>
      <c r="K52" s="854">
        <v>10.199999999999999</v>
      </c>
      <c r="L52" s="854">
        <v>10.199999999999999</v>
      </c>
      <c r="M52" s="854">
        <v>10.199999999999999</v>
      </c>
      <c r="N52" s="854">
        <v>10.199999999999999</v>
      </c>
      <c r="O52" s="854">
        <v>10.199999999999999</v>
      </c>
      <c r="P52" s="854">
        <v>10.199999999999999</v>
      </c>
      <c r="Q52" s="854">
        <v>10.199999999999999</v>
      </c>
      <c r="R52" s="854">
        <v>10.199999999999999</v>
      </c>
      <c r="S52" s="854">
        <v>10.199999999999999</v>
      </c>
      <c r="T52" s="854">
        <v>10.199999999999999</v>
      </c>
      <c r="U52" s="854">
        <v>10.199999999999999</v>
      </c>
      <c r="V52" s="854">
        <v>10.199999999999999</v>
      </c>
      <c r="W52" s="854">
        <v>10.199999999999999</v>
      </c>
      <c r="X52" s="854">
        <v>10.199999999999999</v>
      </c>
      <c r="Y52" s="854">
        <v>10.199999999999999</v>
      </c>
      <c r="Z52" s="854">
        <v>10.199999999999999</v>
      </c>
      <c r="AA52" s="854">
        <v>10.199999999999999</v>
      </c>
      <c r="AB52" s="854">
        <v>10.199999999999999</v>
      </c>
      <c r="AC52" s="854">
        <v>10.199999999999999</v>
      </c>
      <c r="AD52" s="854">
        <v>10.199999999999999</v>
      </c>
      <c r="AE52" s="854">
        <v>10.199999999999999</v>
      </c>
      <c r="AF52" s="854">
        <v>10.199999999999999</v>
      </c>
    </row>
    <row r="53" spans="1:32" s="864" customFormat="1" ht="14.45" x14ac:dyDescent="0.35">
      <c r="A53" s="842"/>
      <c r="B53" s="842" t="s">
        <v>34</v>
      </c>
      <c r="C53" s="838"/>
      <c r="D53" s="838"/>
      <c r="E53" s="838"/>
      <c r="F53" s="838"/>
      <c r="G53" s="854">
        <v>12.899999999999991</v>
      </c>
      <c r="H53" s="854">
        <v>12.964499999999973</v>
      </c>
      <c r="I53" s="854">
        <v>14.263890122654011</v>
      </c>
      <c r="J53" s="854">
        <v>15.56328024530805</v>
      </c>
      <c r="K53" s="854">
        <v>16.862670367962089</v>
      </c>
      <c r="L53" s="854">
        <v>16.946983719801896</v>
      </c>
      <c r="M53" s="854">
        <v>17.031718638400903</v>
      </c>
      <c r="N53" s="854">
        <v>17.116877231592905</v>
      </c>
      <c r="O53" s="854">
        <v>17.202461617750867</v>
      </c>
      <c r="P53" s="854">
        <v>17.288473925839618</v>
      </c>
      <c r="Q53" s="854">
        <v>17.374916295468815</v>
      </c>
      <c r="R53" s="854">
        <v>17.461790876946157</v>
      </c>
      <c r="S53" s="854">
        <v>17.549099831330885</v>
      </c>
      <c r="T53" s="854">
        <v>17.636845330487539</v>
      </c>
      <c r="U53" s="854">
        <v>17.725029557139973</v>
      </c>
      <c r="V53" s="854">
        <v>17.813654704925671</v>
      </c>
      <c r="W53" s="854">
        <v>17.902722978450292</v>
      </c>
      <c r="X53" s="854">
        <v>17.992236593342543</v>
      </c>
      <c r="Y53" s="854">
        <v>18.082197776309254</v>
      </c>
      <c r="Z53" s="854">
        <v>18.172608765190795</v>
      </c>
      <c r="AA53" s="854">
        <v>18.263471809016746</v>
      </c>
      <c r="AB53" s="854">
        <v>18.354789168061831</v>
      </c>
      <c r="AC53" s="854">
        <v>18.446563113902133</v>
      </c>
      <c r="AD53" s="854">
        <v>18.538795929471643</v>
      </c>
      <c r="AE53" s="854">
        <v>18.631489909118997</v>
      </c>
      <c r="AF53" s="854">
        <v>18.724647358664587</v>
      </c>
    </row>
    <row r="54" spans="1:32" s="864" customFormat="1" ht="14.45" x14ac:dyDescent="0.35">
      <c r="A54" s="839"/>
      <c r="B54" s="842" t="s">
        <v>35</v>
      </c>
      <c r="C54" s="838"/>
      <c r="D54" s="838"/>
      <c r="E54" s="838"/>
      <c r="F54" s="838"/>
      <c r="G54" s="854">
        <v>41.899999999999977</v>
      </c>
      <c r="H54" s="854">
        <v>42.109499999999969</v>
      </c>
      <c r="I54" s="854">
        <v>42.319000000000017</v>
      </c>
      <c r="J54" s="854">
        <v>42.528500000000008</v>
      </c>
      <c r="K54" s="854">
        <v>42.738</v>
      </c>
      <c r="L54" s="854">
        <v>42.947499999999991</v>
      </c>
      <c r="M54" s="854">
        <v>43.156999999999982</v>
      </c>
      <c r="N54" s="854">
        <v>43.366499999999974</v>
      </c>
      <c r="O54" s="854">
        <v>43.576000000000022</v>
      </c>
      <c r="P54" s="854">
        <v>43.785500000000013</v>
      </c>
      <c r="Q54" s="854">
        <v>43.995000000000005</v>
      </c>
      <c r="R54" s="854">
        <v>44.204499999999996</v>
      </c>
      <c r="S54" s="854">
        <v>44.413999999999987</v>
      </c>
      <c r="T54" s="854">
        <v>44.623499999999979</v>
      </c>
      <c r="U54" s="854">
        <v>44.83299999999997</v>
      </c>
      <c r="V54" s="854">
        <v>45.042500000000018</v>
      </c>
      <c r="W54" s="854">
        <v>45.25200000000001</v>
      </c>
      <c r="X54" s="854">
        <v>45.461500000000001</v>
      </c>
      <c r="Y54" s="854">
        <v>45.670999999999992</v>
      </c>
      <c r="Z54" s="854">
        <v>45.880499999999984</v>
      </c>
      <c r="AA54" s="854">
        <v>46.089999999999975</v>
      </c>
      <c r="AB54" s="854">
        <v>46.299499999999966</v>
      </c>
      <c r="AC54" s="854">
        <v>46.509000000000015</v>
      </c>
      <c r="AD54" s="854">
        <v>46.718500000000006</v>
      </c>
      <c r="AE54" s="854">
        <v>46.927999999999997</v>
      </c>
      <c r="AF54" s="854">
        <v>47.137499999999989</v>
      </c>
    </row>
    <row r="55" spans="1:32" s="864" customFormat="1" ht="14.45" x14ac:dyDescent="0.35">
      <c r="A55" s="839"/>
      <c r="B55" s="842" t="s">
        <v>29</v>
      </c>
      <c r="C55" s="838"/>
      <c r="D55" s="838"/>
      <c r="E55" s="838"/>
      <c r="F55" s="838"/>
      <c r="G55" s="854">
        <v>36.873768202819726</v>
      </c>
      <c r="H55" s="854">
        <v>48.266272480467556</v>
      </c>
      <c r="I55" s="854">
        <v>61.701198700113544</v>
      </c>
      <c r="J55" s="854">
        <v>77.591734715380795</v>
      </c>
      <c r="K55" s="854">
        <v>94.800465488123137</v>
      </c>
      <c r="L55" s="854">
        <v>112.50003941617493</v>
      </c>
      <c r="M55" s="854">
        <v>129.3471504340618</v>
      </c>
      <c r="N55" s="854">
        <v>145.03095133963808</v>
      </c>
      <c r="O55" s="854">
        <v>159.127310954921</v>
      </c>
      <c r="P55" s="854">
        <v>171.48202098927979</v>
      </c>
      <c r="Q55" s="854">
        <v>182.15170200680319</v>
      </c>
      <c r="R55" s="854">
        <v>187.8607232688625</v>
      </c>
      <c r="S55" s="854">
        <v>192.15160570290442</v>
      </c>
      <c r="T55" s="854">
        <v>195.33034204073093</v>
      </c>
      <c r="U55" s="854">
        <v>197.66006127320361</v>
      </c>
      <c r="V55" s="854">
        <v>199.35413887963063</v>
      </c>
      <c r="W55" s="854">
        <v>200.57896356186501</v>
      </c>
      <c r="X55" s="854">
        <v>201.46085171629713</v>
      </c>
      <c r="Y55" s="854">
        <v>202.09392729485813</v>
      </c>
      <c r="Z55" s="854">
        <v>202.54741526513342</v>
      </c>
      <c r="AA55" s="854">
        <v>202.87176106409183</v>
      </c>
      <c r="AB55" s="854">
        <v>203.10348618652321</v>
      </c>
      <c r="AC55" s="854">
        <v>203.26890947460336</v>
      </c>
      <c r="AD55" s="854">
        <v>203.38693514979437</v>
      </c>
      <c r="AE55" s="854">
        <v>203.47111002115616</v>
      </c>
      <c r="AF55" s="854">
        <v>203.53112565740346</v>
      </c>
    </row>
    <row r="56" spans="1:32" s="864" customFormat="1" ht="14.45" x14ac:dyDescent="0.35">
      <c r="A56" s="839"/>
      <c r="B56" s="839"/>
      <c r="C56" s="838"/>
      <c r="D56" s="838"/>
      <c r="E56" s="838"/>
      <c r="F56" s="838"/>
      <c r="G56" s="854"/>
      <c r="H56" s="838"/>
      <c r="I56" s="838"/>
      <c r="J56" s="838"/>
      <c r="K56" s="838"/>
      <c r="L56" s="838"/>
      <c r="M56" s="838"/>
      <c r="N56" s="838"/>
      <c r="O56" s="838"/>
      <c r="P56" s="838"/>
      <c r="Q56" s="838"/>
      <c r="R56" s="838"/>
      <c r="S56" s="838"/>
      <c r="T56" s="838"/>
      <c r="U56" s="838"/>
      <c r="V56" s="838"/>
      <c r="W56" s="838"/>
      <c r="X56" s="838"/>
      <c r="Y56" s="838"/>
      <c r="Z56" s="838"/>
      <c r="AA56" s="838"/>
      <c r="AB56" s="838"/>
      <c r="AC56" s="838"/>
      <c r="AD56" s="838"/>
      <c r="AE56" s="838"/>
      <c r="AF56" s="838"/>
    </row>
    <row r="57" spans="1:32" s="856" customFormat="1" ht="12.95" x14ac:dyDescent="0.3">
      <c r="A57" s="843" t="s">
        <v>36</v>
      </c>
      <c r="B57" s="843"/>
      <c r="C57" s="843"/>
      <c r="D57" s="843"/>
      <c r="E57" s="843"/>
      <c r="F57" s="843"/>
      <c r="G57" s="865"/>
      <c r="H57" s="843"/>
      <c r="I57" s="843"/>
      <c r="J57" s="843"/>
      <c r="K57" s="843"/>
      <c r="L57" s="843"/>
      <c r="M57" s="843"/>
      <c r="N57" s="843"/>
      <c r="O57" s="843"/>
      <c r="P57" s="843"/>
      <c r="Q57" s="843"/>
      <c r="R57" s="843"/>
      <c r="S57" s="843"/>
      <c r="T57" s="843"/>
      <c r="U57" s="843"/>
      <c r="V57" s="843"/>
      <c r="W57" s="843"/>
      <c r="X57" s="843"/>
      <c r="Y57" s="843"/>
      <c r="Z57" s="843"/>
      <c r="AA57" s="843"/>
      <c r="AB57" s="843"/>
      <c r="AC57" s="843"/>
      <c r="AD57" s="843"/>
      <c r="AE57" s="843"/>
      <c r="AF57" s="843"/>
    </row>
    <row r="58" spans="1:32" s="864" customFormat="1" ht="14.45" x14ac:dyDescent="0.35">
      <c r="A58" s="839"/>
      <c r="B58" s="839" t="s">
        <v>37</v>
      </c>
      <c r="C58" s="838"/>
      <c r="D58" s="838"/>
      <c r="E58" s="838"/>
      <c r="F58" s="855"/>
      <c r="G58" s="854">
        <v>42.629999999999995</v>
      </c>
      <c r="H58" s="854">
        <v>42.629999999999995</v>
      </c>
      <c r="I58" s="854">
        <v>42.629999999999995</v>
      </c>
      <c r="J58" s="854">
        <v>42.629999999999995</v>
      </c>
      <c r="K58" s="854">
        <v>42.629999999999995</v>
      </c>
      <c r="L58" s="854">
        <v>42.629999999999995</v>
      </c>
      <c r="M58" s="854">
        <v>42.629999999999995</v>
      </c>
      <c r="N58" s="854">
        <v>42.629999999999995</v>
      </c>
      <c r="O58" s="854">
        <v>42.629999999999995</v>
      </c>
      <c r="P58" s="854">
        <v>42.629999999999995</v>
      </c>
      <c r="Q58" s="854">
        <v>42.629999999999995</v>
      </c>
      <c r="R58" s="854">
        <v>42.629999999999995</v>
      </c>
      <c r="S58" s="854">
        <v>42.629999999999995</v>
      </c>
      <c r="T58" s="854">
        <v>42.629999999999995</v>
      </c>
      <c r="U58" s="854">
        <v>42.629999999999995</v>
      </c>
      <c r="V58" s="854">
        <v>42.629999999999995</v>
      </c>
      <c r="W58" s="854">
        <v>42.629999999999995</v>
      </c>
      <c r="X58" s="854">
        <v>42.629999999999995</v>
      </c>
      <c r="Y58" s="854">
        <v>42.629999999999995</v>
      </c>
      <c r="Z58" s="854">
        <v>42.629999999999995</v>
      </c>
      <c r="AA58" s="854">
        <v>42.629999999999995</v>
      </c>
      <c r="AB58" s="854">
        <v>42.629999999999995</v>
      </c>
      <c r="AC58" s="854">
        <v>42.629999999999995</v>
      </c>
      <c r="AD58" s="854">
        <v>42.629999999999995</v>
      </c>
      <c r="AE58" s="854">
        <v>42.629999999999995</v>
      </c>
      <c r="AF58" s="854">
        <v>42.629999999999995</v>
      </c>
    </row>
    <row r="59" spans="1:32" s="864" customFormat="1" ht="14.45" x14ac:dyDescent="0.35">
      <c r="A59" s="839"/>
      <c r="B59" s="839" t="s">
        <v>39</v>
      </c>
      <c r="C59" s="838"/>
      <c r="D59" s="838"/>
      <c r="E59" s="857"/>
      <c r="F59" s="838"/>
      <c r="G59" s="854">
        <v>60.830000000000013</v>
      </c>
      <c r="H59" s="854">
        <v>61.134149999999991</v>
      </c>
      <c r="I59" s="854">
        <v>61.438299999999977</v>
      </c>
      <c r="J59" s="854">
        <v>61.742449999999963</v>
      </c>
      <c r="K59" s="854">
        <v>61.813733333333303</v>
      </c>
      <c r="L59" s="854">
        <v>62.523241516267632</v>
      </c>
      <c r="M59" s="854">
        <v>63.234219999999993</v>
      </c>
      <c r="N59" s="854">
        <v>64.192545899999985</v>
      </c>
      <c r="O59" s="854">
        <v>64.513508629499981</v>
      </c>
      <c r="P59" s="854">
        <v>64.836076172647466</v>
      </c>
      <c r="Q59" s="854">
        <v>65.160256553510692</v>
      </c>
      <c r="R59" s="854">
        <v>65.486057836278235</v>
      </c>
      <c r="S59" s="854">
        <v>65.813488125459614</v>
      </c>
      <c r="T59" s="854">
        <v>66.142555566086912</v>
      </c>
      <c r="U59" s="854">
        <v>66.47326834391734</v>
      </c>
      <c r="V59" s="854">
        <v>66.805634685636917</v>
      </c>
      <c r="W59" s="854">
        <v>67.139662859065083</v>
      </c>
      <c r="X59" s="854">
        <v>67.475361173360412</v>
      </c>
      <c r="Y59" s="854">
        <v>67.812737979227194</v>
      </c>
      <c r="Z59" s="854">
        <v>68.15180166912333</v>
      </c>
      <c r="AA59" s="854">
        <v>68.49256067746893</v>
      </c>
      <c r="AB59" s="854">
        <v>68.83502348085625</v>
      </c>
      <c r="AC59" s="854">
        <v>69.179198598260527</v>
      </c>
      <c r="AD59" s="854">
        <v>69.525094591251829</v>
      </c>
      <c r="AE59" s="854">
        <v>69.872720064208067</v>
      </c>
      <c r="AF59" s="854">
        <v>70.222083664529109</v>
      </c>
    </row>
    <row r="60" spans="1:32" s="864" customFormat="1" ht="14.45" x14ac:dyDescent="0.35">
      <c r="A60" s="839"/>
      <c r="B60" s="839" t="s">
        <v>40</v>
      </c>
      <c r="C60" s="838"/>
      <c r="D60" s="838"/>
      <c r="E60" s="838"/>
      <c r="F60" s="838"/>
      <c r="G60" s="854">
        <v>72.539999999999992</v>
      </c>
      <c r="H60" s="854">
        <v>72.902699999999996</v>
      </c>
      <c r="I60" s="854">
        <v>73.265400000000014</v>
      </c>
      <c r="J60" s="854">
        <v>73.628100000000032</v>
      </c>
      <c r="K60" s="854">
        <v>73.990800000000036</v>
      </c>
      <c r="L60" s="854">
        <v>74.597548687089756</v>
      </c>
      <c r="M60" s="854">
        <v>75.206678336980275</v>
      </c>
      <c r="N60" s="854">
        <v>75.81818894967175</v>
      </c>
      <c r="O60" s="854">
        <v>76.184460393873067</v>
      </c>
      <c r="P60" s="854">
        <v>76.550731838074398</v>
      </c>
      <c r="Q60" s="854">
        <v>76.917003282275715</v>
      </c>
      <c r="R60" s="854">
        <v>77.283274726477046</v>
      </c>
      <c r="S60" s="854">
        <v>77.649546170678363</v>
      </c>
      <c r="T60" s="854">
        <v>78.015817614879694</v>
      </c>
      <c r="U60" s="854">
        <v>78.382089059080997</v>
      </c>
      <c r="V60" s="854">
        <v>78.748360503282242</v>
      </c>
      <c r="W60" s="854">
        <v>79.114631947483559</v>
      </c>
      <c r="X60" s="854">
        <v>79.48090339168489</v>
      </c>
      <c r="Y60" s="854">
        <v>79.847174835886207</v>
      </c>
      <c r="Z60" s="854">
        <v>80.213446280087538</v>
      </c>
      <c r="AA60" s="854">
        <v>80.579717724288855</v>
      </c>
      <c r="AB60" s="854">
        <v>80.945989168490186</v>
      </c>
      <c r="AC60" s="854">
        <v>81.312260612691503</v>
      </c>
      <c r="AD60" s="854">
        <v>81.678532056892834</v>
      </c>
      <c r="AE60" s="854">
        <v>82.044803501094151</v>
      </c>
      <c r="AF60" s="854">
        <v>82.411074945295368</v>
      </c>
    </row>
    <row r="61" spans="1:32" s="864" customFormat="1" ht="14.45" x14ac:dyDescent="0.35">
      <c r="A61" s="839"/>
      <c r="B61" s="839" t="s">
        <v>29</v>
      </c>
      <c r="C61" s="838"/>
      <c r="D61" s="838"/>
      <c r="E61" s="838"/>
      <c r="F61" s="838"/>
      <c r="G61" s="854">
        <v>69.886712931315586</v>
      </c>
      <c r="H61" s="854">
        <v>84.617739005122857</v>
      </c>
      <c r="I61" s="854">
        <v>99.77020761765985</v>
      </c>
      <c r="J61" s="854">
        <v>115.81072942703476</v>
      </c>
      <c r="K61" s="854">
        <v>131.19780938437214</v>
      </c>
      <c r="L61" s="854">
        <v>145.46220447607328</v>
      </c>
      <c r="M61" s="854">
        <v>157.75364681050067</v>
      </c>
      <c r="N61" s="854">
        <v>168.55506474700036</v>
      </c>
      <c r="O61" s="854">
        <v>177.96704120423578</v>
      </c>
      <c r="P61" s="854">
        <v>186.1654499682482</v>
      </c>
      <c r="Q61" s="854">
        <v>193.35230342395749</v>
      </c>
      <c r="R61" s="854">
        <v>196.11147215578865</v>
      </c>
      <c r="S61" s="854">
        <v>198.15456111208027</v>
      </c>
      <c r="T61" s="854">
        <v>199.65744029461996</v>
      </c>
      <c r="U61" s="854">
        <v>200.75757592848979</v>
      </c>
      <c r="V61" s="854">
        <v>201.56002861929591</v>
      </c>
      <c r="W61" s="854">
        <v>202.14382617150503</v>
      </c>
      <c r="X61" s="854">
        <v>202.5677447446416</v>
      </c>
      <c r="Y61" s="854">
        <v>202.87514562074011</v>
      </c>
      <c r="Z61" s="854">
        <v>203.09783237720012</v>
      </c>
      <c r="AA61" s="854">
        <v>203.25903410630769</v>
      </c>
      <c r="AB61" s="854">
        <v>203.37566609727986</v>
      </c>
      <c r="AC61" s="854">
        <v>203.46001922812226</v>
      </c>
      <c r="AD61" s="854">
        <v>203.52101022912549</v>
      </c>
      <c r="AE61" s="854">
        <v>203.56510065539746</v>
      </c>
      <c r="AF61" s="854">
        <v>203.59696908402657</v>
      </c>
    </row>
    <row r="62" spans="1:32" s="864" customFormat="1" ht="14.45" x14ac:dyDescent="0.35">
      <c r="A62" s="839"/>
      <c r="B62" s="839"/>
      <c r="C62" s="838"/>
      <c r="D62" s="838"/>
      <c r="E62" s="838"/>
      <c r="F62" s="838"/>
      <c r="G62" s="854"/>
      <c r="H62" s="838"/>
      <c r="I62" s="838"/>
      <c r="J62" s="838"/>
      <c r="K62" s="838"/>
      <c r="L62" s="838"/>
      <c r="M62" s="838"/>
      <c r="N62" s="838"/>
      <c r="O62" s="838"/>
      <c r="P62" s="838"/>
      <c r="Q62" s="838"/>
      <c r="R62" s="838"/>
      <c r="S62" s="838"/>
      <c r="T62" s="838"/>
      <c r="U62" s="838"/>
      <c r="V62" s="838"/>
      <c r="W62" s="838"/>
      <c r="X62" s="838"/>
      <c r="Y62" s="838"/>
      <c r="Z62" s="838"/>
      <c r="AA62" s="838"/>
      <c r="AB62" s="838"/>
      <c r="AC62" s="838"/>
      <c r="AD62" s="838"/>
      <c r="AE62" s="838"/>
      <c r="AF62" s="838"/>
    </row>
    <row r="63" spans="1:32" s="856" customFormat="1" ht="12.95" x14ac:dyDescent="0.3">
      <c r="A63" s="843" t="s">
        <v>42</v>
      </c>
      <c r="B63" s="843"/>
      <c r="C63" s="843"/>
      <c r="D63" s="843"/>
      <c r="E63" s="843"/>
      <c r="F63" s="843"/>
      <c r="G63" s="865"/>
      <c r="H63" s="843"/>
      <c r="I63" s="843"/>
      <c r="J63" s="843"/>
      <c r="K63" s="843"/>
      <c r="L63" s="843"/>
      <c r="M63" s="843"/>
      <c r="N63" s="843"/>
      <c r="O63" s="843"/>
      <c r="P63" s="843"/>
      <c r="Q63" s="843"/>
      <c r="R63" s="843"/>
      <c r="S63" s="843"/>
      <c r="T63" s="843"/>
      <c r="U63" s="843"/>
      <c r="V63" s="843"/>
      <c r="W63" s="843"/>
      <c r="X63" s="843"/>
      <c r="Y63" s="843"/>
      <c r="Z63" s="843"/>
      <c r="AA63" s="843"/>
      <c r="AB63" s="843"/>
      <c r="AC63" s="843"/>
      <c r="AD63" s="843"/>
      <c r="AE63" s="843"/>
      <c r="AF63" s="843"/>
    </row>
    <row r="64" spans="1:32" s="864" customFormat="1" ht="14.45" x14ac:dyDescent="0.35">
      <c r="A64" s="839"/>
      <c r="B64" s="842" t="s">
        <v>43</v>
      </c>
      <c r="C64" s="838"/>
      <c r="D64" s="838"/>
      <c r="E64" s="838"/>
      <c r="F64" s="838"/>
      <c r="G64" s="854">
        <v>25.22</v>
      </c>
      <c r="H64" s="854">
        <v>25.22</v>
      </c>
      <c r="I64" s="854">
        <v>25.22</v>
      </c>
      <c r="J64" s="854">
        <v>25.22</v>
      </c>
      <c r="K64" s="854">
        <v>25.22</v>
      </c>
      <c r="L64" s="854">
        <v>25.22</v>
      </c>
      <c r="M64" s="854">
        <v>25.22</v>
      </c>
      <c r="N64" s="854">
        <v>25.22</v>
      </c>
      <c r="O64" s="854">
        <v>25.22</v>
      </c>
      <c r="P64" s="854">
        <v>25.22</v>
      </c>
      <c r="Q64" s="854">
        <v>25.22</v>
      </c>
      <c r="R64" s="854">
        <v>25.22</v>
      </c>
      <c r="S64" s="854">
        <v>25.22</v>
      </c>
      <c r="T64" s="854">
        <v>25.22</v>
      </c>
      <c r="U64" s="854">
        <v>25.22</v>
      </c>
      <c r="V64" s="854">
        <v>25.22</v>
      </c>
      <c r="W64" s="854">
        <v>25.22</v>
      </c>
      <c r="X64" s="854">
        <v>25.22</v>
      </c>
      <c r="Y64" s="854">
        <v>25.22</v>
      </c>
      <c r="Z64" s="854">
        <v>25.22</v>
      </c>
      <c r="AA64" s="854">
        <v>25.22</v>
      </c>
      <c r="AB64" s="854">
        <v>25.22</v>
      </c>
      <c r="AC64" s="854">
        <v>25.22</v>
      </c>
      <c r="AD64" s="854">
        <v>25.22</v>
      </c>
      <c r="AE64" s="854">
        <v>25.22</v>
      </c>
      <c r="AF64" s="854">
        <v>25.22</v>
      </c>
    </row>
    <row r="65" spans="1:32" s="864" customFormat="1" ht="14.45" x14ac:dyDescent="0.35">
      <c r="A65" s="839"/>
      <c r="B65" s="842" t="s">
        <v>44</v>
      </c>
      <c r="C65" s="838"/>
      <c r="D65" s="838"/>
      <c r="E65" s="838"/>
      <c r="F65" s="838"/>
      <c r="G65" s="854">
        <v>49.075000000000131</v>
      </c>
      <c r="H65" s="854">
        <v>49.765057761262234</v>
      </c>
      <c r="I65" s="854">
        <v>50.135517248318791</v>
      </c>
      <c r="J65" s="854">
        <v>50.505976735375214</v>
      </c>
      <c r="K65" s="854">
        <v>50.876436222431764</v>
      </c>
      <c r="L65" s="854">
        <v>51.246895709488321</v>
      </c>
      <c r="M65" s="854">
        <v>51.617355196544871</v>
      </c>
      <c r="N65" s="854">
        <v>51.987814683601428</v>
      </c>
      <c r="O65" s="854">
        <v>52.358274170657985</v>
      </c>
      <c r="P65" s="854">
        <v>52.728733657714542</v>
      </c>
      <c r="Q65" s="854">
        <v>53.099193144771085</v>
      </c>
      <c r="R65" s="854">
        <v>53.469652631827643</v>
      </c>
      <c r="S65" s="854">
        <v>53.8401121188842</v>
      </c>
      <c r="T65" s="854">
        <v>54.210571605940629</v>
      </c>
      <c r="U65" s="854">
        <v>54.581031092997179</v>
      </c>
      <c r="V65" s="854">
        <v>54.951490580053736</v>
      </c>
      <c r="W65" s="854">
        <v>55.321950067110286</v>
      </c>
      <c r="X65" s="854">
        <v>55.692409554166836</v>
      </c>
      <c r="Y65" s="854">
        <v>56.062869041223394</v>
      </c>
      <c r="Z65" s="854">
        <v>56.433328528279951</v>
      </c>
      <c r="AA65" s="854">
        <v>56.803788015336508</v>
      </c>
      <c r="AB65" s="854">
        <v>57.174247502393065</v>
      </c>
      <c r="AC65" s="854">
        <v>57.544706989449608</v>
      </c>
      <c r="AD65" s="854">
        <v>57.915166476506037</v>
      </c>
      <c r="AE65" s="854">
        <v>58.285625963562595</v>
      </c>
      <c r="AF65" s="854">
        <v>58.656085450619145</v>
      </c>
    </row>
    <row r="66" spans="1:32" s="864" customFormat="1" ht="14.45" x14ac:dyDescent="0.35">
      <c r="A66" s="839"/>
      <c r="B66" s="842" t="s">
        <v>45</v>
      </c>
      <c r="C66" s="838"/>
      <c r="D66" s="838"/>
      <c r="E66" s="838"/>
      <c r="F66" s="838"/>
      <c r="G66" s="854">
        <v>68.055000000000007</v>
      </c>
      <c r="H66" s="854">
        <v>68.225137499999988</v>
      </c>
      <c r="I66" s="854">
        <v>68.395275000000026</v>
      </c>
      <c r="J66" s="854">
        <v>68.565412500000008</v>
      </c>
      <c r="K66" s="854">
        <v>68.735550000000046</v>
      </c>
      <c r="L66" s="854">
        <v>68.905687500000013</v>
      </c>
      <c r="M66" s="854">
        <v>69.075824999999995</v>
      </c>
      <c r="N66" s="854">
        <v>69.245962500000033</v>
      </c>
      <c r="O66" s="854">
        <v>69.416100000000014</v>
      </c>
      <c r="P66" s="854">
        <v>69.586237500000038</v>
      </c>
      <c r="Q66" s="854">
        <v>69.75637500000002</v>
      </c>
      <c r="R66" s="854">
        <v>69.926512500000001</v>
      </c>
      <c r="S66" s="854">
        <v>70.096650000000039</v>
      </c>
      <c r="T66" s="854">
        <v>70.266787500000007</v>
      </c>
      <c r="U66" s="854">
        <v>70.436925000000045</v>
      </c>
      <c r="V66" s="854">
        <v>70.607062500000026</v>
      </c>
      <c r="W66" s="854">
        <v>70.777199999999993</v>
      </c>
      <c r="X66" s="854">
        <v>70.947337500000032</v>
      </c>
      <c r="Y66" s="854">
        <v>71.117475000000013</v>
      </c>
      <c r="Z66" s="854">
        <v>71.28761249999998</v>
      </c>
      <c r="AA66" s="854">
        <v>71.457750000000019</v>
      </c>
      <c r="AB66" s="854">
        <v>71.6278875</v>
      </c>
      <c r="AC66" s="854">
        <v>71.798025000000038</v>
      </c>
      <c r="AD66" s="854">
        <v>71.96816250000002</v>
      </c>
      <c r="AE66" s="854">
        <v>72.138299999999987</v>
      </c>
      <c r="AF66" s="854">
        <v>72.308437500000025</v>
      </c>
    </row>
    <row r="67" spans="1:32" s="864" customFormat="1" ht="14.45" x14ac:dyDescent="0.35">
      <c r="A67" s="839"/>
      <c r="B67" s="842" t="s">
        <v>46</v>
      </c>
      <c r="C67" s="838"/>
      <c r="D67" s="838"/>
      <c r="E67" s="838"/>
      <c r="F67" s="838"/>
      <c r="G67" s="854">
        <v>0</v>
      </c>
      <c r="H67" s="854">
        <v>0</v>
      </c>
      <c r="I67" s="854">
        <v>0</v>
      </c>
      <c r="J67" s="854">
        <v>0</v>
      </c>
      <c r="K67" s="854">
        <v>0</v>
      </c>
      <c r="L67" s="854">
        <v>0</v>
      </c>
      <c r="M67" s="854">
        <v>0</v>
      </c>
      <c r="N67" s="854">
        <v>0</v>
      </c>
      <c r="O67" s="854">
        <v>0</v>
      </c>
      <c r="P67" s="854">
        <v>0</v>
      </c>
      <c r="Q67" s="854">
        <v>0</v>
      </c>
      <c r="R67" s="854">
        <v>0</v>
      </c>
      <c r="S67" s="854">
        <v>0</v>
      </c>
      <c r="T67" s="854">
        <v>0</v>
      </c>
      <c r="U67" s="854">
        <v>0</v>
      </c>
      <c r="V67" s="854">
        <v>0</v>
      </c>
      <c r="W67" s="854">
        <v>0</v>
      </c>
      <c r="X67" s="854">
        <v>0</v>
      </c>
      <c r="Y67" s="854">
        <v>0</v>
      </c>
      <c r="Z67" s="854">
        <v>0</v>
      </c>
      <c r="AA67" s="854">
        <v>0</v>
      </c>
      <c r="AB67" s="854">
        <v>0</v>
      </c>
      <c r="AC67" s="854">
        <v>0</v>
      </c>
      <c r="AD67" s="854">
        <v>0</v>
      </c>
      <c r="AE67" s="854">
        <v>0</v>
      </c>
      <c r="AF67" s="854">
        <v>0</v>
      </c>
    </row>
    <row r="68" spans="1:32" s="864" customFormat="1" ht="14.45" x14ac:dyDescent="0.35">
      <c r="A68" s="839"/>
      <c r="B68" s="839" t="s">
        <v>29</v>
      </c>
      <c r="C68" s="838"/>
      <c r="D68" s="838"/>
      <c r="E68" s="838"/>
      <c r="F68" s="838"/>
      <c r="G68" s="854">
        <v>69.886712931315586</v>
      </c>
      <c r="H68" s="854">
        <v>84.617739005122857</v>
      </c>
      <c r="I68" s="854">
        <v>99.77020761765985</v>
      </c>
      <c r="J68" s="854">
        <v>115.81072942703476</v>
      </c>
      <c r="K68" s="854">
        <v>131.19780938437214</v>
      </c>
      <c r="L68" s="854">
        <v>145.46220447607328</v>
      </c>
      <c r="M68" s="854">
        <v>157.75364681050067</v>
      </c>
      <c r="N68" s="854">
        <v>168.55506474700036</v>
      </c>
      <c r="O68" s="854">
        <v>177.96704120423578</v>
      </c>
      <c r="P68" s="854">
        <v>186.1654499682482</v>
      </c>
      <c r="Q68" s="854">
        <v>193.35230342395749</v>
      </c>
      <c r="R68" s="854">
        <v>196.11147215578865</v>
      </c>
      <c r="S68" s="854">
        <v>198.15456111208027</v>
      </c>
      <c r="T68" s="854">
        <v>199.65744029461996</v>
      </c>
      <c r="U68" s="854">
        <v>200.75757592848979</v>
      </c>
      <c r="V68" s="854">
        <v>201.56002861929591</v>
      </c>
      <c r="W68" s="854">
        <v>202.14382617150503</v>
      </c>
      <c r="X68" s="854">
        <v>202.5677447446416</v>
      </c>
      <c r="Y68" s="854">
        <v>202.87514562074011</v>
      </c>
      <c r="Z68" s="854">
        <v>203.09783237720012</v>
      </c>
      <c r="AA68" s="854">
        <v>203.25903410630769</v>
      </c>
      <c r="AB68" s="854">
        <v>203.37566609727986</v>
      </c>
      <c r="AC68" s="854">
        <v>203.46001922812226</v>
      </c>
      <c r="AD68" s="854">
        <v>203.52101022912549</v>
      </c>
      <c r="AE68" s="854">
        <v>203.56510065539746</v>
      </c>
      <c r="AF68" s="854">
        <v>203.59696908402657</v>
      </c>
    </row>
    <row r="69" spans="1:32" s="864" customFormat="1" ht="14.45" x14ac:dyDescent="0.35">
      <c r="A69" s="839"/>
      <c r="B69" s="839"/>
      <c r="C69" s="838"/>
      <c r="D69" s="838"/>
      <c r="E69" s="838"/>
      <c r="F69" s="838"/>
      <c r="G69" s="854"/>
      <c r="H69" s="838"/>
      <c r="I69" s="838"/>
      <c r="J69" s="838"/>
      <c r="K69" s="838"/>
      <c r="L69" s="838"/>
      <c r="M69" s="838"/>
      <c r="N69" s="838"/>
      <c r="O69" s="838"/>
      <c r="P69" s="838"/>
      <c r="Q69" s="838"/>
      <c r="R69" s="838"/>
      <c r="S69" s="838"/>
      <c r="T69" s="838"/>
      <c r="U69" s="838"/>
      <c r="V69" s="838"/>
      <c r="W69" s="838"/>
      <c r="X69" s="838"/>
      <c r="Y69" s="838"/>
      <c r="Z69" s="838"/>
      <c r="AA69" s="838"/>
      <c r="AB69" s="838"/>
      <c r="AC69" s="838"/>
      <c r="AD69" s="838"/>
      <c r="AE69" s="838"/>
      <c r="AF69" s="838"/>
    </row>
    <row r="70" spans="1:32" s="856" customFormat="1" ht="12.95" x14ac:dyDescent="0.3">
      <c r="A70" s="843" t="s">
        <v>47</v>
      </c>
      <c r="B70" s="843"/>
      <c r="C70" s="843"/>
      <c r="D70" s="843"/>
      <c r="E70" s="843"/>
      <c r="F70" s="843"/>
      <c r="G70" s="865"/>
      <c r="H70" s="843"/>
      <c r="I70" s="843"/>
      <c r="J70" s="843"/>
      <c r="K70" s="843"/>
      <c r="L70" s="843"/>
      <c r="M70" s="843"/>
      <c r="N70" s="843"/>
      <c r="O70" s="843"/>
      <c r="P70" s="843"/>
      <c r="Q70" s="843"/>
      <c r="R70" s="843"/>
      <c r="S70" s="843"/>
      <c r="T70" s="843"/>
      <c r="U70" s="843"/>
      <c r="V70" s="843"/>
      <c r="W70" s="843"/>
      <c r="X70" s="843"/>
      <c r="Y70" s="843"/>
      <c r="Z70" s="843"/>
      <c r="AA70" s="843"/>
      <c r="AB70" s="843"/>
      <c r="AC70" s="843"/>
      <c r="AD70" s="843"/>
      <c r="AE70" s="843"/>
      <c r="AF70" s="843"/>
    </row>
    <row r="71" spans="1:32" s="864" customFormat="1" ht="14.45" x14ac:dyDescent="0.35">
      <c r="A71" s="839"/>
      <c r="B71" s="839" t="s">
        <v>48</v>
      </c>
      <c r="C71" s="838"/>
      <c r="D71" s="838"/>
      <c r="E71" s="838"/>
      <c r="F71" s="838"/>
      <c r="G71" s="854">
        <v>0</v>
      </c>
      <c r="H71" s="854">
        <v>0</v>
      </c>
      <c r="I71" s="854">
        <v>0</v>
      </c>
      <c r="J71" s="854">
        <v>0</v>
      </c>
      <c r="K71" s="854">
        <v>0</v>
      </c>
      <c r="L71" s="854">
        <v>0</v>
      </c>
      <c r="M71" s="854">
        <v>0</v>
      </c>
      <c r="N71" s="854">
        <v>0</v>
      </c>
      <c r="O71" s="854">
        <v>0</v>
      </c>
      <c r="P71" s="854">
        <v>0</v>
      </c>
      <c r="Q71" s="854">
        <v>0</v>
      </c>
      <c r="R71" s="854">
        <v>0</v>
      </c>
      <c r="S71" s="854">
        <v>0</v>
      </c>
      <c r="T71" s="854">
        <v>0</v>
      </c>
      <c r="U71" s="854">
        <v>0</v>
      </c>
      <c r="V71" s="854">
        <v>0</v>
      </c>
      <c r="W71" s="854">
        <v>0</v>
      </c>
      <c r="X71" s="854">
        <v>0</v>
      </c>
      <c r="Y71" s="854">
        <v>0</v>
      </c>
      <c r="Z71" s="854">
        <v>0</v>
      </c>
      <c r="AA71" s="854">
        <v>0</v>
      </c>
      <c r="AB71" s="854">
        <v>0</v>
      </c>
      <c r="AC71" s="854">
        <v>0</v>
      </c>
      <c r="AD71" s="854">
        <v>0</v>
      </c>
      <c r="AE71" s="854">
        <v>0</v>
      </c>
      <c r="AF71" s="854">
        <v>0</v>
      </c>
    </row>
    <row r="72" spans="1:32" s="864" customFormat="1" ht="14.45" x14ac:dyDescent="0.35">
      <c r="A72" s="839"/>
      <c r="B72" s="842" t="s">
        <v>50</v>
      </c>
      <c r="C72" s="838"/>
      <c r="D72" s="838"/>
      <c r="E72" s="838"/>
      <c r="F72" s="838"/>
      <c r="G72" s="854">
        <v>13</v>
      </c>
      <c r="H72" s="854">
        <v>13.032499999999999</v>
      </c>
      <c r="I72" s="854">
        <v>13.064999999999998</v>
      </c>
      <c r="J72" s="854">
        <v>13.097499999999997</v>
      </c>
      <c r="K72" s="854">
        <v>13.129999999999995</v>
      </c>
      <c r="L72" s="854">
        <v>13.162499999999994</v>
      </c>
      <c r="M72" s="854">
        <v>13.194999999999993</v>
      </c>
      <c r="N72" s="854">
        <v>13.227500000000006</v>
      </c>
      <c r="O72" s="854">
        <v>13.260000000000005</v>
      </c>
      <c r="P72" s="854">
        <v>13.292500000000004</v>
      </c>
      <c r="Q72" s="854">
        <v>13.325000000000003</v>
      </c>
      <c r="R72" s="854">
        <v>13.357500000000002</v>
      </c>
      <c r="S72" s="854">
        <v>13.39</v>
      </c>
      <c r="T72" s="854">
        <v>13.422499999999999</v>
      </c>
      <c r="U72" s="854">
        <v>13.454999999999998</v>
      </c>
      <c r="V72" s="854">
        <v>13.487499999999997</v>
      </c>
      <c r="W72" s="854">
        <v>13.519999999999996</v>
      </c>
      <c r="X72" s="854">
        <v>13.552499999999995</v>
      </c>
      <c r="Y72" s="854">
        <v>13.584999999999994</v>
      </c>
      <c r="Z72" s="854">
        <v>13.617499999999993</v>
      </c>
      <c r="AA72" s="854">
        <v>13.650000000000006</v>
      </c>
      <c r="AB72" s="854">
        <v>13.682500000000005</v>
      </c>
      <c r="AC72" s="854">
        <v>13.715000000000003</v>
      </c>
      <c r="AD72" s="854">
        <v>13.747500000000002</v>
      </c>
      <c r="AE72" s="854">
        <v>13.780000000000001</v>
      </c>
      <c r="AF72" s="854">
        <v>13.8125</v>
      </c>
    </row>
    <row r="73" spans="1:32" s="864" customFormat="1" ht="14.45" x14ac:dyDescent="0.35">
      <c r="A73" s="839"/>
      <c r="B73" s="839" t="s">
        <v>51</v>
      </c>
      <c r="C73" s="838"/>
      <c r="D73" s="838"/>
      <c r="E73" s="838"/>
      <c r="F73" s="838"/>
      <c r="G73" s="854">
        <v>68.599999999999966</v>
      </c>
      <c r="H73" s="854">
        <v>68.771499999999946</v>
      </c>
      <c r="I73" s="854">
        <v>68.942999999999984</v>
      </c>
      <c r="J73" s="854">
        <v>69.114499999999964</v>
      </c>
      <c r="K73" s="854">
        <v>69.285999999999945</v>
      </c>
      <c r="L73" s="854">
        <v>69.457499999999982</v>
      </c>
      <c r="M73" s="854">
        <v>69.628999999999962</v>
      </c>
      <c r="N73" s="854">
        <v>69.800499999999943</v>
      </c>
      <c r="O73" s="854">
        <v>69.97199999999998</v>
      </c>
      <c r="P73" s="854">
        <v>70.14349999999996</v>
      </c>
      <c r="Q73" s="854">
        <v>70.314999999999941</v>
      </c>
      <c r="R73" s="854">
        <v>70.486499999999978</v>
      </c>
      <c r="S73" s="854">
        <v>70.657999999999959</v>
      </c>
      <c r="T73" s="854">
        <v>70.829499999999996</v>
      </c>
      <c r="U73" s="854">
        <v>71.000999999999976</v>
      </c>
      <c r="V73" s="854">
        <v>71.172499999999957</v>
      </c>
      <c r="W73" s="854">
        <v>71.343999999999994</v>
      </c>
      <c r="X73" s="854">
        <v>71.515499999999975</v>
      </c>
      <c r="Y73" s="854">
        <v>71.686999999999955</v>
      </c>
      <c r="Z73" s="854">
        <v>71.858499999999992</v>
      </c>
      <c r="AA73" s="854">
        <v>72.029999999999973</v>
      </c>
      <c r="AB73" s="854">
        <v>72.201499999999953</v>
      </c>
      <c r="AC73" s="854">
        <v>72.37299999999999</v>
      </c>
      <c r="AD73" s="854">
        <v>72.544499999999971</v>
      </c>
      <c r="AE73" s="854">
        <v>72.715999999999951</v>
      </c>
      <c r="AF73" s="854">
        <v>72.887499999999989</v>
      </c>
    </row>
    <row r="74" spans="1:32" s="864" customFormat="1" ht="14.45" x14ac:dyDescent="0.35">
      <c r="A74" s="839"/>
      <c r="B74" s="839" t="s">
        <v>52</v>
      </c>
      <c r="C74" s="838"/>
      <c r="D74" s="838"/>
      <c r="E74" s="838"/>
      <c r="F74" s="838"/>
      <c r="G74" s="854">
        <v>55.859999999999985</v>
      </c>
      <c r="H74" s="854">
        <v>55.999650000000017</v>
      </c>
      <c r="I74" s="854">
        <v>56.139299999999992</v>
      </c>
      <c r="J74" s="854">
        <v>56.278949999999988</v>
      </c>
      <c r="K74" s="854">
        <v>56.418600000000005</v>
      </c>
      <c r="L74" s="854">
        <v>56.933221823204413</v>
      </c>
      <c r="M74" s="854">
        <v>57.449695359115999</v>
      </c>
      <c r="N74" s="854">
        <v>57.968020607734815</v>
      </c>
      <c r="O74" s="854">
        <v>58.110448176795572</v>
      </c>
      <c r="P74" s="854">
        <v>58.252875745856365</v>
      </c>
      <c r="Q74" s="854">
        <v>58.395303314917129</v>
      </c>
      <c r="R74" s="854">
        <v>58.537730883977886</v>
      </c>
      <c r="S74" s="854">
        <v>58.680158453038686</v>
      </c>
      <c r="T74" s="854">
        <v>58.822586022099451</v>
      </c>
      <c r="U74" s="854">
        <v>58.965013591160215</v>
      </c>
      <c r="V74" s="854">
        <v>59.107441160221001</v>
      </c>
      <c r="W74" s="854">
        <v>59.249868729281765</v>
      </c>
      <c r="X74" s="854">
        <v>59.392296298342529</v>
      </c>
      <c r="Y74" s="854">
        <v>59.534723867403329</v>
      </c>
      <c r="Z74" s="854">
        <v>59.677151436464079</v>
      </c>
      <c r="AA74" s="854">
        <v>59.819579005524879</v>
      </c>
      <c r="AB74" s="854">
        <v>59.962006574585644</v>
      </c>
      <c r="AC74" s="854">
        <v>60.104434143646401</v>
      </c>
      <c r="AD74" s="854">
        <v>60.246861712707194</v>
      </c>
      <c r="AE74" s="854">
        <v>60.389289281767958</v>
      </c>
      <c r="AF74" s="854">
        <v>60.531716850828715</v>
      </c>
    </row>
    <row r="75" spans="1:32" s="864" customFormat="1" ht="14.45" x14ac:dyDescent="0.35">
      <c r="A75" s="839"/>
      <c r="B75" s="842" t="s">
        <v>29</v>
      </c>
      <c r="C75" s="838"/>
      <c r="D75" s="838"/>
      <c r="E75" s="838"/>
      <c r="F75" s="838"/>
      <c r="G75" s="854">
        <v>69.886712931315586</v>
      </c>
      <c r="H75" s="854">
        <v>84.617739005122857</v>
      </c>
      <c r="I75" s="854">
        <v>99.77020761765985</v>
      </c>
      <c r="J75" s="854">
        <v>115.81072942703476</v>
      </c>
      <c r="K75" s="854">
        <v>131.19780938437214</v>
      </c>
      <c r="L75" s="854">
        <v>145.46220447607328</v>
      </c>
      <c r="M75" s="854">
        <v>157.75364681050067</v>
      </c>
      <c r="N75" s="854">
        <v>168.55506474700036</v>
      </c>
      <c r="O75" s="854">
        <v>177.96704120423578</v>
      </c>
      <c r="P75" s="854">
        <v>186.1654499682482</v>
      </c>
      <c r="Q75" s="854">
        <v>193.35230342395749</v>
      </c>
      <c r="R75" s="854">
        <v>196.11147215578865</v>
      </c>
      <c r="S75" s="854">
        <v>198.15456111208027</v>
      </c>
      <c r="T75" s="854">
        <v>199.65744029461996</v>
      </c>
      <c r="U75" s="854">
        <v>200.75757592848979</v>
      </c>
      <c r="V75" s="854">
        <v>201.56002861929591</v>
      </c>
      <c r="W75" s="854">
        <v>202.14382617150503</v>
      </c>
      <c r="X75" s="854">
        <v>202.5677447446416</v>
      </c>
      <c r="Y75" s="854">
        <v>202.87514562074011</v>
      </c>
      <c r="Z75" s="854">
        <v>203.09783237720012</v>
      </c>
      <c r="AA75" s="854">
        <v>203.25903410630769</v>
      </c>
      <c r="AB75" s="854">
        <v>203.37566609727986</v>
      </c>
      <c r="AC75" s="854">
        <v>203.46001922812226</v>
      </c>
      <c r="AD75" s="854">
        <v>203.52101022912549</v>
      </c>
      <c r="AE75" s="854">
        <v>203.56510065539746</v>
      </c>
      <c r="AF75" s="854">
        <v>203.59696908402657</v>
      </c>
    </row>
    <row r="76" spans="1:32" s="864" customFormat="1" ht="14.45" x14ac:dyDescent="0.35">
      <c r="A76" s="839"/>
      <c r="B76" s="842" t="s">
        <v>53</v>
      </c>
      <c r="C76" s="838"/>
      <c r="D76" s="838"/>
      <c r="E76" s="838"/>
      <c r="F76" s="838"/>
      <c r="G76" s="854">
        <v>0</v>
      </c>
      <c r="H76" s="854">
        <v>0</v>
      </c>
      <c r="I76" s="854">
        <v>0</v>
      </c>
      <c r="J76" s="854">
        <v>0</v>
      </c>
      <c r="K76" s="854">
        <v>0</v>
      </c>
      <c r="L76" s="854">
        <v>0</v>
      </c>
      <c r="M76" s="854">
        <v>0</v>
      </c>
      <c r="N76" s="854">
        <v>0</v>
      </c>
      <c r="O76" s="854">
        <v>0</v>
      </c>
      <c r="P76" s="854">
        <v>0</v>
      </c>
      <c r="Q76" s="854">
        <v>0</v>
      </c>
      <c r="R76" s="854">
        <v>0</v>
      </c>
      <c r="S76" s="854">
        <v>0</v>
      </c>
      <c r="T76" s="854">
        <v>0</v>
      </c>
      <c r="U76" s="854">
        <v>0</v>
      </c>
      <c r="V76" s="854">
        <v>0</v>
      </c>
      <c r="W76" s="854">
        <v>0</v>
      </c>
      <c r="X76" s="854">
        <v>0</v>
      </c>
      <c r="Y76" s="854">
        <v>0</v>
      </c>
      <c r="Z76" s="854">
        <v>0</v>
      </c>
      <c r="AA76" s="854">
        <v>0</v>
      </c>
      <c r="AB76" s="854">
        <v>0</v>
      </c>
      <c r="AC76" s="854">
        <v>0</v>
      </c>
      <c r="AD76" s="854">
        <v>0</v>
      </c>
      <c r="AE76" s="854">
        <v>0</v>
      </c>
      <c r="AF76" s="854">
        <v>0</v>
      </c>
    </row>
    <row r="79" spans="1:32" ht="14.45" x14ac:dyDescent="0.35">
      <c r="A79" s="860" t="s">
        <v>57</v>
      </c>
      <c r="B79" s="861"/>
      <c r="C79" s="860"/>
      <c r="D79" s="859"/>
      <c r="E79" s="859"/>
      <c r="F79" s="859"/>
      <c r="G79" s="859"/>
      <c r="H79" s="862"/>
      <c r="I79" s="862"/>
      <c r="J79" s="862"/>
      <c r="K79" s="862"/>
      <c r="L79" s="862"/>
      <c r="M79" s="862"/>
      <c r="N79" s="862"/>
      <c r="O79" s="862"/>
      <c r="P79" s="862"/>
      <c r="Q79" s="862"/>
      <c r="R79" s="862"/>
      <c r="S79" s="862"/>
      <c r="T79" s="862"/>
      <c r="U79" s="862"/>
      <c r="V79" s="862"/>
      <c r="W79" s="862"/>
      <c r="X79" s="862"/>
      <c r="Y79" s="862"/>
      <c r="Z79" s="862"/>
      <c r="AA79" s="862"/>
      <c r="AB79" s="862"/>
      <c r="AC79" s="862"/>
      <c r="AD79" s="862"/>
      <c r="AE79" s="862"/>
      <c r="AF79" s="862"/>
    </row>
    <row r="80" spans="1:32" ht="14.45" x14ac:dyDescent="0.35">
      <c r="A80" s="840" t="s">
        <v>12</v>
      </c>
      <c r="B80" s="839"/>
    </row>
    <row r="81" spans="1:32" ht="14.45" x14ac:dyDescent="0.35">
      <c r="A81" s="839"/>
      <c r="B81" s="839" t="s">
        <v>20</v>
      </c>
    </row>
    <row r="82" spans="1:32" s="856" customFormat="1" ht="12.95" x14ac:dyDescent="0.3">
      <c r="A82" s="843" t="s">
        <v>21</v>
      </c>
      <c r="B82" s="843"/>
      <c r="C82" s="843"/>
      <c r="D82" s="843"/>
      <c r="E82" s="843"/>
      <c r="F82" s="843"/>
      <c r="G82" s="843"/>
      <c r="H82" s="843"/>
      <c r="I82" s="843"/>
      <c r="J82" s="843"/>
      <c r="K82" s="843"/>
      <c r="L82" s="843"/>
      <c r="M82" s="843"/>
      <c r="N82" s="843"/>
      <c r="O82" s="843"/>
      <c r="P82" s="843"/>
      <c r="Q82" s="843"/>
      <c r="R82" s="843"/>
      <c r="S82" s="843"/>
      <c r="T82" s="843"/>
      <c r="U82" s="843"/>
      <c r="V82" s="843"/>
      <c r="W82" s="843"/>
      <c r="X82" s="843"/>
      <c r="Y82" s="843"/>
      <c r="Z82" s="843"/>
      <c r="AA82" s="843"/>
      <c r="AB82" s="843"/>
      <c r="AC82" s="843"/>
      <c r="AD82" s="843"/>
      <c r="AE82" s="843"/>
      <c r="AF82" s="843"/>
    </row>
    <row r="83" spans="1:32" s="864" customFormat="1" ht="14.45" x14ac:dyDescent="0.35">
      <c r="A83" s="839"/>
      <c r="B83" s="839" t="s">
        <v>22</v>
      </c>
      <c r="C83" s="838"/>
      <c r="D83" s="838"/>
      <c r="E83" s="838"/>
      <c r="F83" s="838"/>
      <c r="G83" s="854">
        <v>0</v>
      </c>
      <c r="H83" s="854">
        <v>0</v>
      </c>
      <c r="I83" s="854">
        <v>0</v>
      </c>
      <c r="J83" s="854">
        <v>0</v>
      </c>
      <c r="K83" s="854">
        <v>0</v>
      </c>
      <c r="L83" s="854">
        <v>0</v>
      </c>
      <c r="M83" s="854">
        <v>0</v>
      </c>
      <c r="N83" s="854">
        <v>0</v>
      </c>
      <c r="O83" s="854">
        <v>0</v>
      </c>
      <c r="P83" s="854">
        <v>0</v>
      </c>
      <c r="Q83" s="854">
        <v>0</v>
      </c>
      <c r="R83" s="854">
        <v>0</v>
      </c>
      <c r="S83" s="854">
        <v>0</v>
      </c>
      <c r="T83" s="854">
        <v>0</v>
      </c>
      <c r="U83" s="854">
        <v>0</v>
      </c>
      <c r="V83" s="854">
        <v>0</v>
      </c>
      <c r="W83" s="854">
        <v>0</v>
      </c>
      <c r="X83" s="854">
        <v>0</v>
      </c>
      <c r="Y83" s="854">
        <v>0</v>
      </c>
      <c r="Z83" s="854">
        <v>0</v>
      </c>
      <c r="AA83" s="854">
        <v>0</v>
      </c>
      <c r="AB83" s="854">
        <v>0</v>
      </c>
      <c r="AC83" s="854">
        <v>0</v>
      </c>
      <c r="AD83" s="854">
        <v>0</v>
      </c>
      <c r="AE83" s="854">
        <v>0</v>
      </c>
      <c r="AF83" s="854">
        <v>0</v>
      </c>
    </row>
    <row r="84" spans="1:32" s="864" customFormat="1" ht="14.45" x14ac:dyDescent="0.35">
      <c r="A84" s="839"/>
      <c r="B84" s="839" t="s">
        <v>26</v>
      </c>
      <c r="C84" s="838"/>
      <c r="D84" s="838"/>
      <c r="E84" s="838"/>
      <c r="F84" s="838"/>
      <c r="G84" s="854">
        <v>0</v>
      </c>
      <c r="H84" s="854">
        <v>0</v>
      </c>
      <c r="I84" s="854">
        <v>0</v>
      </c>
      <c r="J84" s="854">
        <v>0</v>
      </c>
      <c r="K84" s="854">
        <v>0</v>
      </c>
      <c r="L84" s="854">
        <v>0</v>
      </c>
      <c r="M84" s="854">
        <v>0</v>
      </c>
      <c r="N84" s="854">
        <v>0</v>
      </c>
      <c r="O84" s="854">
        <v>0</v>
      </c>
      <c r="P84" s="854">
        <v>0</v>
      </c>
      <c r="Q84" s="854">
        <v>0</v>
      </c>
      <c r="R84" s="854">
        <v>0</v>
      </c>
      <c r="S84" s="854">
        <v>0</v>
      </c>
      <c r="T84" s="854">
        <v>0</v>
      </c>
      <c r="U84" s="854">
        <v>0</v>
      </c>
      <c r="V84" s="854">
        <v>0</v>
      </c>
      <c r="W84" s="854">
        <v>0</v>
      </c>
      <c r="X84" s="854">
        <v>0</v>
      </c>
      <c r="Y84" s="854">
        <v>0</v>
      </c>
      <c r="Z84" s="854">
        <v>0</v>
      </c>
      <c r="AA84" s="854">
        <v>0</v>
      </c>
      <c r="AB84" s="854">
        <v>0</v>
      </c>
      <c r="AC84" s="854">
        <v>0</v>
      </c>
      <c r="AD84" s="854">
        <v>0</v>
      </c>
      <c r="AE84" s="854">
        <v>0</v>
      </c>
      <c r="AF84" s="854">
        <v>0</v>
      </c>
    </row>
    <row r="85" spans="1:32" s="864" customFormat="1" ht="14.45" x14ac:dyDescent="0.35">
      <c r="A85" s="839"/>
      <c r="B85" s="839" t="s">
        <v>27</v>
      </c>
      <c r="C85" s="838"/>
      <c r="D85" s="838"/>
      <c r="E85" s="838"/>
      <c r="F85" s="838"/>
      <c r="G85" s="854">
        <v>0</v>
      </c>
      <c r="H85" s="854">
        <v>0</v>
      </c>
      <c r="I85" s="854">
        <v>0</v>
      </c>
      <c r="J85" s="854">
        <v>0</v>
      </c>
      <c r="K85" s="854">
        <v>0</v>
      </c>
      <c r="L85" s="854">
        <v>0</v>
      </c>
      <c r="M85" s="854">
        <v>0</v>
      </c>
      <c r="N85" s="854">
        <v>0</v>
      </c>
      <c r="O85" s="854">
        <v>0</v>
      </c>
      <c r="P85" s="854">
        <v>0</v>
      </c>
      <c r="Q85" s="854">
        <v>0</v>
      </c>
      <c r="R85" s="854">
        <v>0</v>
      </c>
      <c r="S85" s="854">
        <v>0</v>
      </c>
      <c r="T85" s="854">
        <v>0</v>
      </c>
      <c r="U85" s="854">
        <v>0</v>
      </c>
      <c r="V85" s="854">
        <v>0</v>
      </c>
      <c r="W85" s="854">
        <v>0</v>
      </c>
      <c r="X85" s="854">
        <v>0</v>
      </c>
      <c r="Y85" s="854">
        <v>0</v>
      </c>
      <c r="Z85" s="854">
        <v>0</v>
      </c>
      <c r="AA85" s="854">
        <v>0</v>
      </c>
      <c r="AB85" s="854">
        <v>0</v>
      </c>
      <c r="AC85" s="854">
        <v>0</v>
      </c>
      <c r="AD85" s="854">
        <v>0</v>
      </c>
      <c r="AE85" s="854">
        <v>0</v>
      </c>
      <c r="AF85" s="854">
        <v>0</v>
      </c>
    </row>
    <row r="86" spans="1:32" s="864" customFormat="1" ht="14.45" x14ac:dyDescent="0.35">
      <c r="A86" s="839"/>
      <c r="B86" s="839" t="s">
        <v>29</v>
      </c>
      <c r="C86" s="838"/>
      <c r="D86" s="838"/>
      <c r="E86" s="838"/>
      <c r="F86" s="838"/>
      <c r="G86" s="854">
        <v>36.873768202819726</v>
      </c>
      <c r="H86" s="854">
        <v>48.266272480467556</v>
      </c>
      <c r="I86" s="854">
        <v>61.701198700113544</v>
      </c>
      <c r="J86" s="854">
        <v>77.591734715380795</v>
      </c>
      <c r="K86" s="854">
        <v>94.800465488123137</v>
      </c>
      <c r="L86" s="854">
        <v>112.50003941617493</v>
      </c>
      <c r="M86" s="854">
        <v>129.3471504340618</v>
      </c>
      <c r="N86" s="854">
        <v>145.03095133963808</v>
      </c>
      <c r="O86" s="854">
        <v>159.127310954921</v>
      </c>
      <c r="P86" s="854">
        <v>171.48202098927979</v>
      </c>
      <c r="Q86" s="854">
        <v>182.15170200680319</v>
      </c>
      <c r="R86" s="854">
        <v>187.8607232688625</v>
      </c>
      <c r="S86" s="854">
        <v>192.15160570290442</v>
      </c>
      <c r="T86" s="854">
        <v>195.33034204073093</v>
      </c>
      <c r="U86" s="854">
        <v>197.66006127320361</v>
      </c>
      <c r="V86" s="854">
        <v>199.35413887963063</v>
      </c>
      <c r="W86" s="854">
        <v>200.57896356186501</v>
      </c>
      <c r="X86" s="854">
        <v>201.46085171629713</v>
      </c>
      <c r="Y86" s="854">
        <v>202.09392729485813</v>
      </c>
      <c r="Z86" s="854">
        <v>202.54741526513342</v>
      </c>
      <c r="AA86" s="854">
        <v>202.87176106409183</v>
      </c>
      <c r="AB86" s="854">
        <v>203.10348618652321</v>
      </c>
      <c r="AC86" s="854">
        <v>203.26890947460336</v>
      </c>
      <c r="AD86" s="854">
        <v>203.38693514979437</v>
      </c>
      <c r="AE86" s="854">
        <v>203.47111002115616</v>
      </c>
      <c r="AF86" s="854">
        <v>203.53112565740346</v>
      </c>
    </row>
    <row r="87" spans="1:32" s="864" customFormat="1" ht="14.45" x14ac:dyDescent="0.35">
      <c r="A87" s="839"/>
      <c r="B87" s="839"/>
      <c r="C87" s="838"/>
      <c r="D87" s="838"/>
      <c r="E87" s="838"/>
      <c r="F87" s="838"/>
      <c r="G87" s="854"/>
      <c r="H87" s="838"/>
      <c r="I87" s="838"/>
      <c r="J87" s="838"/>
      <c r="K87" s="838"/>
      <c r="L87" s="838"/>
      <c r="M87" s="838"/>
      <c r="N87" s="838"/>
      <c r="O87" s="838"/>
      <c r="P87" s="838"/>
      <c r="Q87" s="838"/>
      <c r="R87" s="838"/>
      <c r="S87" s="838"/>
      <c r="T87" s="838"/>
      <c r="U87" s="838"/>
      <c r="V87" s="838"/>
      <c r="W87" s="838"/>
      <c r="X87" s="838"/>
      <c r="Y87" s="838"/>
      <c r="Z87" s="838"/>
      <c r="AA87" s="838"/>
      <c r="AB87" s="838"/>
      <c r="AC87" s="838"/>
      <c r="AD87" s="838"/>
      <c r="AE87" s="838"/>
      <c r="AF87" s="838"/>
    </row>
    <row r="88" spans="1:32" s="856" customFormat="1" ht="12.95" x14ac:dyDescent="0.3">
      <c r="A88" s="843" t="s">
        <v>32</v>
      </c>
      <c r="B88" s="843"/>
      <c r="C88" s="843"/>
      <c r="D88" s="843"/>
      <c r="E88" s="843"/>
      <c r="F88" s="843"/>
      <c r="G88" s="865"/>
      <c r="H88" s="843"/>
      <c r="I88" s="843"/>
      <c r="J88" s="843"/>
      <c r="K88" s="843"/>
      <c r="L88" s="843"/>
      <c r="M88" s="843"/>
      <c r="N88" s="843"/>
      <c r="O88" s="843"/>
      <c r="P88" s="843"/>
      <c r="Q88" s="843"/>
      <c r="R88" s="843"/>
      <c r="S88" s="843"/>
      <c r="T88" s="843"/>
      <c r="U88" s="843"/>
      <c r="V88" s="843"/>
      <c r="W88" s="843"/>
      <c r="X88" s="843"/>
      <c r="Y88" s="843"/>
      <c r="Z88" s="843"/>
      <c r="AA88" s="843"/>
      <c r="AB88" s="843"/>
      <c r="AC88" s="843"/>
      <c r="AD88" s="843"/>
      <c r="AE88" s="843"/>
      <c r="AF88" s="843"/>
    </row>
    <row r="89" spans="1:32" s="864" customFormat="1" ht="14.45" x14ac:dyDescent="0.35">
      <c r="A89" s="839"/>
      <c r="B89" s="839" t="s">
        <v>33</v>
      </c>
      <c r="C89" s="838"/>
      <c r="D89" s="838"/>
      <c r="E89" s="838"/>
      <c r="F89" s="838"/>
      <c r="G89" s="854">
        <v>0</v>
      </c>
      <c r="H89" s="854">
        <v>0</v>
      </c>
      <c r="I89" s="854">
        <v>0</v>
      </c>
      <c r="J89" s="854">
        <v>0</v>
      </c>
      <c r="K89" s="854">
        <v>0</v>
      </c>
      <c r="L89" s="854">
        <v>0</v>
      </c>
      <c r="M89" s="854">
        <v>0</v>
      </c>
      <c r="N89" s="854">
        <v>0</v>
      </c>
      <c r="O89" s="854">
        <v>0</v>
      </c>
      <c r="P89" s="854">
        <v>0</v>
      </c>
      <c r="Q89" s="854">
        <v>0</v>
      </c>
      <c r="R89" s="854">
        <v>0</v>
      </c>
      <c r="S89" s="854">
        <v>0</v>
      </c>
      <c r="T89" s="854">
        <v>0</v>
      </c>
      <c r="U89" s="854">
        <v>0</v>
      </c>
      <c r="V89" s="854">
        <v>0</v>
      </c>
      <c r="W89" s="854">
        <v>0</v>
      </c>
      <c r="X89" s="854">
        <v>0</v>
      </c>
      <c r="Y89" s="854">
        <v>0</v>
      </c>
      <c r="Z89" s="854">
        <v>0</v>
      </c>
      <c r="AA89" s="854">
        <v>0</v>
      </c>
      <c r="AB89" s="854">
        <v>0</v>
      </c>
      <c r="AC89" s="854">
        <v>0</v>
      </c>
      <c r="AD89" s="854">
        <v>0</v>
      </c>
      <c r="AE89" s="854">
        <v>0</v>
      </c>
      <c r="AF89" s="854">
        <v>0</v>
      </c>
    </row>
    <row r="90" spans="1:32" s="864" customFormat="1" ht="14.45" x14ac:dyDescent="0.35">
      <c r="A90" s="842"/>
      <c r="B90" s="842" t="s">
        <v>34</v>
      </c>
      <c r="C90" s="838"/>
      <c r="D90" s="838"/>
      <c r="E90" s="838"/>
      <c r="F90" s="838"/>
      <c r="G90" s="854">
        <v>0</v>
      </c>
      <c r="H90" s="854">
        <v>0</v>
      </c>
      <c r="I90" s="854">
        <v>5.6208901226540293</v>
      </c>
      <c r="J90" s="854">
        <v>11.241780245308059</v>
      </c>
      <c r="K90" s="854">
        <v>16.862670367962089</v>
      </c>
      <c r="L90" s="854">
        <v>16.946983719801896</v>
      </c>
      <c r="M90" s="854">
        <v>17.031718638400903</v>
      </c>
      <c r="N90" s="854">
        <v>17.116877231592905</v>
      </c>
      <c r="O90" s="854">
        <v>17.202461617750867</v>
      </c>
      <c r="P90" s="854">
        <v>17.288473925839618</v>
      </c>
      <c r="Q90" s="854">
        <v>17.374916295468815</v>
      </c>
      <c r="R90" s="854">
        <v>17.461790876946157</v>
      </c>
      <c r="S90" s="854">
        <v>17.549099831330885</v>
      </c>
      <c r="T90" s="854">
        <v>17.636845330487539</v>
      </c>
      <c r="U90" s="854">
        <v>17.725029557139973</v>
      </c>
      <c r="V90" s="854">
        <v>17.813654704925671</v>
      </c>
      <c r="W90" s="854">
        <v>17.902722978450292</v>
      </c>
      <c r="X90" s="854">
        <v>17.992236593342543</v>
      </c>
      <c r="Y90" s="854">
        <v>18.082197776309254</v>
      </c>
      <c r="Z90" s="854">
        <v>18.172608765190795</v>
      </c>
      <c r="AA90" s="854">
        <v>18.263471809016746</v>
      </c>
      <c r="AB90" s="854">
        <v>18.354789168061831</v>
      </c>
      <c r="AC90" s="854">
        <v>18.446563113902133</v>
      </c>
      <c r="AD90" s="854">
        <v>18.538795929471643</v>
      </c>
      <c r="AE90" s="854">
        <v>18.631489909118997</v>
      </c>
      <c r="AF90" s="854">
        <v>18.724647358664587</v>
      </c>
    </row>
    <row r="91" spans="1:32" s="864" customFormat="1" ht="14.45" x14ac:dyDescent="0.35">
      <c r="A91" s="839"/>
      <c r="B91" s="842" t="s">
        <v>35</v>
      </c>
      <c r="C91" s="838"/>
      <c r="D91" s="838"/>
      <c r="E91" s="838"/>
      <c r="F91" s="838"/>
      <c r="G91" s="854">
        <v>0</v>
      </c>
      <c r="H91" s="854">
        <v>0</v>
      </c>
      <c r="I91" s="854">
        <v>0</v>
      </c>
      <c r="J91" s="854">
        <v>0</v>
      </c>
      <c r="K91" s="854">
        <v>0</v>
      </c>
      <c r="L91" s="854">
        <v>0</v>
      </c>
      <c r="M91" s="854">
        <v>0</v>
      </c>
      <c r="N91" s="854">
        <v>0</v>
      </c>
      <c r="O91" s="854">
        <v>0</v>
      </c>
      <c r="P91" s="854">
        <v>0</v>
      </c>
      <c r="Q91" s="854">
        <v>0</v>
      </c>
      <c r="R91" s="854">
        <v>0</v>
      </c>
      <c r="S91" s="854">
        <v>0</v>
      </c>
      <c r="T91" s="854">
        <v>0</v>
      </c>
      <c r="U91" s="854">
        <v>0</v>
      </c>
      <c r="V91" s="854">
        <v>0</v>
      </c>
      <c r="W91" s="854">
        <v>0</v>
      </c>
      <c r="X91" s="854">
        <v>0</v>
      </c>
      <c r="Y91" s="854">
        <v>0</v>
      </c>
      <c r="Z91" s="854">
        <v>0</v>
      </c>
      <c r="AA91" s="854">
        <v>0</v>
      </c>
      <c r="AB91" s="854">
        <v>0</v>
      </c>
      <c r="AC91" s="854">
        <v>0</v>
      </c>
      <c r="AD91" s="854">
        <v>0</v>
      </c>
      <c r="AE91" s="854">
        <v>0</v>
      </c>
      <c r="AF91" s="854">
        <v>0</v>
      </c>
    </row>
    <row r="92" spans="1:32" s="864" customFormat="1" ht="14.45" x14ac:dyDescent="0.35">
      <c r="A92" s="839"/>
      <c r="B92" s="842" t="s">
        <v>29</v>
      </c>
      <c r="C92" s="838"/>
      <c r="D92" s="838"/>
      <c r="E92" s="838"/>
      <c r="F92" s="838"/>
      <c r="G92" s="854">
        <v>36.873768202819726</v>
      </c>
      <c r="H92" s="854">
        <v>48.266272480467556</v>
      </c>
      <c r="I92" s="854">
        <v>61.701198700113544</v>
      </c>
      <c r="J92" s="854">
        <v>77.591734715380795</v>
      </c>
      <c r="K92" s="854">
        <v>94.800465488123137</v>
      </c>
      <c r="L92" s="854">
        <v>112.50003941617493</v>
      </c>
      <c r="M92" s="854">
        <v>129.3471504340618</v>
      </c>
      <c r="N92" s="854">
        <v>145.03095133963808</v>
      </c>
      <c r="O92" s="854">
        <v>159.127310954921</v>
      </c>
      <c r="P92" s="854">
        <v>171.48202098927979</v>
      </c>
      <c r="Q92" s="854">
        <v>182.15170200680319</v>
      </c>
      <c r="R92" s="854">
        <v>187.8607232688625</v>
      </c>
      <c r="S92" s="854">
        <v>192.15160570290442</v>
      </c>
      <c r="T92" s="854">
        <v>195.33034204073093</v>
      </c>
      <c r="U92" s="854">
        <v>197.66006127320361</v>
      </c>
      <c r="V92" s="854">
        <v>199.35413887963063</v>
      </c>
      <c r="W92" s="854">
        <v>200.57896356186501</v>
      </c>
      <c r="X92" s="854">
        <v>201.46085171629713</v>
      </c>
      <c r="Y92" s="854">
        <v>202.09392729485813</v>
      </c>
      <c r="Z92" s="854">
        <v>202.54741526513342</v>
      </c>
      <c r="AA92" s="854">
        <v>202.87176106409183</v>
      </c>
      <c r="AB92" s="854">
        <v>203.10348618652321</v>
      </c>
      <c r="AC92" s="854">
        <v>203.26890947460336</v>
      </c>
      <c r="AD92" s="854">
        <v>203.38693514979437</v>
      </c>
      <c r="AE92" s="854">
        <v>203.47111002115616</v>
      </c>
      <c r="AF92" s="854">
        <v>203.53112565740346</v>
      </c>
    </row>
    <row r="93" spans="1:32" s="864" customFormat="1" ht="14.45" x14ac:dyDescent="0.35">
      <c r="A93" s="839"/>
      <c r="B93" s="839"/>
      <c r="C93" s="838"/>
      <c r="D93" s="838"/>
      <c r="E93" s="838"/>
      <c r="F93" s="838"/>
      <c r="G93" s="854"/>
      <c r="H93" s="838"/>
      <c r="I93" s="838"/>
      <c r="J93" s="838"/>
      <c r="K93" s="838"/>
      <c r="L93" s="838"/>
      <c r="M93" s="838"/>
      <c r="N93" s="838"/>
      <c r="O93" s="838"/>
      <c r="P93" s="838"/>
      <c r="Q93" s="838"/>
      <c r="R93" s="838"/>
      <c r="S93" s="838"/>
      <c r="T93" s="838"/>
      <c r="U93" s="838"/>
      <c r="V93" s="838"/>
      <c r="W93" s="838"/>
      <c r="X93" s="838"/>
      <c r="Y93" s="838"/>
      <c r="Z93" s="838"/>
      <c r="AA93" s="838"/>
      <c r="AB93" s="838"/>
      <c r="AC93" s="838"/>
      <c r="AD93" s="838"/>
      <c r="AE93" s="838"/>
      <c r="AF93" s="838"/>
    </row>
    <row r="94" spans="1:32" s="856" customFormat="1" ht="12.95" x14ac:dyDescent="0.3">
      <c r="A94" s="843" t="s">
        <v>36</v>
      </c>
      <c r="B94" s="843"/>
      <c r="C94" s="843"/>
      <c r="D94" s="843"/>
      <c r="E94" s="843"/>
      <c r="F94" s="843"/>
      <c r="G94" s="865"/>
      <c r="H94" s="843"/>
      <c r="I94" s="843"/>
      <c r="J94" s="843"/>
      <c r="K94" s="843"/>
      <c r="L94" s="843"/>
      <c r="M94" s="843"/>
      <c r="N94" s="843"/>
      <c r="O94" s="843"/>
      <c r="P94" s="843"/>
      <c r="Q94" s="843"/>
      <c r="R94" s="843"/>
      <c r="S94" s="843"/>
      <c r="T94" s="843"/>
      <c r="U94" s="843"/>
      <c r="V94" s="843"/>
      <c r="W94" s="843"/>
      <c r="X94" s="843"/>
      <c r="Y94" s="843"/>
      <c r="Z94" s="843"/>
      <c r="AA94" s="843"/>
      <c r="AB94" s="843"/>
      <c r="AC94" s="843"/>
      <c r="AD94" s="843"/>
      <c r="AE94" s="843"/>
      <c r="AF94" s="843"/>
    </row>
    <row r="95" spans="1:32" s="864" customFormat="1" ht="14.45" x14ac:dyDescent="0.35">
      <c r="A95" s="839"/>
      <c r="B95" s="839" t="s">
        <v>37</v>
      </c>
      <c r="C95" s="838"/>
      <c r="D95" s="838"/>
      <c r="E95" s="838"/>
      <c r="F95" s="855"/>
      <c r="G95" s="854">
        <v>0</v>
      </c>
      <c r="H95" s="854">
        <v>0</v>
      </c>
      <c r="I95" s="854">
        <v>0</v>
      </c>
      <c r="J95" s="854">
        <v>0</v>
      </c>
      <c r="K95" s="854">
        <v>0</v>
      </c>
      <c r="L95" s="854">
        <v>0</v>
      </c>
      <c r="M95" s="854">
        <v>0</v>
      </c>
      <c r="N95" s="854">
        <v>0</v>
      </c>
      <c r="O95" s="854">
        <v>0</v>
      </c>
      <c r="P95" s="854">
        <v>0</v>
      </c>
      <c r="Q95" s="854">
        <v>0</v>
      </c>
      <c r="R95" s="854">
        <v>0</v>
      </c>
      <c r="S95" s="854">
        <v>0</v>
      </c>
      <c r="T95" s="854">
        <v>0</v>
      </c>
      <c r="U95" s="854">
        <v>0</v>
      </c>
      <c r="V95" s="854">
        <v>0</v>
      </c>
      <c r="W95" s="854">
        <v>0</v>
      </c>
      <c r="X95" s="854">
        <v>0</v>
      </c>
      <c r="Y95" s="854">
        <v>0</v>
      </c>
      <c r="Z95" s="854">
        <v>0</v>
      </c>
      <c r="AA95" s="854">
        <v>0</v>
      </c>
      <c r="AB95" s="854">
        <v>0</v>
      </c>
      <c r="AC95" s="854">
        <v>0</v>
      </c>
      <c r="AD95" s="854">
        <v>0</v>
      </c>
      <c r="AE95" s="854">
        <v>0</v>
      </c>
      <c r="AF95" s="854">
        <v>0</v>
      </c>
    </row>
    <row r="96" spans="1:32" s="864" customFormat="1" ht="14.45" x14ac:dyDescent="0.35">
      <c r="A96" s="839"/>
      <c r="B96" s="839" t="s">
        <v>39</v>
      </c>
      <c r="C96" s="838"/>
      <c r="D96" s="838"/>
      <c r="E96" s="857"/>
      <c r="F96" s="838"/>
      <c r="G96" s="854">
        <v>0</v>
      </c>
      <c r="H96" s="854">
        <v>0</v>
      </c>
      <c r="I96" s="854">
        <v>0</v>
      </c>
      <c r="J96" s="854">
        <v>0</v>
      </c>
      <c r="K96" s="854">
        <v>20.652100000000001</v>
      </c>
      <c r="L96" s="854">
        <v>41.730173333333333</v>
      </c>
      <c r="M96" s="854">
        <v>63.234219999999993</v>
      </c>
      <c r="N96" s="854">
        <v>64.192545899999985</v>
      </c>
      <c r="O96" s="854">
        <v>64.513508629499981</v>
      </c>
      <c r="P96" s="854">
        <v>64.836076172647466</v>
      </c>
      <c r="Q96" s="854">
        <v>65.160256553510692</v>
      </c>
      <c r="R96" s="854">
        <v>65.486057836278235</v>
      </c>
      <c r="S96" s="854">
        <v>65.813488125459614</v>
      </c>
      <c r="T96" s="854">
        <v>66.142555566086912</v>
      </c>
      <c r="U96" s="854">
        <v>66.47326834391734</v>
      </c>
      <c r="V96" s="854">
        <v>66.805634685636917</v>
      </c>
      <c r="W96" s="854">
        <v>67.139662859065083</v>
      </c>
      <c r="X96" s="854">
        <v>67.475361173360412</v>
      </c>
      <c r="Y96" s="854">
        <v>67.812737979227194</v>
      </c>
      <c r="Z96" s="854">
        <v>68.15180166912333</v>
      </c>
      <c r="AA96" s="854">
        <v>68.49256067746893</v>
      </c>
      <c r="AB96" s="854">
        <v>68.83502348085625</v>
      </c>
      <c r="AC96" s="854">
        <v>69.179198598260527</v>
      </c>
      <c r="AD96" s="854">
        <v>69.525094591251829</v>
      </c>
      <c r="AE96" s="854">
        <v>69.872720064208067</v>
      </c>
      <c r="AF96" s="854">
        <v>70.222083664529109</v>
      </c>
    </row>
    <row r="97" spans="1:32" s="864" customFormat="1" ht="14.45" x14ac:dyDescent="0.35">
      <c r="A97" s="839"/>
      <c r="B97" s="839" t="s">
        <v>40</v>
      </c>
      <c r="C97" s="838"/>
      <c r="D97" s="838"/>
      <c r="E97" s="838"/>
      <c r="F97" s="838"/>
      <c r="G97" s="854">
        <v>0</v>
      </c>
      <c r="H97" s="854">
        <v>0</v>
      </c>
      <c r="I97" s="854">
        <v>0</v>
      </c>
      <c r="J97" s="854">
        <v>0</v>
      </c>
      <c r="K97" s="854">
        <v>0</v>
      </c>
      <c r="L97" s="854">
        <v>0</v>
      </c>
      <c r="M97" s="854">
        <v>0</v>
      </c>
      <c r="N97" s="854">
        <v>0</v>
      </c>
      <c r="O97" s="854">
        <v>0</v>
      </c>
      <c r="P97" s="854">
        <v>0</v>
      </c>
      <c r="Q97" s="854">
        <v>0</v>
      </c>
      <c r="R97" s="854">
        <v>0</v>
      </c>
      <c r="S97" s="854">
        <v>0</v>
      </c>
      <c r="T97" s="854">
        <v>0</v>
      </c>
      <c r="U97" s="854">
        <v>0</v>
      </c>
      <c r="V97" s="854">
        <v>0</v>
      </c>
      <c r="W97" s="854">
        <v>0</v>
      </c>
      <c r="X97" s="854">
        <v>0</v>
      </c>
      <c r="Y97" s="854">
        <v>0</v>
      </c>
      <c r="Z97" s="854">
        <v>0</v>
      </c>
      <c r="AA97" s="854">
        <v>0</v>
      </c>
      <c r="AB97" s="854">
        <v>0</v>
      </c>
      <c r="AC97" s="854">
        <v>0</v>
      </c>
      <c r="AD97" s="854">
        <v>0</v>
      </c>
      <c r="AE97" s="854">
        <v>0</v>
      </c>
      <c r="AF97" s="854">
        <v>0</v>
      </c>
    </row>
    <row r="98" spans="1:32" s="864" customFormat="1" ht="14.45" x14ac:dyDescent="0.35">
      <c r="A98" s="839"/>
      <c r="B98" s="839" t="s">
        <v>29</v>
      </c>
      <c r="C98" s="838"/>
      <c r="D98" s="838"/>
      <c r="E98" s="838"/>
      <c r="F98" s="838"/>
      <c r="G98" s="854">
        <v>69.886712931315586</v>
      </c>
      <c r="H98" s="854">
        <v>84.617739005122857</v>
      </c>
      <c r="I98" s="854">
        <v>99.77020761765985</v>
      </c>
      <c r="J98" s="854">
        <v>115.81072942703476</v>
      </c>
      <c r="K98" s="854">
        <v>131.19780938437214</v>
      </c>
      <c r="L98" s="854">
        <v>145.46220447607328</v>
      </c>
      <c r="M98" s="854">
        <v>157.75364681050067</v>
      </c>
      <c r="N98" s="854">
        <v>168.55506474700036</v>
      </c>
      <c r="O98" s="854">
        <v>177.96704120423578</v>
      </c>
      <c r="P98" s="854">
        <v>186.1654499682482</v>
      </c>
      <c r="Q98" s="854">
        <v>193.35230342395749</v>
      </c>
      <c r="R98" s="854">
        <v>196.11147215578865</v>
      </c>
      <c r="S98" s="854">
        <v>198.15456111208027</v>
      </c>
      <c r="T98" s="854">
        <v>199.65744029461996</v>
      </c>
      <c r="U98" s="854">
        <v>200.75757592848979</v>
      </c>
      <c r="V98" s="854">
        <v>201.56002861929591</v>
      </c>
      <c r="W98" s="854">
        <v>202.14382617150503</v>
      </c>
      <c r="X98" s="854">
        <v>202.5677447446416</v>
      </c>
      <c r="Y98" s="854">
        <v>202.87514562074011</v>
      </c>
      <c r="Z98" s="854">
        <v>203.09783237720012</v>
      </c>
      <c r="AA98" s="854">
        <v>203.25903410630769</v>
      </c>
      <c r="AB98" s="854">
        <v>203.37566609727986</v>
      </c>
      <c r="AC98" s="854">
        <v>203.46001922812226</v>
      </c>
      <c r="AD98" s="854">
        <v>203.52101022912549</v>
      </c>
      <c r="AE98" s="854">
        <v>203.56510065539746</v>
      </c>
      <c r="AF98" s="854">
        <v>203.59696908402657</v>
      </c>
    </row>
    <row r="99" spans="1:32" s="864" customFormat="1" ht="14.45" x14ac:dyDescent="0.35">
      <c r="A99" s="839"/>
      <c r="B99" s="839"/>
      <c r="C99" s="838"/>
      <c r="D99" s="838"/>
      <c r="E99" s="838"/>
      <c r="F99" s="838"/>
      <c r="G99" s="854"/>
      <c r="H99" s="838"/>
      <c r="I99" s="838"/>
      <c r="J99" s="838"/>
      <c r="K99" s="838"/>
      <c r="L99" s="838"/>
      <c r="M99" s="838"/>
      <c r="N99" s="838"/>
      <c r="O99" s="838"/>
      <c r="P99" s="838"/>
      <c r="Q99" s="838"/>
      <c r="R99" s="838"/>
      <c r="S99" s="838"/>
      <c r="T99" s="838"/>
      <c r="U99" s="838"/>
      <c r="V99" s="838"/>
      <c r="W99" s="838"/>
      <c r="X99" s="838"/>
      <c r="Y99" s="838"/>
      <c r="Z99" s="838"/>
      <c r="AA99" s="838"/>
      <c r="AB99" s="838"/>
      <c r="AC99" s="838"/>
      <c r="AD99" s="838"/>
      <c r="AE99" s="838"/>
      <c r="AF99" s="838"/>
    </row>
    <row r="100" spans="1:32" s="856" customFormat="1" ht="12.95" x14ac:dyDescent="0.3">
      <c r="A100" s="843" t="s">
        <v>42</v>
      </c>
      <c r="B100" s="843"/>
      <c r="C100" s="843"/>
      <c r="D100" s="843"/>
      <c r="E100" s="843"/>
      <c r="F100" s="843"/>
      <c r="G100" s="865"/>
      <c r="H100" s="843"/>
      <c r="I100" s="843"/>
      <c r="J100" s="843"/>
      <c r="K100" s="843"/>
      <c r="L100" s="843"/>
      <c r="M100" s="843"/>
      <c r="N100" s="843"/>
      <c r="O100" s="843"/>
      <c r="P100" s="843"/>
      <c r="Q100" s="843"/>
      <c r="R100" s="843"/>
      <c r="S100" s="843"/>
      <c r="T100" s="843"/>
      <c r="U100" s="843"/>
      <c r="V100" s="843"/>
      <c r="W100" s="843"/>
      <c r="X100" s="843"/>
      <c r="Y100" s="843"/>
      <c r="Z100" s="843"/>
      <c r="AA100" s="843"/>
      <c r="AB100" s="843"/>
      <c r="AC100" s="843"/>
      <c r="AD100" s="843"/>
      <c r="AE100" s="843"/>
      <c r="AF100" s="843"/>
    </row>
    <row r="101" spans="1:32" s="864" customFormat="1" ht="14.45" x14ac:dyDescent="0.35">
      <c r="A101" s="839"/>
      <c r="B101" s="842" t="s">
        <v>43</v>
      </c>
      <c r="C101" s="838"/>
      <c r="D101" s="838"/>
      <c r="E101" s="838"/>
      <c r="F101" s="838"/>
      <c r="G101" s="854">
        <v>19.824999999999999</v>
      </c>
      <c r="H101" s="854">
        <v>19.824999999999999</v>
      </c>
      <c r="I101" s="854">
        <v>19.824999999999999</v>
      </c>
      <c r="J101" s="854">
        <v>19.824999999999999</v>
      </c>
      <c r="K101" s="854">
        <v>19.824999999999999</v>
      </c>
      <c r="L101" s="854">
        <v>19.824999999999999</v>
      </c>
      <c r="M101" s="854">
        <v>19.824999999999999</v>
      </c>
      <c r="N101" s="854">
        <v>19.824999999999999</v>
      </c>
      <c r="O101" s="854">
        <v>19.824999999999999</v>
      </c>
      <c r="P101" s="854">
        <v>19.824999999999999</v>
      </c>
      <c r="Q101" s="854">
        <v>19.824999999999999</v>
      </c>
      <c r="R101" s="854">
        <v>19.824999999999999</v>
      </c>
      <c r="S101" s="854">
        <v>19.824999999999999</v>
      </c>
      <c r="T101" s="854">
        <v>19.824999999999999</v>
      </c>
      <c r="U101" s="854">
        <v>19.824999999999999</v>
      </c>
      <c r="V101" s="854">
        <v>19.824999999999999</v>
      </c>
      <c r="W101" s="854">
        <v>19.824999999999999</v>
      </c>
      <c r="X101" s="854">
        <v>19.824999999999999</v>
      </c>
      <c r="Y101" s="854">
        <v>19.824999999999999</v>
      </c>
      <c r="Z101" s="854">
        <v>19.824999999999999</v>
      </c>
      <c r="AA101" s="854">
        <v>19.824999999999999</v>
      </c>
      <c r="AB101" s="854">
        <v>19.824999999999999</v>
      </c>
      <c r="AC101" s="854">
        <v>19.824999999999999</v>
      </c>
      <c r="AD101" s="854">
        <v>19.824999999999999</v>
      </c>
      <c r="AE101" s="854">
        <v>19.824999999999999</v>
      </c>
      <c r="AF101" s="854">
        <v>19.824999999999999</v>
      </c>
    </row>
    <row r="102" spans="1:32" s="864" customFormat="1" ht="14.45" x14ac:dyDescent="0.35">
      <c r="A102" s="839"/>
      <c r="B102" s="842" t="s">
        <v>44</v>
      </c>
      <c r="C102" s="838"/>
      <c r="D102" s="838"/>
      <c r="E102" s="838"/>
      <c r="F102" s="838"/>
      <c r="G102" s="854">
        <v>39.000000000000071</v>
      </c>
      <c r="H102" s="854">
        <v>39.548390273850728</v>
      </c>
      <c r="I102" s="854">
        <v>39.842795164226786</v>
      </c>
      <c r="J102" s="854">
        <v>40.13720005460285</v>
      </c>
      <c r="K102" s="854">
        <v>40.431604944978901</v>
      </c>
      <c r="L102" s="854">
        <v>40.726009835354958</v>
      </c>
      <c r="M102" s="854">
        <v>41.020414725731015</v>
      </c>
      <c r="N102" s="854">
        <v>41.314819616107073</v>
      </c>
      <c r="O102" s="854">
        <v>41.609224506483123</v>
      </c>
      <c r="P102" s="854">
        <v>41.903629396859181</v>
      </c>
      <c r="Q102" s="854">
        <v>42.198034287235238</v>
      </c>
      <c r="R102" s="854">
        <v>42.492439177611288</v>
      </c>
      <c r="S102" s="854">
        <v>42.786844067987346</v>
      </c>
      <c r="T102" s="854">
        <v>43.081248958363403</v>
      </c>
      <c r="U102" s="854">
        <v>43.375653848739461</v>
      </c>
      <c r="V102" s="854">
        <v>43.670058739115518</v>
      </c>
      <c r="W102" s="854">
        <v>43.964463629491568</v>
      </c>
      <c r="X102" s="854">
        <v>44.258868519867633</v>
      </c>
      <c r="Y102" s="854">
        <v>44.553273410243683</v>
      </c>
      <c r="Z102" s="854">
        <v>44.847678300619741</v>
      </c>
      <c r="AA102" s="854">
        <v>45.142083190995791</v>
      </c>
      <c r="AB102" s="854">
        <v>45.436488081371856</v>
      </c>
      <c r="AC102" s="854">
        <v>45.730892971748034</v>
      </c>
      <c r="AD102" s="854">
        <v>46.025297862124098</v>
      </c>
      <c r="AE102" s="854">
        <v>46.319702752500149</v>
      </c>
      <c r="AF102" s="854">
        <v>46.614107642876206</v>
      </c>
    </row>
    <row r="103" spans="1:32" s="864" customFormat="1" ht="14.45" x14ac:dyDescent="0.35">
      <c r="A103" s="839"/>
      <c r="B103" s="842" t="s">
        <v>45</v>
      </c>
      <c r="C103" s="838"/>
      <c r="D103" s="838"/>
      <c r="E103" s="838"/>
      <c r="F103" s="838"/>
      <c r="G103" s="854">
        <v>54.340000000000011</v>
      </c>
      <c r="H103" s="854">
        <v>54.475850000000001</v>
      </c>
      <c r="I103" s="854">
        <v>54.611699999999999</v>
      </c>
      <c r="J103" s="854">
        <v>54.747549999999997</v>
      </c>
      <c r="K103" s="854">
        <v>54.883400000000023</v>
      </c>
      <c r="L103" s="854">
        <v>55.019250000000021</v>
      </c>
      <c r="M103" s="854">
        <v>55.155100000000019</v>
      </c>
      <c r="N103" s="854">
        <v>55.290950000000009</v>
      </c>
      <c r="O103" s="854">
        <v>55.426800000000014</v>
      </c>
      <c r="P103" s="854">
        <v>55.562650000000005</v>
      </c>
      <c r="Q103" s="854">
        <v>55.69850000000001</v>
      </c>
      <c r="R103" s="854">
        <v>55.834350000000001</v>
      </c>
      <c r="S103" s="854">
        <v>55.970199999999998</v>
      </c>
      <c r="T103" s="854">
        <v>56.106049999999996</v>
      </c>
      <c r="U103" s="854">
        <v>56.24190000000003</v>
      </c>
      <c r="V103" s="854">
        <v>56.37775000000002</v>
      </c>
      <c r="W103" s="854">
        <v>56.513600000000011</v>
      </c>
      <c r="X103" s="854">
        <v>56.649450000000016</v>
      </c>
      <c r="Y103" s="854">
        <v>56.785300000000007</v>
      </c>
      <c r="Z103" s="854">
        <v>56.921150000000011</v>
      </c>
      <c r="AA103" s="854">
        <v>57.057000000000002</v>
      </c>
      <c r="AB103" s="854">
        <v>57.192850000000007</v>
      </c>
      <c r="AC103" s="854">
        <v>57.328699999999998</v>
      </c>
      <c r="AD103" s="854">
        <v>57.464549999999988</v>
      </c>
      <c r="AE103" s="854">
        <v>57.600400000000022</v>
      </c>
      <c r="AF103" s="854">
        <v>57.73625000000002</v>
      </c>
    </row>
    <row r="104" spans="1:32" s="864" customFormat="1" ht="14.45" x14ac:dyDescent="0.35">
      <c r="A104" s="839"/>
      <c r="B104" s="842" t="s">
        <v>46</v>
      </c>
      <c r="C104" s="838"/>
      <c r="D104" s="838"/>
      <c r="E104" s="838"/>
      <c r="F104" s="838"/>
      <c r="G104" s="854">
        <v>57.980000000000061</v>
      </c>
      <c r="H104" s="854">
        <v>58.414850000000087</v>
      </c>
      <c r="I104" s="854">
        <v>58.849700000000112</v>
      </c>
      <c r="J104" s="854">
        <v>59.284550000000017</v>
      </c>
      <c r="K104" s="854">
        <v>59.719400000000043</v>
      </c>
      <c r="L104" s="854">
        <v>60.154250000000069</v>
      </c>
      <c r="M104" s="854">
        <v>60.589100000000094</v>
      </c>
      <c r="N104" s="854">
        <v>61.02395000000012</v>
      </c>
      <c r="O104" s="854">
        <v>61.458800000000025</v>
      </c>
      <c r="P104" s="854">
        <v>61.893650000000051</v>
      </c>
      <c r="Q104" s="854">
        <v>62.328500000000076</v>
      </c>
      <c r="R104" s="854">
        <v>62.763350000000102</v>
      </c>
      <c r="S104" s="854">
        <v>63.198200000000121</v>
      </c>
      <c r="T104" s="854">
        <v>63.633050000000033</v>
      </c>
      <c r="U104" s="854">
        <v>64.067900000000066</v>
      </c>
      <c r="V104" s="854">
        <v>64.502750000000091</v>
      </c>
      <c r="W104" s="854">
        <v>64.937600000000117</v>
      </c>
      <c r="X104" s="854">
        <v>65.372450000000015</v>
      </c>
      <c r="Y104" s="854">
        <v>65.807300000000041</v>
      </c>
      <c r="Z104" s="854">
        <v>66.242150000000066</v>
      </c>
      <c r="AA104" s="854">
        <v>66.677000000000092</v>
      </c>
      <c r="AB104" s="854">
        <v>67.111850000000103</v>
      </c>
      <c r="AC104" s="854">
        <v>67.54670000000003</v>
      </c>
      <c r="AD104" s="854">
        <v>67.981550000000055</v>
      </c>
      <c r="AE104" s="854">
        <v>68.416400000000081</v>
      </c>
      <c r="AF104" s="854">
        <v>68.851250000000107</v>
      </c>
    </row>
    <row r="105" spans="1:32" s="864" customFormat="1" ht="14.45" x14ac:dyDescent="0.35">
      <c r="A105" s="839"/>
      <c r="B105" s="839" t="s">
        <v>29</v>
      </c>
      <c r="C105" s="838"/>
      <c r="D105" s="838"/>
      <c r="E105" s="838"/>
      <c r="F105" s="838"/>
      <c r="G105" s="854">
        <v>69.886712931315586</v>
      </c>
      <c r="H105" s="854">
        <v>84.617739005122857</v>
      </c>
      <c r="I105" s="854">
        <v>99.77020761765985</v>
      </c>
      <c r="J105" s="854">
        <v>115.81072942703476</v>
      </c>
      <c r="K105" s="854">
        <v>131.19780938437214</v>
      </c>
      <c r="L105" s="854">
        <v>145.46220447607328</v>
      </c>
      <c r="M105" s="854">
        <v>157.75364681050067</v>
      </c>
      <c r="N105" s="854">
        <v>168.55506474700036</v>
      </c>
      <c r="O105" s="854">
        <v>177.96704120423578</v>
      </c>
      <c r="P105" s="854">
        <v>186.1654499682482</v>
      </c>
      <c r="Q105" s="854">
        <v>193.35230342395749</v>
      </c>
      <c r="R105" s="854">
        <v>196.11147215578865</v>
      </c>
      <c r="S105" s="854">
        <v>198.15456111208027</v>
      </c>
      <c r="T105" s="854">
        <v>199.65744029461996</v>
      </c>
      <c r="U105" s="854">
        <v>200.75757592848979</v>
      </c>
      <c r="V105" s="854">
        <v>201.56002861929591</v>
      </c>
      <c r="W105" s="854">
        <v>202.14382617150503</v>
      </c>
      <c r="X105" s="854">
        <v>202.5677447446416</v>
      </c>
      <c r="Y105" s="854">
        <v>202.87514562074011</v>
      </c>
      <c r="Z105" s="854">
        <v>203.09783237720012</v>
      </c>
      <c r="AA105" s="854">
        <v>203.25903410630769</v>
      </c>
      <c r="AB105" s="854">
        <v>203.37566609727986</v>
      </c>
      <c r="AC105" s="854">
        <v>203.46001922812226</v>
      </c>
      <c r="AD105" s="854">
        <v>203.52101022912549</v>
      </c>
      <c r="AE105" s="854">
        <v>203.56510065539746</v>
      </c>
      <c r="AF105" s="854">
        <v>203.59696908402657</v>
      </c>
    </row>
    <row r="106" spans="1:32" s="864" customFormat="1" ht="14.45" x14ac:dyDescent="0.35">
      <c r="A106" s="839"/>
      <c r="B106" s="839"/>
      <c r="C106" s="838"/>
      <c r="D106" s="838"/>
      <c r="E106" s="838"/>
      <c r="F106" s="838"/>
      <c r="G106" s="854"/>
      <c r="H106" s="838"/>
      <c r="I106" s="838"/>
      <c r="J106" s="838"/>
      <c r="K106" s="838"/>
      <c r="L106" s="838"/>
      <c r="M106" s="838"/>
      <c r="N106" s="838"/>
      <c r="O106" s="838"/>
      <c r="P106" s="838"/>
      <c r="Q106" s="838"/>
      <c r="R106" s="838"/>
      <c r="S106" s="838"/>
      <c r="T106" s="838"/>
      <c r="U106" s="838"/>
      <c r="V106" s="838"/>
      <c r="W106" s="838"/>
      <c r="X106" s="838"/>
      <c r="Y106" s="838"/>
      <c r="Z106" s="838"/>
      <c r="AA106" s="838"/>
      <c r="AB106" s="838"/>
      <c r="AC106" s="838"/>
      <c r="AD106" s="838"/>
      <c r="AE106" s="838"/>
      <c r="AF106" s="838"/>
    </row>
    <row r="107" spans="1:32" s="856" customFormat="1" ht="12.95" x14ac:dyDescent="0.3">
      <c r="A107" s="843" t="s">
        <v>47</v>
      </c>
      <c r="B107" s="843"/>
      <c r="C107" s="843"/>
      <c r="D107" s="843"/>
      <c r="E107" s="843"/>
      <c r="F107" s="843"/>
      <c r="G107" s="865"/>
      <c r="H107" s="843"/>
      <c r="I107" s="843"/>
      <c r="J107" s="843"/>
      <c r="K107" s="843"/>
      <c r="L107" s="843"/>
      <c r="M107" s="843"/>
      <c r="N107" s="843"/>
      <c r="O107" s="843"/>
      <c r="P107" s="843"/>
      <c r="Q107" s="843"/>
      <c r="R107" s="843"/>
      <c r="S107" s="843"/>
      <c r="T107" s="843"/>
      <c r="U107" s="843"/>
      <c r="V107" s="843"/>
      <c r="W107" s="843"/>
      <c r="X107" s="843"/>
      <c r="Y107" s="843"/>
      <c r="Z107" s="843"/>
      <c r="AA107" s="843"/>
      <c r="AB107" s="843"/>
      <c r="AC107" s="843"/>
      <c r="AD107" s="843"/>
      <c r="AE107" s="843"/>
      <c r="AF107" s="843"/>
    </row>
    <row r="108" spans="1:32" s="864" customFormat="1" ht="14.45" x14ac:dyDescent="0.35">
      <c r="A108" s="839"/>
      <c r="B108" s="839" t="s">
        <v>48</v>
      </c>
      <c r="C108" s="838"/>
      <c r="D108" s="838"/>
      <c r="E108" s="838"/>
      <c r="F108" s="838"/>
      <c r="G108" s="854">
        <v>12.199999999999996</v>
      </c>
      <c r="H108" s="854">
        <v>12.230499999999992</v>
      </c>
      <c r="I108" s="854">
        <v>11.995353221957036</v>
      </c>
      <c r="J108" s="854">
        <v>11.760206443914079</v>
      </c>
      <c r="K108" s="854">
        <v>11.525059665871122</v>
      </c>
      <c r="L108" s="854">
        <v>11.5538723150358</v>
      </c>
      <c r="M108" s="854">
        <v>11.582756995823388</v>
      </c>
      <c r="N108" s="854">
        <v>11.611713888312945</v>
      </c>
      <c r="O108" s="854">
        <v>11.640743173033728</v>
      </c>
      <c r="P108" s="854">
        <v>11.669845030966313</v>
      </c>
      <c r="Q108" s="854">
        <v>11.699019643543727</v>
      </c>
      <c r="R108" s="854">
        <v>11.728267192652584</v>
      </c>
      <c r="S108" s="854">
        <v>11.757587860634217</v>
      </c>
      <c r="T108" s="854">
        <v>11.786981830285802</v>
      </c>
      <c r="U108" s="854">
        <v>11.816449284861516</v>
      </c>
      <c r="V108" s="854">
        <v>11.845990408073668</v>
      </c>
      <c r="W108" s="854">
        <v>11.875605384093852</v>
      </c>
      <c r="X108" s="854">
        <v>11.905294397554089</v>
      </c>
      <c r="Y108" s="854">
        <v>11.93505763354797</v>
      </c>
      <c r="Z108" s="854">
        <v>11.96489527763184</v>
      </c>
      <c r="AA108" s="854">
        <v>11.99480751582592</v>
      </c>
      <c r="AB108" s="854">
        <v>12.024794534615484</v>
      </c>
      <c r="AC108" s="854">
        <v>12.054856520952024</v>
      </c>
      <c r="AD108" s="854">
        <v>12.084993662254401</v>
      </c>
      <c r="AE108" s="854">
        <v>12.115206146410038</v>
      </c>
      <c r="AF108" s="854">
        <v>12.145494161776062</v>
      </c>
    </row>
    <row r="109" spans="1:32" s="864" customFormat="1" ht="14.45" x14ac:dyDescent="0.35">
      <c r="A109" s="839"/>
      <c r="B109" s="842" t="s">
        <v>50</v>
      </c>
      <c r="C109" s="838"/>
      <c r="D109" s="838"/>
      <c r="E109" s="838"/>
      <c r="F109" s="838"/>
      <c r="G109" s="854">
        <v>16.5</v>
      </c>
      <c r="H109" s="854">
        <v>16.541249999999991</v>
      </c>
      <c r="I109" s="854">
        <v>16.582499999999996</v>
      </c>
      <c r="J109" s="854">
        <v>16.623750000000001</v>
      </c>
      <c r="K109" s="854">
        <v>16.664999999999992</v>
      </c>
      <c r="L109" s="854">
        <v>16.706249999999997</v>
      </c>
      <c r="M109" s="854">
        <v>16.747500000000002</v>
      </c>
      <c r="N109" s="854">
        <v>16.788749999999993</v>
      </c>
      <c r="O109" s="854">
        <v>16.829999999999998</v>
      </c>
      <c r="P109" s="854">
        <v>16.871249999999989</v>
      </c>
      <c r="Q109" s="854">
        <v>16.912499999999994</v>
      </c>
      <c r="R109" s="854">
        <v>16.953749999999999</v>
      </c>
      <c r="S109" s="854">
        <v>16.99499999999999</v>
      </c>
      <c r="T109" s="854">
        <v>17.036249999999995</v>
      </c>
      <c r="U109" s="854">
        <v>17.077500000000001</v>
      </c>
      <c r="V109" s="854">
        <v>17.118749999999991</v>
      </c>
      <c r="W109" s="854">
        <v>17.159999999999997</v>
      </c>
      <c r="X109" s="854">
        <v>17.201250000000002</v>
      </c>
      <c r="Y109" s="854">
        <v>17.242499999999993</v>
      </c>
      <c r="Z109" s="854">
        <v>17.283749999999998</v>
      </c>
      <c r="AA109" s="854">
        <v>17.324999999999989</v>
      </c>
      <c r="AB109" s="854">
        <v>17.366249999999994</v>
      </c>
      <c r="AC109" s="854">
        <v>17.407499999999999</v>
      </c>
      <c r="AD109" s="854">
        <v>17.44874999999999</v>
      </c>
      <c r="AE109" s="854">
        <v>17.489999999999995</v>
      </c>
      <c r="AF109" s="854">
        <v>17.53125</v>
      </c>
    </row>
    <row r="110" spans="1:32" s="864" customFormat="1" ht="14.45" x14ac:dyDescent="0.35">
      <c r="A110" s="839"/>
      <c r="B110" s="839" t="s">
        <v>51</v>
      </c>
      <c r="C110" s="838"/>
      <c r="D110" s="838"/>
      <c r="E110" s="838"/>
      <c r="F110" s="838"/>
      <c r="G110" s="854">
        <v>54.599999999999994</v>
      </c>
      <c r="H110" s="854">
        <v>54.736500000000007</v>
      </c>
      <c r="I110" s="854">
        <v>54.873000000000019</v>
      </c>
      <c r="J110" s="854">
        <v>55.009500000000031</v>
      </c>
      <c r="K110" s="854">
        <v>55.145999999999987</v>
      </c>
      <c r="L110" s="854">
        <v>55.282499999999999</v>
      </c>
      <c r="M110" s="854">
        <v>55.419000000000011</v>
      </c>
      <c r="N110" s="854">
        <v>55.555500000000023</v>
      </c>
      <c r="O110" s="854">
        <v>55.691999999999979</v>
      </c>
      <c r="P110" s="854">
        <v>55.828499999999991</v>
      </c>
      <c r="Q110" s="854">
        <v>55.965000000000003</v>
      </c>
      <c r="R110" s="854">
        <v>56.101500000000016</v>
      </c>
      <c r="S110" s="854">
        <v>56.238000000000028</v>
      </c>
      <c r="T110" s="854">
        <v>56.374499999999983</v>
      </c>
      <c r="U110" s="854">
        <v>56.510999999999996</v>
      </c>
      <c r="V110" s="854">
        <v>56.647500000000008</v>
      </c>
      <c r="W110" s="854">
        <v>56.78400000000002</v>
      </c>
      <c r="X110" s="854">
        <v>56.920500000000033</v>
      </c>
      <c r="Y110" s="854">
        <v>57.056999999999988</v>
      </c>
      <c r="Z110" s="854">
        <v>57.1935</v>
      </c>
      <c r="AA110" s="854">
        <v>57.330000000000013</v>
      </c>
      <c r="AB110" s="854">
        <v>57.466500000000025</v>
      </c>
      <c r="AC110" s="854">
        <v>57.60299999999998</v>
      </c>
      <c r="AD110" s="854">
        <v>57.739499999999992</v>
      </c>
      <c r="AE110" s="854">
        <v>57.876000000000005</v>
      </c>
      <c r="AF110" s="854">
        <v>58.012500000000017</v>
      </c>
    </row>
    <row r="111" spans="1:32" s="864" customFormat="1" ht="14.45" x14ac:dyDescent="0.35">
      <c r="A111" s="839"/>
      <c r="B111" s="839" t="s">
        <v>52</v>
      </c>
      <c r="C111" s="838"/>
      <c r="D111" s="838"/>
      <c r="E111" s="838"/>
      <c r="F111" s="838"/>
      <c r="G111" s="854">
        <v>51.589999999999989</v>
      </c>
      <c r="H111" s="854">
        <v>51.718974999999972</v>
      </c>
      <c r="I111" s="854">
        <v>51.847949999999969</v>
      </c>
      <c r="J111" s="854">
        <v>51.976924999999994</v>
      </c>
      <c r="K111" s="854">
        <v>52.105899999999984</v>
      </c>
      <c r="L111" s="854">
        <v>52.773577209944726</v>
      </c>
      <c r="M111" s="854">
        <v>53.443914677716357</v>
      </c>
      <c r="N111" s="854">
        <v>54.116912403314913</v>
      </c>
      <c r="O111" s="854">
        <v>54.249877790055244</v>
      </c>
      <c r="P111" s="854">
        <v>54.382843176795561</v>
      </c>
      <c r="Q111" s="854">
        <v>54.515808563535884</v>
      </c>
      <c r="R111" s="854">
        <v>54.648773950276244</v>
      </c>
      <c r="S111" s="854">
        <v>54.781739337016568</v>
      </c>
      <c r="T111" s="854">
        <v>54.914704723756884</v>
      </c>
      <c r="U111" s="854">
        <v>55.047670110497215</v>
      </c>
      <c r="V111" s="854">
        <v>55.180635497237532</v>
      </c>
      <c r="W111" s="854">
        <v>55.313600883977898</v>
      </c>
      <c r="X111" s="854">
        <v>55.446566270718215</v>
      </c>
      <c r="Y111" s="854">
        <v>55.579531657458539</v>
      </c>
      <c r="Z111" s="854">
        <v>55.712497044198862</v>
      </c>
      <c r="AA111" s="854">
        <v>55.845462430939222</v>
      </c>
      <c r="AB111" s="854">
        <v>55.978427817679538</v>
      </c>
      <c r="AC111" s="854">
        <v>56.111393204419862</v>
      </c>
      <c r="AD111" s="854">
        <v>56.244358591160193</v>
      </c>
      <c r="AE111" s="854">
        <v>56.377323977900545</v>
      </c>
      <c r="AF111" s="854">
        <v>56.510289364640876</v>
      </c>
    </row>
    <row r="112" spans="1:32" s="864" customFormat="1" ht="14.45" x14ac:dyDescent="0.35">
      <c r="A112" s="839"/>
      <c r="B112" s="842" t="s">
        <v>29</v>
      </c>
      <c r="C112" s="838"/>
      <c r="D112" s="838"/>
      <c r="E112" s="838"/>
      <c r="F112" s="838"/>
      <c r="G112" s="854">
        <v>69.886712931315586</v>
      </c>
      <c r="H112" s="854">
        <v>84.617739005122857</v>
      </c>
      <c r="I112" s="854">
        <v>99.77020761765985</v>
      </c>
      <c r="J112" s="854">
        <v>115.81072942703476</v>
      </c>
      <c r="K112" s="854">
        <v>131.19780938437214</v>
      </c>
      <c r="L112" s="854">
        <v>145.46220447607328</v>
      </c>
      <c r="M112" s="854">
        <v>157.75364681050067</v>
      </c>
      <c r="N112" s="854">
        <v>168.55506474700036</v>
      </c>
      <c r="O112" s="854">
        <v>177.96704120423578</v>
      </c>
      <c r="P112" s="854">
        <v>186.1654499682482</v>
      </c>
      <c r="Q112" s="854">
        <v>193.35230342395749</v>
      </c>
      <c r="R112" s="854">
        <v>196.11147215578865</v>
      </c>
      <c r="S112" s="854">
        <v>198.15456111208027</v>
      </c>
      <c r="T112" s="854">
        <v>199.65744029461996</v>
      </c>
      <c r="U112" s="854">
        <v>200.75757592848979</v>
      </c>
      <c r="V112" s="854">
        <v>201.56002861929591</v>
      </c>
      <c r="W112" s="854">
        <v>202.14382617150503</v>
      </c>
      <c r="X112" s="854">
        <v>202.5677447446416</v>
      </c>
      <c r="Y112" s="854">
        <v>202.87514562074011</v>
      </c>
      <c r="Z112" s="854">
        <v>203.09783237720012</v>
      </c>
      <c r="AA112" s="854">
        <v>203.25903410630769</v>
      </c>
      <c r="AB112" s="854">
        <v>203.37566609727986</v>
      </c>
      <c r="AC112" s="854">
        <v>203.46001922812226</v>
      </c>
      <c r="AD112" s="854">
        <v>203.52101022912549</v>
      </c>
      <c r="AE112" s="854">
        <v>203.56510065539746</v>
      </c>
      <c r="AF112" s="854">
        <v>203.59696908402657</v>
      </c>
    </row>
    <row r="113" spans="1:32" s="864" customFormat="1" ht="14.45" x14ac:dyDescent="0.35">
      <c r="A113" s="839"/>
      <c r="B113" s="842" t="s">
        <v>53</v>
      </c>
      <c r="C113" s="838"/>
      <c r="D113" s="838"/>
      <c r="E113" s="838"/>
      <c r="F113" s="838"/>
      <c r="G113" s="854">
        <v>0</v>
      </c>
      <c r="H113" s="854">
        <v>0</v>
      </c>
      <c r="I113" s="854">
        <v>0</v>
      </c>
      <c r="J113" s="854">
        <v>0</v>
      </c>
      <c r="K113" s="854">
        <v>0</v>
      </c>
      <c r="L113" s="854">
        <v>0</v>
      </c>
      <c r="M113" s="854">
        <v>0</v>
      </c>
      <c r="N113" s="854">
        <v>0</v>
      </c>
      <c r="O113" s="854">
        <v>0</v>
      </c>
      <c r="P113" s="854">
        <v>0</v>
      </c>
      <c r="Q113" s="854">
        <v>0</v>
      </c>
      <c r="R113" s="854">
        <v>0</v>
      </c>
      <c r="S113" s="854">
        <v>0</v>
      </c>
      <c r="T113" s="854">
        <v>0</v>
      </c>
      <c r="U113" s="854">
        <v>0</v>
      </c>
      <c r="V113" s="854">
        <v>0</v>
      </c>
      <c r="W113" s="854">
        <v>0</v>
      </c>
      <c r="X113" s="854">
        <v>0</v>
      </c>
      <c r="Y113" s="854">
        <v>0</v>
      </c>
      <c r="Z113" s="854">
        <v>0</v>
      </c>
      <c r="AA113" s="854">
        <v>0</v>
      </c>
      <c r="AB113" s="854">
        <v>0</v>
      </c>
      <c r="AC113" s="854">
        <v>0</v>
      </c>
      <c r="AD113" s="854">
        <v>0</v>
      </c>
      <c r="AE113" s="854">
        <v>0</v>
      </c>
      <c r="AF113" s="854">
        <v>0</v>
      </c>
    </row>
    <row r="116" spans="1:32" ht="14.45" x14ac:dyDescent="0.35">
      <c r="A116" s="860" t="s">
        <v>54</v>
      </c>
      <c r="B116" s="861"/>
      <c r="C116" s="860"/>
      <c r="D116" s="859"/>
      <c r="E116" s="859"/>
      <c r="F116" s="859"/>
      <c r="G116" s="859"/>
      <c r="H116" s="862"/>
      <c r="I116" s="862"/>
      <c r="J116" s="862"/>
      <c r="K116" s="862"/>
      <c r="L116" s="862"/>
      <c r="M116" s="862"/>
      <c r="N116" s="862"/>
      <c r="O116" s="862"/>
      <c r="P116" s="862"/>
      <c r="Q116" s="862"/>
      <c r="R116" s="862"/>
      <c r="S116" s="862"/>
      <c r="T116" s="862"/>
      <c r="U116" s="862"/>
      <c r="V116" s="862"/>
      <c r="W116" s="862"/>
      <c r="X116" s="862"/>
      <c r="Y116" s="862"/>
      <c r="Z116" s="862"/>
      <c r="AA116" s="862"/>
      <c r="AB116" s="862"/>
      <c r="AC116" s="862"/>
      <c r="AD116" s="862"/>
      <c r="AE116" s="862"/>
      <c r="AF116" s="862"/>
    </row>
    <row r="117" spans="1:32" ht="14.45" x14ac:dyDescent="0.35">
      <c r="A117" s="840" t="s">
        <v>12</v>
      </c>
      <c r="B117" s="839"/>
    </row>
    <row r="118" spans="1:32" ht="14.45" x14ac:dyDescent="0.35">
      <c r="A118" s="839"/>
      <c r="B118" s="839" t="s">
        <v>20</v>
      </c>
    </row>
    <row r="119" spans="1:32" s="856" customFormat="1" ht="12.95" x14ac:dyDescent="0.3">
      <c r="A119" s="843" t="s">
        <v>21</v>
      </c>
      <c r="B119" s="843"/>
      <c r="C119" s="843"/>
      <c r="D119" s="843"/>
      <c r="E119" s="843"/>
      <c r="F119" s="843"/>
      <c r="G119" s="843"/>
      <c r="H119" s="843"/>
      <c r="I119" s="843"/>
      <c r="J119" s="843"/>
      <c r="K119" s="843"/>
      <c r="L119" s="843"/>
      <c r="M119" s="843"/>
      <c r="N119" s="843"/>
      <c r="O119" s="843"/>
      <c r="P119" s="843"/>
      <c r="Q119" s="843"/>
      <c r="R119" s="843"/>
      <c r="S119" s="843"/>
      <c r="T119" s="843"/>
      <c r="U119" s="843"/>
      <c r="V119" s="843"/>
      <c r="W119" s="843"/>
      <c r="X119" s="843"/>
      <c r="Y119" s="843"/>
      <c r="Z119" s="843"/>
      <c r="AA119" s="843"/>
      <c r="AB119" s="843"/>
      <c r="AC119" s="843"/>
      <c r="AD119" s="843"/>
      <c r="AE119" s="843"/>
      <c r="AF119" s="843"/>
    </row>
    <row r="120" spans="1:32" s="864" customFormat="1" ht="14.45" x14ac:dyDescent="0.35">
      <c r="A120" s="839"/>
      <c r="B120" s="839" t="s">
        <v>22</v>
      </c>
      <c r="C120" s="838"/>
      <c r="D120" s="838"/>
      <c r="E120" s="838"/>
      <c r="F120" s="838"/>
      <c r="G120" s="854">
        <v>12.9</v>
      </c>
      <c r="H120" s="854">
        <v>12.9</v>
      </c>
      <c r="I120" s="854">
        <v>12.9</v>
      </c>
      <c r="J120" s="854">
        <v>12.9</v>
      </c>
      <c r="K120" s="854">
        <v>12.9</v>
      </c>
      <c r="L120" s="854">
        <v>12.9</v>
      </c>
      <c r="M120" s="854">
        <v>12.9</v>
      </c>
      <c r="N120" s="854">
        <v>12.9</v>
      </c>
      <c r="O120" s="854">
        <v>12.9</v>
      </c>
      <c r="P120" s="854">
        <v>12.9</v>
      </c>
      <c r="Q120" s="854">
        <v>12.9</v>
      </c>
      <c r="R120" s="854">
        <v>12.9</v>
      </c>
      <c r="S120" s="854">
        <v>12.9</v>
      </c>
      <c r="T120" s="854">
        <v>12.9</v>
      </c>
      <c r="U120" s="854">
        <v>12.9</v>
      </c>
      <c r="V120" s="854">
        <v>12.9</v>
      </c>
      <c r="W120" s="854">
        <v>12.9</v>
      </c>
      <c r="X120" s="854">
        <v>12.9</v>
      </c>
      <c r="Y120" s="854">
        <v>12.9</v>
      </c>
      <c r="Z120" s="854">
        <v>12.9</v>
      </c>
      <c r="AA120" s="854">
        <v>12.9</v>
      </c>
      <c r="AB120" s="854">
        <v>12.9</v>
      </c>
      <c r="AC120" s="854">
        <v>12.9</v>
      </c>
      <c r="AD120" s="854">
        <v>12.9</v>
      </c>
      <c r="AE120" s="854">
        <v>12.9</v>
      </c>
      <c r="AF120" s="854">
        <v>12.9</v>
      </c>
    </row>
    <row r="121" spans="1:32" s="864" customFormat="1" ht="14.45" x14ac:dyDescent="0.35">
      <c r="A121" s="839"/>
      <c r="B121" s="839" t="s">
        <v>26</v>
      </c>
      <c r="C121" s="838"/>
      <c r="D121" s="838"/>
      <c r="E121" s="838"/>
      <c r="F121" s="838"/>
      <c r="G121" s="854">
        <v>15</v>
      </c>
      <c r="H121" s="854">
        <v>15.074999999999989</v>
      </c>
      <c r="I121" s="854">
        <v>15.150000000000006</v>
      </c>
      <c r="J121" s="854">
        <v>15.224999999999994</v>
      </c>
      <c r="K121" s="854">
        <v>15.299999999999983</v>
      </c>
      <c r="L121" s="854">
        <v>15.375</v>
      </c>
      <c r="M121" s="854">
        <v>15.449999999999989</v>
      </c>
      <c r="N121" s="854">
        <v>15.525000000000006</v>
      </c>
      <c r="O121" s="854">
        <v>15.599999999999994</v>
      </c>
      <c r="P121" s="854">
        <v>15.674999999999983</v>
      </c>
      <c r="Q121" s="854">
        <v>15.75</v>
      </c>
      <c r="R121" s="854">
        <v>15.824999999999989</v>
      </c>
      <c r="S121" s="854">
        <v>15.900000000000006</v>
      </c>
      <c r="T121" s="854">
        <v>15.974999999999994</v>
      </c>
      <c r="U121" s="854">
        <v>16.049999999999983</v>
      </c>
      <c r="V121" s="854">
        <v>16.125</v>
      </c>
      <c r="W121" s="854">
        <v>16.199999999999989</v>
      </c>
      <c r="X121" s="854">
        <v>16.275000000000006</v>
      </c>
      <c r="Y121" s="854">
        <v>16.349999999999994</v>
      </c>
      <c r="Z121" s="854">
        <v>16.424999999999983</v>
      </c>
      <c r="AA121" s="854">
        <v>16.5</v>
      </c>
      <c r="AB121" s="854">
        <v>16.574999999999989</v>
      </c>
      <c r="AC121" s="854">
        <v>16.650000000000006</v>
      </c>
      <c r="AD121" s="854">
        <v>16.724999999999994</v>
      </c>
      <c r="AE121" s="854">
        <v>16.799999999999983</v>
      </c>
      <c r="AF121" s="854">
        <v>16.875</v>
      </c>
    </row>
    <row r="122" spans="1:32" s="864" customFormat="1" ht="14.45" x14ac:dyDescent="0.35">
      <c r="A122" s="839"/>
      <c r="B122" s="839" t="s">
        <v>27</v>
      </c>
      <c r="C122" s="838"/>
      <c r="D122" s="838"/>
      <c r="E122" s="838"/>
      <c r="F122" s="838"/>
      <c r="G122" s="854">
        <v>53</v>
      </c>
      <c r="H122" s="854">
        <v>53.2650000000001</v>
      </c>
      <c r="I122" s="854">
        <v>53.530000000000086</v>
      </c>
      <c r="J122" s="854">
        <v>53.795000000000073</v>
      </c>
      <c r="K122" s="854">
        <v>54.060000000000059</v>
      </c>
      <c r="L122" s="854">
        <v>54.325000000000045</v>
      </c>
      <c r="M122" s="854">
        <v>54.590000000000032</v>
      </c>
      <c r="N122" s="854">
        <v>54.855000000000018</v>
      </c>
      <c r="O122" s="854">
        <v>55.120000000000005</v>
      </c>
      <c r="P122" s="854">
        <v>55.385000000000105</v>
      </c>
      <c r="Q122" s="854">
        <v>55.650000000000091</v>
      </c>
      <c r="R122" s="854">
        <v>55.915000000000077</v>
      </c>
      <c r="S122" s="854">
        <v>56.180000000000064</v>
      </c>
      <c r="T122" s="854">
        <v>56.44500000000005</v>
      </c>
      <c r="U122" s="854">
        <v>56.710000000000036</v>
      </c>
      <c r="V122" s="854">
        <v>56.975000000000023</v>
      </c>
      <c r="W122" s="854">
        <v>57.240000000000009</v>
      </c>
      <c r="X122" s="854">
        <v>57.504999999999995</v>
      </c>
      <c r="Y122" s="854">
        <v>57.770000000000095</v>
      </c>
      <c r="Z122" s="854">
        <v>58.035000000000082</v>
      </c>
      <c r="AA122" s="854">
        <v>58.300000000000068</v>
      </c>
      <c r="AB122" s="854">
        <v>58.565000000000055</v>
      </c>
      <c r="AC122" s="854">
        <v>58.830000000000041</v>
      </c>
      <c r="AD122" s="854">
        <v>59.095000000000027</v>
      </c>
      <c r="AE122" s="854">
        <v>59.360000000000014</v>
      </c>
      <c r="AF122" s="854">
        <v>59.625</v>
      </c>
    </row>
    <row r="123" spans="1:32" s="864" customFormat="1" ht="14.45" x14ac:dyDescent="0.35">
      <c r="A123" s="839"/>
      <c r="B123" s="839" t="s">
        <v>29</v>
      </c>
      <c r="C123" s="838"/>
      <c r="D123" s="838"/>
      <c r="E123" s="838"/>
      <c r="F123" s="838"/>
      <c r="G123" s="854">
        <v>36.873768202819726</v>
      </c>
      <c r="H123" s="854">
        <v>48.266272480467556</v>
      </c>
      <c r="I123" s="854">
        <v>61.701198700113544</v>
      </c>
      <c r="J123" s="854">
        <v>77.591734715380795</v>
      </c>
      <c r="K123" s="854">
        <v>94.800465488123137</v>
      </c>
      <c r="L123" s="854">
        <v>112.50003941617493</v>
      </c>
      <c r="M123" s="854">
        <v>129.3471504340618</v>
      </c>
      <c r="N123" s="854">
        <v>145.03095133963808</v>
      </c>
      <c r="O123" s="854">
        <v>159.127310954921</v>
      </c>
      <c r="P123" s="854">
        <v>171.48202098927979</v>
      </c>
      <c r="Q123" s="854">
        <v>182.15170200680319</v>
      </c>
      <c r="R123" s="854">
        <v>187.8607232688625</v>
      </c>
      <c r="S123" s="854">
        <v>192.15160570290442</v>
      </c>
      <c r="T123" s="854">
        <v>195.33034204073093</v>
      </c>
      <c r="U123" s="854">
        <v>197.66006127320361</v>
      </c>
      <c r="V123" s="854">
        <v>199.35413887963063</v>
      </c>
      <c r="W123" s="854">
        <v>200.57896356186501</v>
      </c>
      <c r="X123" s="854">
        <v>201.46085171629713</v>
      </c>
      <c r="Y123" s="854">
        <v>202.09392729485813</v>
      </c>
      <c r="Z123" s="854">
        <v>202.54741526513342</v>
      </c>
      <c r="AA123" s="854">
        <v>202.87176106409183</v>
      </c>
      <c r="AB123" s="854">
        <v>203.10348618652321</v>
      </c>
      <c r="AC123" s="854">
        <v>203.26890947460336</v>
      </c>
      <c r="AD123" s="854">
        <v>203.38693514979437</v>
      </c>
      <c r="AE123" s="854">
        <v>203.47111002115616</v>
      </c>
      <c r="AF123" s="854">
        <v>203.53112565740346</v>
      </c>
    </row>
    <row r="124" spans="1:32" s="864" customFormat="1" ht="14.45" x14ac:dyDescent="0.35">
      <c r="A124" s="839"/>
      <c r="B124" s="839"/>
      <c r="C124" s="838"/>
      <c r="D124" s="838"/>
      <c r="E124" s="838"/>
      <c r="F124" s="838"/>
      <c r="G124" s="854"/>
      <c r="H124" s="838"/>
      <c r="I124" s="838"/>
      <c r="J124" s="838"/>
      <c r="K124" s="838"/>
      <c r="L124" s="838"/>
      <c r="M124" s="838"/>
      <c r="N124" s="838"/>
      <c r="O124" s="838"/>
      <c r="P124" s="838"/>
      <c r="Q124" s="838"/>
      <c r="R124" s="838"/>
      <c r="S124" s="838"/>
      <c r="T124" s="838"/>
      <c r="U124" s="838"/>
      <c r="V124" s="838"/>
      <c r="W124" s="838"/>
      <c r="X124" s="838"/>
      <c r="Y124" s="838"/>
      <c r="Z124" s="838"/>
      <c r="AA124" s="838"/>
      <c r="AB124" s="838"/>
      <c r="AC124" s="838"/>
      <c r="AD124" s="838"/>
      <c r="AE124" s="838"/>
      <c r="AF124" s="838"/>
    </row>
    <row r="125" spans="1:32" s="856" customFormat="1" ht="12.95" x14ac:dyDescent="0.3">
      <c r="A125" s="843" t="s">
        <v>32</v>
      </c>
      <c r="B125" s="843"/>
      <c r="C125" s="843"/>
      <c r="D125" s="843"/>
      <c r="E125" s="843"/>
      <c r="F125" s="843"/>
      <c r="G125" s="865"/>
      <c r="H125" s="843"/>
      <c r="I125" s="843"/>
      <c r="J125" s="843"/>
      <c r="K125" s="843"/>
      <c r="L125" s="843"/>
      <c r="M125" s="843"/>
      <c r="N125" s="843"/>
      <c r="O125" s="843"/>
      <c r="P125" s="843"/>
      <c r="Q125" s="843"/>
      <c r="R125" s="843"/>
      <c r="S125" s="843"/>
      <c r="T125" s="843"/>
      <c r="U125" s="843"/>
      <c r="V125" s="843"/>
      <c r="W125" s="843"/>
      <c r="X125" s="843"/>
      <c r="Y125" s="843"/>
      <c r="Z125" s="843"/>
      <c r="AA125" s="843"/>
      <c r="AB125" s="843"/>
      <c r="AC125" s="843"/>
      <c r="AD125" s="843"/>
      <c r="AE125" s="843"/>
      <c r="AF125" s="843"/>
    </row>
    <row r="126" spans="1:32" s="864" customFormat="1" ht="14.45" x14ac:dyDescent="0.35">
      <c r="A126" s="839"/>
      <c r="B126" s="839" t="s">
        <v>33</v>
      </c>
      <c r="C126" s="838"/>
      <c r="D126" s="838"/>
      <c r="E126" s="838"/>
      <c r="F126" s="838"/>
      <c r="G126" s="854">
        <v>10.199999999999999</v>
      </c>
      <c r="H126" s="854">
        <v>10.199999999999999</v>
      </c>
      <c r="I126" s="854">
        <v>10.199999999999999</v>
      </c>
      <c r="J126" s="854">
        <v>10.199999999999999</v>
      </c>
      <c r="K126" s="854">
        <v>10.199999999999999</v>
      </c>
      <c r="L126" s="854">
        <v>10.199999999999999</v>
      </c>
      <c r="M126" s="854">
        <v>10.199999999999999</v>
      </c>
      <c r="N126" s="854">
        <v>10.199999999999999</v>
      </c>
      <c r="O126" s="854">
        <v>10.199999999999999</v>
      </c>
      <c r="P126" s="854">
        <v>10.199999999999999</v>
      </c>
      <c r="Q126" s="854">
        <v>10.199999999999999</v>
      </c>
      <c r="R126" s="854">
        <v>10.199999999999999</v>
      </c>
      <c r="S126" s="854">
        <v>10.199999999999999</v>
      </c>
      <c r="T126" s="854">
        <v>10.199999999999999</v>
      </c>
      <c r="U126" s="854">
        <v>10.199999999999999</v>
      </c>
      <c r="V126" s="854">
        <v>10.199999999999999</v>
      </c>
      <c r="W126" s="854">
        <v>10.199999999999999</v>
      </c>
      <c r="X126" s="854">
        <v>10.199999999999999</v>
      </c>
      <c r="Y126" s="854">
        <v>10.199999999999999</v>
      </c>
      <c r="Z126" s="854">
        <v>10.199999999999999</v>
      </c>
      <c r="AA126" s="854">
        <v>10.199999999999999</v>
      </c>
      <c r="AB126" s="854">
        <v>10.199999999999999</v>
      </c>
      <c r="AC126" s="854">
        <v>10.199999999999999</v>
      </c>
      <c r="AD126" s="854">
        <v>10.199999999999999</v>
      </c>
      <c r="AE126" s="854">
        <v>10.199999999999999</v>
      </c>
      <c r="AF126" s="854">
        <v>10.199999999999999</v>
      </c>
    </row>
    <row r="127" spans="1:32" s="864" customFormat="1" ht="14.45" x14ac:dyDescent="0.35">
      <c r="A127" s="842"/>
      <c r="B127" s="842" t="s">
        <v>34</v>
      </c>
      <c r="C127" s="838"/>
      <c r="D127" s="838"/>
      <c r="E127" s="838"/>
      <c r="F127" s="838"/>
      <c r="G127" s="854">
        <v>14.100000000000009</v>
      </c>
      <c r="H127" s="854">
        <v>14.170500000000018</v>
      </c>
      <c r="I127" s="854">
        <v>15.249613391040644</v>
      </c>
      <c r="J127" s="854">
        <v>16.328726782081269</v>
      </c>
      <c r="K127" s="854">
        <v>17.407840173121894</v>
      </c>
      <c r="L127" s="854">
        <v>17.494879373987501</v>
      </c>
      <c r="M127" s="854">
        <v>17.582353770857438</v>
      </c>
      <c r="N127" s="854">
        <v>17.670265539711721</v>
      </c>
      <c r="O127" s="854">
        <v>17.758616867410275</v>
      </c>
      <c r="P127" s="854">
        <v>17.847409951747323</v>
      </c>
      <c r="Q127" s="854">
        <v>17.936647001506056</v>
      </c>
      <c r="R127" s="854">
        <v>18.026330236513587</v>
      </c>
      <c r="S127" s="854">
        <v>18.116461887696151</v>
      </c>
      <c r="T127" s="854">
        <v>18.207044197134632</v>
      </c>
      <c r="U127" s="854">
        <v>18.298079418120302</v>
      </c>
      <c r="V127" s="854">
        <v>18.389569815210901</v>
      </c>
      <c r="W127" s="854">
        <v>18.481517664286951</v>
      </c>
      <c r="X127" s="854">
        <v>18.573925252608383</v>
      </c>
      <c r="Y127" s="854">
        <v>18.666794878871421</v>
      </c>
      <c r="Z127" s="854">
        <v>18.760128853265773</v>
      </c>
      <c r="AA127" s="854">
        <v>18.8539294975321</v>
      </c>
      <c r="AB127" s="854">
        <v>18.94819914501976</v>
      </c>
      <c r="AC127" s="854">
        <v>19.042940140744854</v>
      </c>
      <c r="AD127" s="854">
        <v>19.138154841448575</v>
      </c>
      <c r="AE127" s="854">
        <v>19.233845615655817</v>
      </c>
      <c r="AF127" s="854">
        <v>19.330014843734091</v>
      </c>
    </row>
    <row r="128" spans="1:32" s="864" customFormat="1" ht="14.45" x14ac:dyDescent="0.35">
      <c r="A128" s="839"/>
      <c r="B128" s="842" t="s">
        <v>35</v>
      </c>
      <c r="C128" s="838"/>
      <c r="D128" s="838"/>
      <c r="E128" s="838"/>
      <c r="F128" s="838"/>
      <c r="G128" s="854">
        <v>43.099999999999966</v>
      </c>
      <c r="H128" s="854">
        <v>43.315499999999986</v>
      </c>
      <c r="I128" s="854">
        <v>43.531000000000006</v>
      </c>
      <c r="J128" s="854">
        <v>43.746499999999969</v>
      </c>
      <c r="K128" s="854">
        <v>43.961999999999989</v>
      </c>
      <c r="L128" s="854">
        <v>44.177500000000009</v>
      </c>
      <c r="M128" s="854">
        <v>44.392999999999972</v>
      </c>
      <c r="N128" s="854">
        <v>44.608499999999992</v>
      </c>
      <c r="O128" s="854">
        <v>44.824000000000012</v>
      </c>
      <c r="P128" s="854">
        <v>45.039499999999975</v>
      </c>
      <c r="Q128" s="854">
        <v>45.254999999999995</v>
      </c>
      <c r="R128" s="854">
        <v>45.470499999999959</v>
      </c>
      <c r="S128" s="854">
        <v>45.685999999999979</v>
      </c>
      <c r="T128" s="854">
        <v>45.901499999999999</v>
      </c>
      <c r="U128" s="854">
        <v>46.116999999999962</v>
      </c>
      <c r="V128" s="854">
        <v>46.332499999999982</v>
      </c>
      <c r="W128" s="854">
        <v>46.548000000000002</v>
      </c>
      <c r="X128" s="854">
        <v>46.763499999999965</v>
      </c>
      <c r="Y128" s="854">
        <v>46.978999999999985</v>
      </c>
      <c r="Z128" s="854">
        <v>47.194500000000005</v>
      </c>
      <c r="AA128" s="854">
        <v>47.409999999999968</v>
      </c>
      <c r="AB128" s="854">
        <v>47.625499999999988</v>
      </c>
      <c r="AC128" s="854">
        <v>47.841000000000008</v>
      </c>
      <c r="AD128" s="854">
        <v>48.056499999999971</v>
      </c>
      <c r="AE128" s="854">
        <v>48.271999999999991</v>
      </c>
      <c r="AF128" s="854">
        <v>48.487500000000011</v>
      </c>
    </row>
    <row r="129" spans="1:32" s="864" customFormat="1" ht="14.45" x14ac:dyDescent="0.35">
      <c r="A129" s="839"/>
      <c r="B129" s="842" t="s">
        <v>29</v>
      </c>
      <c r="C129" s="838"/>
      <c r="D129" s="838"/>
      <c r="E129" s="838"/>
      <c r="F129" s="838"/>
      <c r="G129" s="854">
        <v>36.873768202819726</v>
      </c>
      <c r="H129" s="854">
        <v>48.266272480467556</v>
      </c>
      <c r="I129" s="854">
        <v>61.701198700113544</v>
      </c>
      <c r="J129" s="854">
        <v>77.591734715380795</v>
      </c>
      <c r="K129" s="854">
        <v>94.800465488123137</v>
      </c>
      <c r="L129" s="854">
        <v>112.50003941617493</v>
      </c>
      <c r="M129" s="854">
        <v>129.3471504340618</v>
      </c>
      <c r="N129" s="854">
        <v>145.03095133963808</v>
      </c>
      <c r="O129" s="854">
        <v>159.127310954921</v>
      </c>
      <c r="P129" s="854">
        <v>171.48202098927979</v>
      </c>
      <c r="Q129" s="854">
        <v>182.15170200680319</v>
      </c>
      <c r="R129" s="854">
        <v>187.8607232688625</v>
      </c>
      <c r="S129" s="854">
        <v>192.15160570290442</v>
      </c>
      <c r="T129" s="854">
        <v>195.33034204073093</v>
      </c>
      <c r="U129" s="854">
        <v>197.66006127320361</v>
      </c>
      <c r="V129" s="854">
        <v>199.35413887963063</v>
      </c>
      <c r="W129" s="854">
        <v>200.57896356186501</v>
      </c>
      <c r="X129" s="854">
        <v>201.46085171629713</v>
      </c>
      <c r="Y129" s="854">
        <v>202.09392729485813</v>
      </c>
      <c r="Z129" s="854">
        <v>202.54741526513342</v>
      </c>
      <c r="AA129" s="854">
        <v>202.87176106409183</v>
      </c>
      <c r="AB129" s="854">
        <v>203.10348618652321</v>
      </c>
      <c r="AC129" s="854">
        <v>203.26890947460336</v>
      </c>
      <c r="AD129" s="854">
        <v>203.38693514979437</v>
      </c>
      <c r="AE129" s="854">
        <v>203.47111002115616</v>
      </c>
      <c r="AF129" s="854">
        <v>203.53112565740346</v>
      </c>
    </row>
    <row r="130" spans="1:32" s="864" customFormat="1" ht="14.45" x14ac:dyDescent="0.35">
      <c r="A130" s="839"/>
      <c r="B130" s="839"/>
      <c r="C130" s="838"/>
      <c r="D130" s="838"/>
      <c r="E130" s="838"/>
      <c r="F130" s="838"/>
      <c r="G130" s="854"/>
      <c r="H130" s="838"/>
      <c r="I130" s="838"/>
      <c r="J130" s="838"/>
      <c r="K130" s="838"/>
      <c r="L130" s="838"/>
      <c r="M130" s="838"/>
      <c r="N130" s="838"/>
      <c r="O130" s="838"/>
      <c r="P130" s="838"/>
      <c r="Q130" s="838"/>
      <c r="R130" s="838"/>
      <c r="S130" s="838"/>
      <c r="T130" s="838"/>
      <c r="U130" s="838"/>
      <c r="V130" s="838"/>
      <c r="W130" s="838"/>
      <c r="X130" s="838"/>
      <c r="Y130" s="838"/>
      <c r="Z130" s="838"/>
      <c r="AA130" s="838"/>
      <c r="AB130" s="838"/>
      <c r="AC130" s="838"/>
      <c r="AD130" s="838"/>
      <c r="AE130" s="838"/>
      <c r="AF130" s="838"/>
    </row>
    <row r="131" spans="1:32" s="856" customFormat="1" ht="12.95" x14ac:dyDescent="0.3">
      <c r="A131" s="843" t="s">
        <v>36</v>
      </c>
      <c r="B131" s="843"/>
      <c r="C131" s="843"/>
      <c r="D131" s="843"/>
      <c r="E131" s="843"/>
      <c r="F131" s="843"/>
      <c r="G131" s="865"/>
      <c r="H131" s="843"/>
      <c r="I131" s="843"/>
      <c r="J131" s="843"/>
      <c r="K131" s="843"/>
      <c r="L131" s="843"/>
      <c r="M131" s="843"/>
      <c r="N131" s="843"/>
      <c r="O131" s="843"/>
      <c r="P131" s="843"/>
      <c r="Q131" s="843"/>
      <c r="R131" s="843"/>
      <c r="S131" s="843"/>
      <c r="T131" s="843"/>
      <c r="U131" s="843"/>
      <c r="V131" s="843"/>
      <c r="W131" s="843"/>
      <c r="X131" s="843"/>
      <c r="Y131" s="843"/>
      <c r="Z131" s="843"/>
      <c r="AA131" s="843"/>
      <c r="AB131" s="843"/>
      <c r="AC131" s="843"/>
      <c r="AD131" s="843"/>
      <c r="AE131" s="843"/>
      <c r="AF131" s="843"/>
    </row>
    <row r="132" spans="1:32" s="864" customFormat="1" ht="14.45" x14ac:dyDescent="0.35">
      <c r="A132" s="839"/>
      <c r="B132" s="839" t="s">
        <v>37</v>
      </c>
      <c r="C132" s="838"/>
      <c r="D132" s="838"/>
      <c r="E132" s="838"/>
      <c r="F132" s="855"/>
      <c r="G132" s="854">
        <v>46.9</v>
      </c>
      <c r="H132" s="854">
        <v>46.9</v>
      </c>
      <c r="I132" s="854">
        <v>46.9</v>
      </c>
      <c r="J132" s="854">
        <v>46.9</v>
      </c>
      <c r="K132" s="854">
        <v>46.9</v>
      </c>
      <c r="L132" s="854">
        <v>46.9</v>
      </c>
      <c r="M132" s="854">
        <v>46.9</v>
      </c>
      <c r="N132" s="854">
        <v>46.9</v>
      </c>
      <c r="O132" s="854">
        <v>46.9</v>
      </c>
      <c r="P132" s="854">
        <v>46.9</v>
      </c>
      <c r="Q132" s="854">
        <v>46.9</v>
      </c>
      <c r="R132" s="854">
        <v>46.9</v>
      </c>
      <c r="S132" s="854">
        <v>46.9</v>
      </c>
      <c r="T132" s="854">
        <v>46.9</v>
      </c>
      <c r="U132" s="854">
        <v>46.9</v>
      </c>
      <c r="V132" s="854">
        <v>46.9</v>
      </c>
      <c r="W132" s="854">
        <v>46.9</v>
      </c>
      <c r="X132" s="854">
        <v>46.9</v>
      </c>
      <c r="Y132" s="854">
        <v>46.9</v>
      </c>
      <c r="Z132" s="854">
        <v>46.9</v>
      </c>
      <c r="AA132" s="854">
        <v>46.9</v>
      </c>
      <c r="AB132" s="854">
        <v>46.9</v>
      </c>
      <c r="AC132" s="854">
        <v>46.9</v>
      </c>
      <c r="AD132" s="854">
        <v>46.9</v>
      </c>
      <c r="AE132" s="854">
        <v>46.9</v>
      </c>
      <c r="AF132" s="854">
        <v>46.9</v>
      </c>
    </row>
    <row r="133" spans="1:32" s="864" customFormat="1" ht="14.45" x14ac:dyDescent="0.35">
      <c r="A133" s="839"/>
      <c r="B133" s="839" t="s">
        <v>39</v>
      </c>
      <c r="C133" s="838"/>
      <c r="D133" s="838"/>
      <c r="E133" s="857"/>
      <c r="F133" s="838"/>
      <c r="G133" s="854">
        <v>50.749999999999986</v>
      </c>
      <c r="H133" s="854">
        <v>51.003749999999968</v>
      </c>
      <c r="I133" s="854">
        <v>51.257499999999951</v>
      </c>
      <c r="J133" s="854">
        <v>51.511250000000011</v>
      </c>
      <c r="K133" s="854">
        <v>52.449366666666663</v>
      </c>
      <c r="L133" s="854">
        <v>53.387483333333329</v>
      </c>
      <c r="M133" s="854">
        <v>54.325600000000001</v>
      </c>
      <c r="N133" s="854">
        <v>54.597227999999994</v>
      </c>
      <c r="O133" s="854">
        <v>54.870214139999987</v>
      </c>
      <c r="P133" s="854">
        <v>55.14456521069998</v>
      </c>
      <c r="Q133" s="854">
        <v>55.420288036753462</v>
      </c>
      <c r="R133" s="854">
        <v>55.697389476937218</v>
      </c>
      <c r="S133" s="854">
        <v>55.975876424321896</v>
      </c>
      <c r="T133" s="854">
        <v>56.255755806443496</v>
      </c>
      <c r="U133" s="854">
        <v>56.537034585475709</v>
      </c>
      <c r="V133" s="854">
        <v>56.819719758403089</v>
      </c>
      <c r="W133" s="854">
        <v>57.103818357195088</v>
      </c>
      <c r="X133" s="854">
        <v>57.38933744898106</v>
      </c>
      <c r="Y133" s="854">
        <v>57.676284136225945</v>
      </c>
      <c r="Z133" s="854">
        <v>57.964665556907072</v>
      </c>
      <c r="AA133" s="854">
        <v>58.254488884691597</v>
      </c>
      <c r="AB133" s="854">
        <v>58.545761329115045</v>
      </c>
      <c r="AC133" s="854">
        <v>58.838490135760615</v>
      </c>
      <c r="AD133" s="854">
        <v>59.132682586439422</v>
      </c>
      <c r="AE133" s="854">
        <v>59.428345999371594</v>
      </c>
      <c r="AF133" s="854">
        <v>59.725487729368446</v>
      </c>
    </row>
    <row r="134" spans="1:32" s="864" customFormat="1" ht="14.45" x14ac:dyDescent="0.35">
      <c r="A134" s="839"/>
      <c r="B134" s="839" t="s">
        <v>40</v>
      </c>
      <c r="C134" s="838"/>
      <c r="D134" s="838"/>
      <c r="E134" s="838"/>
      <c r="F134" s="838"/>
      <c r="G134" s="854">
        <v>77.129999999999967</v>
      </c>
      <c r="H134" s="854">
        <v>77.515650000000008</v>
      </c>
      <c r="I134" s="854">
        <v>77.901299999999964</v>
      </c>
      <c r="J134" s="854">
        <v>78.286950000000004</v>
      </c>
      <c r="K134" s="854">
        <v>78.672599999999946</v>
      </c>
      <c r="L134" s="854">
        <v>79.058250000000001</v>
      </c>
      <c r="M134" s="854">
        <v>79.443899999999957</v>
      </c>
      <c r="N134" s="854">
        <v>79.829549999999983</v>
      </c>
      <c r="O134" s="854">
        <v>80.215199999999953</v>
      </c>
      <c r="P134" s="854">
        <v>80.600849999999994</v>
      </c>
      <c r="Q134" s="854">
        <v>80.98649999999995</v>
      </c>
      <c r="R134" s="854">
        <v>81.372149999999991</v>
      </c>
      <c r="S134" s="854">
        <v>81.757799999999932</v>
      </c>
      <c r="T134" s="854">
        <v>82.143449999999987</v>
      </c>
      <c r="U134" s="854">
        <v>82.529100000000028</v>
      </c>
      <c r="V134" s="854">
        <v>82.91474999999997</v>
      </c>
      <c r="W134" s="854">
        <v>83.300400000000025</v>
      </c>
      <c r="X134" s="854">
        <v>83.68604999999998</v>
      </c>
      <c r="Y134" s="854">
        <v>84.071700000000007</v>
      </c>
      <c r="Z134" s="854">
        <v>84.457349999999977</v>
      </c>
      <c r="AA134" s="854">
        <v>84.843000000000018</v>
      </c>
      <c r="AB134" s="854">
        <v>85.228649999999973</v>
      </c>
      <c r="AC134" s="854">
        <v>85.614300000000014</v>
      </c>
      <c r="AD134" s="854">
        <v>85.999949999999956</v>
      </c>
      <c r="AE134" s="854">
        <v>86.385600000000011</v>
      </c>
      <c r="AF134" s="854">
        <v>86.771249999999952</v>
      </c>
    </row>
    <row r="135" spans="1:32" s="864" customFormat="1" ht="14.45" x14ac:dyDescent="0.35">
      <c r="A135" s="839"/>
      <c r="B135" s="839" t="s">
        <v>29</v>
      </c>
      <c r="C135" s="838"/>
      <c r="D135" s="838"/>
      <c r="E135" s="838"/>
      <c r="F135" s="838"/>
      <c r="G135" s="854">
        <v>69.886712931315586</v>
      </c>
      <c r="H135" s="854">
        <v>84.617739005122857</v>
      </c>
      <c r="I135" s="854">
        <v>99.77020761765985</v>
      </c>
      <c r="J135" s="854">
        <v>115.81072942703476</v>
      </c>
      <c r="K135" s="854">
        <v>131.19780938437214</v>
      </c>
      <c r="L135" s="854">
        <v>145.46220447607328</v>
      </c>
      <c r="M135" s="854">
        <v>157.75364681050067</v>
      </c>
      <c r="N135" s="854">
        <v>168.55506474700036</v>
      </c>
      <c r="O135" s="854">
        <v>177.96704120423578</v>
      </c>
      <c r="P135" s="854">
        <v>186.1654499682482</v>
      </c>
      <c r="Q135" s="854">
        <v>193.35230342395749</v>
      </c>
      <c r="R135" s="854">
        <v>196.11147215578865</v>
      </c>
      <c r="S135" s="854">
        <v>198.15456111208027</v>
      </c>
      <c r="T135" s="854">
        <v>199.65744029461996</v>
      </c>
      <c r="U135" s="854">
        <v>200.75757592848979</v>
      </c>
      <c r="V135" s="854">
        <v>201.56002861929591</v>
      </c>
      <c r="W135" s="854">
        <v>202.14382617150503</v>
      </c>
      <c r="X135" s="854">
        <v>202.5677447446416</v>
      </c>
      <c r="Y135" s="854">
        <v>202.87514562074011</v>
      </c>
      <c r="Z135" s="854">
        <v>203.09783237720012</v>
      </c>
      <c r="AA135" s="854">
        <v>203.25903410630769</v>
      </c>
      <c r="AB135" s="854">
        <v>203.37566609727986</v>
      </c>
      <c r="AC135" s="854">
        <v>203.46001922812226</v>
      </c>
      <c r="AD135" s="854">
        <v>203.52101022912549</v>
      </c>
      <c r="AE135" s="854">
        <v>203.56510065539746</v>
      </c>
      <c r="AF135" s="854">
        <v>203.59696908402657</v>
      </c>
    </row>
    <row r="136" spans="1:32" s="864" customFormat="1" ht="14.45" x14ac:dyDescent="0.35">
      <c r="A136" s="839"/>
      <c r="B136" s="839"/>
      <c r="C136" s="838"/>
      <c r="D136" s="838"/>
      <c r="E136" s="838"/>
      <c r="F136" s="838"/>
      <c r="G136" s="854"/>
      <c r="H136" s="838"/>
      <c r="I136" s="838"/>
      <c r="J136" s="838"/>
      <c r="K136" s="838"/>
      <c r="L136" s="838"/>
      <c r="M136" s="838"/>
      <c r="N136" s="838"/>
      <c r="O136" s="838"/>
      <c r="P136" s="838"/>
      <c r="Q136" s="838"/>
      <c r="R136" s="838"/>
      <c r="S136" s="838"/>
      <c r="T136" s="838"/>
      <c r="U136" s="838"/>
      <c r="V136" s="838"/>
      <c r="W136" s="838"/>
      <c r="X136" s="838"/>
      <c r="Y136" s="838"/>
      <c r="Z136" s="838"/>
      <c r="AA136" s="838"/>
      <c r="AB136" s="838"/>
      <c r="AC136" s="838"/>
      <c r="AD136" s="838"/>
      <c r="AE136" s="838"/>
      <c r="AF136" s="838"/>
    </row>
    <row r="137" spans="1:32" s="856" customFormat="1" ht="12.95" x14ac:dyDescent="0.3">
      <c r="A137" s="843" t="s">
        <v>42</v>
      </c>
      <c r="B137" s="843"/>
      <c r="C137" s="843"/>
      <c r="D137" s="843"/>
      <c r="E137" s="843"/>
      <c r="F137" s="843"/>
      <c r="G137" s="865"/>
      <c r="H137" s="843"/>
      <c r="I137" s="843"/>
      <c r="J137" s="843"/>
      <c r="K137" s="843"/>
      <c r="L137" s="843"/>
      <c r="M137" s="843"/>
      <c r="N137" s="843"/>
      <c r="O137" s="843"/>
      <c r="P137" s="843"/>
      <c r="Q137" s="843"/>
      <c r="R137" s="843"/>
      <c r="S137" s="843"/>
      <c r="T137" s="843"/>
      <c r="U137" s="843"/>
      <c r="V137" s="843"/>
      <c r="W137" s="843"/>
      <c r="X137" s="843"/>
      <c r="Y137" s="843"/>
      <c r="Z137" s="843"/>
      <c r="AA137" s="843"/>
      <c r="AB137" s="843"/>
      <c r="AC137" s="843"/>
      <c r="AD137" s="843"/>
      <c r="AE137" s="843"/>
      <c r="AF137" s="843"/>
    </row>
    <row r="138" spans="1:32" s="864" customFormat="1" ht="14.45" x14ac:dyDescent="0.35">
      <c r="A138" s="839"/>
      <c r="B138" s="842" t="s">
        <v>43</v>
      </c>
      <c r="C138" s="838"/>
      <c r="D138" s="838"/>
      <c r="E138" s="838"/>
      <c r="F138" s="838"/>
      <c r="G138" s="854">
        <v>19.045000000000002</v>
      </c>
      <c r="H138" s="854">
        <v>19.045000000000002</v>
      </c>
      <c r="I138" s="854">
        <v>19.045000000000002</v>
      </c>
      <c r="J138" s="854">
        <v>19.045000000000002</v>
      </c>
      <c r="K138" s="854">
        <v>19.045000000000002</v>
      </c>
      <c r="L138" s="854">
        <v>19.045000000000002</v>
      </c>
      <c r="M138" s="854">
        <v>19.045000000000002</v>
      </c>
      <c r="N138" s="854">
        <v>19.045000000000002</v>
      </c>
      <c r="O138" s="854">
        <v>19.045000000000002</v>
      </c>
      <c r="P138" s="854">
        <v>19.045000000000002</v>
      </c>
      <c r="Q138" s="854">
        <v>19.045000000000002</v>
      </c>
      <c r="R138" s="854">
        <v>19.045000000000002</v>
      </c>
      <c r="S138" s="854">
        <v>19.045000000000002</v>
      </c>
      <c r="T138" s="854">
        <v>19.045000000000002</v>
      </c>
      <c r="U138" s="854">
        <v>19.045000000000002</v>
      </c>
      <c r="V138" s="854">
        <v>19.045000000000002</v>
      </c>
      <c r="W138" s="854">
        <v>19.045000000000002</v>
      </c>
      <c r="X138" s="854">
        <v>19.045000000000002</v>
      </c>
      <c r="Y138" s="854">
        <v>19.045000000000002</v>
      </c>
      <c r="Z138" s="854">
        <v>19.045000000000002</v>
      </c>
      <c r="AA138" s="854">
        <v>19.045000000000002</v>
      </c>
      <c r="AB138" s="854">
        <v>19.045000000000002</v>
      </c>
      <c r="AC138" s="854">
        <v>19.045000000000002</v>
      </c>
      <c r="AD138" s="854">
        <v>19.045000000000002</v>
      </c>
      <c r="AE138" s="854">
        <v>19.045000000000002</v>
      </c>
      <c r="AF138" s="854">
        <v>19.045000000000002</v>
      </c>
    </row>
    <row r="139" spans="1:32" s="864" customFormat="1" ht="14.45" x14ac:dyDescent="0.35">
      <c r="A139" s="839"/>
      <c r="B139" s="842" t="s">
        <v>44</v>
      </c>
      <c r="C139" s="838"/>
      <c r="D139" s="838"/>
      <c r="E139" s="838"/>
      <c r="F139" s="838"/>
      <c r="G139" s="854">
        <v>31.849999999999973</v>
      </c>
      <c r="H139" s="854">
        <v>32.08887499999998</v>
      </c>
      <c r="I139" s="854">
        <v>32.32774999999998</v>
      </c>
      <c r="J139" s="854">
        <v>32.566624999999995</v>
      </c>
      <c r="K139" s="854">
        <v>32.805499999999995</v>
      </c>
      <c r="L139" s="854">
        <v>33.044375000000002</v>
      </c>
      <c r="M139" s="854">
        <v>33.283250000000002</v>
      </c>
      <c r="N139" s="854">
        <v>33.522125000000017</v>
      </c>
      <c r="O139" s="854">
        <v>33.761000000000017</v>
      </c>
      <c r="P139" s="854">
        <v>33.999875000000024</v>
      </c>
      <c r="Q139" s="854">
        <v>34.23874999999996</v>
      </c>
      <c r="R139" s="854">
        <v>34.477624999999975</v>
      </c>
      <c r="S139" s="854">
        <v>34.716499999999975</v>
      </c>
      <c r="T139" s="854">
        <v>34.955374999999982</v>
      </c>
      <c r="U139" s="854">
        <v>35.194249999999982</v>
      </c>
      <c r="V139" s="854">
        <v>35.433124999999997</v>
      </c>
      <c r="W139" s="854">
        <v>35.671999999999997</v>
      </c>
      <c r="X139" s="854">
        <v>35.910875000000004</v>
      </c>
      <c r="Y139" s="854">
        <v>36.149750000000004</v>
      </c>
      <c r="Z139" s="854">
        <v>36.388625000000019</v>
      </c>
      <c r="AA139" s="854">
        <v>36.627500000000019</v>
      </c>
      <c r="AB139" s="854">
        <v>36.866374999999962</v>
      </c>
      <c r="AC139" s="854">
        <v>37.105249999999963</v>
      </c>
      <c r="AD139" s="854">
        <v>37.344124999999977</v>
      </c>
      <c r="AE139" s="854">
        <v>37.582999999999977</v>
      </c>
      <c r="AF139" s="854">
        <v>37.821874999999984</v>
      </c>
    </row>
    <row r="140" spans="1:32" s="864" customFormat="1" ht="14.45" x14ac:dyDescent="0.35">
      <c r="A140" s="839"/>
      <c r="B140" s="842" t="s">
        <v>45</v>
      </c>
      <c r="C140" s="838"/>
      <c r="D140" s="838"/>
      <c r="E140" s="838"/>
      <c r="F140" s="838"/>
      <c r="G140" s="854">
        <v>45.565000000000005</v>
      </c>
      <c r="H140" s="854">
        <v>45.678912499999996</v>
      </c>
      <c r="I140" s="854">
        <v>45.792824999999979</v>
      </c>
      <c r="J140" s="854">
        <v>45.906737499999998</v>
      </c>
      <c r="K140" s="854">
        <v>46.020649999999982</v>
      </c>
      <c r="L140" s="854">
        <v>46.134562499999994</v>
      </c>
      <c r="M140" s="854">
        <v>46.248474999999985</v>
      </c>
      <c r="N140" s="854">
        <v>46.362387500000004</v>
      </c>
      <c r="O140" s="854">
        <v>46.476299999999988</v>
      </c>
      <c r="P140" s="854">
        <v>46.590212500000014</v>
      </c>
      <c r="Q140" s="854">
        <v>46.704124999999998</v>
      </c>
      <c r="R140" s="854">
        <v>46.818037499999981</v>
      </c>
      <c r="S140" s="854">
        <v>46.931950000000001</v>
      </c>
      <c r="T140" s="854">
        <v>47.045862499999991</v>
      </c>
      <c r="U140" s="854">
        <v>47.159775000000003</v>
      </c>
      <c r="V140" s="854">
        <v>47.273687499999987</v>
      </c>
      <c r="W140" s="854">
        <v>47.387600000000006</v>
      </c>
      <c r="X140" s="854">
        <v>47.501512499999997</v>
      </c>
      <c r="Y140" s="854">
        <v>47.615424999999981</v>
      </c>
      <c r="Z140" s="854">
        <v>47.7293375</v>
      </c>
      <c r="AA140" s="854">
        <v>47.843249999999983</v>
      </c>
      <c r="AB140" s="854">
        <v>47.957162499999995</v>
      </c>
      <c r="AC140" s="854">
        <v>48.071074999999993</v>
      </c>
      <c r="AD140" s="854">
        <v>48.184987500000005</v>
      </c>
      <c r="AE140" s="854">
        <v>48.298899999999989</v>
      </c>
      <c r="AF140" s="854">
        <v>48.412812499999987</v>
      </c>
    </row>
    <row r="141" spans="1:32" s="864" customFormat="1" ht="14.45" x14ac:dyDescent="0.35">
      <c r="A141" s="839"/>
      <c r="B141" s="842" t="s">
        <v>46</v>
      </c>
      <c r="C141" s="838"/>
      <c r="D141" s="838"/>
      <c r="E141" s="838"/>
      <c r="F141" s="838"/>
      <c r="G141" s="854">
        <v>0</v>
      </c>
      <c r="H141" s="854">
        <v>0</v>
      </c>
      <c r="I141" s="854">
        <v>0</v>
      </c>
      <c r="J141" s="854">
        <v>0</v>
      </c>
      <c r="K141" s="854">
        <v>0</v>
      </c>
      <c r="L141" s="854">
        <v>0</v>
      </c>
      <c r="M141" s="854">
        <v>0</v>
      </c>
      <c r="N141" s="854">
        <v>0</v>
      </c>
      <c r="O141" s="854">
        <v>0</v>
      </c>
      <c r="P141" s="854">
        <v>0</v>
      </c>
      <c r="Q141" s="854">
        <v>0</v>
      </c>
      <c r="R141" s="854">
        <v>0</v>
      </c>
      <c r="S141" s="854">
        <v>0</v>
      </c>
      <c r="T141" s="854">
        <v>0</v>
      </c>
      <c r="U141" s="854">
        <v>0</v>
      </c>
      <c r="V141" s="854">
        <v>0</v>
      </c>
      <c r="W141" s="854">
        <v>0</v>
      </c>
      <c r="X141" s="854">
        <v>0</v>
      </c>
      <c r="Y141" s="854">
        <v>0</v>
      </c>
      <c r="Z141" s="854">
        <v>0</v>
      </c>
      <c r="AA141" s="854">
        <v>0</v>
      </c>
      <c r="AB141" s="854">
        <v>0</v>
      </c>
      <c r="AC141" s="854">
        <v>0</v>
      </c>
      <c r="AD141" s="854">
        <v>0</v>
      </c>
      <c r="AE141" s="854">
        <v>0</v>
      </c>
      <c r="AF141" s="854">
        <v>0</v>
      </c>
    </row>
    <row r="142" spans="1:32" s="864" customFormat="1" ht="14.45" x14ac:dyDescent="0.35">
      <c r="A142" s="839"/>
      <c r="B142" s="839" t="s">
        <v>29</v>
      </c>
      <c r="C142" s="838"/>
      <c r="D142" s="838"/>
      <c r="E142" s="838"/>
      <c r="F142" s="838"/>
      <c r="G142" s="854">
        <v>69.886712931315586</v>
      </c>
      <c r="H142" s="854">
        <v>84.617739005122857</v>
      </c>
      <c r="I142" s="854">
        <v>99.77020761765985</v>
      </c>
      <c r="J142" s="854">
        <v>115.81072942703476</v>
      </c>
      <c r="K142" s="854">
        <v>131.19780938437214</v>
      </c>
      <c r="L142" s="854">
        <v>145.46220447607328</v>
      </c>
      <c r="M142" s="854">
        <v>157.75364681050067</v>
      </c>
      <c r="N142" s="854">
        <v>168.55506474700036</v>
      </c>
      <c r="O142" s="854">
        <v>177.96704120423578</v>
      </c>
      <c r="P142" s="854">
        <v>186.1654499682482</v>
      </c>
      <c r="Q142" s="854">
        <v>193.35230342395749</v>
      </c>
      <c r="R142" s="854">
        <v>196.11147215578865</v>
      </c>
      <c r="S142" s="854">
        <v>198.15456111208027</v>
      </c>
      <c r="T142" s="854">
        <v>199.65744029461996</v>
      </c>
      <c r="U142" s="854">
        <v>200.75757592848979</v>
      </c>
      <c r="V142" s="854">
        <v>201.56002861929591</v>
      </c>
      <c r="W142" s="854">
        <v>202.14382617150503</v>
      </c>
      <c r="X142" s="854">
        <v>202.5677447446416</v>
      </c>
      <c r="Y142" s="854">
        <v>202.87514562074011</v>
      </c>
      <c r="Z142" s="854">
        <v>203.09783237720012</v>
      </c>
      <c r="AA142" s="854">
        <v>203.25903410630769</v>
      </c>
      <c r="AB142" s="854">
        <v>203.37566609727986</v>
      </c>
      <c r="AC142" s="854">
        <v>203.46001922812226</v>
      </c>
      <c r="AD142" s="854">
        <v>203.52101022912549</v>
      </c>
      <c r="AE142" s="854">
        <v>203.56510065539746</v>
      </c>
      <c r="AF142" s="854">
        <v>203.59696908402657</v>
      </c>
    </row>
    <row r="143" spans="1:32" s="864" customFormat="1" ht="14.45" x14ac:dyDescent="0.35">
      <c r="A143" s="839"/>
      <c r="B143" s="839"/>
      <c r="C143" s="838"/>
      <c r="D143" s="838"/>
      <c r="E143" s="838"/>
      <c r="F143" s="838"/>
      <c r="G143" s="854"/>
      <c r="H143" s="838"/>
      <c r="I143" s="838"/>
      <c r="J143" s="838"/>
      <c r="K143" s="838"/>
      <c r="L143" s="838"/>
      <c r="M143" s="838"/>
      <c r="N143" s="838"/>
      <c r="O143" s="838"/>
      <c r="P143" s="838"/>
      <c r="Q143" s="838"/>
      <c r="R143" s="838"/>
      <c r="S143" s="838"/>
      <c r="T143" s="838"/>
      <c r="U143" s="838"/>
      <c r="V143" s="838"/>
      <c r="W143" s="838"/>
      <c r="X143" s="838"/>
      <c r="Y143" s="838"/>
      <c r="Z143" s="838"/>
      <c r="AA143" s="838"/>
      <c r="AB143" s="838"/>
      <c r="AC143" s="838"/>
      <c r="AD143" s="838"/>
      <c r="AE143" s="838"/>
      <c r="AF143" s="838"/>
    </row>
    <row r="144" spans="1:32" s="856" customFormat="1" ht="12.95" x14ac:dyDescent="0.3">
      <c r="A144" s="843" t="s">
        <v>47</v>
      </c>
      <c r="B144" s="843"/>
      <c r="C144" s="843"/>
      <c r="D144" s="843"/>
      <c r="E144" s="843"/>
      <c r="F144" s="843"/>
      <c r="G144" s="865"/>
      <c r="H144" s="843"/>
      <c r="I144" s="843"/>
      <c r="J144" s="843"/>
      <c r="K144" s="843"/>
      <c r="L144" s="843"/>
      <c r="M144" s="843"/>
      <c r="N144" s="843"/>
      <c r="O144" s="843"/>
      <c r="P144" s="843"/>
      <c r="Q144" s="843"/>
      <c r="R144" s="843"/>
      <c r="S144" s="843"/>
      <c r="T144" s="843"/>
      <c r="U144" s="843"/>
      <c r="V144" s="843"/>
      <c r="W144" s="843"/>
      <c r="X144" s="843"/>
      <c r="Y144" s="843"/>
      <c r="Z144" s="843"/>
      <c r="AA144" s="843"/>
      <c r="AB144" s="843"/>
      <c r="AC144" s="843"/>
      <c r="AD144" s="843"/>
      <c r="AE144" s="843"/>
      <c r="AF144" s="843"/>
    </row>
    <row r="145" spans="1:32" s="864" customFormat="1" ht="14.45" x14ac:dyDescent="0.35">
      <c r="A145" s="839"/>
      <c r="B145" s="839" t="s">
        <v>48</v>
      </c>
      <c r="C145" s="838"/>
      <c r="D145" s="838"/>
      <c r="E145" s="838"/>
      <c r="F145" s="838"/>
      <c r="G145" s="854">
        <v>11</v>
      </c>
      <c r="H145" s="854">
        <v>11.027500000000003</v>
      </c>
      <c r="I145" s="854">
        <v>11.193353221957043</v>
      </c>
      <c r="J145" s="854">
        <v>11.359206443914083</v>
      </c>
      <c r="K145" s="854">
        <v>11.525059665871122</v>
      </c>
      <c r="L145" s="854">
        <v>11.5538723150358</v>
      </c>
      <c r="M145" s="854">
        <v>11.582756995823388</v>
      </c>
      <c r="N145" s="854">
        <v>11.611713888312945</v>
      </c>
      <c r="O145" s="854">
        <v>11.640743173033728</v>
      </c>
      <c r="P145" s="854">
        <v>11.669845030966313</v>
      </c>
      <c r="Q145" s="854">
        <v>11.699019643543727</v>
      </c>
      <c r="R145" s="854">
        <v>11.728267192652584</v>
      </c>
      <c r="S145" s="854">
        <v>11.757587860634217</v>
      </c>
      <c r="T145" s="854">
        <v>11.786981830285802</v>
      </c>
      <c r="U145" s="854">
        <v>11.816449284861516</v>
      </c>
      <c r="V145" s="854">
        <v>11.845990408073668</v>
      </c>
      <c r="W145" s="854">
        <v>11.875605384093852</v>
      </c>
      <c r="X145" s="854">
        <v>11.905294397554089</v>
      </c>
      <c r="Y145" s="854">
        <v>11.93505763354797</v>
      </c>
      <c r="Z145" s="854">
        <v>11.96489527763184</v>
      </c>
      <c r="AA145" s="854">
        <v>11.99480751582592</v>
      </c>
      <c r="AB145" s="854">
        <v>12.024794534615484</v>
      </c>
      <c r="AC145" s="854">
        <v>12.054856520952024</v>
      </c>
      <c r="AD145" s="854">
        <v>12.084993662254401</v>
      </c>
      <c r="AE145" s="854">
        <v>12.115206146410038</v>
      </c>
      <c r="AF145" s="854">
        <v>12.145494161776062</v>
      </c>
    </row>
    <row r="146" spans="1:32" s="864" customFormat="1" ht="14.45" x14ac:dyDescent="0.35">
      <c r="A146" s="839"/>
      <c r="B146" s="842" t="s">
        <v>50</v>
      </c>
      <c r="C146" s="838"/>
      <c r="D146" s="838"/>
      <c r="E146" s="838"/>
      <c r="F146" s="838"/>
      <c r="G146" s="854">
        <v>14.799999999999997</v>
      </c>
      <c r="H146" s="854">
        <v>14.837000000000003</v>
      </c>
      <c r="I146" s="854">
        <v>14.873999999999995</v>
      </c>
      <c r="J146" s="854">
        <v>14.911000000000001</v>
      </c>
      <c r="K146" s="854">
        <v>14.948000000000008</v>
      </c>
      <c r="L146" s="854">
        <v>14.984999999999999</v>
      </c>
      <c r="M146" s="854">
        <v>15.022000000000006</v>
      </c>
      <c r="N146" s="854">
        <v>15.058999999999997</v>
      </c>
      <c r="O146" s="854">
        <v>15.096000000000004</v>
      </c>
      <c r="P146" s="854">
        <v>15.132999999999996</v>
      </c>
      <c r="Q146" s="854">
        <v>15.170000000000002</v>
      </c>
      <c r="R146" s="854">
        <v>15.207000000000008</v>
      </c>
      <c r="S146" s="854">
        <v>15.244</v>
      </c>
      <c r="T146" s="854">
        <v>15.281000000000006</v>
      </c>
      <c r="U146" s="854">
        <v>15.317999999999998</v>
      </c>
      <c r="V146" s="854">
        <v>15.355000000000004</v>
      </c>
      <c r="W146" s="854">
        <v>15.391999999999996</v>
      </c>
      <c r="X146" s="854">
        <v>15.429000000000002</v>
      </c>
      <c r="Y146" s="854">
        <v>15.466000000000008</v>
      </c>
      <c r="Z146" s="854">
        <v>15.503</v>
      </c>
      <c r="AA146" s="854">
        <v>15.540000000000006</v>
      </c>
      <c r="AB146" s="854">
        <v>15.576999999999998</v>
      </c>
      <c r="AC146" s="854">
        <v>15.614000000000004</v>
      </c>
      <c r="AD146" s="854">
        <v>15.650999999999996</v>
      </c>
      <c r="AE146" s="854">
        <v>15.688000000000002</v>
      </c>
      <c r="AF146" s="854">
        <v>15.725000000000009</v>
      </c>
    </row>
    <row r="147" spans="1:32" s="864" customFormat="1" ht="14.45" x14ac:dyDescent="0.35">
      <c r="A147" s="839"/>
      <c r="B147" s="839" t="s">
        <v>51</v>
      </c>
      <c r="C147" s="838"/>
      <c r="D147" s="838"/>
      <c r="E147" s="838"/>
      <c r="F147" s="838"/>
      <c r="G147" s="854">
        <v>52.5</v>
      </c>
      <c r="H147" s="854">
        <v>52.631250000000023</v>
      </c>
      <c r="I147" s="854">
        <v>52.762499999999989</v>
      </c>
      <c r="J147" s="854">
        <v>52.893750000000011</v>
      </c>
      <c r="K147" s="854">
        <v>53.025000000000034</v>
      </c>
      <c r="L147" s="854">
        <v>53.15625</v>
      </c>
      <c r="M147" s="854">
        <v>53.287500000000023</v>
      </c>
      <c r="N147" s="854">
        <v>53.418749999999989</v>
      </c>
      <c r="O147" s="854">
        <v>53.550000000000011</v>
      </c>
      <c r="P147" s="854">
        <v>53.681250000000034</v>
      </c>
      <c r="Q147" s="854">
        <v>53.8125</v>
      </c>
      <c r="R147" s="854">
        <v>53.943750000000023</v>
      </c>
      <c r="S147" s="854">
        <v>54.074999999999989</v>
      </c>
      <c r="T147" s="854">
        <v>54.206250000000011</v>
      </c>
      <c r="U147" s="854">
        <v>54.337500000000034</v>
      </c>
      <c r="V147" s="854">
        <v>54.46875</v>
      </c>
      <c r="W147" s="854">
        <v>54.600000000000023</v>
      </c>
      <c r="X147" s="854">
        <v>54.731249999999989</v>
      </c>
      <c r="Y147" s="854">
        <v>54.862500000000011</v>
      </c>
      <c r="Z147" s="854">
        <v>54.993750000000034</v>
      </c>
      <c r="AA147" s="854">
        <v>55.125</v>
      </c>
      <c r="AB147" s="854">
        <v>55.256250000000023</v>
      </c>
      <c r="AC147" s="854">
        <v>55.387499999999989</v>
      </c>
      <c r="AD147" s="854">
        <v>55.518750000000011</v>
      </c>
      <c r="AE147" s="854">
        <v>55.650000000000034</v>
      </c>
      <c r="AF147" s="854">
        <v>55.78125</v>
      </c>
    </row>
    <row r="148" spans="1:32" s="864" customFormat="1" ht="14.45" x14ac:dyDescent="0.35">
      <c r="A148" s="839"/>
      <c r="B148" s="839" t="s">
        <v>52</v>
      </c>
      <c r="C148" s="838"/>
      <c r="D148" s="838"/>
      <c r="E148" s="838"/>
      <c r="F148" s="838"/>
      <c r="G148" s="854">
        <v>43.890000000000022</v>
      </c>
      <c r="H148" s="854">
        <v>43.999725000000019</v>
      </c>
      <c r="I148" s="854">
        <v>44.109450000000017</v>
      </c>
      <c r="J148" s="854">
        <v>44.219175000000021</v>
      </c>
      <c r="K148" s="854">
        <v>44.328900000000019</v>
      </c>
      <c r="L148" s="854">
        <v>44.438625000000016</v>
      </c>
      <c r="M148" s="854">
        <v>44.548350000000013</v>
      </c>
      <c r="N148" s="854">
        <v>44.658075000000018</v>
      </c>
      <c r="O148" s="854">
        <v>44.767800000000015</v>
      </c>
      <c r="P148" s="854">
        <v>44.877525000000013</v>
      </c>
      <c r="Q148" s="854">
        <v>44.987250000000017</v>
      </c>
      <c r="R148" s="854">
        <v>45.096975000000015</v>
      </c>
      <c r="S148" s="854">
        <v>45.206700000000012</v>
      </c>
      <c r="T148" s="854">
        <v>45.31642500000001</v>
      </c>
      <c r="U148" s="854">
        <v>45.426150000000042</v>
      </c>
      <c r="V148" s="854">
        <v>45.535875000000047</v>
      </c>
      <c r="W148" s="854">
        <v>45.645600000000044</v>
      </c>
      <c r="X148" s="854">
        <v>45.755325000000049</v>
      </c>
      <c r="Y148" s="854">
        <v>45.865050000000039</v>
      </c>
      <c r="Z148" s="854">
        <v>45.974775000000044</v>
      </c>
      <c r="AA148" s="854">
        <v>46.084500000000041</v>
      </c>
      <c r="AB148" s="854">
        <v>46.194225000000046</v>
      </c>
      <c r="AC148" s="854">
        <v>46.303950000000036</v>
      </c>
      <c r="AD148" s="854">
        <v>46.41367500000004</v>
      </c>
      <c r="AE148" s="854">
        <v>46.523400000000038</v>
      </c>
      <c r="AF148" s="854">
        <v>46.633125000000042</v>
      </c>
    </row>
    <row r="149" spans="1:32" s="864" customFormat="1" ht="14.45" x14ac:dyDescent="0.35">
      <c r="A149" s="839"/>
      <c r="B149" s="842" t="s">
        <v>29</v>
      </c>
      <c r="C149" s="838"/>
      <c r="D149" s="838"/>
      <c r="E149" s="838"/>
      <c r="F149" s="838"/>
      <c r="G149" s="854">
        <v>36.873768202819726</v>
      </c>
      <c r="H149" s="854">
        <v>48.266272480467556</v>
      </c>
      <c r="I149" s="854">
        <v>61.701198700113544</v>
      </c>
      <c r="J149" s="854">
        <v>77.591734715380795</v>
      </c>
      <c r="K149" s="854">
        <v>94.800465488123137</v>
      </c>
      <c r="L149" s="854">
        <v>112.50003941617493</v>
      </c>
      <c r="M149" s="854">
        <v>129.3471504340618</v>
      </c>
      <c r="N149" s="854">
        <v>145.03095133963808</v>
      </c>
      <c r="O149" s="854">
        <v>159.127310954921</v>
      </c>
      <c r="P149" s="854">
        <v>171.48202098927979</v>
      </c>
      <c r="Q149" s="854">
        <v>182.15170200680319</v>
      </c>
      <c r="R149" s="854">
        <v>187.8607232688625</v>
      </c>
      <c r="S149" s="854">
        <v>192.15160570290442</v>
      </c>
      <c r="T149" s="854">
        <v>195.33034204073093</v>
      </c>
      <c r="U149" s="854">
        <v>197.66006127320361</v>
      </c>
      <c r="V149" s="854">
        <v>199.35413887963063</v>
      </c>
      <c r="W149" s="854">
        <v>200.57896356186501</v>
      </c>
      <c r="X149" s="854">
        <v>201.46085171629713</v>
      </c>
      <c r="Y149" s="854">
        <v>202.09392729485813</v>
      </c>
      <c r="Z149" s="854">
        <v>202.54741526513342</v>
      </c>
      <c r="AA149" s="854">
        <v>202.87176106409183</v>
      </c>
      <c r="AB149" s="854">
        <v>203.10348618652321</v>
      </c>
      <c r="AC149" s="854">
        <v>203.26890947460336</v>
      </c>
      <c r="AD149" s="854">
        <v>203.38693514979437</v>
      </c>
      <c r="AE149" s="854">
        <v>203.47111002115616</v>
      </c>
      <c r="AF149" s="854">
        <v>203.53112565740346</v>
      </c>
    </row>
    <row r="150" spans="1:32" s="864" customFormat="1" ht="14.45" x14ac:dyDescent="0.35">
      <c r="A150" s="839"/>
      <c r="B150" s="842" t="s">
        <v>53</v>
      </c>
      <c r="C150" s="838"/>
      <c r="D150" s="838"/>
      <c r="E150" s="838"/>
      <c r="F150" s="838"/>
      <c r="G150" s="854">
        <v>47.970000000000013</v>
      </c>
      <c r="H150" s="854">
        <v>48.089924999999987</v>
      </c>
      <c r="I150" s="854">
        <v>48.209849999999967</v>
      </c>
      <c r="J150" s="854">
        <v>48.329774999999998</v>
      </c>
      <c r="K150" s="854">
        <v>48.449699999999972</v>
      </c>
      <c r="L150" s="854">
        <v>48.569625000000002</v>
      </c>
      <c r="M150" s="854">
        <v>48.689549999999983</v>
      </c>
      <c r="N150" s="854">
        <v>48.809475000000013</v>
      </c>
      <c r="O150" s="854">
        <v>48.929399999999987</v>
      </c>
      <c r="P150" s="854">
        <v>49.049325000000017</v>
      </c>
      <c r="Q150" s="854">
        <v>49.169249999999998</v>
      </c>
      <c r="R150" s="854">
        <v>49.289174999999972</v>
      </c>
      <c r="S150" s="854">
        <v>49.409100000000002</v>
      </c>
      <c r="T150" s="854">
        <v>49.529024999999983</v>
      </c>
      <c r="U150" s="854">
        <v>49.648950000000006</v>
      </c>
      <c r="V150" s="854">
        <v>49.768874999999987</v>
      </c>
      <c r="W150" s="854">
        <v>49.888800000000018</v>
      </c>
      <c r="X150" s="854">
        <v>50.008724999999991</v>
      </c>
      <c r="Y150" s="854">
        <v>50.128649999999972</v>
      </c>
      <c r="Z150" s="854">
        <v>50.248575000000002</v>
      </c>
      <c r="AA150" s="854">
        <v>50.368499999999976</v>
      </c>
      <c r="AB150" s="854">
        <v>50.488425000000007</v>
      </c>
      <c r="AC150" s="854">
        <v>50.608349999999987</v>
      </c>
      <c r="AD150" s="854">
        <v>50.728275000000018</v>
      </c>
      <c r="AE150" s="854">
        <v>50.848199999999991</v>
      </c>
      <c r="AF150" s="854">
        <v>50.968124999999972</v>
      </c>
    </row>
    <row r="153" spans="1:32" ht="14.45" x14ac:dyDescent="0.35">
      <c r="A153" s="897" t="s">
        <v>506</v>
      </c>
      <c r="B153" s="898"/>
      <c r="C153" s="897"/>
      <c r="D153" s="896"/>
      <c r="E153" s="896"/>
      <c r="F153" s="896"/>
      <c r="G153" s="896"/>
      <c r="H153" s="894"/>
      <c r="I153" s="894"/>
      <c r="J153" s="894"/>
      <c r="K153" s="894"/>
      <c r="L153" s="894"/>
      <c r="M153" s="894"/>
      <c r="N153" s="894"/>
      <c r="O153" s="894"/>
      <c r="P153" s="894"/>
      <c r="Q153" s="894"/>
      <c r="R153" s="894"/>
      <c r="S153" s="894"/>
      <c r="T153" s="894"/>
      <c r="U153" s="894"/>
      <c r="V153" s="894"/>
      <c r="W153" s="894"/>
      <c r="X153" s="894"/>
      <c r="Y153" s="894"/>
      <c r="Z153" s="894"/>
      <c r="AA153" s="894"/>
      <c r="AB153" s="894"/>
      <c r="AC153" s="894"/>
      <c r="AD153" s="894"/>
      <c r="AE153" s="894"/>
      <c r="AF153" s="894"/>
    </row>
    <row r="154" spans="1:32" ht="14.45" x14ac:dyDescent="0.35">
      <c r="A154" s="860" t="s">
        <v>55</v>
      </c>
      <c r="B154" s="861"/>
      <c r="C154" s="860"/>
      <c r="D154" s="859"/>
      <c r="E154" s="859"/>
      <c r="F154" s="859"/>
      <c r="G154" s="859"/>
      <c r="H154" s="862"/>
      <c r="I154" s="862"/>
      <c r="J154" s="862"/>
      <c r="K154" s="862"/>
      <c r="L154" s="862"/>
      <c r="M154" s="862"/>
      <c r="N154" s="862"/>
      <c r="O154" s="862"/>
      <c r="P154" s="862"/>
      <c r="Q154" s="862"/>
      <c r="R154" s="862"/>
      <c r="S154" s="862"/>
      <c r="T154" s="862"/>
      <c r="U154" s="862"/>
      <c r="V154" s="862"/>
      <c r="W154" s="862"/>
      <c r="X154" s="862"/>
      <c r="Y154" s="862"/>
      <c r="Z154" s="862"/>
      <c r="AA154" s="862"/>
      <c r="AB154" s="862"/>
      <c r="AC154" s="862"/>
      <c r="AD154" s="862"/>
      <c r="AE154" s="862"/>
      <c r="AF154" s="862"/>
    </row>
    <row r="155" spans="1:32" ht="14.45" x14ac:dyDescent="0.35">
      <c r="A155" s="840" t="s">
        <v>12</v>
      </c>
      <c r="B155" s="839"/>
    </row>
    <row r="156" spans="1:32" ht="14.45" x14ac:dyDescent="0.35">
      <c r="A156" s="839"/>
      <c r="B156" s="839" t="s">
        <v>20</v>
      </c>
    </row>
    <row r="157" spans="1:32" s="856" customFormat="1" ht="12.95" x14ac:dyDescent="0.3">
      <c r="A157" s="843" t="s">
        <v>21</v>
      </c>
      <c r="B157" s="843"/>
      <c r="C157" s="843"/>
      <c r="D157" s="843"/>
      <c r="E157" s="843"/>
      <c r="F157" s="843"/>
      <c r="G157" s="843"/>
      <c r="H157" s="843"/>
      <c r="I157" s="843"/>
      <c r="J157" s="843"/>
      <c r="K157" s="843"/>
      <c r="L157" s="843"/>
      <c r="M157" s="843"/>
      <c r="N157" s="843"/>
      <c r="O157" s="843"/>
      <c r="P157" s="843"/>
      <c r="Q157" s="843"/>
      <c r="R157" s="843"/>
      <c r="S157" s="843"/>
      <c r="T157" s="843"/>
      <c r="U157" s="843"/>
      <c r="V157" s="843"/>
      <c r="W157" s="843"/>
      <c r="X157" s="843"/>
      <c r="Y157" s="843"/>
      <c r="Z157" s="843"/>
      <c r="AA157" s="843"/>
      <c r="AB157" s="843"/>
      <c r="AC157" s="843"/>
      <c r="AD157" s="843"/>
      <c r="AE157" s="843"/>
      <c r="AF157" s="843"/>
    </row>
    <row r="158" spans="1:32" s="864" customFormat="1" ht="14.45" x14ac:dyDescent="0.35">
      <c r="A158" s="839"/>
      <c r="B158" s="839" t="s">
        <v>22</v>
      </c>
      <c r="C158" s="838"/>
      <c r="D158" s="838"/>
      <c r="E158" s="838"/>
      <c r="F158" s="838"/>
      <c r="G158" s="854">
        <v>12.4</v>
      </c>
      <c r="H158" s="854">
        <v>12.4</v>
      </c>
      <c r="I158" s="854">
        <v>12.4</v>
      </c>
      <c r="J158" s="854">
        <v>12.4</v>
      </c>
      <c r="K158" s="854">
        <v>12.4</v>
      </c>
      <c r="L158" s="854">
        <v>12.4</v>
      </c>
      <c r="M158" s="854">
        <v>12.4</v>
      </c>
      <c r="N158" s="854">
        <v>12.4</v>
      </c>
      <c r="O158" s="854">
        <v>12.4</v>
      </c>
      <c r="P158" s="854">
        <v>12.4</v>
      </c>
      <c r="Q158" s="854">
        <v>12.4</v>
      </c>
      <c r="R158" s="854">
        <v>12.4</v>
      </c>
      <c r="S158" s="854">
        <v>12.4</v>
      </c>
      <c r="T158" s="854">
        <v>12.4</v>
      </c>
      <c r="U158" s="854">
        <v>12.4</v>
      </c>
      <c r="V158" s="854">
        <v>12.4</v>
      </c>
      <c r="W158" s="854">
        <v>12.4</v>
      </c>
      <c r="X158" s="854">
        <v>12.4</v>
      </c>
      <c r="Y158" s="854">
        <v>12.4</v>
      </c>
      <c r="Z158" s="854">
        <v>12.4</v>
      </c>
      <c r="AA158" s="854">
        <v>12.4</v>
      </c>
      <c r="AB158" s="854">
        <v>12.4</v>
      </c>
      <c r="AC158" s="854">
        <v>12.4</v>
      </c>
      <c r="AD158" s="854">
        <v>12.4</v>
      </c>
      <c r="AE158" s="854">
        <v>12.4</v>
      </c>
      <c r="AF158" s="854">
        <v>12.4</v>
      </c>
    </row>
    <row r="159" spans="1:32" s="864" customFormat="1" ht="14.45" x14ac:dyDescent="0.35">
      <c r="A159" s="839"/>
      <c r="B159" s="839" t="s">
        <v>26</v>
      </c>
      <c r="C159" s="838"/>
      <c r="D159" s="838"/>
      <c r="E159" s="838"/>
      <c r="F159" s="838"/>
      <c r="G159" s="854">
        <v>14.699999999999989</v>
      </c>
      <c r="H159" s="854">
        <v>14.773499999999984</v>
      </c>
      <c r="I159" s="854">
        <v>14.847000000000008</v>
      </c>
      <c r="J159" s="854">
        <v>14.920500000000004</v>
      </c>
      <c r="K159" s="854">
        <v>14.994</v>
      </c>
      <c r="L159" s="854">
        <v>15.067499999999995</v>
      </c>
      <c r="M159" s="854">
        <v>15.140999999999991</v>
      </c>
      <c r="N159" s="854">
        <v>15.214499999999987</v>
      </c>
      <c r="O159" s="854">
        <v>15.288000000000011</v>
      </c>
      <c r="P159" s="854">
        <v>15.361500000000007</v>
      </c>
      <c r="Q159" s="854">
        <v>15.435000000000002</v>
      </c>
      <c r="R159" s="854">
        <v>15.508499999999998</v>
      </c>
      <c r="S159" s="854">
        <v>15.581999999999994</v>
      </c>
      <c r="T159" s="854">
        <v>15.655499999999989</v>
      </c>
      <c r="U159" s="854">
        <v>15.728999999999985</v>
      </c>
      <c r="V159" s="854">
        <v>15.802500000000009</v>
      </c>
      <c r="W159" s="854">
        <v>15.876000000000005</v>
      </c>
      <c r="X159" s="854">
        <v>15.9495</v>
      </c>
      <c r="Y159" s="854">
        <v>16.022999999999996</v>
      </c>
      <c r="Z159" s="854">
        <v>16.096499999999992</v>
      </c>
      <c r="AA159" s="854">
        <v>16.169999999999987</v>
      </c>
      <c r="AB159" s="854">
        <v>16.243499999999983</v>
      </c>
      <c r="AC159" s="854">
        <v>16.317000000000007</v>
      </c>
      <c r="AD159" s="854">
        <v>16.390500000000003</v>
      </c>
      <c r="AE159" s="854">
        <v>16.463999999999999</v>
      </c>
      <c r="AF159" s="854">
        <v>16.537499999999994</v>
      </c>
    </row>
    <row r="160" spans="1:32" s="864" customFormat="1" ht="14.45" x14ac:dyDescent="0.35">
      <c r="A160" s="839"/>
      <c r="B160" s="839" t="s">
        <v>27</v>
      </c>
      <c r="C160" s="838"/>
      <c r="D160" s="838"/>
      <c r="E160" s="838"/>
      <c r="F160" s="838"/>
      <c r="G160" s="854">
        <v>54.400000000000034</v>
      </c>
      <c r="H160" s="854">
        <v>54.672000000000082</v>
      </c>
      <c r="I160" s="854">
        <v>54.944000000000017</v>
      </c>
      <c r="J160" s="854">
        <v>55.216000000000065</v>
      </c>
      <c r="K160" s="854">
        <v>55.488</v>
      </c>
      <c r="L160" s="854">
        <v>55.760000000000048</v>
      </c>
      <c r="M160" s="854">
        <v>56.032000000000096</v>
      </c>
      <c r="N160" s="854">
        <v>56.30400000000003</v>
      </c>
      <c r="O160" s="854">
        <v>56.576000000000079</v>
      </c>
      <c r="P160" s="854">
        <v>56.848000000000013</v>
      </c>
      <c r="Q160" s="854">
        <v>57.120000000000061</v>
      </c>
      <c r="R160" s="854">
        <v>57.391999999999996</v>
      </c>
      <c r="S160" s="854">
        <v>57.664000000000044</v>
      </c>
      <c r="T160" s="854">
        <v>57.936000000000092</v>
      </c>
      <c r="U160" s="854">
        <v>58.208000000000027</v>
      </c>
      <c r="V160" s="854">
        <v>58.480000000000075</v>
      </c>
      <c r="W160" s="854">
        <v>58.75200000000001</v>
      </c>
      <c r="X160" s="854">
        <v>59.024000000000058</v>
      </c>
      <c r="Y160" s="854">
        <v>59.296000000000106</v>
      </c>
      <c r="Z160" s="854">
        <v>59.56800000000004</v>
      </c>
      <c r="AA160" s="854">
        <v>59.840000000000089</v>
      </c>
      <c r="AB160" s="854">
        <v>60.112000000000023</v>
      </c>
      <c r="AC160" s="854">
        <v>60.384000000000071</v>
      </c>
      <c r="AD160" s="854">
        <v>60.656000000000006</v>
      </c>
      <c r="AE160" s="854">
        <v>60.928000000000054</v>
      </c>
      <c r="AF160" s="854">
        <v>61.200000000000102</v>
      </c>
    </row>
    <row r="161" spans="1:32" s="864" customFormat="1" ht="14.45" x14ac:dyDescent="0.35">
      <c r="A161" s="839"/>
      <c r="B161" s="839" t="s">
        <v>29</v>
      </c>
      <c r="C161" s="838"/>
      <c r="D161" s="838"/>
      <c r="E161" s="838"/>
      <c r="F161" s="838"/>
      <c r="G161" s="854">
        <v>36.873768202819726</v>
      </c>
      <c r="H161" s="854">
        <v>48.266272480467556</v>
      </c>
      <c r="I161" s="854">
        <v>61.701198700113544</v>
      </c>
      <c r="J161" s="854">
        <v>77.591734715380795</v>
      </c>
      <c r="K161" s="854">
        <v>94.800465488123137</v>
      </c>
      <c r="L161" s="854">
        <v>112.50003941617493</v>
      </c>
      <c r="M161" s="854">
        <v>129.3471504340618</v>
      </c>
      <c r="N161" s="854">
        <v>145.03095133963808</v>
      </c>
      <c r="O161" s="854">
        <v>159.127310954921</v>
      </c>
      <c r="P161" s="854">
        <v>171.48202098927979</v>
      </c>
      <c r="Q161" s="854">
        <v>182.15170200680319</v>
      </c>
      <c r="R161" s="854">
        <v>187.8607232688625</v>
      </c>
      <c r="S161" s="854">
        <v>192.15160570290442</v>
      </c>
      <c r="T161" s="854">
        <v>195.33034204073093</v>
      </c>
      <c r="U161" s="854">
        <v>197.66006127320361</v>
      </c>
      <c r="V161" s="854">
        <v>199.35413887963063</v>
      </c>
      <c r="W161" s="854">
        <v>200.57896356186501</v>
      </c>
      <c r="X161" s="854">
        <v>201.46085171629713</v>
      </c>
      <c r="Y161" s="854">
        <v>202.09392729485813</v>
      </c>
      <c r="Z161" s="854">
        <v>202.54741526513342</v>
      </c>
      <c r="AA161" s="854">
        <v>202.87176106409183</v>
      </c>
      <c r="AB161" s="854">
        <v>203.10348618652321</v>
      </c>
      <c r="AC161" s="854">
        <v>203.26890947460336</v>
      </c>
      <c r="AD161" s="854">
        <v>203.38693514979437</v>
      </c>
      <c r="AE161" s="854">
        <v>203.47111002115616</v>
      </c>
      <c r="AF161" s="854">
        <v>203.53112565740346</v>
      </c>
    </row>
    <row r="162" spans="1:32" s="864" customFormat="1" ht="14.45" x14ac:dyDescent="0.35">
      <c r="A162" s="839"/>
      <c r="B162" s="839"/>
      <c r="C162" s="838"/>
      <c r="D162" s="838"/>
      <c r="E162" s="838"/>
      <c r="F162" s="838"/>
      <c r="G162" s="854"/>
      <c r="H162" s="838"/>
      <c r="I162" s="838"/>
      <c r="J162" s="838"/>
      <c r="K162" s="838"/>
      <c r="L162" s="838"/>
      <c r="M162" s="838"/>
      <c r="N162" s="838"/>
      <c r="O162" s="838"/>
      <c r="P162" s="838"/>
      <c r="Q162" s="838"/>
      <c r="R162" s="838"/>
      <c r="S162" s="838"/>
      <c r="T162" s="838"/>
      <c r="U162" s="838"/>
      <c r="V162" s="838"/>
      <c r="W162" s="838"/>
      <c r="X162" s="838"/>
      <c r="Y162" s="838"/>
      <c r="Z162" s="838"/>
      <c r="AA162" s="838"/>
      <c r="AB162" s="838"/>
      <c r="AC162" s="838"/>
      <c r="AD162" s="838"/>
      <c r="AE162" s="838"/>
      <c r="AF162" s="838"/>
    </row>
    <row r="163" spans="1:32" s="856" customFormat="1" ht="12.95" x14ac:dyDescent="0.3">
      <c r="A163" s="843" t="s">
        <v>32</v>
      </c>
      <c r="B163" s="843"/>
      <c r="C163" s="843"/>
      <c r="D163" s="843"/>
      <c r="E163" s="843"/>
      <c r="F163" s="843"/>
      <c r="G163" s="865"/>
      <c r="H163" s="843"/>
      <c r="I163" s="843"/>
      <c r="J163" s="843"/>
      <c r="K163" s="843"/>
      <c r="L163" s="843"/>
      <c r="M163" s="843"/>
      <c r="N163" s="843"/>
      <c r="O163" s="843"/>
      <c r="P163" s="843"/>
      <c r="Q163" s="843"/>
      <c r="R163" s="843"/>
      <c r="S163" s="843"/>
      <c r="T163" s="843"/>
      <c r="U163" s="843"/>
      <c r="V163" s="843"/>
      <c r="W163" s="843"/>
      <c r="X163" s="843"/>
      <c r="Y163" s="843"/>
      <c r="Z163" s="843"/>
      <c r="AA163" s="843"/>
      <c r="AB163" s="843"/>
      <c r="AC163" s="843"/>
      <c r="AD163" s="843"/>
      <c r="AE163" s="843"/>
      <c r="AF163" s="843"/>
    </row>
    <row r="164" spans="1:32" s="864" customFormat="1" ht="14.45" x14ac:dyDescent="0.35">
      <c r="A164" s="839"/>
      <c r="B164" s="839" t="s">
        <v>33</v>
      </c>
      <c r="C164" s="838"/>
      <c r="D164" s="838"/>
      <c r="E164" s="838"/>
      <c r="F164" s="838"/>
      <c r="G164" s="854">
        <v>10.4</v>
      </c>
      <c r="H164" s="854">
        <v>10.4</v>
      </c>
      <c r="I164" s="854">
        <v>10.4</v>
      </c>
      <c r="J164" s="854">
        <v>10.4</v>
      </c>
      <c r="K164" s="854">
        <v>10.4</v>
      </c>
      <c r="L164" s="854">
        <v>10.4</v>
      </c>
      <c r="M164" s="854">
        <v>10.4</v>
      </c>
      <c r="N164" s="854">
        <v>10.4</v>
      </c>
      <c r="O164" s="854">
        <v>10.4</v>
      </c>
      <c r="P164" s="854">
        <v>10.4</v>
      </c>
      <c r="Q164" s="854">
        <v>10.4</v>
      </c>
      <c r="R164" s="854">
        <v>10.4</v>
      </c>
      <c r="S164" s="854">
        <v>10.4</v>
      </c>
      <c r="T164" s="854">
        <v>10.4</v>
      </c>
      <c r="U164" s="854">
        <v>10.4</v>
      </c>
      <c r="V164" s="854">
        <v>10.4</v>
      </c>
      <c r="W164" s="854">
        <v>10.4</v>
      </c>
      <c r="X164" s="854">
        <v>10.4</v>
      </c>
      <c r="Y164" s="854">
        <v>10.4</v>
      </c>
      <c r="Z164" s="854">
        <v>10.4</v>
      </c>
      <c r="AA164" s="854">
        <v>10.4</v>
      </c>
      <c r="AB164" s="854">
        <v>10.4</v>
      </c>
      <c r="AC164" s="854">
        <v>10.4</v>
      </c>
      <c r="AD164" s="854">
        <v>10.4</v>
      </c>
      <c r="AE164" s="854">
        <v>10.4</v>
      </c>
      <c r="AF164" s="854">
        <v>10.4</v>
      </c>
    </row>
    <row r="165" spans="1:32" s="864" customFormat="1" ht="14.45" x14ac:dyDescent="0.35">
      <c r="A165" s="842"/>
      <c r="B165" s="842" t="s">
        <v>34</v>
      </c>
      <c r="C165" s="838"/>
      <c r="D165" s="838"/>
      <c r="E165" s="838"/>
      <c r="F165" s="838"/>
      <c r="G165" s="854">
        <v>14.599999999999994</v>
      </c>
      <c r="H165" s="854">
        <v>14.673000000000002</v>
      </c>
      <c r="I165" s="854">
        <v>15.796091654995376</v>
      </c>
      <c r="J165" s="854">
        <v>16.91918330999075</v>
      </c>
      <c r="K165" s="854">
        <v>18.042274964986124</v>
      </c>
      <c r="L165" s="854">
        <v>18.132486339811052</v>
      </c>
      <c r="M165" s="854">
        <v>18.223148771510104</v>
      </c>
      <c r="N165" s="854">
        <v>18.314264515367654</v>
      </c>
      <c r="O165" s="854">
        <v>18.405835837944487</v>
      </c>
      <c r="P165" s="854">
        <v>18.497865017134206</v>
      </c>
      <c r="Q165" s="854">
        <v>18.590354342219875</v>
      </c>
      <c r="R165" s="854">
        <v>18.683306113930971</v>
      </c>
      <c r="S165" s="854">
        <v>18.776722644500623</v>
      </c>
      <c r="T165" s="854">
        <v>18.870606257723125</v>
      </c>
      <c r="U165" s="854">
        <v>18.964959289011738</v>
      </c>
      <c r="V165" s="854">
        <v>19.059784085456798</v>
      </c>
      <c r="W165" s="854">
        <v>19.155083005884073</v>
      </c>
      <c r="X165" s="854">
        <v>19.250858420913492</v>
      </c>
      <c r="Y165" s="854">
        <v>19.347112713018056</v>
      </c>
      <c r="Z165" s="854">
        <v>19.443848276583143</v>
      </c>
      <c r="AA165" s="854">
        <v>19.541067517966056</v>
      </c>
      <c r="AB165" s="854">
        <v>19.638772855555885</v>
      </c>
      <c r="AC165" s="854">
        <v>19.736966719833656</v>
      </c>
      <c r="AD165" s="854">
        <v>19.835651553432825</v>
      </c>
      <c r="AE165" s="854">
        <v>19.934829811199986</v>
      </c>
      <c r="AF165" s="854">
        <v>20.034503960255982</v>
      </c>
    </row>
    <row r="166" spans="1:32" s="864" customFormat="1" ht="14.45" x14ac:dyDescent="0.35">
      <c r="A166" s="839"/>
      <c r="B166" s="842" t="s">
        <v>35</v>
      </c>
      <c r="C166" s="838"/>
      <c r="D166" s="838"/>
      <c r="E166" s="838"/>
      <c r="F166" s="838"/>
      <c r="G166" s="854">
        <v>44.899999999999977</v>
      </c>
      <c r="H166" s="854">
        <v>45.124500000000012</v>
      </c>
      <c r="I166" s="854">
        <v>45.34899999999999</v>
      </c>
      <c r="J166" s="854">
        <v>45.573499999999967</v>
      </c>
      <c r="K166" s="854">
        <v>45.798000000000002</v>
      </c>
      <c r="L166" s="854">
        <v>46.02249999999998</v>
      </c>
      <c r="M166" s="854">
        <v>46.246999999999957</v>
      </c>
      <c r="N166" s="854">
        <v>46.471499999999992</v>
      </c>
      <c r="O166" s="854">
        <v>46.69599999999997</v>
      </c>
      <c r="P166" s="854">
        <v>46.920500000000004</v>
      </c>
      <c r="Q166" s="854">
        <v>47.144999999999982</v>
      </c>
      <c r="R166" s="854">
        <v>47.36949999999996</v>
      </c>
      <c r="S166" s="854">
        <v>47.593999999999994</v>
      </c>
      <c r="T166" s="854">
        <v>47.818499999999972</v>
      </c>
      <c r="U166" s="854">
        <v>48.043000000000006</v>
      </c>
      <c r="V166" s="854">
        <v>48.267499999999984</v>
      </c>
      <c r="W166" s="854">
        <v>48.491999999999962</v>
      </c>
      <c r="X166" s="854">
        <v>48.716499999999996</v>
      </c>
      <c r="Y166" s="854">
        <v>48.940999999999974</v>
      </c>
      <c r="Z166" s="854">
        <v>49.165500000000009</v>
      </c>
      <c r="AA166" s="854">
        <v>49.389999999999986</v>
      </c>
      <c r="AB166" s="854">
        <v>49.614499999999964</v>
      </c>
      <c r="AC166" s="854">
        <v>49.838999999999999</v>
      </c>
      <c r="AD166" s="854">
        <v>50.063499999999976</v>
      </c>
      <c r="AE166" s="854">
        <v>50.288000000000011</v>
      </c>
      <c r="AF166" s="854">
        <v>50.512499999999989</v>
      </c>
    </row>
    <row r="167" spans="1:32" s="864" customFormat="1" ht="14.45" x14ac:dyDescent="0.35">
      <c r="A167" s="839"/>
      <c r="B167" s="842" t="s">
        <v>29</v>
      </c>
      <c r="C167" s="838"/>
      <c r="D167" s="838"/>
      <c r="E167" s="838"/>
      <c r="F167" s="838"/>
      <c r="G167" s="854">
        <v>36.873768202819726</v>
      </c>
      <c r="H167" s="854">
        <v>48.266272480467556</v>
      </c>
      <c r="I167" s="854">
        <v>61.701198700113544</v>
      </c>
      <c r="J167" s="854">
        <v>77.591734715380795</v>
      </c>
      <c r="K167" s="854">
        <v>94.800465488123137</v>
      </c>
      <c r="L167" s="854">
        <v>112.50003941617493</v>
      </c>
      <c r="M167" s="854">
        <v>129.3471504340618</v>
      </c>
      <c r="N167" s="854">
        <v>145.03095133963808</v>
      </c>
      <c r="O167" s="854">
        <v>159.127310954921</v>
      </c>
      <c r="P167" s="854">
        <v>171.48202098927979</v>
      </c>
      <c r="Q167" s="854">
        <v>182.15170200680319</v>
      </c>
      <c r="R167" s="854">
        <v>187.8607232688625</v>
      </c>
      <c r="S167" s="854">
        <v>192.15160570290442</v>
      </c>
      <c r="T167" s="854">
        <v>195.33034204073093</v>
      </c>
      <c r="U167" s="854">
        <v>197.66006127320361</v>
      </c>
      <c r="V167" s="854">
        <v>199.35413887963063</v>
      </c>
      <c r="W167" s="854">
        <v>200.57896356186501</v>
      </c>
      <c r="X167" s="854">
        <v>201.46085171629713</v>
      </c>
      <c r="Y167" s="854">
        <v>202.09392729485813</v>
      </c>
      <c r="Z167" s="854">
        <v>202.54741526513342</v>
      </c>
      <c r="AA167" s="854">
        <v>202.87176106409183</v>
      </c>
      <c r="AB167" s="854">
        <v>203.10348618652321</v>
      </c>
      <c r="AC167" s="854">
        <v>203.26890947460336</v>
      </c>
      <c r="AD167" s="854">
        <v>203.38693514979437</v>
      </c>
      <c r="AE167" s="854">
        <v>203.47111002115616</v>
      </c>
      <c r="AF167" s="854">
        <v>203.53112565740346</v>
      </c>
    </row>
    <row r="168" spans="1:32" s="864" customFormat="1" ht="14.45" x14ac:dyDescent="0.35">
      <c r="A168" s="839"/>
      <c r="B168" s="839"/>
      <c r="C168" s="838"/>
      <c r="D168" s="838"/>
      <c r="E168" s="838"/>
      <c r="F168" s="838"/>
      <c r="G168" s="854"/>
      <c r="H168" s="838"/>
      <c r="I168" s="838"/>
      <c r="J168" s="838"/>
      <c r="K168" s="838"/>
      <c r="L168" s="838"/>
      <c r="M168" s="838"/>
      <c r="N168" s="838"/>
      <c r="O168" s="838"/>
      <c r="P168" s="838"/>
      <c r="Q168" s="838"/>
      <c r="R168" s="838"/>
      <c r="S168" s="838"/>
      <c r="T168" s="838"/>
      <c r="U168" s="838"/>
      <c r="V168" s="838"/>
      <c r="W168" s="838"/>
      <c r="X168" s="838"/>
      <c r="Y168" s="838"/>
      <c r="Z168" s="838"/>
      <c r="AA168" s="838"/>
      <c r="AB168" s="838"/>
      <c r="AC168" s="838"/>
      <c r="AD168" s="838"/>
      <c r="AE168" s="838"/>
      <c r="AF168" s="838"/>
    </row>
    <row r="169" spans="1:32" s="856" customFormat="1" ht="12.95" x14ac:dyDescent="0.3">
      <c r="A169" s="843" t="s">
        <v>36</v>
      </c>
      <c r="B169" s="843"/>
      <c r="C169" s="843"/>
      <c r="D169" s="843"/>
      <c r="E169" s="843"/>
      <c r="F169" s="843"/>
      <c r="G169" s="865"/>
      <c r="H169" s="843"/>
      <c r="I169" s="843"/>
      <c r="J169" s="843"/>
      <c r="K169" s="843"/>
      <c r="L169" s="843"/>
      <c r="M169" s="843"/>
      <c r="N169" s="843"/>
      <c r="O169" s="843"/>
      <c r="P169" s="843"/>
      <c r="Q169" s="843"/>
      <c r="R169" s="843"/>
      <c r="S169" s="843"/>
      <c r="T169" s="843"/>
      <c r="U169" s="843"/>
      <c r="V169" s="843"/>
      <c r="W169" s="843"/>
      <c r="X169" s="843"/>
      <c r="Y169" s="843"/>
      <c r="Z169" s="843"/>
      <c r="AA169" s="843"/>
      <c r="AB169" s="843"/>
      <c r="AC169" s="843"/>
      <c r="AD169" s="843"/>
      <c r="AE169" s="843"/>
      <c r="AF169" s="843"/>
    </row>
    <row r="170" spans="1:32" s="864" customFormat="1" ht="14.45" x14ac:dyDescent="0.35">
      <c r="A170" s="839"/>
      <c r="B170" s="839" t="s">
        <v>37</v>
      </c>
      <c r="C170" s="838"/>
      <c r="D170" s="838"/>
      <c r="E170" s="838"/>
      <c r="F170" s="855"/>
      <c r="G170" s="854">
        <v>42.629999999999995</v>
      </c>
      <c r="H170" s="854">
        <v>42.629999999999995</v>
      </c>
      <c r="I170" s="854">
        <v>42.629999999999995</v>
      </c>
      <c r="J170" s="854">
        <v>42.629999999999995</v>
      </c>
      <c r="K170" s="854">
        <v>42.629999999999995</v>
      </c>
      <c r="L170" s="854">
        <v>42.629999999999995</v>
      </c>
      <c r="M170" s="854">
        <v>42.629999999999995</v>
      </c>
      <c r="N170" s="854">
        <v>42.629999999999995</v>
      </c>
      <c r="O170" s="854">
        <v>42.629999999999995</v>
      </c>
      <c r="P170" s="854">
        <v>42.629999999999995</v>
      </c>
      <c r="Q170" s="854">
        <v>42.629999999999995</v>
      </c>
      <c r="R170" s="854">
        <v>42.629999999999995</v>
      </c>
      <c r="S170" s="854">
        <v>42.629999999999995</v>
      </c>
      <c r="T170" s="854">
        <v>42.629999999999995</v>
      </c>
      <c r="U170" s="854">
        <v>42.629999999999995</v>
      </c>
      <c r="V170" s="854">
        <v>42.629999999999995</v>
      </c>
      <c r="W170" s="854">
        <v>42.629999999999995</v>
      </c>
      <c r="X170" s="854">
        <v>42.629999999999995</v>
      </c>
      <c r="Y170" s="854">
        <v>42.629999999999995</v>
      </c>
      <c r="Z170" s="854">
        <v>42.629999999999995</v>
      </c>
      <c r="AA170" s="854">
        <v>42.629999999999995</v>
      </c>
      <c r="AB170" s="854">
        <v>42.629999999999995</v>
      </c>
      <c r="AC170" s="854">
        <v>42.629999999999995</v>
      </c>
      <c r="AD170" s="854">
        <v>42.629999999999995</v>
      </c>
      <c r="AE170" s="854">
        <v>42.629999999999995</v>
      </c>
      <c r="AF170" s="854">
        <v>42.629999999999995</v>
      </c>
    </row>
    <row r="171" spans="1:32" s="864" customFormat="1" ht="14.45" x14ac:dyDescent="0.35">
      <c r="A171" s="839"/>
      <c r="B171" s="839" t="s">
        <v>39</v>
      </c>
      <c r="C171" s="838"/>
      <c r="D171" s="838"/>
      <c r="E171" s="857"/>
      <c r="F171" s="838"/>
      <c r="G171" s="854">
        <v>60.830000000000013</v>
      </c>
      <c r="H171" s="854">
        <v>61.134149999999991</v>
      </c>
      <c r="I171" s="854">
        <v>61.438299999999977</v>
      </c>
      <c r="J171" s="854">
        <v>61.742449999999963</v>
      </c>
      <c r="K171" s="854">
        <v>61.813733333333303</v>
      </c>
      <c r="L171" s="854">
        <v>62.523241516267632</v>
      </c>
      <c r="M171" s="854">
        <v>63.234219999999993</v>
      </c>
      <c r="N171" s="854">
        <v>64.192545899999985</v>
      </c>
      <c r="O171" s="854">
        <v>64.513508629499981</v>
      </c>
      <c r="P171" s="854">
        <v>64.836076172647466</v>
      </c>
      <c r="Q171" s="854">
        <v>65.160256553510692</v>
      </c>
      <c r="R171" s="854">
        <v>65.486057836278235</v>
      </c>
      <c r="S171" s="854">
        <v>65.813488125459614</v>
      </c>
      <c r="T171" s="854">
        <v>66.142555566086912</v>
      </c>
      <c r="U171" s="854">
        <v>66.47326834391734</v>
      </c>
      <c r="V171" s="854">
        <v>66.805634685636917</v>
      </c>
      <c r="W171" s="854">
        <v>67.139662859065083</v>
      </c>
      <c r="X171" s="854">
        <v>67.475361173360412</v>
      </c>
      <c r="Y171" s="854">
        <v>67.812737979227194</v>
      </c>
      <c r="Z171" s="854">
        <v>68.15180166912333</v>
      </c>
      <c r="AA171" s="854">
        <v>68.49256067746893</v>
      </c>
      <c r="AB171" s="854">
        <v>68.83502348085625</v>
      </c>
      <c r="AC171" s="854">
        <v>69.179198598260527</v>
      </c>
      <c r="AD171" s="854">
        <v>69.525094591251829</v>
      </c>
      <c r="AE171" s="854">
        <v>69.872720064208067</v>
      </c>
      <c r="AF171" s="854">
        <v>70.222083664529109</v>
      </c>
    </row>
    <row r="172" spans="1:32" s="864" customFormat="1" ht="14.45" x14ac:dyDescent="0.35">
      <c r="A172" s="839"/>
      <c r="B172" s="839" t="s">
        <v>40</v>
      </c>
      <c r="C172" s="838"/>
      <c r="D172" s="838"/>
      <c r="E172" s="838"/>
      <c r="F172" s="838"/>
      <c r="G172" s="854">
        <v>72.539999999999992</v>
      </c>
      <c r="H172" s="854">
        <v>72.902699999999996</v>
      </c>
      <c r="I172" s="854">
        <v>73.265400000000014</v>
      </c>
      <c r="J172" s="854">
        <v>73.628100000000032</v>
      </c>
      <c r="K172" s="854">
        <v>73.990800000000036</v>
      </c>
      <c r="L172" s="854">
        <v>74.516199124726526</v>
      </c>
      <c r="M172" s="854">
        <v>75.043185557986831</v>
      </c>
      <c r="N172" s="854">
        <v>75.571759299781149</v>
      </c>
      <c r="O172" s="854">
        <v>75.936840262582038</v>
      </c>
      <c r="P172" s="854">
        <v>76.301921225382927</v>
      </c>
      <c r="Q172" s="854">
        <v>76.667002188183815</v>
      </c>
      <c r="R172" s="854">
        <v>77.03208315098469</v>
      </c>
      <c r="S172" s="854">
        <v>77.397164113785578</v>
      </c>
      <c r="T172" s="854">
        <v>77.762245076586467</v>
      </c>
      <c r="U172" s="854">
        <v>78.127326039387356</v>
      </c>
      <c r="V172" s="854">
        <v>78.492407002188145</v>
      </c>
      <c r="W172" s="854">
        <v>78.857487964989033</v>
      </c>
      <c r="X172" s="854">
        <v>79.222568927789922</v>
      </c>
      <c r="Y172" s="854">
        <v>79.587649890590797</v>
      </c>
      <c r="Z172" s="854">
        <v>79.952730853391685</v>
      </c>
      <c r="AA172" s="854">
        <v>80.317811816192574</v>
      </c>
      <c r="AB172" s="854">
        <v>80.682892778993462</v>
      </c>
      <c r="AC172" s="854">
        <v>81.047973741794337</v>
      </c>
      <c r="AD172" s="854">
        <v>81.413054704595226</v>
      </c>
      <c r="AE172" s="854">
        <v>81.778135667396114</v>
      </c>
      <c r="AF172" s="854">
        <v>82.143216630196903</v>
      </c>
    </row>
    <row r="173" spans="1:32" s="864" customFormat="1" ht="14.45" x14ac:dyDescent="0.35">
      <c r="A173" s="839"/>
      <c r="B173" s="839" t="s">
        <v>29</v>
      </c>
      <c r="C173" s="838"/>
      <c r="D173" s="838"/>
      <c r="E173" s="838"/>
      <c r="F173" s="838"/>
      <c r="G173" s="854">
        <v>69.886712931315586</v>
      </c>
      <c r="H173" s="854">
        <v>84.617739005122857</v>
      </c>
      <c r="I173" s="854">
        <v>99.77020761765985</v>
      </c>
      <c r="J173" s="854">
        <v>115.81072942703476</v>
      </c>
      <c r="K173" s="854">
        <v>131.19780938437214</v>
      </c>
      <c r="L173" s="854">
        <v>145.46220447607328</v>
      </c>
      <c r="M173" s="854">
        <v>157.75364681050067</v>
      </c>
      <c r="N173" s="854">
        <v>168.55506474700036</v>
      </c>
      <c r="O173" s="854">
        <v>177.96704120423578</v>
      </c>
      <c r="P173" s="854">
        <v>186.1654499682482</v>
      </c>
      <c r="Q173" s="854">
        <v>193.35230342395749</v>
      </c>
      <c r="R173" s="854">
        <v>196.11147215578865</v>
      </c>
      <c r="S173" s="854">
        <v>198.15456111208027</v>
      </c>
      <c r="T173" s="854">
        <v>199.65744029461996</v>
      </c>
      <c r="U173" s="854">
        <v>200.75757592848979</v>
      </c>
      <c r="V173" s="854">
        <v>201.56002861929591</v>
      </c>
      <c r="W173" s="854">
        <v>202.14382617150503</v>
      </c>
      <c r="X173" s="854">
        <v>202.5677447446416</v>
      </c>
      <c r="Y173" s="854">
        <v>202.87514562074011</v>
      </c>
      <c r="Z173" s="854">
        <v>203.09783237720012</v>
      </c>
      <c r="AA173" s="854">
        <v>203.25903410630769</v>
      </c>
      <c r="AB173" s="854">
        <v>203.37566609727986</v>
      </c>
      <c r="AC173" s="854">
        <v>203.46001922812226</v>
      </c>
      <c r="AD173" s="854">
        <v>203.52101022912549</v>
      </c>
      <c r="AE173" s="854">
        <v>203.56510065539746</v>
      </c>
      <c r="AF173" s="854">
        <v>203.59696908402657</v>
      </c>
    </row>
    <row r="174" spans="1:32" s="864" customFormat="1" ht="14.45" x14ac:dyDescent="0.35">
      <c r="A174" s="839"/>
      <c r="B174" s="839"/>
      <c r="C174" s="838"/>
      <c r="D174" s="838"/>
      <c r="E174" s="838"/>
      <c r="F174" s="838"/>
      <c r="G174" s="854"/>
      <c r="H174" s="838"/>
      <c r="I174" s="838"/>
      <c r="J174" s="838"/>
      <c r="K174" s="838"/>
      <c r="L174" s="838"/>
      <c r="M174" s="838"/>
      <c r="N174" s="838"/>
      <c r="O174" s="838"/>
      <c r="P174" s="838"/>
      <c r="Q174" s="838"/>
      <c r="R174" s="838"/>
      <c r="S174" s="838"/>
      <c r="T174" s="838"/>
      <c r="U174" s="838"/>
      <c r="V174" s="838"/>
      <c r="W174" s="838"/>
      <c r="X174" s="838"/>
      <c r="Y174" s="838"/>
      <c r="Z174" s="838"/>
      <c r="AA174" s="838"/>
      <c r="AB174" s="838"/>
      <c r="AC174" s="838"/>
      <c r="AD174" s="838"/>
      <c r="AE174" s="838"/>
      <c r="AF174" s="838"/>
    </row>
    <row r="175" spans="1:32" s="856" customFormat="1" ht="12.95" x14ac:dyDescent="0.3">
      <c r="A175" s="843" t="s">
        <v>42</v>
      </c>
      <c r="B175" s="843"/>
      <c r="C175" s="843"/>
      <c r="D175" s="843"/>
      <c r="E175" s="843"/>
      <c r="F175" s="843"/>
      <c r="G175" s="865"/>
      <c r="H175" s="843"/>
      <c r="I175" s="843"/>
      <c r="J175" s="843"/>
      <c r="K175" s="843"/>
      <c r="L175" s="843"/>
      <c r="M175" s="843"/>
      <c r="N175" s="843"/>
      <c r="O175" s="843"/>
      <c r="P175" s="843"/>
      <c r="Q175" s="843"/>
      <c r="R175" s="843"/>
      <c r="S175" s="843"/>
      <c r="T175" s="843"/>
      <c r="U175" s="843"/>
      <c r="V175" s="843"/>
      <c r="W175" s="843"/>
      <c r="X175" s="843"/>
      <c r="Y175" s="843"/>
      <c r="Z175" s="843"/>
      <c r="AA175" s="843"/>
      <c r="AB175" s="843"/>
      <c r="AC175" s="843"/>
      <c r="AD175" s="843"/>
      <c r="AE175" s="843"/>
      <c r="AF175" s="843"/>
    </row>
    <row r="176" spans="1:32" s="864" customFormat="1" ht="14.45" x14ac:dyDescent="0.35">
      <c r="A176" s="839"/>
      <c r="B176" s="842" t="s">
        <v>43</v>
      </c>
      <c r="C176" s="838"/>
      <c r="D176" s="838"/>
      <c r="E176" s="838"/>
      <c r="F176" s="838"/>
      <c r="G176" s="854">
        <v>24.635000000000002</v>
      </c>
      <c r="H176" s="854">
        <v>24.635000000000002</v>
      </c>
      <c r="I176" s="854">
        <v>24.635000000000002</v>
      </c>
      <c r="J176" s="854">
        <v>24.635000000000002</v>
      </c>
      <c r="K176" s="854">
        <v>24.635000000000002</v>
      </c>
      <c r="L176" s="854">
        <v>24.635000000000002</v>
      </c>
      <c r="M176" s="854">
        <v>24.635000000000002</v>
      </c>
      <c r="N176" s="854">
        <v>24.635000000000002</v>
      </c>
      <c r="O176" s="854">
        <v>24.635000000000002</v>
      </c>
      <c r="P176" s="854">
        <v>24.635000000000002</v>
      </c>
      <c r="Q176" s="854">
        <v>24.635000000000002</v>
      </c>
      <c r="R176" s="854">
        <v>24.635000000000002</v>
      </c>
      <c r="S176" s="854">
        <v>24.635000000000002</v>
      </c>
      <c r="T176" s="854">
        <v>24.635000000000002</v>
      </c>
      <c r="U176" s="854">
        <v>24.635000000000002</v>
      </c>
      <c r="V176" s="854">
        <v>24.635000000000002</v>
      </c>
      <c r="W176" s="854">
        <v>24.635000000000002</v>
      </c>
      <c r="X176" s="854">
        <v>24.635000000000002</v>
      </c>
      <c r="Y176" s="854">
        <v>24.635000000000002</v>
      </c>
      <c r="Z176" s="854">
        <v>24.635000000000002</v>
      </c>
      <c r="AA176" s="854">
        <v>24.635000000000002</v>
      </c>
      <c r="AB176" s="854">
        <v>24.635000000000002</v>
      </c>
      <c r="AC176" s="854">
        <v>24.635000000000002</v>
      </c>
      <c r="AD176" s="854">
        <v>24.635000000000002</v>
      </c>
      <c r="AE176" s="854">
        <v>24.635000000000002</v>
      </c>
      <c r="AF176" s="854">
        <v>24.635000000000002</v>
      </c>
    </row>
    <row r="177" spans="1:32" s="864" customFormat="1" ht="14.45" x14ac:dyDescent="0.35">
      <c r="A177" s="839"/>
      <c r="B177" s="842" t="s">
        <v>44</v>
      </c>
      <c r="C177" s="838"/>
      <c r="D177" s="838"/>
      <c r="E177" s="838"/>
      <c r="F177" s="838"/>
      <c r="G177" s="854">
        <v>47.320000000000022</v>
      </c>
      <c r="H177" s="854">
        <v>47.985380198938778</v>
      </c>
      <c r="I177" s="854">
        <v>48.342591465928471</v>
      </c>
      <c r="J177" s="854">
        <v>48.699802732918037</v>
      </c>
      <c r="K177" s="854">
        <v>49.057013999907731</v>
      </c>
      <c r="L177" s="854">
        <v>49.41422526689729</v>
      </c>
      <c r="M177" s="854">
        <v>49.771436533886984</v>
      </c>
      <c r="N177" s="854">
        <v>50.12864780087655</v>
      </c>
      <c r="O177" s="854">
        <v>50.485859067866116</v>
      </c>
      <c r="P177" s="854">
        <v>50.84307033485581</v>
      </c>
      <c r="Q177" s="854">
        <v>51.200281601845376</v>
      </c>
      <c r="R177" s="854">
        <v>51.55749286883507</v>
      </c>
      <c r="S177" s="854">
        <v>51.914704135824636</v>
      </c>
      <c r="T177" s="854">
        <v>52.271915402814329</v>
      </c>
      <c r="U177" s="854">
        <v>52.629126669803895</v>
      </c>
      <c r="V177" s="854">
        <v>52.986337936793461</v>
      </c>
      <c r="W177" s="854">
        <v>53.343549203783155</v>
      </c>
      <c r="X177" s="854">
        <v>53.700760470772714</v>
      </c>
      <c r="Y177" s="854">
        <v>54.057971737762408</v>
      </c>
      <c r="Z177" s="854">
        <v>54.415183004751974</v>
      </c>
      <c r="AA177" s="854">
        <v>54.772394271741533</v>
      </c>
      <c r="AB177" s="854">
        <v>55.129605538731234</v>
      </c>
      <c r="AC177" s="854">
        <v>55.486816805720792</v>
      </c>
      <c r="AD177" s="854">
        <v>55.844028072710493</v>
      </c>
      <c r="AE177" s="854">
        <v>56.201239339700052</v>
      </c>
      <c r="AF177" s="854">
        <v>56.558450606689753</v>
      </c>
    </row>
    <row r="178" spans="1:32" s="864" customFormat="1" ht="14.45" x14ac:dyDescent="0.35">
      <c r="A178" s="839"/>
      <c r="B178" s="842" t="s">
        <v>45</v>
      </c>
      <c r="C178" s="838"/>
      <c r="D178" s="838"/>
      <c r="E178" s="838"/>
      <c r="F178" s="838"/>
      <c r="G178" s="854">
        <v>69.875000000000028</v>
      </c>
      <c r="H178" s="854">
        <v>70.049687500000005</v>
      </c>
      <c r="I178" s="854">
        <v>70.224375000000023</v>
      </c>
      <c r="J178" s="854">
        <v>70.399062499999999</v>
      </c>
      <c r="K178" s="854">
        <v>70.573750000000032</v>
      </c>
      <c r="L178" s="854">
        <v>70.748437499999994</v>
      </c>
      <c r="M178" s="854">
        <v>70.923125000000027</v>
      </c>
      <c r="N178" s="854">
        <v>71.097812500000003</v>
      </c>
      <c r="O178" s="854">
        <v>71.272500000000022</v>
      </c>
      <c r="P178" s="854">
        <v>71.447187499999998</v>
      </c>
      <c r="Q178" s="854">
        <v>71.621875000000031</v>
      </c>
      <c r="R178" s="854">
        <v>71.796562500000007</v>
      </c>
      <c r="S178" s="854">
        <v>71.971250000000026</v>
      </c>
      <c r="T178" s="854">
        <v>72.145937500000002</v>
      </c>
      <c r="U178" s="854">
        <v>72.320625000000021</v>
      </c>
      <c r="V178" s="854">
        <v>72.495312499999997</v>
      </c>
      <c r="W178" s="854">
        <v>72.67000000000003</v>
      </c>
      <c r="X178" s="854">
        <v>72.844687499999992</v>
      </c>
      <c r="Y178" s="854">
        <v>73.019375000000025</v>
      </c>
      <c r="Z178" s="854">
        <v>73.194062500000001</v>
      </c>
      <c r="AA178" s="854">
        <v>73.368750000000034</v>
      </c>
      <c r="AB178" s="854">
        <v>73.543437499999996</v>
      </c>
      <c r="AC178" s="854">
        <v>73.718125000000029</v>
      </c>
      <c r="AD178" s="854">
        <v>73.892812499999991</v>
      </c>
      <c r="AE178" s="854">
        <v>74.067500000000024</v>
      </c>
      <c r="AF178" s="854">
        <v>74.2421875</v>
      </c>
    </row>
    <row r="179" spans="1:32" s="864" customFormat="1" ht="14.45" x14ac:dyDescent="0.35">
      <c r="A179" s="839"/>
      <c r="B179" s="842" t="s">
        <v>46</v>
      </c>
      <c r="C179" s="838"/>
      <c r="D179" s="838"/>
      <c r="E179" s="838"/>
      <c r="F179" s="838"/>
      <c r="G179" s="854">
        <v>93.274999999999807</v>
      </c>
      <c r="H179" s="854">
        <v>93.974562499999919</v>
      </c>
      <c r="I179" s="854">
        <v>94.674125000000018</v>
      </c>
      <c r="J179" s="854">
        <v>95.373687499999903</v>
      </c>
      <c r="K179" s="854">
        <v>96.073250000000002</v>
      </c>
      <c r="L179" s="854">
        <v>96.772812499999901</v>
      </c>
      <c r="M179" s="854">
        <v>97.472375000000014</v>
      </c>
      <c r="N179" s="854">
        <v>98.171937499999885</v>
      </c>
      <c r="O179" s="854">
        <v>98.871500000000012</v>
      </c>
      <c r="P179" s="854">
        <v>99.571062499999897</v>
      </c>
      <c r="Q179" s="854">
        <v>100.270625</v>
      </c>
      <c r="R179" s="854">
        <v>100.97018749999989</v>
      </c>
      <c r="S179" s="854">
        <v>101.66974999999999</v>
      </c>
      <c r="T179" s="854">
        <v>102.36931249999988</v>
      </c>
      <c r="U179" s="854">
        <v>103.06887499999998</v>
      </c>
      <c r="V179" s="854">
        <v>103.76843749999988</v>
      </c>
      <c r="W179" s="854">
        <v>104.46799999999999</v>
      </c>
      <c r="X179" s="854">
        <v>105.16756249999986</v>
      </c>
      <c r="Y179" s="854">
        <v>105.86712499999999</v>
      </c>
      <c r="Z179" s="854">
        <v>106.56668749999987</v>
      </c>
      <c r="AA179" s="854">
        <v>107.26624999999997</v>
      </c>
      <c r="AB179" s="854">
        <v>107.96581249999987</v>
      </c>
      <c r="AC179" s="854">
        <v>108.66537499999997</v>
      </c>
      <c r="AD179" s="854">
        <v>109.36493749999985</v>
      </c>
      <c r="AE179" s="854">
        <v>110.06449999999995</v>
      </c>
      <c r="AF179" s="854">
        <v>110.76406249999985</v>
      </c>
    </row>
    <row r="180" spans="1:32" s="864" customFormat="1" ht="14.45" x14ac:dyDescent="0.35">
      <c r="A180" s="839"/>
      <c r="B180" s="839" t="s">
        <v>29</v>
      </c>
      <c r="C180" s="838"/>
      <c r="D180" s="838"/>
      <c r="E180" s="838"/>
      <c r="F180" s="838"/>
      <c r="G180" s="854">
        <v>69.886712931315586</v>
      </c>
      <c r="H180" s="854">
        <v>84.617739005122857</v>
      </c>
      <c r="I180" s="854">
        <v>99.77020761765985</v>
      </c>
      <c r="J180" s="854">
        <v>115.81072942703476</v>
      </c>
      <c r="K180" s="854">
        <v>131.19780938437214</v>
      </c>
      <c r="L180" s="854">
        <v>145.46220447607328</v>
      </c>
      <c r="M180" s="854">
        <v>157.75364681050067</v>
      </c>
      <c r="N180" s="854">
        <v>168.55506474700036</v>
      </c>
      <c r="O180" s="854">
        <v>177.96704120423578</v>
      </c>
      <c r="P180" s="854">
        <v>186.1654499682482</v>
      </c>
      <c r="Q180" s="854">
        <v>193.35230342395749</v>
      </c>
      <c r="R180" s="854">
        <v>196.11147215578865</v>
      </c>
      <c r="S180" s="854">
        <v>198.15456111208027</v>
      </c>
      <c r="T180" s="854">
        <v>199.65744029461996</v>
      </c>
      <c r="U180" s="854">
        <v>200.75757592848979</v>
      </c>
      <c r="V180" s="854">
        <v>201.56002861929591</v>
      </c>
      <c r="W180" s="854">
        <v>202.14382617150503</v>
      </c>
      <c r="X180" s="854">
        <v>202.5677447446416</v>
      </c>
      <c r="Y180" s="854">
        <v>202.87514562074011</v>
      </c>
      <c r="Z180" s="854">
        <v>203.09783237720012</v>
      </c>
      <c r="AA180" s="854">
        <v>203.25903410630769</v>
      </c>
      <c r="AB180" s="854">
        <v>203.37566609727986</v>
      </c>
      <c r="AC180" s="854">
        <v>203.46001922812226</v>
      </c>
      <c r="AD180" s="854">
        <v>203.52101022912549</v>
      </c>
      <c r="AE180" s="854">
        <v>203.56510065539746</v>
      </c>
      <c r="AF180" s="854">
        <v>203.59696908402657</v>
      </c>
    </row>
    <row r="181" spans="1:32" s="864" customFormat="1" ht="14.45" x14ac:dyDescent="0.35">
      <c r="A181" s="839"/>
      <c r="B181" s="839"/>
      <c r="C181" s="838"/>
      <c r="D181" s="838"/>
      <c r="E181" s="838"/>
      <c r="F181" s="838"/>
      <c r="G181" s="854"/>
      <c r="H181" s="838"/>
      <c r="I181" s="838"/>
      <c r="J181" s="838"/>
      <c r="K181" s="838"/>
      <c r="L181" s="838"/>
      <c r="M181" s="838"/>
      <c r="N181" s="838"/>
      <c r="O181" s="838"/>
      <c r="P181" s="838"/>
      <c r="Q181" s="838"/>
      <c r="R181" s="838"/>
      <c r="S181" s="838"/>
      <c r="T181" s="838"/>
      <c r="U181" s="838"/>
      <c r="V181" s="838"/>
      <c r="W181" s="838"/>
      <c r="X181" s="838"/>
      <c r="Y181" s="838"/>
      <c r="Z181" s="838"/>
      <c r="AA181" s="838"/>
      <c r="AB181" s="838"/>
      <c r="AC181" s="838"/>
      <c r="AD181" s="838"/>
      <c r="AE181" s="838"/>
      <c r="AF181" s="838"/>
    </row>
    <row r="182" spans="1:32" s="856" customFormat="1" ht="12.95" x14ac:dyDescent="0.3">
      <c r="A182" s="843" t="s">
        <v>47</v>
      </c>
      <c r="B182" s="843"/>
      <c r="C182" s="843"/>
      <c r="D182" s="843"/>
      <c r="E182" s="843"/>
      <c r="F182" s="843"/>
      <c r="G182" s="865"/>
      <c r="H182" s="843"/>
      <c r="I182" s="843"/>
      <c r="J182" s="843"/>
      <c r="K182" s="843"/>
      <c r="L182" s="843"/>
      <c r="M182" s="843"/>
      <c r="N182" s="843"/>
      <c r="O182" s="843"/>
      <c r="P182" s="843"/>
      <c r="Q182" s="843"/>
      <c r="R182" s="843"/>
      <c r="S182" s="843"/>
      <c r="T182" s="843"/>
      <c r="U182" s="843"/>
      <c r="V182" s="843"/>
      <c r="W182" s="843"/>
      <c r="X182" s="843"/>
      <c r="Y182" s="843"/>
      <c r="Z182" s="843"/>
      <c r="AA182" s="843"/>
      <c r="AB182" s="843"/>
      <c r="AC182" s="843"/>
      <c r="AD182" s="843"/>
      <c r="AE182" s="843"/>
      <c r="AF182" s="843"/>
    </row>
    <row r="183" spans="1:32" s="864" customFormat="1" ht="14.45" x14ac:dyDescent="0.35">
      <c r="A183" s="839"/>
      <c r="B183" s="839" t="s">
        <v>48</v>
      </c>
      <c r="C183" s="838"/>
      <c r="D183" s="838"/>
      <c r="E183" s="838"/>
      <c r="F183" s="838"/>
      <c r="G183" s="854">
        <v>11.300000000000004</v>
      </c>
      <c r="H183" s="854">
        <v>11.328250000000004</v>
      </c>
      <c r="I183" s="854">
        <v>11.393853221957043</v>
      </c>
      <c r="J183" s="854">
        <v>11.459456443914082</v>
      </c>
      <c r="K183" s="854">
        <v>11.525059665871122</v>
      </c>
      <c r="L183" s="854">
        <v>11.5538723150358</v>
      </c>
      <c r="M183" s="854">
        <v>11.582756995823388</v>
      </c>
      <c r="N183" s="854">
        <v>11.611713888312945</v>
      </c>
      <c r="O183" s="854">
        <v>11.640743173033728</v>
      </c>
      <c r="P183" s="854">
        <v>11.669845030966313</v>
      </c>
      <c r="Q183" s="854">
        <v>11.699019643543727</v>
      </c>
      <c r="R183" s="854">
        <v>11.728267192652584</v>
      </c>
      <c r="S183" s="854">
        <v>11.757587860634217</v>
      </c>
      <c r="T183" s="854">
        <v>11.786981830285802</v>
      </c>
      <c r="U183" s="854">
        <v>11.816449284861516</v>
      </c>
      <c r="V183" s="854">
        <v>11.845990408073668</v>
      </c>
      <c r="W183" s="854">
        <v>11.875605384093852</v>
      </c>
      <c r="X183" s="854">
        <v>11.905294397554089</v>
      </c>
      <c r="Y183" s="854">
        <v>11.93505763354797</v>
      </c>
      <c r="Z183" s="854">
        <v>11.96489527763184</v>
      </c>
      <c r="AA183" s="854">
        <v>11.99480751582592</v>
      </c>
      <c r="AB183" s="854">
        <v>12.024794534615484</v>
      </c>
      <c r="AC183" s="854">
        <v>12.054856520952024</v>
      </c>
      <c r="AD183" s="854">
        <v>12.084993662254401</v>
      </c>
      <c r="AE183" s="854">
        <v>12.115206146410038</v>
      </c>
      <c r="AF183" s="854">
        <v>12.145494161776062</v>
      </c>
    </row>
    <row r="184" spans="1:32" s="864" customFormat="1" ht="14.45" x14ac:dyDescent="0.35">
      <c r="A184" s="839"/>
      <c r="B184" s="842" t="s">
        <v>50</v>
      </c>
      <c r="C184" s="838"/>
      <c r="D184" s="838"/>
      <c r="E184" s="838"/>
      <c r="F184" s="838"/>
      <c r="G184" s="854">
        <v>18</v>
      </c>
      <c r="H184" s="854">
        <v>18.044999999999987</v>
      </c>
      <c r="I184" s="854">
        <v>18.089999999999989</v>
      </c>
      <c r="J184" s="854">
        <v>18.134999999999991</v>
      </c>
      <c r="K184" s="854">
        <v>18.179999999999993</v>
      </c>
      <c r="L184" s="854">
        <v>18.224999999999994</v>
      </c>
      <c r="M184" s="854">
        <v>18.269999999999996</v>
      </c>
      <c r="N184" s="854">
        <v>18.314999999999998</v>
      </c>
      <c r="O184" s="854">
        <v>18.36</v>
      </c>
      <c r="P184" s="854">
        <v>18.404999999999987</v>
      </c>
      <c r="Q184" s="854">
        <v>18.449999999999989</v>
      </c>
      <c r="R184" s="854">
        <v>18.49499999999999</v>
      </c>
      <c r="S184" s="854">
        <v>18.539999999999992</v>
      </c>
      <c r="T184" s="854">
        <v>18.584999999999994</v>
      </c>
      <c r="U184" s="854">
        <v>18.629999999999995</v>
      </c>
      <c r="V184" s="854">
        <v>18.674999999999997</v>
      </c>
      <c r="W184" s="854">
        <v>18.72</v>
      </c>
      <c r="X184" s="854">
        <v>18.765000000000001</v>
      </c>
      <c r="Y184" s="854">
        <v>18.809999999999988</v>
      </c>
      <c r="Z184" s="854">
        <v>18.85499999999999</v>
      </c>
      <c r="AA184" s="854">
        <v>18.899999999999991</v>
      </c>
      <c r="AB184" s="854">
        <v>18.944999999999993</v>
      </c>
      <c r="AC184" s="854">
        <v>18.989999999999995</v>
      </c>
      <c r="AD184" s="854">
        <v>19.034999999999997</v>
      </c>
      <c r="AE184" s="854">
        <v>19.079999999999998</v>
      </c>
      <c r="AF184" s="854">
        <v>19.125</v>
      </c>
    </row>
    <row r="185" spans="1:32" s="864" customFormat="1" ht="14.45" x14ac:dyDescent="0.35">
      <c r="A185" s="839"/>
      <c r="B185" s="839" t="s">
        <v>51</v>
      </c>
      <c r="C185" s="838"/>
      <c r="D185" s="838"/>
      <c r="E185" s="838"/>
      <c r="F185" s="838"/>
      <c r="G185" s="854">
        <v>58.400000000000006</v>
      </c>
      <c r="H185" s="854">
        <v>58.546000000000021</v>
      </c>
      <c r="I185" s="854">
        <v>58.692000000000036</v>
      </c>
      <c r="J185" s="854">
        <v>58.837999999999994</v>
      </c>
      <c r="K185" s="854">
        <v>58.984000000000009</v>
      </c>
      <c r="L185" s="854">
        <v>59.130000000000024</v>
      </c>
      <c r="M185" s="854">
        <v>59.275999999999982</v>
      </c>
      <c r="N185" s="854">
        <v>59.421999999999997</v>
      </c>
      <c r="O185" s="854">
        <v>59.568000000000012</v>
      </c>
      <c r="P185" s="854">
        <v>59.714000000000027</v>
      </c>
      <c r="Q185" s="854">
        <v>59.859999999999985</v>
      </c>
      <c r="R185" s="854">
        <v>60.006</v>
      </c>
      <c r="S185" s="854">
        <v>60.152000000000015</v>
      </c>
      <c r="T185" s="854">
        <v>60.29800000000003</v>
      </c>
      <c r="U185" s="854">
        <v>60.443999999999988</v>
      </c>
      <c r="V185" s="854">
        <v>60.59</v>
      </c>
      <c r="W185" s="854">
        <v>60.736000000000018</v>
      </c>
      <c r="X185" s="854">
        <v>60.882000000000033</v>
      </c>
      <c r="Y185" s="854">
        <v>61.027999999999992</v>
      </c>
      <c r="Z185" s="854">
        <v>61.174000000000007</v>
      </c>
      <c r="AA185" s="854">
        <v>61.320000000000022</v>
      </c>
      <c r="AB185" s="854">
        <v>61.46599999999998</v>
      </c>
      <c r="AC185" s="854">
        <v>61.611999999999995</v>
      </c>
      <c r="AD185" s="854">
        <v>61.75800000000001</v>
      </c>
      <c r="AE185" s="854">
        <v>61.904000000000025</v>
      </c>
      <c r="AF185" s="854">
        <v>62.049999999999983</v>
      </c>
    </row>
    <row r="186" spans="1:32" s="864" customFormat="1" ht="14.45" x14ac:dyDescent="0.35">
      <c r="A186" s="839"/>
      <c r="B186" s="839" t="s">
        <v>52</v>
      </c>
      <c r="C186" s="838"/>
      <c r="D186" s="838"/>
      <c r="E186" s="838"/>
      <c r="F186" s="838"/>
      <c r="G186" s="854">
        <v>52.429999999999971</v>
      </c>
      <c r="H186" s="854">
        <v>52.561074999999953</v>
      </c>
      <c r="I186" s="854">
        <v>52.69214999999997</v>
      </c>
      <c r="J186" s="854">
        <v>52.823224999999951</v>
      </c>
      <c r="K186" s="854">
        <v>52.954299999999968</v>
      </c>
      <c r="L186" s="854">
        <v>53.085374999999949</v>
      </c>
      <c r="M186" s="854">
        <v>53.216449999999966</v>
      </c>
      <c r="N186" s="854">
        <v>53.347524999999948</v>
      </c>
      <c r="O186" s="854">
        <v>53.478599999999965</v>
      </c>
      <c r="P186" s="854">
        <v>53.609674999999946</v>
      </c>
      <c r="Q186" s="854">
        <v>53.74074999999997</v>
      </c>
      <c r="R186" s="854">
        <v>53.871824999999944</v>
      </c>
      <c r="S186" s="854">
        <v>54.002899999999968</v>
      </c>
      <c r="T186" s="854">
        <v>54.133974999999943</v>
      </c>
      <c r="U186" s="854">
        <v>54.265049999999967</v>
      </c>
      <c r="V186" s="854">
        <v>54.396124999999941</v>
      </c>
      <c r="W186" s="854">
        <v>54.527199999999965</v>
      </c>
      <c r="X186" s="854">
        <v>54.658274999999954</v>
      </c>
      <c r="Y186" s="854">
        <v>54.789349999999963</v>
      </c>
      <c r="Z186" s="854">
        <v>54.920424999999952</v>
      </c>
      <c r="AA186" s="854">
        <v>55.051499999999962</v>
      </c>
      <c r="AB186" s="854">
        <v>55.18257499999995</v>
      </c>
      <c r="AC186" s="854">
        <v>55.31364999999996</v>
      </c>
      <c r="AD186" s="854">
        <v>55.444724999999949</v>
      </c>
      <c r="AE186" s="854">
        <v>55.575799999999958</v>
      </c>
      <c r="AF186" s="854">
        <v>55.706874999999947</v>
      </c>
    </row>
    <row r="187" spans="1:32" s="864" customFormat="1" ht="14.45" x14ac:dyDescent="0.35">
      <c r="A187" s="839"/>
      <c r="B187" s="842" t="s">
        <v>29</v>
      </c>
      <c r="C187" s="838"/>
      <c r="D187" s="838"/>
      <c r="E187" s="838"/>
      <c r="F187" s="838"/>
      <c r="G187" s="854">
        <v>69.886712931315586</v>
      </c>
      <c r="H187" s="854">
        <v>84.617739005122857</v>
      </c>
      <c r="I187" s="854">
        <v>99.77020761765985</v>
      </c>
      <c r="J187" s="854">
        <v>115.81072942703476</v>
      </c>
      <c r="K187" s="854">
        <v>131.19780938437214</v>
      </c>
      <c r="L187" s="854">
        <v>145.46220447607328</v>
      </c>
      <c r="M187" s="854">
        <v>157.75364681050067</v>
      </c>
      <c r="N187" s="854">
        <v>168.55506474700036</v>
      </c>
      <c r="O187" s="854">
        <v>177.96704120423578</v>
      </c>
      <c r="P187" s="854">
        <v>186.1654499682482</v>
      </c>
      <c r="Q187" s="854">
        <v>193.35230342395749</v>
      </c>
      <c r="R187" s="854">
        <v>196.11147215578865</v>
      </c>
      <c r="S187" s="854">
        <v>198.15456111208027</v>
      </c>
      <c r="T187" s="854">
        <v>199.65744029461996</v>
      </c>
      <c r="U187" s="854">
        <v>200.75757592848979</v>
      </c>
      <c r="V187" s="854">
        <v>201.56002861929591</v>
      </c>
      <c r="W187" s="854">
        <v>202.14382617150503</v>
      </c>
      <c r="X187" s="854">
        <v>202.5677447446416</v>
      </c>
      <c r="Y187" s="854">
        <v>202.87514562074011</v>
      </c>
      <c r="Z187" s="854">
        <v>203.09783237720012</v>
      </c>
      <c r="AA187" s="854">
        <v>203.25903410630769</v>
      </c>
      <c r="AB187" s="854">
        <v>203.37566609727986</v>
      </c>
      <c r="AC187" s="854">
        <v>203.46001922812226</v>
      </c>
      <c r="AD187" s="854">
        <v>203.52101022912549</v>
      </c>
      <c r="AE187" s="854">
        <v>203.56510065539746</v>
      </c>
      <c r="AF187" s="854">
        <v>203.59696908402657</v>
      </c>
    </row>
    <row r="188" spans="1:32" s="864" customFormat="1" ht="14.45" x14ac:dyDescent="0.35">
      <c r="A188" s="839"/>
      <c r="B188" s="842" t="s">
        <v>53</v>
      </c>
      <c r="C188" s="838"/>
      <c r="D188" s="838"/>
      <c r="E188" s="838"/>
      <c r="F188" s="838"/>
      <c r="G188" s="854">
        <v>0</v>
      </c>
      <c r="H188" s="854">
        <v>0</v>
      </c>
      <c r="I188" s="854">
        <v>0</v>
      </c>
      <c r="J188" s="854">
        <v>0</v>
      </c>
      <c r="K188" s="854">
        <v>0</v>
      </c>
      <c r="L188" s="854">
        <v>0</v>
      </c>
      <c r="M188" s="854">
        <v>0</v>
      </c>
      <c r="N188" s="854">
        <v>0</v>
      </c>
      <c r="O188" s="854">
        <v>0</v>
      </c>
      <c r="P188" s="854">
        <v>0</v>
      </c>
      <c r="Q188" s="854">
        <v>0</v>
      </c>
      <c r="R188" s="854">
        <v>0</v>
      </c>
      <c r="S188" s="854">
        <v>0</v>
      </c>
      <c r="T188" s="854">
        <v>0</v>
      </c>
      <c r="U188" s="854">
        <v>0</v>
      </c>
      <c r="V188" s="854">
        <v>0</v>
      </c>
      <c r="W188" s="854">
        <v>0</v>
      </c>
      <c r="X188" s="854">
        <v>0</v>
      </c>
      <c r="Y188" s="854">
        <v>0</v>
      </c>
      <c r="Z188" s="854">
        <v>0</v>
      </c>
      <c r="AA188" s="854">
        <v>0</v>
      </c>
      <c r="AB188" s="854">
        <v>0</v>
      </c>
      <c r="AC188" s="854">
        <v>0</v>
      </c>
      <c r="AD188" s="854">
        <v>0</v>
      </c>
      <c r="AE188" s="854">
        <v>0</v>
      </c>
      <c r="AF188" s="854">
        <v>0</v>
      </c>
    </row>
    <row r="191" spans="1:32" ht="14.45" x14ac:dyDescent="0.35">
      <c r="A191" s="860" t="s">
        <v>56</v>
      </c>
      <c r="B191" s="861"/>
      <c r="C191" s="860"/>
      <c r="D191" s="859"/>
      <c r="E191" s="859"/>
      <c r="F191" s="859"/>
      <c r="G191" s="859"/>
      <c r="H191" s="862"/>
      <c r="I191" s="862"/>
      <c r="J191" s="862"/>
      <c r="K191" s="862"/>
      <c r="L191" s="862"/>
      <c r="M191" s="862"/>
      <c r="N191" s="862"/>
      <c r="O191" s="862"/>
      <c r="P191" s="862"/>
      <c r="Q191" s="862"/>
      <c r="R191" s="862"/>
      <c r="S191" s="862"/>
      <c r="T191" s="862"/>
      <c r="U191" s="862"/>
      <c r="V191" s="862"/>
      <c r="W191" s="862"/>
      <c r="X191" s="862"/>
      <c r="Y191" s="862"/>
      <c r="Z191" s="862"/>
      <c r="AA191" s="862"/>
      <c r="AB191" s="862"/>
      <c r="AC191" s="862"/>
      <c r="AD191" s="862"/>
      <c r="AE191" s="862"/>
      <c r="AF191" s="862"/>
    </row>
    <row r="192" spans="1:32" ht="14.45" x14ac:dyDescent="0.35">
      <c r="A192" s="840" t="s">
        <v>12</v>
      </c>
      <c r="B192" s="839"/>
    </row>
    <row r="193" spans="1:32" ht="14.45" x14ac:dyDescent="0.35">
      <c r="A193" s="839"/>
      <c r="B193" s="839" t="s">
        <v>20</v>
      </c>
    </row>
    <row r="194" spans="1:32" s="856" customFormat="1" ht="12.95" x14ac:dyDescent="0.3">
      <c r="A194" s="843" t="s">
        <v>21</v>
      </c>
      <c r="B194" s="843"/>
      <c r="C194" s="843"/>
      <c r="D194" s="843"/>
      <c r="E194" s="843"/>
      <c r="F194" s="843"/>
      <c r="G194" s="843"/>
      <c r="H194" s="843"/>
      <c r="I194" s="843"/>
      <c r="J194" s="843"/>
      <c r="K194" s="843"/>
      <c r="L194" s="843"/>
      <c r="M194" s="843"/>
      <c r="N194" s="843"/>
      <c r="O194" s="843"/>
      <c r="P194" s="843"/>
      <c r="Q194" s="843"/>
      <c r="R194" s="843"/>
      <c r="S194" s="843"/>
      <c r="T194" s="843"/>
      <c r="U194" s="843"/>
      <c r="V194" s="843"/>
      <c r="W194" s="843"/>
      <c r="X194" s="843"/>
      <c r="Y194" s="843"/>
      <c r="Z194" s="843"/>
      <c r="AA194" s="843"/>
      <c r="AB194" s="843"/>
      <c r="AC194" s="843"/>
      <c r="AD194" s="843"/>
      <c r="AE194" s="843"/>
      <c r="AF194" s="843"/>
    </row>
    <row r="195" spans="1:32" s="864" customFormat="1" ht="14.45" x14ac:dyDescent="0.35">
      <c r="A195" s="839"/>
      <c r="B195" s="839" t="s">
        <v>22</v>
      </c>
      <c r="C195" s="838"/>
      <c r="D195" s="838"/>
      <c r="E195" s="838"/>
      <c r="F195" s="838"/>
      <c r="G195" s="854">
        <v>11.9</v>
      </c>
      <c r="H195" s="854">
        <v>11.9</v>
      </c>
      <c r="I195" s="854">
        <v>11.9</v>
      </c>
      <c r="J195" s="854">
        <v>11.9</v>
      </c>
      <c r="K195" s="854">
        <v>11.9</v>
      </c>
      <c r="L195" s="854">
        <v>11.9</v>
      </c>
      <c r="M195" s="854">
        <v>11.9</v>
      </c>
      <c r="N195" s="854">
        <v>11.9</v>
      </c>
      <c r="O195" s="854">
        <v>11.9</v>
      </c>
      <c r="P195" s="854">
        <v>11.9</v>
      </c>
      <c r="Q195" s="854">
        <v>11.9</v>
      </c>
      <c r="R195" s="854">
        <v>11.9</v>
      </c>
      <c r="S195" s="854">
        <v>11.9</v>
      </c>
      <c r="T195" s="854">
        <v>11.9</v>
      </c>
      <c r="U195" s="854">
        <v>11.9</v>
      </c>
      <c r="V195" s="854">
        <v>11.9</v>
      </c>
      <c r="W195" s="854">
        <v>11.9</v>
      </c>
      <c r="X195" s="854">
        <v>11.9</v>
      </c>
      <c r="Y195" s="854">
        <v>11.9</v>
      </c>
      <c r="Z195" s="854">
        <v>11.9</v>
      </c>
      <c r="AA195" s="854">
        <v>11.9</v>
      </c>
      <c r="AB195" s="854">
        <v>11.9</v>
      </c>
      <c r="AC195" s="854">
        <v>11.9</v>
      </c>
      <c r="AD195" s="854">
        <v>11.9</v>
      </c>
      <c r="AE195" s="854">
        <v>11.9</v>
      </c>
      <c r="AF195" s="854">
        <v>11.9</v>
      </c>
    </row>
    <row r="196" spans="1:32" s="864" customFormat="1" ht="14.45" x14ac:dyDescent="0.35">
      <c r="A196" s="839"/>
      <c r="B196" s="839" t="s">
        <v>26</v>
      </c>
      <c r="C196" s="838"/>
      <c r="D196" s="838"/>
      <c r="E196" s="838"/>
      <c r="F196" s="838"/>
      <c r="G196" s="854">
        <v>14.299999999999983</v>
      </c>
      <c r="H196" s="854">
        <v>14.371499999999997</v>
      </c>
      <c r="I196" s="854">
        <v>14.442999999999984</v>
      </c>
      <c r="J196" s="854">
        <v>14.514499999999998</v>
      </c>
      <c r="K196" s="854">
        <v>14.585999999999984</v>
      </c>
      <c r="L196" s="854">
        <v>14.657499999999999</v>
      </c>
      <c r="M196" s="854">
        <v>14.728999999999985</v>
      </c>
      <c r="N196" s="854">
        <v>14.8005</v>
      </c>
      <c r="O196" s="854">
        <v>14.871999999999986</v>
      </c>
      <c r="P196" s="854">
        <v>14.9435</v>
      </c>
      <c r="Q196" s="854">
        <v>15.014999999999986</v>
      </c>
      <c r="R196" s="854">
        <v>15.086500000000001</v>
      </c>
      <c r="S196" s="854">
        <v>15.157999999999987</v>
      </c>
      <c r="T196" s="854">
        <v>15.229500000000002</v>
      </c>
      <c r="U196" s="854">
        <v>15.300999999999988</v>
      </c>
      <c r="V196" s="854">
        <v>15.372500000000002</v>
      </c>
      <c r="W196" s="854">
        <v>15.443999999999988</v>
      </c>
      <c r="X196" s="854">
        <v>15.515500000000003</v>
      </c>
      <c r="Y196" s="854">
        <v>15.586999999999989</v>
      </c>
      <c r="Z196" s="854">
        <v>15.658500000000004</v>
      </c>
      <c r="AA196" s="854">
        <v>15.72999999999999</v>
      </c>
      <c r="AB196" s="854">
        <v>15.801500000000004</v>
      </c>
      <c r="AC196" s="854">
        <v>15.87299999999999</v>
      </c>
      <c r="AD196" s="854">
        <v>15.944500000000005</v>
      </c>
      <c r="AE196" s="854">
        <v>16.015999999999991</v>
      </c>
      <c r="AF196" s="854">
        <v>16.087500000000006</v>
      </c>
    </row>
    <row r="197" spans="1:32" s="864" customFormat="1" ht="14.45" x14ac:dyDescent="0.35">
      <c r="A197" s="839"/>
      <c r="B197" s="839" t="s">
        <v>27</v>
      </c>
      <c r="C197" s="838"/>
      <c r="D197" s="838"/>
      <c r="E197" s="838"/>
      <c r="F197" s="838"/>
      <c r="G197" s="854">
        <v>53.300000000000068</v>
      </c>
      <c r="H197" s="854">
        <v>53.566500000000019</v>
      </c>
      <c r="I197" s="854">
        <v>53.83299999999997</v>
      </c>
      <c r="J197" s="854">
        <v>54.099500000000035</v>
      </c>
      <c r="K197" s="854">
        <v>54.365999999999985</v>
      </c>
      <c r="L197" s="854">
        <v>54.63250000000005</v>
      </c>
      <c r="M197" s="854">
        <v>54.899000000000001</v>
      </c>
      <c r="N197" s="854">
        <v>55.165500000000065</v>
      </c>
      <c r="O197" s="854">
        <v>55.432000000000016</v>
      </c>
      <c r="P197" s="854">
        <v>55.698499999999967</v>
      </c>
      <c r="Q197" s="854">
        <v>55.965000000000032</v>
      </c>
      <c r="R197" s="854">
        <v>56.231499999999983</v>
      </c>
      <c r="S197" s="854">
        <v>56.498000000000047</v>
      </c>
      <c r="T197" s="854">
        <v>56.764499999999998</v>
      </c>
      <c r="U197" s="854">
        <v>57.031000000000063</v>
      </c>
      <c r="V197" s="854">
        <v>57.297500000000014</v>
      </c>
      <c r="W197" s="854">
        <v>57.563999999999965</v>
      </c>
      <c r="X197" s="854">
        <v>57.830500000000029</v>
      </c>
      <c r="Y197" s="854">
        <v>58.09699999999998</v>
      </c>
      <c r="Z197" s="854">
        <v>58.363500000000045</v>
      </c>
      <c r="AA197" s="854">
        <v>58.629999999999995</v>
      </c>
      <c r="AB197" s="854">
        <v>58.89650000000006</v>
      </c>
      <c r="AC197" s="854">
        <v>59.163000000000011</v>
      </c>
      <c r="AD197" s="854">
        <v>59.429500000000075</v>
      </c>
      <c r="AE197" s="854">
        <v>59.696000000000026</v>
      </c>
      <c r="AF197" s="854">
        <v>59.962499999999977</v>
      </c>
    </row>
    <row r="198" spans="1:32" s="864" customFormat="1" ht="14.45" x14ac:dyDescent="0.35">
      <c r="A198" s="839"/>
      <c r="B198" s="839" t="s">
        <v>29</v>
      </c>
      <c r="C198" s="838"/>
      <c r="D198" s="838"/>
      <c r="E198" s="838"/>
      <c r="F198" s="838"/>
      <c r="G198" s="854">
        <v>36.873768202819726</v>
      </c>
      <c r="H198" s="854">
        <v>48.266272480467556</v>
      </c>
      <c r="I198" s="854">
        <v>61.701198700113544</v>
      </c>
      <c r="J198" s="854">
        <v>77.591734715380795</v>
      </c>
      <c r="K198" s="854">
        <v>94.800465488123137</v>
      </c>
      <c r="L198" s="854">
        <v>112.50003941617493</v>
      </c>
      <c r="M198" s="854">
        <v>129.3471504340618</v>
      </c>
      <c r="N198" s="854">
        <v>145.03095133963808</v>
      </c>
      <c r="O198" s="854">
        <v>159.127310954921</v>
      </c>
      <c r="P198" s="854">
        <v>171.48202098927979</v>
      </c>
      <c r="Q198" s="854">
        <v>182.15170200680319</v>
      </c>
      <c r="R198" s="854">
        <v>187.8607232688625</v>
      </c>
      <c r="S198" s="854">
        <v>192.15160570290442</v>
      </c>
      <c r="T198" s="854">
        <v>195.33034204073093</v>
      </c>
      <c r="U198" s="854">
        <v>197.66006127320361</v>
      </c>
      <c r="V198" s="854">
        <v>199.35413887963063</v>
      </c>
      <c r="W198" s="854">
        <v>200.57896356186501</v>
      </c>
      <c r="X198" s="854">
        <v>201.46085171629713</v>
      </c>
      <c r="Y198" s="854">
        <v>202.09392729485813</v>
      </c>
      <c r="Z198" s="854">
        <v>202.54741526513342</v>
      </c>
      <c r="AA198" s="854">
        <v>202.87176106409183</v>
      </c>
      <c r="AB198" s="854">
        <v>203.10348618652321</v>
      </c>
      <c r="AC198" s="854">
        <v>203.26890947460336</v>
      </c>
      <c r="AD198" s="854">
        <v>203.38693514979437</v>
      </c>
      <c r="AE198" s="854">
        <v>203.47111002115616</v>
      </c>
      <c r="AF198" s="854">
        <v>203.53112565740346</v>
      </c>
    </row>
    <row r="199" spans="1:32" s="864" customFormat="1" ht="14.45" x14ac:dyDescent="0.35">
      <c r="A199" s="839"/>
      <c r="B199" s="839"/>
      <c r="C199" s="838"/>
      <c r="D199" s="838"/>
      <c r="E199" s="838"/>
      <c r="F199" s="838"/>
      <c r="G199" s="854"/>
      <c r="H199" s="838"/>
      <c r="I199" s="838"/>
      <c r="J199" s="838"/>
      <c r="K199" s="838"/>
      <c r="L199" s="838"/>
      <c r="M199" s="838"/>
      <c r="N199" s="838"/>
      <c r="O199" s="838"/>
      <c r="P199" s="838"/>
      <c r="Q199" s="838"/>
      <c r="R199" s="838"/>
      <c r="S199" s="838"/>
      <c r="T199" s="838"/>
      <c r="U199" s="838"/>
      <c r="V199" s="838"/>
      <c r="W199" s="838"/>
      <c r="X199" s="838"/>
      <c r="Y199" s="838"/>
      <c r="Z199" s="838"/>
      <c r="AA199" s="838"/>
      <c r="AB199" s="838"/>
      <c r="AC199" s="838"/>
      <c r="AD199" s="838"/>
      <c r="AE199" s="838"/>
      <c r="AF199" s="838"/>
    </row>
    <row r="200" spans="1:32" s="856" customFormat="1" ht="12.95" x14ac:dyDescent="0.3">
      <c r="A200" s="843" t="s">
        <v>32</v>
      </c>
      <c r="B200" s="843"/>
      <c r="C200" s="843"/>
      <c r="D200" s="843"/>
      <c r="E200" s="843"/>
      <c r="F200" s="843"/>
      <c r="G200" s="865"/>
      <c r="H200" s="843"/>
      <c r="I200" s="843"/>
      <c r="J200" s="843"/>
      <c r="K200" s="843"/>
      <c r="L200" s="843"/>
      <c r="M200" s="843"/>
      <c r="N200" s="843"/>
      <c r="O200" s="843"/>
      <c r="P200" s="843"/>
      <c r="Q200" s="843"/>
      <c r="R200" s="843"/>
      <c r="S200" s="843"/>
      <c r="T200" s="843"/>
      <c r="U200" s="843"/>
      <c r="V200" s="843"/>
      <c r="W200" s="843"/>
      <c r="X200" s="843"/>
      <c r="Y200" s="843"/>
      <c r="Z200" s="843"/>
      <c r="AA200" s="843"/>
      <c r="AB200" s="843"/>
      <c r="AC200" s="843"/>
      <c r="AD200" s="843"/>
      <c r="AE200" s="843"/>
      <c r="AF200" s="843"/>
    </row>
    <row r="201" spans="1:32" s="864" customFormat="1" ht="14.45" x14ac:dyDescent="0.35">
      <c r="A201" s="839"/>
      <c r="B201" s="839" t="s">
        <v>33</v>
      </c>
      <c r="C201" s="838"/>
      <c r="D201" s="838"/>
      <c r="E201" s="838"/>
      <c r="F201" s="838"/>
      <c r="G201" s="854">
        <v>10.199999999999999</v>
      </c>
      <c r="H201" s="854">
        <v>10.199999999999999</v>
      </c>
      <c r="I201" s="854">
        <v>10.199999999999999</v>
      </c>
      <c r="J201" s="854">
        <v>10.199999999999999</v>
      </c>
      <c r="K201" s="854">
        <v>10.199999999999999</v>
      </c>
      <c r="L201" s="854">
        <v>10.199999999999999</v>
      </c>
      <c r="M201" s="854">
        <v>10.199999999999999</v>
      </c>
      <c r="N201" s="854">
        <v>10.199999999999999</v>
      </c>
      <c r="O201" s="854">
        <v>10.199999999999999</v>
      </c>
      <c r="P201" s="854">
        <v>10.199999999999999</v>
      </c>
      <c r="Q201" s="854">
        <v>10.199999999999999</v>
      </c>
      <c r="R201" s="854">
        <v>10.199999999999999</v>
      </c>
      <c r="S201" s="854">
        <v>10.199999999999999</v>
      </c>
      <c r="T201" s="854">
        <v>10.199999999999999</v>
      </c>
      <c r="U201" s="854">
        <v>10.199999999999999</v>
      </c>
      <c r="V201" s="854">
        <v>10.199999999999999</v>
      </c>
      <c r="W201" s="854">
        <v>10.199999999999999</v>
      </c>
      <c r="X201" s="854">
        <v>10.199999999999999</v>
      </c>
      <c r="Y201" s="854">
        <v>10.199999999999999</v>
      </c>
      <c r="Z201" s="854">
        <v>10.199999999999999</v>
      </c>
      <c r="AA201" s="854">
        <v>10.199999999999999</v>
      </c>
      <c r="AB201" s="854">
        <v>10.199999999999999</v>
      </c>
      <c r="AC201" s="854">
        <v>10.199999999999999</v>
      </c>
      <c r="AD201" s="854">
        <v>10.199999999999999</v>
      </c>
      <c r="AE201" s="854">
        <v>10.199999999999999</v>
      </c>
      <c r="AF201" s="854">
        <v>10.199999999999999</v>
      </c>
    </row>
    <row r="202" spans="1:32" s="864" customFormat="1" ht="14.45" x14ac:dyDescent="0.35">
      <c r="A202" s="842"/>
      <c r="B202" s="842" t="s">
        <v>34</v>
      </c>
      <c r="C202" s="838"/>
      <c r="D202" s="838"/>
      <c r="E202" s="838"/>
      <c r="F202" s="838"/>
      <c r="G202" s="854">
        <v>12.899999999999991</v>
      </c>
      <c r="H202" s="854">
        <v>12.964499999999973</v>
      </c>
      <c r="I202" s="854">
        <v>14.263890122654011</v>
      </c>
      <c r="J202" s="854">
        <v>15.56328024530805</v>
      </c>
      <c r="K202" s="854">
        <v>16.862670367962089</v>
      </c>
      <c r="L202" s="854">
        <v>16.946983719801896</v>
      </c>
      <c r="M202" s="854">
        <v>17.031718638400903</v>
      </c>
      <c r="N202" s="854">
        <v>17.116877231592905</v>
      </c>
      <c r="O202" s="854">
        <v>17.202461617750867</v>
      </c>
      <c r="P202" s="854">
        <v>17.288473925839618</v>
      </c>
      <c r="Q202" s="854">
        <v>17.374916295468815</v>
      </c>
      <c r="R202" s="854">
        <v>17.461790876946157</v>
      </c>
      <c r="S202" s="854">
        <v>17.549099831330885</v>
      </c>
      <c r="T202" s="854">
        <v>17.636845330487539</v>
      </c>
      <c r="U202" s="854">
        <v>17.725029557139973</v>
      </c>
      <c r="V202" s="854">
        <v>17.813654704925671</v>
      </c>
      <c r="W202" s="854">
        <v>17.902722978450292</v>
      </c>
      <c r="X202" s="854">
        <v>17.992236593342543</v>
      </c>
      <c r="Y202" s="854">
        <v>18.082197776309254</v>
      </c>
      <c r="Z202" s="854">
        <v>18.172608765190795</v>
      </c>
      <c r="AA202" s="854">
        <v>18.263471809016746</v>
      </c>
      <c r="AB202" s="854">
        <v>18.354789168061831</v>
      </c>
      <c r="AC202" s="854">
        <v>18.446563113902133</v>
      </c>
      <c r="AD202" s="854">
        <v>18.538795929471643</v>
      </c>
      <c r="AE202" s="854">
        <v>18.631489909118997</v>
      </c>
      <c r="AF202" s="854">
        <v>18.724647358664587</v>
      </c>
    </row>
    <row r="203" spans="1:32" s="864" customFormat="1" ht="14.45" x14ac:dyDescent="0.35">
      <c r="A203" s="839"/>
      <c r="B203" s="842" t="s">
        <v>35</v>
      </c>
      <c r="C203" s="838"/>
      <c r="D203" s="838"/>
      <c r="E203" s="838"/>
      <c r="F203" s="838"/>
      <c r="G203" s="854">
        <v>41.899999999999977</v>
      </c>
      <c r="H203" s="854">
        <v>42.109499999999969</v>
      </c>
      <c r="I203" s="854">
        <v>42.319000000000017</v>
      </c>
      <c r="J203" s="854">
        <v>42.528500000000008</v>
      </c>
      <c r="K203" s="854">
        <v>42.738</v>
      </c>
      <c r="L203" s="854">
        <v>42.947499999999991</v>
      </c>
      <c r="M203" s="854">
        <v>43.156999999999982</v>
      </c>
      <c r="N203" s="854">
        <v>43.366499999999974</v>
      </c>
      <c r="O203" s="854">
        <v>43.576000000000022</v>
      </c>
      <c r="P203" s="854">
        <v>43.785500000000013</v>
      </c>
      <c r="Q203" s="854">
        <v>43.995000000000005</v>
      </c>
      <c r="R203" s="854">
        <v>44.204499999999996</v>
      </c>
      <c r="S203" s="854">
        <v>44.413999999999987</v>
      </c>
      <c r="T203" s="854">
        <v>44.623499999999979</v>
      </c>
      <c r="U203" s="854">
        <v>44.83299999999997</v>
      </c>
      <c r="V203" s="854">
        <v>45.042500000000018</v>
      </c>
      <c r="W203" s="854">
        <v>45.25200000000001</v>
      </c>
      <c r="X203" s="854">
        <v>45.461500000000001</v>
      </c>
      <c r="Y203" s="854">
        <v>45.670999999999992</v>
      </c>
      <c r="Z203" s="854">
        <v>45.880499999999984</v>
      </c>
      <c r="AA203" s="854">
        <v>46.089999999999975</v>
      </c>
      <c r="AB203" s="854">
        <v>46.299499999999966</v>
      </c>
      <c r="AC203" s="854">
        <v>46.509000000000015</v>
      </c>
      <c r="AD203" s="854">
        <v>46.718500000000006</v>
      </c>
      <c r="AE203" s="854">
        <v>46.927999999999997</v>
      </c>
      <c r="AF203" s="854">
        <v>47.137499999999989</v>
      </c>
    </row>
    <row r="204" spans="1:32" s="864" customFormat="1" ht="14.45" x14ac:dyDescent="0.35">
      <c r="A204" s="839"/>
      <c r="B204" s="842" t="s">
        <v>29</v>
      </c>
      <c r="C204" s="838"/>
      <c r="D204" s="838"/>
      <c r="E204" s="838"/>
      <c r="F204" s="838"/>
      <c r="G204" s="854">
        <v>36.873768202819726</v>
      </c>
      <c r="H204" s="854">
        <v>48.266272480467556</v>
      </c>
      <c r="I204" s="854">
        <v>61.701198700113544</v>
      </c>
      <c r="J204" s="854">
        <v>77.591734715380795</v>
      </c>
      <c r="K204" s="854">
        <v>94.800465488123137</v>
      </c>
      <c r="L204" s="854">
        <v>112.50003941617493</v>
      </c>
      <c r="M204" s="854">
        <v>129.3471504340618</v>
      </c>
      <c r="N204" s="854">
        <v>145.03095133963808</v>
      </c>
      <c r="O204" s="854">
        <v>159.127310954921</v>
      </c>
      <c r="P204" s="854">
        <v>171.48202098927979</v>
      </c>
      <c r="Q204" s="854">
        <v>182.15170200680319</v>
      </c>
      <c r="R204" s="854">
        <v>187.8607232688625</v>
      </c>
      <c r="S204" s="854">
        <v>192.15160570290442</v>
      </c>
      <c r="T204" s="854">
        <v>195.33034204073093</v>
      </c>
      <c r="U204" s="854">
        <v>197.66006127320361</v>
      </c>
      <c r="V204" s="854">
        <v>199.35413887963063</v>
      </c>
      <c r="W204" s="854">
        <v>200.57896356186501</v>
      </c>
      <c r="X204" s="854">
        <v>201.46085171629713</v>
      </c>
      <c r="Y204" s="854">
        <v>202.09392729485813</v>
      </c>
      <c r="Z204" s="854">
        <v>202.54741526513342</v>
      </c>
      <c r="AA204" s="854">
        <v>202.87176106409183</v>
      </c>
      <c r="AB204" s="854">
        <v>203.10348618652321</v>
      </c>
      <c r="AC204" s="854">
        <v>203.26890947460336</v>
      </c>
      <c r="AD204" s="854">
        <v>203.38693514979437</v>
      </c>
      <c r="AE204" s="854">
        <v>203.47111002115616</v>
      </c>
      <c r="AF204" s="854">
        <v>203.53112565740346</v>
      </c>
    </row>
    <row r="205" spans="1:32" s="864" customFormat="1" ht="14.45" x14ac:dyDescent="0.35">
      <c r="A205" s="839"/>
      <c r="B205" s="839"/>
      <c r="C205" s="838"/>
      <c r="D205" s="838"/>
      <c r="E205" s="838"/>
      <c r="F205" s="838"/>
      <c r="G205" s="854"/>
      <c r="H205" s="838"/>
      <c r="I205" s="838"/>
      <c r="J205" s="838"/>
      <c r="K205" s="838"/>
      <c r="L205" s="838"/>
      <c r="M205" s="838"/>
      <c r="N205" s="838"/>
      <c r="O205" s="838"/>
      <c r="P205" s="838"/>
      <c r="Q205" s="838"/>
      <c r="R205" s="838"/>
      <c r="S205" s="838"/>
      <c r="T205" s="838"/>
      <c r="U205" s="838"/>
      <c r="V205" s="838"/>
      <c r="W205" s="838"/>
      <c r="X205" s="838"/>
      <c r="Y205" s="838"/>
      <c r="Z205" s="838"/>
      <c r="AA205" s="838"/>
      <c r="AB205" s="838"/>
      <c r="AC205" s="838"/>
      <c r="AD205" s="838"/>
      <c r="AE205" s="838"/>
      <c r="AF205" s="838"/>
    </row>
    <row r="206" spans="1:32" s="856" customFormat="1" ht="12.95" x14ac:dyDescent="0.3">
      <c r="A206" s="843" t="s">
        <v>36</v>
      </c>
      <c r="B206" s="843"/>
      <c r="C206" s="843"/>
      <c r="D206" s="843"/>
      <c r="E206" s="843"/>
      <c r="F206" s="843"/>
      <c r="G206" s="865"/>
      <c r="H206" s="843"/>
      <c r="I206" s="843"/>
      <c r="J206" s="843"/>
      <c r="K206" s="843"/>
      <c r="L206" s="843"/>
      <c r="M206" s="843"/>
      <c r="N206" s="843"/>
      <c r="O206" s="843"/>
      <c r="P206" s="843"/>
      <c r="Q206" s="843"/>
      <c r="R206" s="843"/>
      <c r="S206" s="843"/>
      <c r="T206" s="843"/>
      <c r="U206" s="843"/>
      <c r="V206" s="843"/>
      <c r="W206" s="843"/>
      <c r="X206" s="843"/>
      <c r="Y206" s="843"/>
      <c r="Z206" s="843"/>
      <c r="AA206" s="843"/>
      <c r="AB206" s="843"/>
      <c r="AC206" s="843"/>
      <c r="AD206" s="843"/>
      <c r="AE206" s="843"/>
      <c r="AF206" s="843"/>
    </row>
    <row r="207" spans="1:32" s="864" customFormat="1" ht="14.45" x14ac:dyDescent="0.35">
      <c r="A207" s="839"/>
      <c r="B207" s="839" t="s">
        <v>37</v>
      </c>
      <c r="C207" s="838"/>
      <c r="D207" s="838"/>
      <c r="E207" s="838"/>
      <c r="F207" s="855"/>
      <c r="G207" s="854">
        <v>42.629999999999995</v>
      </c>
      <c r="H207" s="854">
        <v>42.629999999999995</v>
      </c>
      <c r="I207" s="854">
        <v>42.629999999999995</v>
      </c>
      <c r="J207" s="854">
        <v>42.629999999999995</v>
      </c>
      <c r="K207" s="854">
        <v>42.629999999999995</v>
      </c>
      <c r="L207" s="854">
        <v>42.629999999999995</v>
      </c>
      <c r="M207" s="854">
        <v>42.629999999999995</v>
      </c>
      <c r="N207" s="854">
        <v>42.629999999999995</v>
      </c>
      <c r="O207" s="854">
        <v>42.629999999999995</v>
      </c>
      <c r="P207" s="854">
        <v>42.629999999999995</v>
      </c>
      <c r="Q207" s="854">
        <v>42.629999999999995</v>
      </c>
      <c r="R207" s="854">
        <v>42.629999999999995</v>
      </c>
      <c r="S207" s="854">
        <v>42.629999999999995</v>
      </c>
      <c r="T207" s="854">
        <v>42.629999999999995</v>
      </c>
      <c r="U207" s="854">
        <v>42.629999999999995</v>
      </c>
      <c r="V207" s="854">
        <v>42.629999999999995</v>
      </c>
      <c r="W207" s="854">
        <v>42.629999999999995</v>
      </c>
      <c r="X207" s="854">
        <v>42.629999999999995</v>
      </c>
      <c r="Y207" s="854">
        <v>42.629999999999995</v>
      </c>
      <c r="Z207" s="854">
        <v>42.629999999999995</v>
      </c>
      <c r="AA207" s="854">
        <v>42.629999999999995</v>
      </c>
      <c r="AB207" s="854">
        <v>42.629999999999995</v>
      </c>
      <c r="AC207" s="854">
        <v>42.629999999999995</v>
      </c>
      <c r="AD207" s="854">
        <v>42.629999999999995</v>
      </c>
      <c r="AE207" s="854">
        <v>42.629999999999995</v>
      </c>
      <c r="AF207" s="854">
        <v>42.629999999999995</v>
      </c>
    </row>
    <row r="208" spans="1:32" s="864" customFormat="1" ht="14.45" x14ac:dyDescent="0.35">
      <c r="A208" s="839"/>
      <c r="B208" s="839" t="s">
        <v>39</v>
      </c>
      <c r="C208" s="838"/>
      <c r="D208" s="838"/>
      <c r="E208" s="857"/>
      <c r="F208" s="838"/>
      <c r="G208" s="854">
        <v>60.830000000000013</v>
      </c>
      <c r="H208" s="854">
        <v>61.134149999999991</v>
      </c>
      <c r="I208" s="854">
        <v>61.438299999999977</v>
      </c>
      <c r="J208" s="854">
        <v>61.742449999999963</v>
      </c>
      <c r="K208" s="854">
        <v>61.813733333333303</v>
      </c>
      <c r="L208" s="854">
        <v>62.523241516267632</v>
      </c>
      <c r="M208" s="854">
        <v>63.234219999999993</v>
      </c>
      <c r="N208" s="854">
        <v>64.192545899999985</v>
      </c>
      <c r="O208" s="854">
        <v>64.513508629499981</v>
      </c>
      <c r="P208" s="854">
        <v>64.836076172647466</v>
      </c>
      <c r="Q208" s="854">
        <v>65.160256553510692</v>
      </c>
      <c r="R208" s="854">
        <v>65.486057836278235</v>
      </c>
      <c r="S208" s="854">
        <v>65.813488125459614</v>
      </c>
      <c r="T208" s="854">
        <v>66.142555566086912</v>
      </c>
      <c r="U208" s="854">
        <v>66.47326834391734</v>
      </c>
      <c r="V208" s="854">
        <v>66.805634685636917</v>
      </c>
      <c r="W208" s="854">
        <v>67.139662859065083</v>
      </c>
      <c r="X208" s="854">
        <v>67.475361173360412</v>
      </c>
      <c r="Y208" s="854">
        <v>67.812737979227194</v>
      </c>
      <c r="Z208" s="854">
        <v>68.15180166912333</v>
      </c>
      <c r="AA208" s="854">
        <v>68.49256067746893</v>
      </c>
      <c r="AB208" s="854">
        <v>68.83502348085625</v>
      </c>
      <c r="AC208" s="854">
        <v>69.179198598260527</v>
      </c>
      <c r="AD208" s="854">
        <v>69.525094591251829</v>
      </c>
      <c r="AE208" s="854">
        <v>69.872720064208067</v>
      </c>
      <c r="AF208" s="854">
        <v>70.222083664529109</v>
      </c>
    </row>
    <row r="209" spans="1:32" s="864" customFormat="1" ht="14.45" x14ac:dyDescent="0.35">
      <c r="A209" s="839"/>
      <c r="B209" s="839" t="s">
        <v>40</v>
      </c>
      <c r="C209" s="838"/>
      <c r="D209" s="838"/>
      <c r="E209" s="838"/>
      <c r="F209" s="838"/>
      <c r="G209" s="854">
        <v>72.539999999999992</v>
      </c>
      <c r="H209" s="854">
        <v>72.902699999999996</v>
      </c>
      <c r="I209" s="854">
        <v>73.265400000000014</v>
      </c>
      <c r="J209" s="854">
        <v>73.628100000000032</v>
      </c>
      <c r="K209" s="854">
        <v>73.990800000000036</v>
      </c>
      <c r="L209" s="854">
        <v>74.597548687089756</v>
      </c>
      <c r="M209" s="854">
        <v>75.206678336980275</v>
      </c>
      <c r="N209" s="854">
        <v>75.81818894967175</v>
      </c>
      <c r="O209" s="854">
        <v>76.184460393873067</v>
      </c>
      <c r="P209" s="854">
        <v>76.550731838074398</v>
      </c>
      <c r="Q209" s="854">
        <v>76.917003282275715</v>
      </c>
      <c r="R209" s="854">
        <v>77.283274726477046</v>
      </c>
      <c r="S209" s="854">
        <v>77.649546170678363</v>
      </c>
      <c r="T209" s="854">
        <v>78.015817614879694</v>
      </c>
      <c r="U209" s="854">
        <v>78.382089059080997</v>
      </c>
      <c r="V209" s="854">
        <v>78.748360503282242</v>
      </c>
      <c r="W209" s="854">
        <v>79.114631947483559</v>
      </c>
      <c r="X209" s="854">
        <v>79.48090339168489</v>
      </c>
      <c r="Y209" s="854">
        <v>79.847174835886207</v>
      </c>
      <c r="Z209" s="854">
        <v>80.213446280087538</v>
      </c>
      <c r="AA209" s="854">
        <v>80.579717724288855</v>
      </c>
      <c r="AB209" s="854">
        <v>80.945989168490186</v>
      </c>
      <c r="AC209" s="854">
        <v>81.312260612691503</v>
      </c>
      <c r="AD209" s="854">
        <v>81.678532056892834</v>
      </c>
      <c r="AE209" s="854">
        <v>82.044803501094151</v>
      </c>
      <c r="AF209" s="854">
        <v>82.411074945295368</v>
      </c>
    </row>
    <row r="210" spans="1:32" s="864" customFormat="1" ht="14.45" x14ac:dyDescent="0.35">
      <c r="A210" s="839"/>
      <c r="B210" s="839" t="s">
        <v>29</v>
      </c>
      <c r="C210" s="838"/>
      <c r="D210" s="838"/>
      <c r="E210" s="838"/>
      <c r="F210" s="838"/>
      <c r="G210" s="854">
        <v>69.886712931315586</v>
      </c>
      <c r="H210" s="854">
        <v>84.617739005122857</v>
      </c>
      <c r="I210" s="854">
        <v>99.77020761765985</v>
      </c>
      <c r="J210" s="854">
        <v>115.81072942703476</v>
      </c>
      <c r="K210" s="854">
        <v>131.19780938437214</v>
      </c>
      <c r="L210" s="854">
        <v>145.46220447607328</v>
      </c>
      <c r="M210" s="854">
        <v>157.75364681050067</v>
      </c>
      <c r="N210" s="854">
        <v>168.55506474700036</v>
      </c>
      <c r="O210" s="854">
        <v>177.96704120423578</v>
      </c>
      <c r="P210" s="854">
        <v>186.1654499682482</v>
      </c>
      <c r="Q210" s="854">
        <v>193.35230342395749</v>
      </c>
      <c r="R210" s="854">
        <v>196.11147215578865</v>
      </c>
      <c r="S210" s="854">
        <v>198.15456111208027</v>
      </c>
      <c r="T210" s="854">
        <v>199.65744029461996</v>
      </c>
      <c r="U210" s="854">
        <v>200.75757592848979</v>
      </c>
      <c r="V210" s="854">
        <v>201.56002861929591</v>
      </c>
      <c r="W210" s="854">
        <v>202.14382617150503</v>
      </c>
      <c r="X210" s="854">
        <v>202.5677447446416</v>
      </c>
      <c r="Y210" s="854">
        <v>202.87514562074011</v>
      </c>
      <c r="Z210" s="854">
        <v>203.09783237720012</v>
      </c>
      <c r="AA210" s="854">
        <v>203.25903410630769</v>
      </c>
      <c r="AB210" s="854">
        <v>203.37566609727986</v>
      </c>
      <c r="AC210" s="854">
        <v>203.46001922812226</v>
      </c>
      <c r="AD210" s="854">
        <v>203.52101022912549</v>
      </c>
      <c r="AE210" s="854">
        <v>203.56510065539746</v>
      </c>
      <c r="AF210" s="854">
        <v>203.59696908402657</v>
      </c>
    </row>
    <row r="211" spans="1:32" s="864" customFormat="1" ht="14.45" x14ac:dyDescent="0.35">
      <c r="A211" s="839"/>
      <c r="B211" s="839"/>
      <c r="C211" s="838"/>
      <c r="D211" s="838"/>
      <c r="E211" s="838"/>
      <c r="F211" s="838"/>
      <c r="G211" s="854"/>
      <c r="H211" s="838"/>
      <c r="I211" s="838"/>
      <c r="J211" s="838"/>
      <c r="K211" s="838"/>
      <c r="L211" s="838"/>
      <c r="M211" s="838"/>
      <c r="N211" s="838"/>
      <c r="O211" s="838"/>
      <c r="P211" s="838"/>
      <c r="Q211" s="838"/>
      <c r="R211" s="838"/>
      <c r="S211" s="838"/>
      <c r="T211" s="838"/>
      <c r="U211" s="838"/>
      <c r="V211" s="838"/>
      <c r="W211" s="838"/>
      <c r="X211" s="838"/>
      <c r="Y211" s="838"/>
      <c r="Z211" s="838"/>
      <c r="AA211" s="838"/>
      <c r="AB211" s="838"/>
      <c r="AC211" s="838"/>
      <c r="AD211" s="838"/>
      <c r="AE211" s="838"/>
      <c r="AF211" s="838"/>
    </row>
    <row r="212" spans="1:32" s="856" customFormat="1" ht="12.95" x14ac:dyDescent="0.3">
      <c r="A212" s="843" t="s">
        <v>42</v>
      </c>
      <c r="B212" s="843"/>
      <c r="C212" s="843"/>
      <c r="D212" s="843"/>
      <c r="E212" s="843"/>
      <c r="F212" s="843"/>
      <c r="G212" s="865"/>
      <c r="H212" s="843"/>
      <c r="I212" s="843"/>
      <c r="J212" s="843"/>
      <c r="K212" s="843"/>
      <c r="L212" s="843"/>
      <c r="M212" s="843"/>
      <c r="N212" s="843"/>
      <c r="O212" s="843"/>
      <c r="P212" s="843"/>
      <c r="Q212" s="843"/>
      <c r="R212" s="843"/>
      <c r="S212" s="843"/>
      <c r="T212" s="843"/>
      <c r="U212" s="843"/>
      <c r="V212" s="843"/>
      <c r="W212" s="843"/>
      <c r="X212" s="843"/>
      <c r="Y212" s="843"/>
      <c r="Z212" s="843"/>
      <c r="AA212" s="843"/>
      <c r="AB212" s="843"/>
      <c r="AC212" s="843"/>
      <c r="AD212" s="843"/>
      <c r="AE212" s="843"/>
      <c r="AF212" s="843"/>
    </row>
    <row r="213" spans="1:32" s="864" customFormat="1" ht="14.45" x14ac:dyDescent="0.35">
      <c r="A213" s="839"/>
      <c r="B213" s="842" t="s">
        <v>43</v>
      </c>
      <c r="C213" s="838"/>
      <c r="D213" s="838"/>
      <c r="E213" s="838"/>
      <c r="F213" s="838"/>
      <c r="G213" s="854">
        <v>25.22</v>
      </c>
      <c r="H213" s="854">
        <v>25.22</v>
      </c>
      <c r="I213" s="854">
        <v>25.22</v>
      </c>
      <c r="J213" s="854">
        <v>25.22</v>
      </c>
      <c r="K213" s="854">
        <v>25.22</v>
      </c>
      <c r="L213" s="854">
        <v>25.22</v>
      </c>
      <c r="M213" s="854">
        <v>25.22</v>
      </c>
      <c r="N213" s="854">
        <v>25.22</v>
      </c>
      <c r="O213" s="854">
        <v>25.22</v>
      </c>
      <c r="P213" s="854">
        <v>25.22</v>
      </c>
      <c r="Q213" s="854">
        <v>25.22</v>
      </c>
      <c r="R213" s="854">
        <v>25.22</v>
      </c>
      <c r="S213" s="854">
        <v>25.22</v>
      </c>
      <c r="T213" s="854">
        <v>25.22</v>
      </c>
      <c r="U213" s="854">
        <v>25.22</v>
      </c>
      <c r="V213" s="854">
        <v>25.22</v>
      </c>
      <c r="W213" s="854">
        <v>25.22</v>
      </c>
      <c r="X213" s="854">
        <v>25.22</v>
      </c>
      <c r="Y213" s="854">
        <v>25.22</v>
      </c>
      <c r="Z213" s="854">
        <v>25.22</v>
      </c>
      <c r="AA213" s="854">
        <v>25.22</v>
      </c>
      <c r="AB213" s="854">
        <v>25.22</v>
      </c>
      <c r="AC213" s="854">
        <v>25.22</v>
      </c>
      <c r="AD213" s="854">
        <v>25.22</v>
      </c>
      <c r="AE213" s="854">
        <v>25.22</v>
      </c>
      <c r="AF213" s="854">
        <v>25.22</v>
      </c>
    </row>
    <row r="214" spans="1:32" s="864" customFormat="1" ht="14.45" x14ac:dyDescent="0.35">
      <c r="A214" s="839"/>
      <c r="B214" s="842" t="s">
        <v>44</v>
      </c>
      <c r="C214" s="838"/>
      <c r="D214" s="838"/>
      <c r="E214" s="838"/>
      <c r="F214" s="838"/>
      <c r="G214" s="854">
        <v>49.075000000000131</v>
      </c>
      <c r="H214" s="854">
        <v>49.765057761262234</v>
      </c>
      <c r="I214" s="854">
        <v>50.135517248318791</v>
      </c>
      <c r="J214" s="854">
        <v>50.505976735375214</v>
      </c>
      <c r="K214" s="854">
        <v>50.876436222431764</v>
      </c>
      <c r="L214" s="854">
        <v>51.246895709488321</v>
      </c>
      <c r="M214" s="854">
        <v>51.617355196544871</v>
      </c>
      <c r="N214" s="854">
        <v>51.987814683601428</v>
      </c>
      <c r="O214" s="854">
        <v>52.358274170657985</v>
      </c>
      <c r="P214" s="854">
        <v>52.728733657714542</v>
      </c>
      <c r="Q214" s="854">
        <v>53.099193144771085</v>
      </c>
      <c r="R214" s="854">
        <v>53.469652631827643</v>
      </c>
      <c r="S214" s="854">
        <v>53.8401121188842</v>
      </c>
      <c r="T214" s="854">
        <v>54.210571605940629</v>
      </c>
      <c r="U214" s="854">
        <v>54.581031092997179</v>
      </c>
      <c r="V214" s="854">
        <v>54.951490580053736</v>
      </c>
      <c r="W214" s="854">
        <v>55.321950067110286</v>
      </c>
      <c r="X214" s="854">
        <v>55.692409554166836</v>
      </c>
      <c r="Y214" s="854">
        <v>56.062869041223394</v>
      </c>
      <c r="Z214" s="854">
        <v>56.433328528279951</v>
      </c>
      <c r="AA214" s="854">
        <v>56.803788015336508</v>
      </c>
      <c r="AB214" s="854">
        <v>57.174247502393065</v>
      </c>
      <c r="AC214" s="854">
        <v>57.544706989449608</v>
      </c>
      <c r="AD214" s="854">
        <v>57.915166476506037</v>
      </c>
      <c r="AE214" s="854">
        <v>58.285625963562595</v>
      </c>
      <c r="AF214" s="854">
        <v>58.656085450619145</v>
      </c>
    </row>
    <row r="215" spans="1:32" s="864" customFormat="1" ht="14.45" x14ac:dyDescent="0.35">
      <c r="A215" s="839"/>
      <c r="B215" s="842" t="s">
        <v>45</v>
      </c>
      <c r="C215" s="838"/>
      <c r="D215" s="838"/>
      <c r="E215" s="838"/>
      <c r="F215" s="838"/>
      <c r="G215" s="854">
        <v>68.055000000000007</v>
      </c>
      <c r="H215" s="854">
        <v>68.225137499999988</v>
      </c>
      <c r="I215" s="854">
        <v>68.395275000000026</v>
      </c>
      <c r="J215" s="854">
        <v>68.565412500000008</v>
      </c>
      <c r="K215" s="854">
        <v>68.735550000000046</v>
      </c>
      <c r="L215" s="854">
        <v>68.905687500000013</v>
      </c>
      <c r="M215" s="854">
        <v>69.075824999999995</v>
      </c>
      <c r="N215" s="854">
        <v>69.245962500000033</v>
      </c>
      <c r="O215" s="854">
        <v>69.416100000000014</v>
      </c>
      <c r="P215" s="854">
        <v>69.586237500000038</v>
      </c>
      <c r="Q215" s="854">
        <v>69.75637500000002</v>
      </c>
      <c r="R215" s="854">
        <v>69.926512500000001</v>
      </c>
      <c r="S215" s="854">
        <v>70.096650000000039</v>
      </c>
      <c r="T215" s="854">
        <v>70.266787500000007</v>
      </c>
      <c r="U215" s="854">
        <v>70.436925000000045</v>
      </c>
      <c r="V215" s="854">
        <v>70.607062500000026</v>
      </c>
      <c r="W215" s="854">
        <v>70.777199999999993</v>
      </c>
      <c r="X215" s="854">
        <v>70.947337500000032</v>
      </c>
      <c r="Y215" s="854">
        <v>71.117475000000013</v>
      </c>
      <c r="Z215" s="854">
        <v>71.28761249999998</v>
      </c>
      <c r="AA215" s="854">
        <v>71.457750000000019</v>
      </c>
      <c r="AB215" s="854">
        <v>71.6278875</v>
      </c>
      <c r="AC215" s="854">
        <v>71.798025000000038</v>
      </c>
      <c r="AD215" s="854">
        <v>71.96816250000002</v>
      </c>
      <c r="AE215" s="854">
        <v>72.138299999999987</v>
      </c>
      <c r="AF215" s="854">
        <v>72.308437500000025</v>
      </c>
    </row>
    <row r="216" spans="1:32" s="864" customFormat="1" ht="14.45" x14ac:dyDescent="0.35">
      <c r="A216" s="839"/>
      <c r="B216" s="842" t="s">
        <v>46</v>
      </c>
      <c r="C216" s="838"/>
      <c r="D216" s="838"/>
      <c r="E216" s="838"/>
      <c r="F216" s="838"/>
      <c r="G216" s="854">
        <v>0</v>
      </c>
      <c r="H216" s="854">
        <v>0</v>
      </c>
      <c r="I216" s="854">
        <v>0</v>
      </c>
      <c r="J216" s="854">
        <v>0</v>
      </c>
      <c r="K216" s="854">
        <v>0</v>
      </c>
      <c r="L216" s="854">
        <v>0</v>
      </c>
      <c r="M216" s="854">
        <v>0</v>
      </c>
      <c r="N216" s="854">
        <v>0</v>
      </c>
      <c r="O216" s="854">
        <v>0</v>
      </c>
      <c r="P216" s="854">
        <v>0</v>
      </c>
      <c r="Q216" s="854">
        <v>0</v>
      </c>
      <c r="R216" s="854">
        <v>0</v>
      </c>
      <c r="S216" s="854">
        <v>0</v>
      </c>
      <c r="T216" s="854">
        <v>0</v>
      </c>
      <c r="U216" s="854">
        <v>0</v>
      </c>
      <c r="V216" s="854">
        <v>0</v>
      </c>
      <c r="W216" s="854">
        <v>0</v>
      </c>
      <c r="X216" s="854">
        <v>0</v>
      </c>
      <c r="Y216" s="854">
        <v>0</v>
      </c>
      <c r="Z216" s="854">
        <v>0</v>
      </c>
      <c r="AA216" s="854">
        <v>0</v>
      </c>
      <c r="AB216" s="854">
        <v>0</v>
      </c>
      <c r="AC216" s="854">
        <v>0</v>
      </c>
      <c r="AD216" s="854">
        <v>0</v>
      </c>
      <c r="AE216" s="854">
        <v>0</v>
      </c>
      <c r="AF216" s="854">
        <v>0</v>
      </c>
    </row>
    <row r="217" spans="1:32" s="864" customFormat="1" ht="14.45" x14ac:dyDescent="0.35">
      <c r="A217" s="839"/>
      <c r="B217" s="839" t="s">
        <v>29</v>
      </c>
      <c r="C217" s="838"/>
      <c r="D217" s="838"/>
      <c r="E217" s="838"/>
      <c r="F217" s="838"/>
      <c r="G217" s="854">
        <v>69.886712931315586</v>
      </c>
      <c r="H217" s="854">
        <v>84.617739005122857</v>
      </c>
      <c r="I217" s="854">
        <v>99.77020761765985</v>
      </c>
      <c r="J217" s="854">
        <v>115.81072942703476</v>
      </c>
      <c r="K217" s="854">
        <v>131.19780938437214</v>
      </c>
      <c r="L217" s="854">
        <v>145.46220447607328</v>
      </c>
      <c r="M217" s="854">
        <v>157.75364681050067</v>
      </c>
      <c r="N217" s="854">
        <v>168.55506474700036</v>
      </c>
      <c r="O217" s="854">
        <v>177.96704120423578</v>
      </c>
      <c r="P217" s="854">
        <v>186.1654499682482</v>
      </c>
      <c r="Q217" s="854">
        <v>193.35230342395749</v>
      </c>
      <c r="R217" s="854">
        <v>196.11147215578865</v>
      </c>
      <c r="S217" s="854">
        <v>198.15456111208027</v>
      </c>
      <c r="T217" s="854">
        <v>199.65744029461996</v>
      </c>
      <c r="U217" s="854">
        <v>200.75757592848979</v>
      </c>
      <c r="V217" s="854">
        <v>201.56002861929591</v>
      </c>
      <c r="W217" s="854">
        <v>202.14382617150503</v>
      </c>
      <c r="X217" s="854">
        <v>202.5677447446416</v>
      </c>
      <c r="Y217" s="854">
        <v>202.87514562074011</v>
      </c>
      <c r="Z217" s="854">
        <v>203.09783237720012</v>
      </c>
      <c r="AA217" s="854">
        <v>203.25903410630769</v>
      </c>
      <c r="AB217" s="854">
        <v>203.37566609727986</v>
      </c>
      <c r="AC217" s="854">
        <v>203.46001922812226</v>
      </c>
      <c r="AD217" s="854">
        <v>203.52101022912549</v>
      </c>
      <c r="AE217" s="854">
        <v>203.56510065539746</v>
      </c>
      <c r="AF217" s="854">
        <v>203.59696908402657</v>
      </c>
    </row>
    <row r="218" spans="1:32" s="864" customFormat="1" ht="14.45" x14ac:dyDescent="0.35">
      <c r="A218" s="839"/>
      <c r="B218" s="839"/>
      <c r="C218" s="838"/>
      <c r="D218" s="838"/>
      <c r="E218" s="838"/>
      <c r="F218" s="838"/>
      <c r="G218" s="854"/>
      <c r="H218" s="838"/>
      <c r="I218" s="838"/>
      <c r="J218" s="838"/>
      <c r="K218" s="838"/>
      <c r="L218" s="838"/>
      <c r="M218" s="838"/>
      <c r="N218" s="838"/>
      <c r="O218" s="838"/>
      <c r="P218" s="838"/>
      <c r="Q218" s="838"/>
      <c r="R218" s="838"/>
      <c r="S218" s="838"/>
      <c r="T218" s="838"/>
      <c r="U218" s="838"/>
      <c r="V218" s="838"/>
      <c r="W218" s="838"/>
      <c r="X218" s="838"/>
      <c r="Y218" s="838"/>
      <c r="Z218" s="838"/>
      <c r="AA218" s="838"/>
      <c r="AB218" s="838"/>
      <c r="AC218" s="838"/>
      <c r="AD218" s="838"/>
      <c r="AE218" s="838"/>
      <c r="AF218" s="838"/>
    </row>
    <row r="219" spans="1:32" s="856" customFormat="1" ht="12.95" x14ac:dyDescent="0.3">
      <c r="A219" s="843" t="s">
        <v>47</v>
      </c>
      <c r="B219" s="843"/>
      <c r="C219" s="843"/>
      <c r="D219" s="843"/>
      <c r="E219" s="843"/>
      <c r="F219" s="843"/>
      <c r="G219" s="865"/>
      <c r="H219" s="843"/>
      <c r="I219" s="843"/>
      <c r="J219" s="843"/>
      <c r="K219" s="843"/>
      <c r="L219" s="843"/>
      <c r="M219" s="843"/>
      <c r="N219" s="843"/>
      <c r="O219" s="843"/>
      <c r="P219" s="843"/>
      <c r="Q219" s="843"/>
      <c r="R219" s="843"/>
      <c r="S219" s="843"/>
      <c r="T219" s="843"/>
      <c r="U219" s="843"/>
      <c r="V219" s="843"/>
      <c r="W219" s="843"/>
      <c r="X219" s="843"/>
      <c r="Y219" s="843"/>
      <c r="Z219" s="843"/>
      <c r="AA219" s="843"/>
      <c r="AB219" s="843"/>
      <c r="AC219" s="843"/>
      <c r="AD219" s="843"/>
      <c r="AE219" s="843"/>
      <c r="AF219" s="843"/>
    </row>
    <row r="220" spans="1:32" s="864" customFormat="1" ht="14.45" x14ac:dyDescent="0.35">
      <c r="A220" s="839"/>
      <c r="B220" s="839" t="s">
        <v>48</v>
      </c>
      <c r="C220" s="838"/>
      <c r="D220" s="838"/>
      <c r="E220" s="838"/>
      <c r="F220" s="838"/>
      <c r="G220" s="854">
        <v>0</v>
      </c>
      <c r="H220" s="854">
        <v>0</v>
      </c>
      <c r="I220" s="854">
        <v>0</v>
      </c>
      <c r="J220" s="854">
        <v>0</v>
      </c>
      <c r="K220" s="854">
        <v>0</v>
      </c>
      <c r="L220" s="854">
        <v>0</v>
      </c>
      <c r="M220" s="854">
        <v>0</v>
      </c>
      <c r="N220" s="854">
        <v>0</v>
      </c>
      <c r="O220" s="854">
        <v>0</v>
      </c>
      <c r="P220" s="854">
        <v>0</v>
      </c>
      <c r="Q220" s="854">
        <v>0</v>
      </c>
      <c r="R220" s="854">
        <v>0</v>
      </c>
      <c r="S220" s="854">
        <v>0</v>
      </c>
      <c r="T220" s="854">
        <v>0</v>
      </c>
      <c r="U220" s="854">
        <v>0</v>
      </c>
      <c r="V220" s="854">
        <v>0</v>
      </c>
      <c r="W220" s="854">
        <v>0</v>
      </c>
      <c r="X220" s="854">
        <v>0</v>
      </c>
      <c r="Y220" s="854">
        <v>0</v>
      </c>
      <c r="Z220" s="854">
        <v>0</v>
      </c>
      <c r="AA220" s="854">
        <v>0</v>
      </c>
      <c r="AB220" s="854">
        <v>0</v>
      </c>
      <c r="AC220" s="854">
        <v>0</v>
      </c>
      <c r="AD220" s="854">
        <v>0</v>
      </c>
      <c r="AE220" s="854">
        <v>0</v>
      </c>
      <c r="AF220" s="854">
        <v>0</v>
      </c>
    </row>
    <row r="221" spans="1:32" s="864" customFormat="1" ht="14.45" x14ac:dyDescent="0.35">
      <c r="A221" s="839"/>
      <c r="B221" s="842" t="s">
        <v>50</v>
      </c>
      <c r="C221" s="838"/>
      <c r="D221" s="838"/>
      <c r="E221" s="838"/>
      <c r="F221" s="838"/>
      <c r="G221" s="854">
        <v>13</v>
      </c>
      <c r="H221" s="854">
        <v>13.032499999999999</v>
      </c>
      <c r="I221" s="854">
        <v>13.064999999999998</v>
      </c>
      <c r="J221" s="854">
        <v>13.097499999999997</v>
      </c>
      <c r="K221" s="854">
        <v>13.129999999999995</v>
      </c>
      <c r="L221" s="854">
        <v>13.162499999999994</v>
      </c>
      <c r="M221" s="854">
        <v>13.194999999999993</v>
      </c>
      <c r="N221" s="854">
        <v>13.227500000000006</v>
      </c>
      <c r="O221" s="854">
        <v>13.260000000000005</v>
      </c>
      <c r="P221" s="854">
        <v>13.292500000000004</v>
      </c>
      <c r="Q221" s="854">
        <v>13.325000000000003</v>
      </c>
      <c r="R221" s="854">
        <v>13.357500000000002</v>
      </c>
      <c r="S221" s="854">
        <v>13.39</v>
      </c>
      <c r="T221" s="854">
        <v>13.422499999999999</v>
      </c>
      <c r="U221" s="854">
        <v>13.454999999999998</v>
      </c>
      <c r="V221" s="854">
        <v>13.487499999999997</v>
      </c>
      <c r="W221" s="854">
        <v>13.519999999999996</v>
      </c>
      <c r="X221" s="854">
        <v>13.552499999999995</v>
      </c>
      <c r="Y221" s="854">
        <v>13.584999999999994</v>
      </c>
      <c r="Z221" s="854">
        <v>13.617499999999993</v>
      </c>
      <c r="AA221" s="854">
        <v>13.650000000000006</v>
      </c>
      <c r="AB221" s="854">
        <v>13.682500000000005</v>
      </c>
      <c r="AC221" s="854">
        <v>13.715000000000003</v>
      </c>
      <c r="AD221" s="854">
        <v>13.747500000000002</v>
      </c>
      <c r="AE221" s="854">
        <v>13.780000000000001</v>
      </c>
      <c r="AF221" s="854">
        <v>13.8125</v>
      </c>
    </row>
    <row r="222" spans="1:32" s="864" customFormat="1" ht="14.45" x14ac:dyDescent="0.35">
      <c r="A222" s="839"/>
      <c r="B222" s="839" t="s">
        <v>51</v>
      </c>
      <c r="C222" s="838"/>
      <c r="D222" s="838"/>
      <c r="E222" s="838"/>
      <c r="F222" s="838"/>
      <c r="G222" s="854">
        <v>68.599999999999966</v>
      </c>
      <c r="H222" s="854">
        <v>68.771499999999946</v>
      </c>
      <c r="I222" s="854">
        <v>68.942999999999984</v>
      </c>
      <c r="J222" s="854">
        <v>69.114499999999964</v>
      </c>
      <c r="K222" s="854">
        <v>69.285999999999945</v>
      </c>
      <c r="L222" s="854">
        <v>69.457499999999982</v>
      </c>
      <c r="M222" s="854">
        <v>69.628999999999962</v>
      </c>
      <c r="N222" s="854">
        <v>69.800499999999943</v>
      </c>
      <c r="O222" s="854">
        <v>69.97199999999998</v>
      </c>
      <c r="P222" s="854">
        <v>70.14349999999996</v>
      </c>
      <c r="Q222" s="854">
        <v>70.314999999999941</v>
      </c>
      <c r="R222" s="854">
        <v>70.486499999999978</v>
      </c>
      <c r="S222" s="854">
        <v>70.657999999999959</v>
      </c>
      <c r="T222" s="854">
        <v>70.829499999999996</v>
      </c>
      <c r="U222" s="854">
        <v>71.000999999999976</v>
      </c>
      <c r="V222" s="854">
        <v>71.172499999999957</v>
      </c>
      <c r="W222" s="854">
        <v>71.343999999999994</v>
      </c>
      <c r="X222" s="854">
        <v>71.515499999999975</v>
      </c>
      <c r="Y222" s="854">
        <v>71.686999999999955</v>
      </c>
      <c r="Z222" s="854">
        <v>71.858499999999992</v>
      </c>
      <c r="AA222" s="854">
        <v>72.029999999999973</v>
      </c>
      <c r="AB222" s="854">
        <v>72.201499999999953</v>
      </c>
      <c r="AC222" s="854">
        <v>72.37299999999999</v>
      </c>
      <c r="AD222" s="854">
        <v>72.544499999999971</v>
      </c>
      <c r="AE222" s="854">
        <v>72.715999999999951</v>
      </c>
      <c r="AF222" s="854">
        <v>72.887499999999989</v>
      </c>
    </row>
    <row r="223" spans="1:32" s="864" customFormat="1" ht="14.45" x14ac:dyDescent="0.35">
      <c r="A223" s="839"/>
      <c r="B223" s="839" t="s">
        <v>52</v>
      </c>
      <c r="C223" s="838"/>
      <c r="D223" s="838"/>
      <c r="E223" s="838"/>
      <c r="F223" s="838"/>
      <c r="G223" s="854">
        <v>55.859999999999985</v>
      </c>
      <c r="H223" s="854">
        <v>55.999650000000017</v>
      </c>
      <c r="I223" s="854">
        <v>56.139299999999992</v>
      </c>
      <c r="J223" s="854">
        <v>56.278949999999988</v>
      </c>
      <c r="K223" s="854">
        <v>56.418600000000005</v>
      </c>
      <c r="L223" s="854">
        <v>56.933221823204413</v>
      </c>
      <c r="M223" s="854">
        <v>57.449695359115999</v>
      </c>
      <c r="N223" s="854">
        <v>57.968020607734815</v>
      </c>
      <c r="O223" s="854">
        <v>58.110448176795572</v>
      </c>
      <c r="P223" s="854">
        <v>58.252875745856365</v>
      </c>
      <c r="Q223" s="854">
        <v>58.395303314917129</v>
      </c>
      <c r="R223" s="854">
        <v>58.537730883977886</v>
      </c>
      <c r="S223" s="854">
        <v>58.680158453038686</v>
      </c>
      <c r="T223" s="854">
        <v>58.822586022099451</v>
      </c>
      <c r="U223" s="854">
        <v>58.965013591160215</v>
      </c>
      <c r="V223" s="854">
        <v>59.107441160221001</v>
      </c>
      <c r="W223" s="854">
        <v>59.249868729281765</v>
      </c>
      <c r="X223" s="854">
        <v>59.392296298342529</v>
      </c>
      <c r="Y223" s="854">
        <v>59.534723867403329</v>
      </c>
      <c r="Z223" s="854">
        <v>59.677151436464079</v>
      </c>
      <c r="AA223" s="854">
        <v>59.819579005524879</v>
      </c>
      <c r="AB223" s="854">
        <v>59.962006574585644</v>
      </c>
      <c r="AC223" s="854">
        <v>60.104434143646401</v>
      </c>
      <c r="AD223" s="854">
        <v>60.246861712707194</v>
      </c>
      <c r="AE223" s="854">
        <v>60.389289281767958</v>
      </c>
      <c r="AF223" s="854">
        <v>60.531716850828715</v>
      </c>
    </row>
    <row r="224" spans="1:32" s="864" customFormat="1" ht="14.45" x14ac:dyDescent="0.35">
      <c r="A224" s="839"/>
      <c r="B224" s="842" t="s">
        <v>29</v>
      </c>
      <c r="C224" s="838"/>
      <c r="D224" s="838"/>
      <c r="E224" s="838"/>
      <c r="F224" s="838"/>
      <c r="G224" s="854">
        <v>69.886712931315586</v>
      </c>
      <c r="H224" s="854">
        <v>84.617739005122857</v>
      </c>
      <c r="I224" s="854">
        <v>99.77020761765985</v>
      </c>
      <c r="J224" s="854">
        <v>115.81072942703476</v>
      </c>
      <c r="K224" s="854">
        <v>131.19780938437214</v>
      </c>
      <c r="L224" s="854">
        <v>145.46220447607328</v>
      </c>
      <c r="M224" s="854">
        <v>157.75364681050067</v>
      </c>
      <c r="N224" s="854">
        <v>168.55506474700036</v>
      </c>
      <c r="O224" s="854">
        <v>177.96704120423578</v>
      </c>
      <c r="P224" s="854">
        <v>186.1654499682482</v>
      </c>
      <c r="Q224" s="854">
        <v>193.35230342395749</v>
      </c>
      <c r="R224" s="854">
        <v>196.11147215578865</v>
      </c>
      <c r="S224" s="854">
        <v>198.15456111208027</v>
      </c>
      <c r="T224" s="854">
        <v>199.65744029461996</v>
      </c>
      <c r="U224" s="854">
        <v>200.75757592848979</v>
      </c>
      <c r="V224" s="854">
        <v>201.56002861929591</v>
      </c>
      <c r="W224" s="854">
        <v>202.14382617150503</v>
      </c>
      <c r="X224" s="854">
        <v>202.5677447446416</v>
      </c>
      <c r="Y224" s="854">
        <v>202.87514562074011</v>
      </c>
      <c r="Z224" s="854">
        <v>203.09783237720012</v>
      </c>
      <c r="AA224" s="854">
        <v>203.25903410630769</v>
      </c>
      <c r="AB224" s="854">
        <v>203.37566609727986</v>
      </c>
      <c r="AC224" s="854">
        <v>203.46001922812226</v>
      </c>
      <c r="AD224" s="854">
        <v>203.52101022912549</v>
      </c>
      <c r="AE224" s="854">
        <v>203.56510065539746</v>
      </c>
      <c r="AF224" s="854">
        <v>203.59696908402657</v>
      </c>
    </row>
    <row r="225" spans="1:32" s="864" customFormat="1" ht="14.45" x14ac:dyDescent="0.35">
      <c r="A225" s="839"/>
      <c r="B225" s="842" t="s">
        <v>53</v>
      </c>
      <c r="C225" s="838"/>
      <c r="D225" s="838"/>
      <c r="E225" s="838"/>
      <c r="F225" s="838"/>
      <c r="G225" s="854">
        <v>0</v>
      </c>
      <c r="H225" s="854">
        <v>0</v>
      </c>
      <c r="I225" s="854">
        <v>0</v>
      </c>
      <c r="J225" s="854">
        <v>0</v>
      </c>
      <c r="K225" s="854">
        <v>0</v>
      </c>
      <c r="L225" s="854">
        <v>0</v>
      </c>
      <c r="M225" s="854">
        <v>0</v>
      </c>
      <c r="N225" s="854">
        <v>0</v>
      </c>
      <c r="O225" s="854">
        <v>0</v>
      </c>
      <c r="P225" s="854">
        <v>0</v>
      </c>
      <c r="Q225" s="854">
        <v>0</v>
      </c>
      <c r="R225" s="854">
        <v>0</v>
      </c>
      <c r="S225" s="854">
        <v>0</v>
      </c>
      <c r="T225" s="854">
        <v>0</v>
      </c>
      <c r="U225" s="854">
        <v>0</v>
      </c>
      <c r="V225" s="854">
        <v>0</v>
      </c>
      <c r="W225" s="854">
        <v>0</v>
      </c>
      <c r="X225" s="854">
        <v>0</v>
      </c>
      <c r="Y225" s="854">
        <v>0</v>
      </c>
      <c r="Z225" s="854">
        <v>0</v>
      </c>
      <c r="AA225" s="854">
        <v>0</v>
      </c>
      <c r="AB225" s="854">
        <v>0</v>
      </c>
      <c r="AC225" s="854">
        <v>0</v>
      </c>
      <c r="AD225" s="854">
        <v>0</v>
      </c>
      <c r="AE225" s="854">
        <v>0</v>
      </c>
      <c r="AF225" s="854">
        <v>0</v>
      </c>
    </row>
    <row r="228" spans="1:32" ht="14.45" x14ac:dyDescent="0.35">
      <c r="A228" s="860" t="s">
        <v>57</v>
      </c>
      <c r="B228" s="861"/>
      <c r="C228" s="860"/>
      <c r="D228" s="859"/>
      <c r="E228" s="859"/>
      <c r="F228" s="859"/>
      <c r="G228" s="859"/>
      <c r="H228" s="862"/>
      <c r="I228" s="862"/>
      <c r="J228" s="862"/>
      <c r="K228" s="862"/>
      <c r="L228" s="862"/>
      <c r="M228" s="862"/>
      <c r="N228" s="862"/>
      <c r="O228" s="862"/>
      <c r="P228" s="862"/>
      <c r="Q228" s="862"/>
      <c r="R228" s="862"/>
      <c r="S228" s="862"/>
      <c r="T228" s="862"/>
      <c r="U228" s="862"/>
      <c r="V228" s="862"/>
      <c r="W228" s="862"/>
      <c r="X228" s="862"/>
      <c r="Y228" s="862"/>
      <c r="Z228" s="862"/>
      <c r="AA228" s="862"/>
      <c r="AB228" s="862"/>
      <c r="AC228" s="862"/>
      <c r="AD228" s="862"/>
      <c r="AE228" s="862"/>
      <c r="AF228" s="862"/>
    </row>
    <row r="229" spans="1:32" ht="14.45" x14ac:dyDescent="0.35">
      <c r="A229" s="840" t="s">
        <v>12</v>
      </c>
      <c r="B229" s="839"/>
    </row>
    <row r="230" spans="1:32" ht="14.45" x14ac:dyDescent="0.35">
      <c r="A230" s="839"/>
      <c r="B230" s="839" t="s">
        <v>20</v>
      </c>
    </row>
    <row r="231" spans="1:32" s="856" customFormat="1" ht="12.95" x14ac:dyDescent="0.3">
      <c r="A231" s="843" t="s">
        <v>21</v>
      </c>
      <c r="B231" s="843"/>
      <c r="C231" s="843"/>
      <c r="D231" s="843"/>
      <c r="E231" s="843"/>
      <c r="F231" s="843"/>
      <c r="G231" s="843"/>
      <c r="H231" s="843"/>
      <c r="I231" s="843"/>
      <c r="J231" s="843"/>
      <c r="K231" s="843"/>
      <c r="L231" s="843"/>
      <c r="M231" s="843"/>
      <c r="N231" s="843"/>
      <c r="O231" s="843"/>
      <c r="P231" s="843"/>
      <c r="Q231" s="843"/>
      <c r="R231" s="843"/>
      <c r="S231" s="843"/>
      <c r="T231" s="843"/>
      <c r="U231" s="843"/>
      <c r="V231" s="843"/>
      <c r="W231" s="843"/>
      <c r="X231" s="843"/>
      <c r="Y231" s="843"/>
      <c r="Z231" s="843"/>
      <c r="AA231" s="843"/>
      <c r="AB231" s="843"/>
      <c r="AC231" s="843"/>
      <c r="AD231" s="843"/>
      <c r="AE231" s="843"/>
      <c r="AF231" s="843"/>
    </row>
    <row r="232" spans="1:32" s="864" customFormat="1" ht="14.45" x14ac:dyDescent="0.35">
      <c r="A232" s="839"/>
      <c r="B232" s="839" t="s">
        <v>22</v>
      </c>
      <c r="C232" s="838"/>
      <c r="D232" s="838"/>
      <c r="E232" s="838"/>
      <c r="F232" s="838"/>
      <c r="G232" s="854">
        <v>0</v>
      </c>
      <c r="H232" s="854">
        <v>0</v>
      </c>
      <c r="I232" s="854">
        <v>0</v>
      </c>
      <c r="J232" s="854">
        <v>0</v>
      </c>
      <c r="K232" s="854">
        <v>0</v>
      </c>
      <c r="L232" s="854">
        <v>0</v>
      </c>
      <c r="M232" s="854">
        <v>0</v>
      </c>
      <c r="N232" s="854">
        <v>0</v>
      </c>
      <c r="O232" s="854">
        <v>0</v>
      </c>
      <c r="P232" s="854">
        <v>0</v>
      </c>
      <c r="Q232" s="854">
        <v>0</v>
      </c>
      <c r="R232" s="854">
        <v>0</v>
      </c>
      <c r="S232" s="854">
        <v>0</v>
      </c>
      <c r="T232" s="854">
        <v>0</v>
      </c>
      <c r="U232" s="854">
        <v>0</v>
      </c>
      <c r="V232" s="854">
        <v>0</v>
      </c>
      <c r="W232" s="854">
        <v>0</v>
      </c>
      <c r="X232" s="854">
        <v>0</v>
      </c>
      <c r="Y232" s="854">
        <v>0</v>
      </c>
      <c r="Z232" s="854">
        <v>0</v>
      </c>
      <c r="AA232" s="854">
        <v>0</v>
      </c>
      <c r="AB232" s="854">
        <v>0</v>
      </c>
      <c r="AC232" s="854">
        <v>0</v>
      </c>
      <c r="AD232" s="854">
        <v>0</v>
      </c>
      <c r="AE232" s="854">
        <v>0</v>
      </c>
      <c r="AF232" s="854">
        <v>0</v>
      </c>
    </row>
    <row r="233" spans="1:32" s="864" customFormat="1" ht="14.45" x14ac:dyDescent="0.35">
      <c r="A233" s="839"/>
      <c r="B233" s="839" t="s">
        <v>26</v>
      </c>
      <c r="C233" s="838"/>
      <c r="D233" s="838"/>
      <c r="E233" s="838"/>
      <c r="F233" s="838"/>
      <c r="G233" s="854">
        <v>0</v>
      </c>
      <c r="H233" s="854">
        <v>0</v>
      </c>
      <c r="I233" s="854">
        <v>0</v>
      </c>
      <c r="J233" s="854">
        <v>0</v>
      </c>
      <c r="K233" s="854">
        <v>0</v>
      </c>
      <c r="L233" s="854">
        <v>0</v>
      </c>
      <c r="M233" s="854">
        <v>0</v>
      </c>
      <c r="N233" s="854">
        <v>0</v>
      </c>
      <c r="O233" s="854">
        <v>0</v>
      </c>
      <c r="P233" s="854">
        <v>0</v>
      </c>
      <c r="Q233" s="854">
        <v>0</v>
      </c>
      <c r="R233" s="854">
        <v>0</v>
      </c>
      <c r="S233" s="854">
        <v>0</v>
      </c>
      <c r="T233" s="854">
        <v>0</v>
      </c>
      <c r="U233" s="854">
        <v>0</v>
      </c>
      <c r="V233" s="854">
        <v>0</v>
      </c>
      <c r="W233" s="854">
        <v>0</v>
      </c>
      <c r="X233" s="854">
        <v>0</v>
      </c>
      <c r="Y233" s="854">
        <v>0</v>
      </c>
      <c r="Z233" s="854">
        <v>0</v>
      </c>
      <c r="AA233" s="854">
        <v>0</v>
      </c>
      <c r="AB233" s="854">
        <v>0</v>
      </c>
      <c r="AC233" s="854">
        <v>0</v>
      </c>
      <c r="AD233" s="854">
        <v>0</v>
      </c>
      <c r="AE233" s="854">
        <v>0</v>
      </c>
      <c r="AF233" s="854">
        <v>0</v>
      </c>
    </row>
    <row r="234" spans="1:32" s="864" customFormat="1" ht="14.45" x14ac:dyDescent="0.35">
      <c r="A234" s="839"/>
      <c r="B234" s="839" t="s">
        <v>27</v>
      </c>
      <c r="C234" s="838"/>
      <c r="D234" s="838"/>
      <c r="E234" s="838"/>
      <c r="F234" s="838"/>
      <c r="G234" s="854">
        <v>0</v>
      </c>
      <c r="H234" s="854">
        <v>0</v>
      </c>
      <c r="I234" s="854">
        <v>0</v>
      </c>
      <c r="J234" s="854">
        <v>0</v>
      </c>
      <c r="K234" s="854">
        <v>0</v>
      </c>
      <c r="L234" s="854">
        <v>0</v>
      </c>
      <c r="M234" s="854">
        <v>0</v>
      </c>
      <c r="N234" s="854">
        <v>0</v>
      </c>
      <c r="O234" s="854">
        <v>0</v>
      </c>
      <c r="P234" s="854">
        <v>0</v>
      </c>
      <c r="Q234" s="854">
        <v>0</v>
      </c>
      <c r="R234" s="854">
        <v>0</v>
      </c>
      <c r="S234" s="854">
        <v>0</v>
      </c>
      <c r="T234" s="854">
        <v>0</v>
      </c>
      <c r="U234" s="854">
        <v>0</v>
      </c>
      <c r="V234" s="854">
        <v>0</v>
      </c>
      <c r="W234" s="854">
        <v>0</v>
      </c>
      <c r="X234" s="854">
        <v>0</v>
      </c>
      <c r="Y234" s="854">
        <v>0</v>
      </c>
      <c r="Z234" s="854">
        <v>0</v>
      </c>
      <c r="AA234" s="854">
        <v>0</v>
      </c>
      <c r="AB234" s="854">
        <v>0</v>
      </c>
      <c r="AC234" s="854">
        <v>0</v>
      </c>
      <c r="AD234" s="854">
        <v>0</v>
      </c>
      <c r="AE234" s="854">
        <v>0</v>
      </c>
      <c r="AF234" s="854">
        <v>0</v>
      </c>
    </row>
    <row r="235" spans="1:32" s="864" customFormat="1" ht="14.45" x14ac:dyDescent="0.35">
      <c r="A235" s="839"/>
      <c r="B235" s="839" t="s">
        <v>29</v>
      </c>
      <c r="C235" s="838"/>
      <c r="D235" s="838"/>
      <c r="E235" s="838"/>
      <c r="F235" s="838"/>
      <c r="G235" s="854">
        <v>36.873768202819726</v>
      </c>
      <c r="H235" s="854">
        <v>48.266272480467556</v>
      </c>
      <c r="I235" s="854">
        <v>61.701198700113544</v>
      </c>
      <c r="J235" s="854">
        <v>77.591734715380795</v>
      </c>
      <c r="K235" s="854">
        <v>94.800465488123137</v>
      </c>
      <c r="L235" s="854">
        <v>112.50003941617493</v>
      </c>
      <c r="M235" s="854">
        <v>129.3471504340618</v>
      </c>
      <c r="N235" s="854">
        <v>145.03095133963808</v>
      </c>
      <c r="O235" s="854">
        <v>159.127310954921</v>
      </c>
      <c r="P235" s="854">
        <v>171.48202098927979</v>
      </c>
      <c r="Q235" s="854">
        <v>182.15170200680319</v>
      </c>
      <c r="R235" s="854">
        <v>187.8607232688625</v>
      </c>
      <c r="S235" s="854">
        <v>192.15160570290442</v>
      </c>
      <c r="T235" s="854">
        <v>195.33034204073093</v>
      </c>
      <c r="U235" s="854">
        <v>197.66006127320361</v>
      </c>
      <c r="V235" s="854">
        <v>199.35413887963063</v>
      </c>
      <c r="W235" s="854">
        <v>200.57896356186501</v>
      </c>
      <c r="X235" s="854">
        <v>201.46085171629713</v>
      </c>
      <c r="Y235" s="854">
        <v>202.09392729485813</v>
      </c>
      <c r="Z235" s="854">
        <v>202.54741526513342</v>
      </c>
      <c r="AA235" s="854">
        <v>202.87176106409183</v>
      </c>
      <c r="AB235" s="854">
        <v>203.10348618652321</v>
      </c>
      <c r="AC235" s="854">
        <v>203.26890947460336</v>
      </c>
      <c r="AD235" s="854">
        <v>203.38693514979437</v>
      </c>
      <c r="AE235" s="854">
        <v>203.47111002115616</v>
      </c>
      <c r="AF235" s="854">
        <v>203.53112565740346</v>
      </c>
    </row>
    <row r="236" spans="1:32" s="864" customFormat="1" ht="14.45" x14ac:dyDescent="0.35">
      <c r="A236" s="839"/>
      <c r="B236" s="839"/>
      <c r="C236" s="838"/>
      <c r="D236" s="838"/>
      <c r="E236" s="838"/>
      <c r="F236" s="838"/>
      <c r="G236" s="854"/>
      <c r="H236" s="838"/>
      <c r="I236" s="838"/>
      <c r="J236" s="838"/>
      <c r="K236" s="838"/>
      <c r="L236" s="838"/>
      <c r="M236" s="838"/>
      <c r="N236" s="838"/>
      <c r="O236" s="838"/>
      <c r="P236" s="838"/>
      <c r="Q236" s="838"/>
      <c r="R236" s="838"/>
      <c r="S236" s="838"/>
      <c r="T236" s="838"/>
      <c r="U236" s="838"/>
      <c r="V236" s="838"/>
      <c r="W236" s="838"/>
      <c r="X236" s="838"/>
      <c r="Y236" s="838"/>
      <c r="Z236" s="838"/>
      <c r="AA236" s="838"/>
      <c r="AB236" s="838"/>
      <c r="AC236" s="838"/>
      <c r="AD236" s="838"/>
      <c r="AE236" s="838"/>
      <c r="AF236" s="838"/>
    </row>
    <row r="237" spans="1:32" s="856" customFormat="1" ht="12.95" x14ac:dyDescent="0.3">
      <c r="A237" s="843" t="s">
        <v>32</v>
      </c>
      <c r="B237" s="843"/>
      <c r="C237" s="843"/>
      <c r="D237" s="843"/>
      <c r="E237" s="843"/>
      <c r="F237" s="843"/>
      <c r="G237" s="865"/>
      <c r="H237" s="843"/>
      <c r="I237" s="843"/>
      <c r="J237" s="843"/>
      <c r="K237" s="843"/>
      <c r="L237" s="843"/>
      <c r="M237" s="843"/>
      <c r="N237" s="843"/>
      <c r="O237" s="843"/>
      <c r="P237" s="843"/>
      <c r="Q237" s="843"/>
      <c r="R237" s="843"/>
      <c r="S237" s="843"/>
      <c r="T237" s="843"/>
      <c r="U237" s="843"/>
      <c r="V237" s="843"/>
      <c r="W237" s="843"/>
      <c r="X237" s="843"/>
      <c r="Y237" s="843"/>
      <c r="Z237" s="843"/>
      <c r="AA237" s="843"/>
      <c r="AB237" s="843"/>
      <c r="AC237" s="843"/>
      <c r="AD237" s="843"/>
      <c r="AE237" s="843"/>
      <c r="AF237" s="843"/>
    </row>
    <row r="238" spans="1:32" s="864" customFormat="1" ht="14.45" x14ac:dyDescent="0.35">
      <c r="A238" s="839"/>
      <c r="B238" s="839" t="s">
        <v>33</v>
      </c>
      <c r="C238" s="838"/>
      <c r="D238" s="838"/>
      <c r="E238" s="838"/>
      <c r="F238" s="838"/>
      <c r="G238" s="854">
        <v>0</v>
      </c>
      <c r="H238" s="854">
        <v>0</v>
      </c>
      <c r="I238" s="854">
        <v>0</v>
      </c>
      <c r="J238" s="854">
        <v>0</v>
      </c>
      <c r="K238" s="854">
        <v>0</v>
      </c>
      <c r="L238" s="854">
        <v>0</v>
      </c>
      <c r="M238" s="854">
        <v>0</v>
      </c>
      <c r="N238" s="854">
        <v>0</v>
      </c>
      <c r="O238" s="854">
        <v>0</v>
      </c>
      <c r="P238" s="854">
        <v>0</v>
      </c>
      <c r="Q238" s="854">
        <v>0</v>
      </c>
      <c r="R238" s="854">
        <v>0</v>
      </c>
      <c r="S238" s="854">
        <v>0</v>
      </c>
      <c r="T238" s="854">
        <v>0</v>
      </c>
      <c r="U238" s="854">
        <v>0</v>
      </c>
      <c r="V238" s="854">
        <v>0</v>
      </c>
      <c r="W238" s="854">
        <v>0</v>
      </c>
      <c r="X238" s="854">
        <v>0</v>
      </c>
      <c r="Y238" s="854">
        <v>0</v>
      </c>
      <c r="Z238" s="854">
        <v>0</v>
      </c>
      <c r="AA238" s="854">
        <v>0</v>
      </c>
      <c r="AB238" s="854">
        <v>0</v>
      </c>
      <c r="AC238" s="854">
        <v>0</v>
      </c>
      <c r="AD238" s="854">
        <v>0</v>
      </c>
      <c r="AE238" s="854">
        <v>0</v>
      </c>
      <c r="AF238" s="854">
        <v>0</v>
      </c>
    </row>
    <row r="239" spans="1:32" s="864" customFormat="1" ht="14.45" x14ac:dyDescent="0.35">
      <c r="A239" s="842"/>
      <c r="B239" s="842" t="s">
        <v>34</v>
      </c>
      <c r="C239" s="838"/>
      <c r="D239" s="838"/>
      <c r="E239" s="838"/>
      <c r="F239" s="838"/>
      <c r="G239" s="854">
        <v>0</v>
      </c>
      <c r="H239" s="854">
        <v>0</v>
      </c>
      <c r="I239" s="854">
        <v>5.6208901226540293</v>
      </c>
      <c r="J239" s="854">
        <v>11.241780245308059</v>
      </c>
      <c r="K239" s="854">
        <v>16.862670367962089</v>
      </c>
      <c r="L239" s="854">
        <v>16.946983719801896</v>
      </c>
      <c r="M239" s="854">
        <v>17.031718638400903</v>
      </c>
      <c r="N239" s="854">
        <v>17.116877231592905</v>
      </c>
      <c r="O239" s="854">
        <v>17.202461617750867</v>
      </c>
      <c r="P239" s="854">
        <v>17.288473925839618</v>
      </c>
      <c r="Q239" s="854">
        <v>17.374916295468815</v>
      </c>
      <c r="R239" s="854">
        <v>17.461790876946157</v>
      </c>
      <c r="S239" s="854">
        <v>17.549099831330885</v>
      </c>
      <c r="T239" s="854">
        <v>17.636845330487539</v>
      </c>
      <c r="U239" s="854">
        <v>17.725029557139973</v>
      </c>
      <c r="V239" s="854">
        <v>17.813654704925671</v>
      </c>
      <c r="W239" s="854">
        <v>17.902722978450292</v>
      </c>
      <c r="X239" s="854">
        <v>17.992236593342543</v>
      </c>
      <c r="Y239" s="854">
        <v>18.082197776309254</v>
      </c>
      <c r="Z239" s="854">
        <v>18.172608765190795</v>
      </c>
      <c r="AA239" s="854">
        <v>18.263471809016746</v>
      </c>
      <c r="AB239" s="854">
        <v>18.354789168061831</v>
      </c>
      <c r="AC239" s="854">
        <v>18.446563113902133</v>
      </c>
      <c r="AD239" s="854">
        <v>18.538795929471643</v>
      </c>
      <c r="AE239" s="854">
        <v>18.631489909118997</v>
      </c>
      <c r="AF239" s="854">
        <v>18.724647358664587</v>
      </c>
    </row>
    <row r="240" spans="1:32" s="864" customFormat="1" ht="14.45" x14ac:dyDescent="0.35">
      <c r="A240" s="839"/>
      <c r="B240" s="842" t="s">
        <v>35</v>
      </c>
      <c r="C240" s="838"/>
      <c r="D240" s="838"/>
      <c r="E240" s="838"/>
      <c r="F240" s="838"/>
      <c r="G240" s="854">
        <v>0</v>
      </c>
      <c r="H240" s="854">
        <v>0</v>
      </c>
      <c r="I240" s="854">
        <v>0</v>
      </c>
      <c r="J240" s="854">
        <v>0</v>
      </c>
      <c r="K240" s="854">
        <v>0</v>
      </c>
      <c r="L240" s="854">
        <v>0</v>
      </c>
      <c r="M240" s="854">
        <v>0</v>
      </c>
      <c r="N240" s="854">
        <v>0</v>
      </c>
      <c r="O240" s="854">
        <v>0</v>
      </c>
      <c r="P240" s="854">
        <v>0</v>
      </c>
      <c r="Q240" s="854">
        <v>0</v>
      </c>
      <c r="R240" s="854">
        <v>0</v>
      </c>
      <c r="S240" s="854">
        <v>0</v>
      </c>
      <c r="T240" s="854">
        <v>0</v>
      </c>
      <c r="U240" s="854">
        <v>0</v>
      </c>
      <c r="V240" s="854">
        <v>0</v>
      </c>
      <c r="W240" s="854">
        <v>0</v>
      </c>
      <c r="X240" s="854">
        <v>0</v>
      </c>
      <c r="Y240" s="854">
        <v>0</v>
      </c>
      <c r="Z240" s="854">
        <v>0</v>
      </c>
      <c r="AA240" s="854">
        <v>0</v>
      </c>
      <c r="AB240" s="854">
        <v>0</v>
      </c>
      <c r="AC240" s="854">
        <v>0</v>
      </c>
      <c r="AD240" s="854">
        <v>0</v>
      </c>
      <c r="AE240" s="854">
        <v>0</v>
      </c>
      <c r="AF240" s="854">
        <v>0</v>
      </c>
    </row>
    <row r="241" spans="1:32" s="864" customFormat="1" ht="14.45" x14ac:dyDescent="0.35">
      <c r="A241" s="839"/>
      <c r="B241" s="842" t="s">
        <v>29</v>
      </c>
      <c r="C241" s="838"/>
      <c r="D241" s="838"/>
      <c r="E241" s="838"/>
      <c r="F241" s="838"/>
      <c r="G241" s="854">
        <v>36.873768202819726</v>
      </c>
      <c r="H241" s="854">
        <v>48.266272480467556</v>
      </c>
      <c r="I241" s="854">
        <v>61.701198700113544</v>
      </c>
      <c r="J241" s="854">
        <v>77.591734715380795</v>
      </c>
      <c r="K241" s="854">
        <v>94.800465488123137</v>
      </c>
      <c r="L241" s="854">
        <v>112.50003941617493</v>
      </c>
      <c r="M241" s="854">
        <v>129.3471504340618</v>
      </c>
      <c r="N241" s="854">
        <v>145.03095133963808</v>
      </c>
      <c r="O241" s="854">
        <v>159.127310954921</v>
      </c>
      <c r="P241" s="854">
        <v>171.48202098927979</v>
      </c>
      <c r="Q241" s="854">
        <v>182.15170200680319</v>
      </c>
      <c r="R241" s="854">
        <v>187.8607232688625</v>
      </c>
      <c r="S241" s="854">
        <v>192.15160570290442</v>
      </c>
      <c r="T241" s="854">
        <v>195.33034204073093</v>
      </c>
      <c r="U241" s="854">
        <v>197.66006127320361</v>
      </c>
      <c r="V241" s="854">
        <v>199.35413887963063</v>
      </c>
      <c r="W241" s="854">
        <v>200.57896356186501</v>
      </c>
      <c r="X241" s="854">
        <v>201.46085171629713</v>
      </c>
      <c r="Y241" s="854">
        <v>202.09392729485813</v>
      </c>
      <c r="Z241" s="854">
        <v>202.54741526513342</v>
      </c>
      <c r="AA241" s="854">
        <v>202.87176106409183</v>
      </c>
      <c r="AB241" s="854">
        <v>203.10348618652321</v>
      </c>
      <c r="AC241" s="854">
        <v>203.26890947460336</v>
      </c>
      <c r="AD241" s="854">
        <v>203.38693514979437</v>
      </c>
      <c r="AE241" s="854">
        <v>203.47111002115616</v>
      </c>
      <c r="AF241" s="854">
        <v>203.53112565740346</v>
      </c>
    </row>
    <row r="242" spans="1:32" s="864" customFormat="1" ht="14.45" x14ac:dyDescent="0.35">
      <c r="A242" s="839"/>
      <c r="B242" s="839"/>
      <c r="C242" s="838"/>
      <c r="D242" s="838"/>
      <c r="E242" s="838"/>
      <c r="F242" s="838"/>
      <c r="G242" s="854"/>
      <c r="H242" s="838"/>
      <c r="I242" s="838"/>
      <c r="J242" s="838"/>
      <c r="K242" s="838"/>
      <c r="L242" s="838"/>
      <c r="M242" s="838"/>
      <c r="N242" s="838"/>
      <c r="O242" s="838"/>
      <c r="P242" s="838"/>
      <c r="Q242" s="838"/>
      <c r="R242" s="838"/>
      <c r="S242" s="838"/>
      <c r="T242" s="838"/>
      <c r="U242" s="838"/>
      <c r="V242" s="838"/>
      <c r="W242" s="838"/>
      <c r="X242" s="838"/>
      <c r="Y242" s="838"/>
      <c r="Z242" s="838"/>
      <c r="AA242" s="838"/>
      <c r="AB242" s="838"/>
      <c r="AC242" s="838"/>
      <c r="AD242" s="838"/>
      <c r="AE242" s="838"/>
      <c r="AF242" s="838"/>
    </row>
    <row r="243" spans="1:32" s="856" customFormat="1" ht="12.95" x14ac:dyDescent="0.3">
      <c r="A243" s="843" t="s">
        <v>36</v>
      </c>
      <c r="B243" s="843"/>
      <c r="C243" s="843"/>
      <c r="D243" s="843"/>
      <c r="E243" s="843"/>
      <c r="F243" s="843"/>
      <c r="G243" s="865"/>
      <c r="H243" s="843"/>
      <c r="I243" s="843"/>
      <c r="J243" s="843"/>
      <c r="K243" s="843"/>
      <c r="L243" s="843"/>
      <c r="M243" s="843"/>
      <c r="N243" s="843"/>
      <c r="O243" s="843"/>
      <c r="P243" s="843"/>
      <c r="Q243" s="843"/>
      <c r="R243" s="843"/>
      <c r="S243" s="843"/>
      <c r="T243" s="843"/>
      <c r="U243" s="843"/>
      <c r="V243" s="843"/>
      <c r="W243" s="843"/>
      <c r="X243" s="843"/>
      <c r="Y243" s="843"/>
      <c r="Z243" s="843"/>
      <c r="AA243" s="843"/>
      <c r="AB243" s="843"/>
      <c r="AC243" s="843"/>
      <c r="AD243" s="843"/>
      <c r="AE243" s="843"/>
      <c r="AF243" s="843"/>
    </row>
    <row r="244" spans="1:32" s="864" customFormat="1" ht="14.45" x14ac:dyDescent="0.35">
      <c r="A244" s="839"/>
      <c r="B244" s="839" t="s">
        <v>37</v>
      </c>
      <c r="C244" s="838"/>
      <c r="D244" s="838"/>
      <c r="E244" s="838"/>
      <c r="F244" s="855"/>
      <c r="G244" s="854">
        <v>0</v>
      </c>
      <c r="H244" s="854">
        <v>0</v>
      </c>
      <c r="I244" s="854">
        <v>0</v>
      </c>
      <c r="J244" s="854">
        <v>0</v>
      </c>
      <c r="K244" s="854">
        <v>0</v>
      </c>
      <c r="L244" s="854">
        <v>0</v>
      </c>
      <c r="M244" s="854">
        <v>0</v>
      </c>
      <c r="N244" s="854">
        <v>0</v>
      </c>
      <c r="O244" s="854">
        <v>0</v>
      </c>
      <c r="P244" s="854">
        <v>0</v>
      </c>
      <c r="Q244" s="854">
        <v>0</v>
      </c>
      <c r="R244" s="854">
        <v>0</v>
      </c>
      <c r="S244" s="854">
        <v>0</v>
      </c>
      <c r="T244" s="854">
        <v>0</v>
      </c>
      <c r="U244" s="854">
        <v>0</v>
      </c>
      <c r="V244" s="854">
        <v>0</v>
      </c>
      <c r="W244" s="854">
        <v>0</v>
      </c>
      <c r="X244" s="854">
        <v>0</v>
      </c>
      <c r="Y244" s="854">
        <v>0</v>
      </c>
      <c r="Z244" s="854">
        <v>0</v>
      </c>
      <c r="AA244" s="854">
        <v>0</v>
      </c>
      <c r="AB244" s="854">
        <v>0</v>
      </c>
      <c r="AC244" s="854">
        <v>0</v>
      </c>
      <c r="AD244" s="854">
        <v>0</v>
      </c>
      <c r="AE244" s="854">
        <v>0</v>
      </c>
      <c r="AF244" s="854">
        <v>0</v>
      </c>
    </row>
    <row r="245" spans="1:32" s="864" customFormat="1" ht="14.45" x14ac:dyDescent="0.35">
      <c r="A245" s="839"/>
      <c r="B245" s="839" t="s">
        <v>39</v>
      </c>
      <c r="C245" s="838"/>
      <c r="D245" s="838"/>
      <c r="E245" s="857"/>
      <c r="F245" s="838"/>
      <c r="G245" s="854">
        <v>0</v>
      </c>
      <c r="H245" s="854">
        <v>0</v>
      </c>
      <c r="I245" s="854">
        <v>0</v>
      </c>
      <c r="J245" s="854">
        <v>0</v>
      </c>
      <c r="K245" s="854">
        <v>20.652100000000001</v>
      </c>
      <c r="L245" s="854">
        <v>41.730173333333333</v>
      </c>
      <c r="M245" s="854">
        <v>63.234219999999993</v>
      </c>
      <c r="N245" s="854">
        <v>64.192545899999985</v>
      </c>
      <c r="O245" s="854">
        <v>64.513508629499981</v>
      </c>
      <c r="P245" s="854">
        <v>64.836076172647466</v>
      </c>
      <c r="Q245" s="854">
        <v>65.160256553510692</v>
      </c>
      <c r="R245" s="854">
        <v>65.486057836278235</v>
      </c>
      <c r="S245" s="854">
        <v>65.813488125459614</v>
      </c>
      <c r="T245" s="854">
        <v>66.142555566086912</v>
      </c>
      <c r="U245" s="854">
        <v>66.47326834391734</v>
      </c>
      <c r="V245" s="854">
        <v>66.805634685636917</v>
      </c>
      <c r="W245" s="854">
        <v>67.139662859065083</v>
      </c>
      <c r="X245" s="854">
        <v>67.475361173360412</v>
      </c>
      <c r="Y245" s="854">
        <v>67.812737979227194</v>
      </c>
      <c r="Z245" s="854">
        <v>68.15180166912333</v>
      </c>
      <c r="AA245" s="854">
        <v>68.49256067746893</v>
      </c>
      <c r="AB245" s="854">
        <v>68.83502348085625</v>
      </c>
      <c r="AC245" s="854">
        <v>69.179198598260527</v>
      </c>
      <c r="AD245" s="854">
        <v>69.525094591251829</v>
      </c>
      <c r="AE245" s="854">
        <v>69.872720064208067</v>
      </c>
      <c r="AF245" s="854">
        <v>70.222083664529109</v>
      </c>
    </row>
    <row r="246" spans="1:32" s="864" customFormat="1" ht="14.45" x14ac:dyDescent="0.35">
      <c r="A246" s="839"/>
      <c r="B246" s="839" t="s">
        <v>40</v>
      </c>
      <c r="C246" s="838"/>
      <c r="D246" s="838"/>
      <c r="E246" s="838"/>
      <c r="F246" s="838"/>
      <c r="G246" s="854">
        <v>0</v>
      </c>
      <c r="H246" s="854">
        <v>0</v>
      </c>
      <c r="I246" s="854">
        <v>0</v>
      </c>
      <c r="J246" s="854">
        <v>0</v>
      </c>
      <c r="K246" s="854">
        <v>0</v>
      </c>
      <c r="L246" s="854">
        <v>0</v>
      </c>
      <c r="M246" s="854">
        <v>0</v>
      </c>
      <c r="N246" s="854">
        <v>0</v>
      </c>
      <c r="O246" s="854">
        <v>0</v>
      </c>
      <c r="P246" s="854">
        <v>0</v>
      </c>
      <c r="Q246" s="854">
        <v>0</v>
      </c>
      <c r="R246" s="854">
        <v>0</v>
      </c>
      <c r="S246" s="854">
        <v>0</v>
      </c>
      <c r="T246" s="854">
        <v>0</v>
      </c>
      <c r="U246" s="854">
        <v>0</v>
      </c>
      <c r="V246" s="854">
        <v>0</v>
      </c>
      <c r="W246" s="854">
        <v>0</v>
      </c>
      <c r="X246" s="854">
        <v>0</v>
      </c>
      <c r="Y246" s="854">
        <v>0</v>
      </c>
      <c r="Z246" s="854">
        <v>0</v>
      </c>
      <c r="AA246" s="854">
        <v>0</v>
      </c>
      <c r="AB246" s="854">
        <v>0</v>
      </c>
      <c r="AC246" s="854">
        <v>0</v>
      </c>
      <c r="AD246" s="854">
        <v>0</v>
      </c>
      <c r="AE246" s="854">
        <v>0</v>
      </c>
      <c r="AF246" s="854">
        <v>0</v>
      </c>
    </row>
    <row r="247" spans="1:32" s="864" customFormat="1" ht="14.45" x14ac:dyDescent="0.35">
      <c r="A247" s="839"/>
      <c r="B247" s="839" t="s">
        <v>29</v>
      </c>
      <c r="C247" s="838"/>
      <c r="D247" s="838"/>
      <c r="E247" s="838"/>
      <c r="F247" s="838"/>
      <c r="G247" s="854">
        <v>69.886712931315586</v>
      </c>
      <c r="H247" s="854">
        <v>84.617739005122857</v>
      </c>
      <c r="I247" s="854">
        <v>99.77020761765985</v>
      </c>
      <c r="J247" s="854">
        <v>115.81072942703476</v>
      </c>
      <c r="K247" s="854">
        <v>131.19780938437214</v>
      </c>
      <c r="L247" s="854">
        <v>145.46220447607328</v>
      </c>
      <c r="M247" s="854">
        <v>157.75364681050067</v>
      </c>
      <c r="N247" s="854">
        <v>168.55506474700036</v>
      </c>
      <c r="O247" s="854">
        <v>177.96704120423578</v>
      </c>
      <c r="P247" s="854">
        <v>186.1654499682482</v>
      </c>
      <c r="Q247" s="854">
        <v>193.35230342395749</v>
      </c>
      <c r="R247" s="854">
        <v>196.11147215578865</v>
      </c>
      <c r="S247" s="854">
        <v>198.15456111208027</v>
      </c>
      <c r="T247" s="854">
        <v>199.65744029461996</v>
      </c>
      <c r="U247" s="854">
        <v>200.75757592848979</v>
      </c>
      <c r="V247" s="854">
        <v>201.56002861929591</v>
      </c>
      <c r="W247" s="854">
        <v>202.14382617150503</v>
      </c>
      <c r="X247" s="854">
        <v>202.5677447446416</v>
      </c>
      <c r="Y247" s="854">
        <v>202.87514562074011</v>
      </c>
      <c r="Z247" s="854">
        <v>203.09783237720012</v>
      </c>
      <c r="AA247" s="854">
        <v>203.25903410630769</v>
      </c>
      <c r="AB247" s="854">
        <v>203.37566609727986</v>
      </c>
      <c r="AC247" s="854">
        <v>203.46001922812226</v>
      </c>
      <c r="AD247" s="854">
        <v>203.52101022912549</v>
      </c>
      <c r="AE247" s="854">
        <v>203.56510065539746</v>
      </c>
      <c r="AF247" s="854">
        <v>203.59696908402657</v>
      </c>
    </row>
    <row r="248" spans="1:32" s="864" customFormat="1" ht="14.45" x14ac:dyDescent="0.35">
      <c r="A248" s="839"/>
      <c r="B248" s="839"/>
      <c r="C248" s="838"/>
      <c r="D248" s="838"/>
      <c r="E248" s="838"/>
      <c r="F248" s="838"/>
      <c r="G248" s="854"/>
      <c r="H248" s="838"/>
      <c r="I248" s="838"/>
      <c r="J248" s="838"/>
      <c r="K248" s="838"/>
      <c r="L248" s="838"/>
      <c r="M248" s="838"/>
      <c r="N248" s="838"/>
      <c r="O248" s="838"/>
      <c r="P248" s="838"/>
      <c r="Q248" s="838"/>
      <c r="R248" s="838"/>
      <c r="S248" s="838"/>
      <c r="T248" s="838"/>
      <c r="U248" s="838"/>
      <c r="V248" s="838"/>
      <c r="W248" s="838"/>
      <c r="X248" s="838"/>
      <c r="Y248" s="838"/>
      <c r="Z248" s="838"/>
      <c r="AA248" s="838"/>
      <c r="AB248" s="838"/>
      <c r="AC248" s="838"/>
      <c r="AD248" s="838"/>
      <c r="AE248" s="838"/>
      <c r="AF248" s="838"/>
    </row>
    <row r="249" spans="1:32" s="856" customFormat="1" ht="12.95" x14ac:dyDescent="0.3">
      <c r="A249" s="843" t="s">
        <v>42</v>
      </c>
      <c r="B249" s="843"/>
      <c r="C249" s="843"/>
      <c r="D249" s="843"/>
      <c r="E249" s="843"/>
      <c r="F249" s="843"/>
      <c r="G249" s="865"/>
      <c r="H249" s="843"/>
      <c r="I249" s="843"/>
      <c r="J249" s="843"/>
      <c r="K249" s="843"/>
      <c r="L249" s="843"/>
      <c r="M249" s="843"/>
      <c r="N249" s="843"/>
      <c r="O249" s="843"/>
      <c r="P249" s="843"/>
      <c r="Q249" s="843"/>
      <c r="R249" s="843"/>
      <c r="S249" s="843"/>
      <c r="T249" s="843"/>
      <c r="U249" s="843"/>
      <c r="V249" s="843"/>
      <c r="W249" s="843"/>
      <c r="X249" s="843"/>
      <c r="Y249" s="843"/>
      <c r="Z249" s="843"/>
      <c r="AA249" s="843"/>
      <c r="AB249" s="843"/>
      <c r="AC249" s="843"/>
      <c r="AD249" s="843"/>
      <c r="AE249" s="843"/>
      <c r="AF249" s="843"/>
    </row>
    <row r="250" spans="1:32" s="864" customFormat="1" ht="14.45" x14ac:dyDescent="0.35">
      <c r="A250" s="839"/>
      <c r="B250" s="842" t="s">
        <v>43</v>
      </c>
      <c r="C250" s="838"/>
      <c r="D250" s="838"/>
      <c r="E250" s="838"/>
      <c r="F250" s="838"/>
      <c r="G250" s="854">
        <v>19.824999999999999</v>
      </c>
      <c r="H250" s="854">
        <v>19.824999999999999</v>
      </c>
      <c r="I250" s="854">
        <v>19.824999999999999</v>
      </c>
      <c r="J250" s="854">
        <v>19.824999999999999</v>
      </c>
      <c r="K250" s="854">
        <v>19.824999999999999</v>
      </c>
      <c r="L250" s="854">
        <v>19.824999999999999</v>
      </c>
      <c r="M250" s="854">
        <v>19.824999999999999</v>
      </c>
      <c r="N250" s="854">
        <v>19.824999999999999</v>
      </c>
      <c r="O250" s="854">
        <v>19.824999999999999</v>
      </c>
      <c r="P250" s="854">
        <v>19.824999999999999</v>
      </c>
      <c r="Q250" s="854">
        <v>19.824999999999999</v>
      </c>
      <c r="R250" s="854">
        <v>19.824999999999999</v>
      </c>
      <c r="S250" s="854">
        <v>19.824999999999999</v>
      </c>
      <c r="T250" s="854">
        <v>19.824999999999999</v>
      </c>
      <c r="U250" s="854">
        <v>19.824999999999999</v>
      </c>
      <c r="V250" s="854">
        <v>19.824999999999999</v>
      </c>
      <c r="W250" s="854">
        <v>19.824999999999999</v>
      </c>
      <c r="X250" s="854">
        <v>19.824999999999999</v>
      </c>
      <c r="Y250" s="854">
        <v>19.824999999999999</v>
      </c>
      <c r="Z250" s="854">
        <v>19.824999999999999</v>
      </c>
      <c r="AA250" s="854">
        <v>19.824999999999999</v>
      </c>
      <c r="AB250" s="854">
        <v>19.824999999999999</v>
      </c>
      <c r="AC250" s="854">
        <v>19.824999999999999</v>
      </c>
      <c r="AD250" s="854">
        <v>19.824999999999999</v>
      </c>
      <c r="AE250" s="854">
        <v>19.824999999999999</v>
      </c>
      <c r="AF250" s="854">
        <v>19.824999999999999</v>
      </c>
    </row>
    <row r="251" spans="1:32" s="864" customFormat="1" ht="14.45" x14ac:dyDescent="0.35">
      <c r="A251" s="839"/>
      <c r="B251" s="842" t="s">
        <v>44</v>
      </c>
      <c r="C251" s="838"/>
      <c r="D251" s="838"/>
      <c r="E251" s="838"/>
      <c r="F251" s="838"/>
      <c r="G251" s="854">
        <v>39.000000000000071</v>
      </c>
      <c r="H251" s="854">
        <v>39.548390273850728</v>
      </c>
      <c r="I251" s="854">
        <v>39.842795164226786</v>
      </c>
      <c r="J251" s="854">
        <v>40.13720005460285</v>
      </c>
      <c r="K251" s="854">
        <v>40.431604944978901</v>
      </c>
      <c r="L251" s="854">
        <v>40.726009835354958</v>
      </c>
      <c r="M251" s="854">
        <v>41.020414725731015</v>
      </c>
      <c r="N251" s="854">
        <v>41.314819616107073</v>
      </c>
      <c r="O251" s="854">
        <v>41.609224506483123</v>
      </c>
      <c r="P251" s="854">
        <v>41.903629396859181</v>
      </c>
      <c r="Q251" s="854">
        <v>42.198034287235238</v>
      </c>
      <c r="R251" s="854">
        <v>42.492439177611288</v>
      </c>
      <c r="S251" s="854">
        <v>42.786844067987346</v>
      </c>
      <c r="T251" s="854">
        <v>43.081248958363403</v>
      </c>
      <c r="U251" s="854">
        <v>43.375653848739461</v>
      </c>
      <c r="V251" s="854">
        <v>43.670058739115518</v>
      </c>
      <c r="W251" s="854">
        <v>43.964463629491568</v>
      </c>
      <c r="X251" s="854">
        <v>44.258868519867633</v>
      </c>
      <c r="Y251" s="854">
        <v>44.553273410243683</v>
      </c>
      <c r="Z251" s="854">
        <v>44.847678300619741</v>
      </c>
      <c r="AA251" s="854">
        <v>45.142083190995791</v>
      </c>
      <c r="AB251" s="854">
        <v>45.436488081371856</v>
      </c>
      <c r="AC251" s="854">
        <v>45.730892971748034</v>
      </c>
      <c r="AD251" s="854">
        <v>46.025297862124098</v>
      </c>
      <c r="AE251" s="854">
        <v>46.319702752500149</v>
      </c>
      <c r="AF251" s="854">
        <v>46.614107642876206</v>
      </c>
    </row>
    <row r="252" spans="1:32" s="864" customFormat="1" ht="14.45" x14ac:dyDescent="0.35">
      <c r="A252" s="839"/>
      <c r="B252" s="842" t="s">
        <v>45</v>
      </c>
      <c r="C252" s="838"/>
      <c r="D252" s="838"/>
      <c r="E252" s="838"/>
      <c r="F252" s="838"/>
      <c r="G252" s="854">
        <v>54.340000000000011</v>
      </c>
      <c r="H252" s="854">
        <v>54.475850000000001</v>
      </c>
      <c r="I252" s="854">
        <v>54.611699999999999</v>
      </c>
      <c r="J252" s="854">
        <v>54.747549999999997</v>
      </c>
      <c r="K252" s="854">
        <v>54.883400000000023</v>
      </c>
      <c r="L252" s="854">
        <v>55.019250000000021</v>
      </c>
      <c r="M252" s="854">
        <v>55.155100000000019</v>
      </c>
      <c r="N252" s="854">
        <v>55.290950000000009</v>
      </c>
      <c r="O252" s="854">
        <v>55.426800000000014</v>
      </c>
      <c r="P252" s="854">
        <v>55.562650000000005</v>
      </c>
      <c r="Q252" s="854">
        <v>55.69850000000001</v>
      </c>
      <c r="R252" s="854">
        <v>55.834350000000001</v>
      </c>
      <c r="S252" s="854">
        <v>55.970199999999998</v>
      </c>
      <c r="T252" s="854">
        <v>56.106049999999996</v>
      </c>
      <c r="U252" s="854">
        <v>56.24190000000003</v>
      </c>
      <c r="V252" s="854">
        <v>56.37775000000002</v>
      </c>
      <c r="W252" s="854">
        <v>56.513600000000011</v>
      </c>
      <c r="X252" s="854">
        <v>56.649450000000016</v>
      </c>
      <c r="Y252" s="854">
        <v>56.785300000000007</v>
      </c>
      <c r="Z252" s="854">
        <v>56.921150000000011</v>
      </c>
      <c r="AA252" s="854">
        <v>57.057000000000002</v>
      </c>
      <c r="AB252" s="854">
        <v>57.192850000000007</v>
      </c>
      <c r="AC252" s="854">
        <v>57.328699999999998</v>
      </c>
      <c r="AD252" s="854">
        <v>57.464549999999988</v>
      </c>
      <c r="AE252" s="854">
        <v>57.600400000000022</v>
      </c>
      <c r="AF252" s="854">
        <v>57.73625000000002</v>
      </c>
    </row>
    <row r="253" spans="1:32" s="864" customFormat="1" ht="14.45" x14ac:dyDescent="0.35">
      <c r="A253" s="839"/>
      <c r="B253" s="842" t="s">
        <v>46</v>
      </c>
      <c r="C253" s="838"/>
      <c r="D253" s="838"/>
      <c r="E253" s="838"/>
      <c r="F253" s="838"/>
      <c r="G253" s="854">
        <v>57.980000000000061</v>
      </c>
      <c r="H253" s="854">
        <v>58.414850000000087</v>
      </c>
      <c r="I253" s="854">
        <v>58.849700000000112</v>
      </c>
      <c r="J253" s="854">
        <v>59.284550000000017</v>
      </c>
      <c r="K253" s="854">
        <v>59.719400000000043</v>
      </c>
      <c r="L253" s="854">
        <v>60.154250000000069</v>
      </c>
      <c r="M253" s="854">
        <v>60.589100000000094</v>
      </c>
      <c r="N253" s="854">
        <v>61.02395000000012</v>
      </c>
      <c r="O253" s="854">
        <v>61.458800000000025</v>
      </c>
      <c r="P253" s="854">
        <v>61.893650000000051</v>
      </c>
      <c r="Q253" s="854">
        <v>62.328500000000076</v>
      </c>
      <c r="R253" s="854">
        <v>62.763350000000102</v>
      </c>
      <c r="S253" s="854">
        <v>63.198200000000121</v>
      </c>
      <c r="T253" s="854">
        <v>63.633050000000033</v>
      </c>
      <c r="U253" s="854">
        <v>64.067900000000066</v>
      </c>
      <c r="V253" s="854">
        <v>64.502750000000091</v>
      </c>
      <c r="W253" s="854">
        <v>64.937600000000117</v>
      </c>
      <c r="X253" s="854">
        <v>65.372450000000015</v>
      </c>
      <c r="Y253" s="854">
        <v>65.807300000000041</v>
      </c>
      <c r="Z253" s="854">
        <v>66.242150000000066</v>
      </c>
      <c r="AA253" s="854">
        <v>66.677000000000092</v>
      </c>
      <c r="AB253" s="854">
        <v>67.111850000000103</v>
      </c>
      <c r="AC253" s="854">
        <v>67.54670000000003</v>
      </c>
      <c r="AD253" s="854">
        <v>67.981550000000055</v>
      </c>
      <c r="AE253" s="854">
        <v>68.416400000000081</v>
      </c>
      <c r="AF253" s="854">
        <v>68.851250000000107</v>
      </c>
    </row>
    <row r="254" spans="1:32" s="864" customFormat="1" ht="14.45" x14ac:dyDescent="0.35">
      <c r="A254" s="839"/>
      <c r="B254" s="839" t="s">
        <v>29</v>
      </c>
      <c r="C254" s="838"/>
      <c r="D254" s="838"/>
      <c r="E254" s="838"/>
      <c r="F254" s="838"/>
      <c r="G254" s="854">
        <v>69.886712931315586</v>
      </c>
      <c r="H254" s="854">
        <v>84.617739005122857</v>
      </c>
      <c r="I254" s="854">
        <v>99.77020761765985</v>
      </c>
      <c r="J254" s="854">
        <v>115.81072942703476</v>
      </c>
      <c r="K254" s="854">
        <v>131.19780938437214</v>
      </c>
      <c r="L254" s="854">
        <v>145.46220447607328</v>
      </c>
      <c r="M254" s="854">
        <v>157.75364681050067</v>
      </c>
      <c r="N254" s="854">
        <v>168.55506474700036</v>
      </c>
      <c r="O254" s="854">
        <v>177.96704120423578</v>
      </c>
      <c r="P254" s="854">
        <v>186.1654499682482</v>
      </c>
      <c r="Q254" s="854">
        <v>193.35230342395749</v>
      </c>
      <c r="R254" s="854">
        <v>196.11147215578865</v>
      </c>
      <c r="S254" s="854">
        <v>198.15456111208027</v>
      </c>
      <c r="T254" s="854">
        <v>199.65744029461996</v>
      </c>
      <c r="U254" s="854">
        <v>200.75757592848979</v>
      </c>
      <c r="V254" s="854">
        <v>201.56002861929591</v>
      </c>
      <c r="W254" s="854">
        <v>202.14382617150503</v>
      </c>
      <c r="X254" s="854">
        <v>202.5677447446416</v>
      </c>
      <c r="Y254" s="854">
        <v>202.87514562074011</v>
      </c>
      <c r="Z254" s="854">
        <v>203.09783237720012</v>
      </c>
      <c r="AA254" s="854">
        <v>203.25903410630769</v>
      </c>
      <c r="AB254" s="854">
        <v>203.37566609727986</v>
      </c>
      <c r="AC254" s="854">
        <v>203.46001922812226</v>
      </c>
      <c r="AD254" s="854">
        <v>203.52101022912549</v>
      </c>
      <c r="AE254" s="854">
        <v>203.56510065539746</v>
      </c>
      <c r="AF254" s="854">
        <v>203.59696908402657</v>
      </c>
    </row>
    <row r="255" spans="1:32" s="864" customFormat="1" ht="14.45" x14ac:dyDescent="0.35">
      <c r="A255" s="839"/>
      <c r="B255" s="839"/>
      <c r="C255" s="838"/>
      <c r="D255" s="838"/>
      <c r="E255" s="838"/>
      <c r="F255" s="838"/>
      <c r="G255" s="854"/>
      <c r="H255" s="838"/>
      <c r="I255" s="838"/>
      <c r="J255" s="838"/>
      <c r="K255" s="838"/>
      <c r="L255" s="838"/>
      <c r="M255" s="838"/>
      <c r="N255" s="838"/>
      <c r="O255" s="838"/>
      <c r="P255" s="838"/>
      <c r="Q255" s="838"/>
      <c r="R255" s="838"/>
      <c r="S255" s="838"/>
      <c r="T255" s="838"/>
      <c r="U255" s="838"/>
      <c r="V255" s="838"/>
      <c r="W255" s="838"/>
      <c r="X255" s="838"/>
      <c r="Y255" s="838"/>
      <c r="Z255" s="838"/>
      <c r="AA255" s="838"/>
      <c r="AB255" s="838"/>
      <c r="AC255" s="838"/>
      <c r="AD255" s="838"/>
      <c r="AE255" s="838"/>
      <c r="AF255" s="838"/>
    </row>
    <row r="256" spans="1:32" s="856" customFormat="1" ht="12.95" x14ac:dyDescent="0.3">
      <c r="A256" s="843" t="s">
        <v>47</v>
      </c>
      <c r="B256" s="843"/>
      <c r="C256" s="843"/>
      <c r="D256" s="843"/>
      <c r="E256" s="843"/>
      <c r="F256" s="843"/>
      <c r="G256" s="865"/>
      <c r="H256" s="843"/>
      <c r="I256" s="843"/>
      <c r="J256" s="843"/>
      <c r="K256" s="843"/>
      <c r="L256" s="843"/>
      <c r="M256" s="843"/>
      <c r="N256" s="843"/>
      <c r="O256" s="843"/>
      <c r="P256" s="843"/>
      <c r="Q256" s="843"/>
      <c r="R256" s="843"/>
      <c r="S256" s="843"/>
      <c r="T256" s="843"/>
      <c r="U256" s="843"/>
      <c r="V256" s="843"/>
      <c r="W256" s="843"/>
      <c r="X256" s="843"/>
      <c r="Y256" s="843"/>
      <c r="Z256" s="843"/>
      <c r="AA256" s="843"/>
      <c r="AB256" s="843"/>
      <c r="AC256" s="843"/>
      <c r="AD256" s="843"/>
      <c r="AE256" s="843"/>
      <c r="AF256" s="843"/>
    </row>
    <row r="257" spans="1:32" s="864" customFormat="1" ht="14.45" x14ac:dyDescent="0.35">
      <c r="A257" s="839"/>
      <c r="B257" s="839" t="s">
        <v>48</v>
      </c>
      <c r="C257" s="838"/>
      <c r="D257" s="838"/>
      <c r="E257" s="838"/>
      <c r="F257" s="838"/>
      <c r="G257" s="854">
        <v>12.199999999999996</v>
      </c>
      <c r="H257" s="854">
        <v>12.230499999999992</v>
      </c>
      <c r="I257" s="854">
        <v>11.995353221957036</v>
      </c>
      <c r="J257" s="854">
        <v>11.760206443914079</v>
      </c>
      <c r="K257" s="854">
        <v>11.525059665871122</v>
      </c>
      <c r="L257" s="854">
        <v>11.5538723150358</v>
      </c>
      <c r="M257" s="854">
        <v>11.582756995823388</v>
      </c>
      <c r="N257" s="854">
        <v>11.611713888312945</v>
      </c>
      <c r="O257" s="854">
        <v>11.640743173033728</v>
      </c>
      <c r="P257" s="854">
        <v>11.669845030966313</v>
      </c>
      <c r="Q257" s="854">
        <v>11.699019643543727</v>
      </c>
      <c r="R257" s="854">
        <v>11.728267192652584</v>
      </c>
      <c r="S257" s="854">
        <v>11.757587860634217</v>
      </c>
      <c r="T257" s="854">
        <v>11.786981830285802</v>
      </c>
      <c r="U257" s="854">
        <v>11.816449284861516</v>
      </c>
      <c r="V257" s="854">
        <v>11.845990408073668</v>
      </c>
      <c r="W257" s="854">
        <v>11.875605384093852</v>
      </c>
      <c r="X257" s="854">
        <v>11.905294397554089</v>
      </c>
      <c r="Y257" s="854">
        <v>11.93505763354797</v>
      </c>
      <c r="Z257" s="854">
        <v>11.96489527763184</v>
      </c>
      <c r="AA257" s="854">
        <v>11.99480751582592</v>
      </c>
      <c r="AB257" s="854">
        <v>12.024794534615484</v>
      </c>
      <c r="AC257" s="854">
        <v>12.054856520952024</v>
      </c>
      <c r="AD257" s="854">
        <v>12.084993662254401</v>
      </c>
      <c r="AE257" s="854">
        <v>12.115206146410038</v>
      </c>
      <c r="AF257" s="854">
        <v>12.145494161776062</v>
      </c>
    </row>
    <row r="258" spans="1:32" s="864" customFormat="1" ht="14.45" x14ac:dyDescent="0.35">
      <c r="A258" s="839"/>
      <c r="B258" s="842" t="s">
        <v>50</v>
      </c>
      <c r="C258" s="838"/>
      <c r="D258" s="838"/>
      <c r="E258" s="838"/>
      <c r="F258" s="838"/>
      <c r="G258" s="854">
        <v>16.5</v>
      </c>
      <c r="H258" s="854">
        <v>16.541249999999991</v>
      </c>
      <c r="I258" s="854">
        <v>16.582499999999996</v>
      </c>
      <c r="J258" s="854">
        <v>16.623750000000001</v>
      </c>
      <c r="K258" s="854">
        <v>16.664999999999992</v>
      </c>
      <c r="L258" s="854">
        <v>16.706249999999997</v>
      </c>
      <c r="M258" s="854">
        <v>16.747500000000002</v>
      </c>
      <c r="N258" s="854">
        <v>16.788749999999993</v>
      </c>
      <c r="O258" s="854">
        <v>16.829999999999998</v>
      </c>
      <c r="P258" s="854">
        <v>16.871249999999989</v>
      </c>
      <c r="Q258" s="854">
        <v>16.912499999999994</v>
      </c>
      <c r="R258" s="854">
        <v>16.953749999999999</v>
      </c>
      <c r="S258" s="854">
        <v>16.99499999999999</v>
      </c>
      <c r="T258" s="854">
        <v>17.036249999999995</v>
      </c>
      <c r="U258" s="854">
        <v>17.077500000000001</v>
      </c>
      <c r="V258" s="854">
        <v>17.118749999999991</v>
      </c>
      <c r="W258" s="854">
        <v>17.159999999999997</v>
      </c>
      <c r="X258" s="854">
        <v>17.201250000000002</v>
      </c>
      <c r="Y258" s="854">
        <v>17.242499999999993</v>
      </c>
      <c r="Z258" s="854">
        <v>17.283749999999998</v>
      </c>
      <c r="AA258" s="854">
        <v>17.324999999999989</v>
      </c>
      <c r="AB258" s="854">
        <v>17.366249999999994</v>
      </c>
      <c r="AC258" s="854">
        <v>17.407499999999999</v>
      </c>
      <c r="AD258" s="854">
        <v>17.44874999999999</v>
      </c>
      <c r="AE258" s="854">
        <v>17.489999999999995</v>
      </c>
      <c r="AF258" s="854">
        <v>17.53125</v>
      </c>
    </row>
    <row r="259" spans="1:32" s="864" customFormat="1" ht="14.45" x14ac:dyDescent="0.35">
      <c r="A259" s="839"/>
      <c r="B259" s="839" t="s">
        <v>51</v>
      </c>
      <c r="C259" s="838"/>
      <c r="D259" s="838"/>
      <c r="E259" s="838"/>
      <c r="F259" s="838"/>
      <c r="G259" s="854">
        <v>54.599999999999994</v>
      </c>
      <c r="H259" s="854">
        <v>54.736500000000007</v>
      </c>
      <c r="I259" s="854">
        <v>54.873000000000019</v>
      </c>
      <c r="J259" s="854">
        <v>55.009500000000031</v>
      </c>
      <c r="K259" s="854">
        <v>55.145999999999987</v>
      </c>
      <c r="L259" s="854">
        <v>55.282499999999999</v>
      </c>
      <c r="M259" s="854">
        <v>55.419000000000011</v>
      </c>
      <c r="N259" s="854">
        <v>55.555500000000023</v>
      </c>
      <c r="O259" s="854">
        <v>55.691999999999979</v>
      </c>
      <c r="P259" s="854">
        <v>55.828499999999991</v>
      </c>
      <c r="Q259" s="854">
        <v>55.965000000000003</v>
      </c>
      <c r="R259" s="854">
        <v>56.101500000000016</v>
      </c>
      <c r="S259" s="854">
        <v>56.238000000000028</v>
      </c>
      <c r="T259" s="854">
        <v>56.374499999999983</v>
      </c>
      <c r="U259" s="854">
        <v>56.510999999999996</v>
      </c>
      <c r="V259" s="854">
        <v>56.647500000000008</v>
      </c>
      <c r="W259" s="854">
        <v>56.78400000000002</v>
      </c>
      <c r="X259" s="854">
        <v>56.920500000000033</v>
      </c>
      <c r="Y259" s="854">
        <v>57.056999999999988</v>
      </c>
      <c r="Z259" s="854">
        <v>57.1935</v>
      </c>
      <c r="AA259" s="854">
        <v>57.330000000000013</v>
      </c>
      <c r="AB259" s="854">
        <v>57.466500000000025</v>
      </c>
      <c r="AC259" s="854">
        <v>57.60299999999998</v>
      </c>
      <c r="AD259" s="854">
        <v>57.739499999999992</v>
      </c>
      <c r="AE259" s="854">
        <v>57.876000000000005</v>
      </c>
      <c r="AF259" s="854">
        <v>58.012500000000017</v>
      </c>
    </row>
    <row r="260" spans="1:32" s="864" customFormat="1" ht="14.45" x14ac:dyDescent="0.35">
      <c r="A260" s="839"/>
      <c r="B260" s="839" t="s">
        <v>52</v>
      </c>
      <c r="C260" s="838"/>
      <c r="D260" s="838"/>
      <c r="E260" s="838"/>
      <c r="F260" s="838"/>
      <c r="G260" s="854">
        <v>51.589999999999989</v>
      </c>
      <c r="H260" s="854">
        <v>51.718974999999972</v>
      </c>
      <c r="I260" s="854">
        <v>51.847949999999969</v>
      </c>
      <c r="J260" s="854">
        <v>51.976924999999994</v>
      </c>
      <c r="K260" s="854">
        <v>52.105899999999984</v>
      </c>
      <c r="L260" s="854">
        <v>52.773577209944726</v>
      </c>
      <c r="M260" s="854">
        <v>53.443914677716357</v>
      </c>
      <c r="N260" s="854">
        <v>54.116912403314913</v>
      </c>
      <c r="O260" s="854">
        <v>54.249877790055244</v>
      </c>
      <c r="P260" s="854">
        <v>54.382843176795561</v>
      </c>
      <c r="Q260" s="854">
        <v>54.515808563535884</v>
      </c>
      <c r="R260" s="854">
        <v>54.648773950276244</v>
      </c>
      <c r="S260" s="854">
        <v>54.781739337016568</v>
      </c>
      <c r="T260" s="854">
        <v>54.914704723756884</v>
      </c>
      <c r="U260" s="854">
        <v>55.047670110497215</v>
      </c>
      <c r="V260" s="854">
        <v>55.180635497237532</v>
      </c>
      <c r="W260" s="854">
        <v>55.313600883977898</v>
      </c>
      <c r="X260" s="854">
        <v>55.446566270718215</v>
      </c>
      <c r="Y260" s="854">
        <v>55.579531657458539</v>
      </c>
      <c r="Z260" s="854">
        <v>55.712497044198862</v>
      </c>
      <c r="AA260" s="854">
        <v>55.845462430939222</v>
      </c>
      <c r="AB260" s="854">
        <v>55.978427817679538</v>
      </c>
      <c r="AC260" s="854">
        <v>56.111393204419862</v>
      </c>
      <c r="AD260" s="854">
        <v>56.244358591160193</v>
      </c>
      <c r="AE260" s="854">
        <v>56.377323977900545</v>
      </c>
      <c r="AF260" s="854">
        <v>56.510289364640876</v>
      </c>
    </row>
    <row r="261" spans="1:32" s="864" customFormat="1" ht="14.45" x14ac:dyDescent="0.35">
      <c r="A261" s="839"/>
      <c r="B261" s="842" t="s">
        <v>29</v>
      </c>
      <c r="C261" s="838"/>
      <c r="D261" s="838"/>
      <c r="E261" s="838"/>
      <c r="F261" s="838"/>
      <c r="G261" s="854">
        <v>69.886712931315586</v>
      </c>
      <c r="H261" s="854">
        <v>84.617739005122857</v>
      </c>
      <c r="I261" s="854">
        <v>99.77020761765985</v>
      </c>
      <c r="J261" s="854">
        <v>115.81072942703476</v>
      </c>
      <c r="K261" s="854">
        <v>131.19780938437214</v>
      </c>
      <c r="L261" s="854">
        <v>145.46220447607328</v>
      </c>
      <c r="M261" s="854">
        <v>157.75364681050067</v>
      </c>
      <c r="N261" s="854">
        <v>168.55506474700036</v>
      </c>
      <c r="O261" s="854">
        <v>177.96704120423578</v>
      </c>
      <c r="P261" s="854">
        <v>186.1654499682482</v>
      </c>
      <c r="Q261" s="854">
        <v>193.35230342395749</v>
      </c>
      <c r="R261" s="854">
        <v>196.11147215578865</v>
      </c>
      <c r="S261" s="854">
        <v>198.15456111208027</v>
      </c>
      <c r="T261" s="854">
        <v>199.65744029461996</v>
      </c>
      <c r="U261" s="854">
        <v>200.75757592848979</v>
      </c>
      <c r="V261" s="854">
        <v>201.56002861929591</v>
      </c>
      <c r="W261" s="854">
        <v>202.14382617150503</v>
      </c>
      <c r="X261" s="854">
        <v>202.5677447446416</v>
      </c>
      <c r="Y261" s="854">
        <v>202.87514562074011</v>
      </c>
      <c r="Z261" s="854">
        <v>203.09783237720012</v>
      </c>
      <c r="AA261" s="854">
        <v>203.25903410630769</v>
      </c>
      <c r="AB261" s="854">
        <v>203.37566609727986</v>
      </c>
      <c r="AC261" s="854">
        <v>203.46001922812226</v>
      </c>
      <c r="AD261" s="854">
        <v>203.52101022912549</v>
      </c>
      <c r="AE261" s="854">
        <v>203.56510065539746</v>
      </c>
      <c r="AF261" s="854">
        <v>203.59696908402657</v>
      </c>
    </row>
    <row r="262" spans="1:32" s="864" customFormat="1" ht="14.45" x14ac:dyDescent="0.35">
      <c r="A262" s="839"/>
      <c r="B262" s="842" t="s">
        <v>53</v>
      </c>
      <c r="C262" s="838"/>
      <c r="D262" s="838"/>
      <c r="E262" s="838"/>
      <c r="F262" s="838"/>
      <c r="G262" s="854">
        <v>0</v>
      </c>
      <c r="H262" s="854">
        <v>0</v>
      </c>
      <c r="I262" s="854">
        <v>0</v>
      </c>
      <c r="J262" s="854">
        <v>0</v>
      </c>
      <c r="K262" s="854">
        <v>0</v>
      </c>
      <c r="L262" s="854">
        <v>0</v>
      </c>
      <c r="M262" s="854">
        <v>0</v>
      </c>
      <c r="N262" s="854">
        <v>0</v>
      </c>
      <c r="O262" s="854">
        <v>0</v>
      </c>
      <c r="P262" s="854">
        <v>0</v>
      </c>
      <c r="Q262" s="854">
        <v>0</v>
      </c>
      <c r="R262" s="854">
        <v>0</v>
      </c>
      <c r="S262" s="854">
        <v>0</v>
      </c>
      <c r="T262" s="854">
        <v>0</v>
      </c>
      <c r="U262" s="854">
        <v>0</v>
      </c>
      <c r="V262" s="854">
        <v>0</v>
      </c>
      <c r="W262" s="854">
        <v>0</v>
      </c>
      <c r="X262" s="854">
        <v>0</v>
      </c>
      <c r="Y262" s="854">
        <v>0</v>
      </c>
      <c r="Z262" s="854">
        <v>0</v>
      </c>
      <c r="AA262" s="854">
        <v>0</v>
      </c>
      <c r="AB262" s="854">
        <v>0</v>
      </c>
      <c r="AC262" s="854">
        <v>0</v>
      </c>
      <c r="AD262" s="854">
        <v>0</v>
      </c>
      <c r="AE262" s="854">
        <v>0</v>
      </c>
      <c r="AF262" s="854">
        <v>0</v>
      </c>
    </row>
    <row r="265" spans="1:32" ht="14.45" x14ac:dyDescent="0.35">
      <c r="A265" s="860" t="s">
        <v>54</v>
      </c>
      <c r="B265" s="861"/>
      <c r="C265" s="860"/>
      <c r="D265" s="859"/>
      <c r="E265" s="859"/>
      <c r="F265" s="859"/>
      <c r="G265" s="859"/>
      <c r="H265" s="862"/>
      <c r="I265" s="862"/>
      <c r="J265" s="862"/>
      <c r="K265" s="862"/>
      <c r="L265" s="862"/>
      <c r="M265" s="862"/>
      <c r="N265" s="862"/>
      <c r="O265" s="862"/>
      <c r="P265" s="862"/>
      <c r="Q265" s="862"/>
      <c r="R265" s="862"/>
      <c r="S265" s="862"/>
      <c r="T265" s="862"/>
      <c r="U265" s="862"/>
      <c r="V265" s="862"/>
      <c r="W265" s="862"/>
      <c r="X265" s="862"/>
      <c r="Y265" s="862"/>
      <c r="Z265" s="862"/>
      <c r="AA265" s="862"/>
      <c r="AB265" s="862"/>
      <c r="AC265" s="862"/>
      <c r="AD265" s="862"/>
      <c r="AE265" s="862"/>
      <c r="AF265" s="862"/>
    </row>
    <row r="266" spans="1:32" ht="14.45" x14ac:dyDescent="0.35">
      <c r="A266" s="840" t="s">
        <v>12</v>
      </c>
      <c r="B266" s="839"/>
    </row>
    <row r="267" spans="1:32" ht="14.45" x14ac:dyDescent="0.35">
      <c r="A267" s="839"/>
      <c r="B267" s="839" t="s">
        <v>20</v>
      </c>
    </row>
    <row r="268" spans="1:32" s="856" customFormat="1" ht="12.95" x14ac:dyDescent="0.3">
      <c r="A268" s="843" t="s">
        <v>21</v>
      </c>
      <c r="B268" s="843"/>
      <c r="C268" s="843"/>
      <c r="D268" s="843"/>
      <c r="E268" s="843"/>
      <c r="F268" s="843"/>
      <c r="G268" s="843"/>
      <c r="H268" s="843"/>
      <c r="I268" s="843"/>
      <c r="J268" s="843"/>
      <c r="K268" s="843"/>
      <c r="L268" s="843"/>
      <c r="M268" s="843"/>
      <c r="N268" s="843"/>
      <c r="O268" s="843"/>
      <c r="P268" s="843"/>
      <c r="Q268" s="843"/>
      <c r="R268" s="843"/>
      <c r="S268" s="843"/>
      <c r="T268" s="843"/>
      <c r="U268" s="843"/>
      <c r="V268" s="843"/>
      <c r="W268" s="843"/>
      <c r="X268" s="843"/>
      <c r="Y268" s="843"/>
      <c r="Z268" s="843"/>
      <c r="AA268" s="843"/>
      <c r="AB268" s="843"/>
      <c r="AC268" s="843"/>
      <c r="AD268" s="843"/>
      <c r="AE268" s="843"/>
      <c r="AF268" s="843"/>
    </row>
    <row r="269" spans="1:32" s="864" customFormat="1" ht="14.45" x14ac:dyDescent="0.35">
      <c r="A269" s="839"/>
      <c r="B269" s="839" t="s">
        <v>22</v>
      </c>
      <c r="C269" s="838"/>
      <c r="D269" s="838"/>
      <c r="E269" s="838"/>
      <c r="F269" s="838"/>
      <c r="G269" s="854">
        <v>12.9</v>
      </c>
      <c r="H269" s="854">
        <v>12.9</v>
      </c>
      <c r="I269" s="854">
        <v>12.9</v>
      </c>
      <c r="J269" s="854">
        <v>12.9</v>
      </c>
      <c r="K269" s="854">
        <v>12.9</v>
      </c>
      <c r="L269" s="854">
        <v>12.9</v>
      </c>
      <c r="M269" s="854">
        <v>12.9</v>
      </c>
      <c r="N269" s="854">
        <v>12.9</v>
      </c>
      <c r="O269" s="854">
        <v>12.9</v>
      </c>
      <c r="P269" s="854">
        <v>12.9</v>
      </c>
      <c r="Q269" s="854">
        <v>12.9</v>
      </c>
      <c r="R269" s="854">
        <v>12.9</v>
      </c>
      <c r="S269" s="854">
        <v>12.9</v>
      </c>
      <c r="T269" s="854">
        <v>12.9</v>
      </c>
      <c r="U269" s="854">
        <v>12.9</v>
      </c>
      <c r="V269" s="854">
        <v>12.9</v>
      </c>
      <c r="W269" s="854">
        <v>12.9</v>
      </c>
      <c r="X269" s="854">
        <v>12.9</v>
      </c>
      <c r="Y269" s="854">
        <v>12.9</v>
      </c>
      <c r="Z269" s="854">
        <v>12.9</v>
      </c>
      <c r="AA269" s="854">
        <v>12.9</v>
      </c>
      <c r="AB269" s="854">
        <v>12.9</v>
      </c>
      <c r="AC269" s="854">
        <v>12.9</v>
      </c>
      <c r="AD269" s="854">
        <v>12.9</v>
      </c>
      <c r="AE269" s="854">
        <v>12.9</v>
      </c>
      <c r="AF269" s="854">
        <v>12.9</v>
      </c>
    </row>
    <row r="270" spans="1:32" s="864" customFormat="1" ht="14.45" x14ac:dyDescent="0.35">
      <c r="A270" s="839"/>
      <c r="B270" s="839" t="s">
        <v>26</v>
      </c>
      <c r="C270" s="838"/>
      <c r="D270" s="838"/>
      <c r="E270" s="838"/>
      <c r="F270" s="838"/>
      <c r="G270" s="854">
        <v>15</v>
      </c>
      <c r="H270" s="854">
        <v>15.074999999999989</v>
      </c>
      <c r="I270" s="854">
        <v>15.150000000000006</v>
      </c>
      <c r="J270" s="854">
        <v>15.224999999999994</v>
      </c>
      <c r="K270" s="854">
        <v>15.299999999999983</v>
      </c>
      <c r="L270" s="854">
        <v>15.375</v>
      </c>
      <c r="M270" s="854">
        <v>15.449999999999989</v>
      </c>
      <c r="N270" s="854">
        <v>15.525000000000006</v>
      </c>
      <c r="O270" s="854">
        <v>15.599999999999994</v>
      </c>
      <c r="P270" s="854">
        <v>15.674999999999983</v>
      </c>
      <c r="Q270" s="854">
        <v>15.75</v>
      </c>
      <c r="R270" s="854">
        <v>15.824999999999989</v>
      </c>
      <c r="S270" s="854">
        <v>15.900000000000006</v>
      </c>
      <c r="T270" s="854">
        <v>15.974999999999994</v>
      </c>
      <c r="U270" s="854">
        <v>16.049999999999983</v>
      </c>
      <c r="V270" s="854">
        <v>16.125</v>
      </c>
      <c r="W270" s="854">
        <v>16.199999999999989</v>
      </c>
      <c r="X270" s="854">
        <v>16.275000000000006</v>
      </c>
      <c r="Y270" s="854">
        <v>16.349999999999994</v>
      </c>
      <c r="Z270" s="854">
        <v>16.424999999999983</v>
      </c>
      <c r="AA270" s="854">
        <v>16.5</v>
      </c>
      <c r="AB270" s="854">
        <v>16.574999999999989</v>
      </c>
      <c r="AC270" s="854">
        <v>16.650000000000006</v>
      </c>
      <c r="AD270" s="854">
        <v>16.724999999999994</v>
      </c>
      <c r="AE270" s="854">
        <v>16.799999999999983</v>
      </c>
      <c r="AF270" s="854">
        <v>16.875</v>
      </c>
    </row>
    <row r="271" spans="1:32" s="864" customFormat="1" ht="14.45" x14ac:dyDescent="0.35">
      <c r="A271" s="839"/>
      <c r="B271" s="839" t="s">
        <v>27</v>
      </c>
      <c r="C271" s="838"/>
      <c r="D271" s="838"/>
      <c r="E271" s="838"/>
      <c r="F271" s="838"/>
      <c r="G271" s="854">
        <v>53</v>
      </c>
      <c r="H271" s="854">
        <v>53.2650000000001</v>
      </c>
      <c r="I271" s="854">
        <v>53.530000000000086</v>
      </c>
      <c r="J271" s="854">
        <v>53.795000000000073</v>
      </c>
      <c r="K271" s="854">
        <v>54.060000000000059</v>
      </c>
      <c r="L271" s="854">
        <v>54.325000000000045</v>
      </c>
      <c r="M271" s="854">
        <v>54.590000000000032</v>
      </c>
      <c r="N271" s="854">
        <v>54.855000000000018</v>
      </c>
      <c r="O271" s="854">
        <v>55.120000000000005</v>
      </c>
      <c r="P271" s="854">
        <v>55.385000000000105</v>
      </c>
      <c r="Q271" s="854">
        <v>55.650000000000091</v>
      </c>
      <c r="R271" s="854">
        <v>55.915000000000077</v>
      </c>
      <c r="S271" s="854">
        <v>56.180000000000064</v>
      </c>
      <c r="T271" s="854">
        <v>56.44500000000005</v>
      </c>
      <c r="U271" s="854">
        <v>56.710000000000036</v>
      </c>
      <c r="V271" s="854">
        <v>56.975000000000023</v>
      </c>
      <c r="W271" s="854">
        <v>57.240000000000009</v>
      </c>
      <c r="X271" s="854">
        <v>57.504999999999995</v>
      </c>
      <c r="Y271" s="854">
        <v>57.770000000000095</v>
      </c>
      <c r="Z271" s="854">
        <v>58.035000000000082</v>
      </c>
      <c r="AA271" s="854">
        <v>58.300000000000068</v>
      </c>
      <c r="AB271" s="854">
        <v>58.565000000000055</v>
      </c>
      <c r="AC271" s="854">
        <v>58.830000000000041</v>
      </c>
      <c r="AD271" s="854">
        <v>59.095000000000027</v>
      </c>
      <c r="AE271" s="854">
        <v>59.360000000000014</v>
      </c>
      <c r="AF271" s="854">
        <v>59.625</v>
      </c>
    </row>
    <row r="272" spans="1:32" s="864" customFormat="1" ht="14.45" x14ac:dyDescent="0.35">
      <c r="A272" s="839"/>
      <c r="B272" s="839" t="s">
        <v>29</v>
      </c>
      <c r="C272" s="838"/>
      <c r="D272" s="838"/>
      <c r="E272" s="838"/>
      <c r="F272" s="838"/>
      <c r="G272" s="854">
        <v>36.873768202819726</v>
      </c>
      <c r="H272" s="854">
        <v>48.266272480467556</v>
      </c>
      <c r="I272" s="854">
        <v>61.701198700113544</v>
      </c>
      <c r="J272" s="854">
        <v>77.591734715380795</v>
      </c>
      <c r="K272" s="854">
        <v>94.800465488123137</v>
      </c>
      <c r="L272" s="854">
        <v>112.50003941617493</v>
      </c>
      <c r="M272" s="854">
        <v>129.3471504340618</v>
      </c>
      <c r="N272" s="854">
        <v>145.03095133963808</v>
      </c>
      <c r="O272" s="854">
        <v>159.127310954921</v>
      </c>
      <c r="P272" s="854">
        <v>171.48202098927979</v>
      </c>
      <c r="Q272" s="854">
        <v>182.15170200680319</v>
      </c>
      <c r="R272" s="854">
        <v>187.8607232688625</v>
      </c>
      <c r="S272" s="854">
        <v>192.15160570290442</v>
      </c>
      <c r="T272" s="854">
        <v>195.33034204073093</v>
      </c>
      <c r="U272" s="854">
        <v>197.66006127320361</v>
      </c>
      <c r="V272" s="854">
        <v>199.35413887963063</v>
      </c>
      <c r="W272" s="854">
        <v>200.57896356186501</v>
      </c>
      <c r="X272" s="854">
        <v>201.46085171629713</v>
      </c>
      <c r="Y272" s="854">
        <v>202.09392729485813</v>
      </c>
      <c r="Z272" s="854">
        <v>202.54741526513342</v>
      </c>
      <c r="AA272" s="854">
        <v>202.87176106409183</v>
      </c>
      <c r="AB272" s="854">
        <v>203.10348618652321</v>
      </c>
      <c r="AC272" s="854">
        <v>203.26890947460336</v>
      </c>
      <c r="AD272" s="854">
        <v>203.38693514979437</v>
      </c>
      <c r="AE272" s="854">
        <v>203.47111002115616</v>
      </c>
      <c r="AF272" s="854">
        <v>203.53112565740346</v>
      </c>
    </row>
    <row r="273" spans="1:32" s="864" customFormat="1" ht="14.45" x14ac:dyDescent="0.35">
      <c r="A273" s="839"/>
      <c r="B273" s="839"/>
      <c r="C273" s="838"/>
      <c r="D273" s="838"/>
      <c r="E273" s="838"/>
      <c r="F273" s="838"/>
      <c r="G273" s="854"/>
      <c r="H273" s="838"/>
      <c r="I273" s="838"/>
      <c r="J273" s="838"/>
      <c r="K273" s="838"/>
      <c r="L273" s="838"/>
      <c r="M273" s="838"/>
      <c r="N273" s="838"/>
      <c r="O273" s="838"/>
      <c r="P273" s="838"/>
      <c r="Q273" s="838"/>
      <c r="R273" s="838"/>
      <c r="S273" s="838"/>
      <c r="T273" s="838"/>
      <c r="U273" s="838"/>
      <c r="V273" s="838"/>
      <c r="W273" s="838"/>
      <c r="X273" s="838"/>
      <c r="Y273" s="838"/>
      <c r="Z273" s="838"/>
      <c r="AA273" s="838"/>
      <c r="AB273" s="838"/>
      <c r="AC273" s="838"/>
      <c r="AD273" s="838"/>
      <c r="AE273" s="838"/>
      <c r="AF273" s="838"/>
    </row>
    <row r="274" spans="1:32" s="856" customFormat="1" ht="12.95" x14ac:dyDescent="0.3">
      <c r="A274" s="843" t="s">
        <v>32</v>
      </c>
      <c r="B274" s="843"/>
      <c r="C274" s="843"/>
      <c r="D274" s="843"/>
      <c r="E274" s="843"/>
      <c r="F274" s="843"/>
      <c r="G274" s="865"/>
      <c r="H274" s="843"/>
      <c r="I274" s="843"/>
      <c r="J274" s="843"/>
      <c r="K274" s="843"/>
      <c r="L274" s="843"/>
      <c r="M274" s="843"/>
      <c r="N274" s="843"/>
      <c r="O274" s="843"/>
      <c r="P274" s="843"/>
      <c r="Q274" s="843"/>
      <c r="R274" s="843"/>
      <c r="S274" s="843"/>
      <c r="T274" s="843"/>
      <c r="U274" s="843"/>
      <c r="V274" s="843"/>
      <c r="W274" s="843"/>
      <c r="X274" s="843"/>
      <c r="Y274" s="843"/>
      <c r="Z274" s="843"/>
      <c r="AA274" s="843"/>
      <c r="AB274" s="843"/>
      <c r="AC274" s="843"/>
      <c r="AD274" s="843"/>
      <c r="AE274" s="843"/>
      <c r="AF274" s="843"/>
    </row>
    <row r="275" spans="1:32" s="864" customFormat="1" ht="14.45" x14ac:dyDescent="0.35">
      <c r="A275" s="839"/>
      <c r="B275" s="839" t="s">
        <v>33</v>
      </c>
      <c r="C275" s="838"/>
      <c r="D275" s="838"/>
      <c r="E275" s="838"/>
      <c r="F275" s="838"/>
      <c r="G275" s="854">
        <v>10.199999999999999</v>
      </c>
      <c r="H275" s="854">
        <v>10.199999999999999</v>
      </c>
      <c r="I275" s="854">
        <v>10.199999999999999</v>
      </c>
      <c r="J275" s="854">
        <v>10.199999999999999</v>
      </c>
      <c r="K275" s="854">
        <v>10.199999999999999</v>
      </c>
      <c r="L275" s="854">
        <v>10.199999999999999</v>
      </c>
      <c r="M275" s="854">
        <v>10.199999999999999</v>
      </c>
      <c r="N275" s="854">
        <v>10.199999999999999</v>
      </c>
      <c r="O275" s="854">
        <v>10.199999999999999</v>
      </c>
      <c r="P275" s="854">
        <v>10.199999999999999</v>
      </c>
      <c r="Q275" s="854">
        <v>10.199999999999999</v>
      </c>
      <c r="R275" s="854">
        <v>10.199999999999999</v>
      </c>
      <c r="S275" s="854">
        <v>10.199999999999999</v>
      </c>
      <c r="T275" s="854">
        <v>10.199999999999999</v>
      </c>
      <c r="U275" s="854">
        <v>10.199999999999999</v>
      </c>
      <c r="V275" s="854">
        <v>10.199999999999999</v>
      </c>
      <c r="W275" s="854">
        <v>10.199999999999999</v>
      </c>
      <c r="X275" s="854">
        <v>10.199999999999999</v>
      </c>
      <c r="Y275" s="854">
        <v>10.199999999999999</v>
      </c>
      <c r="Z275" s="854">
        <v>10.199999999999999</v>
      </c>
      <c r="AA275" s="854">
        <v>10.199999999999999</v>
      </c>
      <c r="AB275" s="854">
        <v>10.199999999999999</v>
      </c>
      <c r="AC275" s="854">
        <v>10.199999999999999</v>
      </c>
      <c r="AD275" s="854">
        <v>10.199999999999999</v>
      </c>
      <c r="AE275" s="854">
        <v>10.199999999999999</v>
      </c>
      <c r="AF275" s="854">
        <v>10.199999999999999</v>
      </c>
    </row>
    <row r="276" spans="1:32" s="864" customFormat="1" ht="14.45" x14ac:dyDescent="0.35">
      <c r="A276" s="842"/>
      <c r="B276" s="842" t="s">
        <v>34</v>
      </c>
      <c r="C276" s="838"/>
      <c r="D276" s="838"/>
      <c r="E276" s="838"/>
      <c r="F276" s="838"/>
      <c r="G276" s="854">
        <v>14.100000000000009</v>
      </c>
      <c r="H276" s="854">
        <v>14.170500000000018</v>
      </c>
      <c r="I276" s="854">
        <v>15.249613391040644</v>
      </c>
      <c r="J276" s="854">
        <v>16.328726782081269</v>
      </c>
      <c r="K276" s="854">
        <v>17.407840173121894</v>
      </c>
      <c r="L276" s="854">
        <v>17.494879373987501</v>
      </c>
      <c r="M276" s="854">
        <v>17.582353770857438</v>
      </c>
      <c r="N276" s="854">
        <v>17.670265539711721</v>
      </c>
      <c r="O276" s="854">
        <v>17.758616867410275</v>
      </c>
      <c r="P276" s="854">
        <v>17.847409951747323</v>
      </c>
      <c r="Q276" s="854">
        <v>17.936647001506056</v>
      </c>
      <c r="R276" s="854">
        <v>18.026330236513587</v>
      </c>
      <c r="S276" s="854">
        <v>18.116461887696151</v>
      </c>
      <c r="T276" s="854">
        <v>18.207044197134632</v>
      </c>
      <c r="U276" s="854">
        <v>18.298079418120302</v>
      </c>
      <c r="V276" s="854">
        <v>18.389569815210901</v>
      </c>
      <c r="W276" s="854">
        <v>18.481517664286951</v>
      </c>
      <c r="X276" s="854">
        <v>18.573925252608383</v>
      </c>
      <c r="Y276" s="854">
        <v>18.666794878871421</v>
      </c>
      <c r="Z276" s="854">
        <v>18.760128853265773</v>
      </c>
      <c r="AA276" s="854">
        <v>18.8539294975321</v>
      </c>
      <c r="AB276" s="854">
        <v>18.94819914501976</v>
      </c>
      <c r="AC276" s="854">
        <v>19.042940140744854</v>
      </c>
      <c r="AD276" s="854">
        <v>19.138154841448575</v>
      </c>
      <c r="AE276" s="854">
        <v>19.233845615655817</v>
      </c>
      <c r="AF276" s="854">
        <v>19.330014843734091</v>
      </c>
    </row>
    <row r="277" spans="1:32" s="864" customFormat="1" ht="14.45" x14ac:dyDescent="0.35">
      <c r="A277" s="839"/>
      <c r="B277" s="842" t="s">
        <v>35</v>
      </c>
      <c r="C277" s="838"/>
      <c r="D277" s="838"/>
      <c r="E277" s="838"/>
      <c r="F277" s="838"/>
      <c r="G277" s="854">
        <v>43.099999999999966</v>
      </c>
      <c r="H277" s="854">
        <v>43.315499999999986</v>
      </c>
      <c r="I277" s="854">
        <v>43.531000000000006</v>
      </c>
      <c r="J277" s="854">
        <v>43.746499999999969</v>
      </c>
      <c r="K277" s="854">
        <v>43.961999999999989</v>
      </c>
      <c r="L277" s="854">
        <v>44.177500000000009</v>
      </c>
      <c r="M277" s="854">
        <v>44.392999999999972</v>
      </c>
      <c r="N277" s="854">
        <v>44.608499999999992</v>
      </c>
      <c r="O277" s="854">
        <v>44.824000000000012</v>
      </c>
      <c r="P277" s="854">
        <v>45.039499999999975</v>
      </c>
      <c r="Q277" s="854">
        <v>45.254999999999995</v>
      </c>
      <c r="R277" s="854">
        <v>45.470499999999959</v>
      </c>
      <c r="S277" s="854">
        <v>45.685999999999979</v>
      </c>
      <c r="T277" s="854">
        <v>45.901499999999999</v>
      </c>
      <c r="U277" s="854">
        <v>46.116999999999962</v>
      </c>
      <c r="V277" s="854">
        <v>46.332499999999982</v>
      </c>
      <c r="W277" s="854">
        <v>46.548000000000002</v>
      </c>
      <c r="X277" s="854">
        <v>46.763499999999965</v>
      </c>
      <c r="Y277" s="854">
        <v>46.978999999999985</v>
      </c>
      <c r="Z277" s="854">
        <v>47.194500000000005</v>
      </c>
      <c r="AA277" s="854">
        <v>47.409999999999968</v>
      </c>
      <c r="AB277" s="854">
        <v>47.625499999999988</v>
      </c>
      <c r="AC277" s="854">
        <v>47.841000000000008</v>
      </c>
      <c r="AD277" s="854">
        <v>48.056499999999971</v>
      </c>
      <c r="AE277" s="854">
        <v>48.271999999999991</v>
      </c>
      <c r="AF277" s="854">
        <v>48.487500000000011</v>
      </c>
    </row>
    <row r="278" spans="1:32" s="864" customFormat="1" ht="14.45" x14ac:dyDescent="0.35">
      <c r="A278" s="839"/>
      <c r="B278" s="842" t="s">
        <v>29</v>
      </c>
      <c r="C278" s="838"/>
      <c r="D278" s="838"/>
      <c r="E278" s="838"/>
      <c r="F278" s="838"/>
      <c r="G278" s="854">
        <v>36.873768202819726</v>
      </c>
      <c r="H278" s="854">
        <v>48.266272480467556</v>
      </c>
      <c r="I278" s="854">
        <v>61.701198700113544</v>
      </c>
      <c r="J278" s="854">
        <v>77.591734715380795</v>
      </c>
      <c r="K278" s="854">
        <v>94.800465488123137</v>
      </c>
      <c r="L278" s="854">
        <v>112.50003941617493</v>
      </c>
      <c r="M278" s="854">
        <v>129.3471504340618</v>
      </c>
      <c r="N278" s="854">
        <v>145.03095133963808</v>
      </c>
      <c r="O278" s="854">
        <v>159.127310954921</v>
      </c>
      <c r="P278" s="854">
        <v>171.48202098927979</v>
      </c>
      <c r="Q278" s="854">
        <v>182.15170200680319</v>
      </c>
      <c r="R278" s="854">
        <v>187.8607232688625</v>
      </c>
      <c r="S278" s="854">
        <v>192.15160570290442</v>
      </c>
      <c r="T278" s="854">
        <v>195.33034204073093</v>
      </c>
      <c r="U278" s="854">
        <v>197.66006127320361</v>
      </c>
      <c r="V278" s="854">
        <v>199.35413887963063</v>
      </c>
      <c r="W278" s="854">
        <v>200.57896356186501</v>
      </c>
      <c r="X278" s="854">
        <v>201.46085171629713</v>
      </c>
      <c r="Y278" s="854">
        <v>202.09392729485813</v>
      </c>
      <c r="Z278" s="854">
        <v>202.54741526513342</v>
      </c>
      <c r="AA278" s="854">
        <v>202.87176106409183</v>
      </c>
      <c r="AB278" s="854">
        <v>203.10348618652321</v>
      </c>
      <c r="AC278" s="854">
        <v>203.26890947460336</v>
      </c>
      <c r="AD278" s="854">
        <v>203.38693514979437</v>
      </c>
      <c r="AE278" s="854">
        <v>203.47111002115616</v>
      </c>
      <c r="AF278" s="854">
        <v>203.53112565740346</v>
      </c>
    </row>
    <row r="279" spans="1:32" s="864" customFormat="1" ht="14.45" x14ac:dyDescent="0.35">
      <c r="A279" s="839"/>
      <c r="B279" s="839"/>
      <c r="C279" s="838"/>
      <c r="D279" s="838"/>
      <c r="E279" s="838"/>
      <c r="F279" s="838"/>
      <c r="G279" s="854"/>
      <c r="H279" s="838"/>
      <c r="I279" s="838"/>
      <c r="J279" s="838"/>
      <c r="K279" s="838"/>
      <c r="L279" s="838"/>
      <c r="M279" s="838"/>
      <c r="N279" s="838"/>
      <c r="O279" s="838"/>
      <c r="P279" s="838"/>
      <c r="Q279" s="838"/>
      <c r="R279" s="838"/>
      <c r="S279" s="838"/>
      <c r="T279" s="838"/>
      <c r="U279" s="838"/>
      <c r="V279" s="838"/>
      <c r="W279" s="838"/>
      <c r="X279" s="838"/>
      <c r="Y279" s="838"/>
      <c r="Z279" s="838"/>
      <c r="AA279" s="838"/>
      <c r="AB279" s="838"/>
      <c r="AC279" s="838"/>
      <c r="AD279" s="838"/>
      <c r="AE279" s="838"/>
      <c r="AF279" s="838"/>
    </row>
    <row r="280" spans="1:32" s="856" customFormat="1" ht="12.95" x14ac:dyDescent="0.3">
      <c r="A280" s="843" t="s">
        <v>36</v>
      </c>
      <c r="B280" s="843"/>
      <c r="C280" s="843"/>
      <c r="D280" s="843"/>
      <c r="E280" s="843"/>
      <c r="F280" s="843"/>
      <c r="G280" s="865"/>
      <c r="H280" s="843"/>
      <c r="I280" s="843"/>
      <c r="J280" s="843"/>
      <c r="K280" s="843"/>
      <c r="L280" s="843"/>
      <c r="M280" s="843"/>
      <c r="N280" s="843"/>
      <c r="O280" s="843"/>
      <c r="P280" s="843"/>
      <c r="Q280" s="843"/>
      <c r="R280" s="843"/>
      <c r="S280" s="843"/>
      <c r="T280" s="843"/>
      <c r="U280" s="843"/>
      <c r="V280" s="843"/>
      <c r="W280" s="843"/>
      <c r="X280" s="843"/>
      <c r="Y280" s="843"/>
      <c r="Z280" s="843"/>
      <c r="AA280" s="843"/>
      <c r="AB280" s="843"/>
      <c r="AC280" s="843"/>
      <c r="AD280" s="843"/>
      <c r="AE280" s="843"/>
      <c r="AF280" s="843"/>
    </row>
    <row r="281" spans="1:32" s="864" customFormat="1" ht="14.45" x14ac:dyDescent="0.35">
      <c r="A281" s="839"/>
      <c r="B281" s="839" t="s">
        <v>37</v>
      </c>
      <c r="C281" s="838"/>
      <c r="D281" s="838"/>
      <c r="E281" s="838"/>
      <c r="F281" s="855"/>
      <c r="G281" s="854">
        <v>46.9</v>
      </c>
      <c r="H281" s="854">
        <v>46.9</v>
      </c>
      <c r="I281" s="854">
        <v>46.9</v>
      </c>
      <c r="J281" s="854">
        <v>46.9</v>
      </c>
      <c r="K281" s="854">
        <v>46.9</v>
      </c>
      <c r="L281" s="854">
        <v>46.9</v>
      </c>
      <c r="M281" s="854">
        <v>46.9</v>
      </c>
      <c r="N281" s="854">
        <v>46.9</v>
      </c>
      <c r="O281" s="854">
        <v>46.9</v>
      </c>
      <c r="P281" s="854">
        <v>46.9</v>
      </c>
      <c r="Q281" s="854">
        <v>46.9</v>
      </c>
      <c r="R281" s="854">
        <v>46.9</v>
      </c>
      <c r="S281" s="854">
        <v>46.9</v>
      </c>
      <c r="T281" s="854">
        <v>46.9</v>
      </c>
      <c r="U281" s="854">
        <v>46.9</v>
      </c>
      <c r="V281" s="854">
        <v>46.9</v>
      </c>
      <c r="W281" s="854">
        <v>46.9</v>
      </c>
      <c r="X281" s="854">
        <v>46.9</v>
      </c>
      <c r="Y281" s="854">
        <v>46.9</v>
      </c>
      <c r="Z281" s="854">
        <v>46.9</v>
      </c>
      <c r="AA281" s="854">
        <v>46.9</v>
      </c>
      <c r="AB281" s="854">
        <v>46.9</v>
      </c>
      <c r="AC281" s="854">
        <v>46.9</v>
      </c>
      <c r="AD281" s="854">
        <v>46.9</v>
      </c>
      <c r="AE281" s="854">
        <v>46.9</v>
      </c>
      <c r="AF281" s="854">
        <v>46.9</v>
      </c>
    </row>
    <row r="282" spans="1:32" s="864" customFormat="1" ht="14.45" x14ac:dyDescent="0.35">
      <c r="A282" s="839"/>
      <c r="B282" s="839" t="s">
        <v>39</v>
      </c>
      <c r="C282" s="838"/>
      <c r="D282" s="838"/>
      <c r="E282" s="857"/>
      <c r="F282" s="838"/>
      <c r="G282" s="854">
        <v>50.749999999999986</v>
      </c>
      <c r="H282" s="854">
        <v>51.003749999999968</v>
      </c>
      <c r="I282" s="854">
        <v>51.257499999999951</v>
      </c>
      <c r="J282" s="854">
        <v>51.511250000000011</v>
      </c>
      <c r="K282" s="854">
        <v>52.449366666666663</v>
      </c>
      <c r="L282" s="854">
        <v>53.387483333333329</v>
      </c>
      <c r="M282" s="854">
        <v>54.325600000000001</v>
      </c>
      <c r="N282" s="854">
        <v>54.597227999999994</v>
      </c>
      <c r="O282" s="854">
        <v>54.870214139999987</v>
      </c>
      <c r="P282" s="854">
        <v>55.14456521069998</v>
      </c>
      <c r="Q282" s="854">
        <v>55.420288036753462</v>
      </c>
      <c r="R282" s="854">
        <v>55.697389476937218</v>
      </c>
      <c r="S282" s="854">
        <v>55.975876424321896</v>
      </c>
      <c r="T282" s="854">
        <v>56.255755806443496</v>
      </c>
      <c r="U282" s="854">
        <v>56.537034585475709</v>
      </c>
      <c r="V282" s="854">
        <v>56.819719758403089</v>
      </c>
      <c r="W282" s="854">
        <v>57.103818357195088</v>
      </c>
      <c r="X282" s="854">
        <v>57.38933744898106</v>
      </c>
      <c r="Y282" s="854">
        <v>57.676284136225945</v>
      </c>
      <c r="Z282" s="854">
        <v>57.964665556907072</v>
      </c>
      <c r="AA282" s="854">
        <v>58.254488884691597</v>
      </c>
      <c r="AB282" s="854">
        <v>58.545761329115045</v>
      </c>
      <c r="AC282" s="854">
        <v>58.838490135760615</v>
      </c>
      <c r="AD282" s="854">
        <v>59.132682586439422</v>
      </c>
      <c r="AE282" s="854">
        <v>59.428345999371594</v>
      </c>
      <c r="AF282" s="854">
        <v>59.725487729368446</v>
      </c>
    </row>
    <row r="283" spans="1:32" s="864" customFormat="1" ht="14.45" x14ac:dyDescent="0.35">
      <c r="A283" s="839"/>
      <c r="B283" s="839" t="s">
        <v>40</v>
      </c>
      <c r="C283" s="838"/>
      <c r="D283" s="838"/>
      <c r="E283" s="838"/>
      <c r="F283" s="838"/>
      <c r="G283" s="854">
        <v>77.129999999999967</v>
      </c>
      <c r="H283" s="854">
        <v>77.515650000000008</v>
      </c>
      <c r="I283" s="854">
        <v>77.901299999999964</v>
      </c>
      <c r="J283" s="854">
        <v>78.286950000000004</v>
      </c>
      <c r="K283" s="854">
        <v>78.672599999999946</v>
      </c>
      <c r="L283" s="854">
        <v>79.058250000000001</v>
      </c>
      <c r="M283" s="854">
        <v>79.443899999999957</v>
      </c>
      <c r="N283" s="854">
        <v>79.829549999999983</v>
      </c>
      <c r="O283" s="854">
        <v>80.215199999999953</v>
      </c>
      <c r="P283" s="854">
        <v>80.600849999999994</v>
      </c>
      <c r="Q283" s="854">
        <v>80.98649999999995</v>
      </c>
      <c r="R283" s="854">
        <v>81.372149999999991</v>
      </c>
      <c r="S283" s="854">
        <v>81.757799999999932</v>
      </c>
      <c r="T283" s="854">
        <v>82.143449999999987</v>
      </c>
      <c r="U283" s="854">
        <v>82.529100000000028</v>
      </c>
      <c r="V283" s="854">
        <v>82.91474999999997</v>
      </c>
      <c r="W283" s="854">
        <v>83.300400000000025</v>
      </c>
      <c r="X283" s="854">
        <v>83.68604999999998</v>
      </c>
      <c r="Y283" s="854">
        <v>84.071700000000007</v>
      </c>
      <c r="Z283" s="854">
        <v>84.457349999999977</v>
      </c>
      <c r="AA283" s="854">
        <v>84.843000000000018</v>
      </c>
      <c r="AB283" s="854">
        <v>85.228649999999973</v>
      </c>
      <c r="AC283" s="854">
        <v>85.614300000000014</v>
      </c>
      <c r="AD283" s="854">
        <v>85.999949999999956</v>
      </c>
      <c r="AE283" s="854">
        <v>86.385600000000011</v>
      </c>
      <c r="AF283" s="854">
        <v>86.771249999999952</v>
      </c>
    </row>
    <row r="284" spans="1:32" s="864" customFormat="1" ht="14.45" x14ac:dyDescent="0.35">
      <c r="A284" s="839"/>
      <c r="B284" s="839" t="s">
        <v>29</v>
      </c>
      <c r="C284" s="838"/>
      <c r="D284" s="838"/>
      <c r="E284" s="838"/>
      <c r="F284" s="838"/>
      <c r="G284" s="854">
        <v>69.886712931315586</v>
      </c>
      <c r="H284" s="854">
        <v>84.617739005122857</v>
      </c>
      <c r="I284" s="854">
        <v>99.77020761765985</v>
      </c>
      <c r="J284" s="854">
        <v>115.81072942703476</v>
      </c>
      <c r="K284" s="854">
        <v>131.19780938437214</v>
      </c>
      <c r="L284" s="854">
        <v>145.46220447607328</v>
      </c>
      <c r="M284" s="854">
        <v>157.75364681050067</v>
      </c>
      <c r="N284" s="854">
        <v>168.55506474700036</v>
      </c>
      <c r="O284" s="854">
        <v>177.96704120423578</v>
      </c>
      <c r="P284" s="854">
        <v>186.1654499682482</v>
      </c>
      <c r="Q284" s="854">
        <v>193.35230342395749</v>
      </c>
      <c r="R284" s="854">
        <v>196.11147215578865</v>
      </c>
      <c r="S284" s="854">
        <v>198.15456111208027</v>
      </c>
      <c r="T284" s="854">
        <v>199.65744029461996</v>
      </c>
      <c r="U284" s="854">
        <v>200.75757592848979</v>
      </c>
      <c r="V284" s="854">
        <v>201.56002861929591</v>
      </c>
      <c r="W284" s="854">
        <v>202.14382617150503</v>
      </c>
      <c r="X284" s="854">
        <v>202.5677447446416</v>
      </c>
      <c r="Y284" s="854">
        <v>202.87514562074011</v>
      </c>
      <c r="Z284" s="854">
        <v>203.09783237720012</v>
      </c>
      <c r="AA284" s="854">
        <v>203.25903410630769</v>
      </c>
      <c r="AB284" s="854">
        <v>203.37566609727986</v>
      </c>
      <c r="AC284" s="854">
        <v>203.46001922812226</v>
      </c>
      <c r="AD284" s="854">
        <v>203.52101022912549</v>
      </c>
      <c r="AE284" s="854">
        <v>203.56510065539746</v>
      </c>
      <c r="AF284" s="854">
        <v>203.59696908402657</v>
      </c>
    </row>
    <row r="285" spans="1:32" s="864" customFormat="1" ht="14.45" x14ac:dyDescent="0.35">
      <c r="A285" s="839"/>
      <c r="B285" s="839"/>
      <c r="C285" s="838"/>
      <c r="D285" s="838"/>
      <c r="E285" s="838"/>
      <c r="F285" s="838"/>
      <c r="G285" s="854"/>
      <c r="H285" s="838"/>
      <c r="I285" s="838"/>
      <c r="J285" s="838"/>
      <c r="K285" s="838"/>
      <c r="L285" s="838"/>
      <c r="M285" s="838"/>
      <c r="N285" s="838"/>
      <c r="O285" s="838"/>
      <c r="P285" s="838"/>
      <c r="Q285" s="838"/>
      <c r="R285" s="838"/>
      <c r="S285" s="838"/>
      <c r="T285" s="838"/>
      <c r="U285" s="838"/>
      <c r="V285" s="838"/>
      <c r="W285" s="838"/>
      <c r="X285" s="838"/>
      <c r="Y285" s="838"/>
      <c r="Z285" s="838"/>
      <c r="AA285" s="838"/>
      <c r="AB285" s="838"/>
      <c r="AC285" s="838"/>
      <c r="AD285" s="838"/>
      <c r="AE285" s="838"/>
      <c r="AF285" s="838"/>
    </row>
    <row r="286" spans="1:32" s="856" customFormat="1" ht="12.75" x14ac:dyDescent="0.2">
      <c r="A286" s="843" t="s">
        <v>42</v>
      </c>
      <c r="B286" s="843"/>
      <c r="C286" s="843"/>
      <c r="D286" s="843"/>
      <c r="E286" s="843"/>
      <c r="F286" s="843"/>
      <c r="G286" s="865"/>
      <c r="H286" s="843"/>
      <c r="I286" s="843"/>
      <c r="J286" s="843"/>
      <c r="K286" s="843"/>
      <c r="L286" s="843"/>
      <c r="M286" s="843"/>
      <c r="N286" s="843"/>
      <c r="O286" s="843"/>
      <c r="P286" s="843"/>
      <c r="Q286" s="843"/>
      <c r="R286" s="843"/>
      <c r="S286" s="843"/>
      <c r="T286" s="843"/>
      <c r="U286" s="843"/>
      <c r="V286" s="843"/>
      <c r="W286" s="843"/>
      <c r="X286" s="843"/>
      <c r="Y286" s="843"/>
      <c r="Z286" s="843"/>
      <c r="AA286" s="843"/>
      <c r="AB286" s="843"/>
      <c r="AC286" s="843"/>
      <c r="AD286" s="843"/>
      <c r="AE286" s="843"/>
      <c r="AF286" s="843"/>
    </row>
    <row r="287" spans="1:32" s="864" customFormat="1" x14ac:dyDescent="0.25">
      <c r="A287" s="839"/>
      <c r="B287" s="842" t="s">
        <v>43</v>
      </c>
      <c r="C287" s="838"/>
      <c r="D287" s="838"/>
      <c r="E287" s="838"/>
      <c r="F287" s="838"/>
      <c r="G287" s="854">
        <v>19.045000000000002</v>
      </c>
      <c r="H287" s="854">
        <v>19.045000000000002</v>
      </c>
      <c r="I287" s="854">
        <v>19.045000000000002</v>
      </c>
      <c r="J287" s="854">
        <v>19.045000000000002</v>
      </c>
      <c r="K287" s="854">
        <v>19.045000000000002</v>
      </c>
      <c r="L287" s="854">
        <v>19.045000000000002</v>
      </c>
      <c r="M287" s="854">
        <v>19.045000000000002</v>
      </c>
      <c r="N287" s="854">
        <v>19.045000000000002</v>
      </c>
      <c r="O287" s="854">
        <v>19.045000000000002</v>
      </c>
      <c r="P287" s="854">
        <v>19.045000000000002</v>
      </c>
      <c r="Q287" s="854">
        <v>19.045000000000002</v>
      </c>
      <c r="R287" s="854">
        <v>19.045000000000002</v>
      </c>
      <c r="S287" s="854">
        <v>19.045000000000002</v>
      </c>
      <c r="T287" s="854">
        <v>19.045000000000002</v>
      </c>
      <c r="U287" s="854">
        <v>19.045000000000002</v>
      </c>
      <c r="V287" s="854">
        <v>19.045000000000002</v>
      </c>
      <c r="W287" s="854">
        <v>19.045000000000002</v>
      </c>
      <c r="X287" s="854">
        <v>19.045000000000002</v>
      </c>
      <c r="Y287" s="854">
        <v>19.045000000000002</v>
      </c>
      <c r="Z287" s="854">
        <v>19.045000000000002</v>
      </c>
      <c r="AA287" s="854">
        <v>19.045000000000002</v>
      </c>
      <c r="AB287" s="854">
        <v>19.045000000000002</v>
      </c>
      <c r="AC287" s="854">
        <v>19.045000000000002</v>
      </c>
      <c r="AD287" s="854">
        <v>19.045000000000002</v>
      </c>
      <c r="AE287" s="854">
        <v>19.045000000000002</v>
      </c>
      <c r="AF287" s="854">
        <v>19.045000000000002</v>
      </c>
    </row>
    <row r="288" spans="1:32" s="864" customFormat="1" x14ac:dyDescent="0.25">
      <c r="A288" s="839"/>
      <c r="B288" s="842" t="s">
        <v>44</v>
      </c>
      <c r="C288" s="838"/>
      <c r="D288" s="838"/>
      <c r="E288" s="838"/>
      <c r="F288" s="838"/>
      <c r="G288" s="854">
        <v>31.849999999999973</v>
      </c>
      <c r="H288" s="854">
        <v>32.08887499999998</v>
      </c>
      <c r="I288" s="854">
        <v>32.32774999999998</v>
      </c>
      <c r="J288" s="854">
        <v>32.566624999999995</v>
      </c>
      <c r="K288" s="854">
        <v>32.805499999999995</v>
      </c>
      <c r="L288" s="854">
        <v>33.044375000000002</v>
      </c>
      <c r="M288" s="854">
        <v>33.283250000000002</v>
      </c>
      <c r="N288" s="854">
        <v>33.522125000000017</v>
      </c>
      <c r="O288" s="854">
        <v>33.761000000000017</v>
      </c>
      <c r="P288" s="854">
        <v>33.999875000000024</v>
      </c>
      <c r="Q288" s="854">
        <v>34.23874999999996</v>
      </c>
      <c r="R288" s="854">
        <v>34.477624999999975</v>
      </c>
      <c r="S288" s="854">
        <v>34.716499999999975</v>
      </c>
      <c r="T288" s="854">
        <v>34.955374999999982</v>
      </c>
      <c r="U288" s="854">
        <v>35.194249999999982</v>
      </c>
      <c r="V288" s="854">
        <v>35.433124999999997</v>
      </c>
      <c r="W288" s="854">
        <v>35.671999999999997</v>
      </c>
      <c r="X288" s="854">
        <v>35.910875000000004</v>
      </c>
      <c r="Y288" s="854">
        <v>36.149750000000004</v>
      </c>
      <c r="Z288" s="854">
        <v>36.388625000000019</v>
      </c>
      <c r="AA288" s="854">
        <v>36.627500000000019</v>
      </c>
      <c r="AB288" s="854">
        <v>36.866374999999962</v>
      </c>
      <c r="AC288" s="854">
        <v>37.105249999999963</v>
      </c>
      <c r="AD288" s="854">
        <v>37.344124999999977</v>
      </c>
      <c r="AE288" s="854">
        <v>37.582999999999977</v>
      </c>
      <c r="AF288" s="854">
        <v>37.821874999999984</v>
      </c>
    </row>
    <row r="289" spans="1:32" s="864" customFormat="1" x14ac:dyDescent="0.25">
      <c r="A289" s="839"/>
      <c r="B289" s="842" t="s">
        <v>45</v>
      </c>
      <c r="C289" s="838"/>
      <c r="D289" s="838"/>
      <c r="E289" s="838"/>
      <c r="F289" s="838"/>
      <c r="G289" s="854">
        <v>45.565000000000005</v>
      </c>
      <c r="H289" s="854">
        <v>45.678912499999996</v>
      </c>
      <c r="I289" s="854">
        <v>45.792824999999979</v>
      </c>
      <c r="J289" s="854">
        <v>45.906737499999998</v>
      </c>
      <c r="K289" s="854">
        <v>46.020649999999982</v>
      </c>
      <c r="L289" s="854">
        <v>46.134562499999994</v>
      </c>
      <c r="M289" s="854">
        <v>46.248474999999985</v>
      </c>
      <c r="N289" s="854">
        <v>46.362387500000004</v>
      </c>
      <c r="O289" s="854">
        <v>46.476299999999988</v>
      </c>
      <c r="P289" s="854">
        <v>46.590212500000014</v>
      </c>
      <c r="Q289" s="854">
        <v>46.704124999999998</v>
      </c>
      <c r="R289" s="854">
        <v>46.818037499999981</v>
      </c>
      <c r="S289" s="854">
        <v>46.931950000000001</v>
      </c>
      <c r="T289" s="854">
        <v>47.045862499999991</v>
      </c>
      <c r="U289" s="854">
        <v>47.159775000000003</v>
      </c>
      <c r="V289" s="854">
        <v>47.273687499999987</v>
      </c>
      <c r="W289" s="854">
        <v>47.387600000000006</v>
      </c>
      <c r="X289" s="854">
        <v>47.501512499999997</v>
      </c>
      <c r="Y289" s="854">
        <v>47.615424999999981</v>
      </c>
      <c r="Z289" s="854">
        <v>47.7293375</v>
      </c>
      <c r="AA289" s="854">
        <v>47.843249999999983</v>
      </c>
      <c r="AB289" s="854">
        <v>47.957162499999995</v>
      </c>
      <c r="AC289" s="854">
        <v>48.071074999999993</v>
      </c>
      <c r="AD289" s="854">
        <v>48.184987500000005</v>
      </c>
      <c r="AE289" s="854">
        <v>48.298899999999989</v>
      </c>
      <c r="AF289" s="854">
        <v>48.412812499999987</v>
      </c>
    </row>
    <row r="290" spans="1:32" s="864" customFormat="1" x14ac:dyDescent="0.25">
      <c r="A290" s="839"/>
      <c r="B290" s="842" t="s">
        <v>46</v>
      </c>
      <c r="C290" s="838"/>
      <c r="D290" s="838"/>
      <c r="E290" s="838"/>
      <c r="F290" s="838"/>
      <c r="G290" s="854">
        <v>0</v>
      </c>
      <c r="H290" s="854">
        <v>0</v>
      </c>
      <c r="I290" s="854">
        <v>0</v>
      </c>
      <c r="J290" s="854">
        <v>0</v>
      </c>
      <c r="K290" s="854">
        <v>0</v>
      </c>
      <c r="L290" s="854">
        <v>0</v>
      </c>
      <c r="M290" s="854">
        <v>0</v>
      </c>
      <c r="N290" s="854">
        <v>0</v>
      </c>
      <c r="O290" s="854">
        <v>0</v>
      </c>
      <c r="P290" s="854">
        <v>0</v>
      </c>
      <c r="Q290" s="854">
        <v>0</v>
      </c>
      <c r="R290" s="854">
        <v>0</v>
      </c>
      <c r="S290" s="854">
        <v>0</v>
      </c>
      <c r="T290" s="854">
        <v>0</v>
      </c>
      <c r="U290" s="854">
        <v>0</v>
      </c>
      <c r="V290" s="854">
        <v>0</v>
      </c>
      <c r="W290" s="854">
        <v>0</v>
      </c>
      <c r="X290" s="854">
        <v>0</v>
      </c>
      <c r="Y290" s="854">
        <v>0</v>
      </c>
      <c r="Z290" s="854">
        <v>0</v>
      </c>
      <c r="AA290" s="854">
        <v>0</v>
      </c>
      <c r="AB290" s="854">
        <v>0</v>
      </c>
      <c r="AC290" s="854">
        <v>0</v>
      </c>
      <c r="AD290" s="854">
        <v>0</v>
      </c>
      <c r="AE290" s="854">
        <v>0</v>
      </c>
      <c r="AF290" s="854">
        <v>0</v>
      </c>
    </row>
    <row r="291" spans="1:32" s="864" customFormat="1" x14ac:dyDescent="0.25">
      <c r="A291" s="839"/>
      <c r="B291" s="839" t="s">
        <v>29</v>
      </c>
      <c r="C291" s="838"/>
      <c r="D291" s="838"/>
      <c r="E291" s="838"/>
      <c r="F291" s="838"/>
      <c r="G291" s="854">
        <v>69.886712931315586</v>
      </c>
      <c r="H291" s="854">
        <v>84.617739005122857</v>
      </c>
      <c r="I291" s="854">
        <v>99.77020761765985</v>
      </c>
      <c r="J291" s="854">
        <v>115.81072942703476</v>
      </c>
      <c r="K291" s="854">
        <v>131.19780938437214</v>
      </c>
      <c r="L291" s="854">
        <v>145.46220447607328</v>
      </c>
      <c r="M291" s="854">
        <v>157.75364681050067</v>
      </c>
      <c r="N291" s="854">
        <v>168.55506474700036</v>
      </c>
      <c r="O291" s="854">
        <v>177.96704120423578</v>
      </c>
      <c r="P291" s="854">
        <v>186.1654499682482</v>
      </c>
      <c r="Q291" s="854">
        <v>193.35230342395749</v>
      </c>
      <c r="R291" s="854">
        <v>196.11147215578865</v>
      </c>
      <c r="S291" s="854">
        <v>198.15456111208027</v>
      </c>
      <c r="T291" s="854">
        <v>199.65744029461996</v>
      </c>
      <c r="U291" s="854">
        <v>200.75757592848979</v>
      </c>
      <c r="V291" s="854">
        <v>201.56002861929591</v>
      </c>
      <c r="W291" s="854">
        <v>202.14382617150503</v>
      </c>
      <c r="X291" s="854">
        <v>202.5677447446416</v>
      </c>
      <c r="Y291" s="854">
        <v>202.87514562074011</v>
      </c>
      <c r="Z291" s="854">
        <v>203.09783237720012</v>
      </c>
      <c r="AA291" s="854">
        <v>203.25903410630769</v>
      </c>
      <c r="AB291" s="854">
        <v>203.37566609727986</v>
      </c>
      <c r="AC291" s="854">
        <v>203.46001922812226</v>
      </c>
      <c r="AD291" s="854">
        <v>203.52101022912549</v>
      </c>
      <c r="AE291" s="854">
        <v>203.56510065539746</v>
      </c>
      <c r="AF291" s="854">
        <v>203.59696908402657</v>
      </c>
    </row>
    <row r="292" spans="1:32" s="864" customFormat="1" x14ac:dyDescent="0.25">
      <c r="A292" s="839"/>
      <c r="B292" s="839"/>
      <c r="C292" s="838"/>
      <c r="D292" s="838"/>
      <c r="E292" s="838"/>
      <c r="F292" s="838"/>
      <c r="G292" s="854"/>
      <c r="H292" s="838"/>
      <c r="I292" s="838"/>
      <c r="J292" s="838"/>
      <c r="K292" s="838"/>
      <c r="L292" s="838"/>
      <c r="M292" s="838"/>
      <c r="N292" s="838"/>
      <c r="O292" s="838"/>
      <c r="P292" s="838"/>
      <c r="Q292" s="838"/>
      <c r="R292" s="838"/>
      <c r="S292" s="838"/>
      <c r="T292" s="838"/>
      <c r="U292" s="838"/>
      <c r="V292" s="838"/>
      <c r="W292" s="838"/>
      <c r="X292" s="838"/>
      <c r="Y292" s="838"/>
      <c r="Z292" s="838"/>
      <c r="AA292" s="838"/>
      <c r="AB292" s="838"/>
      <c r="AC292" s="838"/>
      <c r="AD292" s="838"/>
      <c r="AE292" s="838"/>
      <c r="AF292" s="838"/>
    </row>
    <row r="293" spans="1:32" s="856" customFormat="1" ht="12.75" x14ac:dyDescent="0.2">
      <c r="A293" s="843" t="s">
        <v>47</v>
      </c>
      <c r="B293" s="843"/>
      <c r="C293" s="843"/>
      <c r="D293" s="843"/>
      <c r="E293" s="843"/>
      <c r="F293" s="843"/>
      <c r="G293" s="865"/>
      <c r="H293" s="843"/>
      <c r="I293" s="843"/>
      <c r="J293" s="843"/>
      <c r="K293" s="843"/>
      <c r="L293" s="843"/>
      <c r="M293" s="843"/>
      <c r="N293" s="843"/>
      <c r="O293" s="843"/>
      <c r="P293" s="843"/>
      <c r="Q293" s="843"/>
      <c r="R293" s="843"/>
      <c r="S293" s="843"/>
      <c r="T293" s="843"/>
      <c r="U293" s="843"/>
      <c r="V293" s="843"/>
      <c r="W293" s="843"/>
      <c r="X293" s="843"/>
      <c r="Y293" s="843"/>
      <c r="Z293" s="843"/>
      <c r="AA293" s="843"/>
      <c r="AB293" s="843"/>
      <c r="AC293" s="843"/>
      <c r="AD293" s="843"/>
      <c r="AE293" s="843"/>
      <c r="AF293" s="843"/>
    </row>
    <row r="294" spans="1:32" s="864" customFormat="1" x14ac:dyDescent="0.25">
      <c r="A294" s="839"/>
      <c r="B294" s="839" t="s">
        <v>48</v>
      </c>
      <c r="C294" s="838"/>
      <c r="D294" s="838"/>
      <c r="E294" s="838"/>
      <c r="F294" s="838"/>
      <c r="G294" s="854">
        <v>11</v>
      </c>
      <c r="H294" s="854">
        <v>11.027500000000003</v>
      </c>
      <c r="I294" s="854">
        <v>11.193353221957043</v>
      </c>
      <c r="J294" s="854">
        <v>11.359206443914083</v>
      </c>
      <c r="K294" s="854">
        <v>11.525059665871122</v>
      </c>
      <c r="L294" s="854">
        <v>11.5538723150358</v>
      </c>
      <c r="M294" s="854">
        <v>11.582756995823388</v>
      </c>
      <c r="N294" s="854">
        <v>11.611713888312945</v>
      </c>
      <c r="O294" s="854">
        <v>11.640743173033728</v>
      </c>
      <c r="P294" s="854">
        <v>11.669845030966313</v>
      </c>
      <c r="Q294" s="854">
        <v>11.699019643543727</v>
      </c>
      <c r="R294" s="854">
        <v>11.728267192652584</v>
      </c>
      <c r="S294" s="854">
        <v>11.757587860634217</v>
      </c>
      <c r="T294" s="854">
        <v>11.786981830285802</v>
      </c>
      <c r="U294" s="854">
        <v>11.816449284861516</v>
      </c>
      <c r="V294" s="854">
        <v>11.845990408073668</v>
      </c>
      <c r="W294" s="854">
        <v>11.875605384093852</v>
      </c>
      <c r="X294" s="854">
        <v>11.905294397554089</v>
      </c>
      <c r="Y294" s="854">
        <v>11.93505763354797</v>
      </c>
      <c r="Z294" s="854">
        <v>11.96489527763184</v>
      </c>
      <c r="AA294" s="854">
        <v>11.99480751582592</v>
      </c>
      <c r="AB294" s="854">
        <v>12.024794534615484</v>
      </c>
      <c r="AC294" s="854">
        <v>12.054856520952024</v>
      </c>
      <c r="AD294" s="854">
        <v>12.084993662254401</v>
      </c>
      <c r="AE294" s="854">
        <v>12.115206146410038</v>
      </c>
      <c r="AF294" s="854">
        <v>12.145494161776062</v>
      </c>
    </row>
    <row r="295" spans="1:32" s="864" customFormat="1" x14ac:dyDescent="0.25">
      <c r="A295" s="839"/>
      <c r="B295" s="842" t="s">
        <v>50</v>
      </c>
      <c r="C295" s="838"/>
      <c r="D295" s="838"/>
      <c r="E295" s="838"/>
      <c r="F295" s="838"/>
      <c r="G295" s="854">
        <v>14.799999999999997</v>
      </c>
      <c r="H295" s="854">
        <v>14.837000000000003</v>
      </c>
      <c r="I295" s="854">
        <v>14.873999999999995</v>
      </c>
      <c r="J295" s="854">
        <v>14.911000000000001</v>
      </c>
      <c r="K295" s="854">
        <v>14.948000000000008</v>
      </c>
      <c r="L295" s="854">
        <v>14.984999999999999</v>
      </c>
      <c r="M295" s="854">
        <v>15.022000000000006</v>
      </c>
      <c r="N295" s="854">
        <v>15.058999999999997</v>
      </c>
      <c r="O295" s="854">
        <v>15.096000000000004</v>
      </c>
      <c r="P295" s="854">
        <v>15.132999999999996</v>
      </c>
      <c r="Q295" s="854">
        <v>15.170000000000002</v>
      </c>
      <c r="R295" s="854">
        <v>15.207000000000008</v>
      </c>
      <c r="S295" s="854">
        <v>15.244</v>
      </c>
      <c r="T295" s="854">
        <v>15.281000000000006</v>
      </c>
      <c r="U295" s="854">
        <v>15.317999999999998</v>
      </c>
      <c r="V295" s="854">
        <v>15.355000000000004</v>
      </c>
      <c r="W295" s="854">
        <v>15.391999999999996</v>
      </c>
      <c r="X295" s="854">
        <v>15.429000000000002</v>
      </c>
      <c r="Y295" s="854">
        <v>15.466000000000008</v>
      </c>
      <c r="Z295" s="854">
        <v>15.503</v>
      </c>
      <c r="AA295" s="854">
        <v>15.540000000000006</v>
      </c>
      <c r="AB295" s="854">
        <v>15.576999999999998</v>
      </c>
      <c r="AC295" s="854">
        <v>15.614000000000004</v>
      </c>
      <c r="AD295" s="854">
        <v>15.650999999999996</v>
      </c>
      <c r="AE295" s="854">
        <v>15.688000000000002</v>
      </c>
      <c r="AF295" s="854">
        <v>15.725000000000009</v>
      </c>
    </row>
    <row r="296" spans="1:32" s="864" customFormat="1" x14ac:dyDescent="0.25">
      <c r="A296" s="839"/>
      <c r="B296" s="839" t="s">
        <v>51</v>
      </c>
      <c r="C296" s="838"/>
      <c r="D296" s="838"/>
      <c r="E296" s="838"/>
      <c r="F296" s="838"/>
      <c r="G296" s="854">
        <v>52.5</v>
      </c>
      <c r="H296" s="854">
        <v>52.631250000000023</v>
      </c>
      <c r="I296" s="854">
        <v>52.762499999999989</v>
      </c>
      <c r="J296" s="854">
        <v>52.893750000000011</v>
      </c>
      <c r="K296" s="854">
        <v>53.025000000000034</v>
      </c>
      <c r="L296" s="854">
        <v>53.15625</v>
      </c>
      <c r="M296" s="854">
        <v>53.287500000000023</v>
      </c>
      <c r="N296" s="854">
        <v>53.418749999999989</v>
      </c>
      <c r="O296" s="854">
        <v>53.550000000000011</v>
      </c>
      <c r="P296" s="854">
        <v>53.681250000000034</v>
      </c>
      <c r="Q296" s="854">
        <v>53.8125</v>
      </c>
      <c r="R296" s="854">
        <v>53.943750000000023</v>
      </c>
      <c r="S296" s="854">
        <v>54.074999999999989</v>
      </c>
      <c r="T296" s="854">
        <v>54.206250000000011</v>
      </c>
      <c r="U296" s="854">
        <v>54.337500000000034</v>
      </c>
      <c r="V296" s="854">
        <v>54.46875</v>
      </c>
      <c r="W296" s="854">
        <v>54.600000000000023</v>
      </c>
      <c r="X296" s="854">
        <v>54.731249999999989</v>
      </c>
      <c r="Y296" s="854">
        <v>54.862500000000011</v>
      </c>
      <c r="Z296" s="854">
        <v>54.993750000000034</v>
      </c>
      <c r="AA296" s="854">
        <v>55.125</v>
      </c>
      <c r="AB296" s="854">
        <v>55.256250000000023</v>
      </c>
      <c r="AC296" s="854">
        <v>55.387499999999989</v>
      </c>
      <c r="AD296" s="854">
        <v>55.518750000000011</v>
      </c>
      <c r="AE296" s="854">
        <v>55.650000000000034</v>
      </c>
      <c r="AF296" s="854">
        <v>55.78125</v>
      </c>
    </row>
    <row r="297" spans="1:32" s="864" customFormat="1" x14ac:dyDescent="0.25">
      <c r="A297" s="839"/>
      <c r="B297" s="839" t="s">
        <v>52</v>
      </c>
      <c r="C297" s="838"/>
      <c r="D297" s="838"/>
      <c r="E297" s="838"/>
      <c r="F297" s="838"/>
      <c r="G297" s="854">
        <v>43.890000000000022</v>
      </c>
      <c r="H297" s="854">
        <v>43.999725000000019</v>
      </c>
      <c r="I297" s="854">
        <v>44.109450000000017</v>
      </c>
      <c r="J297" s="854">
        <v>44.219175000000021</v>
      </c>
      <c r="K297" s="854">
        <v>44.328900000000019</v>
      </c>
      <c r="L297" s="854">
        <v>44.438625000000016</v>
      </c>
      <c r="M297" s="854">
        <v>44.548350000000013</v>
      </c>
      <c r="N297" s="854">
        <v>44.658075000000018</v>
      </c>
      <c r="O297" s="854">
        <v>44.767800000000015</v>
      </c>
      <c r="P297" s="854">
        <v>44.877525000000013</v>
      </c>
      <c r="Q297" s="854">
        <v>44.987250000000017</v>
      </c>
      <c r="R297" s="854">
        <v>45.096975000000015</v>
      </c>
      <c r="S297" s="854">
        <v>45.206700000000012</v>
      </c>
      <c r="T297" s="854">
        <v>45.31642500000001</v>
      </c>
      <c r="U297" s="854">
        <v>45.426150000000042</v>
      </c>
      <c r="V297" s="854">
        <v>45.535875000000047</v>
      </c>
      <c r="W297" s="854">
        <v>45.645600000000044</v>
      </c>
      <c r="X297" s="854">
        <v>45.755325000000049</v>
      </c>
      <c r="Y297" s="854">
        <v>45.865050000000039</v>
      </c>
      <c r="Z297" s="854">
        <v>45.974775000000044</v>
      </c>
      <c r="AA297" s="854">
        <v>46.084500000000041</v>
      </c>
      <c r="AB297" s="854">
        <v>46.194225000000046</v>
      </c>
      <c r="AC297" s="854">
        <v>46.303950000000036</v>
      </c>
      <c r="AD297" s="854">
        <v>46.41367500000004</v>
      </c>
      <c r="AE297" s="854">
        <v>46.523400000000038</v>
      </c>
      <c r="AF297" s="854">
        <v>46.633125000000042</v>
      </c>
    </row>
    <row r="298" spans="1:32" s="864" customFormat="1" x14ac:dyDescent="0.25">
      <c r="A298" s="839"/>
      <c r="B298" s="842" t="s">
        <v>29</v>
      </c>
      <c r="C298" s="838"/>
      <c r="D298" s="838"/>
      <c r="E298" s="838"/>
      <c r="F298" s="838"/>
      <c r="G298" s="854">
        <v>36.873768202819726</v>
      </c>
      <c r="H298" s="854">
        <v>48.266272480467556</v>
      </c>
      <c r="I298" s="854">
        <v>61.701198700113544</v>
      </c>
      <c r="J298" s="854">
        <v>77.591734715380795</v>
      </c>
      <c r="K298" s="854">
        <v>94.800465488123137</v>
      </c>
      <c r="L298" s="854">
        <v>112.50003941617493</v>
      </c>
      <c r="M298" s="854">
        <v>129.3471504340618</v>
      </c>
      <c r="N298" s="854">
        <v>145.03095133963808</v>
      </c>
      <c r="O298" s="854">
        <v>159.127310954921</v>
      </c>
      <c r="P298" s="854">
        <v>171.48202098927979</v>
      </c>
      <c r="Q298" s="854">
        <v>182.15170200680319</v>
      </c>
      <c r="R298" s="854">
        <v>187.8607232688625</v>
      </c>
      <c r="S298" s="854">
        <v>192.15160570290442</v>
      </c>
      <c r="T298" s="854">
        <v>195.33034204073093</v>
      </c>
      <c r="U298" s="854">
        <v>197.66006127320361</v>
      </c>
      <c r="V298" s="854">
        <v>199.35413887963063</v>
      </c>
      <c r="W298" s="854">
        <v>200.57896356186501</v>
      </c>
      <c r="X298" s="854">
        <v>201.46085171629713</v>
      </c>
      <c r="Y298" s="854">
        <v>202.09392729485813</v>
      </c>
      <c r="Z298" s="854">
        <v>202.54741526513342</v>
      </c>
      <c r="AA298" s="854">
        <v>202.87176106409183</v>
      </c>
      <c r="AB298" s="854">
        <v>203.10348618652321</v>
      </c>
      <c r="AC298" s="854">
        <v>203.26890947460336</v>
      </c>
      <c r="AD298" s="854">
        <v>203.38693514979437</v>
      </c>
      <c r="AE298" s="854">
        <v>203.47111002115616</v>
      </c>
      <c r="AF298" s="854">
        <v>203.53112565740346</v>
      </c>
    </row>
    <row r="299" spans="1:32" s="864" customFormat="1" x14ac:dyDescent="0.25">
      <c r="A299" s="839"/>
      <c r="B299" s="842" t="s">
        <v>53</v>
      </c>
      <c r="C299" s="838"/>
      <c r="D299" s="838"/>
      <c r="E299" s="838"/>
      <c r="F299" s="838"/>
      <c r="G299" s="854">
        <v>47.970000000000013</v>
      </c>
      <c r="H299" s="854">
        <v>48.089924999999987</v>
      </c>
      <c r="I299" s="854">
        <v>48.209849999999967</v>
      </c>
      <c r="J299" s="854">
        <v>48.329774999999998</v>
      </c>
      <c r="K299" s="854">
        <v>48.449699999999972</v>
      </c>
      <c r="L299" s="854">
        <v>48.569625000000002</v>
      </c>
      <c r="M299" s="854">
        <v>48.689549999999983</v>
      </c>
      <c r="N299" s="854">
        <v>48.809475000000013</v>
      </c>
      <c r="O299" s="854">
        <v>48.929399999999987</v>
      </c>
      <c r="P299" s="854">
        <v>49.049325000000017</v>
      </c>
      <c r="Q299" s="854">
        <v>49.169249999999998</v>
      </c>
      <c r="R299" s="854">
        <v>49.289174999999972</v>
      </c>
      <c r="S299" s="854">
        <v>49.409100000000002</v>
      </c>
      <c r="T299" s="854">
        <v>49.529024999999983</v>
      </c>
      <c r="U299" s="854">
        <v>49.648950000000006</v>
      </c>
      <c r="V299" s="854">
        <v>49.768874999999987</v>
      </c>
      <c r="W299" s="854">
        <v>49.888800000000018</v>
      </c>
      <c r="X299" s="854">
        <v>50.008724999999991</v>
      </c>
      <c r="Y299" s="854">
        <v>50.128649999999972</v>
      </c>
      <c r="Z299" s="854">
        <v>50.248575000000002</v>
      </c>
      <c r="AA299" s="854">
        <v>50.368499999999976</v>
      </c>
      <c r="AB299" s="854">
        <v>50.488425000000007</v>
      </c>
      <c r="AC299" s="854">
        <v>50.608349999999987</v>
      </c>
      <c r="AD299" s="854">
        <v>50.728275000000018</v>
      </c>
      <c r="AE299" s="854">
        <v>50.848199999999991</v>
      </c>
      <c r="AF299" s="854">
        <v>50.968124999999972</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0070C0"/>
  </sheetPr>
  <dimension ref="A1:AF202"/>
  <sheetViews>
    <sheetView zoomScale="59" zoomScaleNormal="59" workbookViewId="0">
      <selection activeCell="Q2" sqref="Q2:W2"/>
    </sheetView>
  </sheetViews>
  <sheetFormatPr defaultRowHeight="15" x14ac:dyDescent="0.25"/>
  <cols>
    <col min="7" max="32" width="10.5703125" customWidth="1"/>
  </cols>
  <sheetData>
    <row r="1" spans="1:32" s="539" customFormat="1" ht="51.75" x14ac:dyDescent="0.25">
      <c r="A1" s="268" t="s">
        <v>537</v>
      </c>
      <c r="B1" s="550"/>
      <c r="C1" s="550"/>
      <c r="D1" s="550"/>
      <c r="E1" s="550"/>
      <c r="F1" s="1248" t="s">
        <v>419</v>
      </c>
      <c r="G1" s="746" t="s">
        <v>411</v>
      </c>
      <c r="H1" s="782" t="s">
        <v>213</v>
      </c>
      <c r="I1" s="782" t="s">
        <v>214</v>
      </c>
      <c r="J1" s="782" t="s">
        <v>43</v>
      </c>
      <c r="K1" s="782" t="s">
        <v>44</v>
      </c>
      <c r="L1" s="782" t="s">
        <v>215</v>
      </c>
      <c r="M1" s="782" t="s">
        <v>257</v>
      </c>
      <c r="N1" s="777" t="s">
        <v>216</v>
      </c>
      <c r="O1" s="1248" t="s">
        <v>266</v>
      </c>
      <c r="P1" s="746" t="s">
        <v>411</v>
      </c>
      <c r="Q1" s="782" t="s">
        <v>213</v>
      </c>
      <c r="R1" s="782" t="s">
        <v>214</v>
      </c>
      <c r="S1" s="782" t="s">
        <v>43</v>
      </c>
      <c r="T1" s="782" t="s">
        <v>44</v>
      </c>
      <c r="U1" s="782" t="s">
        <v>215</v>
      </c>
      <c r="V1" s="782" t="s">
        <v>257</v>
      </c>
      <c r="W1" s="777" t="s">
        <v>216</v>
      </c>
      <c r="X1" s="550"/>
      <c r="Y1" s="550"/>
      <c r="Z1" s="550"/>
      <c r="AA1" s="550"/>
      <c r="AB1" s="550"/>
      <c r="AC1" s="550"/>
      <c r="AD1" s="550"/>
      <c r="AE1" s="550"/>
      <c r="AF1" s="550"/>
    </row>
    <row r="2" spans="1:32" s="539" customFormat="1" ht="15.75" x14ac:dyDescent="0.25">
      <c r="A2" s="269" t="s">
        <v>296</v>
      </c>
      <c r="B2" s="550"/>
      <c r="C2" s="550"/>
      <c r="D2" s="550"/>
      <c r="E2" s="550"/>
      <c r="F2" s="1249"/>
      <c r="G2" s="775" t="s">
        <v>438</v>
      </c>
      <c r="H2" s="775" t="s">
        <v>25</v>
      </c>
      <c r="I2" s="775" t="s">
        <v>25</v>
      </c>
      <c r="J2" s="775" t="s">
        <v>25</v>
      </c>
      <c r="K2" s="775" t="s">
        <v>25</v>
      </c>
      <c r="L2" s="775" t="s">
        <v>25</v>
      </c>
      <c r="M2" s="775" t="s">
        <v>25</v>
      </c>
      <c r="N2" s="614" t="s">
        <v>25</v>
      </c>
      <c r="O2" s="1249"/>
      <c r="P2" s="775" t="s">
        <v>438</v>
      </c>
      <c r="Q2" s="775" t="s">
        <v>25</v>
      </c>
      <c r="R2" s="775" t="s">
        <v>25</v>
      </c>
      <c r="S2" s="775" t="s">
        <v>25</v>
      </c>
      <c r="T2" s="775" t="s">
        <v>25</v>
      </c>
      <c r="U2" s="775" t="s">
        <v>25</v>
      </c>
      <c r="V2" s="775" t="s">
        <v>25</v>
      </c>
      <c r="W2" s="614" t="s">
        <v>25</v>
      </c>
      <c r="X2" s="550"/>
      <c r="Y2" s="550"/>
      <c r="Z2" s="550"/>
      <c r="AA2" s="550"/>
      <c r="AB2" s="550"/>
      <c r="AC2" s="550"/>
      <c r="AD2" s="550"/>
      <c r="AE2" s="550"/>
      <c r="AF2" s="550"/>
    </row>
    <row r="3" spans="1:32" s="539" customFormat="1" ht="14.45" x14ac:dyDescent="0.35"/>
    <row r="4" spans="1:32" s="539" customFormat="1" ht="14.45" x14ac:dyDescent="0.35">
      <c r="A4" s="550"/>
      <c r="B4" s="550"/>
      <c r="C4" s="550"/>
      <c r="D4" s="277"/>
      <c r="E4" s="208"/>
      <c r="F4" s="208"/>
      <c r="G4" s="208">
        <v>2010</v>
      </c>
      <c r="H4" s="208">
        <v>2011</v>
      </c>
      <c r="I4" s="208">
        <v>2012</v>
      </c>
      <c r="J4" s="208">
        <v>2013</v>
      </c>
      <c r="K4" s="208">
        <v>2014</v>
      </c>
      <c r="L4" s="208">
        <v>2015</v>
      </c>
      <c r="M4" s="208">
        <v>2016</v>
      </c>
      <c r="N4" s="208">
        <v>2017</v>
      </c>
      <c r="O4" s="208">
        <v>2018</v>
      </c>
      <c r="P4" s="208">
        <v>2019</v>
      </c>
      <c r="Q4" s="208">
        <v>2020</v>
      </c>
      <c r="R4" s="208">
        <v>2021</v>
      </c>
      <c r="S4" s="208">
        <v>2022</v>
      </c>
      <c r="T4" s="208">
        <v>2023</v>
      </c>
      <c r="U4" s="208">
        <v>2024</v>
      </c>
      <c r="V4" s="208">
        <v>2025</v>
      </c>
      <c r="W4" s="208">
        <v>2026</v>
      </c>
      <c r="X4" s="208">
        <v>2027</v>
      </c>
      <c r="Y4" s="208">
        <v>2028</v>
      </c>
      <c r="Z4" s="208">
        <v>2029</v>
      </c>
      <c r="AA4" s="208">
        <v>2030</v>
      </c>
      <c r="AB4" s="208">
        <v>2031</v>
      </c>
      <c r="AC4" s="208">
        <v>2032</v>
      </c>
      <c r="AD4" s="208">
        <v>2033</v>
      </c>
      <c r="AE4" s="208">
        <v>2034</v>
      </c>
      <c r="AF4" s="208">
        <v>2035</v>
      </c>
    </row>
    <row r="5" spans="1:32" s="838" customFormat="1" ht="14.45" x14ac:dyDescent="0.35">
      <c r="A5" s="897" t="s">
        <v>536</v>
      </c>
      <c r="B5" s="898"/>
      <c r="C5" s="897"/>
      <c r="D5" s="896"/>
      <c r="E5" s="896"/>
      <c r="F5" s="896"/>
      <c r="G5" s="896"/>
      <c r="H5" s="894"/>
      <c r="I5" s="894"/>
      <c r="J5" s="894"/>
      <c r="K5" s="894"/>
      <c r="L5" s="894"/>
      <c r="M5" s="894"/>
      <c r="N5" s="894"/>
      <c r="O5" s="894"/>
      <c r="P5" s="894"/>
      <c r="Q5" s="894"/>
      <c r="R5" s="894"/>
      <c r="S5" s="894"/>
      <c r="T5" s="894"/>
      <c r="U5" s="894"/>
      <c r="V5" s="894"/>
      <c r="W5" s="894"/>
      <c r="X5" s="894"/>
      <c r="Y5" s="894"/>
      <c r="Z5" s="894"/>
      <c r="AA5" s="894"/>
      <c r="AB5" s="894"/>
      <c r="AC5" s="894"/>
      <c r="AD5" s="894"/>
      <c r="AE5" s="894"/>
      <c r="AF5" s="894"/>
    </row>
    <row r="6" spans="1:32" s="838" customFormat="1" ht="14.45" x14ac:dyDescent="0.35">
      <c r="A6" s="860" t="s">
        <v>55</v>
      </c>
      <c r="B6" s="861"/>
      <c r="C6" s="860"/>
      <c r="D6" s="859"/>
      <c r="E6" s="859"/>
      <c r="F6" s="859"/>
      <c r="G6" s="859"/>
      <c r="H6" s="862"/>
      <c r="I6" s="862"/>
      <c r="J6" s="862"/>
      <c r="K6" s="862"/>
      <c r="L6" s="862"/>
      <c r="M6" s="862"/>
      <c r="N6" s="862"/>
      <c r="O6" s="862"/>
      <c r="P6" s="862"/>
      <c r="Q6" s="862"/>
      <c r="R6" s="862"/>
      <c r="S6" s="862"/>
      <c r="T6" s="862"/>
      <c r="U6" s="862"/>
      <c r="V6" s="862"/>
      <c r="W6" s="862"/>
      <c r="X6" s="862"/>
      <c r="Y6" s="862"/>
      <c r="Z6" s="862"/>
      <c r="AA6" s="862"/>
      <c r="AB6" s="862"/>
      <c r="AC6" s="862"/>
      <c r="AD6" s="862"/>
      <c r="AE6" s="862"/>
      <c r="AF6" s="862"/>
    </row>
    <row r="7" spans="1:32" s="838" customFormat="1" ht="14.45" x14ac:dyDescent="0.35">
      <c r="A7" s="840" t="s">
        <v>12</v>
      </c>
      <c r="B7" s="839"/>
    </row>
    <row r="8" spans="1:32" s="838" customFormat="1" ht="14.45" x14ac:dyDescent="0.35">
      <c r="A8" s="839"/>
      <c r="B8" s="839" t="s">
        <v>20</v>
      </c>
    </row>
    <row r="9" spans="1:32" s="856" customFormat="1" ht="12.95" x14ac:dyDescent="0.3">
      <c r="A9" s="843" t="s">
        <v>21</v>
      </c>
      <c r="B9" s="843"/>
      <c r="C9" s="843"/>
      <c r="D9" s="843"/>
      <c r="E9" s="843"/>
      <c r="F9" s="843"/>
      <c r="G9" s="843"/>
      <c r="H9" s="843"/>
      <c r="I9" s="843"/>
      <c r="J9" s="843"/>
      <c r="K9" s="843"/>
      <c r="L9" s="843"/>
      <c r="M9" s="843"/>
      <c r="N9" s="843"/>
      <c r="O9" s="843"/>
      <c r="P9" s="843"/>
      <c r="Q9" s="843"/>
      <c r="R9" s="843"/>
      <c r="S9" s="843"/>
      <c r="T9" s="843"/>
      <c r="U9" s="843"/>
      <c r="V9" s="843"/>
      <c r="W9" s="843"/>
      <c r="X9" s="843"/>
      <c r="Y9" s="843"/>
      <c r="Z9" s="843"/>
      <c r="AA9" s="843"/>
      <c r="AB9" s="843"/>
      <c r="AC9" s="843"/>
      <c r="AD9" s="843"/>
      <c r="AE9" s="843"/>
      <c r="AF9" s="843"/>
    </row>
    <row r="10" spans="1:32" s="864" customFormat="1" ht="14.45" x14ac:dyDescent="0.35">
      <c r="A10" s="839"/>
      <c r="B10" s="839" t="s">
        <v>22</v>
      </c>
      <c r="C10" s="838"/>
      <c r="D10" s="838"/>
      <c r="E10" s="838"/>
      <c r="F10" s="838"/>
      <c r="G10" s="854">
        <f t="array" ref="G10:AF151">IF(ISNUMBER(Savings_Data!G9:AF150),Savings_Data!G9:AF150-Savings_Data!G158:AF299,"")</f>
        <v>0</v>
      </c>
      <c r="H10" s="854">
        <v>0</v>
      </c>
      <c r="I10" s="854">
        <v>0</v>
      </c>
      <c r="J10" s="854">
        <v>0</v>
      </c>
      <c r="K10" s="854">
        <v>0</v>
      </c>
      <c r="L10" s="854">
        <v>0</v>
      </c>
      <c r="M10" s="854">
        <v>0</v>
      </c>
      <c r="N10" s="854">
        <v>0</v>
      </c>
      <c r="O10" s="854">
        <v>0</v>
      </c>
      <c r="P10" s="854">
        <v>0</v>
      </c>
      <c r="Q10" s="854">
        <v>0</v>
      </c>
      <c r="R10" s="854">
        <v>0</v>
      </c>
      <c r="S10" s="854">
        <v>0</v>
      </c>
      <c r="T10" s="854">
        <v>0</v>
      </c>
      <c r="U10" s="854">
        <v>0</v>
      </c>
      <c r="V10" s="854">
        <v>0</v>
      </c>
      <c r="W10" s="854">
        <v>0</v>
      </c>
      <c r="X10" s="854">
        <v>0</v>
      </c>
      <c r="Y10" s="854">
        <v>0</v>
      </c>
      <c r="Z10" s="854">
        <v>0</v>
      </c>
      <c r="AA10" s="854">
        <v>0</v>
      </c>
      <c r="AB10" s="854">
        <v>0</v>
      </c>
      <c r="AC10" s="854">
        <v>0</v>
      </c>
      <c r="AD10" s="854">
        <v>0</v>
      </c>
      <c r="AE10" s="854">
        <v>0</v>
      </c>
      <c r="AF10" s="854">
        <v>0</v>
      </c>
    </row>
    <row r="11" spans="1:32" s="864" customFormat="1" ht="14.45" x14ac:dyDescent="0.35">
      <c r="A11" s="839"/>
      <c r="B11" s="839" t="s">
        <v>26</v>
      </c>
      <c r="C11" s="838"/>
      <c r="D11" s="838"/>
      <c r="E11" s="838"/>
      <c r="F11" s="838"/>
      <c r="G11" s="854">
        <v>0</v>
      </c>
      <c r="H11" s="854">
        <v>0</v>
      </c>
      <c r="I11" s="854">
        <v>0</v>
      </c>
      <c r="J11" s="854">
        <v>0</v>
      </c>
      <c r="K11" s="854">
        <v>0</v>
      </c>
      <c r="L11" s="854">
        <v>0</v>
      </c>
      <c r="M11" s="854">
        <v>0</v>
      </c>
      <c r="N11" s="854">
        <v>0</v>
      </c>
      <c r="O11" s="854">
        <v>0</v>
      </c>
      <c r="P11" s="854">
        <v>0</v>
      </c>
      <c r="Q11" s="854">
        <v>0</v>
      </c>
      <c r="R11" s="854">
        <v>0</v>
      </c>
      <c r="S11" s="854">
        <v>0</v>
      </c>
      <c r="T11" s="854">
        <v>0</v>
      </c>
      <c r="U11" s="854">
        <v>0</v>
      </c>
      <c r="V11" s="854">
        <v>0</v>
      </c>
      <c r="W11" s="854">
        <v>0</v>
      </c>
      <c r="X11" s="854">
        <v>0</v>
      </c>
      <c r="Y11" s="854">
        <v>0</v>
      </c>
      <c r="Z11" s="854">
        <v>0</v>
      </c>
      <c r="AA11" s="854">
        <v>0</v>
      </c>
      <c r="AB11" s="854">
        <v>0</v>
      </c>
      <c r="AC11" s="854">
        <v>0</v>
      </c>
      <c r="AD11" s="854">
        <v>0</v>
      </c>
      <c r="AE11" s="854">
        <v>0</v>
      </c>
      <c r="AF11" s="854">
        <v>0</v>
      </c>
    </row>
    <row r="12" spans="1:32" s="864" customFormat="1" ht="14.45" x14ac:dyDescent="0.35">
      <c r="A12" s="839"/>
      <c r="B12" s="839" t="s">
        <v>27</v>
      </c>
      <c r="C12" s="838"/>
      <c r="D12" s="838"/>
      <c r="E12" s="838"/>
      <c r="F12" s="838"/>
      <c r="G12" s="854">
        <v>0</v>
      </c>
      <c r="H12" s="854">
        <v>0</v>
      </c>
      <c r="I12" s="854">
        <v>0</v>
      </c>
      <c r="J12" s="854">
        <v>0</v>
      </c>
      <c r="K12" s="854">
        <v>0</v>
      </c>
      <c r="L12" s="854">
        <v>0</v>
      </c>
      <c r="M12" s="854">
        <v>0</v>
      </c>
      <c r="N12" s="854">
        <v>0</v>
      </c>
      <c r="O12" s="854">
        <v>0</v>
      </c>
      <c r="P12" s="854">
        <v>0</v>
      </c>
      <c r="Q12" s="854">
        <v>0</v>
      </c>
      <c r="R12" s="854">
        <v>0</v>
      </c>
      <c r="S12" s="854">
        <v>0</v>
      </c>
      <c r="T12" s="854">
        <v>0</v>
      </c>
      <c r="U12" s="854">
        <v>0</v>
      </c>
      <c r="V12" s="854">
        <v>0</v>
      </c>
      <c r="W12" s="854">
        <v>0</v>
      </c>
      <c r="X12" s="854">
        <v>0</v>
      </c>
      <c r="Y12" s="854">
        <v>0</v>
      </c>
      <c r="Z12" s="854">
        <v>0</v>
      </c>
      <c r="AA12" s="854">
        <v>0</v>
      </c>
      <c r="AB12" s="854">
        <v>0</v>
      </c>
      <c r="AC12" s="854">
        <v>0</v>
      </c>
      <c r="AD12" s="854">
        <v>0</v>
      </c>
      <c r="AE12" s="854">
        <v>0</v>
      </c>
      <c r="AF12" s="854">
        <v>0</v>
      </c>
    </row>
    <row r="13" spans="1:32" s="864" customFormat="1" ht="14.45" x14ac:dyDescent="0.35">
      <c r="A13" s="839"/>
      <c r="B13" s="839" t="s">
        <v>29</v>
      </c>
      <c r="C13" s="838"/>
      <c r="D13" s="838"/>
      <c r="E13" s="838"/>
      <c r="F13" s="838"/>
      <c r="G13" s="854">
        <v>0</v>
      </c>
      <c r="H13" s="854">
        <v>0</v>
      </c>
      <c r="I13" s="854">
        <v>0</v>
      </c>
      <c r="J13" s="854">
        <v>0</v>
      </c>
      <c r="K13" s="854">
        <v>0</v>
      </c>
      <c r="L13" s="854">
        <v>0</v>
      </c>
      <c r="M13" s="854">
        <v>0</v>
      </c>
      <c r="N13" s="854">
        <v>0</v>
      </c>
      <c r="O13" s="854">
        <v>0</v>
      </c>
      <c r="P13" s="854">
        <v>0</v>
      </c>
      <c r="Q13" s="854">
        <v>0</v>
      </c>
      <c r="R13" s="854">
        <v>0</v>
      </c>
      <c r="S13" s="854">
        <v>0</v>
      </c>
      <c r="T13" s="854">
        <v>0</v>
      </c>
      <c r="U13" s="854">
        <v>0</v>
      </c>
      <c r="V13" s="854">
        <v>0</v>
      </c>
      <c r="W13" s="854">
        <v>0</v>
      </c>
      <c r="X13" s="854">
        <v>0</v>
      </c>
      <c r="Y13" s="854">
        <v>0</v>
      </c>
      <c r="Z13" s="854">
        <v>0</v>
      </c>
      <c r="AA13" s="854">
        <v>0</v>
      </c>
      <c r="AB13" s="854">
        <v>0</v>
      </c>
      <c r="AC13" s="854">
        <v>0</v>
      </c>
      <c r="AD13" s="854">
        <v>0</v>
      </c>
      <c r="AE13" s="854">
        <v>0</v>
      </c>
      <c r="AF13" s="854">
        <v>0</v>
      </c>
    </row>
    <row r="14" spans="1:32" s="864" customFormat="1" ht="14.45" x14ac:dyDescent="0.35">
      <c r="A14" s="839"/>
      <c r="B14" s="839"/>
      <c r="C14" s="838"/>
      <c r="D14" s="838"/>
      <c r="E14" s="838"/>
      <c r="F14" s="838"/>
      <c r="G14" s="854" t="str">
        <v/>
      </c>
      <c r="H14" s="838" t="str">
        <v/>
      </c>
      <c r="I14" s="838" t="str">
        <v/>
      </c>
      <c r="J14" s="838" t="str">
        <v/>
      </c>
      <c r="K14" s="838" t="str">
        <v/>
      </c>
      <c r="L14" s="838" t="str">
        <v/>
      </c>
      <c r="M14" s="838" t="str">
        <v/>
      </c>
      <c r="N14" s="838" t="str">
        <v/>
      </c>
      <c r="O14" s="838" t="str">
        <v/>
      </c>
      <c r="P14" s="838" t="str">
        <v/>
      </c>
      <c r="Q14" s="838" t="str">
        <v/>
      </c>
      <c r="R14" s="838" t="str">
        <v/>
      </c>
      <c r="S14" s="838" t="str">
        <v/>
      </c>
      <c r="T14" s="838" t="str">
        <v/>
      </c>
      <c r="U14" s="838" t="str">
        <v/>
      </c>
      <c r="V14" s="838" t="str">
        <v/>
      </c>
      <c r="W14" s="838" t="str">
        <v/>
      </c>
      <c r="X14" s="838" t="str">
        <v/>
      </c>
      <c r="Y14" s="838" t="str">
        <v/>
      </c>
      <c r="Z14" s="838" t="str">
        <v/>
      </c>
      <c r="AA14" s="838" t="str">
        <v/>
      </c>
      <c r="AB14" s="838" t="str">
        <v/>
      </c>
      <c r="AC14" s="838" t="str">
        <v/>
      </c>
      <c r="AD14" s="838" t="str">
        <v/>
      </c>
      <c r="AE14" s="838" t="str">
        <v/>
      </c>
      <c r="AF14" s="838" t="str">
        <v/>
      </c>
    </row>
    <row r="15" spans="1:32" s="856" customFormat="1" ht="12.95" x14ac:dyDescent="0.3">
      <c r="A15" s="843" t="s">
        <v>32</v>
      </c>
      <c r="B15" s="843"/>
      <c r="C15" s="843"/>
      <c r="D15" s="843"/>
      <c r="E15" s="843"/>
      <c r="F15" s="843"/>
      <c r="G15" s="865" t="str">
        <v/>
      </c>
      <c r="H15" s="843" t="str">
        <v/>
      </c>
      <c r="I15" s="843" t="str">
        <v/>
      </c>
      <c r="J15" s="843" t="str">
        <v/>
      </c>
      <c r="K15" s="843" t="str">
        <v/>
      </c>
      <c r="L15" s="843" t="str">
        <v/>
      </c>
      <c r="M15" s="843" t="str">
        <v/>
      </c>
      <c r="N15" s="843" t="str">
        <v/>
      </c>
      <c r="O15" s="843" t="str">
        <v/>
      </c>
      <c r="P15" s="843" t="str">
        <v/>
      </c>
      <c r="Q15" s="843" t="str">
        <v/>
      </c>
      <c r="R15" s="843" t="str">
        <v/>
      </c>
      <c r="S15" s="843" t="str">
        <v/>
      </c>
      <c r="T15" s="843" t="str">
        <v/>
      </c>
      <c r="U15" s="843" t="str">
        <v/>
      </c>
      <c r="V15" s="843" t="str">
        <v/>
      </c>
      <c r="W15" s="843" t="str">
        <v/>
      </c>
      <c r="X15" s="843" t="str">
        <v/>
      </c>
      <c r="Y15" s="843" t="str">
        <v/>
      </c>
      <c r="Z15" s="843" t="str">
        <v/>
      </c>
      <c r="AA15" s="843" t="str">
        <v/>
      </c>
      <c r="AB15" s="843" t="str">
        <v/>
      </c>
      <c r="AC15" s="843" t="str">
        <v/>
      </c>
      <c r="AD15" s="843" t="str">
        <v/>
      </c>
      <c r="AE15" s="843" t="str">
        <v/>
      </c>
      <c r="AF15" s="843" t="str">
        <v/>
      </c>
    </row>
    <row r="16" spans="1:32" s="864" customFormat="1" ht="14.45" x14ac:dyDescent="0.35">
      <c r="A16" s="839"/>
      <c r="B16" s="839" t="s">
        <v>33</v>
      </c>
      <c r="C16" s="838"/>
      <c r="D16" s="838"/>
      <c r="E16" s="838"/>
      <c r="F16" s="838"/>
      <c r="G16" s="854">
        <v>0</v>
      </c>
      <c r="H16" s="854">
        <v>0</v>
      </c>
      <c r="I16" s="854">
        <v>0</v>
      </c>
      <c r="J16" s="854">
        <v>0</v>
      </c>
      <c r="K16" s="854">
        <v>0</v>
      </c>
      <c r="L16" s="854">
        <v>0</v>
      </c>
      <c r="M16" s="854">
        <v>0</v>
      </c>
      <c r="N16" s="854">
        <v>0</v>
      </c>
      <c r="O16" s="854">
        <v>0</v>
      </c>
      <c r="P16" s="854">
        <v>0</v>
      </c>
      <c r="Q16" s="854">
        <v>0</v>
      </c>
      <c r="R16" s="854">
        <v>0</v>
      </c>
      <c r="S16" s="854">
        <v>0</v>
      </c>
      <c r="T16" s="854">
        <v>0</v>
      </c>
      <c r="U16" s="854">
        <v>0</v>
      </c>
      <c r="V16" s="854">
        <v>0</v>
      </c>
      <c r="W16" s="854">
        <v>0</v>
      </c>
      <c r="X16" s="854">
        <v>0</v>
      </c>
      <c r="Y16" s="854">
        <v>0</v>
      </c>
      <c r="Z16" s="854">
        <v>0</v>
      </c>
      <c r="AA16" s="854">
        <v>0</v>
      </c>
      <c r="AB16" s="854">
        <v>0</v>
      </c>
      <c r="AC16" s="854">
        <v>0</v>
      </c>
      <c r="AD16" s="854">
        <v>0</v>
      </c>
      <c r="AE16" s="854">
        <v>0</v>
      </c>
      <c r="AF16" s="854">
        <v>0</v>
      </c>
    </row>
    <row r="17" spans="1:32" s="864" customFormat="1" ht="14.45" x14ac:dyDescent="0.35">
      <c r="A17" s="842"/>
      <c r="B17" s="842" t="s">
        <v>34</v>
      </c>
      <c r="C17" s="838"/>
      <c r="D17" s="838"/>
      <c r="E17" s="838"/>
      <c r="F17" s="838"/>
      <c r="G17" s="854">
        <v>0</v>
      </c>
      <c r="H17" s="854">
        <v>0</v>
      </c>
      <c r="I17" s="854">
        <v>0</v>
      </c>
      <c r="J17" s="854">
        <v>0</v>
      </c>
      <c r="K17" s="854">
        <v>0</v>
      </c>
      <c r="L17" s="854">
        <v>0</v>
      </c>
      <c r="M17" s="854">
        <v>0</v>
      </c>
      <c r="N17" s="854">
        <v>0</v>
      </c>
      <c r="O17" s="854">
        <v>0</v>
      </c>
      <c r="P17" s="854">
        <v>0</v>
      </c>
      <c r="Q17" s="854">
        <v>0</v>
      </c>
      <c r="R17" s="854">
        <v>0</v>
      </c>
      <c r="S17" s="854">
        <v>0</v>
      </c>
      <c r="T17" s="854">
        <v>0</v>
      </c>
      <c r="U17" s="854">
        <v>0</v>
      </c>
      <c r="V17" s="854">
        <v>0</v>
      </c>
      <c r="W17" s="854">
        <v>0</v>
      </c>
      <c r="X17" s="854">
        <v>0</v>
      </c>
      <c r="Y17" s="854">
        <v>0</v>
      </c>
      <c r="Z17" s="854">
        <v>0</v>
      </c>
      <c r="AA17" s="854">
        <v>0</v>
      </c>
      <c r="AB17" s="854">
        <v>0</v>
      </c>
      <c r="AC17" s="854">
        <v>0</v>
      </c>
      <c r="AD17" s="854">
        <v>0</v>
      </c>
      <c r="AE17" s="854">
        <v>0</v>
      </c>
      <c r="AF17" s="854">
        <v>0</v>
      </c>
    </row>
    <row r="18" spans="1:32" s="864" customFormat="1" ht="14.45" x14ac:dyDescent="0.35">
      <c r="A18" s="839"/>
      <c r="B18" s="842" t="s">
        <v>35</v>
      </c>
      <c r="C18" s="838"/>
      <c r="D18" s="838"/>
      <c r="E18" s="838"/>
      <c r="F18" s="838"/>
      <c r="G18" s="854">
        <v>0</v>
      </c>
      <c r="H18" s="854">
        <v>0</v>
      </c>
      <c r="I18" s="854">
        <v>0</v>
      </c>
      <c r="J18" s="854">
        <v>0</v>
      </c>
      <c r="K18" s="854">
        <v>0</v>
      </c>
      <c r="L18" s="854">
        <v>0</v>
      </c>
      <c r="M18" s="854">
        <v>0</v>
      </c>
      <c r="N18" s="854">
        <v>0</v>
      </c>
      <c r="O18" s="854">
        <v>0</v>
      </c>
      <c r="P18" s="854">
        <v>0</v>
      </c>
      <c r="Q18" s="854">
        <v>0</v>
      </c>
      <c r="R18" s="854">
        <v>0</v>
      </c>
      <c r="S18" s="854">
        <v>0</v>
      </c>
      <c r="T18" s="854">
        <v>0</v>
      </c>
      <c r="U18" s="854">
        <v>0</v>
      </c>
      <c r="V18" s="854">
        <v>0</v>
      </c>
      <c r="W18" s="854">
        <v>0</v>
      </c>
      <c r="X18" s="854">
        <v>0</v>
      </c>
      <c r="Y18" s="854">
        <v>0</v>
      </c>
      <c r="Z18" s="854">
        <v>0</v>
      </c>
      <c r="AA18" s="854">
        <v>0</v>
      </c>
      <c r="AB18" s="854">
        <v>0</v>
      </c>
      <c r="AC18" s="854">
        <v>0</v>
      </c>
      <c r="AD18" s="854">
        <v>0</v>
      </c>
      <c r="AE18" s="854">
        <v>0</v>
      </c>
      <c r="AF18" s="854">
        <v>0</v>
      </c>
    </row>
    <row r="19" spans="1:32" s="864" customFormat="1" ht="14.45" x14ac:dyDescent="0.35">
      <c r="A19" s="839"/>
      <c r="B19" s="842" t="s">
        <v>29</v>
      </c>
      <c r="C19" s="838"/>
      <c r="D19" s="838"/>
      <c r="E19" s="838"/>
      <c r="F19" s="838"/>
      <c r="G19" s="854">
        <v>0</v>
      </c>
      <c r="H19" s="854">
        <v>0</v>
      </c>
      <c r="I19" s="854">
        <v>0</v>
      </c>
      <c r="J19" s="854">
        <v>0</v>
      </c>
      <c r="K19" s="854">
        <v>0</v>
      </c>
      <c r="L19" s="854">
        <v>0</v>
      </c>
      <c r="M19" s="854">
        <v>0</v>
      </c>
      <c r="N19" s="854">
        <v>0</v>
      </c>
      <c r="O19" s="854">
        <v>0</v>
      </c>
      <c r="P19" s="854">
        <v>0</v>
      </c>
      <c r="Q19" s="854">
        <v>0</v>
      </c>
      <c r="R19" s="854">
        <v>0</v>
      </c>
      <c r="S19" s="854">
        <v>0</v>
      </c>
      <c r="T19" s="854">
        <v>0</v>
      </c>
      <c r="U19" s="854">
        <v>0</v>
      </c>
      <c r="V19" s="854">
        <v>0</v>
      </c>
      <c r="W19" s="854">
        <v>0</v>
      </c>
      <c r="X19" s="854">
        <v>0</v>
      </c>
      <c r="Y19" s="854">
        <v>0</v>
      </c>
      <c r="Z19" s="854">
        <v>0</v>
      </c>
      <c r="AA19" s="854">
        <v>0</v>
      </c>
      <c r="AB19" s="854">
        <v>0</v>
      </c>
      <c r="AC19" s="854">
        <v>0</v>
      </c>
      <c r="AD19" s="854">
        <v>0</v>
      </c>
      <c r="AE19" s="854">
        <v>0</v>
      </c>
      <c r="AF19" s="854">
        <v>0</v>
      </c>
    </row>
    <row r="20" spans="1:32" s="864" customFormat="1" ht="14.45" x14ac:dyDescent="0.35">
      <c r="A20" s="839"/>
      <c r="B20" s="839"/>
      <c r="C20" s="838"/>
      <c r="D20" s="838"/>
      <c r="E20" s="838"/>
      <c r="F20" s="838"/>
      <c r="G20" s="854" t="str">
        <v/>
      </c>
      <c r="H20" s="838" t="str">
        <v/>
      </c>
      <c r="I20" s="838" t="str">
        <v/>
      </c>
      <c r="J20" s="838" t="str">
        <v/>
      </c>
      <c r="K20" s="838" t="str">
        <v/>
      </c>
      <c r="L20" s="838" t="str">
        <v/>
      </c>
      <c r="M20" s="838" t="str">
        <v/>
      </c>
      <c r="N20" s="838" t="str">
        <v/>
      </c>
      <c r="O20" s="838" t="str">
        <v/>
      </c>
      <c r="P20" s="838" t="str">
        <v/>
      </c>
      <c r="Q20" s="838" t="str">
        <v/>
      </c>
      <c r="R20" s="838" t="str">
        <v/>
      </c>
      <c r="S20" s="838" t="str">
        <v/>
      </c>
      <c r="T20" s="838" t="str">
        <v/>
      </c>
      <c r="U20" s="838" t="str">
        <v/>
      </c>
      <c r="V20" s="838" t="str">
        <v/>
      </c>
      <c r="W20" s="838" t="str">
        <v/>
      </c>
      <c r="X20" s="838" t="str">
        <v/>
      </c>
      <c r="Y20" s="838" t="str">
        <v/>
      </c>
      <c r="Z20" s="838" t="str">
        <v/>
      </c>
      <c r="AA20" s="838" t="str">
        <v/>
      </c>
      <c r="AB20" s="838" t="str">
        <v/>
      </c>
      <c r="AC20" s="838" t="str">
        <v/>
      </c>
      <c r="AD20" s="838" t="str">
        <v/>
      </c>
      <c r="AE20" s="838" t="str">
        <v/>
      </c>
      <c r="AF20" s="838" t="str">
        <v/>
      </c>
    </row>
    <row r="21" spans="1:32" s="856" customFormat="1" ht="12.95" x14ac:dyDescent="0.3">
      <c r="A21" s="843" t="s">
        <v>36</v>
      </c>
      <c r="B21" s="843"/>
      <c r="C21" s="843"/>
      <c r="D21" s="843"/>
      <c r="E21" s="843"/>
      <c r="F21" s="843"/>
      <c r="G21" s="865" t="str">
        <v/>
      </c>
      <c r="H21" s="843" t="str">
        <v/>
      </c>
      <c r="I21" s="843" t="str">
        <v/>
      </c>
      <c r="J21" s="843" t="str">
        <v/>
      </c>
      <c r="K21" s="843" t="str">
        <v/>
      </c>
      <c r="L21" s="843" t="str">
        <v/>
      </c>
      <c r="M21" s="843" t="str">
        <v/>
      </c>
      <c r="N21" s="843" t="str">
        <v/>
      </c>
      <c r="O21" s="843" t="str">
        <v/>
      </c>
      <c r="P21" s="843" t="str">
        <v/>
      </c>
      <c r="Q21" s="843" t="str">
        <v/>
      </c>
      <c r="R21" s="843" t="str">
        <v/>
      </c>
      <c r="S21" s="843" t="str">
        <v/>
      </c>
      <c r="T21" s="843" t="str">
        <v/>
      </c>
      <c r="U21" s="843" t="str">
        <v/>
      </c>
      <c r="V21" s="843" t="str">
        <v/>
      </c>
      <c r="W21" s="843" t="str">
        <v/>
      </c>
      <c r="X21" s="843" t="str">
        <v/>
      </c>
      <c r="Y21" s="843" t="str">
        <v/>
      </c>
      <c r="Z21" s="843" t="str">
        <v/>
      </c>
      <c r="AA21" s="843" t="str">
        <v/>
      </c>
      <c r="AB21" s="843" t="str">
        <v/>
      </c>
      <c r="AC21" s="843" t="str">
        <v/>
      </c>
      <c r="AD21" s="843" t="str">
        <v/>
      </c>
      <c r="AE21" s="843" t="str">
        <v/>
      </c>
      <c r="AF21" s="843" t="str">
        <v/>
      </c>
    </row>
    <row r="22" spans="1:32" s="864" customFormat="1" ht="14.45" x14ac:dyDescent="0.35">
      <c r="A22" s="839"/>
      <c r="B22" s="839" t="s">
        <v>37</v>
      </c>
      <c r="C22" s="838"/>
      <c r="D22" s="838"/>
      <c r="E22" s="838"/>
      <c r="F22" s="855"/>
      <c r="G22" s="854">
        <v>0</v>
      </c>
      <c r="H22" s="854">
        <v>0</v>
      </c>
      <c r="I22" s="854">
        <v>0</v>
      </c>
      <c r="J22" s="854">
        <v>0</v>
      </c>
      <c r="K22" s="854">
        <v>0</v>
      </c>
      <c r="L22" s="854">
        <v>0</v>
      </c>
      <c r="M22" s="854">
        <v>0</v>
      </c>
      <c r="N22" s="854">
        <v>0</v>
      </c>
      <c r="O22" s="854">
        <v>0</v>
      </c>
      <c r="P22" s="854">
        <v>0</v>
      </c>
      <c r="Q22" s="854">
        <v>0</v>
      </c>
      <c r="R22" s="854">
        <v>0</v>
      </c>
      <c r="S22" s="854">
        <v>0</v>
      </c>
      <c r="T22" s="854">
        <v>0</v>
      </c>
      <c r="U22" s="854">
        <v>0</v>
      </c>
      <c r="V22" s="854">
        <v>0</v>
      </c>
      <c r="W22" s="854">
        <v>0</v>
      </c>
      <c r="X22" s="854">
        <v>0</v>
      </c>
      <c r="Y22" s="854">
        <v>0</v>
      </c>
      <c r="Z22" s="854">
        <v>0</v>
      </c>
      <c r="AA22" s="854">
        <v>0</v>
      </c>
      <c r="AB22" s="854">
        <v>0</v>
      </c>
      <c r="AC22" s="854">
        <v>0</v>
      </c>
      <c r="AD22" s="854">
        <v>0</v>
      </c>
      <c r="AE22" s="854">
        <v>0</v>
      </c>
      <c r="AF22" s="854">
        <v>0</v>
      </c>
    </row>
    <row r="23" spans="1:32" s="864" customFormat="1" ht="14.45" x14ac:dyDescent="0.35">
      <c r="A23" s="839"/>
      <c r="B23" s="839" t="s">
        <v>39</v>
      </c>
      <c r="C23" s="838"/>
      <c r="D23" s="838"/>
      <c r="E23" s="857"/>
      <c r="F23" s="838"/>
      <c r="G23" s="854">
        <v>0</v>
      </c>
      <c r="H23" s="854">
        <v>0</v>
      </c>
      <c r="I23" s="854">
        <v>0</v>
      </c>
      <c r="J23" s="854">
        <v>0</v>
      </c>
      <c r="K23" s="854">
        <v>0</v>
      </c>
      <c r="L23" s="854">
        <v>0</v>
      </c>
      <c r="M23" s="854">
        <v>0</v>
      </c>
      <c r="N23" s="854">
        <v>0</v>
      </c>
      <c r="O23" s="854">
        <v>0</v>
      </c>
      <c r="P23" s="854">
        <v>0</v>
      </c>
      <c r="Q23" s="854">
        <v>0</v>
      </c>
      <c r="R23" s="854">
        <v>0</v>
      </c>
      <c r="S23" s="854">
        <v>0</v>
      </c>
      <c r="T23" s="854">
        <v>0</v>
      </c>
      <c r="U23" s="854">
        <v>0</v>
      </c>
      <c r="V23" s="854">
        <v>0</v>
      </c>
      <c r="W23" s="854">
        <v>0</v>
      </c>
      <c r="X23" s="854">
        <v>0</v>
      </c>
      <c r="Y23" s="854">
        <v>0</v>
      </c>
      <c r="Z23" s="854">
        <v>0</v>
      </c>
      <c r="AA23" s="854">
        <v>0</v>
      </c>
      <c r="AB23" s="854">
        <v>0</v>
      </c>
      <c r="AC23" s="854">
        <v>0</v>
      </c>
      <c r="AD23" s="854">
        <v>0</v>
      </c>
      <c r="AE23" s="854">
        <v>0</v>
      </c>
      <c r="AF23" s="854">
        <v>0</v>
      </c>
    </row>
    <row r="24" spans="1:32" s="864" customFormat="1" ht="14.45" x14ac:dyDescent="0.35">
      <c r="A24" s="839"/>
      <c r="B24" s="839" t="s">
        <v>40</v>
      </c>
      <c r="C24" s="838"/>
      <c r="D24" s="838"/>
      <c r="E24" s="838"/>
      <c r="F24" s="838"/>
      <c r="G24" s="854">
        <v>0</v>
      </c>
      <c r="H24" s="854">
        <v>0</v>
      </c>
      <c r="I24" s="854">
        <v>0</v>
      </c>
      <c r="J24" s="854">
        <v>0</v>
      </c>
      <c r="K24" s="854">
        <v>0</v>
      </c>
      <c r="L24" s="854">
        <v>0</v>
      </c>
      <c r="M24" s="854">
        <v>0</v>
      </c>
      <c r="N24" s="854">
        <v>0</v>
      </c>
      <c r="O24" s="854">
        <v>0</v>
      </c>
      <c r="P24" s="854">
        <v>0</v>
      </c>
      <c r="Q24" s="854">
        <v>0</v>
      </c>
      <c r="R24" s="854">
        <v>0</v>
      </c>
      <c r="S24" s="854">
        <v>0</v>
      </c>
      <c r="T24" s="854">
        <v>0</v>
      </c>
      <c r="U24" s="854">
        <v>0</v>
      </c>
      <c r="V24" s="854">
        <v>0</v>
      </c>
      <c r="W24" s="854">
        <v>0</v>
      </c>
      <c r="X24" s="854">
        <v>0</v>
      </c>
      <c r="Y24" s="854">
        <v>0</v>
      </c>
      <c r="Z24" s="854">
        <v>0</v>
      </c>
      <c r="AA24" s="854">
        <v>0</v>
      </c>
      <c r="AB24" s="854">
        <v>0</v>
      </c>
      <c r="AC24" s="854">
        <v>0</v>
      </c>
      <c r="AD24" s="854">
        <v>0</v>
      </c>
      <c r="AE24" s="854">
        <v>0</v>
      </c>
      <c r="AF24" s="854">
        <v>0</v>
      </c>
    </row>
    <row r="25" spans="1:32" s="864" customFormat="1" ht="14.45" x14ac:dyDescent="0.35">
      <c r="A25" s="839"/>
      <c r="B25" s="839" t="s">
        <v>29</v>
      </c>
      <c r="C25" s="838"/>
      <c r="D25" s="838"/>
      <c r="E25" s="838"/>
      <c r="F25" s="838"/>
      <c r="G25" s="854">
        <v>0</v>
      </c>
      <c r="H25" s="854">
        <v>0</v>
      </c>
      <c r="I25" s="854">
        <v>0</v>
      </c>
      <c r="J25" s="854">
        <v>0</v>
      </c>
      <c r="K25" s="854">
        <v>0</v>
      </c>
      <c r="L25" s="854">
        <v>0</v>
      </c>
      <c r="M25" s="854">
        <v>0</v>
      </c>
      <c r="N25" s="854">
        <v>0</v>
      </c>
      <c r="O25" s="854">
        <v>0</v>
      </c>
      <c r="P25" s="854">
        <v>0</v>
      </c>
      <c r="Q25" s="854">
        <v>0</v>
      </c>
      <c r="R25" s="854">
        <v>0</v>
      </c>
      <c r="S25" s="854">
        <v>0</v>
      </c>
      <c r="T25" s="854">
        <v>0</v>
      </c>
      <c r="U25" s="854">
        <v>0</v>
      </c>
      <c r="V25" s="854">
        <v>0</v>
      </c>
      <c r="W25" s="854">
        <v>0</v>
      </c>
      <c r="X25" s="854">
        <v>0</v>
      </c>
      <c r="Y25" s="854">
        <v>0</v>
      </c>
      <c r="Z25" s="854">
        <v>0</v>
      </c>
      <c r="AA25" s="854">
        <v>0</v>
      </c>
      <c r="AB25" s="854">
        <v>0</v>
      </c>
      <c r="AC25" s="854">
        <v>0</v>
      </c>
      <c r="AD25" s="854">
        <v>0</v>
      </c>
      <c r="AE25" s="854">
        <v>0</v>
      </c>
      <c r="AF25" s="854">
        <v>0</v>
      </c>
    </row>
    <row r="26" spans="1:32" s="864" customFormat="1" ht="14.45" x14ac:dyDescent="0.35">
      <c r="A26" s="839"/>
      <c r="B26" s="839"/>
      <c r="C26" s="838"/>
      <c r="D26" s="838"/>
      <c r="E26" s="838"/>
      <c r="F26" s="838"/>
      <c r="G26" s="854" t="str">
        <v/>
      </c>
      <c r="H26" s="838" t="str">
        <v/>
      </c>
      <c r="I26" s="838" t="str">
        <v/>
      </c>
      <c r="J26" s="838" t="str">
        <v/>
      </c>
      <c r="K26" s="838" t="str">
        <v/>
      </c>
      <c r="L26" s="838" t="str">
        <v/>
      </c>
      <c r="M26" s="838" t="str">
        <v/>
      </c>
      <c r="N26" s="838" t="str">
        <v/>
      </c>
      <c r="O26" s="838" t="str">
        <v/>
      </c>
      <c r="P26" s="838" t="str">
        <v/>
      </c>
      <c r="Q26" s="838" t="str">
        <v/>
      </c>
      <c r="R26" s="838" t="str">
        <v/>
      </c>
      <c r="S26" s="838" t="str">
        <v/>
      </c>
      <c r="T26" s="838" t="str">
        <v/>
      </c>
      <c r="U26" s="838" t="str">
        <v/>
      </c>
      <c r="V26" s="838" t="str">
        <v/>
      </c>
      <c r="W26" s="838" t="str">
        <v/>
      </c>
      <c r="X26" s="838" t="str">
        <v/>
      </c>
      <c r="Y26" s="838" t="str">
        <v/>
      </c>
      <c r="Z26" s="838" t="str">
        <v/>
      </c>
      <c r="AA26" s="838" t="str">
        <v/>
      </c>
      <c r="AB26" s="838" t="str">
        <v/>
      </c>
      <c r="AC26" s="838" t="str">
        <v/>
      </c>
      <c r="AD26" s="838" t="str">
        <v/>
      </c>
      <c r="AE26" s="838" t="str">
        <v/>
      </c>
      <c r="AF26" s="838" t="str">
        <v/>
      </c>
    </row>
    <row r="27" spans="1:32" s="856" customFormat="1" ht="12.95" x14ac:dyDescent="0.3">
      <c r="A27" s="843" t="s">
        <v>42</v>
      </c>
      <c r="B27" s="843"/>
      <c r="C27" s="843"/>
      <c r="D27" s="843"/>
      <c r="E27" s="843"/>
      <c r="F27" s="843"/>
      <c r="G27" s="865" t="str">
        <v/>
      </c>
      <c r="H27" s="843" t="str">
        <v/>
      </c>
      <c r="I27" s="843" t="str">
        <v/>
      </c>
      <c r="J27" s="843" t="str">
        <v/>
      </c>
      <c r="K27" s="843" t="str">
        <v/>
      </c>
      <c r="L27" s="843" t="str">
        <v/>
      </c>
      <c r="M27" s="843" t="str">
        <v/>
      </c>
      <c r="N27" s="843" t="str">
        <v/>
      </c>
      <c r="O27" s="843" t="str">
        <v/>
      </c>
      <c r="P27" s="843" t="str">
        <v/>
      </c>
      <c r="Q27" s="843" t="str">
        <v/>
      </c>
      <c r="R27" s="843" t="str">
        <v/>
      </c>
      <c r="S27" s="843" t="str">
        <v/>
      </c>
      <c r="T27" s="843" t="str">
        <v/>
      </c>
      <c r="U27" s="843" t="str">
        <v/>
      </c>
      <c r="V27" s="843" t="str">
        <v/>
      </c>
      <c r="W27" s="843" t="str">
        <v/>
      </c>
      <c r="X27" s="843" t="str">
        <v/>
      </c>
      <c r="Y27" s="843" t="str">
        <v/>
      </c>
      <c r="Z27" s="843" t="str">
        <v/>
      </c>
      <c r="AA27" s="843" t="str">
        <v/>
      </c>
      <c r="AB27" s="843" t="str">
        <v/>
      </c>
      <c r="AC27" s="843" t="str">
        <v/>
      </c>
      <c r="AD27" s="843" t="str">
        <v/>
      </c>
      <c r="AE27" s="843" t="str">
        <v/>
      </c>
      <c r="AF27" s="843" t="str">
        <v/>
      </c>
    </row>
    <row r="28" spans="1:32" s="864" customFormat="1" ht="14.45" x14ac:dyDescent="0.35">
      <c r="A28" s="839"/>
      <c r="B28" s="842" t="s">
        <v>43</v>
      </c>
      <c r="C28" s="838"/>
      <c r="D28" s="838"/>
      <c r="E28" s="838"/>
      <c r="F28" s="838"/>
      <c r="G28" s="854">
        <v>0</v>
      </c>
      <c r="H28" s="854">
        <v>0</v>
      </c>
      <c r="I28" s="854">
        <v>0</v>
      </c>
      <c r="J28" s="854">
        <v>0</v>
      </c>
      <c r="K28" s="854">
        <v>0</v>
      </c>
      <c r="L28" s="854">
        <v>0</v>
      </c>
      <c r="M28" s="854">
        <v>0</v>
      </c>
      <c r="N28" s="854">
        <v>0</v>
      </c>
      <c r="O28" s="854">
        <v>0</v>
      </c>
      <c r="P28" s="854">
        <v>0</v>
      </c>
      <c r="Q28" s="854">
        <v>0</v>
      </c>
      <c r="R28" s="854">
        <v>0</v>
      </c>
      <c r="S28" s="854">
        <v>0</v>
      </c>
      <c r="T28" s="854">
        <v>0</v>
      </c>
      <c r="U28" s="854">
        <v>0</v>
      </c>
      <c r="V28" s="854">
        <v>0</v>
      </c>
      <c r="W28" s="854">
        <v>0</v>
      </c>
      <c r="X28" s="854">
        <v>0</v>
      </c>
      <c r="Y28" s="854">
        <v>0</v>
      </c>
      <c r="Z28" s="854">
        <v>0</v>
      </c>
      <c r="AA28" s="854">
        <v>0</v>
      </c>
      <c r="AB28" s="854">
        <v>0</v>
      </c>
      <c r="AC28" s="854">
        <v>0</v>
      </c>
      <c r="AD28" s="854">
        <v>0</v>
      </c>
      <c r="AE28" s="854">
        <v>0</v>
      </c>
      <c r="AF28" s="854">
        <v>0</v>
      </c>
    </row>
    <row r="29" spans="1:32" s="864" customFormat="1" ht="14.45" x14ac:dyDescent="0.35">
      <c r="A29" s="839"/>
      <c r="B29" s="842" t="s">
        <v>44</v>
      </c>
      <c r="C29" s="838"/>
      <c r="D29" s="838"/>
      <c r="E29" s="838"/>
      <c r="F29" s="838"/>
      <c r="G29" s="854">
        <v>0</v>
      </c>
      <c r="H29" s="854">
        <v>0</v>
      </c>
      <c r="I29" s="854">
        <v>0</v>
      </c>
      <c r="J29" s="854">
        <v>0</v>
      </c>
      <c r="K29" s="854">
        <v>0</v>
      </c>
      <c r="L29" s="854">
        <v>0</v>
      </c>
      <c r="M29" s="854">
        <v>0</v>
      </c>
      <c r="N29" s="854">
        <v>0</v>
      </c>
      <c r="O29" s="854">
        <v>0</v>
      </c>
      <c r="P29" s="854">
        <v>0</v>
      </c>
      <c r="Q29" s="854">
        <v>0</v>
      </c>
      <c r="R29" s="854">
        <v>0</v>
      </c>
      <c r="S29" s="854">
        <v>0</v>
      </c>
      <c r="T29" s="854">
        <v>0</v>
      </c>
      <c r="U29" s="854">
        <v>0</v>
      </c>
      <c r="V29" s="854">
        <v>0</v>
      </c>
      <c r="W29" s="854">
        <v>0</v>
      </c>
      <c r="X29" s="854">
        <v>0</v>
      </c>
      <c r="Y29" s="854">
        <v>0</v>
      </c>
      <c r="Z29" s="854">
        <v>0</v>
      </c>
      <c r="AA29" s="854">
        <v>0</v>
      </c>
      <c r="AB29" s="854">
        <v>0</v>
      </c>
      <c r="AC29" s="854">
        <v>0</v>
      </c>
      <c r="AD29" s="854">
        <v>0</v>
      </c>
      <c r="AE29" s="854">
        <v>0</v>
      </c>
      <c r="AF29" s="854">
        <v>0</v>
      </c>
    </row>
    <row r="30" spans="1:32" s="864" customFormat="1" ht="14.45" x14ac:dyDescent="0.35">
      <c r="A30" s="839"/>
      <c r="B30" s="842" t="s">
        <v>45</v>
      </c>
      <c r="C30" s="838"/>
      <c r="D30" s="838"/>
      <c r="E30" s="838"/>
      <c r="F30" s="838"/>
      <c r="G30" s="854">
        <v>0</v>
      </c>
      <c r="H30" s="854">
        <v>0</v>
      </c>
      <c r="I30" s="854">
        <v>0</v>
      </c>
      <c r="J30" s="854">
        <v>0</v>
      </c>
      <c r="K30" s="854">
        <v>0</v>
      </c>
      <c r="L30" s="854">
        <v>0</v>
      </c>
      <c r="M30" s="854">
        <v>0</v>
      </c>
      <c r="N30" s="854">
        <v>0</v>
      </c>
      <c r="O30" s="854">
        <v>0</v>
      </c>
      <c r="P30" s="854">
        <v>0</v>
      </c>
      <c r="Q30" s="854">
        <v>0</v>
      </c>
      <c r="R30" s="854">
        <v>0</v>
      </c>
      <c r="S30" s="854">
        <v>0</v>
      </c>
      <c r="T30" s="854">
        <v>0</v>
      </c>
      <c r="U30" s="854">
        <v>0</v>
      </c>
      <c r="V30" s="854">
        <v>0</v>
      </c>
      <c r="W30" s="854">
        <v>0</v>
      </c>
      <c r="X30" s="854">
        <v>0</v>
      </c>
      <c r="Y30" s="854">
        <v>0</v>
      </c>
      <c r="Z30" s="854">
        <v>0</v>
      </c>
      <c r="AA30" s="854">
        <v>0</v>
      </c>
      <c r="AB30" s="854">
        <v>0</v>
      </c>
      <c r="AC30" s="854">
        <v>0</v>
      </c>
      <c r="AD30" s="854">
        <v>0</v>
      </c>
      <c r="AE30" s="854">
        <v>0</v>
      </c>
      <c r="AF30" s="854">
        <v>0</v>
      </c>
    </row>
    <row r="31" spans="1:32" s="864" customFormat="1" ht="14.45" x14ac:dyDescent="0.35">
      <c r="A31" s="839"/>
      <c r="B31" s="842" t="s">
        <v>46</v>
      </c>
      <c r="C31" s="838"/>
      <c r="D31" s="838"/>
      <c r="E31" s="838"/>
      <c r="F31" s="838"/>
      <c r="G31" s="854">
        <v>0</v>
      </c>
      <c r="H31" s="854">
        <v>0</v>
      </c>
      <c r="I31" s="854">
        <v>0</v>
      </c>
      <c r="J31" s="854">
        <v>0</v>
      </c>
      <c r="K31" s="854">
        <v>0</v>
      </c>
      <c r="L31" s="854">
        <v>0</v>
      </c>
      <c r="M31" s="854">
        <v>0</v>
      </c>
      <c r="N31" s="854">
        <v>0</v>
      </c>
      <c r="O31" s="854">
        <v>0</v>
      </c>
      <c r="P31" s="854">
        <v>0</v>
      </c>
      <c r="Q31" s="854">
        <v>0</v>
      </c>
      <c r="R31" s="854">
        <v>0</v>
      </c>
      <c r="S31" s="854">
        <v>0</v>
      </c>
      <c r="T31" s="854">
        <v>0</v>
      </c>
      <c r="U31" s="854">
        <v>0</v>
      </c>
      <c r="V31" s="854">
        <v>0</v>
      </c>
      <c r="W31" s="854">
        <v>0</v>
      </c>
      <c r="X31" s="854">
        <v>0</v>
      </c>
      <c r="Y31" s="854">
        <v>0</v>
      </c>
      <c r="Z31" s="854">
        <v>0</v>
      </c>
      <c r="AA31" s="854">
        <v>0</v>
      </c>
      <c r="AB31" s="854">
        <v>0</v>
      </c>
      <c r="AC31" s="854">
        <v>0</v>
      </c>
      <c r="AD31" s="854">
        <v>0</v>
      </c>
      <c r="AE31" s="854">
        <v>0</v>
      </c>
      <c r="AF31" s="854">
        <v>0</v>
      </c>
    </row>
    <row r="32" spans="1:32" s="864" customFormat="1" ht="14.45" x14ac:dyDescent="0.35">
      <c r="A32" s="839"/>
      <c r="B32" s="839" t="s">
        <v>29</v>
      </c>
      <c r="C32" s="838"/>
      <c r="D32" s="838"/>
      <c r="E32" s="838"/>
      <c r="F32" s="838"/>
      <c r="G32" s="854">
        <v>0</v>
      </c>
      <c r="H32" s="854">
        <v>0</v>
      </c>
      <c r="I32" s="854">
        <v>0</v>
      </c>
      <c r="J32" s="854">
        <v>0</v>
      </c>
      <c r="K32" s="854">
        <v>0</v>
      </c>
      <c r="L32" s="854">
        <v>0</v>
      </c>
      <c r="M32" s="854">
        <v>0</v>
      </c>
      <c r="N32" s="854">
        <v>0</v>
      </c>
      <c r="O32" s="854">
        <v>0</v>
      </c>
      <c r="P32" s="854">
        <v>0</v>
      </c>
      <c r="Q32" s="854">
        <v>0</v>
      </c>
      <c r="R32" s="854">
        <v>0</v>
      </c>
      <c r="S32" s="854">
        <v>0</v>
      </c>
      <c r="T32" s="854">
        <v>0</v>
      </c>
      <c r="U32" s="854">
        <v>0</v>
      </c>
      <c r="V32" s="854">
        <v>0</v>
      </c>
      <c r="W32" s="854">
        <v>0</v>
      </c>
      <c r="X32" s="854">
        <v>0</v>
      </c>
      <c r="Y32" s="854">
        <v>0</v>
      </c>
      <c r="Z32" s="854">
        <v>0</v>
      </c>
      <c r="AA32" s="854">
        <v>0</v>
      </c>
      <c r="AB32" s="854">
        <v>0</v>
      </c>
      <c r="AC32" s="854">
        <v>0</v>
      </c>
      <c r="AD32" s="854">
        <v>0</v>
      </c>
      <c r="AE32" s="854">
        <v>0</v>
      </c>
      <c r="AF32" s="854">
        <v>0</v>
      </c>
    </row>
    <row r="33" spans="1:32" s="864" customFormat="1" ht="14.45" x14ac:dyDescent="0.35">
      <c r="A33" s="839"/>
      <c r="B33" s="839"/>
      <c r="C33" s="838"/>
      <c r="D33" s="838"/>
      <c r="E33" s="838"/>
      <c r="F33" s="838"/>
      <c r="G33" s="854" t="str">
        <v/>
      </c>
      <c r="H33" s="838" t="str">
        <v/>
      </c>
      <c r="I33" s="838" t="str">
        <v/>
      </c>
      <c r="J33" s="838" t="str">
        <v/>
      </c>
      <c r="K33" s="838" t="str">
        <v/>
      </c>
      <c r="L33" s="838" t="str">
        <v/>
      </c>
      <c r="M33" s="838" t="str">
        <v/>
      </c>
      <c r="N33" s="838" t="str">
        <v/>
      </c>
      <c r="O33" s="838" t="str">
        <v/>
      </c>
      <c r="P33" s="838" t="str">
        <v/>
      </c>
      <c r="Q33" s="838" t="str">
        <v/>
      </c>
      <c r="R33" s="838" t="str">
        <v/>
      </c>
      <c r="S33" s="838" t="str">
        <v/>
      </c>
      <c r="T33" s="838" t="str">
        <v/>
      </c>
      <c r="U33" s="838" t="str">
        <v/>
      </c>
      <c r="V33" s="838" t="str">
        <v/>
      </c>
      <c r="W33" s="838" t="str">
        <v/>
      </c>
      <c r="X33" s="838" t="str">
        <v/>
      </c>
      <c r="Y33" s="838" t="str">
        <v/>
      </c>
      <c r="Z33" s="838" t="str">
        <v/>
      </c>
      <c r="AA33" s="838" t="str">
        <v/>
      </c>
      <c r="AB33" s="838" t="str">
        <v/>
      </c>
      <c r="AC33" s="838" t="str">
        <v/>
      </c>
      <c r="AD33" s="838" t="str">
        <v/>
      </c>
      <c r="AE33" s="838" t="str">
        <v/>
      </c>
      <c r="AF33" s="838" t="str">
        <v/>
      </c>
    </row>
    <row r="34" spans="1:32" s="856" customFormat="1" ht="12.95" x14ac:dyDescent="0.3">
      <c r="A34" s="843" t="s">
        <v>47</v>
      </c>
      <c r="B34" s="843"/>
      <c r="C34" s="843"/>
      <c r="D34" s="843"/>
      <c r="E34" s="843"/>
      <c r="F34" s="843"/>
      <c r="G34" s="865" t="str">
        <v/>
      </c>
      <c r="H34" s="843" t="str">
        <v/>
      </c>
      <c r="I34" s="843" t="str">
        <v/>
      </c>
      <c r="J34" s="843" t="str">
        <v/>
      </c>
      <c r="K34" s="843" t="str">
        <v/>
      </c>
      <c r="L34" s="843" t="str">
        <v/>
      </c>
      <c r="M34" s="843" t="str">
        <v/>
      </c>
      <c r="N34" s="843" t="str">
        <v/>
      </c>
      <c r="O34" s="843" t="str">
        <v/>
      </c>
      <c r="P34" s="843" t="str">
        <v/>
      </c>
      <c r="Q34" s="843" t="str">
        <v/>
      </c>
      <c r="R34" s="843" t="str">
        <v/>
      </c>
      <c r="S34" s="843" t="str">
        <v/>
      </c>
      <c r="T34" s="843" t="str">
        <v/>
      </c>
      <c r="U34" s="843" t="str">
        <v/>
      </c>
      <c r="V34" s="843" t="str">
        <v/>
      </c>
      <c r="W34" s="843" t="str">
        <v/>
      </c>
      <c r="X34" s="843" t="str">
        <v/>
      </c>
      <c r="Y34" s="843" t="str">
        <v/>
      </c>
      <c r="Z34" s="843" t="str">
        <v/>
      </c>
      <c r="AA34" s="843" t="str">
        <v/>
      </c>
      <c r="AB34" s="843" t="str">
        <v/>
      </c>
      <c r="AC34" s="843" t="str">
        <v/>
      </c>
      <c r="AD34" s="843" t="str">
        <v/>
      </c>
      <c r="AE34" s="843" t="str">
        <v/>
      </c>
      <c r="AF34" s="843" t="str">
        <v/>
      </c>
    </row>
    <row r="35" spans="1:32" s="864" customFormat="1" ht="14.45" x14ac:dyDescent="0.35">
      <c r="A35" s="839"/>
      <c r="B35" s="839" t="s">
        <v>48</v>
      </c>
      <c r="C35" s="838"/>
      <c r="D35" s="838"/>
      <c r="E35" s="838"/>
      <c r="F35" s="838"/>
      <c r="G35" s="854">
        <v>0</v>
      </c>
      <c r="H35" s="854">
        <v>0</v>
      </c>
      <c r="I35" s="854">
        <v>0</v>
      </c>
      <c r="J35" s="854">
        <v>0</v>
      </c>
      <c r="K35" s="854">
        <v>0</v>
      </c>
      <c r="L35" s="854">
        <v>0</v>
      </c>
      <c r="M35" s="854">
        <v>0</v>
      </c>
      <c r="N35" s="854">
        <v>0</v>
      </c>
      <c r="O35" s="854">
        <v>0</v>
      </c>
      <c r="P35" s="854">
        <v>0</v>
      </c>
      <c r="Q35" s="854">
        <v>0</v>
      </c>
      <c r="R35" s="854">
        <v>0</v>
      </c>
      <c r="S35" s="854">
        <v>0</v>
      </c>
      <c r="T35" s="854">
        <v>0</v>
      </c>
      <c r="U35" s="854">
        <v>0</v>
      </c>
      <c r="V35" s="854">
        <v>0</v>
      </c>
      <c r="W35" s="854">
        <v>0</v>
      </c>
      <c r="X35" s="854">
        <v>0</v>
      </c>
      <c r="Y35" s="854">
        <v>0</v>
      </c>
      <c r="Z35" s="854">
        <v>0</v>
      </c>
      <c r="AA35" s="854">
        <v>0</v>
      </c>
      <c r="AB35" s="854">
        <v>0</v>
      </c>
      <c r="AC35" s="854">
        <v>0</v>
      </c>
      <c r="AD35" s="854">
        <v>0</v>
      </c>
      <c r="AE35" s="854">
        <v>0</v>
      </c>
      <c r="AF35" s="854">
        <v>0</v>
      </c>
    </row>
    <row r="36" spans="1:32" s="864" customFormat="1" x14ac:dyDescent="0.25">
      <c r="A36" s="839"/>
      <c r="B36" s="842" t="s">
        <v>50</v>
      </c>
      <c r="C36" s="838"/>
      <c r="D36" s="838"/>
      <c r="E36" s="838"/>
      <c r="F36" s="838"/>
      <c r="G36" s="854">
        <v>0</v>
      </c>
      <c r="H36" s="854">
        <v>0</v>
      </c>
      <c r="I36" s="854">
        <v>0</v>
      </c>
      <c r="J36" s="854">
        <v>0</v>
      </c>
      <c r="K36" s="854">
        <v>0</v>
      </c>
      <c r="L36" s="854">
        <v>0</v>
      </c>
      <c r="M36" s="854">
        <v>0</v>
      </c>
      <c r="N36" s="854">
        <v>0</v>
      </c>
      <c r="O36" s="854">
        <v>0</v>
      </c>
      <c r="P36" s="854">
        <v>0</v>
      </c>
      <c r="Q36" s="854">
        <v>0</v>
      </c>
      <c r="R36" s="854">
        <v>0</v>
      </c>
      <c r="S36" s="854">
        <v>0</v>
      </c>
      <c r="T36" s="854">
        <v>0</v>
      </c>
      <c r="U36" s="854">
        <v>0</v>
      </c>
      <c r="V36" s="854">
        <v>0</v>
      </c>
      <c r="W36" s="854">
        <v>0</v>
      </c>
      <c r="X36" s="854">
        <v>0</v>
      </c>
      <c r="Y36" s="854">
        <v>0</v>
      </c>
      <c r="Z36" s="854">
        <v>0</v>
      </c>
      <c r="AA36" s="854">
        <v>0</v>
      </c>
      <c r="AB36" s="854">
        <v>0</v>
      </c>
      <c r="AC36" s="854">
        <v>0</v>
      </c>
      <c r="AD36" s="854">
        <v>0</v>
      </c>
      <c r="AE36" s="854">
        <v>0</v>
      </c>
      <c r="AF36" s="854">
        <v>0</v>
      </c>
    </row>
    <row r="37" spans="1:32" s="864" customFormat="1" x14ac:dyDescent="0.25">
      <c r="A37" s="839"/>
      <c r="B37" s="839" t="s">
        <v>51</v>
      </c>
      <c r="C37" s="838"/>
      <c r="D37" s="838"/>
      <c r="E37" s="838"/>
      <c r="F37" s="838"/>
      <c r="G37" s="854">
        <v>0</v>
      </c>
      <c r="H37" s="854">
        <v>0</v>
      </c>
      <c r="I37" s="854">
        <v>0</v>
      </c>
      <c r="J37" s="854">
        <v>0</v>
      </c>
      <c r="K37" s="854">
        <v>0</v>
      </c>
      <c r="L37" s="854">
        <v>0</v>
      </c>
      <c r="M37" s="854">
        <v>0</v>
      </c>
      <c r="N37" s="854">
        <v>0</v>
      </c>
      <c r="O37" s="854">
        <v>0</v>
      </c>
      <c r="P37" s="854">
        <v>0</v>
      </c>
      <c r="Q37" s="854">
        <v>0</v>
      </c>
      <c r="R37" s="854">
        <v>0</v>
      </c>
      <c r="S37" s="854">
        <v>0</v>
      </c>
      <c r="T37" s="854">
        <v>0</v>
      </c>
      <c r="U37" s="854">
        <v>0</v>
      </c>
      <c r="V37" s="854">
        <v>0</v>
      </c>
      <c r="W37" s="854">
        <v>0</v>
      </c>
      <c r="X37" s="854">
        <v>0</v>
      </c>
      <c r="Y37" s="854">
        <v>0</v>
      </c>
      <c r="Z37" s="854">
        <v>0</v>
      </c>
      <c r="AA37" s="854">
        <v>0</v>
      </c>
      <c r="AB37" s="854">
        <v>0</v>
      </c>
      <c r="AC37" s="854">
        <v>0</v>
      </c>
      <c r="AD37" s="854">
        <v>0</v>
      </c>
      <c r="AE37" s="854">
        <v>0</v>
      </c>
      <c r="AF37" s="854">
        <v>0</v>
      </c>
    </row>
    <row r="38" spans="1:32" s="864" customFormat="1" x14ac:dyDescent="0.25">
      <c r="A38" s="839"/>
      <c r="B38" s="839" t="s">
        <v>52</v>
      </c>
      <c r="C38" s="838"/>
      <c r="D38" s="838"/>
      <c r="E38" s="838"/>
      <c r="F38" s="838"/>
      <c r="G38" s="854">
        <v>0</v>
      </c>
      <c r="H38" s="854">
        <v>0</v>
      </c>
      <c r="I38" s="854">
        <v>0</v>
      </c>
      <c r="J38" s="854">
        <v>0</v>
      </c>
      <c r="K38" s="854">
        <v>0</v>
      </c>
      <c r="L38" s="854">
        <v>0</v>
      </c>
      <c r="M38" s="854">
        <v>0</v>
      </c>
      <c r="N38" s="854">
        <v>0</v>
      </c>
      <c r="O38" s="854">
        <v>0</v>
      </c>
      <c r="P38" s="854">
        <v>0</v>
      </c>
      <c r="Q38" s="854">
        <v>0</v>
      </c>
      <c r="R38" s="854">
        <v>0</v>
      </c>
      <c r="S38" s="854">
        <v>0</v>
      </c>
      <c r="T38" s="854">
        <v>0</v>
      </c>
      <c r="U38" s="854">
        <v>0</v>
      </c>
      <c r="V38" s="854">
        <v>0</v>
      </c>
      <c r="W38" s="854">
        <v>0</v>
      </c>
      <c r="X38" s="854">
        <v>0</v>
      </c>
      <c r="Y38" s="854">
        <v>0</v>
      </c>
      <c r="Z38" s="854">
        <v>0</v>
      </c>
      <c r="AA38" s="854">
        <v>0</v>
      </c>
      <c r="AB38" s="854">
        <v>0</v>
      </c>
      <c r="AC38" s="854">
        <v>0</v>
      </c>
      <c r="AD38" s="854">
        <v>0</v>
      </c>
      <c r="AE38" s="854">
        <v>0</v>
      </c>
      <c r="AF38" s="854">
        <v>0</v>
      </c>
    </row>
    <row r="39" spans="1:32" s="864" customFormat="1" x14ac:dyDescent="0.25">
      <c r="A39" s="839"/>
      <c r="B39" s="842" t="s">
        <v>29</v>
      </c>
      <c r="C39" s="838"/>
      <c r="D39" s="838"/>
      <c r="E39" s="838"/>
      <c r="F39" s="838"/>
      <c r="G39" s="854">
        <v>0</v>
      </c>
      <c r="H39" s="854">
        <v>0</v>
      </c>
      <c r="I39" s="854">
        <v>0</v>
      </c>
      <c r="J39" s="854">
        <v>0</v>
      </c>
      <c r="K39" s="854">
        <v>0</v>
      </c>
      <c r="L39" s="854">
        <v>0</v>
      </c>
      <c r="M39" s="854">
        <v>0</v>
      </c>
      <c r="N39" s="854">
        <v>0</v>
      </c>
      <c r="O39" s="854">
        <v>0</v>
      </c>
      <c r="P39" s="854">
        <v>0</v>
      </c>
      <c r="Q39" s="854">
        <v>0</v>
      </c>
      <c r="R39" s="854">
        <v>0</v>
      </c>
      <c r="S39" s="854">
        <v>0</v>
      </c>
      <c r="T39" s="854">
        <v>0</v>
      </c>
      <c r="U39" s="854">
        <v>0</v>
      </c>
      <c r="V39" s="854">
        <v>0</v>
      </c>
      <c r="W39" s="854">
        <v>0</v>
      </c>
      <c r="X39" s="854">
        <v>0</v>
      </c>
      <c r="Y39" s="854">
        <v>0</v>
      </c>
      <c r="Z39" s="854">
        <v>0</v>
      </c>
      <c r="AA39" s="854">
        <v>0</v>
      </c>
      <c r="AB39" s="854">
        <v>0</v>
      </c>
      <c r="AC39" s="854">
        <v>0</v>
      </c>
      <c r="AD39" s="854">
        <v>0</v>
      </c>
      <c r="AE39" s="854">
        <v>0</v>
      </c>
      <c r="AF39" s="854">
        <v>0</v>
      </c>
    </row>
    <row r="40" spans="1:32" s="864" customFormat="1" x14ac:dyDescent="0.25">
      <c r="A40" s="839"/>
      <c r="B40" s="842" t="s">
        <v>53</v>
      </c>
      <c r="C40" s="838"/>
      <c r="D40" s="838"/>
      <c r="E40" s="838"/>
      <c r="F40" s="838"/>
      <c r="G40" s="854">
        <v>0</v>
      </c>
      <c r="H40" s="854">
        <v>0</v>
      </c>
      <c r="I40" s="854">
        <v>0</v>
      </c>
      <c r="J40" s="854">
        <v>0</v>
      </c>
      <c r="K40" s="854">
        <v>0</v>
      </c>
      <c r="L40" s="854">
        <v>0</v>
      </c>
      <c r="M40" s="854">
        <v>0</v>
      </c>
      <c r="N40" s="854">
        <v>0</v>
      </c>
      <c r="O40" s="854">
        <v>0</v>
      </c>
      <c r="P40" s="854">
        <v>0</v>
      </c>
      <c r="Q40" s="854">
        <v>0</v>
      </c>
      <c r="R40" s="854">
        <v>0</v>
      </c>
      <c r="S40" s="854">
        <v>0</v>
      </c>
      <c r="T40" s="854">
        <v>0</v>
      </c>
      <c r="U40" s="854">
        <v>0</v>
      </c>
      <c r="V40" s="854">
        <v>0</v>
      </c>
      <c r="W40" s="854">
        <v>0</v>
      </c>
      <c r="X40" s="854">
        <v>0</v>
      </c>
      <c r="Y40" s="854">
        <v>0</v>
      </c>
      <c r="Z40" s="854">
        <v>0</v>
      </c>
      <c r="AA40" s="854">
        <v>0</v>
      </c>
      <c r="AB40" s="854">
        <v>0</v>
      </c>
      <c r="AC40" s="854">
        <v>0</v>
      </c>
      <c r="AD40" s="854">
        <v>0</v>
      </c>
      <c r="AE40" s="854">
        <v>0</v>
      </c>
      <c r="AF40" s="854">
        <v>0</v>
      </c>
    </row>
    <row r="41" spans="1:32" s="838" customFormat="1" x14ac:dyDescent="0.25">
      <c r="G41" s="838" t="str">
        <v/>
      </c>
      <c r="H41" s="838" t="str">
        <v/>
      </c>
      <c r="I41" s="838" t="str">
        <v/>
      </c>
      <c r="J41" s="838" t="str">
        <v/>
      </c>
      <c r="K41" s="838" t="str">
        <v/>
      </c>
      <c r="L41" s="838" t="str">
        <v/>
      </c>
      <c r="M41" s="838" t="str">
        <v/>
      </c>
      <c r="N41" s="838" t="str">
        <v/>
      </c>
      <c r="O41" s="838" t="str">
        <v/>
      </c>
      <c r="P41" s="838" t="str">
        <v/>
      </c>
      <c r="Q41" s="838" t="str">
        <v/>
      </c>
      <c r="R41" s="838" t="str">
        <v/>
      </c>
      <c r="S41" s="838" t="str">
        <v/>
      </c>
      <c r="T41" s="838" t="str">
        <v/>
      </c>
      <c r="U41" s="838" t="str">
        <v/>
      </c>
      <c r="V41" s="838" t="str">
        <v/>
      </c>
      <c r="W41" s="838" t="str">
        <v/>
      </c>
      <c r="X41" s="838" t="str">
        <v/>
      </c>
      <c r="Y41" s="838" t="str">
        <v/>
      </c>
      <c r="Z41" s="838" t="str">
        <v/>
      </c>
      <c r="AA41" s="838" t="str">
        <v/>
      </c>
      <c r="AB41" s="838" t="str">
        <v/>
      </c>
      <c r="AC41" s="838" t="str">
        <v/>
      </c>
      <c r="AD41" s="838" t="str">
        <v/>
      </c>
      <c r="AE41" s="838" t="str">
        <v/>
      </c>
      <c r="AF41" s="838" t="str">
        <v/>
      </c>
    </row>
    <row r="42" spans="1:32" s="838" customFormat="1" x14ac:dyDescent="0.25">
      <c r="G42" s="838" t="str">
        <v/>
      </c>
      <c r="H42" s="838" t="str">
        <v/>
      </c>
      <c r="I42" s="838" t="str">
        <v/>
      </c>
      <c r="J42" s="838" t="str">
        <v/>
      </c>
      <c r="K42" s="838" t="str">
        <v/>
      </c>
      <c r="L42" s="838" t="str">
        <v/>
      </c>
      <c r="M42" s="838" t="str">
        <v/>
      </c>
      <c r="N42" s="838" t="str">
        <v/>
      </c>
      <c r="O42" s="838" t="str">
        <v/>
      </c>
      <c r="P42" s="838" t="str">
        <v/>
      </c>
      <c r="Q42" s="838" t="str">
        <v/>
      </c>
      <c r="R42" s="838" t="str">
        <v/>
      </c>
      <c r="S42" s="838" t="str">
        <v/>
      </c>
      <c r="T42" s="838" t="str">
        <v/>
      </c>
      <c r="U42" s="838" t="str">
        <v/>
      </c>
      <c r="V42" s="838" t="str">
        <v/>
      </c>
      <c r="W42" s="838" t="str">
        <v/>
      </c>
      <c r="X42" s="838" t="str">
        <v/>
      </c>
      <c r="Y42" s="838" t="str">
        <v/>
      </c>
      <c r="Z42" s="838" t="str">
        <v/>
      </c>
      <c r="AA42" s="838" t="str">
        <v/>
      </c>
      <c r="AB42" s="838" t="str">
        <v/>
      </c>
      <c r="AC42" s="838" t="str">
        <v/>
      </c>
      <c r="AD42" s="838" t="str">
        <v/>
      </c>
      <c r="AE42" s="838" t="str">
        <v/>
      </c>
      <c r="AF42" s="838" t="str">
        <v/>
      </c>
    </row>
    <row r="43" spans="1:32" s="838" customFormat="1" x14ac:dyDescent="0.25">
      <c r="A43" s="860" t="s">
        <v>56</v>
      </c>
      <c r="B43" s="861"/>
      <c r="C43" s="860"/>
      <c r="D43" s="859"/>
      <c r="E43" s="859"/>
      <c r="F43" s="859"/>
      <c r="G43" s="859" t="str">
        <v/>
      </c>
      <c r="H43" s="862" t="str">
        <v/>
      </c>
      <c r="I43" s="862" t="str">
        <v/>
      </c>
      <c r="J43" s="862" t="str">
        <v/>
      </c>
      <c r="K43" s="862" t="str">
        <v/>
      </c>
      <c r="L43" s="862" t="str">
        <v/>
      </c>
      <c r="M43" s="862" t="str">
        <v/>
      </c>
      <c r="N43" s="862" t="str">
        <v/>
      </c>
      <c r="O43" s="862" t="str">
        <v/>
      </c>
      <c r="P43" s="862" t="str">
        <v/>
      </c>
      <c r="Q43" s="862" t="str">
        <v/>
      </c>
      <c r="R43" s="862" t="str">
        <v/>
      </c>
      <c r="S43" s="862" t="str">
        <v/>
      </c>
      <c r="T43" s="862" t="str">
        <v/>
      </c>
      <c r="U43" s="862" t="str">
        <v/>
      </c>
      <c r="V43" s="862" t="str">
        <v/>
      </c>
      <c r="W43" s="862" t="str">
        <v/>
      </c>
      <c r="X43" s="862" t="str">
        <v/>
      </c>
      <c r="Y43" s="862" t="str">
        <v/>
      </c>
      <c r="Z43" s="862" t="str">
        <v/>
      </c>
      <c r="AA43" s="862" t="str">
        <v/>
      </c>
      <c r="AB43" s="862" t="str">
        <v/>
      </c>
      <c r="AC43" s="862" t="str">
        <v/>
      </c>
      <c r="AD43" s="862" t="str">
        <v/>
      </c>
      <c r="AE43" s="862" t="str">
        <v/>
      </c>
      <c r="AF43" s="862" t="str">
        <v/>
      </c>
    </row>
    <row r="44" spans="1:32" s="838" customFormat="1" x14ac:dyDescent="0.25">
      <c r="A44" s="840" t="s">
        <v>12</v>
      </c>
      <c r="B44" s="839"/>
      <c r="G44" s="838" t="str">
        <v/>
      </c>
      <c r="H44" s="838" t="str">
        <v/>
      </c>
      <c r="I44" s="838" t="str">
        <v/>
      </c>
      <c r="J44" s="838" t="str">
        <v/>
      </c>
      <c r="K44" s="838" t="str">
        <v/>
      </c>
      <c r="L44" s="838" t="str">
        <v/>
      </c>
      <c r="M44" s="838" t="str">
        <v/>
      </c>
      <c r="N44" s="838" t="str">
        <v/>
      </c>
      <c r="O44" s="838" t="str">
        <v/>
      </c>
      <c r="P44" s="838" t="str">
        <v/>
      </c>
      <c r="Q44" s="838" t="str">
        <v/>
      </c>
      <c r="R44" s="838" t="str">
        <v/>
      </c>
      <c r="S44" s="838" t="str">
        <v/>
      </c>
      <c r="T44" s="838" t="str">
        <v/>
      </c>
      <c r="U44" s="838" t="str">
        <v/>
      </c>
      <c r="V44" s="838" t="str">
        <v/>
      </c>
      <c r="W44" s="838" t="str">
        <v/>
      </c>
      <c r="X44" s="838" t="str">
        <v/>
      </c>
      <c r="Y44" s="838" t="str">
        <v/>
      </c>
      <c r="Z44" s="838" t="str">
        <v/>
      </c>
      <c r="AA44" s="838" t="str">
        <v/>
      </c>
      <c r="AB44" s="838" t="str">
        <v/>
      </c>
      <c r="AC44" s="838" t="str">
        <v/>
      </c>
      <c r="AD44" s="838" t="str">
        <v/>
      </c>
      <c r="AE44" s="838" t="str">
        <v/>
      </c>
      <c r="AF44" s="838" t="str">
        <v/>
      </c>
    </row>
    <row r="45" spans="1:32" s="838" customFormat="1" x14ac:dyDescent="0.25">
      <c r="A45" s="839"/>
      <c r="B45" s="839" t="s">
        <v>20</v>
      </c>
      <c r="G45" s="838" t="str">
        <v/>
      </c>
      <c r="H45" s="838" t="str">
        <v/>
      </c>
      <c r="I45" s="838" t="str">
        <v/>
      </c>
      <c r="J45" s="838" t="str">
        <v/>
      </c>
      <c r="K45" s="838" t="str">
        <v/>
      </c>
      <c r="L45" s="838" t="str">
        <v/>
      </c>
      <c r="M45" s="838" t="str">
        <v/>
      </c>
      <c r="N45" s="838" t="str">
        <v/>
      </c>
      <c r="O45" s="838" t="str">
        <v/>
      </c>
      <c r="P45" s="838" t="str">
        <v/>
      </c>
      <c r="Q45" s="838" t="str">
        <v/>
      </c>
      <c r="R45" s="838" t="str">
        <v/>
      </c>
      <c r="S45" s="838" t="str">
        <v/>
      </c>
      <c r="T45" s="838" t="str">
        <v/>
      </c>
      <c r="U45" s="838" t="str">
        <v/>
      </c>
      <c r="V45" s="838" t="str">
        <v/>
      </c>
      <c r="W45" s="838" t="str">
        <v/>
      </c>
      <c r="X45" s="838" t="str">
        <v/>
      </c>
      <c r="Y45" s="838" t="str">
        <v/>
      </c>
      <c r="Z45" s="838" t="str">
        <v/>
      </c>
      <c r="AA45" s="838" t="str">
        <v/>
      </c>
      <c r="AB45" s="838" t="str">
        <v/>
      </c>
      <c r="AC45" s="838" t="str">
        <v/>
      </c>
      <c r="AD45" s="838" t="str">
        <v/>
      </c>
      <c r="AE45" s="838" t="str">
        <v/>
      </c>
      <c r="AF45" s="838" t="str">
        <v/>
      </c>
    </row>
    <row r="46" spans="1:32" s="856" customFormat="1" ht="12.75" x14ac:dyDescent="0.2">
      <c r="A46" s="843" t="s">
        <v>21</v>
      </c>
      <c r="B46" s="843"/>
      <c r="C46" s="843"/>
      <c r="D46" s="843"/>
      <c r="E46" s="843"/>
      <c r="F46" s="843"/>
      <c r="G46" s="843" t="str">
        <v/>
      </c>
      <c r="H46" s="843" t="str">
        <v/>
      </c>
      <c r="I46" s="843" t="str">
        <v/>
      </c>
      <c r="J46" s="843" t="str">
        <v/>
      </c>
      <c r="K46" s="843" t="str">
        <v/>
      </c>
      <c r="L46" s="843" t="str">
        <v/>
      </c>
      <c r="M46" s="843" t="str">
        <v/>
      </c>
      <c r="N46" s="843" t="str">
        <v/>
      </c>
      <c r="O46" s="843" t="str">
        <v/>
      </c>
      <c r="P46" s="843" t="str">
        <v/>
      </c>
      <c r="Q46" s="843" t="str">
        <v/>
      </c>
      <c r="R46" s="843" t="str">
        <v/>
      </c>
      <c r="S46" s="843" t="str">
        <v/>
      </c>
      <c r="T46" s="843" t="str">
        <v/>
      </c>
      <c r="U46" s="843" t="str">
        <v/>
      </c>
      <c r="V46" s="843" t="str">
        <v/>
      </c>
      <c r="W46" s="843" t="str">
        <v/>
      </c>
      <c r="X46" s="843" t="str">
        <v/>
      </c>
      <c r="Y46" s="843" t="str">
        <v/>
      </c>
      <c r="Z46" s="843" t="str">
        <v/>
      </c>
      <c r="AA46" s="843" t="str">
        <v/>
      </c>
      <c r="AB46" s="843" t="str">
        <v/>
      </c>
      <c r="AC46" s="843" t="str">
        <v/>
      </c>
      <c r="AD46" s="843" t="str">
        <v/>
      </c>
      <c r="AE46" s="843" t="str">
        <v/>
      </c>
      <c r="AF46" s="843" t="str">
        <v/>
      </c>
    </row>
    <row r="47" spans="1:32" s="864" customFormat="1" x14ac:dyDescent="0.25">
      <c r="A47" s="839"/>
      <c r="B47" s="839" t="s">
        <v>22</v>
      </c>
      <c r="C47" s="838"/>
      <c r="D47" s="838"/>
      <c r="E47" s="838"/>
      <c r="F47" s="838"/>
      <c r="G47" s="854">
        <v>0</v>
      </c>
      <c r="H47" s="854">
        <v>0</v>
      </c>
      <c r="I47" s="854">
        <v>0</v>
      </c>
      <c r="J47" s="854">
        <v>0</v>
      </c>
      <c r="K47" s="854">
        <v>0</v>
      </c>
      <c r="L47" s="854">
        <v>0</v>
      </c>
      <c r="M47" s="854">
        <v>0</v>
      </c>
      <c r="N47" s="854">
        <v>0</v>
      </c>
      <c r="O47" s="854">
        <v>0</v>
      </c>
      <c r="P47" s="854">
        <v>0</v>
      </c>
      <c r="Q47" s="854">
        <v>0</v>
      </c>
      <c r="R47" s="854">
        <v>0</v>
      </c>
      <c r="S47" s="854">
        <v>0</v>
      </c>
      <c r="T47" s="854">
        <v>0</v>
      </c>
      <c r="U47" s="854">
        <v>0</v>
      </c>
      <c r="V47" s="854">
        <v>0</v>
      </c>
      <c r="W47" s="854">
        <v>0</v>
      </c>
      <c r="X47" s="854">
        <v>0</v>
      </c>
      <c r="Y47" s="854">
        <v>0</v>
      </c>
      <c r="Z47" s="854">
        <v>0</v>
      </c>
      <c r="AA47" s="854">
        <v>0</v>
      </c>
      <c r="AB47" s="854">
        <v>0</v>
      </c>
      <c r="AC47" s="854">
        <v>0</v>
      </c>
      <c r="AD47" s="854">
        <v>0</v>
      </c>
      <c r="AE47" s="854">
        <v>0</v>
      </c>
      <c r="AF47" s="854">
        <v>0</v>
      </c>
    </row>
    <row r="48" spans="1:32" s="864" customFormat="1" x14ac:dyDescent="0.25">
      <c r="A48" s="839"/>
      <c r="B48" s="839" t="s">
        <v>26</v>
      </c>
      <c r="C48" s="838"/>
      <c r="D48" s="838"/>
      <c r="E48" s="838"/>
      <c r="F48" s="838"/>
      <c r="G48" s="854">
        <v>0</v>
      </c>
      <c r="H48" s="854">
        <v>0</v>
      </c>
      <c r="I48" s="854">
        <v>0</v>
      </c>
      <c r="J48" s="854">
        <v>0</v>
      </c>
      <c r="K48" s="854">
        <v>0</v>
      </c>
      <c r="L48" s="854">
        <v>0</v>
      </c>
      <c r="M48" s="854">
        <v>0</v>
      </c>
      <c r="N48" s="854">
        <v>0</v>
      </c>
      <c r="O48" s="854">
        <v>0</v>
      </c>
      <c r="P48" s="854">
        <v>0</v>
      </c>
      <c r="Q48" s="854">
        <v>0</v>
      </c>
      <c r="R48" s="854">
        <v>0</v>
      </c>
      <c r="S48" s="854">
        <v>0</v>
      </c>
      <c r="T48" s="854">
        <v>0</v>
      </c>
      <c r="U48" s="854">
        <v>0</v>
      </c>
      <c r="V48" s="854">
        <v>0</v>
      </c>
      <c r="W48" s="854">
        <v>0</v>
      </c>
      <c r="X48" s="854">
        <v>0</v>
      </c>
      <c r="Y48" s="854">
        <v>0</v>
      </c>
      <c r="Z48" s="854">
        <v>0</v>
      </c>
      <c r="AA48" s="854">
        <v>0</v>
      </c>
      <c r="AB48" s="854">
        <v>0</v>
      </c>
      <c r="AC48" s="854">
        <v>0</v>
      </c>
      <c r="AD48" s="854">
        <v>0</v>
      </c>
      <c r="AE48" s="854">
        <v>0</v>
      </c>
      <c r="AF48" s="854">
        <v>0</v>
      </c>
    </row>
    <row r="49" spans="1:32" s="864" customFormat="1" x14ac:dyDescent="0.25">
      <c r="A49" s="839"/>
      <c r="B49" s="839" t="s">
        <v>27</v>
      </c>
      <c r="C49" s="838"/>
      <c r="D49" s="838"/>
      <c r="E49" s="838"/>
      <c r="F49" s="838"/>
      <c r="G49" s="854">
        <v>0</v>
      </c>
      <c r="H49" s="854">
        <v>0</v>
      </c>
      <c r="I49" s="854">
        <v>0</v>
      </c>
      <c r="J49" s="854">
        <v>0</v>
      </c>
      <c r="K49" s="854">
        <v>0</v>
      </c>
      <c r="L49" s="854">
        <v>0</v>
      </c>
      <c r="M49" s="854">
        <v>0</v>
      </c>
      <c r="N49" s="854">
        <v>0</v>
      </c>
      <c r="O49" s="854">
        <v>0</v>
      </c>
      <c r="P49" s="854">
        <v>0</v>
      </c>
      <c r="Q49" s="854">
        <v>0</v>
      </c>
      <c r="R49" s="854">
        <v>0</v>
      </c>
      <c r="S49" s="854">
        <v>0</v>
      </c>
      <c r="T49" s="854">
        <v>0</v>
      </c>
      <c r="U49" s="854">
        <v>0</v>
      </c>
      <c r="V49" s="854">
        <v>0</v>
      </c>
      <c r="W49" s="854">
        <v>0</v>
      </c>
      <c r="X49" s="854">
        <v>0</v>
      </c>
      <c r="Y49" s="854">
        <v>0</v>
      </c>
      <c r="Z49" s="854">
        <v>0</v>
      </c>
      <c r="AA49" s="854">
        <v>0</v>
      </c>
      <c r="AB49" s="854">
        <v>0</v>
      </c>
      <c r="AC49" s="854">
        <v>0</v>
      </c>
      <c r="AD49" s="854">
        <v>0</v>
      </c>
      <c r="AE49" s="854">
        <v>0</v>
      </c>
      <c r="AF49" s="854">
        <v>0</v>
      </c>
    </row>
    <row r="50" spans="1:32" s="864" customFormat="1" x14ac:dyDescent="0.25">
      <c r="A50" s="839"/>
      <c r="B50" s="839" t="s">
        <v>29</v>
      </c>
      <c r="C50" s="838"/>
      <c r="D50" s="838"/>
      <c r="E50" s="838"/>
      <c r="F50" s="838"/>
      <c r="G50" s="854">
        <v>0</v>
      </c>
      <c r="H50" s="854">
        <v>0</v>
      </c>
      <c r="I50" s="854">
        <v>0</v>
      </c>
      <c r="J50" s="854">
        <v>0</v>
      </c>
      <c r="K50" s="854">
        <v>0</v>
      </c>
      <c r="L50" s="854">
        <v>0</v>
      </c>
      <c r="M50" s="854">
        <v>0</v>
      </c>
      <c r="N50" s="854">
        <v>0</v>
      </c>
      <c r="O50" s="854">
        <v>0</v>
      </c>
      <c r="P50" s="854">
        <v>0</v>
      </c>
      <c r="Q50" s="854">
        <v>0</v>
      </c>
      <c r="R50" s="854">
        <v>0</v>
      </c>
      <c r="S50" s="854">
        <v>0</v>
      </c>
      <c r="T50" s="854">
        <v>0</v>
      </c>
      <c r="U50" s="854">
        <v>0</v>
      </c>
      <c r="V50" s="854">
        <v>0</v>
      </c>
      <c r="W50" s="854">
        <v>0</v>
      </c>
      <c r="X50" s="854">
        <v>0</v>
      </c>
      <c r="Y50" s="854">
        <v>0</v>
      </c>
      <c r="Z50" s="854">
        <v>0</v>
      </c>
      <c r="AA50" s="854">
        <v>0</v>
      </c>
      <c r="AB50" s="854">
        <v>0</v>
      </c>
      <c r="AC50" s="854">
        <v>0</v>
      </c>
      <c r="AD50" s="854">
        <v>0</v>
      </c>
      <c r="AE50" s="854">
        <v>0</v>
      </c>
      <c r="AF50" s="854">
        <v>0</v>
      </c>
    </row>
    <row r="51" spans="1:32" s="864" customFormat="1" x14ac:dyDescent="0.25">
      <c r="A51" s="839"/>
      <c r="B51" s="839"/>
      <c r="C51" s="838"/>
      <c r="D51" s="838"/>
      <c r="E51" s="838"/>
      <c r="F51" s="838"/>
      <c r="G51" s="854" t="str">
        <v/>
      </c>
      <c r="H51" s="838" t="str">
        <v/>
      </c>
      <c r="I51" s="838" t="str">
        <v/>
      </c>
      <c r="J51" s="838" t="str">
        <v/>
      </c>
      <c r="K51" s="838" t="str">
        <v/>
      </c>
      <c r="L51" s="838" t="str">
        <v/>
      </c>
      <c r="M51" s="838" t="str">
        <v/>
      </c>
      <c r="N51" s="838" t="str">
        <v/>
      </c>
      <c r="O51" s="838" t="str">
        <v/>
      </c>
      <c r="P51" s="838" t="str">
        <v/>
      </c>
      <c r="Q51" s="838" t="str">
        <v/>
      </c>
      <c r="R51" s="838" t="str">
        <v/>
      </c>
      <c r="S51" s="838" t="str">
        <v/>
      </c>
      <c r="T51" s="838" t="str">
        <v/>
      </c>
      <c r="U51" s="838" t="str">
        <v/>
      </c>
      <c r="V51" s="838" t="str">
        <v/>
      </c>
      <c r="W51" s="838" t="str">
        <v/>
      </c>
      <c r="X51" s="838" t="str">
        <v/>
      </c>
      <c r="Y51" s="838" t="str">
        <v/>
      </c>
      <c r="Z51" s="838" t="str">
        <v/>
      </c>
      <c r="AA51" s="838" t="str">
        <v/>
      </c>
      <c r="AB51" s="838" t="str">
        <v/>
      </c>
      <c r="AC51" s="838" t="str">
        <v/>
      </c>
      <c r="AD51" s="838" t="str">
        <v/>
      </c>
      <c r="AE51" s="838" t="str">
        <v/>
      </c>
      <c r="AF51" s="838" t="str">
        <v/>
      </c>
    </row>
    <row r="52" spans="1:32" s="856" customFormat="1" ht="12.75" x14ac:dyDescent="0.2">
      <c r="A52" s="843" t="s">
        <v>32</v>
      </c>
      <c r="B52" s="843"/>
      <c r="C52" s="843"/>
      <c r="D52" s="843"/>
      <c r="E52" s="843"/>
      <c r="F52" s="843"/>
      <c r="G52" s="865" t="str">
        <v/>
      </c>
      <c r="H52" s="843" t="str">
        <v/>
      </c>
      <c r="I52" s="843" t="str">
        <v/>
      </c>
      <c r="J52" s="843" t="str">
        <v/>
      </c>
      <c r="K52" s="843" t="str">
        <v/>
      </c>
      <c r="L52" s="843" t="str">
        <v/>
      </c>
      <c r="M52" s="843" t="str">
        <v/>
      </c>
      <c r="N52" s="843" t="str">
        <v/>
      </c>
      <c r="O52" s="843" t="str">
        <v/>
      </c>
      <c r="P52" s="843" t="str">
        <v/>
      </c>
      <c r="Q52" s="843" t="str">
        <v/>
      </c>
      <c r="R52" s="843" t="str">
        <v/>
      </c>
      <c r="S52" s="843" t="str">
        <v/>
      </c>
      <c r="T52" s="843" t="str">
        <v/>
      </c>
      <c r="U52" s="843" t="str">
        <v/>
      </c>
      <c r="V52" s="843" t="str">
        <v/>
      </c>
      <c r="W52" s="843" t="str">
        <v/>
      </c>
      <c r="X52" s="843" t="str">
        <v/>
      </c>
      <c r="Y52" s="843" t="str">
        <v/>
      </c>
      <c r="Z52" s="843" t="str">
        <v/>
      </c>
      <c r="AA52" s="843" t="str">
        <v/>
      </c>
      <c r="AB52" s="843" t="str">
        <v/>
      </c>
      <c r="AC52" s="843" t="str">
        <v/>
      </c>
      <c r="AD52" s="843" t="str">
        <v/>
      </c>
      <c r="AE52" s="843" t="str">
        <v/>
      </c>
      <c r="AF52" s="843" t="str">
        <v/>
      </c>
    </row>
    <row r="53" spans="1:32" s="864" customFormat="1" x14ac:dyDescent="0.25">
      <c r="A53" s="839"/>
      <c r="B53" s="839" t="s">
        <v>33</v>
      </c>
      <c r="C53" s="838"/>
      <c r="D53" s="838"/>
      <c r="E53" s="838"/>
      <c r="F53" s="838"/>
      <c r="G53" s="854">
        <v>0</v>
      </c>
      <c r="H53" s="854">
        <v>0</v>
      </c>
      <c r="I53" s="854">
        <v>0</v>
      </c>
      <c r="J53" s="854">
        <v>0</v>
      </c>
      <c r="K53" s="854">
        <v>0</v>
      </c>
      <c r="L53" s="854">
        <v>0</v>
      </c>
      <c r="M53" s="854">
        <v>0</v>
      </c>
      <c r="N53" s="854">
        <v>0</v>
      </c>
      <c r="O53" s="854">
        <v>0</v>
      </c>
      <c r="P53" s="854">
        <v>0</v>
      </c>
      <c r="Q53" s="854">
        <v>0</v>
      </c>
      <c r="R53" s="854">
        <v>0</v>
      </c>
      <c r="S53" s="854">
        <v>0</v>
      </c>
      <c r="T53" s="854">
        <v>0</v>
      </c>
      <c r="U53" s="854">
        <v>0</v>
      </c>
      <c r="V53" s="854">
        <v>0</v>
      </c>
      <c r="W53" s="854">
        <v>0</v>
      </c>
      <c r="X53" s="854">
        <v>0</v>
      </c>
      <c r="Y53" s="854">
        <v>0</v>
      </c>
      <c r="Z53" s="854">
        <v>0</v>
      </c>
      <c r="AA53" s="854">
        <v>0</v>
      </c>
      <c r="AB53" s="854">
        <v>0</v>
      </c>
      <c r="AC53" s="854">
        <v>0</v>
      </c>
      <c r="AD53" s="854">
        <v>0</v>
      </c>
      <c r="AE53" s="854">
        <v>0</v>
      </c>
      <c r="AF53" s="854">
        <v>0</v>
      </c>
    </row>
    <row r="54" spans="1:32" s="864" customFormat="1" x14ac:dyDescent="0.25">
      <c r="A54" s="842"/>
      <c r="B54" s="842" t="s">
        <v>34</v>
      </c>
      <c r="C54" s="838"/>
      <c r="D54" s="838"/>
      <c r="E54" s="838"/>
      <c r="F54" s="838"/>
      <c r="G54" s="854">
        <v>0</v>
      </c>
      <c r="H54" s="854">
        <v>0</v>
      </c>
      <c r="I54" s="854">
        <v>0</v>
      </c>
      <c r="J54" s="854">
        <v>0</v>
      </c>
      <c r="K54" s="854">
        <v>0</v>
      </c>
      <c r="L54" s="854">
        <v>0</v>
      </c>
      <c r="M54" s="854">
        <v>0</v>
      </c>
      <c r="N54" s="854">
        <v>0</v>
      </c>
      <c r="O54" s="854">
        <v>0</v>
      </c>
      <c r="P54" s="854">
        <v>0</v>
      </c>
      <c r="Q54" s="854">
        <v>0</v>
      </c>
      <c r="R54" s="854">
        <v>0</v>
      </c>
      <c r="S54" s="854">
        <v>0</v>
      </c>
      <c r="T54" s="854">
        <v>0</v>
      </c>
      <c r="U54" s="854">
        <v>0</v>
      </c>
      <c r="V54" s="854">
        <v>0</v>
      </c>
      <c r="W54" s="854">
        <v>0</v>
      </c>
      <c r="X54" s="854">
        <v>0</v>
      </c>
      <c r="Y54" s="854">
        <v>0</v>
      </c>
      <c r="Z54" s="854">
        <v>0</v>
      </c>
      <c r="AA54" s="854">
        <v>0</v>
      </c>
      <c r="AB54" s="854">
        <v>0</v>
      </c>
      <c r="AC54" s="854">
        <v>0</v>
      </c>
      <c r="AD54" s="854">
        <v>0</v>
      </c>
      <c r="AE54" s="854">
        <v>0</v>
      </c>
      <c r="AF54" s="854">
        <v>0</v>
      </c>
    </row>
    <row r="55" spans="1:32" s="864" customFormat="1" x14ac:dyDescent="0.25">
      <c r="A55" s="839"/>
      <c r="B55" s="842" t="s">
        <v>35</v>
      </c>
      <c r="C55" s="838"/>
      <c r="D55" s="838"/>
      <c r="E55" s="838"/>
      <c r="F55" s="838"/>
      <c r="G55" s="854">
        <v>0</v>
      </c>
      <c r="H55" s="854">
        <v>0</v>
      </c>
      <c r="I55" s="854">
        <v>0</v>
      </c>
      <c r="J55" s="854">
        <v>0</v>
      </c>
      <c r="K55" s="854">
        <v>0</v>
      </c>
      <c r="L55" s="854">
        <v>0</v>
      </c>
      <c r="M55" s="854">
        <v>0</v>
      </c>
      <c r="N55" s="854">
        <v>0</v>
      </c>
      <c r="O55" s="854">
        <v>0</v>
      </c>
      <c r="P55" s="854">
        <v>0</v>
      </c>
      <c r="Q55" s="854">
        <v>0</v>
      </c>
      <c r="R55" s="854">
        <v>0</v>
      </c>
      <c r="S55" s="854">
        <v>0</v>
      </c>
      <c r="T55" s="854">
        <v>0</v>
      </c>
      <c r="U55" s="854">
        <v>0</v>
      </c>
      <c r="V55" s="854">
        <v>0</v>
      </c>
      <c r="W55" s="854">
        <v>0</v>
      </c>
      <c r="X55" s="854">
        <v>0</v>
      </c>
      <c r="Y55" s="854">
        <v>0</v>
      </c>
      <c r="Z55" s="854">
        <v>0</v>
      </c>
      <c r="AA55" s="854">
        <v>0</v>
      </c>
      <c r="AB55" s="854">
        <v>0</v>
      </c>
      <c r="AC55" s="854">
        <v>0</v>
      </c>
      <c r="AD55" s="854">
        <v>0</v>
      </c>
      <c r="AE55" s="854">
        <v>0</v>
      </c>
      <c r="AF55" s="854">
        <v>0</v>
      </c>
    </row>
    <row r="56" spans="1:32" s="864" customFormat="1" x14ac:dyDescent="0.25">
      <c r="A56" s="839"/>
      <c r="B56" s="842" t="s">
        <v>29</v>
      </c>
      <c r="C56" s="838"/>
      <c r="D56" s="838"/>
      <c r="E56" s="838"/>
      <c r="F56" s="838"/>
      <c r="G56" s="854">
        <v>0</v>
      </c>
      <c r="H56" s="854">
        <v>0</v>
      </c>
      <c r="I56" s="854">
        <v>0</v>
      </c>
      <c r="J56" s="854">
        <v>0</v>
      </c>
      <c r="K56" s="854">
        <v>0</v>
      </c>
      <c r="L56" s="854">
        <v>0</v>
      </c>
      <c r="M56" s="854">
        <v>0</v>
      </c>
      <c r="N56" s="854">
        <v>0</v>
      </c>
      <c r="O56" s="854">
        <v>0</v>
      </c>
      <c r="P56" s="854">
        <v>0</v>
      </c>
      <c r="Q56" s="854">
        <v>0</v>
      </c>
      <c r="R56" s="854">
        <v>0</v>
      </c>
      <c r="S56" s="854">
        <v>0</v>
      </c>
      <c r="T56" s="854">
        <v>0</v>
      </c>
      <c r="U56" s="854">
        <v>0</v>
      </c>
      <c r="V56" s="854">
        <v>0</v>
      </c>
      <c r="W56" s="854">
        <v>0</v>
      </c>
      <c r="X56" s="854">
        <v>0</v>
      </c>
      <c r="Y56" s="854">
        <v>0</v>
      </c>
      <c r="Z56" s="854">
        <v>0</v>
      </c>
      <c r="AA56" s="854">
        <v>0</v>
      </c>
      <c r="AB56" s="854">
        <v>0</v>
      </c>
      <c r="AC56" s="854">
        <v>0</v>
      </c>
      <c r="AD56" s="854">
        <v>0</v>
      </c>
      <c r="AE56" s="854">
        <v>0</v>
      </c>
      <c r="AF56" s="854">
        <v>0</v>
      </c>
    </row>
    <row r="57" spans="1:32" s="864" customFormat="1" x14ac:dyDescent="0.25">
      <c r="A57" s="839"/>
      <c r="B57" s="839"/>
      <c r="C57" s="838"/>
      <c r="D57" s="838"/>
      <c r="E57" s="838"/>
      <c r="F57" s="838"/>
      <c r="G57" s="854" t="str">
        <v/>
      </c>
      <c r="H57" s="838" t="str">
        <v/>
      </c>
      <c r="I57" s="838" t="str">
        <v/>
      </c>
      <c r="J57" s="838" t="str">
        <v/>
      </c>
      <c r="K57" s="838" t="str">
        <v/>
      </c>
      <c r="L57" s="838" t="str">
        <v/>
      </c>
      <c r="M57" s="838" t="str">
        <v/>
      </c>
      <c r="N57" s="838" t="str">
        <v/>
      </c>
      <c r="O57" s="838" t="str">
        <v/>
      </c>
      <c r="P57" s="838" t="str">
        <v/>
      </c>
      <c r="Q57" s="838" t="str">
        <v/>
      </c>
      <c r="R57" s="838" t="str">
        <v/>
      </c>
      <c r="S57" s="838" t="str">
        <v/>
      </c>
      <c r="T57" s="838" t="str">
        <v/>
      </c>
      <c r="U57" s="838" t="str">
        <v/>
      </c>
      <c r="V57" s="838" t="str">
        <v/>
      </c>
      <c r="W57" s="838" t="str">
        <v/>
      </c>
      <c r="X57" s="838" t="str">
        <v/>
      </c>
      <c r="Y57" s="838" t="str">
        <v/>
      </c>
      <c r="Z57" s="838" t="str">
        <v/>
      </c>
      <c r="AA57" s="838" t="str">
        <v/>
      </c>
      <c r="AB57" s="838" t="str">
        <v/>
      </c>
      <c r="AC57" s="838" t="str">
        <v/>
      </c>
      <c r="AD57" s="838" t="str">
        <v/>
      </c>
      <c r="AE57" s="838" t="str">
        <v/>
      </c>
      <c r="AF57" s="838" t="str">
        <v/>
      </c>
    </row>
    <row r="58" spans="1:32" s="856" customFormat="1" ht="12.75" x14ac:dyDescent="0.2">
      <c r="A58" s="843" t="s">
        <v>36</v>
      </c>
      <c r="B58" s="843"/>
      <c r="C58" s="843"/>
      <c r="D58" s="843"/>
      <c r="E58" s="843"/>
      <c r="F58" s="843"/>
      <c r="G58" s="865" t="str">
        <v/>
      </c>
      <c r="H58" s="843" t="str">
        <v/>
      </c>
      <c r="I58" s="843" t="str">
        <v/>
      </c>
      <c r="J58" s="843" t="str">
        <v/>
      </c>
      <c r="K58" s="843" t="str">
        <v/>
      </c>
      <c r="L58" s="843" t="str">
        <v/>
      </c>
      <c r="M58" s="843" t="str">
        <v/>
      </c>
      <c r="N58" s="843" t="str">
        <v/>
      </c>
      <c r="O58" s="843" t="str">
        <v/>
      </c>
      <c r="P58" s="843" t="str">
        <v/>
      </c>
      <c r="Q58" s="843" t="str">
        <v/>
      </c>
      <c r="R58" s="843" t="str">
        <v/>
      </c>
      <c r="S58" s="843" t="str">
        <v/>
      </c>
      <c r="T58" s="843" t="str">
        <v/>
      </c>
      <c r="U58" s="843" t="str">
        <v/>
      </c>
      <c r="V58" s="843" t="str">
        <v/>
      </c>
      <c r="W58" s="843" t="str">
        <v/>
      </c>
      <c r="X58" s="843" t="str">
        <v/>
      </c>
      <c r="Y58" s="843" t="str">
        <v/>
      </c>
      <c r="Z58" s="843" t="str">
        <v/>
      </c>
      <c r="AA58" s="843" t="str">
        <v/>
      </c>
      <c r="AB58" s="843" t="str">
        <v/>
      </c>
      <c r="AC58" s="843" t="str">
        <v/>
      </c>
      <c r="AD58" s="843" t="str">
        <v/>
      </c>
      <c r="AE58" s="843" t="str">
        <v/>
      </c>
      <c r="AF58" s="843" t="str">
        <v/>
      </c>
    </row>
    <row r="59" spans="1:32" s="864" customFormat="1" x14ac:dyDescent="0.25">
      <c r="A59" s="839"/>
      <c r="B59" s="839" t="s">
        <v>37</v>
      </c>
      <c r="C59" s="838"/>
      <c r="D59" s="838"/>
      <c r="E59" s="838"/>
      <c r="F59" s="855"/>
      <c r="G59" s="854">
        <v>0</v>
      </c>
      <c r="H59" s="854">
        <v>0</v>
      </c>
      <c r="I59" s="854">
        <v>0</v>
      </c>
      <c r="J59" s="854">
        <v>0</v>
      </c>
      <c r="K59" s="854">
        <v>0</v>
      </c>
      <c r="L59" s="854">
        <v>0</v>
      </c>
      <c r="M59" s="854">
        <v>0</v>
      </c>
      <c r="N59" s="854">
        <v>0</v>
      </c>
      <c r="O59" s="854">
        <v>0</v>
      </c>
      <c r="P59" s="854">
        <v>0</v>
      </c>
      <c r="Q59" s="854">
        <v>0</v>
      </c>
      <c r="R59" s="854">
        <v>0</v>
      </c>
      <c r="S59" s="854">
        <v>0</v>
      </c>
      <c r="T59" s="854">
        <v>0</v>
      </c>
      <c r="U59" s="854">
        <v>0</v>
      </c>
      <c r="V59" s="854">
        <v>0</v>
      </c>
      <c r="W59" s="854">
        <v>0</v>
      </c>
      <c r="X59" s="854">
        <v>0</v>
      </c>
      <c r="Y59" s="854">
        <v>0</v>
      </c>
      <c r="Z59" s="854">
        <v>0</v>
      </c>
      <c r="AA59" s="854">
        <v>0</v>
      </c>
      <c r="AB59" s="854">
        <v>0</v>
      </c>
      <c r="AC59" s="854">
        <v>0</v>
      </c>
      <c r="AD59" s="854">
        <v>0</v>
      </c>
      <c r="AE59" s="854">
        <v>0</v>
      </c>
      <c r="AF59" s="854">
        <v>0</v>
      </c>
    </row>
    <row r="60" spans="1:32" s="864" customFormat="1" x14ac:dyDescent="0.25">
      <c r="A60" s="839"/>
      <c r="B60" s="839" t="s">
        <v>39</v>
      </c>
      <c r="C60" s="838"/>
      <c r="D60" s="838"/>
      <c r="E60" s="857"/>
      <c r="F60" s="838"/>
      <c r="G60" s="854">
        <v>0</v>
      </c>
      <c r="H60" s="854">
        <v>0</v>
      </c>
      <c r="I60" s="854">
        <v>0</v>
      </c>
      <c r="J60" s="854">
        <v>0</v>
      </c>
      <c r="K60" s="854">
        <v>0</v>
      </c>
      <c r="L60" s="854">
        <v>0</v>
      </c>
      <c r="M60" s="854">
        <v>0</v>
      </c>
      <c r="N60" s="854">
        <v>0</v>
      </c>
      <c r="O60" s="854">
        <v>0</v>
      </c>
      <c r="P60" s="854">
        <v>0</v>
      </c>
      <c r="Q60" s="854">
        <v>0</v>
      </c>
      <c r="R60" s="854">
        <v>0</v>
      </c>
      <c r="S60" s="854">
        <v>0</v>
      </c>
      <c r="T60" s="854">
        <v>0</v>
      </c>
      <c r="U60" s="854">
        <v>0</v>
      </c>
      <c r="V60" s="854">
        <v>0</v>
      </c>
      <c r="W60" s="854">
        <v>0</v>
      </c>
      <c r="X60" s="854">
        <v>0</v>
      </c>
      <c r="Y60" s="854">
        <v>0</v>
      </c>
      <c r="Z60" s="854">
        <v>0</v>
      </c>
      <c r="AA60" s="854">
        <v>0</v>
      </c>
      <c r="AB60" s="854">
        <v>0</v>
      </c>
      <c r="AC60" s="854">
        <v>0</v>
      </c>
      <c r="AD60" s="854">
        <v>0</v>
      </c>
      <c r="AE60" s="854">
        <v>0</v>
      </c>
      <c r="AF60" s="854">
        <v>0</v>
      </c>
    </row>
    <row r="61" spans="1:32" s="864" customFormat="1" x14ac:dyDescent="0.25">
      <c r="A61" s="839"/>
      <c r="B61" s="839" t="s">
        <v>40</v>
      </c>
      <c r="C61" s="838"/>
      <c r="D61" s="838"/>
      <c r="E61" s="838"/>
      <c r="F61" s="838"/>
      <c r="G61" s="854">
        <v>0</v>
      </c>
      <c r="H61" s="854">
        <v>0</v>
      </c>
      <c r="I61" s="854">
        <v>0</v>
      </c>
      <c r="J61" s="854">
        <v>0</v>
      </c>
      <c r="K61" s="854">
        <v>0</v>
      </c>
      <c r="L61" s="854">
        <v>0</v>
      </c>
      <c r="M61" s="854">
        <v>0</v>
      </c>
      <c r="N61" s="854">
        <v>0</v>
      </c>
      <c r="O61" s="854">
        <v>0</v>
      </c>
      <c r="P61" s="854">
        <v>0</v>
      </c>
      <c r="Q61" s="854">
        <v>0</v>
      </c>
      <c r="R61" s="854">
        <v>0</v>
      </c>
      <c r="S61" s="854">
        <v>0</v>
      </c>
      <c r="T61" s="854">
        <v>0</v>
      </c>
      <c r="U61" s="854">
        <v>0</v>
      </c>
      <c r="V61" s="854">
        <v>0</v>
      </c>
      <c r="W61" s="854">
        <v>0</v>
      </c>
      <c r="X61" s="854">
        <v>0</v>
      </c>
      <c r="Y61" s="854">
        <v>0</v>
      </c>
      <c r="Z61" s="854">
        <v>0</v>
      </c>
      <c r="AA61" s="854">
        <v>0</v>
      </c>
      <c r="AB61" s="854">
        <v>0</v>
      </c>
      <c r="AC61" s="854">
        <v>0</v>
      </c>
      <c r="AD61" s="854">
        <v>0</v>
      </c>
      <c r="AE61" s="854">
        <v>0</v>
      </c>
      <c r="AF61" s="854">
        <v>0</v>
      </c>
    </row>
    <row r="62" spans="1:32" s="864" customFormat="1" x14ac:dyDescent="0.25">
      <c r="A62" s="839"/>
      <c r="B62" s="839" t="s">
        <v>29</v>
      </c>
      <c r="C62" s="838"/>
      <c r="D62" s="838"/>
      <c r="E62" s="838"/>
      <c r="F62" s="838"/>
      <c r="G62" s="854">
        <v>0</v>
      </c>
      <c r="H62" s="854">
        <v>0</v>
      </c>
      <c r="I62" s="854">
        <v>0</v>
      </c>
      <c r="J62" s="854">
        <v>0</v>
      </c>
      <c r="K62" s="854">
        <v>0</v>
      </c>
      <c r="L62" s="854">
        <v>0</v>
      </c>
      <c r="M62" s="854">
        <v>0</v>
      </c>
      <c r="N62" s="854">
        <v>0</v>
      </c>
      <c r="O62" s="854">
        <v>0</v>
      </c>
      <c r="P62" s="854">
        <v>0</v>
      </c>
      <c r="Q62" s="854">
        <v>0</v>
      </c>
      <c r="R62" s="854">
        <v>0</v>
      </c>
      <c r="S62" s="854">
        <v>0</v>
      </c>
      <c r="T62" s="854">
        <v>0</v>
      </c>
      <c r="U62" s="854">
        <v>0</v>
      </c>
      <c r="V62" s="854">
        <v>0</v>
      </c>
      <c r="W62" s="854">
        <v>0</v>
      </c>
      <c r="X62" s="854">
        <v>0</v>
      </c>
      <c r="Y62" s="854">
        <v>0</v>
      </c>
      <c r="Z62" s="854">
        <v>0</v>
      </c>
      <c r="AA62" s="854">
        <v>0</v>
      </c>
      <c r="AB62" s="854">
        <v>0</v>
      </c>
      <c r="AC62" s="854">
        <v>0</v>
      </c>
      <c r="AD62" s="854">
        <v>0</v>
      </c>
      <c r="AE62" s="854">
        <v>0</v>
      </c>
      <c r="AF62" s="854">
        <v>0</v>
      </c>
    </row>
    <row r="63" spans="1:32" s="864" customFormat="1" x14ac:dyDescent="0.25">
      <c r="A63" s="839"/>
      <c r="B63" s="839"/>
      <c r="C63" s="838"/>
      <c r="D63" s="838"/>
      <c r="E63" s="838"/>
      <c r="F63" s="838"/>
      <c r="G63" s="854" t="str">
        <v/>
      </c>
      <c r="H63" s="838" t="str">
        <v/>
      </c>
      <c r="I63" s="838" t="str">
        <v/>
      </c>
      <c r="J63" s="838" t="str">
        <v/>
      </c>
      <c r="K63" s="838" t="str">
        <v/>
      </c>
      <c r="L63" s="838" t="str">
        <v/>
      </c>
      <c r="M63" s="838" t="str">
        <v/>
      </c>
      <c r="N63" s="838" t="str">
        <v/>
      </c>
      <c r="O63" s="838" t="str">
        <v/>
      </c>
      <c r="P63" s="838" t="str">
        <v/>
      </c>
      <c r="Q63" s="838" t="str">
        <v/>
      </c>
      <c r="R63" s="838" t="str">
        <v/>
      </c>
      <c r="S63" s="838" t="str">
        <v/>
      </c>
      <c r="T63" s="838" t="str">
        <v/>
      </c>
      <c r="U63" s="838" t="str">
        <v/>
      </c>
      <c r="V63" s="838" t="str">
        <v/>
      </c>
      <c r="W63" s="838" t="str">
        <v/>
      </c>
      <c r="X63" s="838" t="str">
        <v/>
      </c>
      <c r="Y63" s="838" t="str">
        <v/>
      </c>
      <c r="Z63" s="838" t="str">
        <v/>
      </c>
      <c r="AA63" s="838" t="str">
        <v/>
      </c>
      <c r="AB63" s="838" t="str">
        <v/>
      </c>
      <c r="AC63" s="838" t="str">
        <v/>
      </c>
      <c r="AD63" s="838" t="str">
        <v/>
      </c>
      <c r="AE63" s="838" t="str">
        <v/>
      </c>
      <c r="AF63" s="838" t="str">
        <v/>
      </c>
    </row>
    <row r="64" spans="1:32" s="856" customFormat="1" ht="12.75" x14ac:dyDescent="0.2">
      <c r="A64" s="843" t="s">
        <v>42</v>
      </c>
      <c r="B64" s="843"/>
      <c r="C64" s="843"/>
      <c r="D64" s="843"/>
      <c r="E64" s="843"/>
      <c r="F64" s="843"/>
      <c r="G64" s="865" t="str">
        <v/>
      </c>
      <c r="H64" s="843" t="str">
        <v/>
      </c>
      <c r="I64" s="843" t="str">
        <v/>
      </c>
      <c r="J64" s="843" t="str">
        <v/>
      </c>
      <c r="K64" s="843" t="str">
        <v/>
      </c>
      <c r="L64" s="843" t="str">
        <v/>
      </c>
      <c r="M64" s="843" t="str">
        <v/>
      </c>
      <c r="N64" s="843" t="str">
        <v/>
      </c>
      <c r="O64" s="843" t="str">
        <v/>
      </c>
      <c r="P64" s="843" t="str">
        <v/>
      </c>
      <c r="Q64" s="843" t="str">
        <v/>
      </c>
      <c r="R64" s="843" t="str">
        <v/>
      </c>
      <c r="S64" s="843" t="str">
        <v/>
      </c>
      <c r="T64" s="843" t="str">
        <v/>
      </c>
      <c r="U64" s="843" t="str">
        <v/>
      </c>
      <c r="V64" s="843" t="str">
        <v/>
      </c>
      <c r="W64" s="843" t="str">
        <v/>
      </c>
      <c r="X64" s="843" t="str">
        <v/>
      </c>
      <c r="Y64" s="843" t="str">
        <v/>
      </c>
      <c r="Z64" s="843" t="str">
        <v/>
      </c>
      <c r="AA64" s="843" t="str">
        <v/>
      </c>
      <c r="AB64" s="843" t="str">
        <v/>
      </c>
      <c r="AC64" s="843" t="str">
        <v/>
      </c>
      <c r="AD64" s="843" t="str">
        <v/>
      </c>
      <c r="AE64" s="843" t="str">
        <v/>
      </c>
      <c r="AF64" s="843" t="str">
        <v/>
      </c>
    </row>
    <row r="65" spans="1:32" s="864" customFormat="1" x14ac:dyDescent="0.25">
      <c r="A65" s="839"/>
      <c r="B65" s="842" t="s">
        <v>43</v>
      </c>
      <c r="C65" s="838"/>
      <c r="D65" s="838"/>
      <c r="E65" s="838"/>
      <c r="F65" s="838"/>
      <c r="G65" s="854">
        <v>0</v>
      </c>
      <c r="H65" s="854">
        <v>0</v>
      </c>
      <c r="I65" s="854">
        <v>0</v>
      </c>
      <c r="J65" s="854">
        <v>0</v>
      </c>
      <c r="K65" s="854">
        <v>0</v>
      </c>
      <c r="L65" s="854">
        <v>0</v>
      </c>
      <c r="M65" s="854">
        <v>0</v>
      </c>
      <c r="N65" s="854">
        <v>0</v>
      </c>
      <c r="O65" s="854">
        <v>0</v>
      </c>
      <c r="P65" s="854">
        <v>0</v>
      </c>
      <c r="Q65" s="854">
        <v>0</v>
      </c>
      <c r="R65" s="854">
        <v>0</v>
      </c>
      <c r="S65" s="854">
        <v>0</v>
      </c>
      <c r="T65" s="854">
        <v>0</v>
      </c>
      <c r="U65" s="854">
        <v>0</v>
      </c>
      <c r="V65" s="854">
        <v>0</v>
      </c>
      <c r="W65" s="854">
        <v>0</v>
      </c>
      <c r="X65" s="854">
        <v>0</v>
      </c>
      <c r="Y65" s="854">
        <v>0</v>
      </c>
      <c r="Z65" s="854">
        <v>0</v>
      </c>
      <c r="AA65" s="854">
        <v>0</v>
      </c>
      <c r="AB65" s="854">
        <v>0</v>
      </c>
      <c r="AC65" s="854">
        <v>0</v>
      </c>
      <c r="AD65" s="854">
        <v>0</v>
      </c>
      <c r="AE65" s="854">
        <v>0</v>
      </c>
      <c r="AF65" s="854">
        <v>0</v>
      </c>
    </row>
    <row r="66" spans="1:32" s="864" customFormat="1" x14ac:dyDescent="0.25">
      <c r="A66" s="839"/>
      <c r="B66" s="842" t="s">
        <v>44</v>
      </c>
      <c r="C66" s="838"/>
      <c r="D66" s="838"/>
      <c r="E66" s="838"/>
      <c r="F66" s="838"/>
      <c r="G66" s="854">
        <v>0</v>
      </c>
      <c r="H66" s="854">
        <v>0</v>
      </c>
      <c r="I66" s="854">
        <v>0</v>
      </c>
      <c r="J66" s="854">
        <v>0</v>
      </c>
      <c r="K66" s="854">
        <v>0</v>
      </c>
      <c r="L66" s="854">
        <v>0</v>
      </c>
      <c r="M66" s="854">
        <v>0</v>
      </c>
      <c r="N66" s="854">
        <v>0</v>
      </c>
      <c r="O66" s="854">
        <v>0</v>
      </c>
      <c r="P66" s="854">
        <v>0</v>
      </c>
      <c r="Q66" s="854">
        <v>0</v>
      </c>
      <c r="R66" s="854">
        <v>0</v>
      </c>
      <c r="S66" s="854">
        <v>0</v>
      </c>
      <c r="T66" s="854">
        <v>0</v>
      </c>
      <c r="U66" s="854">
        <v>0</v>
      </c>
      <c r="V66" s="854">
        <v>0</v>
      </c>
      <c r="W66" s="854">
        <v>0</v>
      </c>
      <c r="X66" s="854">
        <v>0</v>
      </c>
      <c r="Y66" s="854">
        <v>0</v>
      </c>
      <c r="Z66" s="854">
        <v>0</v>
      </c>
      <c r="AA66" s="854">
        <v>0</v>
      </c>
      <c r="AB66" s="854">
        <v>0</v>
      </c>
      <c r="AC66" s="854">
        <v>0</v>
      </c>
      <c r="AD66" s="854">
        <v>0</v>
      </c>
      <c r="AE66" s="854">
        <v>0</v>
      </c>
      <c r="AF66" s="854">
        <v>0</v>
      </c>
    </row>
    <row r="67" spans="1:32" s="864" customFormat="1" x14ac:dyDescent="0.25">
      <c r="A67" s="839"/>
      <c r="B67" s="842" t="s">
        <v>45</v>
      </c>
      <c r="C67" s="838"/>
      <c r="D67" s="838"/>
      <c r="E67" s="838"/>
      <c r="F67" s="838"/>
      <c r="G67" s="854">
        <v>0</v>
      </c>
      <c r="H67" s="854">
        <v>0</v>
      </c>
      <c r="I67" s="854">
        <v>0</v>
      </c>
      <c r="J67" s="854">
        <v>0</v>
      </c>
      <c r="K67" s="854">
        <v>0</v>
      </c>
      <c r="L67" s="854">
        <v>0</v>
      </c>
      <c r="M67" s="854">
        <v>0</v>
      </c>
      <c r="N67" s="854">
        <v>0</v>
      </c>
      <c r="O67" s="854">
        <v>0</v>
      </c>
      <c r="P67" s="854">
        <v>0</v>
      </c>
      <c r="Q67" s="854">
        <v>0</v>
      </c>
      <c r="R67" s="854">
        <v>0</v>
      </c>
      <c r="S67" s="854">
        <v>0</v>
      </c>
      <c r="T67" s="854">
        <v>0</v>
      </c>
      <c r="U67" s="854">
        <v>0</v>
      </c>
      <c r="V67" s="854">
        <v>0</v>
      </c>
      <c r="W67" s="854">
        <v>0</v>
      </c>
      <c r="X67" s="854">
        <v>0</v>
      </c>
      <c r="Y67" s="854">
        <v>0</v>
      </c>
      <c r="Z67" s="854">
        <v>0</v>
      </c>
      <c r="AA67" s="854">
        <v>0</v>
      </c>
      <c r="AB67" s="854">
        <v>0</v>
      </c>
      <c r="AC67" s="854">
        <v>0</v>
      </c>
      <c r="AD67" s="854">
        <v>0</v>
      </c>
      <c r="AE67" s="854">
        <v>0</v>
      </c>
      <c r="AF67" s="854">
        <v>0</v>
      </c>
    </row>
    <row r="68" spans="1:32" s="864" customFormat="1" x14ac:dyDescent="0.25">
      <c r="A68" s="839"/>
      <c r="B68" s="842" t="s">
        <v>46</v>
      </c>
      <c r="C68" s="838"/>
      <c r="D68" s="838"/>
      <c r="E68" s="838"/>
      <c r="F68" s="838"/>
      <c r="G68" s="854">
        <v>0</v>
      </c>
      <c r="H68" s="854">
        <v>0</v>
      </c>
      <c r="I68" s="854">
        <v>0</v>
      </c>
      <c r="J68" s="854">
        <v>0</v>
      </c>
      <c r="K68" s="854">
        <v>0</v>
      </c>
      <c r="L68" s="854">
        <v>0</v>
      </c>
      <c r="M68" s="854">
        <v>0</v>
      </c>
      <c r="N68" s="854">
        <v>0</v>
      </c>
      <c r="O68" s="854">
        <v>0</v>
      </c>
      <c r="P68" s="854">
        <v>0</v>
      </c>
      <c r="Q68" s="854">
        <v>0</v>
      </c>
      <c r="R68" s="854">
        <v>0</v>
      </c>
      <c r="S68" s="854">
        <v>0</v>
      </c>
      <c r="T68" s="854">
        <v>0</v>
      </c>
      <c r="U68" s="854">
        <v>0</v>
      </c>
      <c r="V68" s="854">
        <v>0</v>
      </c>
      <c r="W68" s="854">
        <v>0</v>
      </c>
      <c r="X68" s="854">
        <v>0</v>
      </c>
      <c r="Y68" s="854">
        <v>0</v>
      </c>
      <c r="Z68" s="854">
        <v>0</v>
      </c>
      <c r="AA68" s="854">
        <v>0</v>
      </c>
      <c r="AB68" s="854">
        <v>0</v>
      </c>
      <c r="AC68" s="854">
        <v>0</v>
      </c>
      <c r="AD68" s="854">
        <v>0</v>
      </c>
      <c r="AE68" s="854">
        <v>0</v>
      </c>
      <c r="AF68" s="854">
        <v>0</v>
      </c>
    </row>
    <row r="69" spans="1:32" s="864" customFormat="1" x14ac:dyDescent="0.25">
      <c r="A69" s="839"/>
      <c r="B69" s="839" t="s">
        <v>29</v>
      </c>
      <c r="C69" s="838"/>
      <c r="D69" s="838"/>
      <c r="E69" s="838"/>
      <c r="F69" s="838"/>
      <c r="G69" s="854">
        <v>0</v>
      </c>
      <c r="H69" s="854">
        <v>0</v>
      </c>
      <c r="I69" s="854">
        <v>0</v>
      </c>
      <c r="J69" s="854">
        <v>0</v>
      </c>
      <c r="K69" s="854">
        <v>0</v>
      </c>
      <c r="L69" s="854">
        <v>0</v>
      </c>
      <c r="M69" s="854">
        <v>0</v>
      </c>
      <c r="N69" s="854">
        <v>0</v>
      </c>
      <c r="O69" s="854">
        <v>0</v>
      </c>
      <c r="P69" s="854">
        <v>0</v>
      </c>
      <c r="Q69" s="854">
        <v>0</v>
      </c>
      <c r="R69" s="854">
        <v>0</v>
      </c>
      <c r="S69" s="854">
        <v>0</v>
      </c>
      <c r="T69" s="854">
        <v>0</v>
      </c>
      <c r="U69" s="854">
        <v>0</v>
      </c>
      <c r="V69" s="854">
        <v>0</v>
      </c>
      <c r="W69" s="854">
        <v>0</v>
      </c>
      <c r="X69" s="854">
        <v>0</v>
      </c>
      <c r="Y69" s="854">
        <v>0</v>
      </c>
      <c r="Z69" s="854">
        <v>0</v>
      </c>
      <c r="AA69" s="854">
        <v>0</v>
      </c>
      <c r="AB69" s="854">
        <v>0</v>
      </c>
      <c r="AC69" s="854">
        <v>0</v>
      </c>
      <c r="AD69" s="854">
        <v>0</v>
      </c>
      <c r="AE69" s="854">
        <v>0</v>
      </c>
      <c r="AF69" s="854">
        <v>0</v>
      </c>
    </row>
    <row r="70" spans="1:32" s="864" customFormat="1" x14ac:dyDescent="0.25">
      <c r="A70" s="839"/>
      <c r="B70" s="839"/>
      <c r="C70" s="838"/>
      <c r="D70" s="838"/>
      <c r="E70" s="838"/>
      <c r="F70" s="838"/>
      <c r="G70" s="854" t="str">
        <v/>
      </c>
      <c r="H70" s="838" t="str">
        <v/>
      </c>
      <c r="I70" s="838" t="str">
        <v/>
      </c>
      <c r="J70" s="838" t="str">
        <v/>
      </c>
      <c r="K70" s="838" t="str">
        <v/>
      </c>
      <c r="L70" s="838" t="str">
        <v/>
      </c>
      <c r="M70" s="838" t="str">
        <v/>
      </c>
      <c r="N70" s="838" t="str">
        <v/>
      </c>
      <c r="O70" s="838" t="str">
        <v/>
      </c>
      <c r="P70" s="838" t="str">
        <v/>
      </c>
      <c r="Q70" s="838" t="str">
        <v/>
      </c>
      <c r="R70" s="838" t="str">
        <v/>
      </c>
      <c r="S70" s="838" t="str">
        <v/>
      </c>
      <c r="T70" s="838" t="str">
        <v/>
      </c>
      <c r="U70" s="838" t="str">
        <v/>
      </c>
      <c r="V70" s="838" t="str">
        <v/>
      </c>
      <c r="W70" s="838" t="str">
        <v/>
      </c>
      <c r="X70" s="838" t="str">
        <v/>
      </c>
      <c r="Y70" s="838" t="str">
        <v/>
      </c>
      <c r="Z70" s="838" t="str">
        <v/>
      </c>
      <c r="AA70" s="838" t="str">
        <v/>
      </c>
      <c r="AB70" s="838" t="str">
        <v/>
      </c>
      <c r="AC70" s="838" t="str">
        <v/>
      </c>
      <c r="AD70" s="838" t="str">
        <v/>
      </c>
      <c r="AE70" s="838" t="str">
        <v/>
      </c>
      <c r="AF70" s="838" t="str">
        <v/>
      </c>
    </row>
    <row r="71" spans="1:32" s="856" customFormat="1" ht="12.75" x14ac:dyDescent="0.2">
      <c r="A71" s="843" t="s">
        <v>47</v>
      </c>
      <c r="B71" s="843"/>
      <c r="C71" s="843"/>
      <c r="D71" s="843"/>
      <c r="E71" s="843"/>
      <c r="F71" s="843"/>
      <c r="G71" s="865" t="str">
        <v/>
      </c>
      <c r="H71" s="843" t="str">
        <v/>
      </c>
      <c r="I71" s="843" t="str">
        <v/>
      </c>
      <c r="J71" s="843" t="str">
        <v/>
      </c>
      <c r="K71" s="843" t="str">
        <v/>
      </c>
      <c r="L71" s="843" t="str">
        <v/>
      </c>
      <c r="M71" s="843" t="str">
        <v/>
      </c>
      <c r="N71" s="843" t="str">
        <v/>
      </c>
      <c r="O71" s="843" t="str">
        <v/>
      </c>
      <c r="P71" s="843" t="str">
        <v/>
      </c>
      <c r="Q71" s="843" t="str">
        <v/>
      </c>
      <c r="R71" s="843" t="str">
        <v/>
      </c>
      <c r="S71" s="843" t="str">
        <v/>
      </c>
      <c r="T71" s="843" t="str">
        <v/>
      </c>
      <c r="U71" s="843" t="str">
        <v/>
      </c>
      <c r="V71" s="843" t="str">
        <v/>
      </c>
      <c r="W71" s="843" t="str">
        <v/>
      </c>
      <c r="X71" s="843" t="str">
        <v/>
      </c>
      <c r="Y71" s="843" t="str">
        <v/>
      </c>
      <c r="Z71" s="843" t="str">
        <v/>
      </c>
      <c r="AA71" s="843" t="str">
        <v/>
      </c>
      <c r="AB71" s="843" t="str">
        <v/>
      </c>
      <c r="AC71" s="843" t="str">
        <v/>
      </c>
      <c r="AD71" s="843" t="str">
        <v/>
      </c>
      <c r="AE71" s="843" t="str">
        <v/>
      </c>
      <c r="AF71" s="843" t="str">
        <v/>
      </c>
    </row>
    <row r="72" spans="1:32" s="864" customFormat="1" x14ac:dyDescent="0.25">
      <c r="A72" s="839"/>
      <c r="B72" s="839" t="s">
        <v>48</v>
      </c>
      <c r="C72" s="838"/>
      <c r="D72" s="838"/>
      <c r="E72" s="838"/>
      <c r="F72" s="838"/>
      <c r="G72" s="854">
        <v>0</v>
      </c>
      <c r="H72" s="854">
        <v>0</v>
      </c>
      <c r="I72" s="854">
        <v>0</v>
      </c>
      <c r="J72" s="854">
        <v>0</v>
      </c>
      <c r="K72" s="854">
        <v>0</v>
      </c>
      <c r="L72" s="854">
        <v>0</v>
      </c>
      <c r="M72" s="854">
        <v>0</v>
      </c>
      <c r="N72" s="854">
        <v>0</v>
      </c>
      <c r="O72" s="854">
        <v>0</v>
      </c>
      <c r="P72" s="854">
        <v>0</v>
      </c>
      <c r="Q72" s="854">
        <v>0</v>
      </c>
      <c r="R72" s="854">
        <v>0</v>
      </c>
      <c r="S72" s="854">
        <v>0</v>
      </c>
      <c r="T72" s="854">
        <v>0</v>
      </c>
      <c r="U72" s="854">
        <v>0</v>
      </c>
      <c r="V72" s="854">
        <v>0</v>
      </c>
      <c r="W72" s="854">
        <v>0</v>
      </c>
      <c r="X72" s="854">
        <v>0</v>
      </c>
      <c r="Y72" s="854">
        <v>0</v>
      </c>
      <c r="Z72" s="854">
        <v>0</v>
      </c>
      <c r="AA72" s="854">
        <v>0</v>
      </c>
      <c r="AB72" s="854">
        <v>0</v>
      </c>
      <c r="AC72" s="854">
        <v>0</v>
      </c>
      <c r="AD72" s="854">
        <v>0</v>
      </c>
      <c r="AE72" s="854">
        <v>0</v>
      </c>
      <c r="AF72" s="854">
        <v>0</v>
      </c>
    </row>
    <row r="73" spans="1:32" s="864" customFormat="1" x14ac:dyDescent="0.25">
      <c r="A73" s="839"/>
      <c r="B73" s="842" t="s">
        <v>50</v>
      </c>
      <c r="C73" s="838"/>
      <c r="D73" s="838"/>
      <c r="E73" s="838"/>
      <c r="F73" s="838"/>
      <c r="G73" s="854">
        <v>0</v>
      </c>
      <c r="H73" s="854">
        <v>0</v>
      </c>
      <c r="I73" s="854">
        <v>0</v>
      </c>
      <c r="J73" s="854">
        <v>0</v>
      </c>
      <c r="K73" s="854">
        <v>0</v>
      </c>
      <c r="L73" s="854">
        <v>0</v>
      </c>
      <c r="M73" s="854">
        <v>0</v>
      </c>
      <c r="N73" s="854">
        <v>0</v>
      </c>
      <c r="O73" s="854">
        <v>0</v>
      </c>
      <c r="P73" s="854">
        <v>0</v>
      </c>
      <c r="Q73" s="854">
        <v>0</v>
      </c>
      <c r="R73" s="854">
        <v>0</v>
      </c>
      <c r="S73" s="854">
        <v>0</v>
      </c>
      <c r="T73" s="854">
        <v>0</v>
      </c>
      <c r="U73" s="854">
        <v>0</v>
      </c>
      <c r="V73" s="854">
        <v>0</v>
      </c>
      <c r="W73" s="854">
        <v>0</v>
      </c>
      <c r="X73" s="854">
        <v>0</v>
      </c>
      <c r="Y73" s="854">
        <v>0</v>
      </c>
      <c r="Z73" s="854">
        <v>0</v>
      </c>
      <c r="AA73" s="854">
        <v>0</v>
      </c>
      <c r="AB73" s="854">
        <v>0</v>
      </c>
      <c r="AC73" s="854">
        <v>0</v>
      </c>
      <c r="AD73" s="854">
        <v>0</v>
      </c>
      <c r="AE73" s="854">
        <v>0</v>
      </c>
      <c r="AF73" s="854">
        <v>0</v>
      </c>
    </row>
    <row r="74" spans="1:32" s="864" customFormat="1" x14ac:dyDescent="0.25">
      <c r="A74" s="839"/>
      <c r="B74" s="839" t="s">
        <v>51</v>
      </c>
      <c r="C74" s="838"/>
      <c r="D74" s="838"/>
      <c r="E74" s="838"/>
      <c r="F74" s="838"/>
      <c r="G74" s="854">
        <v>0</v>
      </c>
      <c r="H74" s="854">
        <v>0</v>
      </c>
      <c r="I74" s="854">
        <v>0</v>
      </c>
      <c r="J74" s="854">
        <v>0</v>
      </c>
      <c r="K74" s="854">
        <v>0</v>
      </c>
      <c r="L74" s="854">
        <v>0</v>
      </c>
      <c r="M74" s="854">
        <v>0</v>
      </c>
      <c r="N74" s="854">
        <v>0</v>
      </c>
      <c r="O74" s="854">
        <v>0</v>
      </c>
      <c r="P74" s="854">
        <v>0</v>
      </c>
      <c r="Q74" s="854">
        <v>0</v>
      </c>
      <c r="R74" s="854">
        <v>0</v>
      </c>
      <c r="S74" s="854">
        <v>0</v>
      </c>
      <c r="T74" s="854">
        <v>0</v>
      </c>
      <c r="U74" s="854">
        <v>0</v>
      </c>
      <c r="V74" s="854">
        <v>0</v>
      </c>
      <c r="W74" s="854">
        <v>0</v>
      </c>
      <c r="X74" s="854">
        <v>0</v>
      </c>
      <c r="Y74" s="854">
        <v>0</v>
      </c>
      <c r="Z74" s="854">
        <v>0</v>
      </c>
      <c r="AA74" s="854">
        <v>0</v>
      </c>
      <c r="AB74" s="854">
        <v>0</v>
      </c>
      <c r="AC74" s="854">
        <v>0</v>
      </c>
      <c r="AD74" s="854">
        <v>0</v>
      </c>
      <c r="AE74" s="854">
        <v>0</v>
      </c>
      <c r="AF74" s="854">
        <v>0</v>
      </c>
    </row>
    <row r="75" spans="1:32" s="864" customFormat="1" x14ac:dyDescent="0.25">
      <c r="A75" s="839"/>
      <c r="B75" s="839" t="s">
        <v>52</v>
      </c>
      <c r="C75" s="838"/>
      <c r="D75" s="838"/>
      <c r="E75" s="838"/>
      <c r="F75" s="838"/>
      <c r="G75" s="854">
        <v>0</v>
      </c>
      <c r="H75" s="854">
        <v>0</v>
      </c>
      <c r="I75" s="854">
        <v>0</v>
      </c>
      <c r="J75" s="854">
        <v>0</v>
      </c>
      <c r="K75" s="854">
        <v>0</v>
      </c>
      <c r="L75" s="854">
        <v>0</v>
      </c>
      <c r="M75" s="854">
        <v>0</v>
      </c>
      <c r="N75" s="854">
        <v>0</v>
      </c>
      <c r="O75" s="854">
        <v>0</v>
      </c>
      <c r="P75" s="854">
        <v>0</v>
      </c>
      <c r="Q75" s="854">
        <v>0</v>
      </c>
      <c r="R75" s="854">
        <v>0</v>
      </c>
      <c r="S75" s="854">
        <v>0</v>
      </c>
      <c r="T75" s="854">
        <v>0</v>
      </c>
      <c r="U75" s="854">
        <v>0</v>
      </c>
      <c r="V75" s="854">
        <v>0</v>
      </c>
      <c r="W75" s="854">
        <v>0</v>
      </c>
      <c r="X75" s="854">
        <v>0</v>
      </c>
      <c r="Y75" s="854">
        <v>0</v>
      </c>
      <c r="Z75" s="854">
        <v>0</v>
      </c>
      <c r="AA75" s="854">
        <v>0</v>
      </c>
      <c r="AB75" s="854">
        <v>0</v>
      </c>
      <c r="AC75" s="854">
        <v>0</v>
      </c>
      <c r="AD75" s="854">
        <v>0</v>
      </c>
      <c r="AE75" s="854">
        <v>0</v>
      </c>
      <c r="AF75" s="854">
        <v>0</v>
      </c>
    </row>
    <row r="76" spans="1:32" s="864" customFormat="1" x14ac:dyDescent="0.25">
      <c r="A76" s="839"/>
      <c r="B76" s="842" t="s">
        <v>29</v>
      </c>
      <c r="C76" s="838"/>
      <c r="D76" s="838"/>
      <c r="E76" s="838"/>
      <c r="F76" s="838"/>
      <c r="G76" s="854">
        <v>0</v>
      </c>
      <c r="H76" s="854">
        <v>0</v>
      </c>
      <c r="I76" s="854">
        <v>0</v>
      </c>
      <c r="J76" s="854">
        <v>0</v>
      </c>
      <c r="K76" s="854">
        <v>0</v>
      </c>
      <c r="L76" s="854">
        <v>0</v>
      </c>
      <c r="M76" s="854">
        <v>0</v>
      </c>
      <c r="N76" s="854">
        <v>0</v>
      </c>
      <c r="O76" s="854">
        <v>0</v>
      </c>
      <c r="P76" s="854">
        <v>0</v>
      </c>
      <c r="Q76" s="854">
        <v>0</v>
      </c>
      <c r="R76" s="854">
        <v>0</v>
      </c>
      <c r="S76" s="854">
        <v>0</v>
      </c>
      <c r="T76" s="854">
        <v>0</v>
      </c>
      <c r="U76" s="854">
        <v>0</v>
      </c>
      <c r="V76" s="854">
        <v>0</v>
      </c>
      <c r="W76" s="854">
        <v>0</v>
      </c>
      <c r="X76" s="854">
        <v>0</v>
      </c>
      <c r="Y76" s="854">
        <v>0</v>
      </c>
      <c r="Z76" s="854">
        <v>0</v>
      </c>
      <c r="AA76" s="854">
        <v>0</v>
      </c>
      <c r="AB76" s="854">
        <v>0</v>
      </c>
      <c r="AC76" s="854">
        <v>0</v>
      </c>
      <c r="AD76" s="854">
        <v>0</v>
      </c>
      <c r="AE76" s="854">
        <v>0</v>
      </c>
      <c r="AF76" s="854">
        <v>0</v>
      </c>
    </row>
    <row r="77" spans="1:32" s="864" customFormat="1" x14ac:dyDescent="0.25">
      <c r="A77" s="839"/>
      <c r="B77" s="842" t="s">
        <v>53</v>
      </c>
      <c r="C77" s="838"/>
      <c r="D77" s="838"/>
      <c r="E77" s="838"/>
      <c r="F77" s="838"/>
      <c r="G77" s="854">
        <v>0</v>
      </c>
      <c r="H77" s="854">
        <v>0</v>
      </c>
      <c r="I77" s="854">
        <v>0</v>
      </c>
      <c r="J77" s="854">
        <v>0</v>
      </c>
      <c r="K77" s="854">
        <v>0</v>
      </c>
      <c r="L77" s="854">
        <v>0</v>
      </c>
      <c r="M77" s="854">
        <v>0</v>
      </c>
      <c r="N77" s="854">
        <v>0</v>
      </c>
      <c r="O77" s="854">
        <v>0</v>
      </c>
      <c r="P77" s="854">
        <v>0</v>
      </c>
      <c r="Q77" s="854">
        <v>0</v>
      </c>
      <c r="R77" s="854">
        <v>0</v>
      </c>
      <c r="S77" s="854">
        <v>0</v>
      </c>
      <c r="T77" s="854">
        <v>0</v>
      </c>
      <c r="U77" s="854">
        <v>0</v>
      </c>
      <c r="V77" s="854">
        <v>0</v>
      </c>
      <c r="W77" s="854">
        <v>0</v>
      </c>
      <c r="X77" s="854">
        <v>0</v>
      </c>
      <c r="Y77" s="854">
        <v>0</v>
      </c>
      <c r="Z77" s="854">
        <v>0</v>
      </c>
      <c r="AA77" s="854">
        <v>0</v>
      </c>
      <c r="AB77" s="854">
        <v>0</v>
      </c>
      <c r="AC77" s="854">
        <v>0</v>
      </c>
      <c r="AD77" s="854">
        <v>0</v>
      </c>
      <c r="AE77" s="854">
        <v>0</v>
      </c>
      <c r="AF77" s="854">
        <v>0</v>
      </c>
    </row>
    <row r="78" spans="1:32" s="838" customFormat="1" x14ac:dyDescent="0.25">
      <c r="G78" s="838" t="str">
        <v/>
      </c>
      <c r="H78" s="838" t="str">
        <v/>
      </c>
      <c r="I78" s="838" t="str">
        <v/>
      </c>
      <c r="J78" s="838" t="str">
        <v/>
      </c>
      <c r="K78" s="838" t="str">
        <v/>
      </c>
      <c r="L78" s="838" t="str">
        <v/>
      </c>
      <c r="M78" s="838" t="str">
        <v/>
      </c>
      <c r="N78" s="838" t="str">
        <v/>
      </c>
      <c r="O78" s="838" t="str">
        <v/>
      </c>
      <c r="P78" s="838" t="str">
        <v/>
      </c>
      <c r="Q78" s="838" t="str">
        <v/>
      </c>
      <c r="R78" s="838" t="str">
        <v/>
      </c>
      <c r="S78" s="838" t="str">
        <v/>
      </c>
      <c r="T78" s="838" t="str">
        <v/>
      </c>
      <c r="U78" s="838" t="str">
        <v/>
      </c>
      <c r="V78" s="838" t="str">
        <v/>
      </c>
      <c r="W78" s="838" t="str">
        <v/>
      </c>
      <c r="X78" s="838" t="str">
        <v/>
      </c>
      <c r="Y78" s="838" t="str">
        <v/>
      </c>
      <c r="Z78" s="838" t="str">
        <v/>
      </c>
      <c r="AA78" s="838" t="str">
        <v/>
      </c>
      <c r="AB78" s="838" t="str">
        <v/>
      </c>
      <c r="AC78" s="838" t="str">
        <v/>
      </c>
      <c r="AD78" s="838" t="str">
        <v/>
      </c>
      <c r="AE78" s="838" t="str">
        <v/>
      </c>
      <c r="AF78" s="838" t="str">
        <v/>
      </c>
    </row>
    <row r="79" spans="1:32" s="838" customFormat="1" x14ac:dyDescent="0.25">
      <c r="G79" s="838" t="str">
        <v/>
      </c>
      <c r="H79" s="838" t="str">
        <v/>
      </c>
      <c r="I79" s="838" t="str">
        <v/>
      </c>
      <c r="J79" s="838" t="str">
        <v/>
      </c>
      <c r="K79" s="838" t="str">
        <v/>
      </c>
      <c r="L79" s="838" t="str">
        <v/>
      </c>
      <c r="M79" s="838" t="str">
        <v/>
      </c>
      <c r="N79" s="838" t="str">
        <v/>
      </c>
      <c r="O79" s="838" t="str">
        <v/>
      </c>
      <c r="P79" s="838" t="str">
        <v/>
      </c>
      <c r="Q79" s="838" t="str">
        <v/>
      </c>
      <c r="R79" s="838" t="str">
        <v/>
      </c>
      <c r="S79" s="838" t="str">
        <v/>
      </c>
      <c r="T79" s="838" t="str">
        <v/>
      </c>
      <c r="U79" s="838" t="str">
        <v/>
      </c>
      <c r="V79" s="838" t="str">
        <v/>
      </c>
      <c r="W79" s="838" t="str">
        <v/>
      </c>
      <c r="X79" s="838" t="str">
        <v/>
      </c>
      <c r="Y79" s="838" t="str">
        <v/>
      </c>
      <c r="Z79" s="838" t="str">
        <v/>
      </c>
      <c r="AA79" s="838" t="str">
        <v/>
      </c>
      <c r="AB79" s="838" t="str">
        <v/>
      </c>
      <c r="AC79" s="838" t="str">
        <v/>
      </c>
      <c r="AD79" s="838" t="str">
        <v/>
      </c>
      <c r="AE79" s="838" t="str">
        <v/>
      </c>
      <c r="AF79" s="838" t="str">
        <v/>
      </c>
    </row>
    <row r="80" spans="1:32" s="838" customFormat="1" x14ac:dyDescent="0.25">
      <c r="A80" s="860" t="s">
        <v>57</v>
      </c>
      <c r="B80" s="861"/>
      <c r="C80" s="860"/>
      <c r="D80" s="859"/>
      <c r="E80" s="859"/>
      <c r="F80" s="859"/>
      <c r="G80" s="859" t="str">
        <v/>
      </c>
      <c r="H80" s="862" t="str">
        <v/>
      </c>
      <c r="I80" s="862" t="str">
        <v/>
      </c>
      <c r="J80" s="862" t="str">
        <v/>
      </c>
      <c r="K80" s="862" t="str">
        <v/>
      </c>
      <c r="L80" s="862" t="str">
        <v/>
      </c>
      <c r="M80" s="862" t="str">
        <v/>
      </c>
      <c r="N80" s="862" t="str">
        <v/>
      </c>
      <c r="O80" s="862" t="str">
        <v/>
      </c>
      <c r="P80" s="862" t="str">
        <v/>
      </c>
      <c r="Q80" s="862" t="str">
        <v/>
      </c>
      <c r="R80" s="862" t="str">
        <v/>
      </c>
      <c r="S80" s="862" t="str">
        <v/>
      </c>
      <c r="T80" s="862" t="str">
        <v/>
      </c>
      <c r="U80" s="862" t="str">
        <v/>
      </c>
      <c r="V80" s="862" t="str">
        <v/>
      </c>
      <c r="W80" s="862" t="str">
        <v/>
      </c>
      <c r="X80" s="862" t="str">
        <v/>
      </c>
      <c r="Y80" s="862" t="str">
        <v/>
      </c>
      <c r="Z80" s="862" t="str">
        <v/>
      </c>
      <c r="AA80" s="862" t="str">
        <v/>
      </c>
      <c r="AB80" s="862" t="str">
        <v/>
      </c>
      <c r="AC80" s="862" t="str">
        <v/>
      </c>
      <c r="AD80" s="862" t="str">
        <v/>
      </c>
      <c r="AE80" s="862" t="str">
        <v/>
      </c>
      <c r="AF80" s="862" t="str">
        <v/>
      </c>
    </row>
    <row r="81" spans="1:32" s="838" customFormat="1" x14ac:dyDescent="0.25">
      <c r="A81" s="840" t="s">
        <v>12</v>
      </c>
      <c r="B81" s="839"/>
      <c r="G81" s="838" t="str">
        <v/>
      </c>
      <c r="H81" s="838" t="str">
        <v/>
      </c>
      <c r="I81" s="838" t="str">
        <v/>
      </c>
      <c r="J81" s="838" t="str">
        <v/>
      </c>
      <c r="K81" s="838" t="str">
        <v/>
      </c>
      <c r="L81" s="838" t="str">
        <v/>
      </c>
      <c r="M81" s="838" t="str">
        <v/>
      </c>
      <c r="N81" s="838" t="str">
        <v/>
      </c>
      <c r="O81" s="838" t="str">
        <v/>
      </c>
      <c r="P81" s="838" t="str">
        <v/>
      </c>
      <c r="Q81" s="838" t="str">
        <v/>
      </c>
      <c r="R81" s="838" t="str">
        <v/>
      </c>
      <c r="S81" s="838" t="str">
        <v/>
      </c>
      <c r="T81" s="838" t="str">
        <v/>
      </c>
      <c r="U81" s="838" t="str">
        <v/>
      </c>
      <c r="V81" s="838" t="str">
        <v/>
      </c>
      <c r="W81" s="838" t="str">
        <v/>
      </c>
      <c r="X81" s="838" t="str">
        <v/>
      </c>
      <c r="Y81" s="838" t="str">
        <v/>
      </c>
      <c r="Z81" s="838" t="str">
        <v/>
      </c>
      <c r="AA81" s="838" t="str">
        <v/>
      </c>
      <c r="AB81" s="838" t="str">
        <v/>
      </c>
      <c r="AC81" s="838" t="str">
        <v/>
      </c>
      <c r="AD81" s="838" t="str">
        <v/>
      </c>
      <c r="AE81" s="838" t="str">
        <v/>
      </c>
      <c r="AF81" s="838" t="str">
        <v/>
      </c>
    </row>
    <row r="82" spans="1:32" s="838" customFormat="1" x14ac:dyDescent="0.25">
      <c r="A82" s="839"/>
      <c r="B82" s="839" t="s">
        <v>20</v>
      </c>
      <c r="G82" s="838" t="str">
        <v/>
      </c>
      <c r="H82" s="838" t="str">
        <v/>
      </c>
      <c r="I82" s="838" t="str">
        <v/>
      </c>
      <c r="J82" s="838" t="str">
        <v/>
      </c>
      <c r="K82" s="838" t="str">
        <v/>
      </c>
      <c r="L82" s="838" t="str">
        <v/>
      </c>
      <c r="M82" s="838" t="str">
        <v/>
      </c>
      <c r="N82" s="838" t="str">
        <v/>
      </c>
      <c r="O82" s="838" t="str">
        <v/>
      </c>
      <c r="P82" s="838" t="str">
        <v/>
      </c>
      <c r="Q82" s="838" t="str">
        <v/>
      </c>
      <c r="R82" s="838" t="str">
        <v/>
      </c>
      <c r="S82" s="838" t="str">
        <v/>
      </c>
      <c r="T82" s="838" t="str">
        <v/>
      </c>
      <c r="U82" s="838" t="str">
        <v/>
      </c>
      <c r="V82" s="838" t="str">
        <v/>
      </c>
      <c r="W82" s="838" t="str">
        <v/>
      </c>
      <c r="X82" s="838" t="str">
        <v/>
      </c>
      <c r="Y82" s="838" t="str">
        <v/>
      </c>
      <c r="Z82" s="838" t="str">
        <v/>
      </c>
      <c r="AA82" s="838" t="str">
        <v/>
      </c>
      <c r="AB82" s="838" t="str">
        <v/>
      </c>
      <c r="AC82" s="838" t="str">
        <v/>
      </c>
      <c r="AD82" s="838" t="str">
        <v/>
      </c>
      <c r="AE82" s="838" t="str">
        <v/>
      </c>
      <c r="AF82" s="838" t="str">
        <v/>
      </c>
    </row>
    <row r="83" spans="1:32" s="856" customFormat="1" ht="12.75" x14ac:dyDescent="0.2">
      <c r="A83" s="843" t="s">
        <v>21</v>
      </c>
      <c r="B83" s="843"/>
      <c r="C83" s="843"/>
      <c r="D83" s="843"/>
      <c r="E83" s="843"/>
      <c r="F83" s="843"/>
      <c r="G83" s="843" t="str">
        <v/>
      </c>
      <c r="H83" s="843" t="str">
        <v/>
      </c>
      <c r="I83" s="843" t="str">
        <v/>
      </c>
      <c r="J83" s="843" t="str">
        <v/>
      </c>
      <c r="K83" s="843" t="str">
        <v/>
      </c>
      <c r="L83" s="843" t="str">
        <v/>
      </c>
      <c r="M83" s="843" t="str">
        <v/>
      </c>
      <c r="N83" s="843" t="str">
        <v/>
      </c>
      <c r="O83" s="843" t="str">
        <v/>
      </c>
      <c r="P83" s="843" t="str">
        <v/>
      </c>
      <c r="Q83" s="843" t="str">
        <v/>
      </c>
      <c r="R83" s="843" t="str">
        <v/>
      </c>
      <c r="S83" s="843" t="str">
        <v/>
      </c>
      <c r="T83" s="843" t="str">
        <v/>
      </c>
      <c r="U83" s="843" t="str">
        <v/>
      </c>
      <c r="V83" s="843" t="str">
        <v/>
      </c>
      <c r="W83" s="843" t="str">
        <v/>
      </c>
      <c r="X83" s="843" t="str">
        <v/>
      </c>
      <c r="Y83" s="843" t="str">
        <v/>
      </c>
      <c r="Z83" s="843" t="str">
        <v/>
      </c>
      <c r="AA83" s="843" t="str">
        <v/>
      </c>
      <c r="AB83" s="843" t="str">
        <v/>
      </c>
      <c r="AC83" s="843" t="str">
        <v/>
      </c>
      <c r="AD83" s="843" t="str">
        <v/>
      </c>
      <c r="AE83" s="843" t="str">
        <v/>
      </c>
      <c r="AF83" s="843" t="str">
        <v/>
      </c>
    </row>
    <row r="84" spans="1:32" s="864" customFormat="1" x14ac:dyDescent="0.25">
      <c r="A84" s="839"/>
      <c r="B84" s="839" t="s">
        <v>22</v>
      </c>
      <c r="C84" s="838"/>
      <c r="D84" s="838"/>
      <c r="E84" s="838"/>
      <c r="F84" s="838"/>
      <c r="G84" s="854">
        <v>0</v>
      </c>
      <c r="H84" s="854">
        <v>0</v>
      </c>
      <c r="I84" s="854">
        <v>0</v>
      </c>
      <c r="J84" s="854">
        <v>0</v>
      </c>
      <c r="K84" s="854">
        <v>0</v>
      </c>
      <c r="L84" s="854">
        <v>0</v>
      </c>
      <c r="M84" s="854">
        <v>0</v>
      </c>
      <c r="N84" s="854">
        <v>0</v>
      </c>
      <c r="O84" s="854">
        <v>0</v>
      </c>
      <c r="P84" s="854">
        <v>0</v>
      </c>
      <c r="Q84" s="854">
        <v>0</v>
      </c>
      <c r="R84" s="854">
        <v>0</v>
      </c>
      <c r="S84" s="854">
        <v>0</v>
      </c>
      <c r="T84" s="854">
        <v>0</v>
      </c>
      <c r="U84" s="854">
        <v>0</v>
      </c>
      <c r="V84" s="854">
        <v>0</v>
      </c>
      <c r="W84" s="854">
        <v>0</v>
      </c>
      <c r="X84" s="854">
        <v>0</v>
      </c>
      <c r="Y84" s="854">
        <v>0</v>
      </c>
      <c r="Z84" s="854">
        <v>0</v>
      </c>
      <c r="AA84" s="854">
        <v>0</v>
      </c>
      <c r="AB84" s="854">
        <v>0</v>
      </c>
      <c r="AC84" s="854">
        <v>0</v>
      </c>
      <c r="AD84" s="854">
        <v>0</v>
      </c>
      <c r="AE84" s="854">
        <v>0</v>
      </c>
      <c r="AF84" s="854">
        <v>0</v>
      </c>
    </row>
    <row r="85" spans="1:32" s="864" customFormat="1" x14ac:dyDescent="0.25">
      <c r="A85" s="839"/>
      <c r="B85" s="839" t="s">
        <v>26</v>
      </c>
      <c r="C85" s="838"/>
      <c r="D85" s="838"/>
      <c r="E85" s="838"/>
      <c r="F85" s="838"/>
      <c r="G85" s="854">
        <v>0</v>
      </c>
      <c r="H85" s="854">
        <v>0</v>
      </c>
      <c r="I85" s="854">
        <v>0</v>
      </c>
      <c r="J85" s="854">
        <v>0</v>
      </c>
      <c r="K85" s="854">
        <v>0</v>
      </c>
      <c r="L85" s="854">
        <v>0</v>
      </c>
      <c r="M85" s="854">
        <v>0</v>
      </c>
      <c r="N85" s="854">
        <v>0</v>
      </c>
      <c r="O85" s="854">
        <v>0</v>
      </c>
      <c r="P85" s="854">
        <v>0</v>
      </c>
      <c r="Q85" s="854">
        <v>0</v>
      </c>
      <c r="R85" s="854">
        <v>0</v>
      </c>
      <c r="S85" s="854">
        <v>0</v>
      </c>
      <c r="T85" s="854">
        <v>0</v>
      </c>
      <c r="U85" s="854">
        <v>0</v>
      </c>
      <c r="V85" s="854">
        <v>0</v>
      </c>
      <c r="W85" s="854">
        <v>0</v>
      </c>
      <c r="X85" s="854">
        <v>0</v>
      </c>
      <c r="Y85" s="854">
        <v>0</v>
      </c>
      <c r="Z85" s="854">
        <v>0</v>
      </c>
      <c r="AA85" s="854">
        <v>0</v>
      </c>
      <c r="AB85" s="854">
        <v>0</v>
      </c>
      <c r="AC85" s="854">
        <v>0</v>
      </c>
      <c r="AD85" s="854">
        <v>0</v>
      </c>
      <c r="AE85" s="854">
        <v>0</v>
      </c>
      <c r="AF85" s="854">
        <v>0</v>
      </c>
    </row>
    <row r="86" spans="1:32" s="864" customFormat="1" x14ac:dyDescent="0.25">
      <c r="A86" s="839"/>
      <c r="B86" s="839" t="s">
        <v>27</v>
      </c>
      <c r="C86" s="838"/>
      <c r="D86" s="838"/>
      <c r="E86" s="838"/>
      <c r="F86" s="838"/>
      <c r="G86" s="854">
        <v>0</v>
      </c>
      <c r="H86" s="854">
        <v>0</v>
      </c>
      <c r="I86" s="854">
        <v>0</v>
      </c>
      <c r="J86" s="854">
        <v>0</v>
      </c>
      <c r="K86" s="854">
        <v>0</v>
      </c>
      <c r="L86" s="854">
        <v>0</v>
      </c>
      <c r="M86" s="854">
        <v>0</v>
      </c>
      <c r="N86" s="854">
        <v>0</v>
      </c>
      <c r="O86" s="854">
        <v>0</v>
      </c>
      <c r="P86" s="854">
        <v>0</v>
      </c>
      <c r="Q86" s="854">
        <v>0</v>
      </c>
      <c r="R86" s="854">
        <v>0</v>
      </c>
      <c r="S86" s="854">
        <v>0</v>
      </c>
      <c r="T86" s="854">
        <v>0</v>
      </c>
      <c r="U86" s="854">
        <v>0</v>
      </c>
      <c r="V86" s="854">
        <v>0</v>
      </c>
      <c r="W86" s="854">
        <v>0</v>
      </c>
      <c r="X86" s="854">
        <v>0</v>
      </c>
      <c r="Y86" s="854">
        <v>0</v>
      </c>
      <c r="Z86" s="854">
        <v>0</v>
      </c>
      <c r="AA86" s="854">
        <v>0</v>
      </c>
      <c r="AB86" s="854">
        <v>0</v>
      </c>
      <c r="AC86" s="854">
        <v>0</v>
      </c>
      <c r="AD86" s="854">
        <v>0</v>
      </c>
      <c r="AE86" s="854">
        <v>0</v>
      </c>
      <c r="AF86" s="854">
        <v>0</v>
      </c>
    </row>
    <row r="87" spans="1:32" s="864" customFormat="1" x14ac:dyDescent="0.25">
      <c r="A87" s="839"/>
      <c r="B87" s="839" t="s">
        <v>29</v>
      </c>
      <c r="C87" s="838"/>
      <c r="D87" s="838"/>
      <c r="E87" s="838"/>
      <c r="F87" s="838"/>
      <c r="G87" s="854">
        <v>0</v>
      </c>
      <c r="H87" s="854">
        <v>0</v>
      </c>
      <c r="I87" s="854">
        <v>0</v>
      </c>
      <c r="J87" s="854">
        <v>0</v>
      </c>
      <c r="K87" s="854">
        <v>0</v>
      </c>
      <c r="L87" s="854">
        <v>0</v>
      </c>
      <c r="M87" s="854">
        <v>0</v>
      </c>
      <c r="N87" s="854">
        <v>0</v>
      </c>
      <c r="O87" s="854">
        <v>0</v>
      </c>
      <c r="P87" s="854">
        <v>0</v>
      </c>
      <c r="Q87" s="854">
        <v>0</v>
      </c>
      <c r="R87" s="854">
        <v>0</v>
      </c>
      <c r="S87" s="854">
        <v>0</v>
      </c>
      <c r="T87" s="854">
        <v>0</v>
      </c>
      <c r="U87" s="854">
        <v>0</v>
      </c>
      <c r="V87" s="854">
        <v>0</v>
      </c>
      <c r="W87" s="854">
        <v>0</v>
      </c>
      <c r="X87" s="854">
        <v>0</v>
      </c>
      <c r="Y87" s="854">
        <v>0</v>
      </c>
      <c r="Z87" s="854">
        <v>0</v>
      </c>
      <c r="AA87" s="854">
        <v>0</v>
      </c>
      <c r="AB87" s="854">
        <v>0</v>
      </c>
      <c r="AC87" s="854">
        <v>0</v>
      </c>
      <c r="AD87" s="854">
        <v>0</v>
      </c>
      <c r="AE87" s="854">
        <v>0</v>
      </c>
      <c r="AF87" s="854">
        <v>0</v>
      </c>
    </row>
    <row r="88" spans="1:32" s="864" customFormat="1" x14ac:dyDescent="0.25">
      <c r="A88" s="839"/>
      <c r="B88" s="839"/>
      <c r="C88" s="838"/>
      <c r="D88" s="838"/>
      <c r="E88" s="838"/>
      <c r="F88" s="838"/>
      <c r="G88" s="854" t="str">
        <v/>
      </c>
      <c r="H88" s="838" t="str">
        <v/>
      </c>
      <c r="I88" s="838" t="str">
        <v/>
      </c>
      <c r="J88" s="838" t="str">
        <v/>
      </c>
      <c r="K88" s="838" t="str">
        <v/>
      </c>
      <c r="L88" s="838" t="str">
        <v/>
      </c>
      <c r="M88" s="838" t="str">
        <v/>
      </c>
      <c r="N88" s="838" t="str">
        <v/>
      </c>
      <c r="O88" s="838" t="str">
        <v/>
      </c>
      <c r="P88" s="838" t="str">
        <v/>
      </c>
      <c r="Q88" s="838" t="str">
        <v/>
      </c>
      <c r="R88" s="838" t="str">
        <v/>
      </c>
      <c r="S88" s="838" t="str">
        <v/>
      </c>
      <c r="T88" s="838" t="str">
        <v/>
      </c>
      <c r="U88" s="838" t="str">
        <v/>
      </c>
      <c r="V88" s="838" t="str">
        <v/>
      </c>
      <c r="W88" s="838" t="str">
        <v/>
      </c>
      <c r="X88" s="838" t="str">
        <v/>
      </c>
      <c r="Y88" s="838" t="str">
        <v/>
      </c>
      <c r="Z88" s="838" t="str">
        <v/>
      </c>
      <c r="AA88" s="838" t="str">
        <v/>
      </c>
      <c r="AB88" s="838" t="str">
        <v/>
      </c>
      <c r="AC88" s="838" t="str">
        <v/>
      </c>
      <c r="AD88" s="838" t="str">
        <v/>
      </c>
      <c r="AE88" s="838" t="str">
        <v/>
      </c>
      <c r="AF88" s="838" t="str">
        <v/>
      </c>
    </row>
    <row r="89" spans="1:32" s="856" customFormat="1" ht="12.75" x14ac:dyDescent="0.2">
      <c r="A89" s="843" t="s">
        <v>32</v>
      </c>
      <c r="B89" s="843"/>
      <c r="C89" s="843"/>
      <c r="D89" s="843"/>
      <c r="E89" s="843"/>
      <c r="F89" s="843"/>
      <c r="G89" s="865" t="str">
        <v/>
      </c>
      <c r="H89" s="843" t="str">
        <v/>
      </c>
      <c r="I89" s="843" t="str">
        <v/>
      </c>
      <c r="J89" s="843" t="str">
        <v/>
      </c>
      <c r="K89" s="843" t="str">
        <v/>
      </c>
      <c r="L89" s="843" t="str">
        <v/>
      </c>
      <c r="M89" s="843" t="str">
        <v/>
      </c>
      <c r="N89" s="843" t="str">
        <v/>
      </c>
      <c r="O89" s="843" t="str">
        <v/>
      </c>
      <c r="P89" s="843" t="str">
        <v/>
      </c>
      <c r="Q89" s="843" t="str">
        <v/>
      </c>
      <c r="R89" s="843" t="str">
        <v/>
      </c>
      <c r="S89" s="843" t="str">
        <v/>
      </c>
      <c r="T89" s="843" t="str">
        <v/>
      </c>
      <c r="U89" s="843" t="str">
        <v/>
      </c>
      <c r="V89" s="843" t="str">
        <v/>
      </c>
      <c r="W89" s="843" t="str">
        <v/>
      </c>
      <c r="X89" s="843" t="str">
        <v/>
      </c>
      <c r="Y89" s="843" t="str">
        <v/>
      </c>
      <c r="Z89" s="843" t="str">
        <v/>
      </c>
      <c r="AA89" s="843" t="str">
        <v/>
      </c>
      <c r="AB89" s="843" t="str">
        <v/>
      </c>
      <c r="AC89" s="843" t="str">
        <v/>
      </c>
      <c r="AD89" s="843" t="str">
        <v/>
      </c>
      <c r="AE89" s="843" t="str">
        <v/>
      </c>
      <c r="AF89" s="843" t="str">
        <v/>
      </c>
    </row>
    <row r="90" spans="1:32" s="864" customFormat="1" x14ac:dyDescent="0.25">
      <c r="A90" s="839"/>
      <c r="B90" s="839" t="s">
        <v>33</v>
      </c>
      <c r="C90" s="838"/>
      <c r="D90" s="838"/>
      <c r="E90" s="838"/>
      <c r="F90" s="838"/>
      <c r="G90" s="854">
        <v>0</v>
      </c>
      <c r="H90" s="854">
        <v>0</v>
      </c>
      <c r="I90" s="854">
        <v>0</v>
      </c>
      <c r="J90" s="854">
        <v>0</v>
      </c>
      <c r="K90" s="854">
        <v>0</v>
      </c>
      <c r="L90" s="854">
        <v>0</v>
      </c>
      <c r="M90" s="854">
        <v>0</v>
      </c>
      <c r="N90" s="854">
        <v>0</v>
      </c>
      <c r="O90" s="854">
        <v>0</v>
      </c>
      <c r="P90" s="854">
        <v>0</v>
      </c>
      <c r="Q90" s="854">
        <v>0</v>
      </c>
      <c r="R90" s="854">
        <v>0</v>
      </c>
      <c r="S90" s="854">
        <v>0</v>
      </c>
      <c r="T90" s="854">
        <v>0</v>
      </c>
      <c r="U90" s="854">
        <v>0</v>
      </c>
      <c r="V90" s="854">
        <v>0</v>
      </c>
      <c r="W90" s="854">
        <v>0</v>
      </c>
      <c r="X90" s="854">
        <v>0</v>
      </c>
      <c r="Y90" s="854">
        <v>0</v>
      </c>
      <c r="Z90" s="854">
        <v>0</v>
      </c>
      <c r="AA90" s="854">
        <v>0</v>
      </c>
      <c r="AB90" s="854">
        <v>0</v>
      </c>
      <c r="AC90" s="854">
        <v>0</v>
      </c>
      <c r="AD90" s="854">
        <v>0</v>
      </c>
      <c r="AE90" s="854">
        <v>0</v>
      </c>
      <c r="AF90" s="854">
        <v>0</v>
      </c>
    </row>
    <row r="91" spans="1:32" s="864" customFormat="1" x14ac:dyDescent="0.25">
      <c r="A91" s="842"/>
      <c r="B91" s="842" t="s">
        <v>34</v>
      </c>
      <c r="C91" s="838"/>
      <c r="D91" s="838"/>
      <c r="E91" s="838"/>
      <c r="F91" s="838"/>
      <c r="G91" s="854">
        <v>0</v>
      </c>
      <c r="H91" s="854">
        <v>0</v>
      </c>
      <c r="I91" s="854">
        <v>0</v>
      </c>
      <c r="J91" s="854">
        <v>0</v>
      </c>
      <c r="K91" s="854">
        <v>0</v>
      </c>
      <c r="L91" s="854">
        <v>0</v>
      </c>
      <c r="M91" s="854">
        <v>0</v>
      </c>
      <c r="N91" s="854">
        <v>0</v>
      </c>
      <c r="O91" s="854">
        <v>0</v>
      </c>
      <c r="P91" s="854">
        <v>0</v>
      </c>
      <c r="Q91" s="854">
        <v>0</v>
      </c>
      <c r="R91" s="854">
        <v>0</v>
      </c>
      <c r="S91" s="854">
        <v>0</v>
      </c>
      <c r="T91" s="854">
        <v>0</v>
      </c>
      <c r="U91" s="854">
        <v>0</v>
      </c>
      <c r="V91" s="854">
        <v>0</v>
      </c>
      <c r="W91" s="854">
        <v>0</v>
      </c>
      <c r="X91" s="854">
        <v>0</v>
      </c>
      <c r="Y91" s="854">
        <v>0</v>
      </c>
      <c r="Z91" s="854">
        <v>0</v>
      </c>
      <c r="AA91" s="854">
        <v>0</v>
      </c>
      <c r="AB91" s="854">
        <v>0</v>
      </c>
      <c r="AC91" s="854">
        <v>0</v>
      </c>
      <c r="AD91" s="854">
        <v>0</v>
      </c>
      <c r="AE91" s="854">
        <v>0</v>
      </c>
      <c r="AF91" s="854">
        <v>0</v>
      </c>
    </row>
    <row r="92" spans="1:32" s="864" customFormat="1" x14ac:dyDescent="0.25">
      <c r="A92" s="839"/>
      <c r="B92" s="842" t="s">
        <v>35</v>
      </c>
      <c r="C92" s="838"/>
      <c r="D92" s="838"/>
      <c r="E92" s="838"/>
      <c r="F92" s="838"/>
      <c r="G92" s="854">
        <v>0</v>
      </c>
      <c r="H92" s="854">
        <v>0</v>
      </c>
      <c r="I92" s="854">
        <v>0</v>
      </c>
      <c r="J92" s="854">
        <v>0</v>
      </c>
      <c r="K92" s="854">
        <v>0</v>
      </c>
      <c r="L92" s="854">
        <v>0</v>
      </c>
      <c r="M92" s="854">
        <v>0</v>
      </c>
      <c r="N92" s="854">
        <v>0</v>
      </c>
      <c r="O92" s="854">
        <v>0</v>
      </c>
      <c r="P92" s="854">
        <v>0</v>
      </c>
      <c r="Q92" s="854">
        <v>0</v>
      </c>
      <c r="R92" s="854">
        <v>0</v>
      </c>
      <c r="S92" s="854">
        <v>0</v>
      </c>
      <c r="T92" s="854">
        <v>0</v>
      </c>
      <c r="U92" s="854">
        <v>0</v>
      </c>
      <c r="V92" s="854">
        <v>0</v>
      </c>
      <c r="W92" s="854">
        <v>0</v>
      </c>
      <c r="X92" s="854">
        <v>0</v>
      </c>
      <c r="Y92" s="854">
        <v>0</v>
      </c>
      <c r="Z92" s="854">
        <v>0</v>
      </c>
      <c r="AA92" s="854">
        <v>0</v>
      </c>
      <c r="AB92" s="854">
        <v>0</v>
      </c>
      <c r="AC92" s="854">
        <v>0</v>
      </c>
      <c r="AD92" s="854">
        <v>0</v>
      </c>
      <c r="AE92" s="854">
        <v>0</v>
      </c>
      <c r="AF92" s="854">
        <v>0</v>
      </c>
    </row>
    <row r="93" spans="1:32" s="864" customFormat="1" x14ac:dyDescent="0.25">
      <c r="A93" s="839"/>
      <c r="B93" s="842" t="s">
        <v>29</v>
      </c>
      <c r="C93" s="838"/>
      <c r="D93" s="838"/>
      <c r="E93" s="838"/>
      <c r="F93" s="838"/>
      <c r="G93" s="854">
        <v>0</v>
      </c>
      <c r="H93" s="854">
        <v>0</v>
      </c>
      <c r="I93" s="854">
        <v>0</v>
      </c>
      <c r="J93" s="854">
        <v>0</v>
      </c>
      <c r="K93" s="854">
        <v>0</v>
      </c>
      <c r="L93" s="854">
        <v>0</v>
      </c>
      <c r="M93" s="854">
        <v>0</v>
      </c>
      <c r="N93" s="854">
        <v>0</v>
      </c>
      <c r="O93" s="854">
        <v>0</v>
      </c>
      <c r="P93" s="854">
        <v>0</v>
      </c>
      <c r="Q93" s="854">
        <v>0</v>
      </c>
      <c r="R93" s="854">
        <v>0</v>
      </c>
      <c r="S93" s="854">
        <v>0</v>
      </c>
      <c r="T93" s="854">
        <v>0</v>
      </c>
      <c r="U93" s="854">
        <v>0</v>
      </c>
      <c r="V93" s="854">
        <v>0</v>
      </c>
      <c r="W93" s="854">
        <v>0</v>
      </c>
      <c r="X93" s="854">
        <v>0</v>
      </c>
      <c r="Y93" s="854">
        <v>0</v>
      </c>
      <c r="Z93" s="854">
        <v>0</v>
      </c>
      <c r="AA93" s="854">
        <v>0</v>
      </c>
      <c r="AB93" s="854">
        <v>0</v>
      </c>
      <c r="AC93" s="854">
        <v>0</v>
      </c>
      <c r="AD93" s="854">
        <v>0</v>
      </c>
      <c r="AE93" s="854">
        <v>0</v>
      </c>
      <c r="AF93" s="854">
        <v>0</v>
      </c>
    </row>
    <row r="94" spans="1:32" s="864" customFormat="1" x14ac:dyDescent="0.25">
      <c r="A94" s="839"/>
      <c r="B94" s="839"/>
      <c r="C94" s="838"/>
      <c r="D94" s="838"/>
      <c r="E94" s="838"/>
      <c r="F94" s="838"/>
      <c r="G94" s="854" t="str">
        <v/>
      </c>
      <c r="H94" s="838" t="str">
        <v/>
      </c>
      <c r="I94" s="838" t="str">
        <v/>
      </c>
      <c r="J94" s="838" t="str">
        <v/>
      </c>
      <c r="K94" s="838" t="str">
        <v/>
      </c>
      <c r="L94" s="838" t="str">
        <v/>
      </c>
      <c r="M94" s="838" t="str">
        <v/>
      </c>
      <c r="N94" s="838" t="str">
        <v/>
      </c>
      <c r="O94" s="838" t="str">
        <v/>
      </c>
      <c r="P94" s="838" t="str">
        <v/>
      </c>
      <c r="Q94" s="838" t="str">
        <v/>
      </c>
      <c r="R94" s="838" t="str">
        <v/>
      </c>
      <c r="S94" s="838" t="str">
        <v/>
      </c>
      <c r="T94" s="838" t="str">
        <v/>
      </c>
      <c r="U94" s="838" t="str">
        <v/>
      </c>
      <c r="V94" s="838" t="str">
        <v/>
      </c>
      <c r="W94" s="838" t="str">
        <v/>
      </c>
      <c r="X94" s="838" t="str">
        <v/>
      </c>
      <c r="Y94" s="838" t="str">
        <v/>
      </c>
      <c r="Z94" s="838" t="str">
        <v/>
      </c>
      <c r="AA94" s="838" t="str">
        <v/>
      </c>
      <c r="AB94" s="838" t="str">
        <v/>
      </c>
      <c r="AC94" s="838" t="str">
        <v/>
      </c>
      <c r="AD94" s="838" t="str">
        <v/>
      </c>
      <c r="AE94" s="838" t="str">
        <v/>
      </c>
      <c r="AF94" s="838" t="str">
        <v/>
      </c>
    </row>
    <row r="95" spans="1:32" s="856" customFormat="1" ht="12.75" x14ac:dyDescent="0.2">
      <c r="A95" s="843" t="s">
        <v>36</v>
      </c>
      <c r="B95" s="843"/>
      <c r="C95" s="843"/>
      <c r="D95" s="843"/>
      <c r="E95" s="843"/>
      <c r="F95" s="843"/>
      <c r="G95" s="865" t="str">
        <v/>
      </c>
      <c r="H95" s="843" t="str">
        <v/>
      </c>
      <c r="I95" s="843" t="str">
        <v/>
      </c>
      <c r="J95" s="843" t="str">
        <v/>
      </c>
      <c r="K95" s="843" t="str">
        <v/>
      </c>
      <c r="L95" s="843" t="str">
        <v/>
      </c>
      <c r="M95" s="843" t="str">
        <v/>
      </c>
      <c r="N95" s="843" t="str">
        <v/>
      </c>
      <c r="O95" s="843" t="str">
        <v/>
      </c>
      <c r="P95" s="843" t="str">
        <v/>
      </c>
      <c r="Q95" s="843" t="str">
        <v/>
      </c>
      <c r="R95" s="843" t="str">
        <v/>
      </c>
      <c r="S95" s="843" t="str">
        <v/>
      </c>
      <c r="T95" s="843" t="str">
        <v/>
      </c>
      <c r="U95" s="843" t="str">
        <v/>
      </c>
      <c r="V95" s="843" t="str">
        <v/>
      </c>
      <c r="W95" s="843" t="str">
        <v/>
      </c>
      <c r="X95" s="843" t="str">
        <v/>
      </c>
      <c r="Y95" s="843" t="str">
        <v/>
      </c>
      <c r="Z95" s="843" t="str">
        <v/>
      </c>
      <c r="AA95" s="843" t="str">
        <v/>
      </c>
      <c r="AB95" s="843" t="str">
        <v/>
      </c>
      <c r="AC95" s="843" t="str">
        <v/>
      </c>
      <c r="AD95" s="843" t="str">
        <v/>
      </c>
      <c r="AE95" s="843" t="str">
        <v/>
      </c>
      <c r="AF95" s="843" t="str">
        <v/>
      </c>
    </row>
    <row r="96" spans="1:32" s="864" customFormat="1" x14ac:dyDescent="0.25">
      <c r="A96" s="839"/>
      <c r="B96" s="839" t="s">
        <v>37</v>
      </c>
      <c r="C96" s="838"/>
      <c r="D96" s="838"/>
      <c r="E96" s="838"/>
      <c r="F96" s="855"/>
      <c r="G96" s="854">
        <v>0</v>
      </c>
      <c r="H96" s="854">
        <v>0</v>
      </c>
      <c r="I96" s="854">
        <v>0</v>
      </c>
      <c r="J96" s="854">
        <v>0</v>
      </c>
      <c r="K96" s="854">
        <v>0</v>
      </c>
      <c r="L96" s="854">
        <v>0</v>
      </c>
      <c r="M96" s="854">
        <v>0</v>
      </c>
      <c r="N96" s="854">
        <v>0</v>
      </c>
      <c r="O96" s="854">
        <v>0</v>
      </c>
      <c r="P96" s="854">
        <v>0</v>
      </c>
      <c r="Q96" s="854">
        <v>0</v>
      </c>
      <c r="R96" s="854">
        <v>0</v>
      </c>
      <c r="S96" s="854">
        <v>0</v>
      </c>
      <c r="T96" s="854">
        <v>0</v>
      </c>
      <c r="U96" s="854">
        <v>0</v>
      </c>
      <c r="V96" s="854">
        <v>0</v>
      </c>
      <c r="W96" s="854">
        <v>0</v>
      </c>
      <c r="X96" s="854">
        <v>0</v>
      </c>
      <c r="Y96" s="854">
        <v>0</v>
      </c>
      <c r="Z96" s="854">
        <v>0</v>
      </c>
      <c r="AA96" s="854">
        <v>0</v>
      </c>
      <c r="AB96" s="854">
        <v>0</v>
      </c>
      <c r="AC96" s="854">
        <v>0</v>
      </c>
      <c r="AD96" s="854">
        <v>0</v>
      </c>
      <c r="AE96" s="854">
        <v>0</v>
      </c>
      <c r="AF96" s="854">
        <v>0</v>
      </c>
    </row>
    <row r="97" spans="1:32" s="864" customFormat="1" x14ac:dyDescent="0.25">
      <c r="A97" s="839"/>
      <c r="B97" s="839" t="s">
        <v>39</v>
      </c>
      <c r="C97" s="838"/>
      <c r="D97" s="838"/>
      <c r="E97" s="857"/>
      <c r="F97" s="838"/>
      <c r="G97" s="854">
        <v>0</v>
      </c>
      <c r="H97" s="854">
        <v>0</v>
      </c>
      <c r="I97" s="854">
        <v>0</v>
      </c>
      <c r="J97" s="854">
        <v>0</v>
      </c>
      <c r="K97" s="854">
        <v>0</v>
      </c>
      <c r="L97" s="854">
        <v>0</v>
      </c>
      <c r="M97" s="854">
        <v>0</v>
      </c>
      <c r="N97" s="854">
        <v>0</v>
      </c>
      <c r="O97" s="854">
        <v>0</v>
      </c>
      <c r="P97" s="854">
        <v>0</v>
      </c>
      <c r="Q97" s="854">
        <v>0</v>
      </c>
      <c r="R97" s="854">
        <v>0</v>
      </c>
      <c r="S97" s="854">
        <v>0</v>
      </c>
      <c r="T97" s="854">
        <v>0</v>
      </c>
      <c r="U97" s="854">
        <v>0</v>
      </c>
      <c r="V97" s="854">
        <v>0</v>
      </c>
      <c r="W97" s="854">
        <v>0</v>
      </c>
      <c r="X97" s="854">
        <v>0</v>
      </c>
      <c r="Y97" s="854">
        <v>0</v>
      </c>
      <c r="Z97" s="854">
        <v>0</v>
      </c>
      <c r="AA97" s="854">
        <v>0</v>
      </c>
      <c r="AB97" s="854">
        <v>0</v>
      </c>
      <c r="AC97" s="854">
        <v>0</v>
      </c>
      <c r="AD97" s="854">
        <v>0</v>
      </c>
      <c r="AE97" s="854">
        <v>0</v>
      </c>
      <c r="AF97" s="854">
        <v>0</v>
      </c>
    </row>
    <row r="98" spans="1:32" s="864" customFormat="1" x14ac:dyDescent="0.25">
      <c r="A98" s="839"/>
      <c r="B98" s="839" t="s">
        <v>40</v>
      </c>
      <c r="C98" s="838"/>
      <c r="D98" s="838"/>
      <c r="E98" s="838"/>
      <c r="F98" s="838"/>
      <c r="G98" s="854">
        <v>0</v>
      </c>
      <c r="H98" s="854">
        <v>0</v>
      </c>
      <c r="I98" s="854">
        <v>0</v>
      </c>
      <c r="J98" s="854">
        <v>0</v>
      </c>
      <c r="K98" s="854">
        <v>0</v>
      </c>
      <c r="L98" s="854">
        <v>0</v>
      </c>
      <c r="M98" s="854">
        <v>0</v>
      </c>
      <c r="N98" s="854">
        <v>0</v>
      </c>
      <c r="O98" s="854">
        <v>0</v>
      </c>
      <c r="P98" s="854">
        <v>0</v>
      </c>
      <c r="Q98" s="854">
        <v>0</v>
      </c>
      <c r="R98" s="854">
        <v>0</v>
      </c>
      <c r="S98" s="854">
        <v>0</v>
      </c>
      <c r="T98" s="854">
        <v>0</v>
      </c>
      <c r="U98" s="854">
        <v>0</v>
      </c>
      <c r="V98" s="854">
        <v>0</v>
      </c>
      <c r="W98" s="854">
        <v>0</v>
      </c>
      <c r="X98" s="854">
        <v>0</v>
      </c>
      <c r="Y98" s="854">
        <v>0</v>
      </c>
      <c r="Z98" s="854">
        <v>0</v>
      </c>
      <c r="AA98" s="854">
        <v>0</v>
      </c>
      <c r="AB98" s="854">
        <v>0</v>
      </c>
      <c r="AC98" s="854">
        <v>0</v>
      </c>
      <c r="AD98" s="854">
        <v>0</v>
      </c>
      <c r="AE98" s="854">
        <v>0</v>
      </c>
      <c r="AF98" s="854">
        <v>0</v>
      </c>
    </row>
    <row r="99" spans="1:32" s="864" customFormat="1" x14ac:dyDescent="0.25">
      <c r="A99" s="839"/>
      <c r="B99" s="839" t="s">
        <v>29</v>
      </c>
      <c r="C99" s="838"/>
      <c r="D99" s="838"/>
      <c r="E99" s="838"/>
      <c r="F99" s="838"/>
      <c r="G99" s="854">
        <v>0</v>
      </c>
      <c r="H99" s="854">
        <v>0</v>
      </c>
      <c r="I99" s="854">
        <v>0</v>
      </c>
      <c r="J99" s="854">
        <v>0</v>
      </c>
      <c r="K99" s="854">
        <v>0</v>
      </c>
      <c r="L99" s="854">
        <v>0</v>
      </c>
      <c r="M99" s="854">
        <v>0</v>
      </c>
      <c r="N99" s="854">
        <v>0</v>
      </c>
      <c r="O99" s="854">
        <v>0</v>
      </c>
      <c r="P99" s="854">
        <v>0</v>
      </c>
      <c r="Q99" s="854">
        <v>0</v>
      </c>
      <c r="R99" s="854">
        <v>0</v>
      </c>
      <c r="S99" s="854">
        <v>0</v>
      </c>
      <c r="T99" s="854">
        <v>0</v>
      </c>
      <c r="U99" s="854">
        <v>0</v>
      </c>
      <c r="V99" s="854">
        <v>0</v>
      </c>
      <c r="W99" s="854">
        <v>0</v>
      </c>
      <c r="X99" s="854">
        <v>0</v>
      </c>
      <c r="Y99" s="854">
        <v>0</v>
      </c>
      <c r="Z99" s="854">
        <v>0</v>
      </c>
      <c r="AA99" s="854">
        <v>0</v>
      </c>
      <c r="AB99" s="854">
        <v>0</v>
      </c>
      <c r="AC99" s="854">
        <v>0</v>
      </c>
      <c r="AD99" s="854">
        <v>0</v>
      </c>
      <c r="AE99" s="854">
        <v>0</v>
      </c>
      <c r="AF99" s="854">
        <v>0</v>
      </c>
    </row>
    <row r="100" spans="1:32" s="864" customFormat="1" x14ac:dyDescent="0.25">
      <c r="A100" s="839"/>
      <c r="B100" s="839"/>
      <c r="C100" s="838"/>
      <c r="D100" s="838"/>
      <c r="E100" s="838"/>
      <c r="F100" s="838"/>
      <c r="G100" s="854" t="str">
        <v/>
      </c>
      <c r="H100" s="838" t="str">
        <v/>
      </c>
      <c r="I100" s="838" t="str">
        <v/>
      </c>
      <c r="J100" s="838" t="str">
        <v/>
      </c>
      <c r="K100" s="838" t="str">
        <v/>
      </c>
      <c r="L100" s="838" t="str">
        <v/>
      </c>
      <c r="M100" s="838" t="str">
        <v/>
      </c>
      <c r="N100" s="838" t="str">
        <v/>
      </c>
      <c r="O100" s="838" t="str">
        <v/>
      </c>
      <c r="P100" s="838" t="str">
        <v/>
      </c>
      <c r="Q100" s="838" t="str">
        <v/>
      </c>
      <c r="R100" s="838" t="str">
        <v/>
      </c>
      <c r="S100" s="838" t="str">
        <v/>
      </c>
      <c r="T100" s="838" t="str">
        <v/>
      </c>
      <c r="U100" s="838" t="str">
        <v/>
      </c>
      <c r="V100" s="838" t="str">
        <v/>
      </c>
      <c r="W100" s="838" t="str">
        <v/>
      </c>
      <c r="X100" s="838" t="str">
        <v/>
      </c>
      <c r="Y100" s="838" t="str">
        <v/>
      </c>
      <c r="Z100" s="838" t="str">
        <v/>
      </c>
      <c r="AA100" s="838" t="str">
        <v/>
      </c>
      <c r="AB100" s="838" t="str">
        <v/>
      </c>
      <c r="AC100" s="838" t="str">
        <v/>
      </c>
      <c r="AD100" s="838" t="str">
        <v/>
      </c>
      <c r="AE100" s="838" t="str">
        <v/>
      </c>
      <c r="AF100" s="838" t="str">
        <v/>
      </c>
    </row>
    <row r="101" spans="1:32" s="856" customFormat="1" ht="12.75" x14ac:dyDescent="0.2">
      <c r="A101" s="843" t="s">
        <v>42</v>
      </c>
      <c r="B101" s="843"/>
      <c r="C101" s="843"/>
      <c r="D101" s="843"/>
      <c r="E101" s="843"/>
      <c r="F101" s="843"/>
      <c r="G101" s="865" t="str">
        <v/>
      </c>
      <c r="H101" s="843" t="str">
        <v/>
      </c>
      <c r="I101" s="843" t="str">
        <v/>
      </c>
      <c r="J101" s="843" t="str">
        <v/>
      </c>
      <c r="K101" s="843" t="str">
        <v/>
      </c>
      <c r="L101" s="843" t="str">
        <v/>
      </c>
      <c r="M101" s="843" t="str">
        <v/>
      </c>
      <c r="N101" s="843" t="str">
        <v/>
      </c>
      <c r="O101" s="843" t="str">
        <v/>
      </c>
      <c r="P101" s="843" t="str">
        <v/>
      </c>
      <c r="Q101" s="843" t="str">
        <v/>
      </c>
      <c r="R101" s="843" t="str">
        <v/>
      </c>
      <c r="S101" s="843" t="str">
        <v/>
      </c>
      <c r="T101" s="843" t="str">
        <v/>
      </c>
      <c r="U101" s="843" t="str">
        <v/>
      </c>
      <c r="V101" s="843" t="str">
        <v/>
      </c>
      <c r="W101" s="843" t="str">
        <v/>
      </c>
      <c r="X101" s="843" t="str">
        <v/>
      </c>
      <c r="Y101" s="843" t="str">
        <v/>
      </c>
      <c r="Z101" s="843" t="str">
        <v/>
      </c>
      <c r="AA101" s="843" t="str">
        <v/>
      </c>
      <c r="AB101" s="843" t="str">
        <v/>
      </c>
      <c r="AC101" s="843" t="str">
        <v/>
      </c>
      <c r="AD101" s="843" t="str">
        <v/>
      </c>
      <c r="AE101" s="843" t="str">
        <v/>
      </c>
      <c r="AF101" s="843" t="str">
        <v/>
      </c>
    </row>
    <row r="102" spans="1:32" s="864" customFormat="1" x14ac:dyDescent="0.25">
      <c r="A102" s="839"/>
      <c r="B102" s="842" t="s">
        <v>43</v>
      </c>
      <c r="C102" s="838"/>
      <c r="D102" s="838"/>
      <c r="E102" s="838"/>
      <c r="F102" s="838"/>
      <c r="G102" s="854">
        <v>0</v>
      </c>
      <c r="H102" s="854">
        <v>0</v>
      </c>
      <c r="I102" s="854">
        <v>0</v>
      </c>
      <c r="J102" s="854">
        <v>0</v>
      </c>
      <c r="K102" s="854">
        <v>0</v>
      </c>
      <c r="L102" s="854">
        <v>0</v>
      </c>
      <c r="M102" s="854">
        <v>0</v>
      </c>
      <c r="N102" s="854">
        <v>0</v>
      </c>
      <c r="O102" s="854">
        <v>0</v>
      </c>
      <c r="P102" s="854">
        <v>0</v>
      </c>
      <c r="Q102" s="854">
        <v>0</v>
      </c>
      <c r="R102" s="854">
        <v>0</v>
      </c>
      <c r="S102" s="854">
        <v>0</v>
      </c>
      <c r="T102" s="854">
        <v>0</v>
      </c>
      <c r="U102" s="854">
        <v>0</v>
      </c>
      <c r="V102" s="854">
        <v>0</v>
      </c>
      <c r="W102" s="854">
        <v>0</v>
      </c>
      <c r="X102" s="854">
        <v>0</v>
      </c>
      <c r="Y102" s="854">
        <v>0</v>
      </c>
      <c r="Z102" s="854">
        <v>0</v>
      </c>
      <c r="AA102" s="854">
        <v>0</v>
      </c>
      <c r="AB102" s="854">
        <v>0</v>
      </c>
      <c r="AC102" s="854">
        <v>0</v>
      </c>
      <c r="AD102" s="854">
        <v>0</v>
      </c>
      <c r="AE102" s="854">
        <v>0</v>
      </c>
      <c r="AF102" s="854">
        <v>0</v>
      </c>
    </row>
    <row r="103" spans="1:32" s="864" customFormat="1" x14ac:dyDescent="0.25">
      <c r="A103" s="839"/>
      <c r="B103" s="842" t="s">
        <v>44</v>
      </c>
      <c r="C103" s="838"/>
      <c r="D103" s="838"/>
      <c r="E103" s="838"/>
      <c r="F103" s="838"/>
      <c r="G103" s="854">
        <v>0</v>
      </c>
      <c r="H103" s="854">
        <v>0</v>
      </c>
      <c r="I103" s="854">
        <v>0</v>
      </c>
      <c r="J103" s="854">
        <v>0</v>
      </c>
      <c r="K103" s="854">
        <v>0</v>
      </c>
      <c r="L103" s="854">
        <v>0</v>
      </c>
      <c r="M103" s="854">
        <v>0</v>
      </c>
      <c r="N103" s="854">
        <v>0</v>
      </c>
      <c r="O103" s="854">
        <v>0</v>
      </c>
      <c r="P103" s="854">
        <v>0</v>
      </c>
      <c r="Q103" s="854">
        <v>0</v>
      </c>
      <c r="R103" s="854">
        <v>0</v>
      </c>
      <c r="S103" s="854">
        <v>0</v>
      </c>
      <c r="T103" s="854">
        <v>0</v>
      </c>
      <c r="U103" s="854">
        <v>0</v>
      </c>
      <c r="V103" s="854">
        <v>0</v>
      </c>
      <c r="W103" s="854">
        <v>0</v>
      </c>
      <c r="X103" s="854">
        <v>0</v>
      </c>
      <c r="Y103" s="854">
        <v>0</v>
      </c>
      <c r="Z103" s="854">
        <v>0</v>
      </c>
      <c r="AA103" s="854">
        <v>0</v>
      </c>
      <c r="AB103" s="854">
        <v>0</v>
      </c>
      <c r="AC103" s="854">
        <v>0</v>
      </c>
      <c r="AD103" s="854">
        <v>0</v>
      </c>
      <c r="AE103" s="854">
        <v>0</v>
      </c>
      <c r="AF103" s="854">
        <v>0</v>
      </c>
    </row>
    <row r="104" spans="1:32" s="864" customFormat="1" x14ac:dyDescent="0.25">
      <c r="A104" s="839"/>
      <c r="B104" s="842" t="s">
        <v>45</v>
      </c>
      <c r="C104" s="838"/>
      <c r="D104" s="838"/>
      <c r="E104" s="838"/>
      <c r="F104" s="838"/>
      <c r="G104" s="854">
        <v>0</v>
      </c>
      <c r="H104" s="854">
        <v>0</v>
      </c>
      <c r="I104" s="854">
        <v>0</v>
      </c>
      <c r="J104" s="854">
        <v>0</v>
      </c>
      <c r="K104" s="854">
        <v>0</v>
      </c>
      <c r="L104" s="854">
        <v>0</v>
      </c>
      <c r="M104" s="854">
        <v>0</v>
      </c>
      <c r="N104" s="854">
        <v>0</v>
      </c>
      <c r="O104" s="854">
        <v>0</v>
      </c>
      <c r="P104" s="854">
        <v>0</v>
      </c>
      <c r="Q104" s="854">
        <v>0</v>
      </c>
      <c r="R104" s="854">
        <v>0</v>
      </c>
      <c r="S104" s="854">
        <v>0</v>
      </c>
      <c r="T104" s="854">
        <v>0</v>
      </c>
      <c r="U104" s="854">
        <v>0</v>
      </c>
      <c r="V104" s="854">
        <v>0</v>
      </c>
      <c r="W104" s="854">
        <v>0</v>
      </c>
      <c r="X104" s="854">
        <v>0</v>
      </c>
      <c r="Y104" s="854">
        <v>0</v>
      </c>
      <c r="Z104" s="854">
        <v>0</v>
      </c>
      <c r="AA104" s="854">
        <v>0</v>
      </c>
      <c r="AB104" s="854">
        <v>0</v>
      </c>
      <c r="AC104" s="854">
        <v>0</v>
      </c>
      <c r="AD104" s="854">
        <v>0</v>
      </c>
      <c r="AE104" s="854">
        <v>0</v>
      </c>
      <c r="AF104" s="854">
        <v>0</v>
      </c>
    </row>
    <row r="105" spans="1:32" s="864" customFormat="1" x14ac:dyDescent="0.25">
      <c r="A105" s="839"/>
      <c r="B105" s="842" t="s">
        <v>46</v>
      </c>
      <c r="C105" s="838"/>
      <c r="D105" s="838"/>
      <c r="E105" s="838"/>
      <c r="F105" s="838"/>
      <c r="G105" s="854">
        <v>0</v>
      </c>
      <c r="H105" s="854">
        <v>0</v>
      </c>
      <c r="I105" s="854">
        <v>0</v>
      </c>
      <c r="J105" s="854">
        <v>0</v>
      </c>
      <c r="K105" s="854">
        <v>0</v>
      </c>
      <c r="L105" s="854">
        <v>0</v>
      </c>
      <c r="M105" s="854">
        <v>0</v>
      </c>
      <c r="N105" s="854">
        <v>0</v>
      </c>
      <c r="O105" s="854">
        <v>0</v>
      </c>
      <c r="P105" s="854">
        <v>0</v>
      </c>
      <c r="Q105" s="854">
        <v>0</v>
      </c>
      <c r="R105" s="854">
        <v>0</v>
      </c>
      <c r="S105" s="854">
        <v>0</v>
      </c>
      <c r="T105" s="854">
        <v>0</v>
      </c>
      <c r="U105" s="854">
        <v>0</v>
      </c>
      <c r="V105" s="854">
        <v>0</v>
      </c>
      <c r="W105" s="854">
        <v>0</v>
      </c>
      <c r="X105" s="854">
        <v>0</v>
      </c>
      <c r="Y105" s="854">
        <v>0</v>
      </c>
      <c r="Z105" s="854">
        <v>0</v>
      </c>
      <c r="AA105" s="854">
        <v>0</v>
      </c>
      <c r="AB105" s="854">
        <v>0</v>
      </c>
      <c r="AC105" s="854">
        <v>0</v>
      </c>
      <c r="AD105" s="854">
        <v>0</v>
      </c>
      <c r="AE105" s="854">
        <v>0</v>
      </c>
      <c r="AF105" s="854">
        <v>0</v>
      </c>
    </row>
    <row r="106" spans="1:32" s="864" customFormat="1" x14ac:dyDescent="0.25">
      <c r="A106" s="839"/>
      <c r="B106" s="839" t="s">
        <v>29</v>
      </c>
      <c r="C106" s="838"/>
      <c r="D106" s="838"/>
      <c r="E106" s="838"/>
      <c r="F106" s="838"/>
      <c r="G106" s="854">
        <v>0</v>
      </c>
      <c r="H106" s="854">
        <v>0</v>
      </c>
      <c r="I106" s="854">
        <v>0</v>
      </c>
      <c r="J106" s="854">
        <v>0</v>
      </c>
      <c r="K106" s="854">
        <v>0</v>
      </c>
      <c r="L106" s="854">
        <v>0</v>
      </c>
      <c r="M106" s="854">
        <v>0</v>
      </c>
      <c r="N106" s="854">
        <v>0</v>
      </c>
      <c r="O106" s="854">
        <v>0</v>
      </c>
      <c r="P106" s="854">
        <v>0</v>
      </c>
      <c r="Q106" s="854">
        <v>0</v>
      </c>
      <c r="R106" s="854">
        <v>0</v>
      </c>
      <c r="S106" s="854">
        <v>0</v>
      </c>
      <c r="T106" s="854">
        <v>0</v>
      </c>
      <c r="U106" s="854">
        <v>0</v>
      </c>
      <c r="V106" s="854">
        <v>0</v>
      </c>
      <c r="W106" s="854">
        <v>0</v>
      </c>
      <c r="X106" s="854">
        <v>0</v>
      </c>
      <c r="Y106" s="854">
        <v>0</v>
      </c>
      <c r="Z106" s="854">
        <v>0</v>
      </c>
      <c r="AA106" s="854">
        <v>0</v>
      </c>
      <c r="AB106" s="854">
        <v>0</v>
      </c>
      <c r="AC106" s="854">
        <v>0</v>
      </c>
      <c r="AD106" s="854">
        <v>0</v>
      </c>
      <c r="AE106" s="854">
        <v>0</v>
      </c>
      <c r="AF106" s="854">
        <v>0</v>
      </c>
    </row>
    <row r="107" spans="1:32" s="864" customFormat="1" x14ac:dyDescent="0.25">
      <c r="A107" s="839"/>
      <c r="B107" s="839"/>
      <c r="C107" s="838"/>
      <c r="D107" s="838"/>
      <c r="E107" s="838"/>
      <c r="F107" s="838"/>
      <c r="G107" s="854" t="str">
        <v/>
      </c>
      <c r="H107" s="838" t="str">
        <v/>
      </c>
      <c r="I107" s="838" t="str">
        <v/>
      </c>
      <c r="J107" s="838" t="str">
        <v/>
      </c>
      <c r="K107" s="838" t="str">
        <v/>
      </c>
      <c r="L107" s="838" t="str">
        <v/>
      </c>
      <c r="M107" s="838" t="str">
        <v/>
      </c>
      <c r="N107" s="838" t="str">
        <v/>
      </c>
      <c r="O107" s="838" t="str">
        <v/>
      </c>
      <c r="P107" s="838" t="str">
        <v/>
      </c>
      <c r="Q107" s="838" t="str">
        <v/>
      </c>
      <c r="R107" s="838" t="str">
        <v/>
      </c>
      <c r="S107" s="838" t="str">
        <v/>
      </c>
      <c r="T107" s="838" t="str">
        <v/>
      </c>
      <c r="U107" s="838" t="str">
        <v/>
      </c>
      <c r="V107" s="838" t="str">
        <v/>
      </c>
      <c r="W107" s="838" t="str">
        <v/>
      </c>
      <c r="X107" s="838" t="str">
        <v/>
      </c>
      <c r="Y107" s="838" t="str">
        <v/>
      </c>
      <c r="Z107" s="838" t="str">
        <v/>
      </c>
      <c r="AA107" s="838" t="str">
        <v/>
      </c>
      <c r="AB107" s="838" t="str">
        <v/>
      </c>
      <c r="AC107" s="838" t="str">
        <v/>
      </c>
      <c r="AD107" s="838" t="str">
        <v/>
      </c>
      <c r="AE107" s="838" t="str">
        <v/>
      </c>
      <c r="AF107" s="838" t="str">
        <v/>
      </c>
    </row>
    <row r="108" spans="1:32" s="856" customFormat="1" ht="12.75" x14ac:dyDescent="0.2">
      <c r="A108" s="843" t="s">
        <v>47</v>
      </c>
      <c r="B108" s="843"/>
      <c r="C108" s="843"/>
      <c r="D108" s="843"/>
      <c r="E108" s="843"/>
      <c r="F108" s="843"/>
      <c r="G108" s="865" t="str">
        <v/>
      </c>
      <c r="H108" s="843" t="str">
        <v/>
      </c>
      <c r="I108" s="843" t="str">
        <v/>
      </c>
      <c r="J108" s="843" t="str">
        <v/>
      </c>
      <c r="K108" s="843" t="str">
        <v/>
      </c>
      <c r="L108" s="843" t="str">
        <v/>
      </c>
      <c r="M108" s="843" t="str">
        <v/>
      </c>
      <c r="N108" s="843" t="str">
        <v/>
      </c>
      <c r="O108" s="843" t="str">
        <v/>
      </c>
      <c r="P108" s="843" t="str">
        <v/>
      </c>
      <c r="Q108" s="843" t="str">
        <v/>
      </c>
      <c r="R108" s="843" t="str">
        <v/>
      </c>
      <c r="S108" s="843" t="str">
        <v/>
      </c>
      <c r="T108" s="843" t="str">
        <v/>
      </c>
      <c r="U108" s="843" t="str">
        <v/>
      </c>
      <c r="V108" s="843" t="str">
        <v/>
      </c>
      <c r="W108" s="843" t="str">
        <v/>
      </c>
      <c r="X108" s="843" t="str">
        <v/>
      </c>
      <c r="Y108" s="843" t="str">
        <v/>
      </c>
      <c r="Z108" s="843" t="str">
        <v/>
      </c>
      <c r="AA108" s="843" t="str">
        <v/>
      </c>
      <c r="AB108" s="843" t="str">
        <v/>
      </c>
      <c r="AC108" s="843" t="str">
        <v/>
      </c>
      <c r="AD108" s="843" t="str">
        <v/>
      </c>
      <c r="AE108" s="843" t="str">
        <v/>
      </c>
      <c r="AF108" s="843" t="str">
        <v/>
      </c>
    </row>
    <row r="109" spans="1:32" s="864" customFormat="1" x14ac:dyDescent="0.25">
      <c r="A109" s="839"/>
      <c r="B109" s="839" t="s">
        <v>48</v>
      </c>
      <c r="C109" s="838"/>
      <c r="D109" s="838"/>
      <c r="E109" s="838"/>
      <c r="F109" s="838"/>
      <c r="G109" s="854">
        <v>0</v>
      </c>
      <c r="H109" s="854">
        <v>0</v>
      </c>
      <c r="I109" s="854">
        <v>0</v>
      </c>
      <c r="J109" s="854">
        <v>0</v>
      </c>
      <c r="K109" s="854">
        <v>0</v>
      </c>
      <c r="L109" s="854">
        <v>0</v>
      </c>
      <c r="M109" s="854">
        <v>0</v>
      </c>
      <c r="N109" s="854">
        <v>0</v>
      </c>
      <c r="O109" s="854">
        <v>0</v>
      </c>
      <c r="P109" s="854">
        <v>0</v>
      </c>
      <c r="Q109" s="854">
        <v>0</v>
      </c>
      <c r="R109" s="854">
        <v>0</v>
      </c>
      <c r="S109" s="854">
        <v>0</v>
      </c>
      <c r="T109" s="854">
        <v>0</v>
      </c>
      <c r="U109" s="854">
        <v>0</v>
      </c>
      <c r="V109" s="854">
        <v>0</v>
      </c>
      <c r="W109" s="854">
        <v>0</v>
      </c>
      <c r="X109" s="854">
        <v>0</v>
      </c>
      <c r="Y109" s="854">
        <v>0</v>
      </c>
      <c r="Z109" s="854">
        <v>0</v>
      </c>
      <c r="AA109" s="854">
        <v>0</v>
      </c>
      <c r="AB109" s="854">
        <v>0</v>
      </c>
      <c r="AC109" s="854">
        <v>0</v>
      </c>
      <c r="AD109" s="854">
        <v>0</v>
      </c>
      <c r="AE109" s="854">
        <v>0</v>
      </c>
      <c r="AF109" s="854">
        <v>0</v>
      </c>
    </row>
    <row r="110" spans="1:32" s="864" customFormat="1" x14ac:dyDescent="0.25">
      <c r="A110" s="839"/>
      <c r="B110" s="842" t="s">
        <v>50</v>
      </c>
      <c r="C110" s="838"/>
      <c r="D110" s="838"/>
      <c r="E110" s="838"/>
      <c r="F110" s="838"/>
      <c r="G110" s="854">
        <v>0</v>
      </c>
      <c r="H110" s="854">
        <v>0</v>
      </c>
      <c r="I110" s="854">
        <v>0</v>
      </c>
      <c r="J110" s="854">
        <v>0</v>
      </c>
      <c r="K110" s="854">
        <v>0</v>
      </c>
      <c r="L110" s="854">
        <v>0</v>
      </c>
      <c r="M110" s="854">
        <v>0</v>
      </c>
      <c r="N110" s="854">
        <v>0</v>
      </c>
      <c r="O110" s="854">
        <v>0</v>
      </c>
      <c r="P110" s="854">
        <v>0</v>
      </c>
      <c r="Q110" s="854">
        <v>0</v>
      </c>
      <c r="R110" s="854">
        <v>0</v>
      </c>
      <c r="S110" s="854">
        <v>0</v>
      </c>
      <c r="T110" s="854">
        <v>0</v>
      </c>
      <c r="U110" s="854">
        <v>0</v>
      </c>
      <c r="V110" s="854">
        <v>0</v>
      </c>
      <c r="W110" s="854">
        <v>0</v>
      </c>
      <c r="X110" s="854">
        <v>0</v>
      </c>
      <c r="Y110" s="854">
        <v>0</v>
      </c>
      <c r="Z110" s="854">
        <v>0</v>
      </c>
      <c r="AA110" s="854">
        <v>0</v>
      </c>
      <c r="AB110" s="854">
        <v>0</v>
      </c>
      <c r="AC110" s="854">
        <v>0</v>
      </c>
      <c r="AD110" s="854">
        <v>0</v>
      </c>
      <c r="AE110" s="854">
        <v>0</v>
      </c>
      <c r="AF110" s="854">
        <v>0</v>
      </c>
    </row>
    <row r="111" spans="1:32" s="864" customFormat="1" x14ac:dyDescent="0.25">
      <c r="A111" s="839"/>
      <c r="B111" s="839" t="s">
        <v>51</v>
      </c>
      <c r="C111" s="838"/>
      <c r="D111" s="838"/>
      <c r="E111" s="838"/>
      <c r="F111" s="838"/>
      <c r="G111" s="854">
        <v>0</v>
      </c>
      <c r="H111" s="854">
        <v>0</v>
      </c>
      <c r="I111" s="854">
        <v>0</v>
      </c>
      <c r="J111" s="854">
        <v>0</v>
      </c>
      <c r="K111" s="854">
        <v>0</v>
      </c>
      <c r="L111" s="854">
        <v>0</v>
      </c>
      <c r="M111" s="854">
        <v>0</v>
      </c>
      <c r="N111" s="854">
        <v>0</v>
      </c>
      <c r="O111" s="854">
        <v>0</v>
      </c>
      <c r="P111" s="854">
        <v>0</v>
      </c>
      <c r="Q111" s="854">
        <v>0</v>
      </c>
      <c r="R111" s="854">
        <v>0</v>
      </c>
      <c r="S111" s="854">
        <v>0</v>
      </c>
      <c r="T111" s="854">
        <v>0</v>
      </c>
      <c r="U111" s="854">
        <v>0</v>
      </c>
      <c r="V111" s="854">
        <v>0</v>
      </c>
      <c r="W111" s="854">
        <v>0</v>
      </c>
      <c r="X111" s="854">
        <v>0</v>
      </c>
      <c r="Y111" s="854">
        <v>0</v>
      </c>
      <c r="Z111" s="854">
        <v>0</v>
      </c>
      <c r="AA111" s="854">
        <v>0</v>
      </c>
      <c r="AB111" s="854">
        <v>0</v>
      </c>
      <c r="AC111" s="854">
        <v>0</v>
      </c>
      <c r="AD111" s="854">
        <v>0</v>
      </c>
      <c r="AE111" s="854">
        <v>0</v>
      </c>
      <c r="AF111" s="854">
        <v>0</v>
      </c>
    </row>
    <row r="112" spans="1:32" s="864" customFormat="1" x14ac:dyDescent="0.25">
      <c r="A112" s="839"/>
      <c r="B112" s="839" t="s">
        <v>52</v>
      </c>
      <c r="C112" s="838"/>
      <c r="D112" s="838"/>
      <c r="E112" s="838"/>
      <c r="F112" s="838"/>
      <c r="G112" s="854">
        <v>0</v>
      </c>
      <c r="H112" s="854">
        <v>0</v>
      </c>
      <c r="I112" s="854">
        <v>0</v>
      </c>
      <c r="J112" s="854">
        <v>0</v>
      </c>
      <c r="K112" s="854">
        <v>0</v>
      </c>
      <c r="L112" s="854">
        <v>0</v>
      </c>
      <c r="M112" s="854">
        <v>0</v>
      </c>
      <c r="N112" s="854">
        <v>0</v>
      </c>
      <c r="O112" s="854">
        <v>0</v>
      </c>
      <c r="P112" s="854">
        <v>0</v>
      </c>
      <c r="Q112" s="854">
        <v>0</v>
      </c>
      <c r="R112" s="854">
        <v>0</v>
      </c>
      <c r="S112" s="854">
        <v>0</v>
      </c>
      <c r="T112" s="854">
        <v>0</v>
      </c>
      <c r="U112" s="854">
        <v>0</v>
      </c>
      <c r="V112" s="854">
        <v>0</v>
      </c>
      <c r="W112" s="854">
        <v>0</v>
      </c>
      <c r="X112" s="854">
        <v>0</v>
      </c>
      <c r="Y112" s="854">
        <v>0</v>
      </c>
      <c r="Z112" s="854">
        <v>0</v>
      </c>
      <c r="AA112" s="854">
        <v>0</v>
      </c>
      <c r="AB112" s="854">
        <v>0</v>
      </c>
      <c r="AC112" s="854">
        <v>0</v>
      </c>
      <c r="AD112" s="854">
        <v>0</v>
      </c>
      <c r="AE112" s="854">
        <v>0</v>
      </c>
      <c r="AF112" s="854">
        <v>0</v>
      </c>
    </row>
    <row r="113" spans="1:32" s="864" customFormat="1" x14ac:dyDescent="0.25">
      <c r="A113" s="839"/>
      <c r="B113" s="842" t="s">
        <v>29</v>
      </c>
      <c r="C113" s="838"/>
      <c r="D113" s="838"/>
      <c r="E113" s="838"/>
      <c r="F113" s="838"/>
      <c r="G113" s="854">
        <v>0</v>
      </c>
      <c r="H113" s="854">
        <v>0</v>
      </c>
      <c r="I113" s="854">
        <v>0</v>
      </c>
      <c r="J113" s="854">
        <v>0</v>
      </c>
      <c r="K113" s="854">
        <v>0</v>
      </c>
      <c r="L113" s="854">
        <v>0</v>
      </c>
      <c r="M113" s="854">
        <v>0</v>
      </c>
      <c r="N113" s="854">
        <v>0</v>
      </c>
      <c r="O113" s="854">
        <v>0</v>
      </c>
      <c r="P113" s="854">
        <v>0</v>
      </c>
      <c r="Q113" s="854">
        <v>0</v>
      </c>
      <c r="R113" s="854">
        <v>0</v>
      </c>
      <c r="S113" s="854">
        <v>0</v>
      </c>
      <c r="T113" s="854">
        <v>0</v>
      </c>
      <c r="U113" s="854">
        <v>0</v>
      </c>
      <c r="V113" s="854">
        <v>0</v>
      </c>
      <c r="W113" s="854">
        <v>0</v>
      </c>
      <c r="X113" s="854">
        <v>0</v>
      </c>
      <c r="Y113" s="854">
        <v>0</v>
      </c>
      <c r="Z113" s="854">
        <v>0</v>
      </c>
      <c r="AA113" s="854">
        <v>0</v>
      </c>
      <c r="AB113" s="854">
        <v>0</v>
      </c>
      <c r="AC113" s="854">
        <v>0</v>
      </c>
      <c r="AD113" s="854">
        <v>0</v>
      </c>
      <c r="AE113" s="854">
        <v>0</v>
      </c>
      <c r="AF113" s="854">
        <v>0</v>
      </c>
    </row>
    <row r="114" spans="1:32" s="864" customFormat="1" x14ac:dyDescent="0.25">
      <c r="A114" s="839"/>
      <c r="B114" s="842" t="s">
        <v>53</v>
      </c>
      <c r="C114" s="838"/>
      <c r="D114" s="838"/>
      <c r="E114" s="838"/>
      <c r="F114" s="838"/>
      <c r="G114" s="854">
        <v>0</v>
      </c>
      <c r="H114" s="854">
        <v>0</v>
      </c>
      <c r="I114" s="854">
        <v>0</v>
      </c>
      <c r="J114" s="854">
        <v>0</v>
      </c>
      <c r="K114" s="854">
        <v>0</v>
      </c>
      <c r="L114" s="854">
        <v>0</v>
      </c>
      <c r="M114" s="854">
        <v>0</v>
      </c>
      <c r="N114" s="854">
        <v>0</v>
      </c>
      <c r="O114" s="854">
        <v>0</v>
      </c>
      <c r="P114" s="854">
        <v>0</v>
      </c>
      <c r="Q114" s="854">
        <v>0</v>
      </c>
      <c r="R114" s="854">
        <v>0</v>
      </c>
      <c r="S114" s="854">
        <v>0</v>
      </c>
      <c r="T114" s="854">
        <v>0</v>
      </c>
      <c r="U114" s="854">
        <v>0</v>
      </c>
      <c r="V114" s="854">
        <v>0</v>
      </c>
      <c r="W114" s="854">
        <v>0</v>
      </c>
      <c r="X114" s="854">
        <v>0</v>
      </c>
      <c r="Y114" s="854">
        <v>0</v>
      </c>
      <c r="Z114" s="854">
        <v>0</v>
      </c>
      <c r="AA114" s="854">
        <v>0</v>
      </c>
      <c r="AB114" s="854">
        <v>0</v>
      </c>
      <c r="AC114" s="854">
        <v>0</v>
      </c>
      <c r="AD114" s="854">
        <v>0</v>
      </c>
      <c r="AE114" s="854">
        <v>0</v>
      </c>
      <c r="AF114" s="854">
        <v>0</v>
      </c>
    </row>
    <row r="115" spans="1:32" s="838" customFormat="1" x14ac:dyDescent="0.25">
      <c r="G115" s="838" t="str">
        <v/>
      </c>
      <c r="H115" s="838" t="str">
        <v/>
      </c>
      <c r="I115" s="838" t="str">
        <v/>
      </c>
      <c r="J115" s="838" t="str">
        <v/>
      </c>
      <c r="K115" s="838" t="str">
        <v/>
      </c>
      <c r="L115" s="838" t="str">
        <v/>
      </c>
      <c r="M115" s="838" t="str">
        <v/>
      </c>
      <c r="N115" s="838" t="str">
        <v/>
      </c>
      <c r="O115" s="838" t="str">
        <v/>
      </c>
      <c r="P115" s="838" t="str">
        <v/>
      </c>
      <c r="Q115" s="838" t="str">
        <v/>
      </c>
      <c r="R115" s="838" t="str">
        <v/>
      </c>
      <c r="S115" s="838" t="str">
        <v/>
      </c>
      <c r="T115" s="838" t="str">
        <v/>
      </c>
      <c r="U115" s="838" t="str">
        <v/>
      </c>
      <c r="V115" s="838" t="str">
        <v/>
      </c>
      <c r="W115" s="838" t="str">
        <v/>
      </c>
      <c r="X115" s="838" t="str">
        <v/>
      </c>
      <c r="Y115" s="838" t="str">
        <v/>
      </c>
      <c r="Z115" s="838" t="str">
        <v/>
      </c>
      <c r="AA115" s="838" t="str">
        <v/>
      </c>
      <c r="AB115" s="838" t="str">
        <v/>
      </c>
      <c r="AC115" s="838" t="str">
        <v/>
      </c>
      <c r="AD115" s="838" t="str">
        <v/>
      </c>
      <c r="AE115" s="838" t="str">
        <v/>
      </c>
      <c r="AF115" s="838" t="str">
        <v/>
      </c>
    </row>
    <row r="116" spans="1:32" s="838" customFormat="1" x14ac:dyDescent="0.25">
      <c r="G116" s="838" t="str">
        <v/>
      </c>
      <c r="H116" s="838" t="str">
        <v/>
      </c>
      <c r="I116" s="838" t="str">
        <v/>
      </c>
      <c r="J116" s="838" t="str">
        <v/>
      </c>
      <c r="K116" s="838" t="str">
        <v/>
      </c>
      <c r="L116" s="838" t="str">
        <v/>
      </c>
      <c r="M116" s="838" t="str">
        <v/>
      </c>
      <c r="N116" s="838" t="str">
        <v/>
      </c>
      <c r="O116" s="838" t="str">
        <v/>
      </c>
      <c r="P116" s="838" t="str">
        <v/>
      </c>
      <c r="Q116" s="838" t="str">
        <v/>
      </c>
      <c r="R116" s="838" t="str">
        <v/>
      </c>
      <c r="S116" s="838" t="str">
        <v/>
      </c>
      <c r="T116" s="838" t="str">
        <v/>
      </c>
      <c r="U116" s="838" t="str">
        <v/>
      </c>
      <c r="V116" s="838" t="str">
        <v/>
      </c>
      <c r="W116" s="838" t="str">
        <v/>
      </c>
      <c r="X116" s="838" t="str">
        <v/>
      </c>
      <c r="Y116" s="838" t="str">
        <v/>
      </c>
      <c r="Z116" s="838" t="str">
        <v/>
      </c>
      <c r="AA116" s="838" t="str">
        <v/>
      </c>
      <c r="AB116" s="838" t="str">
        <v/>
      </c>
      <c r="AC116" s="838" t="str">
        <v/>
      </c>
      <c r="AD116" s="838" t="str">
        <v/>
      </c>
      <c r="AE116" s="838" t="str">
        <v/>
      </c>
      <c r="AF116" s="838" t="str">
        <v/>
      </c>
    </row>
    <row r="117" spans="1:32" s="838" customFormat="1" x14ac:dyDescent="0.25">
      <c r="A117" s="860" t="s">
        <v>54</v>
      </c>
      <c r="B117" s="861"/>
      <c r="C117" s="860"/>
      <c r="D117" s="859"/>
      <c r="E117" s="859"/>
      <c r="F117" s="859"/>
      <c r="G117" s="859" t="str">
        <v/>
      </c>
      <c r="H117" s="862" t="str">
        <v/>
      </c>
      <c r="I117" s="862" t="str">
        <v/>
      </c>
      <c r="J117" s="862" t="str">
        <v/>
      </c>
      <c r="K117" s="862" t="str">
        <v/>
      </c>
      <c r="L117" s="862" t="str">
        <v/>
      </c>
      <c r="M117" s="862" t="str">
        <v/>
      </c>
      <c r="N117" s="862" t="str">
        <v/>
      </c>
      <c r="O117" s="862" t="str">
        <v/>
      </c>
      <c r="P117" s="862" t="str">
        <v/>
      </c>
      <c r="Q117" s="862" t="str">
        <v/>
      </c>
      <c r="R117" s="862" t="str">
        <v/>
      </c>
      <c r="S117" s="862" t="str">
        <v/>
      </c>
      <c r="T117" s="862" t="str">
        <v/>
      </c>
      <c r="U117" s="862" t="str">
        <v/>
      </c>
      <c r="V117" s="862" t="str">
        <v/>
      </c>
      <c r="W117" s="862" t="str">
        <v/>
      </c>
      <c r="X117" s="862" t="str">
        <v/>
      </c>
      <c r="Y117" s="862" t="str">
        <v/>
      </c>
      <c r="Z117" s="862" t="str">
        <v/>
      </c>
      <c r="AA117" s="862" t="str">
        <v/>
      </c>
      <c r="AB117" s="862" t="str">
        <v/>
      </c>
      <c r="AC117" s="862" t="str">
        <v/>
      </c>
      <c r="AD117" s="862" t="str">
        <v/>
      </c>
      <c r="AE117" s="862" t="str">
        <v/>
      </c>
      <c r="AF117" s="862" t="str">
        <v/>
      </c>
    </row>
    <row r="118" spans="1:32" s="838" customFormat="1" x14ac:dyDescent="0.25">
      <c r="A118" s="840" t="s">
        <v>12</v>
      </c>
      <c r="B118" s="839"/>
      <c r="G118" s="838" t="str">
        <v/>
      </c>
      <c r="H118" s="838" t="str">
        <v/>
      </c>
      <c r="I118" s="838" t="str">
        <v/>
      </c>
      <c r="J118" s="838" t="str">
        <v/>
      </c>
      <c r="K118" s="838" t="str">
        <v/>
      </c>
      <c r="L118" s="838" t="str">
        <v/>
      </c>
      <c r="M118" s="838" t="str">
        <v/>
      </c>
      <c r="N118" s="838" t="str">
        <v/>
      </c>
      <c r="O118" s="838" t="str">
        <v/>
      </c>
      <c r="P118" s="838" t="str">
        <v/>
      </c>
      <c r="Q118" s="838" t="str">
        <v/>
      </c>
      <c r="R118" s="838" t="str">
        <v/>
      </c>
      <c r="S118" s="838" t="str">
        <v/>
      </c>
      <c r="T118" s="838" t="str">
        <v/>
      </c>
      <c r="U118" s="838" t="str">
        <v/>
      </c>
      <c r="V118" s="838" t="str">
        <v/>
      </c>
      <c r="W118" s="838" t="str">
        <v/>
      </c>
      <c r="X118" s="838" t="str">
        <v/>
      </c>
      <c r="Y118" s="838" t="str">
        <v/>
      </c>
      <c r="Z118" s="838" t="str">
        <v/>
      </c>
      <c r="AA118" s="838" t="str">
        <v/>
      </c>
      <c r="AB118" s="838" t="str">
        <v/>
      </c>
      <c r="AC118" s="838" t="str">
        <v/>
      </c>
      <c r="AD118" s="838" t="str">
        <v/>
      </c>
      <c r="AE118" s="838" t="str">
        <v/>
      </c>
      <c r="AF118" s="838" t="str">
        <v/>
      </c>
    </row>
    <row r="119" spans="1:32" s="838" customFormat="1" x14ac:dyDescent="0.25">
      <c r="A119" s="839"/>
      <c r="B119" s="839" t="s">
        <v>20</v>
      </c>
      <c r="G119" s="838" t="str">
        <v/>
      </c>
      <c r="H119" s="838" t="str">
        <v/>
      </c>
      <c r="I119" s="838" t="str">
        <v/>
      </c>
      <c r="J119" s="838" t="str">
        <v/>
      </c>
      <c r="K119" s="838" t="str">
        <v/>
      </c>
      <c r="L119" s="838" t="str">
        <v/>
      </c>
      <c r="M119" s="838" t="str">
        <v/>
      </c>
      <c r="N119" s="838" t="str">
        <v/>
      </c>
      <c r="O119" s="838" t="str">
        <v/>
      </c>
      <c r="P119" s="838" t="str">
        <v/>
      </c>
      <c r="Q119" s="838" t="str">
        <v/>
      </c>
      <c r="R119" s="838" t="str">
        <v/>
      </c>
      <c r="S119" s="838" t="str">
        <v/>
      </c>
      <c r="T119" s="838" t="str">
        <v/>
      </c>
      <c r="U119" s="838" t="str">
        <v/>
      </c>
      <c r="V119" s="838" t="str">
        <v/>
      </c>
      <c r="W119" s="838" t="str">
        <v/>
      </c>
      <c r="X119" s="838" t="str">
        <v/>
      </c>
      <c r="Y119" s="838" t="str">
        <v/>
      </c>
      <c r="Z119" s="838" t="str">
        <v/>
      </c>
      <c r="AA119" s="838" t="str">
        <v/>
      </c>
      <c r="AB119" s="838" t="str">
        <v/>
      </c>
      <c r="AC119" s="838" t="str">
        <v/>
      </c>
      <c r="AD119" s="838" t="str">
        <v/>
      </c>
      <c r="AE119" s="838" t="str">
        <v/>
      </c>
      <c r="AF119" s="838" t="str">
        <v/>
      </c>
    </row>
    <row r="120" spans="1:32" s="856" customFormat="1" ht="12.75" x14ac:dyDescent="0.2">
      <c r="A120" s="843" t="s">
        <v>21</v>
      </c>
      <c r="B120" s="843"/>
      <c r="C120" s="843"/>
      <c r="D120" s="843"/>
      <c r="E120" s="843"/>
      <c r="F120" s="843"/>
      <c r="G120" s="843" t="str">
        <v/>
      </c>
      <c r="H120" s="843" t="str">
        <v/>
      </c>
      <c r="I120" s="843" t="str">
        <v/>
      </c>
      <c r="J120" s="843" t="str">
        <v/>
      </c>
      <c r="K120" s="843" t="str">
        <v/>
      </c>
      <c r="L120" s="843" t="str">
        <v/>
      </c>
      <c r="M120" s="843" t="str">
        <v/>
      </c>
      <c r="N120" s="843" t="str">
        <v/>
      </c>
      <c r="O120" s="843" t="str">
        <v/>
      </c>
      <c r="P120" s="843" t="str">
        <v/>
      </c>
      <c r="Q120" s="843" t="str">
        <v/>
      </c>
      <c r="R120" s="843" t="str">
        <v/>
      </c>
      <c r="S120" s="843" t="str">
        <v/>
      </c>
      <c r="T120" s="843" t="str">
        <v/>
      </c>
      <c r="U120" s="843" t="str">
        <v/>
      </c>
      <c r="V120" s="843" t="str">
        <v/>
      </c>
      <c r="W120" s="843" t="str">
        <v/>
      </c>
      <c r="X120" s="843" t="str">
        <v/>
      </c>
      <c r="Y120" s="843" t="str">
        <v/>
      </c>
      <c r="Z120" s="843" t="str">
        <v/>
      </c>
      <c r="AA120" s="843" t="str">
        <v/>
      </c>
      <c r="AB120" s="843" t="str">
        <v/>
      </c>
      <c r="AC120" s="843" t="str">
        <v/>
      </c>
      <c r="AD120" s="843" t="str">
        <v/>
      </c>
      <c r="AE120" s="843" t="str">
        <v/>
      </c>
      <c r="AF120" s="843" t="str">
        <v/>
      </c>
    </row>
    <row r="121" spans="1:32" s="864" customFormat="1" x14ac:dyDescent="0.25">
      <c r="A121" s="839"/>
      <c r="B121" s="839" t="s">
        <v>22</v>
      </c>
      <c r="C121" s="838"/>
      <c r="D121" s="838"/>
      <c r="E121" s="838"/>
      <c r="F121" s="838"/>
      <c r="G121" s="854">
        <v>0</v>
      </c>
      <c r="H121" s="854">
        <v>0</v>
      </c>
      <c r="I121" s="854">
        <v>0</v>
      </c>
      <c r="J121" s="854">
        <v>0</v>
      </c>
      <c r="K121" s="854">
        <v>0</v>
      </c>
      <c r="L121" s="854">
        <v>0</v>
      </c>
      <c r="M121" s="854">
        <v>0</v>
      </c>
      <c r="N121" s="854">
        <v>0</v>
      </c>
      <c r="O121" s="854">
        <v>0</v>
      </c>
      <c r="P121" s="854">
        <v>0</v>
      </c>
      <c r="Q121" s="854">
        <v>0</v>
      </c>
      <c r="R121" s="854">
        <v>0</v>
      </c>
      <c r="S121" s="854">
        <v>0</v>
      </c>
      <c r="T121" s="854">
        <v>0</v>
      </c>
      <c r="U121" s="854">
        <v>0</v>
      </c>
      <c r="V121" s="854">
        <v>0</v>
      </c>
      <c r="W121" s="854">
        <v>0</v>
      </c>
      <c r="X121" s="854">
        <v>0</v>
      </c>
      <c r="Y121" s="854">
        <v>0</v>
      </c>
      <c r="Z121" s="854">
        <v>0</v>
      </c>
      <c r="AA121" s="854">
        <v>0</v>
      </c>
      <c r="AB121" s="854">
        <v>0</v>
      </c>
      <c r="AC121" s="854">
        <v>0</v>
      </c>
      <c r="AD121" s="854">
        <v>0</v>
      </c>
      <c r="AE121" s="854">
        <v>0</v>
      </c>
      <c r="AF121" s="854">
        <v>0</v>
      </c>
    </row>
    <row r="122" spans="1:32" s="864" customFormat="1" x14ac:dyDescent="0.25">
      <c r="A122" s="839"/>
      <c r="B122" s="839" t="s">
        <v>26</v>
      </c>
      <c r="C122" s="838"/>
      <c r="D122" s="838"/>
      <c r="E122" s="838"/>
      <c r="F122" s="838"/>
      <c r="G122" s="854">
        <v>0</v>
      </c>
      <c r="H122" s="854">
        <v>0</v>
      </c>
      <c r="I122" s="854">
        <v>0</v>
      </c>
      <c r="J122" s="854">
        <v>0</v>
      </c>
      <c r="K122" s="854">
        <v>0</v>
      </c>
      <c r="L122" s="854">
        <v>0</v>
      </c>
      <c r="M122" s="854">
        <v>0</v>
      </c>
      <c r="N122" s="854">
        <v>0</v>
      </c>
      <c r="O122" s="854">
        <v>0</v>
      </c>
      <c r="P122" s="854">
        <v>0</v>
      </c>
      <c r="Q122" s="854">
        <v>0</v>
      </c>
      <c r="R122" s="854">
        <v>0</v>
      </c>
      <c r="S122" s="854">
        <v>0</v>
      </c>
      <c r="T122" s="854">
        <v>0</v>
      </c>
      <c r="U122" s="854">
        <v>0</v>
      </c>
      <c r="V122" s="854">
        <v>0</v>
      </c>
      <c r="W122" s="854">
        <v>0</v>
      </c>
      <c r="X122" s="854">
        <v>0</v>
      </c>
      <c r="Y122" s="854">
        <v>0</v>
      </c>
      <c r="Z122" s="854">
        <v>0</v>
      </c>
      <c r="AA122" s="854">
        <v>0</v>
      </c>
      <c r="AB122" s="854">
        <v>0</v>
      </c>
      <c r="AC122" s="854">
        <v>0</v>
      </c>
      <c r="AD122" s="854">
        <v>0</v>
      </c>
      <c r="AE122" s="854">
        <v>0</v>
      </c>
      <c r="AF122" s="854">
        <v>0</v>
      </c>
    </row>
    <row r="123" spans="1:32" s="864" customFormat="1" x14ac:dyDescent="0.25">
      <c r="A123" s="839"/>
      <c r="B123" s="839" t="s">
        <v>27</v>
      </c>
      <c r="C123" s="838"/>
      <c r="D123" s="838"/>
      <c r="E123" s="838"/>
      <c r="F123" s="838"/>
      <c r="G123" s="854">
        <v>0</v>
      </c>
      <c r="H123" s="854">
        <v>0</v>
      </c>
      <c r="I123" s="854">
        <v>0</v>
      </c>
      <c r="J123" s="854">
        <v>0</v>
      </c>
      <c r="K123" s="854">
        <v>0</v>
      </c>
      <c r="L123" s="854">
        <v>0</v>
      </c>
      <c r="M123" s="854">
        <v>0</v>
      </c>
      <c r="N123" s="854">
        <v>0</v>
      </c>
      <c r="O123" s="854">
        <v>0</v>
      </c>
      <c r="P123" s="854">
        <v>0</v>
      </c>
      <c r="Q123" s="854">
        <v>0</v>
      </c>
      <c r="R123" s="854">
        <v>0</v>
      </c>
      <c r="S123" s="854">
        <v>0</v>
      </c>
      <c r="T123" s="854">
        <v>0</v>
      </c>
      <c r="U123" s="854">
        <v>0</v>
      </c>
      <c r="V123" s="854">
        <v>0</v>
      </c>
      <c r="W123" s="854">
        <v>0</v>
      </c>
      <c r="X123" s="854">
        <v>0</v>
      </c>
      <c r="Y123" s="854">
        <v>0</v>
      </c>
      <c r="Z123" s="854">
        <v>0</v>
      </c>
      <c r="AA123" s="854">
        <v>0</v>
      </c>
      <c r="AB123" s="854">
        <v>0</v>
      </c>
      <c r="AC123" s="854">
        <v>0</v>
      </c>
      <c r="AD123" s="854">
        <v>0</v>
      </c>
      <c r="AE123" s="854">
        <v>0</v>
      </c>
      <c r="AF123" s="854">
        <v>0</v>
      </c>
    </row>
    <row r="124" spans="1:32" s="864" customFormat="1" x14ac:dyDescent="0.25">
      <c r="A124" s="839"/>
      <c r="B124" s="839" t="s">
        <v>29</v>
      </c>
      <c r="C124" s="838"/>
      <c r="D124" s="838"/>
      <c r="E124" s="838"/>
      <c r="F124" s="838"/>
      <c r="G124" s="854">
        <v>0</v>
      </c>
      <c r="H124" s="854">
        <v>0</v>
      </c>
      <c r="I124" s="854">
        <v>0</v>
      </c>
      <c r="J124" s="854">
        <v>0</v>
      </c>
      <c r="K124" s="854">
        <v>0</v>
      </c>
      <c r="L124" s="854">
        <v>0</v>
      </c>
      <c r="M124" s="854">
        <v>0</v>
      </c>
      <c r="N124" s="854">
        <v>0</v>
      </c>
      <c r="O124" s="854">
        <v>0</v>
      </c>
      <c r="P124" s="854">
        <v>0</v>
      </c>
      <c r="Q124" s="854">
        <v>0</v>
      </c>
      <c r="R124" s="854">
        <v>0</v>
      </c>
      <c r="S124" s="854">
        <v>0</v>
      </c>
      <c r="T124" s="854">
        <v>0</v>
      </c>
      <c r="U124" s="854">
        <v>0</v>
      </c>
      <c r="V124" s="854">
        <v>0</v>
      </c>
      <c r="W124" s="854">
        <v>0</v>
      </c>
      <c r="X124" s="854">
        <v>0</v>
      </c>
      <c r="Y124" s="854">
        <v>0</v>
      </c>
      <c r="Z124" s="854">
        <v>0</v>
      </c>
      <c r="AA124" s="854">
        <v>0</v>
      </c>
      <c r="AB124" s="854">
        <v>0</v>
      </c>
      <c r="AC124" s="854">
        <v>0</v>
      </c>
      <c r="AD124" s="854">
        <v>0</v>
      </c>
      <c r="AE124" s="854">
        <v>0</v>
      </c>
      <c r="AF124" s="854">
        <v>0</v>
      </c>
    </row>
    <row r="125" spans="1:32" s="864" customFormat="1" x14ac:dyDescent="0.25">
      <c r="A125" s="839"/>
      <c r="B125" s="839"/>
      <c r="C125" s="838"/>
      <c r="D125" s="838"/>
      <c r="E125" s="838"/>
      <c r="F125" s="838"/>
      <c r="G125" s="854" t="str">
        <v/>
      </c>
      <c r="H125" s="838" t="str">
        <v/>
      </c>
      <c r="I125" s="838" t="str">
        <v/>
      </c>
      <c r="J125" s="838" t="str">
        <v/>
      </c>
      <c r="K125" s="838" t="str">
        <v/>
      </c>
      <c r="L125" s="838" t="str">
        <v/>
      </c>
      <c r="M125" s="838" t="str">
        <v/>
      </c>
      <c r="N125" s="838" t="str">
        <v/>
      </c>
      <c r="O125" s="838" t="str">
        <v/>
      </c>
      <c r="P125" s="838" t="str">
        <v/>
      </c>
      <c r="Q125" s="838" t="str">
        <v/>
      </c>
      <c r="R125" s="838" t="str">
        <v/>
      </c>
      <c r="S125" s="838" t="str">
        <v/>
      </c>
      <c r="T125" s="838" t="str">
        <v/>
      </c>
      <c r="U125" s="838" t="str">
        <v/>
      </c>
      <c r="V125" s="838" t="str">
        <v/>
      </c>
      <c r="W125" s="838" t="str">
        <v/>
      </c>
      <c r="X125" s="838" t="str">
        <v/>
      </c>
      <c r="Y125" s="838" t="str">
        <v/>
      </c>
      <c r="Z125" s="838" t="str">
        <v/>
      </c>
      <c r="AA125" s="838" t="str">
        <v/>
      </c>
      <c r="AB125" s="838" t="str">
        <v/>
      </c>
      <c r="AC125" s="838" t="str">
        <v/>
      </c>
      <c r="AD125" s="838" t="str">
        <v/>
      </c>
      <c r="AE125" s="838" t="str">
        <v/>
      </c>
      <c r="AF125" s="838" t="str">
        <v/>
      </c>
    </row>
    <row r="126" spans="1:32" s="856" customFormat="1" ht="12.75" x14ac:dyDescent="0.2">
      <c r="A126" s="843" t="s">
        <v>32</v>
      </c>
      <c r="B126" s="843"/>
      <c r="C126" s="843"/>
      <c r="D126" s="843"/>
      <c r="E126" s="843"/>
      <c r="F126" s="843"/>
      <c r="G126" s="865" t="str">
        <v/>
      </c>
      <c r="H126" s="843" t="str">
        <v/>
      </c>
      <c r="I126" s="843" t="str">
        <v/>
      </c>
      <c r="J126" s="843" t="str">
        <v/>
      </c>
      <c r="K126" s="843" t="str">
        <v/>
      </c>
      <c r="L126" s="843" t="str">
        <v/>
      </c>
      <c r="M126" s="843" t="str">
        <v/>
      </c>
      <c r="N126" s="843" t="str">
        <v/>
      </c>
      <c r="O126" s="843" t="str">
        <v/>
      </c>
      <c r="P126" s="843" t="str">
        <v/>
      </c>
      <c r="Q126" s="843" t="str">
        <v/>
      </c>
      <c r="R126" s="843" t="str">
        <v/>
      </c>
      <c r="S126" s="843" t="str">
        <v/>
      </c>
      <c r="T126" s="843" t="str">
        <v/>
      </c>
      <c r="U126" s="843" t="str">
        <v/>
      </c>
      <c r="V126" s="843" t="str">
        <v/>
      </c>
      <c r="W126" s="843" t="str">
        <v/>
      </c>
      <c r="X126" s="843" t="str">
        <v/>
      </c>
      <c r="Y126" s="843" t="str">
        <v/>
      </c>
      <c r="Z126" s="843" t="str">
        <v/>
      </c>
      <c r="AA126" s="843" t="str">
        <v/>
      </c>
      <c r="AB126" s="843" t="str">
        <v/>
      </c>
      <c r="AC126" s="843" t="str">
        <v/>
      </c>
      <c r="AD126" s="843" t="str">
        <v/>
      </c>
      <c r="AE126" s="843" t="str">
        <v/>
      </c>
      <c r="AF126" s="843" t="str">
        <v/>
      </c>
    </row>
    <row r="127" spans="1:32" s="864" customFormat="1" x14ac:dyDescent="0.25">
      <c r="A127" s="839"/>
      <c r="B127" s="839" t="s">
        <v>33</v>
      </c>
      <c r="C127" s="838"/>
      <c r="D127" s="838"/>
      <c r="E127" s="838"/>
      <c r="F127" s="838"/>
      <c r="G127" s="854">
        <v>0</v>
      </c>
      <c r="H127" s="854">
        <v>0</v>
      </c>
      <c r="I127" s="854">
        <v>0</v>
      </c>
      <c r="J127" s="854">
        <v>0</v>
      </c>
      <c r="K127" s="854">
        <v>0</v>
      </c>
      <c r="L127" s="854">
        <v>0</v>
      </c>
      <c r="M127" s="854">
        <v>0</v>
      </c>
      <c r="N127" s="854">
        <v>0</v>
      </c>
      <c r="O127" s="854">
        <v>0</v>
      </c>
      <c r="P127" s="854">
        <v>0</v>
      </c>
      <c r="Q127" s="854">
        <v>0</v>
      </c>
      <c r="R127" s="854">
        <v>0</v>
      </c>
      <c r="S127" s="854">
        <v>0</v>
      </c>
      <c r="T127" s="854">
        <v>0</v>
      </c>
      <c r="U127" s="854">
        <v>0</v>
      </c>
      <c r="V127" s="854">
        <v>0</v>
      </c>
      <c r="W127" s="854">
        <v>0</v>
      </c>
      <c r="X127" s="854">
        <v>0</v>
      </c>
      <c r="Y127" s="854">
        <v>0</v>
      </c>
      <c r="Z127" s="854">
        <v>0</v>
      </c>
      <c r="AA127" s="854">
        <v>0</v>
      </c>
      <c r="AB127" s="854">
        <v>0</v>
      </c>
      <c r="AC127" s="854">
        <v>0</v>
      </c>
      <c r="AD127" s="854">
        <v>0</v>
      </c>
      <c r="AE127" s="854">
        <v>0</v>
      </c>
      <c r="AF127" s="854">
        <v>0</v>
      </c>
    </row>
    <row r="128" spans="1:32" s="864" customFormat="1" x14ac:dyDescent="0.25">
      <c r="A128" s="842"/>
      <c r="B128" s="842" t="s">
        <v>34</v>
      </c>
      <c r="C128" s="838"/>
      <c r="D128" s="838"/>
      <c r="E128" s="838"/>
      <c r="F128" s="838"/>
      <c r="G128" s="854">
        <v>0</v>
      </c>
      <c r="H128" s="854">
        <v>0</v>
      </c>
      <c r="I128" s="854">
        <v>0</v>
      </c>
      <c r="J128" s="854">
        <v>0</v>
      </c>
      <c r="K128" s="854">
        <v>0</v>
      </c>
      <c r="L128" s="854">
        <v>0</v>
      </c>
      <c r="M128" s="854">
        <v>0</v>
      </c>
      <c r="N128" s="854">
        <v>0</v>
      </c>
      <c r="O128" s="854">
        <v>0</v>
      </c>
      <c r="P128" s="854">
        <v>0</v>
      </c>
      <c r="Q128" s="854">
        <v>0</v>
      </c>
      <c r="R128" s="854">
        <v>0</v>
      </c>
      <c r="S128" s="854">
        <v>0</v>
      </c>
      <c r="T128" s="854">
        <v>0</v>
      </c>
      <c r="U128" s="854">
        <v>0</v>
      </c>
      <c r="V128" s="854">
        <v>0</v>
      </c>
      <c r="W128" s="854">
        <v>0</v>
      </c>
      <c r="X128" s="854">
        <v>0</v>
      </c>
      <c r="Y128" s="854">
        <v>0</v>
      </c>
      <c r="Z128" s="854">
        <v>0</v>
      </c>
      <c r="AA128" s="854">
        <v>0</v>
      </c>
      <c r="AB128" s="854">
        <v>0</v>
      </c>
      <c r="AC128" s="854">
        <v>0</v>
      </c>
      <c r="AD128" s="854">
        <v>0</v>
      </c>
      <c r="AE128" s="854">
        <v>0</v>
      </c>
      <c r="AF128" s="854">
        <v>0</v>
      </c>
    </row>
    <row r="129" spans="1:32" s="864" customFormat="1" x14ac:dyDescent="0.25">
      <c r="A129" s="839"/>
      <c r="B129" s="842" t="s">
        <v>35</v>
      </c>
      <c r="C129" s="838"/>
      <c r="D129" s="838"/>
      <c r="E129" s="838"/>
      <c r="F129" s="838"/>
      <c r="G129" s="854">
        <v>0</v>
      </c>
      <c r="H129" s="854">
        <v>0</v>
      </c>
      <c r="I129" s="854">
        <v>0</v>
      </c>
      <c r="J129" s="854">
        <v>0</v>
      </c>
      <c r="K129" s="854">
        <v>0</v>
      </c>
      <c r="L129" s="854">
        <v>0</v>
      </c>
      <c r="M129" s="854">
        <v>0</v>
      </c>
      <c r="N129" s="854">
        <v>0</v>
      </c>
      <c r="O129" s="854">
        <v>0</v>
      </c>
      <c r="P129" s="854">
        <v>0</v>
      </c>
      <c r="Q129" s="854">
        <v>0</v>
      </c>
      <c r="R129" s="854">
        <v>0</v>
      </c>
      <c r="S129" s="854">
        <v>0</v>
      </c>
      <c r="T129" s="854">
        <v>0</v>
      </c>
      <c r="U129" s="854">
        <v>0</v>
      </c>
      <c r="V129" s="854">
        <v>0</v>
      </c>
      <c r="W129" s="854">
        <v>0</v>
      </c>
      <c r="X129" s="854">
        <v>0</v>
      </c>
      <c r="Y129" s="854">
        <v>0</v>
      </c>
      <c r="Z129" s="854">
        <v>0</v>
      </c>
      <c r="AA129" s="854">
        <v>0</v>
      </c>
      <c r="AB129" s="854">
        <v>0</v>
      </c>
      <c r="AC129" s="854">
        <v>0</v>
      </c>
      <c r="AD129" s="854">
        <v>0</v>
      </c>
      <c r="AE129" s="854">
        <v>0</v>
      </c>
      <c r="AF129" s="854">
        <v>0</v>
      </c>
    </row>
    <row r="130" spans="1:32" s="864" customFormat="1" x14ac:dyDescent="0.25">
      <c r="A130" s="839"/>
      <c r="B130" s="842" t="s">
        <v>29</v>
      </c>
      <c r="C130" s="838"/>
      <c r="D130" s="838"/>
      <c r="E130" s="838"/>
      <c r="F130" s="838"/>
      <c r="G130" s="854">
        <v>0</v>
      </c>
      <c r="H130" s="854">
        <v>0</v>
      </c>
      <c r="I130" s="854">
        <v>0</v>
      </c>
      <c r="J130" s="854">
        <v>0</v>
      </c>
      <c r="K130" s="854">
        <v>0</v>
      </c>
      <c r="L130" s="854">
        <v>0</v>
      </c>
      <c r="M130" s="854">
        <v>0</v>
      </c>
      <c r="N130" s="854">
        <v>0</v>
      </c>
      <c r="O130" s="854">
        <v>0</v>
      </c>
      <c r="P130" s="854">
        <v>0</v>
      </c>
      <c r="Q130" s="854">
        <v>0</v>
      </c>
      <c r="R130" s="854">
        <v>0</v>
      </c>
      <c r="S130" s="854">
        <v>0</v>
      </c>
      <c r="T130" s="854">
        <v>0</v>
      </c>
      <c r="U130" s="854">
        <v>0</v>
      </c>
      <c r="V130" s="854">
        <v>0</v>
      </c>
      <c r="W130" s="854">
        <v>0</v>
      </c>
      <c r="X130" s="854">
        <v>0</v>
      </c>
      <c r="Y130" s="854">
        <v>0</v>
      </c>
      <c r="Z130" s="854">
        <v>0</v>
      </c>
      <c r="AA130" s="854">
        <v>0</v>
      </c>
      <c r="AB130" s="854">
        <v>0</v>
      </c>
      <c r="AC130" s="854">
        <v>0</v>
      </c>
      <c r="AD130" s="854">
        <v>0</v>
      </c>
      <c r="AE130" s="854">
        <v>0</v>
      </c>
      <c r="AF130" s="854">
        <v>0</v>
      </c>
    </row>
    <row r="131" spans="1:32" s="864" customFormat="1" x14ac:dyDescent="0.25">
      <c r="A131" s="839"/>
      <c r="B131" s="839"/>
      <c r="C131" s="838"/>
      <c r="D131" s="838"/>
      <c r="E131" s="838"/>
      <c r="F131" s="838"/>
      <c r="G131" s="854" t="str">
        <v/>
      </c>
      <c r="H131" s="838" t="str">
        <v/>
      </c>
      <c r="I131" s="838" t="str">
        <v/>
      </c>
      <c r="J131" s="838" t="str">
        <v/>
      </c>
      <c r="K131" s="838" t="str">
        <v/>
      </c>
      <c r="L131" s="838" t="str">
        <v/>
      </c>
      <c r="M131" s="838" t="str">
        <v/>
      </c>
      <c r="N131" s="838" t="str">
        <v/>
      </c>
      <c r="O131" s="838" t="str">
        <v/>
      </c>
      <c r="P131" s="838" t="str">
        <v/>
      </c>
      <c r="Q131" s="838" t="str">
        <v/>
      </c>
      <c r="R131" s="838" t="str">
        <v/>
      </c>
      <c r="S131" s="838" t="str">
        <v/>
      </c>
      <c r="T131" s="838" t="str">
        <v/>
      </c>
      <c r="U131" s="838" t="str">
        <v/>
      </c>
      <c r="V131" s="838" t="str">
        <v/>
      </c>
      <c r="W131" s="838" t="str">
        <v/>
      </c>
      <c r="X131" s="838" t="str">
        <v/>
      </c>
      <c r="Y131" s="838" t="str">
        <v/>
      </c>
      <c r="Z131" s="838" t="str">
        <v/>
      </c>
      <c r="AA131" s="838" t="str">
        <v/>
      </c>
      <c r="AB131" s="838" t="str">
        <v/>
      </c>
      <c r="AC131" s="838" t="str">
        <v/>
      </c>
      <c r="AD131" s="838" t="str">
        <v/>
      </c>
      <c r="AE131" s="838" t="str">
        <v/>
      </c>
      <c r="AF131" s="838" t="str">
        <v/>
      </c>
    </row>
    <row r="132" spans="1:32" s="856" customFormat="1" ht="12.75" x14ac:dyDescent="0.2">
      <c r="A132" s="843" t="s">
        <v>36</v>
      </c>
      <c r="B132" s="843"/>
      <c r="C132" s="843"/>
      <c r="D132" s="843"/>
      <c r="E132" s="843"/>
      <c r="F132" s="843"/>
      <c r="G132" s="865" t="str">
        <v/>
      </c>
      <c r="H132" s="843" t="str">
        <v/>
      </c>
      <c r="I132" s="843" t="str">
        <v/>
      </c>
      <c r="J132" s="843" t="str">
        <v/>
      </c>
      <c r="K132" s="843" t="str">
        <v/>
      </c>
      <c r="L132" s="843" t="str">
        <v/>
      </c>
      <c r="M132" s="843" t="str">
        <v/>
      </c>
      <c r="N132" s="843" t="str">
        <v/>
      </c>
      <c r="O132" s="843" t="str">
        <v/>
      </c>
      <c r="P132" s="843" t="str">
        <v/>
      </c>
      <c r="Q132" s="843" t="str">
        <v/>
      </c>
      <c r="R132" s="843" t="str">
        <v/>
      </c>
      <c r="S132" s="843" t="str">
        <v/>
      </c>
      <c r="T132" s="843" t="str">
        <v/>
      </c>
      <c r="U132" s="843" t="str">
        <v/>
      </c>
      <c r="V132" s="843" t="str">
        <v/>
      </c>
      <c r="W132" s="843" t="str">
        <v/>
      </c>
      <c r="X132" s="843" t="str">
        <v/>
      </c>
      <c r="Y132" s="843" t="str">
        <v/>
      </c>
      <c r="Z132" s="843" t="str">
        <v/>
      </c>
      <c r="AA132" s="843" t="str">
        <v/>
      </c>
      <c r="AB132" s="843" t="str">
        <v/>
      </c>
      <c r="AC132" s="843" t="str">
        <v/>
      </c>
      <c r="AD132" s="843" t="str">
        <v/>
      </c>
      <c r="AE132" s="843" t="str">
        <v/>
      </c>
      <c r="AF132" s="843" t="str">
        <v/>
      </c>
    </row>
    <row r="133" spans="1:32" s="864" customFormat="1" x14ac:dyDescent="0.25">
      <c r="A133" s="839"/>
      <c r="B133" s="839" t="s">
        <v>37</v>
      </c>
      <c r="C133" s="838"/>
      <c r="D133" s="838"/>
      <c r="E133" s="838"/>
      <c r="F133" s="855"/>
      <c r="G133" s="854">
        <v>0</v>
      </c>
      <c r="H133" s="854">
        <v>0</v>
      </c>
      <c r="I133" s="854">
        <v>0</v>
      </c>
      <c r="J133" s="854">
        <v>0</v>
      </c>
      <c r="K133" s="854">
        <v>0</v>
      </c>
      <c r="L133" s="854">
        <v>0</v>
      </c>
      <c r="M133" s="854">
        <v>0</v>
      </c>
      <c r="N133" s="854">
        <v>0</v>
      </c>
      <c r="O133" s="854">
        <v>0</v>
      </c>
      <c r="P133" s="854">
        <v>0</v>
      </c>
      <c r="Q133" s="854">
        <v>0</v>
      </c>
      <c r="R133" s="854">
        <v>0</v>
      </c>
      <c r="S133" s="854">
        <v>0</v>
      </c>
      <c r="T133" s="854">
        <v>0</v>
      </c>
      <c r="U133" s="854">
        <v>0</v>
      </c>
      <c r="V133" s="854">
        <v>0</v>
      </c>
      <c r="W133" s="854">
        <v>0</v>
      </c>
      <c r="X133" s="854">
        <v>0</v>
      </c>
      <c r="Y133" s="854">
        <v>0</v>
      </c>
      <c r="Z133" s="854">
        <v>0</v>
      </c>
      <c r="AA133" s="854">
        <v>0</v>
      </c>
      <c r="AB133" s="854">
        <v>0</v>
      </c>
      <c r="AC133" s="854">
        <v>0</v>
      </c>
      <c r="AD133" s="854">
        <v>0</v>
      </c>
      <c r="AE133" s="854">
        <v>0</v>
      </c>
      <c r="AF133" s="854">
        <v>0</v>
      </c>
    </row>
    <row r="134" spans="1:32" s="864" customFormat="1" x14ac:dyDescent="0.25">
      <c r="A134" s="839"/>
      <c r="B134" s="839" t="s">
        <v>39</v>
      </c>
      <c r="C134" s="838"/>
      <c r="D134" s="838"/>
      <c r="E134" s="857"/>
      <c r="F134" s="838"/>
      <c r="G134" s="854">
        <v>0</v>
      </c>
      <c r="H134" s="854">
        <v>0</v>
      </c>
      <c r="I134" s="854">
        <v>0</v>
      </c>
      <c r="J134" s="854">
        <v>0</v>
      </c>
      <c r="K134" s="854">
        <v>0</v>
      </c>
      <c r="L134" s="854">
        <v>0</v>
      </c>
      <c r="M134" s="854">
        <v>0</v>
      </c>
      <c r="N134" s="854">
        <v>0</v>
      </c>
      <c r="O134" s="854">
        <v>0</v>
      </c>
      <c r="P134" s="854">
        <v>0</v>
      </c>
      <c r="Q134" s="854">
        <v>0</v>
      </c>
      <c r="R134" s="854">
        <v>0</v>
      </c>
      <c r="S134" s="854">
        <v>0</v>
      </c>
      <c r="T134" s="854">
        <v>0</v>
      </c>
      <c r="U134" s="854">
        <v>0</v>
      </c>
      <c r="V134" s="854">
        <v>0</v>
      </c>
      <c r="W134" s="854">
        <v>0</v>
      </c>
      <c r="X134" s="854">
        <v>0</v>
      </c>
      <c r="Y134" s="854">
        <v>0</v>
      </c>
      <c r="Z134" s="854">
        <v>0</v>
      </c>
      <c r="AA134" s="854">
        <v>0</v>
      </c>
      <c r="AB134" s="854">
        <v>0</v>
      </c>
      <c r="AC134" s="854">
        <v>0</v>
      </c>
      <c r="AD134" s="854">
        <v>0</v>
      </c>
      <c r="AE134" s="854">
        <v>0</v>
      </c>
      <c r="AF134" s="854">
        <v>0</v>
      </c>
    </row>
    <row r="135" spans="1:32" s="864" customFormat="1" x14ac:dyDescent="0.25">
      <c r="A135" s="839"/>
      <c r="B135" s="839" t="s">
        <v>40</v>
      </c>
      <c r="C135" s="838"/>
      <c r="D135" s="838"/>
      <c r="E135" s="838"/>
      <c r="F135" s="838"/>
      <c r="G135" s="854">
        <v>0</v>
      </c>
      <c r="H135" s="854">
        <v>0</v>
      </c>
      <c r="I135" s="854">
        <v>0</v>
      </c>
      <c r="J135" s="854">
        <v>0</v>
      </c>
      <c r="K135" s="854">
        <v>0</v>
      </c>
      <c r="L135" s="854">
        <v>0</v>
      </c>
      <c r="M135" s="854">
        <v>0</v>
      </c>
      <c r="N135" s="854">
        <v>0</v>
      </c>
      <c r="O135" s="854">
        <v>0</v>
      </c>
      <c r="P135" s="854">
        <v>0</v>
      </c>
      <c r="Q135" s="854">
        <v>0</v>
      </c>
      <c r="R135" s="854">
        <v>0</v>
      </c>
      <c r="S135" s="854">
        <v>0</v>
      </c>
      <c r="T135" s="854">
        <v>0</v>
      </c>
      <c r="U135" s="854">
        <v>0</v>
      </c>
      <c r="V135" s="854">
        <v>0</v>
      </c>
      <c r="W135" s="854">
        <v>0</v>
      </c>
      <c r="X135" s="854">
        <v>0</v>
      </c>
      <c r="Y135" s="854">
        <v>0</v>
      </c>
      <c r="Z135" s="854">
        <v>0</v>
      </c>
      <c r="AA135" s="854">
        <v>0</v>
      </c>
      <c r="AB135" s="854">
        <v>0</v>
      </c>
      <c r="AC135" s="854">
        <v>0</v>
      </c>
      <c r="AD135" s="854">
        <v>0</v>
      </c>
      <c r="AE135" s="854">
        <v>0</v>
      </c>
      <c r="AF135" s="854">
        <v>0</v>
      </c>
    </row>
    <row r="136" spans="1:32" s="864" customFormat="1" x14ac:dyDescent="0.25">
      <c r="A136" s="839"/>
      <c r="B136" s="839" t="s">
        <v>29</v>
      </c>
      <c r="C136" s="838"/>
      <c r="D136" s="838"/>
      <c r="E136" s="838"/>
      <c r="F136" s="838"/>
      <c r="G136" s="854">
        <v>0</v>
      </c>
      <c r="H136" s="854">
        <v>0</v>
      </c>
      <c r="I136" s="854">
        <v>0</v>
      </c>
      <c r="J136" s="854">
        <v>0</v>
      </c>
      <c r="K136" s="854">
        <v>0</v>
      </c>
      <c r="L136" s="854">
        <v>0</v>
      </c>
      <c r="M136" s="854">
        <v>0</v>
      </c>
      <c r="N136" s="854">
        <v>0</v>
      </c>
      <c r="O136" s="854">
        <v>0</v>
      </c>
      <c r="P136" s="854">
        <v>0</v>
      </c>
      <c r="Q136" s="854">
        <v>0</v>
      </c>
      <c r="R136" s="854">
        <v>0</v>
      </c>
      <c r="S136" s="854">
        <v>0</v>
      </c>
      <c r="T136" s="854">
        <v>0</v>
      </c>
      <c r="U136" s="854">
        <v>0</v>
      </c>
      <c r="V136" s="854">
        <v>0</v>
      </c>
      <c r="W136" s="854">
        <v>0</v>
      </c>
      <c r="X136" s="854">
        <v>0</v>
      </c>
      <c r="Y136" s="854">
        <v>0</v>
      </c>
      <c r="Z136" s="854">
        <v>0</v>
      </c>
      <c r="AA136" s="854">
        <v>0</v>
      </c>
      <c r="AB136" s="854">
        <v>0</v>
      </c>
      <c r="AC136" s="854">
        <v>0</v>
      </c>
      <c r="AD136" s="854">
        <v>0</v>
      </c>
      <c r="AE136" s="854">
        <v>0</v>
      </c>
      <c r="AF136" s="854">
        <v>0</v>
      </c>
    </row>
    <row r="137" spans="1:32" s="864" customFormat="1" x14ac:dyDescent="0.25">
      <c r="A137" s="839"/>
      <c r="B137" s="839"/>
      <c r="C137" s="838"/>
      <c r="D137" s="838"/>
      <c r="E137" s="838"/>
      <c r="F137" s="838"/>
      <c r="G137" s="854" t="str">
        <v/>
      </c>
      <c r="H137" s="838" t="str">
        <v/>
      </c>
      <c r="I137" s="838" t="str">
        <v/>
      </c>
      <c r="J137" s="838" t="str">
        <v/>
      </c>
      <c r="K137" s="838" t="str">
        <v/>
      </c>
      <c r="L137" s="838" t="str">
        <v/>
      </c>
      <c r="M137" s="838" t="str">
        <v/>
      </c>
      <c r="N137" s="838" t="str">
        <v/>
      </c>
      <c r="O137" s="838" t="str">
        <v/>
      </c>
      <c r="P137" s="838" t="str">
        <v/>
      </c>
      <c r="Q137" s="838" t="str">
        <v/>
      </c>
      <c r="R137" s="838" t="str">
        <v/>
      </c>
      <c r="S137" s="838" t="str">
        <v/>
      </c>
      <c r="T137" s="838" t="str">
        <v/>
      </c>
      <c r="U137" s="838" t="str">
        <v/>
      </c>
      <c r="V137" s="838" t="str">
        <v/>
      </c>
      <c r="W137" s="838" t="str">
        <v/>
      </c>
      <c r="X137" s="838" t="str">
        <v/>
      </c>
      <c r="Y137" s="838" t="str">
        <v/>
      </c>
      <c r="Z137" s="838" t="str">
        <v/>
      </c>
      <c r="AA137" s="838" t="str">
        <v/>
      </c>
      <c r="AB137" s="838" t="str">
        <v/>
      </c>
      <c r="AC137" s="838" t="str">
        <v/>
      </c>
      <c r="AD137" s="838" t="str">
        <v/>
      </c>
      <c r="AE137" s="838" t="str">
        <v/>
      </c>
      <c r="AF137" s="838" t="str">
        <v/>
      </c>
    </row>
    <row r="138" spans="1:32" s="856" customFormat="1" ht="12.75" x14ac:dyDescent="0.2">
      <c r="A138" s="843" t="s">
        <v>42</v>
      </c>
      <c r="B138" s="843"/>
      <c r="C138" s="843"/>
      <c r="D138" s="843"/>
      <c r="E138" s="843"/>
      <c r="F138" s="843"/>
      <c r="G138" s="865" t="str">
        <v/>
      </c>
      <c r="H138" s="843" t="str">
        <v/>
      </c>
      <c r="I138" s="843" t="str">
        <v/>
      </c>
      <c r="J138" s="843" t="str">
        <v/>
      </c>
      <c r="K138" s="843" t="str">
        <v/>
      </c>
      <c r="L138" s="843" t="str">
        <v/>
      </c>
      <c r="M138" s="843" t="str">
        <v/>
      </c>
      <c r="N138" s="843" t="str">
        <v/>
      </c>
      <c r="O138" s="843" t="str">
        <v/>
      </c>
      <c r="P138" s="843" t="str">
        <v/>
      </c>
      <c r="Q138" s="843" t="str">
        <v/>
      </c>
      <c r="R138" s="843" t="str">
        <v/>
      </c>
      <c r="S138" s="843" t="str">
        <v/>
      </c>
      <c r="T138" s="843" t="str">
        <v/>
      </c>
      <c r="U138" s="843" t="str">
        <v/>
      </c>
      <c r="V138" s="843" t="str">
        <v/>
      </c>
      <c r="W138" s="843" t="str">
        <v/>
      </c>
      <c r="X138" s="843" t="str">
        <v/>
      </c>
      <c r="Y138" s="843" t="str">
        <v/>
      </c>
      <c r="Z138" s="843" t="str">
        <v/>
      </c>
      <c r="AA138" s="843" t="str">
        <v/>
      </c>
      <c r="AB138" s="843" t="str">
        <v/>
      </c>
      <c r="AC138" s="843" t="str">
        <v/>
      </c>
      <c r="AD138" s="843" t="str">
        <v/>
      </c>
      <c r="AE138" s="843" t="str">
        <v/>
      </c>
      <c r="AF138" s="843" t="str">
        <v/>
      </c>
    </row>
    <row r="139" spans="1:32" s="864" customFormat="1" x14ac:dyDescent="0.25">
      <c r="A139" s="839"/>
      <c r="B139" s="842" t="s">
        <v>43</v>
      </c>
      <c r="C139" s="838"/>
      <c r="D139" s="838"/>
      <c r="E139" s="838"/>
      <c r="F139" s="838"/>
      <c r="G139" s="854">
        <v>0</v>
      </c>
      <c r="H139" s="854">
        <v>0</v>
      </c>
      <c r="I139" s="854">
        <v>0</v>
      </c>
      <c r="J139" s="854">
        <v>0</v>
      </c>
      <c r="K139" s="854">
        <v>0</v>
      </c>
      <c r="L139" s="854">
        <v>0</v>
      </c>
      <c r="M139" s="854">
        <v>0</v>
      </c>
      <c r="N139" s="854">
        <v>0</v>
      </c>
      <c r="O139" s="854">
        <v>0</v>
      </c>
      <c r="P139" s="854">
        <v>0</v>
      </c>
      <c r="Q139" s="854">
        <v>0</v>
      </c>
      <c r="R139" s="854">
        <v>0</v>
      </c>
      <c r="S139" s="854">
        <v>0</v>
      </c>
      <c r="T139" s="854">
        <v>0</v>
      </c>
      <c r="U139" s="854">
        <v>0</v>
      </c>
      <c r="V139" s="854">
        <v>0</v>
      </c>
      <c r="W139" s="854">
        <v>0</v>
      </c>
      <c r="X139" s="854">
        <v>0</v>
      </c>
      <c r="Y139" s="854">
        <v>0</v>
      </c>
      <c r="Z139" s="854">
        <v>0</v>
      </c>
      <c r="AA139" s="854">
        <v>0</v>
      </c>
      <c r="AB139" s="854">
        <v>0</v>
      </c>
      <c r="AC139" s="854">
        <v>0</v>
      </c>
      <c r="AD139" s="854">
        <v>0</v>
      </c>
      <c r="AE139" s="854">
        <v>0</v>
      </c>
      <c r="AF139" s="854">
        <v>0</v>
      </c>
    </row>
    <row r="140" spans="1:32" s="864" customFormat="1" x14ac:dyDescent="0.25">
      <c r="A140" s="839"/>
      <c r="B140" s="842" t="s">
        <v>44</v>
      </c>
      <c r="C140" s="838"/>
      <c r="D140" s="838"/>
      <c r="E140" s="838"/>
      <c r="F140" s="838"/>
      <c r="G140" s="854">
        <v>0</v>
      </c>
      <c r="H140" s="854">
        <v>0</v>
      </c>
      <c r="I140" s="854">
        <v>0</v>
      </c>
      <c r="J140" s="854">
        <v>0</v>
      </c>
      <c r="K140" s="854">
        <v>0</v>
      </c>
      <c r="L140" s="854">
        <v>0</v>
      </c>
      <c r="M140" s="854">
        <v>0</v>
      </c>
      <c r="N140" s="854">
        <v>0</v>
      </c>
      <c r="O140" s="854">
        <v>0</v>
      </c>
      <c r="P140" s="854">
        <v>0</v>
      </c>
      <c r="Q140" s="854">
        <v>0</v>
      </c>
      <c r="R140" s="854">
        <v>0</v>
      </c>
      <c r="S140" s="854">
        <v>0</v>
      </c>
      <c r="T140" s="854">
        <v>0</v>
      </c>
      <c r="U140" s="854">
        <v>0</v>
      </c>
      <c r="V140" s="854">
        <v>0</v>
      </c>
      <c r="W140" s="854">
        <v>0</v>
      </c>
      <c r="X140" s="854">
        <v>0</v>
      </c>
      <c r="Y140" s="854">
        <v>0</v>
      </c>
      <c r="Z140" s="854">
        <v>0</v>
      </c>
      <c r="AA140" s="854">
        <v>0</v>
      </c>
      <c r="AB140" s="854">
        <v>0</v>
      </c>
      <c r="AC140" s="854">
        <v>0</v>
      </c>
      <c r="AD140" s="854">
        <v>0</v>
      </c>
      <c r="AE140" s="854">
        <v>0</v>
      </c>
      <c r="AF140" s="854">
        <v>0</v>
      </c>
    </row>
    <row r="141" spans="1:32" s="864" customFormat="1" x14ac:dyDescent="0.25">
      <c r="A141" s="839"/>
      <c r="B141" s="842" t="s">
        <v>45</v>
      </c>
      <c r="C141" s="838"/>
      <c r="D141" s="838"/>
      <c r="E141" s="838"/>
      <c r="F141" s="838"/>
      <c r="G141" s="854">
        <v>0</v>
      </c>
      <c r="H141" s="854">
        <v>0</v>
      </c>
      <c r="I141" s="854">
        <v>0</v>
      </c>
      <c r="J141" s="854">
        <v>0</v>
      </c>
      <c r="K141" s="854">
        <v>0</v>
      </c>
      <c r="L141" s="854">
        <v>0</v>
      </c>
      <c r="M141" s="854">
        <v>0</v>
      </c>
      <c r="N141" s="854">
        <v>0</v>
      </c>
      <c r="O141" s="854">
        <v>0</v>
      </c>
      <c r="P141" s="854">
        <v>0</v>
      </c>
      <c r="Q141" s="854">
        <v>0</v>
      </c>
      <c r="R141" s="854">
        <v>0</v>
      </c>
      <c r="S141" s="854">
        <v>0</v>
      </c>
      <c r="T141" s="854">
        <v>0</v>
      </c>
      <c r="U141" s="854">
        <v>0</v>
      </c>
      <c r="V141" s="854">
        <v>0</v>
      </c>
      <c r="W141" s="854">
        <v>0</v>
      </c>
      <c r="X141" s="854">
        <v>0</v>
      </c>
      <c r="Y141" s="854">
        <v>0</v>
      </c>
      <c r="Z141" s="854">
        <v>0</v>
      </c>
      <c r="AA141" s="854">
        <v>0</v>
      </c>
      <c r="AB141" s="854">
        <v>0</v>
      </c>
      <c r="AC141" s="854">
        <v>0</v>
      </c>
      <c r="AD141" s="854">
        <v>0</v>
      </c>
      <c r="AE141" s="854">
        <v>0</v>
      </c>
      <c r="AF141" s="854">
        <v>0</v>
      </c>
    </row>
    <row r="142" spans="1:32" s="864" customFormat="1" x14ac:dyDescent="0.25">
      <c r="A142" s="839"/>
      <c r="B142" s="842" t="s">
        <v>46</v>
      </c>
      <c r="C142" s="838"/>
      <c r="D142" s="838"/>
      <c r="E142" s="838"/>
      <c r="F142" s="838"/>
      <c r="G142" s="854">
        <v>0</v>
      </c>
      <c r="H142" s="854">
        <v>0</v>
      </c>
      <c r="I142" s="854">
        <v>0</v>
      </c>
      <c r="J142" s="854">
        <v>0</v>
      </c>
      <c r="K142" s="854">
        <v>0</v>
      </c>
      <c r="L142" s="854">
        <v>0</v>
      </c>
      <c r="M142" s="854">
        <v>0</v>
      </c>
      <c r="N142" s="854">
        <v>0</v>
      </c>
      <c r="O142" s="854">
        <v>0</v>
      </c>
      <c r="P142" s="854">
        <v>0</v>
      </c>
      <c r="Q142" s="854">
        <v>0</v>
      </c>
      <c r="R142" s="854">
        <v>0</v>
      </c>
      <c r="S142" s="854">
        <v>0</v>
      </c>
      <c r="T142" s="854">
        <v>0</v>
      </c>
      <c r="U142" s="854">
        <v>0</v>
      </c>
      <c r="V142" s="854">
        <v>0</v>
      </c>
      <c r="W142" s="854">
        <v>0</v>
      </c>
      <c r="X142" s="854">
        <v>0</v>
      </c>
      <c r="Y142" s="854">
        <v>0</v>
      </c>
      <c r="Z142" s="854">
        <v>0</v>
      </c>
      <c r="AA142" s="854">
        <v>0</v>
      </c>
      <c r="AB142" s="854">
        <v>0</v>
      </c>
      <c r="AC142" s="854">
        <v>0</v>
      </c>
      <c r="AD142" s="854">
        <v>0</v>
      </c>
      <c r="AE142" s="854">
        <v>0</v>
      </c>
      <c r="AF142" s="854">
        <v>0</v>
      </c>
    </row>
    <row r="143" spans="1:32" s="864" customFormat="1" x14ac:dyDescent="0.25">
      <c r="A143" s="839"/>
      <c r="B143" s="839" t="s">
        <v>29</v>
      </c>
      <c r="C143" s="838"/>
      <c r="D143" s="838"/>
      <c r="E143" s="838"/>
      <c r="F143" s="838"/>
      <c r="G143" s="854">
        <v>0</v>
      </c>
      <c r="H143" s="854">
        <v>0</v>
      </c>
      <c r="I143" s="854">
        <v>0</v>
      </c>
      <c r="J143" s="854">
        <v>0</v>
      </c>
      <c r="K143" s="854">
        <v>0</v>
      </c>
      <c r="L143" s="854">
        <v>0</v>
      </c>
      <c r="M143" s="854">
        <v>0</v>
      </c>
      <c r="N143" s="854">
        <v>0</v>
      </c>
      <c r="O143" s="854">
        <v>0</v>
      </c>
      <c r="P143" s="854">
        <v>0</v>
      </c>
      <c r="Q143" s="854">
        <v>0</v>
      </c>
      <c r="R143" s="854">
        <v>0</v>
      </c>
      <c r="S143" s="854">
        <v>0</v>
      </c>
      <c r="T143" s="854">
        <v>0</v>
      </c>
      <c r="U143" s="854">
        <v>0</v>
      </c>
      <c r="V143" s="854">
        <v>0</v>
      </c>
      <c r="W143" s="854">
        <v>0</v>
      </c>
      <c r="X143" s="854">
        <v>0</v>
      </c>
      <c r="Y143" s="854">
        <v>0</v>
      </c>
      <c r="Z143" s="854">
        <v>0</v>
      </c>
      <c r="AA143" s="854">
        <v>0</v>
      </c>
      <c r="AB143" s="854">
        <v>0</v>
      </c>
      <c r="AC143" s="854">
        <v>0</v>
      </c>
      <c r="AD143" s="854">
        <v>0</v>
      </c>
      <c r="AE143" s="854">
        <v>0</v>
      </c>
      <c r="AF143" s="854">
        <v>0</v>
      </c>
    </row>
    <row r="144" spans="1:32" s="864" customFormat="1" x14ac:dyDescent="0.25">
      <c r="A144" s="839"/>
      <c r="B144" s="839"/>
      <c r="C144" s="838"/>
      <c r="D144" s="838"/>
      <c r="E144" s="838"/>
      <c r="F144" s="838"/>
      <c r="G144" s="854" t="str">
        <v/>
      </c>
      <c r="H144" s="838" t="str">
        <v/>
      </c>
      <c r="I144" s="838" t="str">
        <v/>
      </c>
      <c r="J144" s="838" t="str">
        <v/>
      </c>
      <c r="K144" s="838" t="str">
        <v/>
      </c>
      <c r="L144" s="838" t="str">
        <v/>
      </c>
      <c r="M144" s="838" t="str">
        <v/>
      </c>
      <c r="N144" s="838" t="str">
        <v/>
      </c>
      <c r="O144" s="838" t="str">
        <v/>
      </c>
      <c r="P144" s="838" t="str">
        <v/>
      </c>
      <c r="Q144" s="838" t="str">
        <v/>
      </c>
      <c r="R144" s="838" t="str">
        <v/>
      </c>
      <c r="S144" s="838" t="str">
        <v/>
      </c>
      <c r="T144" s="838" t="str">
        <v/>
      </c>
      <c r="U144" s="838" t="str">
        <v/>
      </c>
      <c r="V144" s="838" t="str">
        <v/>
      </c>
      <c r="W144" s="838" t="str">
        <v/>
      </c>
      <c r="X144" s="838" t="str">
        <v/>
      </c>
      <c r="Y144" s="838" t="str">
        <v/>
      </c>
      <c r="Z144" s="838" t="str">
        <v/>
      </c>
      <c r="AA144" s="838" t="str">
        <v/>
      </c>
      <c r="AB144" s="838" t="str">
        <v/>
      </c>
      <c r="AC144" s="838" t="str">
        <v/>
      </c>
      <c r="AD144" s="838" t="str">
        <v/>
      </c>
      <c r="AE144" s="838" t="str">
        <v/>
      </c>
      <c r="AF144" s="838" t="str">
        <v/>
      </c>
    </row>
    <row r="145" spans="1:32" s="856" customFormat="1" ht="12.75" x14ac:dyDescent="0.2">
      <c r="A145" s="843" t="s">
        <v>47</v>
      </c>
      <c r="B145" s="843"/>
      <c r="C145" s="843"/>
      <c r="D145" s="843"/>
      <c r="E145" s="843"/>
      <c r="F145" s="843"/>
      <c r="G145" s="865" t="str">
        <v/>
      </c>
      <c r="H145" s="843" t="str">
        <v/>
      </c>
      <c r="I145" s="843" t="str">
        <v/>
      </c>
      <c r="J145" s="843" t="str">
        <v/>
      </c>
      <c r="K145" s="843" t="str">
        <v/>
      </c>
      <c r="L145" s="843" t="str">
        <v/>
      </c>
      <c r="M145" s="843" t="str">
        <v/>
      </c>
      <c r="N145" s="843" t="str">
        <v/>
      </c>
      <c r="O145" s="843" t="str">
        <v/>
      </c>
      <c r="P145" s="843" t="str">
        <v/>
      </c>
      <c r="Q145" s="843" t="str">
        <v/>
      </c>
      <c r="R145" s="843" t="str">
        <v/>
      </c>
      <c r="S145" s="843" t="str">
        <v/>
      </c>
      <c r="T145" s="843" t="str">
        <v/>
      </c>
      <c r="U145" s="843" t="str">
        <v/>
      </c>
      <c r="V145" s="843" t="str">
        <v/>
      </c>
      <c r="W145" s="843" t="str">
        <v/>
      </c>
      <c r="X145" s="843" t="str">
        <v/>
      </c>
      <c r="Y145" s="843" t="str">
        <v/>
      </c>
      <c r="Z145" s="843" t="str">
        <v/>
      </c>
      <c r="AA145" s="843" t="str">
        <v/>
      </c>
      <c r="AB145" s="843" t="str">
        <v/>
      </c>
      <c r="AC145" s="843" t="str">
        <v/>
      </c>
      <c r="AD145" s="843" t="str">
        <v/>
      </c>
      <c r="AE145" s="843" t="str">
        <v/>
      </c>
      <c r="AF145" s="843" t="str">
        <v/>
      </c>
    </row>
    <row r="146" spans="1:32" s="864" customFormat="1" x14ac:dyDescent="0.25">
      <c r="A146" s="839"/>
      <c r="B146" s="839" t="s">
        <v>48</v>
      </c>
      <c r="C146" s="838"/>
      <c r="D146" s="838"/>
      <c r="E146" s="838"/>
      <c r="F146" s="838"/>
      <c r="G146" s="854">
        <v>0</v>
      </c>
      <c r="H146" s="854">
        <v>0</v>
      </c>
      <c r="I146" s="854">
        <v>0</v>
      </c>
      <c r="J146" s="854">
        <v>0</v>
      </c>
      <c r="K146" s="854">
        <v>0</v>
      </c>
      <c r="L146" s="854">
        <v>0</v>
      </c>
      <c r="M146" s="854">
        <v>0</v>
      </c>
      <c r="N146" s="854">
        <v>0</v>
      </c>
      <c r="O146" s="854">
        <v>0</v>
      </c>
      <c r="P146" s="854">
        <v>0</v>
      </c>
      <c r="Q146" s="854">
        <v>0</v>
      </c>
      <c r="R146" s="854">
        <v>0</v>
      </c>
      <c r="S146" s="854">
        <v>0</v>
      </c>
      <c r="T146" s="854">
        <v>0</v>
      </c>
      <c r="U146" s="854">
        <v>0</v>
      </c>
      <c r="V146" s="854">
        <v>0</v>
      </c>
      <c r="W146" s="854">
        <v>0</v>
      </c>
      <c r="X146" s="854">
        <v>0</v>
      </c>
      <c r="Y146" s="854">
        <v>0</v>
      </c>
      <c r="Z146" s="854">
        <v>0</v>
      </c>
      <c r="AA146" s="854">
        <v>0</v>
      </c>
      <c r="AB146" s="854">
        <v>0</v>
      </c>
      <c r="AC146" s="854">
        <v>0</v>
      </c>
      <c r="AD146" s="854">
        <v>0</v>
      </c>
      <c r="AE146" s="854">
        <v>0</v>
      </c>
      <c r="AF146" s="854">
        <v>0</v>
      </c>
    </row>
    <row r="147" spans="1:32" s="864" customFormat="1" x14ac:dyDescent="0.25">
      <c r="A147" s="839"/>
      <c r="B147" s="842" t="s">
        <v>50</v>
      </c>
      <c r="C147" s="838"/>
      <c r="D147" s="838"/>
      <c r="E147" s="838"/>
      <c r="F147" s="838"/>
      <c r="G147" s="854">
        <v>0</v>
      </c>
      <c r="H147" s="854">
        <v>0</v>
      </c>
      <c r="I147" s="854">
        <v>0</v>
      </c>
      <c r="J147" s="854">
        <v>0</v>
      </c>
      <c r="K147" s="854">
        <v>0</v>
      </c>
      <c r="L147" s="854">
        <v>0</v>
      </c>
      <c r="M147" s="854">
        <v>0</v>
      </c>
      <c r="N147" s="854">
        <v>0</v>
      </c>
      <c r="O147" s="854">
        <v>0</v>
      </c>
      <c r="P147" s="854">
        <v>0</v>
      </c>
      <c r="Q147" s="854">
        <v>0</v>
      </c>
      <c r="R147" s="854">
        <v>0</v>
      </c>
      <c r="S147" s="854">
        <v>0</v>
      </c>
      <c r="T147" s="854">
        <v>0</v>
      </c>
      <c r="U147" s="854">
        <v>0</v>
      </c>
      <c r="V147" s="854">
        <v>0</v>
      </c>
      <c r="W147" s="854">
        <v>0</v>
      </c>
      <c r="X147" s="854">
        <v>0</v>
      </c>
      <c r="Y147" s="854">
        <v>0</v>
      </c>
      <c r="Z147" s="854">
        <v>0</v>
      </c>
      <c r="AA147" s="854">
        <v>0</v>
      </c>
      <c r="AB147" s="854">
        <v>0</v>
      </c>
      <c r="AC147" s="854">
        <v>0</v>
      </c>
      <c r="AD147" s="854">
        <v>0</v>
      </c>
      <c r="AE147" s="854">
        <v>0</v>
      </c>
      <c r="AF147" s="854">
        <v>0</v>
      </c>
    </row>
    <row r="148" spans="1:32" s="864" customFormat="1" x14ac:dyDescent="0.25">
      <c r="A148" s="839"/>
      <c r="B148" s="839" t="s">
        <v>51</v>
      </c>
      <c r="C148" s="838"/>
      <c r="D148" s="838"/>
      <c r="E148" s="838"/>
      <c r="F148" s="838"/>
      <c r="G148" s="854">
        <v>0</v>
      </c>
      <c r="H148" s="854">
        <v>0</v>
      </c>
      <c r="I148" s="854">
        <v>0</v>
      </c>
      <c r="J148" s="854">
        <v>0</v>
      </c>
      <c r="K148" s="854">
        <v>0</v>
      </c>
      <c r="L148" s="854">
        <v>0</v>
      </c>
      <c r="M148" s="854">
        <v>0</v>
      </c>
      <c r="N148" s="854">
        <v>0</v>
      </c>
      <c r="O148" s="854">
        <v>0</v>
      </c>
      <c r="P148" s="854">
        <v>0</v>
      </c>
      <c r="Q148" s="854">
        <v>0</v>
      </c>
      <c r="R148" s="854">
        <v>0</v>
      </c>
      <c r="S148" s="854">
        <v>0</v>
      </c>
      <c r="T148" s="854">
        <v>0</v>
      </c>
      <c r="U148" s="854">
        <v>0</v>
      </c>
      <c r="V148" s="854">
        <v>0</v>
      </c>
      <c r="W148" s="854">
        <v>0</v>
      </c>
      <c r="X148" s="854">
        <v>0</v>
      </c>
      <c r="Y148" s="854">
        <v>0</v>
      </c>
      <c r="Z148" s="854">
        <v>0</v>
      </c>
      <c r="AA148" s="854">
        <v>0</v>
      </c>
      <c r="AB148" s="854">
        <v>0</v>
      </c>
      <c r="AC148" s="854">
        <v>0</v>
      </c>
      <c r="AD148" s="854">
        <v>0</v>
      </c>
      <c r="AE148" s="854">
        <v>0</v>
      </c>
      <c r="AF148" s="854">
        <v>0</v>
      </c>
    </row>
    <row r="149" spans="1:32" s="864" customFormat="1" x14ac:dyDescent="0.25">
      <c r="A149" s="839"/>
      <c r="B149" s="839" t="s">
        <v>52</v>
      </c>
      <c r="C149" s="838"/>
      <c r="D149" s="838"/>
      <c r="E149" s="838"/>
      <c r="F149" s="838"/>
      <c r="G149" s="854">
        <v>0</v>
      </c>
      <c r="H149" s="854">
        <v>0</v>
      </c>
      <c r="I149" s="854">
        <v>0</v>
      </c>
      <c r="J149" s="854">
        <v>0</v>
      </c>
      <c r="K149" s="854">
        <v>0</v>
      </c>
      <c r="L149" s="854">
        <v>0</v>
      </c>
      <c r="M149" s="854">
        <v>0</v>
      </c>
      <c r="N149" s="854">
        <v>0</v>
      </c>
      <c r="O149" s="854">
        <v>0</v>
      </c>
      <c r="P149" s="854">
        <v>0</v>
      </c>
      <c r="Q149" s="854">
        <v>0</v>
      </c>
      <c r="R149" s="854">
        <v>0</v>
      </c>
      <c r="S149" s="854">
        <v>0</v>
      </c>
      <c r="T149" s="854">
        <v>0</v>
      </c>
      <c r="U149" s="854">
        <v>0</v>
      </c>
      <c r="V149" s="854">
        <v>0</v>
      </c>
      <c r="W149" s="854">
        <v>0</v>
      </c>
      <c r="X149" s="854">
        <v>0</v>
      </c>
      <c r="Y149" s="854">
        <v>0</v>
      </c>
      <c r="Z149" s="854">
        <v>0</v>
      </c>
      <c r="AA149" s="854">
        <v>0</v>
      </c>
      <c r="AB149" s="854">
        <v>0</v>
      </c>
      <c r="AC149" s="854">
        <v>0</v>
      </c>
      <c r="AD149" s="854">
        <v>0</v>
      </c>
      <c r="AE149" s="854">
        <v>0</v>
      </c>
      <c r="AF149" s="854">
        <v>0</v>
      </c>
    </row>
    <row r="150" spans="1:32" s="864" customFormat="1" x14ac:dyDescent="0.25">
      <c r="A150" s="839"/>
      <c r="B150" s="842" t="s">
        <v>29</v>
      </c>
      <c r="C150" s="838"/>
      <c r="D150" s="838"/>
      <c r="E150" s="838"/>
      <c r="F150" s="838"/>
      <c r="G150" s="854">
        <v>0</v>
      </c>
      <c r="H150" s="854">
        <v>0</v>
      </c>
      <c r="I150" s="854">
        <v>0</v>
      </c>
      <c r="J150" s="854">
        <v>0</v>
      </c>
      <c r="K150" s="854">
        <v>0</v>
      </c>
      <c r="L150" s="854">
        <v>0</v>
      </c>
      <c r="M150" s="854">
        <v>0</v>
      </c>
      <c r="N150" s="854">
        <v>0</v>
      </c>
      <c r="O150" s="854">
        <v>0</v>
      </c>
      <c r="P150" s="854">
        <v>0</v>
      </c>
      <c r="Q150" s="854">
        <v>0</v>
      </c>
      <c r="R150" s="854">
        <v>0</v>
      </c>
      <c r="S150" s="854">
        <v>0</v>
      </c>
      <c r="T150" s="854">
        <v>0</v>
      </c>
      <c r="U150" s="854">
        <v>0</v>
      </c>
      <c r="V150" s="854">
        <v>0</v>
      </c>
      <c r="W150" s="854">
        <v>0</v>
      </c>
      <c r="X150" s="854">
        <v>0</v>
      </c>
      <c r="Y150" s="854">
        <v>0</v>
      </c>
      <c r="Z150" s="854">
        <v>0</v>
      </c>
      <c r="AA150" s="854">
        <v>0</v>
      </c>
      <c r="AB150" s="854">
        <v>0</v>
      </c>
      <c r="AC150" s="854">
        <v>0</v>
      </c>
      <c r="AD150" s="854">
        <v>0</v>
      </c>
      <c r="AE150" s="854">
        <v>0</v>
      </c>
      <c r="AF150" s="854">
        <v>0</v>
      </c>
    </row>
    <row r="151" spans="1:32" s="864" customFormat="1" x14ac:dyDescent="0.25">
      <c r="A151" s="839"/>
      <c r="B151" s="842" t="s">
        <v>53</v>
      </c>
      <c r="C151" s="838"/>
      <c r="D151" s="838"/>
      <c r="E151" s="838"/>
      <c r="F151" s="838"/>
      <c r="G151" s="854">
        <v>0</v>
      </c>
      <c r="H151" s="854">
        <v>0</v>
      </c>
      <c r="I151" s="854">
        <v>0</v>
      </c>
      <c r="J151" s="854">
        <v>0</v>
      </c>
      <c r="K151" s="854">
        <v>0</v>
      </c>
      <c r="L151" s="854">
        <v>0</v>
      </c>
      <c r="M151" s="854">
        <v>0</v>
      </c>
      <c r="N151" s="854">
        <v>0</v>
      </c>
      <c r="O151" s="854">
        <v>0</v>
      </c>
      <c r="P151" s="854">
        <v>0</v>
      </c>
      <c r="Q151" s="854">
        <v>0</v>
      </c>
      <c r="R151" s="854">
        <v>0</v>
      </c>
      <c r="S151" s="854">
        <v>0</v>
      </c>
      <c r="T151" s="854">
        <v>0</v>
      </c>
      <c r="U151" s="854">
        <v>0</v>
      </c>
      <c r="V151" s="854">
        <v>0</v>
      </c>
      <c r="W151" s="854">
        <v>0</v>
      </c>
      <c r="X151" s="854">
        <v>0</v>
      </c>
      <c r="Y151" s="854">
        <v>0</v>
      </c>
      <c r="Z151" s="854">
        <v>0</v>
      </c>
      <c r="AA151" s="854">
        <v>0</v>
      </c>
      <c r="AB151" s="854">
        <v>0</v>
      </c>
      <c r="AC151" s="854">
        <v>0</v>
      </c>
      <c r="AD151" s="854">
        <v>0</v>
      </c>
      <c r="AE151" s="854">
        <v>0</v>
      </c>
      <c r="AF151" s="854">
        <v>0</v>
      </c>
    </row>
    <row r="152" spans="1:32" s="838" customFormat="1" x14ac:dyDescent="0.25"/>
    <row r="153" spans="1:32" s="1040" customFormat="1" x14ac:dyDescent="0.25">
      <c r="A153" s="1052" t="s">
        <v>710</v>
      </c>
      <c r="B153" s="1053"/>
      <c r="C153" s="1052"/>
      <c r="D153" s="1051"/>
      <c r="E153" s="1051"/>
      <c r="F153" s="1051"/>
      <c r="G153" s="1051"/>
      <c r="H153" s="1057"/>
      <c r="I153" s="1057"/>
      <c r="J153" s="1057"/>
      <c r="K153" s="1057"/>
      <c r="L153" s="1057"/>
      <c r="M153" s="1057"/>
      <c r="N153" s="1057"/>
      <c r="O153" s="1057"/>
      <c r="P153" s="1057"/>
      <c r="Q153" s="1057"/>
      <c r="R153" s="1057"/>
      <c r="S153" s="1057"/>
      <c r="T153" s="1057"/>
      <c r="U153" s="1057"/>
      <c r="V153" s="1057"/>
      <c r="W153" s="1057"/>
      <c r="X153" s="1057"/>
      <c r="Y153" s="1057"/>
      <c r="Z153" s="1057"/>
      <c r="AA153" s="1057"/>
      <c r="AB153" s="1057"/>
      <c r="AC153" s="1057"/>
      <c r="AD153" s="1057"/>
      <c r="AE153" s="1057"/>
      <c r="AF153" s="1057"/>
    </row>
    <row r="154" spans="1:32" s="1040" customFormat="1" x14ac:dyDescent="0.25">
      <c r="A154" s="1047" t="s">
        <v>55</v>
      </c>
      <c r="B154" s="1048"/>
      <c r="C154" s="1047"/>
      <c r="D154" s="1046"/>
      <c r="E154" s="1046"/>
      <c r="F154" s="1046"/>
      <c r="G154" s="1046"/>
      <c r="H154" s="1056"/>
      <c r="I154" s="1056"/>
      <c r="J154" s="1056"/>
      <c r="K154" s="1056"/>
      <c r="L154" s="1056"/>
      <c r="M154" s="1056"/>
      <c r="N154" s="1056"/>
      <c r="O154" s="1056"/>
      <c r="P154" s="1056"/>
      <c r="Q154" s="1056"/>
      <c r="R154" s="1056"/>
      <c r="S154" s="1056"/>
      <c r="T154" s="1056"/>
      <c r="U154" s="1056"/>
      <c r="V154" s="1056"/>
      <c r="W154" s="1056"/>
      <c r="X154" s="1056"/>
      <c r="Y154" s="1056"/>
      <c r="Z154" s="1056"/>
      <c r="AA154" s="1056"/>
      <c r="AB154" s="1056"/>
      <c r="AC154" s="1056"/>
      <c r="AD154" s="1056"/>
      <c r="AE154" s="1056"/>
      <c r="AF154" s="1056"/>
    </row>
    <row r="155" spans="1:32" s="1040" customFormat="1" x14ac:dyDescent="0.25">
      <c r="A155" s="1042" t="s">
        <v>12</v>
      </c>
      <c r="B155" s="1041"/>
      <c r="H155" s="1049"/>
      <c r="I155" s="1049"/>
      <c r="J155" s="1049"/>
      <c r="K155" s="1049"/>
      <c r="L155" s="1049"/>
      <c r="M155" s="1049"/>
      <c r="N155" s="1049"/>
      <c r="O155" s="1049"/>
      <c r="P155" s="1049"/>
      <c r="Q155" s="1049"/>
      <c r="R155" s="1049"/>
      <c r="S155" s="1049"/>
      <c r="T155" s="1049"/>
      <c r="U155" s="1049"/>
      <c r="V155" s="1049"/>
      <c r="W155" s="1049"/>
      <c r="X155" s="1049"/>
      <c r="Y155" s="1049"/>
      <c r="Z155" s="1049"/>
      <c r="AA155" s="1049"/>
      <c r="AB155" s="1049"/>
      <c r="AC155" s="1049"/>
      <c r="AD155" s="1049"/>
      <c r="AE155" s="1049"/>
      <c r="AF155" s="1049"/>
    </row>
    <row r="156" spans="1:32" s="1040" customFormat="1" x14ac:dyDescent="0.25">
      <c r="A156" s="1042"/>
      <c r="B156" s="1040" t="s">
        <v>712</v>
      </c>
      <c r="G156" s="1050">
        <f t="shared" ref="G156:AF156" si="0">SUM(G10:G13)*1000000*Busbar/(365*24)</f>
        <v>0</v>
      </c>
      <c r="H156" s="1050">
        <f t="shared" si="0"/>
        <v>0</v>
      </c>
      <c r="I156" s="1050">
        <f t="shared" si="0"/>
        <v>0</v>
      </c>
      <c r="J156" s="1050">
        <f t="shared" si="0"/>
        <v>0</v>
      </c>
      <c r="K156" s="1050">
        <f t="shared" si="0"/>
        <v>0</v>
      </c>
      <c r="L156" s="1050">
        <f t="shared" si="0"/>
        <v>0</v>
      </c>
      <c r="M156" s="1050">
        <f t="shared" si="0"/>
        <v>0</v>
      </c>
      <c r="N156" s="1050">
        <f t="shared" si="0"/>
        <v>0</v>
      </c>
      <c r="O156" s="1050">
        <f t="shared" si="0"/>
        <v>0</v>
      </c>
      <c r="P156" s="1050">
        <f t="shared" si="0"/>
        <v>0</v>
      </c>
      <c r="Q156" s="1050">
        <f t="shared" si="0"/>
        <v>0</v>
      </c>
      <c r="R156" s="1050">
        <f t="shared" si="0"/>
        <v>0</v>
      </c>
      <c r="S156" s="1050">
        <f t="shared" si="0"/>
        <v>0</v>
      </c>
      <c r="T156" s="1050">
        <f t="shared" si="0"/>
        <v>0</v>
      </c>
      <c r="U156" s="1050">
        <f t="shared" si="0"/>
        <v>0</v>
      </c>
      <c r="V156" s="1050">
        <f t="shared" si="0"/>
        <v>0</v>
      </c>
      <c r="W156" s="1050">
        <f t="shared" si="0"/>
        <v>0</v>
      </c>
      <c r="X156" s="1050">
        <f t="shared" si="0"/>
        <v>0</v>
      </c>
      <c r="Y156" s="1050">
        <f t="shared" si="0"/>
        <v>0</v>
      </c>
      <c r="Z156" s="1050">
        <f t="shared" si="0"/>
        <v>0</v>
      </c>
      <c r="AA156" s="1050">
        <f t="shared" si="0"/>
        <v>0</v>
      </c>
      <c r="AB156" s="1050">
        <f t="shared" si="0"/>
        <v>0</v>
      </c>
      <c r="AC156" s="1050">
        <f t="shared" si="0"/>
        <v>0</v>
      </c>
      <c r="AD156" s="1050">
        <f t="shared" si="0"/>
        <v>0</v>
      </c>
      <c r="AE156" s="1050">
        <f t="shared" si="0"/>
        <v>0</v>
      </c>
      <c r="AF156" s="1050">
        <f t="shared" si="0"/>
        <v>0</v>
      </c>
    </row>
    <row r="157" spans="1:32" s="1040" customFormat="1" x14ac:dyDescent="0.25">
      <c r="A157" s="1042"/>
      <c r="B157" s="1040" t="s">
        <v>32</v>
      </c>
      <c r="G157" s="1050">
        <f t="shared" ref="G157:AF157" si="1">SUM(G16:G19)*1000000*Busbar/(365*24)</f>
        <v>0</v>
      </c>
      <c r="H157" s="1050">
        <f t="shared" si="1"/>
        <v>0</v>
      </c>
      <c r="I157" s="1050">
        <f t="shared" si="1"/>
        <v>0</v>
      </c>
      <c r="J157" s="1050">
        <f t="shared" si="1"/>
        <v>0</v>
      </c>
      <c r="K157" s="1050">
        <f t="shared" si="1"/>
        <v>0</v>
      </c>
      <c r="L157" s="1050">
        <f t="shared" si="1"/>
        <v>0</v>
      </c>
      <c r="M157" s="1050">
        <f t="shared" si="1"/>
        <v>0</v>
      </c>
      <c r="N157" s="1050">
        <f t="shared" si="1"/>
        <v>0</v>
      </c>
      <c r="O157" s="1050">
        <f t="shared" si="1"/>
        <v>0</v>
      </c>
      <c r="P157" s="1050">
        <f t="shared" si="1"/>
        <v>0</v>
      </c>
      <c r="Q157" s="1050">
        <f t="shared" si="1"/>
        <v>0</v>
      </c>
      <c r="R157" s="1050">
        <f t="shared" si="1"/>
        <v>0</v>
      </c>
      <c r="S157" s="1050">
        <f t="shared" si="1"/>
        <v>0</v>
      </c>
      <c r="T157" s="1050">
        <f t="shared" si="1"/>
        <v>0</v>
      </c>
      <c r="U157" s="1050">
        <f t="shared" si="1"/>
        <v>0</v>
      </c>
      <c r="V157" s="1050">
        <f t="shared" si="1"/>
        <v>0</v>
      </c>
      <c r="W157" s="1050">
        <f t="shared" si="1"/>
        <v>0</v>
      </c>
      <c r="X157" s="1050">
        <f t="shared" si="1"/>
        <v>0</v>
      </c>
      <c r="Y157" s="1050">
        <f t="shared" si="1"/>
        <v>0</v>
      </c>
      <c r="Z157" s="1050">
        <f t="shared" si="1"/>
        <v>0</v>
      </c>
      <c r="AA157" s="1050">
        <f t="shared" si="1"/>
        <v>0</v>
      </c>
      <c r="AB157" s="1050">
        <f t="shared" si="1"/>
        <v>0</v>
      </c>
      <c r="AC157" s="1050">
        <f t="shared" si="1"/>
        <v>0</v>
      </c>
      <c r="AD157" s="1050">
        <f t="shared" si="1"/>
        <v>0</v>
      </c>
      <c r="AE157" s="1050">
        <f t="shared" si="1"/>
        <v>0</v>
      </c>
      <c r="AF157" s="1050">
        <f t="shared" si="1"/>
        <v>0</v>
      </c>
    </row>
    <row r="158" spans="1:32" s="1040" customFormat="1" x14ac:dyDescent="0.25">
      <c r="A158" s="1042"/>
      <c r="B158" s="1040" t="s">
        <v>36</v>
      </c>
      <c r="G158" s="1050">
        <f t="shared" ref="G158:AF158" si="2">SUM(G22:G25)*1000000*Busbar/(365*24)</f>
        <v>0</v>
      </c>
      <c r="H158" s="1050">
        <f t="shared" si="2"/>
        <v>0</v>
      </c>
      <c r="I158" s="1050">
        <f t="shared" si="2"/>
        <v>0</v>
      </c>
      <c r="J158" s="1050">
        <f t="shared" si="2"/>
        <v>0</v>
      </c>
      <c r="K158" s="1050">
        <f t="shared" si="2"/>
        <v>0</v>
      </c>
      <c r="L158" s="1050">
        <f t="shared" si="2"/>
        <v>0</v>
      </c>
      <c r="M158" s="1050">
        <f t="shared" si="2"/>
        <v>0</v>
      </c>
      <c r="N158" s="1050">
        <f t="shared" si="2"/>
        <v>0</v>
      </c>
      <c r="O158" s="1050">
        <f t="shared" si="2"/>
        <v>0</v>
      </c>
      <c r="P158" s="1050">
        <f t="shared" si="2"/>
        <v>0</v>
      </c>
      <c r="Q158" s="1050">
        <f t="shared" si="2"/>
        <v>0</v>
      </c>
      <c r="R158" s="1050">
        <f t="shared" si="2"/>
        <v>0</v>
      </c>
      <c r="S158" s="1050">
        <f t="shared" si="2"/>
        <v>0</v>
      </c>
      <c r="T158" s="1050">
        <f t="shared" si="2"/>
        <v>0</v>
      </c>
      <c r="U158" s="1050">
        <f t="shared" si="2"/>
        <v>0</v>
      </c>
      <c r="V158" s="1050">
        <f t="shared" si="2"/>
        <v>0</v>
      </c>
      <c r="W158" s="1050">
        <f t="shared" si="2"/>
        <v>0</v>
      </c>
      <c r="X158" s="1050">
        <f t="shared" si="2"/>
        <v>0</v>
      </c>
      <c r="Y158" s="1050">
        <f t="shared" si="2"/>
        <v>0</v>
      </c>
      <c r="Z158" s="1050">
        <f t="shared" si="2"/>
        <v>0</v>
      </c>
      <c r="AA158" s="1050">
        <f t="shared" si="2"/>
        <v>0</v>
      </c>
      <c r="AB158" s="1050">
        <f t="shared" si="2"/>
        <v>0</v>
      </c>
      <c r="AC158" s="1050">
        <f t="shared" si="2"/>
        <v>0</v>
      </c>
      <c r="AD158" s="1050">
        <f t="shared" si="2"/>
        <v>0</v>
      </c>
      <c r="AE158" s="1050">
        <f t="shared" si="2"/>
        <v>0</v>
      </c>
      <c r="AF158" s="1050">
        <f t="shared" si="2"/>
        <v>0</v>
      </c>
    </row>
    <row r="159" spans="1:32" s="1040" customFormat="1" x14ac:dyDescent="0.25">
      <c r="A159" s="1042"/>
      <c r="B159" s="1040" t="s">
        <v>42</v>
      </c>
      <c r="G159" s="1050">
        <f t="shared" ref="G159:AF159" si="3">SUM(G28:G32)*1000000*Busbar/(365*24)</f>
        <v>0</v>
      </c>
      <c r="H159" s="1050">
        <f t="shared" si="3"/>
        <v>0</v>
      </c>
      <c r="I159" s="1050">
        <f t="shared" si="3"/>
        <v>0</v>
      </c>
      <c r="J159" s="1050">
        <f t="shared" si="3"/>
        <v>0</v>
      </c>
      <c r="K159" s="1050">
        <f t="shared" si="3"/>
        <v>0</v>
      </c>
      <c r="L159" s="1050">
        <f t="shared" si="3"/>
        <v>0</v>
      </c>
      <c r="M159" s="1050">
        <f t="shared" si="3"/>
        <v>0</v>
      </c>
      <c r="N159" s="1050">
        <f t="shared" si="3"/>
        <v>0</v>
      </c>
      <c r="O159" s="1050">
        <f t="shared" si="3"/>
        <v>0</v>
      </c>
      <c r="P159" s="1050">
        <f t="shared" si="3"/>
        <v>0</v>
      </c>
      <c r="Q159" s="1050">
        <f t="shared" si="3"/>
        <v>0</v>
      </c>
      <c r="R159" s="1050">
        <f t="shared" si="3"/>
        <v>0</v>
      </c>
      <c r="S159" s="1050">
        <f t="shared" si="3"/>
        <v>0</v>
      </c>
      <c r="T159" s="1050">
        <f t="shared" si="3"/>
        <v>0</v>
      </c>
      <c r="U159" s="1050">
        <f t="shared" si="3"/>
        <v>0</v>
      </c>
      <c r="V159" s="1050">
        <f t="shared" si="3"/>
        <v>0</v>
      </c>
      <c r="W159" s="1050">
        <f t="shared" si="3"/>
        <v>0</v>
      </c>
      <c r="X159" s="1050">
        <f t="shared" si="3"/>
        <v>0</v>
      </c>
      <c r="Y159" s="1050">
        <f t="shared" si="3"/>
        <v>0</v>
      </c>
      <c r="Z159" s="1050">
        <f t="shared" si="3"/>
        <v>0</v>
      </c>
      <c r="AA159" s="1050">
        <f t="shared" si="3"/>
        <v>0</v>
      </c>
      <c r="AB159" s="1050">
        <f t="shared" si="3"/>
        <v>0</v>
      </c>
      <c r="AC159" s="1050">
        <f t="shared" si="3"/>
        <v>0</v>
      </c>
      <c r="AD159" s="1050">
        <f t="shared" si="3"/>
        <v>0</v>
      </c>
      <c r="AE159" s="1050">
        <f t="shared" si="3"/>
        <v>0</v>
      </c>
      <c r="AF159" s="1050">
        <f t="shared" si="3"/>
        <v>0</v>
      </c>
    </row>
    <row r="160" spans="1:32" s="1040" customFormat="1" x14ac:dyDescent="0.25">
      <c r="A160" s="1042"/>
      <c r="B160" s="1040" t="s">
        <v>47</v>
      </c>
      <c r="G160" s="1050">
        <f t="shared" ref="G160:AF160" si="4">SUM(G35:G40)*1000000*Busbar/(365*24)</f>
        <v>0</v>
      </c>
      <c r="H160" s="1050">
        <f t="shared" si="4"/>
        <v>0</v>
      </c>
      <c r="I160" s="1050">
        <f t="shared" si="4"/>
        <v>0</v>
      </c>
      <c r="J160" s="1050">
        <f t="shared" si="4"/>
        <v>0</v>
      </c>
      <c r="K160" s="1050">
        <f t="shared" si="4"/>
        <v>0</v>
      </c>
      <c r="L160" s="1050">
        <f t="shared" si="4"/>
        <v>0</v>
      </c>
      <c r="M160" s="1050">
        <f t="shared" si="4"/>
        <v>0</v>
      </c>
      <c r="N160" s="1050">
        <f t="shared" si="4"/>
        <v>0</v>
      </c>
      <c r="O160" s="1050">
        <f t="shared" si="4"/>
        <v>0</v>
      </c>
      <c r="P160" s="1050">
        <f t="shared" si="4"/>
        <v>0</v>
      </c>
      <c r="Q160" s="1050">
        <f t="shared" si="4"/>
        <v>0</v>
      </c>
      <c r="R160" s="1050">
        <f t="shared" si="4"/>
        <v>0</v>
      </c>
      <c r="S160" s="1050">
        <f t="shared" si="4"/>
        <v>0</v>
      </c>
      <c r="T160" s="1050">
        <f t="shared" si="4"/>
        <v>0</v>
      </c>
      <c r="U160" s="1050">
        <f t="shared" si="4"/>
        <v>0</v>
      </c>
      <c r="V160" s="1050">
        <f t="shared" si="4"/>
        <v>0</v>
      </c>
      <c r="W160" s="1050">
        <f t="shared" si="4"/>
        <v>0</v>
      </c>
      <c r="X160" s="1050">
        <f t="shared" si="4"/>
        <v>0</v>
      </c>
      <c r="Y160" s="1050">
        <f t="shared" si="4"/>
        <v>0</v>
      </c>
      <c r="Z160" s="1050">
        <f t="shared" si="4"/>
        <v>0</v>
      </c>
      <c r="AA160" s="1050">
        <f t="shared" si="4"/>
        <v>0</v>
      </c>
      <c r="AB160" s="1050">
        <f t="shared" si="4"/>
        <v>0</v>
      </c>
      <c r="AC160" s="1050">
        <f t="shared" si="4"/>
        <v>0</v>
      </c>
      <c r="AD160" s="1050">
        <f t="shared" si="4"/>
        <v>0</v>
      </c>
      <c r="AE160" s="1050">
        <f t="shared" si="4"/>
        <v>0</v>
      </c>
      <c r="AF160" s="1050">
        <f t="shared" si="4"/>
        <v>0</v>
      </c>
    </row>
    <row r="161" spans="1:32" s="1040" customFormat="1" x14ac:dyDescent="0.25"/>
    <row r="162" spans="1:32" s="1040" customFormat="1" x14ac:dyDescent="0.25">
      <c r="A162" s="1047" t="s">
        <v>56</v>
      </c>
      <c r="B162" s="1048"/>
      <c r="C162" s="1047"/>
      <c r="D162" s="1046"/>
      <c r="E162" s="1046"/>
      <c r="F162" s="1046"/>
      <c r="G162" s="1046"/>
      <c r="H162" s="1046"/>
      <c r="I162" s="1046"/>
      <c r="J162" s="1046"/>
      <c r="K162" s="1046"/>
      <c r="L162" s="1046"/>
      <c r="M162" s="1046"/>
      <c r="N162" s="1046"/>
      <c r="O162" s="1046"/>
      <c r="P162" s="1046"/>
      <c r="Q162" s="1046"/>
      <c r="R162" s="1046"/>
      <c r="S162" s="1046"/>
      <c r="T162" s="1046"/>
      <c r="U162" s="1046"/>
      <c r="V162" s="1046"/>
      <c r="W162" s="1046"/>
      <c r="X162" s="1046"/>
      <c r="Y162" s="1046"/>
      <c r="Z162" s="1046"/>
      <c r="AA162" s="1046"/>
      <c r="AB162" s="1046"/>
      <c r="AC162" s="1046"/>
      <c r="AD162" s="1046"/>
      <c r="AE162" s="1046"/>
      <c r="AF162" s="1046"/>
    </row>
    <row r="163" spans="1:32" s="1040" customFormat="1" x14ac:dyDescent="0.25">
      <c r="A163" s="1042" t="s">
        <v>12</v>
      </c>
      <c r="B163" s="1041"/>
    </row>
    <row r="164" spans="1:32" s="1040" customFormat="1" x14ac:dyDescent="0.25">
      <c r="A164" s="1042"/>
      <c r="B164" s="1040" t="s">
        <v>712</v>
      </c>
      <c r="F164"/>
      <c r="G164" s="1050">
        <f t="shared" ref="G164:AF164" si="5">SUM(G47:G50)*1000000*Busbar/(365*24)</f>
        <v>0</v>
      </c>
      <c r="H164" s="1050">
        <f t="shared" si="5"/>
        <v>0</v>
      </c>
      <c r="I164" s="1050">
        <f t="shared" si="5"/>
        <v>0</v>
      </c>
      <c r="J164" s="1050">
        <f t="shared" si="5"/>
        <v>0</v>
      </c>
      <c r="K164" s="1050">
        <f t="shared" si="5"/>
        <v>0</v>
      </c>
      <c r="L164" s="1050">
        <f t="shared" si="5"/>
        <v>0</v>
      </c>
      <c r="M164" s="1050">
        <f t="shared" si="5"/>
        <v>0</v>
      </c>
      <c r="N164" s="1050">
        <f t="shared" si="5"/>
        <v>0</v>
      </c>
      <c r="O164" s="1050">
        <f t="shared" si="5"/>
        <v>0</v>
      </c>
      <c r="P164" s="1050">
        <f t="shared" si="5"/>
        <v>0</v>
      </c>
      <c r="Q164" s="1050">
        <f t="shared" si="5"/>
        <v>0</v>
      </c>
      <c r="R164" s="1050">
        <f t="shared" si="5"/>
        <v>0</v>
      </c>
      <c r="S164" s="1050">
        <f t="shared" si="5"/>
        <v>0</v>
      </c>
      <c r="T164" s="1050">
        <f t="shared" si="5"/>
        <v>0</v>
      </c>
      <c r="U164" s="1050">
        <f t="shared" si="5"/>
        <v>0</v>
      </c>
      <c r="V164" s="1050">
        <f t="shared" si="5"/>
        <v>0</v>
      </c>
      <c r="W164" s="1050">
        <f t="shared" si="5"/>
        <v>0</v>
      </c>
      <c r="X164" s="1050">
        <f t="shared" si="5"/>
        <v>0</v>
      </c>
      <c r="Y164" s="1050">
        <f t="shared" si="5"/>
        <v>0</v>
      </c>
      <c r="Z164" s="1050">
        <f t="shared" si="5"/>
        <v>0</v>
      </c>
      <c r="AA164" s="1050">
        <f t="shared" si="5"/>
        <v>0</v>
      </c>
      <c r="AB164" s="1050">
        <f t="shared" si="5"/>
        <v>0</v>
      </c>
      <c r="AC164" s="1050">
        <f t="shared" si="5"/>
        <v>0</v>
      </c>
      <c r="AD164" s="1050">
        <f t="shared" si="5"/>
        <v>0</v>
      </c>
      <c r="AE164" s="1050">
        <f t="shared" si="5"/>
        <v>0</v>
      </c>
      <c r="AF164" s="1050">
        <f t="shared" si="5"/>
        <v>0</v>
      </c>
    </row>
    <row r="165" spans="1:32" s="1040" customFormat="1" x14ac:dyDescent="0.25">
      <c r="A165" s="1042"/>
      <c r="B165" s="1040" t="s">
        <v>32</v>
      </c>
      <c r="F165"/>
      <c r="G165" s="1050">
        <f t="shared" ref="G165:AF165" si="6">SUM(G53:G56)*1000000*Busbar/(365*24)</f>
        <v>0</v>
      </c>
      <c r="H165" s="1050">
        <f t="shared" si="6"/>
        <v>0</v>
      </c>
      <c r="I165" s="1050">
        <f t="shared" si="6"/>
        <v>0</v>
      </c>
      <c r="J165" s="1050">
        <f t="shared" si="6"/>
        <v>0</v>
      </c>
      <c r="K165" s="1050">
        <f t="shared" si="6"/>
        <v>0</v>
      </c>
      <c r="L165" s="1050">
        <f t="shared" si="6"/>
        <v>0</v>
      </c>
      <c r="M165" s="1050">
        <f t="shared" si="6"/>
        <v>0</v>
      </c>
      <c r="N165" s="1050">
        <f t="shared" si="6"/>
        <v>0</v>
      </c>
      <c r="O165" s="1050">
        <f t="shared" si="6"/>
        <v>0</v>
      </c>
      <c r="P165" s="1050">
        <f t="shared" si="6"/>
        <v>0</v>
      </c>
      <c r="Q165" s="1050">
        <f t="shared" si="6"/>
        <v>0</v>
      </c>
      <c r="R165" s="1050">
        <f t="shared" si="6"/>
        <v>0</v>
      </c>
      <c r="S165" s="1050">
        <f t="shared" si="6"/>
        <v>0</v>
      </c>
      <c r="T165" s="1050">
        <f t="shared" si="6"/>
        <v>0</v>
      </c>
      <c r="U165" s="1050">
        <f t="shared" si="6"/>
        <v>0</v>
      </c>
      <c r="V165" s="1050">
        <f t="shared" si="6"/>
        <v>0</v>
      </c>
      <c r="W165" s="1050">
        <f t="shared" si="6"/>
        <v>0</v>
      </c>
      <c r="X165" s="1050">
        <f t="shared" si="6"/>
        <v>0</v>
      </c>
      <c r="Y165" s="1050">
        <f t="shared" si="6"/>
        <v>0</v>
      </c>
      <c r="Z165" s="1050">
        <f t="shared" si="6"/>
        <v>0</v>
      </c>
      <c r="AA165" s="1050">
        <f t="shared" si="6"/>
        <v>0</v>
      </c>
      <c r="AB165" s="1050">
        <f t="shared" si="6"/>
        <v>0</v>
      </c>
      <c r="AC165" s="1050">
        <f t="shared" si="6"/>
        <v>0</v>
      </c>
      <c r="AD165" s="1050">
        <f t="shared" si="6"/>
        <v>0</v>
      </c>
      <c r="AE165" s="1050">
        <f t="shared" si="6"/>
        <v>0</v>
      </c>
      <c r="AF165" s="1050">
        <f t="shared" si="6"/>
        <v>0</v>
      </c>
    </row>
    <row r="166" spans="1:32" s="1040" customFormat="1" x14ac:dyDescent="0.25">
      <c r="A166" s="1042"/>
      <c r="B166" s="1040" t="s">
        <v>36</v>
      </c>
      <c r="F166"/>
      <c r="G166" s="1050">
        <f t="shared" ref="G166:AF166" si="7">SUM(G59:G62)*1000000*Busbar/(365*24)</f>
        <v>0</v>
      </c>
      <c r="H166" s="1050">
        <f t="shared" si="7"/>
        <v>0</v>
      </c>
      <c r="I166" s="1050">
        <f t="shared" si="7"/>
        <v>0</v>
      </c>
      <c r="J166" s="1050">
        <f t="shared" si="7"/>
        <v>0</v>
      </c>
      <c r="K166" s="1050">
        <f t="shared" si="7"/>
        <v>0</v>
      </c>
      <c r="L166" s="1050">
        <f t="shared" si="7"/>
        <v>0</v>
      </c>
      <c r="M166" s="1050">
        <f t="shared" si="7"/>
        <v>0</v>
      </c>
      <c r="N166" s="1050">
        <f t="shared" si="7"/>
        <v>0</v>
      </c>
      <c r="O166" s="1050">
        <f t="shared" si="7"/>
        <v>0</v>
      </c>
      <c r="P166" s="1050">
        <f t="shared" si="7"/>
        <v>0</v>
      </c>
      <c r="Q166" s="1050">
        <f t="shared" si="7"/>
        <v>0</v>
      </c>
      <c r="R166" s="1050">
        <f t="shared" si="7"/>
        <v>0</v>
      </c>
      <c r="S166" s="1050">
        <f t="shared" si="7"/>
        <v>0</v>
      </c>
      <c r="T166" s="1050">
        <f t="shared" si="7"/>
        <v>0</v>
      </c>
      <c r="U166" s="1050">
        <f t="shared" si="7"/>
        <v>0</v>
      </c>
      <c r="V166" s="1050">
        <f t="shared" si="7"/>
        <v>0</v>
      </c>
      <c r="W166" s="1050">
        <f t="shared" si="7"/>
        <v>0</v>
      </c>
      <c r="X166" s="1050">
        <f t="shared" si="7"/>
        <v>0</v>
      </c>
      <c r="Y166" s="1050">
        <f t="shared" si="7"/>
        <v>0</v>
      </c>
      <c r="Z166" s="1050">
        <f t="shared" si="7"/>
        <v>0</v>
      </c>
      <c r="AA166" s="1050">
        <f t="shared" si="7"/>
        <v>0</v>
      </c>
      <c r="AB166" s="1050">
        <f t="shared" si="7"/>
        <v>0</v>
      </c>
      <c r="AC166" s="1050">
        <f t="shared" si="7"/>
        <v>0</v>
      </c>
      <c r="AD166" s="1050">
        <f t="shared" si="7"/>
        <v>0</v>
      </c>
      <c r="AE166" s="1050">
        <f t="shared" si="7"/>
        <v>0</v>
      </c>
      <c r="AF166" s="1050">
        <f t="shared" si="7"/>
        <v>0</v>
      </c>
    </row>
    <row r="167" spans="1:32" s="1040" customFormat="1" x14ac:dyDescent="0.25">
      <c r="A167" s="1042"/>
      <c r="B167" s="1040" t="s">
        <v>42</v>
      </c>
      <c r="F167"/>
      <c r="G167" s="1050">
        <f t="shared" ref="G167:AF167" si="8">SUM(G65:G69)*1000000*Busbar/(365*24)</f>
        <v>0</v>
      </c>
      <c r="H167" s="1050">
        <f t="shared" si="8"/>
        <v>0</v>
      </c>
      <c r="I167" s="1050">
        <f t="shared" si="8"/>
        <v>0</v>
      </c>
      <c r="J167" s="1050">
        <f t="shared" si="8"/>
        <v>0</v>
      </c>
      <c r="K167" s="1050">
        <f t="shared" si="8"/>
        <v>0</v>
      </c>
      <c r="L167" s="1050">
        <f t="shared" si="8"/>
        <v>0</v>
      </c>
      <c r="M167" s="1050">
        <f t="shared" si="8"/>
        <v>0</v>
      </c>
      <c r="N167" s="1050">
        <f t="shared" si="8"/>
        <v>0</v>
      </c>
      <c r="O167" s="1050">
        <f t="shared" si="8"/>
        <v>0</v>
      </c>
      <c r="P167" s="1050">
        <f t="shared" si="8"/>
        <v>0</v>
      </c>
      <c r="Q167" s="1050">
        <f t="shared" si="8"/>
        <v>0</v>
      </c>
      <c r="R167" s="1050">
        <f t="shared" si="8"/>
        <v>0</v>
      </c>
      <c r="S167" s="1050">
        <f t="shared" si="8"/>
        <v>0</v>
      </c>
      <c r="T167" s="1050">
        <f t="shared" si="8"/>
        <v>0</v>
      </c>
      <c r="U167" s="1050">
        <f t="shared" si="8"/>
        <v>0</v>
      </c>
      <c r="V167" s="1050">
        <f t="shared" si="8"/>
        <v>0</v>
      </c>
      <c r="W167" s="1050">
        <f t="shared" si="8"/>
        <v>0</v>
      </c>
      <c r="X167" s="1050">
        <f t="shared" si="8"/>
        <v>0</v>
      </c>
      <c r="Y167" s="1050">
        <f t="shared" si="8"/>
        <v>0</v>
      </c>
      <c r="Z167" s="1050">
        <f t="shared" si="8"/>
        <v>0</v>
      </c>
      <c r="AA167" s="1050">
        <f t="shared" si="8"/>
        <v>0</v>
      </c>
      <c r="AB167" s="1050">
        <f t="shared" si="8"/>
        <v>0</v>
      </c>
      <c r="AC167" s="1050">
        <f t="shared" si="8"/>
        <v>0</v>
      </c>
      <c r="AD167" s="1050">
        <f t="shared" si="8"/>
        <v>0</v>
      </c>
      <c r="AE167" s="1050">
        <f t="shared" si="8"/>
        <v>0</v>
      </c>
      <c r="AF167" s="1050">
        <f t="shared" si="8"/>
        <v>0</v>
      </c>
    </row>
    <row r="168" spans="1:32" s="1040" customFormat="1" x14ac:dyDescent="0.25">
      <c r="A168" s="1042"/>
      <c r="B168" s="1040" t="s">
        <v>47</v>
      </c>
      <c r="F168"/>
      <c r="G168" s="1050">
        <f t="shared" ref="G168:AF168" si="9">SUM(G72:G77)*1000000*Busbar/(365*24)</f>
        <v>0</v>
      </c>
      <c r="H168" s="1050">
        <f t="shared" si="9"/>
        <v>0</v>
      </c>
      <c r="I168" s="1050">
        <f t="shared" si="9"/>
        <v>0</v>
      </c>
      <c r="J168" s="1050">
        <f t="shared" si="9"/>
        <v>0</v>
      </c>
      <c r="K168" s="1050">
        <f t="shared" si="9"/>
        <v>0</v>
      </c>
      <c r="L168" s="1050">
        <f t="shared" si="9"/>
        <v>0</v>
      </c>
      <c r="M168" s="1050">
        <f t="shared" si="9"/>
        <v>0</v>
      </c>
      <c r="N168" s="1050">
        <f t="shared" si="9"/>
        <v>0</v>
      </c>
      <c r="O168" s="1050">
        <f t="shared" si="9"/>
        <v>0</v>
      </c>
      <c r="P168" s="1050">
        <f t="shared" si="9"/>
        <v>0</v>
      </c>
      <c r="Q168" s="1050">
        <f t="shared" si="9"/>
        <v>0</v>
      </c>
      <c r="R168" s="1050">
        <f t="shared" si="9"/>
        <v>0</v>
      </c>
      <c r="S168" s="1050">
        <f t="shared" si="9"/>
        <v>0</v>
      </c>
      <c r="T168" s="1050">
        <f t="shared" si="9"/>
        <v>0</v>
      </c>
      <c r="U168" s="1050">
        <f t="shared" si="9"/>
        <v>0</v>
      </c>
      <c r="V168" s="1050">
        <f t="shared" si="9"/>
        <v>0</v>
      </c>
      <c r="W168" s="1050">
        <f t="shared" si="9"/>
        <v>0</v>
      </c>
      <c r="X168" s="1050">
        <f t="shared" si="9"/>
        <v>0</v>
      </c>
      <c r="Y168" s="1050">
        <f t="shared" si="9"/>
        <v>0</v>
      </c>
      <c r="Z168" s="1050">
        <f t="shared" si="9"/>
        <v>0</v>
      </c>
      <c r="AA168" s="1050">
        <f t="shared" si="9"/>
        <v>0</v>
      </c>
      <c r="AB168" s="1050">
        <f t="shared" si="9"/>
        <v>0</v>
      </c>
      <c r="AC168" s="1050">
        <f t="shared" si="9"/>
        <v>0</v>
      </c>
      <c r="AD168" s="1050">
        <f t="shared" si="9"/>
        <v>0</v>
      </c>
      <c r="AE168" s="1050">
        <f t="shared" si="9"/>
        <v>0</v>
      </c>
      <c r="AF168" s="1050">
        <f t="shared" si="9"/>
        <v>0</v>
      </c>
    </row>
    <row r="169" spans="1:32" s="1040" customFormat="1" x14ac:dyDescent="0.25">
      <c r="G169" s="1050"/>
      <c r="H169" s="1050"/>
      <c r="I169" s="1050"/>
      <c r="J169" s="1050"/>
      <c r="K169" s="1050"/>
      <c r="L169" s="1050"/>
      <c r="M169" s="1050"/>
      <c r="N169" s="1050"/>
      <c r="O169" s="1050"/>
      <c r="P169" s="1050"/>
      <c r="Q169" s="1050"/>
      <c r="R169" s="1050"/>
      <c r="S169" s="1050"/>
      <c r="T169" s="1050"/>
      <c r="U169" s="1050"/>
      <c r="V169" s="1050"/>
      <c r="W169" s="1050"/>
      <c r="X169" s="1050"/>
      <c r="Y169" s="1050"/>
      <c r="Z169" s="1050"/>
      <c r="AA169" s="1050"/>
      <c r="AB169" s="1050"/>
      <c r="AC169" s="1050"/>
      <c r="AD169" s="1050"/>
      <c r="AE169" s="1050"/>
      <c r="AF169" s="1050"/>
    </row>
    <row r="170" spans="1:32" s="1040" customFormat="1" x14ac:dyDescent="0.25">
      <c r="A170" s="1047" t="s">
        <v>57</v>
      </c>
      <c r="B170" s="1048"/>
      <c r="C170" s="1047"/>
      <c r="D170" s="1046"/>
      <c r="E170" s="1046"/>
      <c r="F170" s="1046"/>
      <c r="G170" s="1038"/>
      <c r="H170" s="1038"/>
      <c r="I170" s="1038"/>
      <c r="J170" s="1038"/>
      <c r="K170" s="1038"/>
      <c r="L170" s="1038"/>
      <c r="M170" s="1038"/>
      <c r="N170" s="1038"/>
      <c r="O170" s="1038"/>
      <c r="P170" s="1038"/>
      <c r="Q170" s="1038"/>
      <c r="R170" s="1038"/>
      <c r="S170" s="1038"/>
      <c r="T170" s="1038"/>
      <c r="U170" s="1038"/>
      <c r="V170" s="1038"/>
      <c r="W170" s="1038"/>
      <c r="X170" s="1038"/>
      <c r="Y170" s="1038"/>
      <c r="Z170" s="1038"/>
      <c r="AA170" s="1038"/>
      <c r="AB170" s="1038"/>
      <c r="AC170" s="1038"/>
      <c r="AD170" s="1038"/>
      <c r="AE170" s="1038"/>
      <c r="AF170" s="1038"/>
    </row>
    <row r="171" spans="1:32" s="1040" customFormat="1" x14ac:dyDescent="0.25">
      <c r="A171" s="1042" t="s">
        <v>12</v>
      </c>
      <c r="B171" s="1041"/>
      <c r="G171" s="1050"/>
      <c r="H171" s="1050"/>
      <c r="I171" s="1050"/>
      <c r="J171" s="1050"/>
      <c r="K171" s="1050"/>
      <c r="L171" s="1050"/>
      <c r="M171" s="1050"/>
      <c r="N171" s="1050"/>
      <c r="O171" s="1050"/>
      <c r="P171" s="1050"/>
      <c r="Q171" s="1050"/>
      <c r="R171" s="1050"/>
      <c r="S171" s="1050"/>
      <c r="T171" s="1050"/>
      <c r="U171" s="1050"/>
      <c r="V171" s="1050"/>
      <c r="W171" s="1050"/>
      <c r="X171" s="1050"/>
      <c r="Y171" s="1050"/>
      <c r="Z171" s="1050"/>
      <c r="AA171" s="1050"/>
      <c r="AB171" s="1050"/>
      <c r="AC171" s="1050"/>
      <c r="AD171" s="1050"/>
      <c r="AE171" s="1050"/>
      <c r="AF171" s="1050"/>
    </row>
    <row r="172" spans="1:32" s="1040" customFormat="1" x14ac:dyDescent="0.25">
      <c r="A172" s="1042"/>
      <c r="B172" s="1040" t="s">
        <v>712</v>
      </c>
      <c r="F172" s="838"/>
      <c r="G172" s="1050">
        <f t="shared" ref="G172:AF172" si="10">SUM(G84:G87)*1000000*Busbar/(365*24)</f>
        <v>0</v>
      </c>
      <c r="H172" s="1050">
        <f t="shared" si="10"/>
        <v>0</v>
      </c>
      <c r="I172" s="1050">
        <f t="shared" si="10"/>
        <v>0</v>
      </c>
      <c r="J172" s="1050">
        <f t="shared" si="10"/>
        <v>0</v>
      </c>
      <c r="K172" s="1050">
        <f t="shared" si="10"/>
        <v>0</v>
      </c>
      <c r="L172" s="1050">
        <f t="shared" si="10"/>
        <v>0</v>
      </c>
      <c r="M172" s="1050">
        <f t="shared" si="10"/>
        <v>0</v>
      </c>
      <c r="N172" s="1050">
        <f t="shared" si="10"/>
        <v>0</v>
      </c>
      <c r="O172" s="1050">
        <f t="shared" si="10"/>
        <v>0</v>
      </c>
      <c r="P172" s="1050">
        <f t="shared" si="10"/>
        <v>0</v>
      </c>
      <c r="Q172" s="1050">
        <f t="shared" si="10"/>
        <v>0</v>
      </c>
      <c r="R172" s="1050">
        <f t="shared" si="10"/>
        <v>0</v>
      </c>
      <c r="S172" s="1050">
        <f t="shared" si="10"/>
        <v>0</v>
      </c>
      <c r="T172" s="1050">
        <f t="shared" si="10"/>
        <v>0</v>
      </c>
      <c r="U172" s="1050">
        <f t="shared" si="10"/>
        <v>0</v>
      </c>
      <c r="V172" s="1050">
        <f t="shared" si="10"/>
        <v>0</v>
      </c>
      <c r="W172" s="1050">
        <f t="shared" si="10"/>
        <v>0</v>
      </c>
      <c r="X172" s="1050">
        <f t="shared" si="10"/>
        <v>0</v>
      </c>
      <c r="Y172" s="1050">
        <f t="shared" si="10"/>
        <v>0</v>
      </c>
      <c r="Z172" s="1050">
        <f t="shared" si="10"/>
        <v>0</v>
      </c>
      <c r="AA172" s="1050">
        <f t="shared" si="10"/>
        <v>0</v>
      </c>
      <c r="AB172" s="1050">
        <f t="shared" si="10"/>
        <v>0</v>
      </c>
      <c r="AC172" s="1050">
        <f t="shared" si="10"/>
        <v>0</v>
      </c>
      <c r="AD172" s="1050">
        <f t="shared" si="10"/>
        <v>0</v>
      </c>
      <c r="AE172" s="1050">
        <f t="shared" si="10"/>
        <v>0</v>
      </c>
      <c r="AF172" s="1050">
        <f t="shared" si="10"/>
        <v>0</v>
      </c>
    </row>
    <row r="173" spans="1:32" s="1040" customFormat="1" x14ac:dyDescent="0.25">
      <c r="A173" s="1042"/>
      <c r="B173" s="1040" t="s">
        <v>32</v>
      </c>
      <c r="F173" s="838"/>
      <c r="G173" s="1050">
        <f t="shared" ref="G173:AF173" si="11">SUM(G90:G93)*1000000*Busbar/(365*24)</f>
        <v>0</v>
      </c>
      <c r="H173" s="1050">
        <f t="shared" si="11"/>
        <v>0</v>
      </c>
      <c r="I173" s="1050">
        <f t="shared" si="11"/>
        <v>0</v>
      </c>
      <c r="J173" s="1050">
        <f t="shared" si="11"/>
        <v>0</v>
      </c>
      <c r="K173" s="1050">
        <f t="shared" si="11"/>
        <v>0</v>
      </c>
      <c r="L173" s="1050">
        <f t="shared" si="11"/>
        <v>0</v>
      </c>
      <c r="M173" s="1050">
        <f t="shared" si="11"/>
        <v>0</v>
      </c>
      <c r="N173" s="1050">
        <f t="shared" si="11"/>
        <v>0</v>
      </c>
      <c r="O173" s="1050">
        <f t="shared" si="11"/>
        <v>0</v>
      </c>
      <c r="P173" s="1050">
        <f t="shared" si="11"/>
        <v>0</v>
      </c>
      <c r="Q173" s="1050">
        <f t="shared" si="11"/>
        <v>0</v>
      </c>
      <c r="R173" s="1050">
        <f t="shared" si="11"/>
        <v>0</v>
      </c>
      <c r="S173" s="1050">
        <f t="shared" si="11"/>
        <v>0</v>
      </c>
      <c r="T173" s="1050">
        <f t="shared" si="11"/>
        <v>0</v>
      </c>
      <c r="U173" s="1050">
        <f t="shared" si="11"/>
        <v>0</v>
      </c>
      <c r="V173" s="1050">
        <f t="shared" si="11"/>
        <v>0</v>
      </c>
      <c r="W173" s="1050">
        <f t="shared" si="11"/>
        <v>0</v>
      </c>
      <c r="X173" s="1050">
        <f t="shared" si="11"/>
        <v>0</v>
      </c>
      <c r="Y173" s="1050">
        <f t="shared" si="11"/>
        <v>0</v>
      </c>
      <c r="Z173" s="1050">
        <f t="shared" si="11"/>
        <v>0</v>
      </c>
      <c r="AA173" s="1050">
        <f t="shared" si="11"/>
        <v>0</v>
      </c>
      <c r="AB173" s="1050">
        <f t="shared" si="11"/>
        <v>0</v>
      </c>
      <c r="AC173" s="1050">
        <f t="shared" si="11"/>
        <v>0</v>
      </c>
      <c r="AD173" s="1050">
        <f t="shared" si="11"/>
        <v>0</v>
      </c>
      <c r="AE173" s="1050">
        <f t="shared" si="11"/>
        <v>0</v>
      </c>
      <c r="AF173" s="1050">
        <f t="shared" si="11"/>
        <v>0</v>
      </c>
    </row>
    <row r="174" spans="1:32" s="1040" customFormat="1" x14ac:dyDescent="0.25">
      <c r="A174" s="1042"/>
      <c r="B174" s="1040" t="s">
        <v>36</v>
      </c>
      <c r="F174" s="838"/>
      <c r="G174" s="1050">
        <f t="shared" ref="G174:AF174" si="12">SUM(G96:G99)*1000000*Busbar/(365*24)</f>
        <v>0</v>
      </c>
      <c r="H174" s="1050">
        <f t="shared" si="12"/>
        <v>0</v>
      </c>
      <c r="I174" s="1050">
        <f t="shared" si="12"/>
        <v>0</v>
      </c>
      <c r="J174" s="1050">
        <f t="shared" si="12"/>
        <v>0</v>
      </c>
      <c r="K174" s="1050">
        <f t="shared" si="12"/>
        <v>0</v>
      </c>
      <c r="L174" s="1050">
        <f t="shared" si="12"/>
        <v>0</v>
      </c>
      <c r="M174" s="1050">
        <f t="shared" si="12"/>
        <v>0</v>
      </c>
      <c r="N174" s="1050">
        <f t="shared" si="12"/>
        <v>0</v>
      </c>
      <c r="O174" s="1050">
        <f t="shared" si="12"/>
        <v>0</v>
      </c>
      <c r="P174" s="1050">
        <f t="shared" si="12"/>
        <v>0</v>
      </c>
      <c r="Q174" s="1050">
        <f t="shared" si="12"/>
        <v>0</v>
      </c>
      <c r="R174" s="1050">
        <f t="shared" si="12"/>
        <v>0</v>
      </c>
      <c r="S174" s="1050">
        <f t="shared" si="12"/>
        <v>0</v>
      </c>
      <c r="T174" s="1050">
        <f t="shared" si="12"/>
        <v>0</v>
      </c>
      <c r="U174" s="1050">
        <f t="shared" si="12"/>
        <v>0</v>
      </c>
      <c r="V174" s="1050">
        <f t="shared" si="12"/>
        <v>0</v>
      </c>
      <c r="W174" s="1050">
        <f t="shared" si="12"/>
        <v>0</v>
      </c>
      <c r="X174" s="1050">
        <f t="shared" si="12"/>
        <v>0</v>
      </c>
      <c r="Y174" s="1050">
        <f t="shared" si="12"/>
        <v>0</v>
      </c>
      <c r="Z174" s="1050">
        <f t="shared" si="12"/>
        <v>0</v>
      </c>
      <c r="AA174" s="1050">
        <f t="shared" si="12"/>
        <v>0</v>
      </c>
      <c r="AB174" s="1050">
        <f t="shared" si="12"/>
        <v>0</v>
      </c>
      <c r="AC174" s="1050">
        <f t="shared" si="12"/>
        <v>0</v>
      </c>
      <c r="AD174" s="1050">
        <f t="shared" si="12"/>
        <v>0</v>
      </c>
      <c r="AE174" s="1050">
        <f t="shared" si="12"/>
        <v>0</v>
      </c>
      <c r="AF174" s="1050">
        <f t="shared" si="12"/>
        <v>0</v>
      </c>
    </row>
    <row r="175" spans="1:32" s="1040" customFormat="1" x14ac:dyDescent="0.25">
      <c r="A175" s="1042"/>
      <c r="B175" s="1040" t="s">
        <v>42</v>
      </c>
      <c r="F175"/>
      <c r="G175" s="1050">
        <f t="shared" ref="G175:AF175" si="13">SUM(G102:G106)*1000000*Busbar/(365*24)</f>
        <v>0</v>
      </c>
      <c r="H175" s="1050">
        <f t="shared" si="13"/>
        <v>0</v>
      </c>
      <c r="I175" s="1050">
        <f t="shared" si="13"/>
        <v>0</v>
      </c>
      <c r="J175" s="1050">
        <f t="shared" si="13"/>
        <v>0</v>
      </c>
      <c r="K175" s="1050">
        <f t="shared" si="13"/>
        <v>0</v>
      </c>
      <c r="L175" s="1050">
        <f t="shared" si="13"/>
        <v>0</v>
      </c>
      <c r="M175" s="1050">
        <f t="shared" si="13"/>
        <v>0</v>
      </c>
      <c r="N175" s="1050">
        <f t="shared" si="13"/>
        <v>0</v>
      </c>
      <c r="O175" s="1050">
        <f t="shared" si="13"/>
        <v>0</v>
      </c>
      <c r="P175" s="1050">
        <f t="shared" si="13"/>
        <v>0</v>
      </c>
      <c r="Q175" s="1050">
        <f t="shared" si="13"/>
        <v>0</v>
      </c>
      <c r="R175" s="1050">
        <f t="shared" si="13"/>
        <v>0</v>
      </c>
      <c r="S175" s="1050">
        <f t="shared" si="13"/>
        <v>0</v>
      </c>
      <c r="T175" s="1050">
        <f t="shared" si="13"/>
        <v>0</v>
      </c>
      <c r="U175" s="1050">
        <f t="shared" si="13"/>
        <v>0</v>
      </c>
      <c r="V175" s="1050">
        <f t="shared" si="13"/>
        <v>0</v>
      </c>
      <c r="W175" s="1050">
        <f t="shared" si="13"/>
        <v>0</v>
      </c>
      <c r="X175" s="1050">
        <f t="shared" si="13"/>
        <v>0</v>
      </c>
      <c r="Y175" s="1050">
        <f t="shared" si="13"/>
        <v>0</v>
      </c>
      <c r="Z175" s="1050">
        <f t="shared" si="13"/>
        <v>0</v>
      </c>
      <c r="AA175" s="1050">
        <f t="shared" si="13"/>
        <v>0</v>
      </c>
      <c r="AB175" s="1050">
        <f t="shared" si="13"/>
        <v>0</v>
      </c>
      <c r="AC175" s="1050">
        <f t="shared" si="13"/>
        <v>0</v>
      </c>
      <c r="AD175" s="1050">
        <f t="shared" si="13"/>
        <v>0</v>
      </c>
      <c r="AE175" s="1050">
        <f t="shared" si="13"/>
        <v>0</v>
      </c>
      <c r="AF175" s="1050">
        <f t="shared" si="13"/>
        <v>0</v>
      </c>
    </row>
    <row r="176" spans="1:32" s="1040" customFormat="1" x14ac:dyDescent="0.25">
      <c r="A176" s="1042"/>
      <c r="B176" s="1040" t="s">
        <v>47</v>
      </c>
      <c r="F176"/>
      <c r="G176" s="1050">
        <f t="shared" ref="G176:AF176" si="14">SUM(G109:G114)*1000000*Busbar/(365*24)</f>
        <v>0</v>
      </c>
      <c r="H176" s="1050">
        <f t="shared" si="14"/>
        <v>0</v>
      </c>
      <c r="I176" s="1050">
        <f t="shared" si="14"/>
        <v>0</v>
      </c>
      <c r="J176" s="1050">
        <f t="shared" si="14"/>
        <v>0</v>
      </c>
      <c r="K176" s="1050">
        <f t="shared" si="14"/>
        <v>0</v>
      </c>
      <c r="L176" s="1050">
        <f t="shared" si="14"/>
        <v>0</v>
      </c>
      <c r="M176" s="1050">
        <f t="shared" si="14"/>
        <v>0</v>
      </c>
      <c r="N176" s="1050">
        <f t="shared" si="14"/>
        <v>0</v>
      </c>
      <c r="O176" s="1050">
        <f t="shared" si="14"/>
        <v>0</v>
      </c>
      <c r="P176" s="1050">
        <f t="shared" si="14"/>
        <v>0</v>
      </c>
      <c r="Q176" s="1050">
        <f t="shared" si="14"/>
        <v>0</v>
      </c>
      <c r="R176" s="1050">
        <f t="shared" si="14"/>
        <v>0</v>
      </c>
      <c r="S176" s="1050">
        <f t="shared" si="14"/>
        <v>0</v>
      </c>
      <c r="T176" s="1050">
        <f t="shared" si="14"/>
        <v>0</v>
      </c>
      <c r="U176" s="1050">
        <f t="shared" si="14"/>
        <v>0</v>
      </c>
      <c r="V176" s="1050">
        <f t="shared" si="14"/>
        <v>0</v>
      </c>
      <c r="W176" s="1050">
        <f t="shared" si="14"/>
        <v>0</v>
      </c>
      <c r="X176" s="1050">
        <f t="shared" si="14"/>
        <v>0</v>
      </c>
      <c r="Y176" s="1050">
        <f t="shared" si="14"/>
        <v>0</v>
      </c>
      <c r="Z176" s="1050">
        <f t="shared" si="14"/>
        <v>0</v>
      </c>
      <c r="AA176" s="1050">
        <f t="shared" si="14"/>
        <v>0</v>
      </c>
      <c r="AB176" s="1050">
        <f t="shared" si="14"/>
        <v>0</v>
      </c>
      <c r="AC176" s="1050">
        <f t="shared" si="14"/>
        <v>0</v>
      </c>
      <c r="AD176" s="1050">
        <f t="shared" si="14"/>
        <v>0</v>
      </c>
      <c r="AE176" s="1050">
        <f t="shared" si="14"/>
        <v>0</v>
      </c>
      <c r="AF176" s="1050">
        <f t="shared" si="14"/>
        <v>0</v>
      </c>
    </row>
    <row r="177" spans="1:32" s="1040" customFormat="1" x14ac:dyDescent="0.25">
      <c r="G177" s="1050"/>
      <c r="H177" s="1050"/>
      <c r="I177" s="1050"/>
      <c r="J177" s="1050"/>
      <c r="K177" s="1050"/>
      <c r="L177" s="1050"/>
      <c r="M177" s="1050"/>
      <c r="N177" s="1050"/>
      <c r="O177" s="1050"/>
      <c r="P177" s="1050"/>
      <c r="Q177" s="1050"/>
      <c r="R177" s="1050"/>
      <c r="S177" s="1050"/>
      <c r="T177" s="1050"/>
      <c r="U177" s="1050"/>
      <c r="V177" s="1050"/>
      <c r="W177" s="1050"/>
      <c r="X177" s="1050"/>
      <c r="Y177" s="1050"/>
      <c r="Z177" s="1050"/>
      <c r="AA177" s="1050"/>
      <c r="AB177" s="1050"/>
      <c r="AC177" s="1050"/>
      <c r="AD177" s="1050"/>
      <c r="AE177" s="1050"/>
      <c r="AF177" s="1050"/>
    </row>
    <row r="178" spans="1:32" s="1040" customFormat="1" x14ac:dyDescent="0.25">
      <c r="A178" s="1047" t="s">
        <v>54</v>
      </c>
      <c r="B178" s="1048"/>
      <c r="C178" s="1047"/>
      <c r="D178" s="1046"/>
      <c r="E178" s="1046"/>
      <c r="F178" s="1046"/>
      <c r="G178" s="1038"/>
      <c r="H178" s="1038"/>
      <c r="I178" s="1038"/>
      <c r="J178" s="1038"/>
      <c r="K178" s="1038"/>
      <c r="L178" s="1038"/>
      <c r="M178" s="1038"/>
      <c r="N178" s="1038"/>
      <c r="O178" s="1038"/>
      <c r="P178" s="1038"/>
      <c r="Q178" s="1038"/>
      <c r="R178" s="1038"/>
      <c r="S178" s="1038"/>
      <c r="T178" s="1038"/>
      <c r="U178" s="1038"/>
      <c r="V178" s="1038"/>
      <c r="W178" s="1038"/>
      <c r="X178" s="1038"/>
      <c r="Y178" s="1038"/>
      <c r="Z178" s="1038"/>
      <c r="AA178" s="1038"/>
      <c r="AB178" s="1038"/>
      <c r="AC178" s="1038"/>
      <c r="AD178" s="1038"/>
      <c r="AE178" s="1038"/>
      <c r="AF178" s="1038"/>
    </row>
    <row r="179" spans="1:32" s="1040" customFormat="1" x14ac:dyDescent="0.25">
      <c r="A179" s="1042" t="s">
        <v>12</v>
      </c>
      <c r="B179" s="1041"/>
      <c r="G179" s="1050"/>
      <c r="H179" s="1050"/>
      <c r="I179" s="1050"/>
      <c r="J179" s="1050"/>
      <c r="K179" s="1050"/>
      <c r="L179" s="1050"/>
      <c r="M179" s="1050"/>
      <c r="N179" s="1050"/>
      <c r="O179" s="1050"/>
      <c r="P179" s="1050"/>
      <c r="Q179" s="1050"/>
      <c r="R179" s="1050"/>
      <c r="S179" s="1050"/>
      <c r="T179" s="1050"/>
      <c r="U179" s="1050"/>
      <c r="V179" s="1050"/>
      <c r="W179" s="1050"/>
      <c r="X179" s="1050"/>
      <c r="Y179" s="1050"/>
      <c r="Z179" s="1050"/>
      <c r="AA179" s="1050"/>
      <c r="AB179" s="1050"/>
      <c r="AC179" s="1050"/>
      <c r="AD179" s="1050"/>
      <c r="AE179" s="1050"/>
      <c r="AF179" s="1050"/>
    </row>
    <row r="180" spans="1:32" s="1040" customFormat="1" x14ac:dyDescent="0.25">
      <c r="A180" s="1042"/>
      <c r="B180" s="1040" t="s">
        <v>712</v>
      </c>
      <c r="F180" s="838"/>
      <c r="G180" s="1050">
        <f t="shared" ref="G180:AF180" si="15">SUM(G121:G124)*1000000*Busbar/(365*24)</f>
        <v>0</v>
      </c>
      <c r="H180" s="1050">
        <f t="shared" si="15"/>
        <v>0</v>
      </c>
      <c r="I180" s="1050">
        <f t="shared" si="15"/>
        <v>0</v>
      </c>
      <c r="J180" s="1050">
        <f t="shared" si="15"/>
        <v>0</v>
      </c>
      <c r="K180" s="1050">
        <f t="shared" si="15"/>
        <v>0</v>
      </c>
      <c r="L180" s="1050">
        <f t="shared" si="15"/>
        <v>0</v>
      </c>
      <c r="M180" s="1050">
        <f t="shared" si="15"/>
        <v>0</v>
      </c>
      <c r="N180" s="1050">
        <f t="shared" si="15"/>
        <v>0</v>
      </c>
      <c r="O180" s="1050">
        <f t="shared" si="15"/>
        <v>0</v>
      </c>
      <c r="P180" s="1050">
        <f t="shared" si="15"/>
        <v>0</v>
      </c>
      <c r="Q180" s="1050">
        <f t="shared" si="15"/>
        <v>0</v>
      </c>
      <c r="R180" s="1050">
        <f t="shared" si="15"/>
        <v>0</v>
      </c>
      <c r="S180" s="1050">
        <f t="shared" si="15"/>
        <v>0</v>
      </c>
      <c r="T180" s="1050">
        <f t="shared" si="15"/>
        <v>0</v>
      </c>
      <c r="U180" s="1050">
        <f t="shared" si="15"/>
        <v>0</v>
      </c>
      <c r="V180" s="1050">
        <f t="shared" si="15"/>
        <v>0</v>
      </c>
      <c r="W180" s="1050">
        <f t="shared" si="15"/>
        <v>0</v>
      </c>
      <c r="X180" s="1050">
        <f t="shared" si="15"/>
        <v>0</v>
      </c>
      <c r="Y180" s="1050">
        <f t="shared" si="15"/>
        <v>0</v>
      </c>
      <c r="Z180" s="1050">
        <f t="shared" si="15"/>
        <v>0</v>
      </c>
      <c r="AA180" s="1050">
        <f t="shared" si="15"/>
        <v>0</v>
      </c>
      <c r="AB180" s="1050">
        <f t="shared" si="15"/>
        <v>0</v>
      </c>
      <c r="AC180" s="1050">
        <f t="shared" si="15"/>
        <v>0</v>
      </c>
      <c r="AD180" s="1050">
        <f t="shared" si="15"/>
        <v>0</v>
      </c>
      <c r="AE180" s="1050">
        <f t="shared" si="15"/>
        <v>0</v>
      </c>
      <c r="AF180" s="1050">
        <f t="shared" si="15"/>
        <v>0</v>
      </c>
    </row>
    <row r="181" spans="1:32" s="1040" customFormat="1" x14ac:dyDescent="0.25">
      <c r="A181" s="1042"/>
      <c r="B181" s="1040" t="s">
        <v>32</v>
      </c>
      <c r="F181" s="838"/>
      <c r="G181" s="1050">
        <f t="shared" ref="G181:AF181" si="16">SUM(G127:G130)*1000000*Busbar/(365*24)</f>
        <v>0</v>
      </c>
      <c r="H181" s="1050">
        <f t="shared" si="16"/>
        <v>0</v>
      </c>
      <c r="I181" s="1050">
        <f t="shared" si="16"/>
        <v>0</v>
      </c>
      <c r="J181" s="1050">
        <f t="shared" si="16"/>
        <v>0</v>
      </c>
      <c r="K181" s="1050">
        <f t="shared" si="16"/>
        <v>0</v>
      </c>
      <c r="L181" s="1050">
        <f t="shared" si="16"/>
        <v>0</v>
      </c>
      <c r="M181" s="1050">
        <f t="shared" si="16"/>
        <v>0</v>
      </c>
      <c r="N181" s="1050">
        <f t="shared" si="16"/>
        <v>0</v>
      </c>
      <c r="O181" s="1050">
        <f t="shared" si="16"/>
        <v>0</v>
      </c>
      <c r="P181" s="1050">
        <f t="shared" si="16"/>
        <v>0</v>
      </c>
      <c r="Q181" s="1050">
        <f t="shared" si="16"/>
        <v>0</v>
      </c>
      <c r="R181" s="1050">
        <f t="shared" si="16"/>
        <v>0</v>
      </c>
      <c r="S181" s="1050">
        <f t="shared" si="16"/>
        <v>0</v>
      </c>
      <c r="T181" s="1050">
        <f t="shared" si="16"/>
        <v>0</v>
      </c>
      <c r="U181" s="1050">
        <f t="shared" si="16"/>
        <v>0</v>
      </c>
      <c r="V181" s="1050">
        <f t="shared" si="16"/>
        <v>0</v>
      </c>
      <c r="W181" s="1050">
        <f t="shared" si="16"/>
        <v>0</v>
      </c>
      <c r="X181" s="1050">
        <f t="shared" si="16"/>
        <v>0</v>
      </c>
      <c r="Y181" s="1050">
        <f t="shared" si="16"/>
        <v>0</v>
      </c>
      <c r="Z181" s="1050">
        <f t="shared" si="16"/>
        <v>0</v>
      </c>
      <c r="AA181" s="1050">
        <f t="shared" si="16"/>
        <v>0</v>
      </c>
      <c r="AB181" s="1050">
        <f t="shared" si="16"/>
        <v>0</v>
      </c>
      <c r="AC181" s="1050">
        <f t="shared" si="16"/>
        <v>0</v>
      </c>
      <c r="AD181" s="1050">
        <f t="shared" si="16"/>
        <v>0</v>
      </c>
      <c r="AE181" s="1050">
        <f t="shared" si="16"/>
        <v>0</v>
      </c>
      <c r="AF181" s="1050">
        <f t="shared" si="16"/>
        <v>0</v>
      </c>
    </row>
    <row r="182" spans="1:32" s="1040" customFormat="1" x14ac:dyDescent="0.25">
      <c r="A182" s="1042"/>
      <c r="B182" s="1040" t="s">
        <v>36</v>
      </c>
      <c r="F182" s="838"/>
      <c r="G182" s="1050">
        <f t="shared" ref="G182:AF182" si="17">SUM(G133:G136)*1000000*Busbar/(365*24)</f>
        <v>0</v>
      </c>
      <c r="H182" s="1050">
        <f t="shared" si="17"/>
        <v>0</v>
      </c>
      <c r="I182" s="1050">
        <f t="shared" si="17"/>
        <v>0</v>
      </c>
      <c r="J182" s="1050">
        <f t="shared" si="17"/>
        <v>0</v>
      </c>
      <c r="K182" s="1050">
        <f t="shared" si="17"/>
        <v>0</v>
      </c>
      <c r="L182" s="1050">
        <f t="shared" si="17"/>
        <v>0</v>
      </c>
      <c r="M182" s="1050">
        <f t="shared" si="17"/>
        <v>0</v>
      </c>
      <c r="N182" s="1050">
        <f t="shared" si="17"/>
        <v>0</v>
      </c>
      <c r="O182" s="1050">
        <f t="shared" si="17"/>
        <v>0</v>
      </c>
      <c r="P182" s="1050">
        <f t="shared" si="17"/>
        <v>0</v>
      </c>
      <c r="Q182" s="1050">
        <f t="shared" si="17"/>
        <v>0</v>
      </c>
      <c r="R182" s="1050">
        <f t="shared" si="17"/>
        <v>0</v>
      </c>
      <c r="S182" s="1050">
        <f t="shared" si="17"/>
        <v>0</v>
      </c>
      <c r="T182" s="1050">
        <f t="shared" si="17"/>
        <v>0</v>
      </c>
      <c r="U182" s="1050">
        <f t="shared" si="17"/>
        <v>0</v>
      </c>
      <c r="V182" s="1050">
        <f t="shared" si="17"/>
        <v>0</v>
      </c>
      <c r="W182" s="1050">
        <f t="shared" si="17"/>
        <v>0</v>
      </c>
      <c r="X182" s="1050">
        <f t="shared" si="17"/>
        <v>0</v>
      </c>
      <c r="Y182" s="1050">
        <f t="shared" si="17"/>
        <v>0</v>
      </c>
      <c r="Z182" s="1050">
        <f t="shared" si="17"/>
        <v>0</v>
      </c>
      <c r="AA182" s="1050">
        <f t="shared" si="17"/>
        <v>0</v>
      </c>
      <c r="AB182" s="1050">
        <f t="shared" si="17"/>
        <v>0</v>
      </c>
      <c r="AC182" s="1050">
        <f t="shared" si="17"/>
        <v>0</v>
      </c>
      <c r="AD182" s="1050">
        <f t="shared" si="17"/>
        <v>0</v>
      </c>
      <c r="AE182" s="1050">
        <f t="shared" si="17"/>
        <v>0</v>
      </c>
      <c r="AF182" s="1050">
        <f t="shared" si="17"/>
        <v>0</v>
      </c>
    </row>
    <row r="183" spans="1:32" s="1040" customFormat="1" x14ac:dyDescent="0.25">
      <c r="A183" s="1042"/>
      <c r="B183" s="1040" t="s">
        <v>42</v>
      </c>
      <c r="F183" s="838"/>
      <c r="G183" s="1050">
        <f t="shared" ref="G183:AF183" si="18">SUM(G139:G143)*1000000*Busbar/(365*24)</f>
        <v>0</v>
      </c>
      <c r="H183" s="1050">
        <f t="shared" si="18"/>
        <v>0</v>
      </c>
      <c r="I183" s="1050">
        <f t="shared" si="18"/>
        <v>0</v>
      </c>
      <c r="J183" s="1050">
        <f t="shared" si="18"/>
        <v>0</v>
      </c>
      <c r="K183" s="1050">
        <f t="shared" si="18"/>
        <v>0</v>
      </c>
      <c r="L183" s="1050">
        <f t="shared" si="18"/>
        <v>0</v>
      </c>
      <c r="M183" s="1050">
        <f t="shared" si="18"/>
        <v>0</v>
      </c>
      <c r="N183" s="1050">
        <f t="shared" si="18"/>
        <v>0</v>
      </c>
      <c r="O183" s="1050">
        <f t="shared" si="18"/>
        <v>0</v>
      </c>
      <c r="P183" s="1050">
        <f t="shared" si="18"/>
        <v>0</v>
      </c>
      <c r="Q183" s="1050">
        <f t="shared" si="18"/>
        <v>0</v>
      </c>
      <c r="R183" s="1050">
        <f t="shared" si="18"/>
        <v>0</v>
      </c>
      <c r="S183" s="1050">
        <f t="shared" si="18"/>
        <v>0</v>
      </c>
      <c r="T183" s="1050">
        <f t="shared" si="18"/>
        <v>0</v>
      </c>
      <c r="U183" s="1050">
        <f t="shared" si="18"/>
        <v>0</v>
      </c>
      <c r="V183" s="1050">
        <f t="shared" si="18"/>
        <v>0</v>
      </c>
      <c r="W183" s="1050">
        <f t="shared" si="18"/>
        <v>0</v>
      </c>
      <c r="X183" s="1050">
        <f t="shared" si="18"/>
        <v>0</v>
      </c>
      <c r="Y183" s="1050">
        <f t="shared" si="18"/>
        <v>0</v>
      </c>
      <c r="Z183" s="1050">
        <f t="shared" si="18"/>
        <v>0</v>
      </c>
      <c r="AA183" s="1050">
        <f t="shared" si="18"/>
        <v>0</v>
      </c>
      <c r="AB183" s="1050">
        <f t="shared" si="18"/>
        <v>0</v>
      </c>
      <c r="AC183" s="1050">
        <f t="shared" si="18"/>
        <v>0</v>
      </c>
      <c r="AD183" s="1050">
        <f t="shared" si="18"/>
        <v>0</v>
      </c>
      <c r="AE183" s="1050">
        <f t="shared" si="18"/>
        <v>0</v>
      </c>
      <c r="AF183" s="1050">
        <f t="shared" si="18"/>
        <v>0</v>
      </c>
    </row>
    <row r="184" spans="1:32" s="1040" customFormat="1" x14ac:dyDescent="0.25">
      <c r="A184" s="1042"/>
      <c r="B184" s="1040" t="s">
        <v>47</v>
      </c>
      <c r="F184" s="838"/>
      <c r="G184" s="1050">
        <f t="shared" ref="G184:AF184" si="19">SUM(G146:G151)*1000000*Busbar/(365*24)</f>
        <v>0</v>
      </c>
      <c r="H184" s="1050">
        <f t="shared" si="19"/>
        <v>0</v>
      </c>
      <c r="I184" s="1050">
        <f t="shared" si="19"/>
        <v>0</v>
      </c>
      <c r="J184" s="1050">
        <f t="shared" si="19"/>
        <v>0</v>
      </c>
      <c r="K184" s="1050">
        <f t="shared" si="19"/>
        <v>0</v>
      </c>
      <c r="L184" s="1050">
        <f t="shared" si="19"/>
        <v>0</v>
      </c>
      <c r="M184" s="1050">
        <f t="shared" si="19"/>
        <v>0</v>
      </c>
      <c r="N184" s="1050">
        <f t="shared" si="19"/>
        <v>0</v>
      </c>
      <c r="O184" s="1050">
        <f t="shared" si="19"/>
        <v>0</v>
      </c>
      <c r="P184" s="1050">
        <f t="shared" si="19"/>
        <v>0</v>
      </c>
      <c r="Q184" s="1050">
        <f t="shared" si="19"/>
        <v>0</v>
      </c>
      <c r="R184" s="1050">
        <f t="shared" si="19"/>
        <v>0</v>
      </c>
      <c r="S184" s="1050">
        <f t="shared" si="19"/>
        <v>0</v>
      </c>
      <c r="T184" s="1050">
        <f t="shared" si="19"/>
        <v>0</v>
      </c>
      <c r="U184" s="1050">
        <f t="shared" si="19"/>
        <v>0</v>
      </c>
      <c r="V184" s="1050">
        <f t="shared" si="19"/>
        <v>0</v>
      </c>
      <c r="W184" s="1050">
        <f t="shared" si="19"/>
        <v>0</v>
      </c>
      <c r="X184" s="1050">
        <f t="shared" si="19"/>
        <v>0</v>
      </c>
      <c r="Y184" s="1050">
        <f t="shared" si="19"/>
        <v>0</v>
      </c>
      <c r="Z184" s="1050">
        <f t="shared" si="19"/>
        <v>0</v>
      </c>
      <c r="AA184" s="1050">
        <f t="shared" si="19"/>
        <v>0</v>
      </c>
      <c r="AB184" s="1050">
        <f t="shared" si="19"/>
        <v>0</v>
      </c>
      <c r="AC184" s="1050">
        <f t="shared" si="19"/>
        <v>0</v>
      </c>
      <c r="AD184" s="1050">
        <f t="shared" si="19"/>
        <v>0</v>
      </c>
      <c r="AE184" s="1050">
        <f t="shared" si="19"/>
        <v>0</v>
      </c>
      <c r="AF184" s="1050">
        <f t="shared" si="19"/>
        <v>0</v>
      </c>
    </row>
    <row r="185" spans="1:32" s="1040" customFormat="1" x14ac:dyDescent="0.25"/>
    <row r="186" spans="1:32" x14ac:dyDescent="0.25">
      <c r="I186" s="1059">
        <f>SUM(I146:I151)*1000000/(365*24)</f>
        <v>0</v>
      </c>
      <c r="J186" s="1059">
        <f>SUM(J146:J151)*1000000/(365*24)</f>
        <v>0</v>
      </c>
      <c r="K186" s="1059">
        <f>SUM(K146:K151)*1000000/(365*24)</f>
        <v>0</v>
      </c>
      <c r="L186" s="1059">
        <f>SUM(L146:L151)*1000000/(365*24)</f>
        <v>0</v>
      </c>
      <c r="M186" s="1059">
        <f>SUM(M146:M151)*1000000/(365*24)</f>
        <v>0</v>
      </c>
    </row>
    <row r="188" spans="1:32" s="893" customFormat="1" x14ac:dyDescent="0.25">
      <c r="A188" s="897" t="s">
        <v>709</v>
      </c>
      <c r="B188" s="898"/>
      <c r="C188" s="897"/>
      <c r="D188" s="896"/>
      <c r="E188" s="896"/>
      <c r="F188" s="896"/>
      <c r="G188" s="896"/>
      <c r="H188" s="894"/>
      <c r="I188" s="894"/>
      <c r="J188" s="894"/>
      <c r="K188" s="894"/>
      <c r="L188" s="894"/>
      <c r="M188" s="894"/>
      <c r="N188" s="894"/>
      <c r="O188" s="894"/>
      <c r="P188" s="894"/>
      <c r="Q188" s="894"/>
      <c r="R188" s="894"/>
      <c r="S188" s="894"/>
      <c r="T188" s="894"/>
      <c r="U188" s="894"/>
      <c r="V188" s="894"/>
      <c r="W188" s="894"/>
      <c r="X188" s="894"/>
      <c r="Y188" s="894"/>
      <c r="Z188" s="894"/>
      <c r="AA188" s="894"/>
      <c r="AB188" s="894"/>
      <c r="AC188" s="894"/>
      <c r="AD188" s="894"/>
      <c r="AE188" s="894"/>
      <c r="AF188" s="894"/>
    </row>
    <row r="189" spans="1:32" s="838" customFormat="1" x14ac:dyDescent="0.25">
      <c r="A189" s="840" t="s">
        <v>237</v>
      </c>
      <c r="B189" s="839"/>
    </row>
    <row r="190" spans="1:32" s="838" customFormat="1" x14ac:dyDescent="0.25">
      <c r="B190" s="838" t="s">
        <v>55</v>
      </c>
      <c r="G190" s="854">
        <f>SUM(G156:G160)</f>
        <v>0</v>
      </c>
      <c r="H190" s="1045">
        <f t="shared" ref="H190:AF190" si="20">SUM(H156:H160)</f>
        <v>0</v>
      </c>
      <c r="I190" s="1045">
        <f t="shared" si="20"/>
        <v>0</v>
      </c>
      <c r="J190" s="1045">
        <f t="shared" si="20"/>
        <v>0</v>
      </c>
      <c r="K190" s="1045">
        <f t="shared" si="20"/>
        <v>0</v>
      </c>
      <c r="L190" s="1045">
        <f t="shared" si="20"/>
        <v>0</v>
      </c>
      <c r="M190" s="1045">
        <f t="shared" si="20"/>
        <v>0</v>
      </c>
      <c r="N190" s="1045">
        <f t="shared" si="20"/>
        <v>0</v>
      </c>
      <c r="O190" s="1045">
        <f t="shared" si="20"/>
        <v>0</v>
      </c>
      <c r="P190" s="1045">
        <f t="shared" si="20"/>
        <v>0</v>
      </c>
      <c r="Q190" s="1045">
        <f t="shared" si="20"/>
        <v>0</v>
      </c>
      <c r="R190" s="1045">
        <f t="shared" si="20"/>
        <v>0</v>
      </c>
      <c r="S190" s="1045">
        <f t="shared" si="20"/>
        <v>0</v>
      </c>
      <c r="T190" s="1045">
        <f t="shared" si="20"/>
        <v>0</v>
      </c>
      <c r="U190" s="1045">
        <f t="shared" si="20"/>
        <v>0</v>
      </c>
      <c r="V190" s="1045">
        <f t="shared" si="20"/>
        <v>0</v>
      </c>
      <c r="W190" s="1045">
        <f t="shared" si="20"/>
        <v>0</v>
      </c>
      <c r="X190" s="1045">
        <f t="shared" si="20"/>
        <v>0</v>
      </c>
      <c r="Y190" s="1045">
        <f t="shared" si="20"/>
        <v>0</v>
      </c>
      <c r="Z190" s="1045">
        <f t="shared" si="20"/>
        <v>0</v>
      </c>
      <c r="AA190" s="1045">
        <f t="shared" si="20"/>
        <v>0</v>
      </c>
      <c r="AB190" s="1045">
        <f t="shared" si="20"/>
        <v>0</v>
      </c>
      <c r="AC190" s="1045">
        <f t="shared" si="20"/>
        <v>0</v>
      </c>
      <c r="AD190" s="1045">
        <f t="shared" si="20"/>
        <v>0</v>
      </c>
      <c r="AE190" s="1045">
        <f t="shared" si="20"/>
        <v>0</v>
      </c>
      <c r="AF190" s="1045">
        <f t="shared" si="20"/>
        <v>0</v>
      </c>
    </row>
    <row r="191" spans="1:32" s="838" customFormat="1" x14ac:dyDescent="0.25">
      <c r="B191" s="838" t="s">
        <v>56</v>
      </c>
      <c r="G191" s="1045">
        <f>SUM(G164:G168)</f>
        <v>0</v>
      </c>
      <c r="H191" s="1045">
        <f t="shared" ref="H191:AF191" si="21">SUM(H164:H168)</f>
        <v>0</v>
      </c>
      <c r="I191" s="1045">
        <f t="shared" si="21"/>
        <v>0</v>
      </c>
      <c r="J191" s="1045">
        <f t="shared" si="21"/>
        <v>0</v>
      </c>
      <c r="K191" s="1045">
        <f t="shared" si="21"/>
        <v>0</v>
      </c>
      <c r="L191" s="1045">
        <f t="shared" si="21"/>
        <v>0</v>
      </c>
      <c r="M191" s="1045">
        <f t="shared" si="21"/>
        <v>0</v>
      </c>
      <c r="N191" s="1045">
        <f t="shared" si="21"/>
        <v>0</v>
      </c>
      <c r="O191" s="1045">
        <f t="shared" si="21"/>
        <v>0</v>
      </c>
      <c r="P191" s="1045">
        <f t="shared" si="21"/>
        <v>0</v>
      </c>
      <c r="Q191" s="1045">
        <f t="shared" si="21"/>
        <v>0</v>
      </c>
      <c r="R191" s="1045">
        <f t="shared" si="21"/>
        <v>0</v>
      </c>
      <c r="S191" s="1045">
        <f t="shared" si="21"/>
        <v>0</v>
      </c>
      <c r="T191" s="1045">
        <f t="shared" si="21"/>
        <v>0</v>
      </c>
      <c r="U191" s="1045">
        <f t="shared" si="21"/>
        <v>0</v>
      </c>
      <c r="V191" s="1045">
        <f t="shared" si="21"/>
        <v>0</v>
      </c>
      <c r="W191" s="1045">
        <f t="shared" si="21"/>
        <v>0</v>
      </c>
      <c r="X191" s="1045">
        <f t="shared" si="21"/>
        <v>0</v>
      </c>
      <c r="Y191" s="1045">
        <f t="shared" si="21"/>
        <v>0</v>
      </c>
      <c r="Z191" s="1045">
        <f t="shared" si="21"/>
        <v>0</v>
      </c>
      <c r="AA191" s="1045">
        <f t="shared" si="21"/>
        <v>0</v>
      </c>
      <c r="AB191" s="1045">
        <f t="shared" si="21"/>
        <v>0</v>
      </c>
      <c r="AC191" s="1045">
        <f t="shared" si="21"/>
        <v>0</v>
      </c>
      <c r="AD191" s="1045">
        <f t="shared" si="21"/>
        <v>0</v>
      </c>
      <c r="AE191" s="1045">
        <f t="shared" si="21"/>
        <v>0</v>
      </c>
      <c r="AF191" s="1045">
        <f t="shared" si="21"/>
        <v>0</v>
      </c>
    </row>
    <row r="192" spans="1:32" s="838" customFormat="1" x14ac:dyDescent="0.25">
      <c r="B192" s="838" t="s">
        <v>57</v>
      </c>
      <c r="G192" s="1045">
        <f>SUM(G172:G176)</f>
        <v>0</v>
      </c>
      <c r="H192" s="1045">
        <f t="shared" ref="H192:AF192" si="22">SUM(H172:H176)</f>
        <v>0</v>
      </c>
      <c r="I192" s="1045">
        <f t="shared" si="22"/>
        <v>0</v>
      </c>
      <c r="J192" s="1045">
        <f t="shared" si="22"/>
        <v>0</v>
      </c>
      <c r="K192" s="1045">
        <f t="shared" si="22"/>
        <v>0</v>
      </c>
      <c r="L192" s="1045">
        <f t="shared" si="22"/>
        <v>0</v>
      </c>
      <c r="M192" s="1045">
        <f t="shared" si="22"/>
        <v>0</v>
      </c>
      <c r="N192" s="1045">
        <f t="shared" si="22"/>
        <v>0</v>
      </c>
      <c r="O192" s="1045">
        <f t="shared" si="22"/>
        <v>0</v>
      </c>
      <c r="P192" s="1045">
        <f t="shared" si="22"/>
        <v>0</v>
      </c>
      <c r="Q192" s="1045">
        <f t="shared" si="22"/>
        <v>0</v>
      </c>
      <c r="R192" s="1045">
        <f t="shared" si="22"/>
        <v>0</v>
      </c>
      <c r="S192" s="1045">
        <f t="shared" si="22"/>
        <v>0</v>
      </c>
      <c r="T192" s="1045">
        <f t="shared" si="22"/>
        <v>0</v>
      </c>
      <c r="U192" s="1045">
        <f t="shared" si="22"/>
        <v>0</v>
      </c>
      <c r="V192" s="1045">
        <f t="shared" si="22"/>
        <v>0</v>
      </c>
      <c r="W192" s="1045">
        <f t="shared" si="22"/>
        <v>0</v>
      </c>
      <c r="X192" s="1045">
        <f t="shared" si="22"/>
        <v>0</v>
      </c>
      <c r="Y192" s="1045">
        <f t="shared" si="22"/>
        <v>0</v>
      </c>
      <c r="Z192" s="1045">
        <f t="shared" si="22"/>
        <v>0</v>
      </c>
      <c r="AA192" s="1045">
        <f t="shared" si="22"/>
        <v>0</v>
      </c>
      <c r="AB192" s="1045">
        <f t="shared" si="22"/>
        <v>0</v>
      </c>
      <c r="AC192" s="1045">
        <f t="shared" si="22"/>
        <v>0</v>
      </c>
      <c r="AD192" s="1045">
        <f t="shared" si="22"/>
        <v>0</v>
      </c>
      <c r="AE192" s="1045">
        <f t="shared" si="22"/>
        <v>0</v>
      </c>
      <c r="AF192" s="1045">
        <f t="shared" si="22"/>
        <v>0</v>
      </c>
    </row>
    <row r="193" spans="1:32" s="838" customFormat="1" x14ac:dyDescent="0.25">
      <c r="B193" s="838" t="s">
        <v>54</v>
      </c>
      <c r="G193" s="1045">
        <f>SUM(G180:G184)</f>
        <v>0</v>
      </c>
      <c r="H193" s="1045">
        <f t="shared" ref="H193:AF193" si="23">SUM(H180:H184)</f>
        <v>0</v>
      </c>
      <c r="I193" s="1045">
        <f t="shared" si="23"/>
        <v>0</v>
      </c>
      <c r="J193" s="1045">
        <f t="shared" si="23"/>
        <v>0</v>
      </c>
      <c r="K193" s="1045">
        <f t="shared" si="23"/>
        <v>0</v>
      </c>
      <c r="L193" s="1045">
        <f t="shared" si="23"/>
        <v>0</v>
      </c>
      <c r="M193" s="1045">
        <f t="shared" si="23"/>
        <v>0</v>
      </c>
      <c r="N193" s="1045">
        <f t="shared" si="23"/>
        <v>0</v>
      </c>
      <c r="O193" s="1045">
        <f t="shared" si="23"/>
        <v>0</v>
      </c>
      <c r="P193" s="1045">
        <f t="shared" si="23"/>
        <v>0</v>
      </c>
      <c r="Q193" s="1045">
        <f t="shared" si="23"/>
        <v>0</v>
      </c>
      <c r="R193" s="1045">
        <f t="shared" si="23"/>
        <v>0</v>
      </c>
      <c r="S193" s="1045">
        <f t="shared" si="23"/>
        <v>0</v>
      </c>
      <c r="T193" s="1045">
        <f t="shared" si="23"/>
        <v>0</v>
      </c>
      <c r="U193" s="1045">
        <f t="shared" si="23"/>
        <v>0</v>
      </c>
      <c r="V193" s="1045">
        <f t="shared" si="23"/>
        <v>0</v>
      </c>
      <c r="W193" s="1045">
        <f t="shared" si="23"/>
        <v>0</v>
      </c>
      <c r="X193" s="1045">
        <f t="shared" si="23"/>
        <v>0</v>
      </c>
      <c r="Y193" s="1045">
        <f t="shared" si="23"/>
        <v>0</v>
      </c>
      <c r="Z193" s="1045">
        <f t="shared" si="23"/>
        <v>0</v>
      </c>
      <c r="AA193" s="1045">
        <f t="shared" si="23"/>
        <v>0</v>
      </c>
      <c r="AB193" s="1045">
        <f t="shared" si="23"/>
        <v>0</v>
      </c>
      <c r="AC193" s="1045">
        <f t="shared" si="23"/>
        <v>0</v>
      </c>
      <c r="AD193" s="1045">
        <f t="shared" si="23"/>
        <v>0</v>
      </c>
      <c r="AE193" s="1045">
        <f t="shared" si="23"/>
        <v>0</v>
      </c>
      <c r="AF193" s="1045">
        <f t="shared" si="23"/>
        <v>0</v>
      </c>
    </row>
    <row r="196" spans="1:32" s="893" customFormat="1" x14ac:dyDescent="0.25">
      <c r="A196" s="897" t="s">
        <v>709</v>
      </c>
      <c r="B196" s="898"/>
      <c r="C196" s="897"/>
      <c r="D196" s="896"/>
      <c r="E196" s="896"/>
      <c r="F196" s="896"/>
      <c r="G196" s="896"/>
      <c r="H196" s="894"/>
      <c r="I196" s="894"/>
      <c r="J196" s="894"/>
      <c r="K196" s="894"/>
      <c r="L196" s="894"/>
      <c r="M196" s="894"/>
      <c r="N196" s="894"/>
      <c r="O196" s="894"/>
      <c r="P196" s="894"/>
      <c r="Q196" s="894"/>
      <c r="R196" s="894"/>
      <c r="S196" s="894"/>
      <c r="T196" s="894"/>
      <c r="U196" s="894"/>
      <c r="V196" s="894"/>
      <c r="W196" s="894"/>
      <c r="X196" s="894"/>
      <c r="Y196" s="894"/>
      <c r="Z196" s="894"/>
      <c r="AA196" s="894"/>
      <c r="AB196" s="894"/>
      <c r="AC196" s="894"/>
      <c r="AD196" s="894"/>
      <c r="AE196" s="894"/>
      <c r="AF196" s="894"/>
    </row>
    <row r="197" spans="1:32" s="838" customFormat="1" x14ac:dyDescent="0.25">
      <c r="A197" s="840" t="s">
        <v>237</v>
      </c>
      <c r="B197" s="839"/>
    </row>
    <row r="198" spans="1:32" s="838" customFormat="1" x14ac:dyDescent="0.25">
      <c r="B198" s="1040" t="s">
        <v>712</v>
      </c>
      <c r="G198" s="1045">
        <f>SUM(G156,G164,G172,G180)</f>
        <v>0</v>
      </c>
      <c r="H198" s="1045">
        <f>SUM(H156,H164,H172,H180)</f>
        <v>0</v>
      </c>
      <c r="I198" s="1045">
        <f>SUM(I156,I164,I172,I180)</f>
        <v>0</v>
      </c>
      <c r="J198" s="1045">
        <f>SUM(J156,J164,J172,J180)</f>
        <v>0</v>
      </c>
      <c r="K198" s="1045">
        <f>SUM(K156,K164,K172,K180)</f>
        <v>0</v>
      </c>
      <c r="L198" s="1045">
        <f t="shared" ref="L198:AF198" si="24">SUM(L156,L164,L172,L180)</f>
        <v>0</v>
      </c>
      <c r="M198" s="1045">
        <f t="shared" si="24"/>
        <v>0</v>
      </c>
      <c r="N198" s="1045">
        <f t="shared" si="24"/>
        <v>0</v>
      </c>
      <c r="O198" s="1045">
        <f t="shared" si="24"/>
        <v>0</v>
      </c>
      <c r="P198" s="1045">
        <f t="shared" si="24"/>
        <v>0</v>
      </c>
      <c r="Q198" s="1045">
        <f t="shared" si="24"/>
        <v>0</v>
      </c>
      <c r="R198" s="1045">
        <f t="shared" si="24"/>
        <v>0</v>
      </c>
      <c r="S198" s="1045">
        <f t="shared" si="24"/>
        <v>0</v>
      </c>
      <c r="T198" s="1045">
        <f t="shared" si="24"/>
        <v>0</v>
      </c>
      <c r="U198" s="1045">
        <f t="shared" si="24"/>
        <v>0</v>
      </c>
      <c r="V198" s="1045">
        <f t="shared" si="24"/>
        <v>0</v>
      </c>
      <c r="W198" s="1045">
        <f t="shared" si="24"/>
        <v>0</v>
      </c>
      <c r="X198" s="1045">
        <f t="shared" si="24"/>
        <v>0</v>
      </c>
      <c r="Y198" s="1045">
        <f t="shared" si="24"/>
        <v>0</v>
      </c>
      <c r="Z198" s="1045">
        <f t="shared" si="24"/>
        <v>0</v>
      </c>
      <c r="AA198" s="1045">
        <f t="shared" si="24"/>
        <v>0</v>
      </c>
      <c r="AB198" s="1045">
        <f t="shared" si="24"/>
        <v>0</v>
      </c>
      <c r="AC198" s="1045">
        <f t="shared" si="24"/>
        <v>0</v>
      </c>
      <c r="AD198" s="1045">
        <f t="shared" si="24"/>
        <v>0</v>
      </c>
      <c r="AE198" s="1045">
        <f t="shared" si="24"/>
        <v>0</v>
      </c>
      <c r="AF198" s="1045">
        <f t="shared" si="24"/>
        <v>0</v>
      </c>
    </row>
    <row r="199" spans="1:32" s="838" customFormat="1" x14ac:dyDescent="0.25">
      <c r="B199" s="1040" t="s">
        <v>32</v>
      </c>
      <c r="G199" s="1045">
        <f t="shared" ref="G199:J202" si="25">SUM(G157,G165,G173,G181)</f>
        <v>0</v>
      </c>
      <c r="H199" s="1045">
        <f t="shared" si="25"/>
        <v>0</v>
      </c>
      <c r="I199" s="1045">
        <f t="shared" si="25"/>
        <v>0</v>
      </c>
      <c r="J199" s="1045">
        <f t="shared" si="25"/>
        <v>0</v>
      </c>
      <c r="K199" s="1045">
        <f t="shared" ref="K199:AF199" si="26">SUM(K157,K165,K173,K181)</f>
        <v>0</v>
      </c>
      <c r="L199" s="1045">
        <f t="shared" si="26"/>
        <v>0</v>
      </c>
      <c r="M199" s="1045">
        <f t="shared" si="26"/>
        <v>0</v>
      </c>
      <c r="N199" s="1045">
        <f t="shared" si="26"/>
        <v>0</v>
      </c>
      <c r="O199" s="1045">
        <f t="shared" si="26"/>
        <v>0</v>
      </c>
      <c r="P199" s="1045">
        <f t="shared" si="26"/>
        <v>0</v>
      </c>
      <c r="Q199" s="1045">
        <f t="shared" si="26"/>
        <v>0</v>
      </c>
      <c r="R199" s="1045">
        <f t="shared" si="26"/>
        <v>0</v>
      </c>
      <c r="S199" s="1045">
        <f t="shared" si="26"/>
        <v>0</v>
      </c>
      <c r="T199" s="1045">
        <f t="shared" si="26"/>
        <v>0</v>
      </c>
      <c r="U199" s="1045">
        <f t="shared" si="26"/>
        <v>0</v>
      </c>
      <c r="V199" s="1045">
        <f t="shared" si="26"/>
        <v>0</v>
      </c>
      <c r="W199" s="1045">
        <f t="shared" si="26"/>
        <v>0</v>
      </c>
      <c r="X199" s="1045">
        <f t="shared" si="26"/>
        <v>0</v>
      </c>
      <c r="Y199" s="1045">
        <f t="shared" si="26"/>
        <v>0</v>
      </c>
      <c r="Z199" s="1045">
        <f t="shared" si="26"/>
        <v>0</v>
      </c>
      <c r="AA199" s="1045">
        <f t="shared" si="26"/>
        <v>0</v>
      </c>
      <c r="AB199" s="1045">
        <f t="shared" si="26"/>
        <v>0</v>
      </c>
      <c r="AC199" s="1045">
        <f t="shared" si="26"/>
        <v>0</v>
      </c>
      <c r="AD199" s="1045">
        <f t="shared" si="26"/>
        <v>0</v>
      </c>
      <c r="AE199" s="1045">
        <f t="shared" si="26"/>
        <v>0</v>
      </c>
      <c r="AF199" s="1045">
        <f t="shared" si="26"/>
        <v>0</v>
      </c>
    </row>
    <row r="200" spans="1:32" s="838" customFormat="1" x14ac:dyDescent="0.25">
      <c r="B200" s="1040" t="s">
        <v>36</v>
      </c>
      <c r="G200" s="1045">
        <f t="shared" si="25"/>
        <v>0</v>
      </c>
      <c r="H200" s="1045">
        <f t="shared" si="25"/>
        <v>0</v>
      </c>
      <c r="I200" s="1045">
        <f t="shared" si="25"/>
        <v>0</v>
      </c>
      <c r="J200" s="1045">
        <f t="shared" si="25"/>
        <v>0</v>
      </c>
      <c r="K200" s="1045">
        <f t="shared" ref="K200:AF200" si="27">SUM(K158,K166,K174,K182)</f>
        <v>0</v>
      </c>
      <c r="L200" s="1045">
        <f t="shared" si="27"/>
        <v>0</v>
      </c>
      <c r="M200" s="1045">
        <f t="shared" si="27"/>
        <v>0</v>
      </c>
      <c r="N200" s="1045">
        <f t="shared" si="27"/>
        <v>0</v>
      </c>
      <c r="O200" s="1045">
        <f t="shared" si="27"/>
        <v>0</v>
      </c>
      <c r="P200" s="1045">
        <f t="shared" si="27"/>
        <v>0</v>
      </c>
      <c r="Q200" s="1045">
        <f t="shared" si="27"/>
        <v>0</v>
      </c>
      <c r="R200" s="1045">
        <f t="shared" si="27"/>
        <v>0</v>
      </c>
      <c r="S200" s="1045">
        <f t="shared" si="27"/>
        <v>0</v>
      </c>
      <c r="T200" s="1045">
        <f t="shared" si="27"/>
        <v>0</v>
      </c>
      <c r="U200" s="1045">
        <f t="shared" si="27"/>
        <v>0</v>
      </c>
      <c r="V200" s="1045">
        <f t="shared" si="27"/>
        <v>0</v>
      </c>
      <c r="W200" s="1045">
        <f t="shared" si="27"/>
        <v>0</v>
      </c>
      <c r="X200" s="1045">
        <f t="shared" si="27"/>
        <v>0</v>
      </c>
      <c r="Y200" s="1045">
        <f t="shared" si="27"/>
        <v>0</v>
      </c>
      <c r="Z200" s="1045">
        <f t="shared" si="27"/>
        <v>0</v>
      </c>
      <c r="AA200" s="1045">
        <f t="shared" si="27"/>
        <v>0</v>
      </c>
      <c r="AB200" s="1045">
        <f t="shared" si="27"/>
        <v>0</v>
      </c>
      <c r="AC200" s="1045">
        <f t="shared" si="27"/>
        <v>0</v>
      </c>
      <c r="AD200" s="1045">
        <f t="shared" si="27"/>
        <v>0</v>
      </c>
      <c r="AE200" s="1045">
        <f t="shared" si="27"/>
        <v>0</v>
      </c>
      <c r="AF200" s="1045">
        <f t="shared" si="27"/>
        <v>0</v>
      </c>
    </row>
    <row r="201" spans="1:32" s="838" customFormat="1" x14ac:dyDescent="0.25">
      <c r="B201" s="1040" t="s">
        <v>42</v>
      </c>
      <c r="G201" s="1045">
        <f t="shared" si="25"/>
        <v>0</v>
      </c>
      <c r="H201" s="1045">
        <f t="shared" si="25"/>
        <v>0</v>
      </c>
      <c r="I201" s="1045">
        <f t="shared" si="25"/>
        <v>0</v>
      </c>
      <c r="J201" s="1045">
        <f t="shared" si="25"/>
        <v>0</v>
      </c>
      <c r="K201" s="1045">
        <f t="shared" ref="K201:AF201" si="28">SUM(K159,K167,K175,K183)</f>
        <v>0</v>
      </c>
      <c r="L201" s="1045">
        <f t="shared" si="28"/>
        <v>0</v>
      </c>
      <c r="M201" s="1045">
        <f t="shared" si="28"/>
        <v>0</v>
      </c>
      <c r="N201" s="1045">
        <f t="shared" si="28"/>
        <v>0</v>
      </c>
      <c r="O201" s="1045">
        <f t="shared" si="28"/>
        <v>0</v>
      </c>
      <c r="P201" s="1045">
        <f t="shared" si="28"/>
        <v>0</v>
      </c>
      <c r="Q201" s="1045">
        <f t="shared" si="28"/>
        <v>0</v>
      </c>
      <c r="R201" s="1045">
        <f t="shared" si="28"/>
        <v>0</v>
      </c>
      <c r="S201" s="1045">
        <f t="shared" si="28"/>
        <v>0</v>
      </c>
      <c r="T201" s="1045">
        <f t="shared" si="28"/>
        <v>0</v>
      </c>
      <c r="U201" s="1045">
        <f t="shared" si="28"/>
        <v>0</v>
      </c>
      <c r="V201" s="1045">
        <f t="shared" si="28"/>
        <v>0</v>
      </c>
      <c r="W201" s="1045">
        <f t="shared" si="28"/>
        <v>0</v>
      </c>
      <c r="X201" s="1045">
        <f t="shared" si="28"/>
        <v>0</v>
      </c>
      <c r="Y201" s="1045">
        <f t="shared" si="28"/>
        <v>0</v>
      </c>
      <c r="Z201" s="1045">
        <f t="shared" si="28"/>
        <v>0</v>
      </c>
      <c r="AA201" s="1045">
        <f t="shared" si="28"/>
        <v>0</v>
      </c>
      <c r="AB201" s="1045">
        <f t="shared" si="28"/>
        <v>0</v>
      </c>
      <c r="AC201" s="1045">
        <f t="shared" si="28"/>
        <v>0</v>
      </c>
      <c r="AD201" s="1045">
        <f t="shared" si="28"/>
        <v>0</v>
      </c>
      <c r="AE201" s="1045">
        <f t="shared" si="28"/>
        <v>0</v>
      </c>
      <c r="AF201" s="1045">
        <f t="shared" si="28"/>
        <v>0</v>
      </c>
    </row>
    <row r="202" spans="1:32" x14ac:dyDescent="0.25">
      <c r="B202" s="1040" t="s">
        <v>47</v>
      </c>
      <c r="G202" s="1045">
        <f t="shared" si="25"/>
        <v>0</v>
      </c>
      <c r="H202" s="1045">
        <f t="shared" si="25"/>
        <v>0</v>
      </c>
      <c r="I202" s="1045">
        <f t="shared" si="25"/>
        <v>0</v>
      </c>
      <c r="J202" s="1045">
        <f t="shared" si="25"/>
        <v>0</v>
      </c>
      <c r="K202" s="1045">
        <f t="shared" ref="K202:AF202" si="29">SUM(K160,K168,K176,K184)</f>
        <v>0</v>
      </c>
      <c r="L202" s="1045">
        <f t="shared" si="29"/>
        <v>0</v>
      </c>
      <c r="M202" s="1045">
        <f t="shared" si="29"/>
        <v>0</v>
      </c>
      <c r="N202" s="1045">
        <f t="shared" si="29"/>
        <v>0</v>
      </c>
      <c r="O202" s="1045">
        <f t="shared" si="29"/>
        <v>0</v>
      </c>
      <c r="P202" s="1045">
        <f t="shared" si="29"/>
        <v>0</v>
      </c>
      <c r="Q202" s="1045">
        <f t="shared" si="29"/>
        <v>0</v>
      </c>
      <c r="R202" s="1045">
        <f t="shared" si="29"/>
        <v>0</v>
      </c>
      <c r="S202" s="1045">
        <f t="shared" si="29"/>
        <v>0</v>
      </c>
      <c r="T202" s="1045">
        <f t="shared" si="29"/>
        <v>0</v>
      </c>
      <c r="U202" s="1045">
        <f t="shared" si="29"/>
        <v>0</v>
      </c>
      <c r="V202" s="1045">
        <f t="shared" si="29"/>
        <v>0</v>
      </c>
      <c r="W202" s="1045">
        <f t="shared" si="29"/>
        <v>0</v>
      </c>
      <c r="X202" s="1045">
        <f t="shared" si="29"/>
        <v>0</v>
      </c>
      <c r="Y202" s="1045">
        <f t="shared" si="29"/>
        <v>0</v>
      </c>
      <c r="Z202" s="1045">
        <f t="shared" si="29"/>
        <v>0</v>
      </c>
      <c r="AA202" s="1045">
        <f t="shared" si="29"/>
        <v>0</v>
      </c>
      <c r="AB202" s="1045">
        <f t="shared" si="29"/>
        <v>0</v>
      </c>
      <c r="AC202" s="1045">
        <f t="shared" si="29"/>
        <v>0</v>
      </c>
      <c r="AD202" s="1045">
        <f t="shared" si="29"/>
        <v>0</v>
      </c>
      <c r="AE202" s="1045">
        <f t="shared" si="29"/>
        <v>0</v>
      </c>
      <c r="AF202" s="1045">
        <f t="shared" si="29"/>
        <v>0</v>
      </c>
    </row>
  </sheetData>
  <mergeCells count="2">
    <mergeCell ref="O1:O2"/>
    <mergeCell ref="F1:F2"/>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3">
    <tabColor rgb="FF0070C0"/>
  </sheetPr>
  <dimension ref="A1:AF82"/>
  <sheetViews>
    <sheetView zoomScale="59" zoomScaleNormal="59" workbookViewId="0">
      <selection activeCell="A37" sqref="A37"/>
    </sheetView>
  </sheetViews>
  <sheetFormatPr defaultColWidth="9.140625" defaultRowHeight="15" x14ac:dyDescent="0.25"/>
  <cols>
    <col min="1" max="7" width="9.140625" style="838"/>
    <col min="8" max="32" width="12" style="838" bestFit="1" customWidth="1"/>
    <col min="33" max="16384" width="9.140625" style="838"/>
  </cols>
  <sheetData>
    <row r="1" spans="1:32" ht="51.75" x14ac:dyDescent="0.25">
      <c r="A1" s="268" t="s">
        <v>503</v>
      </c>
      <c r="B1" s="839"/>
      <c r="C1" s="839"/>
      <c r="D1" s="839"/>
      <c r="E1" s="839"/>
      <c r="F1" s="1248" t="s">
        <v>419</v>
      </c>
      <c r="G1" s="746" t="s">
        <v>411</v>
      </c>
      <c r="H1" s="782" t="s">
        <v>213</v>
      </c>
      <c r="I1" s="782" t="s">
        <v>214</v>
      </c>
      <c r="J1" s="782" t="s">
        <v>43</v>
      </c>
      <c r="K1" s="782" t="s">
        <v>44</v>
      </c>
      <c r="L1" s="782" t="s">
        <v>215</v>
      </c>
      <c r="M1" s="782" t="s">
        <v>257</v>
      </c>
      <c r="N1" s="777" t="s">
        <v>216</v>
      </c>
      <c r="O1" s="1248" t="s">
        <v>266</v>
      </c>
      <c r="P1" s="746" t="s">
        <v>411</v>
      </c>
      <c r="Q1" s="782" t="s">
        <v>213</v>
      </c>
      <c r="R1" s="782" t="s">
        <v>214</v>
      </c>
      <c r="S1" s="782" t="s">
        <v>43</v>
      </c>
      <c r="T1" s="782" t="s">
        <v>44</v>
      </c>
      <c r="U1" s="782" t="s">
        <v>215</v>
      </c>
      <c r="V1" s="782" t="s">
        <v>257</v>
      </c>
      <c r="W1" s="777" t="s">
        <v>216</v>
      </c>
      <c r="X1" s="839"/>
      <c r="Y1" s="839"/>
      <c r="Z1" s="839"/>
      <c r="AA1" s="839"/>
      <c r="AB1" s="839"/>
      <c r="AC1" s="839"/>
      <c r="AD1" s="839"/>
      <c r="AE1" s="839"/>
      <c r="AF1" s="839"/>
    </row>
    <row r="2" spans="1:32" ht="15.75" x14ac:dyDescent="0.25">
      <c r="A2" s="269" t="s">
        <v>296</v>
      </c>
      <c r="B2" s="839"/>
      <c r="C2" s="839"/>
      <c r="D2" s="839"/>
      <c r="E2" s="839"/>
      <c r="F2" s="1249"/>
      <c r="G2" s="775" t="str">
        <f>Cumul_Savings_Total!G2</f>
        <v>Technology Shift</v>
      </c>
      <c r="H2" s="775" t="str">
        <f>Cumul_Savings_Total!H2</f>
        <v>Yes</v>
      </c>
      <c r="I2" s="775" t="str">
        <f>Cumul_Savings_Total!I2</f>
        <v>Yes</v>
      </c>
      <c r="J2" s="775" t="str">
        <f>Cumul_Savings_Total!J2</f>
        <v>Yes</v>
      </c>
      <c r="K2" s="775" t="str">
        <f>Cumul_Savings_Total!K2</f>
        <v>Yes</v>
      </c>
      <c r="L2" s="775" t="str">
        <f>Cumul_Savings_Total!L2</f>
        <v>Yes</v>
      </c>
      <c r="M2" s="775" t="str">
        <f>Cumul_Savings_Total!M2</f>
        <v>Yes</v>
      </c>
      <c r="N2" s="614" t="str">
        <f>Cumul_Savings_Total!N2</f>
        <v>Yes</v>
      </c>
      <c r="O2" s="1249"/>
      <c r="P2" s="775" t="str">
        <f>Cumul_Savings_Total!P2</f>
        <v>Technology Shift</v>
      </c>
      <c r="Q2" s="775" t="str">
        <f>Cumul_Savings_Total!Q2</f>
        <v>Yes</v>
      </c>
      <c r="R2" s="775" t="str">
        <f>Cumul_Savings_Total!R2</f>
        <v>Yes</v>
      </c>
      <c r="S2" s="775" t="str">
        <f>Cumul_Savings_Total!S2</f>
        <v>Yes</v>
      </c>
      <c r="T2" s="775" t="str">
        <f>Cumul_Savings_Total!T2</f>
        <v>Yes</v>
      </c>
      <c r="U2" s="775" t="str">
        <f>Cumul_Savings_Total!U2</f>
        <v>Yes</v>
      </c>
      <c r="V2" s="775" t="str">
        <f>Cumul_Savings_Total!V2</f>
        <v>Yes</v>
      </c>
      <c r="W2" s="614" t="str">
        <f>Cumul_Savings_Total!W2</f>
        <v>Yes</v>
      </c>
      <c r="X2" s="839"/>
      <c r="Y2" s="839"/>
      <c r="Z2" s="839"/>
      <c r="AA2" s="839"/>
      <c r="AB2" s="839"/>
      <c r="AC2" s="839"/>
      <c r="AD2" s="839"/>
      <c r="AE2" s="839"/>
      <c r="AF2" s="839"/>
    </row>
    <row r="3" spans="1:32" ht="15.6" x14ac:dyDescent="0.35">
      <c r="A3" s="269"/>
      <c r="B3" s="839"/>
      <c r="C3" s="839"/>
      <c r="D3" s="839"/>
      <c r="E3" s="839"/>
      <c r="F3" s="899"/>
      <c r="G3" s="584"/>
      <c r="H3" s="584"/>
      <c r="I3" s="584"/>
      <c r="J3" s="584"/>
      <c r="K3" s="584"/>
      <c r="L3" s="584"/>
      <c r="M3" s="584"/>
      <c r="N3" s="584"/>
      <c r="O3" s="899"/>
      <c r="P3" s="584"/>
      <c r="Q3" s="584"/>
      <c r="R3" s="584"/>
      <c r="S3" s="584"/>
      <c r="T3" s="584"/>
      <c r="U3" s="584"/>
      <c r="V3" s="584"/>
      <c r="W3" s="584"/>
      <c r="X3" s="839"/>
      <c r="Y3" s="839"/>
      <c r="Z3" s="839"/>
      <c r="AA3" s="839"/>
      <c r="AB3" s="839"/>
      <c r="AC3" s="839"/>
      <c r="AD3" s="839"/>
      <c r="AE3" s="839"/>
      <c r="AF3" s="839"/>
    </row>
    <row r="5" spans="1:32" ht="14.45" x14ac:dyDescent="0.35">
      <c r="A5" s="839"/>
      <c r="B5" s="839"/>
      <c r="C5" s="839"/>
      <c r="D5" s="824"/>
      <c r="E5" s="208"/>
      <c r="F5" s="208"/>
      <c r="G5" s="208">
        <v>2010</v>
      </c>
      <c r="H5" s="208">
        <v>2011</v>
      </c>
      <c r="I5" s="208">
        <v>2012</v>
      </c>
      <c r="J5" s="208">
        <v>2013</v>
      </c>
      <c r="K5" s="208">
        <v>2014</v>
      </c>
      <c r="L5" s="208">
        <v>2015</v>
      </c>
      <c r="M5" s="208">
        <v>2016</v>
      </c>
      <c r="N5" s="208">
        <v>2017</v>
      </c>
      <c r="O5" s="208">
        <v>2018</v>
      </c>
      <c r="P5" s="208">
        <v>2019</v>
      </c>
      <c r="Q5" s="208">
        <v>2020</v>
      </c>
      <c r="R5" s="208">
        <v>2021</v>
      </c>
      <c r="S5" s="208">
        <v>2022</v>
      </c>
      <c r="T5" s="208">
        <v>2023</v>
      </c>
      <c r="U5" s="208">
        <v>2024</v>
      </c>
      <c r="V5" s="208">
        <v>2025</v>
      </c>
      <c r="W5" s="208">
        <v>2026</v>
      </c>
      <c r="X5" s="208">
        <v>2027</v>
      </c>
      <c r="Y5" s="208">
        <v>2028</v>
      </c>
      <c r="Z5" s="208">
        <v>2029</v>
      </c>
      <c r="AA5" s="208">
        <v>2030</v>
      </c>
      <c r="AB5" s="208">
        <v>2031</v>
      </c>
      <c r="AC5" s="208">
        <v>2032</v>
      </c>
      <c r="AD5" s="208">
        <v>2033</v>
      </c>
      <c r="AE5" s="208">
        <v>2034</v>
      </c>
      <c r="AF5" s="208">
        <v>2035</v>
      </c>
    </row>
    <row r="6" spans="1:32" ht="14.45" x14ac:dyDescent="0.35">
      <c r="A6" s="897" t="s">
        <v>538</v>
      </c>
      <c r="B6" s="898"/>
      <c r="C6" s="897"/>
      <c r="D6" s="896"/>
      <c r="E6" s="896"/>
      <c r="F6" s="896"/>
      <c r="G6" s="896"/>
      <c r="H6" s="896"/>
      <c r="I6" s="894"/>
      <c r="J6" s="894"/>
      <c r="K6" s="894"/>
      <c r="L6" s="894"/>
      <c r="M6" s="894"/>
      <c r="N6" s="894"/>
      <c r="O6" s="894"/>
      <c r="P6" s="894"/>
      <c r="Q6" s="894"/>
      <c r="R6" s="894"/>
      <c r="S6" s="894"/>
      <c r="T6" s="894"/>
      <c r="U6" s="894"/>
      <c r="V6" s="894"/>
      <c r="W6" s="894"/>
      <c r="X6" s="894"/>
      <c r="Y6" s="894"/>
      <c r="Z6" s="894"/>
      <c r="AA6" s="894"/>
      <c r="AB6" s="894"/>
      <c r="AC6" s="894"/>
      <c r="AD6" s="894"/>
      <c r="AE6" s="894"/>
      <c r="AF6" s="894"/>
    </row>
    <row r="7" spans="1:32" ht="14.45" x14ac:dyDescent="0.35">
      <c r="A7" s="860" t="s">
        <v>55</v>
      </c>
      <c r="B7" s="861"/>
      <c r="C7" s="860"/>
      <c r="D7" s="859"/>
      <c r="E7" s="859"/>
      <c r="F7" s="859"/>
      <c r="G7" s="859"/>
      <c r="H7" s="859"/>
      <c r="I7" s="862"/>
      <c r="J7" s="862"/>
      <c r="K7" s="862"/>
      <c r="L7" s="862"/>
      <c r="M7" s="862"/>
      <c r="N7" s="862"/>
      <c r="O7" s="862"/>
      <c r="P7" s="862"/>
      <c r="Q7" s="862"/>
      <c r="R7" s="862"/>
      <c r="S7" s="862"/>
      <c r="T7" s="862"/>
      <c r="U7" s="862"/>
      <c r="V7" s="862"/>
      <c r="W7" s="862"/>
      <c r="X7" s="862"/>
      <c r="Y7" s="862"/>
      <c r="Z7" s="862"/>
      <c r="AA7" s="862"/>
      <c r="AB7" s="862"/>
      <c r="AC7" s="862"/>
      <c r="AD7" s="862"/>
      <c r="AE7" s="862"/>
      <c r="AF7" s="862"/>
    </row>
    <row r="8" spans="1:32" ht="14.45" x14ac:dyDescent="0.35">
      <c r="A8" s="840" t="s">
        <v>12</v>
      </c>
      <c r="B8" s="839"/>
    </row>
    <row r="9" spans="1:32" ht="14.45" x14ac:dyDescent="0.35">
      <c r="A9" s="840"/>
      <c r="B9" s="838" t="s">
        <v>504</v>
      </c>
      <c r="H9" s="321">
        <f>SUM('Sales Data'!H9:H12)*(SUM('Sales Data'!H9:H12)/SUMPRODUCT('Sales Data'!H9:H12,'Average Efficacy Data'!H9:H12)-SUM('Sales Data'!H158:H161)/SUMPRODUCT('Sales Data'!H158:H161,'Average Efficacy Data'!H158:H161))</f>
        <v>0</v>
      </c>
      <c r="I9" s="321">
        <f>SUM('Sales Data'!I9:I12)*(SUM('Sales Data'!I9:I12)/SUMPRODUCT('Sales Data'!I9:I12,'Average Efficacy Data'!I9:I12)-SUM('Sales Data'!I158:I161)/SUMPRODUCT('Sales Data'!I158:I161,'Average Efficacy Data'!I158:I161))</f>
        <v>0</v>
      </c>
      <c r="J9" s="321">
        <f>SUM('Sales Data'!J9:J12)*(SUM('Sales Data'!J9:J12)/SUMPRODUCT('Sales Data'!J9:J12,'Average Efficacy Data'!J9:J12)-SUM('Sales Data'!J158:J161)/SUMPRODUCT('Sales Data'!J158:J161,'Average Efficacy Data'!J158:J161))</f>
        <v>0</v>
      </c>
      <c r="K9" s="321">
        <f>SUM('Sales Data'!K9:K12)*(SUM('Sales Data'!K9:K12)/SUMPRODUCT('Sales Data'!K9:K12,'Average Efficacy Data'!K9:K12)-SUM('Sales Data'!K158:K161)/SUMPRODUCT('Sales Data'!K158:K161,'Average Efficacy Data'!K158:K161))</f>
        <v>0</v>
      </c>
      <c r="L9" s="321">
        <f>SUM('Sales Data'!L9:L12)*(SUM('Sales Data'!L9:L12)/SUMPRODUCT('Sales Data'!L9:L12,'Average Efficacy Data'!L9:L12)-SUM('Sales Data'!L158:L161)/SUMPRODUCT('Sales Data'!L158:L161,'Average Efficacy Data'!L158:L161))</f>
        <v>0</v>
      </c>
      <c r="M9" s="321">
        <f>SUM('Sales Data'!M9:M12)*(SUM('Sales Data'!M9:M12)/SUMPRODUCT('Sales Data'!M9:M12,'Average Efficacy Data'!M9:M12)-SUM('Sales Data'!M158:M161)/SUMPRODUCT('Sales Data'!M158:M161,'Average Efficacy Data'!M158:M161))</f>
        <v>0</v>
      </c>
      <c r="N9" s="321">
        <f>SUM('Sales Data'!N9:N12)*(SUM('Sales Data'!N9:N12)/SUMPRODUCT('Sales Data'!N9:N12,'Average Efficacy Data'!N9:N12)-SUM('Sales Data'!N158:N161)/SUMPRODUCT('Sales Data'!N158:N161,'Average Efficacy Data'!N158:N161))</f>
        <v>0</v>
      </c>
      <c r="O9" s="321">
        <f>SUM('Sales Data'!O9:O12)*(SUM('Sales Data'!O9:O12)/SUMPRODUCT('Sales Data'!O9:O12,'Average Efficacy Data'!O9:O12)-SUM('Sales Data'!O158:O161)/SUMPRODUCT('Sales Data'!O158:O161,'Average Efficacy Data'!O158:O161))</f>
        <v>0</v>
      </c>
      <c r="P9" s="321">
        <f>SUM('Sales Data'!P9:P12)*(SUM('Sales Data'!P9:P12)/SUMPRODUCT('Sales Data'!P9:P12,'Average Efficacy Data'!P9:P12)-SUM('Sales Data'!P158:P161)/SUMPRODUCT('Sales Data'!P158:P161,'Average Efficacy Data'!P158:P161))</f>
        <v>0</v>
      </c>
      <c r="Q9" s="321">
        <f>SUM('Sales Data'!Q9:Q12)*(SUM('Sales Data'!Q9:Q12)/SUMPRODUCT('Sales Data'!Q9:Q12,'Average Efficacy Data'!Q9:Q12)-SUM('Sales Data'!Q158:Q161)/SUMPRODUCT('Sales Data'!Q158:Q161,'Average Efficacy Data'!Q158:Q161))</f>
        <v>0</v>
      </c>
      <c r="R9" s="321">
        <f>SUM('Sales Data'!R9:R12)*(SUM('Sales Data'!R9:R12)/SUMPRODUCT('Sales Data'!R9:R12,'Average Efficacy Data'!R9:R12)-SUM('Sales Data'!R158:R161)/SUMPRODUCT('Sales Data'!R158:R161,'Average Efficacy Data'!R158:R161))</f>
        <v>0</v>
      </c>
      <c r="S9" s="321">
        <f>SUM('Sales Data'!S9:S12)*(SUM('Sales Data'!S9:S12)/SUMPRODUCT('Sales Data'!S9:S12,'Average Efficacy Data'!S9:S12)-SUM('Sales Data'!S158:S161)/SUMPRODUCT('Sales Data'!S158:S161,'Average Efficacy Data'!S158:S161))</f>
        <v>0</v>
      </c>
      <c r="T9" s="321">
        <f>SUM('Sales Data'!T9:T12)*(SUM('Sales Data'!T9:T12)/SUMPRODUCT('Sales Data'!T9:T12,'Average Efficacy Data'!T9:T12)-SUM('Sales Data'!T158:T161)/SUMPRODUCT('Sales Data'!T158:T161,'Average Efficacy Data'!T158:T161))</f>
        <v>0</v>
      </c>
      <c r="U9" s="321">
        <f>SUM('Sales Data'!U9:U12)*(SUM('Sales Data'!U9:U12)/SUMPRODUCT('Sales Data'!U9:U12,'Average Efficacy Data'!U9:U12)-SUM('Sales Data'!U158:U161)/SUMPRODUCT('Sales Data'!U158:U161,'Average Efficacy Data'!U158:U161))</f>
        <v>0</v>
      </c>
      <c r="V9" s="321">
        <f>SUM('Sales Data'!V9:V12)*(SUM('Sales Data'!V9:V12)/SUMPRODUCT('Sales Data'!V9:V12,'Average Efficacy Data'!V9:V12)-SUM('Sales Data'!V158:V161)/SUMPRODUCT('Sales Data'!V158:V161,'Average Efficacy Data'!V158:V161))</f>
        <v>0</v>
      </c>
      <c r="W9" s="321">
        <f>SUM('Sales Data'!W9:W12)*(SUM('Sales Data'!W9:W12)/SUMPRODUCT('Sales Data'!W9:W12,'Average Efficacy Data'!W9:W12)-SUM('Sales Data'!W158:W161)/SUMPRODUCT('Sales Data'!W158:W161,'Average Efficacy Data'!W158:W161))</f>
        <v>0</v>
      </c>
      <c r="X9" s="321">
        <f>SUM('Sales Data'!X9:X12)*(SUM('Sales Data'!X9:X12)/SUMPRODUCT('Sales Data'!X9:X12,'Average Efficacy Data'!X9:X12)-SUM('Sales Data'!X158:X161)/SUMPRODUCT('Sales Data'!X158:X161,'Average Efficacy Data'!X158:X161))</f>
        <v>0</v>
      </c>
      <c r="Y9" s="321">
        <f>SUM('Sales Data'!Y9:Y12)*(SUM('Sales Data'!Y9:Y12)/SUMPRODUCT('Sales Data'!Y9:Y12,'Average Efficacy Data'!Y9:Y12)-SUM('Sales Data'!Y158:Y161)/SUMPRODUCT('Sales Data'!Y158:Y161,'Average Efficacy Data'!Y158:Y161))</f>
        <v>0</v>
      </c>
      <c r="Z9" s="321">
        <f>SUM('Sales Data'!Z9:Z12)*(SUM('Sales Data'!Z9:Z12)/SUMPRODUCT('Sales Data'!Z9:Z12,'Average Efficacy Data'!Z9:Z12)-SUM('Sales Data'!Z158:Z161)/SUMPRODUCT('Sales Data'!Z158:Z161,'Average Efficacy Data'!Z158:Z161))</f>
        <v>0</v>
      </c>
      <c r="AA9" s="321">
        <f>SUM('Sales Data'!AA9:AA12)*(SUM('Sales Data'!AA9:AA12)/SUMPRODUCT('Sales Data'!AA9:AA12,'Average Efficacy Data'!AA9:AA12)-SUM('Sales Data'!AA158:AA161)/SUMPRODUCT('Sales Data'!AA158:AA161,'Average Efficacy Data'!AA158:AA161))</f>
        <v>0</v>
      </c>
      <c r="AB9" s="321">
        <f>SUM('Sales Data'!AB9:AB12)*(SUM('Sales Data'!AB9:AB12)/SUMPRODUCT('Sales Data'!AB9:AB12,'Average Efficacy Data'!AB9:AB12)-SUM('Sales Data'!AB158:AB161)/SUMPRODUCT('Sales Data'!AB158:AB161,'Average Efficacy Data'!AB158:AB161))</f>
        <v>0</v>
      </c>
      <c r="AC9" s="321">
        <f>SUM('Sales Data'!AC9:AC12)*(SUM('Sales Data'!AC9:AC12)/SUMPRODUCT('Sales Data'!AC9:AC12,'Average Efficacy Data'!AC9:AC12)-SUM('Sales Data'!AC158:AC161)/SUMPRODUCT('Sales Data'!AC158:AC161,'Average Efficacy Data'!AC158:AC161))</f>
        <v>0</v>
      </c>
      <c r="AD9" s="321">
        <f>SUM('Sales Data'!AD9:AD12)*(SUM('Sales Data'!AD9:AD12)/SUMPRODUCT('Sales Data'!AD9:AD12,'Average Efficacy Data'!AD9:AD12)-SUM('Sales Data'!AD158:AD161)/SUMPRODUCT('Sales Data'!AD158:AD161,'Average Efficacy Data'!AD158:AD161))</f>
        <v>0</v>
      </c>
      <c r="AE9" s="321">
        <f>SUM('Sales Data'!AE9:AE12)*(SUM('Sales Data'!AE9:AE12)/SUMPRODUCT('Sales Data'!AE9:AE12,'Average Efficacy Data'!AE9:AE12)-SUM('Sales Data'!AE158:AE161)/SUMPRODUCT('Sales Data'!AE158:AE161,'Average Efficacy Data'!AE158:AE161))</f>
        <v>0</v>
      </c>
      <c r="AF9" s="321">
        <f>SUM('Sales Data'!AF9:AF12)*(SUM('Sales Data'!AF9:AF12)/SUMPRODUCT('Sales Data'!AF9:AF12,'Average Efficacy Data'!AF9:AF12)-SUM('Sales Data'!AF158:AF161)/SUMPRODUCT('Sales Data'!AF158:AF161,'Average Efficacy Data'!AF158:AF161))</f>
        <v>0</v>
      </c>
    </row>
    <row r="10" spans="1:32" ht="14.45" x14ac:dyDescent="0.35">
      <c r="A10" s="840"/>
      <c r="B10" s="838" t="s">
        <v>32</v>
      </c>
      <c r="H10" s="321">
        <f>SUM('Sales Data'!H15:H18)*(SUM('Sales Data'!H15:H18)/SUMPRODUCT('Sales Data'!H15:H18,'Average Efficacy Data'!H15:H18)-SUM('Sales Data'!H164:H167)/SUMPRODUCT('Sales Data'!H164:H167,'Average Efficacy Data'!H164:H167))</f>
        <v>0</v>
      </c>
      <c r="I10" s="321">
        <f>SUM('Sales Data'!I15:I18)*(SUM('Sales Data'!I15:I18)/SUMPRODUCT('Sales Data'!I15:I18,'Average Efficacy Data'!I15:I18)-SUM('Sales Data'!I164:I167)/SUMPRODUCT('Sales Data'!I164:I167,'Average Efficacy Data'!I164:I167))</f>
        <v>0</v>
      </c>
      <c r="J10" s="321">
        <f>SUM('Sales Data'!J15:J18)*(SUM('Sales Data'!J15:J18)/SUMPRODUCT('Sales Data'!J15:J18,'Average Efficacy Data'!J15:J18)-SUM('Sales Data'!J164:J167)/SUMPRODUCT('Sales Data'!J164:J167,'Average Efficacy Data'!J164:J167))</f>
        <v>0</v>
      </c>
      <c r="K10" s="321">
        <f>SUM('Sales Data'!K15:K18)*(SUM('Sales Data'!K15:K18)/SUMPRODUCT('Sales Data'!K15:K18,'Average Efficacy Data'!K15:K18)-SUM('Sales Data'!K164:K167)/SUMPRODUCT('Sales Data'!K164:K167,'Average Efficacy Data'!K164:K167))</f>
        <v>0</v>
      </c>
      <c r="L10" s="321">
        <f>SUM('Sales Data'!L15:L18)*(SUM('Sales Data'!L15:L18)/SUMPRODUCT('Sales Data'!L15:L18,'Average Efficacy Data'!L15:L18)-SUM('Sales Data'!L164:L167)/SUMPRODUCT('Sales Data'!L164:L167,'Average Efficacy Data'!L164:L167))</f>
        <v>0</v>
      </c>
      <c r="M10" s="321">
        <f>SUM('Sales Data'!M15:M18)*(SUM('Sales Data'!M15:M18)/SUMPRODUCT('Sales Data'!M15:M18,'Average Efficacy Data'!M15:M18)-SUM('Sales Data'!M164:M167)/SUMPRODUCT('Sales Data'!M164:M167,'Average Efficacy Data'!M164:M167))</f>
        <v>0</v>
      </c>
      <c r="N10" s="321">
        <f>SUM('Sales Data'!N15:N18)*(SUM('Sales Data'!N15:N18)/SUMPRODUCT('Sales Data'!N15:N18,'Average Efficacy Data'!N15:N18)-SUM('Sales Data'!N164:N167)/SUMPRODUCT('Sales Data'!N164:N167,'Average Efficacy Data'!N164:N167))</f>
        <v>0</v>
      </c>
      <c r="O10" s="321">
        <f>SUM('Sales Data'!O15:O18)*(SUM('Sales Data'!O15:O18)/SUMPRODUCT('Sales Data'!O15:O18,'Average Efficacy Data'!O15:O18)-SUM('Sales Data'!O164:O167)/SUMPRODUCT('Sales Data'!O164:O167,'Average Efficacy Data'!O164:O167))</f>
        <v>0</v>
      </c>
      <c r="P10" s="321">
        <f>SUM('Sales Data'!P15:P18)*(SUM('Sales Data'!P15:P18)/SUMPRODUCT('Sales Data'!P15:P18,'Average Efficacy Data'!P15:P18)-SUM('Sales Data'!P164:P167)/SUMPRODUCT('Sales Data'!P164:P167,'Average Efficacy Data'!P164:P167))</f>
        <v>0</v>
      </c>
      <c r="Q10" s="321">
        <f>SUM('Sales Data'!Q15:Q18)*(SUM('Sales Data'!Q15:Q18)/SUMPRODUCT('Sales Data'!Q15:Q18,'Average Efficacy Data'!Q15:Q18)-SUM('Sales Data'!Q164:Q167)/SUMPRODUCT('Sales Data'!Q164:Q167,'Average Efficacy Data'!Q164:Q167))</f>
        <v>0</v>
      </c>
      <c r="R10" s="321">
        <f>SUM('Sales Data'!R15:R18)*(SUM('Sales Data'!R15:R18)/SUMPRODUCT('Sales Data'!R15:R18,'Average Efficacy Data'!R15:R18)-SUM('Sales Data'!R164:R167)/SUMPRODUCT('Sales Data'!R164:R167,'Average Efficacy Data'!R164:R167))</f>
        <v>0</v>
      </c>
      <c r="S10" s="321">
        <f>SUM('Sales Data'!S15:S18)*(SUM('Sales Data'!S15:S18)/SUMPRODUCT('Sales Data'!S15:S18,'Average Efficacy Data'!S15:S18)-SUM('Sales Data'!S164:S167)/SUMPRODUCT('Sales Data'!S164:S167,'Average Efficacy Data'!S164:S167))</f>
        <v>0</v>
      </c>
      <c r="T10" s="321">
        <f>SUM('Sales Data'!T15:T18)*(SUM('Sales Data'!T15:T18)/SUMPRODUCT('Sales Data'!T15:T18,'Average Efficacy Data'!T15:T18)-SUM('Sales Data'!T164:T167)/SUMPRODUCT('Sales Data'!T164:T167,'Average Efficacy Data'!T164:T167))</f>
        <v>0</v>
      </c>
      <c r="U10" s="321">
        <f>SUM('Sales Data'!U15:U18)*(SUM('Sales Data'!U15:U18)/SUMPRODUCT('Sales Data'!U15:U18,'Average Efficacy Data'!U15:U18)-SUM('Sales Data'!U164:U167)/SUMPRODUCT('Sales Data'!U164:U167,'Average Efficacy Data'!U164:U167))</f>
        <v>0</v>
      </c>
      <c r="V10" s="321">
        <f>SUM('Sales Data'!V15:V18)*(SUM('Sales Data'!V15:V18)/SUMPRODUCT('Sales Data'!V15:V18,'Average Efficacy Data'!V15:V18)-SUM('Sales Data'!V164:V167)/SUMPRODUCT('Sales Data'!V164:V167,'Average Efficacy Data'!V164:V167))</f>
        <v>0</v>
      </c>
      <c r="W10" s="321">
        <f>SUM('Sales Data'!W15:W18)*(SUM('Sales Data'!W15:W18)/SUMPRODUCT('Sales Data'!W15:W18,'Average Efficacy Data'!W15:W18)-SUM('Sales Data'!W164:W167)/SUMPRODUCT('Sales Data'!W164:W167,'Average Efficacy Data'!W164:W167))</f>
        <v>0</v>
      </c>
      <c r="X10" s="321">
        <f>SUM('Sales Data'!X15:X18)*(SUM('Sales Data'!X15:X18)/SUMPRODUCT('Sales Data'!X15:X18,'Average Efficacy Data'!X15:X18)-SUM('Sales Data'!X164:X167)/SUMPRODUCT('Sales Data'!X164:X167,'Average Efficacy Data'!X164:X167))</f>
        <v>0</v>
      </c>
      <c r="Y10" s="321">
        <f>SUM('Sales Data'!Y15:Y18)*(SUM('Sales Data'!Y15:Y18)/SUMPRODUCT('Sales Data'!Y15:Y18,'Average Efficacy Data'!Y15:Y18)-SUM('Sales Data'!Y164:Y167)/SUMPRODUCT('Sales Data'!Y164:Y167,'Average Efficacy Data'!Y164:Y167))</f>
        <v>0</v>
      </c>
      <c r="Z10" s="321">
        <f>SUM('Sales Data'!Z15:Z18)*(SUM('Sales Data'!Z15:Z18)/SUMPRODUCT('Sales Data'!Z15:Z18,'Average Efficacy Data'!Z15:Z18)-SUM('Sales Data'!Z164:Z167)/SUMPRODUCT('Sales Data'!Z164:Z167,'Average Efficacy Data'!Z164:Z167))</f>
        <v>0</v>
      </c>
      <c r="AA10" s="321">
        <f>SUM('Sales Data'!AA15:AA18)*(SUM('Sales Data'!AA15:AA18)/SUMPRODUCT('Sales Data'!AA15:AA18,'Average Efficacy Data'!AA15:AA18)-SUM('Sales Data'!AA164:AA167)/SUMPRODUCT('Sales Data'!AA164:AA167,'Average Efficacy Data'!AA164:AA167))</f>
        <v>0</v>
      </c>
      <c r="AB10" s="321">
        <f>SUM('Sales Data'!AB15:AB18)*(SUM('Sales Data'!AB15:AB18)/SUMPRODUCT('Sales Data'!AB15:AB18,'Average Efficacy Data'!AB15:AB18)-SUM('Sales Data'!AB164:AB167)/SUMPRODUCT('Sales Data'!AB164:AB167,'Average Efficacy Data'!AB164:AB167))</f>
        <v>0</v>
      </c>
      <c r="AC10" s="321">
        <f>SUM('Sales Data'!AC15:AC18)*(SUM('Sales Data'!AC15:AC18)/SUMPRODUCT('Sales Data'!AC15:AC18,'Average Efficacy Data'!AC15:AC18)-SUM('Sales Data'!AC164:AC167)/SUMPRODUCT('Sales Data'!AC164:AC167,'Average Efficacy Data'!AC164:AC167))</f>
        <v>0</v>
      </c>
      <c r="AD10" s="321">
        <f>SUM('Sales Data'!AD15:AD18)*(SUM('Sales Data'!AD15:AD18)/SUMPRODUCT('Sales Data'!AD15:AD18,'Average Efficacy Data'!AD15:AD18)-SUM('Sales Data'!AD164:AD167)/SUMPRODUCT('Sales Data'!AD164:AD167,'Average Efficacy Data'!AD164:AD167))</f>
        <v>0</v>
      </c>
      <c r="AE10" s="321">
        <f>SUM('Sales Data'!AE15:AE18)*(SUM('Sales Data'!AE15:AE18)/SUMPRODUCT('Sales Data'!AE15:AE18,'Average Efficacy Data'!AE15:AE18)-SUM('Sales Data'!AE164:AE167)/SUMPRODUCT('Sales Data'!AE164:AE167,'Average Efficacy Data'!AE164:AE167))</f>
        <v>0</v>
      </c>
      <c r="AF10" s="321">
        <f>SUM('Sales Data'!AF15:AF18)*(SUM('Sales Data'!AF15:AF18)/SUMPRODUCT('Sales Data'!AF15:AF18,'Average Efficacy Data'!AF15:AF18)-SUM('Sales Data'!AF164:AF167)/SUMPRODUCT('Sales Data'!AF164:AF167,'Average Efficacy Data'!AF164:AF167))</f>
        <v>0</v>
      </c>
    </row>
    <row r="11" spans="1:32" ht="14.45" x14ac:dyDescent="0.35">
      <c r="A11" s="840"/>
      <c r="B11" s="838" t="s">
        <v>491</v>
      </c>
      <c r="H11" s="321">
        <f>SUM('Sales Data'!H21:H24)*(SUM('Sales Data'!H21:H24)/SUMPRODUCT('Sales Data'!H21:H24,'Average Efficacy Data'!H21:H24)-SUM('Sales Data'!H170:H173)/SUMPRODUCT('Sales Data'!H170:H173,'Average Efficacy Data'!H170:H173))</f>
        <v>0</v>
      </c>
      <c r="I11" s="321">
        <f>SUM('Sales Data'!I21:I24)*(SUM('Sales Data'!I21:I24)/SUMPRODUCT('Sales Data'!I21:I24,'Average Efficacy Data'!I21:I24)-SUM('Sales Data'!I170:I173)/SUMPRODUCT('Sales Data'!I170:I173,'Average Efficacy Data'!I170:I173))</f>
        <v>0</v>
      </c>
      <c r="J11" s="321">
        <f>SUM('Sales Data'!J21:J24)*(SUM('Sales Data'!J21:J24)/SUMPRODUCT('Sales Data'!J21:J24,'Average Efficacy Data'!J21:J24)-SUM('Sales Data'!J170:J173)/SUMPRODUCT('Sales Data'!J170:J173,'Average Efficacy Data'!J170:J173))</f>
        <v>0</v>
      </c>
      <c r="K11" s="321">
        <f>SUM('Sales Data'!K21:K24)*(SUM('Sales Data'!K21:K24)/SUMPRODUCT('Sales Data'!K21:K24,'Average Efficacy Data'!K21:K24)-SUM('Sales Data'!K170:K173)/SUMPRODUCT('Sales Data'!K170:K173,'Average Efficacy Data'!K170:K173))</f>
        <v>0</v>
      </c>
      <c r="L11" s="321">
        <f>SUM('Sales Data'!L21:L24)*(SUM('Sales Data'!L21:L24)/SUMPRODUCT('Sales Data'!L21:L24,'Average Efficacy Data'!L21:L24)-SUM('Sales Data'!L170:L173)/SUMPRODUCT('Sales Data'!L170:L173,'Average Efficacy Data'!L170:L173))</f>
        <v>0</v>
      </c>
      <c r="M11" s="321">
        <f>SUM('Sales Data'!M21:M24)*(SUM('Sales Data'!M21:M24)/SUMPRODUCT('Sales Data'!M21:M24,'Average Efficacy Data'!M21:M24)-SUM('Sales Data'!M170:M173)/SUMPRODUCT('Sales Data'!M170:M173,'Average Efficacy Data'!M170:M173))</f>
        <v>0</v>
      </c>
      <c r="N11" s="321">
        <f>SUM('Sales Data'!N21:N24)*(SUM('Sales Data'!N21:N24)/SUMPRODUCT('Sales Data'!N21:N24,'Average Efficacy Data'!N21:N24)-SUM('Sales Data'!N170:N173)/SUMPRODUCT('Sales Data'!N170:N173,'Average Efficacy Data'!N170:N173))</f>
        <v>0</v>
      </c>
      <c r="O11" s="321">
        <f>SUM('Sales Data'!O21:O24)*(SUM('Sales Data'!O21:O24)/SUMPRODUCT('Sales Data'!O21:O24,'Average Efficacy Data'!O21:O24)-SUM('Sales Data'!O170:O173)/SUMPRODUCT('Sales Data'!O170:O173,'Average Efficacy Data'!O170:O173))</f>
        <v>0</v>
      </c>
      <c r="P11" s="321">
        <f>SUM('Sales Data'!P21:P24)*(SUM('Sales Data'!P21:P24)/SUMPRODUCT('Sales Data'!P21:P24,'Average Efficacy Data'!P21:P24)-SUM('Sales Data'!P170:P173)/SUMPRODUCT('Sales Data'!P170:P173,'Average Efficacy Data'!P170:P173))</f>
        <v>0</v>
      </c>
      <c r="Q11" s="321">
        <f>SUM('Sales Data'!Q21:Q24)*(SUM('Sales Data'!Q21:Q24)/SUMPRODUCT('Sales Data'!Q21:Q24,'Average Efficacy Data'!Q21:Q24)-SUM('Sales Data'!Q170:Q173)/SUMPRODUCT('Sales Data'!Q170:Q173,'Average Efficacy Data'!Q170:Q173))</f>
        <v>0</v>
      </c>
      <c r="R11" s="321">
        <f>SUM('Sales Data'!R21:R24)*(SUM('Sales Data'!R21:R24)/SUMPRODUCT('Sales Data'!R21:R24,'Average Efficacy Data'!R21:R24)-SUM('Sales Data'!R170:R173)/SUMPRODUCT('Sales Data'!R170:R173,'Average Efficacy Data'!R170:R173))</f>
        <v>0</v>
      </c>
      <c r="S11" s="321">
        <f>SUM('Sales Data'!S21:S24)*(SUM('Sales Data'!S21:S24)/SUMPRODUCT('Sales Data'!S21:S24,'Average Efficacy Data'!S21:S24)-SUM('Sales Data'!S170:S173)/SUMPRODUCT('Sales Data'!S170:S173,'Average Efficacy Data'!S170:S173))</f>
        <v>0</v>
      </c>
      <c r="T11" s="321">
        <f>SUM('Sales Data'!T21:T24)*(SUM('Sales Data'!T21:T24)/SUMPRODUCT('Sales Data'!T21:T24,'Average Efficacy Data'!T21:T24)-SUM('Sales Data'!T170:T173)/SUMPRODUCT('Sales Data'!T170:T173,'Average Efficacy Data'!T170:T173))</f>
        <v>0</v>
      </c>
      <c r="U11" s="321">
        <f>SUM('Sales Data'!U21:U24)*(SUM('Sales Data'!U21:U24)/SUMPRODUCT('Sales Data'!U21:U24,'Average Efficacy Data'!U21:U24)-SUM('Sales Data'!U170:U173)/SUMPRODUCT('Sales Data'!U170:U173,'Average Efficacy Data'!U170:U173))</f>
        <v>0</v>
      </c>
      <c r="V11" s="321">
        <f>SUM('Sales Data'!V21:V24)*(SUM('Sales Data'!V21:V24)/SUMPRODUCT('Sales Data'!V21:V24,'Average Efficacy Data'!V21:V24)-SUM('Sales Data'!V170:V173)/SUMPRODUCT('Sales Data'!V170:V173,'Average Efficacy Data'!V170:V173))</f>
        <v>0</v>
      </c>
      <c r="W11" s="321">
        <f>SUM('Sales Data'!W21:W24)*(SUM('Sales Data'!W21:W24)/SUMPRODUCT('Sales Data'!W21:W24,'Average Efficacy Data'!W21:W24)-SUM('Sales Data'!W170:W173)/SUMPRODUCT('Sales Data'!W170:W173,'Average Efficacy Data'!W170:W173))</f>
        <v>0</v>
      </c>
      <c r="X11" s="321">
        <f>SUM('Sales Data'!X21:X24)*(SUM('Sales Data'!X21:X24)/SUMPRODUCT('Sales Data'!X21:X24,'Average Efficacy Data'!X21:X24)-SUM('Sales Data'!X170:X173)/SUMPRODUCT('Sales Data'!X170:X173,'Average Efficacy Data'!X170:X173))</f>
        <v>0</v>
      </c>
      <c r="Y11" s="321">
        <f>SUM('Sales Data'!Y21:Y24)*(SUM('Sales Data'!Y21:Y24)/SUMPRODUCT('Sales Data'!Y21:Y24,'Average Efficacy Data'!Y21:Y24)-SUM('Sales Data'!Y170:Y173)/SUMPRODUCT('Sales Data'!Y170:Y173,'Average Efficacy Data'!Y170:Y173))</f>
        <v>0</v>
      </c>
      <c r="Z11" s="321">
        <f>SUM('Sales Data'!Z21:Z24)*(SUM('Sales Data'!Z21:Z24)/SUMPRODUCT('Sales Data'!Z21:Z24,'Average Efficacy Data'!Z21:Z24)-SUM('Sales Data'!Z170:Z173)/SUMPRODUCT('Sales Data'!Z170:Z173,'Average Efficacy Data'!Z170:Z173))</f>
        <v>0</v>
      </c>
      <c r="AA11" s="321">
        <f>SUM('Sales Data'!AA21:AA24)*(SUM('Sales Data'!AA21:AA24)/SUMPRODUCT('Sales Data'!AA21:AA24,'Average Efficacy Data'!AA21:AA24)-SUM('Sales Data'!AA170:AA173)/SUMPRODUCT('Sales Data'!AA170:AA173,'Average Efficacy Data'!AA170:AA173))</f>
        <v>0</v>
      </c>
      <c r="AB11" s="321">
        <f>SUM('Sales Data'!AB21:AB24)*(SUM('Sales Data'!AB21:AB24)/SUMPRODUCT('Sales Data'!AB21:AB24,'Average Efficacy Data'!AB21:AB24)-SUM('Sales Data'!AB170:AB173)/SUMPRODUCT('Sales Data'!AB170:AB173,'Average Efficacy Data'!AB170:AB173))</f>
        <v>0</v>
      </c>
      <c r="AC11" s="321">
        <f>SUM('Sales Data'!AC21:AC24)*(SUM('Sales Data'!AC21:AC24)/SUMPRODUCT('Sales Data'!AC21:AC24,'Average Efficacy Data'!AC21:AC24)-SUM('Sales Data'!AC170:AC173)/SUMPRODUCT('Sales Data'!AC170:AC173,'Average Efficacy Data'!AC170:AC173))</f>
        <v>0</v>
      </c>
      <c r="AD11" s="321">
        <f>SUM('Sales Data'!AD21:AD24)*(SUM('Sales Data'!AD21:AD24)/SUMPRODUCT('Sales Data'!AD21:AD24,'Average Efficacy Data'!AD21:AD24)-SUM('Sales Data'!AD170:AD173)/SUMPRODUCT('Sales Data'!AD170:AD173,'Average Efficacy Data'!AD170:AD173))</f>
        <v>0</v>
      </c>
      <c r="AE11" s="321">
        <f>SUM('Sales Data'!AE21:AE24)*(SUM('Sales Data'!AE21:AE24)/SUMPRODUCT('Sales Data'!AE21:AE24,'Average Efficacy Data'!AE21:AE24)-SUM('Sales Data'!AE170:AE173)/SUMPRODUCT('Sales Data'!AE170:AE173,'Average Efficacy Data'!AE170:AE173))</f>
        <v>0</v>
      </c>
      <c r="AF11" s="321">
        <f>SUM('Sales Data'!AF21:AF24)*(SUM('Sales Data'!AF21:AF24)/SUMPRODUCT('Sales Data'!AF21:AF24,'Average Efficacy Data'!AF21:AF24)-SUM('Sales Data'!AF170:AF173)/SUMPRODUCT('Sales Data'!AF170:AF173,'Average Efficacy Data'!AF170:AF173))</f>
        <v>0</v>
      </c>
    </row>
    <row r="12" spans="1:32" ht="14.45" x14ac:dyDescent="0.35">
      <c r="A12" s="840"/>
      <c r="B12" s="838" t="s">
        <v>42</v>
      </c>
      <c r="H12" s="321">
        <f>SUM('Sales Data'!H27:H31)*(SUM('Sales Data'!H27:H31)/SUMPRODUCT('Sales Data'!H27:H31,'Average Efficacy Data'!H27:H31)-SUM('Sales Data'!H176:H180)/SUMPRODUCT('Sales Data'!H176:H180,'Average Efficacy Data'!H176:H180))</f>
        <v>0</v>
      </c>
      <c r="I12" s="321">
        <f>SUM('Sales Data'!I27:I31)*(SUM('Sales Data'!I27:I31)/SUMPRODUCT('Sales Data'!I27:I31,'Average Efficacy Data'!I27:I31)-SUM('Sales Data'!I176:I180)/SUMPRODUCT('Sales Data'!I176:I180,'Average Efficacy Data'!I176:I180))</f>
        <v>0</v>
      </c>
      <c r="J12" s="321">
        <f>SUM('Sales Data'!J27:J31)*(SUM('Sales Data'!J27:J31)/SUMPRODUCT('Sales Data'!J27:J31,'Average Efficacy Data'!J27:J31)-SUM('Sales Data'!J176:J180)/SUMPRODUCT('Sales Data'!J176:J180,'Average Efficacy Data'!J176:J180))</f>
        <v>0</v>
      </c>
      <c r="K12" s="321">
        <f>SUM('Sales Data'!K27:K31)*(SUM('Sales Data'!K27:K31)/SUMPRODUCT('Sales Data'!K27:K31,'Average Efficacy Data'!K27:K31)-SUM('Sales Data'!K176:K180)/SUMPRODUCT('Sales Data'!K176:K180,'Average Efficacy Data'!K176:K180))</f>
        <v>0</v>
      </c>
      <c r="L12" s="321">
        <f>SUM('Sales Data'!L27:L31)*(SUM('Sales Data'!L27:L31)/SUMPRODUCT('Sales Data'!L27:L31,'Average Efficacy Data'!L27:L31)-SUM('Sales Data'!L176:L180)/SUMPRODUCT('Sales Data'!L176:L180,'Average Efficacy Data'!L176:L180))</f>
        <v>0</v>
      </c>
      <c r="M12" s="321">
        <f>SUM('Sales Data'!M27:M31)*(SUM('Sales Data'!M27:M31)/SUMPRODUCT('Sales Data'!M27:M31,'Average Efficacy Data'!M27:M31)-SUM('Sales Data'!M176:M180)/SUMPRODUCT('Sales Data'!M176:M180,'Average Efficacy Data'!M176:M180))</f>
        <v>0</v>
      </c>
      <c r="N12" s="321">
        <f>SUM('Sales Data'!N27:N31)*(SUM('Sales Data'!N27:N31)/SUMPRODUCT('Sales Data'!N27:N31,'Average Efficacy Data'!N27:N31)-SUM('Sales Data'!N176:N180)/SUMPRODUCT('Sales Data'!N176:N180,'Average Efficacy Data'!N176:N180))</f>
        <v>0</v>
      </c>
      <c r="O12" s="321">
        <f>SUM('Sales Data'!O27:O31)*(SUM('Sales Data'!O27:O31)/SUMPRODUCT('Sales Data'!O27:O31,'Average Efficacy Data'!O27:O31)-SUM('Sales Data'!O176:O180)/SUMPRODUCT('Sales Data'!O176:O180,'Average Efficacy Data'!O176:O180))</f>
        <v>0</v>
      </c>
      <c r="P12" s="321">
        <f>SUM('Sales Data'!P27:P31)*(SUM('Sales Data'!P27:P31)/SUMPRODUCT('Sales Data'!P27:P31,'Average Efficacy Data'!P27:P31)-SUM('Sales Data'!P176:P180)/SUMPRODUCT('Sales Data'!P176:P180,'Average Efficacy Data'!P176:P180))</f>
        <v>0</v>
      </c>
      <c r="Q12" s="321">
        <f>SUM('Sales Data'!Q27:Q31)*(SUM('Sales Data'!Q27:Q31)/SUMPRODUCT('Sales Data'!Q27:Q31,'Average Efficacy Data'!Q27:Q31)-SUM('Sales Data'!Q176:Q180)/SUMPRODUCT('Sales Data'!Q176:Q180,'Average Efficacy Data'!Q176:Q180))</f>
        <v>0</v>
      </c>
      <c r="R12" s="321">
        <f>SUM('Sales Data'!R27:R31)*(SUM('Sales Data'!R27:R31)/SUMPRODUCT('Sales Data'!R27:R31,'Average Efficacy Data'!R27:R31)-SUM('Sales Data'!R176:R180)/SUMPRODUCT('Sales Data'!R176:R180,'Average Efficacy Data'!R176:R180))</f>
        <v>0</v>
      </c>
      <c r="S12" s="321">
        <f>SUM('Sales Data'!S27:S31)*(SUM('Sales Data'!S27:S31)/SUMPRODUCT('Sales Data'!S27:S31,'Average Efficacy Data'!S27:S31)-SUM('Sales Data'!S176:S180)/SUMPRODUCT('Sales Data'!S176:S180,'Average Efficacy Data'!S176:S180))</f>
        <v>0</v>
      </c>
      <c r="T12" s="321">
        <f>SUM('Sales Data'!T27:T31)*(SUM('Sales Data'!T27:T31)/SUMPRODUCT('Sales Data'!T27:T31,'Average Efficacy Data'!T27:T31)-SUM('Sales Data'!T176:T180)/SUMPRODUCT('Sales Data'!T176:T180,'Average Efficacy Data'!T176:T180))</f>
        <v>0</v>
      </c>
      <c r="U12" s="321">
        <f>SUM('Sales Data'!U27:U31)*(SUM('Sales Data'!U27:U31)/SUMPRODUCT('Sales Data'!U27:U31,'Average Efficacy Data'!U27:U31)-SUM('Sales Data'!U176:U180)/SUMPRODUCT('Sales Data'!U176:U180,'Average Efficacy Data'!U176:U180))</f>
        <v>0</v>
      </c>
      <c r="V12" s="321">
        <f>SUM('Sales Data'!V27:V31)*(SUM('Sales Data'!V27:V31)/SUMPRODUCT('Sales Data'!V27:V31,'Average Efficacy Data'!V27:V31)-SUM('Sales Data'!V176:V180)/SUMPRODUCT('Sales Data'!V176:V180,'Average Efficacy Data'!V176:V180))</f>
        <v>0</v>
      </c>
      <c r="W12" s="321">
        <f>SUM('Sales Data'!W27:W31)*(SUM('Sales Data'!W27:W31)/SUMPRODUCT('Sales Data'!W27:W31,'Average Efficacy Data'!W27:W31)-SUM('Sales Data'!W176:W180)/SUMPRODUCT('Sales Data'!W176:W180,'Average Efficacy Data'!W176:W180))</f>
        <v>0</v>
      </c>
      <c r="X12" s="321">
        <f>SUM('Sales Data'!X27:X31)*(SUM('Sales Data'!X27:X31)/SUMPRODUCT('Sales Data'!X27:X31,'Average Efficacy Data'!X27:X31)-SUM('Sales Data'!X176:X180)/SUMPRODUCT('Sales Data'!X176:X180,'Average Efficacy Data'!X176:X180))</f>
        <v>0</v>
      </c>
      <c r="Y12" s="321">
        <f>SUM('Sales Data'!Y27:Y31)*(SUM('Sales Data'!Y27:Y31)/SUMPRODUCT('Sales Data'!Y27:Y31,'Average Efficacy Data'!Y27:Y31)-SUM('Sales Data'!Y176:Y180)/SUMPRODUCT('Sales Data'!Y176:Y180,'Average Efficacy Data'!Y176:Y180))</f>
        <v>0</v>
      </c>
      <c r="Z12" s="321">
        <f>SUM('Sales Data'!Z27:Z31)*(SUM('Sales Data'!Z27:Z31)/SUMPRODUCT('Sales Data'!Z27:Z31,'Average Efficacy Data'!Z27:Z31)-SUM('Sales Data'!Z176:Z180)/SUMPRODUCT('Sales Data'!Z176:Z180,'Average Efficacy Data'!Z176:Z180))</f>
        <v>0</v>
      </c>
      <c r="AA12" s="321">
        <f>SUM('Sales Data'!AA27:AA31)*(SUM('Sales Data'!AA27:AA31)/SUMPRODUCT('Sales Data'!AA27:AA31,'Average Efficacy Data'!AA27:AA31)-SUM('Sales Data'!AA176:AA180)/SUMPRODUCT('Sales Data'!AA176:AA180,'Average Efficacy Data'!AA176:AA180))</f>
        <v>0</v>
      </c>
      <c r="AB12" s="321">
        <f>SUM('Sales Data'!AB27:AB31)*(SUM('Sales Data'!AB27:AB31)/SUMPRODUCT('Sales Data'!AB27:AB31,'Average Efficacy Data'!AB27:AB31)-SUM('Sales Data'!AB176:AB180)/SUMPRODUCT('Sales Data'!AB176:AB180,'Average Efficacy Data'!AB176:AB180))</f>
        <v>0</v>
      </c>
      <c r="AC12" s="321">
        <f>SUM('Sales Data'!AC27:AC31)*(SUM('Sales Data'!AC27:AC31)/SUMPRODUCT('Sales Data'!AC27:AC31,'Average Efficacy Data'!AC27:AC31)-SUM('Sales Data'!AC176:AC180)/SUMPRODUCT('Sales Data'!AC176:AC180,'Average Efficacy Data'!AC176:AC180))</f>
        <v>0</v>
      </c>
      <c r="AD12" s="321">
        <f>SUM('Sales Data'!AD27:AD31)*(SUM('Sales Data'!AD27:AD31)/SUMPRODUCT('Sales Data'!AD27:AD31,'Average Efficacy Data'!AD27:AD31)-SUM('Sales Data'!AD176:AD180)/SUMPRODUCT('Sales Data'!AD176:AD180,'Average Efficacy Data'!AD176:AD180))</f>
        <v>0</v>
      </c>
      <c r="AE12" s="321">
        <f>SUM('Sales Data'!AE27:AE31)*(SUM('Sales Data'!AE27:AE31)/SUMPRODUCT('Sales Data'!AE27:AE31,'Average Efficacy Data'!AE27:AE31)-SUM('Sales Data'!AE176:AE180)/SUMPRODUCT('Sales Data'!AE176:AE180,'Average Efficacy Data'!AE176:AE180))</f>
        <v>0</v>
      </c>
      <c r="AF12" s="321">
        <f>SUM('Sales Data'!AF27:AF31)*(SUM('Sales Data'!AF27:AF31)/SUMPRODUCT('Sales Data'!AF27:AF31,'Average Efficacy Data'!AF27:AF31)-SUM('Sales Data'!AF176:AF180)/SUMPRODUCT('Sales Data'!AF176:AF180,'Average Efficacy Data'!AF176:AF180))</f>
        <v>0</v>
      </c>
    </row>
    <row r="13" spans="1:32" ht="14.45" x14ac:dyDescent="0.35">
      <c r="A13" s="840"/>
      <c r="B13" s="838" t="s">
        <v>47</v>
      </c>
      <c r="H13" s="321">
        <f>SUM('Sales Data'!H34:H39)*(SUM('Sales Data'!H34:H39)/SUMPRODUCT('Sales Data'!H34:H39,'Average Efficacy Data'!H34:H39)-SUM('Sales Data'!H183:H188)/SUMPRODUCT('Sales Data'!H183:H188,'Average Efficacy Data'!H183:H188))</f>
        <v>0</v>
      </c>
      <c r="I13" s="321">
        <f>SUM('Sales Data'!I34:I39)*(SUM('Sales Data'!I34:I39)/SUMPRODUCT('Sales Data'!I34:I39,'Average Efficacy Data'!I34:I39)-SUM('Sales Data'!I183:I188)/SUMPRODUCT('Sales Data'!I183:I188,'Average Efficacy Data'!I183:I188))</f>
        <v>0</v>
      </c>
      <c r="J13" s="321">
        <f>SUM('Sales Data'!J34:J39)*(SUM('Sales Data'!J34:J39)/SUMPRODUCT('Sales Data'!J34:J39,'Average Efficacy Data'!J34:J39)-SUM('Sales Data'!J183:J188)/SUMPRODUCT('Sales Data'!J183:J188,'Average Efficacy Data'!J183:J188))</f>
        <v>0</v>
      </c>
      <c r="K13" s="321">
        <f>SUM('Sales Data'!K34:K39)*(SUM('Sales Data'!K34:K39)/SUMPRODUCT('Sales Data'!K34:K39,'Average Efficacy Data'!K34:K39)-SUM('Sales Data'!K183:K188)/SUMPRODUCT('Sales Data'!K183:K188,'Average Efficacy Data'!K183:K188))</f>
        <v>0</v>
      </c>
      <c r="L13" s="321">
        <f>SUM('Sales Data'!L34:L39)*(SUM('Sales Data'!L34:L39)/SUMPRODUCT('Sales Data'!L34:L39,'Average Efficacy Data'!L34:L39)-SUM('Sales Data'!L183:L188)/SUMPRODUCT('Sales Data'!L183:L188,'Average Efficacy Data'!L183:L188))</f>
        <v>0</v>
      </c>
      <c r="M13" s="321">
        <f>SUM('Sales Data'!M34:M39)*(SUM('Sales Data'!M34:M39)/SUMPRODUCT('Sales Data'!M34:M39,'Average Efficacy Data'!M34:M39)-SUM('Sales Data'!M183:M188)/SUMPRODUCT('Sales Data'!M183:M188,'Average Efficacy Data'!M183:M188))</f>
        <v>0</v>
      </c>
      <c r="N13" s="321">
        <f>SUM('Sales Data'!N34:N39)*(SUM('Sales Data'!N34:N39)/SUMPRODUCT('Sales Data'!N34:N39,'Average Efficacy Data'!N34:N39)-SUM('Sales Data'!N183:N188)/SUMPRODUCT('Sales Data'!N183:N188,'Average Efficacy Data'!N183:N188))</f>
        <v>0</v>
      </c>
      <c r="O13" s="321">
        <f>SUM('Sales Data'!O34:O39)*(SUM('Sales Data'!O34:O39)/SUMPRODUCT('Sales Data'!O34:O39,'Average Efficacy Data'!O34:O39)-SUM('Sales Data'!O183:O188)/SUMPRODUCT('Sales Data'!O183:O188,'Average Efficacy Data'!O183:O188))</f>
        <v>0</v>
      </c>
      <c r="P13" s="321">
        <f>SUM('Sales Data'!P34:P39)*(SUM('Sales Data'!P34:P39)/SUMPRODUCT('Sales Data'!P34:P39,'Average Efficacy Data'!P34:P39)-SUM('Sales Data'!P183:P188)/SUMPRODUCT('Sales Data'!P183:P188,'Average Efficacy Data'!P183:P188))</f>
        <v>0</v>
      </c>
      <c r="Q13" s="321">
        <f>SUM('Sales Data'!Q34:Q39)*(SUM('Sales Data'!Q34:Q39)/SUMPRODUCT('Sales Data'!Q34:Q39,'Average Efficacy Data'!Q34:Q39)-SUM('Sales Data'!Q183:Q188)/SUMPRODUCT('Sales Data'!Q183:Q188,'Average Efficacy Data'!Q183:Q188))</f>
        <v>0</v>
      </c>
      <c r="R13" s="321">
        <f>SUM('Sales Data'!R34:R39)*(SUM('Sales Data'!R34:R39)/SUMPRODUCT('Sales Data'!R34:R39,'Average Efficacy Data'!R34:R39)-SUM('Sales Data'!R183:R188)/SUMPRODUCT('Sales Data'!R183:R188,'Average Efficacy Data'!R183:R188))</f>
        <v>0</v>
      </c>
      <c r="S13" s="321">
        <f>SUM('Sales Data'!S34:S39)*(SUM('Sales Data'!S34:S39)/SUMPRODUCT('Sales Data'!S34:S39,'Average Efficacy Data'!S34:S39)-SUM('Sales Data'!S183:S188)/SUMPRODUCT('Sales Data'!S183:S188,'Average Efficacy Data'!S183:S188))</f>
        <v>0</v>
      </c>
      <c r="T13" s="321">
        <f>SUM('Sales Data'!T34:T39)*(SUM('Sales Data'!T34:T39)/SUMPRODUCT('Sales Data'!T34:T39,'Average Efficacy Data'!T34:T39)-SUM('Sales Data'!T183:T188)/SUMPRODUCT('Sales Data'!T183:T188,'Average Efficacy Data'!T183:T188))</f>
        <v>0</v>
      </c>
      <c r="U13" s="321">
        <f>SUM('Sales Data'!U34:U39)*(SUM('Sales Data'!U34:U39)/SUMPRODUCT('Sales Data'!U34:U39,'Average Efficacy Data'!U34:U39)-SUM('Sales Data'!U183:U188)/SUMPRODUCT('Sales Data'!U183:U188,'Average Efficacy Data'!U183:U188))</f>
        <v>0</v>
      </c>
      <c r="V13" s="321">
        <f>SUM('Sales Data'!V34:V39)*(SUM('Sales Data'!V34:V39)/SUMPRODUCT('Sales Data'!V34:V39,'Average Efficacy Data'!V34:V39)-SUM('Sales Data'!V183:V188)/SUMPRODUCT('Sales Data'!V183:V188,'Average Efficacy Data'!V183:V188))</f>
        <v>0</v>
      </c>
      <c r="W13" s="321">
        <f>SUM('Sales Data'!W34:W39)*(SUM('Sales Data'!W34:W39)/SUMPRODUCT('Sales Data'!W34:W39,'Average Efficacy Data'!W34:W39)-SUM('Sales Data'!W183:W188)/SUMPRODUCT('Sales Data'!W183:W188,'Average Efficacy Data'!W183:W188))</f>
        <v>0</v>
      </c>
      <c r="X13" s="321">
        <f>SUM('Sales Data'!X34:X39)*(SUM('Sales Data'!X34:X39)/SUMPRODUCT('Sales Data'!X34:X39,'Average Efficacy Data'!X34:X39)-SUM('Sales Data'!X183:X188)/SUMPRODUCT('Sales Data'!X183:X188,'Average Efficacy Data'!X183:X188))</f>
        <v>0</v>
      </c>
      <c r="Y13" s="321">
        <f>SUM('Sales Data'!Y34:Y39)*(SUM('Sales Data'!Y34:Y39)/SUMPRODUCT('Sales Data'!Y34:Y39,'Average Efficacy Data'!Y34:Y39)-SUM('Sales Data'!Y183:Y188)/SUMPRODUCT('Sales Data'!Y183:Y188,'Average Efficacy Data'!Y183:Y188))</f>
        <v>0</v>
      </c>
      <c r="Z13" s="321">
        <f>SUM('Sales Data'!Z34:Z39)*(SUM('Sales Data'!Z34:Z39)/SUMPRODUCT('Sales Data'!Z34:Z39,'Average Efficacy Data'!Z34:Z39)-SUM('Sales Data'!Z183:Z188)/SUMPRODUCT('Sales Data'!Z183:Z188,'Average Efficacy Data'!Z183:Z188))</f>
        <v>0</v>
      </c>
      <c r="AA13" s="321">
        <f>SUM('Sales Data'!AA34:AA39)*(SUM('Sales Data'!AA34:AA39)/SUMPRODUCT('Sales Data'!AA34:AA39,'Average Efficacy Data'!AA34:AA39)-SUM('Sales Data'!AA183:AA188)/SUMPRODUCT('Sales Data'!AA183:AA188,'Average Efficacy Data'!AA183:AA188))</f>
        <v>0</v>
      </c>
      <c r="AB13" s="321">
        <f>SUM('Sales Data'!AB34:AB39)*(SUM('Sales Data'!AB34:AB39)/SUMPRODUCT('Sales Data'!AB34:AB39,'Average Efficacy Data'!AB34:AB39)-SUM('Sales Data'!AB183:AB188)/SUMPRODUCT('Sales Data'!AB183:AB188,'Average Efficacy Data'!AB183:AB188))</f>
        <v>0</v>
      </c>
      <c r="AC13" s="321">
        <f>SUM('Sales Data'!AC34:AC39)*(SUM('Sales Data'!AC34:AC39)/SUMPRODUCT('Sales Data'!AC34:AC39,'Average Efficacy Data'!AC34:AC39)-SUM('Sales Data'!AC183:AC188)/SUMPRODUCT('Sales Data'!AC183:AC188,'Average Efficacy Data'!AC183:AC188))</f>
        <v>0</v>
      </c>
      <c r="AD13" s="321">
        <f>SUM('Sales Data'!AD34:AD39)*(SUM('Sales Data'!AD34:AD39)/SUMPRODUCT('Sales Data'!AD34:AD39,'Average Efficacy Data'!AD34:AD39)-SUM('Sales Data'!AD183:AD188)/SUMPRODUCT('Sales Data'!AD183:AD188,'Average Efficacy Data'!AD183:AD188))</f>
        <v>0</v>
      </c>
      <c r="AE13" s="321">
        <f>SUM('Sales Data'!AE34:AE39)*(SUM('Sales Data'!AE34:AE39)/SUMPRODUCT('Sales Data'!AE34:AE39,'Average Efficacy Data'!AE34:AE39)-SUM('Sales Data'!AE183:AE188)/SUMPRODUCT('Sales Data'!AE183:AE188,'Average Efficacy Data'!AE183:AE188))</f>
        <v>0</v>
      </c>
      <c r="AF13" s="321">
        <f>SUM('Sales Data'!AF34:AF39)*(SUM('Sales Data'!AF34:AF39)/SUMPRODUCT('Sales Data'!AF34:AF39,'Average Efficacy Data'!AF34:AF39)-SUM('Sales Data'!AF183:AF188)/SUMPRODUCT('Sales Data'!AF183:AF188,'Average Efficacy Data'!AF183:AF188))</f>
        <v>0</v>
      </c>
    </row>
    <row r="14" spans="1:32" ht="14.45" x14ac:dyDescent="0.35">
      <c r="H14" s="321"/>
      <c r="I14" s="321"/>
      <c r="J14" s="321"/>
      <c r="K14" s="321"/>
      <c r="L14" s="321"/>
      <c r="M14" s="321"/>
      <c r="N14" s="321"/>
      <c r="O14" s="321"/>
      <c r="P14" s="321"/>
      <c r="Q14" s="321"/>
      <c r="R14" s="321"/>
      <c r="S14" s="321"/>
      <c r="T14" s="321"/>
      <c r="U14" s="321"/>
      <c r="V14" s="321"/>
      <c r="W14" s="321"/>
      <c r="X14" s="321"/>
      <c r="Y14" s="321"/>
      <c r="Z14" s="321"/>
      <c r="AA14" s="321"/>
      <c r="AB14" s="321"/>
      <c r="AC14" s="321"/>
      <c r="AD14" s="321"/>
      <c r="AE14" s="321"/>
      <c r="AF14" s="321"/>
    </row>
    <row r="15" spans="1:32" ht="14.45" x14ac:dyDescent="0.35">
      <c r="A15" s="860" t="s">
        <v>56</v>
      </c>
      <c r="B15" s="861"/>
      <c r="C15" s="860"/>
      <c r="D15" s="859"/>
      <c r="E15" s="859"/>
      <c r="F15" s="859"/>
      <c r="G15" s="859"/>
      <c r="H15" s="980"/>
      <c r="I15" s="980"/>
      <c r="J15" s="980"/>
      <c r="K15" s="980"/>
      <c r="L15" s="980"/>
      <c r="M15" s="980"/>
      <c r="N15" s="980"/>
      <c r="O15" s="980"/>
      <c r="P15" s="980"/>
      <c r="Q15" s="980"/>
      <c r="R15" s="980"/>
      <c r="S15" s="980"/>
      <c r="T15" s="980"/>
      <c r="U15" s="980"/>
      <c r="V15" s="980"/>
      <c r="W15" s="980"/>
      <c r="X15" s="980"/>
      <c r="Y15" s="980"/>
      <c r="Z15" s="980"/>
      <c r="AA15" s="980"/>
      <c r="AB15" s="980"/>
      <c r="AC15" s="980"/>
      <c r="AD15" s="980"/>
      <c r="AE15" s="980"/>
      <c r="AF15" s="980"/>
    </row>
    <row r="16" spans="1:32" ht="14.45" x14ac:dyDescent="0.35">
      <c r="A16" s="840" t="s">
        <v>12</v>
      </c>
      <c r="B16" s="839"/>
      <c r="H16" s="321"/>
      <c r="I16" s="321"/>
      <c r="J16" s="321"/>
      <c r="K16" s="321"/>
      <c r="L16" s="321"/>
      <c r="M16" s="321"/>
      <c r="N16" s="321"/>
      <c r="O16" s="321"/>
      <c r="P16" s="321"/>
      <c r="Q16" s="321"/>
      <c r="R16" s="321"/>
      <c r="S16" s="321"/>
      <c r="T16" s="321"/>
      <c r="U16" s="321"/>
      <c r="V16" s="321"/>
      <c r="W16" s="321"/>
      <c r="X16" s="321"/>
      <c r="Y16" s="321"/>
      <c r="Z16" s="321"/>
      <c r="AA16" s="321"/>
      <c r="AB16" s="321"/>
      <c r="AC16" s="321"/>
      <c r="AD16" s="321"/>
      <c r="AE16" s="321"/>
      <c r="AF16" s="321"/>
    </row>
    <row r="17" spans="1:32" ht="14.45" x14ac:dyDescent="0.35">
      <c r="A17" s="840"/>
      <c r="B17" s="838" t="s">
        <v>504</v>
      </c>
      <c r="H17" s="321">
        <f>SUM('Sales Data'!H46:H49)*(SUM('Sales Data'!H46:H49)/SUMPRODUCT('Sales Data'!H46:H49,'Average Efficacy Data'!H46:H49)-SUM('Sales Data'!H195:H198)/SUMPRODUCT('Sales Data'!H195:H198,'Average Efficacy Data'!H195:H198))</f>
        <v>0</v>
      </c>
      <c r="I17" s="321">
        <f>SUM('Sales Data'!I46:I49)*(SUM('Sales Data'!I46:I49)/SUMPRODUCT('Sales Data'!I46:I49,'Average Efficacy Data'!I46:I49)-SUM('Sales Data'!I195:I198)/SUMPRODUCT('Sales Data'!I195:I198,'Average Efficacy Data'!I195:I198))</f>
        <v>0</v>
      </c>
      <c r="J17" s="321">
        <f>SUM('Sales Data'!J46:J49)*(SUM('Sales Data'!J46:J49)/SUMPRODUCT('Sales Data'!J46:J49,'Average Efficacy Data'!J46:J49)-SUM('Sales Data'!J195:J198)/SUMPRODUCT('Sales Data'!J195:J198,'Average Efficacy Data'!J195:J198))</f>
        <v>0</v>
      </c>
      <c r="K17" s="321">
        <f>SUM('Sales Data'!K46:K49)*(SUM('Sales Data'!K46:K49)/SUMPRODUCT('Sales Data'!K46:K49,'Average Efficacy Data'!K46:K49)-SUM('Sales Data'!K195:K198)/SUMPRODUCT('Sales Data'!K195:K198,'Average Efficacy Data'!K195:K198))</f>
        <v>0</v>
      </c>
      <c r="L17" s="321">
        <f>SUM('Sales Data'!L46:L49)*(SUM('Sales Data'!L46:L49)/SUMPRODUCT('Sales Data'!L46:L49,'Average Efficacy Data'!L46:L49)-SUM('Sales Data'!L195:L198)/SUMPRODUCT('Sales Data'!L195:L198,'Average Efficacy Data'!L195:L198))</f>
        <v>0</v>
      </c>
      <c r="M17" s="321">
        <f>SUM('Sales Data'!M46:M49)*(SUM('Sales Data'!M46:M49)/SUMPRODUCT('Sales Data'!M46:M49,'Average Efficacy Data'!M46:M49)-SUM('Sales Data'!M195:M198)/SUMPRODUCT('Sales Data'!M195:M198,'Average Efficacy Data'!M195:M198))</f>
        <v>0</v>
      </c>
      <c r="N17" s="321">
        <f>SUM('Sales Data'!N46:N49)*(SUM('Sales Data'!N46:N49)/SUMPRODUCT('Sales Data'!N46:N49,'Average Efficacy Data'!N46:N49)-SUM('Sales Data'!N195:N198)/SUMPRODUCT('Sales Data'!N195:N198,'Average Efficacy Data'!N195:N198))</f>
        <v>0</v>
      </c>
      <c r="O17" s="321">
        <f>SUM('Sales Data'!O46:O49)*(SUM('Sales Data'!O46:O49)/SUMPRODUCT('Sales Data'!O46:O49,'Average Efficacy Data'!O46:O49)-SUM('Sales Data'!O195:O198)/SUMPRODUCT('Sales Data'!O195:O198,'Average Efficacy Data'!O195:O198))</f>
        <v>0</v>
      </c>
      <c r="P17" s="321">
        <f>SUM('Sales Data'!P46:P49)*(SUM('Sales Data'!P46:P49)/SUMPRODUCT('Sales Data'!P46:P49,'Average Efficacy Data'!P46:P49)-SUM('Sales Data'!P195:P198)/SUMPRODUCT('Sales Data'!P195:P198,'Average Efficacy Data'!P195:P198))</f>
        <v>0</v>
      </c>
      <c r="Q17" s="321">
        <f>SUM('Sales Data'!Q46:Q49)*(SUM('Sales Data'!Q46:Q49)/SUMPRODUCT('Sales Data'!Q46:Q49,'Average Efficacy Data'!Q46:Q49)-SUM('Sales Data'!Q195:Q198)/SUMPRODUCT('Sales Data'!Q195:Q198,'Average Efficacy Data'!Q195:Q198))</f>
        <v>0</v>
      </c>
      <c r="R17" s="321">
        <f>SUM('Sales Data'!R46:R49)*(SUM('Sales Data'!R46:R49)/SUMPRODUCT('Sales Data'!R46:R49,'Average Efficacy Data'!R46:R49)-SUM('Sales Data'!R195:R198)/SUMPRODUCT('Sales Data'!R195:R198,'Average Efficacy Data'!R195:R198))</f>
        <v>0</v>
      </c>
      <c r="S17" s="321">
        <f>SUM('Sales Data'!S46:S49)*(SUM('Sales Data'!S46:S49)/SUMPRODUCT('Sales Data'!S46:S49,'Average Efficacy Data'!S46:S49)-SUM('Sales Data'!S195:S198)/SUMPRODUCT('Sales Data'!S195:S198,'Average Efficacy Data'!S195:S198))</f>
        <v>0</v>
      </c>
      <c r="T17" s="321">
        <f>SUM('Sales Data'!T46:T49)*(SUM('Sales Data'!T46:T49)/SUMPRODUCT('Sales Data'!T46:T49,'Average Efficacy Data'!T46:T49)-SUM('Sales Data'!T195:T198)/SUMPRODUCT('Sales Data'!T195:T198,'Average Efficacy Data'!T195:T198))</f>
        <v>0</v>
      </c>
      <c r="U17" s="321">
        <f>SUM('Sales Data'!U46:U49)*(SUM('Sales Data'!U46:U49)/SUMPRODUCT('Sales Data'!U46:U49,'Average Efficacy Data'!U46:U49)-SUM('Sales Data'!U195:U198)/SUMPRODUCT('Sales Data'!U195:U198,'Average Efficacy Data'!U195:U198))</f>
        <v>0</v>
      </c>
      <c r="V17" s="321">
        <f>SUM('Sales Data'!V46:V49)*(SUM('Sales Data'!V46:V49)/SUMPRODUCT('Sales Data'!V46:V49,'Average Efficacy Data'!V46:V49)-SUM('Sales Data'!V195:V198)/SUMPRODUCT('Sales Data'!V195:V198,'Average Efficacy Data'!V195:V198))</f>
        <v>0</v>
      </c>
      <c r="W17" s="321">
        <f>SUM('Sales Data'!W46:W49)*(SUM('Sales Data'!W46:W49)/SUMPRODUCT('Sales Data'!W46:W49,'Average Efficacy Data'!W46:W49)-SUM('Sales Data'!W195:W198)/SUMPRODUCT('Sales Data'!W195:W198,'Average Efficacy Data'!W195:W198))</f>
        <v>0</v>
      </c>
      <c r="X17" s="321">
        <f>SUM('Sales Data'!X46:X49)*(SUM('Sales Data'!X46:X49)/SUMPRODUCT('Sales Data'!X46:X49,'Average Efficacy Data'!X46:X49)-SUM('Sales Data'!X195:X198)/SUMPRODUCT('Sales Data'!X195:X198,'Average Efficacy Data'!X195:X198))</f>
        <v>0</v>
      </c>
      <c r="Y17" s="321">
        <f>SUM('Sales Data'!Y46:Y49)*(SUM('Sales Data'!Y46:Y49)/SUMPRODUCT('Sales Data'!Y46:Y49,'Average Efficacy Data'!Y46:Y49)-SUM('Sales Data'!Y195:Y198)/SUMPRODUCT('Sales Data'!Y195:Y198,'Average Efficacy Data'!Y195:Y198))</f>
        <v>0</v>
      </c>
      <c r="Z17" s="321">
        <f>SUM('Sales Data'!Z46:Z49)*(SUM('Sales Data'!Z46:Z49)/SUMPRODUCT('Sales Data'!Z46:Z49,'Average Efficacy Data'!Z46:Z49)-SUM('Sales Data'!Z195:Z198)/SUMPRODUCT('Sales Data'!Z195:Z198,'Average Efficacy Data'!Z195:Z198))</f>
        <v>0</v>
      </c>
      <c r="AA17" s="321">
        <f>SUM('Sales Data'!AA46:AA49)*(SUM('Sales Data'!AA46:AA49)/SUMPRODUCT('Sales Data'!AA46:AA49,'Average Efficacy Data'!AA46:AA49)-SUM('Sales Data'!AA195:AA198)/SUMPRODUCT('Sales Data'!AA195:AA198,'Average Efficacy Data'!AA195:AA198))</f>
        <v>0</v>
      </c>
      <c r="AB17" s="321">
        <f>SUM('Sales Data'!AB46:AB49)*(SUM('Sales Data'!AB46:AB49)/SUMPRODUCT('Sales Data'!AB46:AB49,'Average Efficacy Data'!AB46:AB49)-SUM('Sales Data'!AB195:AB198)/SUMPRODUCT('Sales Data'!AB195:AB198,'Average Efficacy Data'!AB195:AB198))</f>
        <v>0</v>
      </c>
      <c r="AC17" s="321">
        <f>SUM('Sales Data'!AC46:AC49)*(SUM('Sales Data'!AC46:AC49)/SUMPRODUCT('Sales Data'!AC46:AC49,'Average Efficacy Data'!AC46:AC49)-SUM('Sales Data'!AC195:AC198)/SUMPRODUCT('Sales Data'!AC195:AC198,'Average Efficacy Data'!AC195:AC198))</f>
        <v>0</v>
      </c>
      <c r="AD17" s="321">
        <f>SUM('Sales Data'!AD46:AD49)*(SUM('Sales Data'!AD46:AD49)/SUMPRODUCT('Sales Data'!AD46:AD49,'Average Efficacy Data'!AD46:AD49)-SUM('Sales Data'!AD195:AD198)/SUMPRODUCT('Sales Data'!AD195:AD198,'Average Efficacy Data'!AD195:AD198))</f>
        <v>0</v>
      </c>
      <c r="AE17" s="321">
        <f>SUM('Sales Data'!AE46:AE49)*(SUM('Sales Data'!AE46:AE49)/SUMPRODUCT('Sales Data'!AE46:AE49,'Average Efficacy Data'!AE46:AE49)-SUM('Sales Data'!AE195:AE198)/SUMPRODUCT('Sales Data'!AE195:AE198,'Average Efficacy Data'!AE195:AE198))</f>
        <v>0</v>
      </c>
      <c r="AF17" s="321">
        <f>SUM('Sales Data'!AF46:AF49)*(SUM('Sales Data'!AF46:AF49)/SUMPRODUCT('Sales Data'!AF46:AF49,'Average Efficacy Data'!AF46:AF49)-SUM('Sales Data'!AF195:AF198)/SUMPRODUCT('Sales Data'!AF195:AF198,'Average Efficacy Data'!AF195:AF198))</f>
        <v>0</v>
      </c>
    </row>
    <row r="18" spans="1:32" ht="14.45" x14ac:dyDescent="0.35">
      <c r="A18" s="840"/>
      <c r="B18" s="838" t="s">
        <v>32</v>
      </c>
      <c r="H18" s="321">
        <f>SUM('Sales Data'!H52:H55)*(SUM('Sales Data'!H52:H55)/SUMPRODUCT('Sales Data'!H52:H55,'Average Efficacy Data'!H52:H55)-SUM('Sales Data'!H201:H204)/SUMPRODUCT('Sales Data'!H201:H204,'Average Efficacy Data'!H201:H204))</f>
        <v>0</v>
      </c>
      <c r="I18" s="321">
        <f>SUM('Sales Data'!I52:I55)*(SUM('Sales Data'!I52:I55)/SUMPRODUCT('Sales Data'!I52:I55,'Average Efficacy Data'!I52:I55)-SUM('Sales Data'!I201:I204)/SUMPRODUCT('Sales Data'!I201:I204,'Average Efficacy Data'!I201:I204))</f>
        <v>0</v>
      </c>
      <c r="J18" s="321">
        <f>SUM('Sales Data'!J52:J55)*(SUM('Sales Data'!J52:J55)/SUMPRODUCT('Sales Data'!J52:J55,'Average Efficacy Data'!J52:J55)-SUM('Sales Data'!J201:J204)/SUMPRODUCT('Sales Data'!J201:J204,'Average Efficacy Data'!J201:J204))</f>
        <v>0</v>
      </c>
      <c r="K18" s="321">
        <f>SUM('Sales Data'!K52:K55)*(SUM('Sales Data'!K52:K55)/SUMPRODUCT('Sales Data'!K52:K55,'Average Efficacy Data'!K52:K55)-SUM('Sales Data'!K201:K204)/SUMPRODUCT('Sales Data'!K201:K204,'Average Efficacy Data'!K201:K204))</f>
        <v>0</v>
      </c>
      <c r="L18" s="321">
        <f>SUM('Sales Data'!L52:L55)*(SUM('Sales Data'!L52:L55)/SUMPRODUCT('Sales Data'!L52:L55,'Average Efficacy Data'!L52:L55)-SUM('Sales Data'!L201:L204)/SUMPRODUCT('Sales Data'!L201:L204,'Average Efficacy Data'!L201:L204))</f>
        <v>0</v>
      </c>
      <c r="M18" s="321">
        <f>SUM('Sales Data'!M52:M55)*(SUM('Sales Data'!M52:M55)/SUMPRODUCT('Sales Data'!M52:M55,'Average Efficacy Data'!M52:M55)-SUM('Sales Data'!M201:M204)/SUMPRODUCT('Sales Data'!M201:M204,'Average Efficacy Data'!M201:M204))</f>
        <v>0</v>
      </c>
      <c r="N18" s="321">
        <f>SUM('Sales Data'!N52:N55)*(SUM('Sales Data'!N52:N55)/SUMPRODUCT('Sales Data'!N52:N55,'Average Efficacy Data'!N52:N55)-SUM('Sales Data'!N201:N204)/SUMPRODUCT('Sales Data'!N201:N204,'Average Efficacy Data'!N201:N204))</f>
        <v>0</v>
      </c>
      <c r="O18" s="321">
        <f>SUM('Sales Data'!O52:O55)*(SUM('Sales Data'!O52:O55)/SUMPRODUCT('Sales Data'!O52:O55,'Average Efficacy Data'!O52:O55)-SUM('Sales Data'!O201:O204)/SUMPRODUCT('Sales Data'!O201:O204,'Average Efficacy Data'!O201:O204))</f>
        <v>0</v>
      </c>
      <c r="P18" s="321">
        <f>SUM('Sales Data'!P52:P55)*(SUM('Sales Data'!P52:P55)/SUMPRODUCT('Sales Data'!P52:P55,'Average Efficacy Data'!P52:P55)-SUM('Sales Data'!P201:P204)/SUMPRODUCT('Sales Data'!P201:P204,'Average Efficacy Data'!P201:P204))</f>
        <v>0</v>
      </c>
      <c r="Q18" s="321">
        <f>SUM('Sales Data'!Q52:Q55)*(SUM('Sales Data'!Q52:Q55)/SUMPRODUCT('Sales Data'!Q52:Q55,'Average Efficacy Data'!Q52:Q55)-SUM('Sales Data'!Q201:Q204)/SUMPRODUCT('Sales Data'!Q201:Q204,'Average Efficacy Data'!Q201:Q204))</f>
        <v>0</v>
      </c>
      <c r="R18" s="321">
        <f>SUM('Sales Data'!R52:R55)*(SUM('Sales Data'!R52:R55)/SUMPRODUCT('Sales Data'!R52:R55,'Average Efficacy Data'!R52:R55)-SUM('Sales Data'!R201:R204)/SUMPRODUCT('Sales Data'!R201:R204,'Average Efficacy Data'!R201:R204))</f>
        <v>0</v>
      </c>
      <c r="S18" s="321">
        <f>SUM('Sales Data'!S52:S55)*(SUM('Sales Data'!S52:S55)/SUMPRODUCT('Sales Data'!S52:S55,'Average Efficacy Data'!S52:S55)-SUM('Sales Data'!S201:S204)/SUMPRODUCT('Sales Data'!S201:S204,'Average Efficacy Data'!S201:S204))</f>
        <v>0</v>
      </c>
      <c r="T18" s="321">
        <f>SUM('Sales Data'!T52:T55)*(SUM('Sales Data'!T52:T55)/SUMPRODUCT('Sales Data'!T52:T55,'Average Efficacy Data'!T52:T55)-SUM('Sales Data'!T201:T204)/SUMPRODUCT('Sales Data'!T201:T204,'Average Efficacy Data'!T201:T204))</f>
        <v>0</v>
      </c>
      <c r="U18" s="321">
        <f>SUM('Sales Data'!U52:U55)*(SUM('Sales Data'!U52:U55)/SUMPRODUCT('Sales Data'!U52:U55,'Average Efficacy Data'!U52:U55)-SUM('Sales Data'!U201:U204)/SUMPRODUCT('Sales Data'!U201:U204,'Average Efficacy Data'!U201:U204))</f>
        <v>0</v>
      </c>
      <c r="V18" s="321">
        <f>SUM('Sales Data'!V52:V55)*(SUM('Sales Data'!V52:V55)/SUMPRODUCT('Sales Data'!V52:V55,'Average Efficacy Data'!V52:V55)-SUM('Sales Data'!V201:V204)/SUMPRODUCT('Sales Data'!V201:V204,'Average Efficacy Data'!V201:V204))</f>
        <v>0</v>
      </c>
      <c r="W18" s="321">
        <f>SUM('Sales Data'!W52:W55)*(SUM('Sales Data'!W52:W55)/SUMPRODUCT('Sales Data'!W52:W55,'Average Efficacy Data'!W52:W55)-SUM('Sales Data'!W201:W204)/SUMPRODUCT('Sales Data'!W201:W204,'Average Efficacy Data'!W201:W204))</f>
        <v>0</v>
      </c>
      <c r="X18" s="321">
        <f>SUM('Sales Data'!X52:X55)*(SUM('Sales Data'!X52:X55)/SUMPRODUCT('Sales Data'!X52:X55,'Average Efficacy Data'!X52:X55)-SUM('Sales Data'!X201:X204)/SUMPRODUCT('Sales Data'!X201:X204,'Average Efficacy Data'!X201:X204))</f>
        <v>0</v>
      </c>
      <c r="Y18" s="321">
        <f>SUM('Sales Data'!Y52:Y55)*(SUM('Sales Data'!Y52:Y55)/SUMPRODUCT('Sales Data'!Y52:Y55,'Average Efficacy Data'!Y52:Y55)-SUM('Sales Data'!Y201:Y204)/SUMPRODUCT('Sales Data'!Y201:Y204,'Average Efficacy Data'!Y201:Y204))</f>
        <v>0</v>
      </c>
      <c r="Z18" s="321">
        <f>SUM('Sales Data'!Z52:Z55)*(SUM('Sales Data'!Z52:Z55)/SUMPRODUCT('Sales Data'!Z52:Z55,'Average Efficacy Data'!Z52:Z55)-SUM('Sales Data'!Z201:Z204)/SUMPRODUCT('Sales Data'!Z201:Z204,'Average Efficacy Data'!Z201:Z204))</f>
        <v>0</v>
      </c>
      <c r="AA18" s="321">
        <f>SUM('Sales Data'!AA52:AA55)*(SUM('Sales Data'!AA52:AA55)/SUMPRODUCT('Sales Data'!AA52:AA55,'Average Efficacy Data'!AA52:AA55)-SUM('Sales Data'!AA201:AA204)/SUMPRODUCT('Sales Data'!AA201:AA204,'Average Efficacy Data'!AA201:AA204))</f>
        <v>0</v>
      </c>
      <c r="AB18" s="321">
        <f>SUM('Sales Data'!AB52:AB55)*(SUM('Sales Data'!AB52:AB55)/SUMPRODUCT('Sales Data'!AB52:AB55,'Average Efficacy Data'!AB52:AB55)-SUM('Sales Data'!AB201:AB204)/SUMPRODUCT('Sales Data'!AB201:AB204,'Average Efficacy Data'!AB201:AB204))</f>
        <v>0</v>
      </c>
      <c r="AC18" s="321">
        <f>SUM('Sales Data'!AC52:AC55)*(SUM('Sales Data'!AC52:AC55)/SUMPRODUCT('Sales Data'!AC52:AC55,'Average Efficacy Data'!AC52:AC55)-SUM('Sales Data'!AC201:AC204)/SUMPRODUCT('Sales Data'!AC201:AC204,'Average Efficacy Data'!AC201:AC204))</f>
        <v>0</v>
      </c>
      <c r="AD18" s="321">
        <f>SUM('Sales Data'!AD52:AD55)*(SUM('Sales Data'!AD52:AD55)/SUMPRODUCT('Sales Data'!AD52:AD55,'Average Efficacy Data'!AD52:AD55)-SUM('Sales Data'!AD201:AD204)/SUMPRODUCT('Sales Data'!AD201:AD204,'Average Efficacy Data'!AD201:AD204))</f>
        <v>0</v>
      </c>
      <c r="AE18" s="321">
        <f>SUM('Sales Data'!AE52:AE55)*(SUM('Sales Data'!AE52:AE55)/SUMPRODUCT('Sales Data'!AE52:AE55,'Average Efficacy Data'!AE52:AE55)-SUM('Sales Data'!AE201:AE204)/SUMPRODUCT('Sales Data'!AE201:AE204,'Average Efficacy Data'!AE201:AE204))</f>
        <v>0</v>
      </c>
      <c r="AF18" s="321">
        <f>SUM('Sales Data'!AF52:AF55)*(SUM('Sales Data'!AF52:AF55)/SUMPRODUCT('Sales Data'!AF52:AF55,'Average Efficacy Data'!AF52:AF55)-SUM('Sales Data'!AF201:AF204)/SUMPRODUCT('Sales Data'!AF201:AF204,'Average Efficacy Data'!AF201:AF204))</f>
        <v>0</v>
      </c>
    </row>
    <row r="19" spans="1:32" ht="14.45" x14ac:dyDescent="0.35">
      <c r="A19" s="840"/>
      <c r="B19" s="838" t="s">
        <v>491</v>
      </c>
      <c r="H19" s="321">
        <f>SUM('Sales Data'!H58:H61)*(SUM('Sales Data'!H58:H61)/SUMPRODUCT('Sales Data'!H58:H61,'Average Efficacy Data'!H58:H61)-SUM('Sales Data'!H207:H210)/SUMPRODUCT('Sales Data'!H207:H210,'Average Efficacy Data'!H207:H210))</f>
        <v>0</v>
      </c>
      <c r="I19" s="321">
        <f>SUM('Sales Data'!I58:I61)*(SUM('Sales Data'!I58:I61)/SUMPRODUCT('Sales Data'!I58:I61,'Average Efficacy Data'!I58:I61)-SUM('Sales Data'!I207:I210)/SUMPRODUCT('Sales Data'!I207:I210,'Average Efficacy Data'!I207:I210))</f>
        <v>0</v>
      </c>
      <c r="J19" s="321">
        <f>SUM('Sales Data'!J58:J61)*(SUM('Sales Data'!J58:J61)/SUMPRODUCT('Sales Data'!J58:J61,'Average Efficacy Data'!J58:J61)-SUM('Sales Data'!J207:J210)/SUMPRODUCT('Sales Data'!J207:J210,'Average Efficacy Data'!J207:J210))</f>
        <v>0</v>
      </c>
      <c r="K19" s="321">
        <f>SUM('Sales Data'!K58:K61)*(SUM('Sales Data'!K58:K61)/SUMPRODUCT('Sales Data'!K58:K61,'Average Efficacy Data'!K58:K61)-SUM('Sales Data'!K207:K210)/SUMPRODUCT('Sales Data'!K207:K210,'Average Efficacy Data'!K207:K210))</f>
        <v>0</v>
      </c>
      <c r="L19" s="321">
        <f>SUM('Sales Data'!L58:L61)*(SUM('Sales Data'!L58:L61)/SUMPRODUCT('Sales Data'!L58:L61,'Average Efficacy Data'!L58:L61)-SUM('Sales Data'!L207:L210)/SUMPRODUCT('Sales Data'!L207:L210,'Average Efficacy Data'!L207:L210))</f>
        <v>0</v>
      </c>
      <c r="M19" s="321">
        <f>SUM('Sales Data'!M58:M61)*(SUM('Sales Data'!M58:M61)/SUMPRODUCT('Sales Data'!M58:M61,'Average Efficacy Data'!M58:M61)-SUM('Sales Data'!M207:M210)/SUMPRODUCT('Sales Data'!M207:M210,'Average Efficacy Data'!M207:M210))</f>
        <v>0</v>
      </c>
      <c r="N19" s="321">
        <f>SUM('Sales Data'!N58:N61)*(SUM('Sales Data'!N58:N61)/SUMPRODUCT('Sales Data'!N58:N61,'Average Efficacy Data'!N58:N61)-SUM('Sales Data'!N207:N210)/SUMPRODUCT('Sales Data'!N207:N210,'Average Efficacy Data'!N207:N210))</f>
        <v>0</v>
      </c>
      <c r="O19" s="321">
        <f>SUM('Sales Data'!O58:O61)*(SUM('Sales Data'!O58:O61)/SUMPRODUCT('Sales Data'!O58:O61,'Average Efficacy Data'!O58:O61)-SUM('Sales Data'!O207:O210)/SUMPRODUCT('Sales Data'!O207:O210,'Average Efficacy Data'!O207:O210))</f>
        <v>0</v>
      </c>
      <c r="P19" s="321">
        <f>SUM('Sales Data'!P58:P61)*(SUM('Sales Data'!P58:P61)/SUMPRODUCT('Sales Data'!P58:P61,'Average Efficacy Data'!P58:P61)-SUM('Sales Data'!P207:P210)/SUMPRODUCT('Sales Data'!P207:P210,'Average Efficacy Data'!P207:P210))</f>
        <v>0</v>
      </c>
      <c r="Q19" s="321">
        <f>SUM('Sales Data'!Q58:Q61)*(SUM('Sales Data'!Q58:Q61)/SUMPRODUCT('Sales Data'!Q58:Q61,'Average Efficacy Data'!Q58:Q61)-SUM('Sales Data'!Q207:Q210)/SUMPRODUCT('Sales Data'!Q207:Q210,'Average Efficacy Data'!Q207:Q210))</f>
        <v>0</v>
      </c>
      <c r="R19" s="321">
        <f>SUM('Sales Data'!R58:R61)*(SUM('Sales Data'!R58:R61)/SUMPRODUCT('Sales Data'!R58:R61,'Average Efficacy Data'!R58:R61)-SUM('Sales Data'!R207:R210)/SUMPRODUCT('Sales Data'!R207:R210,'Average Efficacy Data'!R207:R210))</f>
        <v>0</v>
      </c>
      <c r="S19" s="321">
        <f>SUM('Sales Data'!S58:S61)*(SUM('Sales Data'!S58:S61)/SUMPRODUCT('Sales Data'!S58:S61,'Average Efficacy Data'!S58:S61)-SUM('Sales Data'!S207:S210)/SUMPRODUCT('Sales Data'!S207:S210,'Average Efficacy Data'!S207:S210))</f>
        <v>0</v>
      </c>
      <c r="T19" s="321">
        <f>SUM('Sales Data'!T58:T61)*(SUM('Sales Data'!T58:T61)/SUMPRODUCT('Sales Data'!T58:T61,'Average Efficacy Data'!T58:T61)-SUM('Sales Data'!T207:T210)/SUMPRODUCT('Sales Data'!T207:T210,'Average Efficacy Data'!T207:T210))</f>
        <v>0</v>
      </c>
      <c r="U19" s="321">
        <f>SUM('Sales Data'!U58:U61)*(SUM('Sales Data'!U58:U61)/SUMPRODUCT('Sales Data'!U58:U61,'Average Efficacy Data'!U58:U61)-SUM('Sales Data'!U207:U210)/SUMPRODUCT('Sales Data'!U207:U210,'Average Efficacy Data'!U207:U210))</f>
        <v>0</v>
      </c>
      <c r="V19" s="321">
        <f>SUM('Sales Data'!V58:V61)*(SUM('Sales Data'!V58:V61)/SUMPRODUCT('Sales Data'!V58:V61,'Average Efficacy Data'!V58:V61)-SUM('Sales Data'!V207:V210)/SUMPRODUCT('Sales Data'!V207:V210,'Average Efficacy Data'!V207:V210))</f>
        <v>0</v>
      </c>
      <c r="W19" s="321">
        <f>SUM('Sales Data'!W58:W61)*(SUM('Sales Data'!W58:W61)/SUMPRODUCT('Sales Data'!W58:W61,'Average Efficacy Data'!W58:W61)-SUM('Sales Data'!W207:W210)/SUMPRODUCT('Sales Data'!W207:W210,'Average Efficacy Data'!W207:W210))</f>
        <v>0</v>
      </c>
      <c r="X19" s="321">
        <f>SUM('Sales Data'!X58:X61)*(SUM('Sales Data'!X58:X61)/SUMPRODUCT('Sales Data'!X58:X61,'Average Efficacy Data'!X58:X61)-SUM('Sales Data'!X207:X210)/SUMPRODUCT('Sales Data'!X207:X210,'Average Efficacy Data'!X207:X210))</f>
        <v>0</v>
      </c>
      <c r="Y19" s="321">
        <f>SUM('Sales Data'!Y58:Y61)*(SUM('Sales Data'!Y58:Y61)/SUMPRODUCT('Sales Data'!Y58:Y61,'Average Efficacy Data'!Y58:Y61)-SUM('Sales Data'!Y207:Y210)/SUMPRODUCT('Sales Data'!Y207:Y210,'Average Efficacy Data'!Y207:Y210))</f>
        <v>0</v>
      </c>
      <c r="Z19" s="321">
        <f>SUM('Sales Data'!Z58:Z61)*(SUM('Sales Data'!Z58:Z61)/SUMPRODUCT('Sales Data'!Z58:Z61,'Average Efficacy Data'!Z58:Z61)-SUM('Sales Data'!Z207:Z210)/SUMPRODUCT('Sales Data'!Z207:Z210,'Average Efficacy Data'!Z207:Z210))</f>
        <v>0</v>
      </c>
      <c r="AA19" s="321">
        <f>SUM('Sales Data'!AA58:AA61)*(SUM('Sales Data'!AA58:AA61)/SUMPRODUCT('Sales Data'!AA58:AA61,'Average Efficacy Data'!AA58:AA61)-SUM('Sales Data'!AA207:AA210)/SUMPRODUCT('Sales Data'!AA207:AA210,'Average Efficacy Data'!AA207:AA210))</f>
        <v>0</v>
      </c>
      <c r="AB19" s="321">
        <f>SUM('Sales Data'!AB58:AB61)*(SUM('Sales Data'!AB58:AB61)/SUMPRODUCT('Sales Data'!AB58:AB61,'Average Efficacy Data'!AB58:AB61)-SUM('Sales Data'!AB207:AB210)/SUMPRODUCT('Sales Data'!AB207:AB210,'Average Efficacy Data'!AB207:AB210))</f>
        <v>0</v>
      </c>
      <c r="AC19" s="321">
        <f>SUM('Sales Data'!AC58:AC61)*(SUM('Sales Data'!AC58:AC61)/SUMPRODUCT('Sales Data'!AC58:AC61,'Average Efficacy Data'!AC58:AC61)-SUM('Sales Data'!AC207:AC210)/SUMPRODUCT('Sales Data'!AC207:AC210,'Average Efficacy Data'!AC207:AC210))</f>
        <v>0</v>
      </c>
      <c r="AD19" s="321">
        <f>SUM('Sales Data'!AD58:AD61)*(SUM('Sales Data'!AD58:AD61)/SUMPRODUCT('Sales Data'!AD58:AD61,'Average Efficacy Data'!AD58:AD61)-SUM('Sales Data'!AD207:AD210)/SUMPRODUCT('Sales Data'!AD207:AD210,'Average Efficacy Data'!AD207:AD210))</f>
        <v>0</v>
      </c>
      <c r="AE19" s="321">
        <f>SUM('Sales Data'!AE58:AE61)*(SUM('Sales Data'!AE58:AE61)/SUMPRODUCT('Sales Data'!AE58:AE61,'Average Efficacy Data'!AE58:AE61)-SUM('Sales Data'!AE207:AE210)/SUMPRODUCT('Sales Data'!AE207:AE210,'Average Efficacy Data'!AE207:AE210))</f>
        <v>0</v>
      </c>
      <c r="AF19" s="321">
        <f>SUM('Sales Data'!AF58:AF61)*(SUM('Sales Data'!AF58:AF61)/SUMPRODUCT('Sales Data'!AF58:AF61,'Average Efficacy Data'!AF58:AF61)-SUM('Sales Data'!AF207:AF210)/SUMPRODUCT('Sales Data'!AF207:AF210,'Average Efficacy Data'!AF207:AF210))</f>
        <v>0</v>
      </c>
    </row>
    <row r="20" spans="1:32" ht="14.45" x14ac:dyDescent="0.35">
      <c r="A20" s="840"/>
      <c r="B20" s="838" t="s">
        <v>42</v>
      </c>
      <c r="H20" s="321">
        <f>SUM('Sales Data'!H64:H68)*(SUM('Sales Data'!H64:H68)/SUMPRODUCT('Sales Data'!H64:H68,'Average Efficacy Data'!H64:H68)-SUM('Sales Data'!H213:H217)/SUMPRODUCT('Sales Data'!H213:H217,'Average Efficacy Data'!H213:H217))</f>
        <v>0</v>
      </c>
      <c r="I20" s="321">
        <f>SUM('Sales Data'!I64:I68)*(SUM('Sales Data'!I64:I68)/SUMPRODUCT('Sales Data'!I64:I68,'Average Efficacy Data'!I64:I68)-SUM('Sales Data'!I213:I217)/SUMPRODUCT('Sales Data'!I213:I217,'Average Efficacy Data'!I213:I217))</f>
        <v>0</v>
      </c>
      <c r="J20" s="321">
        <f>SUM('Sales Data'!J64:J68)*(SUM('Sales Data'!J64:J68)/SUMPRODUCT('Sales Data'!J64:J68,'Average Efficacy Data'!J64:J68)-SUM('Sales Data'!J213:J217)/SUMPRODUCT('Sales Data'!J213:J217,'Average Efficacy Data'!J213:J217))</f>
        <v>0</v>
      </c>
      <c r="K20" s="321">
        <f>SUM('Sales Data'!K64:K68)*(SUM('Sales Data'!K64:K68)/SUMPRODUCT('Sales Data'!K64:K68,'Average Efficacy Data'!K64:K68)-SUM('Sales Data'!K213:K217)/SUMPRODUCT('Sales Data'!K213:K217,'Average Efficacy Data'!K213:K217))</f>
        <v>0</v>
      </c>
      <c r="L20" s="321">
        <f>SUM('Sales Data'!L64:L68)*(SUM('Sales Data'!L64:L68)/SUMPRODUCT('Sales Data'!L64:L68,'Average Efficacy Data'!L64:L68)-SUM('Sales Data'!L213:L217)/SUMPRODUCT('Sales Data'!L213:L217,'Average Efficacy Data'!L213:L217))</f>
        <v>0</v>
      </c>
      <c r="M20" s="321">
        <f>SUM('Sales Data'!M64:M68)*(SUM('Sales Data'!M64:M68)/SUMPRODUCT('Sales Data'!M64:M68,'Average Efficacy Data'!M64:M68)-SUM('Sales Data'!M213:M217)/SUMPRODUCT('Sales Data'!M213:M217,'Average Efficacy Data'!M213:M217))</f>
        <v>0</v>
      </c>
      <c r="N20" s="321">
        <f>SUM('Sales Data'!N64:N68)*(SUM('Sales Data'!N64:N68)/SUMPRODUCT('Sales Data'!N64:N68,'Average Efficacy Data'!N64:N68)-SUM('Sales Data'!N213:N217)/SUMPRODUCT('Sales Data'!N213:N217,'Average Efficacy Data'!N213:N217))</f>
        <v>0</v>
      </c>
      <c r="O20" s="321">
        <f>SUM('Sales Data'!O64:O68)*(SUM('Sales Data'!O64:O68)/SUMPRODUCT('Sales Data'!O64:O68,'Average Efficacy Data'!O64:O68)-SUM('Sales Data'!O213:O217)/SUMPRODUCT('Sales Data'!O213:O217,'Average Efficacy Data'!O213:O217))</f>
        <v>0</v>
      </c>
      <c r="P20" s="321">
        <f>SUM('Sales Data'!P64:P68)*(SUM('Sales Data'!P64:P68)/SUMPRODUCT('Sales Data'!P64:P68,'Average Efficacy Data'!P64:P68)-SUM('Sales Data'!P213:P217)/SUMPRODUCT('Sales Data'!P213:P217,'Average Efficacy Data'!P213:P217))</f>
        <v>0</v>
      </c>
      <c r="Q20" s="321">
        <f>SUM('Sales Data'!Q64:Q68)*(SUM('Sales Data'!Q64:Q68)/SUMPRODUCT('Sales Data'!Q64:Q68,'Average Efficacy Data'!Q64:Q68)-SUM('Sales Data'!Q213:Q217)/SUMPRODUCT('Sales Data'!Q213:Q217,'Average Efficacy Data'!Q213:Q217))</f>
        <v>0</v>
      </c>
      <c r="R20" s="321">
        <f>SUM('Sales Data'!R64:R68)*(SUM('Sales Data'!R64:R68)/SUMPRODUCT('Sales Data'!R64:R68,'Average Efficacy Data'!R64:R68)-SUM('Sales Data'!R213:R217)/SUMPRODUCT('Sales Data'!R213:R217,'Average Efficacy Data'!R213:R217))</f>
        <v>0</v>
      </c>
      <c r="S20" s="321">
        <f>SUM('Sales Data'!S64:S68)*(SUM('Sales Data'!S64:S68)/SUMPRODUCT('Sales Data'!S64:S68,'Average Efficacy Data'!S64:S68)-SUM('Sales Data'!S213:S217)/SUMPRODUCT('Sales Data'!S213:S217,'Average Efficacy Data'!S213:S217))</f>
        <v>0</v>
      </c>
      <c r="T20" s="321">
        <f>SUM('Sales Data'!T64:T68)*(SUM('Sales Data'!T64:T68)/SUMPRODUCT('Sales Data'!T64:T68,'Average Efficacy Data'!T64:T68)-SUM('Sales Data'!T213:T217)/SUMPRODUCT('Sales Data'!T213:T217,'Average Efficacy Data'!T213:T217))</f>
        <v>0</v>
      </c>
      <c r="U20" s="321">
        <f>SUM('Sales Data'!U64:U68)*(SUM('Sales Data'!U64:U68)/SUMPRODUCT('Sales Data'!U64:U68,'Average Efficacy Data'!U64:U68)-SUM('Sales Data'!U213:U217)/SUMPRODUCT('Sales Data'!U213:U217,'Average Efficacy Data'!U213:U217))</f>
        <v>0</v>
      </c>
      <c r="V20" s="321">
        <f>SUM('Sales Data'!V64:V68)*(SUM('Sales Data'!V64:V68)/SUMPRODUCT('Sales Data'!V64:V68,'Average Efficacy Data'!V64:V68)-SUM('Sales Data'!V213:V217)/SUMPRODUCT('Sales Data'!V213:V217,'Average Efficacy Data'!V213:V217))</f>
        <v>0</v>
      </c>
      <c r="W20" s="321">
        <f>SUM('Sales Data'!W64:W68)*(SUM('Sales Data'!W64:W68)/SUMPRODUCT('Sales Data'!W64:W68,'Average Efficacy Data'!W64:W68)-SUM('Sales Data'!W213:W217)/SUMPRODUCT('Sales Data'!W213:W217,'Average Efficacy Data'!W213:W217))</f>
        <v>0</v>
      </c>
      <c r="X20" s="321">
        <f>SUM('Sales Data'!X64:X68)*(SUM('Sales Data'!X64:X68)/SUMPRODUCT('Sales Data'!X64:X68,'Average Efficacy Data'!X64:X68)-SUM('Sales Data'!X213:X217)/SUMPRODUCT('Sales Data'!X213:X217,'Average Efficacy Data'!X213:X217))</f>
        <v>0</v>
      </c>
      <c r="Y20" s="321">
        <f>SUM('Sales Data'!Y64:Y68)*(SUM('Sales Data'!Y64:Y68)/SUMPRODUCT('Sales Data'!Y64:Y68,'Average Efficacy Data'!Y64:Y68)-SUM('Sales Data'!Y213:Y217)/SUMPRODUCT('Sales Data'!Y213:Y217,'Average Efficacy Data'!Y213:Y217))</f>
        <v>0</v>
      </c>
      <c r="Z20" s="321">
        <f>SUM('Sales Data'!Z64:Z68)*(SUM('Sales Data'!Z64:Z68)/SUMPRODUCT('Sales Data'!Z64:Z68,'Average Efficacy Data'!Z64:Z68)-SUM('Sales Data'!Z213:Z217)/SUMPRODUCT('Sales Data'!Z213:Z217,'Average Efficacy Data'!Z213:Z217))</f>
        <v>0</v>
      </c>
      <c r="AA20" s="321">
        <f>SUM('Sales Data'!AA64:AA68)*(SUM('Sales Data'!AA64:AA68)/SUMPRODUCT('Sales Data'!AA64:AA68,'Average Efficacy Data'!AA64:AA68)-SUM('Sales Data'!AA213:AA217)/SUMPRODUCT('Sales Data'!AA213:AA217,'Average Efficacy Data'!AA213:AA217))</f>
        <v>0</v>
      </c>
      <c r="AB20" s="321">
        <f>SUM('Sales Data'!AB64:AB68)*(SUM('Sales Data'!AB64:AB68)/SUMPRODUCT('Sales Data'!AB64:AB68,'Average Efficacy Data'!AB64:AB68)-SUM('Sales Data'!AB213:AB217)/SUMPRODUCT('Sales Data'!AB213:AB217,'Average Efficacy Data'!AB213:AB217))</f>
        <v>0</v>
      </c>
      <c r="AC20" s="321">
        <f>SUM('Sales Data'!AC64:AC68)*(SUM('Sales Data'!AC64:AC68)/SUMPRODUCT('Sales Data'!AC64:AC68,'Average Efficacy Data'!AC64:AC68)-SUM('Sales Data'!AC213:AC217)/SUMPRODUCT('Sales Data'!AC213:AC217,'Average Efficacy Data'!AC213:AC217))</f>
        <v>0</v>
      </c>
      <c r="AD20" s="321">
        <f>SUM('Sales Data'!AD64:AD68)*(SUM('Sales Data'!AD64:AD68)/SUMPRODUCT('Sales Data'!AD64:AD68,'Average Efficacy Data'!AD64:AD68)-SUM('Sales Data'!AD213:AD217)/SUMPRODUCT('Sales Data'!AD213:AD217,'Average Efficacy Data'!AD213:AD217))</f>
        <v>0</v>
      </c>
      <c r="AE20" s="321">
        <f>SUM('Sales Data'!AE64:AE68)*(SUM('Sales Data'!AE64:AE68)/SUMPRODUCT('Sales Data'!AE64:AE68,'Average Efficacy Data'!AE64:AE68)-SUM('Sales Data'!AE213:AE217)/SUMPRODUCT('Sales Data'!AE213:AE217,'Average Efficacy Data'!AE213:AE217))</f>
        <v>0</v>
      </c>
      <c r="AF20" s="321">
        <f>SUM('Sales Data'!AF64:AF68)*(SUM('Sales Data'!AF64:AF68)/SUMPRODUCT('Sales Data'!AF64:AF68,'Average Efficacy Data'!AF64:AF68)-SUM('Sales Data'!AF213:AF217)/SUMPRODUCT('Sales Data'!AF213:AF217,'Average Efficacy Data'!AF213:AF217))</f>
        <v>0</v>
      </c>
    </row>
    <row r="21" spans="1:32" ht="14.45" x14ac:dyDescent="0.35">
      <c r="A21" s="840"/>
      <c r="B21" s="838" t="s">
        <v>47</v>
      </c>
      <c r="H21" s="321">
        <f>SUM('Sales Data'!H71:H76)*(SUM('Sales Data'!H71:H76)/SUMPRODUCT('Sales Data'!H71:H76,'Average Efficacy Data'!H71:H76)-SUM('Sales Data'!H220:H225)/SUMPRODUCT('Sales Data'!H220:H225,'Average Efficacy Data'!H220:H225))</f>
        <v>0</v>
      </c>
      <c r="I21" s="321">
        <f>SUM('Sales Data'!I71:I76)*(SUM('Sales Data'!I71:I76)/SUMPRODUCT('Sales Data'!I71:I76,'Average Efficacy Data'!I71:I76)-SUM('Sales Data'!I220:I225)/SUMPRODUCT('Sales Data'!I220:I225,'Average Efficacy Data'!I220:I225))</f>
        <v>0</v>
      </c>
      <c r="J21" s="321">
        <f>SUM('Sales Data'!J71:J76)*(SUM('Sales Data'!J71:J76)/SUMPRODUCT('Sales Data'!J71:J76,'Average Efficacy Data'!J71:J76)-SUM('Sales Data'!J220:J225)/SUMPRODUCT('Sales Data'!J220:J225,'Average Efficacy Data'!J220:J225))</f>
        <v>0</v>
      </c>
      <c r="K21" s="321">
        <f>SUM('Sales Data'!K71:K76)*(SUM('Sales Data'!K71:K76)/SUMPRODUCT('Sales Data'!K71:K76,'Average Efficacy Data'!K71:K76)-SUM('Sales Data'!K220:K225)/SUMPRODUCT('Sales Data'!K220:K225,'Average Efficacy Data'!K220:K225))</f>
        <v>0</v>
      </c>
      <c r="L21" s="321">
        <f>SUM('Sales Data'!L71:L76)*(SUM('Sales Data'!L71:L76)/SUMPRODUCT('Sales Data'!L71:L76,'Average Efficacy Data'!L71:L76)-SUM('Sales Data'!L220:L225)/SUMPRODUCT('Sales Data'!L220:L225,'Average Efficacy Data'!L220:L225))</f>
        <v>0</v>
      </c>
      <c r="M21" s="321">
        <f>SUM('Sales Data'!M71:M76)*(SUM('Sales Data'!M71:M76)/SUMPRODUCT('Sales Data'!M71:M76,'Average Efficacy Data'!M71:M76)-SUM('Sales Data'!M220:M225)/SUMPRODUCT('Sales Data'!M220:M225,'Average Efficacy Data'!M220:M225))</f>
        <v>0</v>
      </c>
      <c r="N21" s="321">
        <f>SUM('Sales Data'!N71:N76)*(SUM('Sales Data'!N71:N76)/SUMPRODUCT('Sales Data'!N71:N76,'Average Efficacy Data'!N71:N76)-SUM('Sales Data'!N220:N225)/SUMPRODUCT('Sales Data'!N220:N225,'Average Efficacy Data'!N220:N225))</f>
        <v>0</v>
      </c>
      <c r="O21" s="321">
        <f>SUM('Sales Data'!O71:O76)*(SUM('Sales Data'!O71:O76)/SUMPRODUCT('Sales Data'!O71:O76,'Average Efficacy Data'!O71:O76)-SUM('Sales Data'!O220:O225)/SUMPRODUCT('Sales Data'!O220:O225,'Average Efficacy Data'!O220:O225))</f>
        <v>0</v>
      </c>
      <c r="P21" s="321">
        <f>SUM('Sales Data'!P71:P76)*(SUM('Sales Data'!P71:P76)/SUMPRODUCT('Sales Data'!P71:P76,'Average Efficacy Data'!P71:P76)-SUM('Sales Data'!P220:P225)/SUMPRODUCT('Sales Data'!P220:P225,'Average Efficacy Data'!P220:P225))</f>
        <v>0</v>
      </c>
      <c r="Q21" s="321">
        <f>SUM('Sales Data'!Q71:Q76)*(SUM('Sales Data'!Q71:Q76)/SUMPRODUCT('Sales Data'!Q71:Q76,'Average Efficacy Data'!Q71:Q76)-SUM('Sales Data'!Q220:Q225)/SUMPRODUCT('Sales Data'!Q220:Q225,'Average Efficacy Data'!Q220:Q225))</f>
        <v>0</v>
      </c>
      <c r="R21" s="321">
        <f>SUM('Sales Data'!R71:R76)*(SUM('Sales Data'!R71:R76)/SUMPRODUCT('Sales Data'!R71:R76,'Average Efficacy Data'!R71:R76)-SUM('Sales Data'!R220:R225)/SUMPRODUCT('Sales Data'!R220:R225,'Average Efficacy Data'!R220:R225))</f>
        <v>0</v>
      </c>
      <c r="S21" s="321">
        <f>SUM('Sales Data'!S71:S76)*(SUM('Sales Data'!S71:S76)/SUMPRODUCT('Sales Data'!S71:S76,'Average Efficacy Data'!S71:S76)-SUM('Sales Data'!S220:S225)/SUMPRODUCT('Sales Data'!S220:S225,'Average Efficacy Data'!S220:S225))</f>
        <v>0</v>
      </c>
      <c r="T21" s="321">
        <f>SUM('Sales Data'!T71:T76)*(SUM('Sales Data'!T71:T76)/SUMPRODUCT('Sales Data'!T71:T76,'Average Efficacy Data'!T71:T76)-SUM('Sales Data'!T220:T225)/SUMPRODUCT('Sales Data'!T220:T225,'Average Efficacy Data'!T220:T225))</f>
        <v>0</v>
      </c>
      <c r="U21" s="321">
        <f>SUM('Sales Data'!U71:U76)*(SUM('Sales Data'!U71:U76)/SUMPRODUCT('Sales Data'!U71:U76,'Average Efficacy Data'!U71:U76)-SUM('Sales Data'!U220:U225)/SUMPRODUCT('Sales Data'!U220:U225,'Average Efficacy Data'!U220:U225))</f>
        <v>0</v>
      </c>
      <c r="V21" s="321">
        <f>SUM('Sales Data'!V71:V76)*(SUM('Sales Data'!V71:V76)/SUMPRODUCT('Sales Data'!V71:V76,'Average Efficacy Data'!V71:V76)-SUM('Sales Data'!V220:V225)/SUMPRODUCT('Sales Data'!V220:V225,'Average Efficacy Data'!V220:V225))</f>
        <v>0</v>
      </c>
      <c r="W21" s="321">
        <f>SUM('Sales Data'!W71:W76)*(SUM('Sales Data'!W71:W76)/SUMPRODUCT('Sales Data'!W71:W76,'Average Efficacy Data'!W71:W76)-SUM('Sales Data'!W220:W225)/SUMPRODUCT('Sales Data'!W220:W225,'Average Efficacy Data'!W220:W225))</f>
        <v>0</v>
      </c>
      <c r="X21" s="321">
        <f>SUM('Sales Data'!X71:X76)*(SUM('Sales Data'!X71:X76)/SUMPRODUCT('Sales Data'!X71:X76,'Average Efficacy Data'!X71:X76)-SUM('Sales Data'!X220:X225)/SUMPRODUCT('Sales Data'!X220:X225,'Average Efficacy Data'!X220:X225))</f>
        <v>0</v>
      </c>
      <c r="Y21" s="321">
        <f>SUM('Sales Data'!Y71:Y76)*(SUM('Sales Data'!Y71:Y76)/SUMPRODUCT('Sales Data'!Y71:Y76,'Average Efficacy Data'!Y71:Y76)-SUM('Sales Data'!Y220:Y225)/SUMPRODUCT('Sales Data'!Y220:Y225,'Average Efficacy Data'!Y220:Y225))</f>
        <v>0</v>
      </c>
      <c r="Z21" s="321">
        <f>SUM('Sales Data'!Z71:Z76)*(SUM('Sales Data'!Z71:Z76)/SUMPRODUCT('Sales Data'!Z71:Z76,'Average Efficacy Data'!Z71:Z76)-SUM('Sales Data'!Z220:Z225)/SUMPRODUCT('Sales Data'!Z220:Z225,'Average Efficacy Data'!Z220:Z225))</f>
        <v>0</v>
      </c>
      <c r="AA21" s="321">
        <f>SUM('Sales Data'!AA71:AA76)*(SUM('Sales Data'!AA71:AA76)/SUMPRODUCT('Sales Data'!AA71:AA76,'Average Efficacy Data'!AA71:AA76)-SUM('Sales Data'!AA220:AA225)/SUMPRODUCT('Sales Data'!AA220:AA225,'Average Efficacy Data'!AA220:AA225))</f>
        <v>0</v>
      </c>
      <c r="AB21" s="321">
        <f>SUM('Sales Data'!AB71:AB76)*(SUM('Sales Data'!AB71:AB76)/SUMPRODUCT('Sales Data'!AB71:AB76,'Average Efficacy Data'!AB71:AB76)-SUM('Sales Data'!AB220:AB225)/SUMPRODUCT('Sales Data'!AB220:AB225,'Average Efficacy Data'!AB220:AB225))</f>
        <v>0</v>
      </c>
      <c r="AC21" s="321">
        <f>SUM('Sales Data'!AC71:AC76)*(SUM('Sales Data'!AC71:AC76)/SUMPRODUCT('Sales Data'!AC71:AC76,'Average Efficacy Data'!AC71:AC76)-SUM('Sales Data'!AC220:AC225)/SUMPRODUCT('Sales Data'!AC220:AC225,'Average Efficacy Data'!AC220:AC225))</f>
        <v>0</v>
      </c>
      <c r="AD21" s="321">
        <f>SUM('Sales Data'!AD71:AD76)*(SUM('Sales Data'!AD71:AD76)/SUMPRODUCT('Sales Data'!AD71:AD76,'Average Efficacy Data'!AD71:AD76)-SUM('Sales Data'!AD220:AD225)/SUMPRODUCT('Sales Data'!AD220:AD225,'Average Efficacy Data'!AD220:AD225))</f>
        <v>0</v>
      </c>
      <c r="AE21" s="321">
        <f>SUM('Sales Data'!AE71:AE76)*(SUM('Sales Data'!AE71:AE76)/SUMPRODUCT('Sales Data'!AE71:AE76,'Average Efficacy Data'!AE71:AE76)-SUM('Sales Data'!AE220:AE225)/SUMPRODUCT('Sales Data'!AE220:AE225,'Average Efficacy Data'!AE220:AE225))</f>
        <v>0</v>
      </c>
      <c r="AF21" s="321">
        <f>SUM('Sales Data'!AF71:AF76)*(SUM('Sales Data'!AF71:AF76)/SUMPRODUCT('Sales Data'!AF71:AF76,'Average Efficacy Data'!AF71:AF76)-SUM('Sales Data'!AF220:AF225)/SUMPRODUCT('Sales Data'!AF220:AF225,'Average Efficacy Data'!AF220:AF225))</f>
        <v>0</v>
      </c>
    </row>
    <row r="22" spans="1:32" ht="14.45" x14ac:dyDescent="0.35">
      <c r="H22" s="321"/>
      <c r="I22" s="321"/>
      <c r="J22" s="321"/>
      <c r="K22" s="321"/>
      <c r="L22" s="321"/>
      <c r="M22" s="321"/>
      <c r="N22" s="321"/>
      <c r="O22" s="321"/>
      <c r="P22" s="321"/>
      <c r="Q22" s="321"/>
      <c r="R22" s="321"/>
      <c r="S22" s="321"/>
      <c r="T22" s="321"/>
      <c r="U22" s="321"/>
      <c r="V22" s="321"/>
      <c r="W22" s="321"/>
      <c r="X22" s="321"/>
      <c r="Y22" s="321"/>
      <c r="Z22" s="321"/>
      <c r="AA22" s="321"/>
      <c r="AB22" s="321"/>
      <c r="AC22" s="321"/>
      <c r="AD22" s="321"/>
      <c r="AE22" s="321"/>
      <c r="AF22" s="321"/>
    </row>
    <row r="23" spans="1:32" ht="14.45" x14ac:dyDescent="0.35">
      <c r="A23" s="860" t="s">
        <v>57</v>
      </c>
      <c r="B23" s="861"/>
      <c r="C23" s="860"/>
      <c r="D23" s="859"/>
      <c r="E23" s="859"/>
      <c r="F23" s="859"/>
      <c r="G23" s="859"/>
      <c r="H23" s="980"/>
      <c r="I23" s="980"/>
      <c r="J23" s="980"/>
      <c r="K23" s="980"/>
      <c r="L23" s="980"/>
      <c r="M23" s="980"/>
      <c r="N23" s="980"/>
      <c r="O23" s="980"/>
      <c r="P23" s="980"/>
      <c r="Q23" s="980"/>
      <c r="R23" s="980"/>
      <c r="S23" s="980"/>
      <c r="T23" s="980"/>
      <c r="U23" s="980"/>
      <c r="V23" s="980"/>
      <c r="W23" s="980"/>
      <c r="X23" s="980"/>
      <c r="Y23" s="980"/>
      <c r="Z23" s="980"/>
      <c r="AA23" s="980"/>
      <c r="AB23" s="980"/>
      <c r="AC23" s="980"/>
      <c r="AD23" s="980"/>
      <c r="AE23" s="980"/>
      <c r="AF23" s="980"/>
    </row>
    <row r="24" spans="1:32" ht="14.45" x14ac:dyDescent="0.35">
      <c r="A24" s="840" t="s">
        <v>12</v>
      </c>
      <c r="B24" s="839"/>
      <c r="H24" s="321"/>
      <c r="I24" s="321"/>
      <c r="J24" s="321"/>
      <c r="K24" s="321"/>
      <c r="L24" s="321"/>
      <c r="M24" s="321"/>
      <c r="N24" s="321"/>
      <c r="O24" s="321"/>
      <c r="P24" s="321"/>
      <c r="Q24" s="321"/>
      <c r="R24" s="321"/>
      <c r="S24" s="321"/>
      <c r="T24" s="321"/>
      <c r="U24" s="321"/>
      <c r="V24" s="321"/>
      <c r="W24" s="321"/>
      <c r="X24" s="321"/>
      <c r="Y24" s="321"/>
      <c r="Z24" s="321"/>
      <c r="AA24" s="321"/>
      <c r="AB24" s="321"/>
      <c r="AC24" s="321"/>
      <c r="AD24" s="321"/>
      <c r="AE24" s="321"/>
      <c r="AF24" s="321"/>
    </row>
    <row r="25" spans="1:32" ht="14.45" x14ac:dyDescent="0.35">
      <c r="A25" s="840"/>
      <c r="B25" s="838" t="s">
        <v>504</v>
      </c>
      <c r="H25" s="321">
        <f>IFERROR(SUM('Sales Data'!H83:H86)*(SUM('Sales Data'!H83:H86)/SUMPRODUCT('Sales Data'!H83:H86,'Average Efficacy Data'!H83:H86)-SUM('Sales Data'!H232:H235)/SUMPRODUCT('Sales Data'!H232:H235,'Average Efficacy Data'!H232:H235)),0)</f>
        <v>0</v>
      </c>
      <c r="I25" s="321">
        <f>IFERROR(SUM('Sales Data'!I83:I86)*(SUM('Sales Data'!I83:I86)/SUMPRODUCT('Sales Data'!I83:I86,'Average Efficacy Data'!I83:I86)-SUM('Sales Data'!I232:I235)/SUMPRODUCT('Sales Data'!I232:I235,'Average Efficacy Data'!I232:I235)),0)</f>
        <v>0</v>
      </c>
      <c r="J25" s="321">
        <f>IFERROR(SUM('Sales Data'!J83:J86)*(SUM('Sales Data'!J83:J86)/SUMPRODUCT('Sales Data'!J83:J86,'Average Efficacy Data'!J83:J86)-SUM('Sales Data'!J232:J235)/SUMPRODUCT('Sales Data'!J232:J235,'Average Efficacy Data'!J232:J235)),0)</f>
        <v>0</v>
      </c>
      <c r="K25" s="321">
        <f>IFERROR(SUM('Sales Data'!K83:K86)*(SUM('Sales Data'!K83:K86)/SUMPRODUCT('Sales Data'!K83:K86,'Average Efficacy Data'!K83:K86)-SUM('Sales Data'!K232:K235)/SUMPRODUCT('Sales Data'!K232:K235,'Average Efficacy Data'!K232:K235)),0)</f>
        <v>0</v>
      </c>
      <c r="L25" s="321">
        <f>IFERROR(SUM('Sales Data'!L83:L86)*(SUM('Sales Data'!L83:L86)/SUMPRODUCT('Sales Data'!L83:L86,'Average Efficacy Data'!L83:L86)-SUM('Sales Data'!L232:L235)/SUMPRODUCT('Sales Data'!L232:L235,'Average Efficacy Data'!L232:L235)),0)</f>
        <v>0</v>
      </c>
      <c r="M25" s="321">
        <f>IFERROR(SUM('Sales Data'!M83:M86)*(SUM('Sales Data'!M83:M86)/SUMPRODUCT('Sales Data'!M83:M86,'Average Efficacy Data'!M83:M86)-SUM('Sales Data'!M232:M235)/SUMPRODUCT('Sales Data'!M232:M235,'Average Efficacy Data'!M232:M235)),0)</f>
        <v>0</v>
      </c>
      <c r="N25" s="321">
        <f>IFERROR(SUM('Sales Data'!N83:N86)*(SUM('Sales Data'!N83:N86)/SUMPRODUCT('Sales Data'!N83:N86,'Average Efficacy Data'!N83:N86)-SUM('Sales Data'!N232:N235)/SUMPRODUCT('Sales Data'!N232:N235,'Average Efficacy Data'!N232:N235)),0)</f>
        <v>0</v>
      </c>
      <c r="O25" s="321">
        <f>IFERROR(SUM('Sales Data'!O83:O86)*(SUM('Sales Data'!O83:O86)/SUMPRODUCT('Sales Data'!O83:O86,'Average Efficacy Data'!O83:O86)-SUM('Sales Data'!O232:O235)/SUMPRODUCT('Sales Data'!O232:O235,'Average Efficacy Data'!O232:O235)),0)</f>
        <v>0</v>
      </c>
      <c r="P25" s="321">
        <f>IFERROR(SUM('Sales Data'!P83:P86)*(SUM('Sales Data'!P83:P86)/SUMPRODUCT('Sales Data'!P83:P86,'Average Efficacy Data'!P83:P86)-SUM('Sales Data'!P232:P235)/SUMPRODUCT('Sales Data'!P232:P235,'Average Efficacy Data'!P232:P235)),0)</f>
        <v>0</v>
      </c>
      <c r="Q25" s="321">
        <f>IFERROR(SUM('Sales Data'!Q83:Q86)*(SUM('Sales Data'!Q83:Q86)/SUMPRODUCT('Sales Data'!Q83:Q86,'Average Efficacy Data'!Q83:Q86)-SUM('Sales Data'!Q232:Q235)/SUMPRODUCT('Sales Data'!Q232:Q235,'Average Efficacy Data'!Q232:Q235)),0)</f>
        <v>0</v>
      </c>
      <c r="R25" s="321">
        <f>IFERROR(SUM('Sales Data'!R83:R86)*(SUM('Sales Data'!R83:R86)/SUMPRODUCT('Sales Data'!R83:R86,'Average Efficacy Data'!R83:R86)-SUM('Sales Data'!R232:R235)/SUMPRODUCT('Sales Data'!R232:R235,'Average Efficacy Data'!R232:R235)),0)</f>
        <v>0</v>
      </c>
      <c r="S25" s="321">
        <f>IFERROR(SUM('Sales Data'!S83:S86)*(SUM('Sales Data'!S83:S86)/SUMPRODUCT('Sales Data'!S83:S86,'Average Efficacy Data'!S83:S86)-SUM('Sales Data'!S232:S235)/SUMPRODUCT('Sales Data'!S232:S235,'Average Efficacy Data'!S232:S235)),0)</f>
        <v>0</v>
      </c>
      <c r="T25" s="321">
        <f>IFERROR(SUM('Sales Data'!T83:T86)*(SUM('Sales Data'!T83:T86)/SUMPRODUCT('Sales Data'!T83:T86,'Average Efficacy Data'!T83:T86)-SUM('Sales Data'!T232:T235)/SUMPRODUCT('Sales Data'!T232:T235,'Average Efficacy Data'!T232:T235)),0)</f>
        <v>0</v>
      </c>
      <c r="U25" s="321">
        <f>IFERROR(SUM('Sales Data'!U83:U86)*(SUM('Sales Data'!U83:U86)/SUMPRODUCT('Sales Data'!U83:U86,'Average Efficacy Data'!U83:U86)-SUM('Sales Data'!U232:U235)/SUMPRODUCT('Sales Data'!U232:U235,'Average Efficacy Data'!U232:U235)),0)</f>
        <v>0</v>
      </c>
      <c r="V25" s="321">
        <f>IFERROR(SUM('Sales Data'!V83:V86)*(SUM('Sales Data'!V83:V86)/SUMPRODUCT('Sales Data'!V83:V86,'Average Efficacy Data'!V83:V86)-SUM('Sales Data'!V232:V235)/SUMPRODUCT('Sales Data'!V232:V235,'Average Efficacy Data'!V232:V235)),0)</f>
        <v>0</v>
      </c>
      <c r="W25" s="321">
        <f>IFERROR(SUM('Sales Data'!W83:W86)*(SUM('Sales Data'!W83:W86)/SUMPRODUCT('Sales Data'!W83:W86,'Average Efficacy Data'!W83:W86)-SUM('Sales Data'!W232:W235)/SUMPRODUCT('Sales Data'!W232:W235,'Average Efficacy Data'!W232:W235)),0)</f>
        <v>0</v>
      </c>
      <c r="X25" s="321">
        <f>IFERROR(SUM('Sales Data'!X83:X86)*(SUM('Sales Data'!X83:X86)/SUMPRODUCT('Sales Data'!X83:X86,'Average Efficacy Data'!X83:X86)-SUM('Sales Data'!X232:X235)/SUMPRODUCT('Sales Data'!X232:X235,'Average Efficacy Data'!X232:X235)),0)</f>
        <v>0</v>
      </c>
      <c r="Y25" s="321">
        <f>IFERROR(SUM('Sales Data'!Y83:Y86)*(SUM('Sales Data'!Y83:Y86)/SUMPRODUCT('Sales Data'!Y83:Y86,'Average Efficacy Data'!Y83:Y86)-SUM('Sales Data'!Y232:Y235)/SUMPRODUCT('Sales Data'!Y232:Y235,'Average Efficacy Data'!Y232:Y235)),0)</f>
        <v>0</v>
      </c>
      <c r="Z25" s="321">
        <f>IFERROR(SUM('Sales Data'!Z83:Z86)*(SUM('Sales Data'!Z83:Z86)/SUMPRODUCT('Sales Data'!Z83:Z86,'Average Efficacy Data'!Z83:Z86)-SUM('Sales Data'!Z232:Z235)/SUMPRODUCT('Sales Data'!Z232:Z235,'Average Efficacy Data'!Z232:Z235)),0)</f>
        <v>0</v>
      </c>
      <c r="AA25" s="321">
        <f>IFERROR(SUM('Sales Data'!AA83:AA86)*(SUM('Sales Data'!AA83:AA86)/SUMPRODUCT('Sales Data'!AA83:AA86,'Average Efficacy Data'!AA83:AA86)-SUM('Sales Data'!AA232:AA235)/SUMPRODUCT('Sales Data'!AA232:AA235,'Average Efficacy Data'!AA232:AA235)),0)</f>
        <v>0</v>
      </c>
      <c r="AB25" s="321">
        <f>IFERROR(SUM('Sales Data'!AB83:AB86)*(SUM('Sales Data'!AB83:AB86)/SUMPRODUCT('Sales Data'!AB83:AB86,'Average Efficacy Data'!AB83:AB86)-SUM('Sales Data'!AB232:AB235)/SUMPRODUCT('Sales Data'!AB232:AB235,'Average Efficacy Data'!AB232:AB235)),0)</f>
        <v>0</v>
      </c>
      <c r="AC25" s="321">
        <f>IFERROR(SUM('Sales Data'!AC83:AC86)*(SUM('Sales Data'!AC83:AC86)/SUMPRODUCT('Sales Data'!AC83:AC86,'Average Efficacy Data'!AC83:AC86)-SUM('Sales Data'!AC232:AC235)/SUMPRODUCT('Sales Data'!AC232:AC235,'Average Efficacy Data'!AC232:AC235)),0)</f>
        <v>0</v>
      </c>
      <c r="AD25" s="321">
        <f>IFERROR(SUM('Sales Data'!AD83:AD86)*(SUM('Sales Data'!AD83:AD86)/SUMPRODUCT('Sales Data'!AD83:AD86,'Average Efficacy Data'!AD83:AD86)-SUM('Sales Data'!AD232:AD235)/SUMPRODUCT('Sales Data'!AD232:AD235,'Average Efficacy Data'!AD232:AD235)),0)</f>
        <v>0</v>
      </c>
      <c r="AE25" s="321">
        <f>IFERROR(SUM('Sales Data'!AE83:AE86)*(SUM('Sales Data'!AE83:AE86)/SUMPRODUCT('Sales Data'!AE83:AE86,'Average Efficacy Data'!AE83:AE86)-SUM('Sales Data'!AE232:AE235)/SUMPRODUCT('Sales Data'!AE232:AE235,'Average Efficacy Data'!AE232:AE235)),0)</f>
        <v>0</v>
      </c>
      <c r="AF25" s="321">
        <f>IFERROR(SUM('Sales Data'!AF83:AF86)*(SUM('Sales Data'!AF83:AF86)/SUMPRODUCT('Sales Data'!AF83:AF86,'Average Efficacy Data'!AF83:AF86)-SUM('Sales Data'!AF232:AF235)/SUMPRODUCT('Sales Data'!AF232:AF235,'Average Efficacy Data'!AF232:AF235)),0)</f>
        <v>0</v>
      </c>
    </row>
    <row r="26" spans="1:32" ht="14.45" x14ac:dyDescent="0.35">
      <c r="A26" s="840"/>
      <c r="B26" s="838" t="s">
        <v>32</v>
      </c>
      <c r="H26" s="321">
        <f>IFERROR(SUM('Sales Data'!H89:H92)*(SUM('Sales Data'!H89:H92)/SUMPRODUCT('Sales Data'!H89:H92,'Average Efficacy Data'!H89:H92)-SUM('Sales Data'!H238:H241)/SUMPRODUCT('Sales Data'!H238:H241,'Average Efficacy Data'!H238:H241)),0)</f>
        <v>0</v>
      </c>
      <c r="I26" s="321">
        <f>IFERROR(SUM('Sales Data'!I89:I92)*(SUM('Sales Data'!I89:I92)/SUMPRODUCT('Sales Data'!I89:I92,'Average Efficacy Data'!I89:I92)-SUM('Sales Data'!I238:I241)/SUMPRODUCT('Sales Data'!I238:I241,'Average Efficacy Data'!I238:I241)),0)</f>
        <v>0</v>
      </c>
      <c r="J26" s="321">
        <f>IFERROR(SUM('Sales Data'!J89:J92)*(SUM('Sales Data'!J89:J92)/SUMPRODUCT('Sales Data'!J89:J92,'Average Efficacy Data'!J89:J92)-SUM('Sales Data'!J238:J241)/SUMPRODUCT('Sales Data'!J238:J241,'Average Efficacy Data'!J238:J241)),0)</f>
        <v>0</v>
      </c>
      <c r="K26" s="321">
        <f>IFERROR(SUM('Sales Data'!K89:K92)*(SUM('Sales Data'!K89:K92)/SUMPRODUCT('Sales Data'!K89:K92,'Average Efficacy Data'!K89:K92)-SUM('Sales Data'!K238:K241)/SUMPRODUCT('Sales Data'!K238:K241,'Average Efficacy Data'!K238:K241)),0)</f>
        <v>0</v>
      </c>
      <c r="L26" s="321">
        <f>IFERROR(SUM('Sales Data'!L89:L92)*(SUM('Sales Data'!L89:L92)/SUMPRODUCT('Sales Data'!L89:L92,'Average Efficacy Data'!L89:L92)-SUM('Sales Data'!L238:L241)/SUMPRODUCT('Sales Data'!L238:L241,'Average Efficacy Data'!L238:L241)),0)</f>
        <v>0</v>
      </c>
      <c r="M26" s="321">
        <f>IFERROR(SUM('Sales Data'!M89:M92)*(SUM('Sales Data'!M89:M92)/SUMPRODUCT('Sales Data'!M89:M92,'Average Efficacy Data'!M89:M92)-SUM('Sales Data'!M238:M241)/SUMPRODUCT('Sales Data'!M238:M241,'Average Efficacy Data'!M238:M241)),0)</f>
        <v>0</v>
      </c>
      <c r="N26" s="321">
        <f>IFERROR(SUM('Sales Data'!N89:N92)*(SUM('Sales Data'!N89:N92)/SUMPRODUCT('Sales Data'!N89:N92,'Average Efficacy Data'!N89:N92)-SUM('Sales Data'!N238:N241)/SUMPRODUCT('Sales Data'!N238:N241,'Average Efficacy Data'!N238:N241)),0)</f>
        <v>0</v>
      </c>
      <c r="O26" s="321">
        <f>IFERROR(SUM('Sales Data'!O89:O92)*(SUM('Sales Data'!O89:O92)/SUMPRODUCT('Sales Data'!O89:O92,'Average Efficacy Data'!O89:O92)-SUM('Sales Data'!O238:O241)/SUMPRODUCT('Sales Data'!O238:O241,'Average Efficacy Data'!O238:O241)),0)</f>
        <v>0</v>
      </c>
      <c r="P26" s="321">
        <f>IFERROR(SUM('Sales Data'!P89:P92)*(SUM('Sales Data'!P89:P92)/SUMPRODUCT('Sales Data'!P89:P92,'Average Efficacy Data'!P89:P92)-SUM('Sales Data'!P238:P241)/SUMPRODUCT('Sales Data'!P238:P241,'Average Efficacy Data'!P238:P241)),0)</f>
        <v>0</v>
      </c>
      <c r="Q26" s="321">
        <f>IFERROR(SUM('Sales Data'!Q89:Q92)*(SUM('Sales Data'!Q89:Q92)/SUMPRODUCT('Sales Data'!Q89:Q92,'Average Efficacy Data'!Q89:Q92)-SUM('Sales Data'!Q238:Q241)/SUMPRODUCT('Sales Data'!Q238:Q241,'Average Efficacy Data'!Q238:Q241)),0)</f>
        <v>0</v>
      </c>
      <c r="R26" s="321">
        <f>IFERROR(SUM('Sales Data'!R89:R92)*(SUM('Sales Data'!R89:R92)/SUMPRODUCT('Sales Data'!R89:R92,'Average Efficacy Data'!R89:R92)-SUM('Sales Data'!R238:R241)/SUMPRODUCT('Sales Data'!R238:R241,'Average Efficacy Data'!R238:R241)),0)</f>
        <v>0</v>
      </c>
      <c r="S26" s="321">
        <f>IFERROR(SUM('Sales Data'!S89:S92)*(SUM('Sales Data'!S89:S92)/SUMPRODUCT('Sales Data'!S89:S92,'Average Efficacy Data'!S89:S92)-SUM('Sales Data'!S238:S241)/SUMPRODUCT('Sales Data'!S238:S241,'Average Efficacy Data'!S238:S241)),0)</f>
        <v>0</v>
      </c>
      <c r="T26" s="321">
        <f>IFERROR(SUM('Sales Data'!T89:T92)*(SUM('Sales Data'!T89:T92)/SUMPRODUCT('Sales Data'!T89:T92,'Average Efficacy Data'!T89:T92)-SUM('Sales Data'!T238:T241)/SUMPRODUCT('Sales Data'!T238:T241,'Average Efficacy Data'!T238:T241)),0)</f>
        <v>0</v>
      </c>
      <c r="U26" s="321">
        <f>IFERROR(SUM('Sales Data'!U89:U92)*(SUM('Sales Data'!U89:U92)/SUMPRODUCT('Sales Data'!U89:U92,'Average Efficacy Data'!U89:U92)-SUM('Sales Data'!U238:U241)/SUMPRODUCT('Sales Data'!U238:U241,'Average Efficacy Data'!U238:U241)),0)</f>
        <v>0</v>
      </c>
      <c r="V26" s="321">
        <f>IFERROR(SUM('Sales Data'!V89:V92)*(SUM('Sales Data'!V89:V92)/SUMPRODUCT('Sales Data'!V89:V92,'Average Efficacy Data'!V89:V92)-SUM('Sales Data'!V238:V241)/SUMPRODUCT('Sales Data'!V238:V241,'Average Efficacy Data'!V238:V241)),0)</f>
        <v>0</v>
      </c>
      <c r="W26" s="321">
        <f>IFERROR(SUM('Sales Data'!W89:W92)*(SUM('Sales Data'!W89:W92)/SUMPRODUCT('Sales Data'!W89:W92,'Average Efficacy Data'!W89:W92)-SUM('Sales Data'!W238:W241)/SUMPRODUCT('Sales Data'!W238:W241,'Average Efficacy Data'!W238:W241)),0)</f>
        <v>0</v>
      </c>
      <c r="X26" s="321">
        <f>IFERROR(SUM('Sales Data'!X89:X92)*(SUM('Sales Data'!X89:X92)/SUMPRODUCT('Sales Data'!X89:X92,'Average Efficacy Data'!X89:X92)-SUM('Sales Data'!X238:X241)/SUMPRODUCT('Sales Data'!X238:X241,'Average Efficacy Data'!X238:X241)),0)</f>
        <v>0</v>
      </c>
      <c r="Y26" s="321">
        <f>IFERROR(SUM('Sales Data'!Y89:Y92)*(SUM('Sales Data'!Y89:Y92)/SUMPRODUCT('Sales Data'!Y89:Y92,'Average Efficacy Data'!Y89:Y92)-SUM('Sales Data'!Y238:Y241)/SUMPRODUCT('Sales Data'!Y238:Y241,'Average Efficacy Data'!Y238:Y241)),0)</f>
        <v>0</v>
      </c>
      <c r="Z26" s="321">
        <f>IFERROR(SUM('Sales Data'!Z89:Z92)*(SUM('Sales Data'!Z89:Z92)/SUMPRODUCT('Sales Data'!Z89:Z92,'Average Efficacy Data'!Z89:Z92)-SUM('Sales Data'!Z238:Z241)/SUMPRODUCT('Sales Data'!Z238:Z241,'Average Efficacy Data'!Z238:Z241)),0)</f>
        <v>0</v>
      </c>
      <c r="AA26" s="321">
        <f>IFERROR(SUM('Sales Data'!AA89:AA92)*(SUM('Sales Data'!AA89:AA92)/SUMPRODUCT('Sales Data'!AA89:AA92,'Average Efficacy Data'!AA89:AA92)-SUM('Sales Data'!AA238:AA241)/SUMPRODUCT('Sales Data'!AA238:AA241,'Average Efficacy Data'!AA238:AA241)),0)</f>
        <v>0</v>
      </c>
      <c r="AB26" s="321">
        <f>IFERROR(SUM('Sales Data'!AB89:AB92)*(SUM('Sales Data'!AB89:AB92)/SUMPRODUCT('Sales Data'!AB89:AB92,'Average Efficacy Data'!AB89:AB92)-SUM('Sales Data'!AB238:AB241)/SUMPRODUCT('Sales Data'!AB238:AB241,'Average Efficacy Data'!AB238:AB241)),0)</f>
        <v>0</v>
      </c>
      <c r="AC26" s="321">
        <f>IFERROR(SUM('Sales Data'!AC89:AC92)*(SUM('Sales Data'!AC89:AC92)/SUMPRODUCT('Sales Data'!AC89:AC92,'Average Efficacy Data'!AC89:AC92)-SUM('Sales Data'!AC238:AC241)/SUMPRODUCT('Sales Data'!AC238:AC241,'Average Efficacy Data'!AC238:AC241)),0)</f>
        <v>0</v>
      </c>
      <c r="AD26" s="321">
        <f>IFERROR(SUM('Sales Data'!AD89:AD92)*(SUM('Sales Data'!AD89:AD92)/SUMPRODUCT('Sales Data'!AD89:AD92,'Average Efficacy Data'!AD89:AD92)-SUM('Sales Data'!AD238:AD241)/SUMPRODUCT('Sales Data'!AD238:AD241,'Average Efficacy Data'!AD238:AD241)),0)</f>
        <v>0</v>
      </c>
      <c r="AE26" s="321">
        <f>IFERROR(SUM('Sales Data'!AE89:AE92)*(SUM('Sales Data'!AE89:AE92)/SUMPRODUCT('Sales Data'!AE89:AE92,'Average Efficacy Data'!AE89:AE92)-SUM('Sales Data'!AE238:AE241)/SUMPRODUCT('Sales Data'!AE238:AE241,'Average Efficacy Data'!AE238:AE241)),0)</f>
        <v>0</v>
      </c>
      <c r="AF26" s="321">
        <f>IFERROR(SUM('Sales Data'!AF89:AF92)*(SUM('Sales Data'!AF89:AF92)/SUMPRODUCT('Sales Data'!AF89:AF92,'Average Efficacy Data'!AF89:AF92)-SUM('Sales Data'!AF238:AF241)/SUMPRODUCT('Sales Data'!AF238:AF241,'Average Efficacy Data'!AF238:AF241)),0)</f>
        <v>0</v>
      </c>
    </row>
    <row r="27" spans="1:32" ht="14.45" x14ac:dyDescent="0.35">
      <c r="A27" s="840"/>
      <c r="B27" s="838" t="s">
        <v>491</v>
      </c>
      <c r="H27" s="321">
        <f>IFERROR(SUM('Sales Data'!H95:H98)*(SUM('Sales Data'!H95:H98)/SUMPRODUCT('Sales Data'!H95:H98,'Average Efficacy Data'!H95:H98)-SUM('Sales Data'!H244:H247)/SUMPRODUCT('Sales Data'!H244:H247,'Average Efficacy Data'!H244:H247)),0)</f>
        <v>0</v>
      </c>
      <c r="I27" s="321">
        <f>IFERROR(SUM('Sales Data'!I95:I98)*(SUM('Sales Data'!I95:I98)/SUMPRODUCT('Sales Data'!I95:I98,'Average Efficacy Data'!I95:I98)-SUM('Sales Data'!I244:I247)/SUMPRODUCT('Sales Data'!I244:I247,'Average Efficacy Data'!I244:I247)),0)</f>
        <v>0</v>
      </c>
      <c r="J27" s="321">
        <f>IFERROR(SUM('Sales Data'!J95:J98)*(SUM('Sales Data'!J95:J98)/SUMPRODUCT('Sales Data'!J95:J98,'Average Efficacy Data'!J95:J98)-SUM('Sales Data'!J244:J247)/SUMPRODUCT('Sales Data'!J244:J247,'Average Efficacy Data'!J244:J247)),0)</f>
        <v>0</v>
      </c>
      <c r="K27" s="321">
        <f>IFERROR(SUM('Sales Data'!K95:K98)*(SUM('Sales Data'!K95:K98)/SUMPRODUCT('Sales Data'!K95:K98,'Average Efficacy Data'!K95:K98)-SUM('Sales Data'!K244:K247)/SUMPRODUCT('Sales Data'!K244:K247,'Average Efficacy Data'!K244:K247)),0)</f>
        <v>0</v>
      </c>
      <c r="L27" s="321">
        <f>IFERROR(SUM('Sales Data'!L95:L98)*(SUM('Sales Data'!L95:L98)/SUMPRODUCT('Sales Data'!L95:L98,'Average Efficacy Data'!L95:L98)-SUM('Sales Data'!L244:L247)/SUMPRODUCT('Sales Data'!L244:L247,'Average Efficacy Data'!L244:L247)),0)</f>
        <v>0</v>
      </c>
      <c r="M27" s="321">
        <f>IFERROR(SUM('Sales Data'!M95:M98)*(SUM('Sales Data'!M95:M98)/SUMPRODUCT('Sales Data'!M95:M98,'Average Efficacy Data'!M95:M98)-SUM('Sales Data'!M244:M247)/SUMPRODUCT('Sales Data'!M244:M247,'Average Efficacy Data'!M244:M247)),0)</f>
        <v>0</v>
      </c>
      <c r="N27" s="321">
        <f>IFERROR(SUM('Sales Data'!N95:N98)*(SUM('Sales Data'!N95:N98)/SUMPRODUCT('Sales Data'!N95:N98,'Average Efficacy Data'!N95:N98)-SUM('Sales Data'!N244:N247)/SUMPRODUCT('Sales Data'!N244:N247,'Average Efficacy Data'!N244:N247)),0)</f>
        <v>0</v>
      </c>
      <c r="O27" s="321">
        <f>IFERROR(SUM('Sales Data'!O95:O98)*(SUM('Sales Data'!O95:O98)/SUMPRODUCT('Sales Data'!O95:O98,'Average Efficacy Data'!O95:O98)-SUM('Sales Data'!O244:O247)/SUMPRODUCT('Sales Data'!O244:O247,'Average Efficacy Data'!O244:O247)),0)</f>
        <v>0</v>
      </c>
      <c r="P27" s="321">
        <f>IFERROR(SUM('Sales Data'!P95:P98)*(SUM('Sales Data'!P95:P98)/SUMPRODUCT('Sales Data'!P95:P98,'Average Efficacy Data'!P95:P98)-SUM('Sales Data'!P244:P247)/SUMPRODUCT('Sales Data'!P244:P247,'Average Efficacy Data'!P244:P247)),0)</f>
        <v>0</v>
      </c>
      <c r="Q27" s="321">
        <f>IFERROR(SUM('Sales Data'!Q95:Q98)*(SUM('Sales Data'!Q95:Q98)/SUMPRODUCT('Sales Data'!Q95:Q98,'Average Efficacy Data'!Q95:Q98)-SUM('Sales Data'!Q244:Q247)/SUMPRODUCT('Sales Data'!Q244:Q247,'Average Efficacy Data'!Q244:Q247)),0)</f>
        <v>0</v>
      </c>
      <c r="R27" s="321">
        <f>IFERROR(SUM('Sales Data'!R95:R98)*(SUM('Sales Data'!R95:R98)/SUMPRODUCT('Sales Data'!R95:R98,'Average Efficacy Data'!R95:R98)-SUM('Sales Data'!R244:R247)/SUMPRODUCT('Sales Data'!R244:R247,'Average Efficacy Data'!R244:R247)),0)</f>
        <v>0</v>
      </c>
      <c r="S27" s="321">
        <f>IFERROR(SUM('Sales Data'!S95:S98)*(SUM('Sales Data'!S95:S98)/SUMPRODUCT('Sales Data'!S95:S98,'Average Efficacy Data'!S95:S98)-SUM('Sales Data'!S244:S247)/SUMPRODUCT('Sales Data'!S244:S247,'Average Efficacy Data'!S244:S247)),0)</f>
        <v>0</v>
      </c>
      <c r="T27" s="321">
        <f>IFERROR(SUM('Sales Data'!T95:T98)*(SUM('Sales Data'!T95:T98)/SUMPRODUCT('Sales Data'!T95:T98,'Average Efficacy Data'!T95:T98)-SUM('Sales Data'!T244:T247)/SUMPRODUCT('Sales Data'!T244:T247,'Average Efficacy Data'!T244:T247)),0)</f>
        <v>0</v>
      </c>
      <c r="U27" s="321">
        <f>IFERROR(SUM('Sales Data'!U95:U98)*(SUM('Sales Data'!U95:U98)/SUMPRODUCT('Sales Data'!U95:U98,'Average Efficacy Data'!U95:U98)-SUM('Sales Data'!U244:U247)/SUMPRODUCT('Sales Data'!U244:U247,'Average Efficacy Data'!U244:U247)),0)</f>
        <v>0</v>
      </c>
      <c r="V27" s="321">
        <f>IFERROR(SUM('Sales Data'!V95:V98)*(SUM('Sales Data'!V95:V98)/SUMPRODUCT('Sales Data'!V95:V98,'Average Efficacy Data'!V95:V98)-SUM('Sales Data'!V244:V247)/SUMPRODUCT('Sales Data'!V244:V247,'Average Efficacy Data'!V244:V247)),0)</f>
        <v>0</v>
      </c>
      <c r="W27" s="321">
        <f>IFERROR(SUM('Sales Data'!W95:W98)*(SUM('Sales Data'!W95:W98)/SUMPRODUCT('Sales Data'!W95:W98,'Average Efficacy Data'!W95:W98)-SUM('Sales Data'!W244:W247)/SUMPRODUCT('Sales Data'!W244:W247,'Average Efficacy Data'!W244:W247)),0)</f>
        <v>0</v>
      </c>
      <c r="X27" s="321">
        <f>IFERROR(SUM('Sales Data'!X95:X98)*(SUM('Sales Data'!X95:X98)/SUMPRODUCT('Sales Data'!X95:X98,'Average Efficacy Data'!X95:X98)-SUM('Sales Data'!X244:X247)/SUMPRODUCT('Sales Data'!X244:X247,'Average Efficacy Data'!X244:X247)),0)</f>
        <v>0</v>
      </c>
      <c r="Y27" s="321">
        <f>IFERROR(SUM('Sales Data'!Y95:Y98)*(SUM('Sales Data'!Y95:Y98)/SUMPRODUCT('Sales Data'!Y95:Y98,'Average Efficacy Data'!Y95:Y98)-SUM('Sales Data'!Y244:Y247)/SUMPRODUCT('Sales Data'!Y244:Y247,'Average Efficacy Data'!Y244:Y247)),0)</f>
        <v>0</v>
      </c>
      <c r="Z27" s="321">
        <f>IFERROR(SUM('Sales Data'!Z95:Z98)*(SUM('Sales Data'!Z95:Z98)/SUMPRODUCT('Sales Data'!Z95:Z98,'Average Efficacy Data'!Z95:Z98)-SUM('Sales Data'!Z244:Z247)/SUMPRODUCT('Sales Data'!Z244:Z247,'Average Efficacy Data'!Z244:Z247)),0)</f>
        <v>0</v>
      </c>
      <c r="AA27" s="321">
        <f>IFERROR(SUM('Sales Data'!AA95:AA98)*(SUM('Sales Data'!AA95:AA98)/SUMPRODUCT('Sales Data'!AA95:AA98,'Average Efficacy Data'!AA95:AA98)-SUM('Sales Data'!AA244:AA247)/SUMPRODUCT('Sales Data'!AA244:AA247,'Average Efficacy Data'!AA244:AA247)),0)</f>
        <v>0</v>
      </c>
      <c r="AB27" s="321">
        <f>IFERROR(SUM('Sales Data'!AB95:AB98)*(SUM('Sales Data'!AB95:AB98)/SUMPRODUCT('Sales Data'!AB95:AB98,'Average Efficacy Data'!AB95:AB98)-SUM('Sales Data'!AB244:AB247)/SUMPRODUCT('Sales Data'!AB244:AB247,'Average Efficacy Data'!AB244:AB247)),0)</f>
        <v>0</v>
      </c>
      <c r="AC27" s="321">
        <f>IFERROR(SUM('Sales Data'!AC95:AC98)*(SUM('Sales Data'!AC95:AC98)/SUMPRODUCT('Sales Data'!AC95:AC98,'Average Efficacy Data'!AC95:AC98)-SUM('Sales Data'!AC244:AC247)/SUMPRODUCT('Sales Data'!AC244:AC247,'Average Efficacy Data'!AC244:AC247)),0)</f>
        <v>0</v>
      </c>
      <c r="AD27" s="321">
        <f>IFERROR(SUM('Sales Data'!AD95:AD98)*(SUM('Sales Data'!AD95:AD98)/SUMPRODUCT('Sales Data'!AD95:AD98,'Average Efficacy Data'!AD95:AD98)-SUM('Sales Data'!AD244:AD247)/SUMPRODUCT('Sales Data'!AD244:AD247,'Average Efficacy Data'!AD244:AD247)),0)</f>
        <v>0</v>
      </c>
      <c r="AE27" s="321">
        <f>IFERROR(SUM('Sales Data'!AE95:AE98)*(SUM('Sales Data'!AE95:AE98)/SUMPRODUCT('Sales Data'!AE95:AE98,'Average Efficacy Data'!AE95:AE98)-SUM('Sales Data'!AE244:AE247)/SUMPRODUCT('Sales Data'!AE244:AE247,'Average Efficacy Data'!AE244:AE247)),0)</f>
        <v>0</v>
      </c>
      <c r="AF27" s="321">
        <f>IFERROR(SUM('Sales Data'!AF95:AF98)*(SUM('Sales Data'!AF95:AF98)/SUMPRODUCT('Sales Data'!AF95:AF98,'Average Efficacy Data'!AF95:AF98)-SUM('Sales Data'!AF244:AF247)/SUMPRODUCT('Sales Data'!AF244:AF247,'Average Efficacy Data'!AF244:AF247)),0)</f>
        <v>0</v>
      </c>
    </row>
    <row r="28" spans="1:32" ht="14.45" x14ac:dyDescent="0.35">
      <c r="A28" s="840"/>
      <c r="B28" s="838" t="s">
        <v>42</v>
      </c>
      <c r="H28" s="321">
        <f>SUM('Sales Data'!H101:H105)*(SUM('Sales Data'!H101:H105)/SUMPRODUCT('Sales Data'!H101:H105,'Average Efficacy Data'!H101:H105)-SUM('Sales Data'!H250:H254)/SUMPRODUCT('Sales Data'!H250:H254,'Average Efficacy Data'!H250:H254))</f>
        <v>0</v>
      </c>
      <c r="I28" s="321">
        <f>SUM('Sales Data'!I101:I105)*(SUM('Sales Data'!I101:I105)/SUMPRODUCT('Sales Data'!I101:I105,'Average Efficacy Data'!I101:I105)-SUM('Sales Data'!I250:I254)/SUMPRODUCT('Sales Data'!I250:I254,'Average Efficacy Data'!I250:I254))</f>
        <v>0</v>
      </c>
      <c r="J28" s="321">
        <f>SUM('Sales Data'!J101:J105)*(SUM('Sales Data'!J101:J105)/SUMPRODUCT('Sales Data'!J101:J105,'Average Efficacy Data'!J101:J105)-SUM('Sales Data'!J250:J254)/SUMPRODUCT('Sales Data'!J250:J254,'Average Efficacy Data'!J250:J254))</f>
        <v>0</v>
      </c>
      <c r="K28" s="321">
        <f>SUM('Sales Data'!K101:K105)*(SUM('Sales Data'!K101:K105)/SUMPRODUCT('Sales Data'!K101:K105,'Average Efficacy Data'!K101:K105)-SUM('Sales Data'!K250:K254)/SUMPRODUCT('Sales Data'!K250:K254,'Average Efficacy Data'!K250:K254))</f>
        <v>0</v>
      </c>
      <c r="L28" s="321">
        <f>SUM('Sales Data'!L101:L105)*(SUM('Sales Data'!L101:L105)/SUMPRODUCT('Sales Data'!L101:L105,'Average Efficacy Data'!L101:L105)-SUM('Sales Data'!L250:L254)/SUMPRODUCT('Sales Data'!L250:L254,'Average Efficacy Data'!L250:L254))</f>
        <v>0</v>
      </c>
      <c r="M28" s="321">
        <f>SUM('Sales Data'!M101:M105)*(SUM('Sales Data'!M101:M105)/SUMPRODUCT('Sales Data'!M101:M105,'Average Efficacy Data'!M101:M105)-SUM('Sales Data'!M250:M254)/SUMPRODUCT('Sales Data'!M250:M254,'Average Efficacy Data'!M250:M254))</f>
        <v>0</v>
      </c>
      <c r="N28" s="321">
        <f>SUM('Sales Data'!N101:N105)*(SUM('Sales Data'!N101:N105)/SUMPRODUCT('Sales Data'!N101:N105,'Average Efficacy Data'!N101:N105)-SUM('Sales Data'!N250:N254)/SUMPRODUCT('Sales Data'!N250:N254,'Average Efficacy Data'!N250:N254))</f>
        <v>0</v>
      </c>
      <c r="O28" s="321">
        <f>SUM('Sales Data'!O101:O105)*(SUM('Sales Data'!O101:O105)/SUMPRODUCT('Sales Data'!O101:O105,'Average Efficacy Data'!O101:O105)-SUM('Sales Data'!O250:O254)/SUMPRODUCT('Sales Data'!O250:O254,'Average Efficacy Data'!O250:O254))</f>
        <v>0</v>
      </c>
      <c r="P28" s="321">
        <f>SUM('Sales Data'!P101:P105)*(SUM('Sales Data'!P101:P105)/SUMPRODUCT('Sales Data'!P101:P105,'Average Efficacy Data'!P101:P105)-SUM('Sales Data'!P250:P254)/SUMPRODUCT('Sales Data'!P250:P254,'Average Efficacy Data'!P250:P254))</f>
        <v>0</v>
      </c>
      <c r="Q28" s="321">
        <f>SUM('Sales Data'!Q101:Q105)*(SUM('Sales Data'!Q101:Q105)/SUMPRODUCT('Sales Data'!Q101:Q105,'Average Efficacy Data'!Q101:Q105)-SUM('Sales Data'!Q250:Q254)/SUMPRODUCT('Sales Data'!Q250:Q254,'Average Efficacy Data'!Q250:Q254))</f>
        <v>0</v>
      </c>
      <c r="R28" s="321">
        <f>SUM('Sales Data'!R101:R105)*(SUM('Sales Data'!R101:R105)/SUMPRODUCT('Sales Data'!R101:R105,'Average Efficacy Data'!R101:R105)-SUM('Sales Data'!R250:R254)/SUMPRODUCT('Sales Data'!R250:R254,'Average Efficacy Data'!R250:R254))</f>
        <v>0</v>
      </c>
      <c r="S28" s="321">
        <f>SUM('Sales Data'!S101:S105)*(SUM('Sales Data'!S101:S105)/SUMPRODUCT('Sales Data'!S101:S105,'Average Efficacy Data'!S101:S105)-SUM('Sales Data'!S250:S254)/SUMPRODUCT('Sales Data'!S250:S254,'Average Efficacy Data'!S250:S254))</f>
        <v>0</v>
      </c>
      <c r="T28" s="321">
        <f>SUM('Sales Data'!T101:T105)*(SUM('Sales Data'!T101:T105)/SUMPRODUCT('Sales Data'!T101:T105,'Average Efficacy Data'!T101:T105)-SUM('Sales Data'!T250:T254)/SUMPRODUCT('Sales Data'!T250:T254,'Average Efficacy Data'!T250:T254))</f>
        <v>0</v>
      </c>
      <c r="U28" s="321">
        <f>SUM('Sales Data'!U101:U105)*(SUM('Sales Data'!U101:U105)/SUMPRODUCT('Sales Data'!U101:U105,'Average Efficacy Data'!U101:U105)-SUM('Sales Data'!U250:U254)/SUMPRODUCT('Sales Data'!U250:U254,'Average Efficacy Data'!U250:U254))</f>
        <v>0</v>
      </c>
      <c r="V28" s="321">
        <f>SUM('Sales Data'!V101:V105)*(SUM('Sales Data'!V101:V105)/SUMPRODUCT('Sales Data'!V101:V105,'Average Efficacy Data'!V101:V105)-SUM('Sales Data'!V250:V254)/SUMPRODUCT('Sales Data'!V250:V254,'Average Efficacy Data'!V250:V254))</f>
        <v>0</v>
      </c>
      <c r="W28" s="321">
        <f>SUM('Sales Data'!W101:W105)*(SUM('Sales Data'!W101:W105)/SUMPRODUCT('Sales Data'!W101:W105,'Average Efficacy Data'!W101:W105)-SUM('Sales Data'!W250:W254)/SUMPRODUCT('Sales Data'!W250:W254,'Average Efficacy Data'!W250:W254))</f>
        <v>0</v>
      </c>
      <c r="X28" s="321">
        <f>SUM('Sales Data'!X101:X105)*(SUM('Sales Data'!X101:X105)/SUMPRODUCT('Sales Data'!X101:X105,'Average Efficacy Data'!X101:X105)-SUM('Sales Data'!X250:X254)/SUMPRODUCT('Sales Data'!X250:X254,'Average Efficacy Data'!X250:X254))</f>
        <v>0</v>
      </c>
      <c r="Y28" s="321">
        <f>SUM('Sales Data'!Y101:Y105)*(SUM('Sales Data'!Y101:Y105)/SUMPRODUCT('Sales Data'!Y101:Y105,'Average Efficacy Data'!Y101:Y105)-SUM('Sales Data'!Y250:Y254)/SUMPRODUCT('Sales Data'!Y250:Y254,'Average Efficacy Data'!Y250:Y254))</f>
        <v>0</v>
      </c>
      <c r="Z28" s="321">
        <f>SUM('Sales Data'!Z101:Z105)*(SUM('Sales Data'!Z101:Z105)/SUMPRODUCT('Sales Data'!Z101:Z105,'Average Efficacy Data'!Z101:Z105)-SUM('Sales Data'!Z250:Z254)/SUMPRODUCT('Sales Data'!Z250:Z254,'Average Efficacy Data'!Z250:Z254))</f>
        <v>0</v>
      </c>
      <c r="AA28" s="321">
        <f>SUM('Sales Data'!AA101:AA105)*(SUM('Sales Data'!AA101:AA105)/SUMPRODUCT('Sales Data'!AA101:AA105,'Average Efficacy Data'!AA101:AA105)-SUM('Sales Data'!AA250:AA254)/SUMPRODUCT('Sales Data'!AA250:AA254,'Average Efficacy Data'!AA250:AA254))</f>
        <v>0</v>
      </c>
      <c r="AB28" s="321">
        <f>SUM('Sales Data'!AB101:AB105)*(SUM('Sales Data'!AB101:AB105)/SUMPRODUCT('Sales Data'!AB101:AB105,'Average Efficacy Data'!AB101:AB105)-SUM('Sales Data'!AB250:AB254)/SUMPRODUCT('Sales Data'!AB250:AB254,'Average Efficacy Data'!AB250:AB254))</f>
        <v>0</v>
      </c>
      <c r="AC28" s="321">
        <f>SUM('Sales Data'!AC101:AC105)*(SUM('Sales Data'!AC101:AC105)/SUMPRODUCT('Sales Data'!AC101:AC105,'Average Efficacy Data'!AC101:AC105)-SUM('Sales Data'!AC250:AC254)/SUMPRODUCT('Sales Data'!AC250:AC254,'Average Efficacy Data'!AC250:AC254))</f>
        <v>0</v>
      </c>
      <c r="AD28" s="321">
        <f>SUM('Sales Data'!AD101:AD105)*(SUM('Sales Data'!AD101:AD105)/SUMPRODUCT('Sales Data'!AD101:AD105,'Average Efficacy Data'!AD101:AD105)-SUM('Sales Data'!AD250:AD254)/SUMPRODUCT('Sales Data'!AD250:AD254,'Average Efficacy Data'!AD250:AD254))</f>
        <v>0</v>
      </c>
      <c r="AE28" s="321">
        <f>SUM('Sales Data'!AE101:AE105)*(SUM('Sales Data'!AE101:AE105)/SUMPRODUCT('Sales Data'!AE101:AE105,'Average Efficacy Data'!AE101:AE105)-SUM('Sales Data'!AE250:AE254)/SUMPRODUCT('Sales Data'!AE250:AE254,'Average Efficacy Data'!AE250:AE254))</f>
        <v>0</v>
      </c>
      <c r="AF28" s="321">
        <f>SUM('Sales Data'!AF101:AF105)*(SUM('Sales Data'!AF101:AF105)/SUMPRODUCT('Sales Data'!AF101:AF105,'Average Efficacy Data'!AF101:AF105)-SUM('Sales Data'!AF250:AF254)/SUMPRODUCT('Sales Data'!AF250:AF254,'Average Efficacy Data'!AF250:AF254))</f>
        <v>0</v>
      </c>
    </row>
    <row r="29" spans="1:32" ht="14.45" x14ac:dyDescent="0.35">
      <c r="A29" s="840"/>
      <c r="B29" s="838" t="s">
        <v>47</v>
      </c>
      <c r="H29" s="321">
        <f>SUM('Sales Data'!H108:H113)*(SUM('Sales Data'!H108:H113)/SUMPRODUCT('Sales Data'!H108:H113,'Average Efficacy Data'!H108:H113)-SUM('Sales Data'!H257:H262)/SUMPRODUCT('Sales Data'!H257:H262,'Average Efficacy Data'!H257:H262))</f>
        <v>0</v>
      </c>
      <c r="I29" s="321">
        <f>SUM('Sales Data'!I108:I113)*(SUM('Sales Data'!I108:I113)/SUMPRODUCT('Sales Data'!I108:I113,'Average Efficacy Data'!I108:I113)-SUM('Sales Data'!I257:I262)/SUMPRODUCT('Sales Data'!I257:I262,'Average Efficacy Data'!I257:I262))</f>
        <v>0</v>
      </c>
      <c r="J29" s="321">
        <f>SUM('Sales Data'!J108:J113)*(SUM('Sales Data'!J108:J113)/SUMPRODUCT('Sales Data'!J108:J113,'Average Efficacy Data'!J108:J113)-SUM('Sales Data'!J257:J262)/SUMPRODUCT('Sales Data'!J257:J262,'Average Efficacy Data'!J257:J262))</f>
        <v>0</v>
      </c>
      <c r="K29" s="321">
        <f>SUM('Sales Data'!K108:K113)*(SUM('Sales Data'!K108:K113)/SUMPRODUCT('Sales Data'!K108:K113,'Average Efficacy Data'!K108:K113)-SUM('Sales Data'!K257:K262)/SUMPRODUCT('Sales Data'!K257:K262,'Average Efficacy Data'!K257:K262))</f>
        <v>0</v>
      </c>
      <c r="L29" s="321">
        <f>SUM('Sales Data'!L108:L113)*(SUM('Sales Data'!L108:L113)/SUMPRODUCT('Sales Data'!L108:L113,'Average Efficacy Data'!L108:L113)-SUM('Sales Data'!L257:L262)/SUMPRODUCT('Sales Data'!L257:L262,'Average Efficacy Data'!L257:L262))</f>
        <v>0</v>
      </c>
      <c r="M29" s="321">
        <f>SUM('Sales Data'!M108:M113)*(SUM('Sales Data'!M108:M113)/SUMPRODUCT('Sales Data'!M108:M113,'Average Efficacy Data'!M108:M113)-SUM('Sales Data'!M257:M262)/SUMPRODUCT('Sales Data'!M257:M262,'Average Efficacy Data'!M257:M262))</f>
        <v>0</v>
      </c>
      <c r="N29" s="321">
        <f>SUM('Sales Data'!N108:N113)*(SUM('Sales Data'!N108:N113)/SUMPRODUCT('Sales Data'!N108:N113,'Average Efficacy Data'!N108:N113)-SUM('Sales Data'!N257:N262)/SUMPRODUCT('Sales Data'!N257:N262,'Average Efficacy Data'!N257:N262))</f>
        <v>0</v>
      </c>
      <c r="O29" s="321">
        <f>SUM('Sales Data'!O108:O113)*(SUM('Sales Data'!O108:O113)/SUMPRODUCT('Sales Data'!O108:O113,'Average Efficacy Data'!O108:O113)-SUM('Sales Data'!O257:O262)/SUMPRODUCT('Sales Data'!O257:O262,'Average Efficacy Data'!O257:O262))</f>
        <v>0</v>
      </c>
      <c r="P29" s="321">
        <f>SUM('Sales Data'!P108:P113)*(SUM('Sales Data'!P108:P113)/SUMPRODUCT('Sales Data'!P108:P113,'Average Efficacy Data'!P108:P113)-SUM('Sales Data'!P257:P262)/SUMPRODUCT('Sales Data'!P257:P262,'Average Efficacy Data'!P257:P262))</f>
        <v>0</v>
      </c>
      <c r="Q29" s="321">
        <f>SUM('Sales Data'!Q108:Q113)*(SUM('Sales Data'!Q108:Q113)/SUMPRODUCT('Sales Data'!Q108:Q113,'Average Efficacy Data'!Q108:Q113)-SUM('Sales Data'!Q257:Q262)/SUMPRODUCT('Sales Data'!Q257:Q262,'Average Efficacy Data'!Q257:Q262))</f>
        <v>0</v>
      </c>
      <c r="R29" s="321">
        <f>SUM('Sales Data'!R108:R113)*(SUM('Sales Data'!R108:R113)/SUMPRODUCT('Sales Data'!R108:R113,'Average Efficacy Data'!R108:R113)-SUM('Sales Data'!R257:R262)/SUMPRODUCT('Sales Data'!R257:R262,'Average Efficacy Data'!R257:R262))</f>
        <v>0</v>
      </c>
      <c r="S29" s="321">
        <f>SUM('Sales Data'!S108:S113)*(SUM('Sales Data'!S108:S113)/SUMPRODUCT('Sales Data'!S108:S113,'Average Efficacy Data'!S108:S113)-SUM('Sales Data'!S257:S262)/SUMPRODUCT('Sales Data'!S257:S262,'Average Efficacy Data'!S257:S262))</f>
        <v>0</v>
      </c>
      <c r="T29" s="321">
        <f>SUM('Sales Data'!T108:T113)*(SUM('Sales Data'!T108:T113)/SUMPRODUCT('Sales Data'!T108:T113,'Average Efficacy Data'!T108:T113)-SUM('Sales Data'!T257:T262)/SUMPRODUCT('Sales Data'!T257:T262,'Average Efficacy Data'!T257:T262))</f>
        <v>0</v>
      </c>
      <c r="U29" s="321">
        <f>SUM('Sales Data'!U108:U113)*(SUM('Sales Data'!U108:U113)/SUMPRODUCT('Sales Data'!U108:U113,'Average Efficacy Data'!U108:U113)-SUM('Sales Data'!U257:U262)/SUMPRODUCT('Sales Data'!U257:U262,'Average Efficacy Data'!U257:U262))</f>
        <v>0</v>
      </c>
      <c r="V29" s="321">
        <f>SUM('Sales Data'!V108:V113)*(SUM('Sales Data'!V108:V113)/SUMPRODUCT('Sales Data'!V108:V113,'Average Efficacy Data'!V108:V113)-SUM('Sales Data'!V257:V262)/SUMPRODUCT('Sales Data'!V257:V262,'Average Efficacy Data'!V257:V262))</f>
        <v>0</v>
      </c>
      <c r="W29" s="321">
        <f>SUM('Sales Data'!W108:W113)*(SUM('Sales Data'!W108:W113)/SUMPRODUCT('Sales Data'!W108:W113,'Average Efficacy Data'!W108:W113)-SUM('Sales Data'!W257:W262)/SUMPRODUCT('Sales Data'!W257:W262,'Average Efficacy Data'!W257:W262))</f>
        <v>0</v>
      </c>
      <c r="X29" s="321">
        <f>SUM('Sales Data'!X108:X113)*(SUM('Sales Data'!X108:X113)/SUMPRODUCT('Sales Data'!X108:X113,'Average Efficacy Data'!X108:X113)-SUM('Sales Data'!X257:X262)/SUMPRODUCT('Sales Data'!X257:X262,'Average Efficacy Data'!X257:X262))</f>
        <v>0</v>
      </c>
      <c r="Y29" s="321">
        <f>SUM('Sales Data'!Y108:Y113)*(SUM('Sales Data'!Y108:Y113)/SUMPRODUCT('Sales Data'!Y108:Y113,'Average Efficacy Data'!Y108:Y113)-SUM('Sales Data'!Y257:Y262)/SUMPRODUCT('Sales Data'!Y257:Y262,'Average Efficacy Data'!Y257:Y262))</f>
        <v>0</v>
      </c>
      <c r="Z29" s="321">
        <f>SUM('Sales Data'!Z108:Z113)*(SUM('Sales Data'!Z108:Z113)/SUMPRODUCT('Sales Data'!Z108:Z113,'Average Efficacy Data'!Z108:Z113)-SUM('Sales Data'!Z257:Z262)/SUMPRODUCT('Sales Data'!Z257:Z262,'Average Efficacy Data'!Z257:Z262))</f>
        <v>0</v>
      </c>
      <c r="AA29" s="321">
        <f>SUM('Sales Data'!AA108:AA113)*(SUM('Sales Data'!AA108:AA113)/SUMPRODUCT('Sales Data'!AA108:AA113,'Average Efficacy Data'!AA108:AA113)-SUM('Sales Data'!AA257:AA262)/SUMPRODUCT('Sales Data'!AA257:AA262,'Average Efficacy Data'!AA257:AA262))</f>
        <v>0</v>
      </c>
      <c r="AB29" s="321">
        <f>SUM('Sales Data'!AB108:AB113)*(SUM('Sales Data'!AB108:AB113)/SUMPRODUCT('Sales Data'!AB108:AB113,'Average Efficacy Data'!AB108:AB113)-SUM('Sales Data'!AB257:AB262)/SUMPRODUCT('Sales Data'!AB257:AB262,'Average Efficacy Data'!AB257:AB262))</f>
        <v>0</v>
      </c>
      <c r="AC29" s="321">
        <f>SUM('Sales Data'!AC108:AC113)*(SUM('Sales Data'!AC108:AC113)/SUMPRODUCT('Sales Data'!AC108:AC113,'Average Efficacy Data'!AC108:AC113)-SUM('Sales Data'!AC257:AC262)/SUMPRODUCT('Sales Data'!AC257:AC262,'Average Efficacy Data'!AC257:AC262))</f>
        <v>0</v>
      </c>
      <c r="AD29" s="321">
        <f>SUM('Sales Data'!AD108:AD113)*(SUM('Sales Data'!AD108:AD113)/SUMPRODUCT('Sales Data'!AD108:AD113,'Average Efficacy Data'!AD108:AD113)-SUM('Sales Data'!AD257:AD262)/SUMPRODUCT('Sales Data'!AD257:AD262,'Average Efficacy Data'!AD257:AD262))</f>
        <v>0</v>
      </c>
      <c r="AE29" s="321">
        <f>SUM('Sales Data'!AE108:AE113)*(SUM('Sales Data'!AE108:AE113)/SUMPRODUCT('Sales Data'!AE108:AE113,'Average Efficacy Data'!AE108:AE113)-SUM('Sales Data'!AE257:AE262)/SUMPRODUCT('Sales Data'!AE257:AE262,'Average Efficacy Data'!AE257:AE262))</f>
        <v>0</v>
      </c>
      <c r="AF29" s="321">
        <f>SUM('Sales Data'!AF108:AF113)*(SUM('Sales Data'!AF108:AF113)/SUMPRODUCT('Sales Data'!AF108:AF113,'Average Efficacy Data'!AF108:AF113)-SUM('Sales Data'!AF257:AF262)/SUMPRODUCT('Sales Data'!AF257:AF262,'Average Efficacy Data'!AF257:AF262))</f>
        <v>0</v>
      </c>
    </row>
    <row r="30" spans="1:32" ht="14.45" x14ac:dyDescent="0.35">
      <c r="H30" s="321"/>
      <c r="I30" s="321"/>
      <c r="J30" s="321"/>
      <c r="K30" s="321"/>
      <c r="L30" s="321"/>
      <c r="M30" s="321"/>
      <c r="N30" s="321"/>
      <c r="O30" s="321"/>
      <c r="P30" s="321"/>
      <c r="Q30" s="321"/>
      <c r="R30" s="321"/>
      <c r="S30" s="321"/>
      <c r="T30" s="321"/>
      <c r="U30" s="321"/>
      <c r="V30" s="321"/>
      <c r="W30" s="321"/>
      <c r="X30" s="321"/>
      <c r="Y30" s="321"/>
      <c r="Z30" s="321"/>
      <c r="AA30" s="321"/>
      <c r="AB30" s="321"/>
      <c r="AC30" s="321"/>
      <c r="AD30" s="321"/>
      <c r="AE30" s="321"/>
      <c r="AF30" s="321"/>
    </row>
    <row r="31" spans="1:32" ht="14.45" x14ac:dyDescent="0.35">
      <c r="A31" s="860" t="s">
        <v>54</v>
      </c>
      <c r="B31" s="861"/>
      <c r="C31" s="860"/>
      <c r="D31" s="859"/>
      <c r="E31" s="859"/>
      <c r="F31" s="859"/>
      <c r="G31" s="859"/>
      <c r="H31" s="980"/>
      <c r="I31" s="980"/>
      <c r="J31" s="980"/>
      <c r="K31" s="980"/>
      <c r="L31" s="980"/>
      <c r="M31" s="980"/>
      <c r="N31" s="980"/>
      <c r="O31" s="980"/>
      <c r="P31" s="980"/>
      <c r="Q31" s="980"/>
      <c r="R31" s="980"/>
      <c r="S31" s="980"/>
      <c r="T31" s="980"/>
      <c r="U31" s="980"/>
      <c r="V31" s="980"/>
      <c r="W31" s="980"/>
      <c r="X31" s="980"/>
      <c r="Y31" s="980"/>
      <c r="Z31" s="980"/>
      <c r="AA31" s="980"/>
      <c r="AB31" s="980"/>
      <c r="AC31" s="980"/>
      <c r="AD31" s="980"/>
      <c r="AE31" s="980"/>
      <c r="AF31" s="980"/>
    </row>
    <row r="32" spans="1:32" ht="14.45" x14ac:dyDescent="0.35">
      <c r="A32" s="840" t="s">
        <v>12</v>
      </c>
      <c r="B32" s="839"/>
      <c r="H32" s="321"/>
      <c r="I32" s="321"/>
      <c r="J32" s="321"/>
      <c r="K32" s="321"/>
      <c r="L32" s="321"/>
      <c r="M32" s="321"/>
      <c r="N32" s="321"/>
      <c r="O32" s="321"/>
      <c r="P32" s="321"/>
      <c r="Q32" s="321"/>
      <c r="R32" s="321"/>
      <c r="S32" s="321"/>
      <c r="T32" s="321"/>
      <c r="U32" s="321"/>
      <c r="V32" s="321"/>
      <c r="W32" s="321"/>
      <c r="X32" s="321"/>
      <c r="Y32" s="321"/>
      <c r="Z32" s="321"/>
      <c r="AA32" s="321"/>
      <c r="AB32" s="321"/>
      <c r="AC32" s="321"/>
      <c r="AD32" s="321"/>
      <c r="AE32" s="321"/>
      <c r="AF32" s="321"/>
    </row>
    <row r="33" spans="1:32" ht="14.45" x14ac:dyDescent="0.35">
      <c r="A33" s="840"/>
      <c r="B33" s="838" t="s">
        <v>504</v>
      </c>
      <c r="H33" s="321">
        <f>SUM('Sales Data'!H120:H123)*(SUM('Sales Data'!H120:H123)/SUMPRODUCT('Sales Data'!H120:H123,'Average Efficacy Data'!H120:H123)-SUM('Sales Data'!H269:H272)/SUMPRODUCT('Sales Data'!H269:H272,'Average Efficacy Data'!H269:H272))</f>
        <v>0</v>
      </c>
      <c r="I33" s="321">
        <f>SUM('Sales Data'!I120:I123)*(SUM('Sales Data'!I120:I123)/SUMPRODUCT('Sales Data'!I120:I123,'Average Efficacy Data'!I120:I123)-SUM('Sales Data'!I269:I272)/SUMPRODUCT('Sales Data'!I269:I272,'Average Efficacy Data'!I269:I272))</f>
        <v>0</v>
      </c>
      <c r="J33" s="321">
        <f>SUM('Sales Data'!J120:J123)*(SUM('Sales Data'!J120:J123)/SUMPRODUCT('Sales Data'!J120:J123,'Average Efficacy Data'!J120:J123)-SUM('Sales Data'!J269:J272)/SUMPRODUCT('Sales Data'!J269:J272,'Average Efficacy Data'!J269:J272))</f>
        <v>0</v>
      </c>
      <c r="K33" s="321">
        <f>SUM('Sales Data'!K120:K123)*(SUM('Sales Data'!K120:K123)/SUMPRODUCT('Sales Data'!K120:K123,'Average Efficacy Data'!K120:K123)-SUM('Sales Data'!K269:K272)/SUMPRODUCT('Sales Data'!K269:K272,'Average Efficacy Data'!K269:K272))</f>
        <v>0</v>
      </c>
      <c r="L33" s="321">
        <f>SUM('Sales Data'!L120:L123)*(SUM('Sales Data'!L120:L123)/SUMPRODUCT('Sales Data'!L120:L123,'Average Efficacy Data'!L120:L123)-SUM('Sales Data'!L269:L272)/SUMPRODUCT('Sales Data'!L269:L272,'Average Efficacy Data'!L269:L272))</f>
        <v>0</v>
      </c>
      <c r="M33" s="321">
        <f>SUM('Sales Data'!M120:M123)*(SUM('Sales Data'!M120:M123)/SUMPRODUCT('Sales Data'!M120:M123,'Average Efficacy Data'!M120:M123)-SUM('Sales Data'!M269:M272)/SUMPRODUCT('Sales Data'!M269:M272,'Average Efficacy Data'!M269:M272))</f>
        <v>0</v>
      </c>
      <c r="N33" s="321">
        <f>SUM('Sales Data'!N120:N123)*(SUM('Sales Data'!N120:N123)/SUMPRODUCT('Sales Data'!N120:N123,'Average Efficacy Data'!N120:N123)-SUM('Sales Data'!N269:N272)/SUMPRODUCT('Sales Data'!N269:N272,'Average Efficacy Data'!N269:N272))</f>
        <v>0</v>
      </c>
      <c r="O33" s="321">
        <f>SUM('Sales Data'!O120:O123)*(SUM('Sales Data'!O120:O123)/SUMPRODUCT('Sales Data'!O120:O123,'Average Efficacy Data'!O120:O123)-SUM('Sales Data'!O269:O272)/SUMPRODUCT('Sales Data'!O269:O272,'Average Efficacy Data'!O269:O272))</f>
        <v>0</v>
      </c>
      <c r="P33" s="321">
        <f>SUM('Sales Data'!P120:P123)*(SUM('Sales Data'!P120:P123)/SUMPRODUCT('Sales Data'!P120:P123,'Average Efficacy Data'!P120:P123)-SUM('Sales Data'!P269:P272)/SUMPRODUCT('Sales Data'!P269:P272,'Average Efficacy Data'!P269:P272))</f>
        <v>0</v>
      </c>
      <c r="Q33" s="321">
        <f>SUM('Sales Data'!Q120:Q123)*(SUM('Sales Data'!Q120:Q123)/SUMPRODUCT('Sales Data'!Q120:Q123,'Average Efficacy Data'!Q120:Q123)-SUM('Sales Data'!Q269:Q272)/SUMPRODUCT('Sales Data'!Q269:Q272,'Average Efficacy Data'!Q269:Q272))</f>
        <v>0</v>
      </c>
      <c r="R33" s="321">
        <f>SUM('Sales Data'!R120:R123)*(SUM('Sales Data'!R120:R123)/SUMPRODUCT('Sales Data'!R120:R123,'Average Efficacy Data'!R120:R123)-SUM('Sales Data'!R269:R272)/SUMPRODUCT('Sales Data'!R269:R272,'Average Efficacy Data'!R269:R272))</f>
        <v>0</v>
      </c>
      <c r="S33" s="321">
        <f>SUM('Sales Data'!S120:S123)*(SUM('Sales Data'!S120:S123)/SUMPRODUCT('Sales Data'!S120:S123,'Average Efficacy Data'!S120:S123)-SUM('Sales Data'!S269:S272)/SUMPRODUCT('Sales Data'!S269:S272,'Average Efficacy Data'!S269:S272))</f>
        <v>0</v>
      </c>
      <c r="T33" s="321">
        <f>SUM('Sales Data'!T120:T123)*(SUM('Sales Data'!T120:T123)/SUMPRODUCT('Sales Data'!T120:T123,'Average Efficacy Data'!T120:T123)-SUM('Sales Data'!T269:T272)/SUMPRODUCT('Sales Data'!T269:T272,'Average Efficacy Data'!T269:T272))</f>
        <v>0</v>
      </c>
      <c r="U33" s="321">
        <f>SUM('Sales Data'!U120:U123)*(SUM('Sales Data'!U120:U123)/SUMPRODUCT('Sales Data'!U120:U123,'Average Efficacy Data'!U120:U123)-SUM('Sales Data'!U269:U272)/SUMPRODUCT('Sales Data'!U269:U272,'Average Efficacy Data'!U269:U272))</f>
        <v>0</v>
      </c>
      <c r="V33" s="321">
        <f>SUM('Sales Data'!V120:V123)*(SUM('Sales Data'!V120:V123)/SUMPRODUCT('Sales Data'!V120:V123,'Average Efficacy Data'!V120:V123)-SUM('Sales Data'!V269:V272)/SUMPRODUCT('Sales Data'!V269:V272,'Average Efficacy Data'!V269:V272))</f>
        <v>0</v>
      </c>
      <c r="W33" s="321">
        <f>SUM('Sales Data'!W120:W123)*(SUM('Sales Data'!W120:W123)/SUMPRODUCT('Sales Data'!W120:W123,'Average Efficacy Data'!W120:W123)-SUM('Sales Data'!W269:W272)/SUMPRODUCT('Sales Data'!W269:W272,'Average Efficacy Data'!W269:W272))</f>
        <v>0</v>
      </c>
      <c r="X33" s="321">
        <f>SUM('Sales Data'!X120:X123)*(SUM('Sales Data'!X120:X123)/SUMPRODUCT('Sales Data'!X120:X123,'Average Efficacy Data'!X120:X123)-SUM('Sales Data'!X269:X272)/SUMPRODUCT('Sales Data'!X269:X272,'Average Efficacy Data'!X269:X272))</f>
        <v>0</v>
      </c>
      <c r="Y33" s="321">
        <f>SUM('Sales Data'!Y120:Y123)*(SUM('Sales Data'!Y120:Y123)/SUMPRODUCT('Sales Data'!Y120:Y123,'Average Efficacy Data'!Y120:Y123)-SUM('Sales Data'!Y269:Y272)/SUMPRODUCT('Sales Data'!Y269:Y272,'Average Efficacy Data'!Y269:Y272))</f>
        <v>0</v>
      </c>
      <c r="Z33" s="321">
        <f>SUM('Sales Data'!Z120:Z123)*(SUM('Sales Data'!Z120:Z123)/SUMPRODUCT('Sales Data'!Z120:Z123,'Average Efficacy Data'!Z120:Z123)-SUM('Sales Data'!Z269:Z272)/SUMPRODUCT('Sales Data'!Z269:Z272,'Average Efficacy Data'!Z269:Z272))</f>
        <v>0</v>
      </c>
      <c r="AA33" s="321">
        <f>SUM('Sales Data'!AA120:AA123)*(SUM('Sales Data'!AA120:AA123)/SUMPRODUCT('Sales Data'!AA120:AA123,'Average Efficacy Data'!AA120:AA123)-SUM('Sales Data'!AA269:AA272)/SUMPRODUCT('Sales Data'!AA269:AA272,'Average Efficacy Data'!AA269:AA272))</f>
        <v>0</v>
      </c>
      <c r="AB33" s="321">
        <f>SUM('Sales Data'!AB120:AB123)*(SUM('Sales Data'!AB120:AB123)/SUMPRODUCT('Sales Data'!AB120:AB123,'Average Efficacy Data'!AB120:AB123)-SUM('Sales Data'!AB269:AB272)/SUMPRODUCT('Sales Data'!AB269:AB272,'Average Efficacy Data'!AB269:AB272))</f>
        <v>0</v>
      </c>
      <c r="AC33" s="321">
        <f>SUM('Sales Data'!AC120:AC123)*(SUM('Sales Data'!AC120:AC123)/SUMPRODUCT('Sales Data'!AC120:AC123,'Average Efficacy Data'!AC120:AC123)-SUM('Sales Data'!AC269:AC272)/SUMPRODUCT('Sales Data'!AC269:AC272,'Average Efficacy Data'!AC269:AC272))</f>
        <v>0</v>
      </c>
      <c r="AD33" s="321">
        <f>SUM('Sales Data'!AD120:AD123)*(SUM('Sales Data'!AD120:AD123)/SUMPRODUCT('Sales Data'!AD120:AD123,'Average Efficacy Data'!AD120:AD123)-SUM('Sales Data'!AD269:AD272)/SUMPRODUCT('Sales Data'!AD269:AD272,'Average Efficacy Data'!AD269:AD272))</f>
        <v>0</v>
      </c>
      <c r="AE33" s="321">
        <f>SUM('Sales Data'!AE120:AE123)*(SUM('Sales Data'!AE120:AE123)/SUMPRODUCT('Sales Data'!AE120:AE123,'Average Efficacy Data'!AE120:AE123)-SUM('Sales Data'!AE269:AE272)/SUMPRODUCT('Sales Data'!AE269:AE272,'Average Efficacy Data'!AE269:AE272))</f>
        <v>0</v>
      </c>
      <c r="AF33" s="321">
        <f>SUM('Sales Data'!AF120:AF123)*(SUM('Sales Data'!AF120:AF123)/SUMPRODUCT('Sales Data'!AF120:AF123,'Average Efficacy Data'!AF120:AF123)-SUM('Sales Data'!AF269:AF272)/SUMPRODUCT('Sales Data'!AF269:AF272,'Average Efficacy Data'!AF269:AF272))</f>
        <v>0</v>
      </c>
    </row>
    <row r="34" spans="1:32" ht="14.45" x14ac:dyDescent="0.35">
      <c r="A34" s="840"/>
      <c r="B34" s="838" t="s">
        <v>32</v>
      </c>
      <c r="H34" s="321">
        <f>SUM('Sales Data'!H126:H129)*(SUM('Sales Data'!H126:H129)/SUMPRODUCT('Sales Data'!H126:H129,'Average Efficacy Data'!H126:H129)-SUM('Sales Data'!H275:H278)/SUMPRODUCT('Sales Data'!H275:H278,'Average Efficacy Data'!H275:H278))</f>
        <v>0</v>
      </c>
      <c r="I34" s="321">
        <f>SUM('Sales Data'!I126:I129)*(SUM('Sales Data'!I126:I129)/SUMPRODUCT('Sales Data'!I126:I129,'Average Efficacy Data'!I126:I129)-SUM('Sales Data'!I275:I278)/SUMPRODUCT('Sales Data'!I275:I278,'Average Efficacy Data'!I275:I278))</f>
        <v>0</v>
      </c>
      <c r="J34" s="321">
        <f>SUM('Sales Data'!J126:J129)*(SUM('Sales Data'!J126:J129)/SUMPRODUCT('Sales Data'!J126:J129,'Average Efficacy Data'!J126:J129)-SUM('Sales Data'!J275:J278)/SUMPRODUCT('Sales Data'!J275:J278,'Average Efficacy Data'!J275:J278))</f>
        <v>0</v>
      </c>
      <c r="K34" s="321">
        <f>SUM('Sales Data'!K126:K129)*(SUM('Sales Data'!K126:K129)/SUMPRODUCT('Sales Data'!K126:K129,'Average Efficacy Data'!K126:K129)-SUM('Sales Data'!K275:K278)/SUMPRODUCT('Sales Data'!K275:K278,'Average Efficacy Data'!K275:K278))</f>
        <v>0</v>
      </c>
      <c r="L34" s="321">
        <f>SUM('Sales Data'!L126:L129)*(SUM('Sales Data'!L126:L129)/SUMPRODUCT('Sales Data'!L126:L129,'Average Efficacy Data'!L126:L129)-SUM('Sales Data'!L275:L278)/SUMPRODUCT('Sales Data'!L275:L278,'Average Efficacy Data'!L275:L278))</f>
        <v>0</v>
      </c>
      <c r="M34" s="321">
        <f>SUM('Sales Data'!M126:M129)*(SUM('Sales Data'!M126:M129)/SUMPRODUCT('Sales Data'!M126:M129,'Average Efficacy Data'!M126:M129)-SUM('Sales Data'!M275:M278)/SUMPRODUCT('Sales Data'!M275:M278,'Average Efficacy Data'!M275:M278))</f>
        <v>0</v>
      </c>
      <c r="N34" s="321">
        <f>SUM('Sales Data'!N126:N129)*(SUM('Sales Data'!N126:N129)/SUMPRODUCT('Sales Data'!N126:N129,'Average Efficacy Data'!N126:N129)-SUM('Sales Data'!N275:N278)/SUMPRODUCT('Sales Data'!N275:N278,'Average Efficacy Data'!N275:N278))</f>
        <v>0</v>
      </c>
      <c r="O34" s="321">
        <f>SUM('Sales Data'!O126:O129)*(SUM('Sales Data'!O126:O129)/SUMPRODUCT('Sales Data'!O126:O129,'Average Efficacy Data'!O126:O129)-SUM('Sales Data'!O275:O278)/SUMPRODUCT('Sales Data'!O275:O278,'Average Efficacy Data'!O275:O278))</f>
        <v>0</v>
      </c>
      <c r="P34" s="321">
        <f>SUM('Sales Data'!P126:P129)*(SUM('Sales Data'!P126:P129)/SUMPRODUCT('Sales Data'!P126:P129,'Average Efficacy Data'!P126:P129)-SUM('Sales Data'!P275:P278)/SUMPRODUCT('Sales Data'!P275:P278,'Average Efficacy Data'!P275:P278))</f>
        <v>0</v>
      </c>
      <c r="Q34" s="321">
        <f>SUM('Sales Data'!Q126:Q129)*(SUM('Sales Data'!Q126:Q129)/SUMPRODUCT('Sales Data'!Q126:Q129,'Average Efficacy Data'!Q126:Q129)-SUM('Sales Data'!Q275:Q278)/SUMPRODUCT('Sales Data'!Q275:Q278,'Average Efficacy Data'!Q275:Q278))</f>
        <v>0</v>
      </c>
      <c r="R34" s="321">
        <f>SUM('Sales Data'!R126:R129)*(SUM('Sales Data'!R126:R129)/SUMPRODUCT('Sales Data'!R126:R129,'Average Efficacy Data'!R126:R129)-SUM('Sales Data'!R275:R278)/SUMPRODUCT('Sales Data'!R275:R278,'Average Efficacy Data'!R275:R278))</f>
        <v>0</v>
      </c>
      <c r="S34" s="321">
        <f>SUM('Sales Data'!S126:S129)*(SUM('Sales Data'!S126:S129)/SUMPRODUCT('Sales Data'!S126:S129,'Average Efficacy Data'!S126:S129)-SUM('Sales Data'!S275:S278)/SUMPRODUCT('Sales Data'!S275:S278,'Average Efficacy Data'!S275:S278))</f>
        <v>0</v>
      </c>
      <c r="T34" s="321">
        <f>SUM('Sales Data'!T126:T129)*(SUM('Sales Data'!T126:T129)/SUMPRODUCT('Sales Data'!T126:T129,'Average Efficacy Data'!T126:T129)-SUM('Sales Data'!T275:T278)/SUMPRODUCT('Sales Data'!T275:T278,'Average Efficacy Data'!T275:T278))</f>
        <v>0</v>
      </c>
      <c r="U34" s="321">
        <f>SUM('Sales Data'!U126:U129)*(SUM('Sales Data'!U126:U129)/SUMPRODUCT('Sales Data'!U126:U129,'Average Efficacy Data'!U126:U129)-SUM('Sales Data'!U275:U278)/SUMPRODUCT('Sales Data'!U275:U278,'Average Efficacy Data'!U275:U278))</f>
        <v>0</v>
      </c>
      <c r="V34" s="321">
        <f>SUM('Sales Data'!V126:V129)*(SUM('Sales Data'!V126:V129)/SUMPRODUCT('Sales Data'!V126:V129,'Average Efficacy Data'!V126:V129)-SUM('Sales Data'!V275:V278)/SUMPRODUCT('Sales Data'!V275:V278,'Average Efficacy Data'!V275:V278))</f>
        <v>0</v>
      </c>
      <c r="W34" s="321">
        <f>SUM('Sales Data'!W126:W129)*(SUM('Sales Data'!W126:W129)/SUMPRODUCT('Sales Data'!W126:W129,'Average Efficacy Data'!W126:W129)-SUM('Sales Data'!W275:W278)/SUMPRODUCT('Sales Data'!W275:W278,'Average Efficacy Data'!W275:W278))</f>
        <v>0</v>
      </c>
      <c r="X34" s="321">
        <f>SUM('Sales Data'!X126:X129)*(SUM('Sales Data'!X126:X129)/SUMPRODUCT('Sales Data'!X126:X129,'Average Efficacy Data'!X126:X129)-SUM('Sales Data'!X275:X278)/SUMPRODUCT('Sales Data'!X275:X278,'Average Efficacy Data'!X275:X278))</f>
        <v>0</v>
      </c>
      <c r="Y34" s="321">
        <f>SUM('Sales Data'!Y126:Y129)*(SUM('Sales Data'!Y126:Y129)/SUMPRODUCT('Sales Data'!Y126:Y129,'Average Efficacy Data'!Y126:Y129)-SUM('Sales Data'!Y275:Y278)/SUMPRODUCT('Sales Data'!Y275:Y278,'Average Efficacy Data'!Y275:Y278))</f>
        <v>0</v>
      </c>
      <c r="Z34" s="321">
        <f>SUM('Sales Data'!Z126:Z129)*(SUM('Sales Data'!Z126:Z129)/SUMPRODUCT('Sales Data'!Z126:Z129,'Average Efficacy Data'!Z126:Z129)-SUM('Sales Data'!Z275:Z278)/SUMPRODUCT('Sales Data'!Z275:Z278,'Average Efficacy Data'!Z275:Z278))</f>
        <v>0</v>
      </c>
      <c r="AA34" s="321">
        <f>SUM('Sales Data'!AA126:AA129)*(SUM('Sales Data'!AA126:AA129)/SUMPRODUCT('Sales Data'!AA126:AA129,'Average Efficacy Data'!AA126:AA129)-SUM('Sales Data'!AA275:AA278)/SUMPRODUCT('Sales Data'!AA275:AA278,'Average Efficacy Data'!AA275:AA278))</f>
        <v>0</v>
      </c>
      <c r="AB34" s="321">
        <f>SUM('Sales Data'!AB126:AB129)*(SUM('Sales Data'!AB126:AB129)/SUMPRODUCT('Sales Data'!AB126:AB129,'Average Efficacy Data'!AB126:AB129)-SUM('Sales Data'!AB275:AB278)/SUMPRODUCT('Sales Data'!AB275:AB278,'Average Efficacy Data'!AB275:AB278))</f>
        <v>0</v>
      </c>
      <c r="AC34" s="321">
        <f>SUM('Sales Data'!AC126:AC129)*(SUM('Sales Data'!AC126:AC129)/SUMPRODUCT('Sales Data'!AC126:AC129,'Average Efficacy Data'!AC126:AC129)-SUM('Sales Data'!AC275:AC278)/SUMPRODUCT('Sales Data'!AC275:AC278,'Average Efficacy Data'!AC275:AC278))</f>
        <v>0</v>
      </c>
      <c r="AD34" s="321">
        <f>SUM('Sales Data'!AD126:AD129)*(SUM('Sales Data'!AD126:AD129)/SUMPRODUCT('Sales Data'!AD126:AD129,'Average Efficacy Data'!AD126:AD129)-SUM('Sales Data'!AD275:AD278)/SUMPRODUCT('Sales Data'!AD275:AD278,'Average Efficacy Data'!AD275:AD278))</f>
        <v>0</v>
      </c>
      <c r="AE34" s="321">
        <f>SUM('Sales Data'!AE126:AE129)*(SUM('Sales Data'!AE126:AE129)/SUMPRODUCT('Sales Data'!AE126:AE129,'Average Efficacy Data'!AE126:AE129)-SUM('Sales Data'!AE275:AE278)/SUMPRODUCT('Sales Data'!AE275:AE278,'Average Efficacy Data'!AE275:AE278))</f>
        <v>0</v>
      </c>
      <c r="AF34" s="321">
        <f>SUM('Sales Data'!AF126:AF129)*(SUM('Sales Data'!AF126:AF129)/SUMPRODUCT('Sales Data'!AF126:AF129,'Average Efficacy Data'!AF126:AF129)-SUM('Sales Data'!AF275:AF278)/SUMPRODUCT('Sales Data'!AF275:AF278,'Average Efficacy Data'!AF275:AF278))</f>
        <v>0</v>
      </c>
    </row>
    <row r="35" spans="1:32" x14ac:dyDescent="0.25">
      <c r="A35" s="840"/>
      <c r="B35" s="838" t="s">
        <v>491</v>
      </c>
      <c r="H35" s="321">
        <f>SUM('Sales Data'!H132:H135)*(SUM('Sales Data'!H132:H135)/SUMPRODUCT('Sales Data'!H132:H135,'Average Efficacy Data'!H132:H135)-SUM('Sales Data'!H281:H284)/SUMPRODUCT('Sales Data'!H281:H284,'Average Efficacy Data'!H281:H284))</f>
        <v>0</v>
      </c>
      <c r="I35" s="321">
        <f>SUM('Sales Data'!I132:I135)*(SUM('Sales Data'!I132:I135)/SUMPRODUCT('Sales Data'!I132:I135,'Average Efficacy Data'!I132:I135)-SUM('Sales Data'!I281:I284)/SUMPRODUCT('Sales Data'!I281:I284,'Average Efficacy Data'!I281:I284))</f>
        <v>0</v>
      </c>
      <c r="J35" s="321">
        <f>SUM('Sales Data'!J132:J135)*(SUM('Sales Data'!J132:J135)/SUMPRODUCT('Sales Data'!J132:J135,'Average Efficacy Data'!J132:J135)-SUM('Sales Data'!J281:J284)/SUMPRODUCT('Sales Data'!J281:J284,'Average Efficacy Data'!J281:J284))</f>
        <v>0</v>
      </c>
      <c r="K35" s="321">
        <f>SUM('Sales Data'!K132:K135)*(SUM('Sales Data'!K132:K135)/SUMPRODUCT('Sales Data'!K132:K135,'Average Efficacy Data'!K132:K135)-SUM('Sales Data'!K281:K284)/SUMPRODUCT('Sales Data'!K281:K284,'Average Efficacy Data'!K281:K284))</f>
        <v>0</v>
      </c>
      <c r="L35" s="321">
        <f>SUM('Sales Data'!L132:L135)*(SUM('Sales Data'!L132:L135)/SUMPRODUCT('Sales Data'!L132:L135,'Average Efficacy Data'!L132:L135)-SUM('Sales Data'!L281:L284)/SUMPRODUCT('Sales Data'!L281:L284,'Average Efficacy Data'!L281:L284))</f>
        <v>0</v>
      </c>
      <c r="M35" s="321">
        <f>SUM('Sales Data'!M132:M135)*(SUM('Sales Data'!M132:M135)/SUMPRODUCT('Sales Data'!M132:M135,'Average Efficacy Data'!M132:M135)-SUM('Sales Data'!M281:M284)/SUMPRODUCT('Sales Data'!M281:M284,'Average Efficacy Data'!M281:M284))</f>
        <v>0</v>
      </c>
      <c r="N35" s="321">
        <f>SUM('Sales Data'!N132:N135)*(SUM('Sales Data'!N132:N135)/SUMPRODUCT('Sales Data'!N132:N135,'Average Efficacy Data'!N132:N135)-SUM('Sales Data'!N281:N284)/SUMPRODUCT('Sales Data'!N281:N284,'Average Efficacy Data'!N281:N284))</f>
        <v>0</v>
      </c>
      <c r="O35" s="321">
        <f>SUM('Sales Data'!O132:O135)*(SUM('Sales Data'!O132:O135)/SUMPRODUCT('Sales Data'!O132:O135,'Average Efficacy Data'!O132:O135)-SUM('Sales Data'!O281:O284)/SUMPRODUCT('Sales Data'!O281:O284,'Average Efficacy Data'!O281:O284))</f>
        <v>0</v>
      </c>
      <c r="P35" s="321">
        <f>SUM('Sales Data'!P132:P135)*(SUM('Sales Data'!P132:P135)/SUMPRODUCT('Sales Data'!P132:P135,'Average Efficacy Data'!P132:P135)-SUM('Sales Data'!P281:P284)/SUMPRODUCT('Sales Data'!P281:P284,'Average Efficacy Data'!P281:P284))</f>
        <v>0</v>
      </c>
      <c r="Q35" s="321">
        <f>SUM('Sales Data'!Q132:Q135)*(SUM('Sales Data'!Q132:Q135)/SUMPRODUCT('Sales Data'!Q132:Q135,'Average Efficacy Data'!Q132:Q135)-SUM('Sales Data'!Q281:Q284)/SUMPRODUCT('Sales Data'!Q281:Q284,'Average Efficacy Data'!Q281:Q284))</f>
        <v>0</v>
      </c>
      <c r="R35" s="321">
        <f>SUM('Sales Data'!R132:R135)*(SUM('Sales Data'!R132:R135)/SUMPRODUCT('Sales Data'!R132:R135,'Average Efficacy Data'!R132:R135)-SUM('Sales Data'!R281:R284)/SUMPRODUCT('Sales Data'!R281:R284,'Average Efficacy Data'!R281:R284))</f>
        <v>0</v>
      </c>
      <c r="S35" s="321">
        <f>SUM('Sales Data'!S132:S135)*(SUM('Sales Data'!S132:S135)/SUMPRODUCT('Sales Data'!S132:S135,'Average Efficacy Data'!S132:S135)-SUM('Sales Data'!S281:S284)/SUMPRODUCT('Sales Data'!S281:S284,'Average Efficacy Data'!S281:S284))</f>
        <v>0</v>
      </c>
      <c r="T35" s="321">
        <f>SUM('Sales Data'!T132:T135)*(SUM('Sales Data'!T132:T135)/SUMPRODUCT('Sales Data'!T132:T135,'Average Efficacy Data'!T132:T135)-SUM('Sales Data'!T281:T284)/SUMPRODUCT('Sales Data'!T281:T284,'Average Efficacy Data'!T281:T284))</f>
        <v>0</v>
      </c>
      <c r="U35" s="321">
        <f>SUM('Sales Data'!U132:U135)*(SUM('Sales Data'!U132:U135)/SUMPRODUCT('Sales Data'!U132:U135,'Average Efficacy Data'!U132:U135)-SUM('Sales Data'!U281:U284)/SUMPRODUCT('Sales Data'!U281:U284,'Average Efficacy Data'!U281:U284))</f>
        <v>0</v>
      </c>
      <c r="V35" s="321">
        <f>SUM('Sales Data'!V132:V135)*(SUM('Sales Data'!V132:V135)/SUMPRODUCT('Sales Data'!V132:V135,'Average Efficacy Data'!V132:V135)-SUM('Sales Data'!V281:V284)/SUMPRODUCT('Sales Data'!V281:V284,'Average Efficacy Data'!V281:V284))</f>
        <v>0</v>
      </c>
      <c r="W35" s="321">
        <f>SUM('Sales Data'!W132:W135)*(SUM('Sales Data'!W132:W135)/SUMPRODUCT('Sales Data'!W132:W135,'Average Efficacy Data'!W132:W135)-SUM('Sales Data'!W281:W284)/SUMPRODUCT('Sales Data'!W281:W284,'Average Efficacy Data'!W281:W284))</f>
        <v>0</v>
      </c>
      <c r="X35" s="321">
        <f>SUM('Sales Data'!X132:X135)*(SUM('Sales Data'!X132:X135)/SUMPRODUCT('Sales Data'!X132:X135,'Average Efficacy Data'!X132:X135)-SUM('Sales Data'!X281:X284)/SUMPRODUCT('Sales Data'!X281:X284,'Average Efficacy Data'!X281:X284))</f>
        <v>0</v>
      </c>
      <c r="Y35" s="321">
        <f>SUM('Sales Data'!Y132:Y135)*(SUM('Sales Data'!Y132:Y135)/SUMPRODUCT('Sales Data'!Y132:Y135,'Average Efficacy Data'!Y132:Y135)-SUM('Sales Data'!Y281:Y284)/SUMPRODUCT('Sales Data'!Y281:Y284,'Average Efficacy Data'!Y281:Y284))</f>
        <v>0</v>
      </c>
      <c r="Z35" s="321">
        <f>SUM('Sales Data'!Z132:Z135)*(SUM('Sales Data'!Z132:Z135)/SUMPRODUCT('Sales Data'!Z132:Z135,'Average Efficacy Data'!Z132:Z135)-SUM('Sales Data'!Z281:Z284)/SUMPRODUCT('Sales Data'!Z281:Z284,'Average Efficacy Data'!Z281:Z284))</f>
        <v>0</v>
      </c>
      <c r="AA35" s="321">
        <f>SUM('Sales Data'!AA132:AA135)*(SUM('Sales Data'!AA132:AA135)/SUMPRODUCT('Sales Data'!AA132:AA135,'Average Efficacy Data'!AA132:AA135)-SUM('Sales Data'!AA281:AA284)/SUMPRODUCT('Sales Data'!AA281:AA284,'Average Efficacy Data'!AA281:AA284))</f>
        <v>0</v>
      </c>
      <c r="AB35" s="321">
        <f>SUM('Sales Data'!AB132:AB135)*(SUM('Sales Data'!AB132:AB135)/SUMPRODUCT('Sales Data'!AB132:AB135,'Average Efficacy Data'!AB132:AB135)-SUM('Sales Data'!AB281:AB284)/SUMPRODUCT('Sales Data'!AB281:AB284,'Average Efficacy Data'!AB281:AB284))</f>
        <v>0</v>
      </c>
      <c r="AC35" s="321">
        <f>SUM('Sales Data'!AC132:AC135)*(SUM('Sales Data'!AC132:AC135)/SUMPRODUCT('Sales Data'!AC132:AC135,'Average Efficacy Data'!AC132:AC135)-SUM('Sales Data'!AC281:AC284)/SUMPRODUCT('Sales Data'!AC281:AC284,'Average Efficacy Data'!AC281:AC284))</f>
        <v>0</v>
      </c>
      <c r="AD35" s="321">
        <f>SUM('Sales Data'!AD132:AD135)*(SUM('Sales Data'!AD132:AD135)/SUMPRODUCT('Sales Data'!AD132:AD135,'Average Efficacy Data'!AD132:AD135)-SUM('Sales Data'!AD281:AD284)/SUMPRODUCT('Sales Data'!AD281:AD284,'Average Efficacy Data'!AD281:AD284))</f>
        <v>0</v>
      </c>
      <c r="AE35" s="321">
        <f>SUM('Sales Data'!AE132:AE135)*(SUM('Sales Data'!AE132:AE135)/SUMPRODUCT('Sales Data'!AE132:AE135,'Average Efficacy Data'!AE132:AE135)-SUM('Sales Data'!AE281:AE284)/SUMPRODUCT('Sales Data'!AE281:AE284,'Average Efficacy Data'!AE281:AE284))</f>
        <v>0</v>
      </c>
      <c r="AF35" s="321">
        <f>SUM('Sales Data'!AF132:AF135)*(SUM('Sales Data'!AF132:AF135)/SUMPRODUCT('Sales Data'!AF132:AF135,'Average Efficacy Data'!AF132:AF135)-SUM('Sales Data'!AF281:AF284)/SUMPRODUCT('Sales Data'!AF281:AF284,'Average Efficacy Data'!AF281:AF284))</f>
        <v>0</v>
      </c>
    </row>
    <row r="36" spans="1:32" x14ac:dyDescent="0.25">
      <c r="A36" s="840"/>
      <c r="B36" s="838" t="s">
        <v>42</v>
      </c>
      <c r="H36" s="321">
        <f>SUM('Sales Data'!H138:H142)*(SUM('Sales Data'!H138:H142)/SUMPRODUCT('Sales Data'!H138:H142,'Average Efficacy Data'!H138:H142)-SUM('Sales Data'!H287:H291)/SUMPRODUCT('Sales Data'!H287:H291,'Average Efficacy Data'!H287:H291))</f>
        <v>0</v>
      </c>
      <c r="I36" s="321">
        <f>SUM('Sales Data'!I138:I142)*(SUM('Sales Data'!I138:I142)/SUMPRODUCT('Sales Data'!I138:I142,'Average Efficacy Data'!I138:I142)-SUM('Sales Data'!I287:I291)/SUMPRODUCT('Sales Data'!I287:I291,'Average Efficacy Data'!I287:I291))</f>
        <v>0</v>
      </c>
      <c r="J36" s="321">
        <f>SUM('Sales Data'!J138:J142)*(SUM('Sales Data'!J138:J142)/SUMPRODUCT('Sales Data'!J138:J142,'Average Efficacy Data'!J138:J142)-SUM('Sales Data'!J287:J291)/SUMPRODUCT('Sales Data'!J287:J291,'Average Efficacy Data'!J287:J291))</f>
        <v>0</v>
      </c>
      <c r="K36" s="321">
        <f>SUM('Sales Data'!K138:K142)*(SUM('Sales Data'!K138:K142)/SUMPRODUCT('Sales Data'!K138:K142,'Average Efficacy Data'!K138:K142)-SUM('Sales Data'!K287:K291)/SUMPRODUCT('Sales Data'!K287:K291,'Average Efficacy Data'!K287:K291))</f>
        <v>0</v>
      </c>
      <c r="L36" s="321">
        <f>SUM('Sales Data'!L138:L142)*(SUM('Sales Data'!L138:L142)/SUMPRODUCT('Sales Data'!L138:L142,'Average Efficacy Data'!L138:L142)-SUM('Sales Data'!L287:L291)/SUMPRODUCT('Sales Data'!L287:L291,'Average Efficacy Data'!L287:L291))</f>
        <v>0</v>
      </c>
      <c r="M36" s="321">
        <f>SUM('Sales Data'!M138:M142)*(SUM('Sales Data'!M138:M142)/SUMPRODUCT('Sales Data'!M138:M142,'Average Efficacy Data'!M138:M142)-SUM('Sales Data'!M287:M291)/SUMPRODUCT('Sales Data'!M287:M291,'Average Efficacy Data'!M287:M291))</f>
        <v>0</v>
      </c>
      <c r="N36" s="321">
        <f>SUM('Sales Data'!N138:N142)*(SUM('Sales Data'!N138:N142)/SUMPRODUCT('Sales Data'!N138:N142,'Average Efficacy Data'!N138:N142)-SUM('Sales Data'!N287:N291)/SUMPRODUCT('Sales Data'!N287:N291,'Average Efficacy Data'!N287:N291))</f>
        <v>0</v>
      </c>
      <c r="O36" s="321">
        <f>SUM('Sales Data'!O138:O142)*(SUM('Sales Data'!O138:O142)/SUMPRODUCT('Sales Data'!O138:O142,'Average Efficacy Data'!O138:O142)-SUM('Sales Data'!O287:O291)/SUMPRODUCT('Sales Data'!O287:O291,'Average Efficacy Data'!O287:O291))</f>
        <v>0</v>
      </c>
      <c r="P36" s="321">
        <f>SUM('Sales Data'!P138:P142)*(SUM('Sales Data'!P138:P142)/SUMPRODUCT('Sales Data'!P138:P142,'Average Efficacy Data'!P138:P142)-SUM('Sales Data'!P287:P291)/SUMPRODUCT('Sales Data'!P287:P291,'Average Efficacy Data'!P287:P291))</f>
        <v>0</v>
      </c>
      <c r="Q36" s="321">
        <f>SUM('Sales Data'!Q138:Q142)*(SUM('Sales Data'!Q138:Q142)/SUMPRODUCT('Sales Data'!Q138:Q142,'Average Efficacy Data'!Q138:Q142)-SUM('Sales Data'!Q287:Q291)/SUMPRODUCT('Sales Data'!Q287:Q291,'Average Efficacy Data'!Q287:Q291))</f>
        <v>0</v>
      </c>
      <c r="R36" s="321">
        <f>SUM('Sales Data'!R138:R142)*(SUM('Sales Data'!R138:R142)/SUMPRODUCT('Sales Data'!R138:R142,'Average Efficacy Data'!R138:R142)-SUM('Sales Data'!R287:R291)/SUMPRODUCT('Sales Data'!R287:R291,'Average Efficacy Data'!R287:R291))</f>
        <v>0</v>
      </c>
      <c r="S36" s="321">
        <f>SUM('Sales Data'!S138:S142)*(SUM('Sales Data'!S138:S142)/SUMPRODUCT('Sales Data'!S138:S142,'Average Efficacy Data'!S138:S142)-SUM('Sales Data'!S287:S291)/SUMPRODUCT('Sales Data'!S287:S291,'Average Efficacy Data'!S287:S291))</f>
        <v>0</v>
      </c>
      <c r="T36" s="321">
        <f>SUM('Sales Data'!T138:T142)*(SUM('Sales Data'!T138:T142)/SUMPRODUCT('Sales Data'!T138:T142,'Average Efficacy Data'!T138:T142)-SUM('Sales Data'!T287:T291)/SUMPRODUCT('Sales Data'!T287:T291,'Average Efficacy Data'!T287:T291))</f>
        <v>0</v>
      </c>
      <c r="U36" s="321">
        <f>SUM('Sales Data'!U138:U142)*(SUM('Sales Data'!U138:U142)/SUMPRODUCT('Sales Data'!U138:U142,'Average Efficacy Data'!U138:U142)-SUM('Sales Data'!U287:U291)/SUMPRODUCT('Sales Data'!U287:U291,'Average Efficacy Data'!U287:U291))</f>
        <v>0</v>
      </c>
      <c r="V36" s="321">
        <f>SUM('Sales Data'!V138:V142)*(SUM('Sales Data'!V138:V142)/SUMPRODUCT('Sales Data'!V138:V142,'Average Efficacy Data'!V138:V142)-SUM('Sales Data'!V287:V291)/SUMPRODUCT('Sales Data'!V287:V291,'Average Efficacy Data'!V287:V291))</f>
        <v>0</v>
      </c>
      <c r="W36" s="321">
        <f>SUM('Sales Data'!W138:W142)*(SUM('Sales Data'!W138:W142)/SUMPRODUCT('Sales Data'!W138:W142,'Average Efficacy Data'!W138:W142)-SUM('Sales Data'!W287:W291)/SUMPRODUCT('Sales Data'!W287:W291,'Average Efficacy Data'!W287:W291))</f>
        <v>0</v>
      </c>
      <c r="X36" s="321">
        <f>SUM('Sales Data'!X138:X142)*(SUM('Sales Data'!X138:X142)/SUMPRODUCT('Sales Data'!X138:X142,'Average Efficacy Data'!X138:X142)-SUM('Sales Data'!X287:X291)/SUMPRODUCT('Sales Data'!X287:X291,'Average Efficacy Data'!X287:X291))</f>
        <v>0</v>
      </c>
      <c r="Y36" s="321">
        <f>SUM('Sales Data'!Y138:Y142)*(SUM('Sales Data'!Y138:Y142)/SUMPRODUCT('Sales Data'!Y138:Y142,'Average Efficacy Data'!Y138:Y142)-SUM('Sales Data'!Y287:Y291)/SUMPRODUCT('Sales Data'!Y287:Y291,'Average Efficacy Data'!Y287:Y291))</f>
        <v>0</v>
      </c>
      <c r="Z36" s="321">
        <f>SUM('Sales Data'!Z138:Z142)*(SUM('Sales Data'!Z138:Z142)/SUMPRODUCT('Sales Data'!Z138:Z142,'Average Efficacy Data'!Z138:Z142)-SUM('Sales Data'!Z287:Z291)/SUMPRODUCT('Sales Data'!Z287:Z291,'Average Efficacy Data'!Z287:Z291))</f>
        <v>0</v>
      </c>
      <c r="AA36" s="321">
        <f>SUM('Sales Data'!AA138:AA142)*(SUM('Sales Data'!AA138:AA142)/SUMPRODUCT('Sales Data'!AA138:AA142,'Average Efficacy Data'!AA138:AA142)-SUM('Sales Data'!AA287:AA291)/SUMPRODUCT('Sales Data'!AA287:AA291,'Average Efficacy Data'!AA287:AA291))</f>
        <v>0</v>
      </c>
      <c r="AB36" s="321">
        <f>SUM('Sales Data'!AB138:AB142)*(SUM('Sales Data'!AB138:AB142)/SUMPRODUCT('Sales Data'!AB138:AB142,'Average Efficacy Data'!AB138:AB142)-SUM('Sales Data'!AB287:AB291)/SUMPRODUCT('Sales Data'!AB287:AB291,'Average Efficacy Data'!AB287:AB291))</f>
        <v>0</v>
      </c>
      <c r="AC36" s="321">
        <f>SUM('Sales Data'!AC138:AC142)*(SUM('Sales Data'!AC138:AC142)/SUMPRODUCT('Sales Data'!AC138:AC142,'Average Efficacy Data'!AC138:AC142)-SUM('Sales Data'!AC287:AC291)/SUMPRODUCT('Sales Data'!AC287:AC291,'Average Efficacy Data'!AC287:AC291))</f>
        <v>0</v>
      </c>
      <c r="AD36" s="321">
        <f>SUM('Sales Data'!AD138:AD142)*(SUM('Sales Data'!AD138:AD142)/SUMPRODUCT('Sales Data'!AD138:AD142,'Average Efficacy Data'!AD138:AD142)-SUM('Sales Data'!AD287:AD291)/SUMPRODUCT('Sales Data'!AD287:AD291,'Average Efficacy Data'!AD287:AD291))</f>
        <v>0</v>
      </c>
      <c r="AE36" s="321">
        <f>SUM('Sales Data'!AE138:AE142)*(SUM('Sales Data'!AE138:AE142)/SUMPRODUCT('Sales Data'!AE138:AE142,'Average Efficacy Data'!AE138:AE142)-SUM('Sales Data'!AE287:AE291)/SUMPRODUCT('Sales Data'!AE287:AE291,'Average Efficacy Data'!AE287:AE291))</f>
        <v>0</v>
      </c>
      <c r="AF36" s="321">
        <f>SUM('Sales Data'!AF138:AF142)*(SUM('Sales Data'!AF138:AF142)/SUMPRODUCT('Sales Data'!AF138:AF142,'Average Efficacy Data'!AF138:AF142)-SUM('Sales Data'!AF287:AF291)/SUMPRODUCT('Sales Data'!AF287:AF291,'Average Efficacy Data'!AF287:AF291))</f>
        <v>0</v>
      </c>
    </row>
    <row r="37" spans="1:32" x14ac:dyDescent="0.25">
      <c r="A37" s="840"/>
      <c r="B37" s="838" t="s">
        <v>47</v>
      </c>
      <c r="H37" s="321">
        <f>SUM('Sales Data'!H145:H150)*(SUM('Sales Data'!H145:H150)/SUMPRODUCT('Sales Data'!H145:H150,'Average Efficacy Data'!H145:H150)-SUM('Sales Data'!H294:H299)/SUMPRODUCT('Sales Data'!H294:H299,'Average Efficacy Data'!H294:H299))</f>
        <v>0</v>
      </c>
      <c r="I37" s="321">
        <f>SUM('Sales Data'!I145:I150)*(SUM('Sales Data'!I145:I150)/SUMPRODUCT('Sales Data'!I145:I150,'Average Efficacy Data'!I145:I150)-SUM('Sales Data'!I294:I299)/SUMPRODUCT('Sales Data'!I294:I299,'Average Efficacy Data'!I294:I299))</f>
        <v>0</v>
      </c>
      <c r="J37" s="321">
        <f>SUM('Sales Data'!J145:J150)*(SUM('Sales Data'!J145:J150)/SUMPRODUCT('Sales Data'!J145:J150,'Average Efficacy Data'!J145:J150)-SUM('Sales Data'!J294:J299)/SUMPRODUCT('Sales Data'!J294:J299,'Average Efficacy Data'!J294:J299))</f>
        <v>0</v>
      </c>
      <c r="K37" s="321">
        <f>SUM('Sales Data'!K145:K150)*(SUM('Sales Data'!K145:K150)/SUMPRODUCT('Sales Data'!K145:K150,'Average Efficacy Data'!K145:K150)-SUM('Sales Data'!K294:K299)/SUMPRODUCT('Sales Data'!K294:K299,'Average Efficacy Data'!K294:K299))</f>
        <v>0</v>
      </c>
      <c r="L37" s="321">
        <f>SUM('Sales Data'!L145:L150)*(SUM('Sales Data'!L145:L150)/SUMPRODUCT('Sales Data'!L145:L150,'Average Efficacy Data'!L145:L150)-SUM('Sales Data'!L294:L299)/SUMPRODUCT('Sales Data'!L294:L299,'Average Efficacy Data'!L294:L299))</f>
        <v>0</v>
      </c>
      <c r="M37" s="321">
        <f>SUM('Sales Data'!M145:M150)*(SUM('Sales Data'!M145:M150)/SUMPRODUCT('Sales Data'!M145:M150,'Average Efficacy Data'!M145:M150)-SUM('Sales Data'!M294:M299)/SUMPRODUCT('Sales Data'!M294:M299,'Average Efficacy Data'!M294:M299))</f>
        <v>0</v>
      </c>
      <c r="N37" s="321">
        <f>SUM('Sales Data'!N145:N150)*(SUM('Sales Data'!N145:N150)/SUMPRODUCT('Sales Data'!N145:N150,'Average Efficacy Data'!N145:N150)-SUM('Sales Data'!N294:N299)/SUMPRODUCT('Sales Data'!N294:N299,'Average Efficacy Data'!N294:N299))</f>
        <v>0</v>
      </c>
      <c r="O37" s="321">
        <f>SUM('Sales Data'!O145:O150)*(SUM('Sales Data'!O145:O150)/SUMPRODUCT('Sales Data'!O145:O150,'Average Efficacy Data'!O145:O150)-SUM('Sales Data'!O294:O299)/SUMPRODUCT('Sales Data'!O294:O299,'Average Efficacy Data'!O294:O299))</f>
        <v>0</v>
      </c>
      <c r="P37" s="321">
        <f>SUM('Sales Data'!P145:P150)*(SUM('Sales Data'!P145:P150)/SUMPRODUCT('Sales Data'!P145:P150,'Average Efficacy Data'!P145:P150)-SUM('Sales Data'!P294:P299)/SUMPRODUCT('Sales Data'!P294:P299,'Average Efficacy Data'!P294:P299))</f>
        <v>0</v>
      </c>
      <c r="Q37" s="321">
        <f>SUM('Sales Data'!Q145:Q150)*(SUM('Sales Data'!Q145:Q150)/SUMPRODUCT('Sales Data'!Q145:Q150,'Average Efficacy Data'!Q145:Q150)-SUM('Sales Data'!Q294:Q299)/SUMPRODUCT('Sales Data'!Q294:Q299,'Average Efficacy Data'!Q294:Q299))</f>
        <v>0</v>
      </c>
      <c r="R37" s="321">
        <f>SUM('Sales Data'!R145:R150)*(SUM('Sales Data'!R145:R150)/SUMPRODUCT('Sales Data'!R145:R150,'Average Efficacy Data'!R145:R150)-SUM('Sales Data'!R294:R299)/SUMPRODUCT('Sales Data'!R294:R299,'Average Efficacy Data'!R294:R299))</f>
        <v>0</v>
      </c>
      <c r="S37" s="321">
        <f>SUM('Sales Data'!S145:S150)*(SUM('Sales Data'!S145:S150)/SUMPRODUCT('Sales Data'!S145:S150,'Average Efficacy Data'!S145:S150)-SUM('Sales Data'!S294:S299)/SUMPRODUCT('Sales Data'!S294:S299,'Average Efficacy Data'!S294:S299))</f>
        <v>0</v>
      </c>
      <c r="T37" s="321">
        <f>SUM('Sales Data'!T145:T150)*(SUM('Sales Data'!T145:T150)/SUMPRODUCT('Sales Data'!T145:T150,'Average Efficacy Data'!T145:T150)-SUM('Sales Data'!T294:T299)/SUMPRODUCT('Sales Data'!T294:T299,'Average Efficacy Data'!T294:T299))</f>
        <v>0</v>
      </c>
      <c r="U37" s="321">
        <f>SUM('Sales Data'!U145:U150)*(SUM('Sales Data'!U145:U150)/SUMPRODUCT('Sales Data'!U145:U150,'Average Efficacy Data'!U145:U150)-SUM('Sales Data'!U294:U299)/SUMPRODUCT('Sales Data'!U294:U299,'Average Efficacy Data'!U294:U299))</f>
        <v>0</v>
      </c>
      <c r="V37" s="321">
        <f>SUM('Sales Data'!V145:V150)*(SUM('Sales Data'!V145:V150)/SUMPRODUCT('Sales Data'!V145:V150,'Average Efficacy Data'!V145:V150)-SUM('Sales Data'!V294:V299)/SUMPRODUCT('Sales Data'!V294:V299,'Average Efficacy Data'!V294:V299))</f>
        <v>0</v>
      </c>
      <c r="W37" s="321">
        <f>SUM('Sales Data'!W145:W150)*(SUM('Sales Data'!W145:W150)/SUMPRODUCT('Sales Data'!W145:W150,'Average Efficacy Data'!W145:W150)-SUM('Sales Data'!W294:W299)/SUMPRODUCT('Sales Data'!W294:W299,'Average Efficacy Data'!W294:W299))</f>
        <v>0</v>
      </c>
      <c r="X37" s="321">
        <f>SUM('Sales Data'!X145:X150)*(SUM('Sales Data'!X145:X150)/SUMPRODUCT('Sales Data'!X145:X150,'Average Efficacy Data'!X145:X150)-SUM('Sales Data'!X294:X299)/SUMPRODUCT('Sales Data'!X294:X299,'Average Efficacy Data'!X294:X299))</f>
        <v>0</v>
      </c>
      <c r="Y37" s="321">
        <f>SUM('Sales Data'!Y145:Y150)*(SUM('Sales Data'!Y145:Y150)/SUMPRODUCT('Sales Data'!Y145:Y150,'Average Efficacy Data'!Y145:Y150)-SUM('Sales Data'!Y294:Y299)/SUMPRODUCT('Sales Data'!Y294:Y299,'Average Efficacy Data'!Y294:Y299))</f>
        <v>0</v>
      </c>
      <c r="Z37" s="321">
        <f>SUM('Sales Data'!Z145:Z150)*(SUM('Sales Data'!Z145:Z150)/SUMPRODUCT('Sales Data'!Z145:Z150,'Average Efficacy Data'!Z145:Z150)-SUM('Sales Data'!Z294:Z299)/SUMPRODUCT('Sales Data'!Z294:Z299,'Average Efficacy Data'!Z294:Z299))</f>
        <v>0</v>
      </c>
      <c r="AA37" s="321">
        <f>SUM('Sales Data'!AA145:AA150)*(SUM('Sales Data'!AA145:AA150)/SUMPRODUCT('Sales Data'!AA145:AA150,'Average Efficacy Data'!AA145:AA150)-SUM('Sales Data'!AA294:AA299)/SUMPRODUCT('Sales Data'!AA294:AA299,'Average Efficacy Data'!AA294:AA299))</f>
        <v>0</v>
      </c>
      <c r="AB37" s="321">
        <f>SUM('Sales Data'!AB145:AB150)*(SUM('Sales Data'!AB145:AB150)/SUMPRODUCT('Sales Data'!AB145:AB150,'Average Efficacy Data'!AB145:AB150)-SUM('Sales Data'!AB294:AB299)/SUMPRODUCT('Sales Data'!AB294:AB299,'Average Efficacy Data'!AB294:AB299))</f>
        <v>0</v>
      </c>
      <c r="AC37" s="321">
        <f>SUM('Sales Data'!AC145:AC150)*(SUM('Sales Data'!AC145:AC150)/SUMPRODUCT('Sales Data'!AC145:AC150,'Average Efficacy Data'!AC145:AC150)-SUM('Sales Data'!AC294:AC299)/SUMPRODUCT('Sales Data'!AC294:AC299,'Average Efficacy Data'!AC294:AC299))</f>
        <v>0</v>
      </c>
      <c r="AD37" s="321">
        <f>SUM('Sales Data'!AD145:AD150)*(SUM('Sales Data'!AD145:AD150)/SUMPRODUCT('Sales Data'!AD145:AD150,'Average Efficacy Data'!AD145:AD150)-SUM('Sales Data'!AD294:AD299)/SUMPRODUCT('Sales Data'!AD294:AD299,'Average Efficacy Data'!AD294:AD299))</f>
        <v>0</v>
      </c>
      <c r="AE37" s="321">
        <f>SUM('Sales Data'!AE145:AE150)*(SUM('Sales Data'!AE145:AE150)/SUMPRODUCT('Sales Data'!AE145:AE150,'Average Efficacy Data'!AE145:AE150)-SUM('Sales Data'!AE294:AE299)/SUMPRODUCT('Sales Data'!AE294:AE299,'Average Efficacy Data'!AE294:AE299))</f>
        <v>0</v>
      </c>
      <c r="AF37" s="321">
        <f>SUM('Sales Data'!AF145:AF150)*(SUM('Sales Data'!AF145:AF150)/SUMPRODUCT('Sales Data'!AF145:AF150,'Average Efficacy Data'!AF145:AF150)-SUM('Sales Data'!AF294:AF299)/SUMPRODUCT('Sales Data'!AF294:AF299,'Average Efficacy Data'!AF294:AF299))</f>
        <v>0</v>
      </c>
    </row>
    <row r="38" spans="1:32" x14ac:dyDescent="0.25">
      <c r="H38" s="321"/>
      <c r="I38" s="321"/>
      <c r="J38" s="321"/>
      <c r="K38" s="321"/>
      <c r="L38" s="321"/>
      <c r="M38" s="321"/>
      <c r="N38" s="321"/>
      <c r="O38" s="321"/>
      <c r="P38" s="321"/>
      <c r="Q38" s="321"/>
      <c r="R38" s="321"/>
      <c r="S38" s="321"/>
      <c r="T38" s="321"/>
      <c r="U38" s="321"/>
      <c r="V38" s="321"/>
      <c r="W38" s="321"/>
      <c r="X38" s="321"/>
      <c r="Y38" s="321"/>
      <c r="Z38" s="321"/>
      <c r="AA38" s="321"/>
      <c r="AB38" s="321"/>
      <c r="AC38" s="321"/>
      <c r="AD38" s="321"/>
      <c r="AE38" s="321"/>
      <c r="AF38" s="321"/>
    </row>
    <row r="39" spans="1:32" x14ac:dyDescent="0.25">
      <c r="H39" s="321"/>
      <c r="I39" s="321"/>
      <c r="J39" s="321"/>
      <c r="K39" s="321"/>
      <c r="L39" s="321"/>
      <c r="M39" s="321"/>
      <c r="N39" s="321"/>
      <c r="O39" s="321"/>
      <c r="P39" s="321"/>
      <c r="Q39" s="321"/>
      <c r="R39" s="321"/>
      <c r="S39" s="321"/>
      <c r="T39" s="321"/>
      <c r="U39" s="321"/>
      <c r="V39" s="321"/>
      <c r="W39" s="321"/>
      <c r="X39" s="321"/>
      <c r="Y39" s="321"/>
      <c r="Z39" s="321"/>
      <c r="AA39" s="321"/>
      <c r="AB39" s="321"/>
      <c r="AC39" s="321"/>
      <c r="AD39" s="321"/>
      <c r="AE39" s="321"/>
      <c r="AF39" s="321"/>
    </row>
    <row r="40" spans="1:32" x14ac:dyDescent="0.25">
      <c r="A40" s="897" t="s">
        <v>711</v>
      </c>
      <c r="B40" s="898"/>
      <c r="C40" s="897"/>
      <c r="D40" s="896"/>
      <c r="E40" s="896"/>
      <c r="F40" s="896"/>
      <c r="G40" s="896"/>
      <c r="H40" s="981"/>
      <c r="I40" s="981"/>
      <c r="J40" s="981"/>
      <c r="K40" s="981"/>
      <c r="L40" s="981"/>
      <c r="M40" s="981"/>
      <c r="N40" s="981"/>
      <c r="O40" s="981"/>
      <c r="P40" s="981"/>
      <c r="Q40" s="981"/>
      <c r="R40" s="981"/>
      <c r="S40" s="981"/>
      <c r="T40" s="981"/>
      <c r="U40" s="981"/>
      <c r="V40" s="981"/>
      <c r="W40" s="981"/>
      <c r="X40" s="981"/>
      <c r="Y40" s="981"/>
      <c r="Z40" s="981"/>
      <c r="AA40" s="981"/>
      <c r="AB40" s="981"/>
      <c r="AC40" s="981"/>
      <c r="AD40" s="981"/>
      <c r="AE40" s="981"/>
      <c r="AF40" s="981"/>
    </row>
    <row r="41" spans="1:32" x14ac:dyDescent="0.25">
      <c r="A41" s="860" t="s">
        <v>55</v>
      </c>
      <c r="B41" s="861"/>
      <c r="C41" s="860"/>
      <c r="D41" s="859"/>
      <c r="E41" s="859"/>
      <c r="F41" s="859"/>
      <c r="G41" s="859"/>
      <c r="H41" s="980"/>
      <c r="I41" s="980"/>
      <c r="J41" s="980"/>
      <c r="K41" s="980"/>
      <c r="L41" s="980"/>
      <c r="M41" s="980"/>
      <c r="N41" s="980"/>
      <c r="O41" s="980"/>
      <c r="P41" s="980"/>
      <c r="Q41" s="980"/>
      <c r="R41" s="980"/>
      <c r="S41" s="980"/>
      <c r="T41" s="980"/>
      <c r="U41" s="980"/>
      <c r="V41" s="980"/>
      <c r="W41" s="980"/>
      <c r="X41" s="980"/>
      <c r="Y41" s="980"/>
      <c r="Z41" s="980"/>
      <c r="AA41" s="980"/>
      <c r="AB41" s="980"/>
      <c r="AC41" s="980"/>
      <c r="AD41" s="980"/>
      <c r="AE41" s="980"/>
      <c r="AF41" s="980"/>
    </row>
    <row r="42" spans="1:32" x14ac:dyDescent="0.25">
      <c r="A42" s="840" t="s">
        <v>12</v>
      </c>
      <c r="B42" s="839"/>
      <c r="H42" s="321"/>
      <c r="I42" s="321"/>
      <c r="J42" s="321"/>
      <c r="K42" s="321"/>
      <c r="L42" s="321"/>
      <c r="M42" s="321"/>
      <c r="N42" s="321"/>
      <c r="O42" s="321"/>
      <c r="P42" s="321"/>
      <c r="Q42" s="321"/>
      <c r="R42" s="321"/>
      <c r="S42" s="321"/>
      <c r="T42" s="321"/>
      <c r="U42" s="321"/>
      <c r="V42" s="321"/>
      <c r="W42" s="321"/>
      <c r="X42" s="321"/>
      <c r="Y42" s="321"/>
      <c r="Z42" s="321"/>
      <c r="AA42" s="321"/>
      <c r="AB42" s="321"/>
      <c r="AC42" s="321"/>
      <c r="AD42" s="321"/>
      <c r="AE42" s="321"/>
      <c r="AF42" s="321"/>
    </row>
    <row r="43" spans="1:32" x14ac:dyDescent="0.25">
      <c r="A43" s="840"/>
      <c r="B43" s="838" t="s">
        <v>504</v>
      </c>
      <c r="H43" s="321">
        <f t="array" ref="H43:AF71">IF(ISNUMBER(H9:AF37),H9:AF37*1000000*Busbar/(365*24),"")</f>
        <v>0</v>
      </c>
      <c r="I43" s="321">
        <v>0</v>
      </c>
      <c r="J43" s="321">
        <v>0</v>
      </c>
      <c r="K43" s="321">
        <v>0</v>
      </c>
      <c r="L43" s="321">
        <v>0</v>
      </c>
      <c r="M43" s="321">
        <v>0</v>
      </c>
      <c r="N43" s="321">
        <v>0</v>
      </c>
      <c r="O43" s="321">
        <v>0</v>
      </c>
      <c r="P43" s="321">
        <v>0</v>
      </c>
      <c r="Q43" s="321">
        <v>0</v>
      </c>
      <c r="R43" s="321">
        <v>0</v>
      </c>
      <c r="S43" s="321">
        <v>0</v>
      </c>
      <c r="T43" s="321">
        <v>0</v>
      </c>
      <c r="U43" s="321">
        <v>0</v>
      </c>
      <c r="V43" s="321">
        <v>0</v>
      </c>
      <c r="W43" s="321">
        <v>0</v>
      </c>
      <c r="X43" s="321">
        <v>0</v>
      </c>
      <c r="Y43" s="321">
        <v>0</v>
      </c>
      <c r="Z43" s="321">
        <v>0</v>
      </c>
      <c r="AA43" s="321">
        <v>0</v>
      </c>
      <c r="AB43" s="321">
        <v>0</v>
      </c>
      <c r="AC43" s="321">
        <v>0</v>
      </c>
      <c r="AD43" s="321">
        <v>0</v>
      </c>
      <c r="AE43" s="321">
        <v>0</v>
      </c>
      <c r="AF43" s="321">
        <v>0</v>
      </c>
    </row>
    <row r="44" spans="1:32" x14ac:dyDescent="0.25">
      <c r="A44" s="840"/>
      <c r="B44" s="838" t="s">
        <v>32</v>
      </c>
      <c r="H44" s="321">
        <v>0</v>
      </c>
      <c r="I44" s="321">
        <v>0</v>
      </c>
      <c r="J44" s="321">
        <v>0</v>
      </c>
      <c r="K44" s="321">
        <v>0</v>
      </c>
      <c r="L44" s="321">
        <v>0</v>
      </c>
      <c r="M44" s="321">
        <v>0</v>
      </c>
      <c r="N44" s="321">
        <v>0</v>
      </c>
      <c r="O44" s="321">
        <v>0</v>
      </c>
      <c r="P44" s="321">
        <v>0</v>
      </c>
      <c r="Q44" s="321">
        <v>0</v>
      </c>
      <c r="R44" s="321">
        <v>0</v>
      </c>
      <c r="S44" s="321">
        <v>0</v>
      </c>
      <c r="T44" s="321">
        <v>0</v>
      </c>
      <c r="U44" s="321">
        <v>0</v>
      </c>
      <c r="V44" s="321">
        <v>0</v>
      </c>
      <c r="W44" s="321">
        <v>0</v>
      </c>
      <c r="X44" s="321">
        <v>0</v>
      </c>
      <c r="Y44" s="321">
        <v>0</v>
      </c>
      <c r="Z44" s="321">
        <v>0</v>
      </c>
      <c r="AA44" s="321">
        <v>0</v>
      </c>
      <c r="AB44" s="321">
        <v>0</v>
      </c>
      <c r="AC44" s="321">
        <v>0</v>
      </c>
      <c r="AD44" s="321">
        <v>0</v>
      </c>
      <c r="AE44" s="321">
        <v>0</v>
      </c>
      <c r="AF44" s="321">
        <v>0</v>
      </c>
    </row>
    <row r="45" spans="1:32" x14ac:dyDescent="0.25">
      <c r="A45" s="840"/>
      <c r="B45" s="838" t="s">
        <v>491</v>
      </c>
      <c r="H45" s="321">
        <v>0</v>
      </c>
      <c r="I45" s="321">
        <v>0</v>
      </c>
      <c r="J45" s="321">
        <v>0</v>
      </c>
      <c r="K45" s="321">
        <v>0</v>
      </c>
      <c r="L45" s="321">
        <v>0</v>
      </c>
      <c r="M45" s="321">
        <v>0</v>
      </c>
      <c r="N45" s="321">
        <v>0</v>
      </c>
      <c r="O45" s="321">
        <v>0</v>
      </c>
      <c r="P45" s="321">
        <v>0</v>
      </c>
      <c r="Q45" s="321">
        <v>0</v>
      </c>
      <c r="R45" s="321">
        <v>0</v>
      </c>
      <c r="S45" s="321">
        <v>0</v>
      </c>
      <c r="T45" s="321">
        <v>0</v>
      </c>
      <c r="U45" s="321">
        <v>0</v>
      </c>
      <c r="V45" s="321">
        <v>0</v>
      </c>
      <c r="W45" s="321">
        <v>0</v>
      </c>
      <c r="X45" s="321">
        <v>0</v>
      </c>
      <c r="Y45" s="321">
        <v>0</v>
      </c>
      <c r="Z45" s="321">
        <v>0</v>
      </c>
      <c r="AA45" s="321">
        <v>0</v>
      </c>
      <c r="AB45" s="321">
        <v>0</v>
      </c>
      <c r="AC45" s="321">
        <v>0</v>
      </c>
      <c r="AD45" s="321">
        <v>0</v>
      </c>
      <c r="AE45" s="321">
        <v>0</v>
      </c>
      <c r="AF45" s="321">
        <v>0</v>
      </c>
    </row>
    <row r="46" spans="1:32" x14ac:dyDescent="0.25">
      <c r="A46" s="840"/>
      <c r="B46" s="838" t="s">
        <v>42</v>
      </c>
      <c r="H46" s="321">
        <v>0</v>
      </c>
      <c r="I46" s="321">
        <v>0</v>
      </c>
      <c r="J46" s="321">
        <v>0</v>
      </c>
      <c r="K46" s="321">
        <v>0</v>
      </c>
      <c r="L46" s="321">
        <v>0</v>
      </c>
      <c r="M46" s="321">
        <v>0</v>
      </c>
      <c r="N46" s="321">
        <v>0</v>
      </c>
      <c r="O46" s="321">
        <v>0</v>
      </c>
      <c r="P46" s="321">
        <v>0</v>
      </c>
      <c r="Q46" s="321">
        <v>0</v>
      </c>
      <c r="R46" s="321">
        <v>0</v>
      </c>
      <c r="S46" s="321">
        <v>0</v>
      </c>
      <c r="T46" s="321">
        <v>0</v>
      </c>
      <c r="U46" s="321">
        <v>0</v>
      </c>
      <c r="V46" s="321">
        <v>0</v>
      </c>
      <c r="W46" s="321">
        <v>0</v>
      </c>
      <c r="X46" s="321">
        <v>0</v>
      </c>
      <c r="Y46" s="321">
        <v>0</v>
      </c>
      <c r="Z46" s="321">
        <v>0</v>
      </c>
      <c r="AA46" s="321">
        <v>0</v>
      </c>
      <c r="AB46" s="321">
        <v>0</v>
      </c>
      <c r="AC46" s="321">
        <v>0</v>
      </c>
      <c r="AD46" s="321">
        <v>0</v>
      </c>
      <c r="AE46" s="321">
        <v>0</v>
      </c>
      <c r="AF46" s="321">
        <v>0</v>
      </c>
    </row>
    <row r="47" spans="1:32" x14ac:dyDescent="0.25">
      <c r="A47" s="840"/>
      <c r="B47" s="838" t="s">
        <v>47</v>
      </c>
      <c r="H47" s="321">
        <v>0</v>
      </c>
      <c r="I47" s="321">
        <v>0</v>
      </c>
      <c r="J47" s="321">
        <v>0</v>
      </c>
      <c r="K47" s="321">
        <v>0</v>
      </c>
      <c r="L47" s="321">
        <v>0</v>
      </c>
      <c r="M47" s="321">
        <v>0</v>
      </c>
      <c r="N47" s="321">
        <v>0</v>
      </c>
      <c r="O47" s="321">
        <v>0</v>
      </c>
      <c r="P47" s="321">
        <v>0</v>
      </c>
      <c r="Q47" s="321">
        <v>0</v>
      </c>
      <c r="R47" s="321">
        <v>0</v>
      </c>
      <c r="S47" s="321">
        <v>0</v>
      </c>
      <c r="T47" s="321">
        <v>0</v>
      </c>
      <c r="U47" s="321">
        <v>0</v>
      </c>
      <c r="V47" s="321">
        <v>0</v>
      </c>
      <c r="W47" s="321">
        <v>0</v>
      </c>
      <c r="X47" s="321">
        <v>0</v>
      </c>
      <c r="Y47" s="321">
        <v>0</v>
      </c>
      <c r="Z47" s="321">
        <v>0</v>
      </c>
      <c r="AA47" s="321">
        <v>0</v>
      </c>
      <c r="AB47" s="321">
        <v>0</v>
      </c>
      <c r="AC47" s="321">
        <v>0</v>
      </c>
      <c r="AD47" s="321">
        <v>0</v>
      </c>
      <c r="AE47" s="321">
        <v>0</v>
      </c>
      <c r="AF47" s="321">
        <v>0</v>
      </c>
    </row>
    <row r="48" spans="1:32" x14ac:dyDescent="0.25">
      <c r="H48" s="321" t="str">
        <v/>
      </c>
      <c r="I48" s="321" t="str">
        <v/>
      </c>
      <c r="J48" s="321" t="str">
        <v/>
      </c>
      <c r="K48" s="321" t="str">
        <v/>
      </c>
      <c r="L48" s="321" t="str">
        <v/>
      </c>
      <c r="M48" s="321" t="str">
        <v/>
      </c>
      <c r="N48" s="321" t="str">
        <v/>
      </c>
      <c r="O48" s="321" t="str">
        <v/>
      </c>
      <c r="P48" s="321" t="str">
        <v/>
      </c>
      <c r="Q48" s="321" t="str">
        <v/>
      </c>
      <c r="R48" s="321" t="str">
        <v/>
      </c>
      <c r="S48" s="321" t="str">
        <v/>
      </c>
      <c r="T48" s="321" t="str">
        <v/>
      </c>
      <c r="U48" s="321" t="str">
        <v/>
      </c>
      <c r="V48" s="321" t="str">
        <v/>
      </c>
      <c r="W48" s="321" t="str">
        <v/>
      </c>
      <c r="X48" s="321" t="str">
        <v/>
      </c>
      <c r="Y48" s="321" t="str">
        <v/>
      </c>
      <c r="Z48" s="321" t="str">
        <v/>
      </c>
      <c r="AA48" s="321" t="str">
        <v/>
      </c>
      <c r="AB48" s="321" t="str">
        <v/>
      </c>
      <c r="AC48" s="321" t="str">
        <v/>
      </c>
      <c r="AD48" s="321" t="str">
        <v/>
      </c>
      <c r="AE48" s="321" t="str">
        <v/>
      </c>
      <c r="AF48" s="321" t="str">
        <v/>
      </c>
    </row>
    <row r="49" spans="1:32" x14ac:dyDescent="0.25">
      <c r="A49" s="860" t="s">
        <v>56</v>
      </c>
      <c r="B49" s="861"/>
      <c r="C49" s="860"/>
      <c r="D49" s="859"/>
      <c r="E49" s="859"/>
      <c r="F49" s="859"/>
      <c r="G49" s="859"/>
      <c r="H49" s="980" t="str">
        <v/>
      </c>
      <c r="I49" s="980" t="str">
        <v/>
      </c>
      <c r="J49" s="980" t="str">
        <v/>
      </c>
      <c r="K49" s="980" t="str">
        <v/>
      </c>
      <c r="L49" s="980" t="str">
        <v/>
      </c>
      <c r="M49" s="980" t="str">
        <v/>
      </c>
      <c r="N49" s="980" t="str">
        <v/>
      </c>
      <c r="O49" s="980" t="str">
        <v/>
      </c>
      <c r="P49" s="980" t="str">
        <v/>
      </c>
      <c r="Q49" s="980" t="str">
        <v/>
      </c>
      <c r="R49" s="980" t="str">
        <v/>
      </c>
      <c r="S49" s="980" t="str">
        <v/>
      </c>
      <c r="T49" s="980" t="str">
        <v/>
      </c>
      <c r="U49" s="980" t="str">
        <v/>
      </c>
      <c r="V49" s="980" t="str">
        <v/>
      </c>
      <c r="W49" s="980" t="str">
        <v/>
      </c>
      <c r="X49" s="980" t="str">
        <v/>
      </c>
      <c r="Y49" s="980" t="str">
        <v/>
      </c>
      <c r="Z49" s="980" t="str">
        <v/>
      </c>
      <c r="AA49" s="980" t="str">
        <v/>
      </c>
      <c r="AB49" s="980" t="str">
        <v/>
      </c>
      <c r="AC49" s="980" t="str">
        <v/>
      </c>
      <c r="AD49" s="980" t="str">
        <v/>
      </c>
      <c r="AE49" s="980" t="str">
        <v/>
      </c>
      <c r="AF49" s="980" t="str">
        <v/>
      </c>
    </row>
    <row r="50" spans="1:32" x14ac:dyDescent="0.25">
      <c r="A50" s="840" t="s">
        <v>12</v>
      </c>
      <c r="B50" s="839"/>
      <c r="H50" s="321" t="str">
        <v/>
      </c>
      <c r="I50" s="321" t="str">
        <v/>
      </c>
      <c r="J50" s="321" t="str">
        <v/>
      </c>
      <c r="K50" s="321" t="str">
        <v/>
      </c>
      <c r="L50" s="321" t="str">
        <v/>
      </c>
      <c r="M50" s="321" t="str">
        <v/>
      </c>
      <c r="N50" s="321" t="str">
        <v/>
      </c>
      <c r="O50" s="321" t="str">
        <v/>
      </c>
      <c r="P50" s="321" t="str">
        <v/>
      </c>
      <c r="Q50" s="321" t="str">
        <v/>
      </c>
      <c r="R50" s="321" t="str">
        <v/>
      </c>
      <c r="S50" s="321" t="str">
        <v/>
      </c>
      <c r="T50" s="321" t="str">
        <v/>
      </c>
      <c r="U50" s="321" t="str">
        <v/>
      </c>
      <c r="V50" s="321" t="str">
        <v/>
      </c>
      <c r="W50" s="321" t="str">
        <v/>
      </c>
      <c r="X50" s="321" t="str">
        <v/>
      </c>
      <c r="Y50" s="321" t="str">
        <v/>
      </c>
      <c r="Z50" s="321" t="str">
        <v/>
      </c>
      <c r="AA50" s="321" t="str">
        <v/>
      </c>
      <c r="AB50" s="321" t="str">
        <v/>
      </c>
      <c r="AC50" s="321" t="str">
        <v/>
      </c>
      <c r="AD50" s="321" t="str">
        <v/>
      </c>
      <c r="AE50" s="321" t="str">
        <v/>
      </c>
      <c r="AF50" s="321" t="str">
        <v/>
      </c>
    </row>
    <row r="51" spans="1:32" x14ac:dyDescent="0.25">
      <c r="A51" s="840"/>
      <c r="B51" s="838" t="s">
        <v>504</v>
      </c>
      <c r="H51" s="321">
        <v>0</v>
      </c>
      <c r="I51" s="321">
        <v>0</v>
      </c>
      <c r="J51" s="321">
        <v>0</v>
      </c>
      <c r="K51" s="321">
        <v>0</v>
      </c>
      <c r="L51" s="321">
        <v>0</v>
      </c>
      <c r="M51" s="321">
        <v>0</v>
      </c>
      <c r="N51" s="321">
        <v>0</v>
      </c>
      <c r="O51" s="321">
        <v>0</v>
      </c>
      <c r="P51" s="321">
        <v>0</v>
      </c>
      <c r="Q51" s="321">
        <v>0</v>
      </c>
      <c r="R51" s="321">
        <v>0</v>
      </c>
      <c r="S51" s="321">
        <v>0</v>
      </c>
      <c r="T51" s="321">
        <v>0</v>
      </c>
      <c r="U51" s="321">
        <v>0</v>
      </c>
      <c r="V51" s="321">
        <v>0</v>
      </c>
      <c r="W51" s="321">
        <v>0</v>
      </c>
      <c r="X51" s="321">
        <v>0</v>
      </c>
      <c r="Y51" s="321">
        <v>0</v>
      </c>
      <c r="Z51" s="321">
        <v>0</v>
      </c>
      <c r="AA51" s="321">
        <v>0</v>
      </c>
      <c r="AB51" s="321">
        <v>0</v>
      </c>
      <c r="AC51" s="321">
        <v>0</v>
      </c>
      <c r="AD51" s="321">
        <v>0</v>
      </c>
      <c r="AE51" s="321">
        <v>0</v>
      </c>
      <c r="AF51" s="321">
        <v>0</v>
      </c>
    </row>
    <row r="52" spans="1:32" x14ac:dyDescent="0.25">
      <c r="A52" s="840"/>
      <c r="B52" s="838" t="s">
        <v>32</v>
      </c>
      <c r="H52" s="321">
        <v>0</v>
      </c>
      <c r="I52" s="321">
        <v>0</v>
      </c>
      <c r="J52" s="321">
        <v>0</v>
      </c>
      <c r="K52" s="321">
        <v>0</v>
      </c>
      <c r="L52" s="321">
        <v>0</v>
      </c>
      <c r="M52" s="321">
        <v>0</v>
      </c>
      <c r="N52" s="321">
        <v>0</v>
      </c>
      <c r="O52" s="321">
        <v>0</v>
      </c>
      <c r="P52" s="321">
        <v>0</v>
      </c>
      <c r="Q52" s="321">
        <v>0</v>
      </c>
      <c r="R52" s="321">
        <v>0</v>
      </c>
      <c r="S52" s="321">
        <v>0</v>
      </c>
      <c r="T52" s="321">
        <v>0</v>
      </c>
      <c r="U52" s="321">
        <v>0</v>
      </c>
      <c r="V52" s="321">
        <v>0</v>
      </c>
      <c r="W52" s="321">
        <v>0</v>
      </c>
      <c r="X52" s="321">
        <v>0</v>
      </c>
      <c r="Y52" s="321">
        <v>0</v>
      </c>
      <c r="Z52" s="321">
        <v>0</v>
      </c>
      <c r="AA52" s="321">
        <v>0</v>
      </c>
      <c r="AB52" s="321">
        <v>0</v>
      </c>
      <c r="AC52" s="321">
        <v>0</v>
      </c>
      <c r="AD52" s="321">
        <v>0</v>
      </c>
      <c r="AE52" s="321">
        <v>0</v>
      </c>
      <c r="AF52" s="321">
        <v>0</v>
      </c>
    </row>
    <row r="53" spans="1:32" x14ac:dyDescent="0.25">
      <c r="A53" s="840"/>
      <c r="B53" s="838" t="s">
        <v>491</v>
      </c>
      <c r="H53" s="321">
        <v>0</v>
      </c>
      <c r="I53" s="321">
        <v>0</v>
      </c>
      <c r="J53" s="321">
        <v>0</v>
      </c>
      <c r="K53" s="321">
        <v>0</v>
      </c>
      <c r="L53" s="321">
        <v>0</v>
      </c>
      <c r="M53" s="321">
        <v>0</v>
      </c>
      <c r="N53" s="321">
        <v>0</v>
      </c>
      <c r="O53" s="321">
        <v>0</v>
      </c>
      <c r="P53" s="321">
        <v>0</v>
      </c>
      <c r="Q53" s="321">
        <v>0</v>
      </c>
      <c r="R53" s="321">
        <v>0</v>
      </c>
      <c r="S53" s="321">
        <v>0</v>
      </c>
      <c r="T53" s="321">
        <v>0</v>
      </c>
      <c r="U53" s="321">
        <v>0</v>
      </c>
      <c r="V53" s="321">
        <v>0</v>
      </c>
      <c r="W53" s="321">
        <v>0</v>
      </c>
      <c r="X53" s="321">
        <v>0</v>
      </c>
      <c r="Y53" s="321">
        <v>0</v>
      </c>
      <c r="Z53" s="321">
        <v>0</v>
      </c>
      <c r="AA53" s="321">
        <v>0</v>
      </c>
      <c r="AB53" s="321">
        <v>0</v>
      </c>
      <c r="AC53" s="321">
        <v>0</v>
      </c>
      <c r="AD53" s="321">
        <v>0</v>
      </c>
      <c r="AE53" s="321">
        <v>0</v>
      </c>
      <c r="AF53" s="321">
        <v>0</v>
      </c>
    </row>
    <row r="54" spans="1:32" x14ac:dyDescent="0.25">
      <c r="A54" s="840"/>
      <c r="B54" s="838" t="s">
        <v>42</v>
      </c>
      <c r="H54" s="321">
        <v>0</v>
      </c>
      <c r="I54" s="321">
        <v>0</v>
      </c>
      <c r="J54" s="321">
        <v>0</v>
      </c>
      <c r="K54" s="321">
        <v>0</v>
      </c>
      <c r="L54" s="321">
        <v>0</v>
      </c>
      <c r="M54" s="321">
        <v>0</v>
      </c>
      <c r="N54" s="321">
        <v>0</v>
      </c>
      <c r="O54" s="321">
        <v>0</v>
      </c>
      <c r="P54" s="321">
        <v>0</v>
      </c>
      <c r="Q54" s="321">
        <v>0</v>
      </c>
      <c r="R54" s="321">
        <v>0</v>
      </c>
      <c r="S54" s="321">
        <v>0</v>
      </c>
      <c r="T54" s="321">
        <v>0</v>
      </c>
      <c r="U54" s="321">
        <v>0</v>
      </c>
      <c r="V54" s="321">
        <v>0</v>
      </c>
      <c r="W54" s="321">
        <v>0</v>
      </c>
      <c r="X54" s="321">
        <v>0</v>
      </c>
      <c r="Y54" s="321">
        <v>0</v>
      </c>
      <c r="Z54" s="321">
        <v>0</v>
      </c>
      <c r="AA54" s="321">
        <v>0</v>
      </c>
      <c r="AB54" s="321">
        <v>0</v>
      </c>
      <c r="AC54" s="321">
        <v>0</v>
      </c>
      <c r="AD54" s="321">
        <v>0</v>
      </c>
      <c r="AE54" s="321">
        <v>0</v>
      </c>
      <c r="AF54" s="321">
        <v>0</v>
      </c>
    </row>
    <row r="55" spans="1:32" x14ac:dyDescent="0.25">
      <c r="A55" s="840"/>
      <c r="B55" s="838" t="s">
        <v>47</v>
      </c>
      <c r="H55" s="321">
        <v>0</v>
      </c>
      <c r="I55" s="321">
        <v>0</v>
      </c>
      <c r="J55" s="321">
        <v>0</v>
      </c>
      <c r="K55" s="321">
        <v>0</v>
      </c>
      <c r="L55" s="321">
        <v>0</v>
      </c>
      <c r="M55" s="321">
        <v>0</v>
      </c>
      <c r="N55" s="321">
        <v>0</v>
      </c>
      <c r="O55" s="321">
        <v>0</v>
      </c>
      <c r="P55" s="321">
        <v>0</v>
      </c>
      <c r="Q55" s="321">
        <v>0</v>
      </c>
      <c r="R55" s="321">
        <v>0</v>
      </c>
      <c r="S55" s="321">
        <v>0</v>
      </c>
      <c r="T55" s="321">
        <v>0</v>
      </c>
      <c r="U55" s="321">
        <v>0</v>
      </c>
      <c r="V55" s="321">
        <v>0</v>
      </c>
      <c r="W55" s="321">
        <v>0</v>
      </c>
      <c r="X55" s="321">
        <v>0</v>
      </c>
      <c r="Y55" s="321">
        <v>0</v>
      </c>
      <c r="Z55" s="321">
        <v>0</v>
      </c>
      <c r="AA55" s="321">
        <v>0</v>
      </c>
      <c r="AB55" s="321">
        <v>0</v>
      </c>
      <c r="AC55" s="321">
        <v>0</v>
      </c>
      <c r="AD55" s="321">
        <v>0</v>
      </c>
      <c r="AE55" s="321">
        <v>0</v>
      </c>
      <c r="AF55" s="321">
        <v>0</v>
      </c>
    </row>
    <row r="56" spans="1:32" x14ac:dyDescent="0.25">
      <c r="H56" s="321" t="str">
        <v/>
      </c>
      <c r="I56" s="321" t="str">
        <v/>
      </c>
      <c r="J56" s="321" t="str">
        <v/>
      </c>
      <c r="K56" s="321" t="str">
        <v/>
      </c>
      <c r="L56" s="321" t="str">
        <v/>
      </c>
      <c r="M56" s="321" t="str">
        <v/>
      </c>
      <c r="N56" s="321" t="str">
        <v/>
      </c>
      <c r="O56" s="321" t="str">
        <v/>
      </c>
      <c r="P56" s="321" t="str">
        <v/>
      </c>
      <c r="Q56" s="321" t="str">
        <v/>
      </c>
      <c r="R56" s="321" t="str">
        <v/>
      </c>
      <c r="S56" s="321" t="str">
        <v/>
      </c>
      <c r="T56" s="321" t="str">
        <v/>
      </c>
      <c r="U56" s="321" t="str">
        <v/>
      </c>
      <c r="V56" s="321" t="str">
        <v/>
      </c>
      <c r="W56" s="321" t="str">
        <v/>
      </c>
      <c r="X56" s="321" t="str">
        <v/>
      </c>
      <c r="Y56" s="321" t="str">
        <v/>
      </c>
      <c r="Z56" s="321" t="str">
        <v/>
      </c>
      <c r="AA56" s="321" t="str">
        <v/>
      </c>
      <c r="AB56" s="321" t="str">
        <v/>
      </c>
      <c r="AC56" s="321" t="str">
        <v/>
      </c>
      <c r="AD56" s="321" t="str">
        <v/>
      </c>
      <c r="AE56" s="321" t="str">
        <v/>
      </c>
      <c r="AF56" s="321" t="str">
        <v/>
      </c>
    </row>
    <row r="57" spans="1:32" x14ac:dyDescent="0.25">
      <c r="A57" s="860" t="s">
        <v>57</v>
      </c>
      <c r="B57" s="861"/>
      <c r="C57" s="860"/>
      <c r="D57" s="859"/>
      <c r="E57" s="859"/>
      <c r="F57" s="859"/>
      <c r="G57" s="859"/>
      <c r="H57" s="980" t="str">
        <v/>
      </c>
      <c r="I57" s="980" t="str">
        <v/>
      </c>
      <c r="J57" s="980" t="str">
        <v/>
      </c>
      <c r="K57" s="980" t="str">
        <v/>
      </c>
      <c r="L57" s="980" t="str">
        <v/>
      </c>
      <c r="M57" s="980" t="str">
        <v/>
      </c>
      <c r="N57" s="980" t="str">
        <v/>
      </c>
      <c r="O57" s="980" t="str">
        <v/>
      </c>
      <c r="P57" s="980" t="str">
        <v/>
      </c>
      <c r="Q57" s="980" t="str">
        <v/>
      </c>
      <c r="R57" s="980" t="str">
        <v/>
      </c>
      <c r="S57" s="980" t="str">
        <v/>
      </c>
      <c r="T57" s="980" t="str">
        <v/>
      </c>
      <c r="U57" s="980" t="str">
        <v/>
      </c>
      <c r="V57" s="980" t="str">
        <v/>
      </c>
      <c r="W57" s="980" t="str">
        <v/>
      </c>
      <c r="X57" s="980" t="str">
        <v/>
      </c>
      <c r="Y57" s="980" t="str">
        <v/>
      </c>
      <c r="Z57" s="980" t="str">
        <v/>
      </c>
      <c r="AA57" s="980" t="str">
        <v/>
      </c>
      <c r="AB57" s="980" t="str">
        <v/>
      </c>
      <c r="AC57" s="980" t="str">
        <v/>
      </c>
      <c r="AD57" s="980" t="str">
        <v/>
      </c>
      <c r="AE57" s="980" t="str">
        <v/>
      </c>
      <c r="AF57" s="980" t="str">
        <v/>
      </c>
    </row>
    <row r="58" spans="1:32" x14ac:dyDescent="0.25">
      <c r="A58" s="840" t="s">
        <v>12</v>
      </c>
      <c r="B58" s="839"/>
      <c r="H58" s="321" t="str">
        <v/>
      </c>
      <c r="I58" s="321" t="str">
        <v/>
      </c>
      <c r="J58" s="321" t="str">
        <v/>
      </c>
      <c r="K58" s="321" t="str">
        <v/>
      </c>
      <c r="L58" s="321" t="str">
        <v/>
      </c>
      <c r="M58" s="321" t="str">
        <v/>
      </c>
      <c r="N58" s="321" t="str">
        <v/>
      </c>
      <c r="O58" s="321" t="str">
        <v/>
      </c>
      <c r="P58" s="321" t="str">
        <v/>
      </c>
      <c r="Q58" s="321" t="str">
        <v/>
      </c>
      <c r="R58" s="321" t="str">
        <v/>
      </c>
      <c r="S58" s="321" t="str">
        <v/>
      </c>
      <c r="T58" s="321" t="str">
        <v/>
      </c>
      <c r="U58" s="321" t="str">
        <v/>
      </c>
      <c r="V58" s="321" t="str">
        <v/>
      </c>
      <c r="W58" s="321" t="str">
        <v/>
      </c>
      <c r="X58" s="321" t="str">
        <v/>
      </c>
      <c r="Y58" s="321" t="str">
        <v/>
      </c>
      <c r="Z58" s="321" t="str">
        <v/>
      </c>
      <c r="AA58" s="321" t="str">
        <v/>
      </c>
      <c r="AB58" s="321" t="str">
        <v/>
      </c>
      <c r="AC58" s="321" t="str">
        <v/>
      </c>
      <c r="AD58" s="321" t="str">
        <v/>
      </c>
      <c r="AE58" s="321" t="str">
        <v/>
      </c>
      <c r="AF58" s="321" t="str">
        <v/>
      </c>
    </row>
    <row r="59" spans="1:32" x14ac:dyDescent="0.25">
      <c r="A59" s="840"/>
      <c r="B59" s="838" t="s">
        <v>504</v>
      </c>
      <c r="H59" s="321">
        <v>0</v>
      </c>
      <c r="I59" s="321">
        <v>0</v>
      </c>
      <c r="J59" s="321">
        <v>0</v>
      </c>
      <c r="K59" s="321">
        <v>0</v>
      </c>
      <c r="L59" s="321">
        <v>0</v>
      </c>
      <c r="M59" s="321">
        <v>0</v>
      </c>
      <c r="N59" s="321">
        <v>0</v>
      </c>
      <c r="O59" s="321">
        <v>0</v>
      </c>
      <c r="P59" s="321">
        <v>0</v>
      </c>
      <c r="Q59" s="321">
        <v>0</v>
      </c>
      <c r="R59" s="321">
        <v>0</v>
      </c>
      <c r="S59" s="321">
        <v>0</v>
      </c>
      <c r="T59" s="321">
        <v>0</v>
      </c>
      <c r="U59" s="321">
        <v>0</v>
      </c>
      <c r="V59" s="321">
        <v>0</v>
      </c>
      <c r="W59" s="321">
        <v>0</v>
      </c>
      <c r="X59" s="321">
        <v>0</v>
      </c>
      <c r="Y59" s="321">
        <v>0</v>
      </c>
      <c r="Z59" s="321">
        <v>0</v>
      </c>
      <c r="AA59" s="321">
        <v>0</v>
      </c>
      <c r="AB59" s="321">
        <v>0</v>
      </c>
      <c r="AC59" s="321">
        <v>0</v>
      </c>
      <c r="AD59" s="321">
        <v>0</v>
      </c>
      <c r="AE59" s="321">
        <v>0</v>
      </c>
      <c r="AF59" s="321">
        <v>0</v>
      </c>
    </row>
    <row r="60" spans="1:32" x14ac:dyDescent="0.25">
      <c r="A60" s="840"/>
      <c r="B60" s="838" t="s">
        <v>32</v>
      </c>
      <c r="H60" s="321">
        <v>0</v>
      </c>
      <c r="I60" s="321">
        <v>0</v>
      </c>
      <c r="J60" s="321">
        <v>0</v>
      </c>
      <c r="K60" s="321">
        <v>0</v>
      </c>
      <c r="L60" s="321">
        <v>0</v>
      </c>
      <c r="M60" s="321">
        <v>0</v>
      </c>
      <c r="N60" s="321">
        <v>0</v>
      </c>
      <c r="O60" s="321">
        <v>0</v>
      </c>
      <c r="P60" s="321">
        <v>0</v>
      </c>
      <c r="Q60" s="321">
        <v>0</v>
      </c>
      <c r="R60" s="321">
        <v>0</v>
      </c>
      <c r="S60" s="321">
        <v>0</v>
      </c>
      <c r="T60" s="321">
        <v>0</v>
      </c>
      <c r="U60" s="321">
        <v>0</v>
      </c>
      <c r="V60" s="321">
        <v>0</v>
      </c>
      <c r="W60" s="321">
        <v>0</v>
      </c>
      <c r="X60" s="321">
        <v>0</v>
      </c>
      <c r="Y60" s="321">
        <v>0</v>
      </c>
      <c r="Z60" s="321">
        <v>0</v>
      </c>
      <c r="AA60" s="321">
        <v>0</v>
      </c>
      <c r="AB60" s="321">
        <v>0</v>
      </c>
      <c r="AC60" s="321">
        <v>0</v>
      </c>
      <c r="AD60" s="321">
        <v>0</v>
      </c>
      <c r="AE60" s="321">
        <v>0</v>
      </c>
      <c r="AF60" s="321">
        <v>0</v>
      </c>
    </row>
    <row r="61" spans="1:32" x14ac:dyDescent="0.25">
      <c r="A61" s="840"/>
      <c r="B61" s="838" t="s">
        <v>491</v>
      </c>
      <c r="H61" s="321">
        <v>0</v>
      </c>
      <c r="I61" s="321">
        <v>0</v>
      </c>
      <c r="J61" s="321">
        <v>0</v>
      </c>
      <c r="K61" s="321">
        <v>0</v>
      </c>
      <c r="L61" s="321">
        <v>0</v>
      </c>
      <c r="M61" s="321">
        <v>0</v>
      </c>
      <c r="N61" s="321">
        <v>0</v>
      </c>
      <c r="O61" s="321">
        <v>0</v>
      </c>
      <c r="P61" s="321">
        <v>0</v>
      </c>
      <c r="Q61" s="321">
        <v>0</v>
      </c>
      <c r="R61" s="321">
        <v>0</v>
      </c>
      <c r="S61" s="321">
        <v>0</v>
      </c>
      <c r="T61" s="321">
        <v>0</v>
      </c>
      <c r="U61" s="321">
        <v>0</v>
      </c>
      <c r="V61" s="321">
        <v>0</v>
      </c>
      <c r="W61" s="321">
        <v>0</v>
      </c>
      <c r="X61" s="321">
        <v>0</v>
      </c>
      <c r="Y61" s="321">
        <v>0</v>
      </c>
      <c r="Z61" s="321">
        <v>0</v>
      </c>
      <c r="AA61" s="321">
        <v>0</v>
      </c>
      <c r="AB61" s="321">
        <v>0</v>
      </c>
      <c r="AC61" s="321">
        <v>0</v>
      </c>
      <c r="AD61" s="321">
        <v>0</v>
      </c>
      <c r="AE61" s="321">
        <v>0</v>
      </c>
      <c r="AF61" s="321">
        <v>0</v>
      </c>
    </row>
    <row r="62" spans="1:32" x14ac:dyDescent="0.25">
      <c r="A62" s="840"/>
      <c r="B62" s="838" t="s">
        <v>42</v>
      </c>
      <c r="H62" s="321">
        <v>0</v>
      </c>
      <c r="I62" s="321">
        <v>0</v>
      </c>
      <c r="J62" s="321">
        <v>0</v>
      </c>
      <c r="K62" s="321">
        <v>0</v>
      </c>
      <c r="L62" s="321">
        <v>0</v>
      </c>
      <c r="M62" s="321">
        <v>0</v>
      </c>
      <c r="N62" s="321">
        <v>0</v>
      </c>
      <c r="O62" s="321">
        <v>0</v>
      </c>
      <c r="P62" s="321">
        <v>0</v>
      </c>
      <c r="Q62" s="321">
        <v>0</v>
      </c>
      <c r="R62" s="321">
        <v>0</v>
      </c>
      <c r="S62" s="321">
        <v>0</v>
      </c>
      <c r="T62" s="321">
        <v>0</v>
      </c>
      <c r="U62" s="321">
        <v>0</v>
      </c>
      <c r="V62" s="321">
        <v>0</v>
      </c>
      <c r="W62" s="321">
        <v>0</v>
      </c>
      <c r="X62" s="321">
        <v>0</v>
      </c>
      <c r="Y62" s="321">
        <v>0</v>
      </c>
      <c r="Z62" s="321">
        <v>0</v>
      </c>
      <c r="AA62" s="321">
        <v>0</v>
      </c>
      <c r="AB62" s="321">
        <v>0</v>
      </c>
      <c r="AC62" s="321">
        <v>0</v>
      </c>
      <c r="AD62" s="321">
        <v>0</v>
      </c>
      <c r="AE62" s="321">
        <v>0</v>
      </c>
      <c r="AF62" s="321">
        <v>0</v>
      </c>
    </row>
    <row r="63" spans="1:32" x14ac:dyDescent="0.25">
      <c r="A63" s="840"/>
      <c r="B63" s="838" t="s">
        <v>47</v>
      </c>
      <c r="H63" s="321">
        <v>0</v>
      </c>
      <c r="I63" s="321">
        <v>0</v>
      </c>
      <c r="J63" s="321">
        <v>0</v>
      </c>
      <c r="K63" s="321">
        <v>0</v>
      </c>
      <c r="L63" s="321">
        <v>0</v>
      </c>
      <c r="M63" s="321">
        <v>0</v>
      </c>
      <c r="N63" s="321">
        <v>0</v>
      </c>
      <c r="O63" s="321">
        <v>0</v>
      </c>
      <c r="P63" s="321">
        <v>0</v>
      </c>
      <c r="Q63" s="321">
        <v>0</v>
      </c>
      <c r="R63" s="321">
        <v>0</v>
      </c>
      <c r="S63" s="321">
        <v>0</v>
      </c>
      <c r="T63" s="321">
        <v>0</v>
      </c>
      <c r="U63" s="321">
        <v>0</v>
      </c>
      <c r="V63" s="321">
        <v>0</v>
      </c>
      <c r="W63" s="321">
        <v>0</v>
      </c>
      <c r="X63" s="321">
        <v>0</v>
      </c>
      <c r="Y63" s="321">
        <v>0</v>
      </c>
      <c r="Z63" s="321">
        <v>0</v>
      </c>
      <c r="AA63" s="321">
        <v>0</v>
      </c>
      <c r="AB63" s="321">
        <v>0</v>
      </c>
      <c r="AC63" s="321">
        <v>0</v>
      </c>
      <c r="AD63" s="321">
        <v>0</v>
      </c>
      <c r="AE63" s="321">
        <v>0</v>
      </c>
      <c r="AF63" s="321">
        <v>0</v>
      </c>
    </row>
    <row r="64" spans="1:32" x14ac:dyDescent="0.25">
      <c r="H64" s="321" t="str">
        <v/>
      </c>
      <c r="I64" s="321" t="str">
        <v/>
      </c>
      <c r="J64" s="321" t="str">
        <v/>
      </c>
      <c r="K64" s="321" t="str">
        <v/>
      </c>
      <c r="L64" s="321" t="str">
        <v/>
      </c>
      <c r="M64" s="321" t="str">
        <v/>
      </c>
      <c r="N64" s="321" t="str">
        <v/>
      </c>
      <c r="O64" s="321" t="str">
        <v/>
      </c>
      <c r="P64" s="321" t="str">
        <v/>
      </c>
      <c r="Q64" s="321" t="str">
        <v/>
      </c>
      <c r="R64" s="321" t="str">
        <v/>
      </c>
      <c r="S64" s="321" t="str">
        <v/>
      </c>
      <c r="T64" s="321" t="str">
        <v/>
      </c>
      <c r="U64" s="321" t="str">
        <v/>
      </c>
      <c r="V64" s="321" t="str">
        <v/>
      </c>
      <c r="W64" s="321" t="str">
        <v/>
      </c>
      <c r="X64" s="321" t="str">
        <v/>
      </c>
      <c r="Y64" s="321" t="str">
        <v/>
      </c>
      <c r="Z64" s="321" t="str">
        <v/>
      </c>
      <c r="AA64" s="321" t="str">
        <v/>
      </c>
      <c r="AB64" s="321" t="str">
        <v/>
      </c>
      <c r="AC64" s="321" t="str">
        <v/>
      </c>
      <c r="AD64" s="321" t="str">
        <v/>
      </c>
      <c r="AE64" s="321" t="str">
        <v/>
      </c>
      <c r="AF64" s="321" t="str">
        <v/>
      </c>
    </row>
    <row r="65" spans="1:32" x14ac:dyDescent="0.25">
      <c r="A65" s="860" t="s">
        <v>54</v>
      </c>
      <c r="B65" s="861"/>
      <c r="C65" s="860"/>
      <c r="D65" s="859"/>
      <c r="E65" s="859"/>
      <c r="F65" s="859"/>
      <c r="G65" s="859"/>
      <c r="H65" s="980" t="str">
        <v/>
      </c>
      <c r="I65" s="980" t="str">
        <v/>
      </c>
      <c r="J65" s="980" t="str">
        <v/>
      </c>
      <c r="K65" s="980" t="str">
        <v/>
      </c>
      <c r="L65" s="980" t="str">
        <v/>
      </c>
      <c r="M65" s="980" t="str">
        <v/>
      </c>
      <c r="N65" s="980" t="str">
        <v/>
      </c>
      <c r="O65" s="980" t="str">
        <v/>
      </c>
      <c r="P65" s="980" t="str">
        <v/>
      </c>
      <c r="Q65" s="980" t="str">
        <v/>
      </c>
      <c r="R65" s="980" t="str">
        <v/>
      </c>
      <c r="S65" s="980" t="str">
        <v/>
      </c>
      <c r="T65" s="980" t="str">
        <v/>
      </c>
      <c r="U65" s="980" t="str">
        <v/>
      </c>
      <c r="V65" s="980" t="str">
        <v/>
      </c>
      <c r="W65" s="980" t="str">
        <v/>
      </c>
      <c r="X65" s="980" t="str">
        <v/>
      </c>
      <c r="Y65" s="980" t="str">
        <v/>
      </c>
      <c r="Z65" s="980" t="str">
        <v/>
      </c>
      <c r="AA65" s="980" t="str">
        <v/>
      </c>
      <c r="AB65" s="980" t="str">
        <v/>
      </c>
      <c r="AC65" s="980" t="str">
        <v/>
      </c>
      <c r="AD65" s="980" t="str">
        <v/>
      </c>
      <c r="AE65" s="980" t="str">
        <v/>
      </c>
      <c r="AF65" s="980" t="str">
        <v/>
      </c>
    </row>
    <row r="66" spans="1:32" x14ac:dyDescent="0.25">
      <c r="A66" s="840" t="s">
        <v>12</v>
      </c>
      <c r="B66" s="839"/>
      <c r="H66" s="321" t="str">
        <v/>
      </c>
      <c r="I66" s="321" t="str">
        <v/>
      </c>
      <c r="J66" s="321" t="str">
        <v/>
      </c>
      <c r="K66" s="321" t="str">
        <v/>
      </c>
      <c r="L66" s="321" t="str">
        <v/>
      </c>
      <c r="M66" s="321" t="str">
        <v/>
      </c>
      <c r="N66" s="321" t="str">
        <v/>
      </c>
      <c r="O66" s="321" t="str">
        <v/>
      </c>
      <c r="P66" s="321" t="str">
        <v/>
      </c>
      <c r="Q66" s="321" t="str">
        <v/>
      </c>
      <c r="R66" s="321" t="str">
        <v/>
      </c>
      <c r="S66" s="321" t="str">
        <v/>
      </c>
      <c r="T66" s="321" t="str">
        <v/>
      </c>
      <c r="U66" s="321" t="str">
        <v/>
      </c>
      <c r="V66" s="321" t="str">
        <v/>
      </c>
      <c r="W66" s="321" t="str">
        <v/>
      </c>
      <c r="X66" s="321" t="str">
        <v/>
      </c>
      <c r="Y66" s="321" t="str">
        <v/>
      </c>
      <c r="Z66" s="321" t="str">
        <v/>
      </c>
      <c r="AA66" s="321" t="str">
        <v/>
      </c>
      <c r="AB66" s="321" t="str">
        <v/>
      </c>
      <c r="AC66" s="321" t="str">
        <v/>
      </c>
      <c r="AD66" s="321" t="str">
        <v/>
      </c>
      <c r="AE66" s="321" t="str">
        <v/>
      </c>
      <c r="AF66" s="321" t="str">
        <v/>
      </c>
    </row>
    <row r="67" spans="1:32" x14ac:dyDescent="0.25">
      <c r="A67" s="840"/>
      <c r="B67" s="838" t="s">
        <v>504</v>
      </c>
      <c r="H67" s="321">
        <v>0</v>
      </c>
      <c r="I67" s="321">
        <v>0</v>
      </c>
      <c r="J67" s="321">
        <v>0</v>
      </c>
      <c r="K67" s="321">
        <v>0</v>
      </c>
      <c r="L67" s="321">
        <v>0</v>
      </c>
      <c r="M67" s="321">
        <v>0</v>
      </c>
      <c r="N67" s="321">
        <v>0</v>
      </c>
      <c r="O67" s="321">
        <v>0</v>
      </c>
      <c r="P67" s="321">
        <v>0</v>
      </c>
      <c r="Q67" s="321">
        <v>0</v>
      </c>
      <c r="R67" s="321">
        <v>0</v>
      </c>
      <c r="S67" s="321">
        <v>0</v>
      </c>
      <c r="T67" s="321">
        <v>0</v>
      </c>
      <c r="U67" s="321">
        <v>0</v>
      </c>
      <c r="V67" s="321">
        <v>0</v>
      </c>
      <c r="W67" s="321">
        <v>0</v>
      </c>
      <c r="X67" s="321">
        <v>0</v>
      </c>
      <c r="Y67" s="321">
        <v>0</v>
      </c>
      <c r="Z67" s="321">
        <v>0</v>
      </c>
      <c r="AA67" s="321">
        <v>0</v>
      </c>
      <c r="AB67" s="321">
        <v>0</v>
      </c>
      <c r="AC67" s="321">
        <v>0</v>
      </c>
      <c r="AD67" s="321">
        <v>0</v>
      </c>
      <c r="AE67" s="321">
        <v>0</v>
      </c>
      <c r="AF67" s="321">
        <v>0</v>
      </c>
    </row>
    <row r="68" spans="1:32" x14ac:dyDescent="0.25">
      <c r="A68" s="840"/>
      <c r="B68" s="838" t="s">
        <v>32</v>
      </c>
      <c r="H68" s="321">
        <v>0</v>
      </c>
      <c r="I68" s="321">
        <v>0</v>
      </c>
      <c r="J68" s="321">
        <v>0</v>
      </c>
      <c r="K68" s="321">
        <v>0</v>
      </c>
      <c r="L68" s="321">
        <v>0</v>
      </c>
      <c r="M68" s="321">
        <v>0</v>
      </c>
      <c r="N68" s="321">
        <v>0</v>
      </c>
      <c r="O68" s="321">
        <v>0</v>
      </c>
      <c r="P68" s="321">
        <v>0</v>
      </c>
      <c r="Q68" s="321">
        <v>0</v>
      </c>
      <c r="R68" s="321">
        <v>0</v>
      </c>
      <c r="S68" s="321">
        <v>0</v>
      </c>
      <c r="T68" s="321">
        <v>0</v>
      </c>
      <c r="U68" s="321">
        <v>0</v>
      </c>
      <c r="V68" s="321">
        <v>0</v>
      </c>
      <c r="W68" s="321">
        <v>0</v>
      </c>
      <c r="X68" s="321">
        <v>0</v>
      </c>
      <c r="Y68" s="321">
        <v>0</v>
      </c>
      <c r="Z68" s="321">
        <v>0</v>
      </c>
      <c r="AA68" s="321">
        <v>0</v>
      </c>
      <c r="AB68" s="321">
        <v>0</v>
      </c>
      <c r="AC68" s="321">
        <v>0</v>
      </c>
      <c r="AD68" s="321">
        <v>0</v>
      </c>
      <c r="AE68" s="321">
        <v>0</v>
      </c>
      <c r="AF68" s="321">
        <v>0</v>
      </c>
    </row>
    <row r="69" spans="1:32" x14ac:dyDescent="0.25">
      <c r="A69" s="840"/>
      <c r="B69" s="838" t="s">
        <v>491</v>
      </c>
      <c r="H69" s="321">
        <v>0</v>
      </c>
      <c r="I69" s="321">
        <v>0</v>
      </c>
      <c r="J69" s="321">
        <v>0</v>
      </c>
      <c r="K69" s="321">
        <v>0</v>
      </c>
      <c r="L69" s="321">
        <v>0</v>
      </c>
      <c r="M69" s="321">
        <v>0</v>
      </c>
      <c r="N69" s="321">
        <v>0</v>
      </c>
      <c r="O69" s="321">
        <v>0</v>
      </c>
      <c r="P69" s="321">
        <v>0</v>
      </c>
      <c r="Q69" s="321">
        <v>0</v>
      </c>
      <c r="R69" s="321">
        <v>0</v>
      </c>
      <c r="S69" s="321">
        <v>0</v>
      </c>
      <c r="T69" s="321">
        <v>0</v>
      </c>
      <c r="U69" s="321">
        <v>0</v>
      </c>
      <c r="V69" s="321">
        <v>0</v>
      </c>
      <c r="W69" s="321">
        <v>0</v>
      </c>
      <c r="X69" s="321">
        <v>0</v>
      </c>
      <c r="Y69" s="321">
        <v>0</v>
      </c>
      <c r="Z69" s="321">
        <v>0</v>
      </c>
      <c r="AA69" s="321">
        <v>0</v>
      </c>
      <c r="AB69" s="321">
        <v>0</v>
      </c>
      <c r="AC69" s="321">
        <v>0</v>
      </c>
      <c r="AD69" s="321">
        <v>0</v>
      </c>
      <c r="AE69" s="321">
        <v>0</v>
      </c>
      <c r="AF69" s="321">
        <v>0</v>
      </c>
    </row>
    <row r="70" spans="1:32" x14ac:dyDescent="0.25">
      <c r="A70" s="840"/>
      <c r="B70" s="838" t="s">
        <v>42</v>
      </c>
      <c r="H70" s="321">
        <v>0</v>
      </c>
      <c r="I70" s="321">
        <v>0</v>
      </c>
      <c r="J70" s="321">
        <v>0</v>
      </c>
      <c r="K70" s="321">
        <v>0</v>
      </c>
      <c r="L70" s="321">
        <v>0</v>
      </c>
      <c r="M70" s="321">
        <v>0</v>
      </c>
      <c r="N70" s="321">
        <v>0</v>
      </c>
      <c r="O70" s="321">
        <v>0</v>
      </c>
      <c r="P70" s="321">
        <v>0</v>
      </c>
      <c r="Q70" s="321">
        <v>0</v>
      </c>
      <c r="R70" s="321">
        <v>0</v>
      </c>
      <c r="S70" s="321">
        <v>0</v>
      </c>
      <c r="T70" s="321">
        <v>0</v>
      </c>
      <c r="U70" s="321">
        <v>0</v>
      </c>
      <c r="V70" s="321">
        <v>0</v>
      </c>
      <c r="W70" s="321">
        <v>0</v>
      </c>
      <c r="X70" s="321">
        <v>0</v>
      </c>
      <c r="Y70" s="321">
        <v>0</v>
      </c>
      <c r="Z70" s="321">
        <v>0</v>
      </c>
      <c r="AA70" s="321">
        <v>0</v>
      </c>
      <c r="AB70" s="321">
        <v>0</v>
      </c>
      <c r="AC70" s="321">
        <v>0</v>
      </c>
      <c r="AD70" s="321">
        <v>0</v>
      </c>
      <c r="AE70" s="321">
        <v>0</v>
      </c>
      <c r="AF70" s="321">
        <v>0</v>
      </c>
    </row>
    <row r="71" spans="1:32" x14ac:dyDescent="0.25">
      <c r="A71" s="840"/>
      <c r="B71" s="838" t="s">
        <v>47</v>
      </c>
      <c r="H71" s="321">
        <v>0</v>
      </c>
      <c r="I71" s="321">
        <v>0</v>
      </c>
      <c r="J71" s="321">
        <v>0</v>
      </c>
      <c r="K71" s="321">
        <v>0</v>
      </c>
      <c r="L71" s="321">
        <v>0</v>
      </c>
      <c r="M71" s="321">
        <v>0</v>
      </c>
      <c r="N71" s="321">
        <v>0</v>
      </c>
      <c r="O71" s="321">
        <v>0</v>
      </c>
      <c r="P71" s="321">
        <v>0</v>
      </c>
      <c r="Q71" s="321">
        <v>0</v>
      </c>
      <c r="R71" s="321">
        <v>0</v>
      </c>
      <c r="S71" s="321">
        <v>0</v>
      </c>
      <c r="T71" s="321">
        <v>0</v>
      </c>
      <c r="U71" s="321">
        <v>0</v>
      </c>
      <c r="V71" s="321">
        <v>0</v>
      </c>
      <c r="W71" s="321">
        <v>0</v>
      </c>
      <c r="X71" s="321">
        <v>0</v>
      </c>
      <c r="Y71" s="321">
        <v>0</v>
      </c>
      <c r="Z71" s="321">
        <v>0</v>
      </c>
      <c r="AA71" s="321">
        <v>0</v>
      </c>
      <c r="AB71" s="321">
        <v>0</v>
      </c>
      <c r="AC71" s="321">
        <v>0</v>
      </c>
      <c r="AD71" s="321">
        <v>0</v>
      </c>
      <c r="AE71" s="321">
        <v>0</v>
      </c>
      <c r="AF71" s="321">
        <v>0</v>
      </c>
    </row>
    <row r="73" spans="1:32" s="893" customFormat="1" x14ac:dyDescent="0.25">
      <c r="A73" s="897" t="s">
        <v>708</v>
      </c>
      <c r="B73" s="898"/>
      <c r="C73" s="897"/>
      <c r="D73" s="896"/>
      <c r="E73" s="896"/>
      <c r="F73" s="896"/>
      <c r="G73" s="896"/>
      <c r="H73" s="894"/>
      <c r="I73" s="894"/>
      <c r="J73" s="894"/>
      <c r="K73" s="894"/>
      <c r="L73" s="894"/>
      <c r="M73" s="894"/>
      <c r="N73" s="894"/>
      <c r="O73" s="894"/>
      <c r="P73" s="894"/>
      <c r="Q73" s="894"/>
      <c r="R73" s="894"/>
      <c r="S73" s="894"/>
      <c r="T73" s="894"/>
      <c r="U73" s="894"/>
      <c r="V73" s="894"/>
      <c r="W73" s="894"/>
      <c r="X73" s="894"/>
      <c r="Y73" s="894"/>
      <c r="Z73" s="894"/>
      <c r="AA73" s="894"/>
      <c r="AB73" s="894"/>
      <c r="AC73" s="894"/>
      <c r="AD73" s="894"/>
      <c r="AE73" s="894"/>
      <c r="AF73" s="894"/>
    </row>
    <row r="74" spans="1:32" x14ac:dyDescent="0.25">
      <c r="A74" s="840" t="s">
        <v>237</v>
      </c>
      <c r="B74" s="839"/>
    </row>
    <row r="75" spans="1:32" x14ac:dyDescent="0.25">
      <c r="B75" s="838" t="s">
        <v>55</v>
      </c>
      <c r="G75" s="854">
        <f>SUM(G43:G47)</f>
        <v>0</v>
      </c>
      <c r="H75" s="854">
        <f>SUM(H43:H47)</f>
        <v>0</v>
      </c>
      <c r="I75" s="854">
        <f>SUM(I43:I47)</f>
        <v>0</v>
      </c>
      <c r="J75" s="854">
        <f>SUM(J43:J47)</f>
        <v>0</v>
      </c>
      <c r="K75" s="854">
        <f t="shared" ref="K75:AF75" si="0">SUM(K43:K47)</f>
        <v>0</v>
      </c>
      <c r="L75" s="854">
        <f t="shared" si="0"/>
        <v>0</v>
      </c>
      <c r="M75" s="854">
        <f t="shared" si="0"/>
        <v>0</v>
      </c>
      <c r="N75" s="854">
        <f t="shared" si="0"/>
        <v>0</v>
      </c>
      <c r="O75" s="854">
        <f t="shared" si="0"/>
        <v>0</v>
      </c>
      <c r="P75" s="854">
        <f t="shared" si="0"/>
        <v>0</v>
      </c>
      <c r="Q75" s="854">
        <f t="shared" si="0"/>
        <v>0</v>
      </c>
      <c r="R75" s="854">
        <f t="shared" si="0"/>
        <v>0</v>
      </c>
      <c r="S75" s="854">
        <f t="shared" si="0"/>
        <v>0</v>
      </c>
      <c r="T75" s="854">
        <f t="shared" si="0"/>
        <v>0</v>
      </c>
      <c r="U75" s="854">
        <f t="shared" si="0"/>
        <v>0</v>
      </c>
      <c r="V75" s="854">
        <f t="shared" si="0"/>
        <v>0</v>
      </c>
      <c r="W75" s="854">
        <f t="shared" si="0"/>
        <v>0</v>
      </c>
      <c r="X75" s="854">
        <f t="shared" si="0"/>
        <v>0</v>
      </c>
      <c r="Y75" s="854">
        <f t="shared" si="0"/>
        <v>0</v>
      </c>
      <c r="Z75" s="854">
        <f t="shared" si="0"/>
        <v>0</v>
      </c>
      <c r="AA75" s="854">
        <f t="shared" si="0"/>
        <v>0</v>
      </c>
      <c r="AB75" s="854">
        <f t="shared" si="0"/>
        <v>0</v>
      </c>
      <c r="AC75" s="854">
        <f t="shared" si="0"/>
        <v>0</v>
      </c>
      <c r="AD75" s="854">
        <f t="shared" si="0"/>
        <v>0</v>
      </c>
      <c r="AE75" s="854">
        <f t="shared" si="0"/>
        <v>0</v>
      </c>
      <c r="AF75" s="854">
        <f t="shared" si="0"/>
        <v>0</v>
      </c>
    </row>
    <row r="76" spans="1:32" x14ac:dyDescent="0.25">
      <c r="B76" s="838" t="s">
        <v>56</v>
      </c>
      <c r="G76" s="854">
        <f>SUM(G51:G55)</f>
        <v>0</v>
      </c>
      <c r="H76" s="854">
        <f>SUM(H51:H55)</f>
        <v>0</v>
      </c>
      <c r="I76" s="854">
        <f>SUM(I51:I55)</f>
        <v>0</v>
      </c>
      <c r="J76" s="854">
        <f>SUM(J51:J55)</f>
        <v>0</v>
      </c>
      <c r="K76" s="854">
        <f t="shared" ref="K76:AF76" si="1">SUM(K51:K55)</f>
        <v>0</v>
      </c>
      <c r="L76" s="854">
        <f t="shared" si="1"/>
        <v>0</v>
      </c>
      <c r="M76" s="854">
        <f t="shared" si="1"/>
        <v>0</v>
      </c>
      <c r="N76" s="854">
        <f t="shared" si="1"/>
        <v>0</v>
      </c>
      <c r="O76" s="854">
        <f t="shared" si="1"/>
        <v>0</v>
      </c>
      <c r="P76" s="854">
        <f t="shared" si="1"/>
        <v>0</v>
      </c>
      <c r="Q76" s="854">
        <f t="shared" si="1"/>
        <v>0</v>
      </c>
      <c r="R76" s="854">
        <f t="shared" si="1"/>
        <v>0</v>
      </c>
      <c r="S76" s="854">
        <f t="shared" si="1"/>
        <v>0</v>
      </c>
      <c r="T76" s="854">
        <f t="shared" si="1"/>
        <v>0</v>
      </c>
      <c r="U76" s="854">
        <f t="shared" si="1"/>
        <v>0</v>
      </c>
      <c r="V76" s="854">
        <f t="shared" si="1"/>
        <v>0</v>
      </c>
      <c r="W76" s="854">
        <f t="shared" si="1"/>
        <v>0</v>
      </c>
      <c r="X76" s="854">
        <f t="shared" si="1"/>
        <v>0</v>
      </c>
      <c r="Y76" s="854">
        <f t="shared" si="1"/>
        <v>0</v>
      </c>
      <c r="Z76" s="854">
        <f t="shared" si="1"/>
        <v>0</v>
      </c>
      <c r="AA76" s="854">
        <f t="shared" si="1"/>
        <v>0</v>
      </c>
      <c r="AB76" s="854">
        <f t="shared" si="1"/>
        <v>0</v>
      </c>
      <c r="AC76" s="854">
        <f t="shared" si="1"/>
        <v>0</v>
      </c>
      <c r="AD76" s="854">
        <f t="shared" si="1"/>
        <v>0</v>
      </c>
      <c r="AE76" s="854">
        <f t="shared" si="1"/>
        <v>0</v>
      </c>
      <c r="AF76" s="854">
        <f t="shared" si="1"/>
        <v>0</v>
      </c>
    </row>
    <row r="77" spans="1:32" x14ac:dyDescent="0.25">
      <c r="B77" s="838" t="s">
        <v>57</v>
      </c>
      <c r="G77" s="854">
        <f>SUM(G59:G63)</f>
        <v>0</v>
      </c>
      <c r="H77" s="854">
        <f>SUM(H59:H63)</f>
        <v>0</v>
      </c>
      <c r="I77" s="854">
        <f>SUM(I59:I63)</f>
        <v>0</v>
      </c>
      <c r="J77" s="854">
        <f>SUM(J59:J63)</f>
        <v>0</v>
      </c>
      <c r="K77" s="854">
        <f t="shared" ref="K77:AF77" si="2">SUM(K59:K63)</f>
        <v>0</v>
      </c>
      <c r="L77" s="854">
        <f t="shared" si="2"/>
        <v>0</v>
      </c>
      <c r="M77" s="854">
        <f t="shared" si="2"/>
        <v>0</v>
      </c>
      <c r="N77" s="854">
        <f t="shared" si="2"/>
        <v>0</v>
      </c>
      <c r="O77" s="854">
        <f t="shared" si="2"/>
        <v>0</v>
      </c>
      <c r="P77" s="854">
        <f t="shared" si="2"/>
        <v>0</v>
      </c>
      <c r="Q77" s="854">
        <f t="shared" si="2"/>
        <v>0</v>
      </c>
      <c r="R77" s="854">
        <f t="shared" si="2"/>
        <v>0</v>
      </c>
      <c r="S77" s="854">
        <f t="shared" si="2"/>
        <v>0</v>
      </c>
      <c r="T77" s="854">
        <f t="shared" si="2"/>
        <v>0</v>
      </c>
      <c r="U77" s="854">
        <f t="shared" si="2"/>
        <v>0</v>
      </c>
      <c r="V77" s="854">
        <f t="shared" si="2"/>
        <v>0</v>
      </c>
      <c r="W77" s="854">
        <f t="shared" si="2"/>
        <v>0</v>
      </c>
      <c r="X77" s="854">
        <f t="shared" si="2"/>
        <v>0</v>
      </c>
      <c r="Y77" s="854">
        <f t="shared" si="2"/>
        <v>0</v>
      </c>
      <c r="Z77" s="854">
        <f t="shared" si="2"/>
        <v>0</v>
      </c>
      <c r="AA77" s="854">
        <f t="shared" si="2"/>
        <v>0</v>
      </c>
      <c r="AB77" s="854">
        <f t="shared" si="2"/>
        <v>0</v>
      </c>
      <c r="AC77" s="854">
        <f t="shared" si="2"/>
        <v>0</v>
      </c>
      <c r="AD77" s="854">
        <f t="shared" si="2"/>
        <v>0</v>
      </c>
      <c r="AE77" s="854">
        <f t="shared" si="2"/>
        <v>0</v>
      </c>
      <c r="AF77" s="854">
        <f t="shared" si="2"/>
        <v>0</v>
      </c>
    </row>
    <row r="78" spans="1:32" x14ac:dyDescent="0.25">
      <c r="B78" s="838" t="s">
        <v>54</v>
      </c>
      <c r="G78" s="854">
        <f>SUM(G67:G71)</f>
        <v>0</v>
      </c>
      <c r="H78" s="854">
        <f>SUM(H67:H71)</f>
        <v>0</v>
      </c>
      <c r="I78" s="854">
        <f>SUM(I67:I71)</f>
        <v>0</v>
      </c>
      <c r="J78" s="854">
        <f>SUM(J67:J71)</f>
        <v>0</v>
      </c>
      <c r="K78" s="854">
        <f t="shared" ref="K78:AF78" si="3">SUM(K67:K71)</f>
        <v>0</v>
      </c>
      <c r="L78" s="854">
        <f t="shared" si="3"/>
        <v>0</v>
      </c>
      <c r="M78" s="854">
        <f t="shared" si="3"/>
        <v>0</v>
      </c>
      <c r="N78" s="854">
        <f t="shared" si="3"/>
        <v>0</v>
      </c>
      <c r="O78" s="854">
        <f t="shared" si="3"/>
        <v>0</v>
      </c>
      <c r="P78" s="854">
        <f t="shared" si="3"/>
        <v>0</v>
      </c>
      <c r="Q78" s="854">
        <f t="shared" si="3"/>
        <v>0</v>
      </c>
      <c r="R78" s="854">
        <f t="shared" si="3"/>
        <v>0</v>
      </c>
      <c r="S78" s="854">
        <f t="shared" si="3"/>
        <v>0</v>
      </c>
      <c r="T78" s="854">
        <f t="shared" si="3"/>
        <v>0</v>
      </c>
      <c r="U78" s="854">
        <f t="shared" si="3"/>
        <v>0</v>
      </c>
      <c r="V78" s="854">
        <f t="shared" si="3"/>
        <v>0</v>
      </c>
      <c r="W78" s="854">
        <f t="shared" si="3"/>
        <v>0</v>
      </c>
      <c r="X78" s="854">
        <f t="shared" si="3"/>
        <v>0</v>
      </c>
      <c r="Y78" s="854">
        <f t="shared" si="3"/>
        <v>0</v>
      </c>
      <c r="Z78" s="854">
        <f t="shared" si="3"/>
        <v>0</v>
      </c>
      <c r="AA78" s="854">
        <f t="shared" si="3"/>
        <v>0</v>
      </c>
      <c r="AB78" s="854">
        <f t="shared" si="3"/>
        <v>0</v>
      </c>
      <c r="AC78" s="854">
        <f t="shared" si="3"/>
        <v>0</v>
      </c>
      <c r="AD78" s="854">
        <f t="shared" si="3"/>
        <v>0</v>
      </c>
      <c r="AE78" s="854">
        <f t="shared" si="3"/>
        <v>0</v>
      </c>
      <c r="AF78" s="854">
        <f t="shared" si="3"/>
        <v>0</v>
      </c>
    </row>
    <row r="80" spans="1:32" x14ac:dyDescent="0.25">
      <c r="G80" s="1045">
        <f>SUM(G75:G78)</f>
        <v>0</v>
      </c>
      <c r="H80" s="1045">
        <f t="shared" ref="H80:AF80" si="4">SUM(H75:H78)</f>
        <v>0</v>
      </c>
      <c r="I80" s="1045">
        <f t="shared" si="4"/>
        <v>0</v>
      </c>
      <c r="J80" s="1045">
        <f t="shared" si="4"/>
        <v>0</v>
      </c>
      <c r="K80" s="1045">
        <f t="shared" si="4"/>
        <v>0</v>
      </c>
      <c r="L80" s="1045">
        <f t="shared" si="4"/>
        <v>0</v>
      </c>
      <c r="M80" s="1045">
        <f t="shared" si="4"/>
        <v>0</v>
      </c>
      <c r="N80" s="1045">
        <f t="shared" si="4"/>
        <v>0</v>
      </c>
      <c r="O80" s="1045">
        <f t="shared" si="4"/>
        <v>0</v>
      </c>
      <c r="P80" s="1045">
        <f t="shared" si="4"/>
        <v>0</v>
      </c>
      <c r="Q80" s="1045">
        <f t="shared" si="4"/>
        <v>0</v>
      </c>
      <c r="R80" s="1045">
        <f t="shared" si="4"/>
        <v>0</v>
      </c>
      <c r="S80" s="1045">
        <f t="shared" si="4"/>
        <v>0</v>
      </c>
      <c r="T80" s="1045">
        <f t="shared" si="4"/>
        <v>0</v>
      </c>
      <c r="U80" s="1045">
        <f t="shared" si="4"/>
        <v>0</v>
      </c>
      <c r="V80" s="1045">
        <f t="shared" si="4"/>
        <v>0</v>
      </c>
      <c r="W80" s="1045">
        <f t="shared" si="4"/>
        <v>0</v>
      </c>
      <c r="X80" s="1045">
        <f t="shared" si="4"/>
        <v>0</v>
      </c>
      <c r="Y80" s="1045">
        <f t="shared" si="4"/>
        <v>0</v>
      </c>
      <c r="Z80" s="1045">
        <f t="shared" si="4"/>
        <v>0</v>
      </c>
      <c r="AA80" s="1045">
        <f t="shared" si="4"/>
        <v>0</v>
      </c>
      <c r="AB80" s="1045">
        <f t="shared" si="4"/>
        <v>0</v>
      </c>
      <c r="AC80" s="1045">
        <f t="shared" si="4"/>
        <v>0</v>
      </c>
      <c r="AD80" s="1045">
        <f t="shared" si="4"/>
        <v>0</v>
      </c>
      <c r="AE80" s="1045">
        <f t="shared" si="4"/>
        <v>0</v>
      </c>
      <c r="AF80" s="1045">
        <f t="shared" si="4"/>
        <v>0</v>
      </c>
    </row>
    <row r="82" spans="8:32" x14ac:dyDescent="0.25">
      <c r="H82" s="1045">
        <f>0.42*SUM(G80:K80)*1.090875</f>
        <v>0</v>
      </c>
      <c r="I82" s="1045"/>
      <c r="J82" s="1045"/>
      <c r="K82" s="1045"/>
      <c r="L82" s="1045"/>
      <c r="M82" s="1045"/>
      <c r="N82" s="1045"/>
      <c r="O82" s="1045"/>
      <c r="P82" s="1045"/>
      <c r="Q82" s="1045"/>
      <c r="R82" s="1045"/>
      <c r="S82" s="1045"/>
      <c r="T82" s="1045"/>
      <c r="U82" s="1045"/>
      <c r="V82" s="1045"/>
      <c r="W82" s="1045"/>
      <c r="X82" s="1045"/>
      <c r="Y82" s="1045"/>
      <c r="Z82" s="1045"/>
      <c r="AA82" s="1045"/>
      <c r="AB82" s="1045"/>
      <c r="AC82" s="1045"/>
      <c r="AD82" s="1045"/>
      <c r="AE82" s="1045"/>
      <c r="AF82" s="1045"/>
    </row>
  </sheetData>
  <mergeCells count="2">
    <mergeCell ref="F1:F2"/>
    <mergeCell ref="O1:O2"/>
  </mergeCells>
  <pageMargins left="0.7" right="0.7" top="0.75" bottom="0.75" header="0.3" footer="0.3"/>
  <legacy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theme="4" tint="0.39997558519241921"/>
  </sheetPr>
  <dimension ref="A1:R6"/>
  <sheetViews>
    <sheetView zoomScale="59" zoomScaleNormal="59" workbookViewId="0">
      <selection activeCell="L6" sqref="L6:R6"/>
    </sheetView>
  </sheetViews>
  <sheetFormatPr defaultRowHeight="15" x14ac:dyDescent="0.25"/>
  <cols>
    <col min="2" max="9" width="12.5703125" customWidth="1"/>
    <col min="11" max="18" width="12.5703125" customWidth="1"/>
  </cols>
  <sheetData>
    <row r="1" spans="1:18" ht="18" x14ac:dyDescent="0.4">
      <c r="A1" s="268" t="s">
        <v>420</v>
      </c>
    </row>
    <row r="2" spans="1:18" s="539" customFormat="1" ht="18" x14ac:dyDescent="0.4">
      <c r="A2" s="268"/>
    </row>
    <row r="3" spans="1:18" s="539" customFormat="1" ht="18" x14ac:dyDescent="0.4">
      <c r="A3" s="268"/>
      <c r="B3" s="1250" t="s">
        <v>421</v>
      </c>
      <c r="C3" s="1250"/>
      <c r="D3" s="1250"/>
      <c r="E3" s="1250"/>
      <c r="F3" s="1250"/>
      <c r="G3" s="1250"/>
      <c r="H3" s="1250"/>
      <c r="I3" s="1250"/>
      <c r="K3" s="1250" t="s">
        <v>266</v>
      </c>
      <c r="L3" s="1250"/>
      <c r="M3" s="1250"/>
      <c r="N3" s="1250"/>
      <c r="O3" s="1250"/>
      <c r="P3" s="1250"/>
      <c r="Q3" s="1250"/>
      <c r="R3" s="1250"/>
    </row>
    <row r="4" spans="1:18" x14ac:dyDescent="0.25">
      <c r="B4" s="1251" t="s">
        <v>411</v>
      </c>
      <c r="C4" s="1247" t="s">
        <v>410</v>
      </c>
      <c r="D4" s="1247"/>
      <c r="E4" s="1247"/>
      <c r="F4" s="1247"/>
      <c r="G4" s="1247"/>
      <c r="H4" s="1247"/>
      <c r="I4" s="1247"/>
      <c r="K4" s="1251" t="s">
        <v>411</v>
      </c>
      <c r="L4" s="1247" t="s">
        <v>410</v>
      </c>
      <c r="M4" s="1247"/>
      <c r="N4" s="1247"/>
      <c r="O4" s="1247"/>
      <c r="P4" s="1247"/>
      <c r="Q4" s="1247"/>
      <c r="R4" s="1247"/>
    </row>
    <row r="5" spans="1:18" ht="51.75" x14ac:dyDescent="0.25">
      <c r="B5" s="1251"/>
      <c r="C5" s="748" t="s">
        <v>213</v>
      </c>
      <c r="D5" s="748" t="s">
        <v>214</v>
      </c>
      <c r="E5" s="748" t="s">
        <v>43</v>
      </c>
      <c r="F5" s="748" t="s">
        <v>44</v>
      </c>
      <c r="G5" s="748" t="s">
        <v>215</v>
      </c>
      <c r="H5" s="748" t="s">
        <v>257</v>
      </c>
      <c r="I5" s="748" t="s">
        <v>216</v>
      </c>
      <c r="K5" s="1251"/>
      <c r="L5" s="748" t="s">
        <v>213</v>
      </c>
      <c r="M5" s="748" t="s">
        <v>214</v>
      </c>
      <c r="N5" s="748" t="s">
        <v>43</v>
      </c>
      <c r="O5" s="748" t="s">
        <v>44</v>
      </c>
      <c r="P5" s="748" t="s">
        <v>215</v>
      </c>
      <c r="Q5" s="748" t="s">
        <v>257</v>
      </c>
      <c r="R5" s="748" t="s">
        <v>216</v>
      </c>
    </row>
    <row r="6" spans="1:18" ht="14.45" x14ac:dyDescent="0.35">
      <c r="B6" s="539" t="s">
        <v>438</v>
      </c>
      <c r="C6" s="539" t="s">
        <v>25</v>
      </c>
      <c r="D6" s="539" t="s">
        <v>25</v>
      </c>
      <c r="E6" s="539" t="s">
        <v>25</v>
      </c>
      <c r="F6" s="539" t="s">
        <v>25</v>
      </c>
      <c r="G6" s="539" t="s">
        <v>25</v>
      </c>
      <c r="H6" s="539" t="s">
        <v>25</v>
      </c>
      <c r="I6" s="539" t="s">
        <v>25</v>
      </c>
      <c r="K6" s="539" t="s">
        <v>438</v>
      </c>
      <c r="L6" s="539" t="s">
        <v>25</v>
      </c>
      <c r="M6" s="539" t="s">
        <v>25</v>
      </c>
      <c r="N6" s="539" t="s">
        <v>25</v>
      </c>
      <c r="O6" s="539" t="s">
        <v>25</v>
      </c>
      <c r="P6" s="539" t="s">
        <v>25</v>
      </c>
      <c r="Q6" s="539" t="s">
        <v>25</v>
      </c>
      <c r="R6" s="539" t="s">
        <v>25</v>
      </c>
    </row>
  </sheetData>
  <mergeCells count="6">
    <mergeCell ref="C4:I4"/>
    <mergeCell ref="L4:R4"/>
    <mergeCell ref="B3:I3"/>
    <mergeCell ref="K3:R3"/>
    <mergeCell ref="K4:K5"/>
    <mergeCell ref="B4:B5"/>
  </mergeCells>
  <pageMargins left="0.7" right="0.7" top="0.75" bottom="0.75" header="0.3" footer="0.3"/>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theme="6" tint="-0.249977111117893"/>
  </sheetPr>
  <dimension ref="A1:AF10"/>
  <sheetViews>
    <sheetView workbookViewId="0"/>
  </sheetViews>
  <sheetFormatPr defaultRowHeight="15" x14ac:dyDescent="0.25"/>
  <sheetData>
    <row r="1" spans="1:32" s="539" customFormat="1" ht="18" x14ac:dyDescent="0.4">
      <c r="A1" s="268" t="s">
        <v>288</v>
      </c>
      <c r="B1" s="550"/>
      <c r="C1" s="550"/>
      <c r="D1" s="550"/>
      <c r="E1" s="550"/>
      <c r="F1" s="550"/>
      <c r="G1" s="550"/>
      <c r="H1" s="207"/>
      <c r="I1" s="550"/>
      <c r="J1" s="550"/>
      <c r="K1" s="550"/>
      <c r="L1" s="550"/>
      <c r="M1" s="550"/>
      <c r="N1" s="550"/>
      <c r="O1" s="550"/>
      <c r="P1" s="550"/>
      <c r="Q1" s="550"/>
      <c r="R1" s="550"/>
      <c r="S1" s="550"/>
      <c r="T1" s="550"/>
      <c r="U1" s="550"/>
      <c r="V1" s="550"/>
      <c r="W1" s="550"/>
      <c r="X1" s="550"/>
      <c r="Y1" s="550"/>
      <c r="Z1" s="550"/>
      <c r="AA1" s="550"/>
      <c r="AB1" s="550"/>
      <c r="AC1" s="550"/>
      <c r="AD1" s="550"/>
      <c r="AE1" s="550"/>
      <c r="AF1" s="550"/>
    </row>
    <row r="2" spans="1:32" s="539" customFormat="1" ht="15.6" x14ac:dyDescent="0.35">
      <c r="A2" s="269" t="s">
        <v>287</v>
      </c>
      <c r="B2" s="550"/>
      <c r="C2" s="550"/>
      <c r="D2" s="550"/>
      <c r="E2" s="550"/>
      <c r="F2" s="550"/>
      <c r="G2" s="550"/>
      <c r="H2" s="207"/>
      <c r="I2" s="550"/>
      <c r="J2" s="550"/>
      <c r="K2" s="550"/>
      <c r="L2" s="550"/>
      <c r="M2" s="550"/>
      <c r="N2" s="550"/>
      <c r="O2" s="550"/>
      <c r="P2" s="550"/>
      <c r="Q2" s="550"/>
      <c r="R2" s="550"/>
      <c r="S2" s="550"/>
      <c r="T2" s="550"/>
      <c r="U2" s="550"/>
      <c r="V2" s="550"/>
      <c r="W2" s="550"/>
      <c r="X2" s="550"/>
      <c r="Y2" s="550"/>
      <c r="Z2" s="550"/>
      <c r="AA2" s="550"/>
      <c r="AB2" s="550"/>
      <c r="AC2" s="550"/>
      <c r="AD2" s="550"/>
      <c r="AE2" s="550"/>
      <c r="AF2" s="550"/>
    </row>
    <row r="3" spans="1:32" s="539" customFormat="1" ht="14.45" x14ac:dyDescent="0.35"/>
    <row r="4" spans="1:32" s="539" customFormat="1" ht="14.45" x14ac:dyDescent="0.35">
      <c r="A4" s="550"/>
      <c r="B4" s="550"/>
      <c r="C4" s="550"/>
      <c r="D4" s="277"/>
      <c r="E4" s="208"/>
      <c r="F4" s="208"/>
      <c r="G4" s="208">
        <v>2010</v>
      </c>
      <c r="H4" s="208">
        <v>2011</v>
      </c>
      <c r="I4" s="208">
        <v>2012</v>
      </c>
      <c r="J4" s="208">
        <v>2013</v>
      </c>
      <c r="K4" s="208">
        <v>2014</v>
      </c>
      <c r="L4" s="208">
        <v>2015</v>
      </c>
      <c r="M4" s="208">
        <v>2016</v>
      </c>
      <c r="N4" s="208">
        <v>2017</v>
      </c>
      <c r="O4" s="208">
        <v>2018</v>
      </c>
      <c r="P4" s="208">
        <v>2019</v>
      </c>
      <c r="Q4" s="208">
        <v>2020</v>
      </c>
      <c r="R4" s="208">
        <v>2021</v>
      </c>
      <c r="S4" s="208">
        <v>2022</v>
      </c>
      <c r="T4" s="208">
        <v>2023</v>
      </c>
      <c r="U4" s="208">
        <v>2024</v>
      </c>
      <c r="V4" s="208">
        <v>2025</v>
      </c>
      <c r="W4" s="208">
        <v>2026</v>
      </c>
      <c r="X4" s="208">
        <v>2027</v>
      </c>
      <c r="Y4" s="208">
        <v>2028</v>
      </c>
      <c r="Z4" s="208">
        <v>2029</v>
      </c>
      <c r="AA4" s="208">
        <v>2030</v>
      </c>
      <c r="AB4" s="208">
        <v>2031</v>
      </c>
      <c r="AC4" s="208">
        <v>2032</v>
      </c>
      <c r="AD4" s="208">
        <v>2033</v>
      </c>
      <c r="AE4" s="208">
        <v>2034</v>
      </c>
      <c r="AF4" s="208">
        <v>2035</v>
      </c>
    </row>
    <row r="5" spans="1:32" s="539" customFormat="1" ht="14.45" x14ac:dyDescent="0.35">
      <c r="A5" s="554" t="s">
        <v>277</v>
      </c>
      <c r="B5" s="555"/>
      <c r="C5" s="554"/>
      <c r="D5" s="553"/>
      <c r="E5" s="553"/>
      <c r="F5" s="553"/>
      <c r="G5" s="553"/>
      <c r="H5" s="560"/>
      <c r="I5" s="560"/>
      <c r="J5" s="560"/>
      <c r="K5" s="560"/>
      <c r="L5" s="560"/>
      <c r="M5" s="560"/>
      <c r="N5" s="560"/>
      <c r="O5" s="560"/>
      <c r="P5" s="560"/>
      <c r="Q5" s="560"/>
      <c r="R5" s="560"/>
      <c r="S5" s="560"/>
      <c r="T5" s="560"/>
      <c r="U5" s="560"/>
      <c r="V5" s="560"/>
      <c r="W5" s="560"/>
      <c r="X5" s="560"/>
      <c r="Y5" s="560"/>
      <c r="Z5" s="560"/>
      <c r="AA5" s="560"/>
      <c r="AB5" s="560"/>
      <c r="AC5" s="560"/>
      <c r="AD5" s="560"/>
      <c r="AE5" s="560"/>
      <c r="AF5" s="560"/>
    </row>
    <row r="6" spans="1:32" s="539" customFormat="1" ht="14.45" x14ac:dyDescent="0.35">
      <c r="A6" s="551" t="s">
        <v>0</v>
      </c>
      <c r="B6" s="550"/>
    </row>
    <row r="7" spans="1:32" ht="14.45" x14ac:dyDescent="0.35">
      <c r="B7" t="s">
        <v>297</v>
      </c>
      <c r="G7" s="549">
        <v>27.46281571112139</v>
      </c>
      <c r="H7" s="549">
        <v>27.227200313355908</v>
      </c>
      <c r="I7" s="549">
        <v>27.071670931269058</v>
      </c>
      <c r="J7" s="549">
        <v>26.759394139610482</v>
      </c>
      <c r="K7" s="549">
        <v>26.465947548606188</v>
      </c>
      <c r="L7" s="549">
        <v>26.126866441770602</v>
      </c>
      <c r="M7" s="549">
        <v>25.673132674473521</v>
      </c>
      <c r="N7" s="549">
        <v>25.388479915664689</v>
      </c>
      <c r="O7" s="549">
        <v>25.187113706919533</v>
      </c>
      <c r="P7" s="549">
        <v>25.028464795836225</v>
      </c>
      <c r="Q7" s="549">
        <v>24.88554142104454</v>
      </c>
      <c r="R7" s="549">
        <v>24.729497288525007</v>
      </c>
      <c r="S7" s="549">
        <v>24.581007328583947</v>
      </c>
      <c r="T7" s="549">
        <v>24.423201357402892</v>
      </c>
      <c r="U7" s="549">
        <v>24.273020657862745</v>
      </c>
      <c r="V7" s="549">
        <v>24.117644902219503</v>
      </c>
      <c r="W7" s="549">
        <v>23.956132501309643</v>
      </c>
      <c r="X7" s="549">
        <v>23.806415519283203</v>
      </c>
      <c r="Y7" s="549">
        <v>23.653623632941102</v>
      </c>
      <c r="Z7" s="549">
        <v>23.495868493795783</v>
      </c>
      <c r="AA7" s="549">
        <v>23.336251478987588</v>
      </c>
      <c r="AB7" s="549">
        <v>23.182245511086656</v>
      </c>
      <c r="AC7" s="549">
        <v>23.029920610518463</v>
      </c>
      <c r="AD7" s="549">
        <v>22.879546099004745</v>
      </c>
      <c r="AE7" s="549">
        <v>22.730969937045668</v>
      </c>
      <c r="AF7" s="549">
        <v>22.57860637696167</v>
      </c>
    </row>
    <row r="8" spans="1:32" ht="14.45" x14ac:dyDescent="0.35">
      <c r="B8" t="s">
        <v>298</v>
      </c>
      <c r="G8" s="549">
        <v>27.46281571112139</v>
      </c>
      <c r="H8" s="549">
        <v>27.181450269280585</v>
      </c>
      <c r="I8" s="549">
        <v>26.93733384013645</v>
      </c>
      <c r="J8" s="549">
        <v>26.526942812942305</v>
      </c>
      <c r="K8" s="549">
        <v>25.870790208812984</v>
      </c>
      <c r="L8" s="549">
        <v>25.086794959029387</v>
      </c>
      <c r="M8" s="549">
        <v>24.167395237973526</v>
      </c>
      <c r="N8" s="549">
        <v>23.412507643725185</v>
      </c>
      <c r="O8" s="549">
        <v>22.817492634937064</v>
      </c>
      <c r="P8" s="549">
        <v>22.328029380578855</v>
      </c>
      <c r="Q8" s="549">
        <v>21.976302994889142</v>
      </c>
      <c r="R8" s="549">
        <v>21.714948860577355</v>
      </c>
      <c r="S8" s="549">
        <v>21.552324867524081</v>
      </c>
      <c r="T8" s="549">
        <v>21.386679656885292</v>
      </c>
      <c r="U8" s="549">
        <v>21.231492655860812</v>
      </c>
      <c r="V8" s="549">
        <v>21.075151174980721</v>
      </c>
      <c r="W8" s="549">
        <v>20.915660788979558</v>
      </c>
      <c r="X8" s="549">
        <v>20.767790983724034</v>
      </c>
      <c r="Y8" s="549">
        <v>20.618571026766606</v>
      </c>
      <c r="Z8" s="549">
        <v>20.46636381792932</v>
      </c>
      <c r="AA8" s="549">
        <v>20.314404237981844</v>
      </c>
      <c r="AB8" s="549">
        <v>20.168525512950083</v>
      </c>
      <c r="AC8" s="549">
        <v>20.025305833017562</v>
      </c>
      <c r="AD8" s="549">
        <v>19.885021377056948</v>
      </c>
      <c r="AE8" s="549">
        <v>19.746963632098783</v>
      </c>
      <c r="AF8" s="549">
        <v>19.606449940560765</v>
      </c>
    </row>
    <row r="9" spans="1:32" ht="14.45" x14ac:dyDescent="0.35">
      <c r="B9" t="s">
        <v>443</v>
      </c>
      <c r="G9" s="549">
        <v>27.46281571112139</v>
      </c>
      <c r="H9" s="549">
        <v>27.041732966842645</v>
      </c>
      <c r="I9" s="549">
        <v>26.633280190732794</v>
      </c>
      <c r="J9" s="549">
        <v>25.962978361163501</v>
      </c>
      <c r="K9" s="549">
        <v>24.966284025532659</v>
      </c>
      <c r="L9" s="549">
        <v>23.694005744086219</v>
      </c>
      <c r="M9" s="549">
        <v>22.115151879673004</v>
      </c>
      <c r="N9" s="549">
        <v>20.531421906867347</v>
      </c>
      <c r="O9" s="549">
        <v>19.055158175690345</v>
      </c>
      <c r="P9" s="549">
        <v>17.88481250316271</v>
      </c>
      <c r="Q9" s="549">
        <v>16.727440674947303</v>
      </c>
      <c r="R9" s="549">
        <v>15.751914480564967</v>
      </c>
      <c r="S9" s="549">
        <v>14.937448109569459</v>
      </c>
      <c r="T9" s="549">
        <v>14.241881674131724</v>
      </c>
      <c r="U9" s="549">
        <v>13.625054128297851</v>
      </c>
      <c r="V9" s="549">
        <v>13.063755696838168</v>
      </c>
      <c r="W9" s="549">
        <v>12.554732429627455</v>
      </c>
      <c r="X9" s="549">
        <v>12.104824312756383</v>
      </c>
      <c r="Y9" s="549">
        <v>11.703446606353779</v>
      </c>
      <c r="Z9" s="549">
        <v>11.341543217690534</v>
      </c>
      <c r="AA9" s="549">
        <v>11.01850934849989</v>
      </c>
      <c r="AB9" s="549">
        <v>10.732746321674002</v>
      </c>
      <c r="AC9" s="549">
        <v>10.478849665775682</v>
      </c>
      <c r="AD9" s="549">
        <v>10.253628600799708</v>
      </c>
      <c r="AE9" s="549">
        <v>10.053509768528178</v>
      </c>
      <c r="AF9" s="549">
        <v>9.8696641399500162</v>
      </c>
    </row>
    <row r="10" spans="1:32" ht="14.45" x14ac:dyDescent="0.35">
      <c r="H10" s="539"/>
      <c r="I10" s="539"/>
      <c r="J10" s="539"/>
      <c r="K10" s="539"/>
      <c r="L10" s="539"/>
      <c r="M10" s="539"/>
      <c r="N10" s="539"/>
      <c r="O10" s="539"/>
      <c r="P10" s="539"/>
      <c r="Q10" s="539"/>
      <c r="R10" s="539"/>
      <c r="S10" s="539"/>
      <c r="T10" s="539"/>
      <c r="U10" s="539"/>
      <c r="V10" s="539"/>
      <c r="W10" s="539"/>
      <c r="X10" s="539"/>
      <c r="Y10" s="539"/>
      <c r="Z10" s="539"/>
      <c r="AA10" s="539"/>
      <c r="AB10" s="539"/>
      <c r="AC10" s="539"/>
      <c r="AD10" s="539"/>
      <c r="AE10" s="539"/>
      <c r="AF10" s="539"/>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47</vt:i4>
      </vt:variant>
      <vt:variant>
        <vt:lpstr>Named Ranges</vt:lpstr>
      </vt:variant>
      <vt:variant>
        <vt:i4>27</vt:i4>
      </vt:variant>
    </vt:vector>
  </HeadingPairs>
  <TitlesOfParts>
    <vt:vector size="74" baseType="lpstr">
      <vt:lpstr>TOC</vt:lpstr>
      <vt:lpstr>Model Flow Diagram</vt:lpstr>
      <vt:lpstr>Model Flow Description</vt:lpstr>
      <vt:lpstr>User_Inputs</vt:lpstr>
      <vt:lpstr>List_Inputs</vt:lpstr>
      <vt:lpstr>Misc_Inputs</vt:lpstr>
      <vt:lpstr>Tech_Specs</vt:lpstr>
      <vt:lpstr>Perform_SSL</vt:lpstr>
      <vt:lpstr>Perform_Sectors</vt:lpstr>
      <vt:lpstr>Perform_Active</vt:lpstr>
      <vt:lpstr>Perform_Proj</vt:lpstr>
      <vt:lpstr>Electricity_Prices</vt:lpstr>
      <vt:lpstr>Floor_Growth</vt:lpstr>
      <vt:lpstr>Standards_Sectors</vt:lpstr>
      <vt:lpstr>Standards_Active</vt:lpstr>
      <vt:lpstr>Standards_Acceptance</vt:lpstr>
      <vt:lpstr>Lamp_Repl_Rate</vt:lpstr>
      <vt:lpstr>Sys_Repl_Rate</vt:lpstr>
      <vt:lpstr>Costs</vt:lpstr>
      <vt:lpstr>Tech_Diff</vt:lpstr>
      <vt:lpstr>Logit</vt:lpstr>
      <vt:lpstr>Sales_Calibration</vt:lpstr>
      <vt:lpstr>Lamp_Mkt_Repl</vt:lpstr>
      <vt:lpstr>System_Mkt_Repl</vt:lpstr>
      <vt:lpstr>System_Mkt_NC</vt:lpstr>
      <vt:lpstr>System_Total_Mkt</vt:lpstr>
      <vt:lpstr>Test_Plots</vt:lpstr>
      <vt:lpstr>Results</vt:lpstr>
      <vt:lpstr>lumenshare</vt:lpstr>
      <vt:lpstr>Compare</vt:lpstr>
      <vt:lpstr>Results_Com</vt:lpstr>
      <vt:lpstr>Results_Ind</vt:lpstr>
      <vt:lpstr>Results_Out</vt:lpstr>
      <vt:lpstr>Results_Res</vt:lpstr>
      <vt:lpstr>Results_Total</vt:lpstr>
      <vt:lpstr>Plot_Data</vt:lpstr>
      <vt:lpstr>Plot_Energy</vt:lpstr>
      <vt:lpstr>Plot_Sales</vt:lpstr>
      <vt:lpstr>Plot_Density</vt:lpstr>
      <vt:lpstr>Plot_Stock</vt:lpstr>
      <vt:lpstr>Savings_Data</vt:lpstr>
      <vt:lpstr>Sales Data</vt:lpstr>
      <vt:lpstr>Average Efficacy Data</vt:lpstr>
      <vt:lpstr>Cumul_Savings_Total</vt:lpstr>
      <vt:lpstr>First_Yr_Savings_Total</vt:lpstr>
      <vt:lpstr>Plot_Savings</vt:lpstr>
      <vt:lpstr>Case_Comparison</vt:lpstr>
      <vt:lpstr>Active_Case</vt:lpstr>
      <vt:lpstr>Baseline</vt:lpstr>
      <vt:lpstr>Bass_Curve</vt:lpstr>
      <vt:lpstr>Busbar</vt:lpstr>
      <vt:lpstr>Cost_Ballast</vt:lpstr>
      <vt:lpstr>Cost_Fixture</vt:lpstr>
      <vt:lpstr>Cost_Lamp</vt:lpstr>
      <vt:lpstr>Cost_System_NC</vt:lpstr>
      <vt:lpstr>Cost_System_Rpl</vt:lpstr>
      <vt:lpstr>DailyOpHours</vt:lpstr>
      <vt:lpstr>Eff_Ballast_Stock</vt:lpstr>
      <vt:lpstr>Eff_Case</vt:lpstr>
      <vt:lpstr>Eff_Case_2</vt:lpstr>
      <vt:lpstr>Eff_Lamp_Stock</vt:lpstr>
      <vt:lpstr>HVAC_factor</vt:lpstr>
      <vt:lpstr>Lamps_per_Ballast_Com</vt:lpstr>
      <vt:lpstr>ListInputs</vt:lpstr>
      <vt:lpstr>Lumens</vt:lpstr>
      <vt:lpstr>Replacement_Unit</vt:lpstr>
      <vt:lpstr>Retrofit_Rate</vt:lpstr>
      <vt:lpstr>Savings_List</vt:lpstr>
      <vt:lpstr>Sector</vt:lpstr>
      <vt:lpstr>Sector_List</vt:lpstr>
      <vt:lpstr>Square_Feet</vt:lpstr>
      <vt:lpstr>Standards</vt:lpstr>
      <vt:lpstr>Standards_1</vt:lpstr>
      <vt:lpstr>Standards_2</vt:lpstr>
    </vt:vector>
  </TitlesOfParts>
  <Company>Navigant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Rachel Kane</dc:creator>
  <cp:lastModifiedBy>Navigant</cp:lastModifiedBy>
  <cp:lastPrinted>2013-08-19T04:26:20Z</cp:lastPrinted>
  <dcterms:created xsi:type="dcterms:W3CDTF">2013-06-27T23:04:27Z</dcterms:created>
  <dcterms:modified xsi:type="dcterms:W3CDTF">2014-07-21T00:40:48Z</dcterms:modified>
</cp:coreProperties>
</file>